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4.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5.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6.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7.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8.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9.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0.xml" ContentType="application/vnd.openxmlformats-officedocument.themeOverride+xml"/>
  <Override PartName="/xl/drawings/drawing2.xml" ContentType="application/vnd.openxmlformats-officedocument.drawing+xml"/>
  <Override PartName="/xl/drawings/drawing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5.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1.xml" ContentType="application/vnd.openxmlformats-officedocument.themeOverride+xml"/>
  <Override PartName="/xl/drawings/drawing6.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2.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3.xml" ContentType="application/vnd.openxmlformats-officedocument.themeOverrid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4.xml" ContentType="application/vnd.openxmlformats-officedocument.themeOverrid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5.xml" ContentType="application/vnd.openxmlformats-officedocument.themeOverrid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16.xml" ContentType="application/vnd.openxmlformats-officedocument.themeOverride+xml"/>
  <Override PartName="/xl/drawings/drawing7.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8.xml" ContentType="application/vnd.openxmlformats-officedocument.drawingml.chartshape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9.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7.xml" ContentType="application/vnd.openxmlformats-officedocument.themeOverride+xml"/>
  <Override PartName="/xl/drawings/drawing10.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18.xml" ContentType="application/vnd.openxmlformats-officedocument.themeOverrid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19.xml" ContentType="application/vnd.openxmlformats-officedocument.themeOverrid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0.xml" ContentType="application/vnd.openxmlformats-officedocument.themeOverrid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1.xml" ContentType="application/vnd.openxmlformats-officedocument.themeOverrid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1.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22.xml" ContentType="application/vnd.openxmlformats-officedocument.themeOverrid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23.xml" ContentType="application/vnd.openxmlformats-officedocument.themeOverrid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24.xml" ContentType="application/vnd.openxmlformats-officedocument.themeOverrid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25.xml" ContentType="application/vnd.openxmlformats-officedocument.themeOverrid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26.xml" ContentType="application/vnd.openxmlformats-officedocument.themeOverrid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27.xml" ContentType="application/vnd.openxmlformats-officedocument.themeOverrid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28.xml" ContentType="application/vnd.openxmlformats-officedocument.themeOverrid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queryTables/queryTable1.xml" ContentType="application/vnd.openxmlformats-officedocument.spreadsheetml.queryTable+xml"/>
  <Override PartName="/xl/tables/table30.xml" ContentType="application/vnd.openxmlformats-officedocument.spreadsheetml.table+xml"/>
  <Override PartName="/xl/queryTables/queryTable2.xml" ContentType="application/vnd.openxmlformats-officedocument.spreadsheetml.queryTable+xml"/>
  <Override PartName="/xl/tables/table31.xml" ContentType="application/vnd.openxmlformats-officedocument.spreadsheetml.table+xml"/>
  <Override PartName="/xl/queryTables/queryTable3.xml" ContentType="application/vnd.openxmlformats-officedocument.spreadsheetml.queryTable+xml"/>
  <Override PartName="/xl/tables/table32.xml" ContentType="application/vnd.openxmlformats-officedocument.spreadsheetml.table+xml"/>
  <Override PartName="/xl/queryTables/queryTable4.xml" ContentType="application/vnd.openxmlformats-officedocument.spreadsheetml.queryTable+xml"/>
  <Override PartName="/xl/tables/table33.xml" ContentType="application/vnd.openxmlformats-officedocument.spreadsheetml.table+xml"/>
  <Override PartName="/xl/queryTables/queryTable5.xml" ContentType="application/vnd.openxmlformats-officedocument.spreadsheetml.queryTable+xml"/>
  <Override PartName="/xl/tables/table34.xml" ContentType="application/vnd.openxmlformats-officedocument.spreadsheetml.table+xml"/>
  <Override PartName="/xl/queryTables/queryTable6.xml" ContentType="application/vnd.openxmlformats-officedocument.spreadsheetml.queryTable+xml"/>
  <Override PartName="/xl/tables/table35.xml" ContentType="application/vnd.openxmlformats-officedocument.spreadsheetml.table+xml"/>
  <Override PartName="/xl/queryTables/queryTable7.xml" ContentType="application/vnd.openxmlformats-officedocument.spreadsheetml.queryTable+xml"/>
  <Override PartName="/xl/tables/table36.xml" ContentType="application/vnd.openxmlformats-officedocument.spreadsheetml.table+xml"/>
  <Override PartName="/xl/queryTables/queryTable8.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mc:AlternateContent xmlns:mc="http://schemas.openxmlformats.org/markup-compatibility/2006">
    <mc:Choice Requires="x15">
      <x15ac:absPath xmlns:x15ac="http://schemas.microsoft.com/office/spreadsheetml/2010/11/ac" url="https://d.docs.live.net/6778ee1f1edaba6b/"/>
    </mc:Choice>
  </mc:AlternateContent>
  <xr:revisionPtr revIDLastSave="1437" documentId="13_ncr:1_{641E1931-A86D-4BB3-88BD-F9CAD8338AC2}" xr6:coauthVersionLast="47" xr6:coauthVersionMax="47" xr10:uidLastSave="{EF086867-E53F-4FA1-9347-C9BA1DDE360B}"/>
  <bookViews>
    <workbookView xWindow="-108" yWindow="-108" windowWidth="23256" windowHeight="12576" tabRatio="721" activeTab="1" xr2:uid="{6CF69157-2B91-484D-A549-E4C8FBCB28A4}"/>
  </bookViews>
  <sheets>
    <sheet name="Read.Me" sheetId="37" r:id="rId1"/>
    <sheet name="Summary" sheetId="8" r:id="rId2"/>
    <sheet name="Center" sheetId="19" r:id="rId3"/>
    <sheet name="Auto" sheetId="5" r:id="rId4"/>
    <sheet name="Teleop" sheetId="34" r:id="rId5"/>
    <sheet name="Showtime" sheetId="35" r:id="rId6"/>
    <sheet name="MPR_Alliance" sheetId="25" state="hidden" r:id="rId7"/>
    <sheet name="MPR_Auto" sheetId="30" state="hidden" r:id="rId8"/>
    <sheet name="MPR_Teleop" sheetId="33" state="hidden" r:id="rId9"/>
    <sheet name="MPR_Showtime" sheetId="36" state="hidden" r:id="rId10"/>
    <sheet name="Dyno_Data" sheetId="4" state="hidden" r:id="rId11"/>
    <sheet name="Dyno_EndMatch" sheetId="22" state="hidden" r:id="rId12"/>
    <sheet name="TBA_Rankings" sheetId="11" state="hidden" r:id="rId13"/>
    <sheet name="TBA_Matches-All" sheetId="18" state="hidden" r:id="rId14"/>
    <sheet name="TBA_Matches-Blue" sheetId="16" state="hidden" r:id="rId15"/>
    <sheet name="TBA_Matches-Red" sheetId="17" state="hidden" r:id="rId16"/>
    <sheet name="TBA_Schedule" sheetId="24" state="hidden" r:id="rId17"/>
    <sheet name="TBA_Events" sheetId="13" state="hidden" r:id="rId18"/>
  </sheets>
  <definedNames>
    <definedName name="_Blue1">MPR_Alliance!$B$3</definedName>
    <definedName name="_Blue2">MPR_Alliance!$C$3</definedName>
    <definedName name="_Blue3">MPR_Alliance!$D$3</definedName>
    <definedName name="_Red1">MPR_Alliance!$B$2</definedName>
    <definedName name="_Red2">MPR_Alliance!$C$2</definedName>
    <definedName name="_Red3">MPR_Alliance!$D$2</definedName>
    <definedName name="Alliance">Summary!$B$2</definedName>
    <definedName name="AllianceA">Auto!$B$2</definedName>
    <definedName name="AllianceShow">Showtime!$B$2</definedName>
    <definedName name="AllianceT">Teleop!$B$2</definedName>
    <definedName name="ExternalData_1" localSheetId="10" hidden="1">Dyno_Data!$A$1:$AG$4379</definedName>
    <definedName name="ExternalData_1" localSheetId="17" hidden="1">TBA_Events!$A$1:$J$182</definedName>
    <definedName name="ExternalData_1" localSheetId="13" hidden="1">'TBA_Matches-All'!$A$2:$AD$338</definedName>
    <definedName name="ExternalData_1" localSheetId="14" hidden="1">'TBA_Matches-Blue'!$A$1:$AD$169</definedName>
    <definedName name="ExternalData_1" localSheetId="15" hidden="1">'TBA_Matches-Red'!$A$3:$AD$171</definedName>
    <definedName name="ExternalData_1" localSheetId="12" hidden="1">TBA_Rankings!$A$2:$D$53</definedName>
    <definedName name="ExternalData_2" localSheetId="11" hidden="1">Dyno_EndMatch!$A$1:$AI$422</definedName>
    <definedName name="ExternalData_2" localSheetId="16" hidden="1">TBA_Schedule!$A$1:$J$78</definedName>
    <definedName name="Match">Summary!$B$1</definedName>
    <definedName name="Tr_Note_Amp" comment="Dynamic Range for Note Delivery Trend Chart for the Amp Station robot">OFFSET(MPR_Alliance!$AD$4,0,0,MPR_Alliance!$AC$2,1)</definedName>
    <definedName name="Tr_Note_Center" comment="Dynamic Range for Note Delivery Trend Chart for the Center Station robot">OFFSET(MPR_Alliance!$AE$4,0,0,MPR_Alliance!$AC$2,1)</definedName>
    <definedName name="Tr_Note_Match" comment="Dynamic Range for Match Labels Note Delivery Trend Chart">OFFSET(MPR_Alliance!$AC$4,0,0,MPR_Alliance!$AC$2,1)</definedName>
    <definedName name="Tr_Note_Source" comment="Dynamic Range for Note Delivery Trend Chart for the Source Station robot">OFFSET(MPR_Alliance!$AF$4,0,0,MPR_Alliance!$AC$2,1)</definedName>
    <definedName name="Tr_Stage_Amp" comment="Dynamic Range for Stage Points Trend Chart for the Amp Station robot">OFFSET(MPR_Alliance!$AI$4,0,0,MPR_Alliance!$AH$2,1)</definedName>
    <definedName name="Tr_Stage_Center" comment="Dynamic Range for Stage Points Trend Chart for the Center Station robot">OFFSET(MPR_Alliance!$AJ$4,0,0,MPR_Alliance!$AH$2,1)</definedName>
    <definedName name="Tr_Stage_Match" comment="Dynamic Range for Matches for Stage Points Trend Chart">OFFSET(MPR_Alliance!$AH$4,0,0,MPR_Alliance!$AH$2,1)</definedName>
    <definedName name="Tr_Stage_Source" comment="Dynamic Range for Stage Points Trend Chart for the Source Station robot">OFFSET(MPR_Alliance!$AK$4,0,0,MPR_Alliance!$AH$2,1)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E3" i="18" l="1"/>
  <c r="AE4" i="18"/>
  <c r="AE5" i="18"/>
  <c r="AE6" i="18"/>
  <c r="AE7" i="18"/>
  <c r="AE8" i="18"/>
  <c r="AE9" i="18"/>
  <c r="AE10" i="18"/>
  <c r="AE11" i="18"/>
  <c r="AE12" i="18"/>
  <c r="AE13" i="18"/>
  <c r="AE14" i="18"/>
  <c r="AE15" i="18"/>
  <c r="AE16" i="18"/>
  <c r="AE17" i="18"/>
  <c r="AE18" i="18"/>
  <c r="AE19" i="18"/>
  <c r="AE20" i="18"/>
  <c r="AE21" i="18"/>
  <c r="AE22" i="18"/>
  <c r="AE23" i="18"/>
  <c r="AE24" i="18"/>
  <c r="AE25" i="18"/>
  <c r="AE26" i="18"/>
  <c r="AE27" i="18"/>
  <c r="AE28" i="18"/>
  <c r="AE29" i="18"/>
  <c r="AE30" i="18"/>
  <c r="AE31" i="18"/>
  <c r="AE32" i="18"/>
  <c r="AE33" i="18"/>
  <c r="AE34" i="18"/>
  <c r="AE35" i="18"/>
  <c r="AE36" i="18"/>
  <c r="AE37" i="18"/>
  <c r="AE38" i="18"/>
  <c r="AE39" i="18"/>
  <c r="AE40" i="18"/>
  <c r="AE41" i="18"/>
  <c r="AE42" i="18"/>
  <c r="AE43" i="18"/>
  <c r="AE44" i="18"/>
  <c r="AE45" i="18"/>
  <c r="AE46" i="18"/>
  <c r="AE47" i="18"/>
  <c r="AE48" i="18"/>
  <c r="AE49" i="18"/>
  <c r="AE50" i="18"/>
  <c r="AE51" i="18"/>
  <c r="AE52" i="18"/>
  <c r="AE53" i="18"/>
  <c r="AE54" i="18"/>
  <c r="AE55" i="18"/>
  <c r="AE56" i="18"/>
  <c r="AE57" i="18"/>
  <c r="AE58" i="18"/>
  <c r="AE59" i="18"/>
  <c r="AE60" i="18"/>
  <c r="AE61" i="18"/>
  <c r="AE62" i="18"/>
  <c r="AE63" i="18"/>
  <c r="AE64" i="18"/>
  <c r="AE65" i="18"/>
  <c r="AE66" i="18"/>
  <c r="AE67" i="18"/>
  <c r="AE68" i="18"/>
  <c r="AE69" i="18"/>
  <c r="AE70" i="18"/>
  <c r="AE71" i="18"/>
  <c r="AE72" i="18"/>
  <c r="AE73" i="18"/>
  <c r="AE74" i="18"/>
  <c r="AE75" i="18"/>
  <c r="AE76" i="18"/>
  <c r="AE77" i="18"/>
  <c r="AE78" i="18"/>
  <c r="AE79" i="18"/>
  <c r="AE80" i="18"/>
  <c r="AE81" i="18"/>
  <c r="AE82" i="18"/>
  <c r="AE83" i="18"/>
  <c r="AE84" i="18"/>
  <c r="AE85" i="18"/>
  <c r="AE86" i="18"/>
  <c r="AE87" i="18"/>
  <c r="AE88" i="18"/>
  <c r="AE89" i="18"/>
  <c r="AE90" i="18"/>
  <c r="AE91" i="18"/>
  <c r="AE92" i="18"/>
  <c r="AE93" i="18"/>
  <c r="AE94" i="18"/>
  <c r="AE95" i="18"/>
  <c r="AE96" i="18"/>
  <c r="AE97" i="18"/>
  <c r="AE98" i="18"/>
  <c r="AE99" i="18"/>
  <c r="AE100" i="18"/>
  <c r="AE101" i="18"/>
  <c r="AE102" i="18"/>
  <c r="AE103" i="18"/>
  <c r="AE104" i="18"/>
  <c r="AE105" i="18"/>
  <c r="AE106" i="18"/>
  <c r="AE107" i="18"/>
  <c r="AE108" i="18"/>
  <c r="AE109" i="18"/>
  <c r="AE110" i="18"/>
  <c r="AE111" i="18"/>
  <c r="AE112" i="18"/>
  <c r="AE113" i="18"/>
  <c r="AE114" i="18"/>
  <c r="AE115" i="18"/>
  <c r="AE116" i="18"/>
  <c r="AE117" i="18"/>
  <c r="AE118" i="18"/>
  <c r="AE119" i="18"/>
  <c r="AE120" i="18"/>
  <c r="AE121" i="18"/>
  <c r="AE122" i="18"/>
  <c r="AE123" i="18"/>
  <c r="AE124" i="18"/>
  <c r="AE125" i="18"/>
  <c r="AE126" i="18"/>
  <c r="AE127" i="18"/>
  <c r="AE128" i="18"/>
  <c r="AE129" i="18"/>
  <c r="AE130" i="18"/>
  <c r="AE131" i="18"/>
  <c r="AE132" i="18"/>
  <c r="AE133" i="18"/>
  <c r="AE134" i="18"/>
  <c r="AE135" i="18"/>
  <c r="AE136" i="18"/>
  <c r="AE137" i="18"/>
  <c r="AE138" i="18"/>
  <c r="AE139" i="18"/>
  <c r="AE140" i="18"/>
  <c r="AE141" i="18"/>
  <c r="AE142" i="18"/>
  <c r="AE143" i="18"/>
  <c r="AE144" i="18"/>
  <c r="AE145" i="18"/>
  <c r="AE146" i="18"/>
  <c r="AE147" i="18"/>
  <c r="AE148" i="18"/>
  <c r="AE149" i="18"/>
  <c r="AE150" i="18"/>
  <c r="AE151" i="18"/>
  <c r="AE152" i="18"/>
  <c r="AE153" i="18"/>
  <c r="AE154" i="18"/>
  <c r="AE155" i="18"/>
  <c r="AE156" i="18"/>
  <c r="AE157" i="18"/>
  <c r="AE158" i="18"/>
  <c r="AE159" i="18"/>
  <c r="AE160" i="18"/>
  <c r="AE161" i="18"/>
  <c r="AE162" i="18"/>
  <c r="AE163" i="18"/>
  <c r="AE164" i="18"/>
  <c r="AE165" i="18"/>
  <c r="AE166" i="18"/>
  <c r="AE167" i="18"/>
  <c r="AE168" i="18"/>
  <c r="AE169" i="18"/>
  <c r="AE170" i="18"/>
  <c r="AE171" i="18"/>
  <c r="AE172" i="18"/>
  <c r="AE173" i="18"/>
  <c r="AE174" i="18"/>
  <c r="AE175" i="18"/>
  <c r="AE176" i="18"/>
  <c r="AE177" i="18"/>
  <c r="AE178" i="18"/>
  <c r="AE179" i="18"/>
  <c r="AE180" i="18"/>
  <c r="AE181" i="18"/>
  <c r="AE182" i="18"/>
  <c r="AE183" i="18"/>
  <c r="AE184" i="18"/>
  <c r="AE185" i="18"/>
  <c r="AE186" i="18"/>
  <c r="AE187" i="18"/>
  <c r="AE188" i="18"/>
  <c r="AE189" i="18"/>
  <c r="AE190" i="18"/>
  <c r="AE191" i="18"/>
  <c r="AE192" i="18"/>
  <c r="AE193" i="18"/>
  <c r="AE194" i="18"/>
  <c r="AE195" i="18"/>
  <c r="AE196" i="18"/>
  <c r="AE197" i="18"/>
  <c r="AE198" i="18"/>
  <c r="AE199" i="18"/>
  <c r="AE200" i="18"/>
  <c r="AE201" i="18"/>
  <c r="AE202" i="18"/>
  <c r="AE203" i="18"/>
  <c r="AE204" i="18"/>
  <c r="AE205" i="18"/>
  <c r="AE206" i="18"/>
  <c r="AE207" i="18"/>
  <c r="AE208" i="18"/>
  <c r="AE209" i="18"/>
  <c r="AE210" i="18"/>
  <c r="AE211" i="18"/>
  <c r="AE212" i="18"/>
  <c r="AE213" i="18"/>
  <c r="AE214" i="18"/>
  <c r="AE215" i="18"/>
  <c r="AE216" i="18"/>
  <c r="AE217" i="18"/>
  <c r="AE218" i="18"/>
  <c r="AE219" i="18"/>
  <c r="AE220" i="18"/>
  <c r="AE221" i="18"/>
  <c r="AE222" i="18"/>
  <c r="AE223" i="18"/>
  <c r="AE224" i="18"/>
  <c r="AE225" i="18"/>
  <c r="AE226" i="18"/>
  <c r="AE227" i="18"/>
  <c r="AE228" i="18"/>
  <c r="AE229" i="18"/>
  <c r="AE230" i="18"/>
  <c r="AE231" i="18"/>
  <c r="AE232" i="18"/>
  <c r="AE233" i="18"/>
  <c r="AE234" i="18"/>
  <c r="AE235" i="18"/>
  <c r="AE236" i="18"/>
  <c r="AE237" i="18"/>
  <c r="AE238" i="18"/>
  <c r="AE239" i="18"/>
  <c r="AE240" i="18"/>
  <c r="AE241" i="18"/>
  <c r="AE242" i="18"/>
  <c r="AE243" i="18"/>
  <c r="AE244" i="18"/>
  <c r="AE245" i="18"/>
  <c r="AE246" i="18"/>
  <c r="AE247" i="18"/>
  <c r="AE248" i="18"/>
  <c r="AE249" i="18"/>
  <c r="AE250" i="18"/>
  <c r="AE251" i="18"/>
  <c r="AE252" i="18"/>
  <c r="AE253" i="18"/>
  <c r="AE254" i="18"/>
  <c r="AE255" i="18"/>
  <c r="AE256" i="18"/>
  <c r="AE257" i="18"/>
  <c r="AE258" i="18"/>
  <c r="AE259" i="18"/>
  <c r="AE260" i="18"/>
  <c r="AE261" i="18"/>
  <c r="AE262" i="18"/>
  <c r="AE263" i="18"/>
  <c r="AE264" i="18"/>
  <c r="AE265" i="18"/>
  <c r="AE266" i="18"/>
  <c r="AE267" i="18"/>
  <c r="AE268" i="18"/>
  <c r="AE269" i="18"/>
  <c r="AE270" i="18"/>
  <c r="AE271" i="18"/>
  <c r="AE272" i="18"/>
  <c r="AE273" i="18"/>
  <c r="AE274" i="18"/>
  <c r="AE275" i="18"/>
  <c r="AE276" i="18"/>
  <c r="AE277" i="18"/>
  <c r="AE278" i="18"/>
  <c r="AE279" i="18"/>
  <c r="AE280" i="18"/>
  <c r="AE281" i="18"/>
  <c r="AE282" i="18"/>
  <c r="AE283" i="18"/>
  <c r="AE284" i="18"/>
  <c r="AE285" i="18"/>
  <c r="AE286" i="18"/>
  <c r="AE287" i="18"/>
  <c r="AE288" i="18"/>
  <c r="AE289" i="18"/>
  <c r="AE290" i="18"/>
  <c r="AE291" i="18"/>
  <c r="AE292" i="18"/>
  <c r="AE293" i="18"/>
  <c r="AE294" i="18"/>
  <c r="AE295" i="18"/>
  <c r="AE296" i="18"/>
  <c r="AE297" i="18"/>
  <c r="AE298" i="18"/>
  <c r="AE299" i="18"/>
  <c r="AE300" i="18"/>
  <c r="AE301" i="18"/>
  <c r="AE302" i="18"/>
  <c r="AE303" i="18"/>
  <c r="AE304" i="18"/>
  <c r="AE305" i="18"/>
  <c r="AE306" i="18"/>
  <c r="AE307" i="18"/>
  <c r="AE308" i="18"/>
  <c r="AE309" i="18"/>
  <c r="AE310" i="18"/>
  <c r="AE311" i="18"/>
  <c r="AE312" i="18"/>
  <c r="AE313" i="18"/>
  <c r="AE314" i="18"/>
  <c r="AE315" i="18"/>
  <c r="AE316" i="18"/>
  <c r="AE317" i="18"/>
  <c r="AE318" i="18"/>
  <c r="AE319" i="18"/>
  <c r="AE320" i="18"/>
  <c r="AE321" i="18"/>
  <c r="AE322" i="18"/>
  <c r="AE323" i="18"/>
  <c r="AE324" i="18"/>
  <c r="AE325" i="18"/>
  <c r="AE326" i="18"/>
  <c r="AE327" i="18"/>
  <c r="AE328" i="18"/>
  <c r="AE329" i="18"/>
  <c r="AE330" i="18"/>
  <c r="AE331" i="18"/>
  <c r="AE332" i="18"/>
  <c r="AE333" i="18"/>
  <c r="AE334" i="18"/>
  <c r="AE335" i="18"/>
  <c r="AE336" i="18"/>
  <c r="AE337" i="18"/>
  <c r="AE338" i="18"/>
  <c r="AF3" i="18"/>
  <c r="AF4" i="18"/>
  <c r="AF5" i="18"/>
  <c r="AF6" i="18"/>
  <c r="AF7" i="18"/>
  <c r="AF8" i="18"/>
  <c r="AF9" i="18"/>
  <c r="AF10" i="18"/>
  <c r="AF11" i="18"/>
  <c r="AF12" i="18"/>
  <c r="AF13" i="18"/>
  <c r="AF14" i="18"/>
  <c r="AF15" i="18"/>
  <c r="AF16" i="18"/>
  <c r="AF17" i="18"/>
  <c r="AF18" i="18"/>
  <c r="AF19" i="18"/>
  <c r="AF20" i="18"/>
  <c r="AF21" i="18"/>
  <c r="AF22" i="18"/>
  <c r="AF23" i="18"/>
  <c r="AF24" i="18"/>
  <c r="AF25" i="18"/>
  <c r="AF26" i="18"/>
  <c r="AF27" i="18"/>
  <c r="AF28" i="18"/>
  <c r="AF29" i="18"/>
  <c r="AF30" i="18"/>
  <c r="AF31" i="18"/>
  <c r="AF32" i="18"/>
  <c r="AF33" i="18"/>
  <c r="AF34" i="18"/>
  <c r="AF35" i="18"/>
  <c r="AF36" i="18"/>
  <c r="AF37" i="18"/>
  <c r="AF38" i="18"/>
  <c r="AF39" i="18"/>
  <c r="AF40" i="18"/>
  <c r="AF41" i="18"/>
  <c r="AF42" i="18"/>
  <c r="AF43" i="18"/>
  <c r="AF44" i="18"/>
  <c r="AF45" i="18"/>
  <c r="AF46" i="18"/>
  <c r="AF47" i="18"/>
  <c r="AF48" i="18"/>
  <c r="AF49" i="18"/>
  <c r="AF50" i="18"/>
  <c r="AF51" i="18"/>
  <c r="AF52" i="18"/>
  <c r="AF53" i="18"/>
  <c r="AF54" i="18"/>
  <c r="AF55" i="18"/>
  <c r="AF56" i="18"/>
  <c r="AF57" i="18"/>
  <c r="AF58" i="18"/>
  <c r="AF59" i="18"/>
  <c r="AF60" i="18"/>
  <c r="AF61" i="18"/>
  <c r="AF62" i="18"/>
  <c r="AF63" i="18"/>
  <c r="AF64" i="18"/>
  <c r="AF65" i="18"/>
  <c r="AF66" i="18"/>
  <c r="AF67" i="18"/>
  <c r="AF68" i="18"/>
  <c r="AF69" i="18"/>
  <c r="AF70" i="18"/>
  <c r="AF71" i="18"/>
  <c r="AF72" i="18"/>
  <c r="AF73" i="18"/>
  <c r="AF74" i="18"/>
  <c r="AF75" i="18"/>
  <c r="AF76" i="18"/>
  <c r="AF77" i="18"/>
  <c r="AF78" i="18"/>
  <c r="AF79" i="18"/>
  <c r="AF80" i="18"/>
  <c r="AF81" i="18"/>
  <c r="AF82" i="18"/>
  <c r="AF83" i="18"/>
  <c r="AF84" i="18"/>
  <c r="AF85" i="18"/>
  <c r="AF86" i="18"/>
  <c r="AF87" i="18"/>
  <c r="AF88" i="18"/>
  <c r="AF89" i="18"/>
  <c r="AF90" i="18"/>
  <c r="AF91" i="18"/>
  <c r="AF92" i="18"/>
  <c r="AF93" i="18"/>
  <c r="AF94" i="18"/>
  <c r="AF95" i="18"/>
  <c r="AF96" i="18"/>
  <c r="AF97" i="18"/>
  <c r="AF98" i="18"/>
  <c r="AF99" i="18"/>
  <c r="AF100" i="18"/>
  <c r="AF101" i="18"/>
  <c r="AF102" i="18"/>
  <c r="AF103" i="18"/>
  <c r="AF104" i="18"/>
  <c r="AF105" i="18"/>
  <c r="AF106" i="18"/>
  <c r="AF107" i="18"/>
  <c r="AF108" i="18"/>
  <c r="AF109" i="18"/>
  <c r="AF110" i="18"/>
  <c r="AF111" i="18"/>
  <c r="AF112" i="18"/>
  <c r="AF113" i="18"/>
  <c r="AF114" i="18"/>
  <c r="AF115" i="18"/>
  <c r="AF116" i="18"/>
  <c r="AF117" i="18"/>
  <c r="AF118" i="18"/>
  <c r="AF119" i="18"/>
  <c r="AF120" i="18"/>
  <c r="AF121" i="18"/>
  <c r="AF122" i="18"/>
  <c r="AF123" i="18"/>
  <c r="AF124" i="18"/>
  <c r="AF125" i="18"/>
  <c r="AF126" i="18"/>
  <c r="AF127" i="18"/>
  <c r="AF128" i="18"/>
  <c r="AF129" i="18"/>
  <c r="AF130" i="18"/>
  <c r="AF131" i="18"/>
  <c r="AF132" i="18"/>
  <c r="AF133" i="18"/>
  <c r="AF134" i="18"/>
  <c r="AF135" i="18"/>
  <c r="AF136" i="18"/>
  <c r="AF137" i="18"/>
  <c r="AF138" i="18"/>
  <c r="AF139" i="18"/>
  <c r="AF140" i="18"/>
  <c r="AF141" i="18"/>
  <c r="AF142" i="18"/>
  <c r="AF143" i="18"/>
  <c r="AF144" i="18"/>
  <c r="AF145" i="18"/>
  <c r="AF146" i="18"/>
  <c r="AF147" i="18"/>
  <c r="AF148" i="18"/>
  <c r="AF149" i="18"/>
  <c r="AF150" i="18"/>
  <c r="AF151" i="18"/>
  <c r="AF152" i="18"/>
  <c r="AF153" i="18"/>
  <c r="AF154" i="18"/>
  <c r="AF155" i="18"/>
  <c r="AF156" i="18"/>
  <c r="AF157" i="18"/>
  <c r="AF158" i="18"/>
  <c r="AF159" i="18"/>
  <c r="AF160" i="18"/>
  <c r="AF161" i="18"/>
  <c r="AF162" i="18"/>
  <c r="AF163" i="18"/>
  <c r="AF164" i="18"/>
  <c r="AF165" i="18"/>
  <c r="AF166" i="18"/>
  <c r="AF167" i="18"/>
  <c r="AF168" i="18"/>
  <c r="AF169" i="18"/>
  <c r="AF170" i="18"/>
  <c r="AF171" i="18"/>
  <c r="AF172" i="18"/>
  <c r="AF173" i="18"/>
  <c r="AF174" i="18"/>
  <c r="AF175" i="18"/>
  <c r="AF176" i="18"/>
  <c r="AF177" i="18"/>
  <c r="AF178" i="18"/>
  <c r="AF179" i="18"/>
  <c r="AF180" i="18"/>
  <c r="AF181" i="18"/>
  <c r="AF182" i="18"/>
  <c r="AF183" i="18"/>
  <c r="AF184" i="18"/>
  <c r="AF185" i="18"/>
  <c r="AF186" i="18"/>
  <c r="AF187" i="18"/>
  <c r="AF188" i="18"/>
  <c r="AF189" i="18"/>
  <c r="AF190" i="18"/>
  <c r="AF191" i="18"/>
  <c r="AF192" i="18"/>
  <c r="AF193" i="18"/>
  <c r="AF194" i="18"/>
  <c r="AF195" i="18"/>
  <c r="AF196" i="18"/>
  <c r="AF197" i="18"/>
  <c r="AF198" i="18"/>
  <c r="AF199" i="18"/>
  <c r="AF200" i="18"/>
  <c r="AF201" i="18"/>
  <c r="AF202" i="18"/>
  <c r="AF203" i="18"/>
  <c r="AF204" i="18"/>
  <c r="AF205" i="18"/>
  <c r="AF206" i="18"/>
  <c r="AF207" i="18"/>
  <c r="AF208" i="18"/>
  <c r="AF209" i="18"/>
  <c r="AF210" i="18"/>
  <c r="AF211" i="18"/>
  <c r="AF212" i="18"/>
  <c r="AF213" i="18"/>
  <c r="AF214" i="18"/>
  <c r="AF215" i="18"/>
  <c r="AF216" i="18"/>
  <c r="AF217" i="18"/>
  <c r="AF218" i="18"/>
  <c r="AF219" i="18"/>
  <c r="AF220" i="18"/>
  <c r="AF221" i="18"/>
  <c r="AF222" i="18"/>
  <c r="AF223" i="18"/>
  <c r="AF224" i="18"/>
  <c r="AF225" i="18"/>
  <c r="AF226" i="18"/>
  <c r="AF227" i="18"/>
  <c r="AF228" i="18"/>
  <c r="AF229" i="18"/>
  <c r="AF230" i="18"/>
  <c r="AF231" i="18"/>
  <c r="AF232" i="18"/>
  <c r="AF233" i="18"/>
  <c r="AF234" i="18"/>
  <c r="AF235" i="18"/>
  <c r="AF236" i="18"/>
  <c r="AF237" i="18"/>
  <c r="AF238" i="18"/>
  <c r="AF239" i="18"/>
  <c r="AF240" i="18"/>
  <c r="AF241" i="18"/>
  <c r="AF242" i="18"/>
  <c r="AF243" i="18"/>
  <c r="AF244" i="18"/>
  <c r="AF245" i="18"/>
  <c r="AF246" i="18"/>
  <c r="AF247" i="18"/>
  <c r="AF248" i="18"/>
  <c r="AF249" i="18"/>
  <c r="AF250" i="18"/>
  <c r="AF251" i="18"/>
  <c r="AF252" i="18"/>
  <c r="AF253" i="18"/>
  <c r="AF254" i="18"/>
  <c r="AF255" i="18"/>
  <c r="AF256" i="18"/>
  <c r="AF257" i="18"/>
  <c r="AF258" i="18"/>
  <c r="AF259" i="18"/>
  <c r="AF260" i="18"/>
  <c r="AF261" i="18"/>
  <c r="AF262" i="18"/>
  <c r="AF263" i="18"/>
  <c r="AF264" i="18"/>
  <c r="AF265" i="18"/>
  <c r="AF266" i="18"/>
  <c r="AF267" i="18"/>
  <c r="AF268" i="18"/>
  <c r="AF269" i="18"/>
  <c r="AF270" i="18"/>
  <c r="AF271" i="18"/>
  <c r="AF272" i="18"/>
  <c r="AF273" i="18"/>
  <c r="AF274" i="18"/>
  <c r="AF275" i="18"/>
  <c r="AF276" i="18"/>
  <c r="AF277" i="18"/>
  <c r="AF278" i="18"/>
  <c r="AF279" i="18"/>
  <c r="AF280" i="18"/>
  <c r="AF281" i="18"/>
  <c r="AF282" i="18"/>
  <c r="AF283" i="18"/>
  <c r="AF284" i="18"/>
  <c r="AF285" i="18"/>
  <c r="AF286" i="18"/>
  <c r="AF287" i="18"/>
  <c r="AF288" i="18"/>
  <c r="AF289" i="18"/>
  <c r="AF290" i="18"/>
  <c r="AF291" i="18"/>
  <c r="AF292" i="18"/>
  <c r="AF293" i="18"/>
  <c r="AF294" i="18"/>
  <c r="AF295" i="18"/>
  <c r="AF296" i="18"/>
  <c r="AF297" i="18"/>
  <c r="AF298" i="18"/>
  <c r="AF299" i="18"/>
  <c r="AF300" i="18"/>
  <c r="AF301" i="18"/>
  <c r="AF302" i="18"/>
  <c r="AF303" i="18"/>
  <c r="AF304" i="18"/>
  <c r="AF305" i="18"/>
  <c r="AF306" i="18"/>
  <c r="AF307" i="18"/>
  <c r="AF308" i="18"/>
  <c r="AF309" i="18"/>
  <c r="AF310" i="18"/>
  <c r="AF311" i="18"/>
  <c r="AF312" i="18"/>
  <c r="AF313" i="18"/>
  <c r="AF314" i="18"/>
  <c r="AF315" i="18"/>
  <c r="AF316" i="18"/>
  <c r="AF317" i="18"/>
  <c r="AF318" i="18"/>
  <c r="AF319" i="18"/>
  <c r="AF320" i="18"/>
  <c r="AF321" i="18"/>
  <c r="AF322" i="18"/>
  <c r="AF323" i="18"/>
  <c r="AF324" i="18"/>
  <c r="AF325" i="18"/>
  <c r="AF326" i="18"/>
  <c r="AF327" i="18"/>
  <c r="AF328" i="18"/>
  <c r="AF329" i="18"/>
  <c r="AF330" i="18"/>
  <c r="AF331" i="18"/>
  <c r="AF332" i="18"/>
  <c r="AF333" i="18"/>
  <c r="AF334" i="18"/>
  <c r="AF335" i="18"/>
  <c r="AF336" i="18"/>
  <c r="AF337" i="18"/>
  <c r="AF338" i="18"/>
  <c r="AG3" i="18"/>
  <c r="AG4" i="18"/>
  <c r="AG5" i="18"/>
  <c r="AG6" i="18"/>
  <c r="AG7" i="18"/>
  <c r="AG8" i="18"/>
  <c r="AG9" i="18"/>
  <c r="AG10" i="18"/>
  <c r="AG11" i="18"/>
  <c r="AG12" i="18"/>
  <c r="AG13" i="18"/>
  <c r="AG14" i="18"/>
  <c r="AG15" i="18"/>
  <c r="AG16" i="18"/>
  <c r="AG17" i="18"/>
  <c r="AG18" i="18"/>
  <c r="AG19" i="18"/>
  <c r="AG20" i="18"/>
  <c r="AG21" i="18"/>
  <c r="AG22" i="18"/>
  <c r="AG23" i="18"/>
  <c r="AG24" i="18"/>
  <c r="AG25" i="18"/>
  <c r="AG26" i="18"/>
  <c r="AG27" i="18"/>
  <c r="AG28" i="18"/>
  <c r="AG29" i="18"/>
  <c r="AG30" i="18"/>
  <c r="AG31" i="18"/>
  <c r="AG32" i="18"/>
  <c r="AG33" i="18"/>
  <c r="AG34" i="18"/>
  <c r="AG35" i="18"/>
  <c r="AG36" i="18"/>
  <c r="AG37" i="18"/>
  <c r="AG38" i="18"/>
  <c r="AG39" i="18"/>
  <c r="AG40" i="18"/>
  <c r="AG41" i="18"/>
  <c r="AG42" i="18"/>
  <c r="AG43" i="18"/>
  <c r="AG44" i="18"/>
  <c r="AG45" i="18"/>
  <c r="AG46" i="18"/>
  <c r="AG47" i="18"/>
  <c r="AG48" i="18"/>
  <c r="AG49" i="18"/>
  <c r="AG50" i="18"/>
  <c r="AG51" i="18"/>
  <c r="AG52" i="18"/>
  <c r="AG53" i="18"/>
  <c r="AG54" i="18"/>
  <c r="AG55" i="18"/>
  <c r="AG56" i="18"/>
  <c r="AG57" i="18"/>
  <c r="AG58" i="18"/>
  <c r="AG59" i="18"/>
  <c r="AG60" i="18"/>
  <c r="AG61" i="18"/>
  <c r="AG62" i="18"/>
  <c r="AG63" i="18"/>
  <c r="AG64" i="18"/>
  <c r="AG65" i="18"/>
  <c r="AG66" i="18"/>
  <c r="AG67" i="18"/>
  <c r="AG68" i="18"/>
  <c r="AG69" i="18"/>
  <c r="AG70" i="18"/>
  <c r="AG71" i="18"/>
  <c r="AG72" i="18"/>
  <c r="AG73" i="18"/>
  <c r="AG74" i="18"/>
  <c r="AG75" i="18"/>
  <c r="AG76" i="18"/>
  <c r="AG77" i="18"/>
  <c r="AG78" i="18"/>
  <c r="AG79" i="18"/>
  <c r="AG80" i="18"/>
  <c r="AG81" i="18"/>
  <c r="AG82" i="18"/>
  <c r="AG83" i="18"/>
  <c r="AG84" i="18"/>
  <c r="AG85" i="18"/>
  <c r="AG86" i="18"/>
  <c r="AG87" i="18"/>
  <c r="AG88" i="18"/>
  <c r="AG89" i="18"/>
  <c r="AG90" i="18"/>
  <c r="AG91" i="18"/>
  <c r="AG92" i="18"/>
  <c r="AG93" i="18"/>
  <c r="AG94" i="18"/>
  <c r="AG95" i="18"/>
  <c r="AG96" i="18"/>
  <c r="AG97" i="18"/>
  <c r="AG98" i="18"/>
  <c r="AG99" i="18"/>
  <c r="AG100" i="18"/>
  <c r="AG101" i="18"/>
  <c r="AG102" i="18"/>
  <c r="AG103" i="18"/>
  <c r="AG104" i="18"/>
  <c r="AG105" i="18"/>
  <c r="AG106" i="18"/>
  <c r="AG107" i="18"/>
  <c r="AG108" i="18"/>
  <c r="AG109" i="18"/>
  <c r="AG110" i="18"/>
  <c r="AG111" i="18"/>
  <c r="AG112" i="18"/>
  <c r="AG113" i="18"/>
  <c r="AG114" i="18"/>
  <c r="AG115" i="18"/>
  <c r="AG116" i="18"/>
  <c r="AG117" i="18"/>
  <c r="AG118" i="18"/>
  <c r="AG119" i="18"/>
  <c r="AG120" i="18"/>
  <c r="AG121" i="18"/>
  <c r="AG122" i="18"/>
  <c r="AG123" i="18"/>
  <c r="AG124" i="18"/>
  <c r="AG125" i="18"/>
  <c r="AG126" i="18"/>
  <c r="AG127" i="18"/>
  <c r="AG128" i="18"/>
  <c r="AG129" i="18"/>
  <c r="AG130" i="18"/>
  <c r="AG131" i="18"/>
  <c r="AG132" i="18"/>
  <c r="AG133" i="18"/>
  <c r="AG134" i="18"/>
  <c r="AG135" i="18"/>
  <c r="AG136" i="18"/>
  <c r="AG137" i="18"/>
  <c r="AG138" i="18"/>
  <c r="AG139" i="18"/>
  <c r="AG140" i="18"/>
  <c r="AG141" i="18"/>
  <c r="AG142" i="18"/>
  <c r="AG143" i="18"/>
  <c r="AG144" i="18"/>
  <c r="AG145" i="18"/>
  <c r="AG146" i="18"/>
  <c r="AG147" i="18"/>
  <c r="AG148" i="18"/>
  <c r="AG149" i="18"/>
  <c r="AG150" i="18"/>
  <c r="AG151" i="18"/>
  <c r="AG152" i="18"/>
  <c r="AG153" i="18"/>
  <c r="AG154" i="18"/>
  <c r="AG155" i="18"/>
  <c r="AG156" i="18"/>
  <c r="AG157" i="18"/>
  <c r="AG158" i="18"/>
  <c r="AG159" i="18"/>
  <c r="AG160" i="18"/>
  <c r="AG161" i="18"/>
  <c r="AG162" i="18"/>
  <c r="AG163" i="18"/>
  <c r="AG164" i="18"/>
  <c r="AG165" i="18"/>
  <c r="AG166" i="18"/>
  <c r="AG167" i="18"/>
  <c r="AG168" i="18"/>
  <c r="AG169" i="18"/>
  <c r="AG170" i="18"/>
  <c r="AG171" i="18"/>
  <c r="AG172" i="18"/>
  <c r="AG173" i="18"/>
  <c r="AG174" i="18"/>
  <c r="AG175" i="18"/>
  <c r="AG176" i="18"/>
  <c r="AG177" i="18"/>
  <c r="AG178" i="18"/>
  <c r="AG179" i="18"/>
  <c r="AG180" i="18"/>
  <c r="AG181" i="18"/>
  <c r="AG182" i="18"/>
  <c r="AG183" i="18"/>
  <c r="AG184" i="18"/>
  <c r="AG185" i="18"/>
  <c r="AG186" i="18"/>
  <c r="AG187" i="18"/>
  <c r="AG188" i="18"/>
  <c r="AG189" i="18"/>
  <c r="AG190" i="18"/>
  <c r="AG191" i="18"/>
  <c r="AG192" i="18"/>
  <c r="AG193" i="18"/>
  <c r="AG194" i="18"/>
  <c r="AG195" i="18"/>
  <c r="AG196" i="18"/>
  <c r="AG197" i="18"/>
  <c r="AG198" i="18"/>
  <c r="AG199" i="18"/>
  <c r="AG200" i="18"/>
  <c r="AG201" i="18"/>
  <c r="AG202" i="18"/>
  <c r="AG203" i="18"/>
  <c r="AG204" i="18"/>
  <c r="AG205" i="18"/>
  <c r="AG206" i="18"/>
  <c r="AG207" i="18"/>
  <c r="AG208" i="18"/>
  <c r="AG209" i="18"/>
  <c r="AG210" i="18"/>
  <c r="AG211" i="18"/>
  <c r="AG212" i="18"/>
  <c r="AG213" i="18"/>
  <c r="AG214" i="18"/>
  <c r="AG215" i="18"/>
  <c r="AG216" i="18"/>
  <c r="AG217" i="18"/>
  <c r="AG218" i="18"/>
  <c r="AG219" i="18"/>
  <c r="AG220" i="18"/>
  <c r="AG221" i="18"/>
  <c r="AG222" i="18"/>
  <c r="AG223" i="18"/>
  <c r="AG224" i="18"/>
  <c r="AG225" i="18"/>
  <c r="AG226" i="18"/>
  <c r="AG227" i="18"/>
  <c r="AG228" i="18"/>
  <c r="AG229" i="18"/>
  <c r="AG230" i="18"/>
  <c r="AG231" i="18"/>
  <c r="AG232" i="18"/>
  <c r="AG233" i="18"/>
  <c r="AG234" i="18"/>
  <c r="AG235" i="18"/>
  <c r="AG236" i="18"/>
  <c r="AG237" i="18"/>
  <c r="AG238" i="18"/>
  <c r="AG239" i="18"/>
  <c r="AG240" i="18"/>
  <c r="AG241" i="18"/>
  <c r="AG242" i="18"/>
  <c r="AG243" i="18"/>
  <c r="AG244" i="18"/>
  <c r="AG245" i="18"/>
  <c r="AG246" i="18"/>
  <c r="AG247" i="18"/>
  <c r="AG248" i="18"/>
  <c r="AG249" i="18"/>
  <c r="AG250" i="18"/>
  <c r="AG251" i="18"/>
  <c r="AG252" i="18"/>
  <c r="AG253" i="18"/>
  <c r="AG254" i="18"/>
  <c r="AG255" i="18"/>
  <c r="AG256" i="18"/>
  <c r="AG257" i="18"/>
  <c r="AG258" i="18"/>
  <c r="AG259" i="18"/>
  <c r="AG260" i="18"/>
  <c r="AG261" i="18"/>
  <c r="AG262" i="18"/>
  <c r="AG263" i="18"/>
  <c r="AG264" i="18"/>
  <c r="AG265" i="18"/>
  <c r="AG266" i="18"/>
  <c r="AG267" i="18"/>
  <c r="AG268" i="18"/>
  <c r="AG269" i="18"/>
  <c r="AG270" i="18"/>
  <c r="AG271" i="18"/>
  <c r="AG272" i="18"/>
  <c r="AG273" i="18"/>
  <c r="AG274" i="18"/>
  <c r="AG275" i="18"/>
  <c r="AG276" i="18"/>
  <c r="AG277" i="18"/>
  <c r="AG278" i="18"/>
  <c r="AG279" i="18"/>
  <c r="AG280" i="18"/>
  <c r="AG281" i="18"/>
  <c r="AG282" i="18"/>
  <c r="AG283" i="18"/>
  <c r="AG284" i="18"/>
  <c r="AG285" i="18"/>
  <c r="AG286" i="18"/>
  <c r="AG287" i="18"/>
  <c r="AG288" i="18"/>
  <c r="AG289" i="18"/>
  <c r="AG290" i="18"/>
  <c r="AG291" i="18"/>
  <c r="AG292" i="18"/>
  <c r="AG293" i="18"/>
  <c r="AG294" i="18"/>
  <c r="AG295" i="18"/>
  <c r="AG296" i="18"/>
  <c r="AG297" i="18"/>
  <c r="AG298" i="18"/>
  <c r="AG299" i="18"/>
  <c r="AG300" i="18"/>
  <c r="AG301" i="18"/>
  <c r="AG302" i="18"/>
  <c r="AG303" i="18"/>
  <c r="AG304" i="18"/>
  <c r="AG305" i="18"/>
  <c r="AG306" i="18"/>
  <c r="AG307" i="18"/>
  <c r="AG308" i="18"/>
  <c r="AG309" i="18"/>
  <c r="AG310" i="18"/>
  <c r="AG311" i="18"/>
  <c r="AG312" i="18"/>
  <c r="AG313" i="18"/>
  <c r="AG314" i="18"/>
  <c r="AG315" i="18"/>
  <c r="AG316" i="18"/>
  <c r="AG317" i="18"/>
  <c r="AG318" i="18"/>
  <c r="AG319" i="18"/>
  <c r="AG320" i="18"/>
  <c r="AG321" i="18"/>
  <c r="AG322" i="18"/>
  <c r="AG323" i="18"/>
  <c r="AG324" i="18"/>
  <c r="AG325" i="18"/>
  <c r="AG326" i="18"/>
  <c r="AG327" i="18"/>
  <c r="AG328" i="18"/>
  <c r="AG329" i="18"/>
  <c r="AG330" i="18"/>
  <c r="AG331" i="18"/>
  <c r="AG332" i="18"/>
  <c r="AG333" i="18"/>
  <c r="AG334" i="18"/>
  <c r="AG335" i="18"/>
  <c r="AG336" i="18"/>
  <c r="AG337" i="18"/>
  <c r="AG338" i="18"/>
  <c r="AH3" i="18"/>
  <c r="AH4" i="18"/>
  <c r="AH5" i="18"/>
  <c r="AH6" i="18"/>
  <c r="AH7" i="18"/>
  <c r="AH8" i="18"/>
  <c r="AH9" i="18"/>
  <c r="AH10" i="18"/>
  <c r="AH11" i="18"/>
  <c r="AH12" i="18"/>
  <c r="AH13" i="18"/>
  <c r="AH14" i="18"/>
  <c r="AH15" i="18"/>
  <c r="AH16" i="18"/>
  <c r="AH17" i="18"/>
  <c r="AH18" i="18"/>
  <c r="AH19" i="18"/>
  <c r="AH20" i="18"/>
  <c r="AH21" i="18"/>
  <c r="AH22" i="18"/>
  <c r="AH23" i="18"/>
  <c r="AH24" i="18"/>
  <c r="AH25" i="18"/>
  <c r="AH26" i="18"/>
  <c r="AH27" i="18"/>
  <c r="AH28" i="18"/>
  <c r="AH29" i="18"/>
  <c r="AH30" i="18"/>
  <c r="AH31" i="18"/>
  <c r="AH32" i="18"/>
  <c r="AH33" i="18"/>
  <c r="AH34" i="18"/>
  <c r="AH35" i="18"/>
  <c r="AH36" i="18"/>
  <c r="AH37" i="18"/>
  <c r="AH38" i="18"/>
  <c r="AH39" i="18"/>
  <c r="AH40" i="18"/>
  <c r="AH41" i="18"/>
  <c r="AH42" i="18"/>
  <c r="AH43" i="18"/>
  <c r="AH44" i="18"/>
  <c r="AH45" i="18"/>
  <c r="AH46" i="18"/>
  <c r="AH47" i="18"/>
  <c r="AH48" i="18"/>
  <c r="AH49" i="18"/>
  <c r="AH50" i="18"/>
  <c r="AH51" i="18"/>
  <c r="AH52" i="18"/>
  <c r="AH53" i="18"/>
  <c r="AH54" i="18"/>
  <c r="AH55" i="18"/>
  <c r="AH56" i="18"/>
  <c r="AH57" i="18"/>
  <c r="AH58" i="18"/>
  <c r="AH59" i="18"/>
  <c r="AH60" i="18"/>
  <c r="AH61" i="18"/>
  <c r="AH62" i="18"/>
  <c r="AH63" i="18"/>
  <c r="AH64" i="18"/>
  <c r="AH65" i="18"/>
  <c r="AH66" i="18"/>
  <c r="AH67" i="18"/>
  <c r="AH68" i="18"/>
  <c r="AH69" i="18"/>
  <c r="AH70" i="18"/>
  <c r="AH71" i="18"/>
  <c r="AH72" i="18"/>
  <c r="AH73" i="18"/>
  <c r="AH74" i="18"/>
  <c r="AH75" i="18"/>
  <c r="AH76" i="18"/>
  <c r="AH77" i="18"/>
  <c r="AH78" i="18"/>
  <c r="AH79" i="18"/>
  <c r="AH80" i="18"/>
  <c r="AH81" i="18"/>
  <c r="AH82" i="18"/>
  <c r="AH83" i="18"/>
  <c r="AH84" i="18"/>
  <c r="AH85" i="18"/>
  <c r="AH86" i="18"/>
  <c r="AH87" i="18"/>
  <c r="AH88" i="18"/>
  <c r="AH89" i="18"/>
  <c r="AH90" i="18"/>
  <c r="AH91" i="18"/>
  <c r="AH92" i="18"/>
  <c r="AH93" i="18"/>
  <c r="AH94" i="18"/>
  <c r="AH95" i="18"/>
  <c r="AH96" i="18"/>
  <c r="AH97" i="18"/>
  <c r="AH98" i="18"/>
  <c r="AH99" i="18"/>
  <c r="AH100" i="18"/>
  <c r="AH101" i="18"/>
  <c r="AH102" i="18"/>
  <c r="AH103" i="18"/>
  <c r="AH104" i="18"/>
  <c r="AH105" i="18"/>
  <c r="AH106" i="18"/>
  <c r="AH107" i="18"/>
  <c r="AH108" i="18"/>
  <c r="AH109" i="18"/>
  <c r="AH110" i="18"/>
  <c r="AH111" i="18"/>
  <c r="AH112" i="18"/>
  <c r="AH113" i="18"/>
  <c r="AH114" i="18"/>
  <c r="AH115" i="18"/>
  <c r="AH116" i="18"/>
  <c r="AH117" i="18"/>
  <c r="AH118" i="18"/>
  <c r="AH119" i="18"/>
  <c r="AH120" i="18"/>
  <c r="AH121" i="18"/>
  <c r="AH122" i="18"/>
  <c r="AH123" i="18"/>
  <c r="AH124" i="18"/>
  <c r="AH125" i="18"/>
  <c r="AH126" i="18"/>
  <c r="AH127" i="18"/>
  <c r="AH128" i="18"/>
  <c r="AH129" i="18"/>
  <c r="AH130" i="18"/>
  <c r="AH131" i="18"/>
  <c r="AH132" i="18"/>
  <c r="AH133" i="18"/>
  <c r="AH134" i="18"/>
  <c r="AH135" i="18"/>
  <c r="AH136" i="18"/>
  <c r="AH137" i="18"/>
  <c r="AH138" i="18"/>
  <c r="AH139" i="18"/>
  <c r="AH140" i="18"/>
  <c r="AH141" i="18"/>
  <c r="AH142" i="18"/>
  <c r="AH143" i="18"/>
  <c r="AH144" i="18"/>
  <c r="AH145" i="18"/>
  <c r="AH146" i="18"/>
  <c r="AH147" i="18"/>
  <c r="AH148" i="18"/>
  <c r="AH149" i="18"/>
  <c r="AH150" i="18"/>
  <c r="AH151" i="18"/>
  <c r="AH152" i="18"/>
  <c r="AH153" i="18"/>
  <c r="AH154" i="18"/>
  <c r="AH155" i="18"/>
  <c r="AH156" i="18"/>
  <c r="AH157" i="18"/>
  <c r="AH158" i="18"/>
  <c r="AH159" i="18"/>
  <c r="AH160" i="18"/>
  <c r="AH161" i="18"/>
  <c r="AH162" i="18"/>
  <c r="AH163" i="18"/>
  <c r="AH164" i="18"/>
  <c r="AH165" i="18"/>
  <c r="AH166" i="18"/>
  <c r="AH167" i="18"/>
  <c r="AH168" i="18"/>
  <c r="AH169" i="18"/>
  <c r="AH170" i="18"/>
  <c r="AH171" i="18"/>
  <c r="AH172" i="18"/>
  <c r="AH173" i="18"/>
  <c r="AH174" i="18"/>
  <c r="AH175" i="18"/>
  <c r="AH176" i="18"/>
  <c r="AH177" i="18"/>
  <c r="AH178" i="18"/>
  <c r="AH179" i="18"/>
  <c r="AH180" i="18"/>
  <c r="AH181" i="18"/>
  <c r="AH182" i="18"/>
  <c r="AH183" i="18"/>
  <c r="AH184" i="18"/>
  <c r="AH185" i="18"/>
  <c r="AH186" i="18"/>
  <c r="AH187" i="18"/>
  <c r="AH188" i="18"/>
  <c r="AH189" i="18"/>
  <c r="AH190" i="18"/>
  <c r="AH191" i="18"/>
  <c r="AH192" i="18"/>
  <c r="AH193" i="18"/>
  <c r="AH194" i="18"/>
  <c r="AH195" i="18"/>
  <c r="AH196" i="18"/>
  <c r="AH197" i="18"/>
  <c r="AH198" i="18"/>
  <c r="AH199" i="18"/>
  <c r="AH200" i="18"/>
  <c r="AH201" i="18"/>
  <c r="AH202" i="18"/>
  <c r="AH203" i="18"/>
  <c r="AH204" i="18"/>
  <c r="AH205" i="18"/>
  <c r="AH206" i="18"/>
  <c r="AH207" i="18"/>
  <c r="AH208" i="18"/>
  <c r="AH209" i="18"/>
  <c r="AH210" i="18"/>
  <c r="AH211" i="18"/>
  <c r="AH212" i="18"/>
  <c r="AH213" i="18"/>
  <c r="AH214" i="18"/>
  <c r="AH215" i="18"/>
  <c r="AH216" i="18"/>
  <c r="AH217" i="18"/>
  <c r="AH218" i="18"/>
  <c r="AH219" i="18"/>
  <c r="AH220" i="18"/>
  <c r="AH221" i="18"/>
  <c r="AH222" i="18"/>
  <c r="AH223" i="18"/>
  <c r="AH224" i="18"/>
  <c r="AH225" i="18"/>
  <c r="AH226" i="18"/>
  <c r="AH227" i="18"/>
  <c r="AH228" i="18"/>
  <c r="AH229" i="18"/>
  <c r="AH230" i="18"/>
  <c r="AH231" i="18"/>
  <c r="AH232" i="18"/>
  <c r="AH233" i="18"/>
  <c r="AH234" i="18"/>
  <c r="AH235" i="18"/>
  <c r="AH236" i="18"/>
  <c r="AH237" i="18"/>
  <c r="AH238" i="18"/>
  <c r="AH239" i="18"/>
  <c r="AH240" i="18"/>
  <c r="AH241" i="18"/>
  <c r="AH242" i="18"/>
  <c r="AH243" i="18"/>
  <c r="AH244" i="18"/>
  <c r="AH245" i="18"/>
  <c r="AH246" i="18"/>
  <c r="AH247" i="18"/>
  <c r="AH248" i="18"/>
  <c r="AH249" i="18"/>
  <c r="AH250" i="18"/>
  <c r="AH251" i="18"/>
  <c r="AH252" i="18"/>
  <c r="AH253" i="18"/>
  <c r="AH254" i="18"/>
  <c r="AH255" i="18"/>
  <c r="AH256" i="18"/>
  <c r="AH257" i="18"/>
  <c r="AH258" i="18"/>
  <c r="AH259" i="18"/>
  <c r="AH260" i="18"/>
  <c r="AH261" i="18"/>
  <c r="AH262" i="18"/>
  <c r="AH263" i="18"/>
  <c r="AH264" i="18"/>
  <c r="AH265" i="18"/>
  <c r="AH266" i="18"/>
  <c r="AH267" i="18"/>
  <c r="AH268" i="18"/>
  <c r="AH269" i="18"/>
  <c r="AH270" i="18"/>
  <c r="AH271" i="18"/>
  <c r="AH272" i="18"/>
  <c r="AH273" i="18"/>
  <c r="AH274" i="18"/>
  <c r="AH275" i="18"/>
  <c r="AH276" i="18"/>
  <c r="AH277" i="18"/>
  <c r="AH278" i="18"/>
  <c r="AH279" i="18"/>
  <c r="AH280" i="18"/>
  <c r="AH281" i="18"/>
  <c r="AH282" i="18"/>
  <c r="AH283" i="18"/>
  <c r="AH284" i="18"/>
  <c r="AH285" i="18"/>
  <c r="AH286" i="18"/>
  <c r="AH287" i="18"/>
  <c r="AH288" i="18"/>
  <c r="AH289" i="18"/>
  <c r="AH290" i="18"/>
  <c r="AH291" i="18"/>
  <c r="AH292" i="18"/>
  <c r="AH293" i="18"/>
  <c r="AH294" i="18"/>
  <c r="AH295" i="18"/>
  <c r="AH296" i="18"/>
  <c r="AH297" i="18"/>
  <c r="AH298" i="18"/>
  <c r="AH299" i="18"/>
  <c r="AH300" i="18"/>
  <c r="AH301" i="18"/>
  <c r="AH302" i="18"/>
  <c r="AH303" i="18"/>
  <c r="AH304" i="18"/>
  <c r="AH305" i="18"/>
  <c r="AH306" i="18"/>
  <c r="AH307" i="18"/>
  <c r="AH308" i="18"/>
  <c r="AH309" i="18"/>
  <c r="AH310" i="18"/>
  <c r="AH311" i="18"/>
  <c r="AH312" i="18"/>
  <c r="AH313" i="18"/>
  <c r="AH314" i="18"/>
  <c r="AH315" i="18"/>
  <c r="AH316" i="18"/>
  <c r="AH317" i="18"/>
  <c r="AH318" i="18"/>
  <c r="AH319" i="18"/>
  <c r="AH320" i="18"/>
  <c r="AH321" i="18"/>
  <c r="AH322" i="18"/>
  <c r="AH323" i="18"/>
  <c r="AH324" i="18"/>
  <c r="AH325" i="18"/>
  <c r="AH326" i="18"/>
  <c r="AH327" i="18"/>
  <c r="AH328" i="18"/>
  <c r="AH329" i="18"/>
  <c r="AH330" i="18"/>
  <c r="AH331" i="18"/>
  <c r="AH332" i="18"/>
  <c r="AH333" i="18"/>
  <c r="AH334" i="18"/>
  <c r="AH335" i="18"/>
  <c r="AH336" i="18"/>
  <c r="AH337" i="18"/>
  <c r="AH338" i="18"/>
  <c r="AI3" i="18"/>
  <c r="AI4" i="18"/>
  <c r="AI5" i="18"/>
  <c r="AI6" i="18"/>
  <c r="AI7" i="18"/>
  <c r="AI8" i="18"/>
  <c r="AI9" i="18"/>
  <c r="AI10" i="18"/>
  <c r="AI11" i="18"/>
  <c r="AI12" i="18"/>
  <c r="AI13" i="18"/>
  <c r="AI14" i="18"/>
  <c r="AI15" i="18"/>
  <c r="AI16" i="18"/>
  <c r="AI17" i="18"/>
  <c r="AI18" i="18"/>
  <c r="AI19" i="18"/>
  <c r="AI20" i="18"/>
  <c r="AI21" i="18"/>
  <c r="AI22" i="18"/>
  <c r="AI23" i="18"/>
  <c r="AI24" i="18"/>
  <c r="AI25" i="18"/>
  <c r="AI26" i="18"/>
  <c r="AI27" i="18"/>
  <c r="AI28" i="18"/>
  <c r="AI29" i="18"/>
  <c r="AI30" i="18"/>
  <c r="AI31" i="18"/>
  <c r="AI32" i="18"/>
  <c r="AI33" i="18"/>
  <c r="AI34" i="18"/>
  <c r="AI35" i="18"/>
  <c r="AI36" i="18"/>
  <c r="AI37" i="18"/>
  <c r="AI38" i="18"/>
  <c r="AI39" i="18"/>
  <c r="AI40" i="18"/>
  <c r="AI41" i="18"/>
  <c r="AI42" i="18"/>
  <c r="AI43" i="18"/>
  <c r="AI44" i="18"/>
  <c r="AI45" i="18"/>
  <c r="AI46" i="18"/>
  <c r="AI47" i="18"/>
  <c r="AI48" i="18"/>
  <c r="AI49" i="18"/>
  <c r="AI50" i="18"/>
  <c r="AI51" i="18"/>
  <c r="AI52" i="18"/>
  <c r="AI53" i="18"/>
  <c r="AI54" i="18"/>
  <c r="AI55" i="18"/>
  <c r="AI56" i="18"/>
  <c r="AI57" i="18"/>
  <c r="AI58" i="18"/>
  <c r="AI59" i="18"/>
  <c r="AI60" i="18"/>
  <c r="AI61" i="18"/>
  <c r="AI62" i="18"/>
  <c r="AI63" i="18"/>
  <c r="AI64" i="18"/>
  <c r="AI65" i="18"/>
  <c r="AI66" i="18"/>
  <c r="AI67" i="18"/>
  <c r="AI68" i="18"/>
  <c r="AI69" i="18"/>
  <c r="AI70" i="18"/>
  <c r="AI71" i="18"/>
  <c r="AI72" i="18"/>
  <c r="AI73" i="18"/>
  <c r="AI74" i="18"/>
  <c r="AI75" i="18"/>
  <c r="AI76" i="18"/>
  <c r="AI77" i="18"/>
  <c r="AI78" i="18"/>
  <c r="AI79" i="18"/>
  <c r="AI80" i="18"/>
  <c r="AI81" i="18"/>
  <c r="AI82" i="18"/>
  <c r="AI83" i="18"/>
  <c r="AI84" i="18"/>
  <c r="AI85" i="18"/>
  <c r="AI86" i="18"/>
  <c r="AI87" i="18"/>
  <c r="AI88" i="18"/>
  <c r="AI89" i="18"/>
  <c r="AI90" i="18"/>
  <c r="AI91" i="18"/>
  <c r="AI92" i="18"/>
  <c r="AI93" i="18"/>
  <c r="AI94" i="18"/>
  <c r="AI95" i="18"/>
  <c r="AI96" i="18"/>
  <c r="AI97" i="18"/>
  <c r="AI98" i="18"/>
  <c r="AI99" i="18"/>
  <c r="AI100" i="18"/>
  <c r="AI101" i="18"/>
  <c r="AI102" i="18"/>
  <c r="AI103" i="18"/>
  <c r="AI104" i="18"/>
  <c r="AI105" i="18"/>
  <c r="AI106" i="18"/>
  <c r="AI107" i="18"/>
  <c r="AI108" i="18"/>
  <c r="AI109" i="18"/>
  <c r="AI110" i="18"/>
  <c r="AI111" i="18"/>
  <c r="AI112" i="18"/>
  <c r="AI113" i="18"/>
  <c r="AI114" i="18"/>
  <c r="AI115" i="18"/>
  <c r="AI116" i="18"/>
  <c r="AI117" i="18"/>
  <c r="AI118" i="18"/>
  <c r="AI119" i="18"/>
  <c r="AI120" i="18"/>
  <c r="AI121" i="18"/>
  <c r="AI122" i="18"/>
  <c r="AI123" i="18"/>
  <c r="AI124" i="18"/>
  <c r="AI125" i="18"/>
  <c r="AI126" i="18"/>
  <c r="AI127" i="18"/>
  <c r="AI128" i="18"/>
  <c r="AI129" i="18"/>
  <c r="AI130" i="18"/>
  <c r="AI131" i="18"/>
  <c r="AI132" i="18"/>
  <c r="AI133" i="18"/>
  <c r="AI134" i="18"/>
  <c r="AI135" i="18"/>
  <c r="AI136" i="18"/>
  <c r="AI137" i="18"/>
  <c r="AI138" i="18"/>
  <c r="AI139" i="18"/>
  <c r="AI140" i="18"/>
  <c r="AI141" i="18"/>
  <c r="AI142" i="18"/>
  <c r="AI143" i="18"/>
  <c r="AI144" i="18"/>
  <c r="AI145" i="18"/>
  <c r="AI146" i="18"/>
  <c r="AI147" i="18"/>
  <c r="AI148" i="18"/>
  <c r="AI149" i="18"/>
  <c r="AI150" i="18"/>
  <c r="AI151" i="18"/>
  <c r="AI152" i="18"/>
  <c r="AI153" i="18"/>
  <c r="AI154" i="18"/>
  <c r="AI155" i="18"/>
  <c r="AI156" i="18"/>
  <c r="AI157" i="18"/>
  <c r="AI158" i="18"/>
  <c r="AI159" i="18"/>
  <c r="AI160" i="18"/>
  <c r="AI161" i="18"/>
  <c r="AI162" i="18"/>
  <c r="AI163" i="18"/>
  <c r="AI164" i="18"/>
  <c r="AI165" i="18"/>
  <c r="AI166" i="18"/>
  <c r="AI167" i="18"/>
  <c r="AI168" i="18"/>
  <c r="AI169" i="18"/>
  <c r="AI170" i="18"/>
  <c r="AI171" i="18"/>
  <c r="AI172" i="18"/>
  <c r="AI173" i="18"/>
  <c r="AI174" i="18"/>
  <c r="AI175" i="18"/>
  <c r="AI176" i="18"/>
  <c r="AI177" i="18"/>
  <c r="AI178" i="18"/>
  <c r="AI179" i="18"/>
  <c r="AI180" i="18"/>
  <c r="AI181" i="18"/>
  <c r="AI182" i="18"/>
  <c r="AI183" i="18"/>
  <c r="AI184" i="18"/>
  <c r="AI185" i="18"/>
  <c r="AI186" i="18"/>
  <c r="AI187" i="18"/>
  <c r="AI188" i="18"/>
  <c r="AI189" i="18"/>
  <c r="AI190" i="18"/>
  <c r="AI191" i="18"/>
  <c r="AI192" i="18"/>
  <c r="AI193" i="18"/>
  <c r="AI194" i="18"/>
  <c r="AI195" i="18"/>
  <c r="AI196" i="18"/>
  <c r="AI197" i="18"/>
  <c r="AI198" i="18"/>
  <c r="AI199" i="18"/>
  <c r="AI200" i="18"/>
  <c r="AI201" i="18"/>
  <c r="AI202" i="18"/>
  <c r="AI203" i="18"/>
  <c r="AI204" i="18"/>
  <c r="AI205" i="18"/>
  <c r="AI206" i="18"/>
  <c r="AI207" i="18"/>
  <c r="AI208" i="18"/>
  <c r="AI209" i="18"/>
  <c r="AI210" i="18"/>
  <c r="AI211" i="18"/>
  <c r="AI212" i="18"/>
  <c r="AI213" i="18"/>
  <c r="AI214" i="18"/>
  <c r="AI215" i="18"/>
  <c r="AI216" i="18"/>
  <c r="AI217" i="18"/>
  <c r="AI218" i="18"/>
  <c r="AI219" i="18"/>
  <c r="AI220" i="18"/>
  <c r="AI221" i="18"/>
  <c r="AI222" i="18"/>
  <c r="AI223" i="18"/>
  <c r="AI224" i="18"/>
  <c r="AI225" i="18"/>
  <c r="AI226" i="18"/>
  <c r="AI227" i="18"/>
  <c r="AI228" i="18"/>
  <c r="AI229" i="18"/>
  <c r="AI230" i="18"/>
  <c r="AI231" i="18"/>
  <c r="AI232" i="18"/>
  <c r="AI233" i="18"/>
  <c r="AI234" i="18"/>
  <c r="AI235" i="18"/>
  <c r="AI236" i="18"/>
  <c r="AI237" i="18"/>
  <c r="AI238" i="18"/>
  <c r="AI239" i="18"/>
  <c r="AI240" i="18"/>
  <c r="AI241" i="18"/>
  <c r="AI242" i="18"/>
  <c r="AI243" i="18"/>
  <c r="AI244" i="18"/>
  <c r="AI245" i="18"/>
  <c r="AI246" i="18"/>
  <c r="AI247" i="18"/>
  <c r="AI248" i="18"/>
  <c r="AI249" i="18"/>
  <c r="AI250" i="18"/>
  <c r="AI251" i="18"/>
  <c r="AI252" i="18"/>
  <c r="AI253" i="18"/>
  <c r="AI254" i="18"/>
  <c r="AI255" i="18"/>
  <c r="AI256" i="18"/>
  <c r="AI257" i="18"/>
  <c r="AI258" i="18"/>
  <c r="AI259" i="18"/>
  <c r="AI260" i="18"/>
  <c r="AI261" i="18"/>
  <c r="AI262" i="18"/>
  <c r="AI263" i="18"/>
  <c r="AI264" i="18"/>
  <c r="AI265" i="18"/>
  <c r="AI266" i="18"/>
  <c r="AI267" i="18"/>
  <c r="AI268" i="18"/>
  <c r="AI269" i="18"/>
  <c r="AI270" i="18"/>
  <c r="AI271" i="18"/>
  <c r="AI272" i="18"/>
  <c r="AI273" i="18"/>
  <c r="AI274" i="18"/>
  <c r="AI275" i="18"/>
  <c r="AI276" i="18"/>
  <c r="AI277" i="18"/>
  <c r="AI278" i="18"/>
  <c r="AI279" i="18"/>
  <c r="AI280" i="18"/>
  <c r="AI281" i="18"/>
  <c r="AI282" i="18"/>
  <c r="AI283" i="18"/>
  <c r="AI284" i="18"/>
  <c r="AI285" i="18"/>
  <c r="AI286" i="18"/>
  <c r="AI287" i="18"/>
  <c r="AI288" i="18"/>
  <c r="AI289" i="18"/>
  <c r="AI290" i="18"/>
  <c r="AI291" i="18"/>
  <c r="AI292" i="18"/>
  <c r="AI293" i="18"/>
  <c r="AI294" i="18"/>
  <c r="AI295" i="18"/>
  <c r="AI296" i="18"/>
  <c r="AI297" i="18"/>
  <c r="AI298" i="18"/>
  <c r="AI299" i="18"/>
  <c r="AI300" i="18"/>
  <c r="AI301" i="18"/>
  <c r="AI302" i="18"/>
  <c r="AI303" i="18"/>
  <c r="AI304" i="18"/>
  <c r="AI305" i="18"/>
  <c r="AI306" i="18"/>
  <c r="AI307" i="18"/>
  <c r="AI308" i="18"/>
  <c r="AI309" i="18"/>
  <c r="AI310" i="18"/>
  <c r="AI311" i="18"/>
  <c r="AI312" i="18"/>
  <c r="AI313" i="18"/>
  <c r="AI314" i="18"/>
  <c r="AI315" i="18"/>
  <c r="AI316" i="18"/>
  <c r="AI317" i="18"/>
  <c r="AI318" i="18"/>
  <c r="AI319" i="18"/>
  <c r="AI320" i="18"/>
  <c r="AI321" i="18"/>
  <c r="AI322" i="18"/>
  <c r="AI323" i="18"/>
  <c r="AI324" i="18"/>
  <c r="AI325" i="18"/>
  <c r="AI326" i="18"/>
  <c r="AI327" i="18"/>
  <c r="AI328" i="18"/>
  <c r="AI329" i="18"/>
  <c r="AI330" i="18"/>
  <c r="AI331" i="18"/>
  <c r="AI332" i="18"/>
  <c r="AI333" i="18"/>
  <c r="AI334" i="18"/>
  <c r="AI335" i="18"/>
  <c r="AI336" i="18"/>
  <c r="AI337" i="18"/>
  <c r="AI338" i="18"/>
  <c r="AJ3" i="18"/>
  <c r="AJ4" i="18"/>
  <c r="AJ5" i="18"/>
  <c r="AJ6" i="18"/>
  <c r="AJ7" i="18"/>
  <c r="AJ8" i="18"/>
  <c r="AJ9" i="18"/>
  <c r="AJ10" i="18"/>
  <c r="AJ11" i="18"/>
  <c r="AJ12" i="18"/>
  <c r="AJ13" i="18"/>
  <c r="AJ14" i="18"/>
  <c r="AJ15" i="18"/>
  <c r="AJ16" i="18"/>
  <c r="AJ17" i="18"/>
  <c r="AJ18" i="18"/>
  <c r="AJ19" i="18"/>
  <c r="AJ20" i="18"/>
  <c r="AJ21" i="18"/>
  <c r="AJ22" i="18"/>
  <c r="AJ23" i="18"/>
  <c r="AJ24" i="18"/>
  <c r="AJ25" i="18"/>
  <c r="AJ26" i="18"/>
  <c r="AJ27" i="18"/>
  <c r="AJ28" i="18"/>
  <c r="AJ29" i="18"/>
  <c r="AJ30" i="18"/>
  <c r="AJ31" i="18"/>
  <c r="AJ32" i="18"/>
  <c r="AJ33" i="18"/>
  <c r="AJ34" i="18"/>
  <c r="AJ35" i="18"/>
  <c r="AJ36" i="18"/>
  <c r="AJ37" i="18"/>
  <c r="AJ38" i="18"/>
  <c r="AJ39" i="18"/>
  <c r="AJ40" i="18"/>
  <c r="AJ41" i="18"/>
  <c r="AJ42" i="18"/>
  <c r="AJ43" i="18"/>
  <c r="AJ44" i="18"/>
  <c r="AJ45" i="18"/>
  <c r="AJ46" i="18"/>
  <c r="AJ47" i="18"/>
  <c r="AJ48" i="18"/>
  <c r="AJ49" i="18"/>
  <c r="AJ50" i="18"/>
  <c r="AJ51" i="18"/>
  <c r="AJ52" i="18"/>
  <c r="AJ53" i="18"/>
  <c r="AJ54" i="18"/>
  <c r="AJ55" i="18"/>
  <c r="AJ56" i="18"/>
  <c r="AJ57" i="18"/>
  <c r="AJ58" i="18"/>
  <c r="AJ59" i="18"/>
  <c r="AJ60" i="18"/>
  <c r="AJ61" i="18"/>
  <c r="AJ62" i="18"/>
  <c r="AJ63" i="18"/>
  <c r="AJ64" i="18"/>
  <c r="AJ65" i="18"/>
  <c r="AJ66" i="18"/>
  <c r="AJ67" i="18"/>
  <c r="AJ68" i="18"/>
  <c r="AJ69" i="18"/>
  <c r="AJ70" i="18"/>
  <c r="AJ71" i="18"/>
  <c r="AJ72" i="18"/>
  <c r="AJ73" i="18"/>
  <c r="AJ74" i="18"/>
  <c r="AJ75" i="18"/>
  <c r="AJ76" i="18"/>
  <c r="AJ77" i="18"/>
  <c r="AJ78" i="18"/>
  <c r="AJ79" i="18"/>
  <c r="AJ80" i="18"/>
  <c r="AJ81" i="18"/>
  <c r="AJ82" i="18"/>
  <c r="AJ83" i="18"/>
  <c r="AJ84" i="18"/>
  <c r="AJ85" i="18"/>
  <c r="AJ86" i="18"/>
  <c r="AJ87" i="18"/>
  <c r="AJ88" i="18"/>
  <c r="AJ89" i="18"/>
  <c r="AJ90" i="18"/>
  <c r="AJ91" i="18"/>
  <c r="AJ92" i="18"/>
  <c r="AJ93" i="18"/>
  <c r="AJ94" i="18"/>
  <c r="AJ95" i="18"/>
  <c r="AJ96" i="18"/>
  <c r="AJ97" i="18"/>
  <c r="AJ98" i="18"/>
  <c r="AJ99" i="18"/>
  <c r="AJ100" i="18"/>
  <c r="AJ101" i="18"/>
  <c r="AJ102" i="18"/>
  <c r="AJ103" i="18"/>
  <c r="AJ104" i="18"/>
  <c r="AJ105" i="18"/>
  <c r="AJ106" i="18"/>
  <c r="AJ107" i="18"/>
  <c r="AJ108" i="18"/>
  <c r="AJ109" i="18"/>
  <c r="AJ110" i="18"/>
  <c r="AJ111" i="18"/>
  <c r="AJ112" i="18"/>
  <c r="AJ113" i="18"/>
  <c r="AJ114" i="18"/>
  <c r="AJ115" i="18"/>
  <c r="AJ116" i="18"/>
  <c r="AJ117" i="18"/>
  <c r="AJ118" i="18"/>
  <c r="AJ119" i="18"/>
  <c r="AJ120" i="18"/>
  <c r="AJ121" i="18"/>
  <c r="AJ122" i="18"/>
  <c r="AJ123" i="18"/>
  <c r="AJ124" i="18"/>
  <c r="AJ125" i="18"/>
  <c r="AJ126" i="18"/>
  <c r="AJ127" i="18"/>
  <c r="AJ128" i="18"/>
  <c r="AJ129" i="18"/>
  <c r="AJ130" i="18"/>
  <c r="AJ131" i="18"/>
  <c r="AJ132" i="18"/>
  <c r="AJ133" i="18"/>
  <c r="AJ134" i="18"/>
  <c r="AJ135" i="18"/>
  <c r="AJ136" i="18"/>
  <c r="AJ137" i="18"/>
  <c r="AJ138" i="18"/>
  <c r="AJ139" i="18"/>
  <c r="AJ140" i="18"/>
  <c r="AJ141" i="18"/>
  <c r="AJ142" i="18"/>
  <c r="AJ143" i="18"/>
  <c r="AJ144" i="18"/>
  <c r="AJ145" i="18"/>
  <c r="AJ146" i="18"/>
  <c r="AJ147" i="18"/>
  <c r="AJ148" i="18"/>
  <c r="AJ149" i="18"/>
  <c r="AJ150" i="18"/>
  <c r="AJ151" i="18"/>
  <c r="AJ152" i="18"/>
  <c r="AJ153" i="18"/>
  <c r="AJ154" i="18"/>
  <c r="AJ155" i="18"/>
  <c r="AJ156" i="18"/>
  <c r="AJ157" i="18"/>
  <c r="AJ158" i="18"/>
  <c r="AJ159" i="18"/>
  <c r="AJ160" i="18"/>
  <c r="AJ161" i="18"/>
  <c r="AJ162" i="18"/>
  <c r="AJ163" i="18"/>
  <c r="AJ164" i="18"/>
  <c r="AJ165" i="18"/>
  <c r="AJ166" i="18"/>
  <c r="AJ167" i="18"/>
  <c r="AJ168" i="18"/>
  <c r="AJ169" i="18"/>
  <c r="AJ170" i="18"/>
  <c r="AJ171" i="18"/>
  <c r="AJ172" i="18"/>
  <c r="AJ173" i="18"/>
  <c r="AJ174" i="18"/>
  <c r="AJ175" i="18"/>
  <c r="AJ176" i="18"/>
  <c r="AJ177" i="18"/>
  <c r="AJ178" i="18"/>
  <c r="AJ179" i="18"/>
  <c r="AJ180" i="18"/>
  <c r="AJ181" i="18"/>
  <c r="AJ182" i="18"/>
  <c r="AJ183" i="18"/>
  <c r="AJ184" i="18"/>
  <c r="AJ185" i="18"/>
  <c r="AJ186" i="18"/>
  <c r="AJ187" i="18"/>
  <c r="AJ188" i="18"/>
  <c r="AJ189" i="18"/>
  <c r="AJ190" i="18"/>
  <c r="AJ191" i="18"/>
  <c r="AJ192" i="18"/>
  <c r="AJ193" i="18"/>
  <c r="AJ194" i="18"/>
  <c r="AJ195" i="18"/>
  <c r="AJ196" i="18"/>
  <c r="AJ197" i="18"/>
  <c r="AJ198" i="18"/>
  <c r="AJ199" i="18"/>
  <c r="AJ200" i="18"/>
  <c r="AJ201" i="18"/>
  <c r="AJ202" i="18"/>
  <c r="AJ203" i="18"/>
  <c r="AJ204" i="18"/>
  <c r="AJ205" i="18"/>
  <c r="AJ206" i="18"/>
  <c r="AJ207" i="18"/>
  <c r="AJ208" i="18"/>
  <c r="AJ209" i="18"/>
  <c r="AJ210" i="18"/>
  <c r="AJ211" i="18"/>
  <c r="AJ212" i="18"/>
  <c r="AJ213" i="18"/>
  <c r="AJ214" i="18"/>
  <c r="AJ215" i="18"/>
  <c r="AJ216" i="18"/>
  <c r="AJ217" i="18"/>
  <c r="AJ218" i="18"/>
  <c r="AJ219" i="18"/>
  <c r="AJ220" i="18"/>
  <c r="AJ221" i="18"/>
  <c r="AJ222" i="18"/>
  <c r="AJ223" i="18"/>
  <c r="AJ224" i="18"/>
  <c r="AJ225" i="18"/>
  <c r="AJ226" i="18"/>
  <c r="AJ227" i="18"/>
  <c r="AJ228" i="18"/>
  <c r="AJ229" i="18"/>
  <c r="AJ230" i="18"/>
  <c r="AJ231" i="18"/>
  <c r="AJ232" i="18"/>
  <c r="AJ233" i="18"/>
  <c r="AJ234" i="18"/>
  <c r="AJ235" i="18"/>
  <c r="AJ236" i="18"/>
  <c r="AJ237" i="18"/>
  <c r="AJ238" i="18"/>
  <c r="AJ239" i="18"/>
  <c r="AJ240" i="18"/>
  <c r="AJ241" i="18"/>
  <c r="AJ242" i="18"/>
  <c r="AJ243" i="18"/>
  <c r="AJ244" i="18"/>
  <c r="AJ245" i="18"/>
  <c r="AJ246" i="18"/>
  <c r="AJ247" i="18"/>
  <c r="AJ248" i="18"/>
  <c r="AJ249" i="18"/>
  <c r="AJ250" i="18"/>
  <c r="AJ251" i="18"/>
  <c r="AJ252" i="18"/>
  <c r="AJ253" i="18"/>
  <c r="AJ254" i="18"/>
  <c r="AJ255" i="18"/>
  <c r="AJ256" i="18"/>
  <c r="AJ257" i="18"/>
  <c r="AJ258" i="18"/>
  <c r="AJ259" i="18"/>
  <c r="AJ260" i="18"/>
  <c r="AJ261" i="18"/>
  <c r="AJ262" i="18"/>
  <c r="AJ263" i="18"/>
  <c r="AJ264" i="18"/>
  <c r="AJ265" i="18"/>
  <c r="AJ266" i="18"/>
  <c r="AJ267" i="18"/>
  <c r="AJ268" i="18"/>
  <c r="AJ269" i="18"/>
  <c r="AJ270" i="18"/>
  <c r="AJ271" i="18"/>
  <c r="AJ272" i="18"/>
  <c r="AJ273" i="18"/>
  <c r="AJ274" i="18"/>
  <c r="AJ275" i="18"/>
  <c r="AJ276" i="18"/>
  <c r="AJ277" i="18"/>
  <c r="AJ278" i="18"/>
  <c r="AJ279" i="18"/>
  <c r="AJ280" i="18"/>
  <c r="AJ281" i="18"/>
  <c r="AJ282" i="18"/>
  <c r="AJ283" i="18"/>
  <c r="AJ284" i="18"/>
  <c r="AJ285" i="18"/>
  <c r="AJ286" i="18"/>
  <c r="AJ287" i="18"/>
  <c r="AJ288" i="18"/>
  <c r="AJ289" i="18"/>
  <c r="AJ290" i="18"/>
  <c r="AJ291" i="18"/>
  <c r="AJ292" i="18"/>
  <c r="AJ293" i="18"/>
  <c r="AJ294" i="18"/>
  <c r="AJ295" i="18"/>
  <c r="AJ296" i="18"/>
  <c r="AJ297" i="18"/>
  <c r="AJ298" i="18"/>
  <c r="AJ299" i="18"/>
  <c r="AJ300" i="18"/>
  <c r="AJ301" i="18"/>
  <c r="AJ302" i="18"/>
  <c r="AJ303" i="18"/>
  <c r="AJ304" i="18"/>
  <c r="AJ305" i="18"/>
  <c r="AJ306" i="18"/>
  <c r="AJ307" i="18"/>
  <c r="AJ308" i="18"/>
  <c r="AJ309" i="18"/>
  <c r="AJ310" i="18"/>
  <c r="AJ311" i="18"/>
  <c r="AJ312" i="18"/>
  <c r="AJ313" i="18"/>
  <c r="AJ314" i="18"/>
  <c r="AJ315" i="18"/>
  <c r="AJ316" i="18"/>
  <c r="AJ317" i="18"/>
  <c r="AJ318" i="18"/>
  <c r="AJ319" i="18"/>
  <c r="AJ320" i="18"/>
  <c r="AJ321" i="18"/>
  <c r="AJ322" i="18"/>
  <c r="AJ323" i="18"/>
  <c r="AJ324" i="18"/>
  <c r="AJ325" i="18"/>
  <c r="AJ326" i="18"/>
  <c r="AJ327" i="18"/>
  <c r="AJ328" i="18"/>
  <c r="AJ329" i="18"/>
  <c r="AJ330" i="18"/>
  <c r="AJ331" i="18"/>
  <c r="AJ332" i="18"/>
  <c r="AJ333" i="18"/>
  <c r="AJ334" i="18"/>
  <c r="AJ335" i="18"/>
  <c r="AJ336" i="18"/>
  <c r="AJ337" i="18"/>
  <c r="AJ338" i="18"/>
  <c r="AK3" i="18"/>
  <c r="AK4" i="18"/>
  <c r="AK5" i="18"/>
  <c r="AK6" i="18"/>
  <c r="AK7" i="18"/>
  <c r="AK8" i="18"/>
  <c r="AK9" i="18"/>
  <c r="AK10" i="18"/>
  <c r="AK11" i="18"/>
  <c r="AK12" i="18"/>
  <c r="AK13" i="18"/>
  <c r="AK14" i="18"/>
  <c r="AK15" i="18"/>
  <c r="AK16" i="18"/>
  <c r="AK17" i="18"/>
  <c r="AK18" i="18"/>
  <c r="AK19" i="18"/>
  <c r="AK20" i="18"/>
  <c r="AK21" i="18"/>
  <c r="AK22" i="18"/>
  <c r="AK23" i="18"/>
  <c r="AK24" i="18"/>
  <c r="AK25" i="18"/>
  <c r="AK26" i="18"/>
  <c r="AK27" i="18"/>
  <c r="AK28" i="18"/>
  <c r="AK29" i="18"/>
  <c r="AK30" i="18"/>
  <c r="AK31" i="18"/>
  <c r="AK32" i="18"/>
  <c r="AK33" i="18"/>
  <c r="AK34" i="18"/>
  <c r="AK35" i="18"/>
  <c r="AK36" i="18"/>
  <c r="AK37" i="18"/>
  <c r="AK38" i="18"/>
  <c r="AK39" i="18"/>
  <c r="AK40" i="18"/>
  <c r="AK41" i="18"/>
  <c r="AK42" i="18"/>
  <c r="AK43" i="18"/>
  <c r="AK44" i="18"/>
  <c r="AK45" i="18"/>
  <c r="AK46" i="18"/>
  <c r="AK47" i="18"/>
  <c r="AK48" i="18"/>
  <c r="AK49" i="18"/>
  <c r="AK50" i="18"/>
  <c r="AK51" i="18"/>
  <c r="AK52" i="18"/>
  <c r="AK53" i="18"/>
  <c r="AK54" i="18"/>
  <c r="AK55" i="18"/>
  <c r="AK56" i="18"/>
  <c r="AK57" i="18"/>
  <c r="AK58" i="18"/>
  <c r="AK59" i="18"/>
  <c r="AK60" i="18"/>
  <c r="AK61" i="18"/>
  <c r="AK62" i="18"/>
  <c r="AK63" i="18"/>
  <c r="AK64" i="18"/>
  <c r="AK65" i="18"/>
  <c r="AK66" i="18"/>
  <c r="AK67" i="18"/>
  <c r="AK68" i="18"/>
  <c r="AK69" i="18"/>
  <c r="AK70" i="18"/>
  <c r="AK71" i="18"/>
  <c r="AK72" i="18"/>
  <c r="AK73" i="18"/>
  <c r="AK74" i="18"/>
  <c r="AK75" i="18"/>
  <c r="AK76" i="18"/>
  <c r="AK77" i="18"/>
  <c r="AK78" i="18"/>
  <c r="AK79" i="18"/>
  <c r="AK80" i="18"/>
  <c r="AK81" i="18"/>
  <c r="AK82" i="18"/>
  <c r="AK83" i="18"/>
  <c r="AK84" i="18"/>
  <c r="AK85" i="18"/>
  <c r="AK86" i="18"/>
  <c r="AK87" i="18"/>
  <c r="AK88" i="18"/>
  <c r="AK89" i="18"/>
  <c r="AK90" i="18"/>
  <c r="AK91" i="18"/>
  <c r="AK92" i="18"/>
  <c r="AK93" i="18"/>
  <c r="AK94" i="18"/>
  <c r="AK95" i="18"/>
  <c r="AK96" i="18"/>
  <c r="AK97" i="18"/>
  <c r="AK98" i="18"/>
  <c r="AK99" i="18"/>
  <c r="AK100" i="18"/>
  <c r="AK101" i="18"/>
  <c r="AK102" i="18"/>
  <c r="AK103" i="18"/>
  <c r="AK104" i="18"/>
  <c r="AK105" i="18"/>
  <c r="AK106" i="18"/>
  <c r="AK107" i="18"/>
  <c r="AK108" i="18"/>
  <c r="AK109" i="18"/>
  <c r="AK110" i="18"/>
  <c r="AK111" i="18"/>
  <c r="AK112" i="18"/>
  <c r="AK113" i="18"/>
  <c r="AK114" i="18"/>
  <c r="AK115" i="18"/>
  <c r="AK116" i="18"/>
  <c r="AK117" i="18"/>
  <c r="AK118" i="18"/>
  <c r="AK119" i="18"/>
  <c r="AK120" i="18"/>
  <c r="AK121" i="18"/>
  <c r="AK122" i="18"/>
  <c r="AK123" i="18"/>
  <c r="AK124" i="18"/>
  <c r="AK125" i="18"/>
  <c r="AK126" i="18"/>
  <c r="AK127" i="18"/>
  <c r="AK128" i="18"/>
  <c r="AK129" i="18"/>
  <c r="AK130" i="18"/>
  <c r="AK131" i="18"/>
  <c r="AK132" i="18"/>
  <c r="AK133" i="18"/>
  <c r="AK134" i="18"/>
  <c r="AK135" i="18"/>
  <c r="AK136" i="18"/>
  <c r="AK137" i="18"/>
  <c r="AK138" i="18"/>
  <c r="AK139" i="18"/>
  <c r="AK140" i="18"/>
  <c r="AK141" i="18"/>
  <c r="AK142" i="18"/>
  <c r="AK143" i="18"/>
  <c r="AK144" i="18"/>
  <c r="AK145" i="18"/>
  <c r="AK146" i="18"/>
  <c r="AK147" i="18"/>
  <c r="AK148" i="18"/>
  <c r="AK149" i="18"/>
  <c r="AK150" i="18"/>
  <c r="AK151" i="18"/>
  <c r="AK152" i="18"/>
  <c r="AK153" i="18"/>
  <c r="AK154" i="18"/>
  <c r="AK155" i="18"/>
  <c r="AK156" i="18"/>
  <c r="AK157" i="18"/>
  <c r="AK158" i="18"/>
  <c r="AK159" i="18"/>
  <c r="AK160" i="18"/>
  <c r="AK161" i="18"/>
  <c r="AK162" i="18"/>
  <c r="AK163" i="18"/>
  <c r="AK164" i="18"/>
  <c r="AK165" i="18"/>
  <c r="AK166" i="18"/>
  <c r="AK167" i="18"/>
  <c r="AK168" i="18"/>
  <c r="AK169" i="18"/>
  <c r="AK170" i="18"/>
  <c r="AK171" i="18"/>
  <c r="AK172" i="18"/>
  <c r="AK173" i="18"/>
  <c r="AK174" i="18"/>
  <c r="AK175" i="18"/>
  <c r="AK176" i="18"/>
  <c r="AK177" i="18"/>
  <c r="AK178" i="18"/>
  <c r="AK179" i="18"/>
  <c r="AK180" i="18"/>
  <c r="AK181" i="18"/>
  <c r="AK182" i="18"/>
  <c r="AK183" i="18"/>
  <c r="AK184" i="18"/>
  <c r="AK185" i="18"/>
  <c r="AK186" i="18"/>
  <c r="AK187" i="18"/>
  <c r="AK188" i="18"/>
  <c r="AK189" i="18"/>
  <c r="AK190" i="18"/>
  <c r="AK191" i="18"/>
  <c r="AK192" i="18"/>
  <c r="AK193" i="18"/>
  <c r="AK194" i="18"/>
  <c r="AK195" i="18"/>
  <c r="AK196" i="18"/>
  <c r="AK197" i="18"/>
  <c r="AK198" i="18"/>
  <c r="AK199" i="18"/>
  <c r="AK200" i="18"/>
  <c r="AK201" i="18"/>
  <c r="AK202" i="18"/>
  <c r="AK203" i="18"/>
  <c r="AK204" i="18"/>
  <c r="AK205" i="18"/>
  <c r="AK206" i="18"/>
  <c r="AK207" i="18"/>
  <c r="AK208" i="18"/>
  <c r="AK209" i="18"/>
  <c r="AK210" i="18"/>
  <c r="AK211" i="18"/>
  <c r="AK212" i="18"/>
  <c r="AK213" i="18"/>
  <c r="AK214" i="18"/>
  <c r="AK215" i="18"/>
  <c r="AK216" i="18"/>
  <c r="AK217" i="18"/>
  <c r="AK218" i="18"/>
  <c r="AK219" i="18"/>
  <c r="AK220" i="18"/>
  <c r="AK221" i="18"/>
  <c r="AK222" i="18"/>
  <c r="AK223" i="18"/>
  <c r="AK224" i="18"/>
  <c r="AK225" i="18"/>
  <c r="AK226" i="18"/>
  <c r="AK227" i="18"/>
  <c r="AK228" i="18"/>
  <c r="AK229" i="18"/>
  <c r="AK230" i="18"/>
  <c r="AK231" i="18"/>
  <c r="AK232" i="18"/>
  <c r="AK233" i="18"/>
  <c r="AK234" i="18"/>
  <c r="AK235" i="18"/>
  <c r="AK236" i="18"/>
  <c r="AK237" i="18"/>
  <c r="AK238" i="18"/>
  <c r="AK239" i="18"/>
  <c r="AK240" i="18"/>
  <c r="AK241" i="18"/>
  <c r="AK242" i="18"/>
  <c r="AK243" i="18"/>
  <c r="AK244" i="18"/>
  <c r="AK245" i="18"/>
  <c r="AK246" i="18"/>
  <c r="AK247" i="18"/>
  <c r="AK248" i="18"/>
  <c r="AK249" i="18"/>
  <c r="AK250" i="18"/>
  <c r="AK251" i="18"/>
  <c r="AK252" i="18"/>
  <c r="AK253" i="18"/>
  <c r="AK254" i="18"/>
  <c r="AK255" i="18"/>
  <c r="AK256" i="18"/>
  <c r="AK257" i="18"/>
  <c r="AK258" i="18"/>
  <c r="AK259" i="18"/>
  <c r="AK260" i="18"/>
  <c r="AK261" i="18"/>
  <c r="AK262" i="18"/>
  <c r="AK263" i="18"/>
  <c r="AK264" i="18"/>
  <c r="AK265" i="18"/>
  <c r="AK266" i="18"/>
  <c r="AK267" i="18"/>
  <c r="AK268" i="18"/>
  <c r="AK269" i="18"/>
  <c r="AK270" i="18"/>
  <c r="AK271" i="18"/>
  <c r="AK272" i="18"/>
  <c r="AK273" i="18"/>
  <c r="AK274" i="18"/>
  <c r="AK275" i="18"/>
  <c r="AK276" i="18"/>
  <c r="AK277" i="18"/>
  <c r="AK278" i="18"/>
  <c r="AK279" i="18"/>
  <c r="AK280" i="18"/>
  <c r="AK281" i="18"/>
  <c r="AK282" i="18"/>
  <c r="AK283" i="18"/>
  <c r="AK284" i="18"/>
  <c r="AK285" i="18"/>
  <c r="AK286" i="18"/>
  <c r="AK287" i="18"/>
  <c r="AK288" i="18"/>
  <c r="AK289" i="18"/>
  <c r="AK290" i="18"/>
  <c r="AK291" i="18"/>
  <c r="AK292" i="18"/>
  <c r="AK293" i="18"/>
  <c r="AK294" i="18"/>
  <c r="AK295" i="18"/>
  <c r="AK296" i="18"/>
  <c r="AK297" i="18"/>
  <c r="AK298" i="18"/>
  <c r="AK299" i="18"/>
  <c r="AK300" i="18"/>
  <c r="AK301" i="18"/>
  <c r="AK302" i="18"/>
  <c r="AK303" i="18"/>
  <c r="AK304" i="18"/>
  <c r="AK305" i="18"/>
  <c r="AK306" i="18"/>
  <c r="AK307" i="18"/>
  <c r="AK308" i="18"/>
  <c r="AK309" i="18"/>
  <c r="AK310" i="18"/>
  <c r="AK311" i="18"/>
  <c r="AK312" i="18"/>
  <c r="AK313" i="18"/>
  <c r="AK314" i="18"/>
  <c r="AK315" i="18"/>
  <c r="AK316" i="18"/>
  <c r="AK317" i="18"/>
  <c r="AK318" i="18"/>
  <c r="AK319" i="18"/>
  <c r="AK320" i="18"/>
  <c r="AK321" i="18"/>
  <c r="AK322" i="18"/>
  <c r="AK323" i="18"/>
  <c r="AK324" i="18"/>
  <c r="AK325" i="18"/>
  <c r="AK326" i="18"/>
  <c r="AK327" i="18"/>
  <c r="AK328" i="18"/>
  <c r="AK329" i="18"/>
  <c r="AK330" i="18"/>
  <c r="AK331" i="18"/>
  <c r="AK332" i="18"/>
  <c r="AK333" i="18"/>
  <c r="AK334" i="18"/>
  <c r="AK335" i="18"/>
  <c r="AK336" i="18"/>
  <c r="AK337" i="18"/>
  <c r="AK338" i="18"/>
  <c r="AL3" i="18"/>
  <c r="AL4" i="18"/>
  <c r="AL5" i="18"/>
  <c r="AL6" i="18"/>
  <c r="AL7" i="18"/>
  <c r="AL8" i="18"/>
  <c r="AL9" i="18"/>
  <c r="AL10" i="18"/>
  <c r="AL11" i="18"/>
  <c r="AL12" i="18"/>
  <c r="AL13" i="18"/>
  <c r="AL14" i="18"/>
  <c r="AL15" i="18"/>
  <c r="AL16" i="18"/>
  <c r="AL17" i="18"/>
  <c r="AL18" i="18"/>
  <c r="AL19" i="18"/>
  <c r="AL20" i="18"/>
  <c r="AL21" i="18"/>
  <c r="AL22" i="18"/>
  <c r="AL23" i="18"/>
  <c r="AL24" i="18"/>
  <c r="AL25" i="18"/>
  <c r="AL26" i="18"/>
  <c r="AL27" i="18"/>
  <c r="AL28" i="18"/>
  <c r="AL29" i="18"/>
  <c r="AL30" i="18"/>
  <c r="AL31" i="18"/>
  <c r="AL32" i="18"/>
  <c r="AL33" i="18"/>
  <c r="AL34" i="18"/>
  <c r="AL35" i="18"/>
  <c r="AL36" i="18"/>
  <c r="AL37" i="18"/>
  <c r="AL38" i="18"/>
  <c r="AL39" i="18"/>
  <c r="AL40" i="18"/>
  <c r="AL41" i="18"/>
  <c r="AL42" i="18"/>
  <c r="AL43" i="18"/>
  <c r="AL44" i="18"/>
  <c r="AL45" i="18"/>
  <c r="AL46" i="18"/>
  <c r="AL47" i="18"/>
  <c r="AL48" i="18"/>
  <c r="AL49" i="18"/>
  <c r="AL50" i="18"/>
  <c r="AL51" i="18"/>
  <c r="AL52" i="18"/>
  <c r="AL53" i="18"/>
  <c r="AL54" i="18"/>
  <c r="AL55" i="18"/>
  <c r="AL56" i="18"/>
  <c r="AL57" i="18"/>
  <c r="AL58" i="18"/>
  <c r="AL59" i="18"/>
  <c r="AL60" i="18"/>
  <c r="AL61" i="18"/>
  <c r="AL62" i="18"/>
  <c r="AL63" i="18"/>
  <c r="AL64" i="18"/>
  <c r="AL65" i="18"/>
  <c r="AL66" i="18"/>
  <c r="AL67" i="18"/>
  <c r="AL68" i="18"/>
  <c r="AL69" i="18"/>
  <c r="AL70" i="18"/>
  <c r="AL71" i="18"/>
  <c r="AL72" i="18"/>
  <c r="AL73" i="18"/>
  <c r="AL74" i="18"/>
  <c r="AL75" i="18"/>
  <c r="AL76" i="18"/>
  <c r="AL77" i="18"/>
  <c r="AL78" i="18"/>
  <c r="AL79" i="18"/>
  <c r="AL80" i="18"/>
  <c r="AL81" i="18"/>
  <c r="AL82" i="18"/>
  <c r="AL83" i="18"/>
  <c r="AL84" i="18"/>
  <c r="AL85" i="18"/>
  <c r="AL86" i="18"/>
  <c r="AL87" i="18"/>
  <c r="AL88" i="18"/>
  <c r="AL89" i="18"/>
  <c r="AL90" i="18"/>
  <c r="AL91" i="18"/>
  <c r="AL92" i="18"/>
  <c r="AL93" i="18"/>
  <c r="AL94" i="18"/>
  <c r="AL95" i="18"/>
  <c r="AL96" i="18"/>
  <c r="AL97" i="18"/>
  <c r="AL98" i="18"/>
  <c r="AL99" i="18"/>
  <c r="AL100" i="18"/>
  <c r="AL101" i="18"/>
  <c r="AL102" i="18"/>
  <c r="AL103" i="18"/>
  <c r="AL104" i="18"/>
  <c r="AL105" i="18"/>
  <c r="AL106" i="18"/>
  <c r="AL107" i="18"/>
  <c r="AL108" i="18"/>
  <c r="AL109" i="18"/>
  <c r="AL110" i="18"/>
  <c r="AL111" i="18"/>
  <c r="AL112" i="18"/>
  <c r="AL113" i="18"/>
  <c r="AL114" i="18"/>
  <c r="AL115" i="18"/>
  <c r="AL116" i="18"/>
  <c r="AL117" i="18"/>
  <c r="AL118" i="18"/>
  <c r="AL119" i="18"/>
  <c r="AL120" i="18"/>
  <c r="AL121" i="18"/>
  <c r="AL122" i="18"/>
  <c r="AL123" i="18"/>
  <c r="AL124" i="18"/>
  <c r="AL125" i="18"/>
  <c r="AL126" i="18"/>
  <c r="AL127" i="18"/>
  <c r="AL128" i="18"/>
  <c r="AL129" i="18"/>
  <c r="AL130" i="18"/>
  <c r="AL131" i="18"/>
  <c r="AL132" i="18"/>
  <c r="AL133" i="18"/>
  <c r="AL134" i="18"/>
  <c r="AL135" i="18"/>
  <c r="AL136" i="18"/>
  <c r="AL137" i="18"/>
  <c r="AL138" i="18"/>
  <c r="AL139" i="18"/>
  <c r="AL140" i="18"/>
  <c r="AL141" i="18"/>
  <c r="AL142" i="18"/>
  <c r="AL143" i="18"/>
  <c r="AL144" i="18"/>
  <c r="AL145" i="18"/>
  <c r="AL146" i="18"/>
  <c r="AL147" i="18"/>
  <c r="AL148" i="18"/>
  <c r="AL149" i="18"/>
  <c r="AL150" i="18"/>
  <c r="AL151" i="18"/>
  <c r="AL152" i="18"/>
  <c r="AL153" i="18"/>
  <c r="AL154" i="18"/>
  <c r="AL155" i="18"/>
  <c r="AL156" i="18"/>
  <c r="AL157" i="18"/>
  <c r="AL158" i="18"/>
  <c r="AL159" i="18"/>
  <c r="AL160" i="18"/>
  <c r="AL161" i="18"/>
  <c r="AL162" i="18"/>
  <c r="AL163" i="18"/>
  <c r="AL164" i="18"/>
  <c r="AL165" i="18"/>
  <c r="AL166" i="18"/>
  <c r="AL167" i="18"/>
  <c r="AL168" i="18"/>
  <c r="AL169" i="18"/>
  <c r="AL170" i="18"/>
  <c r="AL171" i="18"/>
  <c r="AL172" i="18"/>
  <c r="AL173" i="18"/>
  <c r="AL174" i="18"/>
  <c r="AL175" i="18"/>
  <c r="AL176" i="18"/>
  <c r="AL177" i="18"/>
  <c r="AL178" i="18"/>
  <c r="AL179" i="18"/>
  <c r="AL180" i="18"/>
  <c r="AL181" i="18"/>
  <c r="AL182" i="18"/>
  <c r="AL183" i="18"/>
  <c r="AL184" i="18"/>
  <c r="AL185" i="18"/>
  <c r="AL186" i="18"/>
  <c r="AL187" i="18"/>
  <c r="AL188" i="18"/>
  <c r="AL189" i="18"/>
  <c r="AL190" i="18"/>
  <c r="AL191" i="18"/>
  <c r="AL192" i="18"/>
  <c r="AL193" i="18"/>
  <c r="AL194" i="18"/>
  <c r="AL195" i="18"/>
  <c r="AL196" i="18"/>
  <c r="AL197" i="18"/>
  <c r="AL198" i="18"/>
  <c r="AL199" i="18"/>
  <c r="AL200" i="18"/>
  <c r="AL201" i="18"/>
  <c r="AL202" i="18"/>
  <c r="AL203" i="18"/>
  <c r="AL204" i="18"/>
  <c r="AL205" i="18"/>
  <c r="AL206" i="18"/>
  <c r="AL207" i="18"/>
  <c r="AL208" i="18"/>
  <c r="AL209" i="18"/>
  <c r="AL210" i="18"/>
  <c r="AL211" i="18"/>
  <c r="AL212" i="18"/>
  <c r="AL213" i="18"/>
  <c r="AL214" i="18"/>
  <c r="AL215" i="18"/>
  <c r="AL216" i="18"/>
  <c r="AL217" i="18"/>
  <c r="AL218" i="18"/>
  <c r="AL219" i="18"/>
  <c r="AL220" i="18"/>
  <c r="AL221" i="18"/>
  <c r="AL222" i="18"/>
  <c r="AL223" i="18"/>
  <c r="AL224" i="18"/>
  <c r="AL225" i="18"/>
  <c r="AL226" i="18"/>
  <c r="AL227" i="18"/>
  <c r="AL228" i="18"/>
  <c r="AL229" i="18"/>
  <c r="AL230" i="18"/>
  <c r="AL231" i="18"/>
  <c r="AL232" i="18"/>
  <c r="AL233" i="18"/>
  <c r="AL234" i="18"/>
  <c r="AL235" i="18"/>
  <c r="AL236" i="18"/>
  <c r="AL237" i="18"/>
  <c r="AL238" i="18"/>
  <c r="AL239" i="18"/>
  <c r="AL240" i="18"/>
  <c r="AL241" i="18"/>
  <c r="AL242" i="18"/>
  <c r="AL243" i="18"/>
  <c r="AL244" i="18"/>
  <c r="AL245" i="18"/>
  <c r="AL246" i="18"/>
  <c r="AL247" i="18"/>
  <c r="AL248" i="18"/>
  <c r="AL249" i="18"/>
  <c r="AL250" i="18"/>
  <c r="AL251" i="18"/>
  <c r="AL252" i="18"/>
  <c r="AL253" i="18"/>
  <c r="AL254" i="18"/>
  <c r="AL255" i="18"/>
  <c r="AL256" i="18"/>
  <c r="AL257" i="18"/>
  <c r="AL258" i="18"/>
  <c r="AL259" i="18"/>
  <c r="AL260" i="18"/>
  <c r="AL261" i="18"/>
  <c r="AL262" i="18"/>
  <c r="AL263" i="18"/>
  <c r="AL264" i="18"/>
  <c r="AL265" i="18"/>
  <c r="AL266" i="18"/>
  <c r="AL267" i="18"/>
  <c r="AL268" i="18"/>
  <c r="AL269" i="18"/>
  <c r="AL270" i="18"/>
  <c r="AL271" i="18"/>
  <c r="AL272" i="18"/>
  <c r="AL273" i="18"/>
  <c r="AL274" i="18"/>
  <c r="AL275" i="18"/>
  <c r="AL276" i="18"/>
  <c r="AL277" i="18"/>
  <c r="AL278" i="18"/>
  <c r="AL279" i="18"/>
  <c r="AL280" i="18"/>
  <c r="AL281" i="18"/>
  <c r="AL282" i="18"/>
  <c r="AL283" i="18"/>
  <c r="AL284" i="18"/>
  <c r="AL285" i="18"/>
  <c r="AL286" i="18"/>
  <c r="AL287" i="18"/>
  <c r="AL288" i="18"/>
  <c r="AL289" i="18"/>
  <c r="AL290" i="18"/>
  <c r="AL291" i="18"/>
  <c r="AL292" i="18"/>
  <c r="AL293" i="18"/>
  <c r="AL294" i="18"/>
  <c r="AL295" i="18"/>
  <c r="AL296" i="18"/>
  <c r="AL297" i="18"/>
  <c r="AL298" i="18"/>
  <c r="AL299" i="18"/>
  <c r="AL300" i="18"/>
  <c r="AL301" i="18"/>
  <c r="AL302" i="18"/>
  <c r="AL303" i="18"/>
  <c r="AL304" i="18"/>
  <c r="AL305" i="18"/>
  <c r="AL306" i="18"/>
  <c r="AL307" i="18"/>
  <c r="AL308" i="18"/>
  <c r="AL309" i="18"/>
  <c r="AL310" i="18"/>
  <c r="AL311" i="18"/>
  <c r="AL312" i="18"/>
  <c r="AL313" i="18"/>
  <c r="AL314" i="18"/>
  <c r="AL315" i="18"/>
  <c r="AL316" i="18"/>
  <c r="AL317" i="18"/>
  <c r="AL318" i="18"/>
  <c r="AL319" i="18"/>
  <c r="AL320" i="18"/>
  <c r="AL321" i="18"/>
  <c r="AL322" i="18"/>
  <c r="AL323" i="18"/>
  <c r="AL324" i="18"/>
  <c r="AL325" i="18"/>
  <c r="AL326" i="18"/>
  <c r="AL327" i="18"/>
  <c r="AL328" i="18"/>
  <c r="AL329" i="18"/>
  <c r="AL330" i="18"/>
  <c r="AL331" i="18"/>
  <c r="AL332" i="18"/>
  <c r="AL333" i="18"/>
  <c r="AL334" i="18"/>
  <c r="AL335" i="18"/>
  <c r="AL336" i="18"/>
  <c r="AL337" i="18"/>
  <c r="AL338" i="18"/>
  <c r="AM3" i="18"/>
  <c r="AM4" i="18"/>
  <c r="AM5" i="18"/>
  <c r="AM6" i="18"/>
  <c r="AM7" i="18"/>
  <c r="AM8" i="18"/>
  <c r="AM9" i="18"/>
  <c r="AM10" i="18"/>
  <c r="AM11" i="18"/>
  <c r="AM12" i="18"/>
  <c r="AM13" i="18"/>
  <c r="AM14" i="18"/>
  <c r="AM15" i="18"/>
  <c r="AM16" i="18"/>
  <c r="AM17" i="18"/>
  <c r="AM18" i="18"/>
  <c r="AM19" i="18"/>
  <c r="AM20" i="18"/>
  <c r="AM21" i="18"/>
  <c r="AM22" i="18"/>
  <c r="AM23" i="18"/>
  <c r="AM24" i="18"/>
  <c r="AM25" i="18"/>
  <c r="AM26" i="18"/>
  <c r="AM27" i="18"/>
  <c r="AM28" i="18"/>
  <c r="AM29" i="18"/>
  <c r="AM30" i="18"/>
  <c r="AM31" i="18"/>
  <c r="AM32" i="18"/>
  <c r="AM33" i="18"/>
  <c r="AM34" i="18"/>
  <c r="AM35" i="18"/>
  <c r="AM36" i="18"/>
  <c r="AM37" i="18"/>
  <c r="AM38" i="18"/>
  <c r="AM39" i="18"/>
  <c r="AM40" i="18"/>
  <c r="AM41" i="18"/>
  <c r="AM42" i="18"/>
  <c r="AM43" i="18"/>
  <c r="AM44" i="18"/>
  <c r="AM45" i="18"/>
  <c r="AM46" i="18"/>
  <c r="AM47" i="18"/>
  <c r="AM48" i="18"/>
  <c r="AM49" i="18"/>
  <c r="AM50" i="18"/>
  <c r="AM51" i="18"/>
  <c r="AM52" i="18"/>
  <c r="AM53" i="18"/>
  <c r="AM54" i="18"/>
  <c r="AM55" i="18"/>
  <c r="AM56" i="18"/>
  <c r="AM57" i="18"/>
  <c r="AM58" i="18"/>
  <c r="AM59" i="18"/>
  <c r="AM60" i="18"/>
  <c r="AM61" i="18"/>
  <c r="AM62" i="18"/>
  <c r="AM63" i="18"/>
  <c r="AM64" i="18"/>
  <c r="AM65" i="18"/>
  <c r="AM66" i="18"/>
  <c r="AM67" i="18"/>
  <c r="AM68" i="18"/>
  <c r="AM69" i="18"/>
  <c r="AM70" i="18"/>
  <c r="AM71" i="18"/>
  <c r="AM72" i="18"/>
  <c r="AM73" i="18"/>
  <c r="AM74" i="18"/>
  <c r="AM75" i="18"/>
  <c r="AM76" i="18"/>
  <c r="AM77" i="18"/>
  <c r="AM78" i="18"/>
  <c r="AM79" i="18"/>
  <c r="AM80" i="18"/>
  <c r="AM81" i="18"/>
  <c r="AM82" i="18"/>
  <c r="AM83" i="18"/>
  <c r="AM84" i="18"/>
  <c r="AM85" i="18"/>
  <c r="AM86" i="18"/>
  <c r="AM87" i="18"/>
  <c r="AM88" i="18"/>
  <c r="AM89" i="18"/>
  <c r="AM90" i="18"/>
  <c r="AM91" i="18"/>
  <c r="AM92" i="18"/>
  <c r="AM93" i="18"/>
  <c r="AM94" i="18"/>
  <c r="AM95" i="18"/>
  <c r="AM96" i="18"/>
  <c r="AM97" i="18"/>
  <c r="AM98" i="18"/>
  <c r="AM99" i="18"/>
  <c r="AM100" i="18"/>
  <c r="AM101" i="18"/>
  <c r="AM102" i="18"/>
  <c r="AM103" i="18"/>
  <c r="AM104" i="18"/>
  <c r="AM105" i="18"/>
  <c r="AM106" i="18"/>
  <c r="AM107" i="18"/>
  <c r="AM108" i="18"/>
  <c r="AM109" i="18"/>
  <c r="AM110" i="18"/>
  <c r="AM111" i="18"/>
  <c r="AM112" i="18"/>
  <c r="AM113" i="18"/>
  <c r="AM114" i="18"/>
  <c r="AM115" i="18"/>
  <c r="AM116" i="18"/>
  <c r="AM117" i="18"/>
  <c r="AM118" i="18"/>
  <c r="AM119" i="18"/>
  <c r="AM120" i="18"/>
  <c r="AM121" i="18"/>
  <c r="AM122" i="18"/>
  <c r="AM123" i="18"/>
  <c r="AM124" i="18"/>
  <c r="AM125" i="18"/>
  <c r="AM126" i="18"/>
  <c r="AM127" i="18"/>
  <c r="AM128" i="18"/>
  <c r="AM129" i="18"/>
  <c r="AM130" i="18"/>
  <c r="AM131" i="18"/>
  <c r="AM132" i="18"/>
  <c r="AM133" i="18"/>
  <c r="AM134" i="18"/>
  <c r="AM135" i="18"/>
  <c r="AM136" i="18"/>
  <c r="AM137" i="18"/>
  <c r="AM138" i="18"/>
  <c r="AM139" i="18"/>
  <c r="AM140" i="18"/>
  <c r="AM141" i="18"/>
  <c r="AM142" i="18"/>
  <c r="AM143" i="18"/>
  <c r="AM144" i="18"/>
  <c r="AM145" i="18"/>
  <c r="AM146" i="18"/>
  <c r="AM147" i="18"/>
  <c r="AM148" i="18"/>
  <c r="AM149" i="18"/>
  <c r="AM150" i="18"/>
  <c r="AM151" i="18"/>
  <c r="AM152" i="18"/>
  <c r="AM153" i="18"/>
  <c r="AM154" i="18"/>
  <c r="AM155" i="18"/>
  <c r="AM156" i="18"/>
  <c r="AM157" i="18"/>
  <c r="AM158" i="18"/>
  <c r="AM159" i="18"/>
  <c r="AM160" i="18"/>
  <c r="AM161" i="18"/>
  <c r="AM162" i="18"/>
  <c r="AM163" i="18"/>
  <c r="AM164" i="18"/>
  <c r="AM165" i="18"/>
  <c r="AM166" i="18"/>
  <c r="AM167" i="18"/>
  <c r="AM168" i="18"/>
  <c r="AM169" i="18"/>
  <c r="AM170" i="18"/>
  <c r="AM171" i="18"/>
  <c r="AM172" i="18"/>
  <c r="AM173" i="18"/>
  <c r="AM174" i="18"/>
  <c r="AM175" i="18"/>
  <c r="AM176" i="18"/>
  <c r="AM177" i="18"/>
  <c r="AM178" i="18"/>
  <c r="AM179" i="18"/>
  <c r="AM180" i="18"/>
  <c r="AM181" i="18"/>
  <c r="AM182" i="18"/>
  <c r="AM183" i="18"/>
  <c r="AM184" i="18"/>
  <c r="AM185" i="18"/>
  <c r="AM186" i="18"/>
  <c r="AM187" i="18"/>
  <c r="AM188" i="18"/>
  <c r="AM189" i="18"/>
  <c r="AM190" i="18"/>
  <c r="AM191" i="18"/>
  <c r="AM192" i="18"/>
  <c r="AM193" i="18"/>
  <c r="AM194" i="18"/>
  <c r="AM195" i="18"/>
  <c r="AM196" i="18"/>
  <c r="AM197" i="18"/>
  <c r="AM198" i="18"/>
  <c r="AM199" i="18"/>
  <c r="AM200" i="18"/>
  <c r="AM201" i="18"/>
  <c r="AM202" i="18"/>
  <c r="AM203" i="18"/>
  <c r="AM204" i="18"/>
  <c r="AM205" i="18"/>
  <c r="AM206" i="18"/>
  <c r="AM207" i="18"/>
  <c r="AM208" i="18"/>
  <c r="AM209" i="18"/>
  <c r="AM210" i="18"/>
  <c r="AM211" i="18"/>
  <c r="AM212" i="18"/>
  <c r="AM213" i="18"/>
  <c r="AM214" i="18"/>
  <c r="AM215" i="18"/>
  <c r="AM216" i="18"/>
  <c r="AM217" i="18"/>
  <c r="AM218" i="18"/>
  <c r="AM219" i="18"/>
  <c r="AM220" i="18"/>
  <c r="AM221" i="18"/>
  <c r="AM222" i="18"/>
  <c r="AM223" i="18"/>
  <c r="AM224" i="18"/>
  <c r="AM225" i="18"/>
  <c r="AM226" i="18"/>
  <c r="AM227" i="18"/>
  <c r="AM228" i="18"/>
  <c r="AM229" i="18"/>
  <c r="AM230" i="18"/>
  <c r="AM231" i="18"/>
  <c r="AM232" i="18"/>
  <c r="AM233" i="18"/>
  <c r="AM234" i="18"/>
  <c r="AM235" i="18"/>
  <c r="AM236" i="18"/>
  <c r="AM237" i="18"/>
  <c r="AM238" i="18"/>
  <c r="AM239" i="18"/>
  <c r="AM240" i="18"/>
  <c r="AM241" i="18"/>
  <c r="AM242" i="18"/>
  <c r="AM243" i="18"/>
  <c r="AM244" i="18"/>
  <c r="AM245" i="18"/>
  <c r="AM246" i="18"/>
  <c r="AM247" i="18"/>
  <c r="AM248" i="18"/>
  <c r="AM249" i="18"/>
  <c r="AM250" i="18"/>
  <c r="AM251" i="18"/>
  <c r="AM252" i="18"/>
  <c r="AM253" i="18"/>
  <c r="AM254" i="18"/>
  <c r="AM255" i="18"/>
  <c r="AM256" i="18"/>
  <c r="AM257" i="18"/>
  <c r="AM258" i="18"/>
  <c r="AM259" i="18"/>
  <c r="AM260" i="18"/>
  <c r="AM261" i="18"/>
  <c r="AM262" i="18"/>
  <c r="AM263" i="18"/>
  <c r="AM264" i="18"/>
  <c r="AM265" i="18"/>
  <c r="AM266" i="18"/>
  <c r="AM267" i="18"/>
  <c r="AM268" i="18"/>
  <c r="AM269" i="18"/>
  <c r="AM270" i="18"/>
  <c r="AM271" i="18"/>
  <c r="AM272" i="18"/>
  <c r="AM273" i="18"/>
  <c r="AM274" i="18"/>
  <c r="AM275" i="18"/>
  <c r="AM276" i="18"/>
  <c r="AM277" i="18"/>
  <c r="AM278" i="18"/>
  <c r="AM279" i="18"/>
  <c r="AM280" i="18"/>
  <c r="AM281" i="18"/>
  <c r="AM282" i="18"/>
  <c r="AM283" i="18"/>
  <c r="AM284" i="18"/>
  <c r="AM285" i="18"/>
  <c r="AM286" i="18"/>
  <c r="AM287" i="18"/>
  <c r="AM288" i="18"/>
  <c r="AM289" i="18"/>
  <c r="AM290" i="18"/>
  <c r="AM291" i="18"/>
  <c r="AM292" i="18"/>
  <c r="AM293" i="18"/>
  <c r="AM294" i="18"/>
  <c r="AM295" i="18"/>
  <c r="AM296" i="18"/>
  <c r="AM297" i="18"/>
  <c r="AM298" i="18"/>
  <c r="AM299" i="18"/>
  <c r="AM300" i="18"/>
  <c r="AM301" i="18"/>
  <c r="AM302" i="18"/>
  <c r="AM303" i="18"/>
  <c r="AM304" i="18"/>
  <c r="AM305" i="18"/>
  <c r="AM306" i="18"/>
  <c r="AM307" i="18"/>
  <c r="AM308" i="18"/>
  <c r="AM309" i="18"/>
  <c r="AM310" i="18"/>
  <c r="AM311" i="18"/>
  <c r="AM312" i="18"/>
  <c r="AM313" i="18"/>
  <c r="AM314" i="18"/>
  <c r="AM315" i="18"/>
  <c r="AM316" i="18"/>
  <c r="AM317" i="18"/>
  <c r="AM318" i="18"/>
  <c r="AM319" i="18"/>
  <c r="AM320" i="18"/>
  <c r="AM321" i="18"/>
  <c r="AM322" i="18"/>
  <c r="AM323" i="18"/>
  <c r="AM324" i="18"/>
  <c r="AM325" i="18"/>
  <c r="AM326" i="18"/>
  <c r="AM327" i="18"/>
  <c r="AM328" i="18"/>
  <c r="AM329" i="18"/>
  <c r="AM330" i="18"/>
  <c r="AM331" i="18"/>
  <c r="AM332" i="18"/>
  <c r="AM333" i="18"/>
  <c r="AM334" i="18"/>
  <c r="AM335" i="18"/>
  <c r="AM336" i="18"/>
  <c r="AM337" i="18"/>
  <c r="AM338" i="18"/>
  <c r="AN3" i="18"/>
  <c r="AN4" i="18"/>
  <c r="AN5" i="18"/>
  <c r="AN6" i="18"/>
  <c r="AN7" i="18"/>
  <c r="AN8" i="18"/>
  <c r="AN9" i="18"/>
  <c r="AN10" i="18"/>
  <c r="AN11" i="18"/>
  <c r="AN12" i="18"/>
  <c r="AN13" i="18"/>
  <c r="AN14" i="18"/>
  <c r="AN15" i="18"/>
  <c r="AN16" i="18"/>
  <c r="AN17" i="18"/>
  <c r="AN18" i="18"/>
  <c r="AN19" i="18"/>
  <c r="AN20" i="18"/>
  <c r="AN21" i="18"/>
  <c r="AN22" i="18"/>
  <c r="AN23" i="18"/>
  <c r="AN24" i="18"/>
  <c r="AN25" i="18"/>
  <c r="AN26" i="18"/>
  <c r="AN27" i="18"/>
  <c r="AN28" i="18"/>
  <c r="AN29" i="18"/>
  <c r="AN30" i="18"/>
  <c r="AN31" i="18"/>
  <c r="AN32" i="18"/>
  <c r="AN33" i="18"/>
  <c r="AN34" i="18"/>
  <c r="AN35" i="18"/>
  <c r="AN36" i="18"/>
  <c r="AN37" i="18"/>
  <c r="AN38" i="18"/>
  <c r="AN39" i="18"/>
  <c r="AN40" i="18"/>
  <c r="AN41" i="18"/>
  <c r="AN42" i="18"/>
  <c r="AN43" i="18"/>
  <c r="AN44" i="18"/>
  <c r="AN45" i="18"/>
  <c r="AN46" i="18"/>
  <c r="AN47" i="18"/>
  <c r="AN48" i="18"/>
  <c r="AN49" i="18"/>
  <c r="AN50" i="18"/>
  <c r="AN51" i="18"/>
  <c r="AN52" i="18"/>
  <c r="AN53" i="18"/>
  <c r="AN54" i="18"/>
  <c r="AN55" i="18"/>
  <c r="AN56" i="18"/>
  <c r="AN57" i="18"/>
  <c r="AN58" i="18"/>
  <c r="AN59" i="18"/>
  <c r="AN60" i="18"/>
  <c r="AN61" i="18"/>
  <c r="AN62" i="18"/>
  <c r="AN63" i="18"/>
  <c r="AN64" i="18"/>
  <c r="AN65" i="18"/>
  <c r="AN66" i="18"/>
  <c r="AN67" i="18"/>
  <c r="AN68" i="18"/>
  <c r="AN69" i="18"/>
  <c r="AN70" i="18"/>
  <c r="AN71" i="18"/>
  <c r="AN72" i="18"/>
  <c r="AN73" i="18"/>
  <c r="AN74" i="18"/>
  <c r="AN75" i="18"/>
  <c r="AN76" i="18"/>
  <c r="AN77" i="18"/>
  <c r="AN78" i="18"/>
  <c r="AN79" i="18"/>
  <c r="AN80" i="18"/>
  <c r="AN81" i="18"/>
  <c r="AN82" i="18"/>
  <c r="AN83" i="18"/>
  <c r="AN84" i="18"/>
  <c r="AN85" i="18"/>
  <c r="AN86" i="18"/>
  <c r="AN87" i="18"/>
  <c r="AN88" i="18"/>
  <c r="AN89" i="18"/>
  <c r="AN90" i="18"/>
  <c r="AN91" i="18"/>
  <c r="AN92" i="18"/>
  <c r="AN93" i="18"/>
  <c r="AN94" i="18"/>
  <c r="AN95" i="18"/>
  <c r="AN96" i="18"/>
  <c r="AN97" i="18"/>
  <c r="AN98" i="18"/>
  <c r="AN99" i="18"/>
  <c r="AN100" i="18"/>
  <c r="AN101" i="18"/>
  <c r="AN102" i="18"/>
  <c r="AN103" i="18"/>
  <c r="AN104" i="18"/>
  <c r="AN105" i="18"/>
  <c r="AN106" i="18"/>
  <c r="AN107" i="18"/>
  <c r="AN108" i="18"/>
  <c r="AN109" i="18"/>
  <c r="AN110" i="18"/>
  <c r="AN111" i="18"/>
  <c r="AN112" i="18"/>
  <c r="AN113" i="18"/>
  <c r="AN114" i="18"/>
  <c r="AN115" i="18"/>
  <c r="AN116" i="18"/>
  <c r="AN117" i="18"/>
  <c r="AN118" i="18"/>
  <c r="AN119" i="18"/>
  <c r="AN120" i="18"/>
  <c r="AN121" i="18"/>
  <c r="AN122" i="18"/>
  <c r="AN123" i="18"/>
  <c r="AN124" i="18"/>
  <c r="AN125" i="18"/>
  <c r="AN126" i="18"/>
  <c r="AN127" i="18"/>
  <c r="AN128" i="18"/>
  <c r="AN129" i="18"/>
  <c r="AN130" i="18"/>
  <c r="AN131" i="18"/>
  <c r="AN132" i="18"/>
  <c r="AN133" i="18"/>
  <c r="AN134" i="18"/>
  <c r="AN135" i="18"/>
  <c r="AN136" i="18"/>
  <c r="AN137" i="18"/>
  <c r="AN138" i="18"/>
  <c r="AN139" i="18"/>
  <c r="AN140" i="18"/>
  <c r="AN141" i="18"/>
  <c r="AN142" i="18"/>
  <c r="AN143" i="18"/>
  <c r="AN144" i="18"/>
  <c r="AN145" i="18"/>
  <c r="AN146" i="18"/>
  <c r="AN147" i="18"/>
  <c r="AN148" i="18"/>
  <c r="AN149" i="18"/>
  <c r="AN150" i="18"/>
  <c r="AN151" i="18"/>
  <c r="AN152" i="18"/>
  <c r="AN153" i="18"/>
  <c r="AN154" i="18"/>
  <c r="AN155" i="18"/>
  <c r="AN156" i="18"/>
  <c r="AN157" i="18"/>
  <c r="AN158" i="18"/>
  <c r="AN159" i="18"/>
  <c r="AN160" i="18"/>
  <c r="AN161" i="18"/>
  <c r="AN162" i="18"/>
  <c r="AN163" i="18"/>
  <c r="AN164" i="18"/>
  <c r="AN165" i="18"/>
  <c r="AN166" i="18"/>
  <c r="AN167" i="18"/>
  <c r="AN168" i="18"/>
  <c r="AN169" i="18"/>
  <c r="AN170" i="18"/>
  <c r="AN171" i="18"/>
  <c r="AN172" i="18"/>
  <c r="AN173" i="18"/>
  <c r="AN174" i="18"/>
  <c r="AN175" i="18"/>
  <c r="AN176" i="18"/>
  <c r="AN177" i="18"/>
  <c r="AN178" i="18"/>
  <c r="AN179" i="18"/>
  <c r="AN180" i="18"/>
  <c r="AN181" i="18"/>
  <c r="AN182" i="18"/>
  <c r="AN183" i="18"/>
  <c r="AN184" i="18"/>
  <c r="AN185" i="18"/>
  <c r="AN186" i="18"/>
  <c r="AN187" i="18"/>
  <c r="AN188" i="18"/>
  <c r="AN189" i="18"/>
  <c r="AN190" i="18"/>
  <c r="AN191" i="18"/>
  <c r="AN192" i="18"/>
  <c r="AN193" i="18"/>
  <c r="AN194" i="18"/>
  <c r="AN195" i="18"/>
  <c r="AN196" i="18"/>
  <c r="AN197" i="18"/>
  <c r="AN198" i="18"/>
  <c r="AN199" i="18"/>
  <c r="AN200" i="18"/>
  <c r="AN201" i="18"/>
  <c r="AN202" i="18"/>
  <c r="AN203" i="18"/>
  <c r="AN204" i="18"/>
  <c r="AN205" i="18"/>
  <c r="AN206" i="18"/>
  <c r="AN207" i="18"/>
  <c r="AN208" i="18"/>
  <c r="AN209" i="18"/>
  <c r="AN210" i="18"/>
  <c r="AN211" i="18"/>
  <c r="AN212" i="18"/>
  <c r="AN213" i="18"/>
  <c r="AN214" i="18"/>
  <c r="AN215" i="18"/>
  <c r="AN216" i="18"/>
  <c r="AN217" i="18"/>
  <c r="AN218" i="18"/>
  <c r="AN219" i="18"/>
  <c r="AN220" i="18"/>
  <c r="AN221" i="18"/>
  <c r="AN222" i="18"/>
  <c r="AN223" i="18"/>
  <c r="AN224" i="18"/>
  <c r="AN225" i="18"/>
  <c r="AN226" i="18"/>
  <c r="AN227" i="18"/>
  <c r="AN228" i="18"/>
  <c r="AN229" i="18"/>
  <c r="AN230" i="18"/>
  <c r="AN231" i="18"/>
  <c r="AN232" i="18"/>
  <c r="AN233" i="18"/>
  <c r="AN234" i="18"/>
  <c r="AN235" i="18"/>
  <c r="AN236" i="18"/>
  <c r="AN237" i="18"/>
  <c r="AN238" i="18"/>
  <c r="AN239" i="18"/>
  <c r="AN240" i="18"/>
  <c r="AN241" i="18"/>
  <c r="AN242" i="18"/>
  <c r="AN243" i="18"/>
  <c r="AN244" i="18"/>
  <c r="AN245" i="18"/>
  <c r="AN246" i="18"/>
  <c r="AN247" i="18"/>
  <c r="AN248" i="18"/>
  <c r="AN249" i="18"/>
  <c r="AN250" i="18"/>
  <c r="AN251" i="18"/>
  <c r="AN252" i="18"/>
  <c r="AN253" i="18"/>
  <c r="AN254" i="18"/>
  <c r="AN255" i="18"/>
  <c r="AN256" i="18"/>
  <c r="AN257" i="18"/>
  <c r="AN258" i="18"/>
  <c r="AN259" i="18"/>
  <c r="AN260" i="18"/>
  <c r="AN261" i="18"/>
  <c r="AN262" i="18"/>
  <c r="AN263" i="18"/>
  <c r="AN264" i="18"/>
  <c r="AN265" i="18"/>
  <c r="AN266" i="18"/>
  <c r="AN267" i="18"/>
  <c r="AN268" i="18"/>
  <c r="AN269" i="18"/>
  <c r="AN270" i="18"/>
  <c r="AN271" i="18"/>
  <c r="AN272" i="18"/>
  <c r="AN273" i="18"/>
  <c r="AN274" i="18"/>
  <c r="AN275" i="18"/>
  <c r="AN276" i="18"/>
  <c r="AN277" i="18"/>
  <c r="AN278" i="18"/>
  <c r="AN279" i="18"/>
  <c r="AN280" i="18"/>
  <c r="AN281" i="18"/>
  <c r="AN282" i="18"/>
  <c r="AN283" i="18"/>
  <c r="AN284" i="18"/>
  <c r="AN285" i="18"/>
  <c r="AN286" i="18"/>
  <c r="AN287" i="18"/>
  <c r="AN288" i="18"/>
  <c r="AN289" i="18"/>
  <c r="AN290" i="18"/>
  <c r="AN291" i="18"/>
  <c r="AN292" i="18"/>
  <c r="AN293" i="18"/>
  <c r="AN294" i="18"/>
  <c r="AN295" i="18"/>
  <c r="AN296" i="18"/>
  <c r="AN297" i="18"/>
  <c r="AN298" i="18"/>
  <c r="AN299" i="18"/>
  <c r="AN300" i="18"/>
  <c r="AN301" i="18"/>
  <c r="AN302" i="18"/>
  <c r="AN303" i="18"/>
  <c r="AN304" i="18"/>
  <c r="AN305" i="18"/>
  <c r="AN306" i="18"/>
  <c r="AN307" i="18"/>
  <c r="AN308" i="18"/>
  <c r="AN309" i="18"/>
  <c r="AN310" i="18"/>
  <c r="AN311" i="18"/>
  <c r="AN312" i="18"/>
  <c r="AN313" i="18"/>
  <c r="AN314" i="18"/>
  <c r="AN315" i="18"/>
  <c r="AN316" i="18"/>
  <c r="AN317" i="18"/>
  <c r="AN318" i="18"/>
  <c r="AN319" i="18"/>
  <c r="AN320" i="18"/>
  <c r="AN321" i="18"/>
  <c r="AN322" i="18"/>
  <c r="AN323" i="18"/>
  <c r="AN324" i="18"/>
  <c r="AN325" i="18"/>
  <c r="AN326" i="18"/>
  <c r="AN327" i="18"/>
  <c r="AN328" i="18"/>
  <c r="AN329" i="18"/>
  <c r="AN330" i="18"/>
  <c r="AN331" i="18"/>
  <c r="AN332" i="18"/>
  <c r="AN333" i="18"/>
  <c r="AN334" i="18"/>
  <c r="AN335" i="18"/>
  <c r="AN336" i="18"/>
  <c r="AN337" i="18"/>
  <c r="AN338" i="18"/>
  <c r="AO3" i="18"/>
  <c r="AO4" i="18"/>
  <c r="AO5" i="18"/>
  <c r="AO6" i="18"/>
  <c r="AO7" i="18"/>
  <c r="AO8" i="18"/>
  <c r="AO9" i="18"/>
  <c r="AO10" i="18"/>
  <c r="AO11" i="18"/>
  <c r="AO12" i="18"/>
  <c r="AO13" i="18"/>
  <c r="AO14" i="18"/>
  <c r="AO15" i="18"/>
  <c r="AO16" i="18"/>
  <c r="AO17" i="18"/>
  <c r="AO18" i="18"/>
  <c r="AO19" i="18"/>
  <c r="AO20" i="18"/>
  <c r="AO21" i="18"/>
  <c r="AO22" i="18"/>
  <c r="AO23" i="18"/>
  <c r="AO24" i="18"/>
  <c r="AO25" i="18"/>
  <c r="AO26" i="18"/>
  <c r="AO27" i="18"/>
  <c r="AO28" i="18"/>
  <c r="AO29" i="18"/>
  <c r="AO30" i="18"/>
  <c r="AO31" i="18"/>
  <c r="AO32" i="18"/>
  <c r="AO33" i="18"/>
  <c r="AO34" i="18"/>
  <c r="AO35" i="18"/>
  <c r="AO36" i="18"/>
  <c r="AO37" i="18"/>
  <c r="AO38" i="18"/>
  <c r="AO39" i="18"/>
  <c r="AO40" i="18"/>
  <c r="AO41" i="18"/>
  <c r="AO42" i="18"/>
  <c r="AO43" i="18"/>
  <c r="AO44" i="18"/>
  <c r="AO45" i="18"/>
  <c r="AO46" i="18"/>
  <c r="AO47" i="18"/>
  <c r="AO48" i="18"/>
  <c r="AO49" i="18"/>
  <c r="AO50" i="18"/>
  <c r="AO51" i="18"/>
  <c r="AO52" i="18"/>
  <c r="AO53" i="18"/>
  <c r="AO54" i="18"/>
  <c r="AO55" i="18"/>
  <c r="AO56" i="18"/>
  <c r="AO57" i="18"/>
  <c r="AO58" i="18"/>
  <c r="AO59" i="18"/>
  <c r="AO60" i="18"/>
  <c r="AO61" i="18"/>
  <c r="AO62" i="18"/>
  <c r="AO63" i="18"/>
  <c r="AO64" i="18"/>
  <c r="AO65" i="18"/>
  <c r="AO66" i="18"/>
  <c r="AO67" i="18"/>
  <c r="AO68" i="18"/>
  <c r="AO69" i="18"/>
  <c r="AO70" i="18"/>
  <c r="AO71" i="18"/>
  <c r="AO72" i="18"/>
  <c r="AO73" i="18"/>
  <c r="AO74" i="18"/>
  <c r="AO75" i="18"/>
  <c r="AO76" i="18"/>
  <c r="AO77" i="18"/>
  <c r="AO78" i="18"/>
  <c r="AO79" i="18"/>
  <c r="AO80" i="18"/>
  <c r="AO81" i="18"/>
  <c r="AO82" i="18"/>
  <c r="AO83" i="18"/>
  <c r="AO84" i="18"/>
  <c r="AO85" i="18"/>
  <c r="AO86" i="18"/>
  <c r="AO87" i="18"/>
  <c r="AO88" i="18"/>
  <c r="AO89" i="18"/>
  <c r="AO90" i="18"/>
  <c r="AO91" i="18"/>
  <c r="AO92" i="18"/>
  <c r="AO93" i="18"/>
  <c r="AO94" i="18"/>
  <c r="AO95" i="18"/>
  <c r="AO96" i="18"/>
  <c r="AO97" i="18"/>
  <c r="AO98" i="18"/>
  <c r="AO99" i="18"/>
  <c r="AO100" i="18"/>
  <c r="AO101" i="18"/>
  <c r="AO102" i="18"/>
  <c r="AO103" i="18"/>
  <c r="AO104" i="18"/>
  <c r="AO105" i="18"/>
  <c r="AO106" i="18"/>
  <c r="AO107" i="18"/>
  <c r="AO108" i="18"/>
  <c r="AO109" i="18"/>
  <c r="AO110" i="18"/>
  <c r="AO111" i="18"/>
  <c r="AO112" i="18"/>
  <c r="AO113" i="18"/>
  <c r="AO114" i="18"/>
  <c r="AO115" i="18"/>
  <c r="AO116" i="18"/>
  <c r="AO117" i="18"/>
  <c r="AO118" i="18"/>
  <c r="AO119" i="18"/>
  <c r="AO120" i="18"/>
  <c r="AO121" i="18"/>
  <c r="AO122" i="18"/>
  <c r="AO123" i="18"/>
  <c r="AO124" i="18"/>
  <c r="AO125" i="18"/>
  <c r="AO126" i="18"/>
  <c r="AO127" i="18"/>
  <c r="AO128" i="18"/>
  <c r="AO129" i="18"/>
  <c r="AO130" i="18"/>
  <c r="AO131" i="18"/>
  <c r="AO132" i="18"/>
  <c r="AO133" i="18"/>
  <c r="AO134" i="18"/>
  <c r="AO135" i="18"/>
  <c r="AO136" i="18"/>
  <c r="AO137" i="18"/>
  <c r="AO138" i="18"/>
  <c r="AO139" i="18"/>
  <c r="AO140" i="18"/>
  <c r="AO141" i="18"/>
  <c r="AO142" i="18"/>
  <c r="AO143" i="18"/>
  <c r="AO144" i="18"/>
  <c r="AO145" i="18"/>
  <c r="AO146" i="18"/>
  <c r="AO147" i="18"/>
  <c r="AO148" i="18"/>
  <c r="AO149" i="18"/>
  <c r="AO150" i="18"/>
  <c r="AO151" i="18"/>
  <c r="AO152" i="18"/>
  <c r="AO153" i="18"/>
  <c r="AO154" i="18"/>
  <c r="AO155" i="18"/>
  <c r="AO156" i="18"/>
  <c r="AO157" i="18"/>
  <c r="AO158" i="18"/>
  <c r="AO159" i="18"/>
  <c r="AO160" i="18"/>
  <c r="AO161" i="18"/>
  <c r="AO162" i="18"/>
  <c r="AO163" i="18"/>
  <c r="AO164" i="18"/>
  <c r="AO165" i="18"/>
  <c r="AO166" i="18"/>
  <c r="AO167" i="18"/>
  <c r="AO168" i="18"/>
  <c r="AO169" i="18"/>
  <c r="AO170" i="18"/>
  <c r="AO171" i="18"/>
  <c r="AO172" i="18"/>
  <c r="AO173" i="18"/>
  <c r="AO174" i="18"/>
  <c r="AO175" i="18"/>
  <c r="AO176" i="18"/>
  <c r="AO177" i="18"/>
  <c r="AO178" i="18"/>
  <c r="AO179" i="18"/>
  <c r="AO180" i="18"/>
  <c r="AO181" i="18"/>
  <c r="AO182" i="18"/>
  <c r="AO183" i="18"/>
  <c r="AO184" i="18"/>
  <c r="AO185" i="18"/>
  <c r="AO186" i="18"/>
  <c r="AO187" i="18"/>
  <c r="AO188" i="18"/>
  <c r="AO189" i="18"/>
  <c r="AO190" i="18"/>
  <c r="AO191" i="18"/>
  <c r="AO192" i="18"/>
  <c r="AO193" i="18"/>
  <c r="AO194" i="18"/>
  <c r="AO195" i="18"/>
  <c r="AO196" i="18"/>
  <c r="AO197" i="18"/>
  <c r="AO198" i="18"/>
  <c r="AO199" i="18"/>
  <c r="AO200" i="18"/>
  <c r="AO201" i="18"/>
  <c r="AO202" i="18"/>
  <c r="AO203" i="18"/>
  <c r="AO204" i="18"/>
  <c r="AO205" i="18"/>
  <c r="AO206" i="18"/>
  <c r="AO207" i="18"/>
  <c r="AO208" i="18"/>
  <c r="AO209" i="18"/>
  <c r="AO210" i="18"/>
  <c r="AO211" i="18"/>
  <c r="AO212" i="18"/>
  <c r="AO213" i="18"/>
  <c r="AO214" i="18"/>
  <c r="AO215" i="18"/>
  <c r="AO216" i="18"/>
  <c r="AO217" i="18"/>
  <c r="AO218" i="18"/>
  <c r="AO219" i="18"/>
  <c r="AO220" i="18"/>
  <c r="AO221" i="18"/>
  <c r="AO222" i="18"/>
  <c r="AO223" i="18"/>
  <c r="AO224" i="18"/>
  <c r="AO225" i="18"/>
  <c r="AO226" i="18"/>
  <c r="AO227" i="18"/>
  <c r="AO228" i="18"/>
  <c r="AO229" i="18"/>
  <c r="AO230" i="18"/>
  <c r="AO231" i="18"/>
  <c r="AO232" i="18"/>
  <c r="AO233" i="18"/>
  <c r="AO234" i="18"/>
  <c r="AO235" i="18"/>
  <c r="AO236" i="18"/>
  <c r="AO237" i="18"/>
  <c r="AO238" i="18"/>
  <c r="AO239" i="18"/>
  <c r="AO240" i="18"/>
  <c r="AO241" i="18"/>
  <c r="AO242" i="18"/>
  <c r="AO243" i="18"/>
  <c r="AO244" i="18"/>
  <c r="AO245" i="18"/>
  <c r="AO246" i="18"/>
  <c r="AO247" i="18"/>
  <c r="AO248" i="18"/>
  <c r="AO249" i="18"/>
  <c r="AO250" i="18"/>
  <c r="AO251" i="18"/>
  <c r="AO252" i="18"/>
  <c r="AO253" i="18"/>
  <c r="AO254" i="18"/>
  <c r="AO255" i="18"/>
  <c r="AO256" i="18"/>
  <c r="AO257" i="18"/>
  <c r="AO258" i="18"/>
  <c r="AO259" i="18"/>
  <c r="AO260" i="18"/>
  <c r="AO261" i="18"/>
  <c r="AO262" i="18"/>
  <c r="AO263" i="18"/>
  <c r="AO264" i="18"/>
  <c r="AO265" i="18"/>
  <c r="AO266" i="18"/>
  <c r="AO267" i="18"/>
  <c r="AO268" i="18"/>
  <c r="AO269" i="18"/>
  <c r="AO270" i="18"/>
  <c r="AO271" i="18"/>
  <c r="AO272" i="18"/>
  <c r="AO273" i="18"/>
  <c r="AO274" i="18"/>
  <c r="AO275" i="18"/>
  <c r="AO276" i="18"/>
  <c r="AO277" i="18"/>
  <c r="AO278" i="18"/>
  <c r="AO279" i="18"/>
  <c r="AO280" i="18"/>
  <c r="AO281" i="18"/>
  <c r="AO282" i="18"/>
  <c r="AO283" i="18"/>
  <c r="AO284" i="18"/>
  <c r="AO285" i="18"/>
  <c r="AO286" i="18"/>
  <c r="AO287" i="18"/>
  <c r="AO288" i="18"/>
  <c r="AO289" i="18"/>
  <c r="AO290" i="18"/>
  <c r="AO291" i="18"/>
  <c r="AO292" i="18"/>
  <c r="AO293" i="18"/>
  <c r="AO294" i="18"/>
  <c r="AO295" i="18"/>
  <c r="AO296" i="18"/>
  <c r="AO297" i="18"/>
  <c r="AO298" i="18"/>
  <c r="AO299" i="18"/>
  <c r="AO300" i="18"/>
  <c r="AO301" i="18"/>
  <c r="AO302" i="18"/>
  <c r="AO303" i="18"/>
  <c r="AO304" i="18"/>
  <c r="AO305" i="18"/>
  <c r="AO306" i="18"/>
  <c r="AO307" i="18"/>
  <c r="AO308" i="18"/>
  <c r="AO309" i="18"/>
  <c r="AO310" i="18"/>
  <c r="AO311" i="18"/>
  <c r="AO312" i="18"/>
  <c r="AO313" i="18"/>
  <c r="AO314" i="18"/>
  <c r="AO315" i="18"/>
  <c r="AO316" i="18"/>
  <c r="AO317" i="18"/>
  <c r="AO318" i="18"/>
  <c r="AO319" i="18"/>
  <c r="AO320" i="18"/>
  <c r="AO321" i="18"/>
  <c r="AO322" i="18"/>
  <c r="AO323" i="18"/>
  <c r="AO324" i="18"/>
  <c r="AO325" i="18"/>
  <c r="AO326" i="18"/>
  <c r="AO327" i="18"/>
  <c r="AO328" i="18"/>
  <c r="AO329" i="18"/>
  <c r="AO330" i="18"/>
  <c r="AO331" i="18"/>
  <c r="AO332" i="18"/>
  <c r="AO333" i="18"/>
  <c r="AO334" i="18"/>
  <c r="AO335" i="18"/>
  <c r="AO336" i="18"/>
  <c r="AO337" i="18"/>
  <c r="AO338" i="18"/>
  <c r="AP3" i="18"/>
  <c r="AP4" i="18"/>
  <c r="AP5" i="18"/>
  <c r="AP6" i="18"/>
  <c r="AP7" i="18"/>
  <c r="AP8" i="18"/>
  <c r="AP9" i="18"/>
  <c r="AP10" i="18"/>
  <c r="AP11" i="18"/>
  <c r="AP12" i="18"/>
  <c r="AP13" i="18"/>
  <c r="AP14" i="18"/>
  <c r="AP15" i="18"/>
  <c r="AP16" i="18"/>
  <c r="AP17" i="18"/>
  <c r="AP18" i="18"/>
  <c r="AP19" i="18"/>
  <c r="AP20" i="18"/>
  <c r="AP21" i="18"/>
  <c r="AP22" i="18"/>
  <c r="AP23" i="18"/>
  <c r="AP24" i="18"/>
  <c r="AP25" i="18"/>
  <c r="AP26" i="18"/>
  <c r="AP27" i="18"/>
  <c r="AP28" i="18"/>
  <c r="AP29" i="18"/>
  <c r="AP30" i="18"/>
  <c r="AP31" i="18"/>
  <c r="AP32" i="18"/>
  <c r="AP33" i="18"/>
  <c r="AP34" i="18"/>
  <c r="AP35" i="18"/>
  <c r="AP36" i="18"/>
  <c r="AP37" i="18"/>
  <c r="AP38" i="18"/>
  <c r="AP39" i="18"/>
  <c r="AP40" i="18"/>
  <c r="AP41" i="18"/>
  <c r="AP42" i="18"/>
  <c r="AP43" i="18"/>
  <c r="AP44" i="18"/>
  <c r="AP45" i="18"/>
  <c r="AP46" i="18"/>
  <c r="AP47" i="18"/>
  <c r="AP48" i="18"/>
  <c r="AP49" i="18"/>
  <c r="AP50" i="18"/>
  <c r="AP51" i="18"/>
  <c r="AP52" i="18"/>
  <c r="AP53" i="18"/>
  <c r="AP54" i="18"/>
  <c r="AP55" i="18"/>
  <c r="AP56" i="18"/>
  <c r="AP57" i="18"/>
  <c r="AP58" i="18"/>
  <c r="AP59" i="18"/>
  <c r="AP60" i="18"/>
  <c r="AP61" i="18"/>
  <c r="AP62" i="18"/>
  <c r="AP63" i="18"/>
  <c r="AP64" i="18"/>
  <c r="AP65" i="18"/>
  <c r="AP66" i="18"/>
  <c r="AP67" i="18"/>
  <c r="AP68" i="18"/>
  <c r="AP69" i="18"/>
  <c r="AP70" i="18"/>
  <c r="AP71" i="18"/>
  <c r="AP72" i="18"/>
  <c r="AP73" i="18"/>
  <c r="AP74" i="18"/>
  <c r="AP75" i="18"/>
  <c r="AP76" i="18"/>
  <c r="AP77" i="18"/>
  <c r="AP78" i="18"/>
  <c r="AP79" i="18"/>
  <c r="AP80" i="18"/>
  <c r="AP81" i="18"/>
  <c r="AP82" i="18"/>
  <c r="AP83" i="18"/>
  <c r="AP84" i="18"/>
  <c r="AP85" i="18"/>
  <c r="AP86" i="18"/>
  <c r="AP87" i="18"/>
  <c r="AP88" i="18"/>
  <c r="AP89" i="18"/>
  <c r="AP90" i="18"/>
  <c r="AP91" i="18"/>
  <c r="AP92" i="18"/>
  <c r="AP93" i="18"/>
  <c r="AP94" i="18"/>
  <c r="AP95" i="18"/>
  <c r="AP96" i="18"/>
  <c r="AP97" i="18"/>
  <c r="AP98" i="18"/>
  <c r="AP99" i="18"/>
  <c r="AP100" i="18"/>
  <c r="AP101" i="18"/>
  <c r="AP102" i="18"/>
  <c r="AP103" i="18"/>
  <c r="AP104" i="18"/>
  <c r="AP105" i="18"/>
  <c r="AP106" i="18"/>
  <c r="AP107" i="18"/>
  <c r="AP108" i="18"/>
  <c r="AP109" i="18"/>
  <c r="AP110" i="18"/>
  <c r="AP111" i="18"/>
  <c r="AP112" i="18"/>
  <c r="AP113" i="18"/>
  <c r="AP114" i="18"/>
  <c r="AP115" i="18"/>
  <c r="AP116" i="18"/>
  <c r="AP117" i="18"/>
  <c r="AP118" i="18"/>
  <c r="AP119" i="18"/>
  <c r="AP120" i="18"/>
  <c r="AP121" i="18"/>
  <c r="AP122" i="18"/>
  <c r="AP123" i="18"/>
  <c r="AP124" i="18"/>
  <c r="AP125" i="18"/>
  <c r="AP126" i="18"/>
  <c r="AP127" i="18"/>
  <c r="AP128" i="18"/>
  <c r="AP129" i="18"/>
  <c r="AP130" i="18"/>
  <c r="AP131" i="18"/>
  <c r="AP132" i="18"/>
  <c r="AP133" i="18"/>
  <c r="AP134" i="18"/>
  <c r="AP135" i="18"/>
  <c r="AP136" i="18"/>
  <c r="AP137" i="18"/>
  <c r="AP138" i="18"/>
  <c r="AP139" i="18"/>
  <c r="AP140" i="18"/>
  <c r="AP141" i="18"/>
  <c r="AP142" i="18"/>
  <c r="AP143" i="18"/>
  <c r="AP144" i="18"/>
  <c r="AP145" i="18"/>
  <c r="AP146" i="18"/>
  <c r="AP147" i="18"/>
  <c r="AP148" i="18"/>
  <c r="AP149" i="18"/>
  <c r="AP150" i="18"/>
  <c r="AP151" i="18"/>
  <c r="AP152" i="18"/>
  <c r="AP153" i="18"/>
  <c r="AP154" i="18"/>
  <c r="AP155" i="18"/>
  <c r="AP156" i="18"/>
  <c r="AP157" i="18"/>
  <c r="AP158" i="18"/>
  <c r="AP159" i="18"/>
  <c r="AP160" i="18"/>
  <c r="AP161" i="18"/>
  <c r="AP162" i="18"/>
  <c r="AP163" i="18"/>
  <c r="AP164" i="18"/>
  <c r="AP165" i="18"/>
  <c r="AP166" i="18"/>
  <c r="AP167" i="18"/>
  <c r="AP168" i="18"/>
  <c r="AP169" i="18"/>
  <c r="AP170" i="18"/>
  <c r="AP171" i="18"/>
  <c r="AP172" i="18"/>
  <c r="AP173" i="18"/>
  <c r="AP174" i="18"/>
  <c r="AP175" i="18"/>
  <c r="AP176" i="18"/>
  <c r="AP177" i="18"/>
  <c r="AP178" i="18"/>
  <c r="AP179" i="18"/>
  <c r="AP180" i="18"/>
  <c r="AP181" i="18"/>
  <c r="AP182" i="18"/>
  <c r="AP183" i="18"/>
  <c r="AP184" i="18"/>
  <c r="AP185" i="18"/>
  <c r="AP186" i="18"/>
  <c r="AP187" i="18"/>
  <c r="AP188" i="18"/>
  <c r="AP189" i="18"/>
  <c r="AP190" i="18"/>
  <c r="AP191" i="18"/>
  <c r="AP192" i="18"/>
  <c r="AP193" i="18"/>
  <c r="AP194" i="18"/>
  <c r="AP195" i="18"/>
  <c r="AP196" i="18"/>
  <c r="AP197" i="18"/>
  <c r="AP198" i="18"/>
  <c r="AP199" i="18"/>
  <c r="AP200" i="18"/>
  <c r="AP201" i="18"/>
  <c r="AP202" i="18"/>
  <c r="AP203" i="18"/>
  <c r="AP204" i="18"/>
  <c r="AP205" i="18"/>
  <c r="AP206" i="18"/>
  <c r="AP207" i="18"/>
  <c r="AP208" i="18"/>
  <c r="AP209" i="18"/>
  <c r="AP210" i="18"/>
  <c r="AP211" i="18"/>
  <c r="AP212" i="18"/>
  <c r="AP213" i="18"/>
  <c r="AP214" i="18"/>
  <c r="AP215" i="18"/>
  <c r="AP216" i="18"/>
  <c r="AP217" i="18"/>
  <c r="AP218" i="18"/>
  <c r="AP219" i="18"/>
  <c r="AP220" i="18"/>
  <c r="AP221" i="18"/>
  <c r="AP222" i="18"/>
  <c r="AP223" i="18"/>
  <c r="AP224" i="18"/>
  <c r="AP225" i="18"/>
  <c r="AP226" i="18"/>
  <c r="AP227" i="18"/>
  <c r="AP228" i="18"/>
  <c r="AP229" i="18"/>
  <c r="AP230" i="18"/>
  <c r="AP231" i="18"/>
  <c r="AP232" i="18"/>
  <c r="AP233" i="18"/>
  <c r="AP234" i="18"/>
  <c r="AP235" i="18"/>
  <c r="AP236" i="18"/>
  <c r="AP237" i="18"/>
  <c r="AP238" i="18"/>
  <c r="AP239" i="18"/>
  <c r="AP240" i="18"/>
  <c r="AP241" i="18"/>
  <c r="AP242" i="18"/>
  <c r="AP243" i="18"/>
  <c r="AP244" i="18"/>
  <c r="AP245" i="18"/>
  <c r="AP246" i="18"/>
  <c r="AP247" i="18"/>
  <c r="AP248" i="18"/>
  <c r="AP249" i="18"/>
  <c r="AP250" i="18"/>
  <c r="AP251" i="18"/>
  <c r="AP252" i="18"/>
  <c r="AP253" i="18"/>
  <c r="AP254" i="18"/>
  <c r="AP255" i="18"/>
  <c r="AP256" i="18"/>
  <c r="AP257" i="18"/>
  <c r="AP258" i="18"/>
  <c r="AP259" i="18"/>
  <c r="AP260" i="18"/>
  <c r="AP261" i="18"/>
  <c r="AP262" i="18"/>
  <c r="AP263" i="18"/>
  <c r="AP264" i="18"/>
  <c r="AP265" i="18"/>
  <c r="AP266" i="18"/>
  <c r="AP267" i="18"/>
  <c r="AP268" i="18"/>
  <c r="AP269" i="18"/>
  <c r="AP270" i="18"/>
  <c r="AP271" i="18"/>
  <c r="AP272" i="18"/>
  <c r="AP273" i="18"/>
  <c r="AP274" i="18"/>
  <c r="AP275" i="18"/>
  <c r="AP276" i="18"/>
  <c r="AP277" i="18"/>
  <c r="AP278" i="18"/>
  <c r="AP279" i="18"/>
  <c r="AP280" i="18"/>
  <c r="AP281" i="18"/>
  <c r="AP282" i="18"/>
  <c r="AP283" i="18"/>
  <c r="AP284" i="18"/>
  <c r="AP285" i="18"/>
  <c r="AP286" i="18"/>
  <c r="AP287" i="18"/>
  <c r="AP288" i="18"/>
  <c r="AP289" i="18"/>
  <c r="AP290" i="18"/>
  <c r="AP291" i="18"/>
  <c r="AP292" i="18"/>
  <c r="AP293" i="18"/>
  <c r="AP294" i="18"/>
  <c r="AP295" i="18"/>
  <c r="AP296" i="18"/>
  <c r="AP297" i="18"/>
  <c r="AP298" i="18"/>
  <c r="AP299" i="18"/>
  <c r="AP300" i="18"/>
  <c r="AP301" i="18"/>
  <c r="AP302" i="18"/>
  <c r="AP303" i="18"/>
  <c r="AP304" i="18"/>
  <c r="AP305" i="18"/>
  <c r="AP306" i="18"/>
  <c r="AP307" i="18"/>
  <c r="AP308" i="18"/>
  <c r="AP309" i="18"/>
  <c r="AP310" i="18"/>
  <c r="AP311" i="18"/>
  <c r="AP312" i="18"/>
  <c r="AP313" i="18"/>
  <c r="AP314" i="18"/>
  <c r="AP315" i="18"/>
  <c r="AP316" i="18"/>
  <c r="AP317" i="18"/>
  <c r="AP318" i="18"/>
  <c r="AP319" i="18"/>
  <c r="AP320" i="18"/>
  <c r="AP321" i="18"/>
  <c r="AP322" i="18"/>
  <c r="AP323" i="18"/>
  <c r="AP324" i="18"/>
  <c r="AP325" i="18"/>
  <c r="AP326" i="18"/>
  <c r="AP327" i="18"/>
  <c r="AP328" i="18"/>
  <c r="AP329" i="18"/>
  <c r="AP330" i="18"/>
  <c r="AP331" i="18"/>
  <c r="AP332" i="18"/>
  <c r="AP333" i="18"/>
  <c r="AP334" i="18"/>
  <c r="AP335" i="18"/>
  <c r="AP336" i="18"/>
  <c r="AP337" i="18"/>
  <c r="AP338" i="18"/>
  <c r="AQ3" i="18"/>
  <c r="AQ4" i="18"/>
  <c r="AQ5" i="18"/>
  <c r="AQ6" i="18"/>
  <c r="AQ7" i="18"/>
  <c r="AQ8" i="18"/>
  <c r="AQ9" i="18"/>
  <c r="AQ10" i="18"/>
  <c r="AQ11" i="18"/>
  <c r="AQ12" i="18"/>
  <c r="AQ13" i="18"/>
  <c r="AQ14" i="18"/>
  <c r="AQ15" i="18"/>
  <c r="AQ16" i="18"/>
  <c r="AQ17" i="18"/>
  <c r="AQ18" i="18"/>
  <c r="AQ19" i="18"/>
  <c r="AQ20" i="18"/>
  <c r="AQ21" i="18"/>
  <c r="AQ22" i="18"/>
  <c r="AQ23" i="18"/>
  <c r="AQ24" i="18"/>
  <c r="AQ25" i="18"/>
  <c r="AQ26" i="18"/>
  <c r="AQ27" i="18"/>
  <c r="AQ28" i="18"/>
  <c r="AQ29" i="18"/>
  <c r="AQ30" i="18"/>
  <c r="AQ31" i="18"/>
  <c r="AQ32" i="18"/>
  <c r="AQ33" i="18"/>
  <c r="AQ34" i="18"/>
  <c r="AQ35" i="18"/>
  <c r="AQ36" i="18"/>
  <c r="AQ37" i="18"/>
  <c r="AQ38" i="18"/>
  <c r="AQ39" i="18"/>
  <c r="AQ40" i="18"/>
  <c r="AQ41" i="18"/>
  <c r="AQ42" i="18"/>
  <c r="AQ43" i="18"/>
  <c r="AQ44" i="18"/>
  <c r="AQ45" i="18"/>
  <c r="AQ46" i="18"/>
  <c r="AQ47" i="18"/>
  <c r="AQ48" i="18"/>
  <c r="AQ49" i="18"/>
  <c r="AQ50" i="18"/>
  <c r="AQ51" i="18"/>
  <c r="AQ52" i="18"/>
  <c r="AQ53" i="18"/>
  <c r="AQ54" i="18"/>
  <c r="AQ55" i="18"/>
  <c r="AQ56" i="18"/>
  <c r="AQ57" i="18"/>
  <c r="AQ58" i="18"/>
  <c r="AQ59" i="18"/>
  <c r="AQ60" i="18"/>
  <c r="AQ61" i="18"/>
  <c r="AQ62" i="18"/>
  <c r="AQ63" i="18"/>
  <c r="AQ64" i="18"/>
  <c r="AQ65" i="18"/>
  <c r="AQ66" i="18"/>
  <c r="AQ67" i="18"/>
  <c r="AQ68" i="18"/>
  <c r="AQ69" i="18"/>
  <c r="AQ70" i="18"/>
  <c r="AQ71" i="18"/>
  <c r="AQ72" i="18"/>
  <c r="AQ73" i="18"/>
  <c r="AQ74" i="18"/>
  <c r="AQ75" i="18"/>
  <c r="AQ76" i="18"/>
  <c r="AQ77" i="18"/>
  <c r="AQ78" i="18"/>
  <c r="AQ79" i="18"/>
  <c r="AQ80" i="18"/>
  <c r="AQ81" i="18"/>
  <c r="AQ82" i="18"/>
  <c r="AQ83" i="18"/>
  <c r="AQ84" i="18"/>
  <c r="AQ85" i="18"/>
  <c r="AQ86" i="18"/>
  <c r="AQ87" i="18"/>
  <c r="AQ88" i="18"/>
  <c r="AQ89" i="18"/>
  <c r="AQ90" i="18"/>
  <c r="AQ91" i="18"/>
  <c r="AQ92" i="18"/>
  <c r="AQ93" i="18"/>
  <c r="AQ94" i="18"/>
  <c r="AQ95" i="18"/>
  <c r="AQ96" i="18"/>
  <c r="AQ97" i="18"/>
  <c r="AQ98" i="18"/>
  <c r="AQ99" i="18"/>
  <c r="AQ100" i="18"/>
  <c r="AQ101" i="18"/>
  <c r="AQ102" i="18"/>
  <c r="AQ103" i="18"/>
  <c r="AQ104" i="18"/>
  <c r="AQ105" i="18"/>
  <c r="AQ106" i="18"/>
  <c r="AQ107" i="18"/>
  <c r="AQ108" i="18"/>
  <c r="AQ109" i="18"/>
  <c r="AQ110" i="18"/>
  <c r="AQ111" i="18"/>
  <c r="AQ112" i="18"/>
  <c r="AQ113" i="18"/>
  <c r="AQ114" i="18"/>
  <c r="AQ115" i="18"/>
  <c r="AQ116" i="18"/>
  <c r="AQ117" i="18"/>
  <c r="AQ118" i="18"/>
  <c r="AQ119" i="18"/>
  <c r="AQ120" i="18"/>
  <c r="AQ121" i="18"/>
  <c r="AQ122" i="18"/>
  <c r="AQ123" i="18"/>
  <c r="AQ124" i="18"/>
  <c r="AQ125" i="18"/>
  <c r="AQ126" i="18"/>
  <c r="AQ127" i="18"/>
  <c r="AQ128" i="18"/>
  <c r="AQ129" i="18"/>
  <c r="AQ130" i="18"/>
  <c r="AQ131" i="18"/>
  <c r="AQ132" i="18"/>
  <c r="AQ133" i="18"/>
  <c r="AQ134" i="18"/>
  <c r="AQ135" i="18"/>
  <c r="AQ136" i="18"/>
  <c r="AQ137" i="18"/>
  <c r="AQ138" i="18"/>
  <c r="AQ139" i="18"/>
  <c r="AQ140" i="18"/>
  <c r="AQ141" i="18"/>
  <c r="AQ142" i="18"/>
  <c r="AQ143" i="18"/>
  <c r="AQ144" i="18"/>
  <c r="AQ145" i="18"/>
  <c r="AQ146" i="18"/>
  <c r="AQ147" i="18"/>
  <c r="AQ148" i="18"/>
  <c r="AQ149" i="18"/>
  <c r="AQ150" i="18"/>
  <c r="AQ151" i="18"/>
  <c r="AQ152" i="18"/>
  <c r="AQ153" i="18"/>
  <c r="AQ154" i="18"/>
  <c r="AQ155" i="18"/>
  <c r="AQ156" i="18"/>
  <c r="AQ157" i="18"/>
  <c r="AQ158" i="18"/>
  <c r="AQ159" i="18"/>
  <c r="AQ160" i="18"/>
  <c r="AQ161" i="18"/>
  <c r="AQ162" i="18"/>
  <c r="AQ163" i="18"/>
  <c r="AQ164" i="18"/>
  <c r="AQ165" i="18"/>
  <c r="AQ166" i="18"/>
  <c r="AQ167" i="18"/>
  <c r="AQ168" i="18"/>
  <c r="AQ169" i="18"/>
  <c r="AQ170" i="18"/>
  <c r="AQ171" i="18"/>
  <c r="AQ172" i="18"/>
  <c r="AQ173" i="18"/>
  <c r="AQ174" i="18"/>
  <c r="AQ175" i="18"/>
  <c r="AQ176" i="18"/>
  <c r="AQ177" i="18"/>
  <c r="AQ178" i="18"/>
  <c r="AQ179" i="18"/>
  <c r="AQ180" i="18"/>
  <c r="AQ181" i="18"/>
  <c r="AQ182" i="18"/>
  <c r="AQ183" i="18"/>
  <c r="AQ184" i="18"/>
  <c r="AQ185" i="18"/>
  <c r="AQ186" i="18"/>
  <c r="AQ187" i="18"/>
  <c r="AQ188" i="18"/>
  <c r="AQ189" i="18"/>
  <c r="AQ190" i="18"/>
  <c r="AQ191" i="18"/>
  <c r="AQ192" i="18"/>
  <c r="AQ193" i="18"/>
  <c r="AQ194" i="18"/>
  <c r="AQ195" i="18"/>
  <c r="AQ196" i="18"/>
  <c r="AQ197" i="18"/>
  <c r="AQ198" i="18"/>
  <c r="AQ199" i="18"/>
  <c r="AQ200" i="18"/>
  <c r="AQ201" i="18"/>
  <c r="AQ202" i="18"/>
  <c r="AQ203" i="18"/>
  <c r="AQ204" i="18"/>
  <c r="AQ205" i="18"/>
  <c r="AQ206" i="18"/>
  <c r="AQ207" i="18"/>
  <c r="AQ208" i="18"/>
  <c r="AQ209" i="18"/>
  <c r="AQ210" i="18"/>
  <c r="AQ211" i="18"/>
  <c r="AQ212" i="18"/>
  <c r="AQ213" i="18"/>
  <c r="AQ214" i="18"/>
  <c r="AQ215" i="18"/>
  <c r="AQ216" i="18"/>
  <c r="AQ217" i="18"/>
  <c r="AQ218" i="18"/>
  <c r="AQ219" i="18"/>
  <c r="AQ220" i="18"/>
  <c r="AQ221" i="18"/>
  <c r="AQ222" i="18"/>
  <c r="AQ223" i="18"/>
  <c r="AQ224" i="18"/>
  <c r="AQ225" i="18"/>
  <c r="AQ226" i="18"/>
  <c r="AQ227" i="18"/>
  <c r="AQ228" i="18"/>
  <c r="AQ229" i="18"/>
  <c r="AQ230" i="18"/>
  <c r="AQ231" i="18"/>
  <c r="AQ232" i="18"/>
  <c r="AQ233" i="18"/>
  <c r="AQ234" i="18"/>
  <c r="AQ235" i="18"/>
  <c r="AQ236" i="18"/>
  <c r="AQ237" i="18"/>
  <c r="AQ238" i="18"/>
  <c r="AQ239" i="18"/>
  <c r="AQ240" i="18"/>
  <c r="AQ241" i="18"/>
  <c r="AQ242" i="18"/>
  <c r="AQ243" i="18"/>
  <c r="AQ244" i="18"/>
  <c r="AQ245" i="18"/>
  <c r="AQ246" i="18"/>
  <c r="AQ247" i="18"/>
  <c r="AQ248" i="18"/>
  <c r="AQ249" i="18"/>
  <c r="AQ250" i="18"/>
  <c r="AQ251" i="18"/>
  <c r="AQ252" i="18"/>
  <c r="AQ253" i="18"/>
  <c r="AQ254" i="18"/>
  <c r="AQ255" i="18"/>
  <c r="AQ256" i="18"/>
  <c r="AQ257" i="18"/>
  <c r="AQ258" i="18"/>
  <c r="AQ259" i="18"/>
  <c r="AQ260" i="18"/>
  <c r="AQ261" i="18"/>
  <c r="AQ262" i="18"/>
  <c r="AQ263" i="18"/>
  <c r="AQ264" i="18"/>
  <c r="AQ265" i="18"/>
  <c r="AQ266" i="18"/>
  <c r="AQ267" i="18"/>
  <c r="AQ268" i="18"/>
  <c r="AQ269" i="18"/>
  <c r="AQ270" i="18"/>
  <c r="AQ271" i="18"/>
  <c r="AQ272" i="18"/>
  <c r="AQ273" i="18"/>
  <c r="AQ274" i="18"/>
  <c r="AQ275" i="18"/>
  <c r="AQ276" i="18"/>
  <c r="AQ277" i="18"/>
  <c r="AQ278" i="18"/>
  <c r="AQ279" i="18"/>
  <c r="AQ280" i="18"/>
  <c r="AQ281" i="18"/>
  <c r="AQ282" i="18"/>
  <c r="AQ283" i="18"/>
  <c r="AQ284" i="18"/>
  <c r="AQ285" i="18"/>
  <c r="AQ286" i="18"/>
  <c r="AQ287" i="18"/>
  <c r="AQ288" i="18"/>
  <c r="AQ289" i="18"/>
  <c r="AQ290" i="18"/>
  <c r="AQ291" i="18"/>
  <c r="AQ292" i="18"/>
  <c r="AQ293" i="18"/>
  <c r="AQ294" i="18"/>
  <c r="AQ295" i="18"/>
  <c r="AQ296" i="18"/>
  <c r="AQ297" i="18"/>
  <c r="AQ298" i="18"/>
  <c r="AQ299" i="18"/>
  <c r="AQ300" i="18"/>
  <c r="AQ301" i="18"/>
  <c r="AQ302" i="18"/>
  <c r="AQ303" i="18"/>
  <c r="AQ304" i="18"/>
  <c r="AQ305" i="18"/>
  <c r="AQ306" i="18"/>
  <c r="AQ307" i="18"/>
  <c r="AQ308" i="18"/>
  <c r="AQ309" i="18"/>
  <c r="AQ310" i="18"/>
  <c r="AQ311" i="18"/>
  <c r="AQ312" i="18"/>
  <c r="AQ313" i="18"/>
  <c r="AQ314" i="18"/>
  <c r="AQ315" i="18"/>
  <c r="AQ316" i="18"/>
  <c r="AQ317" i="18"/>
  <c r="AQ318" i="18"/>
  <c r="AQ319" i="18"/>
  <c r="AQ320" i="18"/>
  <c r="AQ321" i="18"/>
  <c r="AQ322" i="18"/>
  <c r="AQ323" i="18"/>
  <c r="AQ324" i="18"/>
  <c r="AQ325" i="18"/>
  <c r="AQ326" i="18"/>
  <c r="AQ327" i="18"/>
  <c r="AQ328" i="18"/>
  <c r="AQ329" i="18"/>
  <c r="AQ330" i="18"/>
  <c r="AQ331" i="18"/>
  <c r="AQ332" i="18"/>
  <c r="AQ333" i="18"/>
  <c r="AQ334" i="18"/>
  <c r="AQ335" i="18"/>
  <c r="AQ336" i="18"/>
  <c r="AQ337" i="18"/>
  <c r="AQ338" i="18"/>
  <c r="AR3" i="18"/>
  <c r="AR4" i="18"/>
  <c r="AR5" i="18"/>
  <c r="AR6" i="18"/>
  <c r="AR7" i="18"/>
  <c r="AR8" i="18"/>
  <c r="AR9" i="18"/>
  <c r="AR10" i="18"/>
  <c r="AR11" i="18"/>
  <c r="AR12" i="18"/>
  <c r="AR13" i="18"/>
  <c r="AR14" i="18"/>
  <c r="AR15" i="18"/>
  <c r="AR16" i="18"/>
  <c r="AR17" i="18"/>
  <c r="AR18" i="18"/>
  <c r="AR19" i="18"/>
  <c r="AR20" i="18"/>
  <c r="AR21" i="18"/>
  <c r="AR22" i="18"/>
  <c r="AR23" i="18"/>
  <c r="AR24" i="18"/>
  <c r="AR25" i="18"/>
  <c r="AR26" i="18"/>
  <c r="AR27" i="18"/>
  <c r="AR28" i="18"/>
  <c r="AR29" i="18"/>
  <c r="AR30" i="18"/>
  <c r="AR31" i="18"/>
  <c r="AR32" i="18"/>
  <c r="AR33" i="18"/>
  <c r="AR34" i="18"/>
  <c r="AR35" i="18"/>
  <c r="AR36" i="18"/>
  <c r="AR37" i="18"/>
  <c r="AR38" i="18"/>
  <c r="AR39" i="18"/>
  <c r="AR40" i="18"/>
  <c r="AR41" i="18"/>
  <c r="AR42" i="18"/>
  <c r="AR43" i="18"/>
  <c r="AR44" i="18"/>
  <c r="AR45" i="18"/>
  <c r="AR46" i="18"/>
  <c r="AR47" i="18"/>
  <c r="AR48" i="18"/>
  <c r="AR49" i="18"/>
  <c r="AR50" i="18"/>
  <c r="AR51" i="18"/>
  <c r="AR52" i="18"/>
  <c r="AR53" i="18"/>
  <c r="AR54" i="18"/>
  <c r="AR55" i="18"/>
  <c r="AR56" i="18"/>
  <c r="AR57" i="18"/>
  <c r="AR58" i="18"/>
  <c r="AR59" i="18"/>
  <c r="AR60" i="18"/>
  <c r="AR61" i="18"/>
  <c r="AR62" i="18"/>
  <c r="AR63" i="18"/>
  <c r="AR64" i="18"/>
  <c r="AR65" i="18"/>
  <c r="AR66" i="18"/>
  <c r="AR67" i="18"/>
  <c r="AR68" i="18"/>
  <c r="AR69" i="18"/>
  <c r="AR70" i="18"/>
  <c r="AR71" i="18"/>
  <c r="AR72" i="18"/>
  <c r="AR73" i="18"/>
  <c r="AR74" i="18"/>
  <c r="AR75" i="18"/>
  <c r="AR76" i="18"/>
  <c r="AR77" i="18"/>
  <c r="AR78" i="18"/>
  <c r="AR79" i="18"/>
  <c r="AR80" i="18"/>
  <c r="AR81" i="18"/>
  <c r="AR82" i="18"/>
  <c r="AR83" i="18"/>
  <c r="AR84" i="18"/>
  <c r="AR85" i="18"/>
  <c r="AR86" i="18"/>
  <c r="AR87" i="18"/>
  <c r="AR88" i="18"/>
  <c r="AR89" i="18"/>
  <c r="AR90" i="18"/>
  <c r="AR91" i="18"/>
  <c r="AR92" i="18"/>
  <c r="AR93" i="18"/>
  <c r="AR94" i="18"/>
  <c r="AR95" i="18"/>
  <c r="AR96" i="18"/>
  <c r="AR97" i="18"/>
  <c r="AR98" i="18"/>
  <c r="AR99" i="18"/>
  <c r="AR100" i="18"/>
  <c r="AR101" i="18"/>
  <c r="AR102" i="18"/>
  <c r="AR103" i="18"/>
  <c r="AR104" i="18"/>
  <c r="AR105" i="18"/>
  <c r="AR106" i="18"/>
  <c r="AR107" i="18"/>
  <c r="AR108" i="18"/>
  <c r="AR109" i="18"/>
  <c r="AR110" i="18"/>
  <c r="AR111" i="18"/>
  <c r="AR112" i="18"/>
  <c r="AR113" i="18"/>
  <c r="AR114" i="18"/>
  <c r="AR115" i="18"/>
  <c r="AR116" i="18"/>
  <c r="AR117" i="18"/>
  <c r="AR118" i="18"/>
  <c r="AR119" i="18"/>
  <c r="AR120" i="18"/>
  <c r="AR121" i="18"/>
  <c r="AR122" i="18"/>
  <c r="AR123" i="18"/>
  <c r="AR124" i="18"/>
  <c r="AR125" i="18"/>
  <c r="AR126" i="18"/>
  <c r="AR127" i="18"/>
  <c r="AR128" i="18"/>
  <c r="AR129" i="18"/>
  <c r="AR130" i="18"/>
  <c r="AR131" i="18"/>
  <c r="AR132" i="18"/>
  <c r="AR133" i="18"/>
  <c r="AR134" i="18"/>
  <c r="AR135" i="18"/>
  <c r="AR136" i="18"/>
  <c r="AR137" i="18"/>
  <c r="AR138" i="18"/>
  <c r="AR139" i="18"/>
  <c r="AR140" i="18"/>
  <c r="AR141" i="18"/>
  <c r="AR142" i="18"/>
  <c r="AR143" i="18"/>
  <c r="AR144" i="18"/>
  <c r="AR145" i="18"/>
  <c r="AR146" i="18"/>
  <c r="AR147" i="18"/>
  <c r="AR148" i="18"/>
  <c r="AR149" i="18"/>
  <c r="AR150" i="18"/>
  <c r="AR151" i="18"/>
  <c r="AR152" i="18"/>
  <c r="AR153" i="18"/>
  <c r="AR154" i="18"/>
  <c r="AR155" i="18"/>
  <c r="AR156" i="18"/>
  <c r="AR157" i="18"/>
  <c r="AR158" i="18"/>
  <c r="AR159" i="18"/>
  <c r="AR160" i="18"/>
  <c r="AR161" i="18"/>
  <c r="AR162" i="18"/>
  <c r="AR163" i="18"/>
  <c r="AR164" i="18"/>
  <c r="AR165" i="18"/>
  <c r="AR166" i="18"/>
  <c r="AR167" i="18"/>
  <c r="AR168" i="18"/>
  <c r="AR169" i="18"/>
  <c r="AR170" i="18"/>
  <c r="AR171" i="18"/>
  <c r="AR172" i="18"/>
  <c r="AR173" i="18"/>
  <c r="AR174" i="18"/>
  <c r="AR175" i="18"/>
  <c r="AR176" i="18"/>
  <c r="AR177" i="18"/>
  <c r="AR178" i="18"/>
  <c r="AR179" i="18"/>
  <c r="AR180" i="18"/>
  <c r="AR181" i="18"/>
  <c r="AR182" i="18"/>
  <c r="AR183" i="18"/>
  <c r="AR184" i="18"/>
  <c r="AR185" i="18"/>
  <c r="AR186" i="18"/>
  <c r="AR187" i="18"/>
  <c r="AR188" i="18"/>
  <c r="AR189" i="18"/>
  <c r="AR190" i="18"/>
  <c r="AR191" i="18"/>
  <c r="AR192" i="18"/>
  <c r="AR193" i="18"/>
  <c r="AR194" i="18"/>
  <c r="AR195" i="18"/>
  <c r="AR196" i="18"/>
  <c r="AR197" i="18"/>
  <c r="AR198" i="18"/>
  <c r="AR199" i="18"/>
  <c r="AR200" i="18"/>
  <c r="AR201" i="18"/>
  <c r="AR202" i="18"/>
  <c r="AR203" i="18"/>
  <c r="AR204" i="18"/>
  <c r="AR205" i="18"/>
  <c r="AR206" i="18"/>
  <c r="AR207" i="18"/>
  <c r="AR208" i="18"/>
  <c r="AR209" i="18"/>
  <c r="AR210" i="18"/>
  <c r="AR211" i="18"/>
  <c r="AR212" i="18"/>
  <c r="AR213" i="18"/>
  <c r="AR214" i="18"/>
  <c r="AR215" i="18"/>
  <c r="AR216" i="18"/>
  <c r="AR217" i="18"/>
  <c r="AR218" i="18"/>
  <c r="AR219" i="18"/>
  <c r="AR220" i="18"/>
  <c r="AR221" i="18"/>
  <c r="AR222" i="18"/>
  <c r="AR223" i="18"/>
  <c r="AR224" i="18"/>
  <c r="AR225" i="18"/>
  <c r="AR226" i="18"/>
  <c r="AR227" i="18"/>
  <c r="AR228" i="18"/>
  <c r="AR229" i="18"/>
  <c r="AR230" i="18"/>
  <c r="AR231" i="18"/>
  <c r="AR232" i="18"/>
  <c r="AR233" i="18"/>
  <c r="AR234" i="18"/>
  <c r="AR235" i="18"/>
  <c r="AR236" i="18"/>
  <c r="AR237" i="18"/>
  <c r="AR238" i="18"/>
  <c r="AR239" i="18"/>
  <c r="AR240" i="18"/>
  <c r="AR241" i="18"/>
  <c r="AR242" i="18"/>
  <c r="AR243" i="18"/>
  <c r="AR244" i="18"/>
  <c r="AR245" i="18"/>
  <c r="AR246" i="18"/>
  <c r="AR247" i="18"/>
  <c r="AR248" i="18"/>
  <c r="AR249" i="18"/>
  <c r="AR250" i="18"/>
  <c r="AR251" i="18"/>
  <c r="AR252" i="18"/>
  <c r="AR253" i="18"/>
  <c r="AR254" i="18"/>
  <c r="AR255" i="18"/>
  <c r="AR256" i="18"/>
  <c r="AR257" i="18"/>
  <c r="AR258" i="18"/>
  <c r="AR259" i="18"/>
  <c r="AR260" i="18"/>
  <c r="AR261" i="18"/>
  <c r="AR262" i="18"/>
  <c r="AR263" i="18"/>
  <c r="AR264" i="18"/>
  <c r="AR265" i="18"/>
  <c r="AR266" i="18"/>
  <c r="AR267" i="18"/>
  <c r="AR268" i="18"/>
  <c r="AR269" i="18"/>
  <c r="AR270" i="18"/>
  <c r="AR271" i="18"/>
  <c r="AR272" i="18"/>
  <c r="AR273" i="18"/>
  <c r="AR274" i="18"/>
  <c r="AR275" i="18"/>
  <c r="AR276" i="18"/>
  <c r="AR277" i="18"/>
  <c r="AR278" i="18"/>
  <c r="AR279" i="18"/>
  <c r="AR280" i="18"/>
  <c r="AR281" i="18"/>
  <c r="AR282" i="18"/>
  <c r="AR283" i="18"/>
  <c r="AR284" i="18"/>
  <c r="AR285" i="18"/>
  <c r="AR286" i="18"/>
  <c r="AR287" i="18"/>
  <c r="AR288" i="18"/>
  <c r="AR289" i="18"/>
  <c r="AR290" i="18"/>
  <c r="AR291" i="18"/>
  <c r="AR292" i="18"/>
  <c r="AR293" i="18"/>
  <c r="AR294" i="18"/>
  <c r="AR295" i="18"/>
  <c r="AR296" i="18"/>
  <c r="AR297" i="18"/>
  <c r="AR298" i="18"/>
  <c r="AR299" i="18"/>
  <c r="AR300" i="18"/>
  <c r="AR301" i="18"/>
  <c r="AR302" i="18"/>
  <c r="AR303" i="18"/>
  <c r="AR304" i="18"/>
  <c r="AR305" i="18"/>
  <c r="AR306" i="18"/>
  <c r="AR307" i="18"/>
  <c r="AR308" i="18"/>
  <c r="AR309" i="18"/>
  <c r="AR310" i="18"/>
  <c r="AR311" i="18"/>
  <c r="AR312" i="18"/>
  <c r="AR313" i="18"/>
  <c r="AR314" i="18"/>
  <c r="AR315" i="18"/>
  <c r="AR316" i="18"/>
  <c r="AR317" i="18"/>
  <c r="AR318" i="18"/>
  <c r="AR319" i="18"/>
  <c r="AR320" i="18"/>
  <c r="AR321" i="18"/>
  <c r="AR322" i="18"/>
  <c r="AR323" i="18"/>
  <c r="AR324" i="18"/>
  <c r="AR325" i="18"/>
  <c r="AR326" i="18"/>
  <c r="AR327" i="18"/>
  <c r="AR328" i="18"/>
  <c r="AR329" i="18"/>
  <c r="AR330" i="18"/>
  <c r="AR331" i="18"/>
  <c r="AR332" i="18"/>
  <c r="AR333" i="18"/>
  <c r="AR334" i="18"/>
  <c r="AR335" i="18"/>
  <c r="AR336" i="18"/>
  <c r="AR337" i="18"/>
  <c r="AR338" i="18"/>
  <c r="AS3" i="18"/>
  <c r="AS4" i="18"/>
  <c r="AS5" i="18"/>
  <c r="AS6" i="18"/>
  <c r="AS7" i="18"/>
  <c r="AS8" i="18"/>
  <c r="AS9" i="18"/>
  <c r="AS10" i="18"/>
  <c r="AS11" i="18"/>
  <c r="AS12" i="18"/>
  <c r="AS13" i="18"/>
  <c r="AS14" i="18"/>
  <c r="AS15" i="18"/>
  <c r="AS16" i="18"/>
  <c r="AS17" i="18"/>
  <c r="AS18" i="18"/>
  <c r="AS19" i="18"/>
  <c r="AS20" i="18"/>
  <c r="AS21" i="18"/>
  <c r="AS22" i="18"/>
  <c r="AS23" i="18"/>
  <c r="AS24" i="18"/>
  <c r="AS25" i="18"/>
  <c r="AS26" i="18"/>
  <c r="AS27" i="18"/>
  <c r="AS28" i="18"/>
  <c r="AS29" i="18"/>
  <c r="AS30" i="18"/>
  <c r="AS31" i="18"/>
  <c r="AS32" i="18"/>
  <c r="AS33" i="18"/>
  <c r="AS34" i="18"/>
  <c r="AS35" i="18"/>
  <c r="AS36" i="18"/>
  <c r="AS37" i="18"/>
  <c r="AS38" i="18"/>
  <c r="AS39" i="18"/>
  <c r="AS40" i="18"/>
  <c r="AS41" i="18"/>
  <c r="AS42" i="18"/>
  <c r="AS43" i="18"/>
  <c r="AS44" i="18"/>
  <c r="AS45" i="18"/>
  <c r="AS46" i="18"/>
  <c r="AS47" i="18"/>
  <c r="AS48" i="18"/>
  <c r="AS49" i="18"/>
  <c r="AS50" i="18"/>
  <c r="AS51" i="18"/>
  <c r="AS52" i="18"/>
  <c r="AS53" i="18"/>
  <c r="AS54" i="18"/>
  <c r="AS55" i="18"/>
  <c r="AS56" i="18"/>
  <c r="AS57" i="18"/>
  <c r="AS58" i="18"/>
  <c r="AS59" i="18"/>
  <c r="AS60" i="18"/>
  <c r="AS61" i="18"/>
  <c r="AS62" i="18"/>
  <c r="AS63" i="18"/>
  <c r="AS64" i="18"/>
  <c r="AS65" i="18"/>
  <c r="AS66" i="18"/>
  <c r="AS67" i="18"/>
  <c r="AS68" i="18"/>
  <c r="AS69" i="18"/>
  <c r="AS70" i="18"/>
  <c r="AS71" i="18"/>
  <c r="AS72" i="18"/>
  <c r="AS73" i="18"/>
  <c r="AS74" i="18"/>
  <c r="AS75" i="18"/>
  <c r="AS76" i="18"/>
  <c r="AS77" i="18"/>
  <c r="AS78" i="18"/>
  <c r="AS79" i="18"/>
  <c r="AS80" i="18"/>
  <c r="AS81" i="18"/>
  <c r="AS82" i="18"/>
  <c r="AS83" i="18"/>
  <c r="AS84" i="18"/>
  <c r="AS85" i="18"/>
  <c r="AS86" i="18"/>
  <c r="AS87" i="18"/>
  <c r="AS88" i="18"/>
  <c r="AS89" i="18"/>
  <c r="AS90" i="18"/>
  <c r="AS91" i="18"/>
  <c r="AS92" i="18"/>
  <c r="AS93" i="18"/>
  <c r="AS94" i="18"/>
  <c r="AS95" i="18"/>
  <c r="AS96" i="18"/>
  <c r="AS97" i="18"/>
  <c r="AS98" i="18"/>
  <c r="AS99" i="18"/>
  <c r="AS100" i="18"/>
  <c r="AS101" i="18"/>
  <c r="AS102" i="18"/>
  <c r="AS103" i="18"/>
  <c r="AS104" i="18"/>
  <c r="AS105" i="18"/>
  <c r="AS106" i="18"/>
  <c r="AS107" i="18"/>
  <c r="AS108" i="18"/>
  <c r="AS109" i="18"/>
  <c r="AS110" i="18"/>
  <c r="AS111" i="18"/>
  <c r="AS112" i="18"/>
  <c r="AS113" i="18"/>
  <c r="AS114" i="18"/>
  <c r="AS115" i="18"/>
  <c r="AS116" i="18"/>
  <c r="AS117" i="18"/>
  <c r="AS118" i="18"/>
  <c r="AS119" i="18"/>
  <c r="AS120" i="18"/>
  <c r="AS121" i="18"/>
  <c r="AS122" i="18"/>
  <c r="AS123" i="18"/>
  <c r="AS124" i="18"/>
  <c r="AS125" i="18"/>
  <c r="AS126" i="18"/>
  <c r="AS127" i="18"/>
  <c r="AS128" i="18"/>
  <c r="AS129" i="18"/>
  <c r="AS130" i="18"/>
  <c r="AS131" i="18"/>
  <c r="AS132" i="18"/>
  <c r="AS133" i="18"/>
  <c r="AS134" i="18"/>
  <c r="AS135" i="18"/>
  <c r="AS136" i="18"/>
  <c r="AS137" i="18"/>
  <c r="AS138" i="18"/>
  <c r="AS139" i="18"/>
  <c r="AS140" i="18"/>
  <c r="AS141" i="18"/>
  <c r="AS142" i="18"/>
  <c r="AS143" i="18"/>
  <c r="AS144" i="18"/>
  <c r="AS145" i="18"/>
  <c r="AS146" i="18"/>
  <c r="AS147" i="18"/>
  <c r="AS148" i="18"/>
  <c r="AS149" i="18"/>
  <c r="AS150" i="18"/>
  <c r="AS151" i="18"/>
  <c r="AS152" i="18"/>
  <c r="AS153" i="18"/>
  <c r="AS154" i="18"/>
  <c r="AS155" i="18"/>
  <c r="AS156" i="18"/>
  <c r="AS157" i="18"/>
  <c r="AS158" i="18"/>
  <c r="AS159" i="18"/>
  <c r="AS160" i="18"/>
  <c r="AS161" i="18"/>
  <c r="AS162" i="18"/>
  <c r="AS163" i="18"/>
  <c r="AS164" i="18"/>
  <c r="AS165" i="18"/>
  <c r="AS166" i="18"/>
  <c r="AS167" i="18"/>
  <c r="AS168" i="18"/>
  <c r="AS169" i="18"/>
  <c r="AS170" i="18"/>
  <c r="AS171" i="18"/>
  <c r="AS172" i="18"/>
  <c r="AS173" i="18"/>
  <c r="AS174" i="18"/>
  <c r="AS175" i="18"/>
  <c r="AS176" i="18"/>
  <c r="AS177" i="18"/>
  <c r="AS178" i="18"/>
  <c r="AS179" i="18"/>
  <c r="AS180" i="18"/>
  <c r="AS181" i="18"/>
  <c r="AS182" i="18"/>
  <c r="AS183" i="18"/>
  <c r="AS184" i="18"/>
  <c r="AS185" i="18"/>
  <c r="AS186" i="18"/>
  <c r="AS187" i="18"/>
  <c r="AS188" i="18"/>
  <c r="AS189" i="18"/>
  <c r="AS190" i="18"/>
  <c r="AS191" i="18"/>
  <c r="AS192" i="18"/>
  <c r="AS193" i="18"/>
  <c r="AS194" i="18"/>
  <c r="AS195" i="18"/>
  <c r="AS196" i="18"/>
  <c r="AS197" i="18"/>
  <c r="AS198" i="18"/>
  <c r="AS199" i="18"/>
  <c r="AS200" i="18"/>
  <c r="AS201" i="18"/>
  <c r="AS202" i="18"/>
  <c r="AS203" i="18"/>
  <c r="AS204" i="18"/>
  <c r="AS205" i="18"/>
  <c r="AS206" i="18"/>
  <c r="AS207" i="18"/>
  <c r="AS208" i="18"/>
  <c r="AS209" i="18"/>
  <c r="AS210" i="18"/>
  <c r="AS211" i="18"/>
  <c r="AS212" i="18"/>
  <c r="AS213" i="18"/>
  <c r="AS214" i="18"/>
  <c r="AS215" i="18"/>
  <c r="AS216" i="18"/>
  <c r="AS217" i="18"/>
  <c r="AS218" i="18"/>
  <c r="AS219" i="18"/>
  <c r="AS220" i="18"/>
  <c r="AS221" i="18"/>
  <c r="AS222" i="18"/>
  <c r="AS223" i="18"/>
  <c r="AS224" i="18"/>
  <c r="AS225" i="18"/>
  <c r="AS226" i="18"/>
  <c r="AS227" i="18"/>
  <c r="AS228" i="18"/>
  <c r="AS229" i="18"/>
  <c r="AS230" i="18"/>
  <c r="AS231" i="18"/>
  <c r="AS232" i="18"/>
  <c r="AS233" i="18"/>
  <c r="AS234" i="18"/>
  <c r="AS235" i="18"/>
  <c r="AS236" i="18"/>
  <c r="AS237" i="18"/>
  <c r="AS238" i="18"/>
  <c r="AS239" i="18"/>
  <c r="AS240" i="18"/>
  <c r="AS241" i="18"/>
  <c r="AS242" i="18"/>
  <c r="AS243" i="18"/>
  <c r="AS244" i="18"/>
  <c r="AS245" i="18"/>
  <c r="AS246" i="18"/>
  <c r="AS247" i="18"/>
  <c r="AS248" i="18"/>
  <c r="AS249" i="18"/>
  <c r="AS250" i="18"/>
  <c r="AS251" i="18"/>
  <c r="AS252" i="18"/>
  <c r="AS253" i="18"/>
  <c r="AS254" i="18"/>
  <c r="AS255" i="18"/>
  <c r="AS256" i="18"/>
  <c r="AS257" i="18"/>
  <c r="AS258" i="18"/>
  <c r="AS259" i="18"/>
  <c r="AS260" i="18"/>
  <c r="AS261" i="18"/>
  <c r="AS262" i="18"/>
  <c r="AS263" i="18"/>
  <c r="AS264" i="18"/>
  <c r="AS265" i="18"/>
  <c r="AS266" i="18"/>
  <c r="AS267" i="18"/>
  <c r="AS268" i="18"/>
  <c r="AS269" i="18"/>
  <c r="AS270" i="18"/>
  <c r="AS271" i="18"/>
  <c r="AS272" i="18"/>
  <c r="AS273" i="18"/>
  <c r="AS274" i="18"/>
  <c r="AS275" i="18"/>
  <c r="AS276" i="18"/>
  <c r="AS277" i="18"/>
  <c r="AS278" i="18"/>
  <c r="AS279" i="18"/>
  <c r="AS280" i="18"/>
  <c r="AS281" i="18"/>
  <c r="AS282" i="18"/>
  <c r="AS283" i="18"/>
  <c r="AS284" i="18"/>
  <c r="AS285" i="18"/>
  <c r="AS286" i="18"/>
  <c r="AS287" i="18"/>
  <c r="AS288" i="18"/>
  <c r="AS289" i="18"/>
  <c r="AS290" i="18"/>
  <c r="AS291" i="18"/>
  <c r="AS292" i="18"/>
  <c r="AS293" i="18"/>
  <c r="AS294" i="18"/>
  <c r="AS295" i="18"/>
  <c r="AS296" i="18"/>
  <c r="AS297" i="18"/>
  <c r="AS298" i="18"/>
  <c r="AS299" i="18"/>
  <c r="AS300" i="18"/>
  <c r="AS301" i="18"/>
  <c r="AS302" i="18"/>
  <c r="AS303" i="18"/>
  <c r="AS304" i="18"/>
  <c r="AS305" i="18"/>
  <c r="AS306" i="18"/>
  <c r="AS307" i="18"/>
  <c r="AS308" i="18"/>
  <c r="AS309" i="18"/>
  <c r="AS310" i="18"/>
  <c r="AS311" i="18"/>
  <c r="AS312" i="18"/>
  <c r="AS313" i="18"/>
  <c r="AS314" i="18"/>
  <c r="AS315" i="18"/>
  <c r="AS316" i="18"/>
  <c r="AS317" i="18"/>
  <c r="AS318" i="18"/>
  <c r="AS319" i="18"/>
  <c r="AS320" i="18"/>
  <c r="AS321" i="18"/>
  <c r="AS322" i="18"/>
  <c r="AS323" i="18"/>
  <c r="AS324" i="18"/>
  <c r="AS325" i="18"/>
  <c r="AS326" i="18"/>
  <c r="AS327" i="18"/>
  <c r="AS328" i="18"/>
  <c r="AS329" i="18"/>
  <c r="AS330" i="18"/>
  <c r="AS331" i="18"/>
  <c r="AS332" i="18"/>
  <c r="AS333" i="18"/>
  <c r="AS334" i="18"/>
  <c r="AS335" i="18"/>
  <c r="AS336" i="18"/>
  <c r="AS337" i="18"/>
  <c r="AS338" i="18"/>
  <c r="AT3" i="18"/>
  <c r="AT4" i="18"/>
  <c r="AT5" i="18"/>
  <c r="AT6" i="18"/>
  <c r="AT7" i="18"/>
  <c r="AT8" i="18"/>
  <c r="AT9" i="18"/>
  <c r="AT10" i="18"/>
  <c r="AT11" i="18"/>
  <c r="AT12" i="18"/>
  <c r="AT13" i="18"/>
  <c r="AT14" i="18"/>
  <c r="AT15" i="18"/>
  <c r="AT16" i="18"/>
  <c r="AT17" i="18"/>
  <c r="AT18" i="18"/>
  <c r="AT19" i="18"/>
  <c r="AT20" i="18"/>
  <c r="AT21" i="18"/>
  <c r="AT22" i="18"/>
  <c r="AT23" i="18"/>
  <c r="AT24" i="18"/>
  <c r="AT25" i="18"/>
  <c r="AT26" i="18"/>
  <c r="AT27" i="18"/>
  <c r="AT28" i="18"/>
  <c r="AT29" i="18"/>
  <c r="AT30" i="18"/>
  <c r="AT31" i="18"/>
  <c r="AT32" i="18"/>
  <c r="AT33" i="18"/>
  <c r="AT34" i="18"/>
  <c r="AT35" i="18"/>
  <c r="AT36" i="18"/>
  <c r="AT37" i="18"/>
  <c r="AT38" i="18"/>
  <c r="AT39" i="18"/>
  <c r="AT40" i="18"/>
  <c r="AT41" i="18"/>
  <c r="AT42" i="18"/>
  <c r="AT43" i="18"/>
  <c r="AT44" i="18"/>
  <c r="AT45" i="18"/>
  <c r="AT46" i="18"/>
  <c r="AT47" i="18"/>
  <c r="AT48" i="18"/>
  <c r="AT49" i="18"/>
  <c r="AT50" i="18"/>
  <c r="AT51" i="18"/>
  <c r="AT52" i="18"/>
  <c r="AT53" i="18"/>
  <c r="AT54" i="18"/>
  <c r="AT55" i="18"/>
  <c r="AT56" i="18"/>
  <c r="AT57" i="18"/>
  <c r="AT58" i="18"/>
  <c r="AT59" i="18"/>
  <c r="AT60" i="18"/>
  <c r="AT61" i="18"/>
  <c r="AT62" i="18"/>
  <c r="AT63" i="18"/>
  <c r="AT64" i="18"/>
  <c r="AT65" i="18"/>
  <c r="AT66" i="18"/>
  <c r="AT67" i="18"/>
  <c r="AT68" i="18"/>
  <c r="AT69" i="18"/>
  <c r="AT70" i="18"/>
  <c r="AT71" i="18"/>
  <c r="AT72" i="18"/>
  <c r="AT73" i="18"/>
  <c r="AT74" i="18"/>
  <c r="AT75" i="18"/>
  <c r="AT76" i="18"/>
  <c r="AT77" i="18"/>
  <c r="AT78" i="18"/>
  <c r="AT79" i="18"/>
  <c r="AT80" i="18"/>
  <c r="AT81" i="18"/>
  <c r="AT82" i="18"/>
  <c r="AT83" i="18"/>
  <c r="AT84" i="18"/>
  <c r="AT85" i="18"/>
  <c r="AT86" i="18"/>
  <c r="AT87" i="18"/>
  <c r="AT88" i="18"/>
  <c r="AT89" i="18"/>
  <c r="AT90" i="18"/>
  <c r="AT91" i="18"/>
  <c r="AT92" i="18"/>
  <c r="AT93" i="18"/>
  <c r="AT94" i="18"/>
  <c r="AT95" i="18"/>
  <c r="AT96" i="18"/>
  <c r="AT97" i="18"/>
  <c r="AT98" i="18"/>
  <c r="AT99" i="18"/>
  <c r="AT100" i="18"/>
  <c r="AT101" i="18"/>
  <c r="AT102" i="18"/>
  <c r="AT103" i="18"/>
  <c r="AT104" i="18"/>
  <c r="AT105" i="18"/>
  <c r="AT106" i="18"/>
  <c r="AT107" i="18"/>
  <c r="AT108" i="18"/>
  <c r="AT109" i="18"/>
  <c r="AT110" i="18"/>
  <c r="AT111" i="18"/>
  <c r="AT112" i="18"/>
  <c r="AT113" i="18"/>
  <c r="AT114" i="18"/>
  <c r="AT115" i="18"/>
  <c r="AT116" i="18"/>
  <c r="AT117" i="18"/>
  <c r="AT118" i="18"/>
  <c r="AT119" i="18"/>
  <c r="AT120" i="18"/>
  <c r="AT121" i="18"/>
  <c r="AT122" i="18"/>
  <c r="AT123" i="18"/>
  <c r="AT124" i="18"/>
  <c r="AT125" i="18"/>
  <c r="AT126" i="18"/>
  <c r="AT127" i="18"/>
  <c r="AT128" i="18"/>
  <c r="AT129" i="18"/>
  <c r="AT130" i="18"/>
  <c r="AT131" i="18"/>
  <c r="AT132" i="18"/>
  <c r="AT133" i="18"/>
  <c r="AT134" i="18"/>
  <c r="AT135" i="18"/>
  <c r="AT136" i="18"/>
  <c r="AT137" i="18"/>
  <c r="AT138" i="18"/>
  <c r="AT139" i="18"/>
  <c r="AT140" i="18"/>
  <c r="AT141" i="18"/>
  <c r="AT142" i="18"/>
  <c r="AT143" i="18"/>
  <c r="AT144" i="18"/>
  <c r="AT145" i="18"/>
  <c r="AT146" i="18"/>
  <c r="AT147" i="18"/>
  <c r="AT148" i="18"/>
  <c r="AT149" i="18"/>
  <c r="AT150" i="18"/>
  <c r="AT151" i="18"/>
  <c r="AT152" i="18"/>
  <c r="AT153" i="18"/>
  <c r="AT154" i="18"/>
  <c r="AT155" i="18"/>
  <c r="AT156" i="18"/>
  <c r="AT157" i="18"/>
  <c r="AT158" i="18"/>
  <c r="AT159" i="18"/>
  <c r="AT160" i="18"/>
  <c r="AT161" i="18"/>
  <c r="AT162" i="18"/>
  <c r="AT163" i="18"/>
  <c r="AT164" i="18"/>
  <c r="AT165" i="18"/>
  <c r="AT166" i="18"/>
  <c r="AT167" i="18"/>
  <c r="AT168" i="18"/>
  <c r="AT169" i="18"/>
  <c r="AT170" i="18"/>
  <c r="AT171" i="18"/>
  <c r="AT172" i="18"/>
  <c r="AT173" i="18"/>
  <c r="AT174" i="18"/>
  <c r="AT175" i="18"/>
  <c r="AT176" i="18"/>
  <c r="AT177" i="18"/>
  <c r="AT178" i="18"/>
  <c r="AT179" i="18"/>
  <c r="AT180" i="18"/>
  <c r="AT181" i="18"/>
  <c r="AT182" i="18"/>
  <c r="AT183" i="18"/>
  <c r="AT184" i="18"/>
  <c r="AT185" i="18"/>
  <c r="AT186" i="18"/>
  <c r="AT187" i="18"/>
  <c r="AT188" i="18"/>
  <c r="AT189" i="18"/>
  <c r="AT190" i="18"/>
  <c r="AT191" i="18"/>
  <c r="AT192" i="18"/>
  <c r="AT193" i="18"/>
  <c r="AT194" i="18"/>
  <c r="AT195" i="18"/>
  <c r="AT196" i="18"/>
  <c r="AT197" i="18"/>
  <c r="AT198" i="18"/>
  <c r="AT199" i="18"/>
  <c r="AT200" i="18"/>
  <c r="AT201" i="18"/>
  <c r="AT202" i="18"/>
  <c r="AT203" i="18"/>
  <c r="AT204" i="18"/>
  <c r="AT205" i="18"/>
  <c r="AT206" i="18"/>
  <c r="AT207" i="18"/>
  <c r="AT208" i="18"/>
  <c r="AT209" i="18"/>
  <c r="AT210" i="18"/>
  <c r="AT211" i="18"/>
  <c r="AT212" i="18"/>
  <c r="AT213" i="18"/>
  <c r="AT214" i="18"/>
  <c r="AT215" i="18"/>
  <c r="AT216" i="18"/>
  <c r="AT217" i="18"/>
  <c r="AT218" i="18"/>
  <c r="AT219" i="18"/>
  <c r="AT220" i="18"/>
  <c r="AT221" i="18"/>
  <c r="AT222" i="18"/>
  <c r="AT223" i="18"/>
  <c r="AT224" i="18"/>
  <c r="AT225" i="18"/>
  <c r="AT226" i="18"/>
  <c r="AT227" i="18"/>
  <c r="AT228" i="18"/>
  <c r="AT229" i="18"/>
  <c r="AT230" i="18"/>
  <c r="AT231" i="18"/>
  <c r="AT232" i="18"/>
  <c r="AT233" i="18"/>
  <c r="AT234" i="18"/>
  <c r="AT235" i="18"/>
  <c r="AT236" i="18"/>
  <c r="AT237" i="18"/>
  <c r="AT238" i="18"/>
  <c r="AT239" i="18"/>
  <c r="AT240" i="18"/>
  <c r="AT241" i="18"/>
  <c r="AT242" i="18"/>
  <c r="AT243" i="18"/>
  <c r="AT244" i="18"/>
  <c r="AT245" i="18"/>
  <c r="AT246" i="18"/>
  <c r="AT247" i="18"/>
  <c r="AT248" i="18"/>
  <c r="AT249" i="18"/>
  <c r="AT250" i="18"/>
  <c r="AT251" i="18"/>
  <c r="AT252" i="18"/>
  <c r="AT253" i="18"/>
  <c r="AT254" i="18"/>
  <c r="AT255" i="18"/>
  <c r="AT256" i="18"/>
  <c r="AT257" i="18"/>
  <c r="AT258" i="18"/>
  <c r="AT259" i="18"/>
  <c r="AT260" i="18"/>
  <c r="AT261" i="18"/>
  <c r="AT262" i="18"/>
  <c r="AT263" i="18"/>
  <c r="AT264" i="18"/>
  <c r="AT265" i="18"/>
  <c r="AT266" i="18"/>
  <c r="AT267" i="18"/>
  <c r="AT268" i="18"/>
  <c r="AT269" i="18"/>
  <c r="AT270" i="18"/>
  <c r="AT271" i="18"/>
  <c r="AT272" i="18"/>
  <c r="AT273" i="18"/>
  <c r="AT274" i="18"/>
  <c r="AT275" i="18"/>
  <c r="AT276" i="18"/>
  <c r="AT277" i="18"/>
  <c r="AT278" i="18"/>
  <c r="AT279" i="18"/>
  <c r="AT280" i="18"/>
  <c r="AT281" i="18"/>
  <c r="AT282" i="18"/>
  <c r="AT283" i="18"/>
  <c r="AT284" i="18"/>
  <c r="AT285" i="18"/>
  <c r="AT286" i="18"/>
  <c r="AT287" i="18"/>
  <c r="AT288" i="18"/>
  <c r="AT289" i="18"/>
  <c r="AT290" i="18"/>
  <c r="AT291" i="18"/>
  <c r="AT292" i="18"/>
  <c r="AT293" i="18"/>
  <c r="AT294" i="18"/>
  <c r="AT295" i="18"/>
  <c r="AT296" i="18"/>
  <c r="AT297" i="18"/>
  <c r="AT298" i="18"/>
  <c r="AT299" i="18"/>
  <c r="AT300" i="18"/>
  <c r="AT301" i="18"/>
  <c r="AT302" i="18"/>
  <c r="AT303" i="18"/>
  <c r="AT304" i="18"/>
  <c r="AT305" i="18"/>
  <c r="AT306" i="18"/>
  <c r="AT307" i="18"/>
  <c r="AT308" i="18"/>
  <c r="AT309" i="18"/>
  <c r="AT310" i="18"/>
  <c r="AT311" i="18"/>
  <c r="AT312" i="18"/>
  <c r="AT313" i="18"/>
  <c r="AT314" i="18"/>
  <c r="AT315" i="18"/>
  <c r="AT316" i="18"/>
  <c r="AT317" i="18"/>
  <c r="AT318" i="18"/>
  <c r="AT319" i="18"/>
  <c r="AT320" i="18"/>
  <c r="AT321" i="18"/>
  <c r="AT322" i="18"/>
  <c r="AT323" i="18"/>
  <c r="AT324" i="18"/>
  <c r="AT325" i="18"/>
  <c r="AT326" i="18"/>
  <c r="AT327" i="18"/>
  <c r="AT328" i="18"/>
  <c r="AT329" i="18"/>
  <c r="AT330" i="18"/>
  <c r="AT331" i="18"/>
  <c r="AT332" i="18"/>
  <c r="AT333" i="18"/>
  <c r="AT334" i="18"/>
  <c r="AT335" i="18"/>
  <c r="AT336" i="18"/>
  <c r="AT337" i="18"/>
  <c r="AT338" i="18"/>
  <c r="AU3" i="18"/>
  <c r="AU4" i="18"/>
  <c r="AU5" i="18"/>
  <c r="AU6" i="18"/>
  <c r="AU7" i="18"/>
  <c r="AU8" i="18"/>
  <c r="AU9" i="18"/>
  <c r="AU10" i="18"/>
  <c r="AU11" i="18"/>
  <c r="AU12" i="18"/>
  <c r="AU13" i="18"/>
  <c r="AU14" i="18"/>
  <c r="AU15" i="18"/>
  <c r="AU16" i="18"/>
  <c r="AU17" i="18"/>
  <c r="AU18" i="18"/>
  <c r="AU19" i="18"/>
  <c r="AU20" i="18"/>
  <c r="AU21" i="18"/>
  <c r="AU22" i="18"/>
  <c r="AU23" i="18"/>
  <c r="AU24" i="18"/>
  <c r="AU25" i="18"/>
  <c r="AU26" i="18"/>
  <c r="AU27" i="18"/>
  <c r="AU28" i="18"/>
  <c r="AU29" i="18"/>
  <c r="AU30" i="18"/>
  <c r="AU31" i="18"/>
  <c r="AU32" i="18"/>
  <c r="AU33" i="18"/>
  <c r="AU34" i="18"/>
  <c r="AU35" i="18"/>
  <c r="AU36" i="18"/>
  <c r="AU37" i="18"/>
  <c r="AU38" i="18"/>
  <c r="AU39" i="18"/>
  <c r="AU40" i="18"/>
  <c r="AU41" i="18"/>
  <c r="AU42" i="18"/>
  <c r="AU43" i="18"/>
  <c r="AU44" i="18"/>
  <c r="AU45" i="18"/>
  <c r="AU46" i="18"/>
  <c r="AU47" i="18"/>
  <c r="AU48" i="18"/>
  <c r="AU49" i="18"/>
  <c r="AU50" i="18"/>
  <c r="AU51" i="18"/>
  <c r="AU52" i="18"/>
  <c r="AU53" i="18"/>
  <c r="AU54" i="18"/>
  <c r="AU55" i="18"/>
  <c r="AU56" i="18"/>
  <c r="AU57" i="18"/>
  <c r="AU58" i="18"/>
  <c r="AU59" i="18"/>
  <c r="AU60" i="18"/>
  <c r="AU61" i="18"/>
  <c r="AU62" i="18"/>
  <c r="AU63" i="18"/>
  <c r="AU64" i="18"/>
  <c r="AU65" i="18"/>
  <c r="AU66" i="18"/>
  <c r="AU67" i="18"/>
  <c r="AU68" i="18"/>
  <c r="AU69" i="18"/>
  <c r="AU70" i="18"/>
  <c r="AU71" i="18"/>
  <c r="AU72" i="18"/>
  <c r="AU73" i="18"/>
  <c r="AU74" i="18"/>
  <c r="AU75" i="18"/>
  <c r="AU76" i="18"/>
  <c r="AU77" i="18"/>
  <c r="AU78" i="18"/>
  <c r="AU79" i="18"/>
  <c r="AU80" i="18"/>
  <c r="AU81" i="18"/>
  <c r="AU82" i="18"/>
  <c r="AU83" i="18"/>
  <c r="AU84" i="18"/>
  <c r="AU85" i="18"/>
  <c r="AU86" i="18"/>
  <c r="AU87" i="18"/>
  <c r="AU88" i="18"/>
  <c r="AU89" i="18"/>
  <c r="AU90" i="18"/>
  <c r="AU91" i="18"/>
  <c r="AU92" i="18"/>
  <c r="AU93" i="18"/>
  <c r="AU94" i="18"/>
  <c r="AU95" i="18"/>
  <c r="AU96" i="18"/>
  <c r="AU97" i="18"/>
  <c r="AU98" i="18"/>
  <c r="AU99" i="18"/>
  <c r="AU100" i="18"/>
  <c r="AU101" i="18"/>
  <c r="AU102" i="18"/>
  <c r="AU103" i="18"/>
  <c r="AU104" i="18"/>
  <c r="AU105" i="18"/>
  <c r="AU106" i="18"/>
  <c r="AU107" i="18"/>
  <c r="AU108" i="18"/>
  <c r="AU109" i="18"/>
  <c r="AU110" i="18"/>
  <c r="AU111" i="18"/>
  <c r="AU112" i="18"/>
  <c r="AU113" i="18"/>
  <c r="AU114" i="18"/>
  <c r="AU115" i="18"/>
  <c r="AU116" i="18"/>
  <c r="AU117" i="18"/>
  <c r="AU118" i="18"/>
  <c r="AU119" i="18"/>
  <c r="AU120" i="18"/>
  <c r="AU121" i="18"/>
  <c r="AU122" i="18"/>
  <c r="AU123" i="18"/>
  <c r="AU124" i="18"/>
  <c r="AU125" i="18"/>
  <c r="AU126" i="18"/>
  <c r="AU127" i="18"/>
  <c r="AU128" i="18"/>
  <c r="AU129" i="18"/>
  <c r="AU130" i="18"/>
  <c r="AU131" i="18"/>
  <c r="AU132" i="18"/>
  <c r="AU133" i="18"/>
  <c r="AU134" i="18"/>
  <c r="AU135" i="18"/>
  <c r="AU136" i="18"/>
  <c r="AU137" i="18"/>
  <c r="AU138" i="18"/>
  <c r="AU139" i="18"/>
  <c r="AU140" i="18"/>
  <c r="AU141" i="18"/>
  <c r="AU142" i="18"/>
  <c r="AU143" i="18"/>
  <c r="AU144" i="18"/>
  <c r="AU145" i="18"/>
  <c r="AU146" i="18"/>
  <c r="AU147" i="18"/>
  <c r="AU148" i="18"/>
  <c r="AU149" i="18"/>
  <c r="AU150" i="18"/>
  <c r="AU151" i="18"/>
  <c r="AU152" i="18"/>
  <c r="AU153" i="18"/>
  <c r="AU154" i="18"/>
  <c r="AU155" i="18"/>
  <c r="AU156" i="18"/>
  <c r="AU157" i="18"/>
  <c r="AU158" i="18"/>
  <c r="AU159" i="18"/>
  <c r="AU160" i="18"/>
  <c r="AU161" i="18"/>
  <c r="AU162" i="18"/>
  <c r="AU163" i="18"/>
  <c r="AU164" i="18"/>
  <c r="AU165" i="18"/>
  <c r="AU166" i="18"/>
  <c r="AU167" i="18"/>
  <c r="AU168" i="18"/>
  <c r="AU169" i="18"/>
  <c r="AU170" i="18"/>
  <c r="AU171" i="18"/>
  <c r="AU172" i="18"/>
  <c r="AU173" i="18"/>
  <c r="AU174" i="18"/>
  <c r="AU175" i="18"/>
  <c r="AU176" i="18"/>
  <c r="AU177" i="18"/>
  <c r="AU178" i="18"/>
  <c r="AU179" i="18"/>
  <c r="AU180" i="18"/>
  <c r="AU181" i="18"/>
  <c r="AU182" i="18"/>
  <c r="AU183" i="18"/>
  <c r="AU184" i="18"/>
  <c r="AU185" i="18"/>
  <c r="AU186" i="18"/>
  <c r="AU187" i="18"/>
  <c r="AU188" i="18"/>
  <c r="AU189" i="18"/>
  <c r="AU190" i="18"/>
  <c r="AU191" i="18"/>
  <c r="AU192" i="18"/>
  <c r="AU193" i="18"/>
  <c r="AU194" i="18"/>
  <c r="AU195" i="18"/>
  <c r="AU196" i="18"/>
  <c r="AU197" i="18"/>
  <c r="AU198" i="18"/>
  <c r="AU199" i="18"/>
  <c r="AU200" i="18"/>
  <c r="AU201" i="18"/>
  <c r="AU202" i="18"/>
  <c r="AU203" i="18"/>
  <c r="AU204" i="18"/>
  <c r="AU205" i="18"/>
  <c r="AU206" i="18"/>
  <c r="AU207" i="18"/>
  <c r="AU208" i="18"/>
  <c r="AU209" i="18"/>
  <c r="AU210" i="18"/>
  <c r="AU211" i="18"/>
  <c r="AU212" i="18"/>
  <c r="AU213" i="18"/>
  <c r="AU214" i="18"/>
  <c r="AU215" i="18"/>
  <c r="AU216" i="18"/>
  <c r="AU217" i="18"/>
  <c r="AU218" i="18"/>
  <c r="AU219" i="18"/>
  <c r="AU220" i="18"/>
  <c r="AU221" i="18"/>
  <c r="AU222" i="18"/>
  <c r="AU223" i="18"/>
  <c r="AU224" i="18"/>
  <c r="AU225" i="18"/>
  <c r="AU226" i="18"/>
  <c r="AU227" i="18"/>
  <c r="AU228" i="18"/>
  <c r="AU229" i="18"/>
  <c r="AU230" i="18"/>
  <c r="AU231" i="18"/>
  <c r="AU232" i="18"/>
  <c r="AU233" i="18"/>
  <c r="AU234" i="18"/>
  <c r="AU235" i="18"/>
  <c r="AU236" i="18"/>
  <c r="AU237" i="18"/>
  <c r="AU238" i="18"/>
  <c r="AU239" i="18"/>
  <c r="AU240" i="18"/>
  <c r="AU241" i="18"/>
  <c r="AU242" i="18"/>
  <c r="AU243" i="18"/>
  <c r="AU244" i="18"/>
  <c r="AU245" i="18"/>
  <c r="AU246" i="18"/>
  <c r="AU247" i="18"/>
  <c r="AU248" i="18"/>
  <c r="AU249" i="18"/>
  <c r="AU250" i="18"/>
  <c r="AU251" i="18"/>
  <c r="AU252" i="18"/>
  <c r="AU253" i="18"/>
  <c r="AU254" i="18"/>
  <c r="AU255" i="18"/>
  <c r="AU256" i="18"/>
  <c r="AU257" i="18"/>
  <c r="AU258" i="18"/>
  <c r="AU259" i="18"/>
  <c r="AU260" i="18"/>
  <c r="AU261" i="18"/>
  <c r="AU262" i="18"/>
  <c r="AU263" i="18"/>
  <c r="AU264" i="18"/>
  <c r="AU265" i="18"/>
  <c r="AU266" i="18"/>
  <c r="AU267" i="18"/>
  <c r="AU268" i="18"/>
  <c r="AU269" i="18"/>
  <c r="AU270" i="18"/>
  <c r="AU271" i="18"/>
  <c r="AU272" i="18"/>
  <c r="AU273" i="18"/>
  <c r="AU274" i="18"/>
  <c r="AU275" i="18"/>
  <c r="AU276" i="18"/>
  <c r="AU277" i="18"/>
  <c r="AU278" i="18"/>
  <c r="AU279" i="18"/>
  <c r="AU280" i="18"/>
  <c r="AU281" i="18"/>
  <c r="AU282" i="18"/>
  <c r="AU283" i="18"/>
  <c r="AU284" i="18"/>
  <c r="AU285" i="18"/>
  <c r="AU286" i="18"/>
  <c r="AU287" i="18"/>
  <c r="AU288" i="18"/>
  <c r="AU289" i="18"/>
  <c r="AU290" i="18"/>
  <c r="AU291" i="18"/>
  <c r="AU292" i="18"/>
  <c r="AU293" i="18"/>
  <c r="AU294" i="18"/>
  <c r="AU295" i="18"/>
  <c r="AU296" i="18"/>
  <c r="AU297" i="18"/>
  <c r="AU298" i="18"/>
  <c r="AU299" i="18"/>
  <c r="AU300" i="18"/>
  <c r="AU301" i="18"/>
  <c r="AU302" i="18"/>
  <c r="AU303" i="18"/>
  <c r="AU304" i="18"/>
  <c r="AU305" i="18"/>
  <c r="AU306" i="18"/>
  <c r="AU307" i="18"/>
  <c r="AU308" i="18"/>
  <c r="AU309" i="18"/>
  <c r="AU310" i="18"/>
  <c r="AU311" i="18"/>
  <c r="AU312" i="18"/>
  <c r="AU313" i="18"/>
  <c r="AU314" i="18"/>
  <c r="AU315" i="18"/>
  <c r="AU316" i="18"/>
  <c r="AU317" i="18"/>
  <c r="AU318" i="18"/>
  <c r="AU319" i="18"/>
  <c r="AU320" i="18"/>
  <c r="AU321" i="18"/>
  <c r="AU322" i="18"/>
  <c r="AU323" i="18"/>
  <c r="AU324" i="18"/>
  <c r="AU325" i="18"/>
  <c r="AU326" i="18"/>
  <c r="AU327" i="18"/>
  <c r="AU328" i="18"/>
  <c r="AU329" i="18"/>
  <c r="AU330" i="18"/>
  <c r="AU331" i="18"/>
  <c r="AU332" i="18"/>
  <c r="AU333" i="18"/>
  <c r="AU334" i="18"/>
  <c r="AU335" i="18"/>
  <c r="AU336" i="18"/>
  <c r="AU337" i="18"/>
  <c r="AU338" i="18"/>
  <c r="AV3" i="18"/>
  <c r="AV4" i="18"/>
  <c r="AV5" i="18"/>
  <c r="AV6" i="18"/>
  <c r="AV7" i="18"/>
  <c r="AV8" i="18"/>
  <c r="AV9" i="18"/>
  <c r="AV10" i="18"/>
  <c r="AV11" i="18"/>
  <c r="AV12" i="18"/>
  <c r="AV13" i="18"/>
  <c r="AV14" i="18"/>
  <c r="AV15" i="18"/>
  <c r="AV16" i="18"/>
  <c r="AV17" i="18"/>
  <c r="AV18" i="18"/>
  <c r="AV19" i="18"/>
  <c r="AV20" i="18"/>
  <c r="AV21" i="18"/>
  <c r="AV22" i="18"/>
  <c r="AV23" i="18"/>
  <c r="AV24" i="18"/>
  <c r="AV25" i="18"/>
  <c r="AV26" i="18"/>
  <c r="AV27" i="18"/>
  <c r="AV28" i="18"/>
  <c r="AV29" i="18"/>
  <c r="AV30" i="18"/>
  <c r="AV31" i="18"/>
  <c r="AV32" i="18"/>
  <c r="AV33" i="18"/>
  <c r="AV34" i="18"/>
  <c r="AV35" i="18"/>
  <c r="AV36" i="18"/>
  <c r="AV37" i="18"/>
  <c r="AV38" i="18"/>
  <c r="AV39" i="18"/>
  <c r="AV40" i="18"/>
  <c r="AV41" i="18"/>
  <c r="AV42" i="18"/>
  <c r="AV43" i="18"/>
  <c r="AV44" i="18"/>
  <c r="AV45" i="18"/>
  <c r="AV46" i="18"/>
  <c r="AV47" i="18"/>
  <c r="AV48" i="18"/>
  <c r="AV49" i="18"/>
  <c r="AV50" i="18"/>
  <c r="AV51" i="18"/>
  <c r="AV52" i="18"/>
  <c r="AV53" i="18"/>
  <c r="AV54" i="18"/>
  <c r="AV55" i="18"/>
  <c r="AV56" i="18"/>
  <c r="AV57" i="18"/>
  <c r="AV58" i="18"/>
  <c r="AV59" i="18"/>
  <c r="AV60" i="18"/>
  <c r="AV61" i="18"/>
  <c r="AV62" i="18"/>
  <c r="AV63" i="18"/>
  <c r="AV64" i="18"/>
  <c r="AV65" i="18"/>
  <c r="AV66" i="18"/>
  <c r="AV67" i="18"/>
  <c r="AV68" i="18"/>
  <c r="AV69" i="18"/>
  <c r="AV70" i="18"/>
  <c r="AV71" i="18"/>
  <c r="AV72" i="18"/>
  <c r="AV73" i="18"/>
  <c r="AV74" i="18"/>
  <c r="AV75" i="18"/>
  <c r="AV76" i="18"/>
  <c r="AV77" i="18"/>
  <c r="AV78" i="18"/>
  <c r="AV79" i="18"/>
  <c r="AV80" i="18"/>
  <c r="AV81" i="18"/>
  <c r="AV82" i="18"/>
  <c r="AV83" i="18"/>
  <c r="AV84" i="18"/>
  <c r="AV85" i="18"/>
  <c r="AV86" i="18"/>
  <c r="AV87" i="18"/>
  <c r="AV88" i="18"/>
  <c r="AV89" i="18"/>
  <c r="AV90" i="18"/>
  <c r="AV91" i="18"/>
  <c r="AV92" i="18"/>
  <c r="AV93" i="18"/>
  <c r="AV94" i="18"/>
  <c r="AV95" i="18"/>
  <c r="AV96" i="18"/>
  <c r="AV97" i="18"/>
  <c r="AV98" i="18"/>
  <c r="AV99" i="18"/>
  <c r="AV100" i="18"/>
  <c r="AV101" i="18"/>
  <c r="AV102" i="18"/>
  <c r="AV103" i="18"/>
  <c r="AV104" i="18"/>
  <c r="AV105" i="18"/>
  <c r="AV106" i="18"/>
  <c r="AV107" i="18"/>
  <c r="AV108" i="18"/>
  <c r="AV109" i="18"/>
  <c r="AV110" i="18"/>
  <c r="AV111" i="18"/>
  <c r="AV112" i="18"/>
  <c r="AV113" i="18"/>
  <c r="AV114" i="18"/>
  <c r="AV115" i="18"/>
  <c r="AV116" i="18"/>
  <c r="AV117" i="18"/>
  <c r="AV118" i="18"/>
  <c r="AV119" i="18"/>
  <c r="AV120" i="18"/>
  <c r="AV121" i="18"/>
  <c r="AV122" i="18"/>
  <c r="AV123" i="18"/>
  <c r="AV124" i="18"/>
  <c r="AV125" i="18"/>
  <c r="AV126" i="18"/>
  <c r="AV127" i="18"/>
  <c r="AV128" i="18"/>
  <c r="AV129" i="18"/>
  <c r="AV130" i="18"/>
  <c r="AV131" i="18"/>
  <c r="AV132" i="18"/>
  <c r="AV133" i="18"/>
  <c r="AV134" i="18"/>
  <c r="AV135" i="18"/>
  <c r="AV136" i="18"/>
  <c r="AV137" i="18"/>
  <c r="AV138" i="18"/>
  <c r="AV139" i="18"/>
  <c r="AV140" i="18"/>
  <c r="AV141" i="18"/>
  <c r="AV142" i="18"/>
  <c r="AV143" i="18"/>
  <c r="AV144" i="18"/>
  <c r="AV145" i="18"/>
  <c r="AV146" i="18"/>
  <c r="AV147" i="18"/>
  <c r="AV148" i="18"/>
  <c r="AV149" i="18"/>
  <c r="AV150" i="18"/>
  <c r="AV151" i="18"/>
  <c r="AV152" i="18"/>
  <c r="AV153" i="18"/>
  <c r="AV154" i="18"/>
  <c r="AV155" i="18"/>
  <c r="AV156" i="18"/>
  <c r="AV157" i="18"/>
  <c r="AV158" i="18"/>
  <c r="AV159" i="18"/>
  <c r="AV160" i="18"/>
  <c r="AV161" i="18"/>
  <c r="AV162" i="18"/>
  <c r="AV163" i="18"/>
  <c r="AV164" i="18"/>
  <c r="AV165" i="18"/>
  <c r="AV166" i="18"/>
  <c r="AV167" i="18"/>
  <c r="AV168" i="18"/>
  <c r="AV169" i="18"/>
  <c r="AV170" i="18"/>
  <c r="AV171" i="18"/>
  <c r="AV172" i="18"/>
  <c r="AV173" i="18"/>
  <c r="AV174" i="18"/>
  <c r="AV175" i="18"/>
  <c r="AV176" i="18"/>
  <c r="AV177" i="18"/>
  <c r="AV178" i="18"/>
  <c r="AV179" i="18"/>
  <c r="AV180" i="18"/>
  <c r="AV181" i="18"/>
  <c r="AV182" i="18"/>
  <c r="AV183" i="18"/>
  <c r="AV184" i="18"/>
  <c r="AV185" i="18"/>
  <c r="AV186" i="18"/>
  <c r="AV187" i="18"/>
  <c r="AV188" i="18"/>
  <c r="AV189" i="18"/>
  <c r="AV190" i="18"/>
  <c r="AV191" i="18"/>
  <c r="AV192" i="18"/>
  <c r="AV193" i="18"/>
  <c r="AV194" i="18"/>
  <c r="AV195" i="18"/>
  <c r="AV196" i="18"/>
  <c r="AV197" i="18"/>
  <c r="AV198" i="18"/>
  <c r="AV199" i="18"/>
  <c r="AV200" i="18"/>
  <c r="AV201" i="18"/>
  <c r="AV202" i="18"/>
  <c r="AV203" i="18"/>
  <c r="AV204" i="18"/>
  <c r="AV205" i="18"/>
  <c r="AV206" i="18"/>
  <c r="AV207" i="18"/>
  <c r="AV208" i="18"/>
  <c r="AV209" i="18"/>
  <c r="AV210" i="18"/>
  <c r="AV211" i="18"/>
  <c r="AV212" i="18"/>
  <c r="AV213" i="18"/>
  <c r="AV214" i="18"/>
  <c r="AV215" i="18"/>
  <c r="AV216" i="18"/>
  <c r="AV217" i="18"/>
  <c r="AV218" i="18"/>
  <c r="AV219" i="18"/>
  <c r="AV220" i="18"/>
  <c r="AV221" i="18"/>
  <c r="AV222" i="18"/>
  <c r="AV223" i="18"/>
  <c r="AV224" i="18"/>
  <c r="AV225" i="18"/>
  <c r="AV226" i="18"/>
  <c r="AV227" i="18"/>
  <c r="AV228" i="18"/>
  <c r="AV229" i="18"/>
  <c r="AV230" i="18"/>
  <c r="AV231" i="18"/>
  <c r="AV232" i="18"/>
  <c r="AV233" i="18"/>
  <c r="AV234" i="18"/>
  <c r="AV235" i="18"/>
  <c r="AV236" i="18"/>
  <c r="AV237" i="18"/>
  <c r="AV238" i="18"/>
  <c r="AV239" i="18"/>
  <c r="AV240" i="18"/>
  <c r="AV241" i="18"/>
  <c r="AV242" i="18"/>
  <c r="AV243" i="18"/>
  <c r="AV244" i="18"/>
  <c r="AV245" i="18"/>
  <c r="AV246" i="18"/>
  <c r="AV247" i="18"/>
  <c r="AV248" i="18"/>
  <c r="AV249" i="18"/>
  <c r="AV250" i="18"/>
  <c r="AV251" i="18"/>
  <c r="AV252" i="18"/>
  <c r="AV253" i="18"/>
  <c r="AV254" i="18"/>
  <c r="AV255" i="18"/>
  <c r="AV256" i="18"/>
  <c r="AV257" i="18"/>
  <c r="AV258" i="18"/>
  <c r="AV259" i="18"/>
  <c r="AV260" i="18"/>
  <c r="AV261" i="18"/>
  <c r="AV262" i="18"/>
  <c r="AV263" i="18"/>
  <c r="AV264" i="18"/>
  <c r="AV265" i="18"/>
  <c r="AV266" i="18"/>
  <c r="AV267" i="18"/>
  <c r="AV268" i="18"/>
  <c r="AV269" i="18"/>
  <c r="AV270" i="18"/>
  <c r="AV271" i="18"/>
  <c r="AV272" i="18"/>
  <c r="AV273" i="18"/>
  <c r="AV274" i="18"/>
  <c r="AV275" i="18"/>
  <c r="AV276" i="18"/>
  <c r="AV277" i="18"/>
  <c r="AV278" i="18"/>
  <c r="AV279" i="18"/>
  <c r="AV280" i="18"/>
  <c r="AV281" i="18"/>
  <c r="AV282" i="18"/>
  <c r="AV283" i="18"/>
  <c r="AV284" i="18"/>
  <c r="AV285" i="18"/>
  <c r="AV286" i="18"/>
  <c r="AV287" i="18"/>
  <c r="AV288" i="18"/>
  <c r="AV289" i="18"/>
  <c r="AV290" i="18"/>
  <c r="AV291" i="18"/>
  <c r="AV292" i="18"/>
  <c r="AV293" i="18"/>
  <c r="AV294" i="18"/>
  <c r="AV295" i="18"/>
  <c r="AV296" i="18"/>
  <c r="AV297" i="18"/>
  <c r="AV298" i="18"/>
  <c r="AV299" i="18"/>
  <c r="AV300" i="18"/>
  <c r="AV301" i="18"/>
  <c r="AV302" i="18"/>
  <c r="AV303" i="18"/>
  <c r="AV304" i="18"/>
  <c r="AV305" i="18"/>
  <c r="AV306" i="18"/>
  <c r="AV307" i="18"/>
  <c r="AV308" i="18"/>
  <c r="AV309" i="18"/>
  <c r="AV310" i="18"/>
  <c r="AV311" i="18"/>
  <c r="AV312" i="18"/>
  <c r="AV313" i="18"/>
  <c r="AV314" i="18"/>
  <c r="AV315" i="18"/>
  <c r="AV316" i="18"/>
  <c r="AV317" i="18"/>
  <c r="AV318" i="18"/>
  <c r="AV319" i="18"/>
  <c r="AV320" i="18"/>
  <c r="AV321" i="18"/>
  <c r="AV322" i="18"/>
  <c r="AV323" i="18"/>
  <c r="AV324" i="18"/>
  <c r="AV325" i="18"/>
  <c r="AV326" i="18"/>
  <c r="AV327" i="18"/>
  <c r="AV328" i="18"/>
  <c r="AV329" i="18"/>
  <c r="AV330" i="18"/>
  <c r="AV331" i="18"/>
  <c r="AV332" i="18"/>
  <c r="AV333" i="18"/>
  <c r="AV334" i="18"/>
  <c r="AV335" i="18"/>
  <c r="AV336" i="18"/>
  <c r="AV337" i="18"/>
  <c r="AV338" i="18"/>
  <c r="AW3" i="18"/>
  <c r="AW4" i="18"/>
  <c r="AW5" i="18"/>
  <c r="AW6" i="18"/>
  <c r="AW7" i="18"/>
  <c r="AW8" i="18"/>
  <c r="AW9" i="18"/>
  <c r="AW10" i="18"/>
  <c r="AW11" i="18"/>
  <c r="AW12" i="18"/>
  <c r="AW13" i="18"/>
  <c r="AW14" i="18"/>
  <c r="AW15" i="18"/>
  <c r="AW16" i="18"/>
  <c r="AW17" i="18"/>
  <c r="AW18" i="18"/>
  <c r="AW19" i="18"/>
  <c r="AW20" i="18"/>
  <c r="AW21" i="18"/>
  <c r="AW22" i="18"/>
  <c r="AW23" i="18"/>
  <c r="AW24" i="18"/>
  <c r="AW25" i="18"/>
  <c r="AW26" i="18"/>
  <c r="AW27" i="18"/>
  <c r="AW28" i="18"/>
  <c r="AW29" i="18"/>
  <c r="AW30" i="18"/>
  <c r="AW31" i="18"/>
  <c r="AW32" i="18"/>
  <c r="AW33" i="18"/>
  <c r="AW34" i="18"/>
  <c r="AW35" i="18"/>
  <c r="AW36" i="18"/>
  <c r="AW37" i="18"/>
  <c r="AW38" i="18"/>
  <c r="AW39" i="18"/>
  <c r="AW40" i="18"/>
  <c r="AW41" i="18"/>
  <c r="AW42" i="18"/>
  <c r="AW43" i="18"/>
  <c r="AW44" i="18"/>
  <c r="AW45" i="18"/>
  <c r="AW46" i="18"/>
  <c r="AW47" i="18"/>
  <c r="AW48" i="18"/>
  <c r="AW49" i="18"/>
  <c r="AW50" i="18"/>
  <c r="AW51" i="18"/>
  <c r="AW52" i="18"/>
  <c r="AW53" i="18"/>
  <c r="AW54" i="18"/>
  <c r="AW55" i="18"/>
  <c r="AW56" i="18"/>
  <c r="AW57" i="18"/>
  <c r="AW58" i="18"/>
  <c r="AW59" i="18"/>
  <c r="AW60" i="18"/>
  <c r="AW61" i="18"/>
  <c r="AW62" i="18"/>
  <c r="AW63" i="18"/>
  <c r="AW64" i="18"/>
  <c r="AW65" i="18"/>
  <c r="AW66" i="18"/>
  <c r="AW67" i="18"/>
  <c r="AW68" i="18"/>
  <c r="AW69" i="18"/>
  <c r="AW70" i="18"/>
  <c r="AW71" i="18"/>
  <c r="AW72" i="18"/>
  <c r="AW73" i="18"/>
  <c r="AW74" i="18"/>
  <c r="AW75" i="18"/>
  <c r="AW76" i="18"/>
  <c r="AW77" i="18"/>
  <c r="AW78" i="18"/>
  <c r="AW79" i="18"/>
  <c r="AW80" i="18"/>
  <c r="AW81" i="18"/>
  <c r="AW82" i="18"/>
  <c r="AW83" i="18"/>
  <c r="AW84" i="18"/>
  <c r="AW85" i="18"/>
  <c r="AW86" i="18"/>
  <c r="AW87" i="18"/>
  <c r="AW88" i="18"/>
  <c r="AW89" i="18"/>
  <c r="AW90" i="18"/>
  <c r="AW91" i="18"/>
  <c r="AW92" i="18"/>
  <c r="AW93" i="18"/>
  <c r="AW94" i="18"/>
  <c r="AW95" i="18"/>
  <c r="AW96" i="18"/>
  <c r="AW97" i="18"/>
  <c r="AW98" i="18"/>
  <c r="AW99" i="18"/>
  <c r="AW100" i="18"/>
  <c r="AW101" i="18"/>
  <c r="AW102" i="18"/>
  <c r="AW103" i="18"/>
  <c r="AW104" i="18"/>
  <c r="AW105" i="18"/>
  <c r="AW106" i="18"/>
  <c r="AW107" i="18"/>
  <c r="AW108" i="18"/>
  <c r="AW109" i="18"/>
  <c r="AW110" i="18"/>
  <c r="AW111" i="18"/>
  <c r="AW112" i="18"/>
  <c r="AW113" i="18"/>
  <c r="AW114" i="18"/>
  <c r="AW115" i="18"/>
  <c r="AW116" i="18"/>
  <c r="AW117" i="18"/>
  <c r="AW118" i="18"/>
  <c r="AW119" i="18"/>
  <c r="AW120" i="18"/>
  <c r="AW121" i="18"/>
  <c r="AW122" i="18"/>
  <c r="AW123" i="18"/>
  <c r="AW124" i="18"/>
  <c r="AW125" i="18"/>
  <c r="AW126" i="18"/>
  <c r="AW127" i="18"/>
  <c r="AW128" i="18"/>
  <c r="AW129" i="18"/>
  <c r="AW130" i="18"/>
  <c r="AW131" i="18"/>
  <c r="AW132" i="18"/>
  <c r="AW133" i="18"/>
  <c r="AW134" i="18"/>
  <c r="AW135" i="18"/>
  <c r="AW136" i="18"/>
  <c r="AW137" i="18"/>
  <c r="AW138" i="18"/>
  <c r="AW139" i="18"/>
  <c r="AW140" i="18"/>
  <c r="AW141" i="18"/>
  <c r="AW142" i="18"/>
  <c r="AW143" i="18"/>
  <c r="AW144" i="18"/>
  <c r="AW145" i="18"/>
  <c r="AW146" i="18"/>
  <c r="AW147" i="18"/>
  <c r="AW148" i="18"/>
  <c r="AW149" i="18"/>
  <c r="AW150" i="18"/>
  <c r="AW151" i="18"/>
  <c r="AW152" i="18"/>
  <c r="AW153" i="18"/>
  <c r="AW154" i="18"/>
  <c r="AW155" i="18"/>
  <c r="AW156" i="18"/>
  <c r="AW157" i="18"/>
  <c r="AW158" i="18"/>
  <c r="AW159" i="18"/>
  <c r="AW160" i="18"/>
  <c r="AW161" i="18"/>
  <c r="AW162" i="18"/>
  <c r="AW163" i="18"/>
  <c r="AW164" i="18"/>
  <c r="AW165" i="18"/>
  <c r="AW166" i="18"/>
  <c r="AW167" i="18"/>
  <c r="AW168" i="18"/>
  <c r="AW169" i="18"/>
  <c r="AW170" i="18"/>
  <c r="AW171" i="18"/>
  <c r="AW172" i="18"/>
  <c r="AW173" i="18"/>
  <c r="AW174" i="18"/>
  <c r="AW175" i="18"/>
  <c r="AW176" i="18"/>
  <c r="AW177" i="18"/>
  <c r="AW178" i="18"/>
  <c r="AW179" i="18"/>
  <c r="AW180" i="18"/>
  <c r="AW181" i="18"/>
  <c r="AW182" i="18"/>
  <c r="AW183" i="18"/>
  <c r="AW184" i="18"/>
  <c r="AW185" i="18"/>
  <c r="AW186" i="18"/>
  <c r="AW187" i="18"/>
  <c r="AW188" i="18"/>
  <c r="AW189" i="18"/>
  <c r="AW190" i="18"/>
  <c r="AW191" i="18"/>
  <c r="AW192" i="18"/>
  <c r="AW193" i="18"/>
  <c r="AW194" i="18"/>
  <c r="AW195" i="18"/>
  <c r="AW196" i="18"/>
  <c r="AW197" i="18"/>
  <c r="AW198" i="18"/>
  <c r="AW199" i="18"/>
  <c r="AW200" i="18"/>
  <c r="AW201" i="18"/>
  <c r="AW202" i="18"/>
  <c r="AW203" i="18"/>
  <c r="AW204" i="18"/>
  <c r="AW205" i="18"/>
  <c r="AW206" i="18"/>
  <c r="AW207" i="18"/>
  <c r="AW208" i="18"/>
  <c r="AW209" i="18"/>
  <c r="AW210" i="18"/>
  <c r="AW211" i="18"/>
  <c r="AW212" i="18"/>
  <c r="AW213" i="18"/>
  <c r="AW214" i="18"/>
  <c r="AW215" i="18"/>
  <c r="AW216" i="18"/>
  <c r="AW217" i="18"/>
  <c r="AW218" i="18"/>
  <c r="AW219" i="18"/>
  <c r="AW220" i="18"/>
  <c r="AW221" i="18"/>
  <c r="AW222" i="18"/>
  <c r="AW223" i="18"/>
  <c r="AW224" i="18"/>
  <c r="AW225" i="18"/>
  <c r="AW226" i="18"/>
  <c r="AW227" i="18"/>
  <c r="AW228" i="18"/>
  <c r="AW229" i="18"/>
  <c r="AW230" i="18"/>
  <c r="AW231" i="18"/>
  <c r="AW232" i="18"/>
  <c r="AW233" i="18"/>
  <c r="AW234" i="18"/>
  <c r="AW235" i="18"/>
  <c r="AW236" i="18"/>
  <c r="AW237" i="18"/>
  <c r="AW238" i="18"/>
  <c r="AW239" i="18"/>
  <c r="AW240" i="18"/>
  <c r="AW241" i="18"/>
  <c r="AW242" i="18"/>
  <c r="AW243" i="18"/>
  <c r="AW244" i="18"/>
  <c r="AW245" i="18"/>
  <c r="AW246" i="18"/>
  <c r="AW247" i="18"/>
  <c r="AW248" i="18"/>
  <c r="AW249" i="18"/>
  <c r="AW250" i="18"/>
  <c r="AW251" i="18"/>
  <c r="AW252" i="18"/>
  <c r="AW253" i="18"/>
  <c r="AW254" i="18"/>
  <c r="AW255" i="18"/>
  <c r="AW256" i="18"/>
  <c r="AW257" i="18"/>
  <c r="AW258" i="18"/>
  <c r="AW259" i="18"/>
  <c r="AW260" i="18"/>
  <c r="AW261" i="18"/>
  <c r="AW262" i="18"/>
  <c r="AW263" i="18"/>
  <c r="AW264" i="18"/>
  <c r="AW265" i="18"/>
  <c r="AW266" i="18"/>
  <c r="AW267" i="18"/>
  <c r="AW268" i="18"/>
  <c r="AW269" i="18"/>
  <c r="AW270" i="18"/>
  <c r="AW271" i="18"/>
  <c r="AW272" i="18"/>
  <c r="AW273" i="18"/>
  <c r="AW274" i="18"/>
  <c r="AW275" i="18"/>
  <c r="AW276" i="18"/>
  <c r="AW277" i="18"/>
  <c r="AW278" i="18"/>
  <c r="AW279" i="18"/>
  <c r="AW280" i="18"/>
  <c r="AW281" i="18"/>
  <c r="AW282" i="18"/>
  <c r="AW283" i="18"/>
  <c r="AW284" i="18"/>
  <c r="AW285" i="18"/>
  <c r="AW286" i="18"/>
  <c r="AW287" i="18"/>
  <c r="AW288" i="18"/>
  <c r="AW289" i="18"/>
  <c r="AW290" i="18"/>
  <c r="AW291" i="18"/>
  <c r="AW292" i="18"/>
  <c r="AW293" i="18"/>
  <c r="AW294" i="18"/>
  <c r="AW295" i="18"/>
  <c r="AW296" i="18"/>
  <c r="AW297" i="18"/>
  <c r="AW298" i="18"/>
  <c r="AW299" i="18"/>
  <c r="AW300" i="18"/>
  <c r="AW301" i="18"/>
  <c r="AW302" i="18"/>
  <c r="AW303" i="18"/>
  <c r="AW304" i="18"/>
  <c r="AW305" i="18"/>
  <c r="AW306" i="18"/>
  <c r="AW307" i="18"/>
  <c r="AW308" i="18"/>
  <c r="AW309" i="18"/>
  <c r="AW310" i="18"/>
  <c r="AW311" i="18"/>
  <c r="AW312" i="18"/>
  <c r="AW313" i="18"/>
  <c r="AW314" i="18"/>
  <c r="AW315" i="18"/>
  <c r="AW316" i="18"/>
  <c r="AW317" i="18"/>
  <c r="AW318" i="18"/>
  <c r="AW319" i="18"/>
  <c r="AW320" i="18"/>
  <c r="AW321" i="18"/>
  <c r="AW322" i="18"/>
  <c r="AW323" i="18"/>
  <c r="AW324" i="18"/>
  <c r="AW325" i="18"/>
  <c r="AW326" i="18"/>
  <c r="AW327" i="18"/>
  <c r="AW328" i="18"/>
  <c r="AW329" i="18"/>
  <c r="AW330" i="18"/>
  <c r="AW331" i="18"/>
  <c r="AW332" i="18"/>
  <c r="AW333" i="18"/>
  <c r="AW334" i="18"/>
  <c r="AW335" i="18"/>
  <c r="AW336" i="18"/>
  <c r="AW337" i="18"/>
  <c r="AW338" i="18"/>
  <c r="AX3" i="18"/>
  <c r="AX4" i="18"/>
  <c r="AX5" i="18"/>
  <c r="AX6" i="18"/>
  <c r="AX7" i="18"/>
  <c r="AX8" i="18"/>
  <c r="AX9" i="18"/>
  <c r="AX10" i="18"/>
  <c r="AX11" i="18"/>
  <c r="AX12" i="18"/>
  <c r="AX13" i="18"/>
  <c r="AX14" i="18"/>
  <c r="AX15" i="18"/>
  <c r="AX16" i="18"/>
  <c r="AX17" i="18"/>
  <c r="AX18" i="18"/>
  <c r="AX19" i="18"/>
  <c r="AX20" i="18"/>
  <c r="AX21" i="18"/>
  <c r="AX22" i="18"/>
  <c r="AX23" i="18"/>
  <c r="AX24" i="18"/>
  <c r="AX25" i="18"/>
  <c r="AX26" i="18"/>
  <c r="AX27" i="18"/>
  <c r="AX28" i="18"/>
  <c r="AX29" i="18"/>
  <c r="AX30" i="18"/>
  <c r="AX31" i="18"/>
  <c r="AX32" i="18"/>
  <c r="AX33" i="18"/>
  <c r="AX34" i="18"/>
  <c r="AX35" i="18"/>
  <c r="AX36" i="18"/>
  <c r="AX37" i="18"/>
  <c r="AX38" i="18"/>
  <c r="AX39" i="18"/>
  <c r="AX40" i="18"/>
  <c r="AX41" i="18"/>
  <c r="AX42" i="18"/>
  <c r="AX43" i="18"/>
  <c r="AX44" i="18"/>
  <c r="AX45" i="18"/>
  <c r="AX46" i="18"/>
  <c r="AX47" i="18"/>
  <c r="AX48" i="18"/>
  <c r="AX49" i="18"/>
  <c r="AX50" i="18"/>
  <c r="AX51" i="18"/>
  <c r="AX52" i="18"/>
  <c r="AX53" i="18"/>
  <c r="AX54" i="18"/>
  <c r="AX55" i="18"/>
  <c r="AX56" i="18"/>
  <c r="AX57" i="18"/>
  <c r="AX58" i="18"/>
  <c r="AX59" i="18"/>
  <c r="AX60" i="18"/>
  <c r="AX61" i="18"/>
  <c r="AX62" i="18"/>
  <c r="AX63" i="18"/>
  <c r="AX64" i="18"/>
  <c r="AX65" i="18"/>
  <c r="AX66" i="18"/>
  <c r="AX67" i="18"/>
  <c r="AX68" i="18"/>
  <c r="AX69" i="18"/>
  <c r="AX70" i="18"/>
  <c r="AX71" i="18"/>
  <c r="AX72" i="18"/>
  <c r="AX73" i="18"/>
  <c r="AX74" i="18"/>
  <c r="AX75" i="18"/>
  <c r="AX76" i="18"/>
  <c r="AX77" i="18"/>
  <c r="AX78" i="18"/>
  <c r="AX79" i="18"/>
  <c r="AX80" i="18"/>
  <c r="AX81" i="18"/>
  <c r="AX82" i="18"/>
  <c r="AX83" i="18"/>
  <c r="AX84" i="18"/>
  <c r="AX85" i="18"/>
  <c r="AX86" i="18"/>
  <c r="AX87" i="18"/>
  <c r="AX88" i="18"/>
  <c r="AX89" i="18"/>
  <c r="AX90" i="18"/>
  <c r="AX91" i="18"/>
  <c r="AX92" i="18"/>
  <c r="AX93" i="18"/>
  <c r="AX94" i="18"/>
  <c r="AX95" i="18"/>
  <c r="AX96" i="18"/>
  <c r="AX97" i="18"/>
  <c r="AX98" i="18"/>
  <c r="AX99" i="18"/>
  <c r="AX100" i="18"/>
  <c r="AX101" i="18"/>
  <c r="AX102" i="18"/>
  <c r="AX103" i="18"/>
  <c r="AX104" i="18"/>
  <c r="AX105" i="18"/>
  <c r="AX106" i="18"/>
  <c r="AX107" i="18"/>
  <c r="AX108" i="18"/>
  <c r="AX109" i="18"/>
  <c r="AX110" i="18"/>
  <c r="AX111" i="18"/>
  <c r="AX112" i="18"/>
  <c r="AX113" i="18"/>
  <c r="AX114" i="18"/>
  <c r="AX115" i="18"/>
  <c r="AX116" i="18"/>
  <c r="AX117" i="18"/>
  <c r="AX118" i="18"/>
  <c r="AX119" i="18"/>
  <c r="AX120" i="18"/>
  <c r="AX121" i="18"/>
  <c r="AX122" i="18"/>
  <c r="AX123" i="18"/>
  <c r="AX124" i="18"/>
  <c r="AX125" i="18"/>
  <c r="AX126" i="18"/>
  <c r="AX127" i="18"/>
  <c r="AX128" i="18"/>
  <c r="AX129" i="18"/>
  <c r="AX130" i="18"/>
  <c r="AX131" i="18"/>
  <c r="AX132" i="18"/>
  <c r="AX133" i="18"/>
  <c r="AX134" i="18"/>
  <c r="AX135" i="18"/>
  <c r="AX136" i="18"/>
  <c r="AX137" i="18"/>
  <c r="AX138" i="18"/>
  <c r="AX139" i="18"/>
  <c r="AX140" i="18"/>
  <c r="AX141" i="18"/>
  <c r="AX142" i="18"/>
  <c r="AX143" i="18"/>
  <c r="AX144" i="18"/>
  <c r="AX145" i="18"/>
  <c r="AX146" i="18"/>
  <c r="AX147" i="18"/>
  <c r="AX148" i="18"/>
  <c r="AX149" i="18"/>
  <c r="AX150" i="18"/>
  <c r="AX151" i="18"/>
  <c r="AX152" i="18"/>
  <c r="AX153" i="18"/>
  <c r="AX154" i="18"/>
  <c r="AX155" i="18"/>
  <c r="AX156" i="18"/>
  <c r="AX157" i="18"/>
  <c r="AX158" i="18"/>
  <c r="AX159" i="18"/>
  <c r="AX160" i="18"/>
  <c r="AX161" i="18"/>
  <c r="AX162" i="18"/>
  <c r="AX163" i="18"/>
  <c r="AX164" i="18"/>
  <c r="AX165" i="18"/>
  <c r="AX166" i="18"/>
  <c r="AX167" i="18"/>
  <c r="AX168" i="18"/>
  <c r="AX169" i="18"/>
  <c r="AX170" i="18"/>
  <c r="AX171" i="18"/>
  <c r="AX172" i="18"/>
  <c r="AX173" i="18"/>
  <c r="AX174" i="18"/>
  <c r="AX175" i="18"/>
  <c r="AX176" i="18"/>
  <c r="AX177" i="18"/>
  <c r="AX178" i="18"/>
  <c r="AX179" i="18"/>
  <c r="AX180" i="18"/>
  <c r="AX181" i="18"/>
  <c r="AX182" i="18"/>
  <c r="AX183" i="18"/>
  <c r="AX184" i="18"/>
  <c r="AX185" i="18"/>
  <c r="AX186" i="18"/>
  <c r="AX187" i="18"/>
  <c r="AX188" i="18"/>
  <c r="AX189" i="18"/>
  <c r="AX190" i="18"/>
  <c r="AX191" i="18"/>
  <c r="AX192" i="18"/>
  <c r="AX193" i="18"/>
  <c r="AX194" i="18"/>
  <c r="AX195" i="18"/>
  <c r="AX196" i="18"/>
  <c r="AX197" i="18"/>
  <c r="AX198" i="18"/>
  <c r="AX199" i="18"/>
  <c r="AX200" i="18"/>
  <c r="AX201" i="18"/>
  <c r="AX202" i="18"/>
  <c r="AX203" i="18"/>
  <c r="AX204" i="18"/>
  <c r="AX205" i="18"/>
  <c r="AX206" i="18"/>
  <c r="AX207" i="18"/>
  <c r="AX208" i="18"/>
  <c r="AX209" i="18"/>
  <c r="AX210" i="18"/>
  <c r="AX211" i="18"/>
  <c r="AX212" i="18"/>
  <c r="AX213" i="18"/>
  <c r="AX214" i="18"/>
  <c r="AX215" i="18"/>
  <c r="AX216" i="18"/>
  <c r="AX217" i="18"/>
  <c r="AX218" i="18"/>
  <c r="AX219" i="18"/>
  <c r="AX220" i="18"/>
  <c r="AX221" i="18"/>
  <c r="AX222" i="18"/>
  <c r="AX223" i="18"/>
  <c r="AX224" i="18"/>
  <c r="AX225" i="18"/>
  <c r="AX226" i="18"/>
  <c r="AX227" i="18"/>
  <c r="AX228" i="18"/>
  <c r="AX229" i="18"/>
  <c r="AX230" i="18"/>
  <c r="AX231" i="18"/>
  <c r="AX232" i="18"/>
  <c r="AX233" i="18"/>
  <c r="AX234" i="18"/>
  <c r="AX235" i="18"/>
  <c r="AX236" i="18"/>
  <c r="AX237" i="18"/>
  <c r="AX238" i="18"/>
  <c r="AX239" i="18"/>
  <c r="AX240" i="18"/>
  <c r="AX241" i="18"/>
  <c r="AX242" i="18"/>
  <c r="AX243" i="18"/>
  <c r="AX244" i="18"/>
  <c r="AX245" i="18"/>
  <c r="AX246" i="18"/>
  <c r="AX247" i="18"/>
  <c r="AX248" i="18"/>
  <c r="AX249" i="18"/>
  <c r="AX250" i="18"/>
  <c r="AX251" i="18"/>
  <c r="AX252" i="18"/>
  <c r="AX253" i="18"/>
  <c r="AX254" i="18"/>
  <c r="AX255" i="18"/>
  <c r="AX256" i="18"/>
  <c r="AX257" i="18"/>
  <c r="AX258" i="18"/>
  <c r="AX259" i="18"/>
  <c r="AX260" i="18"/>
  <c r="AX261" i="18"/>
  <c r="AX262" i="18"/>
  <c r="AX263" i="18"/>
  <c r="AX264" i="18"/>
  <c r="AX265" i="18"/>
  <c r="AX266" i="18"/>
  <c r="AX267" i="18"/>
  <c r="AX268" i="18"/>
  <c r="AX269" i="18"/>
  <c r="AX270" i="18"/>
  <c r="AX271" i="18"/>
  <c r="AX272" i="18"/>
  <c r="AX273" i="18"/>
  <c r="AX274" i="18"/>
  <c r="AX275" i="18"/>
  <c r="AX276" i="18"/>
  <c r="AX277" i="18"/>
  <c r="AX278" i="18"/>
  <c r="AX279" i="18"/>
  <c r="AX280" i="18"/>
  <c r="AX281" i="18"/>
  <c r="AX282" i="18"/>
  <c r="AX283" i="18"/>
  <c r="AX284" i="18"/>
  <c r="AX285" i="18"/>
  <c r="AX286" i="18"/>
  <c r="AX287" i="18"/>
  <c r="AX288" i="18"/>
  <c r="AX289" i="18"/>
  <c r="AX290" i="18"/>
  <c r="AX291" i="18"/>
  <c r="AX292" i="18"/>
  <c r="AX293" i="18"/>
  <c r="AX294" i="18"/>
  <c r="AX295" i="18"/>
  <c r="AX296" i="18"/>
  <c r="AX297" i="18"/>
  <c r="AX298" i="18"/>
  <c r="AX299" i="18"/>
  <c r="AX300" i="18"/>
  <c r="AX301" i="18"/>
  <c r="AX302" i="18"/>
  <c r="AX303" i="18"/>
  <c r="AX304" i="18"/>
  <c r="AX305" i="18"/>
  <c r="AX306" i="18"/>
  <c r="AX307" i="18"/>
  <c r="AX308" i="18"/>
  <c r="AX309" i="18"/>
  <c r="AX310" i="18"/>
  <c r="AX311" i="18"/>
  <c r="AX312" i="18"/>
  <c r="AX313" i="18"/>
  <c r="AX314" i="18"/>
  <c r="AX315" i="18"/>
  <c r="AX316" i="18"/>
  <c r="AX317" i="18"/>
  <c r="AX318" i="18"/>
  <c r="AX319" i="18"/>
  <c r="AX320" i="18"/>
  <c r="AX321" i="18"/>
  <c r="AX322" i="18"/>
  <c r="AX323" i="18"/>
  <c r="AX324" i="18"/>
  <c r="AX325" i="18"/>
  <c r="AX326" i="18"/>
  <c r="AX327" i="18"/>
  <c r="AX328" i="18"/>
  <c r="AX329" i="18"/>
  <c r="AX330" i="18"/>
  <c r="AX331" i="18"/>
  <c r="AX332" i="18"/>
  <c r="AX333" i="18"/>
  <c r="AX334" i="18"/>
  <c r="AX335" i="18"/>
  <c r="AX336" i="18"/>
  <c r="AX337" i="18"/>
  <c r="AX338" i="18"/>
  <c r="AY3" i="18"/>
  <c r="AY4" i="18"/>
  <c r="AY5" i="18"/>
  <c r="AY6" i="18"/>
  <c r="AY7" i="18"/>
  <c r="AY8" i="18"/>
  <c r="AY9" i="18"/>
  <c r="AY10" i="18"/>
  <c r="AY11" i="18"/>
  <c r="AY12" i="18"/>
  <c r="AY13" i="18"/>
  <c r="AY14" i="18"/>
  <c r="AY15" i="18"/>
  <c r="AY16" i="18"/>
  <c r="AY17" i="18"/>
  <c r="AY18" i="18"/>
  <c r="AY19" i="18"/>
  <c r="AY20" i="18"/>
  <c r="AY21" i="18"/>
  <c r="AY22" i="18"/>
  <c r="AY23" i="18"/>
  <c r="AY24" i="18"/>
  <c r="AY25" i="18"/>
  <c r="AY26" i="18"/>
  <c r="AY27" i="18"/>
  <c r="AY28" i="18"/>
  <c r="AY29" i="18"/>
  <c r="AY30" i="18"/>
  <c r="AY31" i="18"/>
  <c r="AY32" i="18"/>
  <c r="AY33" i="18"/>
  <c r="AY34" i="18"/>
  <c r="AY35" i="18"/>
  <c r="AY36" i="18"/>
  <c r="AY37" i="18"/>
  <c r="AY38" i="18"/>
  <c r="AY39" i="18"/>
  <c r="AY40" i="18"/>
  <c r="AY41" i="18"/>
  <c r="AY42" i="18"/>
  <c r="AY43" i="18"/>
  <c r="AY44" i="18"/>
  <c r="AY45" i="18"/>
  <c r="AY46" i="18"/>
  <c r="AY47" i="18"/>
  <c r="AY48" i="18"/>
  <c r="AY49" i="18"/>
  <c r="AY50" i="18"/>
  <c r="AY51" i="18"/>
  <c r="AY52" i="18"/>
  <c r="AY53" i="18"/>
  <c r="AY54" i="18"/>
  <c r="AY55" i="18"/>
  <c r="AY56" i="18"/>
  <c r="AY57" i="18"/>
  <c r="AY58" i="18"/>
  <c r="AY59" i="18"/>
  <c r="AY60" i="18"/>
  <c r="AY61" i="18"/>
  <c r="AY62" i="18"/>
  <c r="AY63" i="18"/>
  <c r="AY64" i="18"/>
  <c r="AY65" i="18"/>
  <c r="AY66" i="18"/>
  <c r="AY67" i="18"/>
  <c r="AY68" i="18"/>
  <c r="AY69" i="18"/>
  <c r="AY70" i="18"/>
  <c r="AY71" i="18"/>
  <c r="AY72" i="18"/>
  <c r="AY73" i="18"/>
  <c r="AY74" i="18"/>
  <c r="AY75" i="18"/>
  <c r="AY76" i="18"/>
  <c r="AY77" i="18"/>
  <c r="AY78" i="18"/>
  <c r="AY79" i="18"/>
  <c r="AY80" i="18"/>
  <c r="AY81" i="18"/>
  <c r="AY82" i="18"/>
  <c r="AY83" i="18"/>
  <c r="AY84" i="18"/>
  <c r="AY85" i="18"/>
  <c r="AY86" i="18"/>
  <c r="AY87" i="18"/>
  <c r="AY88" i="18"/>
  <c r="AY89" i="18"/>
  <c r="AY90" i="18"/>
  <c r="AY91" i="18"/>
  <c r="AY92" i="18"/>
  <c r="AY93" i="18"/>
  <c r="AY94" i="18"/>
  <c r="AY95" i="18"/>
  <c r="AY96" i="18"/>
  <c r="AY97" i="18"/>
  <c r="AY98" i="18"/>
  <c r="AY99" i="18"/>
  <c r="AY100" i="18"/>
  <c r="AY101" i="18"/>
  <c r="AY102" i="18"/>
  <c r="AY103" i="18"/>
  <c r="AY104" i="18"/>
  <c r="AY105" i="18"/>
  <c r="AY106" i="18"/>
  <c r="AY107" i="18"/>
  <c r="AY108" i="18"/>
  <c r="AY109" i="18"/>
  <c r="AY110" i="18"/>
  <c r="AY111" i="18"/>
  <c r="AY112" i="18"/>
  <c r="AY113" i="18"/>
  <c r="AY114" i="18"/>
  <c r="AY115" i="18"/>
  <c r="AY116" i="18"/>
  <c r="AY117" i="18"/>
  <c r="AY118" i="18"/>
  <c r="AY119" i="18"/>
  <c r="AY120" i="18"/>
  <c r="AY121" i="18"/>
  <c r="AY122" i="18"/>
  <c r="AY123" i="18"/>
  <c r="AY124" i="18"/>
  <c r="AY125" i="18"/>
  <c r="AY126" i="18"/>
  <c r="AY127" i="18"/>
  <c r="AY128" i="18"/>
  <c r="AY129" i="18"/>
  <c r="AY130" i="18"/>
  <c r="AY131" i="18"/>
  <c r="AY132" i="18"/>
  <c r="AY133" i="18"/>
  <c r="AY134" i="18"/>
  <c r="AY135" i="18"/>
  <c r="AY136" i="18"/>
  <c r="AY137" i="18"/>
  <c r="AY138" i="18"/>
  <c r="AY139" i="18"/>
  <c r="AY140" i="18"/>
  <c r="AY141" i="18"/>
  <c r="AY142" i="18"/>
  <c r="AY143" i="18"/>
  <c r="AY144" i="18"/>
  <c r="AY145" i="18"/>
  <c r="AY146" i="18"/>
  <c r="AY147" i="18"/>
  <c r="AY148" i="18"/>
  <c r="AY149" i="18"/>
  <c r="AY150" i="18"/>
  <c r="AY151" i="18"/>
  <c r="AY152" i="18"/>
  <c r="AY153" i="18"/>
  <c r="AY154" i="18"/>
  <c r="AY155" i="18"/>
  <c r="AY156" i="18"/>
  <c r="AY157" i="18"/>
  <c r="AY158" i="18"/>
  <c r="AY159" i="18"/>
  <c r="AY160" i="18"/>
  <c r="AY161" i="18"/>
  <c r="AY162" i="18"/>
  <c r="AY163" i="18"/>
  <c r="AY164" i="18"/>
  <c r="AY165" i="18"/>
  <c r="AY166" i="18"/>
  <c r="AY167" i="18"/>
  <c r="AY168" i="18"/>
  <c r="AY169" i="18"/>
  <c r="AY170" i="18"/>
  <c r="AY171" i="18"/>
  <c r="AY172" i="18"/>
  <c r="AY173" i="18"/>
  <c r="AY174" i="18"/>
  <c r="AY175" i="18"/>
  <c r="AY176" i="18"/>
  <c r="AY177" i="18"/>
  <c r="AY178" i="18"/>
  <c r="AY179" i="18"/>
  <c r="AY180" i="18"/>
  <c r="AY181" i="18"/>
  <c r="AY182" i="18"/>
  <c r="AY183" i="18"/>
  <c r="AY184" i="18"/>
  <c r="AY185" i="18"/>
  <c r="AY186" i="18"/>
  <c r="AY187" i="18"/>
  <c r="AY188" i="18"/>
  <c r="AY189" i="18"/>
  <c r="AY190" i="18"/>
  <c r="AY191" i="18"/>
  <c r="AY192" i="18"/>
  <c r="AY193" i="18"/>
  <c r="AY194" i="18"/>
  <c r="AY195" i="18"/>
  <c r="AY196" i="18"/>
  <c r="AY197" i="18"/>
  <c r="AY198" i="18"/>
  <c r="AY199" i="18"/>
  <c r="AY200" i="18"/>
  <c r="AY201" i="18"/>
  <c r="AY202" i="18"/>
  <c r="AY203" i="18"/>
  <c r="AY204" i="18"/>
  <c r="AY205" i="18"/>
  <c r="AY206" i="18"/>
  <c r="AY207" i="18"/>
  <c r="AY208" i="18"/>
  <c r="AY209" i="18"/>
  <c r="AY210" i="18"/>
  <c r="AY211" i="18"/>
  <c r="AY212" i="18"/>
  <c r="AY213" i="18"/>
  <c r="AY214" i="18"/>
  <c r="AY215" i="18"/>
  <c r="AY216" i="18"/>
  <c r="AY217" i="18"/>
  <c r="AY218" i="18"/>
  <c r="AY219" i="18"/>
  <c r="AY220" i="18"/>
  <c r="AY221" i="18"/>
  <c r="AY222" i="18"/>
  <c r="AY223" i="18"/>
  <c r="AY224" i="18"/>
  <c r="AY225" i="18"/>
  <c r="AY226" i="18"/>
  <c r="AY227" i="18"/>
  <c r="AY228" i="18"/>
  <c r="AY229" i="18"/>
  <c r="AY230" i="18"/>
  <c r="AY231" i="18"/>
  <c r="AY232" i="18"/>
  <c r="AY233" i="18"/>
  <c r="AY234" i="18"/>
  <c r="AY235" i="18"/>
  <c r="AY236" i="18"/>
  <c r="AY237" i="18"/>
  <c r="AY238" i="18"/>
  <c r="AY239" i="18"/>
  <c r="AY240" i="18"/>
  <c r="AY241" i="18"/>
  <c r="AY242" i="18"/>
  <c r="AY243" i="18"/>
  <c r="AY244" i="18"/>
  <c r="AY245" i="18"/>
  <c r="AY246" i="18"/>
  <c r="AY247" i="18"/>
  <c r="AY248" i="18"/>
  <c r="AY249" i="18"/>
  <c r="AY250" i="18"/>
  <c r="AY251" i="18"/>
  <c r="AY252" i="18"/>
  <c r="AY253" i="18"/>
  <c r="AY254" i="18"/>
  <c r="AY255" i="18"/>
  <c r="AY256" i="18"/>
  <c r="AY257" i="18"/>
  <c r="AY258" i="18"/>
  <c r="AY259" i="18"/>
  <c r="AY260" i="18"/>
  <c r="AY261" i="18"/>
  <c r="AY262" i="18"/>
  <c r="AY263" i="18"/>
  <c r="AY264" i="18"/>
  <c r="AY265" i="18"/>
  <c r="AY266" i="18"/>
  <c r="AY267" i="18"/>
  <c r="AY268" i="18"/>
  <c r="AY269" i="18"/>
  <c r="AY270" i="18"/>
  <c r="AY271" i="18"/>
  <c r="AY272" i="18"/>
  <c r="AY273" i="18"/>
  <c r="AY274" i="18"/>
  <c r="AY275" i="18"/>
  <c r="AY276" i="18"/>
  <c r="AY277" i="18"/>
  <c r="AY278" i="18"/>
  <c r="AY279" i="18"/>
  <c r="AY280" i="18"/>
  <c r="AY281" i="18"/>
  <c r="AY282" i="18"/>
  <c r="AY283" i="18"/>
  <c r="AY284" i="18"/>
  <c r="AY285" i="18"/>
  <c r="AY286" i="18"/>
  <c r="AY287" i="18"/>
  <c r="AY288" i="18"/>
  <c r="AY289" i="18"/>
  <c r="AY290" i="18"/>
  <c r="AY291" i="18"/>
  <c r="AY292" i="18"/>
  <c r="AY293" i="18"/>
  <c r="AY294" i="18"/>
  <c r="AY295" i="18"/>
  <c r="AY296" i="18"/>
  <c r="AY297" i="18"/>
  <c r="AY298" i="18"/>
  <c r="AY299" i="18"/>
  <c r="AY300" i="18"/>
  <c r="AY301" i="18"/>
  <c r="AY302" i="18"/>
  <c r="AY303" i="18"/>
  <c r="AY304" i="18"/>
  <c r="AY305" i="18"/>
  <c r="AY306" i="18"/>
  <c r="AY307" i="18"/>
  <c r="AY308" i="18"/>
  <c r="AY309" i="18"/>
  <c r="AY310" i="18"/>
  <c r="AY311" i="18"/>
  <c r="AY312" i="18"/>
  <c r="AY313" i="18"/>
  <c r="AY314" i="18"/>
  <c r="AY315" i="18"/>
  <c r="AY316" i="18"/>
  <c r="AY317" i="18"/>
  <c r="AY318" i="18"/>
  <c r="AY319" i="18"/>
  <c r="AY320" i="18"/>
  <c r="AY321" i="18"/>
  <c r="AY322" i="18"/>
  <c r="AY323" i="18"/>
  <c r="AY324" i="18"/>
  <c r="AY325" i="18"/>
  <c r="AY326" i="18"/>
  <c r="AY327" i="18"/>
  <c r="AY328" i="18"/>
  <c r="AY329" i="18"/>
  <c r="AY330" i="18"/>
  <c r="AY331" i="18"/>
  <c r="AY332" i="18"/>
  <c r="AY333" i="18"/>
  <c r="AY334" i="18"/>
  <c r="AY335" i="18"/>
  <c r="AY336" i="18"/>
  <c r="AY337" i="18"/>
  <c r="AY338" i="18"/>
  <c r="AZ3" i="18"/>
  <c r="AZ4" i="18"/>
  <c r="AZ5" i="18"/>
  <c r="AZ6" i="18"/>
  <c r="AZ7" i="18"/>
  <c r="AZ8" i="18"/>
  <c r="AZ9" i="18"/>
  <c r="AZ10" i="18"/>
  <c r="AZ11" i="18"/>
  <c r="AZ12" i="18"/>
  <c r="AZ13" i="18"/>
  <c r="AZ14" i="18"/>
  <c r="AZ15" i="18"/>
  <c r="AZ16" i="18"/>
  <c r="AZ17" i="18"/>
  <c r="AZ18" i="18"/>
  <c r="AZ19" i="18"/>
  <c r="AZ20" i="18"/>
  <c r="AZ21" i="18"/>
  <c r="AZ22" i="18"/>
  <c r="AZ23" i="18"/>
  <c r="AZ24" i="18"/>
  <c r="AZ25" i="18"/>
  <c r="AZ26" i="18"/>
  <c r="AZ27" i="18"/>
  <c r="AZ28" i="18"/>
  <c r="AZ29" i="18"/>
  <c r="AZ30" i="18"/>
  <c r="AZ31" i="18"/>
  <c r="AZ32" i="18"/>
  <c r="AZ33" i="18"/>
  <c r="AZ34" i="18"/>
  <c r="AZ35" i="18"/>
  <c r="AZ36" i="18"/>
  <c r="AZ37" i="18"/>
  <c r="AZ38" i="18"/>
  <c r="AZ39" i="18"/>
  <c r="AZ40" i="18"/>
  <c r="AZ41" i="18"/>
  <c r="AZ42" i="18"/>
  <c r="AZ43" i="18"/>
  <c r="AZ44" i="18"/>
  <c r="AZ45" i="18"/>
  <c r="AZ46" i="18"/>
  <c r="AZ47" i="18"/>
  <c r="AZ48" i="18"/>
  <c r="AZ49" i="18"/>
  <c r="AZ50" i="18"/>
  <c r="AZ51" i="18"/>
  <c r="AZ52" i="18"/>
  <c r="AZ53" i="18"/>
  <c r="AZ54" i="18"/>
  <c r="AZ55" i="18"/>
  <c r="AZ56" i="18"/>
  <c r="AZ57" i="18"/>
  <c r="AZ58" i="18"/>
  <c r="AZ59" i="18"/>
  <c r="AZ60" i="18"/>
  <c r="AZ61" i="18"/>
  <c r="AZ62" i="18"/>
  <c r="AZ63" i="18"/>
  <c r="AZ64" i="18"/>
  <c r="AZ65" i="18"/>
  <c r="AZ66" i="18"/>
  <c r="AZ67" i="18"/>
  <c r="AZ68" i="18"/>
  <c r="AZ69" i="18"/>
  <c r="AZ70" i="18"/>
  <c r="AZ71" i="18"/>
  <c r="AZ72" i="18"/>
  <c r="AZ73" i="18"/>
  <c r="AZ74" i="18"/>
  <c r="AZ75" i="18"/>
  <c r="AZ76" i="18"/>
  <c r="AZ77" i="18"/>
  <c r="AZ78" i="18"/>
  <c r="AZ79" i="18"/>
  <c r="AZ80" i="18"/>
  <c r="AZ81" i="18"/>
  <c r="AZ82" i="18"/>
  <c r="AZ83" i="18"/>
  <c r="AZ84" i="18"/>
  <c r="AZ85" i="18"/>
  <c r="AZ86" i="18"/>
  <c r="AZ87" i="18"/>
  <c r="AZ88" i="18"/>
  <c r="AZ89" i="18"/>
  <c r="AZ90" i="18"/>
  <c r="AZ91" i="18"/>
  <c r="AZ92" i="18"/>
  <c r="AZ93" i="18"/>
  <c r="AZ94" i="18"/>
  <c r="AZ95" i="18"/>
  <c r="AZ96" i="18"/>
  <c r="AZ97" i="18"/>
  <c r="AZ98" i="18"/>
  <c r="AZ99" i="18"/>
  <c r="AZ100" i="18"/>
  <c r="AZ101" i="18"/>
  <c r="AZ102" i="18"/>
  <c r="AZ103" i="18"/>
  <c r="AZ104" i="18"/>
  <c r="AZ105" i="18"/>
  <c r="AZ106" i="18"/>
  <c r="AZ107" i="18"/>
  <c r="AZ108" i="18"/>
  <c r="AZ109" i="18"/>
  <c r="AZ110" i="18"/>
  <c r="AZ111" i="18"/>
  <c r="AZ112" i="18"/>
  <c r="AZ113" i="18"/>
  <c r="AZ114" i="18"/>
  <c r="AZ115" i="18"/>
  <c r="AZ116" i="18"/>
  <c r="AZ117" i="18"/>
  <c r="AZ118" i="18"/>
  <c r="AZ119" i="18"/>
  <c r="AZ120" i="18"/>
  <c r="AZ121" i="18"/>
  <c r="AZ122" i="18"/>
  <c r="AZ123" i="18"/>
  <c r="AZ124" i="18"/>
  <c r="AZ125" i="18"/>
  <c r="AZ126" i="18"/>
  <c r="AZ127" i="18"/>
  <c r="AZ128" i="18"/>
  <c r="AZ129" i="18"/>
  <c r="AZ130" i="18"/>
  <c r="AZ131" i="18"/>
  <c r="AZ132" i="18"/>
  <c r="AZ133" i="18"/>
  <c r="AZ134" i="18"/>
  <c r="AZ135" i="18"/>
  <c r="AZ136" i="18"/>
  <c r="AZ137" i="18"/>
  <c r="AZ138" i="18"/>
  <c r="AZ139" i="18"/>
  <c r="AZ140" i="18"/>
  <c r="AZ141" i="18"/>
  <c r="AZ142" i="18"/>
  <c r="AZ143" i="18"/>
  <c r="AZ144" i="18"/>
  <c r="AZ145" i="18"/>
  <c r="AZ146" i="18"/>
  <c r="AZ147" i="18"/>
  <c r="AZ148" i="18"/>
  <c r="AZ149" i="18"/>
  <c r="AZ150" i="18"/>
  <c r="AZ151" i="18"/>
  <c r="AZ152" i="18"/>
  <c r="AZ153" i="18"/>
  <c r="AZ154" i="18"/>
  <c r="AZ155" i="18"/>
  <c r="AZ156" i="18"/>
  <c r="AZ157" i="18"/>
  <c r="AZ158" i="18"/>
  <c r="AZ159" i="18"/>
  <c r="AZ160" i="18"/>
  <c r="AZ161" i="18"/>
  <c r="AZ162" i="18"/>
  <c r="AZ163" i="18"/>
  <c r="AZ164" i="18"/>
  <c r="AZ165" i="18"/>
  <c r="AZ166" i="18"/>
  <c r="AZ167" i="18"/>
  <c r="AZ168" i="18"/>
  <c r="AZ169" i="18"/>
  <c r="AZ170" i="18"/>
  <c r="AZ171" i="18"/>
  <c r="AZ172" i="18"/>
  <c r="AZ173" i="18"/>
  <c r="AZ174" i="18"/>
  <c r="AZ175" i="18"/>
  <c r="AZ176" i="18"/>
  <c r="AZ177" i="18"/>
  <c r="AZ178" i="18"/>
  <c r="AZ179" i="18"/>
  <c r="AZ180" i="18"/>
  <c r="AZ181" i="18"/>
  <c r="AZ182" i="18"/>
  <c r="AZ183" i="18"/>
  <c r="AZ184" i="18"/>
  <c r="AZ185" i="18"/>
  <c r="AZ186" i="18"/>
  <c r="AZ187" i="18"/>
  <c r="AZ188" i="18"/>
  <c r="AZ189" i="18"/>
  <c r="AZ190" i="18"/>
  <c r="AZ191" i="18"/>
  <c r="AZ192" i="18"/>
  <c r="AZ193" i="18"/>
  <c r="AZ194" i="18"/>
  <c r="AZ195" i="18"/>
  <c r="AZ196" i="18"/>
  <c r="AZ197" i="18"/>
  <c r="AZ198" i="18"/>
  <c r="AZ199" i="18"/>
  <c r="AZ200" i="18"/>
  <c r="AZ201" i="18"/>
  <c r="AZ202" i="18"/>
  <c r="AZ203" i="18"/>
  <c r="AZ204" i="18"/>
  <c r="AZ205" i="18"/>
  <c r="AZ206" i="18"/>
  <c r="AZ207" i="18"/>
  <c r="AZ208" i="18"/>
  <c r="AZ209" i="18"/>
  <c r="AZ210" i="18"/>
  <c r="AZ211" i="18"/>
  <c r="AZ212" i="18"/>
  <c r="AZ213" i="18"/>
  <c r="AZ214" i="18"/>
  <c r="AZ215" i="18"/>
  <c r="AZ216" i="18"/>
  <c r="AZ217" i="18"/>
  <c r="AZ218" i="18"/>
  <c r="AZ219" i="18"/>
  <c r="AZ220" i="18"/>
  <c r="AZ221" i="18"/>
  <c r="AZ222" i="18"/>
  <c r="AZ223" i="18"/>
  <c r="AZ224" i="18"/>
  <c r="AZ225" i="18"/>
  <c r="AZ226" i="18"/>
  <c r="AZ227" i="18"/>
  <c r="AZ228" i="18"/>
  <c r="AZ229" i="18"/>
  <c r="AZ230" i="18"/>
  <c r="AZ231" i="18"/>
  <c r="AZ232" i="18"/>
  <c r="AZ233" i="18"/>
  <c r="AZ234" i="18"/>
  <c r="AZ235" i="18"/>
  <c r="AZ236" i="18"/>
  <c r="AZ237" i="18"/>
  <c r="AZ238" i="18"/>
  <c r="AZ239" i="18"/>
  <c r="AZ240" i="18"/>
  <c r="AZ241" i="18"/>
  <c r="AZ242" i="18"/>
  <c r="AZ243" i="18"/>
  <c r="AZ244" i="18"/>
  <c r="AZ245" i="18"/>
  <c r="AZ246" i="18"/>
  <c r="AZ247" i="18"/>
  <c r="AZ248" i="18"/>
  <c r="AZ249" i="18"/>
  <c r="AZ250" i="18"/>
  <c r="AZ251" i="18"/>
  <c r="AZ252" i="18"/>
  <c r="AZ253" i="18"/>
  <c r="AZ254" i="18"/>
  <c r="AZ255" i="18"/>
  <c r="AZ256" i="18"/>
  <c r="AZ257" i="18"/>
  <c r="AZ258" i="18"/>
  <c r="AZ259" i="18"/>
  <c r="AZ260" i="18"/>
  <c r="AZ261" i="18"/>
  <c r="AZ262" i="18"/>
  <c r="AZ263" i="18"/>
  <c r="AZ264" i="18"/>
  <c r="AZ265" i="18"/>
  <c r="AZ266" i="18"/>
  <c r="AZ267" i="18"/>
  <c r="AZ268" i="18"/>
  <c r="AZ269" i="18"/>
  <c r="AZ270" i="18"/>
  <c r="AZ271" i="18"/>
  <c r="AZ272" i="18"/>
  <c r="AZ273" i="18"/>
  <c r="AZ274" i="18"/>
  <c r="AZ275" i="18"/>
  <c r="AZ276" i="18"/>
  <c r="AZ277" i="18"/>
  <c r="AZ278" i="18"/>
  <c r="AZ279" i="18"/>
  <c r="AZ280" i="18"/>
  <c r="AZ281" i="18"/>
  <c r="AZ282" i="18"/>
  <c r="AZ283" i="18"/>
  <c r="AZ284" i="18"/>
  <c r="AZ285" i="18"/>
  <c r="AZ286" i="18"/>
  <c r="AZ287" i="18"/>
  <c r="AZ288" i="18"/>
  <c r="AZ289" i="18"/>
  <c r="AZ290" i="18"/>
  <c r="AZ291" i="18"/>
  <c r="AZ292" i="18"/>
  <c r="AZ293" i="18"/>
  <c r="AZ294" i="18"/>
  <c r="AZ295" i="18"/>
  <c r="AZ296" i="18"/>
  <c r="AZ297" i="18"/>
  <c r="AZ298" i="18"/>
  <c r="AZ299" i="18"/>
  <c r="AZ300" i="18"/>
  <c r="AZ301" i="18"/>
  <c r="AZ302" i="18"/>
  <c r="AZ303" i="18"/>
  <c r="AZ304" i="18"/>
  <c r="AZ305" i="18"/>
  <c r="AZ306" i="18"/>
  <c r="AZ307" i="18"/>
  <c r="AZ308" i="18"/>
  <c r="AZ309" i="18"/>
  <c r="AZ310" i="18"/>
  <c r="AZ311" i="18"/>
  <c r="AZ312" i="18"/>
  <c r="AZ313" i="18"/>
  <c r="AZ314" i="18"/>
  <c r="AZ315" i="18"/>
  <c r="AZ316" i="18"/>
  <c r="AZ317" i="18"/>
  <c r="AZ318" i="18"/>
  <c r="AZ319" i="18"/>
  <c r="AZ320" i="18"/>
  <c r="AZ321" i="18"/>
  <c r="AZ322" i="18"/>
  <c r="AZ323" i="18"/>
  <c r="AZ324" i="18"/>
  <c r="AZ325" i="18"/>
  <c r="AZ326" i="18"/>
  <c r="AZ327" i="18"/>
  <c r="AZ328" i="18"/>
  <c r="AZ329" i="18"/>
  <c r="AZ330" i="18"/>
  <c r="AZ331" i="18"/>
  <c r="AZ332" i="18"/>
  <c r="AZ333" i="18"/>
  <c r="AZ334" i="18"/>
  <c r="AZ335" i="18"/>
  <c r="AZ336" i="18"/>
  <c r="AZ337" i="18"/>
  <c r="AZ338" i="18"/>
  <c r="BA3" i="18"/>
  <c r="BA4" i="18"/>
  <c r="BA5" i="18"/>
  <c r="BA6" i="18"/>
  <c r="BA7" i="18"/>
  <c r="BA8" i="18"/>
  <c r="BA9" i="18"/>
  <c r="BA10" i="18"/>
  <c r="BA11" i="18"/>
  <c r="BA12" i="18"/>
  <c r="BA13" i="18"/>
  <c r="BA14" i="18"/>
  <c r="BA15" i="18"/>
  <c r="BA16" i="18"/>
  <c r="BA17" i="18"/>
  <c r="BA18" i="18"/>
  <c r="BA19" i="18"/>
  <c r="BA20" i="18"/>
  <c r="BA21" i="18"/>
  <c r="BA22" i="18"/>
  <c r="BA23" i="18"/>
  <c r="BA24" i="18"/>
  <c r="BA25" i="18"/>
  <c r="BA26" i="18"/>
  <c r="BA27" i="18"/>
  <c r="BA28" i="18"/>
  <c r="BA29" i="18"/>
  <c r="BA30" i="18"/>
  <c r="BA31" i="18"/>
  <c r="BA32" i="18"/>
  <c r="BA33" i="18"/>
  <c r="BA34" i="18"/>
  <c r="BA35" i="18"/>
  <c r="BA36" i="18"/>
  <c r="BA37" i="18"/>
  <c r="BA38" i="18"/>
  <c r="BA39" i="18"/>
  <c r="BA40" i="18"/>
  <c r="BA41" i="18"/>
  <c r="BA42" i="18"/>
  <c r="BA43" i="18"/>
  <c r="BA44" i="18"/>
  <c r="BA45" i="18"/>
  <c r="BA46" i="18"/>
  <c r="BA47" i="18"/>
  <c r="BA48" i="18"/>
  <c r="BA49" i="18"/>
  <c r="BA50" i="18"/>
  <c r="BA51" i="18"/>
  <c r="BA52" i="18"/>
  <c r="BA53" i="18"/>
  <c r="BA54" i="18"/>
  <c r="BA55" i="18"/>
  <c r="BA56" i="18"/>
  <c r="BA57" i="18"/>
  <c r="BA58" i="18"/>
  <c r="BA59" i="18"/>
  <c r="BA60" i="18"/>
  <c r="BA61" i="18"/>
  <c r="BA62" i="18"/>
  <c r="BA63" i="18"/>
  <c r="BA64" i="18"/>
  <c r="BA65" i="18"/>
  <c r="BA66" i="18"/>
  <c r="BA67" i="18"/>
  <c r="BA68" i="18"/>
  <c r="BA69" i="18"/>
  <c r="BA70" i="18"/>
  <c r="BA71" i="18"/>
  <c r="BA72" i="18"/>
  <c r="BA73" i="18"/>
  <c r="BA74" i="18"/>
  <c r="BA75" i="18"/>
  <c r="BA76" i="18"/>
  <c r="BA77" i="18"/>
  <c r="BA78" i="18"/>
  <c r="BA79" i="18"/>
  <c r="BA80" i="18"/>
  <c r="BA81" i="18"/>
  <c r="BA82" i="18"/>
  <c r="BA83" i="18"/>
  <c r="BA84" i="18"/>
  <c r="BA85" i="18"/>
  <c r="BA86" i="18"/>
  <c r="BA87" i="18"/>
  <c r="BA88" i="18"/>
  <c r="BA89" i="18"/>
  <c r="BA90" i="18"/>
  <c r="BA91" i="18"/>
  <c r="BA92" i="18"/>
  <c r="BA93" i="18"/>
  <c r="BA94" i="18"/>
  <c r="BA95" i="18"/>
  <c r="BA96" i="18"/>
  <c r="BA97" i="18"/>
  <c r="BA98" i="18"/>
  <c r="BA99" i="18"/>
  <c r="BA100" i="18"/>
  <c r="BA101" i="18"/>
  <c r="BA102" i="18"/>
  <c r="BA103" i="18"/>
  <c r="BA104" i="18"/>
  <c r="BA105" i="18"/>
  <c r="BA106" i="18"/>
  <c r="BA107" i="18"/>
  <c r="BA108" i="18"/>
  <c r="BA109" i="18"/>
  <c r="BA110" i="18"/>
  <c r="BA111" i="18"/>
  <c r="BA112" i="18"/>
  <c r="BA113" i="18"/>
  <c r="BA114" i="18"/>
  <c r="BA115" i="18"/>
  <c r="BA116" i="18"/>
  <c r="BA117" i="18"/>
  <c r="BA118" i="18"/>
  <c r="BA119" i="18"/>
  <c r="BA120" i="18"/>
  <c r="BA121" i="18"/>
  <c r="BA122" i="18"/>
  <c r="BA123" i="18"/>
  <c r="BA124" i="18"/>
  <c r="BA125" i="18"/>
  <c r="BA126" i="18"/>
  <c r="BA127" i="18"/>
  <c r="BA128" i="18"/>
  <c r="BA129" i="18"/>
  <c r="BA130" i="18"/>
  <c r="BA131" i="18"/>
  <c r="BA132" i="18"/>
  <c r="BA133" i="18"/>
  <c r="BA134" i="18"/>
  <c r="BA135" i="18"/>
  <c r="BA136" i="18"/>
  <c r="BA137" i="18"/>
  <c r="BA138" i="18"/>
  <c r="BA139" i="18"/>
  <c r="BA140" i="18"/>
  <c r="BA141" i="18"/>
  <c r="BA142" i="18"/>
  <c r="BA143" i="18"/>
  <c r="BA144" i="18"/>
  <c r="BA145" i="18"/>
  <c r="BA146" i="18"/>
  <c r="BA147" i="18"/>
  <c r="BA148" i="18"/>
  <c r="BA149" i="18"/>
  <c r="BA150" i="18"/>
  <c r="BA151" i="18"/>
  <c r="BA152" i="18"/>
  <c r="BA153" i="18"/>
  <c r="BA154" i="18"/>
  <c r="BA155" i="18"/>
  <c r="BA156" i="18"/>
  <c r="BA157" i="18"/>
  <c r="BA158" i="18"/>
  <c r="BA159" i="18"/>
  <c r="BA160" i="18"/>
  <c r="BA161" i="18"/>
  <c r="BA162" i="18"/>
  <c r="BA163" i="18"/>
  <c r="BA164" i="18"/>
  <c r="BA165" i="18"/>
  <c r="BA166" i="18"/>
  <c r="BA167" i="18"/>
  <c r="BA168" i="18"/>
  <c r="BA169" i="18"/>
  <c r="BA170" i="18"/>
  <c r="BA171" i="18"/>
  <c r="BA172" i="18"/>
  <c r="BA173" i="18"/>
  <c r="BA174" i="18"/>
  <c r="BA175" i="18"/>
  <c r="BA176" i="18"/>
  <c r="BA177" i="18"/>
  <c r="BA178" i="18"/>
  <c r="BA179" i="18"/>
  <c r="BA180" i="18"/>
  <c r="BA181" i="18"/>
  <c r="BA182" i="18"/>
  <c r="BA183" i="18"/>
  <c r="BA184" i="18"/>
  <c r="BA185" i="18"/>
  <c r="BA186" i="18"/>
  <c r="BA187" i="18"/>
  <c r="BA188" i="18"/>
  <c r="BA189" i="18"/>
  <c r="BA190" i="18"/>
  <c r="BA191" i="18"/>
  <c r="BA192" i="18"/>
  <c r="BA193" i="18"/>
  <c r="BA194" i="18"/>
  <c r="BA195" i="18"/>
  <c r="BA196" i="18"/>
  <c r="BA197" i="18"/>
  <c r="BA198" i="18"/>
  <c r="BA199" i="18"/>
  <c r="BA200" i="18"/>
  <c r="BA201" i="18"/>
  <c r="BA202" i="18"/>
  <c r="BA203" i="18"/>
  <c r="BA204" i="18"/>
  <c r="BA205" i="18"/>
  <c r="BA206" i="18"/>
  <c r="BA207" i="18"/>
  <c r="BA208" i="18"/>
  <c r="BA209" i="18"/>
  <c r="BA210" i="18"/>
  <c r="BA211" i="18"/>
  <c r="BA212" i="18"/>
  <c r="BA213" i="18"/>
  <c r="BA214" i="18"/>
  <c r="BA215" i="18"/>
  <c r="BA216" i="18"/>
  <c r="BA217" i="18"/>
  <c r="BA218" i="18"/>
  <c r="BA219" i="18"/>
  <c r="BA220" i="18"/>
  <c r="BA221" i="18"/>
  <c r="BA222" i="18"/>
  <c r="BA223" i="18"/>
  <c r="BA224" i="18"/>
  <c r="BA225" i="18"/>
  <c r="BA226" i="18"/>
  <c r="BA227" i="18"/>
  <c r="BA228" i="18"/>
  <c r="BA229" i="18"/>
  <c r="BA230" i="18"/>
  <c r="BA231" i="18"/>
  <c r="BA232" i="18"/>
  <c r="BA233" i="18"/>
  <c r="BA234" i="18"/>
  <c r="BA235" i="18"/>
  <c r="BA236" i="18"/>
  <c r="BA237" i="18"/>
  <c r="BA238" i="18"/>
  <c r="BA239" i="18"/>
  <c r="BA240" i="18"/>
  <c r="BA241" i="18"/>
  <c r="BA242" i="18"/>
  <c r="BA243" i="18"/>
  <c r="BA244" i="18"/>
  <c r="BA245" i="18"/>
  <c r="BA246" i="18"/>
  <c r="BA247" i="18"/>
  <c r="BA248" i="18"/>
  <c r="BA249" i="18"/>
  <c r="BA250" i="18"/>
  <c r="BA251" i="18"/>
  <c r="BA252" i="18"/>
  <c r="BA253" i="18"/>
  <c r="BA254" i="18"/>
  <c r="BA255" i="18"/>
  <c r="BA256" i="18"/>
  <c r="BA257" i="18"/>
  <c r="BA258" i="18"/>
  <c r="BA259" i="18"/>
  <c r="BA260" i="18"/>
  <c r="BA261" i="18"/>
  <c r="BA262" i="18"/>
  <c r="BA263" i="18"/>
  <c r="BA264" i="18"/>
  <c r="BA265" i="18"/>
  <c r="BA266" i="18"/>
  <c r="BA267" i="18"/>
  <c r="BA268" i="18"/>
  <c r="BA269" i="18"/>
  <c r="BA270" i="18"/>
  <c r="BA271" i="18"/>
  <c r="BA272" i="18"/>
  <c r="BA273" i="18"/>
  <c r="BA274" i="18"/>
  <c r="BA275" i="18"/>
  <c r="BA276" i="18"/>
  <c r="BA277" i="18"/>
  <c r="BA278" i="18"/>
  <c r="BA279" i="18"/>
  <c r="BA280" i="18"/>
  <c r="BA281" i="18"/>
  <c r="BA282" i="18"/>
  <c r="BA283" i="18"/>
  <c r="BA284" i="18"/>
  <c r="BA285" i="18"/>
  <c r="BA286" i="18"/>
  <c r="BA287" i="18"/>
  <c r="BA288" i="18"/>
  <c r="BA289" i="18"/>
  <c r="BA290" i="18"/>
  <c r="BA291" i="18"/>
  <c r="BA292" i="18"/>
  <c r="BA293" i="18"/>
  <c r="BA294" i="18"/>
  <c r="BA295" i="18"/>
  <c r="BA296" i="18"/>
  <c r="BA297" i="18"/>
  <c r="BA298" i="18"/>
  <c r="BA299" i="18"/>
  <c r="BA300" i="18"/>
  <c r="BA301" i="18"/>
  <c r="BA302" i="18"/>
  <c r="BA303" i="18"/>
  <c r="BA304" i="18"/>
  <c r="BA305" i="18"/>
  <c r="BA306" i="18"/>
  <c r="BA307" i="18"/>
  <c r="BA308" i="18"/>
  <c r="BA309" i="18"/>
  <c r="BA310" i="18"/>
  <c r="BA311" i="18"/>
  <c r="BA312" i="18"/>
  <c r="BA313" i="18"/>
  <c r="BA314" i="18"/>
  <c r="BA315" i="18"/>
  <c r="BA316" i="18"/>
  <c r="BA317" i="18"/>
  <c r="BA318" i="18"/>
  <c r="BA319" i="18"/>
  <c r="BA320" i="18"/>
  <c r="BA321" i="18"/>
  <c r="BA322" i="18"/>
  <c r="BA323" i="18"/>
  <c r="BA324" i="18"/>
  <c r="BA325" i="18"/>
  <c r="BA326" i="18"/>
  <c r="BA327" i="18"/>
  <c r="BA328" i="18"/>
  <c r="BA329" i="18"/>
  <c r="BA330" i="18"/>
  <c r="BA331" i="18"/>
  <c r="BA332" i="18"/>
  <c r="BA333" i="18"/>
  <c r="BA334" i="18"/>
  <c r="BA335" i="18"/>
  <c r="BA336" i="18"/>
  <c r="BA337" i="18"/>
  <c r="BA338" i="18"/>
  <c r="BB3" i="18"/>
  <c r="BB4" i="18"/>
  <c r="BB5" i="18"/>
  <c r="BB6" i="18"/>
  <c r="BB7" i="18"/>
  <c r="BB8" i="18"/>
  <c r="BB9" i="18"/>
  <c r="BB10" i="18"/>
  <c r="BB11" i="18"/>
  <c r="BB12" i="18"/>
  <c r="BB13" i="18"/>
  <c r="BB14" i="18"/>
  <c r="BB15" i="18"/>
  <c r="BB16" i="18"/>
  <c r="BB17" i="18"/>
  <c r="BB18" i="18"/>
  <c r="BB19" i="18"/>
  <c r="BB20" i="18"/>
  <c r="BB21" i="18"/>
  <c r="BB22" i="18"/>
  <c r="BB23" i="18"/>
  <c r="BB24" i="18"/>
  <c r="BB25" i="18"/>
  <c r="BB26" i="18"/>
  <c r="BB27" i="18"/>
  <c r="BB28" i="18"/>
  <c r="BB29" i="18"/>
  <c r="BB30" i="18"/>
  <c r="BB31" i="18"/>
  <c r="BB32" i="18"/>
  <c r="BB33" i="18"/>
  <c r="BB34" i="18"/>
  <c r="BB35" i="18"/>
  <c r="BB36" i="18"/>
  <c r="BB37" i="18"/>
  <c r="BB38" i="18"/>
  <c r="BB39" i="18"/>
  <c r="BB40" i="18"/>
  <c r="BB41" i="18"/>
  <c r="BB42" i="18"/>
  <c r="BB43" i="18"/>
  <c r="BB44" i="18"/>
  <c r="BB45" i="18"/>
  <c r="BB46" i="18"/>
  <c r="BB47" i="18"/>
  <c r="BB48" i="18"/>
  <c r="BB49" i="18"/>
  <c r="BB50" i="18"/>
  <c r="BB51" i="18"/>
  <c r="BB52" i="18"/>
  <c r="BB53" i="18"/>
  <c r="BB54" i="18"/>
  <c r="BB55" i="18"/>
  <c r="BB56" i="18"/>
  <c r="BB57" i="18"/>
  <c r="BB58" i="18"/>
  <c r="BB59" i="18"/>
  <c r="BB60" i="18"/>
  <c r="BB61" i="18"/>
  <c r="BB62" i="18"/>
  <c r="BB63" i="18"/>
  <c r="BB64" i="18"/>
  <c r="BB65" i="18"/>
  <c r="BB66" i="18"/>
  <c r="BB67" i="18"/>
  <c r="BB68" i="18"/>
  <c r="BB69" i="18"/>
  <c r="BB70" i="18"/>
  <c r="BB71" i="18"/>
  <c r="BB72" i="18"/>
  <c r="BB73" i="18"/>
  <c r="BB74" i="18"/>
  <c r="BB75" i="18"/>
  <c r="BB76" i="18"/>
  <c r="BB77" i="18"/>
  <c r="BB78" i="18"/>
  <c r="BB79" i="18"/>
  <c r="BB80" i="18"/>
  <c r="BB81" i="18"/>
  <c r="BB82" i="18"/>
  <c r="BB83" i="18"/>
  <c r="BB84" i="18"/>
  <c r="BB85" i="18"/>
  <c r="BB86" i="18"/>
  <c r="BB87" i="18"/>
  <c r="BB88" i="18"/>
  <c r="BB89" i="18"/>
  <c r="BB90" i="18"/>
  <c r="BB91" i="18"/>
  <c r="BB92" i="18"/>
  <c r="BB93" i="18"/>
  <c r="BB94" i="18"/>
  <c r="BB95" i="18"/>
  <c r="BB96" i="18"/>
  <c r="BB97" i="18"/>
  <c r="BB98" i="18"/>
  <c r="BB99" i="18"/>
  <c r="BB100" i="18"/>
  <c r="BB101" i="18"/>
  <c r="BB102" i="18"/>
  <c r="BB103" i="18"/>
  <c r="BB104" i="18"/>
  <c r="BB105" i="18"/>
  <c r="BB106" i="18"/>
  <c r="BB107" i="18"/>
  <c r="BB108" i="18"/>
  <c r="BB109" i="18"/>
  <c r="BB110" i="18"/>
  <c r="BB111" i="18"/>
  <c r="BB112" i="18"/>
  <c r="BB113" i="18"/>
  <c r="BB114" i="18"/>
  <c r="BB115" i="18"/>
  <c r="BB116" i="18"/>
  <c r="BB117" i="18"/>
  <c r="BB118" i="18"/>
  <c r="BB119" i="18"/>
  <c r="BB120" i="18"/>
  <c r="BB121" i="18"/>
  <c r="BB122" i="18"/>
  <c r="BB123" i="18"/>
  <c r="BB124" i="18"/>
  <c r="BB125" i="18"/>
  <c r="BB126" i="18"/>
  <c r="BB127" i="18"/>
  <c r="BB128" i="18"/>
  <c r="BB129" i="18"/>
  <c r="BB130" i="18"/>
  <c r="BB131" i="18"/>
  <c r="BB132" i="18"/>
  <c r="BB133" i="18"/>
  <c r="BB134" i="18"/>
  <c r="BB135" i="18"/>
  <c r="BB136" i="18"/>
  <c r="BB137" i="18"/>
  <c r="BB138" i="18"/>
  <c r="BB139" i="18"/>
  <c r="BB140" i="18"/>
  <c r="BB141" i="18"/>
  <c r="BB142" i="18"/>
  <c r="BB143" i="18"/>
  <c r="BB144" i="18"/>
  <c r="BB145" i="18"/>
  <c r="BB146" i="18"/>
  <c r="BB147" i="18"/>
  <c r="BB148" i="18"/>
  <c r="BB149" i="18"/>
  <c r="BB150" i="18"/>
  <c r="BB151" i="18"/>
  <c r="BB152" i="18"/>
  <c r="BB153" i="18"/>
  <c r="BB154" i="18"/>
  <c r="BB155" i="18"/>
  <c r="BB156" i="18"/>
  <c r="BB157" i="18"/>
  <c r="BB158" i="18"/>
  <c r="BB159" i="18"/>
  <c r="BB160" i="18"/>
  <c r="BB161" i="18"/>
  <c r="BB162" i="18"/>
  <c r="BB163" i="18"/>
  <c r="BB164" i="18"/>
  <c r="BB165" i="18"/>
  <c r="BB166" i="18"/>
  <c r="BB167" i="18"/>
  <c r="BB168" i="18"/>
  <c r="BB169" i="18"/>
  <c r="BB170" i="18"/>
  <c r="BB171" i="18"/>
  <c r="BB172" i="18"/>
  <c r="BB173" i="18"/>
  <c r="BB174" i="18"/>
  <c r="BB175" i="18"/>
  <c r="BB176" i="18"/>
  <c r="BB177" i="18"/>
  <c r="BB178" i="18"/>
  <c r="BB179" i="18"/>
  <c r="BB180" i="18"/>
  <c r="BB181" i="18"/>
  <c r="BB182" i="18"/>
  <c r="BB183" i="18"/>
  <c r="BB184" i="18"/>
  <c r="BB185" i="18"/>
  <c r="BB186" i="18"/>
  <c r="BB187" i="18"/>
  <c r="BB188" i="18"/>
  <c r="BB189" i="18"/>
  <c r="BB190" i="18"/>
  <c r="BB191" i="18"/>
  <c r="BB192" i="18"/>
  <c r="BB193" i="18"/>
  <c r="BB194" i="18"/>
  <c r="BB195" i="18"/>
  <c r="BB196" i="18"/>
  <c r="BB197" i="18"/>
  <c r="BB198" i="18"/>
  <c r="BB199" i="18"/>
  <c r="BB200" i="18"/>
  <c r="BB201" i="18"/>
  <c r="BB202" i="18"/>
  <c r="BB203" i="18"/>
  <c r="BB204" i="18"/>
  <c r="BB205" i="18"/>
  <c r="BB206" i="18"/>
  <c r="BB207" i="18"/>
  <c r="BB208" i="18"/>
  <c r="BB209" i="18"/>
  <c r="BB210" i="18"/>
  <c r="BB211" i="18"/>
  <c r="BB212" i="18"/>
  <c r="BB213" i="18"/>
  <c r="BB214" i="18"/>
  <c r="BB215" i="18"/>
  <c r="BB216" i="18"/>
  <c r="BB217" i="18"/>
  <c r="BB218" i="18"/>
  <c r="BB219" i="18"/>
  <c r="BB220" i="18"/>
  <c r="BB221" i="18"/>
  <c r="BB222" i="18"/>
  <c r="BB223" i="18"/>
  <c r="BB224" i="18"/>
  <c r="BB225" i="18"/>
  <c r="BB226" i="18"/>
  <c r="BB227" i="18"/>
  <c r="BB228" i="18"/>
  <c r="BB229" i="18"/>
  <c r="BB230" i="18"/>
  <c r="BB231" i="18"/>
  <c r="BB232" i="18"/>
  <c r="BB233" i="18"/>
  <c r="BB234" i="18"/>
  <c r="BB235" i="18"/>
  <c r="BB236" i="18"/>
  <c r="BB237" i="18"/>
  <c r="BB238" i="18"/>
  <c r="BB239" i="18"/>
  <c r="BB240" i="18"/>
  <c r="BB241" i="18"/>
  <c r="BB242" i="18"/>
  <c r="BB243" i="18"/>
  <c r="BB244" i="18"/>
  <c r="BB245" i="18"/>
  <c r="BB246" i="18"/>
  <c r="BB247" i="18"/>
  <c r="BB248" i="18"/>
  <c r="BB249" i="18"/>
  <c r="BB250" i="18"/>
  <c r="BB251" i="18"/>
  <c r="BB252" i="18"/>
  <c r="BB253" i="18"/>
  <c r="BB254" i="18"/>
  <c r="BB255" i="18"/>
  <c r="BB256" i="18"/>
  <c r="BB257" i="18"/>
  <c r="BB258" i="18"/>
  <c r="BB259" i="18"/>
  <c r="BB260" i="18"/>
  <c r="BB261" i="18"/>
  <c r="BB262" i="18"/>
  <c r="BB263" i="18"/>
  <c r="BB264" i="18"/>
  <c r="BB265" i="18"/>
  <c r="BB266" i="18"/>
  <c r="BB267" i="18"/>
  <c r="BB268" i="18"/>
  <c r="BB269" i="18"/>
  <c r="BB270" i="18"/>
  <c r="BB271" i="18"/>
  <c r="BB272" i="18"/>
  <c r="BB273" i="18"/>
  <c r="BB274" i="18"/>
  <c r="BB275" i="18"/>
  <c r="BB276" i="18"/>
  <c r="BB277" i="18"/>
  <c r="BB278" i="18"/>
  <c r="BB279" i="18"/>
  <c r="BB280" i="18"/>
  <c r="BB281" i="18"/>
  <c r="BB282" i="18"/>
  <c r="BB283" i="18"/>
  <c r="BB284" i="18"/>
  <c r="BB285" i="18"/>
  <c r="BB286" i="18"/>
  <c r="BB287" i="18"/>
  <c r="BB288" i="18"/>
  <c r="BB289" i="18"/>
  <c r="BB290" i="18"/>
  <c r="BB291" i="18"/>
  <c r="BB292" i="18"/>
  <c r="BB293" i="18"/>
  <c r="BB294" i="18"/>
  <c r="BB295" i="18"/>
  <c r="BB296" i="18"/>
  <c r="BB297" i="18"/>
  <c r="BB298" i="18"/>
  <c r="BB299" i="18"/>
  <c r="BB300" i="18"/>
  <c r="BB301" i="18"/>
  <c r="BB302" i="18"/>
  <c r="BB303" i="18"/>
  <c r="BB304" i="18"/>
  <c r="BB305" i="18"/>
  <c r="BB306" i="18"/>
  <c r="BB307" i="18"/>
  <c r="BB308" i="18"/>
  <c r="BB309" i="18"/>
  <c r="BB310" i="18"/>
  <c r="BB311" i="18"/>
  <c r="BB312" i="18"/>
  <c r="BB313" i="18"/>
  <c r="BB314" i="18"/>
  <c r="BB315" i="18"/>
  <c r="BB316" i="18"/>
  <c r="BB317" i="18"/>
  <c r="BB318" i="18"/>
  <c r="BB319" i="18"/>
  <c r="BB320" i="18"/>
  <c r="BB321" i="18"/>
  <c r="BB322" i="18"/>
  <c r="BB323" i="18"/>
  <c r="BB324" i="18"/>
  <c r="BB325" i="18"/>
  <c r="BB326" i="18"/>
  <c r="BB327" i="18"/>
  <c r="BB328" i="18"/>
  <c r="BB329" i="18"/>
  <c r="BB330" i="18"/>
  <c r="BB331" i="18"/>
  <c r="BB332" i="18"/>
  <c r="BB333" i="18"/>
  <c r="BB334" i="18"/>
  <c r="BB335" i="18"/>
  <c r="BB336" i="18"/>
  <c r="BB337" i="18"/>
  <c r="BB338" i="18"/>
  <c r="BC3" i="18"/>
  <c r="BC4" i="18"/>
  <c r="BC5" i="18"/>
  <c r="BC6" i="18"/>
  <c r="BC7" i="18"/>
  <c r="BC8" i="18"/>
  <c r="BC9" i="18"/>
  <c r="BC10" i="18"/>
  <c r="BC11" i="18"/>
  <c r="BC12" i="18"/>
  <c r="BC13" i="18"/>
  <c r="BC14" i="18"/>
  <c r="BC15" i="18"/>
  <c r="BC16" i="18"/>
  <c r="BC17" i="18"/>
  <c r="BC18" i="18"/>
  <c r="BC19" i="18"/>
  <c r="BC20" i="18"/>
  <c r="BC21" i="18"/>
  <c r="BC22" i="18"/>
  <c r="BC23" i="18"/>
  <c r="BC24" i="18"/>
  <c r="BC25" i="18"/>
  <c r="BC26" i="18"/>
  <c r="BC27" i="18"/>
  <c r="BC28" i="18"/>
  <c r="BC29" i="18"/>
  <c r="BC30" i="18"/>
  <c r="BC31" i="18"/>
  <c r="BC32" i="18"/>
  <c r="BC33" i="18"/>
  <c r="BC34" i="18"/>
  <c r="BC35" i="18"/>
  <c r="BC36" i="18"/>
  <c r="BC37" i="18"/>
  <c r="BC38" i="18"/>
  <c r="BC39" i="18"/>
  <c r="BC40" i="18"/>
  <c r="BC41" i="18"/>
  <c r="BC42" i="18"/>
  <c r="BC43" i="18"/>
  <c r="BC44" i="18"/>
  <c r="BC45" i="18"/>
  <c r="BC46" i="18"/>
  <c r="BC47" i="18"/>
  <c r="BC48" i="18"/>
  <c r="BC49" i="18"/>
  <c r="BC50" i="18"/>
  <c r="BC51" i="18"/>
  <c r="BC52" i="18"/>
  <c r="BC53" i="18"/>
  <c r="BC54" i="18"/>
  <c r="BC55" i="18"/>
  <c r="BC56" i="18"/>
  <c r="BC57" i="18"/>
  <c r="BC58" i="18"/>
  <c r="BC59" i="18"/>
  <c r="BC60" i="18"/>
  <c r="BC61" i="18"/>
  <c r="BC62" i="18"/>
  <c r="BC63" i="18"/>
  <c r="BC64" i="18"/>
  <c r="BC65" i="18"/>
  <c r="BC66" i="18"/>
  <c r="BC67" i="18"/>
  <c r="BC68" i="18"/>
  <c r="BC69" i="18"/>
  <c r="BC70" i="18"/>
  <c r="BC71" i="18"/>
  <c r="BC72" i="18"/>
  <c r="BC73" i="18"/>
  <c r="BC74" i="18"/>
  <c r="BC75" i="18"/>
  <c r="BC76" i="18"/>
  <c r="BC77" i="18"/>
  <c r="BC78" i="18"/>
  <c r="BC79" i="18"/>
  <c r="BC80" i="18"/>
  <c r="BC81" i="18"/>
  <c r="BC82" i="18"/>
  <c r="BC83" i="18"/>
  <c r="BC84" i="18"/>
  <c r="BC85" i="18"/>
  <c r="BC86" i="18"/>
  <c r="BC87" i="18"/>
  <c r="BC88" i="18"/>
  <c r="BC89" i="18"/>
  <c r="BC90" i="18"/>
  <c r="BC91" i="18"/>
  <c r="BC92" i="18"/>
  <c r="BC93" i="18"/>
  <c r="BC94" i="18"/>
  <c r="BC95" i="18"/>
  <c r="BC96" i="18"/>
  <c r="BC97" i="18"/>
  <c r="BC98" i="18"/>
  <c r="BC99" i="18"/>
  <c r="BC100" i="18"/>
  <c r="BC101" i="18"/>
  <c r="BC102" i="18"/>
  <c r="BC103" i="18"/>
  <c r="BC104" i="18"/>
  <c r="BC105" i="18"/>
  <c r="BC106" i="18"/>
  <c r="BC107" i="18"/>
  <c r="BC108" i="18"/>
  <c r="BC109" i="18"/>
  <c r="BC110" i="18"/>
  <c r="BC111" i="18"/>
  <c r="BC112" i="18"/>
  <c r="BC113" i="18"/>
  <c r="BC114" i="18"/>
  <c r="BC115" i="18"/>
  <c r="BC116" i="18"/>
  <c r="BC117" i="18"/>
  <c r="BC118" i="18"/>
  <c r="BC119" i="18"/>
  <c r="BC120" i="18"/>
  <c r="BC121" i="18"/>
  <c r="BC122" i="18"/>
  <c r="BC123" i="18"/>
  <c r="BC124" i="18"/>
  <c r="BC125" i="18"/>
  <c r="BC126" i="18"/>
  <c r="BC127" i="18"/>
  <c r="BC128" i="18"/>
  <c r="BC129" i="18"/>
  <c r="BC130" i="18"/>
  <c r="BC131" i="18"/>
  <c r="BC132" i="18"/>
  <c r="BC133" i="18"/>
  <c r="BC134" i="18"/>
  <c r="BC135" i="18"/>
  <c r="BC136" i="18"/>
  <c r="BC137" i="18"/>
  <c r="BC138" i="18"/>
  <c r="BC139" i="18"/>
  <c r="BC140" i="18"/>
  <c r="BC141" i="18"/>
  <c r="BC142" i="18"/>
  <c r="BC143" i="18"/>
  <c r="BC144" i="18"/>
  <c r="BC145" i="18"/>
  <c r="BC146" i="18"/>
  <c r="BC147" i="18"/>
  <c r="BC148" i="18"/>
  <c r="BC149" i="18"/>
  <c r="BC150" i="18"/>
  <c r="BC151" i="18"/>
  <c r="BC152" i="18"/>
  <c r="BC153" i="18"/>
  <c r="BC154" i="18"/>
  <c r="BC155" i="18"/>
  <c r="BC156" i="18"/>
  <c r="BC157" i="18"/>
  <c r="BC158" i="18"/>
  <c r="BC159" i="18"/>
  <c r="BC160" i="18"/>
  <c r="BC161" i="18"/>
  <c r="BC162" i="18"/>
  <c r="BC163" i="18"/>
  <c r="BC164" i="18"/>
  <c r="BC165" i="18"/>
  <c r="BC166" i="18"/>
  <c r="BC167" i="18"/>
  <c r="BC168" i="18"/>
  <c r="BC169" i="18"/>
  <c r="BC170" i="18"/>
  <c r="BC171" i="18"/>
  <c r="BC172" i="18"/>
  <c r="BC173" i="18"/>
  <c r="BC174" i="18"/>
  <c r="BC175" i="18"/>
  <c r="BC176" i="18"/>
  <c r="BC177" i="18"/>
  <c r="BC178" i="18"/>
  <c r="BC179" i="18"/>
  <c r="BC180" i="18"/>
  <c r="BC181" i="18"/>
  <c r="BC182" i="18"/>
  <c r="BC183" i="18"/>
  <c r="BC184" i="18"/>
  <c r="BC185" i="18"/>
  <c r="BC186" i="18"/>
  <c r="BC187" i="18"/>
  <c r="BC188" i="18"/>
  <c r="BC189" i="18"/>
  <c r="BC190" i="18"/>
  <c r="BC191" i="18"/>
  <c r="BC192" i="18"/>
  <c r="BC193" i="18"/>
  <c r="BC194" i="18"/>
  <c r="BC195" i="18"/>
  <c r="BC196" i="18"/>
  <c r="BC197" i="18"/>
  <c r="BC198" i="18"/>
  <c r="BC199" i="18"/>
  <c r="BC200" i="18"/>
  <c r="BC201" i="18"/>
  <c r="BC202" i="18"/>
  <c r="BC203" i="18"/>
  <c r="BC204" i="18"/>
  <c r="BC205" i="18"/>
  <c r="BC206" i="18"/>
  <c r="BC207" i="18"/>
  <c r="BC208" i="18"/>
  <c r="BC209" i="18"/>
  <c r="BC210" i="18"/>
  <c r="BC211" i="18"/>
  <c r="BC212" i="18"/>
  <c r="BC213" i="18"/>
  <c r="BC214" i="18"/>
  <c r="BC215" i="18"/>
  <c r="BC216" i="18"/>
  <c r="BC217" i="18"/>
  <c r="BC218" i="18"/>
  <c r="BC219" i="18"/>
  <c r="BC220" i="18"/>
  <c r="BC221" i="18"/>
  <c r="BC222" i="18"/>
  <c r="BC223" i="18"/>
  <c r="BC224" i="18"/>
  <c r="BC225" i="18"/>
  <c r="BC226" i="18"/>
  <c r="BC227" i="18"/>
  <c r="BC228" i="18"/>
  <c r="BC229" i="18"/>
  <c r="BC230" i="18"/>
  <c r="BC231" i="18"/>
  <c r="BC232" i="18"/>
  <c r="BC233" i="18"/>
  <c r="BC234" i="18"/>
  <c r="BC235" i="18"/>
  <c r="BC236" i="18"/>
  <c r="BC237" i="18"/>
  <c r="BC238" i="18"/>
  <c r="BC239" i="18"/>
  <c r="BC240" i="18"/>
  <c r="BC241" i="18"/>
  <c r="BC242" i="18"/>
  <c r="BC243" i="18"/>
  <c r="BC244" i="18"/>
  <c r="BC245" i="18"/>
  <c r="BC246" i="18"/>
  <c r="BC247" i="18"/>
  <c r="BC248" i="18"/>
  <c r="BC249" i="18"/>
  <c r="BC250" i="18"/>
  <c r="BC251" i="18"/>
  <c r="BC252" i="18"/>
  <c r="BC253" i="18"/>
  <c r="BC254" i="18"/>
  <c r="BC255" i="18"/>
  <c r="BC256" i="18"/>
  <c r="BC257" i="18"/>
  <c r="BC258" i="18"/>
  <c r="BC259" i="18"/>
  <c r="BC260" i="18"/>
  <c r="BC261" i="18"/>
  <c r="BC262" i="18"/>
  <c r="BC263" i="18"/>
  <c r="BC264" i="18"/>
  <c r="BC265" i="18"/>
  <c r="BC266" i="18"/>
  <c r="BC267" i="18"/>
  <c r="BC268" i="18"/>
  <c r="BC269" i="18"/>
  <c r="BC270" i="18"/>
  <c r="BC271" i="18"/>
  <c r="BC272" i="18"/>
  <c r="BC273" i="18"/>
  <c r="BC274" i="18"/>
  <c r="BC275" i="18"/>
  <c r="BC276" i="18"/>
  <c r="BC277" i="18"/>
  <c r="BC278" i="18"/>
  <c r="BC279" i="18"/>
  <c r="BC280" i="18"/>
  <c r="BC281" i="18"/>
  <c r="BC282" i="18"/>
  <c r="BC283" i="18"/>
  <c r="BC284" i="18"/>
  <c r="BC285" i="18"/>
  <c r="BC286" i="18"/>
  <c r="BC287" i="18"/>
  <c r="BC288" i="18"/>
  <c r="BC289" i="18"/>
  <c r="BC290" i="18"/>
  <c r="BC291" i="18"/>
  <c r="BC292" i="18"/>
  <c r="BC293" i="18"/>
  <c r="BC294" i="18"/>
  <c r="BC295" i="18"/>
  <c r="BC296" i="18"/>
  <c r="BC297" i="18"/>
  <c r="BC298" i="18"/>
  <c r="BC299" i="18"/>
  <c r="BC300" i="18"/>
  <c r="BC301" i="18"/>
  <c r="BC302" i="18"/>
  <c r="BC303" i="18"/>
  <c r="BC304" i="18"/>
  <c r="BC305" i="18"/>
  <c r="BC306" i="18"/>
  <c r="BC307" i="18"/>
  <c r="BC308" i="18"/>
  <c r="BC309" i="18"/>
  <c r="BC310" i="18"/>
  <c r="BC311" i="18"/>
  <c r="BC312" i="18"/>
  <c r="BC313" i="18"/>
  <c r="BC314" i="18"/>
  <c r="BC315" i="18"/>
  <c r="BC316" i="18"/>
  <c r="BC317" i="18"/>
  <c r="BC318" i="18"/>
  <c r="BC319" i="18"/>
  <c r="BC320" i="18"/>
  <c r="BC321" i="18"/>
  <c r="BC322" i="18"/>
  <c r="BC323" i="18"/>
  <c r="BC324" i="18"/>
  <c r="BC325" i="18"/>
  <c r="BC326" i="18"/>
  <c r="BC327" i="18"/>
  <c r="BC328" i="18"/>
  <c r="BC329" i="18"/>
  <c r="BC330" i="18"/>
  <c r="BC331" i="18"/>
  <c r="BC332" i="18"/>
  <c r="BC333" i="18"/>
  <c r="BC334" i="18"/>
  <c r="BC335" i="18"/>
  <c r="BC336" i="18"/>
  <c r="BC337" i="18"/>
  <c r="BC338" i="18"/>
  <c r="BD3" i="18"/>
  <c r="BD4" i="18"/>
  <c r="BD5" i="18"/>
  <c r="BD6" i="18"/>
  <c r="BD7" i="18"/>
  <c r="BD8" i="18"/>
  <c r="BD9" i="18"/>
  <c r="BD10" i="18"/>
  <c r="BD11" i="18"/>
  <c r="BD12" i="18"/>
  <c r="BD13" i="18"/>
  <c r="BD14" i="18"/>
  <c r="BD15" i="18"/>
  <c r="BD16" i="18"/>
  <c r="BD17" i="18"/>
  <c r="BD18" i="18"/>
  <c r="BD19" i="18"/>
  <c r="BD20" i="18"/>
  <c r="BD21" i="18"/>
  <c r="BD22" i="18"/>
  <c r="BD23" i="18"/>
  <c r="BD24" i="18"/>
  <c r="BD25" i="18"/>
  <c r="BD26" i="18"/>
  <c r="BD27" i="18"/>
  <c r="BD28" i="18"/>
  <c r="BD29" i="18"/>
  <c r="BD30" i="18"/>
  <c r="BD31" i="18"/>
  <c r="BD32" i="18"/>
  <c r="BD33" i="18"/>
  <c r="BD34" i="18"/>
  <c r="BD35" i="18"/>
  <c r="BD36" i="18"/>
  <c r="BD37" i="18"/>
  <c r="BD38" i="18"/>
  <c r="BD39" i="18"/>
  <c r="BD40" i="18"/>
  <c r="BD41" i="18"/>
  <c r="BD42" i="18"/>
  <c r="BD43" i="18"/>
  <c r="BD44" i="18"/>
  <c r="BD45" i="18"/>
  <c r="BD46" i="18"/>
  <c r="BD47" i="18"/>
  <c r="BD48" i="18"/>
  <c r="BD49" i="18"/>
  <c r="BD50" i="18"/>
  <c r="BD51" i="18"/>
  <c r="BD52" i="18"/>
  <c r="BD53" i="18"/>
  <c r="BD54" i="18"/>
  <c r="BD55" i="18"/>
  <c r="BD56" i="18"/>
  <c r="BD57" i="18"/>
  <c r="BD58" i="18"/>
  <c r="BD59" i="18"/>
  <c r="BD60" i="18"/>
  <c r="BD61" i="18"/>
  <c r="BD62" i="18"/>
  <c r="BD63" i="18"/>
  <c r="BD64" i="18"/>
  <c r="BD65" i="18"/>
  <c r="BD66" i="18"/>
  <c r="BD67" i="18"/>
  <c r="BD68" i="18"/>
  <c r="BD69" i="18"/>
  <c r="BD70" i="18"/>
  <c r="BD71" i="18"/>
  <c r="BD72" i="18"/>
  <c r="BD73" i="18"/>
  <c r="BD74" i="18"/>
  <c r="BD75" i="18"/>
  <c r="BD76" i="18"/>
  <c r="BD77" i="18"/>
  <c r="BD78" i="18"/>
  <c r="BD79" i="18"/>
  <c r="BD80" i="18"/>
  <c r="BD81" i="18"/>
  <c r="BD82" i="18"/>
  <c r="BD83" i="18"/>
  <c r="BD84" i="18"/>
  <c r="BD85" i="18"/>
  <c r="BD86" i="18"/>
  <c r="BD87" i="18"/>
  <c r="BD88" i="18"/>
  <c r="BD89" i="18"/>
  <c r="BD90" i="18"/>
  <c r="BD91" i="18"/>
  <c r="BD92" i="18"/>
  <c r="BD93" i="18"/>
  <c r="BD94" i="18"/>
  <c r="BD95" i="18"/>
  <c r="BD96" i="18"/>
  <c r="BD97" i="18"/>
  <c r="BD98" i="18"/>
  <c r="BD99" i="18"/>
  <c r="BD100" i="18"/>
  <c r="BD101" i="18"/>
  <c r="BD102" i="18"/>
  <c r="BD103" i="18"/>
  <c r="BD104" i="18"/>
  <c r="BD105" i="18"/>
  <c r="BD106" i="18"/>
  <c r="BD107" i="18"/>
  <c r="BD108" i="18"/>
  <c r="BD109" i="18"/>
  <c r="BD110" i="18"/>
  <c r="BD111" i="18"/>
  <c r="BD112" i="18"/>
  <c r="BD113" i="18"/>
  <c r="BD114" i="18"/>
  <c r="BD115" i="18"/>
  <c r="BD116" i="18"/>
  <c r="BD117" i="18"/>
  <c r="BD118" i="18"/>
  <c r="BD119" i="18"/>
  <c r="BD120" i="18"/>
  <c r="BD121" i="18"/>
  <c r="BD122" i="18"/>
  <c r="BD123" i="18"/>
  <c r="BD124" i="18"/>
  <c r="BD125" i="18"/>
  <c r="BD126" i="18"/>
  <c r="BD127" i="18"/>
  <c r="BD128" i="18"/>
  <c r="BD129" i="18"/>
  <c r="BD130" i="18"/>
  <c r="BD131" i="18"/>
  <c r="BD132" i="18"/>
  <c r="BD133" i="18"/>
  <c r="BD134" i="18"/>
  <c r="BD135" i="18"/>
  <c r="BD136" i="18"/>
  <c r="BD137" i="18"/>
  <c r="BD138" i="18"/>
  <c r="BD139" i="18"/>
  <c r="BD140" i="18"/>
  <c r="BD141" i="18"/>
  <c r="BD142" i="18"/>
  <c r="BD143" i="18"/>
  <c r="BD144" i="18"/>
  <c r="BD145" i="18"/>
  <c r="BD146" i="18"/>
  <c r="BD147" i="18"/>
  <c r="BD148" i="18"/>
  <c r="BD149" i="18"/>
  <c r="BD150" i="18"/>
  <c r="BD151" i="18"/>
  <c r="BD152" i="18"/>
  <c r="BD153" i="18"/>
  <c r="BD154" i="18"/>
  <c r="BD155" i="18"/>
  <c r="BD156" i="18"/>
  <c r="BD157" i="18"/>
  <c r="BD158" i="18"/>
  <c r="BD159" i="18"/>
  <c r="BD160" i="18"/>
  <c r="BD161" i="18"/>
  <c r="BD162" i="18"/>
  <c r="BD163" i="18"/>
  <c r="BD164" i="18"/>
  <c r="BD165" i="18"/>
  <c r="BD166" i="18"/>
  <c r="BD167" i="18"/>
  <c r="BD168" i="18"/>
  <c r="BD169" i="18"/>
  <c r="BD170" i="18"/>
  <c r="BD171" i="18"/>
  <c r="BD172" i="18"/>
  <c r="BD173" i="18"/>
  <c r="BD174" i="18"/>
  <c r="BD175" i="18"/>
  <c r="BD176" i="18"/>
  <c r="BD177" i="18"/>
  <c r="BD178" i="18"/>
  <c r="BD179" i="18"/>
  <c r="BD180" i="18"/>
  <c r="BD181" i="18"/>
  <c r="BD182" i="18"/>
  <c r="BD183" i="18"/>
  <c r="BD184" i="18"/>
  <c r="BD185" i="18"/>
  <c r="BD186" i="18"/>
  <c r="BD187" i="18"/>
  <c r="BD188" i="18"/>
  <c r="BD189" i="18"/>
  <c r="BD190" i="18"/>
  <c r="BD191" i="18"/>
  <c r="BD192" i="18"/>
  <c r="BD193" i="18"/>
  <c r="BD194" i="18"/>
  <c r="BD195" i="18"/>
  <c r="BD196" i="18"/>
  <c r="BD197" i="18"/>
  <c r="BD198" i="18"/>
  <c r="BD199" i="18"/>
  <c r="BD200" i="18"/>
  <c r="BD201" i="18"/>
  <c r="BD202" i="18"/>
  <c r="BD203" i="18"/>
  <c r="BD204" i="18"/>
  <c r="BD205" i="18"/>
  <c r="BD206" i="18"/>
  <c r="BD207" i="18"/>
  <c r="BD208" i="18"/>
  <c r="BD209" i="18"/>
  <c r="BD210" i="18"/>
  <c r="BD211" i="18"/>
  <c r="BD212" i="18"/>
  <c r="BD213" i="18"/>
  <c r="BD214" i="18"/>
  <c r="BD215" i="18"/>
  <c r="BD216" i="18"/>
  <c r="BD217" i="18"/>
  <c r="BD218" i="18"/>
  <c r="BD219" i="18"/>
  <c r="BD220" i="18"/>
  <c r="BD221" i="18"/>
  <c r="BD222" i="18"/>
  <c r="BD223" i="18"/>
  <c r="BD224" i="18"/>
  <c r="BD225" i="18"/>
  <c r="BD226" i="18"/>
  <c r="BD227" i="18"/>
  <c r="BD228" i="18"/>
  <c r="BD229" i="18"/>
  <c r="BD230" i="18"/>
  <c r="BD231" i="18"/>
  <c r="BD232" i="18"/>
  <c r="BD233" i="18"/>
  <c r="BD234" i="18"/>
  <c r="BD235" i="18"/>
  <c r="BD236" i="18"/>
  <c r="BD237" i="18"/>
  <c r="BD238" i="18"/>
  <c r="BD239" i="18"/>
  <c r="BD240" i="18"/>
  <c r="BD241" i="18"/>
  <c r="BD242" i="18"/>
  <c r="BD243" i="18"/>
  <c r="BD244" i="18"/>
  <c r="BD245" i="18"/>
  <c r="BD246" i="18"/>
  <c r="BD247" i="18"/>
  <c r="BD248" i="18"/>
  <c r="BD249" i="18"/>
  <c r="BD250" i="18"/>
  <c r="BD251" i="18"/>
  <c r="BD252" i="18"/>
  <c r="BD253" i="18"/>
  <c r="BD254" i="18"/>
  <c r="BD255" i="18"/>
  <c r="BD256" i="18"/>
  <c r="BD257" i="18"/>
  <c r="BD258" i="18"/>
  <c r="BD259" i="18"/>
  <c r="BD260" i="18"/>
  <c r="BD261" i="18"/>
  <c r="BD262" i="18"/>
  <c r="BD263" i="18"/>
  <c r="BD264" i="18"/>
  <c r="BD265" i="18"/>
  <c r="BD266" i="18"/>
  <c r="BD267" i="18"/>
  <c r="BD268" i="18"/>
  <c r="BD269" i="18"/>
  <c r="BD270" i="18"/>
  <c r="BD271" i="18"/>
  <c r="BD272" i="18"/>
  <c r="BD273" i="18"/>
  <c r="BD274" i="18"/>
  <c r="BD275" i="18"/>
  <c r="BD276" i="18"/>
  <c r="BD277" i="18"/>
  <c r="BD278" i="18"/>
  <c r="BD279" i="18"/>
  <c r="BD280" i="18"/>
  <c r="BD281" i="18"/>
  <c r="BD282" i="18"/>
  <c r="BD283" i="18"/>
  <c r="BD284" i="18"/>
  <c r="BD285" i="18"/>
  <c r="BD286" i="18"/>
  <c r="BD287" i="18"/>
  <c r="BD288" i="18"/>
  <c r="BD289" i="18"/>
  <c r="BD290" i="18"/>
  <c r="BD291" i="18"/>
  <c r="BD292" i="18"/>
  <c r="BD293" i="18"/>
  <c r="BD294" i="18"/>
  <c r="BD295" i="18"/>
  <c r="BD296" i="18"/>
  <c r="BD297" i="18"/>
  <c r="BD298" i="18"/>
  <c r="BD299" i="18"/>
  <c r="BD300" i="18"/>
  <c r="BD301" i="18"/>
  <c r="BD302" i="18"/>
  <c r="BD303" i="18"/>
  <c r="BD304" i="18"/>
  <c r="BD305" i="18"/>
  <c r="BD306" i="18"/>
  <c r="BD307" i="18"/>
  <c r="BD308" i="18"/>
  <c r="BD309" i="18"/>
  <c r="BD310" i="18"/>
  <c r="BD311" i="18"/>
  <c r="BD312" i="18"/>
  <c r="BD313" i="18"/>
  <c r="BD314" i="18"/>
  <c r="BD315" i="18"/>
  <c r="BD316" i="18"/>
  <c r="BD317" i="18"/>
  <c r="BD318" i="18"/>
  <c r="BD319" i="18"/>
  <c r="BD320" i="18"/>
  <c r="BD321" i="18"/>
  <c r="BD322" i="18"/>
  <c r="BD323" i="18"/>
  <c r="BD324" i="18"/>
  <c r="BD325" i="18"/>
  <c r="BD326" i="18"/>
  <c r="BD327" i="18"/>
  <c r="BD328" i="18"/>
  <c r="BD329" i="18"/>
  <c r="BD330" i="18"/>
  <c r="BD331" i="18"/>
  <c r="BD332" i="18"/>
  <c r="BD333" i="18"/>
  <c r="BD334" i="18"/>
  <c r="BD335" i="18"/>
  <c r="BD336" i="18"/>
  <c r="BD337" i="18"/>
  <c r="BD338" i="18"/>
  <c r="BE3" i="18"/>
  <c r="BE4" i="18"/>
  <c r="BE5" i="18"/>
  <c r="BE6" i="18"/>
  <c r="BE7" i="18"/>
  <c r="BE8" i="18"/>
  <c r="BE9" i="18"/>
  <c r="BE10" i="18"/>
  <c r="BE11" i="18"/>
  <c r="BE12" i="18"/>
  <c r="BE13" i="18"/>
  <c r="BE14" i="18"/>
  <c r="BE15" i="18"/>
  <c r="BE16" i="18"/>
  <c r="BE17" i="18"/>
  <c r="BE18" i="18"/>
  <c r="BE19" i="18"/>
  <c r="BE20" i="18"/>
  <c r="BE21" i="18"/>
  <c r="BE22" i="18"/>
  <c r="BE23" i="18"/>
  <c r="BE24" i="18"/>
  <c r="BE25" i="18"/>
  <c r="BE26" i="18"/>
  <c r="BE27" i="18"/>
  <c r="BE28" i="18"/>
  <c r="BE29" i="18"/>
  <c r="BE30" i="18"/>
  <c r="BE31" i="18"/>
  <c r="BE32" i="18"/>
  <c r="BE33" i="18"/>
  <c r="BE34" i="18"/>
  <c r="BE35" i="18"/>
  <c r="BE36" i="18"/>
  <c r="BE37" i="18"/>
  <c r="BE38" i="18"/>
  <c r="BE39" i="18"/>
  <c r="BE40" i="18"/>
  <c r="BE41" i="18"/>
  <c r="BE42" i="18"/>
  <c r="BE43" i="18"/>
  <c r="BE44" i="18"/>
  <c r="BE45" i="18"/>
  <c r="BE46" i="18"/>
  <c r="BE47" i="18"/>
  <c r="BE48" i="18"/>
  <c r="BE49" i="18"/>
  <c r="BE50" i="18"/>
  <c r="BE51" i="18"/>
  <c r="BE52" i="18"/>
  <c r="BE53" i="18"/>
  <c r="BE54" i="18"/>
  <c r="BE55" i="18"/>
  <c r="BE56" i="18"/>
  <c r="BE57" i="18"/>
  <c r="BE58" i="18"/>
  <c r="BE59" i="18"/>
  <c r="BE60" i="18"/>
  <c r="BE61" i="18"/>
  <c r="BE62" i="18"/>
  <c r="BE63" i="18"/>
  <c r="BE64" i="18"/>
  <c r="BE65" i="18"/>
  <c r="BE66" i="18"/>
  <c r="BE67" i="18"/>
  <c r="BE68" i="18"/>
  <c r="BE69" i="18"/>
  <c r="BE70" i="18"/>
  <c r="BE71" i="18"/>
  <c r="BE72" i="18"/>
  <c r="BE73" i="18"/>
  <c r="BE74" i="18"/>
  <c r="BE75" i="18"/>
  <c r="BE76" i="18"/>
  <c r="BE77" i="18"/>
  <c r="BE78" i="18"/>
  <c r="BE79" i="18"/>
  <c r="BE80" i="18"/>
  <c r="BE81" i="18"/>
  <c r="BE82" i="18"/>
  <c r="BE83" i="18"/>
  <c r="BE84" i="18"/>
  <c r="BE85" i="18"/>
  <c r="BE86" i="18"/>
  <c r="BE87" i="18"/>
  <c r="BE88" i="18"/>
  <c r="BE89" i="18"/>
  <c r="BE90" i="18"/>
  <c r="BE91" i="18"/>
  <c r="BE92" i="18"/>
  <c r="BE93" i="18"/>
  <c r="BE94" i="18"/>
  <c r="BE95" i="18"/>
  <c r="BE96" i="18"/>
  <c r="BE97" i="18"/>
  <c r="BE98" i="18"/>
  <c r="BE99" i="18"/>
  <c r="BE100" i="18"/>
  <c r="BE101" i="18"/>
  <c r="BE102" i="18"/>
  <c r="BE103" i="18"/>
  <c r="BE104" i="18"/>
  <c r="BE105" i="18"/>
  <c r="BE106" i="18"/>
  <c r="BE107" i="18"/>
  <c r="BE108" i="18"/>
  <c r="BE109" i="18"/>
  <c r="BE110" i="18"/>
  <c r="BE111" i="18"/>
  <c r="BE112" i="18"/>
  <c r="BE113" i="18"/>
  <c r="BE114" i="18"/>
  <c r="BE115" i="18"/>
  <c r="BE116" i="18"/>
  <c r="BE117" i="18"/>
  <c r="BE118" i="18"/>
  <c r="BE119" i="18"/>
  <c r="BE120" i="18"/>
  <c r="BE121" i="18"/>
  <c r="BE122" i="18"/>
  <c r="BE123" i="18"/>
  <c r="BE124" i="18"/>
  <c r="BE125" i="18"/>
  <c r="BE126" i="18"/>
  <c r="BE127" i="18"/>
  <c r="BE128" i="18"/>
  <c r="BE129" i="18"/>
  <c r="BE130" i="18"/>
  <c r="BE131" i="18"/>
  <c r="BE132" i="18"/>
  <c r="BE133" i="18"/>
  <c r="BE134" i="18"/>
  <c r="BE135" i="18"/>
  <c r="BE136" i="18"/>
  <c r="BE137" i="18"/>
  <c r="BE138" i="18"/>
  <c r="BE139" i="18"/>
  <c r="BE140" i="18"/>
  <c r="BE141" i="18"/>
  <c r="BE142" i="18"/>
  <c r="BE143" i="18"/>
  <c r="BE144" i="18"/>
  <c r="BE145" i="18"/>
  <c r="BE146" i="18"/>
  <c r="BE147" i="18"/>
  <c r="BE148" i="18"/>
  <c r="BE149" i="18"/>
  <c r="BE150" i="18"/>
  <c r="BE151" i="18"/>
  <c r="BE152" i="18"/>
  <c r="BE153" i="18"/>
  <c r="BE154" i="18"/>
  <c r="BE155" i="18"/>
  <c r="BE156" i="18"/>
  <c r="BE157" i="18"/>
  <c r="BE158" i="18"/>
  <c r="BE159" i="18"/>
  <c r="BE160" i="18"/>
  <c r="BE161" i="18"/>
  <c r="BE162" i="18"/>
  <c r="BE163" i="18"/>
  <c r="BE164" i="18"/>
  <c r="BE165" i="18"/>
  <c r="BE166" i="18"/>
  <c r="BE167" i="18"/>
  <c r="BE168" i="18"/>
  <c r="BE169" i="18"/>
  <c r="BE170" i="18"/>
  <c r="BE171" i="18"/>
  <c r="BE172" i="18"/>
  <c r="BE173" i="18"/>
  <c r="BE174" i="18"/>
  <c r="BE175" i="18"/>
  <c r="BE176" i="18"/>
  <c r="BE177" i="18"/>
  <c r="BE178" i="18"/>
  <c r="BE179" i="18"/>
  <c r="BE180" i="18"/>
  <c r="BE181" i="18"/>
  <c r="BE182" i="18"/>
  <c r="BE183" i="18"/>
  <c r="BE184" i="18"/>
  <c r="BE185" i="18"/>
  <c r="BE186" i="18"/>
  <c r="BE187" i="18"/>
  <c r="BE188" i="18"/>
  <c r="BE189" i="18"/>
  <c r="BE190" i="18"/>
  <c r="BE191" i="18"/>
  <c r="BE192" i="18"/>
  <c r="BE193" i="18"/>
  <c r="BE194" i="18"/>
  <c r="BE195" i="18"/>
  <c r="BE196" i="18"/>
  <c r="BE197" i="18"/>
  <c r="BE198" i="18"/>
  <c r="BE199" i="18"/>
  <c r="BE200" i="18"/>
  <c r="BE201" i="18"/>
  <c r="BE202" i="18"/>
  <c r="BE203" i="18"/>
  <c r="BE204" i="18"/>
  <c r="BE205" i="18"/>
  <c r="BE206" i="18"/>
  <c r="BE207" i="18"/>
  <c r="BE208" i="18"/>
  <c r="BE209" i="18"/>
  <c r="BE210" i="18"/>
  <c r="BE211" i="18"/>
  <c r="BE212" i="18"/>
  <c r="BE213" i="18"/>
  <c r="BE214" i="18"/>
  <c r="BE215" i="18"/>
  <c r="BE216" i="18"/>
  <c r="BE217" i="18"/>
  <c r="BE218" i="18"/>
  <c r="BE219" i="18"/>
  <c r="BE220" i="18"/>
  <c r="BE221" i="18"/>
  <c r="BE222" i="18"/>
  <c r="BE223" i="18"/>
  <c r="BE224" i="18"/>
  <c r="BE225" i="18"/>
  <c r="BE226" i="18"/>
  <c r="BE227" i="18"/>
  <c r="BE228" i="18"/>
  <c r="BE229" i="18"/>
  <c r="BE230" i="18"/>
  <c r="BE231" i="18"/>
  <c r="BE232" i="18"/>
  <c r="BE233" i="18"/>
  <c r="BE234" i="18"/>
  <c r="BE235" i="18"/>
  <c r="BE236" i="18"/>
  <c r="BE237" i="18"/>
  <c r="BE238" i="18"/>
  <c r="BE239" i="18"/>
  <c r="BE240" i="18"/>
  <c r="BE241" i="18"/>
  <c r="BE242" i="18"/>
  <c r="BE243" i="18"/>
  <c r="BE244" i="18"/>
  <c r="BE245" i="18"/>
  <c r="BE246" i="18"/>
  <c r="BE247" i="18"/>
  <c r="BE248" i="18"/>
  <c r="BE249" i="18"/>
  <c r="BE250" i="18"/>
  <c r="BE251" i="18"/>
  <c r="BE252" i="18"/>
  <c r="BE253" i="18"/>
  <c r="BE254" i="18"/>
  <c r="BE255" i="18"/>
  <c r="BE256" i="18"/>
  <c r="BE257" i="18"/>
  <c r="BE258" i="18"/>
  <c r="BE259" i="18"/>
  <c r="BE260" i="18"/>
  <c r="BE261" i="18"/>
  <c r="BE262" i="18"/>
  <c r="BE263" i="18"/>
  <c r="BE264" i="18"/>
  <c r="BE265" i="18"/>
  <c r="BE266" i="18"/>
  <c r="BE267" i="18"/>
  <c r="BE268" i="18"/>
  <c r="BE269" i="18"/>
  <c r="BE270" i="18"/>
  <c r="BE271" i="18"/>
  <c r="BE272" i="18"/>
  <c r="BE273" i="18"/>
  <c r="BE274" i="18"/>
  <c r="BE275" i="18"/>
  <c r="BE276" i="18"/>
  <c r="BE277" i="18"/>
  <c r="BE278" i="18"/>
  <c r="BE279" i="18"/>
  <c r="BE280" i="18"/>
  <c r="BE281" i="18"/>
  <c r="BE282" i="18"/>
  <c r="BE283" i="18"/>
  <c r="BE284" i="18"/>
  <c r="BE285" i="18"/>
  <c r="BE286" i="18"/>
  <c r="BE287" i="18"/>
  <c r="BE288" i="18"/>
  <c r="BE289" i="18"/>
  <c r="BE290" i="18"/>
  <c r="BE291" i="18"/>
  <c r="BE292" i="18"/>
  <c r="BE293" i="18"/>
  <c r="BE294" i="18"/>
  <c r="BE295" i="18"/>
  <c r="BE296" i="18"/>
  <c r="BE297" i="18"/>
  <c r="BE298" i="18"/>
  <c r="BE299" i="18"/>
  <c r="BE300" i="18"/>
  <c r="BE301" i="18"/>
  <c r="BE302" i="18"/>
  <c r="BE303" i="18"/>
  <c r="BE304" i="18"/>
  <c r="BE305" i="18"/>
  <c r="BE306" i="18"/>
  <c r="BE307" i="18"/>
  <c r="BE308" i="18"/>
  <c r="BE309" i="18"/>
  <c r="BE310" i="18"/>
  <c r="BE311" i="18"/>
  <c r="BE312" i="18"/>
  <c r="BE313" i="18"/>
  <c r="BE314" i="18"/>
  <c r="BE315" i="18"/>
  <c r="BE316" i="18"/>
  <c r="BE317" i="18"/>
  <c r="BE318" i="18"/>
  <c r="BE319" i="18"/>
  <c r="BE320" i="18"/>
  <c r="BE321" i="18"/>
  <c r="BE322" i="18"/>
  <c r="BE323" i="18"/>
  <c r="BE324" i="18"/>
  <c r="BE325" i="18"/>
  <c r="BE326" i="18"/>
  <c r="BE327" i="18"/>
  <c r="BE328" i="18"/>
  <c r="BE329" i="18"/>
  <c r="BE330" i="18"/>
  <c r="BE331" i="18"/>
  <c r="BE332" i="18"/>
  <c r="BE333" i="18"/>
  <c r="BE334" i="18"/>
  <c r="BE335" i="18"/>
  <c r="BE336" i="18"/>
  <c r="BE337" i="18"/>
  <c r="BE338" i="18"/>
  <c r="BF3" i="18"/>
  <c r="BF4" i="18"/>
  <c r="BF5" i="18"/>
  <c r="BF6" i="18"/>
  <c r="BF7" i="18"/>
  <c r="BF8" i="18"/>
  <c r="BF9" i="18"/>
  <c r="BF10" i="18"/>
  <c r="BF11" i="18"/>
  <c r="BF12" i="18"/>
  <c r="BF13" i="18"/>
  <c r="BF14" i="18"/>
  <c r="BF15" i="18"/>
  <c r="BF16" i="18"/>
  <c r="BF17" i="18"/>
  <c r="BF18" i="18"/>
  <c r="BF19" i="18"/>
  <c r="BF20" i="18"/>
  <c r="BF21" i="18"/>
  <c r="BF22" i="18"/>
  <c r="BF23" i="18"/>
  <c r="BF24" i="18"/>
  <c r="BF25" i="18"/>
  <c r="BF26" i="18"/>
  <c r="BF27" i="18"/>
  <c r="BF28" i="18"/>
  <c r="BF29" i="18"/>
  <c r="BF30" i="18"/>
  <c r="BF31" i="18"/>
  <c r="BF32" i="18"/>
  <c r="BF33" i="18"/>
  <c r="BF34" i="18"/>
  <c r="BF35" i="18"/>
  <c r="BF36" i="18"/>
  <c r="BF37" i="18"/>
  <c r="BF38" i="18"/>
  <c r="BF39" i="18"/>
  <c r="BF40" i="18"/>
  <c r="BF41" i="18"/>
  <c r="BF42" i="18"/>
  <c r="BF43" i="18"/>
  <c r="BF44" i="18"/>
  <c r="BF45" i="18"/>
  <c r="BF46" i="18"/>
  <c r="BF47" i="18"/>
  <c r="BF48" i="18"/>
  <c r="BF49" i="18"/>
  <c r="BF50" i="18"/>
  <c r="BF51" i="18"/>
  <c r="BF52" i="18"/>
  <c r="BF53" i="18"/>
  <c r="BF54" i="18"/>
  <c r="BF55" i="18"/>
  <c r="BF56" i="18"/>
  <c r="BF57" i="18"/>
  <c r="BF58" i="18"/>
  <c r="BF59" i="18"/>
  <c r="BF60" i="18"/>
  <c r="BF61" i="18"/>
  <c r="BF62" i="18"/>
  <c r="BF63" i="18"/>
  <c r="BF64" i="18"/>
  <c r="BF65" i="18"/>
  <c r="BF66" i="18"/>
  <c r="BF67" i="18"/>
  <c r="BF68" i="18"/>
  <c r="BF69" i="18"/>
  <c r="BF70" i="18"/>
  <c r="BF71" i="18"/>
  <c r="BF72" i="18"/>
  <c r="BF73" i="18"/>
  <c r="BF74" i="18"/>
  <c r="BF75" i="18"/>
  <c r="BF76" i="18"/>
  <c r="BF77" i="18"/>
  <c r="BF78" i="18"/>
  <c r="BF79" i="18"/>
  <c r="BF80" i="18"/>
  <c r="BF81" i="18"/>
  <c r="BF82" i="18"/>
  <c r="BF83" i="18"/>
  <c r="BF84" i="18"/>
  <c r="BF85" i="18"/>
  <c r="BF86" i="18"/>
  <c r="BF87" i="18"/>
  <c r="BF88" i="18"/>
  <c r="BF89" i="18"/>
  <c r="BF90" i="18"/>
  <c r="BF91" i="18"/>
  <c r="BF92" i="18"/>
  <c r="BF93" i="18"/>
  <c r="BF94" i="18"/>
  <c r="BF95" i="18"/>
  <c r="BF96" i="18"/>
  <c r="BF97" i="18"/>
  <c r="BF98" i="18"/>
  <c r="BF99" i="18"/>
  <c r="BF100" i="18"/>
  <c r="BF101" i="18"/>
  <c r="BF102" i="18"/>
  <c r="BF103" i="18"/>
  <c r="BF104" i="18"/>
  <c r="BF105" i="18"/>
  <c r="BF106" i="18"/>
  <c r="BF107" i="18"/>
  <c r="BF108" i="18"/>
  <c r="BF109" i="18"/>
  <c r="BF110" i="18"/>
  <c r="BF111" i="18"/>
  <c r="BF112" i="18"/>
  <c r="BF113" i="18"/>
  <c r="BF114" i="18"/>
  <c r="BF115" i="18"/>
  <c r="BF116" i="18"/>
  <c r="BF117" i="18"/>
  <c r="BF118" i="18"/>
  <c r="BF119" i="18"/>
  <c r="BF120" i="18"/>
  <c r="BF121" i="18"/>
  <c r="BF122" i="18"/>
  <c r="BF123" i="18"/>
  <c r="BF124" i="18"/>
  <c r="BF125" i="18"/>
  <c r="BF126" i="18"/>
  <c r="BF127" i="18"/>
  <c r="BF128" i="18"/>
  <c r="BF129" i="18"/>
  <c r="BF130" i="18"/>
  <c r="BF131" i="18"/>
  <c r="BF132" i="18"/>
  <c r="BF133" i="18"/>
  <c r="BF134" i="18"/>
  <c r="BF135" i="18"/>
  <c r="BF136" i="18"/>
  <c r="BF137" i="18"/>
  <c r="BF138" i="18"/>
  <c r="BF139" i="18"/>
  <c r="BF140" i="18"/>
  <c r="BF141" i="18"/>
  <c r="BF142" i="18"/>
  <c r="BF143" i="18"/>
  <c r="BF144" i="18"/>
  <c r="BF145" i="18"/>
  <c r="BF146" i="18"/>
  <c r="BF147" i="18"/>
  <c r="BF148" i="18"/>
  <c r="BF149" i="18"/>
  <c r="BF150" i="18"/>
  <c r="BF151" i="18"/>
  <c r="BF152" i="18"/>
  <c r="BF153" i="18"/>
  <c r="BF154" i="18"/>
  <c r="BF155" i="18"/>
  <c r="BF156" i="18"/>
  <c r="BF157" i="18"/>
  <c r="BF158" i="18"/>
  <c r="BF159" i="18"/>
  <c r="BF160" i="18"/>
  <c r="BF161" i="18"/>
  <c r="BF162" i="18"/>
  <c r="BF163" i="18"/>
  <c r="BF164" i="18"/>
  <c r="BF165" i="18"/>
  <c r="BF166" i="18"/>
  <c r="BF167" i="18"/>
  <c r="BF168" i="18"/>
  <c r="BF169" i="18"/>
  <c r="BF170" i="18"/>
  <c r="BF171" i="18"/>
  <c r="BF172" i="18"/>
  <c r="BF173" i="18"/>
  <c r="BF174" i="18"/>
  <c r="BF175" i="18"/>
  <c r="BF176" i="18"/>
  <c r="BF177" i="18"/>
  <c r="BF178" i="18"/>
  <c r="BF179" i="18"/>
  <c r="BF180" i="18"/>
  <c r="BF181" i="18"/>
  <c r="BF182" i="18"/>
  <c r="BF183" i="18"/>
  <c r="BF184" i="18"/>
  <c r="BF185" i="18"/>
  <c r="BF186" i="18"/>
  <c r="BF187" i="18"/>
  <c r="BF188" i="18"/>
  <c r="BF189" i="18"/>
  <c r="BF190" i="18"/>
  <c r="BF191" i="18"/>
  <c r="BF192" i="18"/>
  <c r="BF193" i="18"/>
  <c r="BF194" i="18"/>
  <c r="BF195" i="18"/>
  <c r="BF196" i="18"/>
  <c r="BF197" i="18"/>
  <c r="BF198" i="18"/>
  <c r="BF199" i="18"/>
  <c r="BF200" i="18"/>
  <c r="BF201" i="18"/>
  <c r="BF202" i="18"/>
  <c r="BF203" i="18"/>
  <c r="BF204" i="18"/>
  <c r="BF205" i="18"/>
  <c r="BF206" i="18"/>
  <c r="BF207" i="18"/>
  <c r="BF208" i="18"/>
  <c r="BF209" i="18"/>
  <c r="BF210" i="18"/>
  <c r="BF211" i="18"/>
  <c r="BF212" i="18"/>
  <c r="BF213" i="18"/>
  <c r="BF214" i="18"/>
  <c r="BF215" i="18"/>
  <c r="BF216" i="18"/>
  <c r="BF217" i="18"/>
  <c r="BF218" i="18"/>
  <c r="BF219" i="18"/>
  <c r="BF220" i="18"/>
  <c r="BF221" i="18"/>
  <c r="BF222" i="18"/>
  <c r="BF223" i="18"/>
  <c r="BF224" i="18"/>
  <c r="BF225" i="18"/>
  <c r="BF226" i="18"/>
  <c r="BF227" i="18"/>
  <c r="BF228" i="18"/>
  <c r="BF229" i="18"/>
  <c r="BF230" i="18"/>
  <c r="BF231" i="18"/>
  <c r="BF232" i="18"/>
  <c r="BF233" i="18"/>
  <c r="BF234" i="18"/>
  <c r="BF235" i="18"/>
  <c r="BF236" i="18"/>
  <c r="BF237" i="18"/>
  <c r="BF238" i="18"/>
  <c r="BF239" i="18"/>
  <c r="BF240" i="18"/>
  <c r="BF241" i="18"/>
  <c r="BF242" i="18"/>
  <c r="BF243" i="18"/>
  <c r="BF244" i="18"/>
  <c r="BF245" i="18"/>
  <c r="BF246" i="18"/>
  <c r="BF247" i="18"/>
  <c r="BF248" i="18"/>
  <c r="BF249" i="18"/>
  <c r="BF250" i="18"/>
  <c r="BF251" i="18"/>
  <c r="BF252" i="18"/>
  <c r="BF253" i="18"/>
  <c r="BF254" i="18"/>
  <c r="BF255" i="18"/>
  <c r="BF256" i="18"/>
  <c r="BF257" i="18"/>
  <c r="BF258" i="18"/>
  <c r="BF259" i="18"/>
  <c r="BF260" i="18"/>
  <c r="BF261" i="18"/>
  <c r="BF262" i="18"/>
  <c r="BF263" i="18"/>
  <c r="BF264" i="18"/>
  <c r="BF265" i="18"/>
  <c r="BF266" i="18"/>
  <c r="BF267" i="18"/>
  <c r="BF268" i="18"/>
  <c r="BF269" i="18"/>
  <c r="BF270" i="18"/>
  <c r="BF271" i="18"/>
  <c r="BF272" i="18"/>
  <c r="BF273" i="18"/>
  <c r="BF274" i="18"/>
  <c r="BF275" i="18"/>
  <c r="BF276" i="18"/>
  <c r="BF277" i="18"/>
  <c r="BF278" i="18"/>
  <c r="BF279" i="18"/>
  <c r="BF280" i="18"/>
  <c r="BF281" i="18"/>
  <c r="BF282" i="18"/>
  <c r="BF283" i="18"/>
  <c r="BF284" i="18"/>
  <c r="BF285" i="18"/>
  <c r="BF286" i="18"/>
  <c r="BF287" i="18"/>
  <c r="BF288" i="18"/>
  <c r="BF289" i="18"/>
  <c r="BF290" i="18"/>
  <c r="BF291" i="18"/>
  <c r="BF292" i="18"/>
  <c r="BF293" i="18"/>
  <c r="BF294" i="18"/>
  <c r="BF295" i="18"/>
  <c r="BF296" i="18"/>
  <c r="BF297" i="18"/>
  <c r="BF298" i="18"/>
  <c r="BF299" i="18"/>
  <c r="BF300" i="18"/>
  <c r="BF301" i="18"/>
  <c r="BF302" i="18"/>
  <c r="BF303" i="18"/>
  <c r="BF304" i="18"/>
  <c r="BF305" i="18"/>
  <c r="BF306" i="18"/>
  <c r="BF307" i="18"/>
  <c r="BF308" i="18"/>
  <c r="BF309" i="18"/>
  <c r="BF310" i="18"/>
  <c r="BF311" i="18"/>
  <c r="BF312" i="18"/>
  <c r="BF313" i="18"/>
  <c r="BF314" i="18"/>
  <c r="BF315" i="18"/>
  <c r="BF316" i="18"/>
  <c r="BF317" i="18"/>
  <c r="BF318" i="18"/>
  <c r="BF319" i="18"/>
  <c r="BF320" i="18"/>
  <c r="BF321" i="18"/>
  <c r="BF322" i="18"/>
  <c r="BF323" i="18"/>
  <c r="BF324" i="18"/>
  <c r="BF325" i="18"/>
  <c r="BF326" i="18"/>
  <c r="BF327" i="18"/>
  <c r="BF328" i="18"/>
  <c r="BF329" i="18"/>
  <c r="BF330" i="18"/>
  <c r="BF331" i="18"/>
  <c r="BF332" i="18"/>
  <c r="BF333" i="18"/>
  <c r="BF334" i="18"/>
  <c r="BF335" i="18"/>
  <c r="BF336" i="18"/>
  <c r="BF337" i="18"/>
  <c r="BF338" i="18"/>
  <c r="BG3" i="18"/>
  <c r="BG4" i="18"/>
  <c r="BG5" i="18"/>
  <c r="BG6" i="18"/>
  <c r="BG7" i="18"/>
  <c r="BG8" i="18"/>
  <c r="BG9" i="18"/>
  <c r="BG10" i="18"/>
  <c r="BG11" i="18"/>
  <c r="BG12" i="18"/>
  <c r="BG13" i="18"/>
  <c r="BG14" i="18"/>
  <c r="BG15" i="18"/>
  <c r="BG16" i="18"/>
  <c r="BG17" i="18"/>
  <c r="BG18" i="18"/>
  <c r="BG19" i="18"/>
  <c r="BG20" i="18"/>
  <c r="BG21" i="18"/>
  <c r="BG22" i="18"/>
  <c r="BG23" i="18"/>
  <c r="BG24" i="18"/>
  <c r="BG25" i="18"/>
  <c r="BG26" i="18"/>
  <c r="BG27" i="18"/>
  <c r="BG28" i="18"/>
  <c r="BG29" i="18"/>
  <c r="BG30" i="18"/>
  <c r="BG31" i="18"/>
  <c r="BG32" i="18"/>
  <c r="BG33" i="18"/>
  <c r="BG34" i="18"/>
  <c r="BG35" i="18"/>
  <c r="BG36" i="18"/>
  <c r="BG37" i="18"/>
  <c r="BG38" i="18"/>
  <c r="BG39" i="18"/>
  <c r="BG40" i="18"/>
  <c r="BG41" i="18"/>
  <c r="BG42" i="18"/>
  <c r="BG43" i="18"/>
  <c r="BG44" i="18"/>
  <c r="BG45" i="18"/>
  <c r="BG46" i="18"/>
  <c r="BG47" i="18"/>
  <c r="BG48" i="18"/>
  <c r="BG49" i="18"/>
  <c r="BG50" i="18"/>
  <c r="BG51" i="18"/>
  <c r="BG52" i="18"/>
  <c r="BG53" i="18"/>
  <c r="BG54" i="18"/>
  <c r="BG55" i="18"/>
  <c r="BG56" i="18"/>
  <c r="BG57" i="18"/>
  <c r="BG58" i="18"/>
  <c r="BG59" i="18"/>
  <c r="BG60" i="18"/>
  <c r="BG61" i="18"/>
  <c r="BG62" i="18"/>
  <c r="BG63" i="18"/>
  <c r="BG64" i="18"/>
  <c r="BG65" i="18"/>
  <c r="BG66" i="18"/>
  <c r="BG67" i="18"/>
  <c r="BG68" i="18"/>
  <c r="BG69" i="18"/>
  <c r="BG70" i="18"/>
  <c r="BG71" i="18"/>
  <c r="BG72" i="18"/>
  <c r="BG73" i="18"/>
  <c r="BG74" i="18"/>
  <c r="BG75" i="18"/>
  <c r="BG76" i="18"/>
  <c r="BG77" i="18"/>
  <c r="BG78" i="18"/>
  <c r="BG79" i="18"/>
  <c r="BG80" i="18"/>
  <c r="BG81" i="18"/>
  <c r="BG82" i="18"/>
  <c r="BG83" i="18"/>
  <c r="BG84" i="18"/>
  <c r="BG85" i="18"/>
  <c r="BG86" i="18"/>
  <c r="BG87" i="18"/>
  <c r="BG88" i="18"/>
  <c r="BG89" i="18"/>
  <c r="BG90" i="18"/>
  <c r="BG91" i="18"/>
  <c r="BG92" i="18"/>
  <c r="BG93" i="18"/>
  <c r="BG94" i="18"/>
  <c r="BG95" i="18"/>
  <c r="BG96" i="18"/>
  <c r="BG97" i="18"/>
  <c r="BG98" i="18"/>
  <c r="BG99" i="18"/>
  <c r="BG100" i="18"/>
  <c r="BG101" i="18"/>
  <c r="BG102" i="18"/>
  <c r="BG103" i="18"/>
  <c r="BG104" i="18"/>
  <c r="BG105" i="18"/>
  <c r="BG106" i="18"/>
  <c r="BG107" i="18"/>
  <c r="BG108" i="18"/>
  <c r="BG109" i="18"/>
  <c r="BG110" i="18"/>
  <c r="BG111" i="18"/>
  <c r="BG112" i="18"/>
  <c r="BG113" i="18"/>
  <c r="BG114" i="18"/>
  <c r="BG115" i="18"/>
  <c r="BG116" i="18"/>
  <c r="BG117" i="18"/>
  <c r="BG118" i="18"/>
  <c r="BG119" i="18"/>
  <c r="BG120" i="18"/>
  <c r="BG121" i="18"/>
  <c r="BG122" i="18"/>
  <c r="BG123" i="18"/>
  <c r="BG124" i="18"/>
  <c r="BG125" i="18"/>
  <c r="BG126" i="18"/>
  <c r="BG127" i="18"/>
  <c r="BG128" i="18"/>
  <c r="BG129" i="18"/>
  <c r="BG130" i="18"/>
  <c r="BG131" i="18"/>
  <c r="BG132" i="18"/>
  <c r="BG133" i="18"/>
  <c r="BG134" i="18"/>
  <c r="BG135" i="18"/>
  <c r="BG136" i="18"/>
  <c r="BG137" i="18"/>
  <c r="BG138" i="18"/>
  <c r="BG139" i="18"/>
  <c r="BG140" i="18"/>
  <c r="BG141" i="18"/>
  <c r="BG142" i="18"/>
  <c r="BG143" i="18"/>
  <c r="BG144" i="18"/>
  <c r="BG145" i="18"/>
  <c r="BG146" i="18"/>
  <c r="BG147" i="18"/>
  <c r="BG148" i="18"/>
  <c r="BG149" i="18"/>
  <c r="BG150" i="18"/>
  <c r="BG151" i="18"/>
  <c r="BG152" i="18"/>
  <c r="BG153" i="18"/>
  <c r="BG154" i="18"/>
  <c r="BG155" i="18"/>
  <c r="BG156" i="18"/>
  <c r="BG157" i="18"/>
  <c r="BG158" i="18"/>
  <c r="BG159" i="18"/>
  <c r="BG160" i="18"/>
  <c r="BG161" i="18"/>
  <c r="BG162" i="18"/>
  <c r="BG163" i="18"/>
  <c r="BG164" i="18"/>
  <c r="BG165" i="18"/>
  <c r="BG166" i="18"/>
  <c r="BG167" i="18"/>
  <c r="BG168" i="18"/>
  <c r="BG169" i="18"/>
  <c r="BG170" i="18"/>
  <c r="BG171" i="18"/>
  <c r="BG172" i="18"/>
  <c r="BG173" i="18"/>
  <c r="BG174" i="18"/>
  <c r="BG175" i="18"/>
  <c r="BG176" i="18"/>
  <c r="BG177" i="18"/>
  <c r="BG178" i="18"/>
  <c r="BG179" i="18"/>
  <c r="BG180" i="18"/>
  <c r="BG181" i="18"/>
  <c r="BG182" i="18"/>
  <c r="BG183" i="18"/>
  <c r="BG184" i="18"/>
  <c r="BG185" i="18"/>
  <c r="BG186" i="18"/>
  <c r="BG187" i="18"/>
  <c r="BG188" i="18"/>
  <c r="BG189" i="18"/>
  <c r="BG190" i="18"/>
  <c r="BG191" i="18"/>
  <c r="BG192" i="18"/>
  <c r="BG193" i="18"/>
  <c r="BG194" i="18"/>
  <c r="BG195" i="18"/>
  <c r="BG196" i="18"/>
  <c r="BG197" i="18"/>
  <c r="BG198" i="18"/>
  <c r="BG199" i="18"/>
  <c r="BG200" i="18"/>
  <c r="BG201" i="18"/>
  <c r="BG202" i="18"/>
  <c r="BG203" i="18"/>
  <c r="BG204" i="18"/>
  <c r="BG205" i="18"/>
  <c r="BG206" i="18"/>
  <c r="BG207" i="18"/>
  <c r="BG208" i="18"/>
  <c r="BG209" i="18"/>
  <c r="BG210" i="18"/>
  <c r="BG211" i="18"/>
  <c r="BG212" i="18"/>
  <c r="BG213" i="18"/>
  <c r="BG214" i="18"/>
  <c r="BG215" i="18"/>
  <c r="BG216" i="18"/>
  <c r="BG217" i="18"/>
  <c r="BG218" i="18"/>
  <c r="BG219" i="18"/>
  <c r="BG220" i="18"/>
  <c r="BG221" i="18"/>
  <c r="BG222" i="18"/>
  <c r="BG223" i="18"/>
  <c r="BG224" i="18"/>
  <c r="BG225" i="18"/>
  <c r="BG226" i="18"/>
  <c r="BG227" i="18"/>
  <c r="BG228" i="18"/>
  <c r="BG229" i="18"/>
  <c r="BG230" i="18"/>
  <c r="BG231" i="18"/>
  <c r="BG232" i="18"/>
  <c r="BG233" i="18"/>
  <c r="BG234" i="18"/>
  <c r="BG235" i="18"/>
  <c r="BG236" i="18"/>
  <c r="BG237" i="18"/>
  <c r="BG238" i="18"/>
  <c r="BG239" i="18"/>
  <c r="BG240" i="18"/>
  <c r="BG241" i="18"/>
  <c r="BG242" i="18"/>
  <c r="BG243" i="18"/>
  <c r="BG244" i="18"/>
  <c r="BG245" i="18"/>
  <c r="BG246" i="18"/>
  <c r="BG247" i="18"/>
  <c r="BG248" i="18"/>
  <c r="BG249" i="18"/>
  <c r="BG250" i="18"/>
  <c r="BG251" i="18"/>
  <c r="BG252" i="18"/>
  <c r="BG253" i="18"/>
  <c r="BG254" i="18"/>
  <c r="BG255" i="18"/>
  <c r="BG256" i="18"/>
  <c r="BG257" i="18"/>
  <c r="BG258" i="18"/>
  <c r="BG259" i="18"/>
  <c r="BG260" i="18"/>
  <c r="BG261" i="18"/>
  <c r="BG262" i="18"/>
  <c r="BG263" i="18"/>
  <c r="BG264" i="18"/>
  <c r="BG265" i="18"/>
  <c r="BG266" i="18"/>
  <c r="BG267" i="18"/>
  <c r="BG268" i="18"/>
  <c r="BG269" i="18"/>
  <c r="BG270" i="18"/>
  <c r="BG271" i="18"/>
  <c r="BG272" i="18"/>
  <c r="BG273" i="18"/>
  <c r="BG274" i="18"/>
  <c r="BG275" i="18"/>
  <c r="BG276" i="18"/>
  <c r="BG277" i="18"/>
  <c r="BG278" i="18"/>
  <c r="BG279" i="18"/>
  <c r="BG280" i="18"/>
  <c r="BG281" i="18"/>
  <c r="BG282" i="18"/>
  <c r="BG283" i="18"/>
  <c r="BG284" i="18"/>
  <c r="BG285" i="18"/>
  <c r="BG286" i="18"/>
  <c r="BG287" i="18"/>
  <c r="BG288" i="18"/>
  <c r="BG289" i="18"/>
  <c r="BG290" i="18"/>
  <c r="BG291" i="18"/>
  <c r="BG292" i="18"/>
  <c r="BG293" i="18"/>
  <c r="BG294" i="18"/>
  <c r="BG295" i="18"/>
  <c r="BG296" i="18"/>
  <c r="BG297" i="18"/>
  <c r="BG298" i="18"/>
  <c r="BG299" i="18"/>
  <c r="BG300" i="18"/>
  <c r="BG301" i="18"/>
  <c r="BG302" i="18"/>
  <c r="BG303" i="18"/>
  <c r="BG304" i="18"/>
  <c r="BG305" i="18"/>
  <c r="BG306" i="18"/>
  <c r="BG307" i="18"/>
  <c r="BG308" i="18"/>
  <c r="BG309" i="18"/>
  <c r="BG310" i="18"/>
  <c r="BG311" i="18"/>
  <c r="BG312" i="18"/>
  <c r="BG313" i="18"/>
  <c r="BG314" i="18"/>
  <c r="BG315" i="18"/>
  <c r="BG316" i="18"/>
  <c r="BG317" i="18"/>
  <c r="BG318" i="18"/>
  <c r="BG319" i="18"/>
  <c r="BG320" i="18"/>
  <c r="BG321" i="18"/>
  <c r="BG322" i="18"/>
  <c r="BG323" i="18"/>
  <c r="BG324" i="18"/>
  <c r="BG325" i="18"/>
  <c r="BG326" i="18"/>
  <c r="BG327" i="18"/>
  <c r="BG328" i="18"/>
  <c r="BG329" i="18"/>
  <c r="BG330" i="18"/>
  <c r="BG331" i="18"/>
  <c r="BG332" i="18"/>
  <c r="BG333" i="18"/>
  <c r="BG334" i="18"/>
  <c r="BG335" i="18"/>
  <c r="BG336" i="18"/>
  <c r="BG337" i="18"/>
  <c r="BG338" i="18"/>
  <c r="BH3" i="18"/>
  <c r="BH4" i="18"/>
  <c r="BH5" i="18"/>
  <c r="BH6" i="18"/>
  <c r="BH7" i="18"/>
  <c r="BH8" i="18"/>
  <c r="BH9" i="18"/>
  <c r="BH10" i="18"/>
  <c r="BH11" i="18"/>
  <c r="BH12" i="18"/>
  <c r="BH13" i="18"/>
  <c r="BH14" i="18"/>
  <c r="BH15" i="18"/>
  <c r="BH16" i="18"/>
  <c r="BH17" i="18"/>
  <c r="BH18" i="18"/>
  <c r="BH19" i="18"/>
  <c r="BH20" i="18"/>
  <c r="BH21" i="18"/>
  <c r="BH22" i="18"/>
  <c r="BH23" i="18"/>
  <c r="BH24" i="18"/>
  <c r="BH25" i="18"/>
  <c r="BH26" i="18"/>
  <c r="BH27" i="18"/>
  <c r="BH28" i="18"/>
  <c r="BH29" i="18"/>
  <c r="BH30" i="18"/>
  <c r="BH31" i="18"/>
  <c r="BH32" i="18"/>
  <c r="BH33" i="18"/>
  <c r="BH34" i="18"/>
  <c r="BH35" i="18"/>
  <c r="BH36" i="18"/>
  <c r="BH37" i="18"/>
  <c r="BH38" i="18"/>
  <c r="BH39" i="18"/>
  <c r="BH40" i="18"/>
  <c r="BH41" i="18"/>
  <c r="BH42" i="18"/>
  <c r="BH43" i="18"/>
  <c r="BH44" i="18"/>
  <c r="BH45" i="18"/>
  <c r="BH46" i="18"/>
  <c r="BH47" i="18"/>
  <c r="BH48" i="18"/>
  <c r="BH49" i="18"/>
  <c r="BH50" i="18"/>
  <c r="BH51" i="18"/>
  <c r="BH52" i="18"/>
  <c r="BH53" i="18"/>
  <c r="BH54" i="18"/>
  <c r="BH55" i="18"/>
  <c r="BH56" i="18"/>
  <c r="BH57" i="18"/>
  <c r="BH58" i="18"/>
  <c r="BH59" i="18"/>
  <c r="BH60" i="18"/>
  <c r="BH61" i="18"/>
  <c r="BH62" i="18"/>
  <c r="BH63" i="18"/>
  <c r="BH64" i="18"/>
  <c r="BH65" i="18"/>
  <c r="BH66" i="18"/>
  <c r="BH67" i="18"/>
  <c r="BH68" i="18"/>
  <c r="BH69" i="18"/>
  <c r="BH70" i="18"/>
  <c r="BH71" i="18"/>
  <c r="BH72" i="18"/>
  <c r="BH73" i="18"/>
  <c r="BH74" i="18"/>
  <c r="BH75" i="18"/>
  <c r="BH76" i="18"/>
  <c r="BH77" i="18"/>
  <c r="BH78" i="18"/>
  <c r="BH79" i="18"/>
  <c r="BH80" i="18"/>
  <c r="BH81" i="18"/>
  <c r="BH82" i="18"/>
  <c r="BH83" i="18"/>
  <c r="BH84" i="18"/>
  <c r="BH85" i="18"/>
  <c r="BH86" i="18"/>
  <c r="BH87" i="18"/>
  <c r="BH88" i="18"/>
  <c r="BH89" i="18"/>
  <c r="BH90" i="18"/>
  <c r="BH91" i="18"/>
  <c r="BH92" i="18"/>
  <c r="BH93" i="18"/>
  <c r="BH94" i="18"/>
  <c r="BH95" i="18"/>
  <c r="BH96" i="18"/>
  <c r="BH97" i="18"/>
  <c r="BH98" i="18"/>
  <c r="BH99" i="18"/>
  <c r="BH100" i="18"/>
  <c r="BH101" i="18"/>
  <c r="BH102" i="18"/>
  <c r="BH103" i="18"/>
  <c r="BH104" i="18"/>
  <c r="BH105" i="18"/>
  <c r="BH106" i="18"/>
  <c r="BH107" i="18"/>
  <c r="BH108" i="18"/>
  <c r="BH109" i="18"/>
  <c r="BH110" i="18"/>
  <c r="BH111" i="18"/>
  <c r="BH112" i="18"/>
  <c r="BH113" i="18"/>
  <c r="BH114" i="18"/>
  <c r="BH115" i="18"/>
  <c r="BH116" i="18"/>
  <c r="BH117" i="18"/>
  <c r="BH118" i="18"/>
  <c r="BH119" i="18"/>
  <c r="BH120" i="18"/>
  <c r="BH121" i="18"/>
  <c r="BH122" i="18"/>
  <c r="BH123" i="18"/>
  <c r="BH124" i="18"/>
  <c r="BH125" i="18"/>
  <c r="BH126" i="18"/>
  <c r="BH127" i="18"/>
  <c r="BH128" i="18"/>
  <c r="BH129" i="18"/>
  <c r="BH130" i="18"/>
  <c r="BH131" i="18"/>
  <c r="BH132" i="18"/>
  <c r="BH133" i="18"/>
  <c r="BH134" i="18"/>
  <c r="BH135" i="18"/>
  <c r="BH136" i="18"/>
  <c r="BH137" i="18"/>
  <c r="BH138" i="18"/>
  <c r="BH139" i="18"/>
  <c r="BH140" i="18"/>
  <c r="BH141" i="18"/>
  <c r="BH142" i="18"/>
  <c r="BH143" i="18"/>
  <c r="BH144" i="18"/>
  <c r="BH145" i="18"/>
  <c r="BH146" i="18"/>
  <c r="BH147" i="18"/>
  <c r="BH148" i="18"/>
  <c r="BH149" i="18"/>
  <c r="BH150" i="18"/>
  <c r="BH151" i="18"/>
  <c r="BH152" i="18"/>
  <c r="BH153" i="18"/>
  <c r="BH154" i="18"/>
  <c r="BH155" i="18"/>
  <c r="BH156" i="18"/>
  <c r="BH157" i="18"/>
  <c r="BH158" i="18"/>
  <c r="BH159" i="18"/>
  <c r="BH160" i="18"/>
  <c r="BH161" i="18"/>
  <c r="BH162" i="18"/>
  <c r="BH163" i="18"/>
  <c r="BH164" i="18"/>
  <c r="BH165" i="18"/>
  <c r="BH166" i="18"/>
  <c r="BH167" i="18"/>
  <c r="BH168" i="18"/>
  <c r="BH169" i="18"/>
  <c r="BH170" i="18"/>
  <c r="BH171" i="18"/>
  <c r="BH172" i="18"/>
  <c r="BH173" i="18"/>
  <c r="BH174" i="18"/>
  <c r="BH175" i="18"/>
  <c r="BH176" i="18"/>
  <c r="BH177" i="18"/>
  <c r="BH178" i="18"/>
  <c r="BH179" i="18"/>
  <c r="BH180" i="18"/>
  <c r="BH181" i="18"/>
  <c r="BH182" i="18"/>
  <c r="BH183" i="18"/>
  <c r="BH184" i="18"/>
  <c r="BH185" i="18"/>
  <c r="BH186" i="18"/>
  <c r="BH187" i="18"/>
  <c r="BH188" i="18"/>
  <c r="BH189" i="18"/>
  <c r="BH190" i="18"/>
  <c r="BH191" i="18"/>
  <c r="BH192" i="18"/>
  <c r="BH193" i="18"/>
  <c r="BH194" i="18"/>
  <c r="BH195" i="18"/>
  <c r="BH196" i="18"/>
  <c r="BH197" i="18"/>
  <c r="BH198" i="18"/>
  <c r="BH199" i="18"/>
  <c r="BH200" i="18"/>
  <c r="BH201" i="18"/>
  <c r="BH202" i="18"/>
  <c r="BH203" i="18"/>
  <c r="BH204" i="18"/>
  <c r="BH205" i="18"/>
  <c r="BH206" i="18"/>
  <c r="BH207" i="18"/>
  <c r="BH208" i="18"/>
  <c r="BH209" i="18"/>
  <c r="BH210" i="18"/>
  <c r="BH211" i="18"/>
  <c r="BH212" i="18"/>
  <c r="BH213" i="18"/>
  <c r="BH214" i="18"/>
  <c r="BH215" i="18"/>
  <c r="BH216" i="18"/>
  <c r="BH217" i="18"/>
  <c r="BH218" i="18"/>
  <c r="BH219" i="18"/>
  <c r="BH220" i="18"/>
  <c r="BH221" i="18"/>
  <c r="BH222" i="18"/>
  <c r="BH223" i="18"/>
  <c r="BH224" i="18"/>
  <c r="BH225" i="18"/>
  <c r="BH226" i="18"/>
  <c r="BH227" i="18"/>
  <c r="BH228" i="18"/>
  <c r="BH229" i="18"/>
  <c r="BH230" i="18"/>
  <c r="BH231" i="18"/>
  <c r="BH232" i="18"/>
  <c r="BH233" i="18"/>
  <c r="BH234" i="18"/>
  <c r="BH235" i="18"/>
  <c r="BH236" i="18"/>
  <c r="BH237" i="18"/>
  <c r="BH238" i="18"/>
  <c r="BH239" i="18"/>
  <c r="BH240" i="18"/>
  <c r="BH241" i="18"/>
  <c r="BH242" i="18"/>
  <c r="BH243" i="18"/>
  <c r="BH244" i="18"/>
  <c r="BH245" i="18"/>
  <c r="BH246" i="18"/>
  <c r="BH247" i="18"/>
  <c r="BH248" i="18"/>
  <c r="BH249" i="18"/>
  <c r="BH250" i="18"/>
  <c r="BH251" i="18"/>
  <c r="BH252" i="18"/>
  <c r="BH253" i="18"/>
  <c r="BH254" i="18"/>
  <c r="BH255" i="18"/>
  <c r="BH256" i="18"/>
  <c r="BH257" i="18"/>
  <c r="BH258" i="18"/>
  <c r="BH259" i="18"/>
  <c r="BH260" i="18"/>
  <c r="BH261" i="18"/>
  <c r="BH262" i="18"/>
  <c r="BH263" i="18"/>
  <c r="BH264" i="18"/>
  <c r="BH265" i="18"/>
  <c r="BH266" i="18"/>
  <c r="BH267" i="18"/>
  <c r="BH268" i="18"/>
  <c r="BH269" i="18"/>
  <c r="BH270" i="18"/>
  <c r="BH271" i="18"/>
  <c r="BH272" i="18"/>
  <c r="BH273" i="18"/>
  <c r="BH274" i="18"/>
  <c r="BH275" i="18"/>
  <c r="BH276" i="18"/>
  <c r="BH277" i="18"/>
  <c r="BH278" i="18"/>
  <c r="BH279" i="18"/>
  <c r="BH280" i="18"/>
  <c r="BH281" i="18"/>
  <c r="BH282" i="18"/>
  <c r="BH283" i="18"/>
  <c r="BH284" i="18"/>
  <c r="BH285" i="18"/>
  <c r="BH286" i="18"/>
  <c r="BH287" i="18"/>
  <c r="BH288" i="18"/>
  <c r="BH289" i="18"/>
  <c r="BH290" i="18"/>
  <c r="BH291" i="18"/>
  <c r="BH292" i="18"/>
  <c r="BH293" i="18"/>
  <c r="BH294" i="18"/>
  <c r="BH295" i="18"/>
  <c r="BH296" i="18"/>
  <c r="BH297" i="18"/>
  <c r="BH298" i="18"/>
  <c r="BH299" i="18"/>
  <c r="BH300" i="18"/>
  <c r="BH301" i="18"/>
  <c r="BH302" i="18"/>
  <c r="BH303" i="18"/>
  <c r="BH304" i="18"/>
  <c r="BH305" i="18"/>
  <c r="BH306" i="18"/>
  <c r="BH307" i="18"/>
  <c r="BH308" i="18"/>
  <c r="BH309" i="18"/>
  <c r="BH310" i="18"/>
  <c r="BH311" i="18"/>
  <c r="BH312" i="18"/>
  <c r="BH313" i="18"/>
  <c r="BH314" i="18"/>
  <c r="BH315" i="18"/>
  <c r="BH316" i="18"/>
  <c r="BH317" i="18"/>
  <c r="BH318" i="18"/>
  <c r="BH319" i="18"/>
  <c r="BH320" i="18"/>
  <c r="BH321" i="18"/>
  <c r="BH322" i="18"/>
  <c r="BH323" i="18"/>
  <c r="BH324" i="18"/>
  <c r="BH325" i="18"/>
  <c r="BH326" i="18"/>
  <c r="BH327" i="18"/>
  <c r="BH328" i="18"/>
  <c r="BH329" i="18"/>
  <c r="BH330" i="18"/>
  <c r="BH331" i="18"/>
  <c r="BH332" i="18"/>
  <c r="BH333" i="18"/>
  <c r="BH334" i="18"/>
  <c r="BH335" i="18"/>
  <c r="BH336" i="18"/>
  <c r="BH337" i="18"/>
  <c r="BH338" i="18"/>
  <c r="BI3" i="18"/>
  <c r="BI4" i="18"/>
  <c r="BI5" i="18"/>
  <c r="BI6" i="18"/>
  <c r="BI7" i="18"/>
  <c r="BI8" i="18"/>
  <c r="BI9" i="18"/>
  <c r="BI10" i="18"/>
  <c r="BI11" i="18"/>
  <c r="BI12" i="18"/>
  <c r="BI13" i="18"/>
  <c r="BI14" i="18"/>
  <c r="BI15" i="18"/>
  <c r="BI16" i="18"/>
  <c r="BI17" i="18"/>
  <c r="BI18" i="18"/>
  <c r="BI19" i="18"/>
  <c r="BI20" i="18"/>
  <c r="BI21" i="18"/>
  <c r="BI22" i="18"/>
  <c r="BI23" i="18"/>
  <c r="BI24" i="18"/>
  <c r="BI25" i="18"/>
  <c r="BI26" i="18"/>
  <c r="BI27" i="18"/>
  <c r="BI28" i="18"/>
  <c r="BI29" i="18"/>
  <c r="BI30" i="18"/>
  <c r="BI31" i="18"/>
  <c r="BI32" i="18"/>
  <c r="BI33" i="18"/>
  <c r="BI34" i="18"/>
  <c r="BI35" i="18"/>
  <c r="BI36" i="18"/>
  <c r="BI37" i="18"/>
  <c r="BI38" i="18"/>
  <c r="BI39" i="18"/>
  <c r="BI40" i="18"/>
  <c r="BI41" i="18"/>
  <c r="BI42" i="18"/>
  <c r="BI43" i="18"/>
  <c r="BI44" i="18"/>
  <c r="BI45" i="18"/>
  <c r="BI46" i="18"/>
  <c r="BI47" i="18"/>
  <c r="BI48" i="18"/>
  <c r="BI49" i="18"/>
  <c r="BI50" i="18"/>
  <c r="BI51" i="18"/>
  <c r="BI52" i="18"/>
  <c r="BI53" i="18"/>
  <c r="BI54" i="18"/>
  <c r="BI55" i="18"/>
  <c r="BI56" i="18"/>
  <c r="BI57" i="18"/>
  <c r="BI58" i="18"/>
  <c r="BI59" i="18"/>
  <c r="BI60" i="18"/>
  <c r="BI61" i="18"/>
  <c r="BI62" i="18"/>
  <c r="BI63" i="18"/>
  <c r="BI64" i="18"/>
  <c r="BI65" i="18"/>
  <c r="BI66" i="18"/>
  <c r="BI67" i="18"/>
  <c r="BI68" i="18"/>
  <c r="BI69" i="18"/>
  <c r="BI70" i="18"/>
  <c r="BI71" i="18"/>
  <c r="BI72" i="18"/>
  <c r="BI73" i="18"/>
  <c r="BI74" i="18"/>
  <c r="BI75" i="18"/>
  <c r="BI76" i="18"/>
  <c r="BI77" i="18"/>
  <c r="BI78" i="18"/>
  <c r="BI79" i="18"/>
  <c r="BI80" i="18"/>
  <c r="BI81" i="18"/>
  <c r="BI82" i="18"/>
  <c r="BI83" i="18"/>
  <c r="BI84" i="18"/>
  <c r="BI85" i="18"/>
  <c r="BI86" i="18"/>
  <c r="BI87" i="18"/>
  <c r="BI88" i="18"/>
  <c r="BI89" i="18"/>
  <c r="BI90" i="18"/>
  <c r="BI91" i="18"/>
  <c r="BI92" i="18"/>
  <c r="BI93" i="18"/>
  <c r="BI94" i="18"/>
  <c r="BI95" i="18"/>
  <c r="BI96" i="18"/>
  <c r="BI97" i="18"/>
  <c r="BI98" i="18"/>
  <c r="BI99" i="18"/>
  <c r="BI100" i="18"/>
  <c r="BI101" i="18"/>
  <c r="BI102" i="18"/>
  <c r="BI103" i="18"/>
  <c r="BI104" i="18"/>
  <c r="BI105" i="18"/>
  <c r="BI106" i="18"/>
  <c r="BI107" i="18"/>
  <c r="BI108" i="18"/>
  <c r="BI109" i="18"/>
  <c r="BI110" i="18"/>
  <c r="BI111" i="18"/>
  <c r="BI112" i="18"/>
  <c r="BI113" i="18"/>
  <c r="BI114" i="18"/>
  <c r="BI115" i="18"/>
  <c r="BI116" i="18"/>
  <c r="BI117" i="18"/>
  <c r="BI118" i="18"/>
  <c r="BI119" i="18"/>
  <c r="BI120" i="18"/>
  <c r="BI121" i="18"/>
  <c r="BI122" i="18"/>
  <c r="BI123" i="18"/>
  <c r="BI124" i="18"/>
  <c r="BI125" i="18"/>
  <c r="BI126" i="18"/>
  <c r="BI127" i="18"/>
  <c r="BI128" i="18"/>
  <c r="BI129" i="18"/>
  <c r="BI130" i="18"/>
  <c r="BI131" i="18"/>
  <c r="BI132" i="18"/>
  <c r="BI133" i="18"/>
  <c r="BI134" i="18"/>
  <c r="BI135" i="18"/>
  <c r="BI136" i="18"/>
  <c r="BI137" i="18"/>
  <c r="BI138" i="18"/>
  <c r="BI139" i="18"/>
  <c r="BI140" i="18"/>
  <c r="BI141" i="18"/>
  <c r="BI142" i="18"/>
  <c r="BI143" i="18"/>
  <c r="BI144" i="18"/>
  <c r="BI145" i="18"/>
  <c r="BI146" i="18"/>
  <c r="BI147" i="18"/>
  <c r="BI148" i="18"/>
  <c r="BI149" i="18"/>
  <c r="BI150" i="18"/>
  <c r="BI151" i="18"/>
  <c r="BI152" i="18"/>
  <c r="BI153" i="18"/>
  <c r="BI154" i="18"/>
  <c r="BI155" i="18"/>
  <c r="BI156" i="18"/>
  <c r="BI157" i="18"/>
  <c r="BI158" i="18"/>
  <c r="BI159" i="18"/>
  <c r="BI160" i="18"/>
  <c r="BI161" i="18"/>
  <c r="BI162" i="18"/>
  <c r="BI163" i="18"/>
  <c r="BI164" i="18"/>
  <c r="BI165" i="18"/>
  <c r="BI166" i="18"/>
  <c r="BI167" i="18"/>
  <c r="BI168" i="18"/>
  <c r="BI169" i="18"/>
  <c r="BI170" i="18"/>
  <c r="BI171" i="18"/>
  <c r="BI172" i="18"/>
  <c r="BI173" i="18"/>
  <c r="BI174" i="18"/>
  <c r="BI175" i="18"/>
  <c r="BI176" i="18"/>
  <c r="BI177" i="18"/>
  <c r="BI178" i="18"/>
  <c r="BI179" i="18"/>
  <c r="BI180" i="18"/>
  <c r="BI181" i="18"/>
  <c r="BI182" i="18"/>
  <c r="BI183" i="18"/>
  <c r="BI184" i="18"/>
  <c r="BI185" i="18"/>
  <c r="BI186" i="18"/>
  <c r="BI187" i="18"/>
  <c r="BI188" i="18"/>
  <c r="BI189" i="18"/>
  <c r="BI190" i="18"/>
  <c r="BI191" i="18"/>
  <c r="BI192" i="18"/>
  <c r="BI193" i="18"/>
  <c r="BI194" i="18"/>
  <c r="BI195" i="18"/>
  <c r="BI196" i="18"/>
  <c r="BI197" i="18"/>
  <c r="BI198" i="18"/>
  <c r="BI199" i="18"/>
  <c r="BI200" i="18"/>
  <c r="BI201" i="18"/>
  <c r="BI202" i="18"/>
  <c r="BI203" i="18"/>
  <c r="BI204" i="18"/>
  <c r="BI205" i="18"/>
  <c r="BI206" i="18"/>
  <c r="BI207" i="18"/>
  <c r="BI208" i="18"/>
  <c r="BI209" i="18"/>
  <c r="BI210" i="18"/>
  <c r="BI211" i="18"/>
  <c r="BI212" i="18"/>
  <c r="BI213" i="18"/>
  <c r="BI214" i="18"/>
  <c r="BI215" i="18"/>
  <c r="BI216" i="18"/>
  <c r="BI217" i="18"/>
  <c r="BI218" i="18"/>
  <c r="BI219" i="18"/>
  <c r="BI220" i="18"/>
  <c r="BI221" i="18"/>
  <c r="BI222" i="18"/>
  <c r="BI223" i="18"/>
  <c r="BI224" i="18"/>
  <c r="BI225" i="18"/>
  <c r="BI226" i="18"/>
  <c r="BI227" i="18"/>
  <c r="BI228" i="18"/>
  <c r="BI229" i="18"/>
  <c r="BI230" i="18"/>
  <c r="BI231" i="18"/>
  <c r="BI232" i="18"/>
  <c r="BI233" i="18"/>
  <c r="BI234" i="18"/>
  <c r="BI235" i="18"/>
  <c r="BI236" i="18"/>
  <c r="BI237" i="18"/>
  <c r="BI238" i="18"/>
  <c r="BI239" i="18"/>
  <c r="BI240" i="18"/>
  <c r="BI241" i="18"/>
  <c r="BI242" i="18"/>
  <c r="BI243" i="18"/>
  <c r="BI244" i="18"/>
  <c r="BI245" i="18"/>
  <c r="BI246" i="18"/>
  <c r="BI247" i="18"/>
  <c r="BI248" i="18"/>
  <c r="BI249" i="18"/>
  <c r="BI250" i="18"/>
  <c r="BI251" i="18"/>
  <c r="BI252" i="18"/>
  <c r="BI253" i="18"/>
  <c r="BI254" i="18"/>
  <c r="BI255" i="18"/>
  <c r="BI256" i="18"/>
  <c r="BI257" i="18"/>
  <c r="BI258" i="18"/>
  <c r="BI259" i="18"/>
  <c r="BI260" i="18"/>
  <c r="BI261" i="18"/>
  <c r="BI262" i="18"/>
  <c r="BI263" i="18"/>
  <c r="BI264" i="18"/>
  <c r="BI265" i="18"/>
  <c r="BI266" i="18"/>
  <c r="BI267" i="18"/>
  <c r="BI268" i="18"/>
  <c r="BI269" i="18"/>
  <c r="BI270" i="18"/>
  <c r="BI271" i="18"/>
  <c r="BI272" i="18"/>
  <c r="BI273" i="18"/>
  <c r="BI274" i="18"/>
  <c r="BI275" i="18"/>
  <c r="BI276" i="18"/>
  <c r="BI277" i="18"/>
  <c r="BI278" i="18"/>
  <c r="BI279" i="18"/>
  <c r="BI280" i="18"/>
  <c r="BI281" i="18"/>
  <c r="BI282" i="18"/>
  <c r="BI283" i="18"/>
  <c r="BI284" i="18"/>
  <c r="BI285" i="18"/>
  <c r="BI286" i="18"/>
  <c r="BI287" i="18"/>
  <c r="BI288" i="18"/>
  <c r="BI289" i="18"/>
  <c r="BI290" i="18"/>
  <c r="BI291" i="18"/>
  <c r="BI292" i="18"/>
  <c r="BI293" i="18"/>
  <c r="BI294" i="18"/>
  <c r="BI295" i="18"/>
  <c r="BI296" i="18"/>
  <c r="BI297" i="18"/>
  <c r="BI298" i="18"/>
  <c r="BI299" i="18"/>
  <c r="BI300" i="18"/>
  <c r="BI301" i="18"/>
  <c r="BI302" i="18"/>
  <c r="BI303" i="18"/>
  <c r="BI304" i="18"/>
  <c r="BI305" i="18"/>
  <c r="BI306" i="18"/>
  <c r="BI307" i="18"/>
  <c r="BI308" i="18"/>
  <c r="BI309" i="18"/>
  <c r="BI310" i="18"/>
  <c r="BI311" i="18"/>
  <c r="BI312" i="18"/>
  <c r="BI313" i="18"/>
  <c r="BI314" i="18"/>
  <c r="BI315" i="18"/>
  <c r="BI316" i="18"/>
  <c r="BI317" i="18"/>
  <c r="BI318" i="18"/>
  <c r="BI319" i="18"/>
  <c r="BI320" i="18"/>
  <c r="BI321" i="18"/>
  <c r="BI322" i="18"/>
  <c r="BI323" i="18"/>
  <c r="BI324" i="18"/>
  <c r="BI325" i="18"/>
  <c r="BI326" i="18"/>
  <c r="BI327" i="18"/>
  <c r="BI328" i="18"/>
  <c r="BI329" i="18"/>
  <c r="BI330" i="18"/>
  <c r="BI331" i="18"/>
  <c r="BI332" i="18"/>
  <c r="BI333" i="18"/>
  <c r="BI334" i="18"/>
  <c r="BI335" i="18"/>
  <c r="BI336" i="18"/>
  <c r="BI337" i="18"/>
  <c r="BI338" i="18"/>
  <c r="BJ3" i="18"/>
  <c r="BJ4" i="18"/>
  <c r="BJ5" i="18"/>
  <c r="BJ6" i="18"/>
  <c r="BJ7" i="18"/>
  <c r="BJ8" i="18"/>
  <c r="BJ9" i="18"/>
  <c r="BJ10" i="18"/>
  <c r="BJ11" i="18"/>
  <c r="BJ12" i="18"/>
  <c r="BJ13" i="18"/>
  <c r="BJ14" i="18"/>
  <c r="BJ15" i="18"/>
  <c r="BJ16" i="18"/>
  <c r="BJ17" i="18"/>
  <c r="BJ18" i="18"/>
  <c r="BJ19" i="18"/>
  <c r="BJ20" i="18"/>
  <c r="BJ21" i="18"/>
  <c r="BJ22" i="18"/>
  <c r="BJ23" i="18"/>
  <c r="BJ24" i="18"/>
  <c r="BJ25" i="18"/>
  <c r="BJ26" i="18"/>
  <c r="BJ27" i="18"/>
  <c r="BJ28" i="18"/>
  <c r="BJ29" i="18"/>
  <c r="BJ30" i="18"/>
  <c r="BJ31" i="18"/>
  <c r="BJ32" i="18"/>
  <c r="BJ33" i="18"/>
  <c r="BJ34" i="18"/>
  <c r="BJ35" i="18"/>
  <c r="BJ36" i="18"/>
  <c r="BJ37" i="18"/>
  <c r="BJ38" i="18"/>
  <c r="BJ39" i="18"/>
  <c r="BJ40" i="18"/>
  <c r="BJ41" i="18"/>
  <c r="BJ42" i="18"/>
  <c r="BJ43" i="18"/>
  <c r="BJ44" i="18"/>
  <c r="BJ45" i="18"/>
  <c r="BJ46" i="18"/>
  <c r="BJ47" i="18"/>
  <c r="BJ48" i="18"/>
  <c r="BJ49" i="18"/>
  <c r="BJ50" i="18"/>
  <c r="BJ51" i="18"/>
  <c r="BJ52" i="18"/>
  <c r="BJ53" i="18"/>
  <c r="BJ54" i="18"/>
  <c r="BJ55" i="18"/>
  <c r="BJ56" i="18"/>
  <c r="BJ57" i="18"/>
  <c r="BJ58" i="18"/>
  <c r="BJ59" i="18"/>
  <c r="BJ60" i="18"/>
  <c r="BJ61" i="18"/>
  <c r="BJ62" i="18"/>
  <c r="BJ63" i="18"/>
  <c r="BJ64" i="18"/>
  <c r="BJ65" i="18"/>
  <c r="BJ66" i="18"/>
  <c r="BJ67" i="18"/>
  <c r="BJ68" i="18"/>
  <c r="BJ69" i="18"/>
  <c r="BJ70" i="18"/>
  <c r="BJ71" i="18"/>
  <c r="BJ72" i="18"/>
  <c r="BJ73" i="18"/>
  <c r="BJ74" i="18"/>
  <c r="BJ75" i="18"/>
  <c r="BJ76" i="18"/>
  <c r="BJ77" i="18"/>
  <c r="BJ78" i="18"/>
  <c r="BJ79" i="18"/>
  <c r="BJ80" i="18"/>
  <c r="BJ81" i="18"/>
  <c r="BJ82" i="18"/>
  <c r="BJ83" i="18"/>
  <c r="BJ84" i="18"/>
  <c r="BJ85" i="18"/>
  <c r="BJ86" i="18"/>
  <c r="BJ87" i="18"/>
  <c r="BJ88" i="18"/>
  <c r="BJ89" i="18"/>
  <c r="BJ90" i="18"/>
  <c r="BJ91" i="18"/>
  <c r="BJ92" i="18"/>
  <c r="BJ93" i="18"/>
  <c r="BJ94" i="18"/>
  <c r="BJ95" i="18"/>
  <c r="BJ96" i="18"/>
  <c r="BJ97" i="18"/>
  <c r="BJ98" i="18"/>
  <c r="BJ99" i="18"/>
  <c r="BJ100" i="18"/>
  <c r="BJ101" i="18"/>
  <c r="BJ102" i="18"/>
  <c r="BJ103" i="18"/>
  <c r="BJ104" i="18"/>
  <c r="BJ105" i="18"/>
  <c r="BJ106" i="18"/>
  <c r="BJ107" i="18"/>
  <c r="BJ108" i="18"/>
  <c r="BJ109" i="18"/>
  <c r="BJ110" i="18"/>
  <c r="BJ111" i="18"/>
  <c r="BJ112" i="18"/>
  <c r="BJ113" i="18"/>
  <c r="BJ114" i="18"/>
  <c r="BJ115" i="18"/>
  <c r="BJ116" i="18"/>
  <c r="BJ117" i="18"/>
  <c r="BJ118" i="18"/>
  <c r="BJ119" i="18"/>
  <c r="BJ120" i="18"/>
  <c r="BJ121" i="18"/>
  <c r="BJ122" i="18"/>
  <c r="BJ123" i="18"/>
  <c r="BJ124" i="18"/>
  <c r="BJ125" i="18"/>
  <c r="BJ126" i="18"/>
  <c r="BJ127" i="18"/>
  <c r="BJ128" i="18"/>
  <c r="BJ129" i="18"/>
  <c r="BJ130" i="18"/>
  <c r="BJ131" i="18"/>
  <c r="BJ132" i="18"/>
  <c r="BJ133" i="18"/>
  <c r="BJ134" i="18"/>
  <c r="BJ135" i="18"/>
  <c r="BJ136" i="18"/>
  <c r="BJ137" i="18"/>
  <c r="BJ138" i="18"/>
  <c r="BJ139" i="18"/>
  <c r="BJ140" i="18"/>
  <c r="BJ141" i="18"/>
  <c r="BJ142" i="18"/>
  <c r="BJ143" i="18"/>
  <c r="BJ144" i="18"/>
  <c r="BJ145" i="18"/>
  <c r="BJ146" i="18"/>
  <c r="BJ147" i="18"/>
  <c r="BJ148" i="18"/>
  <c r="BJ149" i="18"/>
  <c r="BJ150" i="18"/>
  <c r="BJ151" i="18"/>
  <c r="BJ152" i="18"/>
  <c r="BJ153" i="18"/>
  <c r="BJ154" i="18"/>
  <c r="BJ155" i="18"/>
  <c r="BJ156" i="18"/>
  <c r="BJ157" i="18"/>
  <c r="BJ158" i="18"/>
  <c r="BJ159" i="18"/>
  <c r="BJ160" i="18"/>
  <c r="BJ161" i="18"/>
  <c r="BJ162" i="18"/>
  <c r="BJ163" i="18"/>
  <c r="BJ164" i="18"/>
  <c r="BJ165" i="18"/>
  <c r="BJ166" i="18"/>
  <c r="BJ167" i="18"/>
  <c r="BJ168" i="18"/>
  <c r="BJ169" i="18"/>
  <c r="BJ170" i="18"/>
  <c r="BJ171" i="18"/>
  <c r="BJ172" i="18"/>
  <c r="BJ173" i="18"/>
  <c r="BJ174" i="18"/>
  <c r="BJ175" i="18"/>
  <c r="BJ176" i="18"/>
  <c r="BJ177" i="18"/>
  <c r="BJ178" i="18"/>
  <c r="BJ179" i="18"/>
  <c r="BJ180" i="18"/>
  <c r="BJ181" i="18"/>
  <c r="BJ182" i="18"/>
  <c r="BJ183" i="18"/>
  <c r="BJ184" i="18"/>
  <c r="BJ185" i="18"/>
  <c r="BJ186" i="18"/>
  <c r="BJ187" i="18"/>
  <c r="BJ188" i="18"/>
  <c r="BJ189" i="18"/>
  <c r="BJ190" i="18"/>
  <c r="BJ191" i="18"/>
  <c r="BJ192" i="18"/>
  <c r="BJ193" i="18"/>
  <c r="BJ194" i="18"/>
  <c r="BJ195" i="18"/>
  <c r="BJ196" i="18"/>
  <c r="BJ197" i="18"/>
  <c r="BJ198" i="18"/>
  <c r="BJ199" i="18"/>
  <c r="BJ200" i="18"/>
  <c r="BJ201" i="18"/>
  <c r="BJ202" i="18"/>
  <c r="BJ203" i="18"/>
  <c r="BJ204" i="18"/>
  <c r="BJ205" i="18"/>
  <c r="BJ206" i="18"/>
  <c r="BJ207" i="18"/>
  <c r="BJ208" i="18"/>
  <c r="BJ209" i="18"/>
  <c r="BJ210" i="18"/>
  <c r="BJ211" i="18"/>
  <c r="BJ212" i="18"/>
  <c r="BJ213" i="18"/>
  <c r="BJ214" i="18"/>
  <c r="BJ215" i="18"/>
  <c r="BJ216" i="18"/>
  <c r="BJ217" i="18"/>
  <c r="BJ218" i="18"/>
  <c r="BJ219" i="18"/>
  <c r="BJ220" i="18"/>
  <c r="BJ221" i="18"/>
  <c r="BJ222" i="18"/>
  <c r="BJ223" i="18"/>
  <c r="BJ224" i="18"/>
  <c r="BJ225" i="18"/>
  <c r="BJ226" i="18"/>
  <c r="BJ227" i="18"/>
  <c r="BJ228" i="18"/>
  <c r="BJ229" i="18"/>
  <c r="BJ230" i="18"/>
  <c r="BJ231" i="18"/>
  <c r="BJ232" i="18"/>
  <c r="BJ233" i="18"/>
  <c r="BJ234" i="18"/>
  <c r="BJ235" i="18"/>
  <c r="BJ236" i="18"/>
  <c r="BJ237" i="18"/>
  <c r="BJ238" i="18"/>
  <c r="BJ239" i="18"/>
  <c r="BJ240" i="18"/>
  <c r="BJ241" i="18"/>
  <c r="BJ242" i="18"/>
  <c r="BJ243" i="18"/>
  <c r="BJ244" i="18"/>
  <c r="BJ245" i="18"/>
  <c r="BJ246" i="18"/>
  <c r="BJ247" i="18"/>
  <c r="BJ248" i="18"/>
  <c r="BJ249" i="18"/>
  <c r="BJ250" i="18"/>
  <c r="BJ251" i="18"/>
  <c r="BJ252" i="18"/>
  <c r="BJ253" i="18"/>
  <c r="BJ254" i="18"/>
  <c r="BJ255" i="18"/>
  <c r="BJ256" i="18"/>
  <c r="BJ257" i="18"/>
  <c r="BJ258" i="18"/>
  <c r="BJ259" i="18"/>
  <c r="BJ260" i="18"/>
  <c r="BJ261" i="18"/>
  <c r="BJ262" i="18"/>
  <c r="BJ263" i="18"/>
  <c r="BJ264" i="18"/>
  <c r="BJ265" i="18"/>
  <c r="BJ266" i="18"/>
  <c r="BJ267" i="18"/>
  <c r="BJ268" i="18"/>
  <c r="BJ269" i="18"/>
  <c r="BJ270" i="18"/>
  <c r="BJ271" i="18"/>
  <c r="BJ272" i="18"/>
  <c r="BJ273" i="18"/>
  <c r="BJ274" i="18"/>
  <c r="BJ275" i="18"/>
  <c r="BJ276" i="18"/>
  <c r="BJ277" i="18"/>
  <c r="BJ278" i="18"/>
  <c r="BJ279" i="18"/>
  <c r="BJ280" i="18"/>
  <c r="BJ281" i="18"/>
  <c r="BJ282" i="18"/>
  <c r="BJ283" i="18"/>
  <c r="BJ284" i="18"/>
  <c r="BJ285" i="18"/>
  <c r="BJ286" i="18"/>
  <c r="BJ287" i="18"/>
  <c r="BJ288" i="18"/>
  <c r="BJ289" i="18"/>
  <c r="BJ290" i="18"/>
  <c r="BJ291" i="18"/>
  <c r="BJ292" i="18"/>
  <c r="BJ293" i="18"/>
  <c r="BJ294" i="18"/>
  <c r="BJ295" i="18"/>
  <c r="BJ296" i="18"/>
  <c r="BJ297" i="18"/>
  <c r="BJ298" i="18"/>
  <c r="BJ299" i="18"/>
  <c r="BJ300" i="18"/>
  <c r="BJ301" i="18"/>
  <c r="BJ302" i="18"/>
  <c r="BJ303" i="18"/>
  <c r="BJ304" i="18"/>
  <c r="BJ305" i="18"/>
  <c r="BJ306" i="18"/>
  <c r="BJ307" i="18"/>
  <c r="BJ308" i="18"/>
  <c r="BJ309" i="18"/>
  <c r="BJ310" i="18"/>
  <c r="BJ311" i="18"/>
  <c r="BJ312" i="18"/>
  <c r="BJ313" i="18"/>
  <c r="BJ314" i="18"/>
  <c r="BJ315" i="18"/>
  <c r="BJ316" i="18"/>
  <c r="BJ317" i="18"/>
  <c r="BJ318" i="18"/>
  <c r="BJ319" i="18"/>
  <c r="BJ320" i="18"/>
  <c r="BJ321" i="18"/>
  <c r="BJ322" i="18"/>
  <c r="BJ323" i="18"/>
  <c r="BJ324" i="18"/>
  <c r="BJ325" i="18"/>
  <c r="BJ326" i="18"/>
  <c r="BJ327" i="18"/>
  <c r="BJ328" i="18"/>
  <c r="BJ329" i="18"/>
  <c r="BJ330" i="18"/>
  <c r="BJ331" i="18"/>
  <c r="BJ332" i="18"/>
  <c r="BJ333" i="18"/>
  <c r="BJ334" i="18"/>
  <c r="BJ335" i="18"/>
  <c r="BJ336" i="18"/>
  <c r="BJ337" i="18"/>
  <c r="BJ338" i="18"/>
  <c r="BK3" i="18"/>
  <c r="BK4" i="18"/>
  <c r="BK5" i="18"/>
  <c r="BK6" i="18"/>
  <c r="BK7" i="18"/>
  <c r="BK8" i="18"/>
  <c r="BK9" i="18"/>
  <c r="BK10" i="18"/>
  <c r="BK11" i="18"/>
  <c r="BK12" i="18"/>
  <c r="BK13" i="18"/>
  <c r="BK14" i="18"/>
  <c r="BK15" i="18"/>
  <c r="BK16" i="18"/>
  <c r="BK17" i="18"/>
  <c r="BK18" i="18"/>
  <c r="BK19" i="18"/>
  <c r="BK20" i="18"/>
  <c r="BK21" i="18"/>
  <c r="BK22" i="18"/>
  <c r="BK23" i="18"/>
  <c r="BK24" i="18"/>
  <c r="BK25" i="18"/>
  <c r="BK26" i="18"/>
  <c r="BK27" i="18"/>
  <c r="BK28" i="18"/>
  <c r="BK29" i="18"/>
  <c r="BK30" i="18"/>
  <c r="BK31" i="18"/>
  <c r="BK32" i="18"/>
  <c r="BK33" i="18"/>
  <c r="BK34" i="18"/>
  <c r="BK35" i="18"/>
  <c r="BK36" i="18"/>
  <c r="BK37" i="18"/>
  <c r="BK38" i="18"/>
  <c r="BK39" i="18"/>
  <c r="BK40" i="18"/>
  <c r="BK41" i="18"/>
  <c r="BK42" i="18"/>
  <c r="BK43" i="18"/>
  <c r="BK44" i="18"/>
  <c r="BK45" i="18"/>
  <c r="BK46" i="18"/>
  <c r="BK47" i="18"/>
  <c r="BK48" i="18"/>
  <c r="BK49" i="18"/>
  <c r="BK50" i="18"/>
  <c r="BK51" i="18"/>
  <c r="BK52" i="18"/>
  <c r="BK53" i="18"/>
  <c r="BK54" i="18"/>
  <c r="BK55" i="18"/>
  <c r="BK56" i="18"/>
  <c r="BK57" i="18"/>
  <c r="BK58" i="18"/>
  <c r="BK59" i="18"/>
  <c r="BK60" i="18"/>
  <c r="BK61" i="18"/>
  <c r="BK62" i="18"/>
  <c r="BK63" i="18"/>
  <c r="BK64" i="18"/>
  <c r="BK65" i="18"/>
  <c r="BK66" i="18"/>
  <c r="BK67" i="18"/>
  <c r="BK68" i="18"/>
  <c r="BK69" i="18"/>
  <c r="BK70" i="18"/>
  <c r="BK71" i="18"/>
  <c r="BK72" i="18"/>
  <c r="BK73" i="18"/>
  <c r="BK74" i="18"/>
  <c r="BK75" i="18"/>
  <c r="BK76" i="18"/>
  <c r="BK77" i="18"/>
  <c r="BK78" i="18"/>
  <c r="BK79" i="18"/>
  <c r="BK80" i="18"/>
  <c r="BK81" i="18"/>
  <c r="BK82" i="18"/>
  <c r="BK83" i="18"/>
  <c r="BK84" i="18"/>
  <c r="BK85" i="18"/>
  <c r="BK86" i="18"/>
  <c r="BK87" i="18"/>
  <c r="BK88" i="18"/>
  <c r="BK89" i="18"/>
  <c r="BK90" i="18"/>
  <c r="BK91" i="18"/>
  <c r="BK92" i="18"/>
  <c r="BK93" i="18"/>
  <c r="BK94" i="18"/>
  <c r="BK95" i="18"/>
  <c r="BK96" i="18"/>
  <c r="BK97" i="18"/>
  <c r="BK98" i="18"/>
  <c r="BK99" i="18"/>
  <c r="BK100" i="18"/>
  <c r="BK101" i="18"/>
  <c r="BK102" i="18"/>
  <c r="BK103" i="18"/>
  <c r="BK104" i="18"/>
  <c r="BK105" i="18"/>
  <c r="BK106" i="18"/>
  <c r="BK107" i="18"/>
  <c r="BK108" i="18"/>
  <c r="BK109" i="18"/>
  <c r="BK110" i="18"/>
  <c r="BK111" i="18"/>
  <c r="BK112" i="18"/>
  <c r="BK113" i="18"/>
  <c r="BK114" i="18"/>
  <c r="BK115" i="18"/>
  <c r="BK116" i="18"/>
  <c r="BK117" i="18"/>
  <c r="BK118" i="18"/>
  <c r="BK119" i="18"/>
  <c r="BK120" i="18"/>
  <c r="BK121" i="18"/>
  <c r="BK122" i="18"/>
  <c r="BK123" i="18"/>
  <c r="BK124" i="18"/>
  <c r="BK125" i="18"/>
  <c r="BK126" i="18"/>
  <c r="BK127" i="18"/>
  <c r="BK128" i="18"/>
  <c r="BK129" i="18"/>
  <c r="BK130" i="18"/>
  <c r="BK131" i="18"/>
  <c r="BK132" i="18"/>
  <c r="BK133" i="18"/>
  <c r="BK134" i="18"/>
  <c r="BK135" i="18"/>
  <c r="BK136" i="18"/>
  <c r="BK137" i="18"/>
  <c r="BK138" i="18"/>
  <c r="BK139" i="18"/>
  <c r="BK140" i="18"/>
  <c r="BK141" i="18"/>
  <c r="BK142" i="18"/>
  <c r="BK143" i="18"/>
  <c r="BK144" i="18"/>
  <c r="BK145" i="18"/>
  <c r="BK146" i="18"/>
  <c r="BK147" i="18"/>
  <c r="BK148" i="18"/>
  <c r="BK149" i="18"/>
  <c r="BK150" i="18"/>
  <c r="BK151" i="18"/>
  <c r="BK152" i="18"/>
  <c r="BK153" i="18"/>
  <c r="BK154" i="18"/>
  <c r="BK155" i="18"/>
  <c r="BK156" i="18"/>
  <c r="BK157" i="18"/>
  <c r="BK158" i="18"/>
  <c r="BK159" i="18"/>
  <c r="BK160" i="18"/>
  <c r="BK161" i="18"/>
  <c r="BK162" i="18"/>
  <c r="BK163" i="18"/>
  <c r="BK164" i="18"/>
  <c r="BK165" i="18"/>
  <c r="BK166" i="18"/>
  <c r="BK167" i="18"/>
  <c r="BK168" i="18"/>
  <c r="BK169" i="18"/>
  <c r="BK170" i="18"/>
  <c r="BK171" i="18"/>
  <c r="BK172" i="18"/>
  <c r="BK173" i="18"/>
  <c r="BK174" i="18"/>
  <c r="BK175" i="18"/>
  <c r="BK176" i="18"/>
  <c r="BK177" i="18"/>
  <c r="BK178" i="18"/>
  <c r="BK179" i="18"/>
  <c r="BK180" i="18"/>
  <c r="BK181" i="18"/>
  <c r="BK182" i="18"/>
  <c r="BK183" i="18"/>
  <c r="BK184" i="18"/>
  <c r="BK185" i="18"/>
  <c r="BK186" i="18"/>
  <c r="BK187" i="18"/>
  <c r="BK188" i="18"/>
  <c r="BK189" i="18"/>
  <c r="BK190" i="18"/>
  <c r="BK191" i="18"/>
  <c r="BK192" i="18"/>
  <c r="BK193" i="18"/>
  <c r="BK194" i="18"/>
  <c r="BK195" i="18"/>
  <c r="BK196" i="18"/>
  <c r="BK197" i="18"/>
  <c r="BK198" i="18"/>
  <c r="BK199" i="18"/>
  <c r="BK200" i="18"/>
  <c r="BK201" i="18"/>
  <c r="BK202" i="18"/>
  <c r="BK203" i="18"/>
  <c r="BK204" i="18"/>
  <c r="BK205" i="18"/>
  <c r="BK206" i="18"/>
  <c r="BK207" i="18"/>
  <c r="BK208" i="18"/>
  <c r="BK209" i="18"/>
  <c r="BK210" i="18"/>
  <c r="BK211" i="18"/>
  <c r="BK212" i="18"/>
  <c r="BK213" i="18"/>
  <c r="BK214" i="18"/>
  <c r="BK215" i="18"/>
  <c r="BK216" i="18"/>
  <c r="BK217" i="18"/>
  <c r="BK218" i="18"/>
  <c r="BK219" i="18"/>
  <c r="BK220" i="18"/>
  <c r="BK221" i="18"/>
  <c r="BK222" i="18"/>
  <c r="BK223" i="18"/>
  <c r="BK224" i="18"/>
  <c r="BK225" i="18"/>
  <c r="BK226" i="18"/>
  <c r="BK227" i="18"/>
  <c r="BK228" i="18"/>
  <c r="BK229" i="18"/>
  <c r="BK230" i="18"/>
  <c r="BK231" i="18"/>
  <c r="BK232" i="18"/>
  <c r="BK233" i="18"/>
  <c r="BK234" i="18"/>
  <c r="BK235" i="18"/>
  <c r="BK236" i="18"/>
  <c r="BK237" i="18"/>
  <c r="BK238" i="18"/>
  <c r="BK239" i="18"/>
  <c r="BK240" i="18"/>
  <c r="BK241" i="18"/>
  <c r="BK242" i="18"/>
  <c r="BK243" i="18"/>
  <c r="BK244" i="18"/>
  <c r="BK245" i="18"/>
  <c r="BK246" i="18"/>
  <c r="BK247" i="18"/>
  <c r="BK248" i="18"/>
  <c r="BK249" i="18"/>
  <c r="BK250" i="18"/>
  <c r="BK251" i="18"/>
  <c r="BK252" i="18"/>
  <c r="BK253" i="18"/>
  <c r="BK254" i="18"/>
  <c r="BK255" i="18"/>
  <c r="BK256" i="18"/>
  <c r="BK257" i="18"/>
  <c r="BK258" i="18"/>
  <c r="BK259" i="18"/>
  <c r="BK260" i="18"/>
  <c r="BK261" i="18"/>
  <c r="BK262" i="18"/>
  <c r="BK263" i="18"/>
  <c r="BK264" i="18"/>
  <c r="BK265" i="18"/>
  <c r="BK266" i="18"/>
  <c r="BK267" i="18"/>
  <c r="BK268" i="18"/>
  <c r="BK269" i="18"/>
  <c r="BK270" i="18"/>
  <c r="BK271" i="18"/>
  <c r="BK272" i="18"/>
  <c r="BK273" i="18"/>
  <c r="BK274" i="18"/>
  <c r="BK275" i="18"/>
  <c r="BK276" i="18"/>
  <c r="BK277" i="18"/>
  <c r="BK278" i="18"/>
  <c r="BK279" i="18"/>
  <c r="BK280" i="18"/>
  <c r="BK281" i="18"/>
  <c r="BK282" i="18"/>
  <c r="BK283" i="18"/>
  <c r="BK284" i="18"/>
  <c r="BK285" i="18"/>
  <c r="BK286" i="18"/>
  <c r="BK287" i="18"/>
  <c r="BK288" i="18"/>
  <c r="BK289" i="18"/>
  <c r="BK290" i="18"/>
  <c r="BK291" i="18"/>
  <c r="BK292" i="18"/>
  <c r="BK293" i="18"/>
  <c r="BK294" i="18"/>
  <c r="BK295" i="18"/>
  <c r="BK296" i="18"/>
  <c r="BK297" i="18"/>
  <c r="BK298" i="18"/>
  <c r="BK299" i="18"/>
  <c r="BK300" i="18"/>
  <c r="BK301" i="18"/>
  <c r="BK302" i="18"/>
  <c r="BK303" i="18"/>
  <c r="BK304" i="18"/>
  <c r="BK305" i="18"/>
  <c r="BK306" i="18"/>
  <c r="BK307" i="18"/>
  <c r="BK308" i="18"/>
  <c r="BK309" i="18"/>
  <c r="BK310" i="18"/>
  <c r="BK311" i="18"/>
  <c r="BK312" i="18"/>
  <c r="BK313" i="18"/>
  <c r="BK314" i="18"/>
  <c r="BK315" i="18"/>
  <c r="BK316" i="18"/>
  <c r="BK317" i="18"/>
  <c r="BK318" i="18"/>
  <c r="BK319" i="18"/>
  <c r="BK320" i="18"/>
  <c r="BK321" i="18"/>
  <c r="BK322" i="18"/>
  <c r="BK323" i="18"/>
  <c r="BK324" i="18"/>
  <c r="BK325" i="18"/>
  <c r="BK326" i="18"/>
  <c r="BK327" i="18"/>
  <c r="BK328" i="18"/>
  <c r="BK329" i="18"/>
  <c r="BK330" i="18"/>
  <c r="BK331" i="18"/>
  <c r="BK332" i="18"/>
  <c r="BK333" i="18"/>
  <c r="BK334" i="18"/>
  <c r="BK335" i="18"/>
  <c r="BK336" i="18"/>
  <c r="BK337" i="18"/>
  <c r="BK338" i="18"/>
  <c r="BL3" i="18"/>
  <c r="BL4" i="18"/>
  <c r="BL5" i="18"/>
  <c r="BL6" i="18"/>
  <c r="BL7" i="18"/>
  <c r="BL8" i="18"/>
  <c r="BL9" i="18"/>
  <c r="BL10" i="18"/>
  <c r="BL11" i="18"/>
  <c r="BL12" i="18"/>
  <c r="BL13" i="18"/>
  <c r="BL14" i="18"/>
  <c r="BL15" i="18"/>
  <c r="BL16" i="18"/>
  <c r="BL17" i="18"/>
  <c r="BL18" i="18"/>
  <c r="BL19" i="18"/>
  <c r="BL20" i="18"/>
  <c r="BL21" i="18"/>
  <c r="BL22" i="18"/>
  <c r="BL23" i="18"/>
  <c r="BL24" i="18"/>
  <c r="BL25" i="18"/>
  <c r="BL26" i="18"/>
  <c r="BL27" i="18"/>
  <c r="BL28" i="18"/>
  <c r="BL29" i="18"/>
  <c r="BL30" i="18"/>
  <c r="BL31" i="18"/>
  <c r="BL32" i="18"/>
  <c r="BL33" i="18"/>
  <c r="BL34" i="18"/>
  <c r="BL35" i="18"/>
  <c r="BL36" i="18"/>
  <c r="BL37" i="18"/>
  <c r="BL38" i="18"/>
  <c r="BL39" i="18"/>
  <c r="BL40" i="18"/>
  <c r="BL41" i="18"/>
  <c r="BL42" i="18"/>
  <c r="BL43" i="18"/>
  <c r="BL44" i="18"/>
  <c r="BL45" i="18"/>
  <c r="BL46" i="18"/>
  <c r="BL47" i="18"/>
  <c r="BL48" i="18"/>
  <c r="BL49" i="18"/>
  <c r="BL50" i="18"/>
  <c r="BL51" i="18"/>
  <c r="BL52" i="18"/>
  <c r="BL53" i="18"/>
  <c r="BL54" i="18"/>
  <c r="BL55" i="18"/>
  <c r="BL56" i="18"/>
  <c r="BL57" i="18"/>
  <c r="BL58" i="18"/>
  <c r="BL59" i="18"/>
  <c r="BL60" i="18"/>
  <c r="BL61" i="18"/>
  <c r="BL62" i="18"/>
  <c r="BL63" i="18"/>
  <c r="BL64" i="18"/>
  <c r="BL65" i="18"/>
  <c r="BL66" i="18"/>
  <c r="BL67" i="18"/>
  <c r="BL68" i="18"/>
  <c r="BL69" i="18"/>
  <c r="BL70" i="18"/>
  <c r="BL71" i="18"/>
  <c r="BL72" i="18"/>
  <c r="BL73" i="18"/>
  <c r="BL74" i="18"/>
  <c r="BL75" i="18"/>
  <c r="BL76" i="18"/>
  <c r="BL77" i="18"/>
  <c r="BL78" i="18"/>
  <c r="BL79" i="18"/>
  <c r="BL80" i="18"/>
  <c r="BL81" i="18"/>
  <c r="BL82" i="18"/>
  <c r="BL83" i="18"/>
  <c r="BL84" i="18"/>
  <c r="BL85" i="18"/>
  <c r="BL86" i="18"/>
  <c r="BL87" i="18"/>
  <c r="BL88" i="18"/>
  <c r="BL89" i="18"/>
  <c r="BL90" i="18"/>
  <c r="BL91" i="18"/>
  <c r="BL92" i="18"/>
  <c r="BL93" i="18"/>
  <c r="BL94" i="18"/>
  <c r="BL95" i="18"/>
  <c r="BL96" i="18"/>
  <c r="BL97" i="18"/>
  <c r="BL98" i="18"/>
  <c r="BL99" i="18"/>
  <c r="BL100" i="18"/>
  <c r="BL101" i="18"/>
  <c r="BL102" i="18"/>
  <c r="BL103" i="18"/>
  <c r="BL104" i="18"/>
  <c r="BL105" i="18"/>
  <c r="BL106" i="18"/>
  <c r="BL107" i="18"/>
  <c r="BL108" i="18"/>
  <c r="BL109" i="18"/>
  <c r="BL110" i="18"/>
  <c r="BL111" i="18"/>
  <c r="BL112" i="18"/>
  <c r="BL113" i="18"/>
  <c r="BL114" i="18"/>
  <c r="BL115" i="18"/>
  <c r="BL116" i="18"/>
  <c r="BL117" i="18"/>
  <c r="BL118" i="18"/>
  <c r="BL119" i="18"/>
  <c r="BL120" i="18"/>
  <c r="BL121" i="18"/>
  <c r="BL122" i="18"/>
  <c r="BL123" i="18"/>
  <c r="BL124" i="18"/>
  <c r="BL125" i="18"/>
  <c r="BL126" i="18"/>
  <c r="BL127" i="18"/>
  <c r="BL128" i="18"/>
  <c r="BL129" i="18"/>
  <c r="BL130" i="18"/>
  <c r="BL131" i="18"/>
  <c r="BL132" i="18"/>
  <c r="BL133" i="18"/>
  <c r="BL134" i="18"/>
  <c r="BL135" i="18"/>
  <c r="BL136" i="18"/>
  <c r="BL137" i="18"/>
  <c r="BL138" i="18"/>
  <c r="BL139" i="18"/>
  <c r="BL140" i="18"/>
  <c r="BL141" i="18"/>
  <c r="BL142" i="18"/>
  <c r="BL143" i="18"/>
  <c r="BL144" i="18"/>
  <c r="BL145" i="18"/>
  <c r="BL146" i="18"/>
  <c r="BL147" i="18"/>
  <c r="BL148" i="18"/>
  <c r="BL149" i="18"/>
  <c r="BL150" i="18"/>
  <c r="BL151" i="18"/>
  <c r="BL152" i="18"/>
  <c r="BL153" i="18"/>
  <c r="BL154" i="18"/>
  <c r="BL155" i="18"/>
  <c r="BL156" i="18"/>
  <c r="BL157" i="18"/>
  <c r="BL158" i="18"/>
  <c r="BL159" i="18"/>
  <c r="BL160" i="18"/>
  <c r="BL161" i="18"/>
  <c r="BL162" i="18"/>
  <c r="BL163" i="18"/>
  <c r="BL164" i="18"/>
  <c r="BL165" i="18"/>
  <c r="BL166" i="18"/>
  <c r="BL167" i="18"/>
  <c r="BL168" i="18"/>
  <c r="BL169" i="18"/>
  <c r="BL170" i="18"/>
  <c r="BL171" i="18"/>
  <c r="BL172" i="18"/>
  <c r="BL173" i="18"/>
  <c r="BL174" i="18"/>
  <c r="BL175" i="18"/>
  <c r="BL176" i="18"/>
  <c r="BL177" i="18"/>
  <c r="BL178" i="18"/>
  <c r="BL179" i="18"/>
  <c r="BL180" i="18"/>
  <c r="BL181" i="18"/>
  <c r="BL182" i="18"/>
  <c r="BL183" i="18"/>
  <c r="BL184" i="18"/>
  <c r="BL185" i="18"/>
  <c r="BL186" i="18"/>
  <c r="BL187" i="18"/>
  <c r="BL188" i="18"/>
  <c r="BL189" i="18"/>
  <c r="BL190" i="18"/>
  <c r="BL191" i="18"/>
  <c r="BL192" i="18"/>
  <c r="BL193" i="18"/>
  <c r="BL194" i="18"/>
  <c r="BL195" i="18"/>
  <c r="BL196" i="18"/>
  <c r="BL197" i="18"/>
  <c r="BL198" i="18"/>
  <c r="BL199" i="18"/>
  <c r="BL200" i="18"/>
  <c r="BL201" i="18"/>
  <c r="BL202" i="18"/>
  <c r="BL203" i="18"/>
  <c r="BL204" i="18"/>
  <c r="BL205" i="18"/>
  <c r="BL206" i="18"/>
  <c r="BL207" i="18"/>
  <c r="BL208" i="18"/>
  <c r="BL209" i="18"/>
  <c r="BL210" i="18"/>
  <c r="BL211" i="18"/>
  <c r="BL212" i="18"/>
  <c r="BL213" i="18"/>
  <c r="BL214" i="18"/>
  <c r="BL215" i="18"/>
  <c r="BL216" i="18"/>
  <c r="BL217" i="18"/>
  <c r="BL218" i="18"/>
  <c r="BL219" i="18"/>
  <c r="BL220" i="18"/>
  <c r="BL221" i="18"/>
  <c r="BL222" i="18"/>
  <c r="BL223" i="18"/>
  <c r="BL224" i="18"/>
  <c r="BL225" i="18"/>
  <c r="BL226" i="18"/>
  <c r="BL227" i="18"/>
  <c r="BL228" i="18"/>
  <c r="BL229" i="18"/>
  <c r="BL230" i="18"/>
  <c r="BL231" i="18"/>
  <c r="BL232" i="18"/>
  <c r="BL233" i="18"/>
  <c r="BL234" i="18"/>
  <c r="BL235" i="18"/>
  <c r="BL236" i="18"/>
  <c r="BL237" i="18"/>
  <c r="BL238" i="18"/>
  <c r="BL239" i="18"/>
  <c r="BL240" i="18"/>
  <c r="BL241" i="18"/>
  <c r="BL242" i="18"/>
  <c r="BL243" i="18"/>
  <c r="BL244" i="18"/>
  <c r="BL245" i="18"/>
  <c r="BL246" i="18"/>
  <c r="BL247" i="18"/>
  <c r="BL248" i="18"/>
  <c r="BL249" i="18"/>
  <c r="BL250" i="18"/>
  <c r="BL251" i="18"/>
  <c r="BL252" i="18"/>
  <c r="BL253" i="18"/>
  <c r="BL254" i="18"/>
  <c r="BL255" i="18"/>
  <c r="BL256" i="18"/>
  <c r="BL257" i="18"/>
  <c r="BL258" i="18"/>
  <c r="BL259" i="18"/>
  <c r="BL260" i="18"/>
  <c r="BL261" i="18"/>
  <c r="BL262" i="18"/>
  <c r="BL263" i="18"/>
  <c r="BL264" i="18"/>
  <c r="BL265" i="18"/>
  <c r="BL266" i="18"/>
  <c r="BL267" i="18"/>
  <c r="BL268" i="18"/>
  <c r="BL269" i="18"/>
  <c r="BL270" i="18"/>
  <c r="BL271" i="18"/>
  <c r="BL272" i="18"/>
  <c r="BL273" i="18"/>
  <c r="BL274" i="18"/>
  <c r="BL275" i="18"/>
  <c r="BL276" i="18"/>
  <c r="BL277" i="18"/>
  <c r="BL278" i="18"/>
  <c r="BL279" i="18"/>
  <c r="BL280" i="18"/>
  <c r="BL281" i="18"/>
  <c r="BL282" i="18"/>
  <c r="BL283" i="18"/>
  <c r="BL284" i="18"/>
  <c r="BL285" i="18"/>
  <c r="BL286" i="18"/>
  <c r="BL287" i="18"/>
  <c r="BL288" i="18"/>
  <c r="BL289" i="18"/>
  <c r="BL290" i="18"/>
  <c r="BL291" i="18"/>
  <c r="BL292" i="18"/>
  <c r="BL293" i="18"/>
  <c r="BL294" i="18"/>
  <c r="BL295" i="18"/>
  <c r="BL296" i="18"/>
  <c r="BL297" i="18"/>
  <c r="BL298" i="18"/>
  <c r="BL299" i="18"/>
  <c r="BL300" i="18"/>
  <c r="BL301" i="18"/>
  <c r="BL302" i="18"/>
  <c r="BL303" i="18"/>
  <c r="BL304" i="18"/>
  <c r="BL305" i="18"/>
  <c r="BL306" i="18"/>
  <c r="BL307" i="18"/>
  <c r="BL308" i="18"/>
  <c r="BL309" i="18"/>
  <c r="BL310" i="18"/>
  <c r="BL311" i="18"/>
  <c r="BL312" i="18"/>
  <c r="BL313" i="18"/>
  <c r="BL314" i="18"/>
  <c r="BL315" i="18"/>
  <c r="BL316" i="18"/>
  <c r="BL317" i="18"/>
  <c r="BL318" i="18"/>
  <c r="BL319" i="18"/>
  <c r="BL320" i="18"/>
  <c r="BL321" i="18"/>
  <c r="BL322" i="18"/>
  <c r="BL323" i="18"/>
  <c r="BL324" i="18"/>
  <c r="BL325" i="18"/>
  <c r="BL326" i="18"/>
  <c r="BL327" i="18"/>
  <c r="BL328" i="18"/>
  <c r="BL329" i="18"/>
  <c r="BL330" i="18"/>
  <c r="BL331" i="18"/>
  <c r="BL332" i="18"/>
  <c r="BL333" i="18"/>
  <c r="BL334" i="18"/>
  <c r="BL335" i="18"/>
  <c r="BL336" i="18"/>
  <c r="BL337" i="18"/>
  <c r="BL338" i="18"/>
  <c r="BM3" i="18"/>
  <c r="BM4" i="18"/>
  <c r="BM5" i="18"/>
  <c r="BM6" i="18"/>
  <c r="BM7" i="18"/>
  <c r="BM8" i="18"/>
  <c r="BM9" i="18"/>
  <c r="BM10" i="18"/>
  <c r="BM11" i="18"/>
  <c r="BM12" i="18"/>
  <c r="BM13" i="18"/>
  <c r="BM14" i="18"/>
  <c r="BM15" i="18"/>
  <c r="BM16" i="18"/>
  <c r="BM17" i="18"/>
  <c r="BM18" i="18"/>
  <c r="BM19" i="18"/>
  <c r="BM20" i="18"/>
  <c r="BM21" i="18"/>
  <c r="BM22" i="18"/>
  <c r="BM23" i="18"/>
  <c r="BM24" i="18"/>
  <c r="BM25" i="18"/>
  <c r="BM26" i="18"/>
  <c r="BM27" i="18"/>
  <c r="BM28" i="18"/>
  <c r="BM29" i="18"/>
  <c r="BM30" i="18"/>
  <c r="BM31" i="18"/>
  <c r="BM32" i="18"/>
  <c r="BM33" i="18"/>
  <c r="BM34" i="18"/>
  <c r="BM35" i="18"/>
  <c r="BM36" i="18"/>
  <c r="BM37" i="18"/>
  <c r="BM38" i="18"/>
  <c r="BM39" i="18"/>
  <c r="BM40" i="18"/>
  <c r="BM41" i="18"/>
  <c r="BM42" i="18"/>
  <c r="BM43" i="18"/>
  <c r="BM44" i="18"/>
  <c r="BM45" i="18"/>
  <c r="BM46" i="18"/>
  <c r="BM47" i="18"/>
  <c r="BM48" i="18"/>
  <c r="BM49" i="18"/>
  <c r="BM50" i="18"/>
  <c r="BM51" i="18"/>
  <c r="BM52" i="18"/>
  <c r="BM53" i="18"/>
  <c r="BM54" i="18"/>
  <c r="BM55" i="18"/>
  <c r="BM56" i="18"/>
  <c r="BM57" i="18"/>
  <c r="BM58" i="18"/>
  <c r="BM59" i="18"/>
  <c r="BM60" i="18"/>
  <c r="BM61" i="18"/>
  <c r="BM62" i="18"/>
  <c r="BM63" i="18"/>
  <c r="BM64" i="18"/>
  <c r="BM65" i="18"/>
  <c r="BM66" i="18"/>
  <c r="BM67" i="18"/>
  <c r="BM68" i="18"/>
  <c r="BM69" i="18"/>
  <c r="BM70" i="18"/>
  <c r="BM71" i="18"/>
  <c r="BM72" i="18"/>
  <c r="BM73" i="18"/>
  <c r="BM74" i="18"/>
  <c r="BM75" i="18"/>
  <c r="BM76" i="18"/>
  <c r="BM77" i="18"/>
  <c r="BM78" i="18"/>
  <c r="BM79" i="18"/>
  <c r="BM80" i="18"/>
  <c r="BM81" i="18"/>
  <c r="BM82" i="18"/>
  <c r="BM83" i="18"/>
  <c r="BM84" i="18"/>
  <c r="BM85" i="18"/>
  <c r="BM86" i="18"/>
  <c r="BM87" i="18"/>
  <c r="BM88" i="18"/>
  <c r="BM89" i="18"/>
  <c r="BM90" i="18"/>
  <c r="BM91" i="18"/>
  <c r="BM92" i="18"/>
  <c r="BM93" i="18"/>
  <c r="BM94" i="18"/>
  <c r="BM95" i="18"/>
  <c r="BM96" i="18"/>
  <c r="BM97" i="18"/>
  <c r="BM98" i="18"/>
  <c r="BM99" i="18"/>
  <c r="BM100" i="18"/>
  <c r="BM101" i="18"/>
  <c r="BM102" i="18"/>
  <c r="BM103" i="18"/>
  <c r="BM104" i="18"/>
  <c r="BM105" i="18"/>
  <c r="BM106" i="18"/>
  <c r="BM107" i="18"/>
  <c r="BM108" i="18"/>
  <c r="BM109" i="18"/>
  <c r="BM110" i="18"/>
  <c r="BM111" i="18"/>
  <c r="BM112" i="18"/>
  <c r="BM113" i="18"/>
  <c r="BM114" i="18"/>
  <c r="BM115" i="18"/>
  <c r="BM116" i="18"/>
  <c r="BM117" i="18"/>
  <c r="BM118" i="18"/>
  <c r="BM119" i="18"/>
  <c r="BM120" i="18"/>
  <c r="BM121" i="18"/>
  <c r="BM122" i="18"/>
  <c r="BM123" i="18"/>
  <c r="BM124" i="18"/>
  <c r="BM125" i="18"/>
  <c r="BM126" i="18"/>
  <c r="BM127" i="18"/>
  <c r="BM128" i="18"/>
  <c r="BM129" i="18"/>
  <c r="BM130" i="18"/>
  <c r="BM131" i="18"/>
  <c r="BM132" i="18"/>
  <c r="BM133" i="18"/>
  <c r="BM134" i="18"/>
  <c r="BM135" i="18"/>
  <c r="BM136" i="18"/>
  <c r="BM137" i="18"/>
  <c r="BM138" i="18"/>
  <c r="BM139" i="18"/>
  <c r="BM140" i="18"/>
  <c r="BM141" i="18"/>
  <c r="BM142" i="18"/>
  <c r="BM143" i="18"/>
  <c r="BM144" i="18"/>
  <c r="BM145" i="18"/>
  <c r="BM146" i="18"/>
  <c r="BM147" i="18"/>
  <c r="BM148" i="18"/>
  <c r="BM149" i="18"/>
  <c r="BM150" i="18"/>
  <c r="BM151" i="18"/>
  <c r="BM152" i="18"/>
  <c r="BM153" i="18"/>
  <c r="BM154" i="18"/>
  <c r="BM155" i="18"/>
  <c r="BM156" i="18"/>
  <c r="BM157" i="18"/>
  <c r="BM158" i="18"/>
  <c r="BM159" i="18"/>
  <c r="BM160" i="18"/>
  <c r="BM161" i="18"/>
  <c r="BM162" i="18"/>
  <c r="BM163" i="18"/>
  <c r="BM164" i="18"/>
  <c r="BM165" i="18"/>
  <c r="BM166" i="18"/>
  <c r="BM167" i="18"/>
  <c r="BM168" i="18"/>
  <c r="BM169" i="18"/>
  <c r="BM170" i="18"/>
  <c r="BM171" i="18"/>
  <c r="BM172" i="18"/>
  <c r="BM173" i="18"/>
  <c r="BM174" i="18"/>
  <c r="BM175" i="18"/>
  <c r="BM176" i="18"/>
  <c r="BM177" i="18"/>
  <c r="BM178" i="18"/>
  <c r="BM179" i="18"/>
  <c r="BM180" i="18"/>
  <c r="BM181" i="18"/>
  <c r="BM182" i="18"/>
  <c r="BM183" i="18"/>
  <c r="BM184" i="18"/>
  <c r="BM185" i="18"/>
  <c r="BM186" i="18"/>
  <c r="BM187" i="18"/>
  <c r="BM188" i="18"/>
  <c r="BM189" i="18"/>
  <c r="BM190" i="18"/>
  <c r="BM191" i="18"/>
  <c r="BM192" i="18"/>
  <c r="BM193" i="18"/>
  <c r="BM194" i="18"/>
  <c r="BM195" i="18"/>
  <c r="BM196" i="18"/>
  <c r="BM197" i="18"/>
  <c r="BM198" i="18"/>
  <c r="BM199" i="18"/>
  <c r="BM200" i="18"/>
  <c r="BM201" i="18"/>
  <c r="BM202" i="18"/>
  <c r="BM203" i="18"/>
  <c r="BM204" i="18"/>
  <c r="BM205" i="18"/>
  <c r="BM206" i="18"/>
  <c r="BM207" i="18"/>
  <c r="BM208" i="18"/>
  <c r="BM209" i="18"/>
  <c r="BM210" i="18"/>
  <c r="BM211" i="18"/>
  <c r="BM212" i="18"/>
  <c r="BM213" i="18"/>
  <c r="BM214" i="18"/>
  <c r="BM215" i="18"/>
  <c r="BM216" i="18"/>
  <c r="BM217" i="18"/>
  <c r="BM218" i="18"/>
  <c r="BM219" i="18"/>
  <c r="BM220" i="18"/>
  <c r="BM221" i="18"/>
  <c r="BM222" i="18"/>
  <c r="BM223" i="18"/>
  <c r="BM224" i="18"/>
  <c r="BM225" i="18"/>
  <c r="BM226" i="18"/>
  <c r="BM227" i="18"/>
  <c r="BM228" i="18"/>
  <c r="BM229" i="18"/>
  <c r="BM230" i="18"/>
  <c r="BM231" i="18"/>
  <c r="BM232" i="18"/>
  <c r="BM233" i="18"/>
  <c r="BM234" i="18"/>
  <c r="BM235" i="18"/>
  <c r="BM236" i="18"/>
  <c r="BM237" i="18"/>
  <c r="BM238" i="18"/>
  <c r="BM239" i="18"/>
  <c r="BM240" i="18"/>
  <c r="BM241" i="18"/>
  <c r="BM242" i="18"/>
  <c r="BM243" i="18"/>
  <c r="BM244" i="18"/>
  <c r="BM245" i="18"/>
  <c r="BM246" i="18"/>
  <c r="BM247" i="18"/>
  <c r="BM248" i="18"/>
  <c r="BM249" i="18"/>
  <c r="BM250" i="18"/>
  <c r="BM251" i="18"/>
  <c r="BM252" i="18"/>
  <c r="BM253" i="18"/>
  <c r="BM254" i="18"/>
  <c r="BM255" i="18"/>
  <c r="BM256" i="18"/>
  <c r="BM257" i="18"/>
  <c r="BM258" i="18"/>
  <c r="BM259" i="18"/>
  <c r="BM260" i="18"/>
  <c r="BM261" i="18"/>
  <c r="BM262" i="18"/>
  <c r="BM263" i="18"/>
  <c r="BM264" i="18"/>
  <c r="BM265" i="18"/>
  <c r="BM266" i="18"/>
  <c r="BM267" i="18"/>
  <c r="BM268" i="18"/>
  <c r="BM269" i="18"/>
  <c r="BM270" i="18"/>
  <c r="BM271" i="18"/>
  <c r="BM272" i="18"/>
  <c r="BM273" i="18"/>
  <c r="BM274" i="18"/>
  <c r="BM275" i="18"/>
  <c r="BM276" i="18"/>
  <c r="BM277" i="18"/>
  <c r="BM278" i="18"/>
  <c r="BM279" i="18"/>
  <c r="BM280" i="18"/>
  <c r="BM281" i="18"/>
  <c r="BM282" i="18"/>
  <c r="BM283" i="18"/>
  <c r="BM284" i="18"/>
  <c r="BM285" i="18"/>
  <c r="BM286" i="18"/>
  <c r="BM287" i="18"/>
  <c r="BM288" i="18"/>
  <c r="BM289" i="18"/>
  <c r="BM290" i="18"/>
  <c r="BM291" i="18"/>
  <c r="BM292" i="18"/>
  <c r="BM293" i="18"/>
  <c r="BM294" i="18"/>
  <c r="BM295" i="18"/>
  <c r="BM296" i="18"/>
  <c r="BM297" i="18"/>
  <c r="BM298" i="18"/>
  <c r="BM299" i="18"/>
  <c r="BM300" i="18"/>
  <c r="BM301" i="18"/>
  <c r="BM302" i="18"/>
  <c r="BM303" i="18"/>
  <c r="BM304" i="18"/>
  <c r="BM305" i="18"/>
  <c r="BM306" i="18"/>
  <c r="BM307" i="18"/>
  <c r="BM308" i="18"/>
  <c r="BM309" i="18"/>
  <c r="BM310" i="18"/>
  <c r="BM311" i="18"/>
  <c r="BM312" i="18"/>
  <c r="BM313" i="18"/>
  <c r="BM314" i="18"/>
  <c r="BM315" i="18"/>
  <c r="BM316" i="18"/>
  <c r="BM317" i="18"/>
  <c r="BM318" i="18"/>
  <c r="BM319" i="18"/>
  <c r="BM320" i="18"/>
  <c r="BM321" i="18"/>
  <c r="BM322" i="18"/>
  <c r="BM323" i="18"/>
  <c r="BM324" i="18"/>
  <c r="BM325" i="18"/>
  <c r="BM326" i="18"/>
  <c r="BM327" i="18"/>
  <c r="BM328" i="18"/>
  <c r="BM329" i="18"/>
  <c r="BM330" i="18"/>
  <c r="BM331" i="18"/>
  <c r="BM332" i="18"/>
  <c r="BM333" i="18"/>
  <c r="BM334" i="18"/>
  <c r="BM335" i="18"/>
  <c r="BM336" i="18"/>
  <c r="BM337" i="18"/>
  <c r="BM338" i="18"/>
  <c r="BN3" i="18"/>
  <c r="BN4" i="18"/>
  <c r="BN5" i="18"/>
  <c r="BN6" i="18"/>
  <c r="BN7" i="18"/>
  <c r="BN8" i="18"/>
  <c r="BN9" i="18"/>
  <c r="BN10" i="18"/>
  <c r="BN11" i="18"/>
  <c r="BN12" i="18"/>
  <c r="BN13" i="18"/>
  <c r="BN14" i="18"/>
  <c r="BN15" i="18"/>
  <c r="BN16" i="18"/>
  <c r="BN17" i="18"/>
  <c r="BN18" i="18"/>
  <c r="BN19" i="18"/>
  <c r="BN20" i="18"/>
  <c r="BN21" i="18"/>
  <c r="BN22" i="18"/>
  <c r="BN23" i="18"/>
  <c r="BN24" i="18"/>
  <c r="BN25" i="18"/>
  <c r="BN26" i="18"/>
  <c r="BN27" i="18"/>
  <c r="BN28" i="18"/>
  <c r="BN29" i="18"/>
  <c r="BN30" i="18"/>
  <c r="BN31" i="18"/>
  <c r="BN32" i="18"/>
  <c r="BN33" i="18"/>
  <c r="BN34" i="18"/>
  <c r="BN35" i="18"/>
  <c r="BN36" i="18"/>
  <c r="BN37" i="18"/>
  <c r="BN38" i="18"/>
  <c r="BN39" i="18"/>
  <c r="BN40" i="18"/>
  <c r="BN41" i="18"/>
  <c r="BN42" i="18"/>
  <c r="BN43" i="18"/>
  <c r="BN44" i="18"/>
  <c r="BN45" i="18"/>
  <c r="BN46" i="18"/>
  <c r="BN47" i="18"/>
  <c r="BN48" i="18"/>
  <c r="BN49" i="18"/>
  <c r="BN50" i="18"/>
  <c r="BN51" i="18"/>
  <c r="BN52" i="18"/>
  <c r="BN53" i="18"/>
  <c r="BN54" i="18"/>
  <c r="BN55" i="18"/>
  <c r="BN56" i="18"/>
  <c r="BN57" i="18"/>
  <c r="BN58" i="18"/>
  <c r="BN59" i="18"/>
  <c r="BN60" i="18"/>
  <c r="BN61" i="18"/>
  <c r="BN62" i="18"/>
  <c r="BN63" i="18"/>
  <c r="BN64" i="18"/>
  <c r="BN65" i="18"/>
  <c r="BN66" i="18"/>
  <c r="BN67" i="18"/>
  <c r="BN68" i="18"/>
  <c r="BN69" i="18"/>
  <c r="BN70" i="18"/>
  <c r="BN71" i="18"/>
  <c r="BN72" i="18"/>
  <c r="BN73" i="18"/>
  <c r="BN74" i="18"/>
  <c r="BN75" i="18"/>
  <c r="BN76" i="18"/>
  <c r="BN77" i="18"/>
  <c r="BN78" i="18"/>
  <c r="BN79" i="18"/>
  <c r="BN80" i="18"/>
  <c r="BN81" i="18"/>
  <c r="BN82" i="18"/>
  <c r="BN83" i="18"/>
  <c r="BN84" i="18"/>
  <c r="BN85" i="18"/>
  <c r="BN86" i="18"/>
  <c r="BN87" i="18"/>
  <c r="BN88" i="18"/>
  <c r="BN89" i="18"/>
  <c r="BN90" i="18"/>
  <c r="BN91" i="18"/>
  <c r="BN92" i="18"/>
  <c r="BN93" i="18"/>
  <c r="BN94" i="18"/>
  <c r="BN95" i="18"/>
  <c r="BN96" i="18"/>
  <c r="BN97" i="18"/>
  <c r="BN98" i="18"/>
  <c r="BN99" i="18"/>
  <c r="BN100" i="18"/>
  <c r="BN101" i="18"/>
  <c r="BN102" i="18"/>
  <c r="BN103" i="18"/>
  <c r="BN104" i="18"/>
  <c r="BN105" i="18"/>
  <c r="BN106" i="18"/>
  <c r="BN107" i="18"/>
  <c r="BN108" i="18"/>
  <c r="BN109" i="18"/>
  <c r="BN110" i="18"/>
  <c r="BN111" i="18"/>
  <c r="BN112" i="18"/>
  <c r="BN113" i="18"/>
  <c r="BN114" i="18"/>
  <c r="BN115" i="18"/>
  <c r="BN116" i="18"/>
  <c r="BN117" i="18"/>
  <c r="BN118" i="18"/>
  <c r="BN119" i="18"/>
  <c r="BN120" i="18"/>
  <c r="BN121" i="18"/>
  <c r="BN122" i="18"/>
  <c r="BN123" i="18"/>
  <c r="BN124" i="18"/>
  <c r="BN125" i="18"/>
  <c r="BN126" i="18"/>
  <c r="BN127" i="18"/>
  <c r="BN128" i="18"/>
  <c r="BN129" i="18"/>
  <c r="BN130" i="18"/>
  <c r="BN131" i="18"/>
  <c r="BN132" i="18"/>
  <c r="BN133" i="18"/>
  <c r="BN134" i="18"/>
  <c r="BN135" i="18"/>
  <c r="BN136" i="18"/>
  <c r="BN137" i="18"/>
  <c r="BN138" i="18"/>
  <c r="BN139" i="18"/>
  <c r="BN140" i="18"/>
  <c r="BN141" i="18"/>
  <c r="BN142" i="18"/>
  <c r="BN143" i="18"/>
  <c r="BN144" i="18"/>
  <c r="BN145" i="18"/>
  <c r="BN146" i="18"/>
  <c r="BN147" i="18"/>
  <c r="BN148" i="18"/>
  <c r="BN149" i="18"/>
  <c r="BN150" i="18"/>
  <c r="BN151" i="18"/>
  <c r="BN152" i="18"/>
  <c r="BN153" i="18"/>
  <c r="BN154" i="18"/>
  <c r="BN155" i="18"/>
  <c r="BN156" i="18"/>
  <c r="BN157" i="18"/>
  <c r="BN158" i="18"/>
  <c r="BN159" i="18"/>
  <c r="BN160" i="18"/>
  <c r="BN161" i="18"/>
  <c r="BN162" i="18"/>
  <c r="BN163" i="18"/>
  <c r="BN164" i="18"/>
  <c r="BN165" i="18"/>
  <c r="BN166" i="18"/>
  <c r="BN167" i="18"/>
  <c r="BN168" i="18"/>
  <c r="BN169" i="18"/>
  <c r="BN170" i="18"/>
  <c r="BN171" i="18"/>
  <c r="BN172" i="18"/>
  <c r="BN173" i="18"/>
  <c r="BN174" i="18"/>
  <c r="BN175" i="18"/>
  <c r="BN176" i="18"/>
  <c r="BN177" i="18"/>
  <c r="BN178" i="18"/>
  <c r="BN179" i="18"/>
  <c r="BN180" i="18"/>
  <c r="BN181" i="18"/>
  <c r="BN182" i="18"/>
  <c r="BN183" i="18"/>
  <c r="BN184" i="18"/>
  <c r="BN185" i="18"/>
  <c r="BN186" i="18"/>
  <c r="BN187" i="18"/>
  <c r="BN188" i="18"/>
  <c r="BN189" i="18"/>
  <c r="BN190" i="18"/>
  <c r="BN191" i="18"/>
  <c r="BN192" i="18"/>
  <c r="BN193" i="18"/>
  <c r="BN194" i="18"/>
  <c r="BN195" i="18"/>
  <c r="BN196" i="18"/>
  <c r="BN197" i="18"/>
  <c r="BN198" i="18"/>
  <c r="BN199" i="18"/>
  <c r="BN200" i="18"/>
  <c r="BN201" i="18"/>
  <c r="BN202" i="18"/>
  <c r="BN203" i="18"/>
  <c r="BN204" i="18"/>
  <c r="BN205" i="18"/>
  <c r="BN206" i="18"/>
  <c r="BN207" i="18"/>
  <c r="BN208" i="18"/>
  <c r="BN209" i="18"/>
  <c r="BN210" i="18"/>
  <c r="BN211" i="18"/>
  <c r="BN212" i="18"/>
  <c r="BN213" i="18"/>
  <c r="BN214" i="18"/>
  <c r="BN215" i="18"/>
  <c r="BN216" i="18"/>
  <c r="BN217" i="18"/>
  <c r="BN218" i="18"/>
  <c r="BN219" i="18"/>
  <c r="BN220" i="18"/>
  <c r="BN221" i="18"/>
  <c r="BN222" i="18"/>
  <c r="BN223" i="18"/>
  <c r="BN224" i="18"/>
  <c r="BN225" i="18"/>
  <c r="BN226" i="18"/>
  <c r="BN227" i="18"/>
  <c r="BN228" i="18"/>
  <c r="BN229" i="18"/>
  <c r="BN230" i="18"/>
  <c r="BN231" i="18"/>
  <c r="BN232" i="18"/>
  <c r="BN233" i="18"/>
  <c r="BN234" i="18"/>
  <c r="BN235" i="18"/>
  <c r="BN236" i="18"/>
  <c r="BN237" i="18"/>
  <c r="BN238" i="18"/>
  <c r="BN239" i="18"/>
  <c r="BN240" i="18"/>
  <c r="BN241" i="18"/>
  <c r="BN242" i="18"/>
  <c r="BN243" i="18"/>
  <c r="BN244" i="18"/>
  <c r="BN245" i="18"/>
  <c r="BN246" i="18"/>
  <c r="BN247" i="18"/>
  <c r="BN248" i="18"/>
  <c r="BN249" i="18"/>
  <c r="BN250" i="18"/>
  <c r="BN251" i="18"/>
  <c r="BN252" i="18"/>
  <c r="BN253" i="18"/>
  <c r="BN254" i="18"/>
  <c r="BN255" i="18"/>
  <c r="BN256" i="18"/>
  <c r="BN257" i="18"/>
  <c r="BN258" i="18"/>
  <c r="BN259" i="18"/>
  <c r="BN260" i="18"/>
  <c r="BN261" i="18"/>
  <c r="BN262" i="18"/>
  <c r="BN263" i="18"/>
  <c r="BN264" i="18"/>
  <c r="BN265" i="18"/>
  <c r="BN266" i="18"/>
  <c r="BN267" i="18"/>
  <c r="BN268" i="18"/>
  <c r="BN269" i="18"/>
  <c r="BN270" i="18"/>
  <c r="BN271" i="18"/>
  <c r="BN272" i="18"/>
  <c r="BN273" i="18"/>
  <c r="BN274" i="18"/>
  <c r="BN275" i="18"/>
  <c r="BN276" i="18"/>
  <c r="BN277" i="18"/>
  <c r="BN278" i="18"/>
  <c r="BN279" i="18"/>
  <c r="BN280" i="18"/>
  <c r="BN281" i="18"/>
  <c r="BN282" i="18"/>
  <c r="BN283" i="18"/>
  <c r="BN284" i="18"/>
  <c r="BN285" i="18"/>
  <c r="BN286" i="18"/>
  <c r="BN287" i="18"/>
  <c r="BN288" i="18"/>
  <c r="BN289" i="18"/>
  <c r="BN290" i="18"/>
  <c r="BN291" i="18"/>
  <c r="BN292" i="18"/>
  <c r="BN293" i="18"/>
  <c r="BN294" i="18"/>
  <c r="BN295" i="18"/>
  <c r="BN296" i="18"/>
  <c r="BN297" i="18"/>
  <c r="BN298" i="18"/>
  <c r="BN299" i="18"/>
  <c r="BN300" i="18"/>
  <c r="BN301" i="18"/>
  <c r="BN302" i="18"/>
  <c r="BN303" i="18"/>
  <c r="BN304" i="18"/>
  <c r="BN305" i="18"/>
  <c r="BN306" i="18"/>
  <c r="BN307" i="18"/>
  <c r="BN308" i="18"/>
  <c r="BN309" i="18"/>
  <c r="BN310" i="18"/>
  <c r="BN311" i="18"/>
  <c r="BN312" i="18"/>
  <c r="BN313" i="18"/>
  <c r="BN314" i="18"/>
  <c r="BN315" i="18"/>
  <c r="BN316" i="18"/>
  <c r="BN317" i="18"/>
  <c r="BN318" i="18"/>
  <c r="BN319" i="18"/>
  <c r="BN320" i="18"/>
  <c r="BN321" i="18"/>
  <c r="BN322" i="18"/>
  <c r="BN323" i="18"/>
  <c r="BN324" i="18"/>
  <c r="BN325" i="18"/>
  <c r="BN326" i="18"/>
  <c r="BN327" i="18"/>
  <c r="BN328" i="18"/>
  <c r="BN329" i="18"/>
  <c r="BN330" i="18"/>
  <c r="BN331" i="18"/>
  <c r="BN332" i="18"/>
  <c r="BN333" i="18"/>
  <c r="BN334" i="18"/>
  <c r="BN335" i="18"/>
  <c r="BN336" i="18"/>
  <c r="BN337" i="18"/>
  <c r="BN338" i="18"/>
  <c r="BO3" i="18"/>
  <c r="BO4" i="18"/>
  <c r="BO5" i="18"/>
  <c r="BO6" i="18"/>
  <c r="BO7" i="18"/>
  <c r="BO8" i="18"/>
  <c r="BO9" i="18"/>
  <c r="BO10" i="18"/>
  <c r="BO11" i="18"/>
  <c r="BO12" i="18"/>
  <c r="BO13" i="18"/>
  <c r="BO14" i="18"/>
  <c r="BO15" i="18"/>
  <c r="BO16" i="18"/>
  <c r="BO17" i="18"/>
  <c r="BO18" i="18"/>
  <c r="BO19" i="18"/>
  <c r="BO20" i="18"/>
  <c r="BO21" i="18"/>
  <c r="BO22" i="18"/>
  <c r="BO23" i="18"/>
  <c r="BO24" i="18"/>
  <c r="BO25" i="18"/>
  <c r="BO26" i="18"/>
  <c r="BO27" i="18"/>
  <c r="BO28" i="18"/>
  <c r="BO29" i="18"/>
  <c r="BO30" i="18"/>
  <c r="BO31" i="18"/>
  <c r="BO32" i="18"/>
  <c r="BO33" i="18"/>
  <c r="BO34" i="18"/>
  <c r="BO35" i="18"/>
  <c r="BO36" i="18"/>
  <c r="BO37" i="18"/>
  <c r="BO38" i="18"/>
  <c r="BO39" i="18"/>
  <c r="BO40" i="18"/>
  <c r="BO41" i="18"/>
  <c r="BO42" i="18"/>
  <c r="BO43" i="18"/>
  <c r="BO44" i="18"/>
  <c r="BO45" i="18"/>
  <c r="BO46" i="18"/>
  <c r="BO47" i="18"/>
  <c r="BO48" i="18"/>
  <c r="BO49" i="18"/>
  <c r="BO50" i="18"/>
  <c r="BO51" i="18"/>
  <c r="BO52" i="18"/>
  <c r="BO53" i="18"/>
  <c r="BO54" i="18"/>
  <c r="BO55" i="18"/>
  <c r="BO56" i="18"/>
  <c r="BO57" i="18"/>
  <c r="BO58" i="18"/>
  <c r="BO59" i="18"/>
  <c r="BO60" i="18"/>
  <c r="BO61" i="18"/>
  <c r="BO62" i="18"/>
  <c r="BO63" i="18"/>
  <c r="BO64" i="18"/>
  <c r="BO65" i="18"/>
  <c r="BO66" i="18"/>
  <c r="BO67" i="18"/>
  <c r="BO68" i="18"/>
  <c r="BO69" i="18"/>
  <c r="BO70" i="18"/>
  <c r="BO71" i="18"/>
  <c r="BO72" i="18"/>
  <c r="BO73" i="18"/>
  <c r="BO74" i="18"/>
  <c r="BO75" i="18"/>
  <c r="BO76" i="18"/>
  <c r="BO77" i="18"/>
  <c r="BO78" i="18"/>
  <c r="BO79" i="18"/>
  <c r="BO80" i="18"/>
  <c r="BO81" i="18"/>
  <c r="BO82" i="18"/>
  <c r="BO83" i="18"/>
  <c r="BO84" i="18"/>
  <c r="BO85" i="18"/>
  <c r="BO86" i="18"/>
  <c r="BO87" i="18"/>
  <c r="BO88" i="18"/>
  <c r="BO89" i="18"/>
  <c r="BO90" i="18"/>
  <c r="BO91" i="18"/>
  <c r="BO92" i="18"/>
  <c r="BO93" i="18"/>
  <c r="BO94" i="18"/>
  <c r="BO95" i="18"/>
  <c r="BO96" i="18"/>
  <c r="BO97" i="18"/>
  <c r="BO98" i="18"/>
  <c r="BO99" i="18"/>
  <c r="BO100" i="18"/>
  <c r="BO101" i="18"/>
  <c r="BO102" i="18"/>
  <c r="BO103" i="18"/>
  <c r="BO104" i="18"/>
  <c r="BO105" i="18"/>
  <c r="BO106" i="18"/>
  <c r="BO107" i="18"/>
  <c r="BO108" i="18"/>
  <c r="BO109" i="18"/>
  <c r="BO110" i="18"/>
  <c r="BO111" i="18"/>
  <c r="BO112" i="18"/>
  <c r="BO113" i="18"/>
  <c r="BO114" i="18"/>
  <c r="BO115" i="18"/>
  <c r="BO116" i="18"/>
  <c r="BO117" i="18"/>
  <c r="BO118" i="18"/>
  <c r="BO119" i="18"/>
  <c r="BO120" i="18"/>
  <c r="BO121" i="18"/>
  <c r="BO122" i="18"/>
  <c r="BO123" i="18"/>
  <c r="BO124" i="18"/>
  <c r="BO125" i="18"/>
  <c r="BO126" i="18"/>
  <c r="BO127" i="18"/>
  <c r="BO128" i="18"/>
  <c r="BO129" i="18"/>
  <c r="BO130" i="18"/>
  <c r="BO131" i="18"/>
  <c r="BO132" i="18"/>
  <c r="BO133" i="18"/>
  <c r="BO134" i="18"/>
  <c r="BO135" i="18"/>
  <c r="BO136" i="18"/>
  <c r="BO137" i="18"/>
  <c r="BO138" i="18"/>
  <c r="BO139" i="18"/>
  <c r="BO140" i="18"/>
  <c r="BO141" i="18"/>
  <c r="BO142" i="18"/>
  <c r="BO143" i="18"/>
  <c r="BO144" i="18"/>
  <c r="BO145" i="18"/>
  <c r="BO146" i="18"/>
  <c r="BO147" i="18"/>
  <c r="BO148" i="18"/>
  <c r="BO149" i="18"/>
  <c r="BO150" i="18"/>
  <c r="BO151" i="18"/>
  <c r="BO152" i="18"/>
  <c r="BO153" i="18"/>
  <c r="BO154" i="18"/>
  <c r="BO155" i="18"/>
  <c r="BO156" i="18"/>
  <c r="BO157" i="18"/>
  <c r="BO158" i="18"/>
  <c r="BO159" i="18"/>
  <c r="BO160" i="18"/>
  <c r="BO161" i="18"/>
  <c r="BO162" i="18"/>
  <c r="BO163" i="18"/>
  <c r="BO164" i="18"/>
  <c r="BO165" i="18"/>
  <c r="BO166" i="18"/>
  <c r="BO167" i="18"/>
  <c r="BO168" i="18"/>
  <c r="BO169" i="18"/>
  <c r="BO170" i="18"/>
  <c r="BO171" i="18"/>
  <c r="BO172" i="18"/>
  <c r="BO173" i="18"/>
  <c r="BO174" i="18"/>
  <c r="BO175" i="18"/>
  <c r="BO176" i="18"/>
  <c r="BO177" i="18"/>
  <c r="BO178" i="18"/>
  <c r="BO179" i="18"/>
  <c r="BO180" i="18"/>
  <c r="BO181" i="18"/>
  <c r="BO182" i="18"/>
  <c r="BO183" i="18"/>
  <c r="BO184" i="18"/>
  <c r="BO185" i="18"/>
  <c r="BO186" i="18"/>
  <c r="BO187" i="18"/>
  <c r="BO188" i="18"/>
  <c r="BO189" i="18"/>
  <c r="BO190" i="18"/>
  <c r="BO191" i="18"/>
  <c r="BO192" i="18"/>
  <c r="BO193" i="18"/>
  <c r="BO194" i="18"/>
  <c r="BO195" i="18"/>
  <c r="BO196" i="18"/>
  <c r="BO197" i="18"/>
  <c r="BO198" i="18"/>
  <c r="BO199" i="18"/>
  <c r="BO200" i="18"/>
  <c r="BO201" i="18"/>
  <c r="BO202" i="18"/>
  <c r="BO203" i="18"/>
  <c r="BO204" i="18"/>
  <c r="BO205" i="18"/>
  <c r="BO206" i="18"/>
  <c r="BO207" i="18"/>
  <c r="BO208" i="18"/>
  <c r="BO209" i="18"/>
  <c r="BO210" i="18"/>
  <c r="BO211" i="18"/>
  <c r="BO212" i="18"/>
  <c r="BO213" i="18"/>
  <c r="BO214" i="18"/>
  <c r="BO215" i="18"/>
  <c r="BO216" i="18"/>
  <c r="BO217" i="18"/>
  <c r="BO218" i="18"/>
  <c r="BO219" i="18"/>
  <c r="BO220" i="18"/>
  <c r="BO221" i="18"/>
  <c r="BO222" i="18"/>
  <c r="BO223" i="18"/>
  <c r="BO224" i="18"/>
  <c r="BO225" i="18"/>
  <c r="BO226" i="18"/>
  <c r="BO227" i="18"/>
  <c r="BO228" i="18"/>
  <c r="BO229" i="18"/>
  <c r="BO230" i="18"/>
  <c r="BO231" i="18"/>
  <c r="BO232" i="18"/>
  <c r="BO233" i="18"/>
  <c r="BO234" i="18"/>
  <c r="BO235" i="18"/>
  <c r="BO236" i="18"/>
  <c r="BO237" i="18"/>
  <c r="BO238" i="18"/>
  <c r="BO239" i="18"/>
  <c r="BO240" i="18"/>
  <c r="BO241" i="18"/>
  <c r="BO242" i="18"/>
  <c r="BO243" i="18"/>
  <c r="BO244" i="18"/>
  <c r="BO245" i="18"/>
  <c r="BO246" i="18"/>
  <c r="BO247" i="18"/>
  <c r="BO248" i="18"/>
  <c r="BO249" i="18"/>
  <c r="BO250" i="18"/>
  <c r="BO251" i="18"/>
  <c r="BO252" i="18"/>
  <c r="BO253" i="18"/>
  <c r="BO254" i="18"/>
  <c r="BO255" i="18"/>
  <c r="BO256" i="18"/>
  <c r="BO257" i="18"/>
  <c r="BO258" i="18"/>
  <c r="BO259" i="18"/>
  <c r="BO260" i="18"/>
  <c r="BO261" i="18"/>
  <c r="BO262" i="18"/>
  <c r="BO263" i="18"/>
  <c r="BO264" i="18"/>
  <c r="BO265" i="18"/>
  <c r="BO266" i="18"/>
  <c r="BO267" i="18"/>
  <c r="BO268" i="18"/>
  <c r="BO269" i="18"/>
  <c r="BO270" i="18"/>
  <c r="BO271" i="18"/>
  <c r="BO272" i="18"/>
  <c r="BO273" i="18"/>
  <c r="BO274" i="18"/>
  <c r="BO275" i="18"/>
  <c r="BO276" i="18"/>
  <c r="BO277" i="18"/>
  <c r="BO278" i="18"/>
  <c r="BO279" i="18"/>
  <c r="BO280" i="18"/>
  <c r="BO281" i="18"/>
  <c r="BO282" i="18"/>
  <c r="BO283" i="18"/>
  <c r="BO284" i="18"/>
  <c r="BO285" i="18"/>
  <c r="BO286" i="18"/>
  <c r="BO287" i="18"/>
  <c r="BO288" i="18"/>
  <c r="BO289" i="18"/>
  <c r="BO290" i="18"/>
  <c r="BO291" i="18"/>
  <c r="BO292" i="18"/>
  <c r="BO293" i="18"/>
  <c r="BO294" i="18"/>
  <c r="BO295" i="18"/>
  <c r="BO296" i="18"/>
  <c r="BO297" i="18"/>
  <c r="BO298" i="18"/>
  <c r="BO299" i="18"/>
  <c r="BO300" i="18"/>
  <c r="BO301" i="18"/>
  <c r="BO302" i="18"/>
  <c r="BO303" i="18"/>
  <c r="BO304" i="18"/>
  <c r="BO305" i="18"/>
  <c r="BO306" i="18"/>
  <c r="BO307" i="18"/>
  <c r="BO308" i="18"/>
  <c r="BO309" i="18"/>
  <c r="BO310" i="18"/>
  <c r="BO311" i="18"/>
  <c r="BO312" i="18"/>
  <c r="BO313" i="18"/>
  <c r="BO314" i="18"/>
  <c r="BO315" i="18"/>
  <c r="BO316" i="18"/>
  <c r="BO317" i="18"/>
  <c r="BO318" i="18"/>
  <c r="BO319" i="18"/>
  <c r="BO320" i="18"/>
  <c r="BO321" i="18"/>
  <c r="BO322" i="18"/>
  <c r="BO323" i="18"/>
  <c r="BO324" i="18"/>
  <c r="BO325" i="18"/>
  <c r="BO326" i="18"/>
  <c r="BO327" i="18"/>
  <c r="BO328" i="18"/>
  <c r="BO329" i="18"/>
  <c r="BO330" i="18"/>
  <c r="BO331" i="18"/>
  <c r="BO332" i="18"/>
  <c r="BO333" i="18"/>
  <c r="BO334" i="18"/>
  <c r="BO335" i="18"/>
  <c r="BO336" i="18"/>
  <c r="BO337" i="18"/>
  <c r="BO338" i="18"/>
  <c r="BP3" i="18"/>
  <c r="BP4" i="18"/>
  <c r="BP5" i="18"/>
  <c r="BP6" i="18"/>
  <c r="BP7" i="18"/>
  <c r="BP8" i="18"/>
  <c r="BP9" i="18"/>
  <c r="BP10" i="18"/>
  <c r="BP11" i="18"/>
  <c r="BP12" i="18"/>
  <c r="BP13" i="18"/>
  <c r="BP14" i="18"/>
  <c r="BP15" i="18"/>
  <c r="BP16" i="18"/>
  <c r="BP17" i="18"/>
  <c r="BP18" i="18"/>
  <c r="BP19" i="18"/>
  <c r="BP20" i="18"/>
  <c r="BP21" i="18"/>
  <c r="BP22" i="18"/>
  <c r="BP23" i="18"/>
  <c r="BP24" i="18"/>
  <c r="BP25" i="18"/>
  <c r="BP26" i="18"/>
  <c r="BP27" i="18"/>
  <c r="BP28" i="18"/>
  <c r="BP29" i="18"/>
  <c r="BP30" i="18"/>
  <c r="BP31" i="18"/>
  <c r="BP32" i="18"/>
  <c r="BP33" i="18"/>
  <c r="BP34" i="18"/>
  <c r="BP35" i="18"/>
  <c r="BP36" i="18"/>
  <c r="BP37" i="18"/>
  <c r="BP38" i="18"/>
  <c r="BP39" i="18"/>
  <c r="BP40" i="18"/>
  <c r="BP41" i="18"/>
  <c r="BP42" i="18"/>
  <c r="BP43" i="18"/>
  <c r="BP44" i="18"/>
  <c r="BP45" i="18"/>
  <c r="BP46" i="18"/>
  <c r="BP47" i="18"/>
  <c r="BP48" i="18"/>
  <c r="BP49" i="18"/>
  <c r="BP50" i="18"/>
  <c r="BP51" i="18"/>
  <c r="BP52" i="18"/>
  <c r="BP53" i="18"/>
  <c r="BP54" i="18"/>
  <c r="BP55" i="18"/>
  <c r="BP56" i="18"/>
  <c r="BP57" i="18"/>
  <c r="BP58" i="18"/>
  <c r="BP59" i="18"/>
  <c r="BP60" i="18"/>
  <c r="BP61" i="18"/>
  <c r="BP62" i="18"/>
  <c r="BP63" i="18"/>
  <c r="BP64" i="18"/>
  <c r="BP65" i="18"/>
  <c r="BP66" i="18"/>
  <c r="BP67" i="18"/>
  <c r="BP68" i="18"/>
  <c r="BP69" i="18"/>
  <c r="BP70" i="18"/>
  <c r="BP71" i="18"/>
  <c r="BP72" i="18"/>
  <c r="BP73" i="18"/>
  <c r="BP74" i="18"/>
  <c r="BP75" i="18"/>
  <c r="BP76" i="18"/>
  <c r="BP77" i="18"/>
  <c r="BP78" i="18"/>
  <c r="BP79" i="18"/>
  <c r="BP80" i="18"/>
  <c r="BP81" i="18"/>
  <c r="BP82" i="18"/>
  <c r="BP83" i="18"/>
  <c r="BP84" i="18"/>
  <c r="BP85" i="18"/>
  <c r="BP86" i="18"/>
  <c r="BP87" i="18"/>
  <c r="BP88" i="18"/>
  <c r="BP89" i="18"/>
  <c r="BP90" i="18"/>
  <c r="BP91" i="18"/>
  <c r="BP92" i="18"/>
  <c r="BP93" i="18"/>
  <c r="BP94" i="18"/>
  <c r="BP95" i="18"/>
  <c r="BP96" i="18"/>
  <c r="BP97" i="18"/>
  <c r="BP98" i="18"/>
  <c r="BP99" i="18"/>
  <c r="BP100" i="18"/>
  <c r="BP101" i="18"/>
  <c r="BP102" i="18"/>
  <c r="BP103" i="18"/>
  <c r="BP104" i="18"/>
  <c r="BP105" i="18"/>
  <c r="BP106" i="18"/>
  <c r="BP107" i="18"/>
  <c r="BP108" i="18"/>
  <c r="BP109" i="18"/>
  <c r="BP110" i="18"/>
  <c r="BP111" i="18"/>
  <c r="BP112" i="18"/>
  <c r="BP113" i="18"/>
  <c r="BP114" i="18"/>
  <c r="BP115" i="18"/>
  <c r="BP116" i="18"/>
  <c r="BP117" i="18"/>
  <c r="BP118" i="18"/>
  <c r="BP119" i="18"/>
  <c r="BP120" i="18"/>
  <c r="BP121" i="18"/>
  <c r="BP122" i="18"/>
  <c r="BP123" i="18"/>
  <c r="BP124" i="18"/>
  <c r="BP125" i="18"/>
  <c r="BP126" i="18"/>
  <c r="BP127" i="18"/>
  <c r="BP128" i="18"/>
  <c r="BP129" i="18"/>
  <c r="BP130" i="18"/>
  <c r="BP131" i="18"/>
  <c r="BP132" i="18"/>
  <c r="BP133" i="18"/>
  <c r="BP134" i="18"/>
  <c r="BP135" i="18"/>
  <c r="BP136" i="18"/>
  <c r="BP137" i="18"/>
  <c r="BP138" i="18"/>
  <c r="BP139" i="18"/>
  <c r="BP140" i="18"/>
  <c r="BP141" i="18"/>
  <c r="BP142" i="18"/>
  <c r="BP143" i="18"/>
  <c r="BP144" i="18"/>
  <c r="BP145" i="18"/>
  <c r="BP146" i="18"/>
  <c r="BP147" i="18"/>
  <c r="BP148" i="18"/>
  <c r="BP149" i="18"/>
  <c r="BP150" i="18"/>
  <c r="BP151" i="18"/>
  <c r="BP152" i="18"/>
  <c r="BP153" i="18"/>
  <c r="BP154" i="18"/>
  <c r="BP155" i="18"/>
  <c r="BP156" i="18"/>
  <c r="BP157" i="18"/>
  <c r="BP158" i="18"/>
  <c r="BP159" i="18"/>
  <c r="BP160" i="18"/>
  <c r="BP161" i="18"/>
  <c r="BP162" i="18"/>
  <c r="BP163" i="18"/>
  <c r="BP164" i="18"/>
  <c r="BP165" i="18"/>
  <c r="BP166" i="18"/>
  <c r="BP167" i="18"/>
  <c r="BP168" i="18"/>
  <c r="BP169" i="18"/>
  <c r="BP170" i="18"/>
  <c r="BP171" i="18"/>
  <c r="BP172" i="18"/>
  <c r="BP173" i="18"/>
  <c r="BP174" i="18"/>
  <c r="BP175" i="18"/>
  <c r="BP176" i="18"/>
  <c r="BP177" i="18"/>
  <c r="BP178" i="18"/>
  <c r="BP179" i="18"/>
  <c r="BP180" i="18"/>
  <c r="BP181" i="18"/>
  <c r="BP182" i="18"/>
  <c r="BP183" i="18"/>
  <c r="BP184" i="18"/>
  <c r="BP185" i="18"/>
  <c r="BP186" i="18"/>
  <c r="BP187" i="18"/>
  <c r="BP188" i="18"/>
  <c r="BP189" i="18"/>
  <c r="BP190" i="18"/>
  <c r="BP191" i="18"/>
  <c r="BP192" i="18"/>
  <c r="BP193" i="18"/>
  <c r="BP194" i="18"/>
  <c r="BP195" i="18"/>
  <c r="BP196" i="18"/>
  <c r="BP197" i="18"/>
  <c r="BP198" i="18"/>
  <c r="BP199" i="18"/>
  <c r="BP200" i="18"/>
  <c r="BP201" i="18"/>
  <c r="BP202" i="18"/>
  <c r="BP203" i="18"/>
  <c r="BP204" i="18"/>
  <c r="BP205" i="18"/>
  <c r="BP206" i="18"/>
  <c r="BP207" i="18"/>
  <c r="BP208" i="18"/>
  <c r="BP209" i="18"/>
  <c r="BP210" i="18"/>
  <c r="BP211" i="18"/>
  <c r="BP212" i="18"/>
  <c r="BP213" i="18"/>
  <c r="BP214" i="18"/>
  <c r="BP215" i="18"/>
  <c r="BP216" i="18"/>
  <c r="BP217" i="18"/>
  <c r="BP218" i="18"/>
  <c r="BP219" i="18"/>
  <c r="BP220" i="18"/>
  <c r="BP221" i="18"/>
  <c r="BP222" i="18"/>
  <c r="BP223" i="18"/>
  <c r="BP224" i="18"/>
  <c r="BP225" i="18"/>
  <c r="BP226" i="18"/>
  <c r="BP227" i="18"/>
  <c r="BP228" i="18"/>
  <c r="BP229" i="18"/>
  <c r="BP230" i="18"/>
  <c r="BP231" i="18"/>
  <c r="BP232" i="18"/>
  <c r="BP233" i="18"/>
  <c r="BP234" i="18"/>
  <c r="BP235" i="18"/>
  <c r="BP236" i="18"/>
  <c r="BP237" i="18"/>
  <c r="BP238" i="18"/>
  <c r="BP239" i="18"/>
  <c r="BP240" i="18"/>
  <c r="BP241" i="18"/>
  <c r="BP242" i="18"/>
  <c r="BP243" i="18"/>
  <c r="BP244" i="18"/>
  <c r="BP245" i="18"/>
  <c r="BP246" i="18"/>
  <c r="BP247" i="18"/>
  <c r="BP248" i="18"/>
  <c r="BP249" i="18"/>
  <c r="BP250" i="18"/>
  <c r="BP251" i="18"/>
  <c r="BP252" i="18"/>
  <c r="BP253" i="18"/>
  <c r="BP254" i="18"/>
  <c r="BP255" i="18"/>
  <c r="BP256" i="18"/>
  <c r="BP257" i="18"/>
  <c r="BP258" i="18"/>
  <c r="BP259" i="18"/>
  <c r="BP260" i="18"/>
  <c r="BP261" i="18"/>
  <c r="BP262" i="18"/>
  <c r="BP263" i="18"/>
  <c r="BP264" i="18"/>
  <c r="BP265" i="18"/>
  <c r="BP266" i="18"/>
  <c r="BP267" i="18"/>
  <c r="BP268" i="18"/>
  <c r="BP269" i="18"/>
  <c r="BP270" i="18"/>
  <c r="BP271" i="18"/>
  <c r="BP272" i="18"/>
  <c r="BP273" i="18"/>
  <c r="BP274" i="18"/>
  <c r="BP275" i="18"/>
  <c r="BP276" i="18"/>
  <c r="BP277" i="18"/>
  <c r="BP278" i="18"/>
  <c r="BP279" i="18"/>
  <c r="BP280" i="18"/>
  <c r="BP281" i="18"/>
  <c r="BP282" i="18"/>
  <c r="BP283" i="18"/>
  <c r="BP284" i="18"/>
  <c r="BP285" i="18"/>
  <c r="BP286" i="18"/>
  <c r="BP287" i="18"/>
  <c r="BP288" i="18"/>
  <c r="BP289" i="18"/>
  <c r="BP290" i="18"/>
  <c r="BP291" i="18"/>
  <c r="BP292" i="18"/>
  <c r="BP293" i="18"/>
  <c r="BP294" i="18"/>
  <c r="BP295" i="18"/>
  <c r="BP296" i="18"/>
  <c r="BP297" i="18"/>
  <c r="BP298" i="18"/>
  <c r="BP299" i="18"/>
  <c r="BP300" i="18"/>
  <c r="BP301" i="18"/>
  <c r="BP302" i="18"/>
  <c r="BP303" i="18"/>
  <c r="BP304" i="18"/>
  <c r="BP305" i="18"/>
  <c r="BP306" i="18"/>
  <c r="BP307" i="18"/>
  <c r="BP308" i="18"/>
  <c r="BP309" i="18"/>
  <c r="BP310" i="18"/>
  <c r="BP311" i="18"/>
  <c r="BP312" i="18"/>
  <c r="BP313" i="18"/>
  <c r="BP314" i="18"/>
  <c r="BP315" i="18"/>
  <c r="BP316" i="18"/>
  <c r="BP317" i="18"/>
  <c r="BP318" i="18"/>
  <c r="BP319" i="18"/>
  <c r="BP320" i="18"/>
  <c r="BP321" i="18"/>
  <c r="BP322" i="18"/>
  <c r="BP323" i="18"/>
  <c r="BP324" i="18"/>
  <c r="BP325" i="18"/>
  <c r="BP326" i="18"/>
  <c r="BP327" i="18"/>
  <c r="BP328" i="18"/>
  <c r="BP329" i="18"/>
  <c r="BP330" i="18"/>
  <c r="BP331" i="18"/>
  <c r="BP332" i="18"/>
  <c r="BP333" i="18"/>
  <c r="BP334" i="18"/>
  <c r="BP335" i="18"/>
  <c r="BP336" i="18"/>
  <c r="BP337" i="18"/>
  <c r="BP338" i="18"/>
  <c r="BQ3" i="18"/>
  <c r="BQ4" i="18"/>
  <c r="BQ5" i="18"/>
  <c r="BQ6" i="18"/>
  <c r="BQ7" i="18"/>
  <c r="BQ8" i="18"/>
  <c r="BQ9" i="18"/>
  <c r="BQ10" i="18"/>
  <c r="BQ11" i="18"/>
  <c r="BQ12" i="18"/>
  <c r="BQ13" i="18"/>
  <c r="BQ14" i="18"/>
  <c r="BQ15" i="18"/>
  <c r="BQ16" i="18"/>
  <c r="BQ17" i="18"/>
  <c r="BQ18" i="18"/>
  <c r="BQ19" i="18"/>
  <c r="BQ20" i="18"/>
  <c r="BQ21" i="18"/>
  <c r="BQ22" i="18"/>
  <c r="BQ23" i="18"/>
  <c r="BQ24" i="18"/>
  <c r="BQ25" i="18"/>
  <c r="BQ26" i="18"/>
  <c r="BQ27" i="18"/>
  <c r="BQ28" i="18"/>
  <c r="BQ29" i="18"/>
  <c r="BQ30" i="18"/>
  <c r="BQ31" i="18"/>
  <c r="BQ32" i="18"/>
  <c r="BQ33" i="18"/>
  <c r="BQ34" i="18"/>
  <c r="BQ35" i="18"/>
  <c r="BQ36" i="18"/>
  <c r="BQ37" i="18"/>
  <c r="BQ38" i="18"/>
  <c r="BQ39" i="18"/>
  <c r="BQ40" i="18"/>
  <c r="BQ41" i="18"/>
  <c r="BQ42" i="18"/>
  <c r="BQ43" i="18"/>
  <c r="BQ44" i="18"/>
  <c r="BQ45" i="18"/>
  <c r="BQ46" i="18"/>
  <c r="BQ47" i="18"/>
  <c r="BQ48" i="18"/>
  <c r="BQ49" i="18"/>
  <c r="BQ50" i="18"/>
  <c r="BQ51" i="18"/>
  <c r="BQ52" i="18"/>
  <c r="BQ53" i="18"/>
  <c r="BQ54" i="18"/>
  <c r="BQ55" i="18"/>
  <c r="BQ56" i="18"/>
  <c r="BQ57" i="18"/>
  <c r="BQ58" i="18"/>
  <c r="BQ59" i="18"/>
  <c r="BQ60" i="18"/>
  <c r="BQ61" i="18"/>
  <c r="BQ62" i="18"/>
  <c r="BQ63" i="18"/>
  <c r="BQ64" i="18"/>
  <c r="BQ65" i="18"/>
  <c r="BQ66" i="18"/>
  <c r="BQ67" i="18"/>
  <c r="BQ68" i="18"/>
  <c r="BQ69" i="18"/>
  <c r="BQ70" i="18"/>
  <c r="BQ71" i="18"/>
  <c r="BQ72" i="18"/>
  <c r="BQ73" i="18"/>
  <c r="BQ74" i="18"/>
  <c r="BQ75" i="18"/>
  <c r="BQ76" i="18"/>
  <c r="BQ77" i="18"/>
  <c r="BQ78" i="18"/>
  <c r="BQ79" i="18"/>
  <c r="BQ80" i="18"/>
  <c r="BQ81" i="18"/>
  <c r="BQ82" i="18"/>
  <c r="BQ83" i="18"/>
  <c r="BQ84" i="18"/>
  <c r="BQ85" i="18"/>
  <c r="BQ86" i="18"/>
  <c r="BQ87" i="18"/>
  <c r="BQ88" i="18"/>
  <c r="BQ89" i="18"/>
  <c r="BQ90" i="18"/>
  <c r="BQ91" i="18"/>
  <c r="BQ92" i="18"/>
  <c r="BQ93" i="18"/>
  <c r="BQ94" i="18"/>
  <c r="BQ95" i="18"/>
  <c r="BQ96" i="18"/>
  <c r="BQ97" i="18"/>
  <c r="BQ98" i="18"/>
  <c r="BQ99" i="18"/>
  <c r="BQ100" i="18"/>
  <c r="BQ101" i="18"/>
  <c r="BQ102" i="18"/>
  <c r="BQ103" i="18"/>
  <c r="BQ104" i="18"/>
  <c r="BQ105" i="18"/>
  <c r="BQ106" i="18"/>
  <c r="BQ107" i="18"/>
  <c r="BQ108" i="18"/>
  <c r="BQ109" i="18"/>
  <c r="BQ110" i="18"/>
  <c r="BQ111" i="18"/>
  <c r="BQ112" i="18"/>
  <c r="BQ113" i="18"/>
  <c r="BQ114" i="18"/>
  <c r="BQ115" i="18"/>
  <c r="BQ116" i="18"/>
  <c r="BQ117" i="18"/>
  <c r="BQ118" i="18"/>
  <c r="BQ119" i="18"/>
  <c r="BQ120" i="18"/>
  <c r="BQ121" i="18"/>
  <c r="BQ122" i="18"/>
  <c r="BQ123" i="18"/>
  <c r="BQ124" i="18"/>
  <c r="BQ125" i="18"/>
  <c r="BQ126" i="18"/>
  <c r="BQ127" i="18"/>
  <c r="BQ128" i="18"/>
  <c r="BQ129" i="18"/>
  <c r="BQ130" i="18"/>
  <c r="BQ131" i="18"/>
  <c r="BQ132" i="18"/>
  <c r="BQ133" i="18"/>
  <c r="BQ134" i="18"/>
  <c r="BQ135" i="18"/>
  <c r="BQ136" i="18"/>
  <c r="BQ137" i="18"/>
  <c r="BQ138" i="18"/>
  <c r="BQ139" i="18"/>
  <c r="BQ140" i="18"/>
  <c r="BQ141" i="18"/>
  <c r="BQ142" i="18"/>
  <c r="BQ143" i="18"/>
  <c r="BQ144" i="18"/>
  <c r="BQ145" i="18"/>
  <c r="BQ146" i="18"/>
  <c r="BQ147" i="18"/>
  <c r="BQ148" i="18"/>
  <c r="BQ149" i="18"/>
  <c r="BQ150" i="18"/>
  <c r="BQ151" i="18"/>
  <c r="BQ152" i="18"/>
  <c r="BQ153" i="18"/>
  <c r="BQ154" i="18"/>
  <c r="BQ155" i="18"/>
  <c r="BQ156" i="18"/>
  <c r="BQ157" i="18"/>
  <c r="BQ158" i="18"/>
  <c r="BQ159" i="18"/>
  <c r="BQ160" i="18"/>
  <c r="BQ161" i="18"/>
  <c r="BQ162" i="18"/>
  <c r="BQ163" i="18"/>
  <c r="BQ164" i="18"/>
  <c r="BQ165" i="18"/>
  <c r="BQ166" i="18"/>
  <c r="BQ167" i="18"/>
  <c r="BQ168" i="18"/>
  <c r="BQ169" i="18"/>
  <c r="BQ170" i="18"/>
  <c r="BQ171" i="18"/>
  <c r="BQ172" i="18"/>
  <c r="BQ173" i="18"/>
  <c r="BQ174" i="18"/>
  <c r="BQ175" i="18"/>
  <c r="BQ176" i="18"/>
  <c r="BQ177" i="18"/>
  <c r="BQ178" i="18"/>
  <c r="BQ179" i="18"/>
  <c r="BQ180" i="18"/>
  <c r="BQ181" i="18"/>
  <c r="BQ182" i="18"/>
  <c r="BQ183" i="18"/>
  <c r="BQ184" i="18"/>
  <c r="BQ185" i="18"/>
  <c r="BQ186" i="18"/>
  <c r="BQ187" i="18"/>
  <c r="BQ188" i="18"/>
  <c r="BQ189" i="18"/>
  <c r="BQ190" i="18"/>
  <c r="BQ191" i="18"/>
  <c r="BQ192" i="18"/>
  <c r="BQ193" i="18"/>
  <c r="BQ194" i="18"/>
  <c r="BQ195" i="18"/>
  <c r="BQ196" i="18"/>
  <c r="BQ197" i="18"/>
  <c r="BQ198" i="18"/>
  <c r="BQ199" i="18"/>
  <c r="BQ200" i="18"/>
  <c r="BQ201" i="18"/>
  <c r="BQ202" i="18"/>
  <c r="BQ203" i="18"/>
  <c r="BQ204" i="18"/>
  <c r="BQ205" i="18"/>
  <c r="BQ206" i="18"/>
  <c r="BQ207" i="18"/>
  <c r="BQ208" i="18"/>
  <c r="BQ209" i="18"/>
  <c r="BQ210" i="18"/>
  <c r="BQ211" i="18"/>
  <c r="BQ212" i="18"/>
  <c r="BQ213" i="18"/>
  <c r="BQ214" i="18"/>
  <c r="BQ215" i="18"/>
  <c r="BQ216" i="18"/>
  <c r="BQ217" i="18"/>
  <c r="BQ218" i="18"/>
  <c r="BQ219" i="18"/>
  <c r="BQ220" i="18"/>
  <c r="BQ221" i="18"/>
  <c r="BQ222" i="18"/>
  <c r="BQ223" i="18"/>
  <c r="BQ224" i="18"/>
  <c r="BQ225" i="18"/>
  <c r="BQ226" i="18"/>
  <c r="BQ227" i="18"/>
  <c r="BQ228" i="18"/>
  <c r="BQ229" i="18"/>
  <c r="BQ230" i="18"/>
  <c r="BQ231" i="18"/>
  <c r="BQ232" i="18"/>
  <c r="BQ233" i="18"/>
  <c r="BQ234" i="18"/>
  <c r="BQ235" i="18"/>
  <c r="BQ236" i="18"/>
  <c r="BQ237" i="18"/>
  <c r="BQ238" i="18"/>
  <c r="BQ239" i="18"/>
  <c r="BQ240" i="18"/>
  <c r="BQ241" i="18"/>
  <c r="BQ242" i="18"/>
  <c r="BQ243" i="18"/>
  <c r="BQ244" i="18"/>
  <c r="BQ245" i="18"/>
  <c r="BQ246" i="18"/>
  <c r="BQ247" i="18"/>
  <c r="BQ248" i="18"/>
  <c r="BQ249" i="18"/>
  <c r="BQ250" i="18"/>
  <c r="BQ251" i="18"/>
  <c r="BQ252" i="18"/>
  <c r="BQ253" i="18"/>
  <c r="BQ254" i="18"/>
  <c r="BQ255" i="18"/>
  <c r="BQ256" i="18"/>
  <c r="BQ257" i="18"/>
  <c r="BQ258" i="18"/>
  <c r="BQ259" i="18"/>
  <c r="BQ260" i="18"/>
  <c r="BQ261" i="18"/>
  <c r="BQ262" i="18"/>
  <c r="BQ263" i="18"/>
  <c r="BQ264" i="18"/>
  <c r="BQ265" i="18"/>
  <c r="BQ266" i="18"/>
  <c r="BQ267" i="18"/>
  <c r="BQ268" i="18"/>
  <c r="BQ269" i="18"/>
  <c r="BQ270" i="18"/>
  <c r="BQ271" i="18"/>
  <c r="BQ272" i="18"/>
  <c r="BQ273" i="18"/>
  <c r="BQ274" i="18"/>
  <c r="BQ275" i="18"/>
  <c r="BQ276" i="18"/>
  <c r="BQ277" i="18"/>
  <c r="BQ278" i="18"/>
  <c r="BQ279" i="18"/>
  <c r="BQ280" i="18"/>
  <c r="BQ281" i="18"/>
  <c r="BQ282" i="18"/>
  <c r="BQ283" i="18"/>
  <c r="BQ284" i="18"/>
  <c r="BQ285" i="18"/>
  <c r="BQ286" i="18"/>
  <c r="BQ287" i="18"/>
  <c r="BQ288" i="18"/>
  <c r="BQ289" i="18"/>
  <c r="BQ290" i="18"/>
  <c r="BQ291" i="18"/>
  <c r="BQ292" i="18"/>
  <c r="BQ293" i="18"/>
  <c r="BQ294" i="18"/>
  <c r="BQ295" i="18"/>
  <c r="BQ296" i="18"/>
  <c r="BQ297" i="18"/>
  <c r="BQ298" i="18"/>
  <c r="BQ299" i="18"/>
  <c r="BQ300" i="18"/>
  <c r="BQ301" i="18"/>
  <c r="BQ302" i="18"/>
  <c r="BQ303" i="18"/>
  <c r="BQ304" i="18"/>
  <c r="BQ305" i="18"/>
  <c r="BQ306" i="18"/>
  <c r="BQ307" i="18"/>
  <c r="BQ308" i="18"/>
  <c r="BQ309" i="18"/>
  <c r="BQ310" i="18"/>
  <c r="BQ311" i="18"/>
  <c r="BQ312" i="18"/>
  <c r="BQ313" i="18"/>
  <c r="BQ314" i="18"/>
  <c r="BQ315" i="18"/>
  <c r="BQ316" i="18"/>
  <c r="BQ317" i="18"/>
  <c r="BQ318" i="18"/>
  <c r="BQ319" i="18"/>
  <c r="BQ320" i="18"/>
  <c r="BQ321" i="18"/>
  <c r="BQ322" i="18"/>
  <c r="BQ323" i="18"/>
  <c r="BQ324" i="18"/>
  <c r="BQ325" i="18"/>
  <c r="BQ326" i="18"/>
  <c r="BQ327" i="18"/>
  <c r="BQ328" i="18"/>
  <c r="BQ329" i="18"/>
  <c r="BQ330" i="18"/>
  <c r="BQ331" i="18"/>
  <c r="BQ332" i="18"/>
  <c r="BQ333" i="18"/>
  <c r="BQ334" i="18"/>
  <c r="BQ335" i="18"/>
  <c r="BQ336" i="18"/>
  <c r="BQ337" i="18"/>
  <c r="BQ338" i="18"/>
  <c r="BR3" i="18"/>
  <c r="BR4" i="18"/>
  <c r="BR5" i="18"/>
  <c r="BR6" i="18"/>
  <c r="BR7" i="18"/>
  <c r="BR8" i="18"/>
  <c r="BR9" i="18"/>
  <c r="BR10" i="18"/>
  <c r="BR11" i="18"/>
  <c r="BR12" i="18"/>
  <c r="BR13" i="18"/>
  <c r="BR14" i="18"/>
  <c r="BR15" i="18"/>
  <c r="BR16" i="18"/>
  <c r="BR17" i="18"/>
  <c r="BR18" i="18"/>
  <c r="BR19" i="18"/>
  <c r="BR20" i="18"/>
  <c r="BR21" i="18"/>
  <c r="BR22" i="18"/>
  <c r="BR23" i="18"/>
  <c r="BR24" i="18"/>
  <c r="BR25" i="18"/>
  <c r="BR26" i="18"/>
  <c r="BR27" i="18"/>
  <c r="BR28" i="18"/>
  <c r="BR29" i="18"/>
  <c r="BR30" i="18"/>
  <c r="BR31" i="18"/>
  <c r="BR32" i="18"/>
  <c r="BR33" i="18"/>
  <c r="BR34" i="18"/>
  <c r="BR35" i="18"/>
  <c r="BR36" i="18"/>
  <c r="BR37" i="18"/>
  <c r="BR38" i="18"/>
  <c r="BR39" i="18"/>
  <c r="BR40" i="18"/>
  <c r="BR41" i="18"/>
  <c r="BR42" i="18"/>
  <c r="BR43" i="18"/>
  <c r="BR44" i="18"/>
  <c r="BR45" i="18"/>
  <c r="BR46" i="18"/>
  <c r="BR47" i="18"/>
  <c r="BR48" i="18"/>
  <c r="BR49" i="18"/>
  <c r="BR50" i="18"/>
  <c r="BR51" i="18"/>
  <c r="BR52" i="18"/>
  <c r="BR53" i="18"/>
  <c r="BR54" i="18"/>
  <c r="BR55" i="18"/>
  <c r="BR56" i="18"/>
  <c r="BR57" i="18"/>
  <c r="BR58" i="18"/>
  <c r="BR59" i="18"/>
  <c r="BR60" i="18"/>
  <c r="BR61" i="18"/>
  <c r="BR62" i="18"/>
  <c r="BR63" i="18"/>
  <c r="BR64" i="18"/>
  <c r="BR65" i="18"/>
  <c r="BR66" i="18"/>
  <c r="BR67" i="18"/>
  <c r="BR68" i="18"/>
  <c r="BR69" i="18"/>
  <c r="BR70" i="18"/>
  <c r="BR71" i="18"/>
  <c r="BR72" i="18"/>
  <c r="BR73" i="18"/>
  <c r="BR74" i="18"/>
  <c r="BR75" i="18"/>
  <c r="BR76" i="18"/>
  <c r="BR77" i="18"/>
  <c r="BR78" i="18"/>
  <c r="BR79" i="18"/>
  <c r="BR80" i="18"/>
  <c r="BR81" i="18"/>
  <c r="BR82" i="18"/>
  <c r="BR83" i="18"/>
  <c r="BR84" i="18"/>
  <c r="BR85" i="18"/>
  <c r="BR86" i="18"/>
  <c r="BR87" i="18"/>
  <c r="BR88" i="18"/>
  <c r="BR89" i="18"/>
  <c r="BR90" i="18"/>
  <c r="BR91" i="18"/>
  <c r="BR92" i="18"/>
  <c r="BR93" i="18"/>
  <c r="BR94" i="18"/>
  <c r="BR95" i="18"/>
  <c r="BR96" i="18"/>
  <c r="BR97" i="18"/>
  <c r="BR98" i="18"/>
  <c r="BR99" i="18"/>
  <c r="BR100" i="18"/>
  <c r="BR101" i="18"/>
  <c r="BR102" i="18"/>
  <c r="BR103" i="18"/>
  <c r="BR104" i="18"/>
  <c r="BR105" i="18"/>
  <c r="BR106" i="18"/>
  <c r="BR107" i="18"/>
  <c r="BR108" i="18"/>
  <c r="BR109" i="18"/>
  <c r="BR110" i="18"/>
  <c r="BR111" i="18"/>
  <c r="BR112" i="18"/>
  <c r="BR113" i="18"/>
  <c r="BR114" i="18"/>
  <c r="BR115" i="18"/>
  <c r="BR116" i="18"/>
  <c r="BR117" i="18"/>
  <c r="BR118" i="18"/>
  <c r="BR119" i="18"/>
  <c r="BR120" i="18"/>
  <c r="BR121" i="18"/>
  <c r="BR122" i="18"/>
  <c r="BR123" i="18"/>
  <c r="BR124" i="18"/>
  <c r="BR125" i="18"/>
  <c r="BR126" i="18"/>
  <c r="BR127" i="18"/>
  <c r="BR128" i="18"/>
  <c r="BR129" i="18"/>
  <c r="BR130" i="18"/>
  <c r="BR131" i="18"/>
  <c r="BR132" i="18"/>
  <c r="BR133" i="18"/>
  <c r="BR134" i="18"/>
  <c r="BR135" i="18"/>
  <c r="BR136" i="18"/>
  <c r="BR137" i="18"/>
  <c r="BR138" i="18"/>
  <c r="BR139" i="18"/>
  <c r="BR140" i="18"/>
  <c r="BR141" i="18"/>
  <c r="BR142" i="18"/>
  <c r="BR143" i="18"/>
  <c r="BR144" i="18"/>
  <c r="BR145" i="18"/>
  <c r="BR146" i="18"/>
  <c r="BR147" i="18"/>
  <c r="BR148" i="18"/>
  <c r="BR149" i="18"/>
  <c r="BR150" i="18"/>
  <c r="BR151" i="18"/>
  <c r="BR152" i="18"/>
  <c r="BR153" i="18"/>
  <c r="BR154" i="18"/>
  <c r="BR155" i="18"/>
  <c r="BR156" i="18"/>
  <c r="BR157" i="18"/>
  <c r="BR158" i="18"/>
  <c r="BR159" i="18"/>
  <c r="BR160" i="18"/>
  <c r="BR161" i="18"/>
  <c r="BR162" i="18"/>
  <c r="BR163" i="18"/>
  <c r="BR164" i="18"/>
  <c r="BR165" i="18"/>
  <c r="BR166" i="18"/>
  <c r="BR167" i="18"/>
  <c r="BR168" i="18"/>
  <c r="BR169" i="18"/>
  <c r="BR170" i="18"/>
  <c r="BR171" i="18"/>
  <c r="BR172" i="18"/>
  <c r="BR173" i="18"/>
  <c r="BR174" i="18"/>
  <c r="BR175" i="18"/>
  <c r="BR176" i="18"/>
  <c r="BR177" i="18"/>
  <c r="BR178" i="18"/>
  <c r="BR179" i="18"/>
  <c r="BR180" i="18"/>
  <c r="BR181" i="18"/>
  <c r="BR182" i="18"/>
  <c r="BR183" i="18"/>
  <c r="BR184" i="18"/>
  <c r="BR185" i="18"/>
  <c r="BR186" i="18"/>
  <c r="BR187" i="18"/>
  <c r="BR188" i="18"/>
  <c r="BR189" i="18"/>
  <c r="BR190" i="18"/>
  <c r="BR191" i="18"/>
  <c r="BR192" i="18"/>
  <c r="BR193" i="18"/>
  <c r="BR194" i="18"/>
  <c r="BR195" i="18"/>
  <c r="BR196" i="18"/>
  <c r="BR197" i="18"/>
  <c r="BR198" i="18"/>
  <c r="BR199" i="18"/>
  <c r="BR200" i="18"/>
  <c r="BR201" i="18"/>
  <c r="BR202" i="18"/>
  <c r="BR203" i="18"/>
  <c r="BR204" i="18"/>
  <c r="BR205" i="18"/>
  <c r="BR206" i="18"/>
  <c r="BR207" i="18"/>
  <c r="BR208" i="18"/>
  <c r="BR209" i="18"/>
  <c r="BR210" i="18"/>
  <c r="BR211" i="18"/>
  <c r="BR212" i="18"/>
  <c r="BR213" i="18"/>
  <c r="BR214" i="18"/>
  <c r="BR215" i="18"/>
  <c r="BR216" i="18"/>
  <c r="BR217" i="18"/>
  <c r="BR218" i="18"/>
  <c r="BR219" i="18"/>
  <c r="BR220" i="18"/>
  <c r="BR221" i="18"/>
  <c r="BR222" i="18"/>
  <c r="BR223" i="18"/>
  <c r="BR224" i="18"/>
  <c r="BR225" i="18"/>
  <c r="BR226" i="18"/>
  <c r="BR227" i="18"/>
  <c r="BR228" i="18"/>
  <c r="BR229" i="18"/>
  <c r="BR230" i="18"/>
  <c r="BR231" i="18"/>
  <c r="BR232" i="18"/>
  <c r="BR233" i="18"/>
  <c r="BR234" i="18"/>
  <c r="BR235" i="18"/>
  <c r="BR236" i="18"/>
  <c r="BR237" i="18"/>
  <c r="BR238" i="18"/>
  <c r="BR239" i="18"/>
  <c r="BR240" i="18"/>
  <c r="BR241" i="18"/>
  <c r="BR242" i="18"/>
  <c r="BR243" i="18"/>
  <c r="BR244" i="18"/>
  <c r="BR245" i="18"/>
  <c r="BR246" i="18"/>
  <c r="BR247" i="18"/>
  <c r="BR248" i="18"/>
  <c r="BR249" i="18"/>
  <c r="BR250" i="18"/>
  <c r="BR251" i="18"/>
  <c r="BR252" i="18"/>
  <c r="BR253" i="18"/>
  <c r="BR254" i="18"/>
  <c r="BR255" i="18"/>
  <c r="BR256" i="18"/>
  <c r="BR257" i="18"/>
  <c r="BR258" i="18"/>
  <c r="BR259" i="18"/>
  <c r="BR260" i="18"/>
  <c r="BR261" i="18"/>
  <c r="BR262" i="18"/>
  <c r="BR263" i="18"/>
  <c r="BR264" i="18"/>
  <c r="BR265" i="18"/>
  <c r="BR266" i="18"/>
  <c r="BR267" i="18"/>
  <c r="BR268" i="18"/>
  <c r="BR269" i="18"/>
  <c r="BR270" i="18"/>
  <c r="BR271" i="18"/>
  <c r="BR272" i="18"/>
  <c r="BR273" i="18"/>
  <c r="BR274" i="18"/>
  <c r="BR275" i="18"/>
  <c r="BR276" i="18"/>
  <c r="BR277" i="18"/>
  <c r="BR278" i="18"/>
  <c r="BR279" i="18"/>
  <c r="BR280" i="18"/>
  <c r="BR281" i="18"/>
  <c r="BR282" i="18"/>
  <c r="BR283" i="18"/>
  <c r="BR284" i="18"/>
  <c r="BR285" i="18"/>
  <c r="BR286" i="18"/>
  <c r="BR287" i="18"/>
  <c r="BR288" i="18"/>
  <c r="BR289" i="18"/>
  <c r="BR290" i="18"/>
  <c r="BR291" i="18"/>
  <c r="BR292" i="18"/>
  <c r="BR293" i="18"/>
  <c r="BR294" i="18"/>
  <c r="BR295" i="18"/>
  <c r="BR296" i="18"/>
  <c r="BR297" i="18"/>
  <c r="BR298" i="18"/>
  <c r="BR299" i="18"/>
  <c r="BR300" i="18"/>
  <c r="BR301" i="18"/>
  <c r="BR302" i="18"/>
  <c r="BR303" i="18"/>
  <c r="BR304" i="18"/>
  <c r="BR305" i="18"/>
  <c r="BR306" i="18"/>
  <c r="BR307" i="18"/>
  <c r="BR308" i="18"/>
  <c r="BR309" i="18"/>
  <c r="BR310" i="18"/>
  <c r="BR311" i="18"/>
  <c r="BR312" i="18"/>
  <c r="BR313" i="18"/>
  <c r="BR314" i="18"/>
  <c r="BR315" i="18"/>
  <c r="BR316" i="18"/>
  <c r="BR317" i="18"/>
  <c r="BR318" i="18"/>
  <c r="BR319" i="18"/>
  <c r="BR320" i="18"/>
  <c r="BR321" i="18"/>
  <c r="BR322" i="18"/>
  <c r="BR323" i="18"/>
  <c r="BR324" i="18"/>
  <c r="BR325" i="18"/>
  <c r="BR326" i="18"/>
  <c r="BR327" i="18"/>
  <c r="BR328" i="18"/>
  <c r="BR329" i="18"/>
  <c r="BR330" i="18"/>
  <c r="BR331" i="18"/>
  <c r="BR332" i="18"/>
  <c r="BR333" i="18"/>
  <c r="BR334" i="18"/>
  <c r="BR335" i="18"/>
  <c r="BR336" i="18"/>
  <c r="BR337" i="18"/>
  <c r="BR338" i="18"/>
  <c r="BS3" i="18"/>
  <c r="BS4" i="18"/>
  <c r="BS5" i="18"/>
  <c r="BS6" i="18"/>
  <c r="BS7" i="18"/>
  <c r="BS8" i="18"/>
  <c r="BS9" i="18"/>
  <c r="BS10" i="18"/>
  <c r="BS11" i="18"/>
  <c r="BS12" i="18"/>
  <c r="BS13" i="18"/>
  <c r="BS14" i="18"/>
  <c r="BS15" i="18"/>
  <c r="BS16" i="18"/>
  <c r="BS17" i="18"/>
  <c r="BS18" i="18"/>
  <c r="BS19" i="18"/>
  <c r="BS20" i="18"/>
  <c r="BS21" i="18"/>
  <c r="BS22" i="18"/>
  <c r="BS23" i="18"/>
  <c r="BS24" i="18"/>
  <c r="BS25" i="18"/>
  <c r="BS26" i="18"/>
  <c r="BS27" i="18"/>
  <c r="BS28" i="18"/>
  <c r="BS29" i="18"/>
  <c r="BS30" i="18"/>
  <c r="BS31" i="18"/>
  <c r="BS32" i="18"/>
  <c r="BS33" i="18"/>
  <c r="BS34" i="18"/>
  <c r="BS35" i="18"/>
  <c r="BS36" i="18"/>
  <c r="BS37" i="18"/>
  <c r="BS38" i="18"/>
  <c r="BS39" i="18"/>
  <c r="BS40" i="18"/>
  <c r="BS41" i="18"/>
  <c r="BS42" i="18"/>
  <c r="BS43" i="18"/>
  <c r="BS44" i="18"/>
  <c r="BS45" i="18"/>
  <c r="BS46" i="18"/>
  <c r="BS47" i="18"/>
  <c r="BS48" i="18"/>
  <c r="BS49" i="18"/>
  <c r="BS50" i="18"/>
  <c r="BS51" i="18"/>
  <c r="BS52" i="18"/>
  <c r="BS53" i="18"/>
  <c r="BS54" i="18"/>
  <c r="BS55" i="18"/>
  <c r="BS56" i="18"/>
  <c r="BS57" i="18"/>
  <c r="BS58" i="18"/>
  <c r="BS59" i="18"/>
  <c r="BS60" i="18"/>
  <c r="BS61" i="18"/>
  <c r="BS62" i="18"/>
  <c r="BS63" i="18"/>
  <c r="BS64" i="18"/>
  <c r="BS65" i="18"/>
  <c r="BS66" i="18"/>
  <c r="BS67" i="18"/>
  <c r="BS68" i="18"/>
  <c r="BS69" i="18"/>
  <c r="BS70" i="18"/>
  <c r="BS71" i="18"/>
  <c r="BS72" i="18"/>
  <c r="BS73" i="18"/>
  <c r="BS74" i="18"/>
  <c r="BS75" i="18"/>
  <c r="BS76" i="18"/>
  <c r="BS77" i="18"/>
  <c r="BS78" i="18"/>
  <c r="BS79" i="18"/>
  <c r="BS80" i="18"/>
  <c r="BS81" i="18"/>
  <c r="BS82" i="18"/>
  <c r="BS83" i="18"/>
  <c r="BS84" i="18"/>
  <c r="BS85" i="18"/>
  <c r="BS86" i="18"/>
  <c r="BS87" i="18"/>
  <c r="BS88" i="18"/>
  <c r="BS89" i="18"/>
  <c r="BS90" i="18"/>
  <c r="BS91" i="18"/>
  <c r="BS92" i="18"/>
  <c r="BS93" i="18"/>
  <c r="BS94" i="18"/>
  <c r="BS95" i="18"/>
  <c r="BS96" i="18"/>
  <c r="BS97" i="18"/>
  <c r="BS98" i="18"/>
  <c r="BS99" i="18"/>
  <c r="BS100" i="18"/>
  <c r="BS101" i="18"/>
  <c r="BS102" i="18"/>
  <c r="BS103" i="18"/>
  <c r="BS104" i="18"/>
  <c r="BS105" i="18"/>
  <c r="BS106" i="18"/>
  <c r="BS107" i="18"/>
  <c r="BS108" i="18"/>
  <c r="BS109" i="18"/>
  <c r="BS110" i="18"/>
  <c r="BS111" i="18"/>
  <c r="BS112" i="18"/>
  <c r="BS113" i="18"/>
  <c r="BS114" i="18"/>
  <c r="BS115" i="18"/>
  <c r="BS116" i="18"/>
  <c r="BS117" i="18"/>
  <c r="BS118" i="18"/>
  <c r="BS119" i="18"/>
  <c r="BS120" i="18"/>
  <c r="BS121" i="18"/>
  <c r="BS122" i="18"/>
  <c r="BS123" i="18"/>
  <c r="BS124" i="18"/>
  <c r="BS125" i="18"/>
  <c r="BS126" i="18"/>
  <c r="BS127" i="18"/>
  <c r="BS128" i="18"/>
  <c r="BS129" i="18"/>
  <c r="BS130" i="18"/>
  <c r="BS131" i="18"/>
  <c r="BS132" i="18"/>
  <c r="BS133" i="18"/>
  <c r="BS134" i="18"/>
  <c r="BS135" i="18"/>
  <c r="BS136" i="18"/>
  <c r="BS137" i="18"/>
  <c r="BS138" i="18"/>
  <c r="BS139" i="18"/>
  <c r="BS140" i="18"/>
  <c r="BS141" i="18"/>
  <c r="BS142" i="18"/>
  <c r="BS143" i="18"/>
  <c r="BS144" i="18"/>
  <c r="BS145" i="18"/>
  <c r="BS146" i="18"/>
  <c r="BS147" i="18"/>
  <c r="BS148" i="18"/>
  <c r="BS149" i="18"/>
  <c r="BS150" i="18"/>
  <c r="BS151" i="18"/>
  <c r="BS152" i="18"/>
  <c r="BS153" i="18"/>
  <c r="BS154" i="18"/>
  <c r="BS155" i="18"/>
  <c r="BS156" i="18"/>
  <c r="BS157" i="18"/>
  <c r="BS158" i="18"/>
  <c r="BS159" i="18"/>
  <c r="BS160" i="18"/>
  <c r="BS161" i="18"/>
  <c r="BS162" i="18"/>
  <c r="BS163" i="18"/>
  <c r="BS164" i="18"/>
  <c r="BS165" i="18"/>
  <c r="BS166" i="18"/>
  <c r="BS167" i="18"/>
  <c r="BS168" i="18"/>
  <c r="BS169" i="18"/>
  <c r="BS170" i="18"/>
  <c r="BS171" i="18"/>
  <c r="BS172" i="18"/>
  <c r="BS173" i="18"/>
  <c r="BS174" i="18"/>
  <c r="BS175" i="18"/>
  <c r="BS176" i="18"/>
  <c r="BS177" i="18"/>
  <c r="BS178" i="18"/>
  <c r="BS179" i="18"/>
  <c r="BS180" i="18"/>
  <c r="BS181" i="18"/>
  <c r="BS182" i="18"/>
  <c r="BS183" i="18"/>
  <c r="BS184" i="18"/>
  <c r="BS185" i="18"/>
  <c r="BS186" i="18"/>
  <c r="BS187" i="18"/>
  <c r="BS188" i="18"/>
  <c r="BS189" i="18"/>
  <c r="BS190" i="18"/>
  <c r="BS191" i="18"/>
  <c r="BS192" i="18"/>
  <c r="BS193" i="18"/>
  <c r="BS194" i="18"/>
  <c r="BS195" i="18"/>
  <c r="BS196" i="18"/>
  <c r="BS197" i="18"/>
  <c r="BS198" i="18"/>
  <c r="BS199" i="18"/>
  <c r="BS200" i="18"/>
  <c r="BS201" i="18"/>
  <c r="BS202" i="18"/>
  <c r="BS203" i="18"/>
  <c r="BS204" i="18"/>
  <c r="BS205" i="18"/>
  <c r="BS206" i="18"/>
  <c r="BS207" i="18"/>
  <c r="BS208" i="18"/>
  <c r="BS209" i="18"/>
  <c r="BS210" i="18"/>
  <c r="BS211" i="18"/>
  <c r="BS212" i="18"/>
  <c r="BS213" i="18"/>
  <c r="BS214" i="18"/>
  <c r="BS215" i="18"/>
  <c r="BS216" i="18"/>
  <c r="BS217" i="18"/>
  <c r="BS218" i="18"/>
  <c r="BS219" i="18"/>
  <c r="BS220" i="18"/>
  <c r="BS221" i="18"/>
  <c r="BS222" i="18"/>
  <c r="BS223" i="18"/>
  <c r="BS224" i="18"/>
  <c r="BS225" i="18"/>
  <c r="BS226" i="18"/>
  <c r="BS227" i="18"/>
  <c r="BS228" i="18"/>
  <c r="BS229" i="18"/>
  <c r="BS230" i="18"/>
  <c r="BS231" i="18"/>
  <c r="BS232" i="18"/>
  <c r="BS233" i="18"/>
  <c r="BS234" i="18"/>
  <c r="BS235" i="18"/>
  <c r="BS236" i="18"/>
  <c r="BS237" i="18"/>
  <c r="BS238" i="18"/>
  <c r="BS239" i="18"/>
  <c r="BS240" i="18"/>
  <c r="BS241" i="18"/>
  <c r="BS242" i="18"/>
  <c r="BS243" i="18"/>
  <c r="BS244" i="18"/>
  <c r="BS245" i="18"/>
  <c r="BS246" i="18"/>
  <c r="BS247" i="18"/>
  <c r="BS248" i="18"/>
  <c r="BS249" i="18"/>
  <c r="BS250" i="18"/>
  <c r="BS251" i="18"/>
  <c r="BS252" i="18"/>
  <c r="BS253" i="18"/>
  <c r="BS254" i="18"/>
  <c r="BS255" i="18"/>
  <c r="BS256" i="18"/>
  <c r="BS257" i="18"/>
  <c r="BS258" i="18"/>
  <c r="BS259" i="18"/>
  <c r="BS260" i="18"/>
  <c r="BS261" i="18"/>
  <c r="BS262" i="18"/>
  <c r="BS263" i="18"/>
  <c r="BS264" i="18"/>
  <c r="BS265" i="18"/>
  <c r="BS266" i="18"/>
  <c r="BS267" i="18"/>
  <c r="BS268" i="18"/>
  <c r="BS269" i="18"/>
  <c r="BS270" i="18"/>
  <c r="BS271" i="18"/>
  <c r="BS272" i="18"/>
  <c r="BS273" i="18"/>
  <c r="BS274" i="18"/>
  <c r="BS275" i="18"/>
  <c r="BS276" i="18"/>
  <c r="BS277" i="18"/>
  <c r="BS278" i="18"/>
  <c r="BS279" i="18"/>
  <c r="BS280" i="18"/>
  <c r="BS281" i="18"/>
  <c r="BS282" i="18"/>
  <c r="BS283" i="18"/>
  <c r="BS284" i="18"/>
  <c r="BS285" i="18"/>
  <c r="BS286" i="18"/>
  <c r="BS287" i="18"/>
  <c r="BS288" i="18"/>
  <c r="BS289" i="18"/>
  <c r="BS290" i="18"/>
  <c r="BS291" i="18"/>
  <c r="BS292" i="18"/>
  <c r="BS293" i="18"/>
  <c r="BS294" i="18"/>
  <c r="BS295" i="18"/>
  <c r="BS296" i="18"/>
  <c r="BS297" i="18"/>
  <c r="BS298" i="18"/>
  <c r="BS299" i="18"/>
  <c r="BS300" i="18"/>
  <c r="BS301" i="18"/>
  <c r="BS302" i="18"/>
  <c r="BS303" i="18"/>
  <c r="BS304" i="18"/>
  <c r="BS305" i="18"/>
  <c r="BS306" i="18"/>
  <c r="BS307" i="18"/>
  <c r="BS308" i="18"/>
  <c r="BS309" i="18"/>
  <c r="BS310" i="18"/>
  <c r="BS311" i="18"/>
  <c r="BS312" i="18"/>
  <c r="BS313" i="18"/>
  <c r="BS314" i="18"/>
  <c r="BS315" i="18"/>
  <c r="BS316" i="18"/>
  <c r="BS317" i="18"/>
  <c r="BS318" i="18"/>
  <c r="BS319" i="18"/>
  <c r="BS320" i="18"/>
  <c r="BS321" i="18"/>
  <c r="BS322" i="18"/>
  <c r="BS323" i="18"/>
  <c r="BS324" i="18"/>
  <c r="BS325" i="18"/>
  <c r="BS326" i="18"/>
  <c r="BS327" i="18"/>
  <c r="BS328" i="18"/>
  <c r="BS329" i="18"/>
  <c r="BS330" i="18"/>
  <c r="BS331" i="18"/>
  <c r="BS332" i="18"/>
  <c r="BS333" i="18"/>
  <c r="BS334" i="18"/>
  <c r="BS335" i="18"/>
  <c r="BS336" i="18"/>
  <c r="BS337" i="18"/>
  <c r="BS338" i="18"/>
  <c r="BT3" i="18"/>
  <c r="BT4" i="18"/>
  <c r="BT5" i="18"/>
  <c r="BT6" i="18"/>
  <c r="BT7" i="18"/>
  <c r="BT8" i="18"/>
  <c r="BT9" i="18"/>
  <c r="BT10" i="18"/>
  <c r="BT11" i="18"/>
  <c r="BT12" i="18"/>
  <c r="BT13" i="18"/>
  <c r="BT14" i="18"/>
  <c r="BT15" i="18"/>
  <c r="BT16" i="18"/>
  <c r="BT17" i="18"/>
  <c r="BT18" i="18"/>
  <c r="BT19" i="18"/>
  <c r="BT20" i="18"/>
  <c r="BT21" i="18"/>
  <c r="BT22" i="18"/>
  <c r="BT23" i="18"/>
  <c r="BT24" i="18"/>
  <c r="BT25" i="18"/>
  <c r="BT26" i="18"/>
  <c r="BT27" i="18"/>
  <c r="BT28" i="18"/>
  <c r="BT29" i="18"/>
  <c r="BT30" i="18"/>
  <c r="BT31" i="18"/>
  <c r="BT32" i="18"/>
  <c r="BT33" i="18"/>
  <c r="BT34" i="18"/>
  <c r="BT35" i="18"/>
  <c r="BT36" i="18"/>
  <c r="BT37" i="18"/>
  <c r="BT38" i="18"/>
  <c r="BT39" i="18"/>
  <c r="BT40" i="18"/>
  <c r="BT41" i="18"/>
  <c r="BT42" i="18"/>
  <c r="BT43" i="18"/>
  <c r="BT44" i="18"/>
  <c r="BT45" i="18"/>
  <c r="BT46" i="18"/>
  <c r="BT47" i="18"/>
  <c r="BT48" i="18"/>
  <c r="BT49" i="18"/>
  <c r="BT50" i="18"/>
  <c r="BT51" i="18"/>
  <c r="BT52" i="18"/>
  <c r="BT53" i="18"/>
  <c r="BT54" i="18"/>
  <c r="BT55" i="18"/>
  <c r="BT56" i="18"/>
  <c r="BT57" i="18"/>
  <c r="BT58" i="18"/>
  <c r="BT59" i="18"/>
  <c r="BT60" i="18"/>
  <c r="BT61" i="18"/>
  <c r="BT62" i="18"/>
  <c r="BT63" i="18"/>
  <c r="BT64" i="18"/>
  <c r="BT65" i="18"/>
  <c r="BT66" i="18"/>
  <c r="BT67" i="18"/>
  <c r="BT68" i="18"/>
  <c r="BT69" i="18"/>
  <c r="BT70" i="18"/>
  <c r="BT71" i="18"/>
  <c r="BT72" i="18"/>
  <c r="BT73" i="18"/>
  <c r="BT74" i="18"/>
  <c r="BT75" i="18"/>
  <c r="BT76" i="18"/>
  <c r="BT77" i="18"/>
  <c r="BT78" i="18"/>
  <c r="BT79" i="18"/>
  <c r="BT80" i="18"/>
  <c r="BT81" i="18"/>
  <c r="BT82" i="18"/>
  <c r="BT83" i="18"/>
  <c r="BT84" i="18"/>
  <c r="BT85" i="18"/>
  <c r="BT86" i="18"/>
  <c r="BT87" i="18"/>
  <c r="BT88" i="18"/>
  <c r="BT89" i="18"/>
  <c r="BT90" i="18"/>
  <c r="BT91" i="18"/>
  <c r="BT92" i="18"/>
  <c r="BT93" i="18"/>
  <c r="BT94" i="18"/>
  <c r="BT95" i="18"/>
  <c r="BT96" i="18"/>
  <c r="BT97" i="18"/>
  <c r="BT98" i="18"/>
  <c r="BT99" i="18"/>
  <c r="BT100" i="18"/>
  <c r="BT101" i="18"/>
  <c r="BT102" i="18"/>
  <c r="BT103" i="18"/>
  <c r="BT104" i="18"/>
  <c r="BT105" i="18"/>
  <c r="BT106" i="18"/>
  <c r="BT107" i="18"/>
  <c r="BT108" i="18"/>
  <c r="BT109" i="18"/>
  <c r="BT110" i="18"/>
  <c r="BT111" i="18"/>
  <c r="BT112" i="18"/>
  <c r="BT113" i="18"/>
  <c r="BT114" i="18"/>
  <c r="BT115" i="18"/>
  <c r="BT116" i="18"/>
  <c r="BT117" i="18"/>
  <c r="BT118" i="18"/>
  <c r="BT119" i="18"/>
  <c r="BT120" i="18"/>
  <c r="BT121" i="18"/>
  <c r="BT122" i="18"/>
  <c r="BT123" i="18"/>
  <c r="BT124" i="18"/>
  <c r="BT125" i="18"/>
  <c r="BT126" i="18"/>
  <c r="BT127" i="18"/>
  <c r="BT128" i="18"/>
  <c r="BT129" i="18"/>
  <c r="BT130" i="18"/>
  <c r="BT131" i="18"/>
  <c r="BT132" i="18"/>
  <c r="BT133" i="18"/>
  <c r="BT134" i="18"/>
  <c r="BT135" i="18"/>
  <c r="BT136" i="18"/>
  <c r="BT137" i="18"/>
  <c r="BT138" i="18"/>
  <c r="BT139" i="18"/>
  <c r="BT140" i="18"/>
  <c r="BT141" i="18"/>
  <c r="BT142" i="18"/>
  <c r="BT143" i="18"/>
  <c r="BT144" i="18"/>
  <c r="BT145" i="18"/>
  <c r="BT146" i="18"/>
  <c r="BT147" i="18"/>
  <c r="BT148" i="18"/>
  <c r="BT149" i="18"/>
  <c r="BT150" i="18"/>
  <c r="BT151" i="18"/>
  <c r="BT152" i="18"/>
  <c r="BT153" i="18"/>
  <c r="BT154" i="18"/>
  <c r="BT155" i="18"/>
  <c r="BT156" i="18"/>
  <c r="BT157" i="18"/>
  <c r="BT158" i="18"/>
  <c r="BT159" i="18"/>
  <c r="BT160" i="18"/>
  <c r="BT161" i="18"/>
  <c r="BT162" i="18"/>
  <c r="BT163" i="18"/>
  <c r="BT164" i="18"/>
  <c r="BT165" i="18"/>
  <c r="BT166" i="18"/>
  <c r="BT167" i="18"/>
  <c r="BT168" i="18"/>
  <c r="BT169" i="18"/>
  <c r="BT170" i="18"/>
  <c r="BT171" i="18"/>
  <c r="BT172" i="18"/>
  <c r="BT173" i="18"/>
  <c r="BT174" i="18"/>
  <c r="BT175" i="18"/>
  <c r="BT176" i="18"/>
  <c r="BT177" i="18"/>
  <c r="BT178" i="18"/>
  <c r="BT179" i="18"/>
  <c r="BT180" i="18"/>
  <c r="BT181" i="18"/>
  <c r="BT182" i="18"/>
  <c r="BT183" i="18"/>
  <c r="BT184" i="18"/>
  <c r="BT185" i="18"/>
  <c r="BT186" i="18"/>
  <c r="BT187" i="18"/>
  <c r="BT188" i="18"/>
  <c r="BT189" i="18"/>
  <c r="BT190" i="18"/>
  <c r="BT191" i="18"/>
  <c r="BT192" i="18"/>
  <c r="BT193" i="18"/>
  <c r="BT194" i="18"/>
  <c r="BT195" i="18"/>
  <c r="BT196" i="18"/>
  <c r="BT197" i="18"/>
  <c r="BT198" i="18"/>
  <c r="BT199" i="18"/>
  <c r="BT200" i="18"/>
  <c r="BT201" i="18"/>
  <c r="BT202" i="18"/>
  <c r="BT203" i="18"/>
  <c r="BT204" i="18"/>
  <c r="BT205" i="18"/>
  <c r="BT206" i="18"/>
  <c r="BT207" i="18"/>
  <c r="BT208" i="18"/>
  <c r="BT209" i="18"/>
  <c r="BT210" i="18"/>
  <c r="BT211" i="18"/>
  <c r="BT212" i="18"/>
  <c r="BT213" i="18"/>
  <c r="BT214" i="18"/>
  <c r="BT215" i="18"/>
  <c r="BT216" i="18"/>
  <c r="BT217" i="18"/>
  <c r="BT218" i="18"/>
  <c r="BT219" i="18"/>
  <c r="BT220" i="18"/>
  <c r="BT221" i="18"/>
  <c r="BT222" i="18"/>
  <c r="BT223" i="18"/>
  <c r="BT224" i="18"/>
  <c r="BT225" i="18"/>
  <c r="BT226" i="18"/>
  <c r="BT227" i="18"/>
  <c r="BT228" i="18"/>
  <c r="BT229" i="18"/>
  <c r="BT230" i="18"/>
  <c r="BT231" i="18"/>
  <c r="BT232" i="18"/>
  <c r="BT233" i="18"/>
  <c r="BT234" i="18"/>
  <c r="BT235" i="18"/>
  <c r="BT236" i="18"/>
  <c r="BT237" i="18"/>
  <c r="BT238" i="18"/>
  <c r="BT239" i="18"/>
  <c r="BT240" i="18"/>
  <c r="BT241" i="18"/>
  <c r="BT242" i="18"/>
  <c r="BT243" i="18"/>
  <c r="BT244" i="18"/>
  <c r="BT245" i="18"/>
  <c r="BT246" i="18"/>
  <c r="BT247" i="18"/>
  <c r="BT248" i="18"/>
  <c r="BT249" i="18"/>
  <c r="BT250" i="18"/>
  <c r="BT251" i="18"/>
  <c r="BT252" i="18"/>
  <c r="BT253" i="18"/>
  <c r="BT254" i="18"/>
  <c r="BT255" i="18"/>
  <c r="BT256" i="18"/>
  <c r="BT257" i="18"/>
  <c r="BT258" i="18"/>
  <c r="BT259" i="18"/>
  <c r="BT260" i="18"/>
  <c r="BT261" i="18"/>
  <c r="BT262" i="18"/>
  <c r="BT263" i="18"/>
  <c r="BT264" i="18"/>
  <c r="BT265" i="18"/>
  <c r="BT266" i="18"/>
  <c r="BT267" i="18"/>
  <c r="BT268" i="18"/>
  <c r="BT269" i="18"/>
  <c r="BT270" i="18"/>
  <c r="BT271" i="18"/>
  <c r="BT272" i="18"/>
  <c r="BT273" i="18"/>
  <c r="BT274" i="18"/>
  <c r="BT275" i="18"/>
  <c r="BT276" i="18"/>
  <c r="BT277" i="18"/>
  <c r="BT278" i="18"/>
  <c r="BT279" i="18"/>
  <c r="BT280" i="18"/>
  <c r="BT281" i="18"/>
  <c r="BT282" i="18"/>
  <c r="BT283" i="18"/>
  <c r="BT284" i="18"/>
  <c r="BT285" i="18"/>
  <c r="BT286" i="18"/>
  <c r="BT287" i="18"/>
  <c r="BT288" i="18"/>
  <c r="BT289" i="18"/>
  <c r="BT290" i="18"/>
  <c r="BT291" i="18"/>
  <c r="BT292" i="18"/>
  <c r="BT293" i="18"/>
  <c r="BT294" i="18"/>
  <c r="BT295" i="18"/>
  <c r="BT296" i="18"/>
  <c r="BT297" i="18"/>
  <c r="BT298" i="18"/>
  <c r="BT299" i="18"/>
  <c r="BT300" i="18"/>
  <c r="BT301" i="18"/>
  <c r="BT302" i="18"/>
  <c r="BT303" i="18"/>
  <c r="BT304" i="18"/>
  <c r="BT305" i="18"/>
  <c r="BT306" i="18"/>
  <c r="BT307" i="18"/>
  <c r="BT308" i="18"/>
  <c r="BT309" i="18"/>
  <c r="BT310" i="18"/>
  <c r="BT311" i="18"/>
  <c r="BT312" i="18"/>
  <c r="BT313" i="18"/>
  <c r="BT314" i="18"/>
  <c r="BT315" i="18"/>
  <c r="BT316" i="18"/>
  <c r="BT317" i="18"/>
  <c r="BT318" i="18"/>
  <c r="BT319" i="18"/>
  <c r="BT320" i="18"/>
  <c r="BT321" i="18"/>
  <c r="BT322" i="18"/>
  <c r="BT323" i="18"/>
  <c r="BT324" i="18"/>
  <c r="BT325" i="18"/>
  <c r="BT326" i="18"/>
  <c r="BT327" i="18"/>
  <c r="BT328" i="18"/>
  <c r="BT329" i="18"/>
  <c r="BT330" i="18"/>
  <c r="BT331" i="18"/>
  <c r="BT332" i="18"/>
  <c r="BT333" i="18"/>
  <c r="BT334" i="18"/>
  <c r="BT335" i="18"/>
  <c r="BT336" i="18"/>
  <c r="BT337" i="18"/>
  <c r="BT338" i="18"/>
  <c r="BU3" i="18"/>
  <c r="BU4" i="18"/>
  <c r="BU5" i="18"/>
  <c r="BU6" i="18"/>
  <c r="BU7" i="18"/>
  <c r="BU8" i="18"/>
  <c r="BU9" i="18"/>
  <c r="BU10" i="18"/>
  <c r="BU11" i="18"/>
  <c r="BU12" i="18"/>
  <c r="BU13" i="18"/>
  <c r="BU14" i="18"/>
  <c r="BU15" i="18"/>
  <c r="BU16" i="18"/>
  <c r="BU17" i="18"/>
  <c r="BU18" i="18"/>
  <c r="BU19" i="18"/>
  <c r="BU20" i="18"/>
  <c r="BU21" i="18"/>
  <c r="BU22" i="18"/>
  <c r="BU23" i="18"/>
  <c r="BU24" i="18"/>
  <c r="BU25" i="18"/>
  <c r="BU26" i="18"/>
  <c r="BU27" i="18"/>
  <c r="BU28" i="18"/>
  <c r="BU29" i="18"/>
  <c r="BU30" i="18"/>
  <c r="BU31" i="18"/>
  <c r="BU32" i="18"/>
  <c r="BU33" i="18"/>
  <c r="BU34" i="18"/>
  <c r="BU35" i="18"/>
  <c r="BU36" i="18"/>
  <c r="BU37" i="18"/>
  <c r="BU38" i="18"/>
  <c r="BU39" i="18"/>
  <c r="BU40" i="18"/>
  <c r="BU41" i="18"/>
  <c r="BU42" i="18"/>
  <c r="BU43" i="18"/>
  <c r="BU44" i="18"/>
  <c r="BU45" i="18"/>
  <c r="BU46" i="18"/>
  <c r="BU47" i="18"/>
  <c r="BU48" i="18"/>
  <c r="BU49" i="18"/>
  <c r="BU50" i="18"/>
  <c r="BU51" i="18"/>
  <c r="BU52" i="18"/>
  <c r="BU53" i="18"/>
  <c r="BU54" i="18"/>
  <c r="BU55" i="18"/>
  <c r="BU56" i="18"/>
  <c r="BU57" i="18"/>
  <c r="BU58" i="18"/>
  <c r="BU59" i="18"/>
  <c r="BU60" i="18"/>
  <c r="BU61" i="18"/>
  <c r="BU62" i="18"/>
  <c r="BU63" i="18"/>
  <c r="BU64" i="18"/>
  <c r="BU65" i="18"/>
  <c r="BU66" i="18"/>
  <c r="BU67" i="18"/>
  <c r="BU68" i="18"/>
  <c r="BU69" i="18"/>
  <c r="BU70" i="18"/>
  <c r="BU71" i="18"/>
  <c r="BU72" i="18"/>
  <c r="BU73" i="18"/>
  <c r="BU74" i="18"/>
  <c r="BU75" i="18"/>
  <c r="BU76" i="18"/>
  <c r="BU77" i="18"/>
  <c r="BU78" i="18"/>
  <c r="BU79" i="18"/>
  <c r="BU80" i="18"/>
  <c r="BU81" i="18"/>
  <c r="BU82" i="18"/>
  <c r="BU83" i="18"/>
  <c r="BU84" i="18"/>
  <c r="BU85" i="18"/>
  <c r="BU86" i="18"/>
  <c r="BU87" i="18"/>
  <c r="BU88" i="18"/>
  <c r="BU89" i="18"/>
  <c r="BU90" i="18"/>
  <c r="BU91" i="18"/>
  <c r="BU92" i="18"/>
  <c r="BU93" i="18"/>
  <c r="BU94" i="18"/>
  <c r="BU95" i="18"/>
  <c r="BU96" i="18"/>
  <c r="BU97" i="18"/>
  <c r="BU98" i="18"/>
  <c r="BU99" i="18"/>
  <c r="BU100" i="18"/>
  <c r="BU101" i="18"/>
  <c r="BU102" i="18"/>
  <c r="BU103" i="18"/>
  <c r="BU104" i="18"/>
  <c r="BU105" i="18"/>
  <c r="BU106" i="18"/>
  <c r="BU107" i="18"/>
  <c r="BU108" i="18"/>
  <c r="BU109" i="18"/>
  <c r="BU110" i="18"/>
  <c r="BU111" i="18"/>
  <c r="BU112" i="18"/>
  <c r="BU113" i="18"/>
  <c r="BU114" i="18"/>
  <c r="BU115" i="18"/>
  <c r="BU116" i="18"/>
  <c r="BU117" i="18"/>
  <c r="BU118" i="18"/>
  <c r="BU119" i="18"/>
  <c r="BU120" i="18"/>
  <c r="BU121" i="18"/>
  <c r="BU122" i="18"/>
  <c r="BU123" i="18"/>
  <c r="BU124" i="18"/>
  <c r="BU125" i="18"/>
  <c r="BU126" i="18"/>
  <c r="BU127" i="18"/>
  <c r="BU128" i="18"/>
  <c r="BU129" i="18"/>
  <c r="BU130" i="18"/>
  <c r="BU131" i="18"/>
  <c r="BU132" i="18"/>
  <c r="BU133" i="18"/>
  <c r="BU134" i="18"/>
  <c r="BU135" i="18"/>
  <c r="BU136" i="18"/>
  <c r="BU137" i="18"/>
  <c r="BU138" i="18"/>
  <c r="BU139" i="18"/>
  <c r="BU140" i="18"/>
  <c r="BU141" i="18"/>
  <c r="BU142" i="18"/>
  <c r="BU143" i="18"/>
  <c r="BU144" i="18"/>
  <c r="BU145" i="18"/>
  <c r="BU146" i="18"/>
  <c r="BU147" i="18"/>
  <c r="BU148" i="18"/>
  <c r="BU149" i="18"/>
  <c r="BU150" i="18"/>
  <c r="BU151" i="18"/>
  <c r="BU152" i="18"/>
  <c r="BU153" i="18"/>
  <c r="BU154" i="18"/>
  <c r="BU155" i="18"/>
  <c r="BU156" i="18"/>
  <c r="BU157" i="18"/>
  <c r="BU158" i="18"/>
  <c r="BU159" i="18"/>
  <c r="BU160" i="18"/>
  <c r="BU161" i="18"/>
  <c r="BU162" i="18"/>
  <c r="BU163" i="18"/>
  <c r="BU164" i="18"/>
  <c r="BU165" i="18"/>
  <c r="BU166" i="18"/>
  <c r="BU167" i="18"/>
  <c r="BU168" i="18"/>
  <c r="BU169" i="18"/>
  <c r="BU170" i="18"/>
  <c r="BU171" i="18"/>
  <c r="BU172" i="18"/>
  <c r="BU173" i="18"/>
  <c r="BU174" i="18"/>
  <c r="BU175" i="18"/>
  <c r="BU176" i="18"/>
  <c r="BU177" i="18"/>
  <c r="BU178" i="18"/>
  <c r="BU179" i="18"/>
  <c r="BU180" i="18"/>
  <c r="BU181" i="18"/>
  <c r="BU182" i="18"/>
  <c r="BU183" i="18"/>
  <c r="BU184" i="18"/>
  <c r="BU185" i="18"/>
  <c r="BU186" i="18"/>
  <c r="BU187" i="18"/>
  <c r="BU188" i="18"/>
  <c r="BU189" i="18"/>
  <c r="BU190" i="18"/>
  <c r="BU191" i="18"/>
  <c r="BU192" i="18"/>
  <c r="BU193" i="18"/>
  <c r="BU194" i="18"/>
  <c r="BU195" i="18"/>
  <c r="BU196" i="18"/>
  <c r="BU197" i="18"/>
  <c r="BU198" i="18"/>
  <c r="BU199" i="18"/>
  <c r="BU200" i="18"/>
  <c r="BU201" i="18"/>
  <c r="BU202" i="18"/>
  <c r="BU203" i="18"/>
  <c r="BU204" i="18"/>
  <c r="BU205" i="18"/>
  <c r="BU206" i="18"/>
  <c r="BU207" i="18"/>
  <c r="BU208" i="18"/>
  <c r="BU209" i="18"/>
  <c r="BU210" i="18"/>
  <c r="BU211" i="18"/>
  <c r="BU212" i="18"/>
  <c r="BU213" i="18"/>
  <c r="BU214" i="18"/>
  <c r="BU215" i="18"/>
  <c r="BU216" i="18"/>
  <c r="BU217" i="18"/>
  <c r="BU218" i="18"/>
  <c r="BU219" i="18"/>
  <c r="BU220" i="18"/>
  <c r="BU221" i="18"/>
  <c r="BU222" i="18"/>
  <c r="BU223" i="18"/>
  <c r="BU224" i="18"/>
  <c r="BU225" i="18"/>
  <c r="BU226" i="18"/>
  <c r="BU227" i="18"/>
  <c r="BU228" i="18"/>
  <c r="BU229" i="18"/>
  <c r="BU230" i="18"/>
  <c r="BU231" i="18"/>
  <c r="BU232" i="18"/>
  <c r="BU233" i="18"/>
  <c r="BU234" i="18"/>
  <c r="BU235" i="18"/>
  <c r="BU236" i="18"/>
  <c r="BU237" i="18"/>
  <c r="BU238" i="18"/>
  <c r="BU239" i="18"/>
  <c r="BU240" i="18"/>
  <c r="BU241" i="18"/>
  <c r="BU242" i="18"/>
  <c r="BU243" i="18"/>
  <c r="BU244" i="18"/>
  <c r="BU245" i="18"/>
  <c r="BU246" i="18"/>
  <c r="BU247" i="18"/>
  <c r="BU248" i="18"/>
  <c r="BU249" i="18"/>
  <c r="BU250" i="18"/>
  <c r="BU251" i="18"/>
  <c r="BU252" i="18"/>
  <c r="BU253" i="18"/>
  <c r="BU254" i="18"/>
  <c r="BU255" i="18"/>
  <c r="BU256" i="18"/>
  <c r="BU257" i="18"/>
  <c r="BU258" i="18"/>
  <c r="BU259" i="18"/>
  <c r="BU260" i="18"/>
  <c r="BU261" i="18"/>
  <c r="BU262" i="18"/>
  <c r="BU263" i="18"/>
  <c r="BU264" i="18"/>
  <c r="BU265" i="18"/>
  <c r="BU266" i="18"/>
  <c r="BU267" i="18"/>
  <c r="BU268" i="18"/>
  <c r="BU269" i="18"/>
  <c r="BU270" i="18"/>
  <c r="BU271" i="18"/>
  <c r="BU272" i="18"/>
  <c r="BU273" i="18"/>
  <c r="BU274" i="18"/>
  <c r="BU275" i="18"/>
  <c r="BU276" i="18"/>
  <c r="BU277" i="18"/>
  <c r="BU278" i="18"/>
  <c r="BU279" i="18"/>
  <c r="BU280" i="18"/>
  <c r="BU281" i="18"/>
  <c r="BU282" i="18"/>
  <c r="BU283" i="18"/>
  <c r="BU284" i="18"/>
  <c r="BU285" i="18"/>
  <c r="BU286" i="18"/>
  <c r="BU287" i="18"/>
  <c r="BU288" i="18"/>
  <c r="BU289" i="18"/>
  <c r="BU290" i="18"/>
  <c r="BU291" i="18"/>
  <c r="BU292" i="18"/>
  <c r="BU293" i="18"/>
  <c r="BU294" i="18"/>
  <c r="BU295" i="18"/>
  <c r="BU296" i="18"/>
  <c r="BU297" i="18"/>
  <c r="BU298" i="18"/>
  <c r="BU299" i="18"/>
  <c r="BU300" i="18"/>
  <c r="BU301" i="18"/>
  <c r="BU302" i="18"/>
  <c r="BU303" i="18"/>
  <c r="BU304" i="18"/>
  <c r="BU305" i="18"/>
  <c r="BU306" i="18"/>
  <c r="BU307" i="18"/>
  <c r="BU308" i="18"/>
  <c r="BU309" i="18"/>
  <c r="BU310" i="18"/>
  <c r="BU311" i="18"/>
  <c r="BU312" i="18"/>
  <c r="BU313" i="18"/>
  <c r="BU314" i="18"/>
  <c r="BU315" i="18"/>
  <c r="BU316" i="18"/>
  <c r="BU317" i="18"/>
  <c r="BU318" i="18"/>
  <c r="BU319" i="18"/>
  <c r="BU320" i="18"/>
  <c r="BU321" i="18"/>
  <c r="BU322" i="18"/>
  <c r="BU323" i="18"/>
  <c r="BU324" i="18"/>
  <c r="BU325" i="18"/>
  <c r="BU326" i="18"/>
  <c r="BU327" i="18"/>
  <c r="BU328" i="18"/>
  <c r="BU329" i="18"/>
  <c r="BU330" i="18"/>
  <c r="BU331" i="18"/>
  <c r="BU332" i="18"/>
  <c r="BU333" i="18"/>
  <c r="BU334" i="18"/>
  <c r="BU335" i="18"/>
  <c r="BU336" i="18"/>
  <c r="BU337" i="18"/>
  <c r="BU338" i="18"/>
  <c r="BV3" i="18"/>
  <c r="BV4" i="18"/>
  <c r="BV5" i="18"/>
  <c r="BV6" i="18"/>
  <c r="BV7" i="18"/>
  <c r="BV8" i="18"/>
  <c r="BV9" i="18"/>
  <c r="BV10" i="18"/>
  <c r="BV11" i="18"/>
  <c r="BV12" i="18"/>
  <c r="BV13" i="18"/>
  <c r="BV14" i="18"/>
  <c r="BV15" i="18"/>
  <c r="BV16" i="18"/>
  <c r="BV17" i="18"/>
  <c r="BV18" i="18"/>
  <c r="BV19" i="18"/>
  <c r="BV20" i="18"/>
  <c r="BV21" i="18"/>
  <c r="BV22" i="18"/>
  <c r="BV23" i="18"/>
  <c r="BV24" i="18"/>
  <c r="BV25" i="18"/>
  <c r="BV26" i="18"/>
  <c r="BV27" i="18"/>
  <c r="BV28" i="18"/>
  <c r="BV29" i="18"/>
  <c r="BV30" i="18"/>
  <c r="BV31" i="18"/>
  <c r="BV32" i="18"/>
  <c r="BV33" i="18"/>
  <c r="BV34" i="18"/>
  <c r="BV35" i="18"/>
  <c r="BV36" i="18"/>
  <c r="BV37" i="18"/>
  <c r="BV38" i="18"/>
  <c r="BV39" i="18"/>
  <c r="BV40" i="18"/>
  <c r="BV41" i="18"/>
  <c r="BV42" i="18"/>
  <c r="BV43" i="18"/>
  <c r="BV44" i="18"/>
  <c r="BV45" i="18"/>
  <c r="BV46" i="18"/>
  <c r="BV47" i="18"/>
  <c r="BV48" i="18"/>
  <c r="BV49" i="18"/>
  <c r="BV50" i="18"/>
  <c r="BV51" i="18"/>
  <c r="BV52" i="18"/>
  <c r="BV53" i="18"/>
  <c r="BV54" i="18"/>
  <c r="BV55" i="18"/>
  <c r="BV56" i="18"/>
  <c r="BV57" i="18"/>
  <c r="BV58" i="18"/>
  <c r="BV59" i="18"/>
  <c r="BV60" i="18"/>
  <c r="BV61" i="18"/>
  <c r="BV62" i="18"/>
  <c r="BV63" i="18"/>
  <c r="BV64" i="18"/>
  <c r="BV65" i="18"/>
  <c r="BV66" i="18"/>
  <c r="BV67" i="18"/>
  <c r="BV68" i="18"/>
  <c r="BV69" i="18"/>
  <c r="BV70" i="18"/>
  <c r="BV71" i="18"/>
  <c r="BV72" i="18"/>
  <c r="BV73" i="18"/>
  <c r="BV74" i="18"/>
  <c r="BV75" i="18"/>
  <c r="BV76" i="18"/>
  <c r="BV77" i="18"/>
  <c r="BV78" i="18"/>
  <c r="BV79" i="18"/>
  <c r="BV80" i="18"/>
  <c r="BV81" i="18"/>
  <c r="BV82" i="18"/>
  <c r="BV83" i="18"/>
  <c r="BV84" i="18"/>
  <c r="BV85" i="18"/>
  <c r="BV86" i="18"/>
  <c r="BV87" i="18"/>
  <c r="BV88" i="18"/>
  <c r="BV89" i="18"/>
  <c r="BV90" i="18"/>
  <c r="BV91" i="18"/>
  <c r="BV92" i="18"/>
  <c r="BV93" i="18"/>
  <c r="BV94" i="18"/>
  <c r="BV95" i="18"/>
  <c r="BV96" i="18"/>
  <c r="BV97" i="18"/>
  <c r="BV98" i="18"/>
  <c r="BV99" i="18"/>
  <c r="BV100" i="18"/>
  <c r="BV101" i="18"/>
  <c r="BV102" i="18"/>
  <c r="BV103" i="18"/>
  <c r="BV104" i="18"/>
  <c r="BV105" i="18"/>
  <c r="BV106" i="18"/>
  <c r="BV107" i="18"/>
  <c r="BV108" i="18"/>
  <c r="BV109" i="18"/>
  <c r="BV110" i="18"/>
  <c r="BV111" i="18"/>
  <c r="BV112" i="18"/>
  <c r="BV113" i="18"/>
  <c r="BV114" i="18"/>
  <c r="BV115" i="18"/>
  <c r="BV116" i="18"/>
  <c r="BV117" i="18"/>
  <c r="BV118" i="18"/>
  <c r="BV119" i="18"/>
  <c r="BV120" i="18"/>
  <c r="BV121" i="18"/>
  <c r="BV122" i="18"/>
  <c r="BV123" i="18"/>
  <c r="BV124" i="18"/>
  <c r="BV125" i="18"/>
  <c r="BV126" i="18"/>
  <c r="BV127" i="18"/>
  <c r="BV128" i="18"/>
  <c r="BV129" i="18"/>
  <c r="BV130" i="18"/>
  <c r="BV131" i="18"/>
  <c r="BV132" i="18"/>
  <c r="BV133" i="18"/>
  <c r="BV134" i="18"/>
  <c r="BV135" i="18"/>
  <c r="BV136" i="18"/>
  <c r="BV137" i="18"/>
  <c r="BV138" i="18"/>
  <c r="BV139" i="18"/>
  <c r="BV140" i="18"/>
  <c r="BV141" i="18"/>
  <c r="BV142" i="18"/>
  <c r="BV143" i="18"/>
  <c r="BV144" i="18"/>
  <c r="BV145" i="18"/>
  <c r="BV146" i="18"/>
  <c r="BV147" i="18"/>
  <c r="BV148" i="18"/>
  <c r="BV149" i="18"/>
  <c r="BV150" i="18"/>
  <c r="BV151" i="18"/>
  <c r="BV152" i="18"/>
  <c r="BV153" i="18"/>
  <c r="BV154" i="18"/>
  <c r="BV155" i="18"/>
  <c r="BV156" i="18"/>
  <c r="BV157" i="18"/>
  <c r="BV158" i="18"/>
  <c r="BV159" i="18"/>
  <c r="BV160" i="18"/>
  <c r="BV161" i="18"/>
  <c r="BV162" i="18"/>
  <c r="BV163" i="18"/>
  <c r="BV164" i="18"/>
  <c r="BV165" i="18"/>
  <c r="BV166" i="18"/>
  <c r="BV167" i="18"/>
  <c r="BV168" i="18"/>
  <c r="BV169" i="18"/>
  <c r="BV170" i="18"/>
  <c r="BV171" i="18"/>
  <c r="BV172" i="18"/>
  <c r="BV173" i="18"/>
  <c r="BV174" i="18"/>
  <c r="BV175" i="18"/>
  <c r="BV176" i="18"/>
  <c r="BV177" i="18"/>
  <c r="BV178" i="18"/>
  <c r="BV179" i="18"/>
  <c r="BV180" i="18"/>
  <c r="BV181" i="18"/>
  <c r="BV182" i="18"/>
  <c r="BV183" i="18"/>
  <c r="BV184" i="18"/>
  <c r="BV185" i="18"/>
  <c r="BV186" i="18"/>
  <c r="BV187" i="18"/>
  <c r="BV188" i="18"/>
  <c r="BV189" i="18"/>
  <c r="BV190" i="18"/>
  <c r="BV191" i="18"/>
  <c r="BV192" i="18"/>
  <c r="BV193" i="18"/>
  <c r="BV194" i="18"/>
  <c r="BV195" i="18"/>
  <c r="BV196" i="18"/>
  <c r="BV197" i="18"/>
  <c r="BV198" i="18"/>
  <c r="BV199" i="18"/>
  <c r="BV200" i="18"/>
  <c r="BV201" i="18"/>
  <c r="BV202" i="18"/>
  <c r="BV203" i="18"/>
  <c r="BV204" i="18"/>
  <c r="BV205" i="18"/>
  <c r="BV206" i="18"/>
  <c r="BV207" i="18"/>
  <c r="BV208" i="18"/>
  <c r="BV209" i="18"/>
  <c r="BV210" i="18"/>
  <c r="BV211" i="18"/>
  <c r="BV212" i="18"/>
  <c r="BV213" i="18"/>
  <c r="BV214" i="18"/>
  <c r="BV215" i="18"/>
  <c r="BV216" i="18"/>
  <c r="BV217" i="18"/>
  <c r="BV218" i="18"/>
  <c r="BV219" i="18"/>
  <c r="BV220" i="18"/>
  <c r="BV221" i="18"/>
  <c r="BV222" i="18"/>
  <c r="BV223" i="18"/>
  <c r="BV224" i="18"/>
  <c r="BV225" i="18"/>
  <c r="BV226" i="18"/>
  <c r="BV227" i="18"/>
  <c r="BV228" i="18"/>
  <c r="BV229" i="18"/>
  <c r="BV230" i="18"/>
  <c r="BV231" i="18"/>
  <c r="BV232" i="18"/>
  <c r="BV233" i="18"/>
  <c r="BV234" i="18"/>
  <c r="BV235" i="18"/>
  <c r="BV236" i="18"/>
  <c r="BV237" i="18"/>
  <c r="BV238" i="18"/>
  <c r="BV239" i="18"/>
  <c r="BV240" i="18"/>
  <c r="BV241" i="18"/>
  <c r="BV242" i="18"/>
  <c r="BV243" i="18"/>
  <c r="BV244" i="18"/>
  <c r="BV245" i="18"/>
  <c r="BV246" i="18"/>
  <c r="BV247" i="18"/>
  <c r="BV248" i="18"/>
  <c r="BV249" i="18"/>
  <c r="BV250" i="18"/>
  <c r="BV251" i="18"/>
  <c r="BV252" i="18"/>
  <c r="BV253" i="18"/>
  <c r="BV254" i="18"/>
  <c r="BV255" i="18"/>
  <c r="BV256" i="18"/>
  <c r="BV257" i="18"/>
  <c r="BV258" i="18"/>
  <c r="BV259" i="18"/>
  <c r="BV260" i="18"/>
  <c r="BV261" i="18"/>
  <c r="BV262" i="18"/>
  <c r="BV263" i="18"/>
  <c r="BV264" i="18"/>
  <c r="BV265" i="18"/>
  <c r="BV266" i="18"/>
  <c r="BV267" i="18"/>
  <c r="BV268" i="18"/>
  <c r="BV269" i="18"/>
  <c r="BV270" i="18"/>
  <c r="BV271" i="18"/>
  <c r="BV272" i="18"/>
  <c r="BV273" i="18"/>
  <c r="BV274" i="18"/>
  <c r="BV275" i="18"/>
  <c r="BV276" i="18"/>
  <c r="BV277" i="18"/>
  <c r="BV278" i="18"/>
  <c r="BV279" i="18"/>
  <c r="BV280" i="18"/>
  <c r="BV281" i="18"/>
  <c r="BV282" i="18"/>
  <c r="BV283" i="18"/>
  <c r="BV284" i="18"/>
  <c r="BV285" i="18"/>
  <c r="BV286" i="18"/>
  <c r="BV287" i="18"/>
  <c r="BV288" i="18"/>
  <c r="BV289" i="18"/>
  <c r="BV290" i="18"/>
  <c r="BV291" i="18"/>
  <c r="BV292" i="18"/>
  <c r="BV293" i="18"/>
  <c r="BV294" i="18"/>
  <c r="BV295" i="18"/>
  <c r="BV296" i="18"/>
  <c r="BV297" i="18"/>
  <c r="BV298" i="18"/>
  <c r="BV299" i="18"/>
  <c r="BV300" i="18"/>
  <c r="BV301" i="18"/>
  <c r="BV302" i="18"/>
  <c r="BV303" i="18"/>
  <c r="BV304" i="18"/>
  <c r="BV305" i="18"/>
  <c r="BV306" i="18"/>
  <c r="BV307" i="18"/>
  <c r="BV308" i="18"/>
  <c r="BV309" i="18"/>
  <c r="BV310" i="18"/>
  <c r="BV311" i="18"/>
  <c r="BV312" i="18"/>
  <c r="BV313" i="18"/>
  <c r="BV314" i="18"/>
  <c r="BV315" i="18"/>
  <c r="BV316" i="18"/>
  <c r="BV317" i="18"/>
  <c r="BV318" i="18"/>
  <c r="BV319" i="18"/>
  <c r="BV320" i="18"/>
  <c r="BV321" i="18"/>
  <c r="BV322" i="18"/>
  <c r="BV323" i="18"/>
  <c r="BV324" i="18"/>
  <c r="BV325" i="18"/>
  <c r="BV326" i="18"/>
  <c r="BV327" i="18"/>
  <c r="BV328" i="18"/>
  <c r="BV329" i="18"/>
  <c r="BV330" i="18"/>
  <c r="BV331" i="18"/>
  <c r="BV332" i="18"/>
  <c r="BV333" i="18"/>
  <c r="BV334" i="18"/>
  <c r="BV335" i="18"/>
  <c r="BV336" i="18"/>
  <c r="BV337" i="18"/>
  <c r="BV338" i="18"/>
  <c r="BW3" i="18"/>
  <c r="BW4" i="18"/>
  <c r="BW5" i="18"/>
  <c r="BW6" i="18"/>
  <c r="BW7" i="18"/>
  <c r="BW8" i="18"/>
  <c r="BW9" i="18"/>
  <c r="BW10" i="18"/>
  <c r="BW11" i="18"/>
  <c r="BW12" i="18"/>
  <c r="BW13" i="18"/>
  <c r="BW14" i="18"/>
  <c r="BW15" i="18"/>
  <c r="BW16" i="18"/>
  <c r="BW17" i="18"/>
  <c r="BW18" i="18"/>
  <c r="BW19" i="18"/>
  <c r="BW20" i="18"/>
  <c r="BW21" i="18"/>
  <c r="BW22" i="18"/>
  <c r="BW23" i="18"/>
  <c r="BW24" i="18"/>
  <c r="BW25" i="18"/>
  <c r="BW26" i="18"/>
  <c r="BW27" i="18"/>
  <c r="BW28" i="18"/>
  <c r="BW29" i="18"/>
  <c r="BW30" i="18"/>
  <c r="BW31" i="18"/>
  <c r="BW32" i="18"/>
  <c r="BW33" i="18"/>
  <c r="BW34" i="18"/>
  <c r="BW35" i="18"/>
  <c r="BW36" i="18"/>
  <c r="BW37" i="18"/>
  <c r="BW38" i="18"/>
  <c r="BW39" i="18"/>
  <c r="BW40" i="18"/>
  <c r="BW41" i="18"/>
  <c r="BW42" i="18"/>
  <c r="BW43" i="18"/>
  <c r="BW44" i="18"/>
  <c r="BW45" i="18"/>
  <c r="BW46" i="18"/>
  <c r="BW47" i="18"/>
  <c r="BW48" i="18"/>
  <c r="BW49" i="18"/>
  <c r="BW50" i="18"/>
  <c r="BW51" i="18"/>
  <c r="BW52" i="18"/>
  <c r="BW53" i="18"/>
  <c r="BW54" i="18"/>
  <c r="BW55" i="18"/>
  <c r="BW56" i="18"/>
  <c r="BW57" i="18"/>
  <c r="BW58" i="18"/>
  <c r="BW59" i="18"/>
  <c r="BW60" i="18"/>
  <c r="BW61" i="18"/>
  <c r="BW62" i="18"/>
  <c r="BW63" i="18"/>
  <c r="BW64" i="18"/>
  <c r="BW65" i="18"/>
  <c r="BW66" i="18"/>
  <c r="BW67" i="18"/>
  <c r="BW68" i="18"/>
  <c r="BW69" i="18"/>
  <c r="BW70" i="18"/>
  <c r="BW71" i="18"/>
  <c r="BW72" i="18"/>
  <c r="BW73" i="18"/>
  <c r="BW74" i="18"/>
  <c r="BW75" i="18"/>
  <c r="BW76" i="18"/>
  <c r="BW77" i="18"/>
  <c r="BW78" i="18"/>
  <c r="BW79" i="18"/>
  <c r="BW80" i="18"/>
  <c r="BW81" i="18"/>
  <c r="BW82" i="18"/>
  <c r="BW83" i="18"/>
  <c r="BW84" i="18"/>
  <c r="BW85" i="18"/>
  <c r="BW86" i="18"/>
  <c r="BW87" i="18"/>
  <c r="BW88" i="18"/>
  <c r="BW89" i="18"/>
  <c r="BW90" i="18"/>
  <c r="BW91" i="18"/>
  <c r="BW92" i="18"/>
  <c r="BW93" i="18"/>
  <c r="BW94" i="18"/>
  <c r="BW95" i="18"/>
  <c r="BW96" i="18"/>
  <c r="BW97" i="18"/>
  <c r="BW98" i="18"/>
  <c r="BW99" i="18"/>
  <c r="BW100" i="18"/>
  <c r="BW101" i="18"/>
  <c r="BW102" i="18"/>
  <c r="BW103" i="18"/>
  <c r="BW104" i="18"/>
  <c r="BW105" i="18"/>
  <c r="BW106" i="18"/>
  <c r="BW107" i="18"/>
  <c r="BW108" i="18"/>
  <c r="BW109" i="18"/>
  <c r="BW110" i="18"/>
  <c r="BW111" i="18"/>
  <c r="BW112" i="18"/>
  <c r="BW113" i="18"/>
  <c r="BW114" i="18"/>
  <c r="BW115" i="18"/>
  <c r="BW116" i="18"/>
  <c r="BW117" i="18"/>
  <c r="BW118" i="18"/>
  <c r="BW119" i="18"/>
  <c r="BW120" i="18"/>
  <c r="BW121" i="18"/>
  <c r="BW122" i="18"/>
  <c r="BW123" i="18"/>
  <c r="BW124" i="18"/>
  <c r="BW125" i="18"/>
  <c r="BW126" i="18"/>
  <c r="BW127" i="18"/>
  <c r="BW128" i="18"/>
  <c r="BW129" i="18"/>
  <c r="BW130" i="18"/>
  <c r="BW131" i="18"/>
  <c r="BW132" i="18"/>
  <c r="BW133" i="18"/>
  <c r="BW134" i="18"/>
  <c r="BW135" i="18"/>
  <c r="BW136" i="18"/>
  <c r="BW137" i="18"/>
  <c r="BW138" i="18"/>
  <c r="BW139" i="18"/>
  <c r="BW140" i="18"/>
  <c r="BW141" i="18"/>
  <c r="BW142" i="18"/>
  <c r="BW143" i="18"/>
  <c r="BW144" i="18"/>
  <c r="BW145" i="18"/>
  <c r="BW146" i="18"/>
  <c r="BW147" i="18"/>
  <c r="BW148" i="18"/>
  <c r="BW149" i="18"/>
  <c r="BW150" i="18"/>
  <c r="BW151" i="18"/>
  <c r="BW152" i="18"/>
  <c r="BW153" i="18"/>
  <c r="BW154" i="18"/>
  <c r="BW155" i="18"/>
  <c r="BW156" i="18"/>
  <c r="BW157" i="18"/>
  <c r="BW158" i="18"/>
  <c r="BW159" i="18"/>
  <c r="BW160" i="18"/>
  <c r="BW161" i="18"/>
  <c r="BW162" i="18"/>
  <c r="BW163" i="18"/>
  <c r="BW164" i="18"/>
  <c r="BW165" i="18"/>
  <c r="BW166" i="18"/>
  <c r="BW167" i="18"/>
  <c r="BW168" i="18"/>
  <c r="BW169" i="18"/>
  <c r="BW170" i="18"/>
  <c r="BW171" i="18"/>
  <c r="BW172" i="18"/>
  <c r="BW173" i="18"/>
  <c r="BW174" i="18"/>
  <c r="BW175" i="18"/>
  <c r="BW176" i="18"/>
  <c r="BW177" i="18"/>
  <c r="BW178" i="18"/>
  <c r="BW179" i="18"/>
  <c r="BW180" i="18"/>
  <c r="BW181" i="18"/>
  <c r="BW182" i="18"/>
  <c r="BW183" i="18"/>
  <c r="BW184" i="18"/>
  <c r="BW185" i="18"/>
  <c r="BW186" i="18"/>
  <c r="BW187" i="18"/>
  <c r="BW188" i="18"/>
  <c r="BW189" i="18"/>
  <c r="BW190" i="18"/>
  <c r="BW191" i="18"/>
  <c r="BW192" i="18"/>
  <c r="BW193" i="18"/>
  <c r="BW194" i="18"/>
  <c r="BW195" i="18"/>
  <c r="BW196" i="18"/>
  <c r="BW197" i="18"/>
  <c r="BW198" i="18"/>
  <c r="BW199" i="18"/>
  <c r="BW200" i="18"/>
  <c r="BW201" i="18"/>
  <c r="BW202" i="18"/>
  <c r="BW203" i="18"/>
  <c r="BW204" i="18"/>
  <c r="BW205" i="18"/>
  <c r="BW206" i="18"/>
  <c r="BW207" i="18"/>
  <c r="BW208" i="18"/>
  <c r="BW209" i="18"/>
  <c r="BW210" i="18"/>
  <c r="BW211" i="18"/>
  <c r="BW212" i="18"/>
  <c r="BW213" i="18"/>
  <c r="BW214" i="18"/>
  <c r="BW215" i="18"/>
  <c r="BW216" i="18"/>
  <c r="BW217" i="18"/>
  <c r="BW218" i="18"/>
  <c r="BW219" i="18"/>
  <c r="BW220" i="18"/>
  <c r="BW221" i="18"/>
  <c r="BW222" i="18"/>
  <c r="BW223" i="18"/>
  <c r="BW224" i="18"/>
  <c r="BW225" i="18"/>
  <c r="BW226" i="18"/>
  <c r="BW227" i="18"/>
  <c r="BW228" i="18"/>
  <c r="BW229" i="18"/>
  <c r="BW230" i="18"/>
  <c r="BW231" i="18"/>
  <c r="BW232" i="18"/>
  <c r="BW233" i="18"/>
  <c r="BW234" i="18"/>
  <c r="BW235" i="18"/>
  <c r="BW236" i="18"/>
  <c r="BW237" i="18"/>
  <c r="BW238" i="18"/>
  <c r="BW239" i="18"/>
  <c r="BW240" i="18"/>
  <c r="BW241" i="18"/>
  <c r="BW242" i="18"/>
  <c r="BW243" i="18"/>
  <c r="BW244" i="18"/>
  <c r="BW245" i="18"/>
  <c r="BW246" i="18"/>
  <c r="BW247" i="18"/>
  <c r="BW248" i="18"/>
  <c r="BW249" i="18"/>
  <c r="BW250" i="18"/>
  <c r="BW251" i="18"/>
  <c r="BW252" i="18"/>
  <c r="BW253" i="18"/>
  <c r="BW254" i="18"/>
  <c r="BW255" i="18"/>
  <c r="BW256" i="18"/>
  <c r="BW257" i="18"/>
  <c r="BW258" i="18"/>
  <c r="BW259" i="18"/>
  <c r="BW260" i="18"/>
  <c r="BW261" i="18"/>
  <c r="BW262" i="18"/>
  <c r="BW263" i="18"/>
  <c r="BW264" i="18"/>
  <c r="BW265" i="18"/>
  <c r="BW266" i="18"/>
  <c r="BW267" i="18"/>
  <c r="BW268" i="18"/>
  <c r="BW269" i="18"/>
  <c r="BW270" i="18"/>
  <c r="BW271" i="18"/>
  <c r="BW272" i="18"/>
  <c r="BW273" i="18"/>
  <c r="BW274" i="18"/>
  <c r="BW275" i="18"/>
  <c r="BW276" i="18"/>
  <c r="BW277" i="18"/>
  <c r="BW278" i="18"/>
  <c r="BW279" i="18"/>
  <c r="BW280" i="18"/>
  <c r="BW281" i="18"/>
  <c r="BW282" i="18"/>
  <c r="BW283" i="18"/>
  <c r="BW284" i="18"/>
  <c r="BW285" i="18"/>
  <c r="BW286" i="18"/>
  <c r="BW287" i="18"/>
  <c r="BW288" i="18"/>
  <c r="BW289" i="18"/>
  <c r="BW290" i="18"/>
  <c r="BW291" i="18"/>
  <c r="BW292" i="18"/>
  <c r="BW293" i="18"/>
  <c r="BW294" i="18"/>
  <c r="BW295" i="18"/>
  <c r="BW296" i="18"/>
  <c r="BW297" i="18"/>
  <c r="BW298" i="18"/>
  <c r="BW299" i="18"/>
  <c r="BW300" i="18"/>
  <c r="BW301" i="18"/>
  <c r="BW302" i="18"/>
  <c r="BW303" i="18"/>
  <c r="BW304" i="18"/>
  <c r="BW305" i="18"/>
  <c r="BW306" i="18"/>
  <c r="BW307" i="18"/>
  <c r="BW308" i="18"/>
  <c r="BW309" i="18"/>
  <c r="BW310" i="18"/>
  <c r="BW311" i="18"/>
  <c r="BW312" i="18"/>
  <c r="BW313" i="18"/>
  <c r="BW314" i="18"/>
  <c r="BW315" i="18"/>
  <c r="BW316" i="18"/>
  <c r="BW317" i="18"/>
  <c r="BW318" i="18"/>
  <c r="BW319" i="18"/>
  <c r="BW320" i="18"/>
  <c r="BW321" i="18"/>
  <c r="BW322" i="18"/>
  <c r="BW323" i="18"/>
  <c r="BW324" i="18"/>
  <c r="BW325" i="18"/>
  <c r="BW326" i="18"/>
  <c r="BW327" i="18"/>
  <c r="BW328" i="18"/>
  <c r="BW329" i="18"/>
  <c r="BW330" i="18"/>
  <c r="BW331" i="18"/>
  <c r="BW332" i="18"/>
  <c r="BW333" i="18"/>
  <c r="BW334" i="18"/>
  <c r="BW335" i="18"/>
  <c r="BW336" i="18"/>
  <c r="BW337" i="18"/>
  <c r="BW338" i="18"/>
  <c r="BX3" i="18"/>
  <c r="BX4" i="18"/>
  <c r="BX5" i="18"/>
  <c r="BX6" i="18"/>
  <c r="BX7" i="18"/>
  <c r="BX8" i="18"/>
  <c r="BX9" i="18"/>
  <c r="BX10" i="18"/>
  <c r="BX11" i="18"/>
  <c r="BX12" i="18"/>
  <c r="BX13" i="18"/>
  <c r="BX14" i="18"/>
  <c r="BX15" i="18"/>
  <c r="BX16" i="18"/>
  <c r="BX17" i="18"/>
  <c r="BX18" i="18"/>
  <c r="BX19" i="18"/>
  <c r="BX20" i="18"/>
  <c r="BX21" i="18"/>
  <c r="BX22" i="18"/>
  <c r="BX23" i="18"/>
  <c r="BX24" i="18"/>
  <c r="BX25" i="18"/>
  <c r="BX26" i="18"/>
  <c r="BX27" i="18"/>
  <c r="BX28" i="18"/>
  <c r="BX29" i="18"/>
  <c r="BX30" i="18"/>
  <c r="BX31" i="18"/>
  <c r="BX32" i="18"/>
  <c r="BX33" i="18"/>
  <c r="BX34" i="18"/>
  <c r="BX35" i="18"/>
  <c r="BX36" i="18"/>
  <c r="BX37" i="18"/>
  <c r="BX38" i="18"/>
  <c r="BX39" i="18"/>
  <c r="BX40" i="18"/>
  <c r="BX41" i="18"/>
  <c r="BX42" i="18"/>
  <c r="BX43" i="18"/>
  <c r="BX44" i="18"/>
  <c r="BX45" i="18"/>
  <c r="BX46" i="18"/>
  <c r="BX47" i="18"/>
  <c r="BX48" i="18"/>
  <c r="BX49" i="18"/>
  <c r="BX50" i="18"/>
  <c r="BX51" i="18"/>
  <c r="BX52" i="18"/>
  <c r="BX53" i="18"/>
  <c r="BX54" i="18"/>
  <c r="BX55" i="18"/>
  <c r="BX56" i="18"/>
  <c r="BX57" i="18"/>
  <c r="BX58" i="18"/>
  <c r="BX59" i="18"/>
  <c r="BX60" i="18"/>
  <c r="BX61" i="18"/>
  <c r="BX62" i="18"/>
  <c r="BX63" i="18"/>
  <c r="BX64" i="18"/>
  <c r="BX65" i="18"/>
  <c r="BX66" i="18"/>
  <c r="BX67" i="18"/>
  <c r="BX68" i="18"/>
  <c r="BX69" i="18"/>
  <c r="BX70" i="18"/>
  <c r="BX71" i="18"/>
  <c r="BX72" i="18"/>
  <c r="BX73" i="18"/>
  <c r="BX74" i="18"/>
  <c r="BX75" i="18"/>
  <c r="BX76" i="18"/>
  <c r="BX77" i="18"/>
  <c r="BX78" i="18"/>
  <c r="BX79" i="18"/>
  <c r="BX80" i="18"/>
  <c r="BX81" i="18"/>
  <c r="BX82" i="18"/>
  <c r="BX83" i="18"/>
  <c r="BX84" i="18"/>
  <c r="BX85" i="18"/>
  <c r="BX86" i="18"/>
  <c r="BX87" i="18"/>
  <c r="BX88" i="18"/>
  <c r="BX89" i="18"/>
  <c r="BX90" i="18"/>
  <c r="BX91" i="18"/>
  <c r="BX92" i="18"/>
  <c r="BX93" i="18"/>
  <c r="BX94" i="18"/>
  <c r="BX95" i="18"/>
  <c r="BX96" i="18"/>
  <c r="BX97" i="18"/>
  <c r="BX98" i="18"/>
  <c r="BX99" i="18"/>
  <c r="BX100" i="18"/>
  <c r="BX101" i="18"/>
  <c r="BX102" i="18"/>
  <c r="BX103" i="18"/>
  <c r="BX104" i="18"/>
  <c r="BX105" i="18"/>
  <c r="BX106" i="18"/>
  <c r="BX107" i="18"/>
  <c r="BX108" i="18"/>
  <c r="BX109" i="18"/>
  <c r="BX110" i="18"/>
  <c r="BX111" i="18"/>
  <c r="BX112" i="18"/>
  <c r="BX113" i="18"/>
  <c r="BX114" i="18"/>
  <c r="BX115" i="18"/>
  <c r="BX116" i="18"/>
  <c r="BX117" i="18"/>
  <c r="BX118" i="18"/>
  <c r="BX119" i="18"/>
  <c r="BX120" i="18"/>
  <c r="BX121" i="18"/>
  <c r="BX122" i="18"/>
  <c r="BX123" i="18"/>
  <c r="BX124" i="18"/>
  <c r="BX125" i="18"/>
  <c r="BX126" i="18"/>
  <c r="BX127" i="18"/>
  <c r="BX128" i="18"/>
  <c r="BX129" i="18"/>
  <c r="BX130" i="18"/>
  <c r="BX131" i="18"/>
  <c r="BX132" i="18"/>
  <c r="BX133" i="18"/>
  <c r="BX134" i="18"/>
  <c r="BX135" i="18"/>
  <c r="BX136" i="18"/>
  <c r="BX137" i="18"/>
  <c r="BX138" i="18"/>
  <c r="BX139" i="18"/>
  <c r="BX140" i="18"/>
  <c r="BX141" i="18"/>
  <c r="BX142" i="18"/>
  <c r="BX143" i="18"/>
  <c r="BX144" i="18"/>
  <c r="BX145" i="18"/>
  <c r="BX146" i="18"/>
  <c r="BX147" i="18"/>
  <c r="BX148" i="18"/>
  <c r="BX149" i="18"/>
  <c r="BX150" i="18"/>
  <c r="BX151" i="18"/>
  <c r="BX152" i="18"/>
  <c r="BX153" i="18"/>
  <c r="BX154" i="18"/>
  <c r="BX155" i="18"/>
  <c r="BX156" i="18"/>
  <c r="BX157" i="18"/>
  <c r="BX158" i="18"/>
  <c r="BX159" i="18"/>
  <c r="BX160" i="18"/>
  <c r="BX161" i="18"/>
  <c r="BX162" i="18"/>
  <c r="BX163" i="18"/>
  <c r="BX164" i="18"/>
  <c r="BX165" i="18"/>
  <c r="BX166" i="18"/>
  <c r="BX167" i="18"/>
  <c r="BX168" i="18"/>
  <c r="BX169" i="18"/>
  <c r="BX170" i="18"/>
  <c r="BX171" i="18"/>
  <c r="BX172" i="18"/>
  <c r="BX173" i="18"/>
  <c r="BX174" i="18"/>
  <c r="BX175" i="18"/>
  <c r="BX176" i="18"/>
  <c r="BX177" i="18"/>
  <c r="BX178" i="18"/>
  <c r="BX179" i="18"/>
  <c r="BX180" i="18"/>
  <c r="BX181" i="18"/>
  <c r="BX182" i="18"/>
  <c r="BX183" i="18"/>
  <c r="BX184" i="18"/>
  <c r="BX185" i="18"/>
  <c r="BX186" i="18"/>
  <c r="BX187" i="18"/>
  <c r="BX188" i="18"/>
  <c r="BX189" i="18"/>
  <c r="BX190" i="18"/>
  <c r="BX191" i="18"/>
  <c r="BX192" i="18"/>
  <c r="BX193" i="18"/>
  <c r="BX194" i="18"/>
  <c r="BX195" i="18"/>
  <c r="BX196" i="18"/>
  <c r="BX197" i="18"/>
  <c r="BX198" i="18"/>
  <c r="BX199" i="18"/>
  <c r="BX200" i="18"/>
  <c r="BX201" i="18"/>
  <c r="BX202" i="18"/>
  <c r="BX203" i="18"/>
  <c r="BX204" i="18"/>
  <c r="BX205" i="18"/>
  <c r="BX206" i="18"/>
  <c r="BX207" i="18"/>
  <c r="BX208" i="18"/>
  <c r="BX209" i="18"/>
  <c r="BX210" i="18"/>
  <c r="BX211" i="18"/>
  <c r="BX212" i="18"/>
  <c r="BX213" i="18"/>
  <c r="BX214" i="18"/>
  <c r="BX215" i="18"/>
  <c r="BX216" i="18"/>
  <c r="BX217" i="18"/>
  <c r="BX218" i="18"/>
  <c r="BX219" i="18"/>
  <c r="BX220" i="18"/>
  <c r="BX221" i="18"/>
  <c r="BX222" i="18"/>
  <c r="BX223" i="18"/>
  <c r="BX224" i="18"/>
  <c r="BX225" i="18"/>
  <c r="BX226" i="18"/>
  <c r="BX227" i="18"/>
  <c r="BX228" i="18"/>
  <c r="BX229" i="18"/>
  <c r="BX230" i="18"/>
  <c r="BX231" i="18"/>
  <c r="BX232" i="18"/>
  <c r="BX233" i="18"/>
  <c r="BX234" i="18"/>
  <c r="BX235" i="18"/>
  <c r="BX236" i="18"/>
  <c r="BX237" i="18"/>
  <c r="BX238" i="18"/>
  <c r="BX239" i="18"/>
  <c r="BX240" i="18"/>
  <c r="BX241" i="18"/>
  <c r="BX242" i="18"/>
  <c r="BX243" i="18"/>
  <c r="BX244" i="18"/>
  <c r="BX245" i="18"/>
  <c r="BX246" i="18"/>
  <c r="BX247" i="18"/>
  <c r="BX248" i="18"/>
  <c r="BX249" i="18"/>
  <c r="BX250" i="18"/>
  <c r="BX251" i="18"/>
  <c r="BX252" i="18"/>
  <c r="BX253" i="18"/>
  <c r="BX254" i="18"/>
  <c r="BX255" i="18"/>
  <c r="BX256" i="18"/>
  <c r="BX257" i="18"/>
  <c r="BX258" i="18"/>
  <c r="BX259" i="18"/>
  <c r="BX260" i="18"/>
  <c r="BX261" i="18"/>
  <c r="BX262" i="18"/>
  <c r="BX263" i="18"/>
  <c r="BX264" i="18"/>
  <c r="BX265" i="18"/>
  <c r="BX266" i="18"/>
  <c r="BX267" i="18"/>
  <c r="BX268" i="18"/>
  <c r="BX269" i="18"/>
  <c r="BX270" i="18"/>
  <c r="BX271" i="18"/>
  <c r="BX272" i="18"/>
  <c r="BX273" i="18"/>
  <c r="BX274" i="18"/>
  <c r="BX275" i="18"/>
  <c r="BX276" i="18"/>
  <c r="BX277" i="18"/>
  <c r="BX278" i="18"/>
  <c r="BX279" i="18"/>
  <c r="BX280" i="18"/>
  <c r="BX281" i="18"/>
  <c r="BX282" i="18"/>
  <c r="BX283" i="18"/>
  <c r="BX284" i="18"/>
  <c r="BX285" i="18"/>
  <c r="BX286" i="18"/>
  <c r="BX287" i="18"/>
  <c r="BX288" i="18"/>
  <c r="BX289" i="18"/>
  <c r="BX290" i="18"/>
  <c r="BX291" i="18"/>
  <c r="BX292" i="18"/>
  <c r="BX293" i="18"/>
  <c r="BX294" i="18"/>
  <c r="BX295" i="18"/>
  <c r="BX296" i="18"/>
  <c r="BX297" i="18"/>
  <c r="BX298" i="18"/>
  <c r="BX299" i="18"/>
  <c r="BX300" i="18"/>
  <c r="BX301" i="18"/>
  <c r="BX302" i="18"/>
  <c r="BX303" i="18"/>
  <c r="BX304" i="18"/>
  <c r="BX305" i="18"/>
  <c r="BX306" i="18"/>
  <c r="BX307" i="18"/>
  <c r="BX308" i="18"/>
  <c r="BX309" i="18"/>
  <c r="BX310" i="18"/>
  <c r="BX311" i="18"/>
  <c r="BX312" i="18"/>
  <c r="BX313" i="18"/>
  <c r="BX314" i="18"/>
  <c r="BX315" i="18"/>
  <c r="BX316" i="18"/>
  <c r="BX317" i="18"/>
  <c r="BX318" i="18"/>
  <c r="BX319" i="18"/>
  <c r="BX320" i="18"/>
  <c r="BX321" i="18"/>
  <c r="BX322" i="18"/>
  <c r="BX323" i="18"/>
  <c r="BX324" i="18"/>
  <c r="BX325" i="18"/>
  <c r="BX326" i="18"/>
  <c r="BX327" i="18"/>
  <c r="BX328" i="18"/>
  <c r="BX329" i="18"/>
  <c r="BX330" i="18"/>
  <c r="BX331" i="18"/>
  <c r="BX332" i="18"/>
  <c r="BX333" i="18"/>
  <c r="BX334" i="18"/>
  <c r="BX335" i="18"/>
  <c r="BX336" i="18"/>
  <c r="BX337" i="18"/>
  <c r="BX338" i="18"/>
  <c r="BY3" i="18"/>
  <c r="BY4" i="18"/>
  <c r="BY5" i="18"/>
  <c r="BY6" i="18"/>
  <c r="BY7" i="18"/>
  <c r="BY8" i="18"/>
  <c r="BY9" i="18"/>
  <c r="BY10" i="18"/>
  <c r="BY11" i="18"/>
  <c r="BY12" i="18"/>
  <c r="BY13" i="18"/>
  <c r="BY14" i="18"/>
  <c r="BY15" i="18"/>
  <c r="BY16" i="18"/>
  <c r="BY17" i="18"/>
  <c r="BY18" i="18"/>
  <c r="BY19" i="18"/>
  <c r="BY20" i="18"/>
  <c r="BY21" i="18"/>
  <c r="BY22" i="18"/>
  <c r="BY23" i="18"/>
  <c r="BY24" i="18"/>
  <c r="BY25" i="18"/>
  <c r="BY26" i="18"/>
  <c r="BY27" i="18"/>
  <c r="BY28" i="18"/>
  <c r="BY29" i="18"/>
  <c r="BY30" i="18"/>
  <c r="BY31" i="18"/>
  <c r="BY32" i="18"/>
  <c r="BY33" i="18"/>
  <c r="BY34" i="18"/>
  <c r="BY35" i="18"/>
  <c r="BY36" i="18"/>
  <c r="BY37" i="18"/>
  <c r="BY38" i="18"/>
  <c r="BY39" i="18"/>
  <c r="BY40" i="18"/>
  <c r="BY41" i="18"/>
  <c r="BY42" i="18"/>
  <c r="BY43" i="18"/>
  <c r="BY44" i="18"/>
  <c r="BY45" i="18"/>
  <c r="BY46" i="18"/>
  <c r="BY47" i="18"/>
  <c r="BY48" i="18"/>
  <c r="BY49" i="18"/>
  <c r="BY50" i="18"/>
  <c r="BY51" i="18"/>
  <c r="BY52" i="18"/>
  <c r="BY53" i="18"/>
  <c r="BY54" i="18"/>
  <c r="BY55" i="18"/>
  <c r="BY56" i="18"/>
  <c r="BY57" i="18"/>
  <c r="BY58" i="18"/>
  <c r="BY59" i="18"/>
  <c r="BY60" i="18"/>
  <c r="BY61" i="18"/>
  <c r="BY62" i="18"/>
  <c r="BY63" i="18"/>
  <c r="BY64" i="18"/>
  <c r="BY65" i="18"/>
  <c r="BY66" i="18"/>
  <c r="BY67" i="18"/>
  <c r="BY68" i="18"/>
  <c r="BY69" i="18"/>
  <c r="BY70" i="18"/>
  <c r="BY71" i="18"/>
  <c r="BY72" i="18"/>
  <c r="BY73" i="18"/>
  <c r="BY74" i="18"/>
  <c r="BY75" i="18"/>
  <c r="BY76" i="18"/>
  <c r="BY77" i="18"/>
  <c r="BY78" i="18"/>
  <c r="BY79" i="18"/>
  <c r="BY80" i="18"/>
  <c r="BY81" i="18"/>
  <c r="BY82" i="18"/>
  <c r="BY83" i="18"/>
  <c r="BY84" i="18"/>
  <c r="BY85" i="18"/>
  <c r="BY86" i="18"/>
  <c r="BY87" i="18"/>
  <c r="BY88" i="18"/>
  <c r="BY89" i="18"/>
  <c r="BY90" i="18"/>
  <c r="BY91" i="18"/>
  <c r="BY92" i="18"/>
  <c r="BY93" i="18"/>
  <c r="BY94" i="18"/>
  <c r="BY95" i="18"/>
  <c r="BY96" i="18"/>
  <c r="BY97" i="18"/>
  <c r="BY98" i="18"/>
  <c r="BY99" i="18"/>
  <c r="BY100" i="18"/>
  <c r="BY101" i="18"/>
  <c r="BY102" i="18"/>
  <c r="BY103" i="18"/>
  <c r="BY104" i="18"/>
  <c r="BY105" i="18"/>
  <c r="BY106" i="18"/>
  <c r="BY107" i="18"/>
  <c r="BY108" i="18"/>
  <c r="BY109" i="18"/>
  <c r="BY110" i="18"/>
  <c r="BY111" i="18"/>
  <c r="BY112" i="18"/>
  <c r="BY113" i="18"/>
  <c r="BY114" i="18"/>
  <c r="BY115" i="18"/>
  <c r="BY116" i="18"/>
  <c r="BY117" i="18"/>
  <c r="BY118" i="18"/>
  <c r="BY119" i="18"/>
  <c r="BY120" i="18"/>
  <c r="BY121" i="18"/>
  <c r="BY122" i="18"/>
  <c r="BY123" i="18"/>
  <c r="BY124" i="18"/>
  <c r="BY125" i="18"/>
  <c r="BY126" i="18"/>
  <c r="BY127" i="18"/>
  <c r="BY128" i="18"/>
  <c r="BY129" i="18"/>
  <c r="BY130" i="18"/>
  <c r="BY131" i="18"/>
  <c r="BY132" i="18"/>
  <c r="BY133" i="18"/>
  <c r="BY134" i="18"/>
  <c r="BY135" i="18"/>
  <c r="BY136" i="18"/>
  <c r="BY137" i="18"/>
  <c r="BY138" i="18"/>
  <c r="BY139" i="18"/>
  <c r="BY140" i="18"/>
  <c r="BY141" i="18"/>
  <c r="BY142" i="18"/>
  <c r="BY143" i="18"/>
  <c r="BY144" i="18"/>
  <c r="BY145" i="18"/>
  <c r="BY146" i="18"/>
  <c r="BY147" i="18"/>
  <c r="BY148" i="18"/>
  <c r="BY149" i="18"/>
  <c r="BY150" i="18"/>
  <c r="BY151" i="18"/>
  <c r="BY152" i="18"/>
  <c r="BY153" i="18"/>
  <c r="BY154" i="18"/>
  <c r="BY155" i="18"/>
  <c r="BY156" i="18"/>
  <c r="BY157" i="18"/>
  <c r="BY158" i="18"/>
  <c r="BY159" i="18"/>
  <c r="BY160" i="18"/>
  <c r="BY161" i="18"/>
  <c r="BY162" i="18"/>
  <c r="BY163" i="18"/>
  <c r="BY164" i="18"/>
  <c r="BY165" i="18"/>
  <c r="BY166" i="18"/>
  <c r="BY167" i="18"/>
  <c r="BY168" i="18"/>
  <c r="BY169" i="18"/>
  <c r="BY170" i="18"/>
  <c r="BY171" i="18"/>
  <c r="BY172" i="18"/>
  <c r="BY173" i="18"/>
  <c r="BY174" i="18"/>
  <c r="BY175" i="18"/>
  <c r="BY176" i="18"/>
  <c r="BY177" i="18"/>
  <c r="BY178" i="18"/>
  <c r="BY179" i="18"/>
  <c r="BY180" i="18"/>
  <c r="BY181" i="18"/>
  <c r="BY182" i="18"/>
  <c r="BY183" i="18"/>
  <c r="BY184" i="18"/>
  <c r="BY185" i="18"/>
  <c r="BY186" i="18"/>
  <c r="BY187" i="18"/>
  <c r="BY188" i="18"/>
  <c r="BY189" i="18"/>
  <c r="BY190" i="18"/>
  <c r="BY191" i="18"/>
  <c r="BY192" i="18"/>
  <c r="BY193" i="18"/>
  <c r="BY194" i="18"/>
  <c r="BY195" i="18"/>
  <c r="BY196" i="18"/>
  <c r="BY197" i="18"/>
  <c r="BY198" i="18"/>
  <c r="BY199" i="18"/>
  <c r="BY200" i="18"/>
  <c r="BY201" i="18"/>
  <c r="BY202" i="18"/>
  <c r="BY203" i="18"/>
  <c r="BY204" i="18"/>
  <c r="BY205" i="18"/>
  <c r="BY206" i="18"/>
  <c r="BY207" i="18"/>
  <c r="BY208" i="18"/>
  <c r="BY209" i="18"/>
  <c r="BY210" i="18"/>
  <c r="BY211" i="18"/>
  <c r="BY212" i="18"/>
  <c r="BY213" i="18"/>
  <c r="BY214" i="18"/>
  <c r="BY215" i="18"/>
  <c r="BY216" i="18"/>
  <c r="BY217" i="18"/>
  <c r="BY218" i="18"/>
  <c r="BY219" i="18"/>
  <c r="BY220" i="18"/>
  <c r="BY221" i="18"/>
  <c r="BY222" i="18"/>
  <c r="BY223" i="18"/>
  <c r="BY224" i="18"/>
  <c r="BY225" i="18"/>
  <c r="BY226" i="18"/>
  <c r="BY227" i="18"/>
  <c r="BY228" i="18"/>
  <c r="BY229" i="18"/>
  <c r="BY230" i="18"/>
  <c r="BY231" i="18"/>
  <c r="BY232" i="18"/>
  <c r="BY233" i="18"/>
  <c r="BY234" i="18"/>
  <c r="BY235" i="18"/>
  <c r="BY236" i="18"/>
  <c r="BY237" i="18"/>
  <c r="BY238" i="18"/>
  <c r="BY239" i="18"/>
  <c r="BY240" i="18"/>
  <c r="BY241" i="18"/>
  <c r="BY242" i="18"/>
  <c r="BY243" i="18"/>
  <c r="BY244" i="18"/>
  <c r="BY245" i="18"/>
  <c r="BY246" i="18"/>
  <c r="BY247" i="18"/>
  <c r="BY248" i="18"/>
  <c r="BY249" i="18"/>
  <c r="BY250" i="18"/>
  <c r="BY251" i="18"/>
  <c r="BY252" i="18"/>
  <c r="BY253" i="18"/>
  <c r="BY254" i="18"/>
  <c r="BY255" i="18"/>
  <c r="BY256" i="18"/>
  <c r="BY257" i="18"/>
  <c r="BY258" i="18"/>
  <c r="BY259" i="18"/>
  <c r="BY260" i="18"/>
  <c r="BY261" i="18"/>
  <c r="BY262" i="18"/>
  <c r="BY263" i="18"/>
  <c r="BY264" i="18"/>
  <c r="BY265" i="18"/>
  <c r="BY266" i="18"/>
  <c r="BY267" i="18"/>
  <c r="BY268" i="18"/>
  <c r="BY269" i="18"/>
  <c r="BY270" i="18"/>
  <c r="BY271" i="18"/>
  <c r="BY272" i="18"/>
  <c r="BY273" i="18"/>
  <c r="BY274" i="18"/>
  <c r="BY275" i="18"/>
  <c r="BY276" i="18"/>
  <c r="BY277" i="18"/>
  <c r="BY278" i="18"/>
  <c r="BY279" i="18"/>
  <c r="BY280" i="18"/>
  <c r="BY281" i="18"/>
  <c r="BY282" i="18"/>
  <c r="BY283" i="18"/>
  <c r="BY284" i="18"/>
  <c r="BY285" i="18"/>
  <c r="BY286" i="18"/>
  <c r="BY287" i="18"/>
  <c r="BY288" i="18"/>
  <c r="BY289" i="18"/>
  <c r="BY290" i="18"/>
  <c r="BY291" i="18"/>
  <c r="BY292" i="18"/>
  <c r="BY293" i="18"/>
  <c r="BY294" i="18"/>
  <c r="BY295" i="18"/>
  <c r="BY296" i="18"/>
  <c r="BY297" i="18"/>
  <c r="BY298" i="18"/>
  <c r="BY299" i="18"/>
  <c r="BY300" i="18"/>
  <c r="BY301" i="18"/>
  <c r="BY302" i="18"/>
  <c r="BY303" i="18"/>
  <c r="BY304" i="18"/>
  <c r="BY305" i="18"/>
  <c r="BY306" i="18"/>
  <c r="BY307" i="18"/>
  <c r="BY308" i="18"/>
  <c r="BY309" i="18"/>
  <c r="BY310" i="18"/>
  <c r="BY311" i="18"/>
  <c r="BY312" i="18"/>
  <c r="BY313" i="18"/>
  <c r="BY314" i="18"/>
  <c r="BY315" i="18"/>
  <c r="BY316" i="18"/>
  <c r="BY317" i="18"/>
  <c r="BY318" i="18"/>
  <c r="BY319" i="18"/>
  <c r="BY320" i="18"/>
  <c r="BY321" i="18"/>
  <c r="BY322" i="18"/>
  <c r="BY323" i="18"/>
  <c r="BY324" i="18"/>
  <c r="BY325" i="18"/>
  <c r="BY326" i="18"/>
  <c r="BY327" i="18"/>
  <c r="BY328" i="18"/>
  <c r="BY329" i="18"/>
  <c r="BY330" i="18"/>
  <c r="BY331" i="18"/>
  <c r="BY332" i="18"/>
  <c r="BY333" i="18"/>
  <c r="BY334" i="18"/>
  <c r="BY335" i="18"/>
  <c r="BY336" i="18"/>
  <c r="BY337" i="18"/>
  <c r="BY338" i="18"/>
  <c r="BZ3" i="18"/>
  <c r="BZ4" i="18"/>
  <c r="BZ5" i="18"/>
  <c r="BZ6" i="18"/>
  <c r="BZ7" i="18"/>
  <c r="BZ8" i="18"/>
  <c r="BZ9" i="18"/>
  <c r="BZ10" i="18"/>
  <c r="BZ11" i="18"/>
  <c r="BZ12" i="18"/>
  <c r="BZ13" i="18"/>
  <c r="BZ14" i="18"/>
  <c r="BZ15" i="18"/>
  <c r="BZ16" i="18"/>
  <c r="BZ17" i="18"/>
  <c r="BZ18" i="18"/>
  <c r="BZ19" i="18"/>
  <c r="BZ20" i="18"/>
  <c r="BZ21" i="18"/>
  <c r="BZ22" i="18"/>
  <c r="BZ23" i="18"/>
  <c r="BZ24" i="18"/>
  <c r="BZ25" i="18"/>
  <c r="BZ26" i="18"/>
  <c r="BZ27" i="18"/>
  <c r="BZ28" i="18"/>
  <c r="BZ29" i="18"/>
  <c r="BZ30" i="18"/>
  <c r="BZ31" i="18"/>
  <c r="BZ32" i="18"/>
  <c r="BZ33" i="18"/>
  <c r="BZ34" i="18"/>
  <c r="BZ35" i="18"/>
  <c r="BZ36" i="18"/>
  <c r="BZ37" i="18"/>
  <c r="BZ38" i="18"/>
  <c r="BZ39" i="18"/>
  <c r="BZ40" i="18"/>
  <c r="BZ41" i="18"/>
  <c r="BZ42" i="18"/>
  <c r="BZ43" i="18"/>
  <c r="BZ44" i="18"/>
  <c r="BZ45" i="18"/>
  <c r="BZ46" i="18"/>
  <c r="BZ47" i="18"/>
  <c r="BZ48" i="18"/>
  <c r="BZ49" i="18"/>
  <c r="BZ50" i="18"/>
  <c r="BZ51" i="18"/>
  <c r="BZ52" i="18"/>
  <c r="BZ53" i="18"/>
  <c r="BZ54" i="18"/>
  <c r="BZ55" i="18"/>
  <c r="BZ56" i="18"/>
  <c r="BZ57" i="18"/>
  <c r="BZ58" i="18"/>
  <c r="BZ59" i="18"/>
  <c r="BZ60" i="18"/>
  <c r="BZ61" i="18"/>
  <c r="BZ62" i="18"/>
  <c r="BZ63" i="18"/>
  <c r="BZ64" i="18"/>
  <c r="BZ65" i="18"/>
  <c r="BZ66" i="18"/>
  <c r="BZ67" i="18"/>
  <c r="BZ68" i="18"/>
  <c r="BZ69" i="18"/>
  <c r="BZ70" i="18"/>
  <c r="BZ71" i="18"/>
  <c r="BZ72" i="18"/>
  <c r="BZ73" i="18"/>
  <c r="BZ74" i="18"/>
  <c r="BZ75" i="18"/>
  <c r="BZ76" i="18"/>
  <c r="BZ77" i="18"/>
  <c r="BZ78" i="18"/>
  <c r="BZ79" i="18"/>
  <c r="BZ80" i="18"/>
  <c r="BZ81" i="18"/>
  <c r="BZ82" i="18"/>
  <c r="BZ83" i="18"/>
  <c r="BZ84" i="18"/>
  <c r="BZ85" i="18"/>
  <c r="BZ86" i="18"/>
  <c r="BZ87" i="18"/>
  <c r="BZ88" i="18"/>
  <c r="BZ89" i="18"/>
  <c r="BZ90" i="18"/>
  <c r="BZ91" i="18"/>
  <c r="BZ92" i="18"/>
  <c r="BZ93" i="18"/>
  <c r="BZ94" i="18"/>
  <c r="BZ95" i="18"/>
  <c r="BZ96" i="18"/>
  <c r="BZ97" i="18"/>
  <c r="BZ98" i="18"/>
  <c r="BZ99" i="18"/>
  <c r="BZ100" i="18"/>
  <c r="BZ101" i="18"/>
  <c r="BZ102" i="18"/>
  <c r="BZ103" i="18"/>
  <c r="BZ104" i="18"/>
  <c r="BZ105" i="18"/>
  <c r="BZ106" i="18"/>
  <c r="BZ107" i="18"/>
  <c r="BZ108" i="18"/>
  <c r="BZ109" i="18"/>
  <c r="BZ110" i="18"/>
  <c r="BZ111" i="18"/>
  <c r="BZ112" i="18"/>
  <c r="BZ113" i="18"/>
  <c r="BZ114" i="18"/>
  <c r="BZ115" i="18"/>
  <c r="BZ116" i="18"/>
  <c r="BZ117" i="18"/>
  <c r="BZ118" i="18"/>
  <c r="BZ119" i="18"/>
  <c r="BZ120" i="18"/>
  <c r="BZ121" i="18"/>
  <c r="BZ122" i="18"/>
  <c r="BZ123" i="18"/>
  <c r="BZ124" i="18"/>
  <c r="BZ125" i="18"/>
  <c r="BZ126" i="18"/>
  <c r="BZ127" i="18"/>
  <c r="BZ128" i="18"/>
  <c r="BZ129" i="18"/>
  <c r="BZ130" i="18"/>
  <c r="BZ131" i="18"/>
  <c r="BZ132" i="18"/>
  <c r="BZ133" i="18"/>
  <c r="BZ134" i="18"/>
  <c r="BZ135" i="18"/>
  <c r="BZ136" i="18"/>
  <c r="BZ137" i="18"/>
  <c r="BZ138" i="18"/>
  <c r="BZ139" i="18"/>
  <c r="BZ140" i="18"/>
  <c r="BZ141" i="18"/>
  <c r="BZ142" i="18"/>
  <c r="BZ143" i="18"/>
  <c r="BZ144" i="18"/>
  <c r="BZ145" i="18"/>
  <c r="BZ146" i="18"/>
  <c r="BZ147" i="18"/>
  <c r="BZ148" i="18"/>
  <c r="BZ149" i="18"/>
  <c r="BZ150" i="18"/>
  <c r="BZ151" i="18"/>
  <c r="BZ152" i="18"/>
  <c r="BZ153" i="18"/>
  <c r="BZ154" i="18"/>
  <c r="BZ155" i="18"/>
  <c r="BZ156" i="18"/>
  <c r="BZ157" i="18"/>
  <c r="BZ158" i="18"/>
  <c r="BZ159" i="18"/>
  <c r="BZ160" i="18"/>
  <c r="BZ161" i="18"/>
  <c r="BZ162" i="18"/>
  <c r="BZ163" i="18"/>
  <c r="BZ164" i="18"/>
  <c r="BZ165" i="18"/>
  <c r="BZ166" i="18"/>
  <c r="BZ167" i="18"/>
  <c r="BZ168" i="18"/>
  <c r="BZ169" i="18"/>
  <c r="BZ170" i="18"/>
  <c r="BZ171" i="18"/>
  <c r="BZ172" i="18"/>
  <c r="BZ173" i="18"/>
  <c r="BZ174" i="18"/>
  <c r="BZ175" i="18"/>
  <c r="BZ176" i="18"/>
  <c r="BZ177" i="18"/>
  <c r="BZ178" i="18"/>
  <c r="BZ179" i="18"/>
  <c r="BZ180" i="18"/>
  <c r="BZ181" i="18"/>
  <c r="BZ182" i="18"/>
  <c r="BZ183" i="18"/>
  <c r="BZ184" i="18"/>
  <c r="BZ185" i="18"/>
  <c r="BZ186" i="18"/>
  <c r="BZ187" i="18"/>
  <c r="BZ188" i="18"/>
  <c r="BZ189" i="18"/>
  <c r="BZ190" i="18"/>
  <c r="BZ191" i="18"/>
  <c r="BZ192" i="18"/>
  <c r="BZ193" i="18"/>
  <c r="BZ194" i="18"/>
  <c r="BZ195" i="18"/>
  <c r="BZ196" i="18"/>
  <c r="BZ197" i="18"/>
  <c r="BZ198" i="18"/>
  <c r="BZ199" i="18"/>
  <c r="BZ200" i="18"/>
  <c r="BZ201" i="18"/>
  <c r="BZ202" i="18"/>
  <c r="BZ203" i="18"/>
  <c r="BZ204" i="18"/>
  <c r="BZ205" i="18"/>
  <c r="BZ206" i="18"/>
  <c r="BZ207" i="18"/>
  <c r="BZ208" i="18"/>
  <c r="BZ209" i="18"/>
  <c r="BZ210" i="18"/>
  <c r="BZ211" i="18"/>
  <c r="BZ212" i="18"/>
  <c r="BZ213" i="18"/>
  <c r="BZ214" i="18"/>
  <c r="BZ215" i="18"/>
  <c r="BZ216" i="18"/>
  <c r="BZ217" i="18"/>
  <c r="BZ218" i="18"/>
  <c r="BZ219" i="18"/>
  <c r="BZ220" i="18"/>
  <c r="BZ221" i="18"/>
  <c r="BZ222" i="18"/>
  <c r="BZ223" i="18"/>
  <c r="BZ224" i="18"/>
  <c r="BZ225" i="18"/>
  <c r="BZ226" i="18"/>
  <c r="BZ227" i="18"/>
  <c r="BZ228" i="18"/>
  <c r="BZ229" i="18"/>
  <c r="BZ230" i="18"/>
  <c r="BZ231" i="18"/>
  <c r="BZ232" i="18"/>
  <c r="BZ233" i="18"/>
  <c r="BZ234" i="18"/>
  <c r="BZ235" i="18"/>
  <c r="BZ236" i="18"/>
  <c r="BZ237" i="18"/>
  <c r="BZ238" i="18"/>
  <c r="BZ239" i="18"/>
  <c r="BZ240" i="18"/>
  <c r="BZ241" i="18"/>
  <c r="BZ242" i="18"/>
  <c r="BZ243" i="18"/>
  <c r="BZ244" i="18"/>
  <c r="BZ245" i="18"/>
  <c r="BZ246" i="18"/>
  <c r="BZ247" i="18"/>
  <c r="BZ248" i="18"/>
  <c r="BZ249" i="18"/>
  <c r="BZ250" i="18"/>
  <c r="BZ251" i="18"/>
  <c r="BZ252" i="18"/>
  <c r="BZ253" i="18"/>
  <c r="BZ254" i="18"/>
  <c r="BZ255" i="18"/>
  <c r="BZ256" i="18"/>
  <c r="BZ257" i="18"/>
  <c r="BZ258" i="18"/>
  <c r="BZ259" i="18"/>
  <c r="BZ260" i="18"/>
  <c r="BZ261" i="18"/>
  <c r="BZ262" i="18"/>
  <c r="BZ263" i="18"/>
  <c r="BZ264" i="18"/>
  <c r="BZ265" i="18"/>
  <c r="BZ266" i="18"/>
  <c r="BZ267" i="18"/>
  <c r="BZ268" i="18"/>
  <c r="BZ269" i="18"/>
  <c r="BZ270" i="18"/>
  <c r="BZ271" i="18"/>
  <c r="BZ272" i="18"/>
  <c r="BZ273" i="18"/>
  <c r="BZ274" i="18"/>
  <c r="BZ275" i="18"/>
  <c r="BZ276" i="18"/>
  <c r="BZ277" i="18"/>
  <c r="BZ278" i="18"/>
  <c r="BZ279" i="18"/>
  <c r="BZ280" i="18"/>
  <c r="BZ281" i="18"/>
  <c r="BZ282" i="18"/>
  <c r="BZ283" i="18"/>
  <c r="BZ284" i="18"/>
  <c r="BZ285" i="18"/>
  <c r="BZ286" i="18"/>
  <c r="BZ287" i="18"/>
  <c r="BZ288" i="18"/>
  <c r="BZ289" i="18"/>
  <c r="BZ290" i="18"/>
  <c r="BZ291" i="18"/>
  <c r="BZ292" i="18"/>
  <c r="BZ293" i="18"/>
  <c r="BZ294" i="18"/>
  <c r="BZ295" i="18"/>
  <c r="BZ296" i="18"/>
  <c r="BZ297" i="18"/>
  <c r="BZ298" i="18"/>
  <c r="BZ299" i="18"/>
  <c r="BZ300" i="18"/>
  <c r="BZ301" i="18"/>
  <c r="BZ302" i="18"/>
  <c r="BZ303" i="18"/>
  <c r="BZ304" i="18"/>
  <c r="BZ305" i="18"/>
  <c r="BZ306" i="18"/>
  <c r="BZ307" i="18"/>
  <c r="BZ308" i="18"/>
  <c r="BZ309" i="18"/>
  <c r="BZ310" i="18"/>
  <c r="BZ311" i="18"/>
  <c r="BZ312" i="18"/>
  <c r="BZ313" i="18"/>
  <c r="BZ314" i="18"/>
  <c r="BZ315" i="18"/>
  <c r="BZ316" i="18"/>
  <c r="BZ317" i="18"/>
  <c r="BZ318" i="18"/>
  <c r="BZ319" i="18"/>
  <c r="BZ320" i="18"/>
  <c r="BZ321" i="18"/>
  <c r="BZ322" i="18"/>
  <c r="BZ323" i="18"/>
  <c r="BZ324" i="18"/>
  <c r="BZ325" i="18"/>
  <c r="BZ326" i="18"/>
  <c r="BZ327" i="18"/>
  <c r="BZ328" i="18"/>
  <c r="BZ329" i="18"/>
  <c r="BZ330" i="18"/>
  <c r="BZ331" i="18"/>
  <c r="BZ332" i="18"/>
  <c r="BZ333" i="18"/>
  <c r="BZ334" i="18"/>
  <c r="BZ335" i="18"/>
  <c r="BZ336" i="18"/>
  <c r="BZ337" i="18"/>
  <c r="BZ338" i="18"/>
  <c r="CA3" i="18"/>
  <c r="CA4" i="18"/>
  <c r="CA5" i="18"/>
  <c r="CA6" i="18"/>
  <c r="CA7" i="18"/>
  <c r="CA8" i="18"/>
  <c r="CA9" i="18"/>
  <c r="CA10" i="18"/>
  <c r="CA11" i="18"/>
  <c r="CA12" i="18"/>
  <c r="CA13" i="18"/>
  <c r="CA14" i="18"/>
  <c r="CA15" i="18"/>
  <c r="CA16" i="18"/>
  <c r="CA17" i="18"/>
  <c r="CA18" i="18"/>
  <c r="CA19" i="18"/>
  <c r="CA20" i="18"/>
  <c r="CA21" i="18"/>
  <c r="CA22" i="18"/>
  <c r="CA23" i="18"/>
  <c r="CA24" i="18"/>
  <c r="CA25" i="18"/>
  <c r="CA26" i="18"/>
  <c r="CA27" i="18"/>
  <c r="CA28" i="18"/>
  <c r="CA29" i="18"/>
  <c r="CA30" i="18"/>
  <c r="CA31" i="18"/>
  <c r="CA32" i="18"/>
  <c r="CA33" i="18"/>
  <c r="CA34" i="18"/>
  <c r="CA35" i="18"/>
  <c r="CA36" i="18"/>
  <c r="CA37" i="18"/>
  <c r="CA38" i="18"/>
  <c r="CA39" i="18"/>
  <c r="CA40" i="18"/>
  <c r="CA41" i="18"/>
  <c r="CA42" i="18"/>
  <c r="CA43" i="18"/>
  <c r="CA44" i="18"/>
  <c r="CA45" i="18"/>
  <c r="CA46" i="18"/>
  <c r="CA47" i="18"/>
  <c r="CA48" i="18"/>
  <c r="CA49" i="18"/>
  <c r="CA50" i="18"/>
  <c r="CA51" i="18"/>
  <c r="CA52" i="18"/>
  <c r="CA53" i="18"/>
  <c r="CA54" i="18"/>
  <c r="CA55" i="18"/>
  <c r="CA56" i="18"/>
  <c r="CA57" i="18"/>
  <c r="CA58" i="18"/>
  <c r="CA59" i="18"/>
  <c r="CA60" i="18"/>
  <c r="CA61" i="18"/>
  <c r="CA62" i="18"/>
  <c r="CA63" i="18"/>
  <c r="CA64" i="18"/>
  <c r="CA65" i="18"/>
  <c r="CA66" i="18"/>
  <c r="CA67" i="18"/>
  <c r="CA68" i="18"/>
  <c r="CA69" i="18"/>
  <c r="CA70" i="18"/>
  <c r="CA71" i="18"/>
  <c r="CA72" i="18"/>
  <c r="CA73" i="18"/>
  <c r="CA74" i="18"/>
  <c r="CA75" i="18"/>
  <c r="CA76" i="18"/>
  <c r="CA77" i="18"/>
  <c r="CA78" i="18"/>
  <c r="CA79" i="18"/>
  <c r="CA80" i="18"/>
  <c r="CA81" i="18"/>
  <c r="CA82" i="18"/>
  <c r="CA83" i="18"/>
  <c r="CA84" i="18"/>
  <c r="CA85" i="18"/>
  <c r="CA86" i="18"/>
  <c r="CA87" i="18"/>
  <c r="CA88" i="18"/>
  <c r="CA89" i="18"/>
  <c r="CA90" i="18"/>
  <c r="CA91" i="18"/>
  <c r="CA92" i="18"/>
  <c r="CA93" i="18"/>
  <c r="CA94" i="18"/>
  <c r="CA95" i="18"/>
  <c r="CA96" i="18"/>
  <c r="CA97" i="18"/>
  <c r="CA98" i="18"/>
  <c r="CA99" i="18"/>
  <c r="CA100" i="18"/>
  <c r="CA101" i="18"/>
  <c r="CA102" i="18"/>
  <c r="CA103" i="18"/>
  <c r="CA104" i="18"/>
  <c r="CA105" i="18"/>
  <c r="CA106" i="18"/>
  <c r="CA107" i="18"/>
  <c r="CA108" i="18"/>
  <c r="CA109" i="18"/>
  <c r="CA110" i="18"/>
  <c r="CA111" i="18"/>
  <c r="CA112" i="18"/>
  <c r="CA113" i="18"/>
  <c r="CA114" i="18"/>
  <c r="CA115" i="18"/>
  <c r="CA116" i="18"/>
  <c r="CA117" i="18"/>
  <c r="CA118" i="18"/>
  <c r="CA119" i="18"/>
  <c r="CA120" i="18"/>
  <c r="CA121" i="18"/>
  <c r="CA122" i="18"/>
  <c r="CA123" i="18"/>
  <c r="CA124" i="18"/>
  <c r="CA125" i="18"/>
  <c r="CA126" i="18"/>
  <c r="CA127" i="18"/>
  <c r="CA128" i="18"/>
  <c r="CA129" i="18"/>
  <c r="CA130" i="18"/>
  <c r="CA131" i="18"/>
  <c r="CA132" i="18"/>
  <c r="CA133" i="18"/>
  <c r="CA134" i="18"/>
  <c r="CA135" i="18"/>
  <c r="CA136" i="18"/>
  <c r="CA137" i="18"/>
  <c r="CA138" i="18"/>
  <c r="CA139" i="18"/>
  <c r="CA140" i="18"/>
  <c r="CA141" i="18"/>
  <c r="CA142" i="18"/>
  <c r="CA143" i="18"/>
  <c r="CA144" i="18"/>
  <c r="CA145" i="18"/>
  <c r="CA146" i="18"/>
  <c r="CA147" i="18"/>
  <c r="CA148" i="18"/>
  <c r="CA149" i="18"/>
  <c r="CA150" i="18"/>
  <c r="CA151" i="18"/>
  <c r="CA152" i="18"/>
  <c r="CA153" i="18"/>
  <c r="CA154" i="18"/>
  <c r="CA155" i="18"/>
  <c r="CA156" i="18"/>
  <c r="CA157" i="18"/>
  <c r="CA158" i="18"/>
  <c r="CA159" i="18"/>
  <c r="CA160" i="18"/>
  <c r="CA161" i="18"/>
  <c r="CA162" i="18"/>
  <c r="CA163" i="18"/>
  <c r="CA164" i="18"/>
  <c r="CA165" i="18"/>
  <c r="CA166" i="18"/>
  <c r="CA167" i="18"/>
  <c r="CA168" i="18"/>
  <c r="CA169" i="18"/>
  <c r="CA170" i="18"/>
  <c r="CA171" i="18"/>
  <c r="CA172" i="18"/>
  <c r="CA173" i="18"/>
  <c r="CA174" i="18"/>
  <c r="CA175" i="18"/>
  <c r="CA176" i="18"/>
  <c r="CA177" i="18"/>
  <c r="CA178" i="18"/>
  <c r="CA179" i="18"/>
  <c r="CA180" i="18"/>
  <c r="CA181" i="18"/>
  <c r="CA182" i="18"/>
  <c r="CA183" i="18"/>
  <c r="CA184" i="18"/>
  <c r="CA185" i="18"/>
  <c r="CA186" i="18"/>
  <c r="CA187" i="18"/>
  <c r="CA188" i="18"/>
  <c r="CA189" i="18"/>
  <c r="CA190" i="18"/>
  <c r="CA191" i="18"/>
  <c r="CA192" i="18"/>
  <c r="CA193" i="18"/>
  <c r="CA194" i="18"/>
  <c r="CA195" i="18"/>
  <c r="CA196" i="18"/>
  <c r="CA197" i="18"/>
  <c r="CA198" i="18"/>
  <c r="CA199" i="18"/>
  <c r="CA200" i="18"/>
  <c r="CA201" i="18"/>
  <c r="CA202" i="18"/>
  <c r="CA203" i="18"/>
  <c r="CA204" i="18"/>
  <c r="CA205" i="18"/>
  <c r="CA206" i="18"/>
  <c r="CA207" i="18"/>
  <c r="CA208" i="18"/>
  <c r="CA209" i="18"/>
  <c r="CA210" i="18"/>
  <c r="CA211" i="18"/>
  <c r="CA212" i="18"/>
  <c r="CA213" i="18"/>
  <c r="CA214" i="18"/>
  <c r="CA215" i="18"/>
  <c r="CA216" i="18"/>
  <c r="CA217" i="18"/>
  <c r="CA218" i="18"/>
  <c r="CA219" i="18"/>
  <c r="CA220" i="18"/>
  <c r="CA221" i="18"/>
  <c r="CA222" i="18"/>
  <c r="CA223" i="18"/>
  <c r="CA224" i="18"/>
  <c r="CA225" i="18"/>
  <c r="CA226" i="18"/>
  <c r="CA227" i="18"/>
  <c r="CA228" i="18"/>
  <c r="CA229" i="18"/>
  <c r="CA230" i="18"/>
  <c r="CA231" i="18"/>
  <c r="CA232" i="18"/>
  <c r="CA233" i="18"/>
  <c r="CA234" i="18"/>
  <c r="CA235" i="18"/>
  <c r="CA236" i="18"/>
  <c r="CA237" i="18"/>
  <c r="CA238" i="18"/>
  <c r="CA239" i="18"/>
  <c r="CA240" i="18"/>
  <c r="CA241" i="18"/>
  <c r="CA242" i="18"/>
  <c r="CA243" i="18"/>
  <c r="CA244" i="18"/>
  <c r="CA245" i="18"/>
  <c r="CA246" i="18"/>
  <c r="CA247" i="18"/>
  <c r="CA248" i="18"/>
  <c r="CA249" i="18"/>
  <c r="CA250" i="18"/>
  <c r="CA251" i="18"/>
  <c r="CA252" i="18"/>
  <c r="CA253" i="18"/>
  <c r="CA254" i="18"/>
  <c r="CA255" i="18"/>
  <c r="CA256" i="18"/>
  <c r="CA257" i="18"/>
  <c r="CA258" i="18"/>
  <c r="CA259" i="18"/>
  <c r="CA260" i="18"/>
  <c r="CA261" i="18"/>
  <c r="CA262" i="18"/>
  <c r="CA263" i="18"/>
  <c r="CA264" i="18"/>
  <c r="CA265" i="18"/>
  <c r="CA266" i="18"/>
  <c r="CA267" i="18"/>
  <c r="CA268" i="18"/>
  <c r="CA269" i="18"/>
  <c r="CA270" i="18"/>
  <c r="CA271" i="18"/>
  <c r="CA272" i="18"/>
  <c r="CA273" i="18"/>
  <c r="CA274" i="18"/>
  <c r="CA275" i="18"/>
  <c r="CA276" i="18"/>
  <c r="CA277" i="18"/>
  <c r="CA278" i="18"/>
  <c r="CA279" i="18"/>
  <c r="CA280" i="18"/>
  <c r="CA281" i="18"/>
  <c r="CA282" i="18"/>
  <c r="CA283" i="18"/>
  <c r="CA284" i="18"/>
  <c r="CA285" i="18"/>
  <c r="CA286" i="18"/>
  <c r="CA287" i="18"/>
  <c r="CA288" i="18"/>
  <c r="CA289" i="18"/>
  <c r="CA290" i="18"/>
  <c r="CA291" i="18"/>
  <c r="CA292" i="18"/>
  <c r="CA293" i="18"/>
  <c r="CA294" i="18"/>
  <c r="CA295" i="18"/>
  <c r="CA296" i="18"/>
  <c r="CA297" i="18"/>
  <c r="CA298" i="18"/>
  <c r="CA299" i="18"/>
  <c r="CA300" i="18"/>
  <c r="CA301" i="18"/>
  <c r="CA302" i="18"/>
  <c r="CA303" i="18"/>
  <c r="CA304" i="18"/>
  <c r="CA305" i="18"/>
  <c r="CA306" i="18"/>
  <c r="CA307" i="18"/>
  <c r="CA308" i="18"/>
  <c r="CA309" i="18"/>
  <c r="CA310" i="18"/>
  <c r="CA311" i="18"/>
  <c r="CA312" i="18"/>
  <c r="CA313" i="18"/>
  <c r="CA314" i="18"/>
  <c r="CA315" i="18"/>
  <c r="CA316" i="18"/>
  <c r="CA317" i="18"/>
  <c r="CA318" i="18"/>
  <c r="CA319" i="18"/>
  <c r="CA320" i="18"/>
  <c r="CA321" i="18"/>
  <c r="CA322" i="18"/>
  <c r="CA323" i="18"/>
  <c r="CA324" i="18"/>
  <c r="CA325" i="18"/>
  <c r="CA326" i="18"/>
  <c r="CA327" i="18"/>
  <c r="CA328" i="18"/>
  <c r="CA329" i="18"/>
  <c r="CA330" i="18"/>
  <c r="CA331" i="18"/>
  <c r="CA332" i="18"/>
  <c r="CA333" i="18"/>
  <c r="CA334" i="18"/>
  <c r="CA335" i="18"/>
  <c r="CA336" i="18"/>
  <c r="CA337" i="18"/>
  <c r="CA338" i="18"/>
  <c r="CB3" i="18"/>
  <c r="CB4" i="18"/>
  <c r="CB5" i="18"/>
  <c r="CB6" i="18"/>
  <c r="CB7" i="18"/>
  <c r="CB8" i="18"/>
  <c r="CB9" i="18"/>
  <c r="CB10" i="18"/>
  <c r="CB11" i="18"/>
  <c r="CB12" i="18"/>
  <c r="CB13" i="18"/>
  <c r="CB14" i="18"/>
  <c r="CB15" i="18"/>
  <c r="CB16" i="18"/>
  <c r="CB17" i="18"/>
  <c r="CB18" i="18"/>
  <c r="CB19" i="18"/>
  <c r="CB20" i="18"/>
  <c r="CB21" i="18"/>
  <c r="CB22" i="18"/>
  <c r="CB23" i="18"/>
  <c r="CB24" i="18"/>
  <c r="CB25" i="18"/>
  <c r="CB26" i="18"/>
  <c r="CB27" i="18"/>
  <c r="CB28" i="18"/>
  <c r="CB29" i="18"/>
  <c r="CB30" i="18"/>
  <c r="CB31" i="18"/>
  <c r="CB32" i="18"/>
  <c r="CB33" i="18"/>
  <c r="CB34" i="18"/>
  <c r="CB35" i="18"/>
  <c r="CB36" i="18"/>
  <c r="CB37" i="18"/>
  <c r="CB38" i="18"/>
  <c r="CB39" i="18"/>
  <c r="CB40" i="18"/>
  <c r="CB41" i="18"/>
  <c r="CB42" i="18"/>
  <c r="CB43" i="18"/>
  <c r="CB44" i="18"/>
  <c r="CB45" i="18"/>
  <c r="CB46" i="18"/>
  <c r="CB47" i="18"/>
  <c r="CB48" i="18"/>
  <c r="CB49" i="18"/>
  <c r="CB50" i="18"/>
  <c r="CB51" i="18"/>
  <c r="CB52" i="18"/>
  <c r="CB53" i="18"/>
  <c r="CB54" i="18"/>
  <c r="CB55" i="18"/>
  <c r="CB56" i="18"/>
  <c r="CB57" i="18"/>
  <c r="CB58" i="18"/>
  <c r="CB59" i="18"/>
  <c r="CB60" i="18"/>
  <c r="CB61" i="18"/>
  <c r="CB62" i="18"/>
  <c r="CB63" i="18"/>
  <c r="CB64" i="18"/>
  <c r="CB65" i="18"/>
  <c r="CB66" i="18"/>
  <c r="CB67" i="18"/>
  <c r="CB68" i="18"/>
  <c r="CB69" i="18"/>
  <c r="CB70" i="18"/>
  <c r="CB71" i="18"/>
  <c r="CB72" i="18"/>
  <c r="CB73" i="18"/>
  <c r="CB74" i="18"/>
  <c r="CB75" i="18"/>
  <c r="CB76" i="18"/>
  <c r="CB77" i="18"/>
  <c r="CB78" i="18"/>
  <c r="CB79" i="18"/>
  <c r="CB80" i="18"/>
  <c r="CB81" i="18"/>
  <c r="CB82" i="18"/>
  <c r="CB83" i="18"/>
  <c r="CB84" i="18"/>
  <c r="CB85" i="18"/>
  <c r="CB86" i="18"/>
  <c r="CB87" i="18"/>
  <c r="CB88" i="18"/>
  <c r="CB89" i="18"/>
  <c r="CB90" i="18"/>
  <c r="CB91" i="18"/>
  <c r="CB92" i="18"/>
  <c r="CB93" i="18"/>
  <c r="CB94" i="18"/>
  <c r="CB95" i="18"/>
  <c r="CB96" i="18"/>
  <c r="CB97" i="18"/>
  <c r="CB98" i="18"/>
  <c r="CB99" i="18"/>
  <c r="CB100" i="18"/>
  <c r="CB101" i="18"/>
  <c r="CB102" i="18"/>
  <c r="CB103" i="18"/>
  <c r="CB104" i="18"/>
  <c r="CB105" i="18"/>
  <c r="CB106" i="18"/>
  <c r="CB107" i="18"/>
  <c r="CB108" i="18"/>
  <c r="CB109" i="18"/>
  <c r="CB110" i="18"/>
  <c r="CB111" i="18"/>
  <c r="CB112" i="18"/>
  <c r="CB113" i="18"/>
  <c r="CB114" i="18"/>
  <c r="CB115" i="18"/>
  <c r="CB116" i="18"/>
  <c r="CB117" i="18"/>
  <c r="CB118" i="18"/>
  <c r="CB119" i="18"/>
  <c r="CB120" i="18"/>
  <c r="CB121" i="18"/>
  <c r="CB122" i="18"/>
  <c r="CB123" i="18"/>
  <c r="CB124" i="18"/>
  <c r="CB125" i="18"/>
  <c r="CB126" i="18"/>
  <c r="CB127" i="18"/>
  <c r="CB128" i="18"/>
  <c r="CB129" i="18"/>
  <c r="CB130" i="18"/>
  <c r="CB131" i="18"/>
  <c r="CB132" i="18"/>
  <c r="CB133" i="18"/>
  <c r="CB134" i="18"/>
  <c r="CB135" i="18"/>
  <c r="CB136" i="18"/>
  <c r="CB137" i="18"/>
  <c r="CB138" i="18"/>
  <c r="CB139" i="18"/>
  <c r="CB140" i="18"/>
  <c r="CB141" i="18"/>
  <c r="CB142" i="18"/>
  <c r="CB143" i="18"/>
  <c r="CB144" i="18"/>
  <c r="CB145" i="18"/>
  <c r="CB146" i="18"/>
  <c r="CB147" i="18"/>
  <c r="CB148" i="18"/>
  <c r="CB149" i="18"/>
  <c r="CB150" i="18"/>
  <c r="CB151" i="18"/>
  <c r="CB152" i="18"/>
  <c r="CB153" i="18"/>
  <c r="CB154" i="18"/>
  <c r="CB155" i="18"/>
  <c r="CB156" i="18"/>
  <c r="CB157" i="18"/>
  <c r="CB158" i="18"/>
  <c r="CB159" i="18"/>
  <c r="CB160" i="18"/>
  <c r="CB161" i="18"/>
  <c r="CB162" i="18"/>
  <c r="CB163" i="18"/>
  <c r="CB164" i="18"/>
  <c r="CB165" i="18"/>
  <c r="CB166" i="18"/>
  <c r="CB167" i="18"/>
  <c r="CB168" i="18"/>
  <c r="CB169" i="18"/>
  <c r="CB170" i="18"/>
  <c r="CB171" i="18"/>
  <c r="CB172" i="18"/>
  <c r="CB173" i="18"/>
  <c r="CB174" i="18"/>
  <c r="CB175" i="18"/>
  <c r="CB176" i="18"/>
  <c r="CB177" i="18"/>
  <c r="CB178" i="18"/>
  <c r="CB179" i="18"/>
  <c r="CB180" i="18"/>
  <c r="CB181" i="18"/>
  <c r="CB182" i="18"/>
  <c r="CB183" i="18"/>
  <c r="CB184" i="18"/>
  <c r="CB185" i="18"/>
  <c r="CB186" i="18"/>
  <c r="CB187" i="18"/>
  <c r="CB188" i="18"/>
  <c r="CB189" i="18"/>
  <c r="CB190" i="18"/>
  <c r="CB191" i="18"/>
  <c r="CB192" i="18"/>
  <c r="CB193" i="18"/>
  <c r="CB194" i="18"/>
  <c r="CB195" i="18"/>
  <c r="CB196" i="18"/>
  <c r="CB197" i="18"/>
  <c r="CB198" i="18"/>
  <c r="CB199" i="18"/>
  <c r="CB200" i="18"/>
  <c r="CB201" i="18"/>
  <c r="CB202" i="18"/>
  <c r="CB203" i="18"/>
  <c r="CB204" i="18"/>
  <c r="CB205" i="18"/>
  <c r="CB206" i="18"/>
  <c r="CB207" i="18"/>
  <c r="CB208" i="18"/>
  <c r="CB209" i="18"/>
  <c r="CB210" i="18"/>
  <c r="CB211" i="18"/>
  <c r="CB212" i="18"/>
  <c r="CB213" i="18"/>
  <c r="CB214" i="18"/>
  <c r="CB215" i="18"/>
  <c r="CB216" i="18"/>
  <c r="CB217" i="18"/>
  <c r="CB218" i="18"/>
  <c r="CB219" i="18"/>
  <c r="CB220" i="18"/>
  <c r="CB221" i="18"/>
  <c r="CB222" i="18"/>
  <c r="CB223" i="18"/>
  <c r="CB224" i="18"/>
  <c r="CB225" i="18"/>
  <c r="CB226" i="18"/>
  <c r="CB227" i="18"/>
  <c r="CB228" i="18"/>
  <c r="CB229" i="18"/>
  <c r="CB230" i="18"/>
  <c r="CB231" i="18"/>
  <c r="CB232" i="18"/>
  <c r="CB233" i="18"/>
  <c r="CB234" i="18"/>
  <c r="CB235" i="18"/>
  <c r="CB236" i="18"/>
  <c r="CB237" i="18"/>
  <c r="CB238" i="18"/>
  <c r="CB239" i="18"/>
  <c r="CB240" i="18"/>
  <c r="CB241" i="18"/>
  <c r="CB242" i="18"/>
  <c r="CB243" i="18"/>
  <c r="CB244" i="18"/>
  <c r="CB245" i="18"/>
  <c r="CB246" i="18"/>
  <c r="CB247" i="18"/>
  <c r="CB248" i="18"/>
  <c r="CB249" i="18"/>
  <c r="CB250" i="18"/>
  <c r="CB251" i="18"/>
  <c r="CB252" i="18"/>
  <c r="CB253" i="18"/>
  <c r="CB254" i="18"/>
  <c r="CB255" i="18"/>
  <c r="CB256" i="18"/>
  <c r="CB257" i="18"/>
  <c r="CB258" i="18"/>
  <c r="CB259" i="18"/>
  <c r="CB260" i="18"/>
  <c r="CB261" i="18"/>
  <c r="CB262" i="18"/>
  <c r="CB263" i="18"/>
  <c r="CB264" i="18"/>
  <c r="CB265" i="18"/>
  <c r="CB266" i="18"/>
  <c r="CB267" i="18"/>
  <c r="CB268" i="18"/>
  <c r="CB269" i="18"/>
  <c r="CB270" i="18"/>
  <c r="CB271" i="18"/>
  <c r="CB272" i="18"/>
  <c r="CB273" i="18"/>
  <c r="CB274" i="18"/>
  <c r="CB275" i="18"/>
  <c r="CB276" i="18"/>
  <c r="CB277" i="18"/>
  <c r="CB278" i="18"/>
  <c r="CB279" i="18"/>
  <c r="CB280" i="18"/>
  <c r="CB281" i="18"/>
  <c r="CB282" i="18"/>
  <c r="CB283" i="18"/>
  <c r="CB284" i="18"/>
  <c r="CB285" i="18"/>
  <c r="CB286" i="18"/>
  <c r="CB287" i="18"/>
  <c r="CB288" i="18"/>
  <c r="CB289" i="18"/>
  <c r="CB290" i="18"/>
  <c r="CB291" i="18"/>
  <c r="CB292" i="18"/>
  <c r="CB293" i="18"/>
  <c r="CB294" i="18"/>
  <c r="CB295" i="18"/>
  <c r="CB296" i="18"/>
  <c r="CB297" i="18"/>
  <c r="CB298" i="18"/>
  <c r="CB299" i="18"/>
  <c r="CB300" i="18"/>
  <c r="CB301" i="18"/>
  <c r="CB302" i="18"/>
  <c r="CB303" i="18"/>
  <c r="CB304" i="18"/>
  <c r="CB305" i="18"/>
  <c r="CB306" i="18"/>
  <c r="CB307" i="18"/>
  <c r="CB308" i="18"/>
  <c r="CB309" i="18"/>
  <c r="CB310" i="18"/>
  <c r="CB311" i="18"/>
  <c r="CB312" i="18"/>
  <c r="CB313" i="18"/>
  <c r="CB314" i="18"/>
  <c r="CB315" i="18"/>
  <c r="CB316" i="18"/>
  <c r="CB317" i="18"/>
  <c r="CB318" i="18"/>
  <c r="CB319" i="18"/>
  <c r="CB320" i="18"/>
  <c r="CB321" i="18"/>
  <c r="CB322" i="18"/>
  <c r="CB323" i="18"/>
  <c r="CB324" i="18"/>
  <c r="CB325" i="18"/>
  <c r="CB326" i="18"/>
  <c r="CB327" i="18"/>
  <c r="CB328" i="18"/>
  <c r="CB329" i="18"/>
  <c r="CB330" i="18"/>
  <c r="CB331" i="18"/>
  <c r="CB332" i="18"/>
  <c r="CB333" i="18"/>
  <c r="CB334" i="18"/>
  <c r="CB335" i="18"/>
  <c r="CB336" i="18"/>
  <c r="CB337" i="18"/>
  <c r="CB338" i="18"/>
  <c r="CC3" i="18"/>
  <c r="CC4" i="18"/>
  <c r="CC5" i="18"/>
  <c r="CC6" i="18"/>
  <c r="CC7" i="18"/>
  <c r="CC8" i="18"/>
  <c r="CC9" i="18"/>
  <c r="CC10" i="18"/>
  <c r="CC11" i="18"/>
  <c r="CC12" i="18"/>
  <c r="CC13" i="18"/>
  <c r="CC14" i="18"/>
  <c r="CC15" i="18"/>
  <c r="CC16" i="18"/>
  <c r="CC17" i="18"/>
  <c r="CC18" i="18"/>
  <c r="CC19" i="18"/>
  <c r="CC20" i="18"/>
  <c r="CC21" i="18"/>
  <c r="CC22" i="18"/>
  <c r="CC23" i="18"/>
  <c r="CC24" i="18"/>
  <c r="CC25" i="18"/>
  <c r="CC26" i="18"/>
  <c r="CC27" i="18"/>
  <c r="CC28" i="18"/>
  <c r="CC29" i="18"/>
  <c r="CC30" i="18"/>
  <c r="CC31" i="18"/>
  <c r="CC32" i="18"/>
  <c r="CC33" i="18"/>
  <c r="CC34" i="18"/>
  <c r="CC35" i="18"/>
  <c r="CC36" i="18"/>
  <c r="CC37" i="18"/>
  <c r="CC38" i="18"/>
  <c r="CC39" i="18"/>
  <c r="CC40" i="18"/>
  <c r="CC41" i="18"/>
  <c r="CC42" i="18"/>
  <c r="CC43" i="18"/>
  <c r="CC44" i="18"/>
  <c r="CC45" i="18"/>
  <c r="CC46" i="18"/>
  <c r="CC47" i="18"/>
  <c r="CC48" i="18"/>
  <c r="CC49" i="18"/>
  <c r="CC50" i="18"/>
  <c r="CC51" i="18"/>
  <c r="CC52" i="18"/>
  <c r="CC53" i="18"/>
  <c r="CC54" i="18"/>
  <c r="CC55" i="18"/>
  <c r="CC56" i="18"/>
  <c r="CC57" i="18"/>
  <c r="CC58" i="18"/>
  <c r="CC59" i="18"/>
  <c r="CC60" i="18"/>
  <c r="CC61" i="18"/>
  <c r="CC62" i="18"/>
  <c r="CC63" i="18"/>
  <c r="CC64" i="18"/>
  <c r="CC65" i="18"/>
  <c r="CC66" i="18"/>
  <c r="CC67" i="18"/>
  <c r="CC68" i="18"/>
  <c r="CC69" i="18"/>
  <c r="CC70" i="18"/>
  <c r="CC71" i="18"/>
  <c r="CC72" i="18"/>
  <c r="CC73" i="18"/>
  <c r="CC74" i="18"/>
  <c r="CC75" i="18"/>
  <c r="CC76" i="18"/>
  <c r="CC77" i="18"/>
  <c r="CC78" i="18"/>
  <c r="CC79" i="18"/>
  <c r="CC80" i="18"/>
  <c r="CC81" i="18"/>
  <c r="CC82" i="18"/>
  <c r="CC83" i="18"/>
  <c r="CC84" i="18"/>
  <c r="CC85" i="18"/>
  <c r="CC86" i="18"/>
  <c r="CC87" i="18"/>
  <c r="CC88" i="18"/>
  <c r="CC89" i="18"/>
  <c r="CC90" i="18"/>
  <c r="CC91" i="18"/>
  <c r="CC92" i="18"/>
  <c r="CC93" i="18"/>
  <c r="CC94" i="18"/>
  <c r="CC95" i="18"/>
  <c r="CC96" i="18"/>
  <c r="CC97" i="18"/>
  <c r="CC98" i="18"/>
  <c r="CC99" i="18"/>
  <c r="CC100" i="18"/>
  <c r="CC101" i="18"/>
  <c r="CC102" i="18"/>
  <c r="CC103" i="18"/>
  <c r="CC104" i="18"/>
  <c r="CC105" i="18"/>
  <c r="CC106" i="18"/>
  <c r="CC107" i="18"/>
  <c r="CC108" i="18"/>
  <c r="CC109" i="18"/>
  <c r="CC110" i="18"/>
  <c r="CC111" i="18"/>
  <c r="CC112" i="18"/>
  <c r="CC113" i="18"/>
  <c r="CC114" i="18"/>
  <c r="CC115" i="18"/>
  <c r="CC116" i="18"/>
  <c r="CC117" i="18"/>
  <c r="CC118" i="18"/>
  <c r="CC119" i="18"/>
  <c r="CC120" i="18"/>
  <c r="CC121" i="18"/>
  <c r="CC122" i="18"/>
  <c r="CC123" i="18"/>
  <c r="CC124" i="18"/>
  <c r="CC125" i="18"/>
  <c r="CC126" i="18"/>
  <c r="CC127" i="18"/>
  <c r="CC128" i="18"/>
  <c r="CC129" i="18"/>
  <c r="CC130" i="18"/>
  <c r="CC131" i="18"/>
  <c r="CC132" i="18"/>
  <c r="CC133" i="18"/>
  <c r="CC134" i="18"/>
  <c r="CC135" i="18"/>
  <c r="CC136" i="18"/>
  <c r="CC137" i="18"/>
  <c r="CC138" i="18"/>
  <c r="CC139" i="18"/>
  <c r="CC140" i="18"/>
  <c r="CC141" i="18"/>
  <c r="CC142" i="18"/>
  <c r="CC143" i="18"/>
  <c r="CC144" i="18"/>
  <c r="CC145" i="18"/>
  <c r="CC146" i="18"/>
  <c r="CC147" i="18"/>
  <c r="CC148" i="18"/>
  <c r="CC149" i="18"/>
  <c r="CC150" i="18"/>
  <c r="CC151" i="18"/>
  <c r="CC152" i="18"/>
  <c r="CC153" i="18"/>
  <c r="CC154" i="18"/>
  <c r="CC155" i="18"/>
  <c r="CC156" i="18"/>
  <c r="CC157" i="18"/>
  <c r="CC158" i="18"/>
  <c r="CC159" i="18"/>
  <c r="CC160" i="18"/>
  <c r="CC161" i="18"/>
  <c r="CC162" i="18"/>
  <c r="CC163" i="18"/>
  <c r="CC164" i="18"/>
  <c r="CC165" i="18"/>
  <c r="CC166" i="18"/>
  <c r="CC167" i="18"/>
  <c r="CC168" i="18"/>
  <c r="CC169" i="18"/>
  <c r="CC170" i="18"/>
  <c r="CC171" i="18"/>
  <c r="CC172" i="18"/>
  <c r="CC173" i="18"/>
  <c r="CC174" i="18"/>
  <c r="CC175" i="18"/>
  <c r="CC176" i="18"/>
  <c r="CC177" i="18"/>
  <c r="CC178" i="18"/>
  <c r="CC179" i="18"/>
  <c r="CC180" i="18"/>
  <c r="CC181" i="18"/>
  <c r="CC182" i="18"/>
  <c r="CC183" i="18"/>
  <c r="CC184" i="18"/>
  <c r="CC185" i="18"/>
  <c r="CC186" i="18"/>
  <c r="CC187" i="18"/>
  <c r="CC188" i="18"/>
  <c r="CC189" i="18"/>
  <c r="CC190" i="18"/>
  <c r="CC191" i="18"/>
  <c r="CC192" i="18"/>
  <c r="CC193" i="18"/>
  <c r="CC194" i="18"/>
  <c r="CC195" i="18"/>
  <c r="CC196" i="18"/>
  <c r="CC197" i="18"/>
  <c r="CC198" i="18"/>
  <c r="CC199" i="18"/>
  <c r="CC200" i="18"/>
  <c r="CC201" i="18"/>
  <c r="CC202" i="18"/>
  <c r="CC203" i="18"/>
  <c r="CC204" i="18"/>
  <c r="CC205" i="18"/>
  <c r="CC206" i="18"/>
  <c r="CC207" i="18"/>
  <c r="CC208" i="18"/>
  <c r="CC209" i="18"/>
  <c r="CC210" i="18"/>
  <c r="CC211" i="18"/>
  <c r="CC212" i="18"/>
  <c r="CC213" i="18"/>
  <c r="CC214" i="18"/>
  <c r="CC215" i="18"/>
  <c r="CC216" i="18"/>
  <c r="CC217" i="18"/>
  <c r="CC218" i="18"/>
  <c r="CC219" i="18"/>
  <c r="CC220" i="18"/>
  <c r="CC221" i="18"/>
  <c r="CC222" i="18"/>
  <c r="CC223" i="18"/>
  <c r="CC224" i="18"/>
  <c r="CC225" i="18"/>
  <c r="CC226" i="18"/>
  <c r="CC227" i="18"/>
  <c r="CC228" i="18"/>
  <c r="CC229" i="18"/>
  <c r="CC230" i="18"/>
  <c r="CC231" i="18"/>
  <c r="CC232" i="18"/>
  <c r="CC233" i="18"/>
  <c r="CC234" i="18"/>
  <c r="CC235" i="18"/>
  <c r="CC236" i="18"/>
  <c r="CC237" i="18"/>
  <c r="CC238" i="18"/>
  <c r="CC239" i="18"/>
  <c r="CC240" i="18"/>
  <c r="CC241" i="18"/>
  <c r="CC242" i="18"/>
  <c r="CC243" i="18"/>
  <c r="CC244" i="18"/>
  <c r="CC245" i="18"/>
  <c r="CC246" i="18"/>
  <c r="CC247" i="18"/>
  <c r="CC248" i="18"/>
  <c r="CC249" i="18"/>
  <c r="CC250" i="18"/>
  <c r="CC251" i="18"/>
  <c r="CC252" i="18"/>
  <c r="CC253" i="18"/>
  <c r="CC254" i="18"/>
  <c r="CC255" i="18"/>
  <c r="CC256" i="18"/>
  <c r="CC257" i="18"/>
  <c r="CC258" i="18"/>
  <c r="CC259" i="18"/>
  <c r="CC260" i="18"/>
  <c r="CC261" i="18"/>
  <c r="CC262" i="18"/>
  <c r="CC263" i="18"/>
  <c r="CC264" i="18"/>
  <c r="CC265" i="18"/>
  <c r="CC266" i="18"/>
  <c r="CC267" i="18"/>
  <c r="CC268" i="18"/>
  <c r="CC269" i="18"/>
  <c r="CC270" i="18"/>
  <c r="CC271" i="18"/>
  <c r="CC272" i="18"/>
  <c r="CC273" i="18"/>
  <c r="CC274" i="18"/>
  <c r="CC275" i="18"/>
  <c r="CC276" i="18"/>
  <c r="CC277" i="18"/>
  <c r="CC278" i="18"/>
  <c r="CC279" i="18"/>
  <c r="CC280" i="18"/>
  <c r="CC281" i="18"/>
  <c r="CC282" i="18"/>
  <c r="CC283" i="18"/>
  <c r="CC284" i="18"/>
  <c r="CC285" i="18"/>
  <c r="CC286" i="18"/>
  <c r="CC287" i="18"/>
  <c r="CC288" i="18"/>
  <c r="CC289" i="18"/>
  <c r="CC290" i="18"/>
  <c r="CC291" i="18"/>
  <c r="CC292" i="18"/>
  <c r="CC293" i="18"/>
  <c r="CC294" i="18"/>
  <c r="CC295" i="18"/>
  <c r="CC296" i="18"/>
  <c r="CC297" i="18"/>
  <c r="CC298" i="18"/>
  <c r="CC299" i="18"/>
  <c r="CC300" i="18"/>
  <c r="CC301" i="18"/>
  <c r="CC302" i="18"/>
  <c r="CC303" i="18"/>
  <c r="CC304" i="18"/>
  <c r="CC305" i="18"/>
  <c r="CC306" i="18"/>
  <c r="CC307" i="18"/>
  <c r="CC308" i="18"/>
  <c r="CC309" i="18"/>
  <c r="CC310" i="18"/>
  <c r="CC311" i="18"/>
  <c r="CC312" i="18"/>
  <c r="CC313" i="18"/>
  <c r="CC314" i="18"/>
  <c r="CC315" i="18"/>
  <c r="CC316" i="18"/>
  <c r="CC317" i="18"/>
  <c r="CC318" i="18"/>
  <c r="CC319" i="18"/>
  <c r="CC320" i="18"/>
  <c r="CC321" i="18"/>
  <c r="CC322" i="18"/>
  <c r="CC323" i="18"/>
  <c r="CC324" i="18"/>
  <c r="CC325" i="18"/>
  <c r="CC326" i="18"/>
  <c r="CC327" i="18"/>
  <c r="CC328" i="18"/>
  <c r="CC329" i="18"/>
  <c r="CC330" i="18"/>
  <c r="CC331" i="18"/>
  <c r="CC332" i="18"/>
  <c r="CC333" i="18"/>
  <c r="CC334" i="18"/>
  <c r="CC335" i="18"/>
  <c r="CC336" i="18"/>
  <c r="CC337" i="18"/>
  <c r="CC338" i="18"/>
  <c r="CF3" i="18"/>
  <c r="CF4" i="18"/>
  <c r="CF5" i="18"/>
  <c r="CF6" i="18"/>
  <c r="CF7" i="18"/>
  <c r="CF8" i="18"/>
  <c r="CF9" i="18"/>
  <c r="CF10" i="18"/>
  <c r="CF11" i="18"/>
  <c r="CF12" i="18"/>
  <c r="CF13" i="18"/>
  <c r="CF14" i="18"/>
  <c r="CF15" i="18"/>
  <c r="CF16" i="18"/>
  <c r="CF17" i="18"/>
  <c r="CF18" i="18"/>
  <c r="CF19" i="18"/>
  <c r="CF20" i="18"/>
  <c r="CF21" i="18"/>
  <c r="CF22" i="18"/>
  <c r="CF23" i="18"/>
  <c r="CF24" i="18"/>
  <c r="CF25" i="18"/>
  <c r="CF26" i="18"/>
  <c r="CF27" i="18"/>
  <c r="CF28" i="18"/>
  <c r="CF29" i="18"/>
  <c r="CF30" i="18"/>
  <c r="CF31" i="18"/>
  <c r="CF32" i="18"/>
  <c r="CF33" i="18"/>
  <c r="CF34" i="18"/>
  <c r="CF35" i="18"/>
  <c r="CF36" i="18"/>
  <c r="CF37" i="18"/>
  <c r="CF38" i="18"/>
  <c r="CF39" i="18"/>
  <c r="CF40" i="18"/>
  <c r="CF41" i="18"/>
  <c r="CF42" i="18"/>
  <c r="CF43" i="18"/>
  <c r="CF44" i="18"/>
  <c r="CF45" i="18"/>
  <c r="CF46" i="18"/>
  <c r="CF47" i="18"/>
  <c r="CF48" i="18"/>
  <c r="CF49" i="18"/>
  <c r="CF50" i="18"/>
  <c r="CF51" i="18"/>
  <c r="CF52" i="18"/>
  <c r="CF53" i="18"/>
  <c r="CF54" i="18"/>
  <c r="CF55" i="18"/>
  <c r="CF56" i="18"/>
  <c r="CF57" i="18"/>
  <c r="CF58" i="18"/>
  <c r="CF59" i="18"/>
  <c r="CF60" i="18"/>
  <c r="CF61" i="18"/>
  <c r="CF62" i="18"/>
  <c r="CF63" i="18"/>
  <c r="CF64" i="18"/>
  <c r="CF65" i="18"/>
  <c r="CF66" i="18"/>
  <c r="CF67" i="18"/>
  <c r="CF68" i="18"/>
  <c r="CF69" i="18"/>
  <c r="CF70" i="18"/>
  <c r="CF71" i="18"/>
  <c r="CF72" i="18"/>
  <c r="CF73" i="18"/>
  <c r="CF74" i="18"/>
  <c r="CF75" i="18"/>
  <c r="CF76" i="18"/>
  <c r="CF77" i="18"/>
  <c r="CF78" i="18"/>
  <c r="CF79" i="18"/>
  <c r="CF80" i="18"/>
  <c r="CF81" i="18"/>
  <c r="CF82" i="18"/>
  <c r="CF83" i="18"/>
  <c r="CF84" i="18"/>
  <c r="CF85" i="18"/>
  <c r="CF86" i="18"/>
  <c r="CF87" i="18"/>
  <c r="CF88" i="18"/>
  <c r="CF89" i="18"/>
  <c r="CF90" i="18"/>
  <c r="CF91" i="18"/>
  <c r="CF92" i="18"/>
  <c r="CF93" i="18"/>
  <c r="CF94" i="18"/>
  <c r="CF95" i="18"/>
  <c r="CF96" i="18"/>
  <c r="CF97" i="18"/>
  <c r="CF98" i="18"/>
  <c r="CF99" i="18"/>
  <c r="CF100" i="18"/>
  <c r="CF101" i="18"/>
  <c r="CF102" i="18"/>
  <c r="CF103" i="18"/>
  <c r="CF104" i="18"/>
  <c r="CF105" i="18"/>
  <c r="CF106" i="18"/>
  <c r="CF107" i="18"/>
  <c r="CF108" i="18"/>
  <c r="CF109" i="18"/>
  <c r="CF110" i="18"/>
  <c r="CF111" i="18"/>
  <c r="CF112" i="18"/>
  <c r="CF113" i="18"/>
  <c r="CF114" i="18"/>
  <c r="CF115" i="18"/>
  <c r="CF116" i="18"/>
  <c r="CF117" i="18"/>
  <c r="CF118" i="18"/>
  <c r="CF119" i="18"/>
  <c r="CF120" i="18"/>
  <c r="CF121" i="18"/>
  <c r="CF122" i="18"/>
  <c r="CF123" i="18"/>
  <c r="CF124" i="18"/>
  <c r="CF125" i="18"/>
  <c r="CF126" i="18"/>
  <c r="CF127" i="18"/>
  <c r="CF128" i="18"/>
  <c r="CF129" i="18"/>
  <c r="CF130" i="18"/>
  <c r="CF131" i="18"/>
  <c r="CF132" i="18"/>
  <c r="CF133" i="18"/>
  <c r="CF134" i="18"/>
  <c r="CF135" i="18"/>
  <c r="CF136" i="18"/>
  <c r="CF137" i="18"/>
  <c r="CF138" i="18"/>
  <c r="CF139" i="18"/>
  <c r="CF140" i="18"/>
  <c r="CF141" i="18"/>
  <c r="CF142" i="18"/>
  <c r="CF143" i="18"/>
  <c r="CF144" i="18"/>
  <c r="CF145" i="18"/>
  <c r="CF146" i="18"/>
  <c r="CF147" i="18"/>
  <c r="CF148" i="18"/>
  <c r="CF149" i="18"/>
  <c r="CF150" i="18"/>
  <c r="CF151" i="18"/>
  <c r="CF152" i="18"/>
  <c r="CF153" i="18"/>
  <c r="CF154" i="18"/>
  <c r="CF155" i="18"/>
  <c r="CF156" i="18"/>
  <c r="CF157" i="18"/>
  <c r="CF158" i="18"/>
  <c r="CF159" i="18"/>
  <c r="CF160" i="18"/>
  <c r="CF161" i="18"/>
  <c r="CF162" i="18"/>
  <c r="CF163" i="18"/>
  <c r="CF164" i="18"/>
  <c r="CF165" i="18"/>
  <c r="CF166" i="18"/>
  <c r="CF167" i="18"/>
  <c r="CF168" i="18"/>
  <c r="CF169" i="18"/>
  <c r="CF170" i="18"/>
  <c r="CF171" i="18"/>
  <c r="CF172" i="18"/>
  <c r="CF173" i="18"/>
  <c r="CF174" i="18"/>
  <c r="CF175" i="18"/>
  <c r="CF176" i="18"/>
  <c r="CF177" i="18"/>
  <c r="CF178" i="18"/>
  <c r="CF179" i="18"/>
  <c r="CF180" i="18"/>
  <c r="CF181" i="18"/>
  <c r="CF182" i="18"/>
  <c r="CF183" i="18"/>
  <c r="CF184" i="18"/>
  <c r="CF185" i="18"/>
  <c r="CF186" i="18"/>
  <c r="CF187" i="18"/>
  <c r="CF188" i="18"/>
  <c r="CF189" i="18"/>
  <c r="CF190" i="18"/>
  <c r="CF191" i="18"/>
  <c r="CF192" i="18"/>
  <c r="CF193" i="18"/>
  <c r="CF194" i="18"/>
  <c r="CF195" i="18"/>
  <c r="CF196" i="18"/>
  <c r="CF197" i="18"/>
  <c r="CF198" i="18"/>
  <c r="CF199" i="18"/>
  <c r="CF200" i="18"/>
  <c r="CF201" i="18"/>
  <c r="CF202" i="18"/>
  <c r="CF203" i="18"/>
  <c r="CF204" i="18"/>
  <c r="CF205" i="18"/>
  <c r="CF206" i="18"/>
  <c r="CF207" i="18"/>
  <c r="CF208" i="18"/>
  <c r="CF209" i="18"/>
  <c r="CF210" i="18"/>
  <c r="CF211" i="18"/>
  <c r="CF212" i="18"/>
  <c r="CF213" i="18"/>
  <c r="CF214" i="18"/>
  <c r="CF215" i="18"/>
  <c r="CF216" i="18"/>
  <c r="CF217" i="18"/>
  <c r="CF218" i="18"/>
  <c r="CF219" i="18"/>
  <c r="CF220" i="18"/>
  <c r="CF221" i="18"/>
  <c r="CF222" i="18"/>
  <c r="CF223" i="18"/>
  <c r="CF224" i="18"/>
  <c r="CF225" i="18"/>
  <c r="CF226" i="18"/>
  <c r="CF227" i="18"/>
  <c r="CF228" i="18"/>
  <c r="CF229" i="18"/>
  <c r="CF230" i="18"/>
  <c r="CF231" i="18"/>
  <c r="CF232" i="18"/>
  <c r="CF233" i="18"/>
  <c r="CF234" i="18"/>
  <c r="CF235" i="18"/>
  <c r="CF236" i="18"/>
  <c r="CF237" i="18"/>
  <c r="CF238" i="18"/>
  <c r="CF239" i="18"/>
  <c r="CF240" i="18"/>
  <c r="CF241" i="18"/>
  <c r="CF242" i="18"/>
  <c r="CF243" i="18"/>
  <c r="CF244" i="18"/>
  <c r="CF245" i="18"/>
  <c r="CF246" i="18"/>
  <c r="CF247" i="18"/>
  <c r="CF248" i="18"/>
  <c r="CF249" i="18"/>
  <c r="CF250" i="18"/>
  <c r="CF251" i="18"/>
  <c r="CF252" i="18"/>
  <c r="CF253" i="18"/>
  <c r="CF254" i="18"/>
  <c r="CF255" i="18"/>
  <c r="CF256" i="18"/>
  <c r="CF257" i="18"/>
  <c r="CF258" i="18"/>
  <c r="CF259" i="18"/>
  <c r="CF260" i="18"/>
  <c r="CF261" i="18"/>
  <c r="CF262" i="18"/>
  <c r="CF263" i="18"/>
  <c r="CF264" i="18"/>
  <c r="CF265" i="18"/>
  <c r="CF266" i="18"/>
  <c r="CF267" i="18"/>
  <c r="CF268" i="18"/>
  <c r="CF269" i="18"/>
  <c r="CF270" i="18"/>
  <c r="CF271" i="18"/>
  <c r="CF272" i="18"/>
  <c r="CF273" i="18"/>
  <c r="CF274" i="18"/>
  <c r="CF275" i="18"/>
  <c r="CF276" i="18"/>
  <c r="CF277" i="18"/>
  <c r="CF278" i="18"/>
  <c r="CF279" i="18"/>
  <c r="CF280" i="18"/>
  <c r="CF281" i="18"/>
  <c r="CF282" i="18"/>
  <c r="CF283" i="18"/>
  <c r="CF284" i="18"/>
  <c r="CF285" i="18"/>
  <c r="CF286" i="18"/>
  <c r="CF287" i="18"/>
  <c r="CF288" i="18"/>
  <c r="CF289" i="18"/>
  <c r="CF290" i="18"/>
  <c r="CF291" i="18"/>
  <c r="CF292" i="18"/>
  <c r="CF293" i="18"/>
  <c r="CF294" i="18"/>
  <c r="CF295" i="18"/>
  <c r="CF296" i="18"/>
  <c r="CF297" i="18"/>
  <c r="CF298" i="18"/>
  <c r="CF299" i="18"/>
  <c r="CF300" i="18"/>
  <c r="CF301" i="18"/>
  <c r="CF302" i="18"/>
  <c r="CF303" i="18"/>
  <c r="CF304" i="18"/>
  <c r="CF305" i="18"/>
  <c r="CF306" i="18"/>
  <c r="CF307" i="18"/>
  <c r="CF308" i="18"/>
  <c r="CF309" i="18"/>
  <c r="CF310" i="18"/>
  <c r="CF311" i="18"/>
  <c r="CF312" i="18"/>
  <c r="CF313" i="18"/>
  <c r="CF314" i="18"/>
  <c r="CF315" i="18"/>
  <c r="CF316" i="18"/>
  <c r="CF317" i="18"/>
  <c r="CF318" i="18"/>
  <c r="CF319" i="18"/>
  <c r="CF320" i="18"/>
  <c r="CF321" i="18"/>
  <c r="CF322" i="18"/>
  <c r="CF323" i="18"/>
  <c r="CF324" i="18"/>
  <c r="CF325" i="18"/>
  <c r="CF326" i="18"/>
  <c r="CF327" i="18"/>
  <c r="CF328" i="18"/>
  <c r="CF329" i="18"/>
  <c r="CF330" i="18"/>
  <c r="CF331" i="18"/>
  <c r="CF332" i="18"/>
  <c r="CF333" i="18"/>
  <c r="CF334" i="18"/>
  <c r="CF335" i="18"/>
  <c r="CF336" i="18"/>
  <c r="CF337" i="18"/>
  <c r="CF338" i="18"/>
  <c r="CG3" i="18"/>
  <c r="CG4" i="18"/>
  <c r="CG5" i="18"/>
  <c r="CG6" i="18"/>
  <c r="CG7" i="18"/>
  <c r="CG8" i="18"/>
  <c r="CG9" i="18"/>
  <c r="CG10" i="18"/>
  <c r="CG11" i="18"/>
  <c r="CG12" i="18"/>
  <c r="CG13" i="18"/>
  <c r="CG14" i="18"/>
  <c r="CG15" i="18"/>
  <c r="CG16" i="18"/>
  <c r="CG17" i="18"/>
  <c r="CG18" i="18"/>
  <c r="CG19" i="18"/>
  <c r="CG20" i="18"/>
  <c r="CG21" i="18"/>
  <c r="CG22" i="18"/>
  <c r="CG23" i="18"/>
  <c r="CG24" i="18"/>
  <c r="CG25" i="18"/>
  <c r="CG26" i="18"/>
  <c r="CG27" i="18"/>
  <c r="CG28" i="18"/>
  <c r="CG29" i="18"/>
  <c r="CG30" i="18"/>
  <c r="CG31" i="18"/>
  <c r="CG32" i="18"/>
  <c r="CG33" i="18"/>
  <c r="CG34" i="18"/>
  <c r="CG35" i="18"/>
  <c r="CG36" i="18"/>
  <c r="CG37" i="18"/>
  <c r="CG38" i="18"/>
  <c r="CG39" i="18"/>
  <c r="CG40" i="18"/>
  <c r="CG41" i="18"/>
  <c r="CG42" i="18"/>
  <c r="CG43" i="18"/>
  <c r="CG44" i="18"/>
  <c r="CG45" i="18"/>
  <c r="CG46" i="18"/>
  <c r="CG47" i="18"/>
  <c r="CG48" i="18"/>
  <c r="CG49" i="18"/>
  <c r="CG50" i="18"/>
  <c r="CG51" i="18"/>
  <c r="CG52" i="18"/>
  <c r="CG53" i="18"/>
  <c r="CG54" i="18"/>
  <c r="CG55" i="18"/>
  <c r="CG56" i="18"/>
  <c r="CG57" i="18"/>
  <c r="CG58" i="18"/>
  <c r="CG59" i="18"/>
  <c r="CG60" i="18"/>
  <c r="CG61" i="18"/>
  <c r="CG62" i="18"/>
  <c r="CG63" i="18"/>
  <c r="CG64" i="18"/>
  <c r="CG65" i="18"/>
  <c r="CG66" i="18"/>
  <c r="CG67" i="18"/>
  <c r="CG68" i="18"/>
  <c r="CG69" i="18"/>
  <c r="CG70" i="18"/>
  <c r="CG71" i="18"/>
  <c r="CG72" i="18"/>
  <c r="CG73" i="18"/>
  <c r="CG74" i="18"/>
  <c r="CG75" i="18"/>
  <c r="CG76" i="18"/>
  <c r="CG77" i="18"/>
  <c r="CG78" i="18"/>
  <c r="CG79" i="18"/>
  <c r="CG80" i="18"/>
  <c r="CG81" i="18"/>
  <c r="CG82" i="18"/>
  <c r="CG83" i="18"/>
  <c r="CG84" i="18"/>
  <c r="CG85" i="18"/>
  <c r="CG86" i="18"/>
  <c r="CG87" i="18"/>
  <c r="CG88" i="18"/>
  <c r="CG89" i="18"/>
  <c r="CG90" i="18"/>
  <c r="CG91" i="18"/>
  <c r="CG92" i="18"/>
  <c r="CG93" i="18"/>
  <c r="CG94" i="18"/>
  <c r="CG95" i="18"/>
  <c r="CG96" i="18"/>
  <c r="CG97" i="18"/>
  <c r="CG98" i="18"/>
  <c r="CG99" i="18"/>
  <c r="CG100" i="18"/>
  <c r="CG101" i="18"/>
  <c r="CG102" i="18"/>
  <c r="CG103" i="18"/>
  <c r="CG104" i="18"/>
  <c r="CG105" i="18"/>
  <c r="CG106" i="18"/>
  <c r="CG107" i="18"/>
  <c r="CG108" i="18"/>
  <c r="CG109" i="18"/>
  <c r="CG110" i="18"/>
  <c r="CG111" i="18"/>
  <c r="CG112" i="18"/>
  <c r="CG113" i="18"/>
  <c r="CG114" i="18"/>
  <c r="CG115" i="18"/>
  <c r="CG116" i="18"/>
  <c r="CG117" i="18"/>
  <c r="CG118" i="18"/>
  <c r="CG119" i="18"/>
  <c r="CG120" i="18"/>
  <c r="CG121" i="18"/>
  <c r="CG122" i="18"/>
  <c r="CG123" i="18"/>
  <c r="CG124" i="18"/>
  <c r="CG125" i="18"/>
  <c r="CG126" i="18"/>
  <c r="CG127" i="18"/>
  <c r="CG128" i="18"/>
  <c r="CG129" i="18"/>
  <c r="CG130" i="18"/>
  <c r="CG131" i="18"/>
  <c r="CG132" i="18"/>
  <c r="CG133" i="18"/>
  <c r="CG134" i="18"/>
  <c r="CG135" i="18"/>
  <c r="CG136" i="18"/>
  <c r="CG137" i="18"/>
  <c r="CG138" i="18"/>
  <c r="CG139" i="18"/>
  <c r="CG140" i="18"/>
  <c r="CG141" i="18"/>
  <c r="CG142" i="18"/>
  <c r="CG143" i="18"/>
  <c r="CG144" i="18"/>
  <c r="CG145" i="18"/>
  <c r="CG146" i="18"/>
  <c r="CG147" i="18"/>
  <c r="CG148" i="18"/>
  <c r="CG149" i="18"/>
  <c r="CG150" i="18"/>
  <c r="CG151" i="18"/>
  <c r="CG152" i="18"/>
  <c r="CG153" i="18"/>
  <c r="CG154" i="18"/>
  <c r="CG155" i="18"/>
  <c r="CG156" i="18"/>
  <c r="CG157" i="18"/>
  <c r="CG158" i="18"/>
  <c r="CG159" i="18"/>
  <c r="CG160" i="18"/>
  <c r="CG161" i="18"/>
  <c r="CG162" i="18"/>
  <c r="CG163" i="18"/>
  <c r="CG164" i="18"/>
  <c r="CG165" i="18"/>
  <c r="CG166" i="18"/>
  <c r="CG167" i="18"/>
  <c r="CG168" i="18"/>
  <c r="CG169" i="18"/>
  <c r="CG170" i="18"/>
  <c r="CG171" i="18"/>
  <c r="CG172" i="18"/>
  <c r="CG173" i="18"/>
  <c r="CG174" i="18"/>
  <c r="CG175" i="18"/>
  <c r="CG176" i="18"/>
  <c r="CG177" i="18"/>
  <c r="CG178" i="18"/>
  <c r="CG179" i="18"/>
  <c r="CG180" i="18"/>
  <c r="CG181" i="18"/>
  <c r="CG182" i="18"/>
  <c r="CG183" i="18"/>
  <c r="CG184" i="18"/>
  <c r="CG185" i="18"/>
  <c r="CG186" i="18"/>
  <c r="CG187" i="18"/>
  <c r="CG188" i="18"/>
  <c r="CG189" i="18"/>
  <c r="CG190" i="18"/>
  <c r="CG191" i="18"/>
  <c r="CG192" i="18"/>
  <c r="CG193" i="18"/>
  <c r="CG194" i="18"/>
  <c r="CG195" i="18"/>
  <c r="CG196" i="18"/>
  <c r="CG197" i="18"/>
  <c r="CG198" i="18"/>
  <c r="CG199" i="18"/>
  <c r="CG200" i="18"/>
  <c r="CG201" i="18"/>
  <c r="CG202" i="18"/>
  <c r="CG203" i="18"/>
  <c r="CG204" i="18"/>
  <c r="CG205" i="18"/>
  <c r="CG206" i="18"/>
  <c r="CG207" i="18"/>
  <c r="CG208" i="18"/>
  <c r="CG209" i="18"/>
  <c r="CG210" i="18"/>
  <c r="CG211" i="18"/>
  <c r="CG212" i="18"/>
  <c r="CG213" i="18"/>
  <c r="CG214" i="18"/>
  <c r="CG215" i="18"/>
  <c r="CG216" i="18"/>
  <c r="CG217" i="18"/>
  <c r="CG218" i="18"/>
  <c r="CG219" i="18"/>
  <c r="CG220" i="18"/>
  <c r="CG221" i="18"/>
  <c r="CG222" i="18"/>
  <c r="CG223" i="18"/>
  <c r="CG224" i="18"/>
  <c r="CG225" i="18"/>
  <c r="CG226" i="18"/>
  <c r="CG227" i="18"/>
  <c r="CG228" i="18"/>
  <c r="CG229" i="18"/>
  <c r="CG230" i="18"/>
  <c r="CG231" i="18"/>
  <c r="CG232" i="18"/>
  <c r="CG233" i="18"/>
  <c r="CG234" i="18"/>
  <c r="CG235" i="18"/>
  <c r="CG236" i="18"/>
  <c r="CG237" i="18"/>
  <c r="CG238" i="18"/>
  <c r="CG239" i="18"/>
  <c r="CG240" i="18"/>
  <c r="CG241" i="18"/>
  <c r="CG242" i="18"/>
  <c r="CG243" i="18"/>
  <c r="CG244" i="18"/>
  <c r="CG245" i="18"/>
  <c r="CG246" i="18"/>
  <c r="CG247" i="18"/>
  <c r="CG248" i="18"/>
  <c r="CG249" i="18"/>
  <c r="CG250" i="18"/>
  <c r="CG251" i="18"/>
  <c r="CG252" i="18"/>
  <c r="CG253" i="18"/>
  <c r="CG254" i="18"/>
  <c r="CG255" i="18"/>
  <c r="CG256" i="18"/>
  <c r="CG257" i="18"/>
  <c r="CG258" i="18"/>
  <c r="CG259" i="18"/>
  <c r="CG260" i="18"/>
  <c r="CG261" i="18"/>
  <c r="CG262" i="18"/>
  <c r="CG263" i="18"/>
  <c r="CG264" i="18"/>
  <c r="CG265" i="18"/>
  <c r="CG266" i="18"/>
  <c r="CG267" i="18"/>
  <c r="CG268" i="18"/>
  <c r="CG269" i="18"/>
  <c r="CG270" i="18"/>
  <c r="CG271" i="18"/>
  <c r="CG272" i="18"/>
  <c r="CG273" i="18"/>
  <c r="CG274" i="18"/>
  <c r="CG275" i="18"/>
  <c r="CG276" i="18"/>
  <c r="CG277" i="18"/>
  <c r="CG278" i="18"/>
  <c r="CG279" i="18"/>
  <c r="CG280" i="18"/>
  <c r="CG281" i="18"/>
  <c r="CG282" i="18"/>
  <c r="CG283" i="18"/>
  <c r="CG284" i="18"/>
  <c r="CG285" i="18"/>
  <c r="CG286" i="18"/>
  <c r="CG287" i="18"/>
  <c r="CG288" i="18"/>
  <c r="CG289" i="18"/>
  <c r="CG290" i="18"/>
  <c r="CG291" i="18"/>
  <c r="CG292" i="18"/>
  <c r="CG293" i="18"/>
  <c r="CG294" i="18"/>
  <c r="CG295" i="18"/>
  <c r="CG296" i="18"/>
  <c r="CG297" i="18"/>
  <c r="CG298" i="18"/>
  <c r="CG299" i="18"/>
  <c r="CG300" i="18"/>
  <c r="CG301" i="18"/>
  <c r="CG302" i="18"/>
  <c r="CG303" i="18"/>
  <c r="CG304" i="18"/>
  <c r="CG305" i="18"/>
  <c r="CG306" i="18"/>
  <c r="CG307" i="18"/>
  <c r="CG308" i="18"/>
  <c r="CG309" i="18"/>
  <c r="CG310" i="18"/>
  <c r="CG311" i="18"/>
  <c r="CG312" i="18"/>
  <c r="CG313" i="18"/>
  <c r="CG314" i="18"/>
  <c r="CG315" i="18"/>
  <c r="CG316" i="18"/>
  <c r="CG317" i="18"/>
  <c r="CG318" i="18"/>
  <c r="CG319" i="18"/>
  <c r="CG320" i="18"/>
  <c r="CG321" i="18"/>
  <c r="CG322" i="18"/>
  <c r="CG323" i="18"/>
  <c r="CG324" i="18"/>
  <c r="CG325" i="18"/>
  <c r="CG326" i="18"/>
  <c r="CG327" i="18"/>
  <c r="CG328" i="18"/>
  <c r="CG329" i="18"/>
  <c r="CG330" i="18"/>
  <c r="CG331" i="18"/>
  <c r="CG332" i="18"/>
  <c r="CG333" i="18"/>
  <c r="CG334" i="18"/>
  <c r="CG335" i="18"/>
  <c r="CG336" i="18"/>
  <c r="CG337" i="18"/>
  <c r="CG338" i="18"/>
  <c r="CI3" i="18"/>
  <c r="CI4" i="18"/>
  <c r="CI5" i="18"/>
  <c r="CI6" i="18"/>
  <c r="CI7" i="18"/>
  <c r="CI8" i="18"/>
  <c r="CI9" i="18"/>
  <c r="CI10" i="18"/>
  <c r="CI11" i="18"/>
  <c r="CI12" i="18"/>
  <c r="CI13" i="18"/>
  <c r="CI14" i="18"/>
  <c r="CI15" i="18"/>
  <c r="CI16" i="18"/>
  <c r="CI17" i="18"/>
  <c r="CI18" i="18"/>
  <c r="CI19" i="18"/>
  <c r="CI20" i="18"/>
  <c r="CI21" i="18"/>
  <c r="CI22" i="18"/>
  <c r="CI23" i="18"/>
  <c r="CI24" i="18"/>
  <c r="CI25" i="18"/>
  <c r="CI26" i="18"/>
  <c r="CI27" i="18"/>
  <c r="CI28" i="18"/>
  <c r="CI29" i="18"/>
  <c r="CI30" i="18"/>
  <c r="CI31" i="18"/>
  <c r="CI32" i="18"/>
  <c r="CI33" i="18"/>
  <c r="CI34" i="18"/>
  <c r="CI35" i="18"/>
  <c r="CI36" i="18"/>
  <c r="CI37" i="18"/>
  <c r="CI38" i="18"/>
  <c r="CI39" i="18"/>
  <c r="CI40" i="18"/>
  <c r="CI41" i="18"/>
  <c r="CI42" i="18"/>
  <c r="CI43" i="18"/>
  <c r="CI44" i="18"/>
  <c r="CI45" i="18"/>
  <c r="CI46" i="18"/>
  <c r="CI47" i="18"/>
  <c r="CI48" i="18"/>
  <c r="CI49" i="18"/>
  <c r="CI50" i="18"/>
  <c r="CI51" i="18"/>
  <c r="CI52" i="18"/>
  <c r="CI53" i="18"/>
  <c r="CI54" i="18"/>
  <c r="CI55" i="18"/>
  <c r="CI56" i="18"/>
  <c r="CI57" i="18"/>
  <c r="CI58" i="18"/>
  <c r="CI59" i="18"/>
  <c r="CI60" i="18"/>
  <c r="CI61" i="18"/>
  <c r="CI62" i="18"/>
  <c r="CI63" i="18"/>
  <c r="CI64" i="18"/>
  <c r="CI65" i="18"/>
  <c r="CI66" i="18"/>
  <c r="CI67" i="18"/>
  <c r="CI68" i="18"/>
  <c r="CI69" i="18"/>
  <c r="CI70" i="18"/>
  <c r="CI71" i="18"/>
  <c r="CI72" i="18"/>
  <c r="CI73" i="18"/>
  <c r="CI74" i="18"/>
  <c r="CI75" i="18"/>
  <c r="CI76" i="18"/>
  <c r="CI77" i="18"/>
  <c r="CI78" i="18"/>
  <c r="CI79" i="18"/>
  <c r="CI80" i="18"/>
  <c r="CI81" i="18"/>
  <c r="CI82" i="18"/>
  <c r="CI83" i="18"/>
  <c r="CI84" i="18"/>
  <c r="CI85" i="18"/>
  <c r="CI86" i="18"/>
  <c r="CI87" i="18"/>
  <c r="CI88" i="18"/>
  <c r="CI89" i="18"/>
  <c r="CI90" i="18"/>
  <c r="CI91" i="18"/>
  <c r="CI92" i="18"/>
  <c r="CI93" i="18"/>
  <c r="CI94" i="18"/>
  <c r="CI95" i="18"/>
  <c r="CI96" i="18"/>
  <c r="CI97" i="18"/>
  <c r="CI98" i="18"/>
  <c r="CI99" i="18"/>
  <c r="CI100" i="18"/>
  <c r="CI101" i="18"/>
  <c r="CI102" i="18"/>
  <c r="CI103" i="18"/>
  <c r="CI104" i="18"/>
  <c r="CI105" i="18"/>
  <c r="CI106" i="18"/>
  <c r="CI107" i="18"/>
  <c r="CI108" i="18"/>
  <c r="CI109" i="18"/>
  <c r="CI110" i="18"/>
  <c r="CI111" i="18"/>
  <c r="CI112" i="18"/>
  <c r="CI113" i="18"/>
  <c r="CI114" i="18"/>
  <c r="CI115" i="18"/>
  <c r="CI116" i="18"/>
  <c r="CI117" i="18"/>
  <c r="CI118" i="18"/>
  <c r="CI119" i="18"/>
  <c r="CI120" i="18"/>
  <c r="CI121" i="18"/>
  <c r="CI122" i="18"/>
  <c r="CI123" i="18"/>
  <c r="CI124" i="18"/>
  <c r="CI125" i="18"/>
  <c r="CI126" i="18"/>
  <c r="CI127" i="18"/>
  <c r="CI128" i="18"/>
  <c r="CI129" i="18"/>
  <c r="CI130" i="18"/>
  <c r="CI131" i="18"/>
  <c r="CI132" i="18"/>
  <c r="CI133" i="18"/>
  <c r="CI134" i="18"/>
  <c r="CI135" i="18"/>
  <c r="CI136" i="18"/>
  <c r="CI137" i="18"/>
  <c r="CI138" i="18"/>
  <c r="CI139" i="18"/>
  <c r="CI140" i="18"/>
  <c r="CI141" i="18"/>
  <c r="CI142" i="18"/>
  <c r="CI143" i="18"/>
  <c r="CI144" i="18"/>
  <c r="CI145" i="18"/>
  <c r="CI146" i="18"/>
  <c r="CI147" i="18"/>
  <c r="CI148" i="18"/>
  <c r="CI149" i="18"/>
  <c r="CI150" i="18"/>
  <c r="CI151" i="18"/>
  <c r="CI152" i="18"/>
  <c r="CI153" i="18"/>
  <c r="CI154" i="18"/>
  <c r="CI155" i="18"/>
  <c r="CI156" i="18"/>
  <c r="CI157" i="18"/>
  <c r="CI158" i="18"/>
  <c r="CI159" i="18"/>
  <c r="CI160" i="18"/>
  <c r="CI161" i="18"/>
  <c r="CI162" i="18"/>
  <c r="CI163" i="18"/>
  <c r="CI164" i="18"/>
  <c r="CI165" i="18"/>
  <c r="CI166" i="18"/>
  <c r="CI167" i="18"/>
  <c r="CI168" i="18"/>
  <c r="CI169" i="18"/>
  <c r="CI170" i="18"/>
  <c r="CI171" i="18"/>
  <c r="CI172" i="18"/>
  <c r="CI173" i="18"/>
  <c r="CI174" i="18"/>
  <c r="CI175" i="18"/>
  <c r="CI176" i="18"/>
  <c r="CI177" i="18"/>
  <c r="CI178" i="18"/>
  <c r="CI179" i="18"/>
  <c r="CI180" i="18"/>
  <c r="CI181" i="18"/>
  <c r="CI182" i="18"/>
  <c r="CI183" i="18"/>
  <c r="CI184" i="18"/>
  <c r="CI185" i="18"/>
  <c r="CI186" i="18"/>
  <c r="CI187" i="18"/>
  <c r="CI188" i="18"/>
  <c r="CI189" i="18"/>
  <c r="CI190" i="18"/>
  <c r="CI191" i="18"/>
  <c r="CI192" i="18"/>
  <c r="CI193" i="18"/>
  <c r="CI194" i="18"/>
  <c r="CI195" i="18"/>
  <c r="CI196" i="18"/>
  <c r="CI197" i="18"/>
  <c r="CI198" i="18"/>
  <c r="CI199" i="18"/>
  <c r="CI200" i="18"/>
  <c r="CI201" i="18"/>
  <c r="CI202" i="18"/>
  <c r="CI203" i="18"/>
  <c r="CI204" i="18"/>
  <c r="CI205" i="18"/>
  <c r="CI206" i="18"/>
  <c r="CI207" i="18"/>
  <c r="CI208" i="18"/>
  <c r="CI209" i="18"/>
  <c r="CI210" i="18"/>
  <c r="CI211" i="18"/>
  <c r="CI212" i="18"/>
  <c r="CI213" i="18"/>
  <c r="CI214" i="18"/>
  <c r="CI215" i="18"/>
  <c r="CI216" i="18"/>
  <c r="CI217" i="18"/>
  <c r="CI218" i="18"/>
  <c r="CI219" i="18"/>
  <c r="CI220" i="18"/>
  <c r="CI221" i="18"/>
  <c r="CI222" i="18"/>
  <c r="CI223" i="18"/>
  <c r="CI224" i="18"/>
  <c r="CI225" i="18"/>
  <c r="CI226" i="18"/>
  <c r="CI227" i="18"/>
  <c r="CI228" i="18"/>
  <c r="CI229" i="18"/>
  <c r="CI230" i="18"/>
  <c r="CI231" i="18"/>
  <c r="CI232" i="18"/>
  <c r="CI233" i="18"/>
  <c r="CI234" i="18"/>
  <c r="CI235" i="18"/>
  <c r="CI236" i="18"/>
  <c r="CI237" i="18"/>
  <c r="CI238" i="18"/>
  <c r="CI239" i="18"/>
  <c r="CI240" i="18"/>
  <c r="CI241" i="18"/>
  <c r="CI242" i="18"/>
  <c r="CI243" i="18"/>
  <c r="CI244" i="18"/>
  <c r="CI245" i="18"/>
  <c r="CI246" i="18"/>
  <c r="CI247" i="18"/>
  <c r="CI248" i="18"/>
  <c r="CI249" i="18"/>
  <c r="CI250" i="18"/>
  <c r="CI251" i="18"/>
  <c r="CI252" i="18"/>
  <c r="CI253" i="18"/>
  <c r="CI254" i="18"/>
  <c r="CI255" i="18"/>
  <c r="CI256" i="18"/>
  <c r="CI257" i="18"/>
  <c r="CI258" i="18"/>
  <c r="CI259" i="18"/>
  <c r="CI260" i="18"/>
  <c r="CI261" i="18"/>
  <c r="CI262" i="18"/>
  <c r="CI263" i="18"/>
  <c r="CI264" i="18"/>
  <c r="CI265" i="18"/>
  <c r="CI266" i="18"/>
  <c r="CI267" i="18"/>
  <c r="CI268" i="18"/>
  <c r="CI269" i="18"/>
  <c r="CI270" i="18"/>
  <c r="CI271" i="18"/>
  <c r="CI272" i="18"/>
  <c r="CI273" i="18"/>
  <c r="CI274" i="18"/>
  <c r="CI275" i="18"/>
  <c r="CI276" i="18"/>
  <c r="CI277" i="18"/>
  <c r="CI278" i="18"/>
  <c r="CI279" i="18"/>
  <c r="CI280" i="18"/>
  <c r="CI281" i="18"/>
  <c r="CI282" i="18"/>
  <c r="CI283" i="18"/>
  <c r="CI284" i="18"/>
  <c r="CI285" i="18"/>
  <c r="CI286" i="18"/>
  <c r="CI287" i="18"/>
  <c r="CI288" i="18"/>
  <c r="CI289" i="18"/>
  <c r="CI290" i="18"/>
  <c r="CI291" i="18"/>
  <c r="CI292" i="18"/>
  <c r="CI293" i="18"/>
  <c r="CI294" i="18"/>
  <c r="CI295" i="18"/>
  <c r="CI296" i="18"/>
  <c r="CI297" i="18"/>
  <c r="CI298" i="18"/>
  <c r="CI299" i="18"/>
  <c r="CI300" i="18"/>
  <c r="CI301" i="18"/>
  <c r="CI302" i="18"/>
  <c r="CI303" i="18"/>
  <c r="CI304" i="18"/>
  <c r="CI305" i="18"/>
  <c r="CI306" i="18"/>
  <c r="CI307" i="18"/>
  <c r="CI308" i="18"/>
  <c r="CI309" i="18"/>
  <c r="CI310" i="18"/>
  <c r="CI311" i="18"/>
  <c r="CI312" i="18"/>
  <c r="CI313" i="18"/>
  <c r="CI314" i="18"/>
  <c r="CI315" i="18"/>
  <c r="CI316" i="18"/>
  <c r="CI317" i="18"/>
  <c r="CI318" i="18"/>
  <c r="CI319" i="18"/>
  <c r="CI320" i="18"/>
  <c r="CI321" i="18"/>
  <c r="CI322" i="18"/>
  <c r="CI323" i="18"/>
  <c r="CI324" i="18"/>
  <c r="CI325" i="18"/>
  <c r="CI326" i="18"/>
  <c r="CI327" i="18"/>
  <c r="CI328" i="18"/>
  <c r="CI329" i="18"/>
  <c r="CI330" i="18"/>
  <c r="CI331" i="18"/>
  <c r="CI332" i="18"/>
  <c r="CI333" i="18"/>
  <c r="CI334" i="18"/>
  <c r="CI335" i="18"/>
  <c r="CI336" i="18"/>
  <c r="CI337" i="18"/>
  <c r="CI338" i="18"/>
  <c r="CJ3" i="18"/>
  <c r="CJ4" i="18"/>
  <c r="CJ5" i="18"/>
  <c r="CJ6" i="18"/>
  <c r="CJ7" i="18"/>
  <c r="CJ8" i="18"/>
  <c r="CJ9" i="18"/>
  <c r="CJ10" i="18"/>
  <c r="CJ11" i="18"/>
  <c r="CJ12" i="18"/>
  <c r="CJ13" i="18"/>
  <c r="CJ14" i="18"/>
  <c r="CJ15" i="18"/>
  <c r="CJ16" i="18"/>
  <c r="CJ17" i="18"/>
  <c r="CJ18" i="18"/>
  <c r="CJ19" i="18"/>
  <c r="CJ20" i="18"/>
  <c r="CJ21" i="18"/>
  <c r="CJ22" i="18"/>
  <c r="CJ23" i="18"/>
  <c r="CJ24" i="18"/>
  <c r="CJ25" i="18"/>
  <c r="CJ26" i="18"/>
  <c r="CJ27" i="18"/>
  <c r="CJ28" i="18"/>
  <c r="CJ29" i="18"/>
  <c r="CJ30" i="18"/>
  <c r="CJ31" i="18"/>
  <c r="CJ32" i="18"/>
  <c r="CJ33" i="18"/>
  <c r="CJ34" i="18"/>
  <c r="CJ35" i="18"/>
  <c r="CJ36" i="18"/>
  <c r="CJ37" i="18"/>
  <c r="CJ38" i="18"/>
  <c r="CJ39" i="18"/>
  <c r="CJ40" i="18"/>
  <c r="CJ41" i="18"/>
  <c r="CJ42" i="18"/>
  <c r="CJ43" i="18"/>
  <c r="CJ44" i="18"/>
  <c r="CJ45" i="18"/>
  <c r="CJ46" i="18"/>
  <c r="CJ47" i="18"/>
  <c r="CJ48" i="18"/>
  <c r="CJ49" i="18"/>
  <c r="CJ50" i="18"/>
  <c r="CJ51" i="18"/>
  <c r="CJ52" i="18"/>
  <c r="CJ53" i="18"/>
  <c r="CJ54" i="18"/>
  <c r="CJ55" i="18"/>
  <c r="CJ56" i="18"/>
  <c r="CJ57" i="18"/>
  <c r="CJ58" i="18"/>
  <c r="CJ59" i="18"/>
  <c r="CJ60" i="18"/>
  <c r="CJ61" i="18"/>
  <c r="CJ62" i="18"/>
  <c r="CJ63" i="18"/>
  <c r="CJ64" i="18"/>
  <c r="CJ65" i="18"/>
  <c r="CJ66" i="18"/>
  <c r="CJ67" i="18"/>
  <c r="CJ68" i="18"/>
  <c r="CJ69" i="18"/>
  <c r="CJ70" i="18"/>
  <c r="CJ71" i="18"/>
  <c r="CJ72" i="18"/>
  <c r="CJ73" i="18"/>
  <c r="CJ74" i="18"/>
  <c r="CJ75" i="18"/>
  <c r="CJ76" i="18"/>
  <c r="CJ77" i="18"/>
  <c r="CJ78" i="18"/>
  <c r="CJ79" i="18"/>
  <c r="CJ80" i="18"/>
  <c r="CJ81" i="18"/>
  <c r="CJ82" i="18"/>
  <c r="CJ83" i="18"/>
  <c r="CJ84" i="18"/>
  <c r="CJ85" i="18"/>
  <c r="CJ86" i="18"/>
  <c r="CJ87" i="18"/>
  <c r="CJ88" i="18"/>
  <c r="CJ89" i="18"/>
  <c r="CJ90" i="18"/>
  <c r="CJ91" i="18"/>
  <c r="CJ92" i="18"/>
  <c r="CJ93" i="18"/>
  <c r="CJ94" i="18"/>
  <c r="CJ95" i="18"/>
  <c r="CJ96" i="18"/>
  <c r="CJ97" i="18"/>
  <c r="CJ98" i="18"/>
  <c r="CJ99" i="18"/>
  <c r="CJ100" i="18"/>
  <c r="CJ101" i="18"/>
  <c r="CJ102" i="18"/>
  <c r="CJ103" i="18"/>
  <c r="CJ104" i="18"/>
  <c r="CJ105" i="18"/>
  <c r="CJ106" i="18"/>
  <c r="CJ107" i="18"/>
  <c r="CJ108" i="18"/>
  <c r="CJ109" i="18"/>
  <c r="CJ110" i="18"/>
  <c r="CJ111" i="18"/>
  <c r="CJ112" i="18"/>
  <c r="CJ113" i="18"/>
  <c r="CJ114" i="18"/>
  <c r="CJ115" i="18"/>
  <c r="CJ116" i="18"/>
  <c r="CJ117" i="18"/>
  <c r="CJ118" i="18"/>
  <c r="CJ119" i="18"/>
  <c r="CJ120" i="18"/>
  <c r="CJ121" i="18"/>
  <c r="CJ122" i="18"/>
  <c r="CJ123" i="18"/>
  <c r="CJ124" i="18"/>
  <c r="CJ125" i="18"/>
  <c r="CJ126" i="18"/>
  <c r="CJ127" i="18"/>
  <c r="CJ128" i="18"/>
  <c r="CJ129" i="18"/>
  <c r="CJ130" i="18"/>
  <c r="CJ131" i="18"/>
  <c r="CJ132" i="18"/>
  <c r="CJ133" i="18"/>
  <c r="CJ134" i="18"/>
  <c r="CJ135" i="18"/>
  <c r="CJ136" i="18"/>
  <c r="CJ137" i="18"/>
  <c r="CJ138" i="18"/>
  <c r="CJ139" i="18"/>
  <c r="CJ140" i="18"/>
  <c r="CJ141" i="18"/>
  <c r="CJ142" i="18"/>
  <c r="CJ143" i="18"/>
  <c r="CJ144" i="18"/>
  <c r="CJ145" i="18"/>
  <c r="CJ146" i="18"/>
  <c r="CJ147" i="18"/>
  <c r="CJ148" i="18"/>
  <c r="CJ149" i="18"/>
  <c r="CJ150" i="18"/>
  <c r="CJ151" i="18"/>
  <c r="CJ152" i="18"/>
  <c r="CJ153" i="18"/>
  <c r="CJ154" i="18"/>
  <c r="CJ155" i="18"/>
  <c r="CJ156" i="18"/>
  <c r="CJ157" i="18"/>
  <c r="CJ158" i="18"/>
  <c r="CJ159" i="18"/>
  <c r="CJ160" i="18"/>
  <c r="CJ161" i="18"/>
  <c r="CJ162" i="18"/>
  <c r="CJ163" i="18"/>
  <c r="CJ164" i="18"/>
  <c r="CJ165" i="18"/>
  <c r="CJ166" i="18"/>
  <c r="CJ167" i="18"/>
  <c r="CJ168" i="18"/>
  <c r="CJ169" i="18"/>
  <c r="CJ170" i="18"/>
  <c r="CJ171" i="18"/>
  <c r="CJ172" i="18"/>
  <c r="CJ173" i="18"/>
  <c r="CJ174" i="18"/>
  <c r="CJ175" i="18"/>
  <c r="CJ176" i="18"/>
  <c r="CJ177" i="18"/>
  <c r="CJ178" i="18"/>
  <c r="CJ179" i="18"/>
  <c r="CJ180" i="18"/>
  <c r="CJ181" i="18"/>
  <c r="CJ182" i="18"/>
  <c r="CJ183" i="18"/>
  <c r="CJ184" i="18"/>
  <c r="CJ185" i="18"/>
  <c r="CJ186" i="18"/>
  <c r="CJ187" i="18"/>
  <c r="CJ188" i="18"/>
  <c r="CJ189" i="18"/>
  <c r="CJ190" i="18"/>
  <c r="CJ191" i="18"/>
  <c r="CJ192" i="18"/>
  <c r="CJ193" i="18"/>
  <c r="CJ194" i="18"/>
  <c r="CJ195" i="18"/>
  <c r="CJ196" i="18"/>
  <c r="CJ197" i="18"/>
  <c r="CJ198" i="18"/>
  <c r="CJ199" i="18"/>
  <c r="CJ200" i="18"/>
  <c r="CJ201" i="18"/>
  <c r="CJ202" i="18"/>
  <c r="CJ203" i="18"/>
  <c r="CJ204" i="18"/>
  <c r="CJ205" i="18"/>
  <c r="CJ206" i="18"/>
  <c r="CJ207" i="18"/>
  <c r="CJ208" i="18"/>
  <c r="CJ209" i="18"/>
  <c r="CJ210" i="18"/>
  <c r="CJ211" i="18"/>
  <c r="CJ212" i="18"/>
  <c r="CJ213" i="18"/>
  <c r="CJ214" i="18"/>
  <c r="CJ215" i="18"/>
  <c r="CJ216" i="18"/>
  <c r="CJ217" i="18"/>
  <c r="CJ218" i="18"/>
  <c r="CJ219" i="18"/>
  <c r="CJ220" i="18"/>
  <c r="CJ221" i="18"/>
  <c r="CJ222" i="18"/>
  <c r="CJ223" i="18"/>
  <c r="CJ224" i="18"/>
  <c r="CJ225" i="18"/>
  <c r="CJ226" i="18"/>
  <c r="CJ227" i="18"/>
  <c r="CJ228" i="18"/>
  <c r="CJ229" i="18"/>
  <c r="CJ230" i="18"/>
  <c r="CJ231" i="18"/>
  <c r="CJ232" i="18"/>
  <c r="CJ233" i="18"/>
  <c r="CJ234" i="18"/>
  <c r="CJ235" i="18"/>
  <c r="CJ236" i="18"/>
  <c r="CJ237" i="18"/>
  <c r="CJ238" i="18"/>
  <c r="CJ239" i="18"/>
  <c r="CJ240" i="18"/>
  <c r="CJ241" i="18"/>
  <c r="CJ242" i="18"/>
  <c r="CJ243" i="18"/>
  <c r="CJ244" i="18"/>
  <c r="CJ245" i="18"/>
  <c r="CJ246" i="18"/>
  <c r="CJ247" i="18"/>
  <c r="CJ248" i="18"/>
  <c r="CJ249" i="18"/>
  <c r="CJ250" i="18"/>
  <c r="CJ251" i="18"/>
  <c r="CJ252" i="18"/>
  <c r="CJ253" i="18"/>
  <c r="CJ254" i="18"/>
  <c r="CJ255" i="18"/>
  <c r="CJ256" i="18"/>
  <c r="CJ257" i="18"/>
  <c r="CJ258" i="18"/>
  <c r="CJ259" i="18"/>
  <c r="CJ260" i="18"/>
  <c r="CJ261" i="18"/>
  <c r="CJ262" i="18"/>
  <c r="CJ263" i="18"/>
  <c r="CJ264" i="18"/>
  <c r="CJ265" i="18"/>
  <c r="CJ266" i="18"/>
  <c r="CJ267" i="18"/>
  <c r="CJ268" i="18"/>
  <c r="CJ269" i="18"/>
  <c r="CJ270" i="18"/>
  <c r="CJ271" i="18"/>
  <c r="CJ272" i="18"/>
  <c r="CJ273" i="18"/>
  <c r="CJ274" i="18"/>
  <c r="CJ275" i="18"/>
  <c r="CJ276" i="18"/>
  <c r="CJ277" i="18"/>
  <c r="CJ278" i="18"/>
  <c r="CJ279" i="18"/>
  <c r="CJ280" i="18"/>
  <c r="CJ281" i="18"/>
  <c r="CJ282" i="18"/>
  <c r="CJ283" i="18"/>
  <c r="CJ284" i="18"/>
  <c r="CJ285" i="18"/>
  <c r="CJ286" i="18"/>
  <c r="CJ287" i="18"/>
  <c r="CJ288" i="18"/>
  <c r="CJ289" i="18"/>
  <c r="CJ290" i="18"/>
  <c r="CJ291" i="18"/>
  <c r="CJ292" i="18"/>
  <c r="CJ293" i="18"/>
  <c r="CJ294" i="18"/>
  <c r="CJ295" i="18"/>
  <c r="CJ296" i="18"/>
  <c r="CJ297" i="18"/>
  <c r="CJ298" i="18"/>
  <c r="CJ299" i="18"/>
  <c r="CJ300" i="18"/>
  <c r="CJ301" i="18"/>
  <c r="CJ302" i="18"/>
  <c r="CJ303" i="18"/>
  <c r="CJ304" i="18"/>
  <c r="CJ305" i="18"/>
  <c r="CJ306" i="18"/>
  <c r="CJ307" i="18"/>
  <c r="CJ308" i="18"/>
  <c r="CJ309" i="18"/>
  <c r="CJ310" i="18"/>
  <c r="CJ311" i="18"/>
  <c r="CJ312" i="18"/>
  <c r="CJ313" i="18"/>
  <c r="CJ314" i="18"/>
  <c r="CJ315" i="18"/>
  <c r="CJ316" i="18"/>
  <c r="CJ317" i="18"/>
  <c r="CJ318" i="18"/>
  <c r="CJ319" i="18"/>
  <c r="CJ320" i="18"/>
  <c r="CJ321" i="18"/>
  <c r="CJ322" i="18"/>
  <c r="CJ323" i="18"/>
  <c r="CJ324" i="18"/>
  <c r="CJ325" i="18"/>
  <c r="CJ326" i="18"/>
  <c r="CJ327" i="18"/>
  <c r="CJ328" i="18"/>
  <c r="CJ329" i="18"/>
  <c r="CJ330" i="18"/>
  <c r="CJ331" i="18"/>
  <c r="CJ332" i="18"/>
  <c r="CJ333" i="18"/>
  <c r="CJ334" i="18"/>
  <c r="CJ335" i="18"/>
  <c r="CJ336" i="18"/>
  <c r="CJ337" i="18"/>
  <c r="CJ338" i="18"/>
  <c r="CK3" i="18"/>
  <c r="CK4" i="18"/>
  <c r="CK5" i="18"/>
  <c r="CK6" i="18"/>
  <c r="CK7" i="18"/>
  <c r="CK8" i="18"/>
  <c r="CK9" i="18"/>
  <c r="CK10" i="18"/>
  <c r="CK11" i="18"/>
  <c r="CK12" i="18"/>
  <c r="CK13" i="18"/>
  <c r="CK14" i="18"/>
  <c r="CK15" i="18"/>
  <c r="CK16" i="18"/>
  <c r="CK17" i="18"/>
  <c r="CK18" i="18"/>
  <c r="CK19" i="18"/>
  <c r="CK20" i="18"/>
  <c r="CK21" i="18"/>
  <c r="CK22" i="18"/>
  <c r="CK23" i="18"/>
  <c r="CK24" i="18"/>
  <c r="CK25" i="18"/>
  <c r="CK26" i="18"/>
  <c r="CK27" i="18"/>
  <c r="CK28" i="18"/>
  <c r="CK29" i="18"/>
  <c r="CK30" i="18"/>
  <c r="CK31" i="18"/>
  <c r="CK32" i="18"/>
  <c r="CK33" i="18"/>
  <c r="CK34" i="18"/>
  <c r="CK35" i="18"/>
  <c r="CK36" i="18"/>
  <c r="CK37" i="18"/>
  <c r="CK38" i="18"/>
  <c r="CK39" i="18"/>
  <c r="CK40" i="18"/>
  <c r="CK41" i="18"/>
  <c r="CK42" i="18"/>
  <c r="CK43" i="18"/>
  <c r="CK44" i="18"/>
  <c r="CK45" i="18"/>
  <c r="CK46" i="18"/>
  <c r="CK47" i="18"/>
  <c r="CK48" i="18"/>
  <c r="CK49" i="18"/>
  <c r="CK50" i="18"/>
  <c r="CK51" i="18"/>
  <c r="CK52" i="18"/>
  <c r="CK53" i="18"/>
  <c r="CK54" i="18"/>
  <c r="CK55" i="18"/>
  <c r="CK56" i="18"/>
  <c r="CK57" i="18"/>
  <c r="CK58" i="18"/>
  <c r="CK59" i="18"/>
  <c r="CK60" i="18"/>
  <c r="CK61" i="18"/>
  <c r="CK62" i="18"/>
  <c r="CK63" i="18"/>
  <c r="CK64" i="18"/>
  <c r="CK65" i="18"/>
  <c r="CK66" i="18"/>
  <c r="CK67" i="18"/>
  <c r="CK68" i="18"/>
  <c r="CK69" i="18"/>
  <c r="CK70" i="18"/>
  <c r="CK71" i="18"/>
  <c r="CK72" i="18"/>
  <c r="CK73" i="18"/>
  <c r="CK74" i="18"/>
  <c r="CK75" i="18"/>
  <c r="CK76" i="18"/>
  <c r="CK77" i="18"/>
  <c r="CK78" i="18"/>
  <c r="CK79" i="18"/>
  <c r="CK80" i="18"/>
  <c r="CK81" i="18"/>
  <c r="CK82" i="18"/>
  <c r="CK83" i="18"/>
  <c r="CK84" i="18"/>
  <c r="CK85" i="18"/>
  <c r="CK86" i="18"/>
  <c r="CK87" i="18"/>
  <c r="CK88" i="18"/>
  <c r="CK89" i="18"/>
  <c r="CK90" i="18"/>
  <c r="CK91" i="18"/>
  <c r="CK92" i="18"/>
  <c r="CK93" i="18"/>
  <c r="CK94" i="18"/>
  <c r="CK95" i="18"/>
  <c r="CK96" i="18"/>
  <c r="CK97" i="18"/>
  <c r="CK98" i="18"/>
  <c r="CK99" i="18"/>
  <c r="CK100" i="18"/>
  <c r="CK101" i="18"/>
  <c r="CK102" i="18"/>
  <c r="CK103" i="18"/>
  <c r="CK104" i="18"/>
  <c r="CK105" i="18"/>
  <c r="CK106" i="18"/>
  <c r="CK107" i="18"/>
  <c r="CK108" i="18"/>
  <c r="CK109" i="18"/>
  <c r="CK110" i="18"/>
  <c r="CK111" i="18"/>
  <c r="CK112" i="18"/>
  <c r="CK113" i="18"/>
  <c r="CK114" i="18"/>
  <c r="CK115" i="18"/>
  <c r="CK116" i="18"/>
  <c r="CK117" i="18"/>
  <c r="CK118" i="18"/>
  <c r="CK119" i="18"/>
  <c r="CK120" i="18"/>
  <c r="CK121" i="18"/>
  <c r="CK122" i="18"/>
  <c r="CK123" i="18"/>
  <c r="CK124" i="18"/>
  <c r="CK125" i="18"/>
  <c r="CK126" i="18"/>
  <c r="CK127" i="18"/>
  <c r="CK128" i="18"/>
  <c r="CK129" i="18"/>
  <c r="CK130" i="18"/>
  <c r="CK131" i="18"/>
  <c r="CK132" i="18"/>
  <c r="CK133" i="18"/>
  <c r="CK134" i="18"/>
  <c r="CK135" i="18"/>
  <c r="CK136" i="18"/>
  <c r="CK137" i="18"/>
  <c r="CK138" i="18"/>
  <c r="CK139" i="18"/>
  <c r="CK140" i="18"/>
  <c r="CK141" i="18"/>
  <c r="CK142" i="18"/>
  <c r="CK143" i="18"/>
  <c r="CK144" i="18"/>
  <c r="CK145" i="18"/>
  <c r="CK146" i="18"/>
  <c r="CK147" i="18"/>
  <c r="CK148" i="18"/>
  <c r="CK149" i="18"/>
  <c r="CK150" i="18"/>
  <c r="CK151" i="18"/>
  <c r="CK152" i="18"/>
  <c r="CK153" i="18"/>
  <c r="CK154" i="18"/>
  <c r="CK155" i="18"/>
  <c r="CK156" i="18"/>
  <c r="CK157" i="18"/>
  <c r="CK158" i="18"/>
  <c r="CK159" i="18"/>
  <c r="CK160" i="18"/>
  <c r="CK161" i="18"/>
  <c r="CK162" i="18"/>
  <c r="CK163" i="18"/>
  <c r="CK164" i="18"/>
  <c r="CK165" i="18"/>
  <c r="CK166" i="18"/>
  <c r="CK167" i="18"/>
  <c r="CK168" i="18"/>
  <c r="CK169" i="18"/>
  <c r="CK170" i="18"/>
  <c r="CK171" i="18"/>
  <c r="CK172" i="18"/>
  <c r="CK173" i="18"/>
  <c r="CK174" i="18"/>
  <c r="CK175" i="18"/>
  <c r="CK176" i="18"/>
  <c r="CK177" i="18"/>
  <c r="CK178" i="18"/>
  <c r="CK179" i="18"/>
  <c r="CK180" i="18"/>
  <c r="CK181" i="18"/>
  <c r="CK182" i="18"/>
  <c r="CK183" i="18"/>
  <c r="CK184" i="18"/>
  <c r="CK185" i="18"/>
  <c r="CK186" i="18"/>
  <c r="CK187" i="18"/>
  <c r="CK188" i="18"/>
  <c r="CK189" i="18"/>
  <c r="CK190" i="18"/>
  <c r="CK191" i="18"/>
  <c r="CK192" i="18"/>
  <c r="CK193" i="18"/>
  <c r="CK194" i="18"/>
  <c r="CK195" i="18"/>
  <c r="CK196" i="18"/>
  <c r="CK197" i="18"/>
  <c r="CK198" i="18"/>
  <c r="CK199" i="18"/>
  <c r="CK200" i="18"/>
  <c r="CK201" i="18"/>
  <c r="CK202" i="18"/>
  <c r="CK203" i="18"/>
  <c r="CK204" i="18"/>
  <c r="CK205" i="18"/>
  <c r="CK206" i="18"/>
  <c r="CK207" i="18"/>
  <c r="CK208" i="18"/>
  <c r="CK209" i="18"/>
  <c r="CK210" i="18"/>
  <c r="CK211" i="18"/>
  <c r="CK212" i="18"/>
  <c r="CK213" i="18"/>
  <c r="CK214" i="18"/>
  <c r="CK215" i="18"/>
  <c r="CK216" i="18"/>
  <c r="CK217" i="18"/>
  <c r="CK218" i="18"/>
  <c r="CK219" i="18"/>
  <c r="CK220" i="18"/>
  <c r="CK221" i="18"/>
  <c r="CK222" i="18"/>
  <c r="CK223" i="18"/>
  <c r="CK224" i="18"/>
  <c r="CK225" i="18"/>
  <c r="CK226" i="18"/>
  <c r="CK227" i="18"/>
  <c r="CK228" i="18"/>
  <c r="CK229" i="18"/>
  <c r="CK230" i="18"/>
  <c r="CK231" i="18"/>
  <c r="CK232" i="18"/>
  <c r="CK233" i="18"/>
  <c r="CK234" i="18"/>
  <c r="CK235" i="18"/>
  <c r="CK236" i="18"/>
  <c r="CK237" i="18"/>
  <c r="CK238" i="18"/>
  <c r="CK239" i="18"/>
  <c r="CK240" i="18"/>
  <c r="CK241" i="18"/>
  <c r="CK242" i="18"/>
  <c r="CK243" i="18"/>
  <c r="CK244" i="18"/>
  <c r="CK245" i="18"/>
  <c r="CK246" i="18"/>
  <c r="CK247" i="18"/>
  <c r="CK248" i="18"/>
  <c r="CK249" i="18"/>
  <c r="CK250" i="18"/>
  <c r="CK251" i="18"/>
  <c r="CK252" i="18"/>
  <c r="CK253" i="18"/>
  <c r="CK254" i="18"/>
  <c r="CK255" i="18"/>
  <c r="CK256" i="18"/>
  <c r="CK257" i="18"/>
  <c r="CK258" i="18"/>
  <c r="CK259" i="18"/>
  <c r="CK260" i="18"/>
  <c r="CK261" i="18"/>
  <c r="CK262" i="18"/>
  <c r="CK263" i="18"/>
  <c r="CK264" i="18"/>
  <c r="CK265" i="18"/>
  <c r="CK266" i="18"/>
  <c r="CK267" i="18"/>
  <c r="CK268" i="18"/>
  <c r="CK269" i="18"/>
  <c r="CK270" i="18"/>
  <c r="CK271" i="18"/>
  <c r="CK272" i="18"/>
  <c r="CK273" i="18"/>
  <c r="CK274" i="18"/>
  <c r="CK275" i="18"/>
  <c r="CK276" i="18"/>
  <c r="CK277" i="18"/>
  <c r="CK278" i="18"/>
  <c r="CK279" i="18"/>
  <c r="CK280" i="18"/>
  <c r="CK281" i="18"/>
  <c r="CK282" i="18"/>
  <c r="CK283" i="18"/>
  <c r="CK284" i="18"/>
  <c r="CK285" i="18"/>
  <c r="CK286" i="18"/>
  <c r="CK287" i="18"/>
  <c r="CK288" i="18"/>
  <c r="CK289" i="18"/>
  <c r="CK290" i="18"/>
  <c r="CK291" i="18"/>
  <c r="CK292" i="18"/>
  <c r="CK293" i="18"/>
  <c r="CK294" i="18"/>
  <c r="CK295" i="18"/>
  <c r="CK296" i="18"/>
  <c r="CK297" i="18"/>
  <c r="CK298" i="18"/>
  <c r="CK299" i="18"/>
  <c r="CK300" i="18"/>
  <c r="CK301" i="18"/>
  <c r="CK302" i="18"/>
  <c r="CK303" i="18"/>
  <c r="CK304" i="18"/>
  <c r="CK305" i="18"/>
  <c r="CK306" i="18"/>
  <c r="CK307" i="18"/>
  <c r="CK308" i="18"/>
  <c r="CK309" i="18"/>
  <c r="CK310" i="18"/>
  <c r="CK311" i="18"/>
  <c r="CK312" i="18"/>
  <c r="CK313" i="18"/>
  <c r="CK314" i="18"/>
  <c r="CK315" i="18"/>
  <c r="CK316" i="18"/>
  <c r="CK317" i="18"/>
  <c r="CK318" i="18"/>
  <c r="CK319" i="18"/>
  <c r="CK320" i="18"/>
  <c r="CK321" i="18"/>
  <c r="CK322" i="18"/>
  <c r="CK323" i="18"/>
  <c r="CK324" i="18"/>
  <c r="CK325" i="18"/>
  <c r="CK326" i="18"/>
  <c r="CK327" i="18"/>
  <c r="CK328" i="18"/>
  <c r="CK329" i="18"/>
  <c r="CK330" i="18"/>
  <c r="CK331" i="18"/>
  <c r="CK332" i="18"/>
  <c r="CK333" i="18"/>
  <c r="CK334" i="18"/>
  <c r="CK335" i="18"/>
  <c r="CK336" i="18"/>
  <c r="CK337" i="18"/>
  <c r="CK338" i="18"/>
  <c r="CL3" i="18"/>
  <c r="CL4" i="18"/>
  <c r="CL5" i="18"/>
  <c r="CL6" i="18"/>
  <c r="CL7" i="18"/>
  <c r="CL8" i="18"/>
  <c r="CL9" i="18"/>
  <c r="CL10" i="18"/>
  <c r="CL11" i="18"/>
  <c r="CL12" i="18"/>
  <c r="CL13" i="18"/>
  <c r="CL14" i="18"/>
  <c r="CL15" i="18"/>
  <c r="CL16" i="18"/>
  <c r="CL17" i="18"/>
  <c r="CL18" i="18"/>
  <c r="CL19" i="18"/>
  <c r="CL20" i="18"/>
  <c r="CL21" i="18"/>
  <c r="CL22" i="18"/>
  <c r="CL23" i="18"/>
  <c r="CL24" i="18"/>
  <c r="CL25" i="18"/>
  <c r="CL26" i="18"/>
  <c r="CL27" i="18"/>
  <c r="CL28" i="18"/>
  <c r="CL29" i="18"/>
  <c r="CL30" i="18"/>
  <c r="CL31" i="18"/>
  <c r="CL32" i="18"/>
  <c r="CL33" i="18"/>
  <c r="CL34" i="18"/>
  <c r="CL35" i="18"/>
  <c r="CL36" i="18"/>
  <c r="CL37" i="18"/>
  <c r="CL38" i="18"/>
  <c r="CL39" i="18"/>
  <c r="CL40" i="18"/>
  <c r="CL41" i="18"/>
  <c r="CL42" i="18"/>
  <c r="CL43" i="18"/>
  <c r="CL44" i="18"/>
  <c r="CL45" i="18"/>
  <c r="CL46" i="18"/>
  <c r="CL47" i="18"/>
  <c r="CL48" i="18"/>
  <c r="CL49" i="18"/>
  <c r="CL50" i="18"/>
  <c r="CL51" i="18"/>
  <c r="CL52" i="18"/>
  <c r="CL53" i="18"/>
  <c r="CL54" i="18"/>
  <c r="CL55" i="18"/>
  <c r="CL56" i="18"/>
  <c r="CL57" i="18"/>
  <c r="CL58" i="18"/>
  <c r="CL59" i="18"/>
  <c r="CL60" i="18"/>
  <c r="CL61" i="18"/>
  <c r="CL62" i="18"/>
  <c r="CL63" i="18"/>
  <c r="CL64" i="18"/>
  <c r="CL65" i="18"/>
  <c r="CL66" i="18"/>
  <c r="CL67" i="18"/>
  <c r="CL68" i="18"/>
  <c r="CL69" i="18"/>
  <c r="CL70" i="18"/>
  <c r="CL71" i="18"/>
  <c r="CL72" i="18"/>
  <c r="CL73" i="18"/>
  <c r="CL74" i="18"/>
  <c r="CL75" i="18"/>
  <c r="CL76" i="18"/>
  <c r="CL77" i="18"/>
  <c r="CL78" i="18"/>
  <c r="CL79" i="18"/>
  <c r="CL80" i="18"/>
  <c r="CL81" i="18"/>
  <c r="CL82" i="18"/>
  <c r="CL83" i="18"/>
  <c r="CL84" i="18"/>
  <c r="CL85" i="18"/>
  <c r="CL86" i="18"/>
  <c r="CL87" i="18"/>
  <c r="CL88" i="18"/>
  <c r="CL89" i="18"/>
  <c r="CL90" i="18"/>
  <c r="CL91" i="18"/>
  <c r="CL92" i="18"/>
  <c r="CL93" i="18"/>
  <c r="CL94" i="18"/>
  <c r="CL95" i="18"/>
  <c r="CL96" i="18"/>
  <c r="CL97" i="18"/>
  <c r="CL98" i="18"/>
  <c r="CL99" i="18"/>
  <c r="CL100" i="18"/>
  <c r="CL101" i="18"/>
  <c r="CL102" i="18"/>
  <c r="CL103" i="18"/>
  <c r="CL104" i="18"/>
  <c r="CL105" i="18"/>
  <c r="CL106" i="18"/>
  <c r="CL107" i="18"/>
  <c r="CL108" i="18"/>
  <c r="CL109" i="18"/>
  <c r="CL110" i="18"/>
  <c r="CL111" i="18"/>
  <c r="CL112" i="18"/>
  <c r="CL113" i="18"/>
  <c r="CL114" i="18"/>
  <c r="CL115" i="18"/>
  <c r="CL116" i="18"/>
  <c r="CL117" i="18"/>
  <c r="CL118" i="18"/>
  <c r="CL119" i="18"/>
  <c r="CL120" i="18"/>
  <c r="CL121" i="18"/>
  <c r="CL122" i="18"/>
  <c r="CL123" i="18"/>
  <c r="CL124" i="18"/>
  <c r="CL125" i="18"/>
  <c r="CL126" i="18"/>
  <c r="CL127" i="18"/>
  <c r="CL128" i="18"/>
  <c r="CL129" i="18"/>
  <c r="CL130" i="18"/>
  <c r="CL131" i="18"/>
  <c r="CL132" i="18"/>
  <c r="CL133" i="18"/>
  <c r="CL134" i="18"/>
  <c r="CL135" i="18"/>
  <c r="CL136" i="18"/>
  <c r="CL137" i="18"/>
  <c r="CL138" i="18"/>
  <c r="CL139" i="18"/>
  <c r="CL140" i="18"/>
  <c r="CL141" i="18"/>
  <c r="CL142" i="18"/>
  <c r="CL143" i="18"/>
  <c r="CL144" i="18"/>
  <c r="CL145" i="18"/>
  <c r="CL146" i="18"/>
  <c r="CL147" i="18"/>
  <c r="CL148" i="18"/>
  <c r="CL149" i="18"/>
  <c r="CL150" i="18"/>
  <c r="CL151" i="18"/>
  <c r="CL152" i="18"/>
  <c r="CL153" i="18"/>
  <c r="CL154" i="18"/>
  <c r="CL155" i="18"/>
  <c r="CL156" i="18"/>
  <c r="CL157" i="18"/>
  <c r="CL158" i="18"/>
  <c r="CL159" i="18"/>
  <c r="CL160" i="18"/>
  <c r="CL161" i="18"/>
  <c r="CL162" i="18"/>
  <c r="CL163" i="18"/>
  <c r="CL164" i="18"/>
  <c r="CL165" i="18"/>
  <c r="CL166" i="18"/>
  <c r="CL167" i="18"/>
  <c r="CL168" i="18"/>
  <c r="CL169" i="18"/>
  <c r="CL170" i="18"/>
  <c r="CL171" i="18"/>
  <c r="CL172" i="18"/>
  <c r="CL173" i="18"/>
  <c r="CL174" i="18"/>
  <c r="CL175" i="18"/>
  <c r="CL176" i="18"/>
  <c r="CL177" i="18"/>
  <c r="CL178" i="18"/>
  <c r="CL179" i="18"/>
  <c r="CL180" i="18"/>
  <c r="CL181" i="18"/>
  <c r="CL182" i="18"/>
  <c r="CL183" i="18"/>
  <c r="CL184" i="18"/>
  <c r="CL185" i="18"/>
  <c r="CL186" i="18"/>
  <c r="CL187" i="18"/>
  <c r="CL188" i="18"/>
  <c r="CL189" i="18"/>
  <c r="CL190" i="18"/>
  <c r="CL191" i="18"/>
  <c r="CL192" i="18"/>
  <c r="CL193" i="18"/>
  <c r="CL194" i="18"/>
  <c r="CL195" i="18"/>
  <c r="CL196" i="18"/>
  <c r="CL197" i="18"/>
  <c r="CL198" i="18"/>
  <c r="CL199" i="18"/>
  <c r="CL200" i="18"/>
  <c r="CL201" i="18"/>
  <c r="CL202" i="18"/>
  <c r="CL203" i="18"/>
  <c r="CL204" i="18"/>
  <c r="CL205" i="18"/>
  <c r="CL206" i="18"/>
  <c r="CL207" i="18"/>
  <c r="CL208" i="18"/>
  <c r="CL209" i="18"/>
  <c r="CL210" i="18"/>
  <c r="CL211" i="18"/>
  <c r="CL212" i="18"/>
  <c r="CL213" i="18"/>
  <c r="CL214" i="18"/>
  <c r="CL215" i="18"/>
  <c r="CL216" i="18"/>
  <c r="CL217" i="18"/>
  <c r="CL218" i="18"/>
  <c r="CL219" i="18"/>
  <c r="CL220" i="18"/>
  <c r="CL221" i="18"/>
  <c r="CL222" i="18"/>
  <c r="CL223" i="18"/>
  <c r="CL224" i="18"/>
  <c r="CL225" i="18"/>
  <c r="CL226" i="18"/>
  <c r="CL227" i="18"/>
  <c r="CL228" i="18"/>
  <c r="CL229" i="18"/>
  <c r="CL230" i="18"/>
  <c r="CL231" i="18"/>
  <c r="CL232" i="18"/>
  <c r="CL233" i="18"/>
  <c r="CL234" i="18"/>
  <c r="CL235" i="18"/>
  <c r="CL236" i="18"/>
  <c r="CL237" i="18"/>
  <c r="CL238" i="18"/>
  <c r="CL239" i="18"/>
  <c r="CL240" i="18"/>
  <c r="CL241" i="18"/>
  <c r="CL242" i="18"/>
  <c r="CL243" i="18"/>
  <c r="CL244" i="18"/>
  <c r="CL245" i="18"/>
  <c r="CL246" i="18"/>
  <c r="CL247" i="18"/>
  <c r="CL248" i="18"/>
  <c r="CL249" i="18"/>
  <c r="CL250" i="18"/>
  <c r="CL251" i="18"/>
  <c r="CL252" i="18"/>
  <c r="CL253" i="18"/>
  <c r="CL254" i="18"/>
  <c r="CL255" i="18"/>
  <c r="CL256" i="18"/>
  <c r="CL257" i="18"/>
  <c r="CL258" i="18"/>
  <c r="CL259" i="18"/>
  <c r="CL260" i="18"/>
  <c r="CL261" i="18"/>
  <c r="CL262" i="18"/>
  <c r="CL263" i="18"/>
  <c r="CL264" i="18"/>
  <c r="CL265" i="18"/>
  <c r="CL266" i="18"/>
  <c r="CL267" i="18"/>
  <c r="CL268" i="18"/>
  <c r="CL269" i="18"/>
  <c r="CL270" i="18"/>
  <c r="CL271" i="18"/>
  <c r="CL272" i="18"/>
  <c r="CL273" i="18"/>
  <c r="CL274" i="18"/>
  <c r="CL275" i="18"/>
  <c r="CL276" i="18"/>
  <c r="CL277" i="18"/>
  <c r="CL278" i="18"/>
  <c r="CL279" i="18"/>
  <c r="CL280" i="18"/>
  <c r="CL281" i="18"/>
  <c r="CL282" i="18"/>
  <c r="CL283" i="18"/>
  <c r="CL284" i="18"/>
  <c r="CL285" i="18"/>
  <c r="CL286" i="18"/>
  <c r="CL287" i="18"/>
  <c r="CL288" i="18"/>
  <c r="CL289" i="18"/>
  <c r="CL290" i="18"/>
  <c r="CL291" i="18"/>
  <c r="CL292" i="18"/>
  <c r="CL293" i="18"/>
  <c r="CL294" i="18"/>
  <c r="CL295" i="18"/>
  <c r="CL296" i="18"/>
  <c r="CL297" i="18"/>
  <c r="CL298" i="18"/>
  <c r="CL299" i="18"/>
  <c r="CL300" i="18"/>
  <c r="CL301" i="18"/>
  <c r="CL302" i="18"/>
  <c r="CL303" i="18"/>
  <c r="CL304" i="18"/>
  <c r="CL305" i="18"/>
  <c r="CL306" i="18"/>
  <c r="CL307" i="18"/>
  <c r="CL308" i="18"/>
  <c r="CL309" i="18"/>
  <c r="CL310" i="18"/>
  <c r="CL311" i="18"/>
  <c r="CL312" i="18"/>
  <c r="CL313" i="18"/>
  <c r="CL314" i="18"/>
  <c r="CL315" i="18"/>
  <c r="CL316" i="18"/>
  <c r="CL317" i="18"/>
  <c r="CL318" i="18"/>
  <c r="CL319" i="18"/>
  <c r="CL320" i="18"/>
  <c r="CL321" i="18"/>
  <c r="CL322" i="18"/>
  <c r="CL323" i="18"/>
  <c r="CL324" i="18"/>
  <c r="CL325" i="18"/>
  <c r="CL326" i="18"/>
  <c r="CL327" i="18"/>
  <c r="CL328" i="18"/>
  <c r="CL329" i="18"/>
  <c r="CL330" i="18"/>
  <c r="CL331" i="18"/>
  <c r="CL332" i="18"/>
  <c r="CL333" i="18"/>
  <c r="CL334" i="18"/>
  <c r="CL335" i="18"/>
  <c r="CL336" i="18"/>
  <c r="CL337" i="18"/>
  <c r="CL338" i="18"/>
  <c r="CM3" i="18"/>
  <c r="CM4" i="18"/>
  <c r="CM5" i="18"/>
  <c r="CM6" i="18"/>
  <c r="CM7" i="18"/>
  <c r="CM8" i="18"/>
  <c r="CM9" i="18"/>
  <c r="CM10" i="18"/>
  <c r="CM11" i="18"/>
  <c r="CM12" i="18"/>
  <c r="CM13" i="18"/>
  <c r="CM14" i="18"/>
  <c r="CM15" i="18"/>
  <c r="CM16" i="18"/>
  <c r="CM17" i="18"/>
  <c r="CM18" i="18"/>
  <c r="CM19" i="18"/>
  <c r="CM20" i="18"/>
  <c r="CM21" i="18"/>
  <c r="CM22" i="18"/>
  <c r="CM23" i="18"/>
  <c r="CM24" i="18"/>
  <c r="CM25" i="18"/>
  <c r="CM26" i="18"/>
  <c r="CM27" i="18"/>
  <c r="CM28" i="18"/>
  <c r="CM29" i="18"/>
  <c r="CM30" i="18"/>
  <c r="CM31" i="18"/>
  <c r="CM32" i="18"/>
  <c r="CM33" i="18"/>
  <c r="CM34" i="18"/>
  <c r="CM35" i="18"/>
  <c r="CM36" i="18"/>
  <c r="CM37" i="18"/>
  <c r="CM38" i="18"/>
  <c r="CM39" i="18"/>
  <c r="CM40" i="18"/>
  <c r="CM41" i="18"/>
  <c r="CM42" i="18"/>
  <c r="CM43" i="18"/>
  <c r="CM44" i="18"/>
  <c r="CM45" i="18"/>
  <c r="CM46" i="18"/>
  <c r="CM47" i="18"/>
  <c r="CM48" i="18"/>
  <c r="CM49" i="18"/>
  <c r="CM50" i="18"/>
  <c r="CM51" i="18"/>
  <c r="CM52" i="18"/>
  <c r="CM53" i="18"/>
  <c r="CM54" i="18"/>
  <c r="CM55" i="18"/>
  <c r="CM56" i="18"/>
  <c r="CM57" i="18"/>
  <c r="CM58" i="18"/>
  <c r="CM59" i="18"/>
  <c r="CM60" i="18"/>
  <c r="CM61" i="18"/>
  <c r="CM62" i="18"/>
  <c r="CM63" i="18"/>
  <c r="CM64" i="18"/>
  <c r="CM65" i="18"/>
  <c r="CM66" i="18"/>
  <c r="CM67" i="18"/>
  <c r="CM68" i="18"/>
  <c r="CM69" i="18"/>
  <c r="CM70" i="18"/>
  <c r="CM71" i="18"/>
  <c r="CM72" i="18"/>
  <c r="CM73" i="18"/>
  <c r="CM74" i="18"/>
  <c r="CM75" i="18"/>
  <c r="CM76" i="18"/>
  <c r="CM77" i="18"/>
  <c r="CM78" i="18"/>
  <c r="CM79" i="18"/>
  <c r="CM80" i="18"/>
  <c r="CM81" i="18"/>
  <c r="CM82" i="18"/>
  <c r="CM83" i="18"/>
  <c r="CM84" i="18"/>
  <c r="CM85" i="18"/>
  <c r="CM86" i="18"/>
  <c r="CM87" i="18"/>
  <c r="CM88" i="18"/>
  <c r="CM89" i="18"/>
  <c r="CM90" i="18"/>
  <c r="CM91" i="18"/>
  <c r="CM92" i="18"/>
  <c r="CM93" i="18"/>
  <c r="CM94" i="18"/>
  <c r="CM95" i="18"/>
  <c r="CM96" i="18"/>
  <c r="CM97" i="18"/>
  <c r="CM98" i="18"/>
  <c r="CM99" i="18"/>
  <c r="CM100" i="18"/>
  <c r="CM101" i="18"/>
  <c r="CM102" i="18"/>
  <c r="CM103" i="18"/>
  <c r="CM104" i="18"/>
  <c r="CM105" i="18"/>
  <c r="CM106" i="18"/>
  <c r="CM107" i="18"/>
  <c r="CM108" i="18"/>
  <c r="CM109" i="18"/>
  <c r="CM110" i="18"/>
  <c r="CM111" i="18"/>
  <c r="CM112" i="18"/>
  <c r="CM113" i="18"/>
  <c r="CM114" i="18"/>
  <c r="CM115" i="18"/>
  <c r="CM116" i="18"/>
  <c r="CM117" i="18"/>
  <c r="CM118" i="18"/>
  <c r="CM119" i="18"/>
  <c r="CM120" i="18"/>
  <c r="CM121" i="18"/>
  <c r="CM122" i="18"/>
  <c r="CM123" i="18"/>
  <c r="CM124" i="18"/>
  <c r="CM125" i="18"/>
  <c r="CM126" i="18"/>
  <c r="CM127" i="18"/>
  <c r="CM128" i="18"/>
  <c r="CM129" i="18"/>
  <c r="CM130" i="18"/>
  <c r="CM131" i="18"/>
  <c r="CM132" i="18"/>
  <c r="CM133" i="18"/>
  <c r="CM134" i="18"/>
  <c r="CM135" i="18"/>
  <c r="CM136" i="18"/>
  <c r="CM137" i="18"/>
  <c r="CM138" i="18"/>
  <c r="CM139" i="18"/>
  <c r="CM140" i="18"/>
  <c r="CM141" i="18"/>
  <c r="CM142" i="18"/>
  <c r="CM143" i="18"/>
  <c r="CM144" i="18"/>
  <c r="CM145" i="18"/>
  <c r="CM146" i="18"/>
  <c r="CM147" i="18"/>
  <c r="CM148" i="18"/>
  <c r="CM149" i="18"/>
  <c r="CM150" i="18"/>
  <c r="CM151" i="18"/>
  <c r="CM152" i="18"/>
  <c r="CM153" i="18"/>
  <c r="CM154" i="18"/>
  <c r="CM155" i="18"/>
  <c r="CM156" i="18"/>
  <c r="CM157" i="18"/>
  <c r="CM158" i="18"/>
  <c r="CM159" i="18"/>
  <c r="CM160" i="18"/>
  <c r="CM161" i="18"/>
  <c r="CM162" i="18"/>
  <c r="CM163" i="18"/>
  <c r="CM164" i="18"/>
  <c r="CM165" i="18"/>
  <c r="CM166" i="18"/>
  <c r="CM167" i="18"/>
  <c r="CM168" i="18"/>
  <c r="CM169" i="18"/>
  <c r="CM170" i="18"/>
  <c r="CM171" i="18"/>
  <c r="CM172" i="18"/>
  <c r="CM173" i="18"/>
  <c r="CM174" i="18"/>
  <c r="CM175" i="18"/>
  <c r="CM176" i="18"/>
  <c r="CM177" i="18"/>
  <c r="CM178" i="18"/>
  <c r="CM179" i="18"/>
  <c r="CM180" i="18"/>
  <c r="CM181" i="18"/>
  <c r="CM182" i="18"/>
  <c r="CM183" i="18"/>
  <c r="CM184" i="18"/>
  <c r="CM185" i="18"/>
  <c r="CM186" i="18"/>
  <c r="CM187" i="18"/>
  <c r="CM188" i="18"/>
  <c r="CM189" i="18"/>
  <c r="CM190" i="18"/>
  <c r="CM191" i="18"/>
  <c r="CM192" i="18"/>
  <c r="CM193" i="18"/>
  <c r="CM194" i="18"/>
  <c r="CM195" i="18"/>
  <c r="CM196" i="18"/>
  <c r="CM197" i="18"/>
  <c r="CM198" i="18"/>
  <c r="CM199" i="18"/>
  <c r="CM200" i="18"/>
  <c r="CM201" i="18"/>
  <c r="CM202" i="18"/>
  <c r="CM203" i="18"/>
  <c r="CM204" i="18"/>
  <c r="CM205" i="18"/>
  <c r="CM206" i="18"/>
  <c r="CM207" i="18"/>
  <c r="CM208" i="18"/>
  <c r="CM209" i="18"/>
  <c r="CM210" i="18"/>
  <c r="CM211" i="18"/>
  <c r="CM212" i="18"/>
  <c r="CM213" i="18"/>
  <c r="CM214" i="18"/>
  <c r="CM215" i="18"/>
  <c r="CM216" i="18"/>
  <c r="CM217" i="18"/>
  <c r="CM218" i="18"/>
  <c r="CM219" i="18"/>
  <c r="CM220" i="18"/>
  <c r="CM221" i="18"/>
  <c r="CM222" i="18"/>
  <c r="CM223" i="18"/>
  <c r="CM224" i="18"/>
  <c r="CM225" i="18"/>
  <c r="CM226" i="18"/>
  <c r="CM227" i="18"/>
  <c r="CM228" i="18"/>
  <c r="CM229" i="18"/>
  <c r="CM230" i="18"/>
  <c r="CM231" i="18"/>
  <c r="CM232" i="18"/>
  <c r="CM233" i="18"/>
  <c r="CM234" i="18"/>
  <c r="CM235" i="18"/>
  <c r="CM236" i="18"/>
  <c r="CM237" i="18"/>
  <c r="CM238" i="18"/>
  <c r="CM239" i="18"/>
  <c r="CM240" i="18"/>
  <c r="CM241" i="18"/>
  <c r="CM242" i="18"/>
  <c r="CM243" i="18"/>
  <c r="CM244" i="18"/>
  <c r="CM245" i="18"/>
  <c r="CM246" i="18"/>
  <c r="CM247" i="18"/>
  <c r="CM248" i="18"/>
  <c r="CM249" i="18"/>
  <c r="CM250" i="18"/>
  <c r="CM251" i="18"/>
  <c r="CM252" i="18"/>
  <c r="CM253" i="18"/>
  <c r="CM254" i="18"/>
  <c r="CM255" i="18"/>
  <c r="CM256" i="18"/>
  <c r="CM257" i="18"/>
  <c r="CM258" i="18"/>
  <c r="CM259" i="18"/>
  <c r="CM260" i="18"/>
  <c r="CM261" i="18"/>
  <c r="CM262" i="18"/>
  <c r="CM263" i="18"/>
  <c r="CM264" i="18"/>
  <c r="CM265" i="18"/>
  <c r="CM266" i="18"/>
  <c r="CM267" i="18"/>
  <c r="CM268" i="18"/>
  <c r="CM269" i="18"/>
  <c r="CM270" i="18"/>
  <c r="CM271" i="18"/>
  <c r="CM272" i="18"/>
  <c r="CM273" i="18"/>
  <c r="CM274" i="18"/>
  <c r="CM275" i="18"/>
  <c r="CM276" i="18"/>
  <c r="CM277" i="18"/>
  <c r="CM278" i="18"/>
  <c r="CM279" i="18"/>
  <c r="CM280" i="18"/>
  <c r="CM281" i="18"/>
  <c r="CM282" i="18"/>
  <c r="CM283" i="18"/>
  <c r="CM284" i="18"/>
  <c r="CM285" i="18"/>
  <c r="CM286" i="18"/>
  <c r="CM287" i="18"/>
  <c r="CM288" i="18"/>
  <c r="CM289" i="18"/>
  <c r="CM290" i="18"/>
  <c r="CM291" i="18"/>
  <c r="CM292" i="18"/>
  <c r="CM293" i="18"/>
  <c r="CM294" i="18"/>
  <c r="CM295" i="18"/>
  <c r="CM296" i="18"/>
  <c r="CM297" i="18"/>
  <c r="CM298" i="18"/>
  <c r="CM299" i="18"/>
  <c r="CM300" i="18"/>
  <c r="CM301" i="18"/>
  <c r="CM302" i="18"/>
  <c r="CM303" i="18"/>
  <c r="CM304" i="18"/>
  <c r="CM305" i="18"/>
  <c r="CM306" i="18"/>
  <c r="CM307" i="18"/>
  <c r="CM308" i="18"/>
  <c r="CM309" i="18"/>
  <c r="CM310" i="18"/>
  <c r="CM311" i="18"/>
  <c r="CM312" i="18"/>
  <c r="CM313" i="18"/>
  <c r="CM314" i="18"/>
  <c r="CM315" i="18"/>
  <c r="CM316" i="18"/>
  <c r="CM317" i="18"/>
  <c r="CM318" i="18"/>
  <c r="CM319" i="18"/>
  <c r="CM320" i="18"/>
  <c r="CM321" i="18"/>
  <c r="CM322" i="18"/>
  <c r="CM323" i="18"/>
  <c r="CM324" i="18"/>
  <c r="CM325" i="18"/>
  <c r="CM326" i="18"/>
  <c r="CM327" i="18"/>
  <c r="CM328" i="18"/>
  <c r="CM329" i="18"/>
  <c r="CM330" i="18"/>
  <c r="CM331" i="18"/>
  <c r="CM332" i="18"/>
  <c r="CM333" i="18"/>
  <c r="CM334" i="18"/>
  <c r="CM335" i="18"/>
  <c r="CM336" i="18"/>
  <c r="CM337" i="18"/>
  <c r="CM338" i="18"/>
  <c r="CN3" i="18"/>
  <c r="CN4" i="18"/>
  <c r="CN5" i="18"/>
  <c r="CN6" i="18"/>
  <c r="CN7" i="18"/>
  <c r="CN8" i="18"/>
  <c r="CN9" i="18"/>
  <c r="CN10" i="18"/>
  <c r="CN11" i="18"/>
  <c r="CN12" i="18"/>
  <c r="CN13" i="18"/>
  <c r="CN14" i="18"/>
  <c r="CN15" i="18"/>
  <c r="CN16" i="18"/>
  <c r="CN17" i="18"/>
  <c r="CN18" i="18"/>
  <c r="CN19" i="18"/>
  <c r="CN20" i="18"/>
  <c r="CN21" i="18"/>
  <c r="CN22" i="18"/>
  <c r="CN23" i="18"/>
  <c r="CN24" i="18"/>
  <c r="CN25" i="18"/>
  <c r="CN26" i="18"/>
  <c r="CN27" i="18"/>
  <c r="CN28" i="18"/>
  <c r="CN29" i="18"/>
  <c r="CN30" i="18"/>
  <c r="CN31" i="18"/>
  <c r="CN32" i="18"/>
  <c r="CN33" i="18"/>
  <c r="CN34" i="18"/>
  <c r="CN35" i="18"/>
  <c r="CN36" i="18"/>
  <c r="CN37" i="18"/>
  <c r="CN38" i="18"/>
  <c r="CN39" i="18"/>
  <c r="CN40" i="18"/>
  <c r="CN41" i="18"/>
  <c r="CN42" i="18"/>
  <c r="CN43" i="18"/>
  <c r="CN44" i="18"/>
  <c r="CN45" i="18"/>
  <c r="CN46" i="18"/>
  <c r="CN47" i="18"/>
  <c r="CN48" i="18"/>
  <c r="CN49" i="18"/>
  <c r="CN50" i="18"/>
  <c r="CN51" i="18"/>
  <c r="CN52" i="18"/>
  <c r="CN53" i="18"/>
  <c r="CN54" i="18"/>
  <c r="CN55" i="18"/>
  <c r="CN56" i="18"/>
  <c r="CN57" i="18"/>
  <c r="CN58" i="18"/>
  <c r="CN59" i="18"/>
  <c r="CN60" i="18"/>
  <c r="CN61" i="18"/>
  <c r="CN62" i="18"/>
  <c r="CN63" i="18"/>
  <c r="CN64" i="18"/>
  <c r="CN65" i="18"/>
  <c r="CN66" i="18"/>
  <c r="CN67" i="18"/>
  <c r="CN68" i="18"/>
  <c r="CN69" i="18"/>
  <c r="CN70" i="18"/>
  <c r="CN71" i="18"/>
  <c r="CN72" i="18"/>
  <c r="CN73" i="18"/>
  <c r="CN74" i="18"/>
  <c r="CN75" i="18"/>
  <c r="CN76" i="18"/>
  <c r="CN77" i="18"/>
  <c r="CN78" i="18"/>
  <c r="CN79" i="18"/>
  <c r="CN80" i="18"/>
  <c r="CN81" i="18"/>
  <c r="CN82" i="18"/>
  <c r="CN83" i="18"/>
  <c r="CN84" i="18"/>
  <c r="CN85" i="18"/>
  <c r="CN86" i="18"/>
  <c r="CN87" i="18"/>
  <c r="CN88" i="18"/>
  <c r="CN89" i="18"/>
  <c r="CN90" i="18"/>
  <c r="CN91" i="18"/>
  <c r="CN92" i="18"/>
  <c r="CN93" i="18"/>
  <c r="CN94" i="18"/>
  <c r="CN95" i="18"/>
  <c r="CN96" i="18"/>
  <c r="CN97" i="18"/>
  <c r="CN98" i="18"/>
  <c r="CN99" i="18"/>
  <c r="CN100" i="18"/>
  <c r="CN101" i="18"/>
  <c r="CN102" i="18"/>
  <c r="CN103" i="18"/>
  <c r="CN104" i="18"/>
  <c r="CN105" i="18"/>
  <c r="CN106" i="18"/>
  <c r="CN107" i="18"/>
  <c r="CN108" i="18"/>
  <c r="CN109" i="18"/>
  <c r="CN110" i="18"/>
  <c r="CN111" i="18"/>
  <c r="CN112" i="18"/>
  <c r="CN113" i="18"/>
  <c r="CN114" i="18"/>
  <c r="CN115" i="18"/>
  <c r="CN116" i="18"/>
  <c r="CN117" i="18"/>
  <c r="CN118" i="18"/>
  <c r="CN119" i="18"/>
  <c r="CN120" i="18"/>
  <c r="CN121" i="18"/>
  <c r="CN122" i="18"/>
  <c r="CN123" i="18"/>
  <c r="CN124" i="18"/>
  <c r="CN125" i="18"/>
  <c r="CN126" i="18"/>
  <c r="CN127" i="18"/>
  <c r="CN128" i="18"/>
  <c r="CN129" i="18"/>
  <c r="CN130" i="18"/>
  <c r="CN131" i="18"/>
  <c r="CN132" i="18"/>
  <c r="CN133" i="18"/>
  <c r="CN134" i="18"/>
  <c r="CN135" i="18"/>
  <c r="CN136" i="18"/>
  <c r="CN137" i="18"/>
  <c r="CN138" i="18"/>
  <c r="CN139" i="18"/>
  <c r="CN140" i="18"/>
  <c r="CN141" i="18"/>
  <c r="CN142" i="18"/>
  <c r="CN143" i="18"/>
  <c r="CN144" i="18"/>
  <c r="CN145" i="18"/>
  <c r="CN146" i="18"/>
  <c r="CN147" i="18"/>
  <c r="CN148" i="18"/>
  <c r="CN149" i="18"/>
  <c r="CN150" i="18"/>
  <c r="CN151" i="18"/>
  <c r="CN152" i="18"/>
  <c r="CN153" i="18"/>
  <c r="CN154" i="18"/>
  <c r="CN155" i="18"/>
  <c r="CN156" i="18"/>
  <c r="CN157" i="18"/>
  <c r="CN158" i="18"/>
  <c r="CN159" i="18"/>
  <c r="CN160" i="18"/>
  <c r="CN161" i="18"/>
  <c r="CN162" i="18"/>
  <c r="CN163" i="18"/>
  <c r="CN164" i="18"/>
  <c r="CN165" i="18"/>
  <c r="CN166" i="18"/>
  <c r="CN167" i="18"/>
  <c r="CN168" i="18"/>
  <c r="CN169" i="18"/>
  <c r="CN170" i="18"/>
  <c r="CN171" i="18"/>
  <c r="CN172" i="18"/>
  <c r="CN173" i="18"/>
  <c r="CN174" i="18"/>
  <c r="CN175" i="18"/>
  <c r="CN176" i="18"/>
  <c r="CN177" i="18"/>
  <c r="CN178" i="18"/>
  <c r="CN179" i="18"/>
  <c r="CN180" i="18"/>
  <c r="CN181" i="18"/>
  <c r="CN182" i="18"/>
  <c r="CN183" i="18"/>
  <c r="CN184" i="18"/>
  <c r="CN185" i="18"/>
  <c r="CN186" i="18"/>
  <c r="CN187" i="18"/>
  <c r="CN188" i="18"/>
  <c r="CN189" i="18"/>
  <c r="CN190" i="18"/>
  <c r="CN191" i="18"/>
  <c r="CN192" i="18"/>
  <c r="CN193" i="18"/>
  <c r="CN194" i="18"/>
  <c r="CN195" i="18"/>
  <c r="CN196" i="18"/>
  <c r="CN197" i="18"/>
  <c r="CN198" i="18"/>
  <c r="CN199" i="18"/>
  <c r="CN200" i="18"/>
  <c r="CN201" i="18"/>
  <c r="CN202" i="18"/>
  <c r="CN203" i="18"/>
  <c r="CN204" i="18"/>
  <c r="CN205" i="18"/>
  <c r="CN206" i="18"/>
  <c r="CN207" i="18"/>
  <c r="CN208" i="18"/>
  <c r="CN209" i="18"/>
  <c r="CN210" i="18"/>
  <c r="CN211" i="18"/>
  <c r="CN212" i="18"/>
  <c r="CN213" i="18"/>
  <c r="CN214" i="18"/>
  <c r="CN215" i="18"/>
  <c r="CN216" i="18"/>
  <c r="CN217" i="18"/>
  <c r="CN218" i="18"/>
  <c r="CN219" i="18"/>
  <c r="CN220" i="18"/>
  <c r="CN221" i="18"/>
  <c r="CN222" i="18"/>
  <c r="CN223" i="18"/>
  <c r="CN224" i="18"/>
  <c r="CN225" i="18"/>
  <c r="CN226" i="18"/>
  <c r="CN227" i="18"/>
  <c r="CN228" i="18"/>
  <c r="CN229" i="18"/>
  <c r="CN230" i="18"/>
  <c r="CN231" i="18"/>
  <c r="CN232" i="18"/>
  <c r="CN233" i="18"/>
  <c r="CN234" i="18"/>
  <c r="CN235" i="18"/>
  <c r="CN236" i="18"/>
  <c r="CN237" i="18"/>
  <c r="CN238" i="18"/>
  <c r="CN239" i="18"/>
  <c r="CN240" i="18"/>
  <c r="CN241" i="18"/>
  <c r="CN242" i="18"/>
  <c r="CN243" i="18"/>
  <c r="CN244" i="18"/>
  <c r="CN245" i="18"/>
  <c r="CN246" i="18"/>
  <c r="CN247" i="18"/>
  <c r="CN248" i="18"/>
  <c r="CN249" i="18"/>
  <c r="CN250" i="18"/>
  <c r="CN251" i="18"/>
  <c r="CN252" i="18"/>
  <c r="CN253" i="18"/>
  <c r="CN254" i="18"/>
  <c r="CN255" i="18"/>
  <c r="CN256" i="18"/>
  <c r="CN257" i="18"/>
  <c r="CN258" i="18"/>
  <c r="CN259" i="18"/>
  <c r="CN260" i="18"/>
  <c r="CN261" i="18"/>
  <c r="CN262" i="18"/>
  <c r="CN263" i="18"/>
  <c r="CN264" i="18"/>
  <c r="CN265" i="18"/>
  <c r="CN266" i="18"/>
  <c r="CN267" i="18"/>
  <c r="CN268" i="18"/>
  <c r="CN269" i="18"/>
  <c r="CN270" i="18"/>
  <c r="CN271" i="18"/>
  <c r="CN272" i="18"/>
  <c r="CN273" i="18"/>
  <c r="CN274" i="18"/>
  <c r="CN275" i="18"/>
  <c r="CN276" i="18"/>
  <c r="CN277" i="18"/>
  <c r="CN278" i="18"/>
  <c r="CN279" i="18"/>
  <c r="CN280" i="18"/>
  <c r="CN281" i="18"/>
  <c r="CN282" i="18"/>
  <c r="CN283" i="18"/>
  <c r="CN284" i="18"/>
  <c r="CN285" i="18"/>
  <c r="CN286" i="18"/>
  <c r="CN287" i="18"/>
  <c r="CN288" i="18"/>
  <c r="CN289" i="18"/>
  <c r="CN290" i="18"/>
  <c r="CN291" i="18"/>
  <c r="CN292" i="18"/>
  <c r="CN293" i="18"/>
  <c r="CN294" i="18"/>
  <c r="CN295" i="18"/>
  <c r="CN296" i="18"/>
  <c r="CN297" i="18"/>
  <c r="CN298" i="18"/>
  <c r="CN299" i="18"/>
  <c r="CN300" i="18"/>
  <c r="CN301" i="18"/>
  <c r="CN302" i="18"/>
  <c r="CN303" i="18"/>
  <c r="CN304" i="18"/>
  <c r="CN305" i="18"/>
  <c r="CN306" i="18"/>
  <c r="CN307" i="18"/>
  <c r="CN308" i="18"/>
  <c r="CN309" i="18"/>
  <c r="CN310" i="18"/>
  <c r="CN311" i="18"/>
  <c r="CN312" i="18"/>
  <c r="CN313" i="18"/>
  <c r="CN314" i="18"/>
  <c r="CN315" i="18"/>
  <c r="CN316" i="18"/>
  <c r="CN317" i="18"/>
  <c r="CN318" i="18"/>
  <c r="CN319" i="18"/>
  <c r="CN320" i="18"/>
  <c r="CN321" i="18"/>
  <c r="CN322" i="18"/>
  <c r="CN323" i="18"/>
  <c r="CN324" i="18"/>
  <c r="CN325" i="18"/>
  <c r="CN326" i="18"/>
  <c r="CN327" i="18"/>
  <c r="CN328" i="18"/>
  <c r="CN329" i="18"/>
  <c r="CN330" i="18"/>
  <c r="CN331" i="18"/>
  <c r="CN332" i="18"/>
  <c r="CN333" i="18"/>
  <c r="CN334" i="18"/>
  <c r="CN335" i="18"/>
  <c r="CN336" i="18"/>
  <c r="CN337" i="18"/>
  <c r="CN338" i="18"/>
  <c r="CO3" i="18"/>
  <c r="CO4" i="18"/>
  <c r="CO5" i="18"/>
  <c r="CO6" i="18"/>
  <c r="CO7" i="18"/>
  <c r="CO8" i="18"/>
  <c r="CO9" i="18"/>
  <c r="CO10" i="18"/>
  <c r="CO11" i="18"/>
  <c r="CO12" i="18"/>
  <c r="CO13" i="18"/>
  <c r="CO14" i="18"/>
  <c r="CO15" i="18"/>
  <c r="CO16" i="18"/>
  <c r="CO17" i="18"/>
  <c r="CO18" i="18"/>
  <c r="CO19" i="18"/>
  <c r="CO20" i="18"/>
  <c r="CO21" i="18"/>
  <c r="CO22" i="18"/>
  <c r="CO23" i="18"/>
  <c r="CO24" i="18"/>
  <c r="CO25" i="18"/>
  <c r="CO26" i="18"/>
  <c r="CO27" i="18"/>
  <c r="CO28" i="18"/>
  <c r="CO29" i="18"/>
  <c r="CO30" i="18"/>
  <c r="CO31" i="18"/>
  <c r="CO32" i="18"/>
  <c r="CO33" i="18"/>
  <c r="CO34" i="18"/>
  <c r="CO35" i="18"/>
  <c r="CO36" i="18"/>
  <c r="CO37" i="18"/>
  <c r="CO38" i="18"/>
  <c r="CO39" i="18"/>
  <c r="CO40" i="18"/>
  <c r="CO41" i="18"/>
  <c r="CO42" i="18"/>
  <c r="CO43" i="18"/>
  <c r="CO44" i="18"/>
  <c r="CO45" i="18"/>
  <c r="CO46" i="18"/>
  <c r="CO47" i="18"/>
  <c r="CO48" i="18"/>
  <c r="CO49" i="18"/>
  <c r="CO50" i="18"/>
  <c r="CO51" i="18"/>
  <c r="CO52" i="18"/>
  <c r="CO53" i="18"/>
  <c r="CO54" i="18"/>
  <c r="CO55" i="18"/>
  <c r="CO56" i="18"/>
  <c r="CO57" i="18"/>
  <c r="CO58" i="18"/>
  <c r="CO59" i="18"/>
  <c r="CO60" i="18"/>
  <c r="CO61" i="18"/>
  <c r="CO62" i="18"/>
  <c r="CO63" i="18"/>
  <c r="CO64" i="18"/>
  <c r="CO65" i="18"/>
  <c r="CO66" i="18"/>
  <c r="CO67" i="18"/>
  <c r="CO68" i="18"/>
  <c r="CO69" i="18"/>
  <c r="CO70" i="18"/>
  <c r="CO71" i="18"/>
  <c r="CO72" i="18"/>
  <c r="CO73" i="18"/>
  <c r="CO74" i="18"/>
  <c r="CO75" i="18"/>
  <c r="CO76" i="18"/>
  <c r="CO77" i="18"/>
  <c r="CO78" i="18"/>
  <c r="CO79" i="18"/>
  <c r="CO80" i="18"/>
  <c r="CO81" i="18"/>
  <c r="CO82" i="18"/>
  <c r="CO83" i="18"/>
  <c r="CO84" i="18"/>
  <c r="CO85" i="18"/>
  <c r="CO86" i="18"/>
  <c r="CO87" i="18"/>
  <c r="CO88" i="18"/>
  <c r="CO89" i="18"/>
  <c r="CO90" i="18"/>
  <c r="CO91" i="18"/>
  <c r="CO92" i="18"/>
  <c r="CO93" i="18"/>
  <c r="CO94" i="18"/>
  <c r="CO95" i="18"/>
  <c r="CO96" i="18"/>
  <c r="CO97" i="18"/>
  <c r="CO98" i="18"/>
  <c r="CO99" i="18"/>
  <c r="CO100" i="18"/>
  <c r="CO101" i="18"/>
  <c r="CO102" i="18"/>
  <c r="CO103" i="18"/>
  <c r="CO104" i="18"/>
  <c r="CO105" i="18"/>
  <c r="CO106" i="18"/>
  <c r="CO107" i="18"/>
  <c r="CO108" i="18"/>
  <c r="CO109" i="18"/>
  <c r="CO110" i="18"/>
  <c r="CO111" i="18"/>
  <c r="CO112" i="18"/>
  <c r="CO113" i="18"/>
  <c r="CO114" i="18"/>
  <c r="CO115" i="18"/>
  <c r="CO116" i="18"/>
  <c r="CO117" i="18"/>
  <c r="CO118" i="18"/>
  <c r="CO119" i="18"/>
  <c r="CO120" i="18"/>
  <c r="CO121" i="18"/>
  <c r="CO122" i="18"/>
  <c r="CO123" i="18"/>
  <c r="CO124" i="18"/>
  <c r="CO125" i="18"/>
  <c r="CO126" i="18"/>
  <c r="CO127" i="18"/>
  <c r="CO128" i="18"/>
  <c r="CO129" i="18"/>
  <c r="CO130" i="18"/>
  <c r="CO131" i="18"/>
  <c r="CO132" i="18"/>
  <c r="CO133" i="18"/>
  <c r="CO134" i="18"/>
  <c r="CO135" i="18"/>
  <c r="CO136" i="18"/>
  <c r="CO137" i="18"/>
  <c r="CO138" i="18"/>
  <c r="CO139" i="18"/>
  <c r="CO140" i="18"/>
  <c r="CO141" i="18"/>
  <c r="CO142" i="18"/>
  <c r="CO143" i="18"/>
  <c r="CO144" i="18"/>
  <c r="CO145" i="18"/>
  <c r="CO146" i="18"/>
  <c r="CO147" i="18"/>
  <c r="CO148" i="18"/>
  <c r="CO149" i="18"/>
  <c r="CO150" i="18"/>
  <c r="CO151" i="18"/>
  <c r="CO152" i="18"/>
  <c r="CO153" i="18"/>
  <c r="CO154" i="18"/>
  <c r="CO155" i="18"/>
  <c r="CO156" i="18"/>
  <c r="CO157" i="18"/>
  <c r="CO158" i="18"/>
  <c r="CO159" i="18"/>
  <c r="CO160" i="18"/>
  <c r="CO161" i="18"/>
  <c r="CO162" i="18"/>
  <c r="CO163" i="18"/>
  <c r="CO164" i="18"/>
  <c r="CO165" i="18"/>
  <c r="CO166" i="18"/>
  <c r="CO167" i="18"/>
  <c r="CO168" i="18"/>
  <c r="CO169" i="18"/>
  <c r="CO170" i="18"/>
  <c r="CO171" i="18"/>
  <c r="CO172" i="18"/>
  <c r="CO173" i="18"/>
  <c r="CO174" i="18"/>
  <c r="CO175" i="18"/>
  <c r="CO176" i="18"/>
  <c r="CO177" i="18"/>
  <c r="CO178" i="18"/>
  <c r="CO179" i="18"/>
  <c r="CO180" i="18"/>
  <c r="CO181" i="18"/>
  <c r="CO182" i="18"/>
  <c r="CO183" i="18"/>
  <c r="CO184" i="18"/>
  <c r="CO185" i="18"/>
  <c r="CO186" i="18"/>
  <c r="CO187" i="18"/>
  <c r="CO188" i="18"/>
  <c r="CO189" i="18"/>
  <c r="CO190" i="18"/>
  <c r="CO191" i="18"/>
  <c r="CO192" i="18"/>
  <c r="CO193" i="18"/>
  <c r="CO194" i="18"/>
  <c r="CO195" i="18"/>
  <c r="CO196" i="18"/>
  <c r="CO197" i="18"/>
  <c r="CO198" i="18"/>
  <c r="CO199" i="18"/>
  <c r="CO200" i="18"/>
  <c r="CO201" i="18"/>
  <c r="CO202" i="18"/>
  <c r="CO203" i="18"/>
  <c r="CO204" i="18"/>
  <c r="CO205" i="18"/>
  <c r="CO206" i="18"/>
  <c r="CO207" i="18"/>
  <c r="CO208" i="18"/>
  <c r="CO209" i="18"/>
  <c r="CO210" i="18"/>
  <c r="CO211" i="18"/>
  <c r="CO212" i="18"/>
  <c r="CO213" i="18"/>
  <c r="CO214" i="18"/>
  <c r="CO215" i="18"/>
  <c r="CO216" i="18"/>
  <c r="CO217" i="18"/>
  <c r="CO218" i="18"/>
  <c r="CO219" i="18"/>
  <c r="CO220" i="18"/>
  <c r="CO221" i="18"/>
  <c r="CO222" i="18"/>
  <c r="CO223" i="18"/>
  <c r="CO224" i="18"/>
  <c r="CO225" i="18"/>
  <c r="CO226" i="18"/>
  <c r="CO227" i="18"/>
  <c r="CO228" i="18"/>
  <c r="CO229" i="18"/>
  <c r="CO230" i="18"/>
  <c r="CO231" i="18"/>
  <c r="CO232" i="18"/>
  <c r="CO233" i="18"/>
  <c r="CO234" i="18"/>
  <c r="CO235" i="18"/>
  <c r="CO236" i="18"/>
  <c r="CO237" i="18"/>
  <c r="CO238" i="18"/>
  <c r="CO239" i="18"/>
  <c r="CO240" i="18"/>
  <c r="CO241" i="18"/>
  <c r="CO242" i="18"/>
  <c r="CO243" i="18"/>
  <c r="CO244" i="18"/>
  <c r="CO245" i="18"/>
  <c r="CO246" i="18"/>
  <c r="CO247" i="18"/>
  <c r="CO248" i="18"/>
  <c r="CO249" i="18"/>
  <c r="CO250" i="18"/>
  <c r="CO251" i="18"/>
  <c r="CO252" i="18"/>
  <c r="CO253" i="18"/>
  <c r="CO254" i="18"/>
  <c r="CO255" i="18"/>
  <c r="CO256" i="18"/>
  <c r="CO257" i="18"/>
  <c r="CO258" i="18"/>
  <c r="CO259" i="18"/>
  <c r="CO260" i="18"/>
  <c r="CO261" i="18"/>
  <c r="CO262" i="18"/>
  <c r="CO263" i="18"/>
  <c r="CO264" i="18"/>
  <c r="CO265" i="18"/>
  <c r="CO266" i="18"/>
  <c r="CO267" i="18"/>
  <c r="CO268" i="18"/>
  <c r="CO269" i="18"/>
  <c r="CO270" i="18"/>
  <c r="CO271" i="18"/>
  <c r="CO272" i="18"/>
  <c r="CO273" i="18"/>
  <c r="CO274" i="18"/>
  <c r="CO275" i="18"/>
  <c r="CO276" i="18"/>
  <c r="CO277" i="18"/>
  <c r="CO278" i="18"/>
  <c r="CO279" i="18"/>
  <c r="CO280" i="18"/>
  <c r="CO281" i="18"/>
  <c r="CO282" i="18"/>
  <c r="CO283" i="18"/>
  <c r="CO284" i="18"/>
  <c r="CO285" i="18"/>
  <c r="CO286" i="18"/>
  <c r="CO287" i="18"/>
  <c r="CO288" i="18"/>
  <c r="CO289" i="18"/>
  <c r="CO290" i="18"/>
  <c r="CO291" i="18"/>
  <c r="CO292" i="18"/>
  <c r="CO293" i="18"/>
  <c r="CO294" i="18"/>
  <c r="CO295" i="18"/>
  <c r="CO296" i="18"/>
  <c r="CO297" i="18"/>
  <c r="CO298" i="18"/>
  <c r="CO299" i="18"/>
  <c r="CO300" i="18"/>
  <c r="CO301" i="18"/>
  <c r="CO302" i="18"/>
  <c r="CO303" i="18"/>
  <c r="CO304" i="18"/>
  <c r="CO305" i="18"/>
  <c r="CO306" i="18"/>
  <c r="CO307" i="18"/>
  <c r="CO308" i="18"/>
  <c r="CO309" i="18"/>
  <c r="CO310" i="18"/>
  <c r="CO311" i="18"/>
  <c r="CO312" i="18"/>
  <c r="CO313" i="18"/>
  <c r="CO314" i="18"/>
  <c r="CO315" i="18"/>
  <c r="CO316" i="18"/>
  <c r="CO317" i="18"/>
  <c r="CO318" i="18"/>
  <c r="CO319" i="18"/>
  <c r="CO320" i="18"/>
  <c r="CO321" i="18"/>
  <c r="CO322" i="18"/>
  <c r="CO323" i="18"/>
  <c r="CO324" i="18"/>
  <c r="CO325" i="18"/>
  <c r="CO326" i="18"/>
  <c r="CO327" i="18"/>
  <c r="CO328" i="18"/>
  <c r="CO329" i="18"/>
  <c r="CO330" i="18"/>
  <c r="CO331" i="18"/>
  <c r="CO332" i="18"/>
  <c r="CO333" i="18"/>
  <c r="CO334" i="18"/>
  <c r="CO335" i="18"/>
  <c r="CO336" i="18"/>
  <c r="CO337" i="18"/>
  <c r="CO338" i="18"/>
  <c r="CP3" i="18"/>
  <c r="CP4" i="18"/>
  <c r="CP5" i="18"/>
  <c r="CP6" i="18"/>
  <c r="CP7" i="18"/>
  <c r="CP8" i="18"/>
  <c r="CP9" i="18"/>
  <c r="CP10" i="18"/>
  <c r="CP11" i="18"/>
  <c r="CP12" i="18"/>
  <c r="CP13" i="18"/>
  <c r="CP14" i="18"/>
  <c r="CP15" i="18"/>
  <c r="CP16" i="18"/>
  <c r="CP17" i="18"/>
  <c r="CP18" i="18"/>
  <c r="CP19" i="18"/>
  <c r="CP20" i="18"/>
  <c r="CP21" i="18"/>
  <c r="CP22" i="18"/>
  <c r="CP23" i="18"/>
  <c r="CP24" i="18"/>
  <c r="CP25" i="18"/>
  <c r="CP26" i="18"/>
  <c r="CP27" i="18"/>
  <c r="CP28" i="18"/>
  <c r="CP29" i="18"/>
  <c r="CP30" i="18"/>
  <c r="CP31" i="18"/>
  <c r="CP32" i="18"/>
  <c r="CP33" i="18"/>
  <c r="CP34" i="18"/>
  <c r="CP35" i="18"/>
  <c r="CP36" i="18"/>
  <c r="CP37" i="18"/>
  <c r="CP38" i="18"/>
  <c r="CP39" i="18"/>
  <c r="CP40" i="18"/>
  <c r="CP41" i="18"/>
  <c r="CP42" i="18"/>
  <c r="CP43" i="18"/>
  <c r="CP44" i="18"/>
  <c r="CP45" i="18"/>
  <c r="CP46" i="18"/>
  <c r="CP47" i="18"/>
  <c r="CP48" i="18"/>
  <c r="CP49" i="18"/>
  <c r="CP50" i="18"/>
  <c r="CP51" i="18"/>
  <c r="CP52" i="18"/>
  <c r="CP53" i="18"/>
  <c r="CP54" i="18"/>
  <c r="CP55" i="18"/>
  <c r="CP56" i="18"/>
  <c r="CP57" i="18"/>
  <c r="CP58" i="18"/>
  <c r="CP59" i="18"/>
  <c r="CP60" i="18"/>
  <c r="CP61" i="18"/>
  <c r="CP62" i="18"/>
  <c r="CP63" i="18"/>
  <c r="CP64" i="18"/>
  <c r="CP65" i="18"/>
  <c r="CP66" i="18"/>
  <c r="CP67" i="18"/>
  <c r="CP68" i="18"/>
  <c r="CP69" i="18"/>
  <c r="CP70" i="18"/>
  <c r="CP71" i="18"/>
  <c r="CP72" i="18"/>
  <c r="CP73" i="18"/>
  <c r="CP74" i="18"/>
  <c r="CP75" i="18"/>
  <c r="CP76" i="18"/>
  <c r="CP77" i="18"/>
  <c r="CP78" i="18"/>
  <c r="CP79" i="18"/>
  <c r="CP80" i="18"/>
  <c r="CP81" i="18"/>
  <c r="CP82" i="18"/>
  <c r="CP83" i="18"/>
  <c r="CP84" i="18"/>
  <c r="CP85" i="18"/>
  <c r="CP86" i="18"/>
  <c r="CP87" i="18"/>
  <c r="CP88" i="18"/>
  <c r="CP89" i="18"/>
  <c r="CP90" i="18"/>
  <c r="CP91" i="18"/>
  <c r="CP92" i="18"/>
  <c r="CP93" i="18"/>
  <c r="CP94" i="18"/>
  <c r="CP95" i="18"/>
  <c r="CP96" i="18"/>
  <c r="CP97" i="18"/>
  <c r="CP98" i="18"/>
  <c r="CP99" i="18"/>
  <c r="CP100" i="18"/>
  <c r="CP101" i="18"/>
  <c r="CP102" i="18"/>
  <c r="CP103" i="18"/>
  <c r="CP104" i="18"/>
  <c r="CP105" i="18"/>
  <c r="CP106" i="18"/>
  <c r="CP107" i="18"/>
  <c r="CP108" i="18"/>
  <c r="CP109" i="18"/>
  <c r="CP110" i="18"/>
  <c r="CP111" i="18"/>
  <c r="CP112" i="18"/>
  <c r="CP113" i="18"/>
  <c r="CP114" i="18"/>
  <c r="CP115" i="18"/>
  <c r="CP116" i="18"/>
  <c r="CP117" i="18"/>
  <c r="CP118" i="18"/>
  <c r="CP119" i="18"/>
  <c r="CP120" i="18"/>
  <c r="CP121" i="18"/>
  <c r="CP122" i="18"/>
  <c r="CP123" i="18"/>
  <c r="CP124" i="18"/>
  <c r="CP125" i="18"/>
  <c r="CP126" i="18"/>
  <c r="CP127" i="18"/>
  <c r="CP128" i="18"/>
  <c r="CP129" i="18"/>
  <c r="CP130" i="18"/>
  <c r="CP131" i="18"/>
  <c r="CP132" i="18"/>
  <c r="CP133" i="18"/>
  <c r="CP134" i="18"/>
  <c r="CP135" i="18"/>
  <c r="CP136" i="18"/>
  <c r="CP137" i="18"/>
  <c r="CP138" i="18"/>
  <c r="CP139" i="18"/>
  <c r="CP140" i="18"/>
  <c r="CP141" i="18"/>
  <c r="CP142" i="18"/>
  <c r="CP143" i="18"/>
  <c r="CP144" i="18"/>
  <c r="CP145" i="18"/>
  <c r="CP146" i="18"/>
  <c r="CP147" i="18"/>
  <c r="CP148" i="18"/>
  <c r="CP149" i="18"/>
  <c r="CP150" i="18"/>
  <c r="CP151" i="18"/>
  <c r="CP152" i="18"/>
  <c r="CP153" i="18"/>
  <c r="CP154" i="18"/>
  <c r="CP155" i="18"/>
  <c r="CP156" i="18"/>
  <c r="CP157" i="18"/>
  <c r="CP158" i="18"/>
  <c r="CP159" i="18"/>
  <c r="CP160" i="18"/>
  <c r="CP161" i="18"/>
  <c r="CP162" i="18"/>
  <c r="CP163" i="18"/>
  <c r="CP164" i="18"/>
  <c r="CP165" i="18"/>
  <c r="CP166" i="18"/>
  <c r="CP167" i="18"/>
  <c r="CP168" i="18"/>
  <c r="CP169" i="18"/>
  <c r="CP170" i="18"/>
  <c r="CP171" i="18"/>
  <c r="CP172" i="18"/>
  <c r="CP173" i="18"/>
  <c r="CP174" i="18"/>
  <c r="CP175" i="18"/>
  <c r="CP176" i="18"/>
  <c r="CP177" i="18"/>
  <c r="CP178" i="18"/>
  <c r="CP179" i="18"/>
  <c r="CP180" i="18"/>
  <c r="CP181" i="18"/>
  <c r="CP182" i="18"/>
  <c r="CP183" i="18"/>
  <c r="CP184" i="18"/>
  <c r="CP185" i="18"/>
  <c r="CP186" i="18"/>
  <c r="CP187" i="18"/>
  <c r="CP188" i="18"/>
  <c r="CP189" i="18"/>
  <c r="CP190" i="18"/>
  <c r="CP191" i="18"/>
  <c r="CP192" i="18"/>
  <c r="CP193" i="18"/>
  <c r="CP194" i="18"/>
  <c r="CP195" i="18"/>
  <c r="CP196" i="18"/>
  <c r="CP197" i="18"/>
  <c r="CP198" i="18"/>
  <c r="CP199" i="18"/>
  <c r="CP200" i="18"/>
  <c r="CP201" i="18"/>
  <c r="CP202" i="18"/>
  <c r="CP203" i="18"/>
  <c r="CP204" i="18"/>
  <c r="CP205" i="18"/>
  <c r="CP206" i="18"/>
  <c r="CP207" i="18"/>
  <c r="CP208" i="18"/>
  <c r="CP209" i="18"/>
  <c r="CP210" i="18"/>
  <c r="CP211" i="18"/>
  <c r="CP212" i="18"/>
  <c r="CP213" i="18"/>
  <c r="CP214" i="18"/>
  <c r="CP215" i="18"/>
  <c r="CP216" i="18"/>
  <c r="CP217" i="18"/>
  <c r="CP218" i="18"/>
  <c r="CP219" i="18"/>
  <c r="CP220" i="18"/>
  <c r="CP221" i="18"/>
  <c r="CP222" i="18"/>
  <c r="CP223" i="18"/>
  <c r="CP224" i="18"/>
  <c r="CP225" i="18"/>
  <c r="CP226" i="18"/>
  <c r="CP227" i="18"/>
  <c r="CP228" i="18"/>
  <c r="CP229" i="18"/>
  <c r="CP230" i="18"/>
  <c r="CP231" i="18"/>
  <c r="CP232" i="18"/>
  <c r="CP233" i="18"/>
  <c r="CP234" i="18"/>
  <c r="CP235" i="18"/>
  <c r="CP236" i="18"/>
  <c r="CP237" i="18"/>
  <c r="CP238" i="18"/>
  <c r="CP239" i="18"/>
  <c r="CP240" i="18"/>
  <c r="CP241" i="18"/>
  <c r="CP242" i="18"/>
  <c r="CP243" i="18"/>
  <c r="CP244" i="18"/>
  <c r="CP245" i="18"/>
  <c r="CP246" i="18"/>
  <c r="CP247" i="18"/>
  <c r="CP248" i="18"/>
  <c r="CP249" i="18"/>
  <c r="CP250" i="18"/>
  <c r="CP251" i="18"/>
  <c r="CP252" i="18"/>
  <c r="CP253" i="18"/>
  <c r="CP254" i="18"/>
  <c r="CP255" i="18"/>
  <c r="CP256" i="18"/>
  <c r="CP257" i="18"/>
  <c r="CP258" i="18"/>
  <c r="CP259" i="18"/>
  <c r="CP260" i="18"/>
  <c r="CP261" i="18"/>
  <c r="CP262" i="18"/>
  <c r="CP263" i="18"/>
  <c r="CP264" i="18"/>
  <c r="CP265" i="18"/>
  <c r="CP266" i="18"/>
  <c r="CP267" i="18"/>
  <c r="CP268" i="18"/>
  <c r="CP269" i="18"/>
  <c r="CP270" i="18"/>
  <c r="CP271" i="18"/>
  <c r="CP272" i="18"/>
  <c r="CP273" i="18"/>
  <c r="CP274" i="18"/>
  <c r="CP275" i="18"/>
  <c r="CP276" i="18"/>
  <c r="CP277" i="18"/>
  <c r="CP278" i="18"/>
  <c r="CP279" i="18"/>
  <c r="CP280" i="18"/>
  <c r="CP281" i="18"/>
  <c r="CP282" i="18"/>
  <c r="CP283" i="18"/>
  <c r="CP284" i="18"/>
  <c r="CP285" i="18"/>
  <c r="CP286" i="18"/>
  <c r="CP287" i="18"/>
  <c r="CP288" i="18"/>
  <c r="CP289" i="18"/>
  <c r="CP290" i="18"/>
  <c r="CP291" i="18"/>
  <c r="CP292" i="18"/>
  <c r="CP293" i="18"/>
  <c r="CP294" i="18"/>
  <c r="CP295" i="18"/>
  <c r="CP296" i="18"/>
  <c r="CP297" i="18"/>
  <c r="CP298" i="18"/>
  <c r="CP299" i="18"/>
  <c r="CP300" i="18"/>
  <c r="CP301" i="18"/>
  <c r="CP302" i="18"/>
  <c r="CP303" i="18"/>
  <c r="CP304" i="18"/>
  <c r="CP305" i="18"/>
  <c r="CP306" i="18"/>
  <c r="CP307" i="18"/>
  <c r="CP308" i="18"/>
  <c r="CP309" i="18"/>
  <c r="CP310" i="18"/>
  <c r="CP311" i="18"/>
  <c r="CP312" i="18"/>
  <c r="CP313" i="18"/>
  <c r="CP314" i="18"/>
  <c r="CP315" i="18"/>
  <c r="CP316" i="18"/>
  <c r="CP317" i="18"/>
  <c r="CP318" i="18"/>
  <c r="CP319" i="18"/>
  <c r="CP320" i="18"/>
  <c r="CP321" i="18"/>
  <c r="CP322" i="18"/>
  <c r="CP323" i="18"/>
  <c r="CP324" i="18"/>
  <c r="CP325" i="18"/>
  <c r="CP326" i="18"/>
  <c r="CP327" i="18"/>
  <c r="CP328" i="18"/>
  <c r="CP329" i="18"/>
  <c r="CP330" i="18"/>
  <c r="CP331" i="18"/>
  <c r="CP332" i="18"/>
  <c r="CP333" i="18"/>
  <c r="CP334" i="18"/>
  <c r="CP335" i="18"/>
  <c r="CP336" i="18"/>
  <c r="CP337" i="18"/>
  <c r="CP338" i="18"/>
  <c r="CQ3" i="18"/>
  <c r="CQ4" i="18"/>
  <c r="CQ5" i="18"/>
  <c r="CQ6" i="18"/>
  <c r="CQ7" i="18"/>
  <c r="CQ8" i="18"/>
  <c r="CQ9" i="18"/>
  <c r="CQ10" i="18"/>
  <c r="CQ11" i="18"/>
  <c r="CQ12" i="18"/>
  <c r="CQ13" i="18"/>
  <c r="CQ14" i="18"/>
  <c r="CQ15" i="18"/>
  <c r="CQ16" i="18"/>
  <c r="CQ17" i="18"/>
  <c r="CQ18" i="18"/>
  <c r="CQ19" i="18"/>
  <c r="CQ20" i="18"/>
  <c r="CQ21" i="18"/>
  <c r="CQ22" i="18"/>
  <c r="CQ23" i="18"/>
  <c r="CQ24" i="18"/>
  <c r="CQ25" i="18"/>
  <c r="CQ26" i="18"/>
  <c r="CQ27" i="18"/>
  <c r="CQ28" i="18"/>
  <c r="CQ29" i="18"/>
  <c r="CQ30" i="18"/>
  <c r="CQ31" i="18"/>
  <c r="CQ32" i="18"/>
  <c r="CQ33" i="18"/>
  <c r="CQ34" i="18"/>
  <c r="CQ35" i="18"/>
  <c r="CQ36" i="18"/>
  <c r="CQ37" i="18"/>
  <c r="CQ38" i="18"/>
  <c r="CQ39" i="18"/>
  <c r="CQ40" i="18"/>
  <c r="CQ41" i="18"/>
  <c r="CQ42" i="18"/>
  <c r="CQ43" i="18"/>
  <c r="CQ44" i="18"/>
  <c r="CQ45" i="18"/>
  <c r="CQ46" i="18"/>
  <c r="CQ47" i="18"/>
  <c r="CQ48" i="18"/>
  <c r="CQ49" i="18"/>
  <c r="CQ50" i="18"/>
  <c r="CQ51" i="18"/>
  <c r="CQ52" i="18"/>
  <c r="CQ53" i="18"/>
  <c r="CQ54" i="18"/>
  <c r="CQ55" i="18"/>
  <c r="CQ56" i="18"/>
  <c r="CQ57" i="18"/>
  <c r="CQ58" i="18"/>
  <c r="CQ59" i="18"/>
  <c r="CQ60" i="18"/>
  <c r="CQ61" i="18"/>
  <c r="CQ62" i="18"/>
  <c r="CQ63" i="18"/>
  <c r="CQ64" i="18"/>
  <c r="CQ65" i="18"/>
  <c r="CQ66" i="18"/>
  <c r="CQ67" i="18"/>
  <c r="CQ68" i="18"/>
  <c r="CQ69" i="18"/>
  <c r="CQ70" i="18"/>
  <c r="CQ71" i="18"/>
  <c r="CQ72" i="18"/>
  <c r="CQ73" i="18"/>
  <c r="CQ74" i="18"/>
  <c r="CQ75" i="18"/>
  <c r="CQ76" i="18"/>
  <c r="CQ77" i="18"/>
  <c r="CQ78" i="18"/>
  <c r="CQ79" i="18"/>
  <c r="CQ80" i="18"/>
  <c r="CQ81" i="18"/>
  <c r="CQ82" i="18"/>
  <c r="CQ83" i="18"/>
  <c r="CQ84" i="18"/>
  <c r="CQ85" i="18"/>
  <c r="CQ86" i="18"/>
  <c r="CQ87" i="18"/>
  <c r="CQ88" i="18"/>
  <c r="CQ89" i="18"/>
  <c r="CQ90" i="18"/>
  <c r="CQ91" i="18"/>
  <c r="CQ92" i="18"/>
  <c r="CQ93" i="18"/>
  <c r="CQ94" i="18"/>
  <c r="CQ95" i="18"/>
  <c r="CQ96" i="18"/>
  <c r="CQ97" i="18"/>
  <c r="CQ98" i="18"/>
  <c r="CQ99" i="18"/>
  <c r="CQ100" i="18"/>
  <c r="CQ101" i="18"/>
  <c r="CQ102" i="18"/>
  <c r="CQ103" i="18"/>
  <c r="CQ104" i="18"/>
  <c r="CQ105" i="18"/>
  <c r="CQ106" i="18"/>
  <c r="CQ107" i="18"/>
  <c r="CQ108" i="18"/>
  <c r="CQ109" i="18"/>
  <c r="CQ110" i="18"/>
  <c r="CQ111" i="18"/>
  <c r="CQ112" i="18"/>
  <c r="CQ113" i="18"/>
  <c r="CQ114" i="18"/>
  <c r="CQ115" i="18"/>
  <c r="CQ116" i="18"/>
  <c r="CQ117" i="18"/>
  <c r="CQ118" i="18"/>
  <c r="CQ119" i="18"/>
  <c r="CQ120" i="18"/>
  <c r="CQ121" i="18"/>
  <c r="CQ122" i="18"/>
  <c r="CQ123" i="18"/>
  <c r="CQ124" i="18"/>
  <c r="CQ125" i="18"/>
  <c r="CQ126" i="18"/>
  <c r="CQ127" i="18"/>
  <c r="CQ128" i="18"/>
  <c r="CQ129" i="18"/>
  <c r="CQ130" i="18"/>
  <c r="CQ131" i="18"/>
  <c r="CQ132" i="18"/>
  <c r="CQ133" i="18"/>
  <c r="CQ134" i="18"/>
  <c r="CQ135" i="18"/>
  <c r="CQ136" i="18"/>
  <c r="CQ137" i="18"/>
  <c r="CQ138" i="18"/>
  <c r="CQ139" i="18"/>
  <c r="CQ140" i="18"/>
  <c r="CQ141" i="18"/>
  <c r="CQ142" i="18"/>
  <c r="CQ143" i="18"/>
  <c r="CQ144" i="18"/>
  <c r="CQ145" i="18"/>
  <c r="CQ146" i="18"/>
  <c r="CQ147" i="18"/>
  <c r="CQ148" i="18"/>
  <c r="CQ149" i="18"/>
  <c r="CQ150" i="18"/>
  <c r="CQ151" i="18"/>
  <c r="CQ152" i="18"/>
  <c r="CQ153" i="18"/>
  <c r="CQ154" i="18"/>
  <c r="CQ155" i="18"/>
  <c r="CQ156" i="18"/>
  <c r="CQ157" i="18"/>
  <c r="CQ158" i="18"/>
  <c r="CQ159" i="18"/>
  <c r="CQ160" i="18"/>
  <c r="CQ161" i="18"/>
  <c r="CQ162" i="18"/>
  <c r="CQ163" i="18"/>
  <c r="CQ164" i="18"/>
  <c r="CQ165" i="18"/>
  <c r="CQ166" i="18"/>
  <c r="CQ167" i="18"/>
  <c r="CQ168" i="18"/>
  <c r="CQ169" i="18"/>
  <c r="CQ170" i="18"/>
  <c r="CQ171" i="18"/>
  <c r="CQ172" i="18"/>
  <c r="CQ173" i="18"/>
  <c r="CQ174" i="18"/>
  <c r="CQ175" i="18"/>
  <c r="CQ176" i="18"/>
  <c r="CQ177" i="18"/>
  <c r="CQ178" i="18"/>
  <c r="CQ179" i="18"/>
  <c r="CQ180" i="18"/>
  <c r="CQ181" i="18"/>
  <c r="CQ182" i="18"/>
  <c r="CQ183" i="18"/>
  <c r="CQ184" i="18"/>
  <c r="CQ185" i="18"/>
  <c r="CQ186" i="18"/>
  <c r="CQ187" i="18"/>
  <c r="CQ188" i="18"/>
  <c r="CQ189" i="18"/>
  <c r="CQ190" i="18"/>
  <c r="CQ191" i="18"/>
  <c r="CQ192" i="18"/>
  <c r="CQ193" i="18"/>
  <c r="CQ194" i="18"/>
  <c r="CQ195" i="18"/>
  <c r="CQ196" i="18"/>
  <c r="CQ197" i="18"/>
  <c r="CQ198" i="18"/>
  <c r="CQ199" i="18"/>
  <c r="CQ200" i="18"/>
  <c r="CQ201" i="18"/>
  <c r="CQ202" i="18"/>
  <c r="CQ203" i="18"/>
  <c r="CQ204" i="18"/>
  <c r="CQ205" i="18"/>
  <c r="CQ206" i="18"/>
  <c r="CQ207" i="18"/>
  <c r="CQ208" i="18"/>
  <c r="CQ209" i="18"/>
  <c r="CQ210" i="18"/>
  <c r="CQ211" i="18"/>
  <c r="CQ212" i="18"/>
  <c r="CQ213" i="18"/>
  <c r="CQ214" i="18"/>
  <c r="CQ215" i="18"/>
  <c r="CQ216" i="18"/>
  <c r="CQ217" i="18"/>
  <c r="CQ218" i="18"/>
  <c r="CQ219" i="18"/>
  <c r="CQ220" i="18"/>
  <c r="CQ221" i="18"/>
  <c r="CQ222" i="18"/>
  <c r="CQ223" i="18"/>
  <c r="CQ224" i="18"/>
  <c r="CQ225" i="18"/>
  <c r="CQ226" i="18"/>
  <c r="CQ227" i="18"/>
  <c r="CQ228" i="18"/>
  <c r="CQ229" i="18"/>
  <c r="CQ230" i="18"/>
  <c r="CQ231" i="18"/>
  <c r="CQ232" i="18"/>
  <c r="CQ233" i="18"/>
  <c r="CQ234" i="18"/>
  <c r="CQ235" i="18"/>
  <c r="CQ236" i="18"/>
  <c r="CQ237" i="18"/>
  <c r="CQ238" i="18"/>
  <c r="CQ239" i="18"/>
  <c r="CQ240" i="18"/>
  <c r="CQ241" i="18"/>
  <c r="CQ242" i="18"/>
  <c r="CQ243" i="18"/>
  <c r="CQ244" i="18"/>
  <c r="CQ245" i="18"/>
  <c r="CQ246" i="18"/>
  <c r="CQ247" i="18"/>
  <c r="CQ248" i="18"/>
  <c r="CQ249" i="18"/>
  <c r="CQ250" i="18"/>
  <c r="CQ251" i="18"/>
  <c r="CQ252" i="18"/>
  <c r="CQ253" i="18"/>
  <c r="CQ254" i="18"/>
  <c r="CQ255" i="18"/>
  <c r="CQ256" i="18"/>
  <c r="CQ257" i="18"/>
  <c r="CQ258" i="18"/>
  <c r="CQ259" i="18"/>
  <c r="CQ260" i="18"/>
  <c r="CQ261" i="18"/>
  <c r="CQ262" i="18"/>
  <c r="CQ263" i="18"/>
  <c r="CQ264" i="18"/>
  <c r="CQ265" i="18"/>
  <c r="CQ266" i="18"/>
  <c r="CQ267" i="18"/>
  <c r="CQ268" i="18"/>
  <c r="CQ269" i="18"/>
  <c r="CQ270" i="18"/>
  <c r="CQ271" i="18"/>
  <c r="CQ272" i="18"/>
  <c r="CQ273" i="18"/>
  <c r="CQ274" i="18"/>
  <c r="CQ275" i="18"/>
  <c r="CQ276" i="18"/>
  <c r="CQ277" i="18"/>
  <c r="CQ278" i="18"/>
  <c r="CQ279" i="18"/>
  <c r="CQ280" i="18"/>
  <c r="CQ281" i="18"/>
  <c r="CQ282" i="18"/>
  <c r="CQ283" i="18"/>
  <c r="CQ284" i="18"/>
  <c r="CQ285" i="18"/>
  <c r="CQ286" i="18"/>
  <c r="CQ287" i="18"/>
  <c r="CQ288" i="18"/>
  <c r="CQ289" i="18"/>
  <c r="CQ290" i="18"/>
  <c r="CQ291" i="18"/>
  <c r="CQ292" i="18"/>
  <c r="CQ293" i="18"/>
  <c r="CQ294" i="18"/>
  <c r="CQ295" i="18"/>
  <c r="CQ296" i="18"/>
  <c r="CQ297" i="18"/>
  <c r="CQ298" i="18"/>
  <c r="CQ299" i="18"/>
  <c r="CQ300" i="18"/>
  <c r="CQ301" i="18"/>
  <c r="CQ302" i="18"/>
  <c r="CQ303" i="18"/>
  <c r="CQ304" i="18"/>
  <c r="CQ305" i="18"/>
  <c r="CQ306" i="18"/>
  <c r="CQ307" i="18"/>
  <c r="CQ308" i="18"/>
  <c r="CQ309" i="18"/>
  <c r="CQ310" i="18"/>
  <c r="CQ311" i="18"/>
  <c r="CQ312" i="18"/>
  <c r="CQ313" i="18"/>
  <c r="CQ314" i="18"/>
  <c r="CQ315" i="18"/>
  <c r="CQ316" i="18"/>
  <c r="CQ317" i="18"/>
  <c r="CQ318" i="18"/>
  <c r="CQ319" i="18"/>
  <c r="CQ320" i="18"/>
  <c r="CQ321" i="18"/>
  <c r="CQ322" i="18"/>
  <c r="CQ323" i="18"/>
  <c r="CQ324" i="18"/>
  <c r="CQ325" i="18"/>
  <c r="CQ326" i="18"/>
  <c r="CQ327" i="18"/>
  <c r="CQ328" i="18"/>
  <c r="CQ329" i="18"/>
  <c r="CQ330" i="18"/>
  <c r="CQ331" i="18"/>
  <c r="CQ332" i="18"/>
  <c r="CQ333" i="18"/>
  <c r="CQ334" i="18"/>
  <c r="CQ335" i="18"/>
  <c r="CQ336" i="18"/>
  <c r="CQ337" i="18"/>
  <c r="CQ338" i="18"/>
  <c r="CR3" i="18"/>
  <c r="DA192" i="18" s="1"/>
  <c r="CR4" i="18"/>
  <c r="DA171" i="18" s="1"/>
  <c r="CR5" i="18"/>
  <c r="DA315" i="18" s="1"/>
  <c r="CR6" i="18"/>
  <c r="CR7" i="18"/>
  <c r="CR8" i="18"/>
  <c r="DA100" i="18" s="1"/>
  <c r="CR9" i="18"/>
  <c r="DA114" i="18" s="1"/>
  <c r="DC114" i="18" s="1"/>
  <c r="CR10" i="18"/>
  <c r="CR11" i="18"/>
  <c r="CR12" i="18"/>
  <c r="DA91" i="18" s="1"/>
  <c r="CR13" i="18"/>
  <c r="DA232" i="18" s="1"/>
  <c r="CR14" i="18"/>
  <c r="CR15" i="18"/>
  <c r="CR16" i="18"/>
  <c r="DA177" i="18" s="1"/>
  <c r="CR17" i="18"/>
  <c r="DA331" i="18" s="1"/>
  <c r="CR18" i="18"/>
  <c r="CR19" i="18"/>
  <c r="CR20" i="18"/>
  <c r="DA70" i="18" s="1"/>
  <c r="DC70" i="18" s="1"/>
  <c r="CR21" i="18"/>
  <c r="DA244" i="18" s="1"/>
  <c r="CR22" i="18"/>
  <c r="CR23" i="18"/>
  <c r="DA152" i="18" s="1"/>
  <c r="CR24" i="18"/>
  <c r="DA321" i="18" s="1"/>
  <c r="CR25" i="18"/>
  <c r="CR26" i="18"/>
  <c r="CR27" i="18"/>
  <c r="CR28" i="18"/>
  <c r="DA112" i="18" s="1"/>
  <c r="CR29" i="18"/>
  <c r="CR30" i="18"/>
  <c r="CR31" i="18"/>
  <c r="DA219" i="18" s="1"/>
  <c r="CR32" i="18"/>
  <c r="CR33" i="18"/>
  <c r="CR34" i="18"/>
  <c r="CR35" i="18"/>
  <c r="CR36" i="18"/>
  <c r="DA316" i="18" s="1"/>
  <c r="CR37" i="18"/>
  <c r="CR38" i="18"/>
  <c r="CR39" i="18"/>
  <c r="CR40" i="18"/>
  <c r="DA144" i="18" s="1"/>
  <c r="DC144" i="18" s="1"/>
  <c r="CR41" i="18"/>
  <c r="CR42" i="18"/>
  <c r="CR43" i="18"/>
  <c r="DA284" i="18" s="1"/>
  <c r="CR44" i="18"/>
  <c r="DA319" i="18" s="1"/>
  <c r="CR45" i="18"/>
  <c r="DA128" i="18" s="1"/>
  <c r="CR46" i="18"/>
  <c r="CR47" i="18"/>
  <c r="DA75" i="18" s="1"/>
  <c r="DC75" i="18" s="1"/>
  <c r="CR48" i="18"/>
  <c r="DA183" i="18" s="1"/>
  <c r="CR49" i="18"/>
  <c r="DA185" i="18" s="1"/>
  <c r="CR50" i="18"/>
  <c r="CR51" i="18"/>
  <c r="DA212" i="18" s="1"/>
  <c r="CR52" i="18"/>
  <c r="DA191" i="18" s="1"/>
  <c r="CR53" i="18"/>
  <c r="CR54" i="18"/>
  <c r="CR55" i="18"/>
  <c r="CR56" i="18"/>
  <c r="DA211" i="18" s="1"/>
  <c r="CR57" i="18"/>
  <c r="DA9" i="18" s="1"/>
  <c r="CR58" i="18"/>
  <c r="CR59" i="18"/>
  <c r="CR60" i="18"/>
  <c r="DA27" i="18" s="1"/>
  <c r="CR61" i="18"/>
  <c r="CR62" i="18"/>
  <c r="CR63" i="18"/>
  <c r="CR64" i="18"/>
  <c r="CR65" i="18"/>
  <c r="CR66" i="18"/>
  <c r="CR67" i="18"/>
  <c r="CR68" i="18"/>
  <c r="DA203" i="18" s="1"/>
  <c r="CR69" i="18"/>
  <c r="CR70" i="18"/>
  <c r="CR71" i="18"/>
  <c r="CR72" i="18"/>
  <c r="DA281" i="18" s="1"/>
  <c r="CR73" i="18"/>
  <c r="CR74" i="18"/>
  <c r="CR75" i="18"/>
  <c r="CR76" i="18"/>
  <c r="DA119" i="18" s="1"/>
  <c r="CR77" i="18"/>
  <c r="CR78" i="18"/>
  <c r="CR79" i="18"/>
  <c r="CR80" i="18"/>
  <c r="DA107" i="18" s="1"/>
  <c r="CR81" i="18"/>
  <c r="DA51" i="18" s="1"/>
  <c r="DC51" i="18" s="1"/>
  <c r="CR82" i="18"/>
  <c r="CR83" i="18"/>
  <c r="CR84" i="18"/>
  <c r="CR85" i="18"/>
  <c r="CR86" i="18"/>
  <c r="CR87" i="18"/>
  <c r="CR88" i="18"/>
  <c r="CR89" i="18"/>
  <c r="CR90" i="18"/>
  <c r="CR91" i="18"/>
  <c r="DC91" i="18" s="1"/>
  <c r="CR92" i="18"/>
  <c r="DA3" i="18" s="1"/>
  <c r="CR93" i="18"/>
  <c r="CR94" i="18"/>
  <c r="CR95" i="18"/>
  <c r="CR96" i="18"/>
  <c r="CR97" i="18"/>
  <c r="CR98" i="18"/>
  <c r="CR99" i="18"/>
  <c r="DA237" i="18" s="1"/>
  <c r="CR100" i="18"/>
  <c r="DA8" i="18" s="1"/>
  <c r="CR101" i="18"/>
  <c r="CR102" i="18"/>
  <c r="CR103" i="18"/>
  <c r="CR104" i="18"/>
  <c r="CR105" i="18"/>
  <c r="CR106" i="18"/>
  <c r="CR107" i="18"/>
  <c r="CR108" i="18"/>
  <c r="CR109" i="18"/>
  <c r="CR110" i="18"/>
  <c r="CR111" i="18"/>
  <c r="CR112" i="18"/>
  <c r="CR113" i="18"/>
  <c r="CR114" i="18"/>
  <c r="CR115" i="18"/>
  <c r="CR116" i="18"/>
  <c r="CR117" i="18"/>
  <c r="CR118" i="18"/>
  <c r="CR119" i="18"/>
  <c r="CR120" i="18"/>
  <c r="CR121" i="18"/>
  <c r="CR122" i="18"/>
  <c r="CR123" i="18"/>
  <c r="CR124" i="18"/>
  <c r="DA200" i="18" s="1"/>
  <c r="CR125" i="18"/>
  <c r="CR126" i="18"/>
  <c r="CR127" i="18"/>
  <c r="CR128" i="18"/>
  <c r="DA164" i="18" s="1"/>
  <c r="DC164" i="18" s="1"/>
  <c r="CR129" i="18"/>
  <c r="CR130" i="18"/>
  <c r="CR131" i="18"/>
  <c r="CR132" i="18"/>
  <c r="CR133" i="18"/>
  <c r="CR134" i="18"/>
  <c r="CR135" i="18"/>
  <c r="CR136" i="18"/>
  <c r="CR137" i="18"/>
  <c r="CR138" i="18"/>
  <c r="CR139" i="18"/>
  <c r="CR140" i="18"/>
  <c r="CR141" i="18"/>
  <c r="CR142" i="18"/>
  <c r="CR143" i="18"/>
  <c r="CR144" i="18"/>
  <c r="CR145" i="18"/>
  <c r="CR146" i="18"/>
  <c r="CR147" i="18"/>
  <c r="CR148" i="18"/>
  <c r="CR149" i="18"/>
  <c r="CR150" i="18"/>
  <c r="CR151" i="18"/>
  <c r="CR152" i="18"/>
  <c r="DC152" i="18" s="1"/>
  <c r="CR153" i="18"/>
  <c r="CR154" i="18"/>
  <c r="CR155" i="18"/>
  <c r="CR156" i="18"/>
  <c r="CR157" i="18"/>
  <c r="DC157" i="18" s="1"/>
  <c r="CR158" i="18"/>
  <c r="CR159" i="18"/>
  <c r="CR160" i="18"/>
  <c r="CR161" i="18"/>
  <c r="CR162" i="18"/>
  <c r="CR163" i="18"/>
  <c r="CR164" i="18"/>
  <c r="CR165" i="18"/>
  <c r="CR166" i="18"/>
  <c r="CR167" i="18"/>
  <c r="CR168" i="18"/>
  <c r="CR169" i="18"/>
  <c r="CR170" i="18"/>
  <c r="CR171" i="18"/>
  <c r="DC171" i="18" s="1"/>
  <c r="CR172" i="18"/>
  <c r="CR173" i="18"/>
  <c r="CR174" i="18"/>
  <c r="CR175" i="18"/>
  <c r="CR176" i="18"/>
  <c r="CR177" i="18"/>
  <c r="DC177" i="18" s="1"/>
  <c r="CR178" i="18"/>
  <c r="CR179" i="18"/>
  <c r="CR180" i="18"/>
  <c r="CR181" i="18"/>
  <c r="CR182" i="18"/>
  <c r="CR183" i="18"/>
  <c r="CR184" i="18"/>
  <c r="DA23" i="18" s="1"/>
  <c r="CR185" i="18"/>
  <c r="CR186" i="18"/>
  <c r="CR187" i="18"/>
  <c r="CR188" i="18"/>
  <c r="DA264" i="18" s="1"/>
  <c r="CR189" i="18"/>
  <c r="DA251" i="18" s="1"/>
  <c r="CR190" i="18"/>
  <c r="CR191" i="18"/>
  <c r="CR192" i="18"/>
  <c r="CR193" i="18"/>
  <c r="CR194" i="18"/>
  <c r="CR195" i="18"/>
  <c r="DA42" i="18" s="1"/>
  <c r="CR196" i="18"/>
  <c r="CR197" i="18"/>
  <c r="CR198" i="18"/>
  <c r="CR199" i="18"/>
  <c r="CR200" i="18"/>
  <c r="DA124" i="18" s="1"/>
  <c r="DC124" i="18" s="1"/>
  <c r="CR201" i="18"/>
  <c r="CR202" i="18"/>
  <c r="CR203" i="18"/>
  <c r="DA68" i="18" s="1"/>
  <c r="CR204" i="18"/>
  <c r="DA156" i="18" s="1"/>
  <c r="DC156" i="18" s="1"/>
  <c r="CR205" i="18"/>
  <c r="CR206" i="18"/>
  <c r="CR207" i="18"/>
  <c r="CR208" i="18"/>
  <c r="CR209" i="18"/>
  <c r="CR210" i="18"/>
  <c r="CR211" i="18"/>
  <c r="CR212" i="18"/>
  <c r="DC212" i="18" s="1"/>
  <c r="CR213" i="18"/>
  <c r="CR214" i="18"/>
  <c r="CR215" i="18"/>
  <c r="CR216" i="18"/>
  <c r="CR217" i="18"/>
  <c r="CR218" i="18"/>
  <c r="CR219" i="18"/>
  <c r="CR220" i="18"/>
  <c r="CR221" i="18"/>
  <c r="CR222" i="18"/>
  <c r="CR223" i="18"/>
  <c r="CR224" i="18"/>
  <c r="DA314" i="18" s="1"/>
  <c r="DC314" i="18" s="1"/>
  <c r="CR225" i="18"/>
  <c r="CR226" i="18"/>
  <c r="CR227" i="18"/>
  <c r="CR228" i="18"/>
  <c r="CR229" i="18"/>
  <c r="CR230" i="18"/>
  <c r="CR231" i="18"/>
  <c r="CR232" i="18"/>
  <c r="DA139" i="18" s="1"/>
  <c r="CR233" i="18"/>
  <c r="DA143" i="18" s="1"/>
  <c r="CR234" i="18"/>
  <c r="CR235" i="18"/>
  <c r="CR236" i="18"/>
  <c r="CR237" i="18"/>
  <c r="CR238" i="18"/>
  <c r="CR239" i="18"/>
  <c r="CR240" i="18"/>
  <c r="CR241" i="18"/>
  <c r="CR242" i="18"/>
  <c r="CR243" i="18"/>
  <c r="CR244" i="18"/>
  <c r="DA95" i="18" s="1"/>
  <c r="DC95" i="18" s="1"/>
  <c r="CR245" i="18"/>
  <c r="CR246" i="18"/>
  <c r="CR247" i="18"/>
  <c r="CR248" i="18"/>
  <c r="DA159" i="18" s="1"/>
  <c r="DC159" i="18" s="1"/>
  <c r="CR249" i="18"/>
  <c r="CR250" i="18"/>
  <c r="CR251" i="18"/>
  <c r="CR252" i="18"/>
  <c r="DA187" i="18" s="1"/>
  <c r="DC187" i="18" s="1"/>
  <c r="CR253" i="18"/>
  <c r="CR254" i="18"/>
  <c r="CR255" i="18"/>
  <c r="CR256" i="18"/>
  <c r="DA31" i="18" s="1"/>
  <c r="DC31" i="18" s="1"/>
  <c r="CR257" i="18"/>
  <c r="CR258" i="18"/>
  <c r="CR259" i="18"/>
  <c r="CR260" i="18"/>
  <c r="CR261" i="18"/>
  <c r="CR262" i="18"/>
  <c r="CR263" i="18"/>
  <c r="CR264" i="18"/>
  <c r="DC264" i="18" s="1"/>
  <c r="CR265" i="18"/>
  <c r="CR266" i="18"/>
  <c r="CR267" i="18"/>
  <c r="CR268" i="18"/>
  <c r="CR269" i="18"/>
  <c r="CR270" i="18"/>
  <c r="CR271" i="18"/>
  <c r="CR272" i="18"/>
  <c r="CR273" i="18"/>
  <c r="CR274" i="18"/>
  <c r="CR275" i="18"/>
  <c r="CR276" i="18"/>
  <c r="CR277" i="18"/>
  <c r="CR278" i="18"/>
  <c r="CR279" i="18"/>
  <c r="CR280" i="18"/>
  <c r="CR281" i="18"/>
  <c r="CR282" i="18"/>
  <c r="CR283" i="18"/>
  <c r="CR284" i="18"/>
  <c r="CR285" i="18"/>
  <c r="DA37" i="18" s="1"/>
  <c r="CR286" i="18"/>
  <c r="CR287" i="18"/>
  <c r="CR288" i="18"/>
  <c r="CR289" i="18"/>
  <c r="CR290" i="18"/>
  <c r="CR291" i="18"/>
  <c r="CR292" i="18"/>
  <c r="DA207" i="18" s="1"/>
  <c r="DC207" i="18" s="1"/>
  <c r="CR293" i="18"/>
  <c r="CR294" i="18"/>
  <c r="CR295" i="18"/>
  <c r="CR296" i="18"/>
  <c r="CR297" i="18"/>
  <c r="CR298" i="18"/>
  <c r="CR299" i="18"/>
  <c r="DA20" i="18" s="1"/>
  <c r="CR300" i="18"/>
  <c r="DC300" i="18" s="1"/>
  <c r="CR301" i="18"/>
  <c r="CR302" i="18"/>
  <c r="CR303" i="18"/>
  <c r="CR304" i="18"/>
  <c r="DA179" i="18" s="1"/>
  <c r="CR305" i="18"/>
  <c r="CR306" i="18"/>
  <c r="CR307" i="18"/>
  <c r="CR308" i="18"/>
  <c r="DA55" i="18" s="1"/>
  <c r="DC55" i="18" s="1"/>
  <c r="CR309" i="18"/>
  <c r="CR310" i="18"/>
  <c r="CR311" i="18"/>
  <c r="CR312" i="18"/>
  <c r="CR313" i="18"/>
  <c r="CR314" i="18"/>
  <c r="CR315" i="18"/>
  <c r="CR316" i="18"/>
  <c r="DC316" i="18" s="1"/>
  <c r="CR317" i="18"/>
  <c r="CR318" i="18"/>
  <c r="CR319" i="18"/>
  <c r="DA44" i="18" s="1"/>
  <c r="CR320" i="18"/>
  <c r="CR321" i="18"/>
  <c r="CR322" i="18"/>
  <c r="CR323" i="18"/>
  <c r="CR324" i="18"/>
  <c r="DA233" i="18" s="1"/>
  <c r="CR325" i="18"/>
  <c r="CR326" i="18"/>
  <c r="CR327" i="18"/>
  <c r="CR328" i="18"/>
  <c r="CR329" i="18"/>
  <c r="CR330" i="18"/>
  <c r="CR331" i="18"/>
  <c r="CR332" i="18"/>
  <c r="CR333" i="18"/>
  <c r="CR334" i="18"/>
  <c r="CR335" i="18"/>
  <c r="DA33" i="18" s="1"/>
  <c r="DB36" i="18" s="1"/>
  <c r="CR336" i="18"/>
  <c r="CR337" i="18"/>
  <c r="CR338" i="18"/>
  <c r="CS3" i="18"/>
  <c r="CS4" i="18"/>
  <c r="CS5" i="18"/>
  <c r="CS6" i="18"/>
  <c r="CS7" i="18"/>
  <c r="CS8" i="18"/>
  <c r="CS9" i="18"/>
  <c r="CS10" i="18"/>
  <c r="CS11" i="18"/>
  <c r="CS12" i="18"/>
  <c r="CS13" i="18"/>
  <c r="CS14" i="18"/>
  <c r="CS15" i="18"/>
  <c r="CS16" i="18"/>
  <c r="CS17" i="18"/>
  <c r="CS18" i="18"/>
  <c r="CS19" i="18"/>
  <c r="CS20" i="18"/>
  <c r="CS21" i="18"/>
  <c r="CS22" i="18"/>
  <c r="CS23" i="18"/>
  <c r="CS24" i="18"/>
  <c r="CS25" i="18"/>
  <c r="CS26" i="18"/>
  <c r="CS27" i="18"/>
  <c r="CS28" i="18"/>
  <c r="CS29" i="18"/>
  <c r="CS30" i="18"/>
  <c r="CS31" i="18"/>
  <c r="CS32" i="18"/>
  <c r="CS33" i="18"/>
  <c r="CS34" i="18"/>
  <c r="CS35" i="18"/>
  <c r="CS36" i="18"/>
  <c r="CS37" i="18"/>
  <c r="CS38" i="18"/>
  <c r="CS39" i="18"/>
  <c r="CS40" i="18"/>
  <c r="CS41" i="18"/>
  <c r="CS42" i="18"/>
  <c r="CS43" i="18"/>
  <c r="CS44" i="18"/>
  <c r="CS45" i="18"/>
  <c r="CS46" i="18"/>
  <c r="CS47" i="18"/>
  <c r="CS48" i="18"/>
  <c r="CS49" i="18"/>
  <c r="CS50" i="18"/>
  <c r="CS51" i="18"/>
  <c r="CS52" i="18"/>
  <c r="CS53" i="18"/>
  <c r="CS54" i="18"/>
  <c r="CS55" i="18"/>
  <c r="CS56" i="18"/>
  <c r="CS57" i="18"/>
  <c r="CS58" i="18"/>
  <c r="CS59" i="18"/>
  <c r="CS60" i="18"/>
  <c r="CS61" i="18"/>
  <c r="CS62" i="18"/>
  <c r="CS63" i="18"/>
  <c r="CS64" i="18"/>
  <c r="CS65" i="18"/>
  <c r="CS66" i="18"/>
  <c r="CS67" i="18"/>
  <c r="CS68" i="18"/>
  <c r="CS69" i="18"/>
  <c r="CS70" i="18"/>
  <c r="CS71" i="18"/>
  <c r="CS72" i="18"/>
  <c r="CS73" i="18"/>
  <c r="CS74" i="18"/>
  <c r="CS75" i="18"/>
  <c r="CS76" i="18"/>
  <c r="CS77" i="18"/>
  <c r="CS78" i="18"/>
  <c r="CS79" i="18"/>
  <c r="CS80" i="18"/>
  <c r="CS81" i="18"/>
  <c r="CS82" i="18"/>
  <c r="CS83" i="18"/>
  <c r="CS84" i="18"/>
  <c r="CS85" i="18"/>
  <c r="CS86" i="18"/>
  <c r="CS87" i="18"/>
  <c r="CS88" i="18"/>
  <c r="CS89" i="18"/>
  <c r="CS90" i="18"/>
  <c r="CS91" i="18"/>
  <c r="CS92" i="18"/>
  <c r="CS93" i="18"/>
  <c r="CS94" i="18"/>
  <c r="CS95" i="18"/>
  <c r="CS96" i="18"/>
  <c r="CS97" i="18"/>
  <c r="CS98" i="18"/>
  <c r="CS99" i="18"/>
  <c r="CS100" i="18"/>
  <c r="CS101" i="18"/>
  <c r="CS102" i="18"/>
  <c r="CS103" i="18"/>
  <c r="CS104" i="18"/>
  <c r="CS105" i="18"/>
  <c r="CS106" i="18"/>
  <c r="CS107" i="18"/>
  <c r="CS108" i="18"/>
  <c r="CS109" i="18"/>
  <c r="CS110" i="18"/>
  <c r="CS111" i="18"/>
  <c r="CS112" i="18"/>
  <c r="CS113" i="18"/>
  <c r="CS114" i="18"/>
  <c r="CS115" i="18"/>
  <c r="CS116" i="18"/>
  <c r="CS117" i="18"/>
  <c r="CS118" i="18"/>
  <c r="CS119" i="18"/>
  <c r="CS120" i="18"/>
  <c r="CS121" i="18"/>
  <c r="CS122" i="18"/>
  <c r="CS123" i="18"/>
  <c r="CS124" i="18"/>
  <c r="CS125" i="18"/>
  <c r="CS126" i="18"/>
  <c r="CS127" i="18"/>
  <c r="CS128" i="18"/>
  <c r="CS129" i="18"/>
  <c r="CS130" i="18"/>
  <c r="CS131" i="18"/>
  <c r="CS132" i="18"/>
  <c r="CS133" i="18"/>
  <c r="CS134" i="18"/>
  <c r="CS135" i="18"/>
  <c r="CS136" i="18"/>
  <c r="CS137" i="18"/>
  <c r="CS138" i="18"/>
  <c r="CS139" i="18"/>
  <c r="CS140" i="18"/>
  <c r="CS141" i="18"/>
  <c r="CS142" i="18"/>
  <c r="CS143" i="18"/>
  <c r="CS144" i="18"/>
  <c r="CS145" i="18"/>
  <c r="CS146" i="18"/>
  <c r="CS147" i="18"/>
  <c r="CS148" i="18"/>
  <c r="CS149" i="18"/>
  <c r="CS150" i="18"/>
  <c r="CS151" i="18"/>
  <c r="CS152" i="18"/>
  <c r="CS153" i="18"/>
  <c r="CS154" i="18"/>
  <c r="CS155" i="18"/>
  <c r="CS156" i="18"/>
  <c r="CS157" i="18"/>
  <c r="CS158" i="18"/>
  <c r="CS159" i="18"/>
  <c r="CS160" i="18"/>
  <c r="CS161" i="18"/>
  <c r="CS162" i="18"/>
  <c r="CS163" i="18"/>
  <c r="CS164" i="18"/>
  <c r="CS165" i="18"/>
  <c r="CS166" i="18"/>
  <c r="CS167" i="18"/>
  <c r="CS168" i="18"/>
  <c r="CS169" i="18"/>
  <c r="CS170" i="18"/>
  <c r="CS171" i="18"/>
  <c r="CS172" i="18"/>
  <c r="CS173" i="18"/>
  <c r="CS174" i="18"/>
  <c r="CS175" i="18"/>
  <c r="CS176" i="18"/>
  <c r="CS177" i="18"/>
  <c r="CS178" i="18"/>
  <c r="CS179" i="18"/>
  <c r="CS180" i="18"/>
  <c r="CS181" i="18"/>
  <c r="CS182" i="18"/>
  <c r="CS183" i="18"/>
  <c r="CS184" i="18"/>
  <c r="CS185" i="18"/>
  <c r="CS186" i="18"/>
  <c r="CS187" i="18"/>
  <c r="CS188" i="18"/>
  <c r="CS189" i="18"/>
  <c r="CS190" i="18"/>
  <c r="CS191" i="18"/>
  <c r="CS192" i="18"/>
  <c r="CS193" i="18"/>
  <c r="CS194" i="18"/>
  <c r="CS195" i="18"/>
  <c r="CS196" i="18"/>
  <c r="CS197" i="18"/>
  <c r="CS198" i="18"/>
  <c r="CS199" i="18"/>
  <c r="CS200" i="18"/>
  <c r="CS201" i="18"/>
  <c r="CS202" i="18"/>
  <c r="CS203" i="18"/>
  <c r="CS204" i="18"/>
  <c r="CS205" i="18"/>
  <c r="CS206" i="18"/>
  <c r="CS207" i="18"/>
  <c r="CS208" i="18"/>
  <c r="CS209" i="18"/>
  <c r="CS210" i="18"/>
  <c r="CS211" i="18"/>
  <c r="CS212" i="18"/>
  <c r="CS213" i="18"/>
  <c r="CS214" i="18"/>
  <c r="CS215" i="18"/>
  <c r="CS216" i="18"/>
  <c r="CS217" i="18"/>
  <c r="CS218" i="18"/>
  <c r="CS219" i="18"/>
  <c r="CS220" i="18"/>
  <c r="CS221" i="18"/>
  <c r="CS222" i="18"/>
  <c r="CS223" i="18"/>
  <c r="CS224" i="18"/>
  <c r="CS225" i="18"/>
  <c r="CS226" i="18"/>
  <c r="CS227" i="18"/>
  <c r="CS228" i="18"/>
  <c r="CS229" i="18"/>
  <c r="CS230" i="18"/>
  <c r="CS231" i="18"/>
  <c r="CS232" i="18"/>
  <c r="CS233" i="18"/>
  <c r="CS234" i="18"/>
  <c r="CS235" i="18"/>
  <c r="CS236" i="18"/>
  <c r="CS237" i="18"/>
  <c r="CS238" i="18"/>
  <c r="CS239" i="18"/>
  <c r="CS240" i="18"/>
  <c r="CS241" i="18"/>
  <c r="CS242" i="18"/>
  <c r="CS243" i="18"/>
  <c r="CS244" i="18"/>
  <c r="CS245" i="18"/>
  <c r="CS246" i="18"/>
  <c r="CS247" i="18"/>
  <c r="CS248" i="18"/>
  <c r="CS249" i="18"/>
  <c r="CS250" i="18"/>
  <c r="CS251" i="18"/>
  <c r="CS252" i="18"/>
  <c r="CS253" i="18"/>
  <c r="CS254" i="18"/>
  <c r="CS255" i="18"/>
  <c r="CS256" i="18"/>
  <c r="CS257" i="18"/>
  <c r="CS258" i="18"/>
  <c r="CS259" i="18"/>
  <c r="CS260" i="18"/>
  <c r="CS261" i="18"/>
  <c r="CS262" i="18"/>
  <c r="CS263" i="18"/>
  <c r="CS264" i="18"/>
  <c r="CS265" i="18"/>
  <c r="CS266" i="18"/>
  <c r="CS267" i="18"/>
  <c r="CS268" i="18"/>
  <c r="CS269" i="18"/>
  <c r="CS270" i="18"/>
  <c r="CS271" i="18"/>
  <c r="CS272" i="18"/>
  <c r="CS273" i="18"/>
  <c r="CS274" i="18"/>
  <c r="CS275" i="18"/>
  <c r="CS276" i="18"/>
  <c r="CS277" i="18"/>
  <c r="CS278" i="18"/>
  <c r="CS279" i="18"/>
  <c r="CS280" i="18"/>
  <c r="CS281" i="18"/>
  <c r="CS282" i="18"/>
  <c r="CS283" i="18"/>
  <c r="CS284" i="18"/>
  <c r="CS285" i="18"/>
  <c r="CS286" i="18"/>
  <c r="CS287" i="18"/>
  <c r="CS288" i="18"/>
  <c r="CS289" i="18"/>
  <c r="CS290" i="18"/>
  <c r="CS291" i="18"/>
  <c r="CS292" i="18"/>
  <c r="CS293" i="18"/>
  <c r="CS294" i="18"/>
  <c r="CS295" i="18"/>
  <c r="CS296" i="18"/>
  <c r="CS297" i="18"/>
  <c r="CS298" i="18"/>
  <c r="CS299" i="18"/>
  <c r="CS300" i="18"/>
  <c r="CS301" i="18"/>
  <c r="CS302" i="18"/>
  <c r="CS303" i="18"/>
  <c r="CS304" i="18"/>
  <c r="CS305" i="18"/>
  <c r="CS306" i="18"/>
  <c r="CS307" i="18"/>
  <c r="CS308" i="18"/>
  <c r="CS309" i="18"/>
  <c r="CS310" i="18"/>
  <c r="CS311" i="18"/>
  <c r="CS312" i="18"/>
  <c r="CS313" i="18"/>
  <c r="CS314" i="18"/>
  <c r="CS315" i="18"/>
  <c r="CS316" i="18"/>
  <c r="CS317" i="18"/>
  <c r="CS318" i="18"/>
  <c r="CS319" i="18"/>
  <c r="CS320" i="18"/>
  <c r="CS321" i="18"/>
  <c r="CS322" i="18"/>
  <c r="CS323" i="18"/>
  <c r="CS324" i="18"/>
  <c r="CS325" i="18"/>
  <c r="CS326" i="18"/>
  <c r="CS327" i="18"/>
  <c r="CS328" i="18"/>
  <c r="CS329" i="18"/>
  <c r="CS330" i="18"/>
  <c r="CS331" i="18"/>
  <c r="CS332" i="18"/>
  <c r="CS333" i="18"/>
  <c r="CS334" i="18"/>
  <c r="CS335" i="18"/>
  <c r="CS336" i="18"/>
  <c r="CS337" i="18"/>
  <c r="CS338" i="18"/>
  <c r="CT3" i="18"/>
  <c r="CT4" i="18"/>
  <c r="CT5" i="18"/>
  <c r="CT6" i="18"/>
  <c r="CT7" i="18"/>
  <c r="CT8" i="18"/>
  <c r="CT9" i="18"/>
  <c r="CT10" i="18"/>
  <c r="CT11" i="18"/>
  <c r="CT12" i="18"/>
  <c r="CT13" i="18"/>
  <c r="CT14" i="18"/>
  <c r="CT15" i="18"/>
  <c r="CT16" i="18"/>
  <c r="CT17" i="18"/>
  <c r="CT18" i="18"/>
  <c r="CT19" i="18"/>
  <c r="CT20" i="18"/>
  <c r="CT21" i="18"/>
  <c r="CT22" i="18"/>
  <c r="CT23" i="18"/>
  <c r="CT24" i="18"/>
  <c r="CT25" i="18"/>
  <c r="CT26" i="18"/>
  <c r="CT27" i="18"/>
  <c r="CT28" i="18"/>
  <c r="CT29" i="18"/>
  <c r="CT30" i="18"/>
  <c r="CT31" i="18"/>
  <c r="CT32" i="18"/>
  <c r="CT33" i="18"/>
  <c r="CT34" i="18"/>
  <c r="CT35" i="18"/>
  <c r="CT36" i="18"/>
  <c r="CT37" i="18"/>
  <c r="CT38" i="18"/>
  <c r="CT39" i="18"/>
  <c r="CT40" i="18"/>
  <c r="CT41" i="18"/>
  <c r="CT42" i="18"/>
  <c r="CT43" i="18"/>
  <c r="CT44" i="18"/>
  <c r="CT45" i="18"/>
  <c r="CT46" i="18"/>
  <c r="CT47" i="18"/>
  <c r="CT48" i="18"/>
  <c r="CT49" i="18"/>
  <c r="CT50" i="18"/>
  <c r="CT51" i="18"/>
  <c r="CT52" i="18"/>
  <c r="CT53" i="18"/>
  <c r="CT54" i="18"/>
  <c r="CT55" i="18"/>
  <c r="CT56" i="18"/>
  <c r="CT57" i="18"/>
  <c r="CT58" i="18"/>
  <c r="CT59" i="18"/>
  <c r="CT60" i="18"/>
  <c r="CT61" i="18"/>
  <c r="CT62" i="18"/>
  <c r="CT63" i="18"/>
  <c r="CT64" i="18"/>
  <c r="CT65" i="18"/>
  <c r="CT66" i="18"/>
  <c r="CT67" i="18"/>
  <c r="CT68" i="18"/>
  <c r="CT69" i="18"/>
  <c r="CT70" i="18"/>
  <c r="CT71" i="18"/>
  <c r="CT72" i="18"/>
  <c r="CT73" i="18"/>
  <c r="CT74" i="18"/>
  <c r="CT75" i="18"/>
  <c r="CT76" i="18"/>
  <c r="CT77" i="18"/>
  <c r="CT78" i="18"/>
  <c r="CT79" i="18"/>
  <c r="CT80" i="18"/>
  <c r="CT81" i="18"/>
  <c r="CT82" i="18"/>
  <c r="CT83" i="18"/>
  <c r="CT84" i="18"/>
  <c r="CT85" i="18"/>
  <c r="CT86" i="18"/>
  <c r="CT87" i="18"/>
  <c r="CT88" i="18"/>
  <c r="CT89" i="18"/>
  <c r="CT90" i="18"/>
  <c r="CT91" i="18"/>
  <c r="CT92" i="18"/>
  <c r="CT93" i="18"/>
  <c r="CT94" i="18"/>
  <c r="CT95" i="18"/>
  <c r="CT96" i="18"/>
  <c r="CT97" i="18"/>
  <c r="CT98" i="18"/>
  <c r="CT99" i="18"/>
  <c r="CT100" i="18"/>
  <c r="CT101" i="18"/>
  <c r="CT102" i="18"/>
  <c r="CT103" i="18"/>
  <c r="CT104" i="18"/>
  <c r="CT105" i="18"/>
  <c r="CT106" i="18"/>
  <c r="CT107" i="18"/>
  <c r="CT108" i="18"/>
  <c r="CT109" i="18"/>
  <c r="CT110" i="18"/>
  <c r="CT111" i="18"/>
  <c r="CT112" i="18"/>
  <c r="CT113" i="18"/>
  <c r="CT114" i="18"/>
  <c r="CT115" i="18"/>
  <c r="CT116" i="18"/>
  <c r="CT117" i="18"/>
  <c r="CT118" i="18"/>
  <c r="CT119" i="18"/>
  <c r="CT120" i="18"/>
  <c r="CT121" i="18"/>
  <c r="CT122" i="18"/>
  <c r="CT123" i="18"/>
  <c r="CT124" i="18"/>
  <c r="CT125" i="18"/>
  <c r="CT126" i="18"/>
  <c r="CT127" i="18"/>
  <c r="CT128" i="18"/>
  <c r="CT129" i="18"/>
  <c r="CT130" i="18"/>
  <c r="CT131" i="18"/>
  <c r="CT132" i="18"/>
  <c r="CT133" i="18"/>
  <c r="CT134" i="18"/>
  <c r="CT135" i="18"/>
  <c r="CT136" i="18"/>
  <c r="CT137" i="18"/>
  <c r="CT138" i="18"/>
  <c r="CT139" i="18"/>
  <c r="CT140" i="18"/>
  <c r="CT141" i="18"/>
  <c r="CT142" i="18"/>
  <c r="CT143" i="18"/>
  <c r="CT144" i="18"/>
  <c r="CT145" i="18"/>
  <c r="CT146" i="18"/>
  <c r="CT147" i="18"/>
  <c r="CT148" i="18"/>
  <c r="CT149" i="18"/>
  <c r="CT150" i="18"/>
  <c r="CT151" i="18"/>
  <c r="CT152" i="18"/>
  <c r="CT153" i="18"/>
  <c r="CT154" i="18"/>
  <c r="CT155" i="18"/>
  <c r="CT156" i="18"/>
  <c r="CT157" i="18"/>
  <c r="CT158" i="18"/>
  <c r="CT159" i="18"/>
  <c r="CT160" i="18"/>
  <c r="CT161" i="18"/>
  <c r="CT162" i="18"/>
  <c r="CT163" i="18"/>
  <c r="CT164" i="18"/>
  <c r="CT165" i="18"/>
  <c r="CT166" i="18"/>
  <c r="CT167" i="18"/>
  <c r="CT168" i="18"/>
  <c r="CT169" i="18"/>
  <c r="CT170" i="18"/>
  <c r="CT171" i="18"/>
  <c r="CT172" i="18"/>
  <c r="CT173" i="18"/>
  <c r="CT174" i="18"/>
  <c r="CT175" i="18"/>
  <c r="CT176" i="18"/>
  <c r="CT177" i="18"/>
  <c r="CT178" i="18"/>
  <c r="CT179" i="18"/>
  <c r="CT180" i="18"/>
  <c r="CT181" i="18"/>
  <c r="CT182" i="18"/>
  <c r="CT183" i="18"/>
  <c r="CT184" i="18"/>
  <c r="CT185" i="18"/>
  <c r="CT186" i="18"/>
  <c r="CT187" i="18"/>
  <c r="CT188" i="18"/>
  <c r="CT189" i="18"/>
  <c r="CT190" i="18"/>
  <c r="CT191" i="18"/>
  <c r="CT192" i="18"/>
  <c r="CT193" i="18"/>
  <c r="CT194" i="18"/>
  <c r="CT195" i="18"/>
  <c r="CT196" i="18"/>
  <c r="CT197" i="18"/>
  <c r="CT198" i="18"/>
  <c r="CT199" i="18"/>
  <c r="CT200" i="18"/>
  <c r="CT201" i="18"/>
  <c r="CT202" i="18"/>
  <c r="CT203" i="18"/>
  <c r="CT204" i="18"/>
  <c r="CT205" i="18"/>
  <c r="CT206" i="18"/>
  <c r="CT207" i="18"/>
  <c r="CT208" i="18"/>
  <c r="CT209" i="18"/>
  <c r="CT210" i="18"/>
  <c r="CT211" i="18"/>
  <c r="CT212" i="18"/>
  <c r="CT213" i="18"/>
  <c r="CT214" i="18"/>
  <c r="CT215" i="18"/>
  <c r="CT216" i="18"/>
  <c r="CT217" i="18"/>
  <c r="CT218" i="18"/>
  <c r="CT219" i="18"/>
  <c r="CT220" i="18"/>
  <c r="CT221" i="18"/>
  <c r="CT222" i="18"/>
  <c r="CT223" i="18"/>
  <c r="CT224" i="18"/>
  <c r="CT225" i="18"/>
  <c r="CT226" i="18"/>
  <c r="CT227" i="18"/>
  <c r="CT228" i="18"/>
  <c r="CT229" i="18"/>
  <c r="CT230" i="18"/>
  <c r="CT231" i="18"/>
  <c r="CT232" i="18"/>
  <c r="CT233" i="18"/>
  <c r="CT234" i="18"/>
  <c r="CT235" i="18"/>
  <c r="CT236" i="18"/>
  <c r="CT237" i="18"/>
  <c r="CT238" i="18"/>
  <c r="CT239" i="18"/>
  <c r="CT240" i="18"/>
  <c r="CT241" i="18"/>
  <c r="CT242" i="18"/>
  <c r="CT243" i="18"/>
  <c r="CT244" i="18"/>
  <c r="CT245" i="18"/>
  <c r="CT246" i="18"/>
  <c r="CT247" i="18"/>
  <c r="CT248" i="18"/>
  <c r="CT249" i="18"/>
  <c r="CT250" i="18"/>
  <c r="CT251" i="18"/>
  <c r="CT252" i="18"/>
  <c r="CT253" i="18"/>
  <c r="CT254" i="18"/>
  <c r="CT255" i="18"/>
  <c r="CT256" i="18"/>
  <c r="CT257" i="18"/>
  <c r="CT258" i="18"/>
  <c r="CT259" i="18"/>
  <c r="CT260" i="18"/>
  <c r="CT261" i="18"/>
  <c r="CT262" i="18"/>
  <c r="CT263" i="18"/>
  <c r="CT264" i="18"/>
  <c r="CT265" i="18"/>
  <c r="CT266" i="18"/>
  <c r="CT267" i="18"/>
  <c r="CT268" i="18"/>
  <c r="CT269" i="18"/>
  <c r="CT270" i="18"/>
  <c r="CT271" i="18"/>
  <c r="CT272" i="18"/>
  <c r="CT273" i="18"/>
  <c r="CT274" i="18"/>
  <c r="CT275" i="18"/>
  <c r="CT276" i="18"/>
  <c r="CT277" i="18"/>
  <c r="CT278" i="18"/>
  <c r="CT279" i="18"/>
  <c r="CT280" i="18"/>
  <c r="CT281" i="18"/>
  <c r="CT282" i="18"/>
  <c r="CT283" i="18"/>
  <c r="CT284" i="18"/>
  <c r="CT285" i="18"/>
  <c r="CT286" i="18"/>
  <c r="CT287" i="18"/>
  <c r="CT288" i="18"/>
  <c r="CT289" i="18"/>
  <c r="CT290" i="18"/>
  <c r="CT291" i="18"/>
  <c r="CT292" i="18"/>
  <c r="CT293" i="18"/>
  <c r="CT294" i="18"/>
  <c r="CT295" i="18"/>
  <c r="CT296" i="18"/>
  <c r="CT297" i="18"/>
  <c r="CT298" i="18"/>
  <c r="CT299" i="18"/>
  <c r="CT300" i="18"/>
  <c r="CT301" i="18"/>
  <c r="CT302" i="18"/>
  <c r="CT303" i="18"/>
  <c r="CT304" i="18"/>
  <c r="CT305" i="18"/>
  <c r="CT306" i="18"/>
  <c r="CT307" i="18"/>
  <c r="CT308" i="18"/>
  <c r="CT309" i="18"/>
  <c r="CT310" i="18"/>
  <c r="CT311" i="18"/>
  <c r="CT312" i="18"/>
  <c r="CT313" i="18"/>
  <c r="CT314" i="18"/>
  <c r="CT315" i="18"/>
  <c r="CT316" i="18"/>
  <c r="CT317" i="18"/>
  <c r="CT318" i="18"/>
  <c r="CT319" i="18"/>
  <c r="CT320" i="18"/>
  <c r="CT321" i="18"/>
  <c r="CT322" i="18"/>
  <c r="CT323" i="18"/>
  <c r="CT324" i="18"/>
  <c r="CT325" i="18"/>
  <c r="CT326" i="18"/>
  <c r="CT327" i="18"/>
  <c r="CT328" i="18"/>
  <c r="CT329" i="18"/>
  <c r="CT330" i="18"/>
  <c r="CT331" i="18"/>
  <c r="CT332" i="18"/>
  <c r="CT333" i="18"/>
  <c r="CT334" i="18"/>
  <c r="CT335" i="18"/>
  <c r="CT336" i="18"/>
  <c r="CT337" i="18"/>
  <c r="CT338" i="18"/>
  <c r="CU3" i="18"/>
  <c r="CU4" i="18"/>
  <c r="CU5" i="18"/>
  <c r="CU6" i="18"/>
  <c r="CU7" i="18"/>
  <c r="CU8" i="18"/>
  <c r="CU9" i="18"/>
  <c r="CU10" i="18"/>
  <c r="CU11" i="18"/>
  <c r="CU12" i="18"/>
  <c r="CU13" i="18"/>
  <c r="CU14" i="18"/>
  <c r="CU15" i="18"/>
  <c r="CU16" i="18"/>
  <c r="CU17" i="18"/>
  <c r="CU18" i="18"/>
  <c r="CU19" i="18"/>
  <c r="CU20" i="18"/>
  <c r="CU21" i="18"/>
  <c r="CU22" i="18"/>
  <c r="CU23" i="18"/>
  <c r="CU24" i="18"/>
  <c r="CU25" i="18"/>
  <c r="CU26" i="18"/>
  <c r="CU27" i="18"/>
  <c r="CU28" i="18"/>
  <c r="CU29" i="18"/>
  <c r="CU30" i="18"/>
  <c r="CU31" i="18"/>
  <c r="CU32" i="18"/>
  <c r="CU33" i="18"/>
  <c r="CU34" i="18"/>
  <c r="CU35" i="18"/>
  <c r="CU36" i="18"/>
  <c r="CU37" i="18"/>
  <c r="CU38" i="18"/>
  <c r="CU39" i="18"/>
  <c r="CU40" i="18"/>
  <c r="CU41" i="18"/>
  <c r="CU42" i="18"/>
  <c r="CU43" i="18"/>
  <c r="CU44" i="18"/>
  <c r="CU45" i="18"/>
  <c r="CU46" i="18"/>
  <c r="CU47" i="18"/>
  <c r="CU48" i="18"/>
  <c r="CU49" i="18"/>
  <c r="CU50" i="18"/>
  <c r="CU51" i="18"/>
  <c r="CU52" i="18"/>
  <c r="CU53" i="18"/>
  <c r="CU54" i="18"/>
  <c r="CU55" i="18"/>
  <c r="CU56" i="18"/>
  <c r="CU57" i="18"/>
  <c r="CU58" i="18"/>
  <c r="CU59" i="18"/>
  <c r="CU60" i="18"/>
  <c r="CU61" i="18"/>
  <c r="CU62" i="18"/>
  <c r="CU63" i="18"/>
  <c r="CU64" i="18"/>
  <c r="CU65" i="18"/>
  <c r="CU66" i="18"/>
  <c r="CU67" i="18"/>
  <c r="CU68" i="18"/>
  <c r="CU69" i="18"/>
  <c r="CU70" i="18"/>
  <c r="CU71" i="18"/>
  <c r="CU72" i="18"/>
  <c r="CU73" i="18"/>
  <c r="CU74" i="18"/>
  <c r="CU75" i="18"/>
  <c r="CU76" i="18"/>
  <c r="CU77" i="18"/>
  <c r="CU78" i="18"/>
  <c r="CU79" i="18"/>
  <c r="CU80" i="18"/>
  <c r="CU81" i="18"/>
  <c r="CU82" i="18"/>
  <c r="CU83" i="18"/>
  <c r="CU84" i="18"/>
  <c r="CU85" i="18"/>
  <c r="CU86" i="18"/>
  <c r="CU87" i="18"/>
  <c r="CU88" i="18"/>
  <c r="CU89" i="18"/>
  <c r="CU90" i="18"/>
  <c r="CU91" i="18"/>
  <c r="CU92" i="18"/>
  <c r="CU93" i="18"/>
  <c r="CU94" i="18"/>
  <c r="CU95" i="18"/>
  <c r="CU96" i="18"/>
  <c r="CU97" i="18"/>
  <c r="CU98" i="18"/>
  <c r="CU99" i="18"/>
  <c r="CU100" i="18"/>
  <c r="CU101" i="18"/>
  <c r="CU102" i="18"/>
  <c r="CU103" i="18"/>
  <c r="CU104" i="18"/>
  <c r="CU105" i="18"/>
  <c r="CU106" i="18"/>
  <c r="CU107" i="18"/>
  <c r="CU108" i="18"/>
  <c r="CU109" i="18"/>
  <c r="CU110" i="18"/>
  <c r="CU111" i="18"/>
  <c r="CU112" i="18"/>
  <c r="CU113" i="18"/>
  <c r="CU114" i="18"/>
  <c r="CU115" i="18"/>
  <c r="CU116" i="18"/>
  <c r="CU117" i="18"/>
  <c r="CU118" i="18"/>
  <c r="CU119" i="18"/>
  <c r="CU120" i="18"/>
  <c r="CU121" i="18"/>
  <c r="CU122" i="18"/>
  <c r="CU123" i="18"/>
  <c r="CU124" i="18"/>
  <c r="CU125" i="18"/>
  <c r="CU126" i="18"/>
  <c r="CU127" i="18"/>
  <c r="CU128" i="18"/>
  <c r="CU129" i="18"/>
  <c r="CU130" i="18"/>
  <c r="CU131" i="18"/>
  <c r="CU132" i="18"/>
  <c r="CU133" i="18"/>
  <c r="CU134" i="18"/>
  <c r="CU135" i="18"/>
  <c r="CU136" i="18"/>
  <c r="CU137" i="18"/>
  <c r="CU138" i="18"/>
  <c r="CU139" i="18"/>
  <c r="CU140" i="18"/>
  <c r="CU141" i="18"/>
  <c r="CU142" i="18"/>
  <c r="CU143" i="18"/>
  <c r="CU144" i="18"/>
  <c r="CU145" i="18"/>
  <c r="CU146" i="18"/>
  <c r="CU147" i="18"/>
  <c r="CU148" i="18"/>
  <c r="CU149" i="18"/>
  <c r="CU150" i="18"/>
  <c r="CU151" i="18"/>
  <c r="CU152" i="18"/>
  <c r="CU153" i="18"/>
  <c r="CU154" i="18"/>
  <c r="CU155" i="18"/>
  <c r="CU156" i="18"/>
  <c r="CU157" i="18"/>
  <c r="CU158" i="18"/>
  <c r="CU159" i="18"/>
  <c r="CU160" i="18"/>
  <c r="CU161" i="18"/>
  <c r="CU162" i="18"/>
  <c r="CU163" i="18"/>
  <c r="CU164" i="18"/>
  <c r="CU165" i="18"/>
  <c r="CU166" i="18"/>
  <c r="CU167" i="18"/>
  <c r="CU168" i="18"/>
  <c r="CU169" i="18"/>
  <c r="CU170" i="18"/>
  <c r="CU171" i="18"/>
  <c r="CU172" i="18"/>
  <c r="CU173" i="18"/>
  <c r="CU174" i="18"/>
  <c r="CU175" i="18"/>
  <c r="CU176" i="18"/>
  <c r="CU177" i="18"/>
  <c r="CU178" i="18"/>
  <c r="CU179" i="18"/>
  <c r="CU180" i="18"/>
  <c r="CU181" i="18"/>
  <c r="CU182" i="18"/>
  <c r="CU183" i="18"/>
  <c r="CU184" i="18"/>
  <c r="CU185" i="18"/>
  <c r="CU186" i="18"/>
  <c r="CU187" i="18"/>
  <c r="CU188" i="18"/>
  <c r="CU189" i="18"/>
  <c r="CU190" i="18"/>
  <c r="CU191" i="18"/>
  <c r="CU192" i="18"/>
  <c r="CU193" i="18"/>
  <c r="CU194" i="18"/>
  <c r="CU195" i="18"/>
  <c r="CU196" i="18"/>
  <c r="CU197" i="18"/>
  <c r="CU198" i="18"/>
  <c r="CU199" i="18"/>
  <c r="CU200" i="18"/>
  <c r="CU201" i="18"/>
  <c r="CU202" i="18"/>
  <c r="CU203" i="18"/>
  <c r="CU204" i="18"/>
  <c r="CU205" i="18"/>
  <c r="CU206" i="18"/>
  <c r="CU207" i="18"/>
  <c r="CU208" i="18"/>
  <c r="CU209" i="18"/>
  <c r="CU210" i="18"/>
  <c r="CU211" i="18"/>
  <c r="CU212" i="18"/>
  <c r="CU213" i="18"/>
  <c r="CU214" i="18"/>
  <c r="CU215" i="18"/>
  <c r="CU216" i="18"/>
  <c r="CU217" i="18"/>
  <c r="CU218" i="18"/>
  <c r="CU219" i="18"/>
  <c r="CU220" i="18"/>
  <c r="CU221" i="18"/>
  <c r="CU222" i="18"/>
  <c r="CU223" i="18"/>
  <c r="CU224" i="18"/>
  <c r="CU225" i="18"/>
  <c r="CU226" i="18"/>
  <c r="CU227" i="18"/>
  <c r="CU228" i="18"/>
  <c r="CU229" i="18"/>
  <c r="CU230" i="18"/>
  <c r="CU231" i="18"/>
  <c r="CU232" i="18"/>
  <c r="CU233" i="18"/>
  <c r="CU234" i="18"/>
  <c r="CU235" i="18"/>
  <c r="CU236" i="18"/>
  <c r="CU237" i="18"/>
  <c r="CU238" i="18"/>
  <c r="CU239" i="18"/>
  <c r="CU240" i="18"/>
  <c r="CU241" i="18"/>
  <c r="CU242" i="18"/>
  <c r="CU243" i="18"/>
  <c r="CU244" i="18"/>
  <c r="CU245" i="18"/>
  <c r="CU246" i="18"/>
  <c r="CU247" i="18"/>
  <c r="CU248" i="18"/>
  <c r="CU249" i="18"/>
  <c r="CU250" i="18"/>
  <c r="CU251" i="18"/>
  <c r="CU252" i="18"/>
  <c r="CU253" i="18"/>
  <c r="CU254" i="18"/>
  <c r="CU255" i="18"/>
  <c r="CU256" i="18"/>
  <c r="CU257" i="18"/>
  <c r="CU258" i="18"/>
  <c r="CU259" i="18"/>
  <c r="CU260" i="18"/>
  <c r="CU261" i="18"/>
  <c r="CU262" i="18"/>
  <c r="CU263" i="18"/>
  <c r="CU264" i="18"/>
  <c r="CU265" i="18"/>
  <c r="CU266" i="18"/>
  <c r="CU267" i="18"/>
  <c r="CU268" i="18"/>
  <c r="CU269" i="18"/>
  <c r="CU270" i="18"/>
  <c r="CU271" i="18"/>
  <c r="CU272" i="18"/>
  <c r="CU273" i="18"/>
  <c r="CU274" i="18"/>
  <c r="CU275" i="18"/>
  <c r="CU276" i="18"/>
  <c r="CU277" i="18"/>
  <c r="CU278" i="18"/>
  <c r="CU279" i="18"/>
  <c r="CU280" i="18"/>
  <c r="CU281" i="18"/>
  <c r="CU282" i="18"/>
  <c r="CU283" i="18"/>
  <c r="CU284" i="18"/>
  <c r="CU285" i="18"/>
  <c r="CU286" i="18"/>
  <c r="CU287" i="18"/>
  <c r="CU288" i="18"/>
  <c r="CU289" i="18"/>
  <c r="CU290" i="18"/>
  <c r="CU291" i="18"/>
  <c r="CU292" i="18"/>
  <c r="CU293" i="18"/>
  <c r="CU294" i="18"/>
  <c r="CU295" i="18"/>
  <c r="CU296" i="18"/>
  <c r="CU297" i="18"/>
  <c r="CU298" i="18"/>
  <c r="CU299" i="18"/>
  <c r="CU300" i="18"/>
  <c r="CU301" i="18"/>
  <c r="CU302" i="18"/>
  <c r="CU303" i="18"/>
  <c r="CU304" i="18"/>
  <c r="CU305" i="18"/>
  <c r="CU306" i="18"/>
  <c r="CU307" i="18"/>
  <c r="CU308" i="18"/>
  <c r="CU309" i="18"/>
  <c r="CU310" i="18"/>
  <c r="CU311" i="18"/>
  <c r="CU312" i="18"/>
  <c r="CU313" i="18"/>
  <c r="CU314" i="18"/>
  <c r="CU315" i="18"/>
  <c r="CU316" i="18"/>
  <c r="CU317" i="18"/>
  <c r="CU318" i="18"/>
  <c r="CU319" i="18"/>
  <c r="CU320" i="18"/>
  <c r="CU321" i="18"/>
  <c r="CU322" i="18"/>
  <c r="CU323" i="18"/>
  <c r="CU324" i="18"/>
  <c r="CU325" i="18"/>
  <c r="CU326" i="18"/>
  <c r="CU327" i="18"/>
  <c r="CU328" i="18"/>
  <c r="CU329" i="18"/>
  <c r="CU330" i="18"/>
  <c r="CU331" i="18"/>
  <c r="CU332" i="18"/>
  <c r="CU333" i="18"/>
  <c r="CU334" i="18"/>
  <c r="CU335" i="18"/>
  <c r="CU336" i="18"/>
  <c r="CU337" i="18"/>
  <c r="CU338" i="18"/>
  <c r="CV3" i="18"/>
  <c r="CV4" i="18"/>
  <c r="CV5" i="18"/>
  <c r="CV6" i="18"/>
  <c r="CV7" i="18"/>
  <c r="CV8" i="18"/>
  <c r="CV9" i="18"/>
  <c r="CV10" i="18"/>
  <c r="CV11" i="18"/>
  <c r="CV12" i="18"/>
  <c r="CV13" i="18"/>
  <c r="CV14" i="18"/>
  <c r="CV15" i="18"/>
  <c r="CV16" i="18"/>
  <c r="CV17" i="18"/>
  <c r="CV18" i="18"/>
  <c r="CV19" i="18"/>
  <c r="CV20" i="18"/>
  <c r="CV21" i="18"/>
  <c r="CV22" i="18"/>
  <c r="CV23" i="18"/>
  <c r="CV24" i="18"/>
  <c r="CV25" i="18"/>
  <c r="CV26" i="18"/>
  <c r="CV27" i="18"/>
  <c r="CV28" i="18"/>
  <c r="CV29" i="18"/>
  <c r="CV30" i="18"/>
  <c r="CV31" i="18"/>
  <c r="CV32" i="18"/>
  <c r="CV33" i="18"/>
  <c r="CV34" i="18"/>
  <c r="CV35" i="18"/>
  <c r="CV36" i="18"/>
  <c r="CV37" i="18"/>
  <c r="CV38" i="18"/>
  <c r="CV39" i="18"/>
  <c r="CV40" i="18"/>
  <c r="CV41" i="18"/>
  <c r="CV42" i="18"/>
  <c r="CV43" i="18"/>
  <c r="CV44" i="18"/>
  <c r="CV45" i="18"/>
  <c r="CV46" i="18"/>
  <c r="CV47" i="18"/>
  <c r="CV48" i="18"/>
  <c r="CV49" i="18"/>
  <c r="CV50" i="18"/>
  <c r="CV51" i="18"/>
  <c r="CV52" i="18"/>
  <c r="CV53" i="18"/>
  <c r="CV54" i="18"/>
  <c r="CV55" i="18"/>
  <c r="CV56" i="18"/>
  <c r="CV57" i="18"/>
  <c r="CV58" i="18"/>
  <c r="CV59" i="18"/>
  <c r="CV60" i="18"/>
  <c r="CV61" i="18"/>
  <c r="CV62" i="18"/>
  <c r="CV63" i="18"/>
  <c r="CV64" i="18"/>
  <c r="CV65" i="18"/>
  <c r="CV66" i="18"/>
  <c r="CV67" i="18"/>
  <c r="CV68" i="18"/>
  <c r="CV69" i="18"/>
  <c r="CV70" i="18"/>
  <c r="CV71" i="18"/>
  <c r="CV72" i="18"/>
  <c r="CV73" i="18"/>
  <c r="CV74" i="18"/>
  <c r="CV75" i="18"/>
  <c r="CV76" i="18"/>
  <c r="CV77" i="18"/>
  <c r="CV78" i="18"/>
  <c r="CV79" i="18"/>
  <c r="CV80" i="18"/>
  <c r="CV81" i="18"/>
  <c r="CV82" i="18"/>
  <c r="CV83" i="18"/>
  <c r="CV84" i="18"/>
  <c r="CV85" i="18"/>
  <c r="CV86" i="18"/>
  <c r="CV87" i="18"/>
  <c r="CV88" i="18"/>
  <c r="CV89" i="18"/>
  <c r="CV90" i="18"/>
  <c r="CV91" i="18"/>
  <c r="CV92" i="18"/>
  <c r="CV93" i="18"/>
  <c r="CV94" i="18"/>
  <c r="CV95" i="18"/>
  <c r="CV96" i="18"/>
  <c r="CV97" i="18"/>
  <c r="CV98" i="18"/>
  <c r="CV99" i="18"/>
  <c r="CV100" i="18"/>
  <c r="CV101" i="18"/>
  <c r="CV102" i="18"/>
  <c r="CV103" i="18"/>
  <c r="CV104" i="18"/>
  <c r="CV105" i="18"/>
  <c r="CV106" i="18"/>
  <c r="CV107" i="18"/>
  <c r="CV108" i="18"/>
  <c r="CV109" i="18"/>
  <c r="CV110" i="18"/>
  <c r="CV111" i="18"/>
  <c r="CV112" i="18"/>
  <c r="CV113" i="18"/>
  <c r="CV114" i="18"/>
  <c r="CV115" i="18"/>
  <c r="CV116" i="18"/>
  <c r="CV117" i="18"/>
  <c r="CV118" i="18"/>
  <c r="CV119" i="18"/>
  <c r="CV120" i="18"/>
  <c r="CV121" i="18"/>
  <c r="CV122" i="18"/>
  <c r="CV123" i="18"/>
  <c r="CV124" i="18"/>
  <c r="CV125" i="18"/>
  <c r="CV126" i="18"/>
  <c r="CV127" i="18"/>
  <c r="CV128" i="18"/>
  <c r="CV129" i="18"/>
  <c r="CV130" i="18"/>
  <c r="CV131" i="18"/>
  <c r="CV132" i="18"/>
  <c r="CV133" i="18"/>
  <c r="CV134" i="18"/>
  <c r="CV135" i="18"/>
  <c r="CV136" i="18"/>
  <c r="CV137" i="18"/>
  <c r="CV138" i="18"/>
  <c r="CV139" i="18"/>
  <c r="CV140" i="18"/>
  <c r="CV141" i="18"/>
  <c r="CV142" i="18"/>
  <c r="CV143" i="18"/>
  <c r="CV144" i="18"/>
  <c r="CV145" i="18"/>
  <c r="CV146" i="18"/>
  <c r="CV147" i="18"/>
  <c r="CV148" i="18"/>
  <c r="CV149" i="18"/>
  <c r="CV150" i="18"/>
  <c r="CV151" i="18"/>
  <c r="CV152" i="18"/>
  <c r="CV153" i="18"/>
  <c r="CV154" i="18"/>
  <c r="CV155" i="18"/>
  <c r="CV156" i="18"/>
  <c r="CV157" i="18"/>
  <c r="CV158" i="18"/>
  <c r="CV159" i="18"/>
  <c r="CV160" i="18"/>
  <c r="CV161" i="18"/>
  <c r="CV162" i="18"/>
  <c r="CV163" i="18"/>
  <c r="CV164" i="18"/>
  <c r="CV165" i="18"/>
  <c r="CV166" i="18"/>
  <c r="CV167" i="18"/>
  <c r="CV168" i="18"/>
  <c r="CV169" i="18"/>
  <c r="CV170" i="18"/>
  <c r="CV171" i="18"/>
  <c r="CV172" i="18"/>
  <c r="CV173" i="18"/>
  <c r="CV174" i="18"/>
  <c r="CV175" i="18"/>
  <c r="CV176" i="18"/>
  <c r="CV177" i="18"/>
  <c r="CV178" i="18"/>
  <c r="CV179" i="18"/>
  <c r="CV180" i="18"/>
  <c r="CV181" i="18"/>
  <c r="CV182" i="18"/>
  <c r="CV183" i="18"/>
  <c r="CV184" i="18"/>
  <c r="CV185" i="18"/>
  <c r="CV186" i="18"/>
  <c r="CV187" i="18"/>
  <c r="CV188" i="18"/>
  <c r="CV189" i="18"/>
  <c r="CV190" i="18"/>
  <c r="CV191" i="18"/>
  <c r="CV192" i="18"/>
  <c r="CV193" i="18"/>
  <c r="CV194" i="18"/>
  <c r="CV195" i="18"/>
  <c r="CV196" i="18"/>
  <c r="CV197" i="18"/>
  <c r="CV198" i="18"/>
  <c r="CV199" i="18"/>
  <c r="CV200" i="18"/>
  <c r="CV201" i="18"/>
  <c r="CV202" i="18"/>
  <c r="CV203" i="18"/>
  <c r="CV204" i="18"/>
  <c r="CV205" i="18"/>
  <c r="CV206" i="18"/>
  <c r="CV207" i="18"/>
  <c r="CV208" i="18"/>
  <c r="CV209" i="18"/>
  <c r="CV210" i="18"/>
  <c r="CV211" i="18"/>
  <c r="CV212" i="18"/>
  <c r="CV213" i="18"/>
  <c r="CV214" i="18"/>
  <c r="CV215" i="18"/>
  <c r="CV216" i="18"/>
  <c r="CV217" i="18"/>
  <c r="CV218" i="18"/>
  <c r="CV219" i="18"/>
  <c r="CV220" i="18"/>
  <c r="CV221" i="18"/>
  <c r="CV222" i="18"/>
  <c r="CV223" i="18"/>
  <c r="CV224" i="18"/>
  <c r="CV225" i="18"/>
  <c r="CV226" i="18"/>
  <c r="CV227" i="18"/>
  <c r="CV228" i="18"/>
  <c r="CV229" i="18"/>
  <c r="CV230" i="18"/>
  <c r="CV231" i="18"/>
  <c r="CV232" i="18"/>
  <c r="CV233" i="18"/>
  <c r="CV234" i="18"/>
  <c r="CV235" i="18"/>
  <c r="CV236" i="18"/>
  <c r="CV237" i="18"/>
  <c r="CV238" i="18"/>
  <c r="CV239" i="18"/>
  <c r="CV240" i="18"/>
  <c r="CV241" i="18"/>
  <c r="CV242" i="18"/>
  <c r="CV243" i="18"/>
  <c r="CV244" i="18"/>
  <c r="CV245" i="18"/>
  <c r="CV246" i="18"/>
  <c r="CV247" i="18"/>
  <c r="CV248" i="18"/>
  <c r="CV249" i="18"/>
  <c r="CV250" i="18"/>
  <c r="CV251" i="18"/>
  <c r="CV252" i="18"/>
  <c r="CV253" i="18"/>
  <c r="CV254" i="18"/>
  <c r="CV255" i="18"/>
  <c r="CV256" i="18"/>
  <c r="CV257" i="18"/>
  <c r="CV258" i="18"/>
  <c r="CV259" i="18"/>
  <c r="CV260" i="18"/>
  <c r="CV261" i="18"/>
  <c r="CV262" i="18"/>
  <c r="CV263" i="18"/>
  <c r="CV264" i="18"/>
  <c r="CV265" i="18"/>
  <c r="CV266" i="18"/>
  <c r="CV267" i="18"/>
  <c r="CV268" i="18"/>
  <c r="CV269" i="18"/>
  <c r="CV270" i="18"/>
  <c r="CV271" i="18"/>
  <c r="CV272" i="18"/>
  <c r="CV273" i="18"/>
  <c r="CV274" i="18"/>
  <c r="CV275" i="18"/>
  <c r="CV276" i="18"/>
  <c r="CV277" i="18"/>
  <c r="CV278" i="18"/>
  <c r="CV279" i="18"/>
  <c r="CV280" i="18"/>
  <c r="CV281" i="18"/>
  <c r="CV282" i="18"/>
  <c r="CV283" i="18"/>
  <c r="CV284" i="18"/>
  <c r="CV285" i="18"/>
  <c r="CV286" i="18"/>
  <c r="CV287" i="18"/>
  <c r="CV288" i="18"/>
  <c r="CV289" i="18"/>
  <c r="CV290" i="18"/>
  <c r="CV291" i="18"/>
  <c r="CV292" i="18"/>
  <c r="CV293" i="18"/>
  <c r="CV294" i="18"/>
  <c r="CV295" i="18"/>
  <c r="CV296" i="18"/>
  <c r="CV297" i="18"/>
  <c r="CV298" i="18"/>
  <c r="CV299" i="18"/>
  <c r="CV300" i="18"/>
  <c r="CV301" i="18"/>
  <c r="CV302" i="18"/>
  <c r="CV303" i="18"/>
  <c r="CV304" i="18"/>
  <c r="CV305" i="18"/>
  <c r="CV306" i="18"/>
  <c r="CV307" i="18"/>
  <c r="CV308" i="18"/>
  <c r="CV309" i="18"/>
  <c r="CV310" i="18"/>
  <c r="CV311" i="18"/>
  <c r="CV312" i="18"/>
  <c r="CV313" i="18"/>
  <c r="CV314" i="18"/>
  <c r="CV315" i="18"/>
  <c r="CV316" i="18"/>
  <c r="CV317" i="18"/>
  <c r="CV318" i="18"/>
  <c r="CV319" i="18"/>
  <c r="CV320" i="18"/>
  <c r="CV321" i="18"/>
  <c r="CV322" i="18"/>
  <c r="CV323" i="18"/>
  <c r="CV324" i="18"/>
  <c r="CV325" i="18"/>
  <c r="CV326" i="18"/>
  <c r="CV327" i="18"/>
  <c r="CV328" i="18"/>
  <c r="CV329" i="18"/>
  <c r="CV330" i="18"/>
  <c r="CV331" i="18"/>
  <c r="CV332" i="18"/>
  <c r="CV333" i="18"/>
  <c r="CV334" i="18"/>
  <c r="CV335" i="18"/>
  <c r="CV336" i="18"/>
  <c r="CV337" i="18"/>
  <c r="CV338" i="18"/>
  <c r="CW3" i="18"/>
  <c r="CW4" i="18"/>
  <c r="CW5" i="18"/>
  <c r="CW6" i="18"/>
  <c r="CW7" i="18"/>
  <c r="CW8" i="18"/>
  <c r="CW9" i="18"/>
  <c r="CW10" i="18"/>
  <c r="CW11" i="18"/>
  <c r="CW12" i="18"/>
  <c r="CW13" i="18"/>
  <c r="CW14" i="18"/>
  <c r="CW15" i="18"/>
  <c r="CW16" i="18"/>
  <c r="CW17" i="18"/>
  <c r="CW18" i="18"/>
  <c r="CW19" i="18"/>
  <c r="CW20" i="18"/>
  <c r="CW21" i="18"/>
  <c r="CW22" i="18"/>
  <c r="CW23" i="18"/>
  <c r="CW24" i="18"/>
  <c r="CW25" i="18"/>
  <c r="CW26" i="18"/>
  <c r="CW27" i="18"/>
  <c r="CW28" i="18"/>
  <c r="CW29" i="18"/>
  <c r="CW30" i="18"/>
  <c r="CW31" i="18"/>
  <c r="CW32" i="18"/>
  <c r="CW33" i="18"/>
  <c r="CW34" i="18"/>
  <c r="CW35" i="18"/>
  <c r="CW36" i="18"/>
  <c r="CW37" i="18"/>
  <c r="CW38" i="18"/>
  <c r="CW39" i="18"/>
  <c r="CW40" i="18"/>
  <c r="CW41" i="18"/>
  <c r="CW42" i="18"/>
  <c r="CW43" i="18"/>
  <c r="CW44" i="18"/>
  <c r="CW45" i="18"/>
  <c r="CW46" i="18"/>
  <c r="CW47" i="18"/>
  <c r="CW48" i="18"/>
  <c r="CW49" i="18"/>
  <c r="CW50" i="18"/>
  <c r="CW51" i="18"/>
  <c r="CW52" i="18"/>
  <c r="CW53" i="18"/>
  <c r="CW54" i="18"/>
  <c r="CW55" i="18"/>
  <c r="CW56" i="18"/>
  <c r="CW57" i="18"/>
  <c r="CW58" i="18"/>
  <c r="CW59" i="18"/>
  <c r="CW60" i="18"/>
  <c r="CW61" i="18"/>
  <c r="CW62" i="18"/>
  <c r="CW63" i="18"/>
  <c r="CW64" i="18"/>
  <c r="CW65" i="18"/>
  <c r="CW66" i="18"/>
  <c r="CW67" i="18"/>
  <c r="CW68" i="18"/>
  <c r="CW69" i="18"/>
  <c r="CW70" i="18"/>
  <c r="CW71" i="18"/>
  <c r="CW72" i="18"/>
  <c r="CW73" i="18"/>
  <c r="CW74" i="18"/>
  <c r="CW75" i="18"/>
  <c r="CW76" i="18"/>
  <c r="CW77" i="18"/>
  <c r="CW78" i="18"/>
  <c r="CW79" i="18"/>
  <c r="CW80" i="18"/>
  <c r="CW81" i="18"/>
  <c r="CW82" i="18"/>
  <c r="CW83" i="18"/>
  <c r="CW84" i="18"/>
  <c r="CW85" i="18"/>
  <c r="CW86" i="18"/>
  <c r="CW87" i="18"/>
  <c r="CW88" i="18"/>
  <c r="CW89" i="18"/>
  <c r="CW90" i="18"/>
  <c r="CW91" i="18"/>
  <c r="CW92" i="18"/>
  <c r="CW93" i="18"/>
  <c r="CW94" i="18"/>
  <c r="CW95" i="18"/>
  <c r="CW96" i="18"/>
  <c r="CW97" i="18"/>
  <c r="CW98" i="18"/>
  <c r="CW99" i="18"/>
  <c r="CW100" i="18"/>
  <c r="CW101" i="18"/>
  <c r="CW102" i="18"/>
  <c r="CW103" i="18"/>
  <c r="CW104" i="18"/>
  <c r="CW105" i="18"/>
  <c r="CW106" i="18"/>
  <c r="CW107" i="18"/>
  <c r="CW108" i="18"/>
  <c r="CW109" i="18"/>
  <c r="CW110" i="18"/>
  <c r="CW111" i="18"/>
  <c r="CW112" i="18"/>
  <c r="CW113" i="18"/>
  <c r="CW114" i="18"/>
  <c r="CW115" i="18"/>
  <c r="CW116" i="18"/>
  <c r="CW117" i="18"/>
  <c r="CW118" i="18"/>
  <c r="CW119" i="18"/>
  <c r="CW120" i="18"/>
  <c r="CW121" i="18"/>
  <c r="CW122" i="18"/>
  <c r="CW123" i="18"/>
  <c r="CW124" i="18"/>
  <c r="CW125" i="18"/>
  <c r="CW126" i="18"/>
  <c r="CW127" i="18"/>
  <c r="CW128" i="18"/>
  <c r="CW129" i="18"/>
  <c r="CW130" i="18"/>
  <c r="CW131" i="18"/>
  <c r="CW132" i="18"/>
  <c r="CW133" i="18"/>
  <c r="CW134" i="18"/>
  <c r="CW135" i="18"/>
  <c r="CW136" i="18"/>
  <c r="CW137" i="18"/>
  <c r="CW138" i="18"/>
  <c r="CW139" i="18"/>
  <c r="CW140" i="18"/>
  <c r="CW141" i="18"/>
  <c r="CW142" i="18"/>
  <c r="CW143" i="18"/>
  <c r="CW144" i="18"/>
  <c r="CW145" i="18"/>
  <c r="CW146" i="18"/>
  <c r="CW147" i="18"/>
  <c r="CW148" i="18"/>
  <c r="CW149" i="18"/>
  <c r="CW150" i="18"/>
  <c r="CW151" i="18"/>
  <c r="CW152" i="18"/>
  <c r="CW153" i="18"/>
  <c r="CW154" i="18"/>
  <c r="CW155" i="18"/>
  <c r="CW156" i="18"/>
  <c r="CW157" i="18"/>
  <c r="CW158" i="18"/>
  <c r="CW159" i="18"/>
  <c r="CW160" i="18"/>
  <c r="CW161" i="18"/>
  <c r="CW162" i="18"/>
  <c r="CW163" i="18"/>
  <c r="CW164" i="18"/>
  <c r="CW165" i="18"/>
  <c r="CW166" i="18"/>
  <c r="CW167" i="18"/>
  <c r="CW168" i="18"/>
  <c r="CW169" i="18"/>
  <c r="CW170" i="18"/>
  <c r="CW171" i="18"/>
  <c r="CW172" i="18"/>
  <c r="CW173" i="18"/>
  <c r="CW174" i="18"/>
  <c r="CW175" i="18"/>
  <c r="CW176" i="18"/>
  <c r="CW177" i="18"/>
  <c r="CW178" i="18"/>
  <c r="CW179" i="18"/>
  <c r="CW180" i="18"/>
  <c r="CW181" i="18"/>
  <c r="CW182" i="18"/>
  <c r="CW183" i="18"/>
  <c r="CW184" i="18"/>
  <c r="CW185" i="18"/>
  <c r="CW186" i="18"/>
  <c r="CW187" i="18"/>
  <c r="CW188" i="18"/>
  <c r="CW189" i="18"/>
  <c r="CW190" i="18"/>
  <c r="CW191" i="18"/>
  <c r="CW192" i="18"/>
  <c r="CW193" i="18"/>
  <c r="CW194" i="18"/>
  <c r="CW195" i="18"/>
  <c r="CW196" i="18"/>
  <c r="CW197" i="18"/>
  <c r="CW198" i="18"/>
  <c r="CW199" i="18"/>
  <c r="CW200" i="18"/>
  <c r="CW201" i="18"/>
  <c r="CW202" i="18"/>
  <c r="CW203" i="18"/>
  <c r="CW204" i="18"/>
  <c r="CW205" i="18"/>
  <c r="CW206" i="18"/>
  <c r="CW207" i="18"/>
  <c r="CW208" i="18"/>
  <c r="CW209" i="18"/>
  <c r="CW210" i="18"/>
  <c r="CW211" i="18"/>
  <c r="CW212" i="18"/>
  <c r="CW213" i="18"/>
  <c r="CW214" i="18"/>
  <c r="CW215" i="18"/>
  <c r="CW216" i="18"/>
  <c r="CW217" i="18"/>
  <c r="CW218" i="18"/>
  <c r="CW219" i="18"/>
  <c r="CW220" i="18"/>
  <c r="CW221" i="18"/>
  <c r="CW222" i="18"/>
  <c r="CW223" i="18"/>
  <c r="CW224" i="18"/>
  <c r="CW225" i="18"/>
  <c r="CW226" i="18"/>
  <c r="CW227" i="18"/>
  <c r="CW228" i="18"/>
  <c r="CW229" i="18"/>
  <c r="CW230" i="18"/>
  <c r="CW231" i="18"/>
  <c r="CW232" i="18"/>
  <c r="CW233" i="18"/>
  <c r="CW234" i="18"/>
  <c r="CW235" i="18"/>
  <c r="CW236" i="18"/>
  <c r="CW237" i="18"/>
  <c r="CW238" i="18"/>
  <c r="CW239" i="18"/>
  <c r="CW240" i="18"/>
  <c r="CW241" i="18"/>
  <c r="CW242" i="18"/>
  <c r="CW243" i="18"/>
  <c r="CW244" i="18"/>
  <c r="CW245" i="18"/>
  <c r="CW246" i="18"/>
  <c r="CW247" i="18"/>
  <c r="CW248" i="18"/>
  <c r="CW249" i="18"/>
  <c r="CW250" i="18"/>
  <c r="CW251" i="18"/>
  <c r="CW252" i="18"/>
  <c r="CW253" i="18"/>
  <c r="CW254" i="18"/>
  <c r="CW255" i="18"/>
  <c r="CW256" i="18"/>
  <c r="CW257" i="18"/>
  <c r="CW258" i="18"/>
  <c r="CW259" i="18"/>
  <c r="CW260" i="18"/>
  <c r="CW261" i="18"/>
  <c r="CW262" i="18"/>
  <c r="CW263" i="18"/>
  <c r="CW264" i="18"/>
  <c r="CW265" i="18"/>
  <c r="CW266" i="18"/>
  <c r="CW267" i="18"/>
  <c r="CW268" i="18"/>
  <c r="CW269" i="18"/>
  <c r="CW270" i="18"/>
  <c r="CW271" i="18"/>
  <c r="CW272" i="18"/>
  <c r="CW273" i="18"/>
  <c r="CW274" i="18"/>
  <c r="CW275" i="18"/>
  <c r="CW276" i="18"/>
  <c r="CW277" i="18"/>
  <c r="CW278" i="18"/>
  <c r="CW279" i="18"/>
  <c r="CW280" i="18"/>
  <c r="CW281" i="18"/>
  <c r="CW282" i="18"/>
  <c r="CW283" i="18"/>
  <c r="CW284" i="18"/>
  <c r="CW285" i="18"/>
  <c r="CW286" i="18"/>
  <c r="CW287" i="18"/>
  <c r="CW288" i="18"/>
  <c r="CW289" i="18"/>
  <c r="CW290" i="18"/>
  <c r="CW291" i="18"/>
  <c r="CW292" i="18"/>
  <c r="CW293" i="18"/>
  <c r="CW294" i="18"/>
  <c r="CW295" i="18"/>
  <c r="CW296" i="18"/>
  <c r="CW297" i="18"/>
  <c r="CW298" i="18"/>
  <c r="CW299" i="18"/>
  <c r="CW300" i="18"/>
  <c r="CW301" i="18"/>
  <c r="CW302" i="18"/>
  <c r="CW303" i="18"/>
  <c r="CW304" i="18"/>
  <c r="CW305" i="18"/>
  <c r="CW306" i="18"/>
  <c r="CW307" i="18"/>
  <c r="CW308" i="18"/>
  <c r="CW309" i="18"/>
  <c r="CW310" i="18"/>
  <c r="CW311" i="18"/>
  <c r="CW312" i="18"/>
  <c r="CW313" i="18"/>
  <c r="CW314" i="18"/>
  <c r="CW315" i="18"/>
  <c r="CW316" i="18"/>
  <c r="CW317" i="18"/>
  <c r="CW318" i="18"/>
  <c r="CW319" i="18"/>
  <c r="CW320" i="18"/>
  <c r="CW321" i="18"/>
  <c r="CW322" i="18"/>
  <c r="CW323" i="18"/>
  <c r="CW324" i="18"/>
  <c r="CW325" i="18"/>
  <c r="CW326" i="18"/>
  <c r="CW327" i="18"/>
  <c r="CW328" i="18"/>
  <c r="CW329" i="18"/>
  <c r="CW330" i="18"/>
  <c r="CW331" i="18"/>
  <c r="CW332" i="18"/>
  <c r="CW333" i="18"/>
  <c r="CW334" i="18"/>
  <c r="CW335" i="18"/>
  <c r="CW336" i="18"/>
  <c r="CW337" i="18"/>
  <c r="CW338" i="18"/>
  <c r="CX3" i="18"/>
  <c r="CX4" i="18"/>
  <c r="CX5" i="18"/>
  <c r="CX6" i="18"/>
  <c r="CX7" i="18"/>
  <c r="CX8" i="18"/>
  <c r="CX9" i="18"/>
  <c r="CX10" i="18"/>
  <c r="CX11" i="18"/>
  <c r="CX12" i="18"/>
  <c r="CX13" i="18"/>
  <c r="CX14" i="18"/>
  <c r="CX15" i="18"/>
  <c r="CX16" i="18"/>
  <c r="CX17" i="18"/>
  <c r="CX18" i="18"/>
  <c r="CX19" i="18"/>
  <c r="CX20" i="18"/>
  <c r="CX21" i="18"/>
  <c r="CX22" i="18"/>
  <c r="CX23" i="18"/>
  <c r="CX24" i="18"/>
  <c r="CX25" i="18"/>
  <c r="CX26" i="18"/>
  <c r="CX27" i="18"/>
  <c r="CX28" i="18"/>
  <c r="CX29" i="18"/>
  <c r="CX30" i="18"/>
  <c r="CX31" i="18"/>
  <c r="CX32" i="18"/>
  <c r="CX33" i="18"/>
  <c r="CX34" i="18"/>
  <c r="CX35" i="18"/>
  <c r="CX36" i="18"/>
  <c r="CX37" i="18"/>
  <c r="CX38" i="18"/>
  <c r="CX39" i="18"/>
  <c r="CX40" i="18"/>
  <c r="CX41" i="18"/>
  <c r="CX42" i="18"/>
  <c r="CX43" i="18"/>
  <c r="CX44" i="18"/>
  <c r="CX45" i="18"/>
  <c r="CX46" i="18"/>
  <c r="CX47" i="18"/>
  <c r="CX48" i="18"/>
  <c r="CX49" i="18"/>
  <c r="CX50" i="18"/>
  <c r="CX51" i="18"/>
  <c r="CX52" i="18"/>
  <c r="CX53" i="18"/>
  <c r="CX54" i="18"/>
  <c r="CX55" i="18"/>
  <c r="CX56" i="18"/>
  <c r="CX57" i="18"/>
  <c r="CX58" i="18"/>
  <c r="CX59" i="18"/>
  <c r="CX60" i="18"/>
  <c r="CX61" i="18"/>
  <c r="CX62" i="18"/>
  <c r="CX63" i="18"/>
  <c r="CX64" i="18"/>
  <c r="CX65" i="18"/>
  <c r="CX66" i="18"/>
  <c r="CX67" i="18"/>
  <c r="CX68" i="18"/>
  <c r="CX69" i="18"/>
  <c r="CX70" i="18"/>
  <c r="CX71" i="18"/>
  <c r="CX72" i="18"/>
  <c r="CX73" i="18"/>
  <c r="CX74" i="18"/>
  <c r="CX75" i="18"/>
  <c r="CX76" i="18"/>
  <c r="CX77" i="18"/>
  <c r="CX78" i="18"/>
  <c r="CX79" i="18"/>
  <c r="CX80" i="18"/>
  <c r="CX81" i="18"/>
  <c r="CX82" i="18"/>
  <c r="CX83" i="18"/>
  <c r="CX84" i="18"/>
  <c r="CX85" i="18"/>
  <c r="CX86" i="18"/>
  <c r="CX87" i="18"/>
  <c r="CX88" i="18"/>
  <c r="CX89" i="18"/>
  <c r="CX90" i="18"/>
  <c r="CX91" i="18"/>
  <c r="CX92" i="18"/>
  <c r="CX93" i="18"/>
  <c r="CX94" i="18"/>
  <c r="CX95" i="18"/>
  <c r="CX96" i="18"/>
  <c r="CX97" i="18"/>
  <c r="CX98" i="18"/>
  <c r="CX99" i="18"/>
  <c r="CX100" i="18"/>
  <c r="CX101" i="18"/>
  <c r="CX102" i="18"/>
  <c r="CX103" i="18"/>
  <c r="CX104" i="18"/>
  <c r="CX105" i="18"/>
  <c r="CX106" i="18"/>
  <c r="CX107" i="18"/>
  <c r="CX108" i="18"/>
  <c r="CX109" i="18"/>
  <c r="CX110" i="18"/>
  <c r="CX111" i="18"/>
  <c r="CX112" i="18"/>
  <c r="CX113" i="18"/>
  <c r="CX114" i="18"/>
  <c r="CX115" i="18"/>
  <c r="CX116" i="18"/>
  <c r="CX117" i="18"/>
  <c r="CX118" i="18"/>
  <c r="CX119" i="18"/>
  <c r="CX120" i="18"/>
  <c r="CX121" i="18"/>
  <c r="CX122" i="18"/>
  <c r="CX123" i="18"/>
  <c r="CX124" i="18"/>
  <c r="CX125" i="18"/>
  <c r="CX126" i="18"/>
  <c r="CX127" i="18"/>
  <c r="CX128" i="18"/>
  <c r="CX129" i="18"/>
  <c r="CX130" i="18"/>
  <c r="CX131" i="18"/>
  <c r="CX132" i="18"/>
  <c r="CX133" i="18"/>
  <c r="CX134" i="18"/>
  <c r="CX135" i="18"/>
  <c r="CX136" i="18"/>
  <c r="CX137" i="18"/>
  <c r="CX138" i="18"/>
  <c r="CX139" i="18"/>
  <c r="CX140" i="18"/>
  <c r="CX141" i="18"/>
  <c r="CX142" i="18"/>
  <c r="CX143" i="18"/>
  <c r="CX144" i="18"/>
  <c r="CX145" i="18"/>
  <c r="CX146" i="18"/>
  <c r="CX147" i="18"/>
  <c r="CX148" i="18"/>
  <c r="CX149" i="18"/>
  <c r="CX150" i="18"/>
  <c r="CX151" i="18"/>
  <c r="CX152" i="18"/>
  <c r="CX153" i="18"/>
  <c r="CX154" i="18"/>
  <c r="CX155" i="18"/>
  <c r="CX156" i="18"/>
  <c r="CX157" i="18"/>
  <c r="CX158" i="18"/>
  <c r="CX159" i="18"/>
  <c r="CX160" i="18"/>
  <c r="CX161" i="18"/>
  <c r="CX162" i="18"/>
  <c r="CX163" i="18"/>
  <c r="CX164" i="18"/>
  <c r="CX165" i="18"/>
  <c r="CX166" i="18"/>
  <c r="CX167" i="18"/>
  <c r="CX168" i="18"/>
  <c r="CX169" i="18"/>
  <c r="CX170" i="18"/>
  <c r="CX171" i="18"/>
  <c r="CX172" i="18"/>
  <c r="CX173" i="18"/>
  <c r="CX174" i="18"/>
  <c r="CX175" i="18"/>
  <c r="CX176" i="18"/>
  <c r="CX177" i="18"/>
  <c r="CX178" i="18"/>
  <c r="CX179" i="18"/>
  <c r="CX180" i="18"/>
  <c r="CX181" i="18"/>
  <c r="CX182" i="18"/>
  <c r="CX183" i="18"/>
  <c r="CX184" i="18"/>
  <c r="CX185" i="18"/>
  <c r="CX186" i="18"/>
  <c r="CX187" i="18"/>
  <c r="CX188" i="18"/>
  <c r="CX189" i="18"/>
  <c r="CX190" i="18"/>
  <c r="CX191" i="18"/>
  <c r="CX192" i="18"/>
  <c r="CX193" i="18"/>
  <c r="CX194" i="18"/>
  <c r="CX195" i="18"/>
  <c r="CX196" i="18"/>
  <c r="CX197" i="18"/>
  <c r="CX198" i="18"/>
  <c r="CX199" i="18"/>
  <c r="CX200" i="18"/>
  <c r="CX201" i="18"/>
  <c r="CX202" i="18"/>
  <c r="CX203" i="18"/>
  <c r="CX204" i="18"/>
  <c r="CX205" i="18"/>
  <c r="CX206" i="18"/>
  <c r="CX207" i="18"/>
  <c r="CX208" i="18"/>
  <c r="CX209" i="18"/>
  <c r="CX210" i="18"/>
  <c r="CX211" i="18"/>
  <c r="CX212" i="18"/>
  <c r="CX213" i="18"/>
  <c r="CX214" i="18"/>
  <c r="CX215" i="18"/>
  <c r="CX216" i="18"/>
  <c r="CX217" i="18"/>
  <c r="CX218" i="18"/>
  <c r="CX219" i="18"/>
  <c r="CX220" i="18"/>
  <c r="CX221" i="18"/>
  <c r="CX222" i="18"/>
  <c r="CX223" i="18"/>
  <c r="CX224" i="18"/>
  <c r="CX225" i="18"/>
  <c r="CX226" i="18"/>
  <c r="CX227" i="18"/>
  <c r="CX228" i="18"/>
  <c r="CX229" i="18"/>
  <c r="CX230" i="18"/>
  <c r="CX231" i="18"/>
  <c r="CX232" i="18"/>
  <c r="CX233" i="18"/>
  <c r="CX234" i="18"/>
  <c r="CX235" i="18"/>
  <c r="CX236" i="18"/>
  <c r="CX237" i="18"/>
  <c r="CX238" i="18"/>
  <c r="CX239" i="18"/>
  <c r="CX240" i="18"/>
  <c r="CX241" i="18"/>
  <c r="CX242" i="18"/>
  <c r="CX243" i="18"/>
  <c r="CX244" i="18"/>
  <c r="CX245" i="18"/>
  <c r="CX246" i="18"/>
  <c r="CX247" i="18"/>
  <c r="CX248" i="18"/>
  <c r="CX249" i="18"/>
  <c r="CX250" i="18"/>
  <c r="CX251" i="18"/>
  <c r="CX252" i="18"/>
  <c r="CX253" i="18"/>
  <c r="CX254" i="18"/>
  <c r="CX255" i="18"/>
  <c r="CX256" i="18"/>
  <c r="CX257" i="18"/>
  <c r="CX258" i="18"/>
  <c r="CX259" i="18"/>
  <c r="CX260" i="18"/>
  <c r="CX261" i="18"/>
  <c r="CX262" i="18"/>
  <c r="CX263" i="18"/>
  <c r="CX264" i="18"/>
  <c r="CX265" i="18"/>
  <c r="CX266" i="18"/>
  <c r="CX267" i="18"/>
  <c r="CX268" i="18"/>
  <c r="CX269" i="18"/>
  <c r="CX270" i="18"/>
  <c r="CX271" i="18"/>
  <c r="CX272" i="18"/>
  <c r="CX273" i="18"/>
  <c r="CX274" i="18"/>
  <c r="CX275" i="18"/>
  <c r="CX276" i="18"/>
  <c r="CX277" i="18"/>
  <c r="CX278" i="18"/>
  <c r="CX279" i="18"/>
  <c r="CX280" i="18"/>
  <c r="CX281" i="18"/>
  <c r="CX282" i="18"/>
  <c r="CX283" i="18"/>
  <c r="CX284" i="18"/>
  <c r="CX285" i="18"/>
  <c r="CX286" i="18"/>
  <c r="CX287" i="18"/>
  <c r="CX288" i="18"/>
  <c r="CX289" i="18"/>
  <c r="CX290" i="18"/>
  <c r="CX291" i="18"/>
  <c r="CX292" i="18"/>
  <c r="CX293" i="18"/>
  <c r="CX294" i="18"/>
  <c r="CX295" i="18"/>
  <c r="CX296" i="18"/>
  <c r="CX297" i="18"/>
  <c r="CX298" i="18"/>
  <c r="CX299" i="18"/>
  <c r="CX300" i="18"/>
  <c r="CX301" i="18"/>
  <c r="CX302" i="18"/>
  <c r="CX303" i="18"/>
  <c r="CX304" i="18"/>
  <c r="CX305" i="18"/>
  <c r="CX306" i="18"/>
  <c r="CX307" i="18"/>
  <c r="CX308" i="18"/>
  <c r="CX309" i="18"/>
  <c r="CX310" i="18"/>
  <c r="CX311" i="18"/>
  <c r="CX312" i="18"/>
  <c r="CX313" i="18"/>
  <c r="CX314" i="18"/>
  <c r="CX315" i="18"/>
  <c r="CX316" i="18"/>
  <c r="CX317" i="18"/>
  <c r="CX318" i="18"/>
  <c r="CX319" i="18"/>
  <c r="CX320" i="18"/>
  <c r="CX321" i="18"/>
  <c r="CX322" i="18"/>
  <c r="CX323" i="18"/>
  <c r="CX324" i="18"/>
  <c r="CX325" i="18"/>
  <c r="CX326" i="18"/>
  <c r="CX327" i="18"/>
  <c r="CX328" i="18"/>
  <c r="CX329" i="18"/>
  <c r="CX330" i="18"/>
  <c r="CX331" i="18"/>
  <c r="CX332" i="18"/>
  <c r="CX333" i="18"/>
  <c r="CX334" i="18"/>
  <c r="CX335" i="18"/>
  <c r="CX336" i="18"/>
  <c r="CX337" i="18"/>
  <c r="CX338" i="18"/>
  <c r="CY3" i="18"/>
  <c r="CY4" i="18"/>
  <c r="CY5" i="18"/>
  <c r="CY6" i="18"/>
  <c r="CY7" i="18"/>
  <c r="CY8" i="18"/>
  <c r="F40" i="11" s="1"/>
  <c r="CY9" i="18"/>
  <c r="CY10" i="18"/>
  <c r="CY11" i="18"/>
  <c r="CY12" i="18"/>
  <c r="F3" i="11" s="1"/>
  <c r="G3" i="11" s="1"/>
  <c r="CY13" i="18"/>
  <c r="CY14" i="18"/>
  <c r="CY15" i="18"/>
  <c r="CY16" i="18"/>
  <c r="F14" i="11" s="1"/>
  <c r="G14" i="11" s="1"/>
  <c r="CY17" i="18"/>
  <c r="CY18" i="18"/>
  <c r="CY19" i="18"/>
  <c r="CY20" i="18"/>
  <c r="F50" i="11" s="1"/>
  <c r="CY21" i="18"/>
  <c r="CY22" i="18"/>
  <c r="CY23" i="18"/>
  <c r="CY24" i="18"/>
  <c r="F18" i="11" s="1"/>
  <c r="G18" i="11" s="1"/>
  <c r="CY25" i="18"/>
  <c r="CY26" i="18"/>
  <c r="CY27" i="18"/>
  <c r="CY28" i="18"/>
  <c r="CY29" i="18"/>
  <c r="CY30" i="18"/>
  <c r="CY31" i="18"/>
  <c r="CY32" i="18"/>
  <c r="F51" i="11" s="1"/>
  <c r="CY33" i="18"/>
  <c r="CY34" i="18"/>
  <c r="CY35" i="18"/>
  <c r="CY36" i="18"/>
  <c r="CY37" i="18"/>
  <c r="CY38" i="18"/>
  <c r="CY39" i="18"/>
  <c r="CY40" i="18"/>
  <c r="F25" i="11" s="1"/>
  <c r="G25" i="11" s="1"/>
  <c r="CY41" i="18"/>
  <c r="F4" i="11" s="1"/>
  <c r="CY42" i="18"/>
  <c r="CY43" i="18"/>
  <c r="CY44" i="18"/>
  <c r="F46" i="11" s="1"/>
  <c r="CY45" i="18"/>
  <c r="CY46" i="18"/>
  <c r="CY47" i="18"/>
  <c r="CY48" i="18"/>
  <c r="CY49" i="18"/>
  <c r="CY50" i="18"/>
  <c r="CY51" i="18"/>
  <c r="CY52" i="18"/>
  <c r="F21" i="11" s="1"/>
  <c r="G21" i="11" s="1"/>
  <c r="CY53" i="18"/>
  <c r="CY54" i="18"/>
  <c r="CY55" i="18"/>
  <c r="CY56" i="18"/>
  <c r="F13" i="11" s="1"/>
  <c r="CY57" i="18"/>
  <c r="CY58" i="18"/>
  <c r="CY59" i="18"/>
  <c r="CY60" i="18"/>
  <c r="CY61" i="18"/>
  <c r="CY62" i="18"/>
  <c r="CY63" i="18"/>
  <c r="CY64" i="18"/>
  <c r="CY65" i="18"/>
  <c r="CY66" i="18"/>
  <c r="CY67" i="18"/>
  <c r="CY68" i="18"/>
  <c r="F42" i="11" s="1"/>
  <c r="G42" i="11" s="1"/>
  <c r="CY69" i="18"/>
  <c r="CY70" i="18"/>
  <c r="CY71" i="18"/>
  <c r="CY72" i="18"/>
  <c r="CY73" i="18"/>
  <c r="CY74" i="18"/>
  <c r="CY75" i="18"/>
  <c r="CY76" i="18"/>
  <c r="F37" i="11" s="1"/>
  <c r="G37" i="11" s="1"/>
  <c r="CY77" i="18"/>
  <c r="CY78" i="18"/>
  <c r="CY79" i="18"/>
  <c r="F8" i="11" s="1"/>
  <c r="CY80" i="18"/>
  <c r="F28" i="11" s="1"/>
  <c r="G28" i="11" s="1"/>
  <c r="CY81" i="18"/>
  <c r="CY82" i="18"/>
  <c r="CY83" i="18"/>
  <c r="CY84" i="18"/>
  <c r="F39" i="11" s="1"/>
  <c r="G39" i="11" s="1"/>
  <c r="CY85" i="18"/>
  <c r="CY86" i="18"/>
  <c r="CY87" i="18"/>
  <c r="CY88" i="18"/>
  <c r="CY89" i="18"/>
  <c r="CY90" i="18"/>
  <c r="CY91" i="18"/>
  <c r="CY92" i="18"/>
  <c r="F23" i="11" s="1"/>
  <c r="CY93" i="18"/>
  <c r="CY94" i="18"/>
  <c r="CY95" i="18"/>
  <c r="CY96" i="18"/>
  <c r="CY97" i="18"/>
  <c r="CY98" i="18"/>
  <c r="CY99" i="18"/>
  <c r="CY100" i="18"/>
  <c r="CY101" i="18"/>
  <c r="CY102" i="18"/>
  <c r="CY103" i="18"/>
  <c r="CY104" i="18"/>
  <c r="CY105" i="18"/>
  <c r="CY106" i="18"/>
  <c r="CY107" i="18"/>
  <c r="CY108" i="18"/>
  <c r="CY109" i="18"/>
  <c r="CY110" i="18"/>
  <c r="CY111" i="18"/>
  <c r="CY112" i="18"/>
  <c r="CY113" i="18"/>
  <c r="CY114" i="18"/>
  <c r="CY115" i="18"/>
  <c r="CY116" i="18"/>
  <c r="F24" i="11" s="1"/>
  <c r="CY117" i="18"/>
  <c r="CY118" i="18"/>
  <c r="CY119" i="18"/>
  <c r="CY120" i="18"/>
  <c r="CY121" i="18"/>
  <c r="CY122" i="18"/>
  <c r="CY123" i="18"/>
  <c r="CY124" i="18"/>
  <c r="CY125" i="18"/>
  <c r="CY126" i="18"/>
  <c r="CY127" i="18"/>
  <c r="CY128" i="18"/>
  <c r="CY129" i="18"/>
  <c r="CY130" i="18"/>
  <c r="CY131" i="18"/>
  <c r="CY132" i="18"/>
  <c r="CY133" i="18"/>
  <c r="CY134" i="18"/>
  <c r="CY135" i="18"/>
  <c r="CY136" i="18"/>
  <c r="CY137" i="18"/>
  <c r="CY138" i="18"/>
  <c r="CY139" i="18"/>
  <c r="CY140" i="18"/>
  <c r="CY141" i="18"/>
  <c r="CY142" i="18"/>
  <c r="CY143" i="18"/>
  <c r="CY144" i="18"/>
  <c r="CY145" i="18"/>
  <c r="CY146" i="18"/>
  <c r="CY147" i="18"/>
  <c r="CY148" i="18"/>
  <c r="CY149" i="18"/>
  <c r="CY150" i="18"/>
  <c r="CY151" i="18"/>
  <c r="CY152" i="18"/>
  <c r="CY153" i="18"/>
  <c r="CY154" i="18"/>
  <c r="CY155" i="18"/>
  <c r="CY156" i="18"/>
  <c r="CY157" i="18"/>
  <c r="CY158" i="18"/>
  <c r="CY159" i="18"/>
  <c r="CY160" i="18"/>
  <c r="CY161" i="18"/>
  <c r="CY162" i="18"/>
  <c r="CY163" i="18"/>
  <c r="CY164" i="18"/>
  <c r="CY165" i="18"/>
  <c r="CY166" i="18"/>
  <c r="CY167" i="18"/>
  <c r="CY168" i="18"/>
  <c r="CY169" i="18"/>
  <c r="CY170" i="18"/>
  <c r="CY171" i="18"/>
  <c r="CY172" i="18"/>
  <c r="CY173" i="18"/>
  <c r="CY174" i="18"/>
  <c r="CY175" i="18"/>
  <c r="CY176" i="18"/>
  <c r="CY177" i="18"/>
  <c r="CY178" i="18"/>
  <c r="CY179" i="18"/>
  <c r="CY180" i="18"/>
  <c r="CY181" i="18"/>
  <c r="CY182" i="18"/>
  <c r="CY183" i="18"/>
  <c r="CY184" i="18"/>
  <c r="F19" i="11" s="1"/>
  <c r="G19" i="11" s="1"/>
  <c r="CY185" i="18"/>
  <c r="CY186" i="18"/>
  <c r="CY187" i="18"/>
  <c r="CY188" i="18"/>
  <c r="CY189" i="18"/>
  <c r="CY190" i="18"/>
  <c r="CY191" i="18"/>
  <c r="CY192" i="18"/>
  <c r="CY193" i="18"/>
  <c r="CY194" i="18"/>
  <c r="CY195" i="18"/>
  <c r="CY196" i="18"/>
  <c r="F32" i="11" s="1"/>
  <c r="CY197" i="18"/>
  <c r="CY198" i="18"/>
  <c r="CY199" i="18"/>
  <c r="CY200" i="18"/>
  <c r="CY201" i="18"/>
  <c r="CY202" i="18"/>
  <c r="CY203" i="18"/>
  <c r="CY204" i="18"/>
  <c r="F47" i="11" s="1"/>
  <c r="G47" i="11" s="1"/>
  <c r="CY205" i="18"/>
  <c r="CY206" i="18"/>
  <c r="CY207" i="18"/>
  <c r="CY208" i="18"/>
  <c r="CY209" i="18"/>
  <c r="CY210" i="18"/>
  <c r="CY211" i="18"/>
  <c r="CY212" i="18"/>
  <c r="F22" i="11" s="1"/>
  <c r="G22" i="11" s="1"/>
  <c r="CY213" i="18"/>
  <c r="CY214" i="18"/>
  <c r="CY215" i="18"/>
  <c r="CY216" i="18"/>
  <c r="CY217" i="18"/>
  <c r="CY218" i="18"/>
  <c r="CY219" i="18"/>
  <c r="CY220" i="18"/>
  <c r="CY221" i="18"/>
  <c r="CY222" i="18"/>
  <c r="CY223" i="18"/>
  <c r="CY224" i="18"/>
  <c r="F11" i="11" s="1"/>
  <c r="G11" i="11" s="1"/>
  <c r="CY225" i="18"/>
  <c r="CY226" i="18"/>
  <c r="CY227" i="18"/>
  <c r="CY228" i="18"/>
  <c r="CY229" i="18"/>
  <c r="CY230" i="18"/>
  <c r="CY231" i="18"/>
  <c r="CY232" i="18"/>
  <c r="CY233" i="18"/>
  <c r="CY234" i="18"/>
  <c r="CY235" i="18"/>
  <c r="CY236" i="18"/>
  <c r="CY237" i="18"/>
  <c r="CY238" i="18"/>
  <c r="CY239" i="18"/>
  <c r="CY240" i="18"/>
  <c r="CY241" i="18"/>
  <c r="CY242" i="18"/>
  <c r="CY243" i="18"/>
  <c r="CY244" i="18"/>
  <c r="CY245" i="18"/>
  <c r="CY246" i="18"/>
  <c r="CY247" i="18"/>
  <c r="CY248" i="18"/>
  <c r="CY249" i="18"/>
  <c r="CY250" i="18"/>
  <c r="CY251" i="18"/>
  <c r="CY252" i="18"/>
  <c r="F31" i="11" s="1"/>
  <c r="G31" i="11" s="1"/>
  <c r="CY253" i="18"/>
  <c r="CY254" i="18"/>
  <c r="CY255" i="18"/>
  <c r="CY256" i="18"/>
  <c r="CY257" i="18"/>
  <c r="CY258" i="18"/>
  <c r="CY259" i="18"/>
  <c r="CY260" i="18"/>
  <c r="CY261" i="18"/>
  <c r="CY262" i="18"/>
  <c r="CY263" i="18"/>
  <c r="CY264" i="18"/>
  <c r="CY265" i="18"/>
  <c r="CY266" i="18"/>
  <c r="CY267" i="18"/>
  <c r="CY268" i="18"/>
  <c r="CY269" i="18"/>
  <c r="CY270" i="18"/>
  <c r="CY271" i="18"/>
  <c r="CY272" i="18"/>
  <c r="F52" i="11" s="1"/>
  <c r="CY273" i="18"/>
  <c r="CY274" i="18"/>
  <c r="CY275" i="18"/>
  <c r="CY276" i="18"/>
  <c r="CY277" i="18"/>
  <c r="CY278" i="18"/>
  <c r="CY279" i="18"/>
  <c r="CY280" i="18"/>
  <c r="CY281" i="18"/>
  <c r="CY282" i="18"/>
  <c r="CY283" i="18"/>
  <c r="CY284" i="18"/>
  <c r="CY285" i="18"/>
  <c r="CY286" i="18"/>
  <c r="CY287" i="18"/>
  <c r="CY288" i="18"/>
  <c r="CY289" i="18"/>
  <c r="CY290" i="18"/>
  <c r="CY291" i="18"/>
  <c r="CY292" i="18"/>
  <c r="F45" i="11" s="1"/>
  <c r="CY293" i="18"/>
  <c r="CY294" i="18"/>
  <c r="CY295" i="18"/>
  <c r="CY296" i="18"/>
  <c r="CY297" i="18"/>
  <c r="CY298" i="18"/>
  <c r="CY299" i="18"/>
  <c r="CY300" i="18"/>
  <c r="CY301" i="18"/>
  <c r="CY302" i="18"/>
  <c r="CY303" i="18"/>
  <c r="CY304" i="18"/>
  <c r="CY305" i="18"/>
  <c r="CY306" i="18"/>
  <c r="CY307" i="18"/>
  <c r="CY308" i="18"/>
  <c r="F36" i="11" s="1"/>
  <c r="G36" i="11" s="1"/>
  <c r="CY309" i="18"/>
  <c r="CY310" i="18"/>
  <c r="CY311" i="18"/>
  <c r="CY312" i="18"/>
  <c r="CY313" i="18"/>
  <c r="CY314" i="18"/>
  <c r="CY315" i="18"/>
  <c r="CY316" i="18"/>
  <c r="CY317" i="18"/>
  <c r="CY318" i="18"/>
  <c r="CY319" i="18"/>
  <c r="CY320" i="18"/>
  <c r="CY321" i="18"/>
  <c r="CY322" i="18"/>
  <c r="CY323" i="18"/>
  <c r="CY324" i="18"/>
  <c r="CY325" i="18"/>
  <c r="CY326" i="18"/>
  <c r="CY327" i="18"/>
  <c r="CY328" i="18"/>
  <c r="CY329" i="18"/>
  <c r="CY330" i="18"/>
  <c r="CY331" i="18"/>
  <c r="CY332" i="18"/>
  <c r="CY333" i="18"/>
  <c r="CY334" i="18"/>
  <c r="CY335" i="18"/>
  <c r="CY336" i="18"/>
  <c r="CY337" i="18"/>
  <c r="CY338" i="18"/>
  <c r="CZ3" i="18"/>
  <c r="CZ4" i="18"/>
  <c r="CZ5" i="18"/>
  <c r="CZ6" i="18"/>
  <c r="CZ7" i="18"/>
  <c r="CZ8" i="18"/>
  <c r="CZ9" i="18"/>
  <c r="CZ10" i="18"/>
  <c r="CZ11" i="18"/>
  <c r="CZ12" i="18"/>
  <c r="CZ13" i="18"/>
  <c r="CZ14" i="18"/>
  <c r="CZ15" i="18"/>
  <c r="CZ16" i="18"/>
  <c r="CZ17" i="18"/>
  <c r="CZ18" i="18"/>
  <c r="CZ19" i="18"/>
  <c r="CZ20" i="18"/>
  <c r="CZ21" i="18"/>
  <c r="CZ22" i="18"/>
  <c r="CZ23" i="18"/>
  <c r="CZ24" i="18"/>
  <c r="CZ25" i="18"/>
  <c r="CZ26" i="18"/>
  <c r="CZ27" i="18"/>
  <c r="CZ28" i="18"/>
  <c r="CZ29" i="18"/>
  <c r="CZ30" i="18"/>
  <c r="CZ31" i="18"/>
  <c r="CZ32" i="18"/>
  <c r="CZ33" i="18"/>
  <c r="CZ34" i="18"/>
  <c r="CZ35" i="18"/>
  <c r="CZ36" i="18"/>
  <c r="CZ37" i="18"/>
  <c r="CZ38" i="18"/>
  <c r="CZ39" i="18"/>
  <c r="CZ40" i="18"/>
  <c r="CZ41" i="18"/>
  <c r="CZ42" i="18"/>
  <c r="CZ43" i="18"/>
  <c r="CZ44" i="18"/>
  <c r="CZ45" i="18"/>
  <c r="CZ46" i="18"/>
  <c r="CZ47" i="18"/>
  <c r="CZ48" i="18"/>
  <c r="CZ49" i="18"/>
  <c r="CZ50" i="18"/>
  <c r="CZ51" i="18"/>
  <c r="CZ52" i="18"/>
  <c r="CZ53" i="18"/>
  <c r="CZ54" i="18"/>
  <c r="CZ55" i="18"/>
  <c r="CZ56" i="18"/>
  <c r="CZ57" i="18"/>
  <c r="CZ58" i="18"/>
  <c r="CZ59" i="18"/>
  <c r="CZ60" i="18"/>
  <c r="CZ61" i="18"/>
  <c r="CZ62" i="18"/>
  <c r="CZ63" i="18"/>
  <c r="CZ64" i="18"/>
  <c r="CZ65" i="18"/>
  <c r="CZ66" i="18"/>
  <c r="CZ67" i="18"/>
  <c r="CZ68" i="18"/>
  <c r="CZ69" i="18"/>
  <c r="CZ70" i="18"/>
  <c r="CZ71" i="18"/>
  <c r="CZ72" i="18"/>
  <c r="CZ73" i="18"/>
  <c r="CZ74" i="18"/>
  <c r="CZ75" i="18"/>
  <c r="CZ76" i="18"/>
  <c r="CZ77" i="18"/>
  <c r="CZ78" i="18"/>
  <c r="CZ79" i="18"/>
  <c r="CZ80" i="18"/>
  <c r="CZ81" i="18"/>
  <c r="CZ82" i="18"/>
  <c r="CZ83" i="18"/>
  <c r="CZ84" i="18"/>
  <c r="CZ85" i="18"/>
  <c r="CZ86" i="18"/>
  <c r="CZ87" i="18"/>
  <c r="CZ88" i="18"/>
  <c r="CZ89" i="18"/>
  <c r="CZ90" i="18"/>
  <c r="CZ91" i="18"/>
  <c r="CZ92" i="18"/>
  <c r="CZ93" i="18"/>
  <c r="CZ94" i="18"/>
  <c r="CZ95" i="18"/>
  <c r="CZ96" i="18"/>
  <c r="CZ97" i="18"/>
  <c r="CZ98" i="18"/>
  <c r="CZ99" i="18"/>
  <c r="CZ100" i="18"/>
  <c r="CZ101" i="18"/>
  <c r="CZ102" i="18"/>
  <c r="CZ103" i="18"/>
  <c r="CZ104" i="18"/>
  <c r="CZ105" i="18"/>
  <c r="CZ106" i="18"/>
  <c r="CZ107" i="18"/>
  <c r="CZ108" i="18"/>
  <c r="CZ109" i="18"/>
  <c r="CZ110" i="18"/>
  <c r="CZ111" i="18"/>
  <c r="CZ112" i="18"/>
  <c r="CZ113" i="18"/>
  <c r="CZ114" i="18"/>
  <c r="CZ115" i="18"/>
  <c r="CZ116" i="18"/>
  <c r="CZ117" i="18"/>
  <c r="CZ118" i="18"/>
  <c r="CZ119" i="18"/>
  <c r="CZ120" i="18"/>
  <c r="CZ121" i="18"/>
  <c r="CZ122" i="18"/>
  <c r="CZ123" i="18"/>
  <c r="CZ124" i="18"/>
  <c r="CZ125" i="18"/>
  <c r="CZ126" i="18"/>
  <c r="CZ127" i="18"/>
  <c r="CZ128" i="18"/>
  <c r="CZ129" i="18"/>
  <c r="CZ130" i="18"/>
  <c r="CZ131" i="18"/>
  <c r="CZ132" i="18"/>
  <c r="CZ133" i="18"/>
  <c r="CZ134" i="18"/>
  <c r="CZ135" i="18"/>
  <c r="CZ136" i="18"/>
  <c r="CZ137" i="18"/>
  <c r="CZ138" i="18"/>
  <c r="CZ139" i="18"/>
  <c r="CZ140" i="18"/>
  <c r="CZ141" i="18"/>
  <c r="CZ142" i="18"/>
  <c r="CZ143" i="18"/>
  <c r="CZ144" i="18"/>
  <c r="CZ145" i="18"/>
  <c r="CZ146" i="18"/>
  <c r="CZ147" i="18"/>
  <c r="CZ148" i="18"/>
  <c r="CZ149" i="18"/>
  <c r="CZ150" i="18"/>
  <c r="CZ151" i="18"/>
  <c r="CZ152" i="18"/>
  <c r="CZ153" i="18"/>
  <c r="CZ154" i="18"/>
  <c r="CZ155" i="18"/>
  <c r="CZ156" i="18"/>
  <c r="CZ157" i="18"/>
  <c r="CZ158" i="18"/>
  <c r="CZ159" i="18"/>
  <c r="CZ160" i="18"/>
  <c r="CZ161" i="18"/>
  <c r="CZ162" i="18"/>
  <c r="CZ163" i="18"/>
  <c r="CZ164" i="18"/>
  <c r="CZ165" i="18"/>
  <c r="CZ166" i="18"/>
  <c r="CZ167" i="18"/>
  <c r="CZ168" i="18"/>
  <c r="CZ169" i="18"/>
  <c r="CZ170" i="18"/>
  <c r="CZ171" i="18"/>
  <c r="CZ172" i="18"/>
  <c r="CZ173" i="18"/>
  <c r="CZ174" i="18"/>
  <c r="CZ175" i="18"/>
  <c r="CZ176" i="18"/>
  <c r="CZ177" i="18"/>
  <c r="CZ178" i="18"/>
  <c r="CZ179" i="18"/>
  <c r="CZ180" i="18"/>
  <c r="CZ181" i="18"/>
  <c r="CZ182" i="18"/>
  <c r="CZ183" i="18"/>
  <c r="CZ184" i="18"/>
  <c r="CZ185" i="18"/>
  <c r="CZ186" i="18"/>
  <c r="CZ187" i="18"/>
  <c r="CZ188" i="18"/>
  <c r="CZ189" i="18"/>
  <c r="CZ190" i="18"/>
  <c r="CZ191" i="18"/>
  <c r="CZ192" i="18"/>
  <c r="CZ193" i="18"/>
  <c r="CZ194" i="18"/>
  <c r="CZ195" i="18"/>
  <c r="CZ196" i="18"/>
  <c r="CZ197" i="18"/>
  <c r="CZ198" i="18"/>
  <c r="CZ199" i="18"/>
  <c r="CZ200" i="18"/>
  <c r="CZ201" i="18"/>
  <c r="CZ202" i="18"/>
  <c r="CZ203" i="18"/>
  <c r="CZ204" i="18"/>
  <c r="CZ205" i="18"/>
  <c r="CZ206" i="18"/>
  <c r="CZ207" i="18"/>
  <c r="CZ208" i="18"/>
  <c r="CZ209" i="18"/>
  <c r="CZ210" i="18"/>
  <c r="CZ211" i="18"/>
  <c r="CZ212" i="18"/>
  <c r="CZ213" i="18"/>
  <c r="CZ214" i="18"/>
  <c r="CZ215" i="18"/>
  <c r="CZ216" i="18"/>
  <c r="CZ217" i="18"/>
  <c r="CZ218" i="18"/>
  <c r="CZ219" i="18"/>
  <c r="CZ220" i="18"/>
  <c r="CZ221" i="18"/>
  <c r="CZ222" i="18"/>
  <c r="CZ223" i="18"/>
  <c r="CZ224" i="18"/>
  <c r="CZ225" i="18"/>
  <c r="CZ226" i="18"/>
  <c r="CZ227" i="18"/>
  <c r="CZ228" i="18"/>
  <c r="CZ229" i="18"/>
  <c r="CZ230" i="18"/>
  <c r="CZ231" i="18"/>
  <c r="CZ232" i="18"/>
  <c r="CZ233" i="18"/>
  <c r="CZ234" i="18"/>
  <c r="CZ235" i="18"/>
  <c r="CZ236" i="18"/>
  <c r="CZ237" i="18"/>
  <c r="CZ238" i="18"/>
  <c r="CZ239" i="18"/>
  <c r="CZ240" i="18"/>
  <c r="CZ241" i="18"/>
  <c r="CZ242" i="18"/>
  <c r="CZ243" i="18"/>
  <c r="CZ244" i="18"/>
  <c r="CZ245" i="18"/>
  <c r="CZ246" i="18"/>
  <c r="CZ247" i="18"/>
  <c r="CZ248" i="18"/>
  <c r="CZ249" i="18"/>
  <c r="CZ250" i="18"/>
  <c r="CZ251" i="18"/>
  <c r="CZ252" i="18"/>
  <c r="CZ253" i="18"/>
  <c r="CZ254" i="18"/>
  <c r="CZ255" i="18"/>
  <c r="CZ256" i="18"/>
  <c r="CZ257" i="18"/>
  <c r="CZ258" i="18"/>
  <c r="CZ259" i="18"/>
  <c r="CZ260" i="18"/>
  <c r="CZ261" i="18"/>
  <c r="CZ262" i="18"/>
  <c r="CZ263" i="18"/>
  <c r="CZ264" i="18"/>
  <c r="CZ265" i="18"/>
  <c r="CZ266" i="18"/>
  <c r="CZ267" i="18"/>
  <c r="CZ268" i="18"/>
  <c r="CZ269" i="18"/>
  <c r="CZ270" i="18"/>
  <c r="CZ271" i="18"/>
  <c r="CZ272" i="18"/>
  <c r="CZ273" i="18"/>
  <c r="CZ274" i="18"/>
  <c r="CZ275" i="18"/>
  <c r="CZ276" i="18"/>
  <c r="CZ277" i="18"/>
  <c r="CZ278" i="18"/>
  <c r="CZ279" i="18"/>
  <c r="CZ280" i="18"/>
  <c r="CZ281" i="18"/>
  <c r="CZ282" i="18"/>
  <c r="CZ283" i="18"/>
  <c r="CZ284" i="18"/>
  <c r="CZ285" i="18"/>
  <c r="CZ286" i="18"/>
  <c r="CZ287" i="18"/>
  <c r="CZ288" i="18"/>
  <c r="CZ289" i="18"/>
  <c r="CZ290" i="18"/>
  <c r="CZ291" i="18"/>
  <c r="CZ292" i="18"/>
  <c r="CZ293" i="18"/>
  <c r="CZ294" i="18"/>
  <c r="CZ295" i="18"/>
  <c r="CZ296" i="18"/>
  <c r="CZ297" i="18"/>
  <c r="CZ298" i="18"/>
  <c r="CZ299" i="18"/>
  <c r="CZ300" i="18"/>
  <c r="CZ301" i="18"/>
  <c r="CZ302" i="18"/>
  <c r="CZ303" i="18"/>
  <c r="CZ304" i="18"/>
  <c r="CZ305" i="18"/>
  <c r="CZ306" i="18"/>
  <c r="CZ307" i="18"/>
  <c r="CZ308" i="18"/>
  <c r="CZ309" i="18"/>
  <c r="CZ310" i="18"/>
  <c r="CZ311" i="18"/>
  <c r="CZ312" i="18"/>
  <c r="CZ313" i="18"/>
  <c r="CZ314" i="18"/>
  <c r="CZ315" i="18"/>
  <c r="CZ316" i="18"/>
  <c r="CZ317" i="18"/>
  <c r="CZ318" i="18"/>
  <c r="CZ319" i="18"/>
  <c r="CZ320" i="18"/>
  <c r="CZ321" i="18"/>
  <c r="CZ322" i="18"/>
  <c r="CZ323" i="18"/>
  <c r="CZ324" i="18"/>
  <c r="CZ325" i="18"/>
  <c r="CZ326" i="18"/>
  <c r="CZ327" i="18"/>
  <c r="CZ328" i="18"/>
  <c r="CZ329" i="18"/>
  <c r="CZ330" i="18"/>
  <c r="CZ331" i="18"/>
  <c r="CZ332" i="18"/>
  <c r="CZ333" i="18"/>
  <c r="CZ334" i="18"/>
  <c r="CZ335" i="18"/>
  <c r="CZ336" i="18"/>
  <c r="CZ337" i="18"/>
  <c r="CZ338" i="18"/>
  <c r="DA4" i="18"/>
  <c r="DA7" i="18"/>
  <c r="DA11" i="18"/>
  <c r="DA15" i="18"/>
  <c r="DA29" i="18"/>
  <c r="DA35" i="18"/>
  <c r="DA43" i="18"/>
  <c r="DA57" i="18"/>
  <c r="DC57" i="18" s="1"/>
  <c r="DA63" i="18"/>
  <c r="DA71" i="18"/>
  <c r="DC71" i="18" s="1"/>
  <c r="DA82" i="18"/>
  <c r="DA87" i="18"/>
  <c r="DA96" i="18"/>
  <c r="DA111" i="18"/>
  <c r="DA123" i="18"/>
  <c r="DA131" i="18"/>
  <c r="DA135" i="18"/>
  <c r="DC135" i="18" s="1"/>
  <c r="DA148" i="18"/>
  <c r="DA157" i="18"/>
  <c r="DA167" i="18"/>
  <c r="DA175" i="18"/>
  <c r="DC175" i="18" s="1"/>
  <c r="DA181" i="18"/>
  <c r="DC181" i="18" s="1"/>
  <c r="DA188" i="18"/>
  <c r="DA195" i="18"/>
  <c r="DA201" i="18"/>
  <c r="DA208" i="18"/>
  <c r="DA213" i="18"/>
  <c r="DA216" i="18"/>
  <c r="DC216" i="18" s="1"/>
  <c r="DA223" i="18"/>
  <c r="DA224" i="18"/>
  <c r="DA228" i="18"/>
  <c r="DA235" i="18"/>
  <c r="DC235" i="18" s="1"/>
  <c r="DA241" i="18"/>
  <c r="DC241" i="18" s="1"/>
  <c r="DA242" i="18"/>
  <c r="DA247" i="18"/>
  <c r="DA252" i="18"/>
  <c r="DA254" i="18"/>
  <c r="DC254" i="18" s="1"/>
  <c r="DA259" i="18"/>
  <c r="DC259" i="18" s="1"/>
  <c r="DA260" i="18"/>
  <c r="DA265" i="18"/>
  <c r="DA273" i="18"/>
  <c r="DA279" i="18"/>
  <c r="DC279" i="18" s="1"/>
  <c r="DA280" i="18"/>
  <c r="DA285" i="18"/>
  <c r="DA286" i="18"/>
  <c r="DA291" i="18"/>
  <c r="DA293" i="18"/>
  <c r="DB294" i="18" s="1"/>
  <c r="DD294" i="18" s="1"/>
  <c r="DA295" i="18"/>
  <c r="DA299" i="18"/>
  <c r="DA300" i="18"/>
  <c r="DA304" i="18"/>
  <c r="DA305" i="18"/>
  <c r="DA308" i="18"/>
  <c r="DA311" i="18"/>
  <c r="DA313" i="18"/>
  <c r="DA317" i="18"/>
  <c r="DC317" i="18" s="1"/>
  <c r="DA318" i="18"/>
  <c r="DA322" i="18"/>
  <c r="DA323" i="18"/>
  <c r="DA327" i="18"/>
  <c r="DA329" i="18"/>
  <c r="DC329" i="18" s="1"/>
  <c r="DA333" i="18"/>
  <c r="DC333" i="18" s="1"/>
  <c r="DA334" i="18"/>
  <c r="DA335" i="18"/>
  <c r="DA338" i="18"/>
  <c r="DC338" i="18" s="1"/>
  <c r="DB38" i="18"/>
  <c r="DD38" i="18" s="1"/>
  <c r="DB129" i="18"/>
  <c r="DB130" i="18"/>
  <c r="DB131" i="18"/>
  <c r="DB132" i="18"/>
  <c r="DB133" i="18"/>
  <c r="DB134" i="18"/>
  <c r="DB147" i="18"/>
  <c r="DB148" i="18"/>
  <c r="DB149" i="18"/>
  <c r="DB150" i="18"/>
  <c r="DB151" i="18"/>
  <c r="DB152" i="18"/>
  <c r="DB153" i="18"/>
  <c r="DB154" i="18"/>
  <c r="DB155" i="18"/>
  <c r="DB156" i="18"/>
  <c r="DB157" i="18"/>
  <c r="DB158" i="18"/>
  <c r="DB159" i="18"/>
  <c r="DB160" i="18"/>
  <c r="DB161" i="18"/>
  <c r="DB162" i="18"/>
  <c r="DB163" i="18"/>
  <c r="DB164" i="18"/>
  <c r="DB165" i="18"/>
  <c r="DB166" i="18"/>
  <c r="DB167" i="18"/>
  <c r="DB168" i="18"/>
  <c r="DB169" i="18"/>
  <c r="DB170" i="18"/>
  <c r="DB171" i="18"/>
  <c r="DB172" i="18"/>
  <c r="DB173" i="18"/>
  <c r="DB174" i="18"/>
  <c r="DB175" i="18"/>
  <c r="DB176" i="18"/>
  <c r="DC3" i="18"/>
  <c r="DC7" i="18"/>
  <c r="DC8" i="18"/>
  <c r="DC15" i="18"/>
  <c r="DC29" i="18"/>
  <c r="DC35" i="18"/>
  <c r="DC37" i="18"/>
  <c r="DC42" i="18"/>
  <c r="DC63" i="18"/>
  <c r="DC82" i="18"/>
  <c r="DC87" i="18"/>
  <c r="DC96" i="18"/>
  <c r="DC112" i="18"/>
  <c r="DC119" i="18"/>
  <c r="DC123" i="18"/>
  <c r="DC128" i="18"/>
  <c r="DC131" i="18"/>
  <c r="DC143" i="18"/>
  <c r="DC148" i="18"/>
  <c r="DC179" i="18"/>
  <c r="DC185" i="18"/>
  <c r="DC192" i="18"/>
  <c r="DC201" i="18"/>
  <c r="DC203" i="18"/>
  <c r="DC208" i="18"/>
  <c r="DC213" i="18"/>
  <c r="DC219" i="18"/>
  <c r="DC224" i="18"/>
  <c r="DC228" i="18"/>
  <c r="DC232" i="18"/>
  <c r="DC237" i="18"/>
  <c r="DC242" i="18"/>
  <c r="DC244" i="18"/>
  <c r="DC247" i="18"/>
  <c r="DC251" i="18"/>
  <c r="DC252" i="18"/>
  <c r="DC260" i="18"/>
  <c r="DC265" i="18"/>
  <c r="DC280" i="18"/>
  <c r="DC281" i="18"/>
  <c r="DC284" i="18"/>
  <c r="DC285" i="18"/>
  <c r="DC286" i="18"/>
  <c r="DC291" i="18"/>
  <c r="DC295" i="18"/>
  <c r="DC304" i="18"/>
  <c r="DC308" i="18"/>
  <c r="DC315" i="18"/>
  <c r="DC318" i="18"/>
  <c r="DC319" i="18"/>
  <c r="DC323" i="18"/>
  <c r="DC331" i="18"/>
  <c r="DC334" i="18"/>
  <c r="DC335" i="18"/>
  <c r="DD36" i="18"/>
  <c r="E14" i="11"/>
  <c r="E30" i="11"/>
  <c r="E33" i="11"/>
  <c r="E3" i="11"/>
  <c r="E44" i="11"/>
  <c r="E8" i="11"/>
  <c r="E34" i="11"/>
  <c r="E15" i="11"/>
  <c r="E25" i="11"/>
  <c r="E38" i="11"/>
  <c r="E46" i="11"/>
  <c r="E47" i="11"/>
  <c r="E41" i="11"/>
  <c r="E7" i="11"/>
  <c r="E24" i="11"/>
  <c r="E22" i="11"/>
  <c r="E19" i="11"/>
  <c r="E5" i="11"/>
  <c r="E16" i="11"/>
  <c r="E6" i="11"/>
  <c r="E21" i="11"/>
  <c r="E35" i="11"/>
  <c r="E23" i="11"/>
  <c r="E9" i="11"/>
  <c r="E39" i="11"/>
  <c r="E4" i="11"/>
  <c r="E40" i="11"/>
  <c r="E31" i="11"/>
  <c r="E17" i="11"/>
  <c r="E27" i="11"/>
  <c r="E45" i="11"/>
  <c r="E32" i="11"/>
  <c r="E28" i="11"/>
  <c r="E42" i="11"/>
  <c r="E20" i="11"/>
  <c r="E12" i="11"/>
  <c r="E37" i="11"/>
  <c r="E48" i="11"/>
  <c r="E26" i="11"/>
  <c r="E49" i="11"/>
  <c r="E11" i="11"/>
  <c r="E43" i="11"/>
  <c r="E50" i="11"/>
  <c r="E51" i="11"/>
  <c r="E29" i="11"/>
  <c r="E10" i="11"/>
  <c r="E13" i="11"/>
  <c r="E52" i="11"/>
  <c r="E36" i="11"/>
  <c r="E18" i="11"/>
  <c r="E53" i="11"/>
  <c r="F33" i="11"/>
  <c r="G33" i="11" s="1"/>
  <c r="F44" i="11"/>
  <c r="G44" i="11" s="1"/>
  <c r="F34" i="11"/>
  <c r="F15" i="11"/>
  <c r="G15" i="11" s="1"/>
  <c r="F41" i="11"/>
  <c r="G41" i="11" s="1"/>
  <c r="F16" i="11"/>
  <c r="F6" i="11"/>
  <c r="G6" i="11" s="1"/>
  <c r="F9" i="11"/>
  <c r="G9" i="11" s="1"/>
  <c r="F17" i="11"/>
  <c r="G17" i="11" s="1"/>
  <c r="F20" i="11"/>
  <c r="F12" i="11"/>
  <c r="F26" i="11"/>
  <c r="F49" i="11"/>
  <c r="F29" i="11"/>
  <c r="G29" i="11" s="1"/>
  <c r="F53" i="11"/>
  <c r="H14" i="11"/>
  <c r="H30" i="11"/>
  <c r="J30" i="11" s="1"/>
  <c r="H33" i="11"/>
  <c r="H3" i="11"/>
  <c r="H44" i="11"/>
  <c r="H8" i="11"/>
  <c r="J8" i="11" s="1"/>
  <c r="H34" i="11"/>
  <c r="H15" i="11"/>
  <c r="H25" i="11"/>
  <c r="H38" i="11"/>
  <c r="J38" i="11" s="1"/>
  <c r="H46" i="11"/>
  <c r="J46" i="11" s="1"/>
  <c r="H47" i="11"/>
  <c r="H41" i="11"/>
  <c r="H7" i="11"/>
  <c r="J7" i="11" s="1"/>
  <c r="H24" i="11"/>
  <c r="H22" i="11"/>
  <c r="H19" i="11"/>
  <c r="H5" i="11"/>
  <c r="H16" i="11"/>
  <c r="H6" i="11"/>
  <c r="H21" i="11"/>
  <c r="H35" i="11"/>
  <c r="H23" i="11"/>
  <c r="H9" i="11"/>
  <c r="H39" i="11"/>
  <c r="H4" i="11"/>
  <c r="J4" i="11" s="1"/>
  <c r="H40" i="11"/>
  <c r="H31" i="11"/>
  <c r="H17" i="11"/>
  <c r="H27" i="11"/>
  <c r="H45" i="11"/>
  <c r="H32" i="11"/>
  <c r="H28" i="11"/>
  <c r="H42" i="11"/>
  <c r="H20" i="11"/>
  <c r="H12" i="11"/>
  <c r="H37" i="11"/>
  <c r="H48" i="11"/>
  <c r="H26" i="11"/>
  <c r="H49" i="11"/>
  <c r="H11" i="11"/>
  <c r="H43" i="11"/>
  <c r="H50" i="11"/>
  <c r="H51" i="11"/>
  <c r="H29" i="11"/>
  <c r="H10" i="11"/>
  <c r="H13" i="11"/>
  <c r="H52" i="11"/>
  <c r="H36" i="11"/>
  <c r="H18" i="11"/>
  <c r="H53" i="11"/>
  <c r="I14" i="11"/>
  <c r="I30" i="11"/>
  <c r="I33" i="11"/>
  <c r="I3" i="11"/>
  <c r="J3" i="11" s="1"/>
  <c r="I44" i="11"/>
  <c r="I8" i="11"/>
  <c r="I34" i="11"/>
  <c r="I15" i="11"/>
  <c r="J15" i="11" s="1"/>
  <c r="I25" i="11"/>
  <c r="J25" i="11" s="1"/>
  <c r="I38" i="11"/>
  <c r="I46" i="11"/>
  <c r="I47" i="11"/>
  <c r="J47" i="11" s="1"/>
  <c r="I41" i="11"/>
  <c r="I7" i="11"/>
  <c r="I24" i="11"/>
  <c r="I22" i="11"/>
  <c r="J22" i="11" s="1"/>
  <c r="I19" i="11"/>
  <c r="J19" i="11" s="1"/>
  <c r="I5" i="11"/>
  <c r="I16" i="11"/>
  <c r="I6" i="11"/>
  <c r="J6" i="11" s="1"/>
  <c r="I21" i="11"/>
  <c r="J21" i="11" s="1"/>
  <c r="I35" i="11"/>
  <c r="I23" i="11"/>
  <c r="I9" i="11"/>
  <c r="J9" i="11" s="1"/>
  <c r="I39" i="11"/>
  <c r="I4" i="11"/>
  <c r="I40" i="11"/>
  <c r="I31" i="11"/>
  <c r="J31" i="11" s="1"/>
  <c r="I17" i="11"/>
  <c r="I27" i="11"/>
  <c r="I45" i="11"/>
  <c r="I32" i="11"/>
  <c r="J32" i="11" s="1"/>
  <c r="I28" i="11"/>
  <c r="J28" i="11" s="1"/>
  <c r="I42" i="11"/>
  <c r="I20" i="11"/>
  <c r="I12" i="11"/>
  <c r="J12" i="11" s="1"/>
  <c r="I37" i="11"/>
  <c r="J37" i="11" s="1"/>
  <c r="I48" i="11"/>
  <c r="I26" i="11"/>
  <c r="I49" i="11"/>
  <c r="J49" i="11" s="1"/>
  <c r="I11" i="11"/>
  <c r="J11" i="11" s="1"/>
  <c r="I43" i="11"/>
  <c r="I50" i="11"/>
  <c r="I51" i="11"/>
  <c r="J51" i="11" s="1"/>
  <c r="I29" i="11"/>
  <c r="J29" i="11" s="1"/>
  <c r="I10" i="11"/>
  <c r="I13" i="11"/>
  <c r="I52" i="11"/>
  <c r="J52" i="11" s="1"/>
  <c r="I36" i="11"/>
  <c r="J36" i="11" s="1"/>
  <c r="I18" i="11"/>
  <c r="I53" i="11"/>
  <c r="J14" i="11"/>
  <c r="J44" i="11"/>
  <c r="J41" i="11"/>
  <c r="J5" i="11"/>
  <c r="J39" i="11"/>
  <c r="J17" i="11"/>
  <c r="J20" i="11"/>
  <c r="K14" i="11"/>
  <c r="K30" i="11"/>
  <c r="K33" i="11"/>
  <c r="K3" i="11"/>
  <c r="K44" i="11"/>
  <c r="K8" i="11"/>
  <c r="K34" i="11"/>
  <c r="K15" i="11"/>
  <c r="K25" i="11"/>
  <c r="K38" i="11"/>
  <c r="K46" i="11"/>
  <c r="K47" i="11"/>
  <c r="K41" i="11"/>
  <c r="K7" i="11"/>
  <c r="M7" i="11" s="1"/>
  <c r="K24" i="11"/>
  <c r="K22" i="11"/>
  <c r="K19" i="11"/>
  <c r="K5" i="11"/>
  <c r="K16" i="11"/>
  <c r="K6" i="11"/>
  <c r="K21" i="11"/>
  <c r="K35" i="11"/>
  <c r="K23" i="11"/>
  <c r="K9" i="11"/>
  <c r="K39" i="11"/>
  <c r="K4" i="11"/>
  <c r="K40" i="11"/>
  <c r="K31" i="11"/>
  <c r="K17" i="11"/>
  <c r="K27" i="11"/>
  <c r="K45" i="11"/>
  <c r="K32" i="11"/>
  <c r="K28" i="11"/>
  <c r="K42" i="11"/>
  <c r="M42" i="11" s="1"/>
  <c r="K20" i="11"/>
  <c r="K12" i="11"/>
  <c r="K37" i="11"/>
  <c r="K48" i="11"/>
  <c r="K26" i="11"/>
  <c r="K49" i="11"/>
  <c r="K11" i="11"/>
  <c r="K43" i="11"/>
  <c r="K50" i="11"/>
  <c r="K51" i="11"/>
  <c r="K29" i="11"/>
  <c r="K10" i="11"/>
  <c r="K13" i="11"/>
  <c r="K52" i="11"/>
  <c r="K36" i="11"/>
  <c r="K18" i="11"/>
  <c r="K53" i="11"/>
  <c r="L14" i="11"/>
  <c r="L30" i="11"/>
  <c r="L33" i="11"/>
  <c r="M33" i="11" s="1"/>
  <c r="L3" i="11"/>
  <c r="L44" i="11"/>
  <c r="L8" i="11"/>
  <c r="L34" i="11"/>
  <c r="M34" i="11" s="1"/>
  <c r="L15" i="11"/>
  <c r="M15" i="11" s="1"/>
  <c r="L25" i="11"/>
  <c r="M25" i="11" s="1"/>
  <c r="L38" i="11"/>
  <c r="L46" i="11"/>
  <c r="M46" i="11" s="1"/>
  <c r="L47" i="11"/>
  <c r="M47" i="11" s="1"/>
  <c r="L41" i="11"/>
  <c r="L7" i="11"/>
  <c r="L24" i="11"/>
  <c r="M24" i="11" s="1"/>
  <c r="L22" i="11"/>
  <c r="L19" i="11"/>
  <c r="L5" i="11"/>
  <c r="L16" i="11"/>
  <c r="M16" i="11" s="1"/>
  <c r="L6" i="11"/>
  <c r="M6" i="11" s="1"/>
  <c r="L21" i="11"/>
  <c r="L35" i="11"/>
  <c r="L23" i="11"/>
  <c r="M23" i="11" s="1"/>
  <c r="L9" i="11"/>
  <c r="M9" i="11" s="1"/>
  <c r="L39" i="11"/>
  <c r="L4" i="11"/>
  <c r="L40" i="11"/>
  <c r="M40" i="11" s="1"/>
  <c r="L31" i="11"/>
  <c r="M31" i="11" s="1"/>
  <c r="L17" i="11"/>
  <c r="L27" i="11"/>
  <c r="L45" i="11"/>
  <c r="M45" i="11" s="1"/>
  <c r="L32" i="11"/>
  <c r="M32" i="11" s="1"/>
  <c r="L28" i="11"/>
  <c r="L42" i="11"/>
  <c r="L20" i="11"/>
  <c r="M20" i="11" s="1"/>
  <c r="L12" i="11"/>
  <c r="L37" i="11"/>
  <c r="L48" i="11"/>
  <c r="L26" i="11"/>
  <c r="M26" i="11" s="1"/>
  <c r="L49" i="11"/>
  <c r="M49" i="11" s="1"/>
  <c r="L11" i="11"/>
  <c r="L43" i="11"/>
  <c r="L50" i="11"/>
  <c r="M50" i="11" s="1"/>
  <c r="L51" i="11"/>
  <c r="L29" i="11"/>
  <c r="L10" i="11"/>
  <c r="L13" i="11"/>
  <c r="M13" i="11" s="1"/>
  <c r="L52" i="11"/>
  <c r="M52" i="11" s="1"/>
  <c r="L36" i="11"/>
  <c r="L18" i="11"/>
  <c r="L53" i="11"/>
  <c r="M53" i="11" s="1"/>
  <c r="M3" i="11"/>
  <c r="M22" i="11"/>
  <c r="M21" i="11"/>
  <c r="M12" i="11"/>
  <c r="M51" i="11"/>
  <c r="N14" i="11"/>
  <c r="N30" i="11"/>
  <c r="N33" i="11"/>
  <c r="N3" i="11"/>
  <c r="N44" i="11"/>
  <c r="N8" i="11"/>
  <c r="N34" i="11"/>
  <c r="N15" i="11"/>
  <c r="N25" i="11"/>
  <c r="N38" i="11"/>
  <c r="N46" i="11"/>
  <c r="N47" i="11"/>
  <c r="N41" i="11"/>
  <c r="N7" i="11"/>
  <c r="N24" i="11"/>
  <c r="N22" i="11"/>
  <c r="N19" i="11"/>
  <c r="N5" i="11"/>
  <c r="N16" i="11"/>
  <c r="N6" i="11"/>
  <c r="N21" i="11"/>
  <c r="N35" i="11"/>
  <c r="N23" i="11"/>
  <c r="N9" i="11"/>
  <c r="N39" i="11"/>
  <c r="P39" i="11" s="1"/>
  <c r="N4" i="11"/>
  <c r="N40" i="11"/>
  <c r="N31" i="11"/>
  <c r="N17" i="11"/>
  <c r="N27" i="11"/>
  <c r="N45" i="11"/>
  <c r="N32" i="11"/>
  <c r="N28" i="11"/>
  <c r="N42" i="11"/>
  <c r="N20" i="11"/>
  <c r="N12" i="11"/>
  <c r="N37" i="11"/>
  <c r="N48" i="11"/>
  <c r="N26" i="11"/>
  <c r="N49" i="11"/>
  <c r="N11" i="11"/>
  <c r="N43" i="11"/>
  <c r="N50" i="11"/>
  <c r="N51" i="11"/>
  <c r="N29" i="11"/>
  <c r="N10" i="11"/>
  <c r="N13" i="11"/>
  <c r="N52" i="11"/>
  <c r="N36" i="11"/>
  <c r="N18" i="11"/>
  <c r="N53" i="11"/>
  <c r="O14" i="11"/>
  <c r="O30" i="11"/>
  <c r="O33" i="11"/>
  <c r="O3" i="11"/>
  <c r="P3" i="11" s="1"/>
  <c r="O44" i="11"/>
  <c r="O8" i="11"/>
  <c r="O34" i="11"/>
  <c r="P34" i="11" s="1"/>
  <c r="O15" i="11"/>
  <c r="P15" i="11" s="1"/>
  <c r="O25" i="11"/>
  <c r="O38" i="11"/>
  <c r="O46" i="11"/>
  <c r="O47" i="11"/>
  <c r="P47" i="11" s="1"/>
  <c r="O41" i="11"/>
  <c r="O7" i="11"/>
  <c r="O24" i="11"/>
  <c r="O22" i="11"/>
  <c r="P22" i="11" s="1"/>
  <c r="O19" i="11"/>
  <c r="O5" i="11"/>
  <c r="P5" i="11" s="1"/>
  <c r="O16" i="11"/>
  <c r="O6" i="11"/>
  <c r="P6" i="11" s="1"/>
  <c r="O21" i="11"/>
  <c r="O35" i="11"/>
  <c r="P35" i="11" s="1"/>
  <c r="O23" i="11"/>
  <c r="O9" i="11"/>
  <c r="P9" i="11" s="1"/>
  <c r="O39" i="11"/>
  <c r="O4" i="11"/>
  <c r="P4" i="11" s="1"/>
  <c r="O40" i="11"/>
  <c r="O31" i="11"/>
  <c r="P31" i="11" s="1"/>
  <c r="O17" i="11"/>
  <c r="O27" i="11"/>
  <c r="P27" i="11" s="1"/>
  <c r="O45" i="11"/>
  <c r="O32" i="11"/>
  <c r="P32" i="11" s="1"/>
  <c r="O28" i="11"/>
  <c r="O42" i="11"/>
  <c r="P42" i="11" s="1"/>
  <c r="O20" i="11"/>
  <c r="O12" i="11"/>
  <c r="P12" i="11" s="1"/>
  <c r="O37" i="11"/>
  <c r="O48" i="11"/>
  <c r="P48" i="11" s="1"/>
  <c r="O26" i="11"/>
  <c r="O49" i="11"/>
  <c r="P49" i="11" s="1"/>
  <c r="O11" i="11"/>
  <c r="O43" i="11"/>
  <c r="P43" i="11" s="1"/>
  <c r="O50" i="11"/>
  <c r="O51" i="11"/>
  <c r="P51" i="11" s="1"/>
  <c r="O29" i="11"/>
  <c r="O10" i="11"/>
  <c r="P10" i="11" s="1"/>
  <c r="O13" i="11"/>
  <c r="O52" i="11"/>
  <c r="P52" i="11" s="1"/>
  <c r="O36" i="11"/>
  <c r="O18" i="11"/>
  <c r="P18" i="11" s="1"/>
  <c r="O53" i="11"/>
  <c r="P14" i="11"/>
  <c r="P41" i="11"/>
  <c r="P19" i="11"/>
  <c r="P20" i="11"/>
  <c r="P37" i="11"/>
  <c r="Q14" i="11"/>
  <c r="Q30" i="11"/>
  <c r="Q33" i="11"/>
  <c r="Q3" i="11"/>
  <c r="Q44" i="11"/>
  <c r="Q8" i="11"/>
  <c r="Q34" i="11"/>
  <c r="Q15" i="11"/>
  <c r="Q25" i="11"/>
  <c r="Q38" i="11"/>
  <c r="Q46" i="11"/>
  <c r="Q47" i="11"/>
  <c r="Q41" i="11"/>
  <c r="Q7" i="11"/>
  <c r="Q24" i="11"/>
  <c r="Q22" i="11"/>
  <c r="Q19" i="11"/>
  <c r="Q5" i="11"/>
  <c r="Q16" i="11"/>
  <c r="Q6" i="11"/>
  <c r="Q21" i="11"/>
  <c r="Q35" i="11"/>
  <c r="Q23" i="11"/>
  <c r="Q9" i="11"/>
  <c r="Q39" i="11"/>
  <c r="Q4" i="11"/>
  <c r="Q40" i="11"/>
  <c r="Q31" i="11"/>
  <c r="Q17" i="11"/>
  <c r="Q27" i="11"/>
  <c r="Q45" i="11"/>
  <c r="Q32" i="11"/>
  <c r="Q28" i="11"/>
  <c r="Q42" i="11"/>
  <c r="Q20" i="11"/>
  <c r="Q12" i="11"/>
  <c r="Q37" i="11"/>
  <c r="Q48" i="11"/>
  <c r="Q26" i="11"/>
  <c r="Q49" i="11"/>
  <c r="Q11" i="11"/>
  <c r="Q43" i="11"/>
  <c r="Q50" i="11"/>
  <c r="Q51" i="11"/>
  <c r="Q29" i="11"/>
  <c r="Q10" i="11"/>
  <c r="Q13" i="11"/>
  <c r="Q52" i="11"/>
  <c r="Q36" i="11"/>
  <c r="Q18" i="11"/>
  <c r="Q53" i="11"/>
  <c r="R14" i="11"/>
  <c r="R30" i="11"/>
  <c r="S30" i="11" s="1"/>
  <c r="R33" i="11"/>
  <c r="R3" i="11"/>
  <c r="R44" i="11"/>
  <c r="R8" i="11"/>
  <c r="S8" i="11" s="1"/>
  <c r="R34" i="11"/>
  <c r="R15" i="11"/>
  <c r="R25" i="11"/>
  <c r="R38" i="11"/>
  <c r="R46" i="11"/>
  <c r="R47" i="11"/>
  <c r="R41" i="11"/>
  <c r="R7" i="11"/>
  <c r="R24" i="11"/>
  <c r="R22" i="11"/>
  <c r="R19" i="11"/>
  <c r="R5" i="11"/>
  <c r="S5" i="11" s="1"/>
  <c r="R16" i="11"/>
  <c r="R6" i="11"/>
  <c r="R21" i="11"/>
  <c r="R35" i="11"/>
  <c r="R23" i="11"/>
  <c r="R9" i="11"/>
  <c r="R39" i="11"/>
  <c r="R4" i="11"/>
  <c r="S4" i="11" s="1"/>
  <c r="R40" i="11"/>
  <c r="R31" i="11"/>
  <c r="R17" i="11"/>
  <c r="R27" i="11"/>
  <c r="R45" i="11"/>
  <c r="R32" i="11"/>
  <c r="R28" i="11"/>
  <c r="R42" i="11"/>
  <c r="S42" i="11" s="1"/>
  <c r="R20" i="11"/>
  <c r="R12" i="11"/>
  <c r="R37" i="11"/>
  <c r="R48" i="11"/>
  <c r="S48" i="11" s="1"/>
  <c r="R26" i="11"/>
  <c r="R49" i="11"/>
  <c r="R11" i="11"/>
  <c r="R43" i="11"/>
  <c r="R50" i="11"/>
  <c r="R51" i="11"/>
  <c r="R29" i="11"/>
  <c r="R10" i="11"/>
  <c r="S10" i="11" s="1"/>
  <c r="R13" i="11"/>
  <c r="R52" i="11"/>
  <c r="R36" i="11"/>
  <c r="R18" i="11"/>
  <c r="S18" i="11" s="1"/>
  <c r="R53" i="11"/>
  <c r="S38" i="11"/>
  <c r="S7" i="11"/>
  <c r="S27" i="11"/>
  <c r="T14" i="11"/>
  <c r="T30" i="11"/>
  <c r="T33" i="11"/>
  <c r="T3" i="11"/>
  <c r="T44" i="11"/>
  <c r="T8" i="11"/>
  <c r="T34" i="11"/>
  <c r="T15" i="11"/>
  <c r="T25" i="11"/>
  <c r="T38" i="11"/>
  <c r="T46" i="11"/>
  <c r="T47" i="11"/>
  <c r="T41" i="11"/>
  <c r="T7" i="11"/>
  <c r="T24" i="11"/>
  <c r="T22" i="11"/>
  <c r="T19" i="11"/>
  <c r="T5" i="11"/>
  <c r="T16" i="11"/>
  <c r="T6" i="11"/>
  <c r="T21" i="11"/>
  <c r="T35" i="11"/>
  <c r="T23" i="11"/>
  <c r="T9" i="11"/>
  <c r="T39" i="11"/>
  <c r="T4" i="11"/>
  <c r="T40" i="11"/>
  <c r="T31" i="11"/>
  <c r="T17" i="11"/>
  <c r="T27" i="11"/>
  <c r="T45" i="11"/>
  <c r="T32" i="11"/>
  <c r="T28" i="11"/>
  <c r="T42" i="11"/>
  <c r="T20" i="11"/>
  <c r="T12" i="11"/>
  <c r="T37" i="11"/>
  <c r="T48" i="11"/>
  <c r="T26" i="11"/>
  <c r="T49" i="11"/>
  <c r="T11" i="11"/>
  <c r="T43" i="11"/>
  <c r="T50" i="11"/>
  <c r="T51" i="11"/>
  <c r="T29" i="11"/>
  <c r="T10" i="11"/>
  <c r="T13" i="11"/>
  <c r="T52" i="11"/>
  <c r="T36" i="11"/>
  <c r="T18" i="11"/>
  <c r="T53" i="11"/>
  <c r="U14" i="11"/>
  <c r="U30" i="11"/>
  <c r="U33" i="11"/>
  <c r="U3" i="11"/>
  <c r="V3" i="11" s="1"/>
  <c r="U44" i="11"/>
  <c r="U8" i="11"/>
  <c r="U34" i="11"/>
  <c r="U15" i="11"/>
  <c r="V15" i="11" s="1"/>
  <c r="U25" i="11"/>
  <c r="U38" i="11"/>
  <c r="U46" i="11"/>
  <c r="U47" i="11"/>
  <c r="V47" i="11" s="1"/>
  <c r="U41" i="11"/>
  <c r="U7" i="11"/>
  <c r="U24" i="11"/>
  <c r="U22" i="11"/>
  <c r="V22" i="11" s="1"/>
  <c r="U19" i="11"/>
  <c r="U5" i="11"/>
  <c r="U16" i="11"/>
  <c r="U6" i="11"/>
  <c r="V6" i="11" s="1"/>
  <c r="U21" i="11"/>
  <c r="U35" i="11"/>
  <c r="U23" i="11"/>
  <c r="U9" i="11"/>
  <c r="V9" i="11" s="1"/>
  <c r="U39" i="11"/>
  <c r="U4" i="11"/>
  <c r="U40" i="11"/>
  <c r="U31" i="11"/>
  <c r="V31" i="11" s="1"/>
  <c r="U17" i="11"/>
  <c r="U27" i="11"/>
  <c r="U45" i="11"/>
  <c r="U32" i="11"/>
  <c r="V32" i="11" s="1"/>
  <c r="U28" i="11"/>
  <c r="U42" i="11"/>
  <c r="U20" i="11"/>
  <c r="U12" i="11"/>
  <c r="V12" i="11" s="1"/>
  <c r="U37" i="11"/>
  <c r="U48" i="11"/>
  <c r="U26" i="11"/>
  <c r="U49" i="11"/>
  <c r="V49" i="11" s="1"/>
  <c r="U11" i="11"/>
  <c r="U43" i="11"/>
  <c r="U50" i="11"/>
  <c r="U51" i="11"/>
  <c r="V51" i="11" s="1"/>
  <c r="U29" i="11"/>
  <c r="U10" i="11"/>
  <c r="U13" i="11"/>
  <c r="U52" i="11"/>
  <c r="V52" i="11" s="1"/>
  <c r="U36" i="11"/>
  <c r="U18" i="11"/>
  <c r="U53" i="11"/>
  <c r="V25" i="11"/>
  <c r="V17" i="11"/>
  <c r="W14" i="11"/>
  <c r="W30" i="11"/>
  <c r="W33" i="11"/>
  <c r="W3" i="11"/>
  <c r="W44" i="11"/>
  <c r="W8" i="11"/>
  <c r="W34" i="11"/>
  <c r="W15" i="11"/>
  <c r="W25" i="11"/>
  <c r="W38" i="11"/>
  <c r="W46" i="11"/>
  <c r="W47" i="11"/>
  <c r="W41" i="11"/>
  <c r="W7" i="11"/>
  <c r="W24" i="11"/>
  <c r="W22" i="11"/>
  <c r="W19" i="11"/>
  <c r="W5" i="11"/>
  <c r="W16" i="11"/>
  <c r="W6" i="11"/>
  <c r="W21" i="11"/>
  <c r="W35" i="11"/>
  <c r="W23" i="11"/>
  <c r="W9" i="11"/>
  <c r="W39" i="11"/>
  <c r="W4" i="11"/>
  <c r="W40" i="11"/>
  <c r="W31" i="11"/>
  <c r="W17" i="11"/>
  <c r="W27" i="11"/>
  <c r="W45" i="11"/>
  <c r="W32" i="11"/>
  <c r="W28" i="11"/>
  <c r="W42" i="11"/>
  <c r="W20" i="11"/>
  <c r="W12" i="11"/>
  <c r="W37" i="11"/>
  <c r="W48" i="11"/>
  <c r="W26" i="11"/>
  <c r="W49" i="11"/>
  <c r="W11" i="11"/>
  <c r="W43" i="11"/>
  <c r="W50" i="11"/>
  <c r="W51" i="11"/>
  <c r="W29" i="11"/>
  <c r="W10" i="11"/>
  <c r="W13" i="11"/>
  <c r="W52" i="11"/>
  <c r="W36" i="11"/>
  <c r="W18" i="11"/>
  <c r="W53" i="11"/>
  <c r="X14" i="11"/>
  <c r="X30" i="11"/>
  <c r="X33" i="11"/>
  <c r="X3" i="11"/>
  <c r="X44" i="11"/>
  <c r="X8" i="11"/>
  <c r="X34" i="11"/>
  <c r="X15" i="11"/>
  <c r="X25" i="11"/>
  <c r="X38" i="11"/>
  <c r="X46" i="11"/>
  <c r="X47" i="11"/>
  <c r="X41" i="11"/>
  <c r="X7" i="11"/>
  <c r="X24" i="11"/>
  <c r="X22" i="11"/>
  <c r="X19" i="11"/>
  <c r="X5" i="11"/>
  <c r="X16" i="11"/>
  <c r="X6" i="11"/>
  <c r="X21" i="11"/>
  <c r="X35" i="11"/>
  <c r="X23" i="11"/>
  <c r="X9" i="11"/>
  <c r="X39" i="11"/>
  <c r="X4" i="11"/>
  <c r="X40" i="11"/>
  <c r="X31" i="11"/>
  <c r="X17" i="11"/>
  <c r="X27" i="11"/>
  <c r="X45" i="11"/>
  <c r="X32" i="11"/>
  <c r="X28" i="11"/>
  <c r="X42" i="11"/>
  <c r="X20" i="11"/>
  <c r="X12" i="11"/>
  <c r="X37" i="11"/>
  <c r="X48" i="11"/>
  <c r="X26" i="11"/>
  <c r="X49" i="11"/>
  <c r="X11" i="11"/>
  <c r="X43" i="11"/>
  <c r="X50" i="11"/>
  <c r="X51" i="11"/>
  <c r="X29" i="11"/>
  <c r="X10" i="11"/>
  <c r="X13" i="11"/>
  <c r="X52" i="11"/>
  <c r="X36" i="11"/>
  <c r="X18" i="11"/>
  <c r="X53" i="11"/>
  <c r="Y14" i="11"/>
  <c r="Y30" i="11"/>
  <c r="Y33" i="11"/>
  <c r="Y3" i="11"/>
  <c r="Y44" i="11"/>
  <c r="Y8" i="11"/>
  <c r="Y34" i="11"/>
  <c r="Y15" i="11"/>
  <c r="Y25" i="11"/>
  <c r="Y38" i="11"/>
  <c r="Y46" i="11"/>
  <c r="Y47" i="11"/>
  <c r="Y41" i="11"/>
  <c r="Y7" i="11"/>
  <c r="Y24" i="11"/>
  <c r="Y22" i="11"/>
  <c r="Y19" i="11"/>
  <c r="Y5" i="11"/>
  <c r="Y16" i="11"/>
  <c r="Y6" i="11"/>
  <c r="Y21" i="11"/>
  <c r="Y35" i="11"/>
  <c r="Y23" i="11"/>
  <c r="Y9" i="11"/>
  <c r="Y39" i="11"/>
  <c r="Y4" i="11"/>
  <c r="Y40" i="11"/>
  <c r="Y31" i="11"/>
  <c r="Y17" i="11"/>
  <c r="Y27" i="11"/>
  <c r="Y45" i="11"/>
  <c r="Y32" i="11"/>
  <c r="Y28" i="11"/>
  <c r="Y42" i="11"/>
  <c r="Y20" i="11"/>
  <c r="Y12" i="11"/>
  <c r="Y37" i="11"/>
  <c r="Y48" i="11"/>
  <c r="Y26" i="11"/>
  <c r="Y49" i="11"/>
  <c r="Y11" i="11"/>
  <c r="Y43" i="11"/>
  <c r="Y50" i="11"/>
  <c r="Y51" i="11"/>
  <c r="Y29" i="11"/>
  <c r="Y10" i="11"/>
  <c r="Y13" i="11"/>
  <c r="Y52" i="11"/>
  <c r="Y36" i="11"/>
  <c r="Y18" i="11"/>
  <c r="Y53" i="11"/>
  <c r="Z14" i="11"/>
  <c r="Z30" i="11"/>
  <c r="Z33" i="11"/>
  <c r="Z3" i="11"/>
  <c r="Z44" i="11"/>
  <c r="Z8" i="11"/>
  <c r="Z34" i="11"/>
  <c r="Z15" i="11"/>
  <c r="Z25" i="11"/>
  <c r="Z38" i="11"/>
  <c r="Z46" i="11"/>
  <c r="Z47" i="11"/>
  <c r="Z41" i="11"/>
  <c r="Z7" i="11"/>
  <c r="Z24" i="11"/>
  <c r="Z22" i="11"/>
  <c r="Z19" i="11"/>
  <c r="Z5" i="11"/>
  <c r="Z16" i="11"/>
  <c r="Z6" i="11"/>
  <c r="Z21" i="11"/>
  <c r="Z35" i="11"/>
  <c r="Z23" i="11"/>
  <c r="Z9" i="11"/>
  <c r="Z39" i="11"/>
  <c r="Z4" i="11"/>
  <c r="Z40" i="11"/>
  <c r="Z31" i="11"/>
  <c r="Z17" i="11"/>
  <c r="Z27" i="11"/>
  <c r="Z45" i="11"/>
  <c r="Z32" i="11"/>
  <c r="Z28" i="11"/>
  <c r="Z42" i="11"/>
  <c r="Z20" i="11"/>
  <c r="Z12" i="11"/>
  <c r="Z37" i="11"/>
  <c r="Z48" i="11"/>
  <c r="Z26" i="11"/>
  <c r="Z49" i="11"/>
  <c r="Z11" i="11"/>
  <c r="Z43" i="11"/>
  <c r="Z50" i="11"/>
  <c r="Z51" i="11"/>
  <c r="Z29" i="11"/>
  <c r="Z10" i="11"/>
  <c r="Z13" i="11"/>
  <c r="Z52" i="11"/>
  <c r="Z36" i="11"/>
  <c r="Z18" i="11"/>
  <c r="Z53" i="11"/>
  <c r="AA14" i="11"/>
  <c r="AA30" i="11"/>
  <c r="AA33" i="11"/>
  <c r="AA3" i="11"/>
  <c r="AA44" i="11"/>
  <c r="AA8" i="11"/>
  <c r="AA34" i="11"/>
  <c r="AA15" i="11"/>
  <c r="AA25" i="11"/>
  <c r="AA38" i="11"/>
  <c r="AA46" i="11"/>
  <c r="AA47" i="11"/>
  <c r="AA41" i="11"/>
  <c r="AA7" i="11"/>
  <c r="AA24" i="11"/>
  <c r="AA22" i="11"/>
  <c r="AA19" i="11"/>
  <c r="AA5" i="11"/>
  <c r="AA16" i="11"/>
  <c r="AA6" i="11"/>
  <c r="AA21" i="11"/>
  <c r="AA35" i="11"/>
  <c r="AA23" i="11"/>
  <c r="AA9" i="11"/>
  <c r="AA39" i="11"/>
  <c r="AA4" i="11"/>
  <c r="AA40" i="11"/>
  <c r="AA31" i="11"/>
  <c r="AA17" i="11"/>
  <c r="AA27" i="11"/>
  <c r="AA45" i="11"/>
  <c r="AA32" i="11"/>
  <c r="AA28" i="11"/>
  <c r="AA42" i="11"/>
  <c r="AA20" i="11"/>
  <c r="AA12" i="11"/>
  <c r="AA37" i="11"/>
  <c r="AA48" i="11"/>
  <c r="AA26" i="11"/>
  <c r="AA49" i="11"/>
  <c r="AA11" i="11"/>
  <c r="AA43" i="11"/>
  <c r="AA50" i="11"/>
  <c r="AA51" i="11"/>
  <c r="AA29" i="11"/>
  <c r="AA10" i="11"/>
  <c r="AA13" i="11"/>
  <c r="AA52" i="11"/>
  <c r="AA36" i="11"/>
  <c r="AA18" i="11"/>
  <c r="AA53" i="11"/>
  <c r="AB14" i="11"/>
  <c r="AB30" i="11"/>
  <c r="AB33" i="11"/>
  <c r="AB3" i="11"/>
  <c r="AB44" i="11"/>
  <c r="AB8" i="11"/>
  <c r="AB34" i="11"/>
  <c r="AB15" i="11"/>
  <c r="AB25" i="11"/>
  <c r="AB38" i="11"/>
  <c r="AB46" i="11"/>
  <c r="AB47" i="11"/>
  <c r="AB41" i="11"/>
  <c r="AB7" i="11"/>
  <c r="AB24" i="11"/>
  <c r="AB22" i="11"/>
  <c r="AB19" i="11"/>
  <c r="AB5" i="11"/>
  <c r="AB16" i="11"/>
  <c r="AB6" i="11"/>
  <c r="AB21" i="11"/>
  <c r="AB35" i="11"/>
  <c r="AB23" i="11"/>
  <c r="AB9" i="11"/>
  <c r="AB39" i="11"/>
  <c r="AB4" i="11"/>
  <c r="AB40" i="11"/>
  <c r="AB31" i="11"/>
  <c r="AB17" i="11"/>
  <c r="AB27" i="11"/>
  <c r="AB45" i="11"/>
  <c r="AB32" i="11"/>
  <c r="AB28" i="11"/>
  <c r="AB42" i="11"/>
  <c r="AB20" i="11"/>
  <c r="AB12" i="11"/>
  <c r="AB37" i="11"/>
  <c r="AB48" i="11"/>
  <c r="AB26" i="11"/>
  <c r="AB49" i="11"/>
  <c r="AB11" i="11"/>
  <c r="AB43" i="11"/>
  <c r="AB50" i="11"/>
  <c r="AB51" i="11"/>
  <c r="AB29" i="11"/>
  <c r="AB10" i="11"/>
  <c r="AB13" i="11"/>
  <c r="AB52" i="11"/>
  <c r="AB36" i="11"/>
  <c r="AB18" i="11"/>
  <c r="AB53" i="11"/>
  <c r="AC14" i="11"/>
  <c r="AC30" i="11"/>
  <c r="AC3" i="11"/>
  <c r="AC8" i="11"/>
  <c r="AC34" i="11"/>
  <c r="AC15" i="11"/>
  <c r="AC25" i="11"/>
  <c r="AC38" i="11"/>
  <c r="AC7" i="11"/>
  <c r="AC24" i="11"/>
  <c r="AC22" i="11"/>
  <c r="AC5" i="11"/>
  <c r="AC16" i="11"/>
  <c r="AC6" i="11"/>
  <c r="AC35" i="11"/>
  <c r="AC9" i="11"/>
  <c r="AC39" i="11"/>
  <c r="AC4" i="11"/>
  <c r="AC40" i="11"/>
  <c r="AC17" i="11"/>
  <c r="AC27" i="11"/>
  <c r="AC28" i="11"/>
  <c r="AC42" i="11"/>
  <c r="AC20" i="11"/>
  <c r="AC12" i="11"/>
  <c r="AC37" i="11"/>
  <c r="AC26" i="11"/>
  <c r="AC11" i="11"/>
  <c r="AC43" i="11"/>
  <c r="AC51" i="11"/>
  <c r="AC29" i="11"/>
  <c r="AC10" i="11"/>
  <c r="AC13" i="11"/>
  <c r="AC36" i="11"/>
  <c r="AC18" i="11"/>
  <c r="AC53" i="11"/>
  <c r="AD14" i="11"/>
  <c r="AD30" i="11"/>
  <c r="AD3" i="11"/>
  <c r="AD8" i="11"/>
  <c r="AD34" i="11"/>
  <c r="AD15" i="11"/>
  <c r="AD25" i="11"/>
  <c r="AD46" i="11"/>
  <c r="AD7" i="11"/>
  <c r="AD22" i="11"/>
  <c r="AD19" i="11"/>
  <c r="AD5" i="11"/>
  <c r="AD16" i="11"/>
  <c r="AD6" i="11"/>
  <c r="AD35" i="11"/>
  <c r="AD23" i="11"/>
  <c r="AD9" i="11"/>
  <c r="AD39" i="11"/>
  <c r="AD4" i="11"/>
  <c r="AD31" i="11"/>
  <c r="AD45" i="11"/>
  <c r="AD32" i="11"/>
  <c r="AD28" i="11"/>
  <c r="AD20" i="11"/>
  <c r="AD12" i="11"/>
  <c r="AD37" i="11"/>
  <c r="AD26" i="11"/>
  <c r="AD11" i="11"/>
  <c r="AD43" i="11"/>
  <c r="AD29" i="11"/>
  <c r="AD10" i="11"/>
  <c r="AD13" i="11"/>
  <c r="AD36" i="11"/>
  <c r="AD18" i="11"/>
  <c r="AD53" i="11"/>
  <c r="AE14" i="11"/>
  <c r="AE30" i="11"/>
  <c r="AE3" i="11"/>
  <c r="AE44" i="11"/>
  <c r="AE8" i="11"/>
  <c r="AE34" i="11"/>
  <c r="AE15" i="11"/>
  <c r="AE38" i="11"/>
  <c r="AE46" i="11"/>
  <c r="AE7" i="11"/>
  <c r="AE22" i="11"/>
  <c r="AE19" i="11"/>
  <c r="AE5" i="11"/>
  <c r="AE16" i="11"/>
  <c r="AE21" i="11"/>
  <c r="AE35" i="11"/>
  <c r="AE23" i="11"/>
  <c r="AE9" i="11"/>
  <c r="AE40" i="11"/>
  <c r="AE31" i="11"/>
  <c r="AE17" i="11"/>
  <c r="AE27" i="11"/>
  <c r="AE45" i="11"/>
  <c r="AE32" i="11"/>
  <c r="AE42" i="11"/>
  <c r="AE20" i="11"/>
  <c r="AE12" i="11"/>
  <c r="AE37" i="11"/>
  <c r="AE48" i="11"/>
  <c r="AE49" i="11"/>
  <c r="AE11" i="11"/>
  <c r="AE50" i="11"/>
  <c r="AE29" i="11"/>
  <c r="AE10" i="11"/>
  <c r="AE36" i="11"/>
  <c r="AE18" i="11"/>
  <c r="AE53" i="11"/>
  <c r="AF45" i="11"/>
  <c r="AG30" i="11"/>
  <c r="AG33" i="11"/>
  <c r="AG3" i="11"/>
  <c r="AG44" i="11"/>
  <c r="AG34" i="11"/>
  <c r="AG15" i="11"/>
  <c r="AG46" i="11"/>
  <c r="AG47" i="11"/>
  <c r="AG41" i="11"/>
  <c r="AG7" i="11"/>
  <c r="AG24" i="11"/>
  <c r="AG22" i="11"/>
  <c r="AG5" i="11"/>
  <c r="AG16" i="11"/>
  <c r="AG21" i="11"/>
  <c r="AG23" i="11"/>
  <c r="AG9" i="11"/>
  <c r="AG39" i="11"/>
  <c r="AG4" i="11"/>
  <c r="AG40" i="11"/>
  <c r="AG31" i="11"/>
  <c r="AG17" i="11"/>
  <c r="AG27" i="11"/>
  <c r="AG45" i="11"/>
  <c r="AG32" i="11"/>
  <c r="AG28" i="11"/>
  <c r="AG42" i="11"/>
  <c r="AG20" i="11"/>
  <c r="AG12" i="11"/>
  <c r="AG48" i="11"/>
  <c r="AG49" i="11"/>
  <c r="AG11" i="11"/>
  <c r="AG43" i="11"/>
  <c r="AG50" i="11"/>
  <c r="AG51" i="11"/>
  <c r="AG29" i="11"/>
  <c r="AG10" i="11"/>
  <c r="AG13" i="11"/>
  <c r="AG52" i="11"/>
  <c r="AG36" i="11"/>
  <c r="AG18" i="11"/>
  <c r="AG53" i="11"/>
  <c r="AH14" i="11"/>
  <c r="AH30" i="11"/>
  <c r="AH33" i="11"/>
  <c r="AH3" i="11"/>
  <c r="AH44" i="11"/>
  <c r="AH8" i="11"/>
  <c r="AH34" i="11"/>
  <c r="AH15" i="11"/>
  <c r="AH25" i="11"/>
  <c r="AH41" i="11"/>
  <c r="AH7" i="11"/>
  <c r="AH24" i="11"/>
  <c r="AH19" i="11"/>
  <c r="AH16" i="11"/>
  <c r="AH6" i="11"/>
  <c r="AH21" i="11"/>
  <c r="AH35" i="11"/>
  <c r="AH23" i="11"/>
  <c r="AH9" i="11"/>
  <c r="AH39" i="11"/>
  <c r="AH4" i="11"/>
  <c r="AH40" i="11"/>
  <c r="AH17" i="11"/>
  <c r="AH45" i="11"/>
  <c r="AH32" i="11"/>
  <c r="AH28" i="11"/>
  <c r="AH42" i="11"/>
  <c r="AH20" i="11"/>
  <c r="AH12" i="11"/>
  <c r="AH48" i="11"/>
  <c r="AH26" i="11"/>
  <c r="AH49" i="11"/>
  <c r="AH11" i="11"/>
  <c r="AH50" i="11"/>
  <c r="AH51" i="11"/>
  <c r="AH10" i="11"/>
  <c r="AH13" i="11"/>
  <c r="AH52" i="11"/>
  <c r="AH36" i="11"/>
  <c r="AH18" i="11"/>
  <c r="AH53" i="11"/>
  <c r="AI14" i="11"/>
  <c r="AI44" i="11"/>
  <c r="AI34" i="11"/>
  <c r="AI25" i="11"/>
  <c r="AI38" i="11"/>
  <c r="AI47" i="11"/>
  <c r="AI41" i="11"/>
  <c r="AI16" i="11"/>
  <c r="AI6" i="11"/>
  <c r="AI9" i="11"/>
  <c r="AI39" i="11"/>
  <c r="AI4" i="11"/>
  <c r="AI40" i="11"/>
  <c r="AI45" i="11"/>
  <c r="AI42" i="11"/>
  <c r="AI20" i="11"/>
  <c r="AI48" i="11"/>
  <c r="AI26" i="11"/>
  <c r="AI49" i="11"/>
  <c r="AI50" i="11"/>
  <c r="AI51" i="11"/>
  <c r="AI29" i="11"/>
  <c r="AI52" i="11"/>
  <c r="AJ29" i="11"/>
  <c r="AH2" i="4"/>
  <c r="AH3" i="4"/>
  <c r="AH4" i="4"/>
  <c r="AH5" i="4"/>
  <c r="AH6" i="4"/>
  <c r="AH7" i="4"/>
  <c r="AH8" i="4"/>
  <c r="AH9" i="4"/>
  <c r="AH10" i="4"/>
  <c r="AH11" i="4"/>
  <c r="AH12" i="4"/>
  <c r="AH13" i="4"/>
  <c r="AH14" i="4"/>
  <c r="AH15" i="4"/>
  <c r="AH16" i="4"/>
  <c r="AH17" i="4"/>
  <c r="AH18" i="4"/>
  <c r="AH19" i="4"/>
  <c r="AH20" i="4"/>
  <c r="AH21" i="4"/>
  <c r="AH22" i="4"/>
  <c r="AH23" i="4"/>
  <c r="AH24" i="4"/>
  <c r="AH25" i="4"/>
  <c r="AH26" i="4"/>
  <c r="AH27" i="4"/>
  <c r="AH28" i="4"/>
  <c r="AH29" i="4"/>
  <c r="AH30" i="4"/>
  <c r="AH31" i="4"/>
  <c r="AH32" i="4"/>
  <c r="AH33" i="4"/>
  <c r="AH34" i="4"/>
  <c r="AH35" i="4"/>
  <c r="AH36" i="4"/>
  <c r="AH37" i="4"/>
  <c r="AH38" i="4"/>
  <c r="AH39" i="4"/>
  <c r="AH40" i="4"/>
  <c r="AH41" i="4"/>
  <c r="AH42" i="4"/>
  <c r="AH43" i="4"/>
  <c r="AH44" i="4"/>
  <c r="AH45" i="4"/>
  <c r="AH46" i="4"/>
  <c r="AH47" i="4"/>
  <c r="AH48" i="4"/>
  <c r="AH49" i="4"/>
  <c r="AH50" i="4"/>
  <c r="AH51" i="4"/>
  <c r="AH52" i="4"/>
  <c r="AH53" i="4"/>
  <c r="AH54" i="4"/>
  <c r="AH55" i="4"/>
  <c r="AH56" i="4"/>
  <c r="AH57" i="4"/>
  <c r="AH58" i="4"/>
  <c r="AH59" i="4"/>
  <c r="AH60" i="4"/>
  <c r="AH61" i="4"/>
  <c r="AH62" i="4"/>
  <c r="AH63" i="4"/>
  <c r="AH64" i="4"/>
  <c r="AH65" i="4"/>
  <c r="AH66" i="4"/>
  <c r="AH67" i="4"/>
  <c r="AH68" i="4"/>
  <c r="AH69" i="4"/>
  <c r="AH70" i="4"/>
  <c r="AH71" i="4"/>
  <c r="AH72" i="4"/>
  <c r="AH73" i="4"/>
  <c r="AH74" i="4"/>
  <c r="AH75" i="4"/>
  <c r="AH76" i="4"/>
  <c r="AH77" i="4"/>
  <c r="AH78" i="4"/>
  <c r="AH79" i="4"/>
  <c r="AH80" i="4"/>
  <c r="AH81" i="4"/>
  <c r="AH82" i="4"/>
  <c r="AH83" i="4"/>
  <c r="AH84" i="4"/>
  <c r="AH85" i="4"/>
  <c r="AH86" i="4"/>
  <c r="AH87" i="4"/>
  <c r="AH88" i="4"/>
  <c r="AH89" i="4"/>
  <c r="AH90" i="4"/>
  <c r="AH91" i="4"/>
  <c r="AH92" i="4"/>
  <c r="AH93" i="4"/>
  <c r="AH94" i="4"/>
  <c r="AH95" i="4"/>
  <c r="AH96" i="4"/>
  <c r="AH97" i="4"/>
  <c r="AH98" i="4"/>
  <c r="AH99" i="4"/>
  <c r="AH100" i="4"/>
  <c r="AH101" i="4"/>
  <c r="AH102" i="4"/>
  <c r="AH103" i="4"/>
  <c r="AH104" i="4"/>
  <c r="AH105" i="4"/>
  <c r="AH106" i="4"/>
  <c r="AH107" i="4"/>
  <c r="AH108" i="4"/>
  <c r="AH109" i="4"/>
  <c r="AH110" i="4"/>
  <c r="AH111" i="4"/>
  <c r="AH112" i="4"/>
  <c r="AH113" i="4"/>
  <c r="AH114" i="4"/>
  <c r="AH115" i="4"/>
  <c r="AH116" i="4"/>
  <c r="AH117" i="4"/>
  <c r="AH118" i="4"/>
  <c r="AH119" i="4"/>
  <c r="AH120" i="4"/>
  <c r="AH121" i="4"/>
  <c r="AH122" i="4"/>
  <c r="AH123" i="4"/>
  <c r="AH124" i="4"/>
  <c r="AH125" i="4"/>
  <c r="AH126" i="4"/>
  <c r="AH127" i="4"/>
  <c r="AH128" i="4"/>
  <c r="AH129" i="4"/>
  <c r="AH130" i="4"/>
  <c r="AH131" i="4"/>
  <c r="AH132" i="4"/>
  <c r="AH133" i="4"/>
  <c r="AH134" i="4"/>
  <c r="AH135" i="4"/>
  <c r="AH136" i="4"/>
  <c r="AH137" i="4"/>
  <c r="AH138" i="4"/>
  <c r="AH139" i="4"/>
  <c r="AH140" i="4"/>
  <c r="AH141" i="4"/>
  <c r="AH142" i="4"/>
  <c r="AH143" i="4"/>
  <c r="AH144" i="4"/>
  <c r="AH145" i="4"/>
  <c r="AH146" i="4"/>
  <c r="AH147" i="4"/>
  <c r="AH148" i="4"/>
  <c r="AH149" i="4"/>
  <c r="AH150" i="4"/>
  <c r="AH151" i="4"/>
  <c r="AH152" i="4"/>
  <c r="AH153" i="4"/>
  <c r="AH154" i="4"/>
  <c r="AH155" i="4"/>
  <c r="AH156" i="4"/>
  <c r="AH157" i="4"/>
  <c r="AH158" i="4"/>
  <c r="AH159" i="4"/>
  <c r="AH160" i="4"/>
  <c r="AH161" i="4"/>
  <c r="AH162" i="4"/>
  <c r="AH163" i="4"/>
  <c r="AH164" i="4"/>
  <c r="AH165" i="4"/>
  <c r="AH166" i="4"/>
  <c r="AH167" i="4"/>
  <c r="AH168" i="4"/>
  <c r="AH169" i="4"/>
  <c r="AH170" i="4"/>
  <c r="AH171" i="4"/>
  <c r="AH172" i="4"/>
  <c r="AH173" i="4"/>
  <c r="AH174" i="4"/>
  <c r="AH175" i="4"/>
  <c r="AH176" i="4"/>
  <c r="AH177" i="4"/>
  <c r="AH178" i="4"/>
  <c r="AH179" i="4"/>
  <c r="AH180" i="4"/>
  <c r="AH181" i="4"/>
  <c r="AH182" i="4"/>
  <c r="AH183" i="4"/>
  <c r="AH184" i="4"/>
  <c r="AH185" i="4"/>
  <c r="AH186" i="4"/>
  <c r="AH187" i="4"/>
  <c r="AH188" i="4"/>
  <c r="AH189" i="4"/>
  <c r="AH190" i="4"/>
  <c r="AH191" i="4"/>
  <c r="AH192" i="4"/>
  <c r="AH193" i="4"/>
  <c r="AH194" i="4"/>
  <c r="AH195" i="4"/>
  <c r="AH196" i="4"/>
  <c r="AH197" i="4"/>
  <c r="AH198" i="4"/>
  <c r="AH199" i="4"/>
  <c r="AH200" i="4"/>
  <c r="AH201" i="4"/>
  <c r="AH202" i="4"/>
  <c r="AH203" i="4"/>
  <c r="AH204" i="4"/>
  <c r="AH205" i="4"/>
  <c r="AH206" i="4"/>
  <c r="AH207" i="4"/>
  <c r="AH208" i="4"/>
  <c r="AH209" i="4"/>
  <c r="AH210" i="4"/>
  <c r="AH211" i="4"/>
  <c r="AH212" i="4"/>
  <c r="AH213" i="4"/>
  <c r="AH214" i="4"/>
  <c r="AH215" i="4"/>
  <c r="AH216" i="4"/>
  <c r="AH217" i="4"/>
  <c r="AH218" i="4"/>
  <c r="AH219" i="4"/>
  <c r="AH220" i="4"/>
  <c r="AH221" i="4"/>
  <c r="AH222" i="4"/>
  <c r="AH223" i="4"/>
  <c r="AH224" i="4"/>
  <c r="AH225" i="4"/>
  <c r="AH226" i="4"/>
  <c r="AH227" i="4"/>
  <c r="AH228" i="4"/>
  <c r="AH229" i="4"/>
  <c r="AH230" i="4"/>
  <c r="AH231" i="4"/>
  <c r="AH232" i="4"/>
  <c r="AH233" i="4"/>
  <c r="AH234" i="4"/>
  <c r="AH235" i="4"/>
  <c r="AH236" i="4"/>
  <c r="AH237" i="4"/>
  <c r="AH238" i="4"/>
  <c r="AH239" i="4"/>
  <c r="AH240" i="4"/>
  <c r="AH241" i="4"/>
  <c r="AH242" i="4"/>
  <c r="AH243" i="4"/>
  <c r="AH244" i="4"/>
  <c r="AH245" i="4"/>
  <c r="AH246" i="4"/>
  <c r="AH247" i="4"/>
  <c r="AH248" i="4"/>
  <c r="AH249" i="4"/>
  <c r="AH250" i="4"/>
  <c r="AH251" i="4"/>
  <c r="AH252" i="4"/>
  <c r="AH253" i="4"/>
  <c r="AH254" i="4"/>
  <c r="AH255" i="4"/>
  <c r="AH256" i="4"/>
  <c r="AH257" i="4"/>
  <c r="AH258" i="4"/>
  <c r="AH259" i="4"/>
  <c r="AH260" i="4"/>
  <c r="AH261" i="4"/>
  <c r="AH262" i="4"/>
  <c r="AH263" i="4"/>
  <c r="AH264" i="4"/>
  <c r="AH265" i="4"/>
  <c r="AH266" i="4"/>
  <c r="AH267" i="4"/>
  <c r="AH268" i="4"/>
  <c r="AH269" i="4"/>
  <c r="AH270" i="4"/>
  <c r="AH271" i="4"/>
  <c r="AH272" i="4"/>
  <c r="AH273" i="4"/>
  <c r="AH274" i="4"/>
  <c r="AH275" i="4"/>
  <c r="AH276" i="4"/>
  <c r="AH277" i="4"/>
  <c r="AH278" i="4"/>
  <c r="AH279" i="4"/>
  <c r="AH280" i="4"/>
  <c r="AH281" i="4"/>
  <c r="AH282" i="4"/>
  <c r="AH283" i="4"/>
  <c r="AH284" i="4"/>
  <c r="AH285" i="4"/>
  <c r="AH286" i="4"/>
  <c r="AH287" i="4"/>
  <c r="AH288" i="4"/>
  <c r="AH289" i="4"/>
  <c r="AH290" i="4"/>
  <c r="AH291" i="4"/>
  <c r="AH292" i="4"/>
  <c r="AH293" i="4"/>
  <c r="AH294" i="4"/>
  <c r="AH295" i="4"/>
  <c r="AH296" i="4"/>
  <c r="AH297" i="4"/>
  <c r="AH298" i="4"/>
  <c r="AH299" i="4"/>
  <c r="AH300" i="4"/>
  <c r="AH301" i="4"/>
  <c r="AH302" i="4"/>
  <c r="AH303" i="4"/>
  <c r="AH304" i="4"/>
  <c r="AH305" i="4"/>
  <c r="AH306" i="4"/>
  <c r="AH307" i="4"/>
  <c r="AH308" i="4"/>
  <c r="AH309" i="4"/>
  <c r="AH310" i="4"/>
  <c r="AH311" i="4"/>
  <c r="AH312" i="4"/>
  <c r="AH313" i="4"/>
  <c r="AH314" i="4"/>
  <c r="AH315" i="4"/>
  <c r="AH316" i="4"/>
  <c r="AH317" i="4"/>
  <c r="AH318" i="4"/>
  <c r="AH319" i="4"/>
  <c r="AH320" i="4"/>
  <c r="AH321" i="4"/>
  <c r="AH322" i="4"/>
  <c r="AH323" i="4"/>
  <c r="AH324" i="4"/>
  <c r="AH325" i="4"/>
  <c r="AH326" i="4"/>
  <c r="AH327" i="4"/>
  <c r="AH328" i="4"/>
  <c r="AH329" i="4"/>
  <c r="AH330" i="4"/>
  <c r="AH331" i="4"/>
  <c r="AH332" i="4"/>
  <c r="AH333" i="4"/>
  <c r="AH334" i="4"/>
  <c r="AH335" i="4"/>
  <c r="AH336" i="4"/>
  <c r="AH337" i="4"/>
  <c r="AH338" i="4"/>
  <c r="AH339" i="4"/>
  <c r="AH340" i="4"/>
  <c r="AH341" i="4"/>
  <c r="AH342" i="4"/>
  <c r="AH343" i="4"/>
  <c r="AH344" i="4"/>
  <c r="AH345" i="4"/>
  <c r="AH346" i="4"/>
  <c r="AH347" i="4"/>
  <c r="AH348" i="4"/>
  <c r="AH349" i="4"/>
  <c r="AH350" i="4"/>
  <c r="AH351" i="4"/>
  <c r="AH352" i="4"/>
  <c r="AH353" i="4"/>
  <c r="AH354" i="4"/>
  <c r="AH355" i="4"/>
  <c r="AH356" i="4"/>
  <c r="AH357" i="4"/>
  <c r="AH358" i="4"/>
  <c r="AH359" i="4"/>
  <c r="AH360" i="4"/>
  <c r="AH361" i="4"/>
  <c r="AH362" i="4"/>
  <c r="AH363" i="4"/>
  <c r="AH364" i="4"/>
  <c r="AH365" i="4"/>
  <c r="AH366" i="4"/>
  <c r="AH367" i="4"/>
  <c r="AH368" i="4"/>
  <c r="AH369" i="4"/>
  <c r="AH370" i="4"/>
  <c r="AH371" i="4"/>
  <c r="AH372" i="4"/>
  <c r="AH373" i="4"/>
  <c r="AH374" i="4"/>
  <c r="AH375" i="4"/>
  <c r="AH376" i="4"/>
  <c r="AH377" i="4"/>
  <c r="AH378" i="4"/>
  <c r="AH379" i="4"/>
  <c r="AH380" i="4"/>
  <c r="AH381" i="4"/>
  <c r="AH382" i="4"/>
  <c r="AH383" i="4"/>
  <c r="AH384" i="4"/>
  <c r="AH385" i="4"/>
  <c r="AH386" i="4"/>
  <c r="AH387" i="4"/>
  <c r="AH388" i="4"/>
  <c r="AH389" i="4"/>
  <c r="AH390" i="4"/>
  <c r="AH391" i="4"/>
  <c r="AH392" i="4"/>
  <c r="AH393" i="4"/>
  <c r="AH394" i="4"/>
  <c r="AH395" i="4"/>
  <c r="AH396" i="4"/>
  <c r="AH397" i="4"/>
  <c r="AH398" i="4"/>
  <c r="AH399" i="4"/>
  <c r="AH400" i="4"/>
  <c r="AH401" i="4"/>
  <c r="AH402" i="4"/>
  <c r="AH403" i="4"/>
  <c r="AH404" i="4"/>
  <c r="AH405" i="4"/>
  <c r="AH406" i="4"/>
  <c r="AH407" i="4"/>
  <c r="AH408" i="4"/>
  <c r="AH409" i="4"/>
  <c r="AH410" i="4"/>
  <c r="AH411" i="4"/>
  <c r="AH412" i="4"/>
  <c r="AH413" i="4"/>
  <c r="AH414" i="4"/>
  <c r="AH415" i="4"/>
  <c r="AH416" i="4"/>
  <c r="AH417" i="4"/>
  <c r="AH418" i="4"/>
  <c r="AH419" i="4"/>
  <c r="AH420" i="4"/>
  <c r="AH421" i="4"/>
  <c r="AH422" i="4"/>
  <c r="AH423" i="4"/>
  <c r="AH424" i="4"/>
  <c r="AH425" i="4"/>
  <c r="AH426" i="4"/>
  <c r="AH427" i="4"/>
  <c r="AH428" i="4"/>
  <c r="AH429" i="4"/>
  <c r="AH430" i="4"/>
  <c r="AH431" i="4"/>
  <c r="AH432" i="4"/>
  <c r="AH433" i="4"/>
  <c r="AH434" i="4"/>
  <c r="AH435" i="4"/>
  <c r="AH436" i="4"/>
  <c r="AH437" i="4"/>
  <c r="AH438" i="4"/>
  <c r="AH439" i="4"/>
  <c r="AH440" i="4"/>
  <c r="AH441" i="4"/>
  <c r="AH442" i="4"/>
  <c r="AH443" i="4"/>
  <c r="AH444" i="4"/>
  <c r="AH445" i="4"/>
  <c r="AH446" i="4"/>
  <c r="AH447" i="4"/>
  <c r="AH448" i="4"/>
  <c r="AH449" i="4"/>
  <c r="AH450" i="4"/>
  <c r="AH451" i="4"/>
  <c r="AH452" i="4"/>
  <c r="AH453" i="4"/>
  <c r="AH454" i="4"/>
  <c r="AH455" i="4"/>
  <c r="AH456" i="4"/>
  <c r="AH457" i="4"/>
  <c r="AH458" i="4"/>
  <c r="AH459" i="4"/>
  <c r="AH460" i="4"/>
  <c r="AH461" i="4"/>
  <c r="AH462" i="4"/>
  <c r="AH463" i="4"/>
  <c r="AH464" i="4"/>
  <c r="AH465" i="4"/>
  <c r="AH466" i="4"/>
  <c r="AH467" i="4"/>
  <c r="AH468" i="4"/>
  <c r="AH469" i="4"/>
  <c r="AH470" i="4"/>
  <c r="AH471" i="4"/>
  <c r="AH472" i="4"/>
  <c r="AH473" i="4"/>
  <c r="AH474" i="4"/>
  <c r="AH475" i="4"/>
  <c r="AH476" i="4"/>
  <c r="AH477" i="4"/>
  <c r="AH478" i="4"/>
  <c r="AH479" i="4"/>
  <c r="AH480" i="4"/>
  <c r="AH481" i="4"/>
  <c r="AH482" i="4"/>
  <c r="AH483" i="4"/>
  <c r="AH484" i="4"/>
  <c r="AH485" i="4"/>
  <c r="AH486" i="4"/>
  <c r="AH487" i="4"/>
  <c r="AH488" i="4"/>
  <c r="AH489" i="4"/>
  <c r="AH490" i="4"/>
  <c r="AH491" i="4"/>
  <c r="AH492" i="4"/>
  <c r="AH493" i="4"/>
  <c r="AH494" i="4"/>
  <c r="AH495" i="4"/>
  <c r="AH496" i="4"/>
  <c r="AH497" i="4"/>
  <c r="AH498" i="4"/>
  <c r="AH499" i="4"/>
  <c r="AH500" i="4"/>
  <c r="AH501" i="4"/>
  <c r="AH502" i="4"/>
  <c r="AH503" i="4"/>
  <c r="AH504" i="4"/>
  <c r="AH505" i="4"/>
  <c r="AH506" i="4"/>
  <c r="AH507" i="4"/>
  <c r="AH508" i="4"/>
  <c r="AH509" i="4"/>
  <c r="AH510" i="4"/>
  <c r="AH511" i="4"/>
  <c r="AH512" i="4"/>
  <c r="AH513" i="4"/>
  <c r="AH514" i="4"/>
  <c r="AH515" i="4"/>
  <c r="AH516" i="4"/>
  <c r="AH517" i="4"/>
  <c r="AH518" i="4"/>
  <c r="AH519" i="4"/>
  <c r="AH520" i="4"/>
  <c r="AH521" i="4"/>
  <c r="AH522" i="4"/>
  <c r="AH523" i="4"/>
  <c r="AH524" i="4"/>
  <c r="AH525" i="4"/>
  <c r="AH526" i="4"/>
  <c r="AH527" i="4"/>
  <c r="AH528" i="4"/>
  <c r="AH529" i="4"/>
  <c r="AH530" i="4"/>
  <c r="AH531" i="4"/>
  <c r="AH532" i="4"/>
  <c r="AH533" i="4"/>
  <c r="AH534" i="4"/>
  <c r="AH535" i="4"/>
  <c r="AH536" i="4"/>
  <c r="AH537" i="4"/>
  <c r="AH538" i="4"/>
  <c r="AH539" i="4"/>
  <c r="AH540" i="4"/>
  <c r="AH541" i="4"/>
  <c r="AH542" i="4"/>
  <c r="AH543" i="4"/>
  <c r="AH544" i="4"/>
  <c r="AH545" i="4"/>
  <c r="AH546" i="4"/>
  <c r="AH547" i="4"/>
  <c r="AH548" i="4"/>
  <c r="AH549" i="4"/>
  <c r="AH550" i="4"/>
  <c r="AH551" i="4"/>
  <c r="AH552" i="4"/>
  <c r="AH553" i="4"/>
  <c r="AH554" i="4"/>
  <c r="AH555" i="4"/>
  <c r="AH556" i="4"/>
  <c r="AH557" i="4"/>
  <c r="AH558" i="4"/>
  <c r="AH559" i="4"/>
  <c r="AH560" i="4"/>
  <c r="AH561" i="4"/>
  <c r="AH562" i="4"/>
  <c r="AH563" i="4"/>
  <c r="AH564" i="4"/>
  <c r="AH565" i="4"/>
  <c r="AH566" i="4"/>
  <c r="AH567" i="4"/>
  <c r="AH568" i="4"/>
  <c r="AH569" i="4"/>
  <c r="AH570" i="4"/>
  <c r="AH571" i="4"/>
  <c r="AH572" i="4"/>
  <c r="AH573" i="4"/>
  <c r="AH574" i="4"/>
  <c r="AH575" i="4"/>
  <c r="AH576" i="4"/>
  <c r="AH577" i="4"/>
  <c r="AH578" i="4"/>
  <c r="AH579" i="4"/>
  <c r="AH580" i="4"/>
  <c r="AH581" i="4"/>
  <c r="AH582" i="4"/>
  <c r="AH583" i="4"/>
  <c r="AH584" i="4"/>
  <c r="AH585" i="4"/>
  <c r="AH586" i="4"/>
  <c r="AH587" i="4"/>
  <c r="AH588" i="4"/>
  <c r="AH589" i="4"/>
  <c r="AH590" i="4"/>
  <c r="AH591" i="4"/>
  <c r="AH592" i="4"/>
  <c r="AH593" i="4"/>
  <c r="AH594" i="4"/>
  <c r="AH595" i="4"/>
  <c r="AH596" i="4"/>
  <c r="AH597" i="4"/>
  <c r="AH598" i="4"/>
  <c r="AH599" i="4"/>
  <c r="AH600" i="4"/>
  <c r="AH601" i="4"/>
  <c r="AH602" i="4"/>
  <c r="AH603" i="4"/>
  <c r="AH604" i="4"/>
  <c r="AH605" i="4"/>
  <c r="AH606" i="4"/>
  <c r="AH607" i="4"/>
  <c r="AH608" i="4"/>
  <c r="AH609" i="4"/>
  <c r="AH610" i="4"/>
  <c r="AH611" i="4"/>
  <c r="AH612" i="4"/>
  <c r="AH613" i="4"/>
  <c r="AH614" i="4"/>
  <c r="AH615" i="4"/>
  <c r="AH616" i="4"/>
  <c r="AH617" i="4"/>
  <c r="AH618" i="4"/>
  <c r="AH619" i="4"/>
  <c r="AH620" i="4"/>
  <c r="AH621" i="4"/>
  <c r="AH622" i="4"/>
  <c r="AH623" i="4"/>
  <c r="AH624" i="4"/>
  <c r="AH625" i="4"/>
  <c r="AH626" i="4"/>
  <c r="AH627" i="4"/>
  <c r="AH628" i="4"/>
  <c r="AH629" i="4"/>
  <c r="AH630" i="4"/>
  <c r="AH631" i="4"/>
  <c r="AH632" i="4"/>
  <c r="AH633" i="4"/>
  <c r="AH634" i="4"/>
  <c r="AH635" i="4"/>
  <c r="AH636" i="4"/>
  <c r="AH637" i="4"/>
  <c r="AH638" i="4"/>
  <c r="AH639" i="4"/>
  <c r="AH640" i="4"/>
  <c r="AH641" i="4"/>
  <c r="AH642" i="4"/>
  <c r="AH643" i="4"/>
  <c r="AH644" i="4"/>
  <c r="AH645" i="4"/>
  <c r="AH646" i="4"/>
  <c r="AH647" i="4"/>
  <c r="AH648" i="4"/>
  <c r="AH649" i="4"/>
  <c r="AH650" i="4"/>
  <c r="AH651" i="4"/>
  <c r="AH652" i="4"/>
  <c r="AH653" i="4"/>
  <c r="AH654" i="4"/>
  <c r="AH655" i="4"/>
  <c r="AH656" i="4"/>
  <c r="AH657" i="4"/>
  <c r="AH658" i="4"/>
  <c r="AH659" i="4"/>
  <c r="AH660" i="4"/>
  <c r="AH661" i="4"/>
  <c r="AH662" i="4"/>
  <c r="AH663" i="4"/>
  <c r="AH664" i="4"/>
  <c r="AH665" i="4"/>
  <c r="AH666" i="4"/>
  <c r="AH667" i="4"/>
  <c r="AH668" i="4"/>
  <c r="AH669" i="4"/>
  <c r="AH670" i="4"/>
  <c r="AH671" i="4"/>
  <c r="AH672" i="4"/>
  <c r="AH673" i="4"/>
  <c r="AH674" i="4"/>
  <c r="AH675" i="4"/>
  <c r="AH676" i="4"/>
  <c r="AH677" i="4"/>
  <c r="AH678" i="4"/>
  <c r="AH679" i="4"/>
  <c r="AH680" i="4"/>
  <c r="AH681" i="4"/>
  <c r="AH682" i="4"/>
  <c r="AH683" i="4"/>
  <c r="AH684" i="4"/>
  <c r="AH685" i="4"/>
  <c r="AH686" i="4"/>
  <c r="AH687" i="4"/>
  <c r="AH688" i="4"/>
  <c r="AH689" i="4"/>
  <c r="AH690" i="4"/>
  <c r="AH691" i="4"/>
  <c r="AH692" i="4"/>
  <c r="AH693" i="4"/>
  <c r="AH694" i="4"/>
  <c r="AH695" i="4"/>
  <c r="AH696" i="4"/>
  <c r="AH697" i="4"/>
  <c r="AH698" i="4"/>
  <c r="AH699" i="4"/>
  <c r="AH700" i="4"/>
  <c r="AH701" i="4"/>
  <c r="AH702" i="4"/>
  <c r="AH703" i="4"/>
  <c r="AH704" i="4"/>
  <c r="AH705" i="4"/>
  <c r="AH706" i="4"/>
  <c r="AH707" i="4"/>
  <c r="AH708" i="4"/>
  <c r="AH709" i="4"/>
  <c r="AH710" i="4"/>
  <c r="AH711" i="4"/>
  <c r="AH712" i="4"/>
  <c r="AH713" i="4"/>
  <c r="AH714" i="4"/>
  <c r="AH715" i="4"/>
  <c r="AH716" i="4"/>
  <c r="AH717" i="4"/>
  <c r="AH718" i="4"/>
  <c r="AH719" i="4"/>
  <c r="AH720" i="4"/>
  <c r="AH721" i="4"/>
  <c r="AH722" i="4"/>
  <c r="AH723" i="4"/>
  <c r="AH724" i="4"/>
  <c r="AH725" i="4"/>
  <c r="AH726" i="4"/>
  <c r="AH727" i="4"/>
  <c r="AH728" i="4"/>
  <c r="AH729" i="4"/>
  <c r="AH730" i="4"/>
  <c r="AH731" i="4"/>
  <c r="AH732" i="4"/>
  <c r="AH733" i="4"/>
  <c r="AH734" i="4"/>
  <c r="AH735" i="4"/>
  <c r="AH736" i="4"/>
  <c r="AH737" i="4"/>
  <c r="AH738" i="4"/>
  <c r="AH739" i="4"/>
  <c r="AH740" i="4"/>
  <c r="AH741" i="4"/>
  <c r="AH742" i="4"/>
  <c r="AH743" i="4"/>
  <c r="AH744" i="4"/>
  <c r="AH745" i="4"/>
  <c r="AH746" i="4"/>
  <c r="AH747" i="4"/>
  <c r="AH748" i="4"/>
  <c r="AH749" i="4"/>
  <c r="AH750" i="4"/>
  <c r="AH751" i="4"/>
  <c r="AH752" i="4"/>
  <c r="AH753" i="4"/>
  <c r="AH754" i="4"/>
  <c r="AH755" i="4"/>
  <c r="AH756" i="4"/>
  <c r="AH757" i="4"/>
  <c r="AH758" i="4"/>
  <c r="AH759" i="4"/>
  <c r="AH760" i="4"/>
  <c r="AH761" i="4"/>
  <c r="AH762" i="4"/>
  <c r="AH763" i="4"/>
  <c r="AH764" i="4"/>
  <c r="AH765" i="4"/>
  <c r="AH766" i="4"/>
  <c r="AH767" i="4"/>
  <c r="AH768" i="4"/>
  <c r="AH769" i="4"/>
  <c r="AH770" i="4"/>
  <c r="AH771" i="4"/>
  <c r="AH772" i="4"/>
  <c r="AH773" i="4"/>
  <c r="AH774" i="4"/>
  <c r="AH775" i="4"/>
  <c r="AH776" i="4"/>
  <c r="AH777" i="4"/>
  <c r="AH778" i="4"/>
  <c r="AH779" i="4"/>
  <c r="AH780" i="4"/>
  <c r="AH781" i="4"/>
  <c r="AH782" i="4"/>
  <c r="AH783" i="4"/>
  <c r="AH784" i="4"/>
  <c r="AH785" i="4"/>
  <c r="AH786" i="4"/>
  <c r="AH787" i="4"/>
  <c r="AH788" i="4"/>
  <c r="AH789" i="4"/>
  <c r="AH790" i="4"/>
  <c r="AH791" i="4"/>
  <c r="AH792" i="4"/>
  <c r="AH793" i="4"/>
  <c r="AH794" i="4"/>
  <c r="AH795" i="4"/>
  <c r="AH796" i="4"/>
  <c r="AH797" i="4"/>
  <c r="AH798" i="4"/>
  <c r="AH799" i="4"/>
  <c r="AH800" i="4"/>
  <c r="AH801" i="4"/>
  <c r="AH802" i="4"/>
  <c r="AH803" i="4"/>
  <c r="AH804" i="4"/>
  <c r="AH805" i="4"/>
  <c r="AH806" i="4"/>
  <c r="AH807" i="4"/>
  <c r="AH808" i="4"/>
  <c r="AH809" i="4"/>
  <c r="AH810" i="4"/>
  <c r="AH811" i="4"/>
  <c r="AH812" i="4"/>
  <c r="AH813" i="4"/>
  <c r="AH814" i="4"/>
  <c r="AH815" i="4"/>
  <c r="AH816" i="4"/>
  <c r="AH817" i="4"/>
  <c r="AH818" i="4"/>
  <c r="AH819" i="4"/>
  <c r="AH820" i="4"/>
  <c r="AH821" i="4"/>
  <c r="AH822" i="4"/>
  <c r="AH823" i="4"/>
  <c r="AH824" i="4"/>
  <c r="AH825" i="4"/>
  <c r="AH826" i="4"/>
  <c r="AH827" i="4"/>
  <c r="AH828" i="4"/>
  <c r="AH829" i="4"/>
  <c r="AH830" i="4"/>
  <c r="AH831" i="4"/>
  <c r="AH832" i="4"/>
  <c r="AH833" i="4"/>
  <c r="AH834" i="4"/>
  <c r="AH835" i="4"/>
  <c r="AH836" i="4"/>
  <c r="AH837" i="4"/>
  <c r="AH838" i="4"/>
  <c r="AH839" i="4"/>
  <c r="AH840" i="4"/>
  <c r="AH841" i="4"/>
  <c r="AH842" i="4"/>
  <c r="AH843" i="4"/>
  <c r="AH844" i="4"/>
  <c r="AH845" i="4"/>
  <c r="AH846" i="4"/>
  <c r="AH847" i="4"/>
  <c r="AH848" i="4"/>
  <c r="AH849" i="4"/>
  <c r="AH850" i="4"/>
  <c r="AH851" i="4"/>
  <c r="AH852" i="4"/>
  <c r="AH853" i="4"/>
  <c r="AH854" i="4"/>
  <c r="AH855" i="4"/>
  <c r="AH856" i="4"/>
  <c r="AH857" i="4"/>
  <c r="AH858" i="4"/>
  <c r="AH859" i="4"/>
  <c r="AH860" i="4"/>
  <c r="AH861" i="4"/>
  <c r="AH862" i="4"/>
  <c r="AH863" i="4"/>
  <c r="AH864" i="4"/>
  <c r="AH865" i="4"/>
  <c r="AH866" i="4"/>
  <c r="AH867" i="4"/>
  <c r="AH868" i="4"/>
  <c r="AH869" i="4"/>
  <c r="AH870" i="4"/>
  <c r="AH871" i="4"/>
  <c r="AH872" i="4"/>
  <c r="AH873" i="4"/>
  <c r="AH874" i="4"/>
  <c r="AH875" i="4"/>
  <c r="AH876" i="4"/>
  <c r="AH877" i="4"/>
  <c r="AH878" i="4"/>
  <c r="AH879" i="4"/>
  <c r="AH880" i="4"/>
  <c r="AH881" i="4"/>
  <c r="AH882" i="4"/>
  <c r="AH883" i="4"/>
  <c r="AH884" i="4"/>
  <c r="AH885" i="4"/>
  <c r="AH886" i="4"/>
  <c r="AH887" i="4"/>
  <c r="AH888" i="4"/>
  <c r="AH889" i="4"/>
  <c r="AH890" i="4"/>
  <c r="AH891" i="4"/>
  <c r="AH892" i="4"/>
  <c r="AH893" i="4"/>
  <c r="AH894" i="4"/>
  <c r="AH895" i="4"/>
  <c r="AH896" i="4"/>
  <c r="AH897" i="4"/>
  <c r="AH898" i="4"/>
  <c r="AH899" i="4"/>
  <c r="AH900" i="4"/>
  <c r="AH901" i="4"/>
  <c r="AH902" i="4"/>
  <c r="AH903" i="4"/>
  <c r="AH904" i="4"/>
  <c r="AH905" i="4"/>
  <c r="AH906" i="4"/>
  <c r="AH907" i="4"/>
  <c r="AH908" i="4"/>
  <c r="AH909" i="4"/>
  <c r="AH910" i="4"/>
  <c r="AH911" i="4"/>
  <c r="AH912" i="4"/>
  <c r="AH913" i="4"/>
  <c r="AH914" i="4"/>
  <c r="AH915" i="4"/>
  <c r="AH916" i="4"/>
  <c r="AH917" i="4"/>
  <c r="AH918" i="4"/>
  <c r="AH919" i="4"/>
  <c r="AH920" i="4"/>
  <c r="AH921" i="4"/>
  <c r="AH922" i="4"/>
  <c r="AH923" i="4"/>
  <c r="AH924" i="4"/>
  <c r="AH925" i="4"/>
  <c r="AH926" i="4"/>
  <c r="AH927" i="4"/>
  <c r="AH928" i="4"/>
  <c r="AH929" i="4"/>
  <c r="AH930" i="4"/>
  <c r="AH931" i="4"/>
  <c r="AH932" i="4"/>
  <c r="AH933" i="4"/>
  <c r="AH934" i="4"/>
  <c r="AH935" i="4"/>
  <c r="AH936" i="4"/>
  <c r="AH937" i="4"/>
  <c r="AH938" i="4"/>
  <c r="AH939" i="4"/>
  <c r="AH940" i="4"/>
  <c r="AH941" i="4"/>
  <c r="AH942" i="4"/>
  <c r="AH943" i="4"/>
  <c r="AH944" i="4"/>
  <c r="AH945" i="4"/>
  <c r="AH946" i="4"/>
  <c r="AH947" i="4"/>
  <c r="AH948" i="4"/>
  <c r="AH949" i="4"/>
  <c r="AH950" i="4"/>
  <c r="AH951" i="4"/>
  <c r="AH952" i="4"/>
  <c r="AH953" i="4"/>
  <c r="AH954" i="4"/>
  <c r="AH955" i="4"/>
  <c r="AH956" i="4"/>
  <c r="AH957" i="4"/>
  <c r="AH958" i="4"/>
  <c r="AH959" i="4"/>
  <c r="AH960" i="4"/>
  <c r="AH961" i="4"/>
  <c r="AH962" i="4"/>
  <c r="AH963" i="4"/>
  <c r="AH964" i="4"/>
  <c r="AH965" i="4"/>
  <c r="AH966" i="4"/>
  <c r="AH967" i="4"/>
  <c r="AH968" i="4"/>
  <c r="AH969" i="4"/>
  <c r="AH970" i="4"/>
  <c r="AH971" i="4"/>
  <c r="AH972" i="4"/>
  <c r="AH973" i="4"/>
  <c r="AH974" i="4"/>
  <c r="AH975" i="4"/>
  <c r="AH976" i="4"/>
  <c r="AH977" i="4"/>
  <c r="AH978" i="4"/>
  <c r="AH979" i="4"/>
  <c r="AH980" i="4"/>
  <c r="AH981" i="4"/>
  <c r="AH982" i="4"/>
  <c r="AH983" i="4"/>
  <c r="AH984" i="4"/>
  <c r="AH985" i="4"/>
  <c r="AH986" i="4"/>
  <c r="AH987" i="4"/>
  <c r="AH988" i="4"/>
  <c r="AH989" i="4"/>
  <c r="AH990" i="4"/>
  <c r="AH991" i="4"/>
  <c r="AH992" i="4"/>
  <c r="AH993" i="4"/>
  <c r="AH994" i="4"/>
  <c r="AH995" i="4"/>
  <c r="AH996" i="4"/>
  <c r="AH997" i="4"/>
  <c r="AH998" i="4"/>
  <c r="AH999" i="4"/>
  <c r="AH1000" i="4"/>
  <c r="AH1001" i="4"/>
  <c r="AH1002" i="4"/>
  <c r="AH1003" i="4"/>
  <c r="AH1004" i="4"/>
  <c r="AH1005" i="4"/>
  <c r="AH1006" i="4"/>
  <c r="AH1007" i="4"/>
  <c r="AH1008" i="4"/>
  <c r="AH1009" i="4"/>
  <c r="AH1010" i="4"/>
  <c r="AH1011" i="4"/>
  <c r="AH1012" i="4"/>
  <c r="AH1013" i="4"/>
  <c r="AH1014" i="4"/>
  <c r="AH1015" i="4"/>
  <c r="AH1016" i="4"/>
  <c r="AH1017" i="4"/>
  <c r="AH1018" i="4"/>
  <c r="AH1019" i="4"/>
  <c r="AH1020" i="4"/>
  <c r="AH1021" i="4"/>
  <c r="AH1022" i="4"/>
  <c r="AH1023" i="4"/>
  <c r="AH1024" i="4"/>
  <c r="AH1025" i="4"/>
  <c r="AH1026" i="4"/>
  <c r="AH1027" i="4"/>
  <c r="AH1028" i="4"/>
  <c r="AH1029" i="4"/>
  <c r="AH1030" i="4"/>
  <c r="AH1031" i="4"/>
  <c r="AH1032" i="4"/>
  <c r="AH1033" i="4"/>
  <c r="AH1034" i="4"/>
  <c r="AH1035" i="4"/>
  <c r="AH1036" i="4"/>
  <c r="AH1037" i="4"/>
  <c r="AH1038" i="4"/>
  <c r="AH1039" i="4"/>
  <c r="AH1040" i="4"/>
  <c r="AH1041" i="4"/>
  <c r="AH1042" i="4"/>
  <c r="AH1043" i="4"/>
  <c r="AH1044" i="4"/>
  <c r="AH1045" i="4"/>
  <c r="AH1046" i="4"/>
  <c r="AH1047" i="4"/>
  <c r="AH1048" i="4"/>
  <c r="AH1049" i="4"/>
  <c r="AH1050" i="4"/>
  <c r="AH1051" i="4"/>
  <c r="AH1052" i="4"/>
  <c r="AH1053" i="4"/>
  <c r="AH1054" i="4"/>
  <c r="AH1055" i="4"/>
  <c r="AH1056" i="4"/>
  <c r="AH1057" i="4"/>
  <c r="AH1058" i="4"/>
  <c r="AH1059" i="4"/>
  <c r="AH1060" i="4"/>
  <c r="AH1061" i="4"/>
  <c r="AH1062" i="4"/>
  <c r="AH1063" i="4"/>
  <c r="AH1064" i="4"/>
  <c r="AH1065" i="4"/>
  <c r="AH1066" i="4"/>
  <c r="AH1067" i="4"/>
  <c r="AH1068" i="4"/>
  <c r="AH1069" i="4"/>
  <c r="AH1070" i="4"/>
  <c r="AH1071" i="4"/>
  <c r="AH1072" i="4"/>
  <c r="AH1073" i="4"/>
  <c r="AH1074" i="4"/>
  <c r="AH1075" i="4"/>
  <c r="AH1076" i="4"/>
  <c r="AH1077" i="4"/>
  <c r="AH1078" i="4"/>
  <c r="AH1079" i="4"/>
  <c r="AH1080" i="4"/>
  <c r="AH1081" i="4"/>
  <c r="AH1082" i="4"/>
  <c r="AH1083" i="4"/>
  <c r="AH1084" i="4"/>
  <c r="AH1085" i="4"/>
  <c r="AH1086" i="4"/>
  <c r="AH1087" i="4"/>
  <c r="AH1088" i="4"/>
  <c r="AH1089" i="4"/>
  <c r="AH1090" i="4"/>
  <c r="AH1091" i="4"/>
  <c r="AH1092" i="4"/>
  <c r="AH1093" i="4"/>
  <c r="AH1094" i="4"/>
  <c r="AH1095" i="4"/>
  <c r="AH1096" i="4"/>
  <c r="AH1097" i="4"/>
  <c r="AH1098" i="4"/>
  <c r="AH1099" i="4"/>
  <c r="AH1100" i="4"/>
  <c r="AH1101" i="4"/>
  <c r="AH1102" i="4"/>
  <c r="AH1103" i="4"/>
  <c r="AH1104" i="4"/>
  <c r="AH1105" i="4"/>
  <c r="AH1106" i="4"/>
  <c r="AH1107" i="4"/>
  <c r="AH1108" i="4"/>
  <c r="AH1109" i="4"/>
  <c r="AH1110" i="4"/>
  <c r="AH1111" i="4"/>
  <c r="AH1112" i="4"/>
  <c r="AH1113" i="4"/>
  <c r="AH1114" i="4"/>
  <c r="AH1115" i="4"/>
  <c r="AH1116" i="4"/>
  <c r="AH1117" i="4"/>
  <c r="AH1118" i="4"/>
  <c r="AH1119" i="4"/>
  <c r="AH1120" i="4"/>
  <c r="AH1121" i="4"/>
  <c r="AH1122" i="4"/>
  <c r="AH1123" i="4"/>
  <c r="AH1124" i="4"/>
  <c r="AH1125" i="4"/>
  <c r="AH1126" i="4"/>
  <c r="AH1127" i="4"/>
  <c r="AH1128" i="4"/>
  <c r="AH1129" i="4"/>
  <c r="AH1130" i="4"/>
  <c r="AH1131" i="4"/>
  <c r="AH1132" i="4"/>
  <c r="AH1133" i="4"/>
  <c r="AH1134" i="4"/>
  <c r="AH1135" i="4"/>
  <c r="AH1136" i="4"/>
  <c r="AH1137" i="4"/>
  <c r="AH1138" i="4"/>
  <c r="AH1139" i="4"/>
  <c r="AH1140" i="4"/>
  <c r="AH1141" i="4"/>
  <c r="AH1142" i="4"/>
  <c r="AH1143" i="4"/>
  <c r="AH1144" i="4"/>
  <c r="AH1145" i="4"/>
  <c r="AH1146" i="4"/>
  <c r="AH1147" i="4"/>
  <c r="AH1148" i="4"/>
  <c r="AH1149" i="4"/>
  <c r="AH1150" i="4"/>
  <c r="AH1151" i="4"/>
  <c r="AH1152" i="4"/>
  <c r="AH1153" i="4"/>
  <c r="AH1154" i="4"/>
  <c r="AH1155" i="4"/>
  <c r="AH1156" i="4"/>
  <c r="AH1157" i="4"/>
  <c r="AH1158" i="4"/>
  <c r="AH1159" i="4"/>
  <c r="AH1160" i="4"/>
  <c r="AH1161" i="4"/>
  <c r="AH1162" i="4"/>
  <c r="AH1163" i="4"/>
  <c r="AH1164" i="4"/>
  <c r="AH1165" i="4"/>
  <c r="AH1166" i="4"/>
  <c r="AH1167" i="4"/>
  <c r="AH1168" i="4"/>
  <c r="AH1169" i="4"/>
  <c r="AH1170" i="4"/>
  <c r="AH1171" i="4"/>
  <c r="AH1172" i="4"/>
  <c r="AH1173" i="4"/>
  <c r="AH1174" i="4"/>
  <c r="AH1175" i="4"/>
  <c r="AH1176" i="4"/>
  <c r="AH1177" i="4"/>
  <c r="AH1178" i="4"/>
  <c r="AH1179" i="4"/>
  <c r="AH1180" i="4"/>
  <c r="AH1181" i="4"/>
  <c r="AH1182" i="4"/>
  <c r="AH1183" i="4"/>
  <c r="AH1184" i="4"/>
  <c r="AH1185" i="4"/>
  <c r="AH1186" i="4"/>
  <c r="AH1187" i="4"/>
  <c r="AH1188" i="4"/>
  <c r="AH1189" i="4"/>
  <c r="AH1190" i="4"/>
  <c r="AH1191" i="4"/>
  <c r="AH1192" i="4"/>
  <c r="AH1193" i="4"/>
  <c r="AH1194" i="4"/>
  <c r="AH1195" i="4"/>
  <c r="AH1196" i="4"/>
  <c r="AH1197" i="4"/>
  <c r="AH1198" i="4"/>
  <c r="AH1199" i="4"/>
  <c r="AH1200" i="4"/>
  <c r="AH1201" i="4"/>
  <c r="AH1202" i="4"/>
  <c r="AH1203" i="4"/>
  <c r="AH1204" i="4"/>
  <c r="AH1205" i="4"/>
  <c r="AH1206" i="4"/>
  <c r="AH1207" i="4"/>
  <c r="AH1208" i="4"/>
  <c r="AH1209" i="4"/>
  <c r="AH1210" i="4"/>
  <c r="AH1211" i="4"/>
  <c r="AH1212" i="4"/>
  <c r="AH1213" i="4"/>
  <c r="AH1214" i="4"/>
  <c r="AH1215" i="4"/>
  <c r="AH1216" i="4"/>
  <c r="AH1217" i="4"/>
  <c r="AH1218" i="4"/>
  <c r="AH1219" i="4"/>
  <c r="AH1220" i="4"/>
  <c r="AH1221" i="4"/>
  <c r="AH1222" i="4"/>
  <c r="AH1223" i="4"/>
  <c r="AH1224" i="4"/>
  <c r="AH1225" i="4"/>
  <c r="AH1226" i="4"/>
  <c r="AH1227" i="4"/>
  <c r="AH1228" i="4"/>
  <c r="AH1229" i="4"/>
  <c r="AH1230" i="4"/>
  <c r="AH1231" i="4"/>
  <c r="AH1232" i="4"/>
  <c r="AH1233" i="4"/>
  <c r="AH1234" i="4"/>
  <c r="AH1235" i="4"/>
  <c r="AH1236" i="4"/>
  <c r="AH1237" i="4"/>
  <c r="AH1238" i="4"/>
  <c r="AH1239" i="4"/>
  <c r="AH1240" i="4"/>
  <c r="AH1241" i="4"/>
  <c r="AH1242" i="4"/>
  <c r="AH1243" i="4"/>
  <c r="AH1244" i="4"/>
  <c r="AH1245" i="4"/>
  <c r="AH1246" i="4"/>
  <c r="AH1247" i="4"/>
  <c r="AH1248" i="4"/>
  <c r="AH1249" i="4"/>
  <c r="AH1250" i="4"/>
  <c r="AH1251" i="4"/>
  <c r="AH1252" i="4"/>
  <c r="AH1253" i="4"/>
  <c r="AH1254" i="4"/>
  <c r="AH1255" i="4"/>
  <c r="AH1256" i="4"/>
  <c r="AH1257" i="4"/>
  <c r="AH1258" i="4"/>
  <c r="AH1259" i="4"/>
  <c r="AH1260" i="4"/>
  <c r="AH1261" i="4"/>
  <c r="AH1262" i="4"/>
  <c r="AH1263" i="4"/>
  <c r="AH1264" i="4"/>
  <c r="AH1265" i="4"/>
  <c r="AH1266" i="4"/>
  <c r="AH1267" i="4"/>
  <c r="AH1268" i="4"/>
  <c r="AH1269" i="4"/>
  <c r="AH1270" i="4"/>
  <c r="AH1271" i="4"/>
  <c r="AH1272" i="4"/>
  <c r="AH1273" i="4"/>
  <c r="AH1274" i="4"/>
  <c r="AH1275" i="4"/>
  <c r="AH1276" i="4"/>
  <c r="AH1277" i="4"/>
  <c r="AH1278" i="4"/>
  <c r="AH1279" i="4"/>
  <c r="AH1280" i="4"/>
  <c r="AH1281" i="4"/>
  <c r="AH1282" i="4"/>
  <c r="AH1283" i="4"/>
  <c r="AH1284" i="4"/>
  <c r="AH1285" i="4"/>
  <c r="AH1286" i="4"/>
  <c r="AH1287" i="4"/>
  <c r="AH1288" i="4"/>
  <c r="AH1289" i="4"/>
  <c r="AH1290" i="4"/>
  <c r="AH1291" i="4"/>
  <c r="AH1292" i="4"/>
  <c r="AH1293" i="4"/>
  <c r="AH1294" i="4"/>
  <c r="AH1295" i="4"/>
  <c r="AH1296" i="4"/>
  <c r="AH1297" i="4"/>
  <c r="AH1298" i="4"/>
  <c r="AH1299" i="4"/>
  <c r="AH1300" i="4"/>
  <c r="AH1301" i="4"/>
  <c r="AH1302" i="4"/>
  <c r="AH1303" i="4"/>
  <c r="AH1304" i="4"/>
  <c r="AH1305" i="4"/>
  <c r="AH1306" i="4"/>
  <c r="AH1307" i="4"/>
  <c r="AH1308" i="4"/>
  <c r="AH1309" i="4"/>
  <c r="AH1310" i="4"/>
  <c r="AH1311" i="4"/>
  <c r="AH1312" i="4"/>
  <c r="AH1313" i="4"/>
  <c r="AH1314" i="4"/>
  <c r="AH1315" i="4"/>
  <c r="AH1316" i="4"/>
  <c r="AH1317" i="4"/>
  <c r="AH1318" i="4"/>
  <c r="AH1319" i="4"/>
  <c r="AH1320" i="4"/>
  <c r="AH1321" i="4"/>
  <c r="AH1322" i="4"/>
  <c r="AH1323" i="4"/>
  <c r="AH1324" i="4"/>
  <c r="AH1325" i="4"/>
  <c r="AH1326" i="4"/>
  <c r="AH1327" i="4"/>
  <c r="AH1328" i="4"/>
  <c r="AH1329" i="4"/>
  <c r="AH1330" i="4"/>
  <c r="AH1331" i="4"/>
  <c r="AH1332" i="4"/>
  <c r="AH1333" i="4"/>
  <c r="AH1334" i="4"/>
  <c r="AH1335" i="4"/>
  <c r="AH1336" i="4"/>
  <c r="AH1337" i="4"/>
  <c r="AH1338" i="4"/>
  <c r="AH1339" i="4"/>
  <c r="AH1340" i="4"/>
  <c r="AH1341" i="4"/>
  <c r="AH1342" i="4"/>
  <c r="AH1343" i="4"/>
  <c r="AH1344" i="4"/>
  <c r="AH1345" i="4"/>
  <c r="AH1346" i="4"/>
  <c r="AH1347" i="4"/>
  <c r="AH1348" i="4"/>
  <c r="AH1349" i="4"/>
  <c r="AH1350" i="4"/>
  <c r="AH1351" i="4"/>
  <c r="AH1352" i="4"/>
  <c r="AH1353" i="4"/>
  <c r="AH1354" i="4"/>
  <c r="AH1355" i="4"/>
  <c r="AH1356" i="4"/>
  <c r="AH1357" i="4"/>
  <c r="AH1358" i="4"/>
  <c r="AH1359" i="4"/>
  <c r="AH1360" i="4"/>
  <c r="AH1361" i="4"/>
  <c r="AH1362" i="4"/>
  <c r="AH1363" i="4"/>
  <c r="AH1364" i="4"/>
  <c r="AH1365" i="4"/>
  <c r="AH1366" i="4"/>
  <c r="AH1367" i="4"/>
  <c r="AH1368" i="4"/>
  <c r="AH1369" i="4"/>
  <c r="AH1370" i="4"/>
  <c r="AH1371" i="4"/>
  <c r="AH1372" i="4"/>
  <c r="AH1373" i="4"/>
  <c r="AH1374" i="4"/>
  <c r="AH1375" i="4"/>
  <c r="AH1376" i="4"/>
  <c r="AH1377" i="4"/>
  <c r="AH1378" i="4"/>
  <c r="AH1379" i="4"/>
  <c r="AH1380" i="4"/>
  <c r="AH1381" i="4"/>
  <c r="AH1382" i="4"/>
  <c r="AH1383" i="4"/>
  <c r="AH1384" i="4"/>
  <c r="AH1385" i="4"/>
  <c r="AH1386" i="4"/>
  <c r="AH1387" i="4"/>
  <c r="AH1388" i="4"/>
  <c r="AH1389" i="4"/>
  <c r="AH1390" i="4"/>
  <c r="AH1391" i="4"/>
  <c r="AH1392" i="4"/>
  <c r="AH1393" i="4"/>
  <c r="AH1394" i="4"/>
  <c r="AH1395" i="4"/>
  <c r="AH1396" i="4"/>
  <c r="AH1397" i="4"/>
  <c r="AH1398" i="4"/>
  <c r="AH1399" i="4"/>
  <c r="AH1400" i="4"/>
  <c r="AH1401" i="4"/>
  <c r="AH1402" i="4"/>
  <c r="AH1403" i="4"/>
  <c r="AH1404" i="4"/>
  <c r="AH1405" i="4"/>
  <c r="AH1406" i="4"/>
  <c r="AH1407" i="4"/>
  <c r="AH1408" i="4"/>
  <c r="AH1409" i="4"/>
  <c r="AH1410" i="4"/>
  <c r="AH1411" i="4"/>
  <c r="AH1412" i="4"/>
  <c r="AH1413" i="4"/>
  <c r="AH1414" i="4"/>
  <c r="AH1415" i="4"/>
  <c r="AH1416" i="4"/>
  <c r="AH1417" i="4"/>
  <c r="AH1418" i="4"/>
  <c r="AH1419" i="4"/>
  <c r="AH1420" i="4"/>
  <c r="AH1421" i="4"/>
  <c r="AH1422" i="4"/>
  <c r="AH1423" i="4"/>
  <c r="AH1424" i="4"/>
  <c r="AH1425" i="4"/>
  <c r="AH1426" i="4"/>
  <c r="AH1427" i="4"/>
  <c r="AH1428" i="4"/>
  <c r="AH1429" i="4"/>
  <c r="AH1430" i="4"/>
  <c r="AH1431" i="4"/>
  <c r="AH1432" i="4"/>
  <c r="AH1433" i="4"/>
  <c r="AH1434" i="4"/>
  <c r="AH1435" i="4"/>
  <c r="AH1436" i="4"/>
  <c r="AH1437" i="4"/>
  <c r="AH1438" i="4"/>
  <c r="AH1439" i="4"/>
  <c r="AH1440" i="4"/>
  <c r="AH1441" i="4"/>
  <c r="AH1442" i="4"/>
  <c r="AH1443" i="4"/>
  <c r="AH1444" i="4"/>
  <c r="AH1445" i="4"/>
  <c r="AH1446" i="4"/>
  <c r="AH1447" i="4"/>
  <c r="AH1448" i="4"/>
  <c r="AH1449" i="4"/>
  <c r="AH1450" i="4"/>
  <c r="AH1451" i="4"/>
  <c r="AH1452" i="4"/>
  <c r="AH1453" i="4"/>
  <c r="AH1454" i="4"/>
  <c r="AH1455" i="4"/>
  <c r="AH1456" i="4"/>
  <c r="AH1457" i="4"/>
  <c r="AH1458" i="4"/>
  <c r="AH1459" i="4"/>
  <c r="AH1460" i="4"/>
  <c r="AH1461" i="4"/>
  <c r="AH1462" i="4"/>
  <c r="AH1463" i="4"/>
  <c r="AH1464" i="4"/>
  <c r="AH1465" i="4"/>
  <c r="AH1466" i="4"/>
  <c r="AH1467" i="4"/>
  <c r="AH1468" i="4"/>
  <c r="AH1469" i="4"/>
  <c r="AH1470" i="4"/>
  <c r="AH1471" i="4"/>
  <c r="AH1472" i="4"/>
  <c r="AH1473" i="4"/>
  <c r="AH1474" i="4"/>
  <c r="AH1475" i="4"/>
  <c r="AH1476" i="4"/>
  <c r="AH1477" i="4"/>
  <c r="AH1478" i="4"/>
  <c r="AH1479" i="4"/>
  <c r="AH1480" i="4"/>
  <c r="AH1481" i="4"/>
  <c r="AH1482" i="4"/>
  <c r="AH1483" i="4"/>
  <c r="AH1484" i="4"/>
  <c r="AH1485" i="4"/>
  <c r="AH1486" i="4"/>
  <c r="AH1487" i="4"/>
  <c r="AH1488" i="4"/>
  <c r="AH1489" i="4"/>
  <c r="AH1490" i="4"/>
  <c r="AH1491" i="4"/>
  <c r="AH1492" i="4"/>
  <c r="AH1493" i="4"/>
  <c r="AH1494" i="4"/>
  <c r="AH1495" i="4"/>
  <c r="AH1496" i="4"/>
  <c r="AH1497" i="4"/>
  <c r="AH1498" i="4"/>
  <c r="AH1499" i="4"/>
  <c r="AH1500" i="4"/>
  <c r="AH1501" i="4"/>
  <c r="AH1502" i="4"/>
  <c r="AH1503" i="4"/>
  <c r="AH1504" i="4"/>
  <c r="AH1505" i="4"/>
  <c r="AH1506" i="4"/>
  <c r="AH1507" i="4"/>
  <c r="AH1508" i="4"/>
  <c r="AH1509" i="4"/>
  <c r="AH1510" i="4"/>
  <c r="AH1511" i="4"/>
  <c r="AH1512" i="4"/>
  <c r="AH1513" i="4"/>
  <c r="AH1514" i="4"/>
  <c r="AH1515" i="4"/>
  <c r="AH1516" i="4"/>
  <c r="AH1517" i="4"/>
  <c r="AH1518" i="4"/>
  <c r="AH1519" i="4"/>
  <c r="AH1520" i="4"/>
  <c r="AH1521" i="4"/>
  <c r="AH1522" i="4"/>
  <c r="AH1523" i="4"/>
  <c r="AH1524" i="4"/>
  <c r="AH1525" i="4"/>
  <c r="AH1526" i="4"/>
  <c r="AH1527" i="4"/>
  <c r="AH1528" i="4"/>
  <c r="AH1529" i="4"/>
  <c r="AH1530" i="4"/>
  <c r="AH1531" i="4"/>
  <c r="AH1532" i="4"/>
  <c r="AH1533" i="4"/>
  <c r="AH1534" i="4"/>
  <c r="AH1535" i="4"/>
  <c r="AH1536" i="4"/>
  <c r="AH1537" i="4"/>
  <c r="AH1538" i="4"/>
  <c r="AH1539" i="4"/>
  <c r="AH1540" i="4"/>
  <c r="AH1541" i="4"/>
  <c r="AH1542" i="4"/>
  <c r="AH1543" i="4"/>
  <c r="AH1544" i="4"/>
  <c r="AH1545" i="4"/>
  <c r="AH1546" i="4"/>
  <c r="AH1547" i="4"/>
  <c r="AH1548" i="4"/>
  <c r="AH1549" i="4"/>
  <c r="AH1550" i="4"/>
  <c r="AH1551" i="4"/>
  <c r="AH1552" i="4"/>
  <c r="AH1553" i="4"/>
  <c r="AH1554" i="4"/>
  <c r="AH1555" i="4"/>
  <c r="AH1556" i="4"/>
  <c r="AH1557" i="4"/>
  <c r="AH1558" i="4"/>
  <c r="AH1559" i="4"/>
  <c r="AH1560" i="4"/>
  <c r="AH1561" i="4"/>
  <c r="AH1562" i="4"/>
  <c r="AH1563" i="4"/>
  <c r="AH1564" i="4"/>
  <c r="AH1565" i="4"/>
  <c r="AH1566" i="4"/>
  <c r="AH1567" i="4"/>
  <c r="AH1568" i="4"/>
  <c r="AH1569" i="4"/>
  <c r="AH1570" i="4"/>
  <c r="AH1571" i="4"/>
  <c r="AH1572" i="4"/>
  <c r="AH1573" i="4"/>
  <c r="AH1574" i="4"/>
  <c r="AH1575" i="4"/>
  <c r="AH1576" i="4"/>
  <c r="AH1577" i="4"/>
  <c r="AH1578" i="4"/>
  <c r="AH1579" i="4"/>
  <c r="AH1580" i="4"/>
  <c r="AH1581" i="4"/>
  <c r="AH1582" i="4"/>
  <c r="AH1583" i="4"/>
  <c r="AH1584" i="4"/>
  <c r="AH1585" i="4"/>
  <c r="AH1586" i="4"/>
  <c r="AH1587" i="4"/>
  <c r="AH1588" i="4"/>
  <c r="AH1589" i="4"/>
  <c r="AH1590" i="4"/>
  <c r="AH1591" i="4"/>
  <c r="AH1592" i="4"/>
  <c r="AH1593" i="4"/>
  <c r="AH1594" i="4"/>
  <c r="AH1595" i="4"/>
  <c r="AH1596" i="4"/>
  <c r="AH1597" i="4"/>
  <c r="AH1598" i="4"/>
  <c r="AH1599" i="4"/>
  <c r="AH1600" i="4"/>
  <c r="AH1601" i="4"/>
  <c r="AH1602" i="4"/>
  <c r="AH1603" i="4"/>
  <c r="AH1604" i="4"/>
  <c r="AH1605" i="4"/>
  <c r="AH1606" i="4"/>
  <c r="AH1607" i="4"/>
  <c r="AH1608" i="4"/>
  <c r="AH1609" i="4"/>
  <c r="AH1610" i="4"/>
  <c r="AH1611" i="4"/>
  <c r="AH1612" i="4"/>
  <c r="AH1613" i="4"/>
  <c r="AH1614" i="4"/>
  <c r="AH1615" i="4"/>
  <c r="AH1616" i="4"/>
  <c r="AH1617" i="4"/>
  <c r="AH1618" i="4"/>
  <c r="AH1619" i="4"/>
  <c r="AH1620" i="4"/>
  <c r="AH1621" i="4"/>
  <c r="AH1622" i="4"/>
  <c r="AH1623" i="4"/>
  <c r="AH1624" i="4"/>
  <c r="AH1625" i="4"/>
  <c r="AH1626" i="4"/>
  <c r="AH1627" i="4"/>
  <c r="AH1628" i="4"/>
  <c r="AH1629" i="4"/>
  <c r="AH1630" i="4"/>
  <c r="AH1631" i="4"/>
  <c r="AH1632" i="4"/>
  <c r="AH1633" i="4"/>
  <c r="AH1634" i="4"/>
  <c r="AH1635" i="4"/>
  <c r="AH1636" i="4"/>
  <c r="AH1637" i="4"/>
  <c r="AH1638" i="4"/>
  <c r="AH1639" i="4"/>
  <c r="AH1640" i="4"/>
  <c r="AH1641" i="4"/>
  <c r="AH1642" i="4"/>
  <c r="AH1643" i="4"/>
  <c r="AH1644" i="4"/>
  <c r="AH1645" i="4"/>
  <c r="AH1646" i="4"/>
  <c r="AH1647" i="4"/>
  <c r="AH1648" i="4"/>
  <c r="AH1649" i="4"/>
  <c r="AH1650" i="4"/>
  <c r="AH1651" i="4"/>
  <c r="AH1652" i="4"/>
  <c r="AH1653" i="4"/>
  <c r="AH1654" i="4"/>
  <c r="AH1655" i="4"/>
  <c r="AH1656" i="4"/>
  <c r="AH1657" i="4"/>
  <c r="AH1658" i="4"/>
  <c r="AH1659" i="4"/>
  <c r="AH1660" i="4"/>
  <c r="AH1661" i="4"/>
  <c r="AH1662" i="4"/>
  <c r="AH1663" i="4"/>
  <c r="AH1664" i="4"/>
  <c r="AH1665" i="4"/>
  <c r="AH1666" i="4"/>
  <c r="AH1667" i="4"/>
  <c r="AH1668" i="4"/>
  <c r="AH1669" i="4"/>
  <c r="AH1670" i="4"/>
  <c r="AH1671" i="4"/>
  <c r="AH1672" i="4"/>
  <c r="AH1673" i="4"/>
  <c r="AH1674" i="4"/>
  <c r="AH1675" i="4"/>
  <c r="AH1676" i="4"/>
  <c r="AH1677" i="4"/>
  <c r="AH1678" i="4"/>
  <c r="AH1679" i="4"/>
  <c r="AH1680" i="4"/>
  <c r="AH1681" i="4"/>
  <c r="AH1682" i="4"/>
  <c r="AH1683" i="4"/>
  <c r="AH1684" i="4"/>
  <c r="AH1685" i="4"/>
  <c r="AH1686" i="4"/>
  <c r="AH1687" i="4"/>
  <c r="AH1688" i="4"/>
  <c r="AH1689" i="4"/>
  <c r="AH1690" i="4"/>
  <c r="AH1691" i="4"/>
  <c r="AH1692" i="4"/>
  <c r="AH1693" i="4"/>
  <c r="AH1694" i="4"/>
  <c r="AH1695" i="4"/>
  <c r="AH1696" i="4"/>
  <c r="AH1697" i="4"/>
  <c r="AH1698" i="4"/>
  <c r="AH1699" i="4"/>
  <c r="AH1700" i="4"/>
  <c r="AH1701" i="4"/>
  <c r="AH1702" i="4"/>
  <c r="AH1703" i="4"/>
  <c r="AH1704" i="4"/>
  <c r="AH1705" i="4"/>
  <c r="AH1706" i="4"/>
  <c r="AH1707" i="4"/>
  <c r="AH1708" i="4"/>
  <c r="AH1709" i="4"/>
  <c r="AH1710" i="4"/>
  <c r="AH1711" i="4"/>
  <c r="AH1712" i="4"/>
  <c r="AH1713" i="4"/>
  <c r="AH1714" i="4"/>
  <c r="AH1715" i="4"/>
  <c r="AH1716" i="4"/>
  <c r="AH1717" i="4"/>
  <c r="AH1718" i="4"/>
  <c r="AH1719" i="4"/>
  <c r="AH1720" i="4"/>
  <c r="AH1721" i="4"/>
  <c r="AH1722" i="4"/>
  <c r="AH1723" i="4"/>
  <c r="AH1724" i="4"/>
  <c r="AH1725" i="4"/>
  <c r="AH1726" i="4"/>
  <c r="AH1727" i="4"/>
  <c r="AH1728" i="4"/>
  <c r="AH1729" i="4"/>
  <c r="AH1730" i="4"/>
  <c r="AH1731" i="4"/>
  <c r="AH1732" i="4"/>
  <c r="AH1733" i="4"/>
  <c r="AH1734" i="4"/>
  <c r="AH1735" i="4"/>
  <c r="AH1736" i="4"/>
  <c r="AH1737" i="4"/>
  <c r="AH1738" i="4"/>
  <c r="AH1739" i="4"/>
  <c r="AH1740" i="4"/>
  <c r="AH1741" i="4"/>
  <c r="AH1742" i="4"/>
  <c r="AH1743" i="4"/>
  <c r="AH1744" i="4"/>
  <c r="AH1745" i="4"/>
  <c r="AH1746" i="4"/>
  <c r="AH1747" i="4"/>
  <c r="AH1748" i="4"/>
  <c r="AH1749" i="4"/>
  <c r="AH1750" i="4"/>
  <c r="AH1751" i="4"/>
  <c r="AH1752" i="4"/>
  <c r="AH1753" i="4"/>
  <c r="AH1754" i="4"/>
  <c r="AH1755" i="4"/>
  <c r="AH1756" i="4"/>
  <c r="AH1757" i="4"/>
  <c r="AH1758" i="4"/>
  <c r="AH1759" i="4"/>
  <c r="AH1760" i="4"/>
  <c r="AH1761" i="4"/>
  <c r="AH1762" i="4"/>
  <c r="AH1763" i="4"/>
  <c r="AH1764" i="4"/>
  <c r="AH1765" i="4"/>
  <c r="AH1766" i="4"/>
  <c r="AH1767" i="4"/>
  <c r="AH1768" i="4"/>
  <c r="AH1769" i="4"/>
  <c r="AH1770" i="4"/>
  <c r="AH1771" i="4"/>
  <c r="AH1772" i="4"/>
  <c r="AH1773" i="4"/>
  <c r="AH1774" i="4"/>
  <c r="AH1775" i="4"/>
  <c r="AH1776" i="4"/>
  <c r="AH1777" i="4"/>
  <c r="AH1778" i="4"/>
  <c r="AH1779" i="4"/>
  <c r="AH1780" i="4"/>
  <c r="AH1781" i="4"/>
  <c r="AH1782" i="4"/>
  <c r="AH1783" i="4"/>
  <c r="AH1784" i="4"/>
  <c r="AH1785" i="4"/>
  <c r="AH1786" i="4"/>
  <c r="AH1787" i="4"/>
  <c r="AH1788" i="4"/>
  <c r="AH1789" i="4"/>
  <c r="AH1790" i="4"/>
  <c r="AH1791" i="4"/>
  <c r="AH1792" i="4"/>
  <c r="AH1793" i="4"/>
  <c r="AH1794" i="4"/>
  <c r="AH1795" i="4"/>
  <c r="AH1796" i="4"/>
  <c r="AH1797" i="4"/>
  <c r="AH1798" i="4"/>
  <c r="AH1799" i="4"/>
  <c r="AH1800" i="4"/>
  <c r="AH1801" i="4"/>
  <c r="AH1802" i="4"/>
  <c r="AH1803" i="4"/>
  <c r="AH1804" i="4"/>
  <c r="AH1805" i="4"/>
  <c r="AH1806" i="4"/>
  <c r="AH1807" i="4"/>
  <c r="AH1808" i="4"/>
  <c r="AH1809" i="4"/>
  <c r="AH1810" i="4"/>
  <c r="AH1811" i="4"/>
  <c r="AH1812" i="4"/>
  <c r="AH1813" i="4"/>
  <c r="AH1814" i="4"/>
  <c r="AH1815" i="4"/>
  <c r="AH1816" i="4"/>
  <c r="AH1817" i="4"/>
  <c r="AH1818" i="4"/>
  <c r="AH1819" i="4"/>
  <c r="AH1820" i="4"/>
  <c r="AH1821" i="4"/>
  <c r="AH1822" i="4"/>
  <c r="AH1823" i="4"/>
  <c r="AH1824" i="4"/>
  <c r="AH1825" i="4"/>
  <c r="AH1826" i="4"/>
  <c r="AH1827" i="4"/>
  <c r="AH1828" i="4"/>
  <c r="AH1829" i="4"/>
  <c r="AH1830" i="4"/>
  <c r="AH1831" i="4"/>
  <c r="AH1832" i="4"/>
  <c r="AH1833" i="4"/>
  <c r="AH1834" i="4"/>
  <c r="AH1835" i="4"/>
  <c r="AH1836" i="4"/>
  <c r="AH1837" i="4"/>
  <c r="AH1838" i="4"/>
  <c r="AH1839" i="4"/>
  <c r="AH1840" i="4"/>
  <c r="AH1841" i="4"/>
  <c r="AH1842" i="4"/>
  <c r="AH1843" i="4"/>
  <c r="AH1844" i="4"/>
  <c r="AH1845" i="4"/>
  <c r="AH1846" i="4"/>
  <c r="AH1847" i="4"/>
  <c r="AH1848" i="4"/>
  <c r="AH1849" i="4"/>
  <c r="AH1850" i="4"/>
  <c r="AH1851" i="4"/>
  <c r="AH1852" i="4"/>
  <c r="AH1853" i="4"/>
  <c r="AH1854" i="4"/>
  <c r="AH1855" i="4"/>
  <c r="AH1856" i="4"/>
  <c r="AH1857" i="4"/>
  <c r="AH1858" i="4"/>
  <c r="AH1859" i="4"/>
  <c r="AH1860" i="4"/>
  <c r="AH1861" i="4"/>
  <c r="AH1862" i="4"/>
  <c r="AH1863" i="4"/>
  <c r="AH1864" i="4"/>
  <c r="AH1865" i="4"/>
  <c r="AH1866" i="4"/>
  <c r="AH1867" i="4"/>
  <c r="AH1868" i="4"/>
  <c r="AH1869" i="4"/>
  <c r="AH1870" i="4"/>
  <c r="AH1871" i="4"/>
  <c r="AH1872" i="4"/>
  <c r="AH1873" i="4"/>
  <c r="AH1874" i="4"/>
  <c r="AH1875" i="4"/>
  <c r="AH1876" i="4"/>
  <c r="AH1877" i="4"/>
  <c r="AH1878" i="4"/>
  <c r="AH1879" i="4"/>
  <c r="AH1880" i="4"/>
  <c r="AH1881" i="4"/>
  <c r="AH1882" i="4"/>
  <c r="AH1883" i="4"/>
  <c r="AH1884" i="4"/>
  <c r="AH1885" i="4"/>
  <c r="AH1886" i="4"/>
  <c r="AH1887" i="4"/>
  <c r="AH1888" i="4"/>
  <c r="AH1889" i="4"/>
  <c r="AH1890" i="4"/>
  <c r="AH1891" i="4"/>
  <c r="AH1892" i="4"/>
  <c r="AH1893" i="4"/>
  <c r="AH1894" i="4"/>
  <c r="AH1895" i="4"/>
  <c r="AH1896" i="4"/>
  <c r="AH1897" i="4"/>
  <c r="AH1898" i="4"/>
  <c r="AH1899" i="4"/>
  <c r="AH1900" i="4"/>
  <c r="AH1901" i="4"/>
  <c r="AH1902" i="4"/>
  <c r="AH1903" i="4"/>
  <c r="AH1904" i="4"/>
  <c r="AH1905" i="4"/>
  <c r="AH1906" i="4"/>
  <c r="AH1907" i="4"/>
  <c r="AH1908" i="4"/>
  <c r="AH1909" i="4"/>
  <c r="AH1910" i="4"/>
  <c r="AH1911" i="4"/>
  <c r="AH1912" i="4"/>
  <c r="AH1913" i="4"/>
  <c r="AH1914" i="4"/>
  <c r="AH1915" i="4"/>
  <c r="AH1916" i="4"/>
  <c r="AH1917" i="4"/>
  <c r="AH1918" i="4"/>
  <c r="AH1919" i="4"/>
  <c r="AH1920" i="4"/>
  <c r="AH1921" i="4"/>
  <c r="AH1922" i="4"/>
  <c r="AH1923" i="4"/>
  <c r="AH1924" i="4"/>
  <c r="AH1925" i="4"/>
  <c r="AH1926" i="4"/>
  <c r="AH1927" i="4"/>
  <c r="AH1928" i="4"/>
  <c r="AH1929" i="4"/>
  <c r="AH1930" i="4"/>
  <c r="AH1931" i="4"/>
  <c r="AH1932" i="4"/>
  <c r="AH1933" i="4"/>
  <c r="AH1934" i="4"/>
  <c r="AH1935" i="4"/>
  <c r="AH1936" i="4"/>
  <c r="AH1937" i="4"/>
  <c r="AH1938" i="4"/>
  <c r="AH1939" i="4"/>
  <c r="AH1940" i="4"/>
  <c r="AH1941" i="4"/>
  <c r="AH1942" i="4"/>
  <c r="AH1943" i="4"/>
  <c r="AH1944" i="4"/>
  <c r="AH1945" i="4"/>
  <c r="AH1946" i="4"/>
  <c r="AH1947" i="4"/>
  <c r="AH1948" i="4"/>
  <c r="AH1949" i="4"/>
  <c r="AH1950" i="4"/>
  <c r="AH1951" i="4"/>
  <c r="AH1952" i="4"/>
  <c r="AH1953" i="4"/>
  <c r="AH1954" i="4"/>
  <c r="AH1955" i="4"/>
  <c r="AH1956" i="4"/>
  <c r="AH1957" i="4"/>
  <c r="AH1958" i="4"/>
  <c r="AH1959" i="4"/>
  <c r="AH1960" i="4"/>
  <c r="AH1961" i="4"/>
  <c r="AH1962" i="4"/>
  <c r="AH1963" i="4"/>
  <c r="AH1964" i="4"/>
  <c r="AH1965" i="4"/>
  <c r="AH1966" i="4"/>
  <c r="AH1967" i="4"/>
  <c r="AH1968" i="4"/>
  <c r="AH1969" i="4"/>
  <c r="AH1970" i="4"/>
  <c r="AH1971" i="4"/>
  <c r="AH1972" i="4"/>
  <c r="AH1973" i="4"/>
  <c r="AH1974" i="4"/>
  <c r="AH1975" i="4"/>
  <c r="AH1976" i="4"/>
  <c r="AH1977" i="4"/>
  <c r="AH1978" i="4"/>
  <c r="AH1979" i="4"/>
  <c r="AH1980" i="4"/>
  <c r="AH1981" i="4"/>
  <c r="AH1982" i="4"/>
  <c r="AH1983" i="4"/>
  <c r="AH1984" i="4"/>
  <c r="AH1985" i="4"/>
  <c r="AH1986" i="4"/>
  <c r="AH1987" i="4"/>
  <c r="AH1988" i="4"/>
  <c r="AH1989" i="4"/>
  <c r="AH1990" i="4"/>
  <c r="AH1991" i="4"/>
  <c r="AH1992" i="4"/>
  <c r="AH1993" i="4"/>
  <c r="AH1994" i="4"/>
  <c r="AH1995" i="4"/>
  <c r="AH1996" i="4"/>
  <c r="AH1997" i="4"/>
  <c r="AH1998" i="4"/>
  <c r="AH1999" i="4"/>
  <c r="AH2000" i="4"/>
  <c r="AH2001" i="4"/>
  <c r="AH2002" i="4"/>
  <c r="AH2003" i="4"/>
  <c r="AH2004" i="4"/>
  <c r="AH2005" i="4"/>
  <c r="AH2006" i="4"/>
  <c r="AH2007" i="4"/>
  <c r="AH2008" i="4"/>
  <c r="AH2009" i="4"/>
  <c r="AH2010" i="4"/>
  <c r="AH2011" i="4"/>
  <c r="AH2012" i="4"/>
  <c r="AH2013" i="4"/>
  <c r="AH2014" i="4"/>
  <c r="AH2015" i="4"/>
  <c r="AH2016" i="4"/>
  <c r="AH2017" i="4"/>
  <c r="AH2018" i="4"/>
  <c r="AH2019" i="4"/>
  <c r="AH2020" i="4"/>
  <c r="AH2021" i="4"/>
  <c r="AH2022" i="4"/>
  <c r="AH2023" i="4"/>
  <c r="AH2024" i="4"/>
  <c r="AH2025" i="4"/>
  <c r="AH2026" i="4"/>
  <c r="AH2027" i="4"/>
  <c r="AH2028" i="4"/>
  <c r="AH2029" i="4"/>
  <c r="AH2030" i="4"/>
  <c r="AH2031" i="4"/>
  <c r="AH2032" i="4"/>
  <c r="AH2033" i="4"/>
  <c r="AH2034" i="4"/>
  <c r="AH2035" i="4"/>
  <c r="AH2036" i="4"/>
  <c r="AH2037" i="4"/>
  <c r="AH2038" i="4"/>
  <c r="AH2039" i="4"/>
  <c r="AH2040" i="4"/>
  <c r="AH2041" i="4"/>
  <c r="AH2042" i="4"/>
  <c r="AH2043" i="4"/>
  <c r="AH2044" i="4"/>
  <c r="AH2045" i="4"/>
  <c r="AH2046" i="4"/>
  <c r="AH2047" i="4"/>
  <c r="AH2048" i="4"/>
  <c r="AH2049" i="4"/>
  <c r="AH2050" i="4"/>
  <c r="AH2051" i="4"/>
  <c r="AH2052" i="4"/>
  <c r="AH2053" i="4"/>
  <c r="AH2054" i="4"/>
  <c r="AH2055" i="4"/>
  <c r="AH2056" i="4"/>
  <c r="AH2057" i="4"/>
  <c r="AH2058" i="4"/>
  <c r="AH2059" i="4"/>
  <c r="AH2060" i="4"/>
  <c r="AH2061" i="4"/>
  <c r="AH2062" i="4"/>
  <c r="AH2063" i="4"/>
  <c r="AH2064" i="4"/>
  <c r="AH2065" i="4"/>
  <c r="AH2066" i="4"/>
  <c r="AH2067" i="4"/>
  <c r="AH2068" i="4"/>
  <c r="AH2069" i="4"/>
  <c r="AH2070" i="4"/>
  <c r="AH2071" i="4"/>
  <c r="AH2072" i="4"/>
  <c r="AH2073" i="4"/>
  <c r="AH2074" i="4"/>
  <c r="AH2075" i="4"/>
  <c r="AH2076" i="4"/>
  <c r="AH2077" i="4"/>
  <c r="AH2078" i="4"/>
  <c r="AH2079" i="4"/>
  <c r="AH2080" i="4"/>
  <c r="AH2081" i="4"/>
  <c r="AH2082" i="4"/>
  <c r="AH2083" i="4"/>
  <c r="AH2084" i="4"/>
  <c r="AH2085" i="4"/>
  <c r="AH2086" i="4"/>
  <c r="AH2087" i="4"/>
  <c r="AH2088" i="4"/>
  <c r="AH2089" i="4"/>
  <c r="AH2090" i="4"/>
  <c r="AH2091" i="4"/>
  <c r="AH2092" i="4"/>
  <c r="AH2093" i="4"/>
  <c r="AH2094" i="4"/>
  <c r="AH2095" i="4"/>
  <c r="AH2096" i="4"/>
  <c r="AH2097" i="4"/>
  <c r="AH2098" i="4"/>
  <c r="AH2099" i="4"/>
  <c r="AH2100" i="4"/>
  <c r="AH2101" i="4"/>
  <c r="AH2102" i="4"/>
  <c r="AH2103" i="4"/>
  <c r="AH2104" i="4"/>
  <c r="AH2105" i="4"/>
  <c r="AH2106" i="4"/>
  <c r="AH2107" i="4"/>
  <c r="AH2108" i="4"/>
  <c r="AH2109" i="4"/>
  <c r="AH2110" i="4"/>
  <c r="AH2111" i="4"/>
  <c r="AH2112" i="4"/>
  <c r="AH2113" i="4"/>
  <c r="AH2114" i="4"/>
  <c r="AH2115" i="4"/>
  <c r="AH2116" i="4"/>
  <c r="AH2117" i="4"/>
  <c r="AH2118" i="4"/>
  <c r="AH2119" i="4"/>
  <c r="AH2120" i="4"/>
  <c r="AH2121" i="4"/>
  <c r="AH2122" i="4"/>
  <c r="AH2123" i="4"/>
  <c r="AH2124" i="4"/>
  <c r="AH2125" i="4"/>
  <c r="AH2126" i="4"/>
  <c r="AH2127" i="4"/>
  <c r="AH2128" i="4"/>
  <c r="AH2129" i="4"/>
  <c r="AH2130" i="4"/>
  <c r="AH2131" i="4"/>
  <c r="AH2132" i="4"/>
  <c r="AH2133" i="4"/>
  <c r="AH2134" i="4"/>
  <c r="AH2135" i="4"/>
  <c r="AH2136" i="4"/>
  <c r="AH2137" i="4"/>
  <c r="AH2138" i="4"/>
  <c r="AH2139" i="4"/>
  <c r="AH2140" i="4"/>
  <c r="AH2141" i="4"/>
  <c r="AH2142" i="4"/>
  <c r="AH2143" i="4"/>
  <c r="AH2144" i="4"/>
  <c r="AH2145" i="4"/>
  <c r="AH2146" i="4"/>
  <c r="AH2147" i="4"/>
  <c r="AH2148" i="4"/>
  <c r="AH2149" i="4"/>
  <c r="AH2150" i="4"/>
  <c r="AH2151" i="4"/>
  <c r="AH2152" i="4"/>
  <c r="AH2153" i="4"/>
  <c r="AH2154" i="4"/>
  <c r="AH2155" i="4"/>
  <c r="AH2156" i="4"/>
  <c r="AH2157" i="4"/>
  <c r="AH2158" i="4"/>
  <c r="AH2159" i="4"/>
  <c r="AH2160" i="4"/>
  <c r="AH2161" i="4"/>
  <c r="AH2162" i="4"/>
  <c r="AH2163" i="4"/>
  <c r="AH2164" i="4"/>
  <c r="AH2165" i="4"/>
  <c r="AH2166" i="4"/>
  <c r="AH2167" i="4"/>
  <c r="AH2168" i="4"/>
  <c r="AH2169" i="4"/>
  <c r="AH2170" i="4"/>
  <c r="AH2171" i="4"/>
  <c r="AH2172" i="4"/>
  <c r="AH2173" i="4"/>
  <c r="AH2174" i="4"/>
  <c r="AH2175" i="4"/>
  <c r="AH2176" i="4"/>
  <c r="AH2177" i="4"/>
  <c r="AH2178" i="4"/>
  <c r="AH2179" i="4"/>
  <c r="AH2180" i="4"/>
  <c r="AH2181" i="4"/>
  <c r="AH2182" i="4"/>
  <c r="AH2183" i="4"/>
  <c r="AH2184" i="4"/>
  <c r="AH2185" i="4"/>
  <c r="AH2186" i="4"/>
  <c r="AH2187" i="4"/>
  <c r="AH2188" i="4"/>
  <c r="AH2189" i="4"/>
  <c r="AH2190" i="4"/>
  <c r="AH2191" i="4"/>
  <c r="AH2192" i="4"/>
  <c r="AH2193" i="4"/>
  <c r="AH2194" i="4"/>
  <c r="AH2195" i="4"/>
  <c r="AH2196" i="4"/>
  <c r="AH2197" i="4"/>
  <c r="AH2198" i="4"/>
  <c r="AH2199" i="4"/>
  <c r="AH2200" i="4"/>
  <c r="AH2201" i="4"/>
  <c r="AH2202" i="4"/>
  <c r="AH2203" i="4"/>
  <c r="AH2204" i="4"/>
  <c r="AH2205" i="4"/>
  <c r="AH2206" i="4"/>
  <c r="AH2207" i="4"/>
  <c r="AH2208" i="4"/>
  <c r="AH2209" i="4"/>
  <c r="AH2210" i="4"/>
  <c r="AH2211" i="4"/>
  <c r="AH2212" i="4"/>
  <c r="AH2213" i="4"/>
  <c r="AH2214" i="4"/>
  <c r="AH2215" i="4"/>
  <c r="AH2216" i="4"/>
  <c r="AH2217" i="4"/>
  <c r="AH2218" i="4"/>
  <c r="AH2219" i="4"/>
  <c r="AH2220" i="4"/>
  <c r="AH2221" i="4"/>
  <c r="AH2222" i="4"/>
  <c r="AH2223" i="4"/>
  <c r="AH2224" i="4"/>
  <c r="AH2225" i="4"/>
  <c r="AH2226" i="4"/>
  <c r="AH2227" i="4"/>
  <c r="AH2228" i="4"/>
  <c r="AH2229" i="4"/>
  <c r="AH2230" i="4"/>
  <c r="AH2231" i="4"/>
  <c r="AH2232" i="4"/>
  <c r="AH2233" i="4"/>
  <c r="AH2234" i="4"/>
  <c r="AH2235" i="4"/>
  <c r="AH2236" i="4"/>
  <c r="AH2237" i="4"/>
  <c r="AH2238" i="4"/>
  <c r="AH2239" i="4"/>
  <c r="AH2240" i="4"/>
  <c r="AH2241" i="4"/>
  <c r="AH2242" i="4"/>
  <c r="AH2243" i="4"/>
  <c r="AH2244" i="4"/>
  <c r="AH2245" i="4"/>
  <c r="AH2246" i="4"/>
  <c r="AH2247" i="4"/>
  <c r="AH2248" i="4"/>
  <c r="AH2249" i="4"/>
  <c r="AH2250" i="4"/>
  <c r="AH2251" i="4"/>
  <c r="AH2252" i="4"/>
  <c r="AH2253" i="4"/>
  <c r="AH2254" i="4"/>
  <c r="AH2255" i="4"/>
  <c r="AH2256" i="4"/>
  <c r="AH2257" i="4"/>
  <c r="AH2258" i="4"/>
  <c r="AH2259" i="4"/>
  <c r="AH2260" i="4"/>
  <c r="AH2261" i="4"/>
  <c r="AH2262" i="4"/>
  <c r="AH2263" i="4"/>
  <c r="AH2264" i="4"/>
  <c r="AH2265" i="4"/>
  <c r="AH2266" i="4"/>
  <c r="AH2267" i="4"/>
  <c r="AH2268" i="4"/>
  <c r="AH2269" i="4"/>
  <c r="AH2270" i="4"/>
  <c r="AH2271" i="4"/>
  <c r="AH2272" i="4"/>
  <c r="AH2273" i="4"/>
  <c r="AH2274" i="4"/>
  <c r="AH2275" i="4"/>
  <c r="AH2276" i="4"/>
  <c r="AH2277" i="4"/>
  <c r="AH2278" i="4"/>
  <c r="AH2279" i="4"/>
  <c r="AH2280" i="4"/>
  <c r="AH2281" i="4"/>
  <c r="AH2282" i="4"/>
  <c r="AH2283" i="4"/>
  <c r="AH2284" i="4"/>
  <c r="AH2285" i="4"/>
  <c r="AH2286" i="4"/>
  <c r="AH2287" i="4"/>
  <c r="AH2288" i="4"/>
  <c r="AH2289" i="4"/>
  <c r="AH2290" i="4"/>
  <c r="AH2291" i="4"/>
  <c r="AH2292" i="4"/>
  <c r="AH2293" i="4"/>
  <c r="AH2294" i="4"/>
  <c r="AH2295" i="4"/>
  <c r="AH2296" i="4"/>
  <c r="AH2297" i="4"/>
  <c r="AH2298" i="4"/>
  <c r="AH2299" i="4"/>
  <c r="AH2300" i="4"/>
  <c r="AH2301" i="4"/>
  <c r="AH2302" i="4"/>
  <c r="AH2303" i="4"/>
  <c r="AH2304" i="4"/>
  <c r="AH2305" i="4"/>
  <c r="AH2306" i="4"/>
  <c r="AH2307" i="4"/>
  <c r="AH2308" i="4"/>
  <c r="AH2309" i="4"/>
  <c r="AH2310" i="4"/>
  <c r="AH2311" i="4"/>
  <c r="AH2312" i="4"/>
  <c r="AH2313" i="4"/>
  <c r="AH2314" i="4"/>
  <c r="AH2315" i="4"/>
  <c r="AH2316" i="4"/>
  <c r="AH2317" i="4"/>
  <c r="AH2318" i="4"/>
  <c r="AH2319" i="4"/>
  <c r="AH2320" i="4"/>
  <c r="AH2321" i="4"/>
  <c r="AH2322" i="4"/>
  <c r="AH2323" i="4"/>
  <c r="AH2324" i="4"/>
  <c r="AH2325" i="4"/>
  <c r="AH2326" i="4"/>
  <c r="AH2327" i="4"/>
  <c r="AH2328" i="4"/>
  <c r="AH2329" i="4"/>
  <c r="AH2330" i="4"/>
  <c r="AH2331" i="4"/>
  <c r="AH2332" i="4"/>
  <c r="AH2333" i="4"/>
  <c r="AH2334" i="4"/>
  <c r="AH2335" i="4"/>
  <c r="AH2336" i="4"/>
  <c r="AH2337" i="4"/>
  <c r="AH2338" i="4"/>
  <c r="AH2339" i="4"/>
  <c r="AH2340" i="4"/>
  <c r="AH2341" i="4"/>
  <c r="AH2342" i="4"/>
  <c r="AH2343" i="4"/>
  <c r="AH2344" i="4"/>
  <c r="AH2345" i="4"/>
  <c r="AH2346" i="4"/>
  <c r="AH2347" i="4"/>
  <c r="AH2348" i="4"/>
  <c r="AH2349" i="4"/>
  <c r="AH2350" i="4"/>
  <c r="AH2351" i="4"/>
  <c r="AH2352" i="4"/>
  <c r="AH2353" i="4"/>
  <c r="AH2354" i="4"/>
  <c r="AH2355" i="4"/>
  <c r="AH2356" i="4"/>
  <c r="AH2357" i="4"/>
  <c r="AH2358" i="4"/>
  <c r="AH2359" i="4"/>
  <c r="AH2360" i="4"/>
  <c r="AH2361" i="4"/>
  <c r="AH2362" i="4"/>
  <c r="AH2363" i="4"/>
  <c r="AH2364" i="4"/>
  <c r="AH2365" i="4"/>
  <c r="AH2366" i="4"/>
  <c r="AH2367" i="4"/>
  <c r="AH2368" i="4"/>
  <c r="AH2369" i="4"/>
  <c r="AH2370" i="4"/>
  <c r="AH2371" i="4"/>
  <c r="AH2372" i="4"/>
  <c r="AH2373" i="4"/>
  <c r="AH2374" i="4"/>
  <c r="AH2375" i="4"/>
  <c r="AH2376" i="4"/>
  <c r="AH2377" i="4"/>
  <c r="AH2378" i="4"/>
  <c r="AH2379" i="4"/>
  <c r="AH2380" i="4"/>
  <c r="AH2381" i="4"/>
  <c r="AH2382" i="4"/>
  <c r="AH2383" i="4"/>
  <c r="AH2384" i="4"/>
  <c r="AH2385" i="4"/>
  <c r="AH2386" i="4"/>
  <c r="AH2387" i="4"/>
  <c r="AH2388" i="4"/>
  <c r="AH2389" i="4"/>
  <c r="AH2390" i="4"/>
  <c r="AH2391" i="4"/>
  <c r="AH2392" i="4"/>
  <c r="AH2393" i="4"/>
  <c r="AH2394" i="4"/>
  <c r="AH2395" i="4"/>
  <c r="AH2396" i="4"/>
  <c r="AH2397" i="4"/>
  <c r="AH2398" i="4"/>
  <c r="AH2399" i="4"/>
  <c r="AH2400" i="4"/>
  <c r="AH2401" i="4"/>
  <c r="AH2402" i="4"/>
  <c r="AH2403" i="4"/>
  <c r="AH2404" i="4"/>
  <c r="AH2405" i="4"/>
  <c r="AH2406" i="4"/>
  <c r="AH2407" i="4"/>
  <c r="AH2408" i="4"/>
  <c r="AH2409" i="4"/>
  <c r="AH2410" i="4"/>
  <c r="AH2411" i="4"/>
  <c r="AH2412" i="4"/>
  <c r="AH2413" i="4"/>
  <c r="AH2414" i="4"/>
  <c r="AH2415" i="4"/>
  <c r="AH2416" i="4"/>
  <c r="AH2417" i="4"/>
  <c r="AH2418" i="4"/>
  <c r="AH2419" i="4"/>
  <c r="AH2420" i="4"/>
  <c r="AH2421" i="4"/>
  <c r="AH2422" i="4"/>
  <c r="AH2423" i="4"/>
  <c r="AH2424" i="4"/>
  <c r="AH2425" i="4"/>
  <c r="AH2426" i="4"/>
  <c r="AH2427" i="4"/>
  <c r="AH2428" i="4"/>
  <c r="AH2429" i="4"/>
  <c r="AH2430" i="4"/>
  <c r="AH2431" i="4"/>
  <c r="AH2432" i="4"/>
  <c r="AH2433" i="4"/>
  <c r="AH2434" i="4"/>
  <c r="AH2435" i="4"/>
  <c r="AH2436" i="4"/>
  <c r="AH2437" i="4"/>
  <c r="AH2438" i="4"/>
  <c r="AH2439" i="4"/>
  <c r="AH2440" i="4"/>
  <c r="AH2441" i="4"/>
  <c r="AH2442" i="4"/>
  <c r="AH2443" i="4"/>
  <c r="AH2444" i="4"/>
  <c r="AH2445" i="4"/>
  <c r="AH2446" i="4"/>
  <c r="AH2447" i="4"/>
  <c r="AH2448" i="4"/>
  <c r="AH2449" i="4"/>
  <c r="AH2450" i="4"/>
  <c r="AH2451" i="4"/>
  <c r="AH2452" i="4"/>
  <c r="AH2453" i="4"/>
  <c r="AH2454" i="4"/>
  <c r="AH2455" i="4"/>
  <c r="AH2456" i="4"/>
  <c r="AH2457" i="4"/>
  <c r="AH2458" i="4"/>
  <c r="AH2459" i="4"/>
  <c r="AH2460" i="4"/>
  <c r="AH2461" i="4"/>
  <c r="AH2462" i="4"/>
  <c r="AH2463" i="4"/>
  <c r="AH2464" i="4"/>
  <c r="AH2465" i="4"/>
  <c r="AH2466" i="4"/>
  <c r="AH2467" i="4"/>
  <c r="AH2468" i="4"/>
  <c r="AH2469" i="4"/>
  <c r="AH2470" i="4"/>
  <c r="AH2471" i="4"/>
  <c r="AH2472" i="4"/>
  <c r="AH2473" i="4"/>
  <c r="AH2474" i="4"/>
  <c r="AH2475" i="4"/>
  <c r="AH2476" i="4"/>
  <c r="AH2477" i="4"/>
  <c r="AH2478" i="4"/>
  <c r="AH2479" i="4"/>
  <c r="AH2480" i="4"/>
  <c r="AH2481" i="4"/>
  <c r="AH2482" i="4"/>
  <c r="AH2483" i="4"/>
  <c r="AH2484" i="4"/>
  <c r="AH2485" i="4"/>
  <c r="AH2486" i="4"/>
  <c r="AH2487" i="4"/>
  <c r="AH2488" i="4"/>
  <c r="AH2489" i="4"/>
  <c r="AH2490" i="4"/>
  <c r="AH2491" i="4"/>
  <c r="AH2492" i="4"/>
  <c r="AH2493" i="4"/>
  <c r="AH2494" i="4"/>
  <c r="AH2495" i="4"/>
  <c r="AH2496" i="4"/>
  <c r="AH2497" i="4"/>
  <c r="AH2498" i="4"/>
  <c r="AH2499" i="4"/>
  <c r="AH2500" i="4"/>
  <c r="AH2501" i="4"/>
  <c r="AH2502" i="4"/>
  <c r="AH2503" i="4"/>
  <c r="AH2504" i="4"/>
  <c r="AH2505" i="4"/>
  <c r="AH2506" i="4"/>
  <c r="AH2507" i="4"/>
  <c r="AH2508" i="4"/>
  <c r="AH2509" i="4"/>
  <c r="AH2510" i="4"/>
  <c r="AH2511" i="4"/>
  <c r="AH2512" i="4"/>
  <c r="AH2513" i="4"/>
  <c r="AH2514" i="4"/>
  <c r="AH2515" i="4"/>
  <c r="AH2516" i="4"/>
  <c r="AH2517" i="4"/>
  <c r="AH2518" i="4"/>
  <c r="AH2519" i="4"/>
  <c r="AH2520" i="4"/>
  <c r="AH2521" i="4"/>
  <c r="AH2522" i="4"/>
  <c r="AH2523" i="4"/>
  <c r="AH2524" i="4"/>
  <c r="AH2525" i="4"/>
  <c r="AH2526" i="4"/>
  <c r="AH2527" i="4"/>
  <c r="AH2528" i="4"/>
  <c r="AH2529" i="4"/>
  <c r="AH2530" i="4"/>
  <c r="AH2531" i="4"/>
  <c r="AH2532" i="4"/>
  <c r="AH2533" i="4"/>
  <c r="AH2534" i="4"/>
  <c r="AH2535" i="4"/>
  <c r="AH2536" i="4"/>
  <c r="AH2537" i="4"/>
  <c r="AH2538" i="4"/>
  <c r="AH2539" i="4"/>
  <c r="AH2540" i="4"/>
  <c r="AH2541" i="4"/>
  <c r="AH2542" i="4"/>
  <c r="AH2543" i="4"/>
  <c r="AH2544" i="4"/>
  <c r="AH2545" i="4"/>
  <c r="AH2546" i="4"/>
  <c r="AH2547" i="4"/>
  <c r="AH2548" i="4"/>
  <c r="AH2549" i="4"/>
  <c r="AH2550" i="4"/>
  <c r="AH2551" i="4"/>
  <c r="AH2552" i="4"/>
  <c r="AH2553" i="4"/>
  <c r="AH2554" i="4"/>
  <c r="AH2555" i="4"/>
  <c r="AH2556" i="4"/>
  <c r="AH2557" i="4"/>
  <c r="AH2558" i="4"/>
  <c r="AH2559" i="4"/>
  <c r="AH2560" i="4"/>
  <c r="AH2561" i="4"/>
  <c r="AH2562" i="4"/>
  <c r="AH2563" i="4"/>
  <c r="AH2564" i="4"/>
  <c r="AH2565" i="4"/>
  <c r="AH2566" i="4"/>
  <c r="AH2567" i="4"/>
  <c r="AH2568" i="4"/>
  <c r="AH2569" i="4"/>
  <c r="AH2570" i="4"/>
  <c r="AH2571" i="4"/>
  <c r="AH2572" i="4"/>
  <c r="AH2573" i="4"/>
  <c r="AH2574" i="4"/>
  <c r="AH2575" i="4"/>
  <c r="AH2576" i="4"/>
  <c r="AH2577" i="4"/>
  <c r="AH2578" i="4"/>
  <c r="AH2579" i="4"/>
  <c r="AH2580" i="4"/>
  <c r="AH2581" i="4"/>
  <c r="AH2582" i="4"/>
  <c r="AH2583" i="4"/>
  <c r="AH2584" i="4"/>
  <c r="AH2585" i="4"/>
  <c r="AH2586" i="4"/>
  <c r="AH2587" i="4"/>
  <c r="AH2588" i="4"/>
  <c r="AH2589" i="4"/>
  <c r="AH2590" i="4"/>
  <c r="AH2591" i="4"/>
  <c r="AH2592" i="4"/>
  <c r="AH2593" i="4"/>
  <c r="AH2594" i="4"/>
  <c r="AH2595" i="4"/>
  <c r="AH2596" i="4"/>
  <c r="AH2597" i="4"/>
  <c r="AH2598" i="4"/>
  <c r="AH2599" i="4"/>
  <c r="AH2600" i="4"/>
  <c r="AH2601" i="4"/>
  <c r="AH2602" i="4"/>
  <c r="AH2603" i="4"/>
  <c r="AH2604" i="4"/>
  <c r="AH2605" i="4"/>
  <c r="AH2606" i="4"/>
  <c r="AH2607" i="4"/>
  <c r="AH2608" i="4"/>
  <c r="AH2609" i="4"/>
  <c r="AH2610" i="4"/>
  <c r="AH2611" i="4"/>
  <c r="AH2612" i="4"/>
  <c r="AH2613" i="4"/>
  <c r="AH2614" i="4"/>
  <c r="AH2615" i="4"/>
  <c r="AH2616" i="4"/>
  <c r="AH2617" i="4"/>
  <c r="AH2618" i="4"/>
  <c r="AH2619" i="4"/>
  <c r="AH2620" i="4"/>
  <c r="AH2621" i="4"/>
  <c r="AH2622" i="4"/>
  <c r="AH2623" i="4"/>
  <c r="AH2624" i="4"/>
  <c r="AH2625" i="4"/>
  <c r="AH2626" i="4"/>
  <c r="AH2627" i="4"/>
  <c r="AH2628" i="4"/>
  <c r="AH2629" i="4"/>
  <c r="AH2630" i="4"/>
  <c r="AH2631" i="4"/>
  <c r="AH2632" i="4"/>
  <c r="AH2633" i="4"/>
  <c r="AH2634" i="4"/>
  <c r="AH2635" i="4"/>
  <c r="AH2636" i="4"/>
  <c r="AH2637" i="4"/>
  <c r="AH2638" i="4"/>
  <c r="AH2639" i="4"/>
  <c r="AH2640" i="4"/>
  <c r="AH2641" i="4"/>
  <c r="AH2642" i="4"/>
  <c r="AH2643" i="4"/>
  <c r="AH2644" i="4"/>
  <c r="AH2645" i="4"/>
  <c r="AH2646" i="4"/>
  <c r="AH2647" i="4"/>
  <c r="AH2648" i="4"/>
  <c r="AH2649" i="4"/>
  <c r="AH2650" i="4"/>
  <c r="AH2651" i="4"/>
  <c r="AH2652" i="4"/>
  <c r="AH2653" i="4"/>
  <c r="AH2654" i="4"/>
  <c r="AH2655" i="4"/>
  <c r="AH2656" i="4"/>
  <c r="AH2657" i="4"/>
  <c r="AH2658" i="4"/>
  <c r="AH2659" i="4"/>
  <c r="AH2660" i="4"/>
  <c r="AH2661" i="4"/>
  <c r="AH2662" i="4"/>
  <c r="AH2663" i="4"/>
  <c r="AH2664" i="4"/>
  <c r="AH2665" i="4"/>
  <c r="AH2666" i="4"/>
  <c r="AH2667" i="4"/>
  <c r="AH2668" i="4"/>
  <c r="AH2669" i="4"/>
  <c r="AH2670" i="4"/>
  <c r="AH2671" i="4"/>
  <c r="AH2672" i="4"/>
  <c r="AH2673" i="4"/>
  <c r="AH2674" i="4"/>
  <c r="AH2675" i="4"/>
  <c r="AH2676" i="4"/>
  <c r="AH2677" i="4"/>
  <c r="AH2678" i="4"/>
  <c r="AH2679" i="4"/>
  <c r="AH2680" i="4"/>
  <c r="AH2681" i="4"/>
  <c r="AH2682" i="4"/>
  <c r="AH2683" i="4"/>
  <c r="AH2684" i="4"/>
  <c r="AH2685" i="4"/>
  <c r="AH2686" i="4"/>
  <c r="AH2687" i="4"/>
  <c r="AH2688" i="4"/>
  <c r="AH2689" i="4"/>
  <c r="AH2690" i="4"/>
  <c r="AH2691" i="4"/>
  <c r="AH2692" i="4"/>
  <c r="AH2693" i="4"/>
  <c r="AH2694" i="4"/>
  <c r="AH2695" i="4"/>
  <c r="AH2696" i="4"/>
  <c r="AH2697" i="4"/>
  <c r="AH2698" i="4"/>
  <c r="AH2699" i="4"/>
  <c r="AH2700" i="4"/>
  <c r="AH2701" i="4"/>
  <c r="AH2702" i="4"/>
  <c r="AH2703" i="4"/>
  <c r="AH2704" i="4"/>
  <c r="AH2705" i="4"/>
  <c r="AH2706" i="4"/>
  <c r="AH2707" i="4"/>
  <c r="AH2708" i="4"/>
  <c r="AH2709" i="4"/>
  <c r="AH2710" i="4"/>
  <c r="AH2711" i="4"/>
  <c r="AH2712" i="4"/>
  <c r="AH2713" i="4"/>
  <c r="AH2714" i="4"/>
  <c r="AH2715" i="4"/>
  <c r="AH2716" i="4"/>
  <c r="AH2717" i="4"/>
  <c r="AH2718" i="4"/>
  <c r="AH2719" i="4"/>
  <c r="AH2720" i="4"/>
  <c r="AH2721" i="4"/>
  <c r="AH2722" i="4"/>
  <c r="AH2723" i="4"/>
  <c r="AH2724" i="4"/>
  <c r="AH2725" i="4"/>
  <c r="AH2726" i="4"/>
  <c r="AH2727" i="4"/>
  <c r="AH2728" i="4"/>
  <c r="AH2729" i="4"/>
  <c r="AH2730" i="4"/>
  <c r="AH2731" i="4"/>
  <c r="AH2732" i="4"/>
  <c r="AH2733" i="4"/>
  <c r="AH2734" i="4"/>
  <c r="AH2735" i="4"/>
  <c r="AH2736" i="4"/>
  <c r="AH2737" i="4"/>
  <c r="AH2738" i="4"/>
  <c r="AH2739" i="4"/>
  <c r="AH2740" i="4"/>
  <c r="AH2741" i="4"/>
  <c r="AH2742" i="4"/>
  <c r="AH2743" i="4"/>
  <c r="AH2744" i="4"/>
  <c r="AH2745" i="4"/>
  <c r="AH2746" i="4"/>
  <c r="AH2747" i="4"/>
  <c r="AH2748" i="4"/>
  <c r="AH2749" i="4"/>
  <c r="AH2750" i="4"/>
  <c r="AH2751" i="4"/>
  <c r="AH2752" i="4"/>
  <c r="AH2753" i="4"/>
  <c r="AH2754" i="4"/>
  <c r="AH2755" i="4"/>
  <c r="AH2756" i="4"/>
  <c r="AH2757" i="4"/>
  <c r="AH2758" i="4"/>
  <c r="AH2759" i="4"/>
  <c r="AH2760" i="4"/>
  <c r="AH2761" i="4"/>
  <c r="AH2762" i="4"/>
  <c r="AH2763" i="4"/>
  <c r="AH2764" i="4"/>
  <c r="AH2765" i="4"/>
  <c r="AH2766" i="4"/>
  <c r="AH2767" i="4"/>
  <c r="AH2768" i="4"/>
  <c r="AH2769" i="4"/>
  <c r="AH2770" i="4"/>
  <c r="AH2771" i="4"/>
  <c r="AH2772" i="4"/>
  <c r="AH2773" i="4"/>
  <c r="AH2774" i="4"/>
  <c r="AH2775" i="4"/>
  <c r="AH2776" i="4"/>
  <c r="AH2777" i="4"/>
  <c r="AH2778" i="4"/>
  <c r="AH2779" i="4"/>
  <c r="AH2780" i="4"/>
  <c r="AH2781" i="4"/>
  <c r="AH2782" i="4"/>
  <c r="AH2783" i="4"/>
  <c r="AH2784" i="4"/>
  <c r="AH2785" i="4"/>
  <c r="AH2786" i="4"/>
  <c r="AH2787" i="4"/>
  <c r="AH2788" i="4"/>
  <c r="AH2789" i="4"/>
  <c r="AH2790" i="4"/>
  <c r="AH2791" i="4"/>
  <c r="AH2792" i="4"/>
  <c r="AH2793" i="4"/>
  <c r="AH2794" i="4"/>
  <c r="AH2795" i="4"/>
  <c r="AH2796" i="4"/>
  <c r="AH2797" i="4"/>
  <c r="AH2798" i="4"/>
  <c r="AH2799" i="4"/>
  <c r="AH2800" i="4"/>
  <c r="AH2801" i="4"/>
  <c r="AH2802" i="4"/>
  <c r="AH2803" i="4"/>
  <c r="AH2804" i="4"/>
  <c r="AH2805" i="4"/>
  <c r="AH2806" i="4"/>
  <c r="AH2807" i="4"/>
  <c r="AH2808" i="4"/>
  <c r="AH2809" i="4"/>
  <c r="AH2810" i="4"/>
  <c r="AH2811" i="4"/>
  <c r="AH2812" i="4"/>
  <c r="AH2813" i="4"/>
  <c r="AH2814" i="4"/>
  <c r="AH2815" i="4"/>
  <c r="AH2816" i="4"/>
  <c r="AH2817" i="4"/>
  <c r="AH2818" i="4"/>
  <c r="AH2819" i="4"/>
  <c r="AH2820" i="4"/>
  <c r="AH2821" i="4"/>
  <c r="AH2822" i="4"/>
  <c r="AH2823" i="4"/>
  <c r="AH2824" i="4"/>
  <c r="AH2825" i="4"/>
  <c r="AH2826" i="4"/>
  <c r="AH2827" i="4"/>
  <c r="AH2828" i="4"/>
  <c r="AH2829" i="4"/>
  <c r="AH2830" i="4"/>
  <c r="AH2831" i="4"/>
  <c r="AH2832" i="4"/>
  <c r="AH2833" i="4"/>
  <c r="AH2834" i="4"/>
  <c r="AH2835" i="4"/>
  <c r="AH2836" i="4"/>
  <c r="AH2837" i="4"/>
  <c r="AH2838" i="4"/>
  <c r="AH2839" i="4"/>
  <c r="AH2840" i="4"/>
  <c r="AH2841" i="4"/>
  <c r="AH2842" i="4"/>
  <c r="AH2843" i="4"/>
  <c r="AH2844" i="4"/>
  <c r="AH2845" i="4"/>
  <c r="AH2846" i="4"/>
  <c r="AH2847" i="4"/>
  <c r="AH2848" i="4"/>
  <c r="AH2849" i="4"/>
  <c r="AH2850" i="4"/>
  <c r="AH2851" i="4"/>
  <c r="AH2852" i="4"/>
  <c r="AH2853" i="4"/>
  <c r="AH2854" i="4"/>
  <c r="AH2855" i="4"/>
  <c r="AH2856" i="4"/>
  <c r="AH2857" i="4"/>
  <c r="AH2858" i="4"/>
  <c r="AH2859" i="4"/>
  <c r="AH2860" i="4"/>
  <c r="AH2861" i="4"/>
  <c r="AH2862" i="4"/>
  <c r="AH2863" i="4"/>
  <c r="AH2864" i="4"/>
  <c r="AH2865" i="4"/>
  <c r="AH2866" i="4"/>
  <c r="AH2867" i="4"/>
  <c r="AH2868" i="4"/>
  <c r="AH2869" i="4"/>
  <c r="AH2870" i="4"/>
  <c r="AH2871" i="4"/>
  <c r="AH2872" i="4"/>
  <c r="AH2873" i="4"/>
  <c r="AH2874" i="4"/>
  <c r="AH2875" i="4"/>
  <c r="AH2876" i="4"/>
  <c r="AH2877" i="4"/>
  <c r="AH2878" i="4"/>
  <c r="AH2879" i="4"/>
  <c r="AH2880" i="4"/>
  <c r="AH2881" i="4"/>
  <c r="AH2882" i="4"/>
  <c r="AH2883" i="4"/>
  <c r="AH2884" i="4"/>
  <c r="AH2885" i="4"/>
  <c r="AH2886" i="4"/>
  <c r="AH2887" i="4"/>
  <c r="AH2888" i="4"/>
  <c r="AH2889" i="4"/>
  <c r="AH2890" i="4"/>
  <c r="AH2891" i="4"/>
  <c r="AH2892" i="4"/>
  <c r="AH2893" i="4"/>
  <c r="AH2894" i="4"/>
  <c r="AH2895" i="4"/>
  <c r="AH2896" i="4"/>
  <c r="AH2897" i="4"/>
  <c r="AH2898" i="4"/>
  <c r="AH2899" i="4"/>
  <c r="AH2900" i="4"/>
  <c r="AH2901" i="4"/>
  <c r="AH2902" i="4"/>
  <c r="AH2903" i="4"/>
  <c r="AH2904" i="4"/>
  <c r="AH2905" i="4"/>
  <c r="AH2906" i="4"/>
  <c r="AH2907" i="4"/>
  <c r="AH2908" i="4"/>
  <c r="AH2909" i="4"/>
  <c r="AH2910" i="4"/>
  <c r="AH2911" i="4"/>
  <c r="AH2912" i="4"/>
  <c r="AH2913" i="4"/>
  <c r="AH2914" i="4"/>
  <c r="AH2915" i="4"/>
  <c r="AH2916" i="4"/>
  <c r="AH2917" i="4"/>
  <c r="AH2918" i="4"/>
  <c r="AH2919" i="4"/>
  <c r="AH2920" i="4"/>
  <c r="AH2921" i="4"/>
  <c r="AH2922" i="4"/>
  <c r="AH2923" i="4"/>
  <c r="AH2924" i="4"/>
  <c r="AH2925" i="4"/>
  <c r="AH2926" i="4"/>
  <c r="AH2927" i="4"/>
  <c r="AH2928" i="4"/>
  <c r="AH2929" i="4"/>
  <c r="AH2930" i="4"/>
  <c r="AH2931" i="4"/>
  <c r="AH2932" i="4"/>
  <c r="AH2933" i="4"/>
  <c r="AH2934" i="4"/>
  <c r="AH2935" i="4"/>
  <c r="AH2936" i="4"/>
  <c r="AH2937" i="4"/>
  <c r="AH2938" i="4"/>
  <c r="AH2939" i="4"/>
  <c r="AH2940" i="4"/>
  <c r="AH2941" i="4"/>
  <c r="AH2942" i="4"/>
  <c r="AH2943" i="4"/>
  <c r="AH2944" i="4"/>
  <c r="AH2945" i="4"/>
  <c r="AH2946" i="4"/>
  <c r="AH2947" i="4"/>
  <c r="AH2948" i="4"/>
  <c r="AH2949" i="4"/>
  <c r="AH2950" i="4"/>
  <c r="AH2951" i="4"/>
  <c r="AH2952" i="4"/>
  <c r="AH2953" i="4"/>
  <c r="AH2954" i="4"/>
  <c r="AH2955" i="4"/>
  <c r="AH2956" i="4"/>
  <c r="AH2957" i="4"/>
  <c r="AH2958" i="4"/>
  <c r="AH2959" i="4"/>
  <c r="AH2960" i="4"/>
  <c r="AH2961" i="4"/>
  <c r="AH2962" i="4"/>
  <c r="AH2963" i="4"/>
  <c r="AH2964" i="4"/>
  <c r="AH2965" i="4"/>
  <c r="AH2966" i="4"/>
  <c r="AH2967" i="4"/>
  <c r="AH2968" i="4"/>
  <c r="AH2969" i="4"/>
  <c r="AH2970" i="4"/>
  <c r="AH2971" i="4"/>
  <c r="AH2972" i="4"/>
  <c r="AH2973" i="4"/>
  <c r="AH2974" i="4"/>
  <c r="AH2975" i="4"/>
  <c r="AH2976" i="4"/>
  <c r="AH2977" i="4"/>
  <c r="AH2978" i="4"/>
  <c r="AH2979" i="4"/>
  <c r="AH2980" i="4"/>
  <c r="AH2981" i="4"/>
  <c r="AH2982" i="4"/>
  <c r="AH2983" i="4"/>
  <c r="AH2984" i="4"/>
  <c r="AH2985" i="4"/>
  <c r="AH2986" i="4"/>
  <c r="AH2987" i="4"/>
  <c r="AH2988" i="4"/>
  <c r="AH2989" i="4"/>
  <c r="AH2990" i="4"/>
  <c r="AH2991" i="4"/>
  <c r="AH2992" i="4"/>
  <c r="AH2993" i="4"/>
  <c r="AH2994" i="4"/>
  <c r="AH2995" i="4"/>
  <c r="AH2996" i="4"/>
  <c r="AH2997" i="4"/>
  <c r="AH2998" i="4"/>
  <c r="AH2999" i="4"/>
  <c r="AH3000" i="4"/>
  <c r="AH3001" i="4"/>
  <c r="AH3002" i="4"/>
  <c r="AH3003" i="4"/>
  <c r="AH3004" i="4"/>
  <c r="AH3005" i="4"/>
  <c r="AH3006" i="4"/>
  <c r="AH3007" i="4"/>
  <c r="AH3008" i="4"/>
  <c r="AH3009" i="4"/>
  <c r="AH3010" i="4"/>
  <c r="AH3011" i="4"/>
  <c r="AH3012" i="4"/>
  <c r="AH3013" i="4"/>
  <c r="AH3014" i="4"/>
  <c r="AH3015" i="4"/>
  <c r="AH3016" i="4"/>
  <c r="AH3017" i="4"/>
  <c r="AH3018" i="4"/>
  <c r="AH3019" i="4"/>
  <c r="AH3020" i="4"/>
  <c r="AH3021" i="4"/>
  <c r="AH3022" i="4"/>
  <c r="AH3023" i="4"/>
  <c r="AH3024" i="4"/>
  <c r="AH3025" i="4"/>
  <c r="AH3026" i="4"/>
  <c r="AH3027" i="4"/>
  <c r="AH3028" i="4"/>
  <c r="AH3029" i="4"/>
  <c r="AH3030" i="4"/>
  <c r="AH3031" i="4"/>
  <c r="AH3032" i="4"/>
  <c r="AH3033" i="4"/>
  <c r="AH3034" i="4"/>
  <c r="AH3035" i="4"/>
  <c r="AH3036" i="4"/>
  <c r="AH3037" i="4"/>
  <c r="AH3038" i="4"/>
  <c r="AH3039" i="4"/>
  <c r="AH3040" i="4"/>
  <c r="AH3041" i="4"/>
  <c r="AH3042" i="4"/>
  <c r="AH3043" i="4"/>
  <c r="AH3044" i="4"/>
  <c r="AH3045" i="4"/>
  <c r="AH3046" i="4"/>
  <c r="AH3047" i="4"/>
  <c r="AH3048" i="4"/>
  <c r="AH3049" i="4"/>
  <c r="AH3050" i="4"/>
  <c r="AH3051" i="4"/>
  <c r="AH3052" i="4"/>
  <c r="AH3053" i="4"/>
  <c r="AH3054" i="4"/>
  <c r="AH3055" i="4"/>
  <c r="AH3056" i="4"/>
  <c r="AH3057" i="4"/>
  <c r="AH3058" i="4"/>
  <c r="AH3059" i="4"/>
  <c r="AH3060" i="4"/>
  <c r="AH3061" i="4"/>
  <c r="AH3062" i="4"/>
  <c r="AH3063" i="4"/>
  <c r="AH3064" i="4"/>
  <c r="AH3065" i="4"/>
  <c r="AH3066" i="4"/>
  <c r="AH3067" i="4"/>
  <c r="AH3068" i="4"/>
  <c r="AH3069" i="4"/>
  <c r="AH3070" i="4"/>
  <c r="AH3071" i="4"/>
  <c r="AH3072" i="4"/>
  <c r="AH3073" i="4"/>
  <c r="AH3074" i="4"/>
  <c r="AH3075" i="4"/>
  <c r="AH3076" i="4"/>
  <c r="AH3077" i="4"/>
  <c r="AH3078" i="4"/>
  <c r="AH3079" i="4"/>
  <c r="AH3080" i="4"/>
  <c r="AH3081" i="4"/>
  <c r="AH3082" i="4"/>
  <c r="AH3083" i="4"/>
  <c r="AH3084" i="4"/>
  <c r="AH3085" i="4"/>
  <c r="AH3086" i="4"/>
  <c r="AH3087" i="4"/>
  <c r="AH3088" i="4"/>
  <c r="AH3089" i="4"/>
  <c r="AH3090" i="4"/>
  <c r="AH3091" i="4"/>
  <c r="AH3092" i="4"/>
  <c r="AH3093" i="4"/>
  <c r="AH3094" i="4"/>
  <c r="AH3095" i="4"/>
  <c r="AH3096" i="4"/>
  <c r="AH3097" i="4"/>
  <c r="AH3098" i="4"/>
  <c r="AH3099" i="4"/>
  <c r="AH3100" i="4"/>
  <c r="AH3101" i="4"/>
  <c r="AH3102" i="4"/>
  <c r="AH3103" i="4"/>
  <c r="AH3104" i="4"/>
  <c r="AH3105" i="4"/>
  <c r="AH3106" i="4"/>
  <c r="AH3107" i="4"/>
  <c r="AH3108" i="4"/>
  <c r="AH3109" i="4"/>
  <c r="AH3110" i="4"/>
  <c r="AH3111" i="4"/>
  <c r="AH3112" i="4"/>
  <c r="AH3113" i="4"/>
  <c r="AH3114" i="4"/>
  <c r="AH3115" i="4"/>
  <c r="AH3116" i="4"/>
  <c r="AH3117" i="4"/>
  <c r="AH3118" i="4"/>
  <c r="AH3119" i="4"/>
  <c r="AH3120" i="4"/>
  <c r="AH3121" i="4"/>
  <c r="AH3122" i="4"/>
  <c r="AH3123" i="4"/>
  <c r="AH3124" i="4"/>
  <c r="AH3125" i="4"/>
  <c r="AH3126" i="4"/>
  <c r="AH3127" i="4"/>
  <c r="AH3128" i="4"/>
  <c r="AH3129" i="4"/>
  <c r="AH3130" i="4"/>
  <c r="AH3131" i="4"/>
  <c r="AH3132" i="4"/>
  <c r="AH3133" i="4"/>
  <c r="AH3134" i="4"/>
  <c r="AH3135" i="4"/>
  <c r="AH3136" i="4"/>
  <c r="AH3137" i="4"/>
  <c r="AH3138" i="4"/>
  <c r="AH3139" i="4"/>
  <c r="AH3140" i="4"/>
  <c r="AH3141" i="4"/>
  <c r="AH3142" i="4"/>
  <c r="AH3143" i="4"/>
  <c r="AH3144" i="4"/>
  <c r="AH3145" i="4"/>
  <c r="AH3146" i="4"/>
  <c r="AH3147" i="4"/>
  <c r="AH3148" i="4"/>
  <c r="AH3149" i="4"/>
  <c r="AH3150" i="4"/>
  <c r="AH3151" i="4"/>
  <c r="AH3152" i="4"/>
  <c r="AH3153" i="4"/>
  <c r="AH3154" i="4"/>
  <c r="AH3155" i="4"/>
  <c r="AH3156" i="4"/>
  <c r="AH3157" i="4"/>
  <c r="AH3158" i="4"/>
  <c r="AH3159" i="4"/>
  <c r="AH3160" i="4"/>
  <c r="AH3161" i="4"/>
  <c r="AH3162" i="4"/>
  <c r="AH3163" i="4"/>
  <c r="AH3164" i="4"/>
  <c r="AH3165" i="4"/>
  <c r="AH3166" i="4"/>
  <c r="AH3167" i="4"/>
  <c r="AH3168" i="4"/>
  <c r="AH3169" i="4"/>
  <c r="AH3170" i="4"/>
  <c r="AH3171" i="4"/>
  <c r="AH3172" i="4"/>
  <c r="AH3173" i="4"/>
  <c r="AH3174" i="4"/>
  <c r="AH3175" i="4"/>
  <c r="AH3176" i="4"/>
  <c r="AH3177" i="4"/>
  <c r="AH3178" i="4"/>
  <c r="AH3179" i="4"/>
  <c r="AH3180" i="4"/>
  <c r="AH3181" i="4"/>
  <c r="AH3182" i="4"/>
  <c r="AH3183" i="4"/>
  <c r="AH3184" i="4"/>
  <c r="AH3185" i="4"/>
  <c r="AH3186" i="4"/>
  <c r="AH3187" i="4"/>
  <c r="AH3188" i="4"/>
  <c r="AH3189" i="4"/>
  <c r="AH3190" i="4"/>
  <c r="AH3191" i="4"/>
  <c r="AH3192" i="4"/>
  <c r="AH3193" i="4"/>
  <c r="AH3194" i="4"/>
  <c r="AH3195" i="4"/>
  <c r="AH3196" i="4"/>
  <c r="AH3197" i="4"/>
  <c r="AH3198" i="4"/>
  <c r="AH3199" i="4"/>
  <c r="AH3200" i="4"/>
  <c r="AH3201" i="4"/>
  <c r="AH3202" i="4"/>
  <c r="AH3203" i="4"/>
  <c r="AH3204" i="4"/>
  <c r="AH3205" i="4"/>
  <c r="AH3206" i="4"/>
  <c r="AH3207" i="4"/>
  <c r="AH3208" i="4"/>
  <c r="AH3209" i="4"/>
  <c r="AH3210" i="4"/>
  <c r="AH3211" i="4"/>
  <c r="AH3212" i="4"/>
  <c r="AH3213" i="4"/>
  <c r="AH3214" i="4"/>
  <c r="AH3215" i="4"/>
  <c r="AH3216" i="4"/>
  <c r="AH3217" i="4"/>
  <c r="AH3218" i="4"/>
  <c r="AH3219" i="4"/>
  <c r="AH3220" i="4"/>
  <c r="AH3221" i="4"/>
  <c r="AH3222" i="4"/>
  <c r="AH3223" i="4"/>
  <c r="AH3224" i="4"/>
  <c r="AH3225" i="4"/>
  <c r="AH3226" i="4"/>
  <c r="AH3227" i="4"/>
  <c r="AH3228" i="4"/>
  <c r="AH3229" i="4"/>
  <c r="AH3230" i="4"/>
  <c r="AH3231" i="4"/>
  <c r="AH3232" i="4"/>
  <c r="AH3233" i="4"/>
  <c r="AH3234" i="4"/>
  <c r="AH3235" i="4"/>
  <c r="AH3236" i="4"/>
  <c r="AH3237" i="4"/>
  <c r="AH3238" i="4"/>
  <c r="AH3239" i="4"/>
  <c r="AH3240" i="4"/>
  <c r="AH3241" i="4"/>
  <c r="AH3242" i="4"/>
  <c r="AH3243" i="4"/>
  <c r="AH3244" i="4"/>
  <c r="AH3245" i="4"/>
  <c r="AH3246" i="4"/>
  <c r="AH3247" i="4"/>
  <c r="AH3248" i="4"/>
  <c r="AH3249" i="4"/>
  <c r="AH3250" i="4"/>
  <c r="AH3251" i="4"/>
  <c r="AH3252" i="4"/>
  <c r="AH3253" i="4"/>
  <c r="AH3254" i="4"/>
  <c r="AH3255" i="4"/>
  <c r="AH3256" i="4"/>
  <c r="AH3257" i="4"/>
  <c r="AH3258" i="4"/>
  <c r="AH3259" i="4"/>
  <c r="AH3260" i="4"/>
  <c r="AH3261" i="4"/>
  <c r="AH3262" i="4"/>
  <c r="AH3263" i="4"/>
  <c r="AH3264" i="4"/>
  <c r="AH3265" i="4"/>
  <c r="AH3266" i="4"/>
  <c r="AH3267" i="4"/>
  <c r="AH3268" i="4"/>
  <c r="AH3269" i="4"/>
  <c r="AH3270" i="4"/>
  <c r="AH3271" i="4"/>
  <c r="AH3272" i="4"/>
  <c r="AH3273" i="4"/>
  <c r="AH3274" i="4"/>
  <c r="AH3275" i="4"/>
  <c r="AH3276" i="4"/>
  <c r="AH3277" i="4"/>
  <c r="AH3278" i="4"/>
  <c r="AH3279" i="4"/>
  <c r="AH3280" i="4"/>
  <c r="AH3281" i="4"/>
  <c r="AH3282" i="4"/>
  <c r="AH3283" i="4"/>
  <c r="AH3284" i="4"/>
  <c r="AH3285" i="4"/>
  <c r="AH3286" i="4"/>
  <c r="AH3287" i="4"/>
  <c r="AH3288" i="4"/>
  <c r="AH3289" i="4"/>
  <c r="AH3290" i="4"/>
  <c r="AH3291" i="4"/>
  <c r="AH3292" i="4"/>
  <c r="AH3293" i="4"/>
  <c r="AH3294" i="4"/>
  <c r="AH3295" i="4"/>
  <c r="AH3296" i="4"/>
  <c r="AH3297" i="4"/>
  <c r="AH3298" i="4"/>
  <c r="AH3299" i="4"/>
  <c r="AH3300" i="4"/>
  <c r="AH3301" i="4"/>
  <c r="AH3302" i="4"/>
  <c r="AH3303" i="4"/>
  <c r="AH3304" i="4"/>
  <c r="AH3305" i="4"/>
  <c r="AH3306" i="4"/>
  <c r="AH3307" i="4"/>
  <c r="AH3308" i="4"/>
  <c r="AH3309" i="4"/>
  <c r="AH3310" i="4"/>
  <c r="AH3311" i="4"/>
  <c r="AH3312" i="4"/>
  <c r="AH3313" i="4"/>
  <c r="AH3314" i="4"/>
  <c r="AH3315" i="4"/>
  <c r="AH3316" i="4"/>
  <c r="AH3317" i="4"/>
  <c r="AH3318" i="4"/>
  <c r="AH3319" i="4"/>
  <c r="AH3320" i="4"/>
  <c r="AH3321" i="4"/>
  <c r="AH3322" i="4"/>
  <c r="AH3323" i="4"/>
  <c r="AH3324" i="4"/>
  <c r="AH3325" i="4"/>
  <c r="AH3326" i="4"/>
  <c r="AH3327" i="4"/>
  <c r="AH3328" i="4"/>
  <c r="AH3329" i="4"/>
  <c r="AH3330" i="4"/>
  <c r="AH3331" i="4"/>
  <c r="AH3332" i="4"/>
  <c r="AH3333" i="4"/>
  <c r="AH3334" i="4"/>
  <c r="AH3335" i="4"/>
  <c r="AH3336" i="4"/>
  <c r="AH3337" i="4"/>
  <c r="AH3338" i="4"/>
  <c r="AH3339" i="4"/>
  <c r="AH3340" i="4"/>
  <c r="AH3341" i="4"/>
  <c r="AH3342" i="4"/>
  <c r="AH3343" i="4"/>
  <c r="AH3344" i="4"/>
  <c r="AH3345" i="4"/>
  <c r="AH3346" i="4"/>
  <c r="AH3347" i="4"/>
  <c r="AH3348" i="4"/>
  <c r="AH3349" i="4"/>
  <c r="AH3350" i="4"/>
  <c r="AH3351" i="4"/>
  <c r="AH3352" i="4"/>
  <c r="AH3353" i="4"/>
  <c r="AH3354" i="4"/>
  <c r="AH3355" i="4"/>
  <c r="AH3356" i="4"/>
  <c r="AH3357" i="4"/>
  <c r="AH3358" i="4"/>
  <c r="AH3359" i="4"/>
  <c r="AH3360" i="4"/>
  <c r="AH3361" i="4"/>
  <c r="AH3362" i="4"/>
  <c r="AH3363" i="4"/>
  <c r="AH3364" i="4"/>
  <c r="AH3365" i="4"/>
  <c r="AH3366" i="4"/>
  <c r="AH3367" i="4"/>
  <c r="AH3368" i="4"/>
  <c r="AH3369" i="4"/>
  <c r="AH3370" i="4"/>
  <c r="AH3371" i="4"/>
  <c r="AH3372" i="4"/>
  <c r="AH3373" i="4"/>
  <c r="AH3374" i="4"/>
  <c r="AH3375" i="4"/>
  <c r="AH3376" i="4"/>
  <c r="AH3377" i="4"/>
  <c r="AH3378" i="4"/>
  <c r="AH3379" i="4"/>
  <c r="AH3380" i="4"/>
  <c r="AH3381" i="4"/>
  <c r="AH3382" i="4"/>
  <c r="AH3383" i="4"/>
  <c r="AH3384" i="4"/>
  <c r="AH3385" i="4"/>
  <c r="AH3386" i="4"/>
  <c r="AH3387" i="4"/>
  <c r="AH3388" i="4"/>
  <c r="AH3389" i="4"/>
  <c r="AH3390" i="4"/>
  <c r="AH3391" i="4"/>
  <c r="AH3392" i="4"/>
  <c r="AH3393" i="4"/>
  <c r="AH3394" i="4"/>
  <c r="AH3395" i="4"/>
  <c r="AH3396" i="4"/>
  <c r="AH3397" i="4"/>
  <c r="AH3398" i="4"/>
  <c r="AH3399" i="4"/>
  <c r="AH3400" i="4"/>
  <c r="AH3401" i="4"/>
  <c r="AH3402" i="4"/>
  <c r="AH3403" i="4"/>
  <c r="AH3404" i="4"/>
  <c r="AH3405" i="4"/>
  <c r="AH3406" i="4"/>
  <c r="AH3407" i="4"/>
  <c r="AH3408" i="4"/>
  <c r="AH3409" i="4"/>
  <c r="AH3410" i="4"/>
  <c r="AH3411" i="4"/>
  <c r="AH3412" i="4"/>
  <c r="AH3413" i="4"/>
  <c r="AH3414" i="4"/>
  <c r="AH3415" i="4"/>
  <c r="AH3416" i="4"/>
  <c r="AH3417" i="4"/>
  <c r="AH3418" i="4"/>
  <c r="AH3419" i="4"/>
  <c r="AH3420" i="4"/>
  <c r="AH3421" i="4"/>
  <c r="AH3422" i="4"/>
  <c r="AH3423" i="4"/>
  <c r="AH3424" i="4"/>
  <c r="AH3425" i="4"/>
  <c r="AH3426" i="4"/>
  <c r="AH3427" i="4"/>
  <c r="AH3428" i="4"/>
  <c r="AH3429" i="4"/>
  <c r="AH3430" i="4"/>
  <c r="AH3431" i="4"/>
  <c r="AH3432" i="4"/>
  <c r="AH3433" i="4"/>
  <c r="AH3434" i="4"/>
  <c r="AH3435" i="4"/>
  <c r="AH3436" i="4"/>
  <c r="AH3437" i="4"/>
  <c r="AH3438" i="4"/>
  <c r="AH3439" i="4"/>
  <c r="AH3440" i="4"/>
  <c r="AH3441" i="4"/>
  <c r="AH3442" i="4"/>
  <c r="AH3443" i="4"/>
  <c r="AH3444" i="4"/>
  <c r="AH3445" i="4"/>
  <c r="AH3446" i="4"/>
  <c r="AH3447" i="4"/>
  <c r="AH3448" i="4"/>
  <c r="AH3449" i="4"/>
  <c r="AH3450" i="4"/>
  <c r="AH3451" i="4"/>
  <c r="AH3452" i="4"/>
  <c r="AH3453" i="4"/>
  <c r="AH3454" i="4"/>
  <c r="AH3455" i="4"/>
  <c r="AH3456" i="4"/>
  <c r="AH3457" i="4"/>
  <c r="AH3458" i="4"/>
  <c r="AH3459" i="4"/>
  <c r="AH3460" i="4"/>
  <c r="AH3461" i="4"/>
  <c r="AH3462" i="4"/>
  <c r="AH3463" i="4"/>
  <c r="AH3464" i="4"/>
  <c r="AH3465" i="4"/>
  <c r="AH3466" i="4"/>
  <c r="AH3467" i="4"/>
  <c r="AH3468" i="4"/>
  <c r="AH3469" i="4"/>
  <c r="AH3470" i="4"/>
  <c r="AH3471" i="4"/>
  <c r="AH3472" i="4"/>
  <c r="AH3473" i="4"/>
  <c r="AH3474" i="4"/>
  <c r="AH3475" i="4"/>
  <c r="AH3476" i="4"/>
  <c r="AH3477" i="4"/>
  <c r="AH3478" i="4"/>
  <c r="AH3479" i="4"/>
  <c r="AH3480" i="4"/>
  <c r="AH3481" i="4"/>
  <c r="AH3482" i="4"/>
  <c r="AH3483" i="4"/>
  <c r="AH3484" i="4"/>
  <c r="AH3485" i="4"/>
  <c r="AH3486" i="4"/>
  <c r="AH3487" i="4"/>
  <c r="AH3488" i="4"/>
  <c r="AH3489" i="4"/>
  <c r="AH3490" i="4"/>
  <c r="AH3491" i="4"/>
  <c r="AH3492" i="4"/>
  <c r="AH3493" i="4"/>
  <c r="AH3494" i="4"/>
  <c r="AH3495" i="4"/>
  <c r="AH3496" i="4"/>
  <c r="AH3497" i="4"/>
  <c r="AH3498" i="4"/>
  <c r="AH3499" i="4"/>
  <c r="AH3500" i="4"/>
  <c r="AH3501" i="4"/>
  <c r="AH3502" i="4"/>
  <c r="AH3503" i="4"/>
  <c r="AH3504" i="4"/>
  <c r="AH3505" i="4"/>
  <c r="AH3506" i="4"/>
  <c r="AH3507" i="4"/>
  <c r="AH3508" i="4"/>
  <c r="AH3509" i="4"/>
  <c r="AH3510" i="4"/>
  <c r="AH3511" i="4"/>
  <c r="AH3512" i="4"/>
  <c r="AH3513" i="4"/>
  <c r="AH3514" i="4"/>
  <c r="AH3515" i="4"/>
  <c r="AH3516" i="4"/>
  <c r="AH3517" i="4"/>
  <c r="AH3518" i="4"/>
  <c r="AH3519" i="4"/>
  <c r="AH3520" i="4"/>
  <c r="AH3521" i="4"/>
  <c r="AH3522" i="4"/>
  <c r="AH3523" i="4"/>
  <c r="AH3524" i="4"/>
  <c r="AH3525" i="4"/>
  <c r="AH3526" i="4"/>
  <c r="AH3527" i="4"/>
  <c r="AH3528" i="4"/>
  <c r="AH3529" i="4"/>
  <c r="AH3530" i="4"/>
  <c r="AH3531" i="4"/>
  <c r="AH3532" i="4"/>
  <c r="AH3533" i="4"/>
  <c r="AH3534" i="4"/>
  <c r="AH3535" i="4"/>
  <c r="AH3536" i="4"/>
  <c r="AH3537" i="4"/>
  <c r="AH3538" i="4"/>
  <c r="AH3539" i="4"/>
  <c r="AH3540" i="4"/>
  <c r="AH3541" i="4"/>
  <c r="AH3542" i="4"/>
  <c r="AH3543" i="4"/>
  <c r="AH3544" i="4"/>
  <c r="AH3545" i="4"/>
  <c r="AH3546" i="4"/>
  <c r="AH3547" i="4"/>
  <c r="AH3548" i="4"/>
  <c r="AH3549" i="4"/>
  <c r="AH3550" i="4"/>
  <c r="AH3551" i="4"/>
  <c r="AH3552" i="4"/>
  <c r="AH3553" i="4"/>
  <c r="AH3554" i="4"/>
  <c r="AH3555" i="4"/>
  <c r="AH3556" i="4"/>
  <c r="AH3557" i="4"/>
  <c r="AH3558" i="4"/>
  <c r="AH3559" i="4"/>
  <c r="AH3560" i="4"/>
  <c r="AH3561" i="4"/>
  <c r="AH3562" i="4"/>
  <c r="AH3563" i="4"/>
  <c r="AH3564" i="4"/>
  <c r="AH3565" i="4"/>
  <c r="AH3566" i="4"/>
  <c r="AH3567" i="4"/>
  <c r="AH3568" i="4"/>
  <c r="AH3569" i="4"/>
  <c r="AH3570" i="4"/>
  <c r="AH3571" i="4"/>
  <c r="AH3572" i="4"/>
  <c r="AH3573" i="4"/>
  <c r="AH3574" i="4"/>
  <c r="AH3575" i="4"/>
  <c r="AH3576" i="4"/>
  <c r="AH3577" i="4"/>
  <c r="AH3578" i="4"/>
  <c r="AH3579" i="4"/>
  <c r="AH3580" i="4"/>
  <c r="AH3581" i="4"/>
  <c r="AH3582" i="4"/>
  <c r="AH3583" i="4"/>
  <c r="AH3584" i="4"/>
  <c r="AH3585" i="4"/>
  <c r="AH3586" i="4"/>
  <c r="AH3587" i="4"/>
  <c r="AH3588" i="4"/>
  <c r="AH3589" i="4"/>
  <c r="AH3590" i="4"/>
  <c r="AH3591" i="4"/>
  <c r="AH3592" i="4"/>
  <c r="AH3593" i="4"/>
  <c r="AH3594" i="4"/>
  <c r="AH3595" i="4"/>
  <c r="AH3596" i="4"/>
  <c r="AH3597" i="4"/>
  <c r="AH3598" i="4"/>
  <c r="AH3599" i="4"/>
  <c r="AH3600" i="4"/>
  <c r="AH3601" i="4"/>
  <c r="AH3602" i="4"/>
  <c r="AH3603" i="4"/>
  <c r="AH3604" i="4"/>
  <c r="AH3605" i="4"/>
  <c r="AH3606" i="4"/>
  <c r="AH3607" i="4"/>
  <c r="AH3608" i="4"/>
  <c r="AH3609" i="4"/>
  <c r="AH3610" i="4"/>
  <c r="AH3611" i="4"/>
  <c r="AH3612" i="4"/>
  <c r="AH3613" i="4"/>
  <c r="AH3614" i="4"/>
  <c r="AH3615" i="4"/>
  <c r="AH3616" i="4"/>
  <c r="AH3617" i="4"/>
  <c r="AH3618" i="4"/>
  <c r="AH3619" i="4"/>
  <c r="AH3620" i="4"/>
  <c r="AH3621" i="4"/>
  <c r="AH3622" i="4"/>
  <c r="AH3623" i="4"/>
  <c r="AH3624" i="4"/>
  <c r="AH3625" i="4"/>
  <c r="AH3626" i="4"/>
  <c r="AH3627" i="4"/>
  <c r="AH3628" i="4"/>
  <c r="AH3629" i="4"/>
  <c r="AH3630" i="4"/>
  <c r="AH3631" i="4"/>
  <c r="AH3632" i="4"/>
  <c r="AH3633" i="4"/>
  <c r="AH3634" i="4"/>
  <c r="AH3635" i="4"/>
  <c r="AH3636" i="4"/>
  <c r="AH3637" i="4"/>
  <c r="AH3638" i="4"/>
  <c r="AH3639" i="4"/>
  <c r="AH3640" i="4"/>
  <c r="AH3641" i="4"/>
  <c r="AH3642" i="4"/>
  <c r="AH3643" i="4"/>
  <c r="AH3644" i="4"/>
  <c r="AH3645" i="4"/>
  <c r="AH3646" i="4"/>
  <c r="AH3647" i="4"/>
  <c r="AH3648" i="4"/>
  <c r="AH3649" i="4"/>
  <c r="AH3650" i="4"/>
  <c r="AH3651" i="4"/>
  <c r="AH3652" i="4"/>
  <c r="AH3653" i="4"/>
  <c r="AH3654" i="4"/>
  <c r="AH3655" i="4"/>
  <c r="AH3656" i="4"/>
  <c r="AH3657" i="4"/>
  <c r="AH3658" i="4"/>
  <c r="AH3659" i="4"/>
  <c r="AH3660" i="4"/>
  <c r="AH3661" i="4"/>
  <c r="AH3662" i="4"/>
  <c r="AH3663" i="4"/>
  <c r="AH3664" i="4"/>
  <c r="AH3665" i="4"/>
  <c r="AH3666" i="4"/>
  <c r="AH3667" i="4"/>
  <c r="AH3668" i="4"/>
  <c r="AH3669" i="4"/>
  <c r="AH3670" i="4"/>
  <c r="AH3671" i="4"/>
  <c r="AH3672" i="4"/>
  <c r="AH3673" i="4"/>
  <c r="AH3674" i="4"/>
  <c r="AH3675" i="4"/>
  <c r="AH3676" i="4"/>
  <c r="AH3677" i="4"/>
  <c r="AH3678" i="4"/>
  <c r="AH3679" i="4"/>
  <c r="AH3680" i="4"/>
  <c r="AH3681" i="4"/>
  <c r="AH3682" i="4"/>
  <c r="AH3683" i="4"/>
  <c r="AH3684" i="4"/>
  <c r="AH3685" i="4"/>
  <c r="AH3686" i="4"/>
  <c r="AH3687" i="4"/>
  <c r="AH3688" i="4"/>
  <c r="AH3689" i="4"/>
  <c r="AH3690" i="4"/>
  <c r="AH3691" i="4"/>
  <c r="AH3692" i="4"/>
  <c r="AH3693" i="4"/>
  <c r="AH3694" i="4"/>
  <c r="AH3695" i="4"/>
  <c r="AH3696" i="4"/>
  <c r="AH3697" i="4"/>
  <c r="AH3698" i="4"/>
  <c r="AH3699" i="4"/>
  <c r="AH3700" i="4"/>
  <c r="AH3701" i="4"/>
  <c r="AH3702" i="4"/>
  <c r="AH3703" i="4"/>
  <c r="AH3704" i="4"/>
  <c r="AH3705" i="4"/>
  <c r="AH3706" i="4"/>
  <c r="AH3707" i="4"/>
  <c r="AH3708" i="4"/>
  <c r="AH3709" i="4"/>
  <c r="AH3710" i="4"/>
  <c r="AH3711" i="4"/>
  <c r="AH3712" i="4"/>
  <c r="AH3713" i="4"/>
  <c r="AH3714" i="4"/>
  <c r="AH3715" i="4"/>
  <c r="AH3716" i="4"/>
  <c r="AH3717" i="4"/>
  <c r="AH3718" i="4"/>
  <c r="AH3719" i="4"/>
  <c r="AH3720" i="4"/>
  <c r="AH3721" i="4"/>
  <c r="AH3722" i="4"/>
  <c r="AH3723" i="4"/>
  <c r="AH3724" i="4"/>
  <c r="AH3725" i="4"/>
  <c r="AH3726" i="4"/>
  <c r="AH3727" i="4"/>
  <c r="AH3728" i="4"/>
  <c r="AH3729" i="4"/>
  <c r="AH3730" i="4"/>
  <c r="AH3731" i="4"/>
  <c r="AH3732" i="4"/>
  <c r="AH3733" i="4"/>
  <c r="AH3734" i="4"/>
  <c r="AH3735" i="4"/>
  <c r="AH3736" i="4"/>
  <c r="AH3737" i="4"/>
  <c r="AH3738" i="4"/>
  <c r="AH3739" i="4"/>
  <c r="AH3740" i="4"/>
  <c r="AH3741" i="4"/>
  <c r="AH3742" i="4"/>
  <c r="AH3743" i="4"/>
  <c r="AH3744" i="4"/>
  <c r="AH3745" i="4"/>
  <c r="AH3746" i="4"/>
  <c r="AH3747" i="4"/>
  <c r="AH3748" i="4"/>
  <c r="AH3749" i="4"/>
  <c r="AH3750" i="4"/>
  <c r="AH3751" i="4"/>
  <c r="AH3752" i="4"/>
  <c r="AH3753" i="4"/>
  <c r="AH3754" i="4"/>
  <c r="AH3755" i="4"/>
  <c r="AH3756" i="4"/>
  <c r="AH3757" i="4"/>
  <c r="AH3758" i="4"/>
  <c r="AH3759" i="4"/>
  <c r="AH3760" i="4"/>
  <c r="AH3761" i="4"/>
  <c r="AH3762" i="4"/>
  <c r="AH3763" i="4"/>
  <c r="AH3764" i="4"/>
  <c r="AH3765" i="4"/>
  <c r="AH3766" i="4"/>
  <c r="AH3767" i="4"/>
  <c r="AH3768" i="4"/>
  <c r="AH3769" i="4"/>
  <c r="AH3770" i="4"/>
  <c r="AH3771" i="4"/>
  <c r="AH3772" i="4"/>
  <c r="AH3773" i="4"/>
  <c r="AH3774" i="4"/>
  <c r="AH3775" i="4"/>
  <c r="AH3776" i="4"/>
  <c r="AH3777" i="4"/>
  <c r="AH3778" i="4"/>
  <c r="AH3779" i="4"/>
  <c r="AH3780" i="4"/>
  <c r="AH3781" i="4"/>
  <c r="AH3782" i="4"/>
  <c r="AH3783" i="4"/>
  <c r="AH3784" i="4"/>
  <c r="AH3785" i="4"/>
  <c r="AH3786" i="4"/>
  <c r="AH3787" i="4"/>
  <c r="AH3788" i="4"/>
  <c r="AH3789" i="4"/>
  <c r="AH3790" i="4"/>
  <c r="AH3791" i="4"/>
  <c r="AH3792" i="4"/>
  <c r="AH3793" i="4"/>
  <c r="AH3794" i="4"/>
  <c r="AH3795" i="4"/>
  <c r="AH3796" i="4"/>
  <c r="AH3797" i="4"/>
  <c r="AH3798" i="4"/>
  <c r="AH3799" i="4"/>
  <c r="AH3800" i="4"/>
  <c r="AH3801" i="4"/>
  <c r="AH3802" i="4"/>
  <c r="AH3803" i="4"/>
  <c r="AH3804" i="4"/>
  <c r="AH3805" i="4"/>
  <c r="AH3806" i="4"/>
  <c r="AH3807" i="4"/>
  <c r="AH3808" i="4"/>
  <c r="AH3809" i="4"/>
  <c r="AH3810" i="4"/>
  <c r="AH3811" i="4"/>
  <c r="AH3812" i="4"/>
  <c r="AH3813" i="4"/>
  <c r="AH3814" i="4"/>
  <c r="AH3815" i="4"/>
  <c r="AH3816" i="4"/>
  <c r="AH3817" i="4"/>
  <c r="AH3818" i="4"/>
  <c r="AH3819" i="4"/>
  <c r="AH3820" i="4"/>
  <c r="AH3821" i="4"/>
  <c r="AH3822" i="4"/>
  <c r="AH3823" i="4"/>
  <c r="AH3824" i="4"/>
  <c r="AH3825" i="4"/>
  <c r="AH3826" i="4"/>
  <c r="AH3827" i="4"/>
  <c r="AH3828" i="4"/>
  <c r="AH3829" i="4"/>
  <c r="AH3830" i="4"/>
  <c r="AH3831" i="4"/>
  <c r="AH3832" i="4"/>
  <c r="AH3833" i="4"/>
  <c r="AH3834" i="4"/>
  <c r="AH3835" i="4"/>
  <c r="AH3836" i="4"/>
  <c r="AH3837" i="4"/>
  <c r="AH3838" i="4"/>
  <c r="AH3839" i="4"/>
  <c r="AH3840" i="4"/>
  <c r="AH3841" i="4"/>
  <c r="AH3842" i="4"/>
  <c r="AH3843" i="4"/>
  <c r="AH3844" i="4"/>
  <c r="AH3845" i="4"/>
  <c r="AH3846" i="4"/>
  <c r="AH3847" i="4"/>
  <c r="AH3848" i="4"/>
  <c r="AH3849" i="4"/>
  <c r="AH3850" i="4"/>
  <c r="AH3851" i="4"/>
  <c r="AH3852" i="4"/>
  <c r="AH3853" i="4"/>
  <c r="AH3854" i="4"/>
  <c r="AH3855" i="4"/>
  <c r="AH3856" i="4"/>
  <c r="AH3857" i="4"/>
  <c r="AH3858" i="4"/>
  <c r="AH3859" i="4"/>
  <c r="AH3860" i="4"/>
  <c r="AH3861" i="4"/>
  <c r="AH3862" i="4"/>
  <c r="AH3863" i="4"/>
  <c r="AH3864" i="4"/>
  <c r="AH3865" i="4"/>
  <c r="AH3866" i="4"/>
  <c r="AH3867" i="4"/>
  <c r="AH3868" i="4"/>
  <c r="AH3869" i="4"/>
  <c r="AH3870" i="4"/>
  <c r="AH3871" i="4"/>
  <c r="AH3872" i="4"/>
  <c r="AH3873" i="4"/>
  <c r="AH3874" i="4"/>
  <c r="AH3875" i="4"/>
  <c r="AH3876" i="4"/>
  <c r="AH3877" i="4"/>
  <c r="AH3878" i="4"/>
  <c r="AH3879" i="4"/>
  <c r="AH3880" i="4"/>
  <c r="AH3881" i="4"/>
  <c r="AH3882" i="4"/>
  <c r="AH3883" i="4"/>
  <c r="AH3884" i="4"/>
  <c r="AH3885" i="4"/>
  <c r="AH3886" i="4"/>
  <c r="AH3887" i="4"/>
  <c r="AH3888" i="4"/>
  <c r="AH3889" i="4"/>
  <c r="AH3890" i="4"/>
  <c r="AH3891" i="4"/>
  <c r="AH3892" i="4"/>
  <c r="AH3893" i="4"/>
  <c r="AH3894" i="4"/>
  <c r="AH3895" i="4"/>
  <c r="AH3896" i="4"/>
  <c r="AH3897" i="4"/>
  <c r="AH3898" i="4"/>
  <c r="AH3899" i="4"/>
  <c r="AH3900" i="4"/>
  <c r="AH3901" i="4"/>
  <c r="AH3902" i="4"/>
  <c r="AH3903" i="4"/>
  <c r="AH3904" i="4"/>
  <c r="AH3905" i="4"/>
  <c r="AH3906" i="4"/>
  <c r="AH3907" i="4"/>
  <c r="AH3908" i="4"/>
  <c r="AH3909" i="4"/>
  <c r="AH3910" i="4"/>
  <c r="AH3911" i="4"/>
  <c r="AH3912" i="4"/>
  <c r="AH3913" i="4"/>
  <c r="AH3914" i="4"/>
  <c r="AH3915" i="4"/>
  <c r="AH3916" i="4"/>
  <c r="AH3917" i="4"/>
  <c r="AH3918" i="4"/>
  <c r="AH3919" i="4"/>
  <c r="AH3920" i="4"/>
  <c r="AH3921" i="4"/>
  <c r="AH3922" i="4"/>
  <c r="AH3923" i="4"/>
  <c r="AH3924" i="4"/>
  <c r="AH3925" i="4"/>
  <c r="AH3926" i="4"/>
  <c r="AH3927" i="4"/>
  <c r="AH3928" i="4"/>
  <c r="AH3929" i="4"/>
  <c r="AH3930" i="4"/>
  <c r="AH3931" i="4"/>
  <c r="AH3932" i="4"/>
  <c r="AH3933" i="4"/>
  <c r="AH3934" i="4"/>
  <c r="AH3935" i="4"/>
  <c r="AH3936" i="4"/>
  <c r="AH3937" i="4"/>
  <c r="AH3938" i="4"/>
  <c r="AH3939" i="4"/>
  <c r="AH3940" i="4"/>
  <c r="AH3941" i="4"/>
  <c r="AH3942" i="4"/>
  <c r="AH3943" i="4"/>
  <c r="AH3944" i="4"/>
  <c r="AH3945" i="4"/>
  <c r="AH3946" i="4"/>
  <c r="AH3947" i="4"/>
  <c r="AH3948" i="4"/>
  <c r="AH3949" i="4"/>
  <c r="AH3950" i="4"/>
  <c r="AH3951" i="4"/>
  <c r="AH3952" i="4"/>
  <c r="AH3953" i="4"/>
  <c r="AH3954" i="4"/>
  <c r="AH3955" i="4"/>
  <c r="AH3956" i="4"/>
  <c r="AH3957" i="4"/>
  <c r="AH3958" i="4"/>
  <c r="AH3959" i="4"/>
  <c r="AH3960" i="4"/>
  <c r="AH3961" i="4"/>
  <c r="AH3962" i="4"/>
  <c r="AH3963" i="4"/>
  <c r="AH3964" i="4"/>
  <c r="AH3965" i="4"/>
  <c r="AH3966" i="4"/>
  <c r="AH3967" i="4"/>
  <c r="AH3968" i="4"/>
  <c r="AH3969" i="4"/>
  <c r="AH3970" i="4"/>
  <c r="AH3971" i="4"/>
  <c r="AH3972" i="4"/>
  <c r="AH3973" i="4"/>
  <c r="AH3974" i="4"/>
  <c r="AH3975" i="4"/>
  <c r="AH3976" i="4"/>
  <c r="AH3977" i="4"/>
  <c r="AH3978" i="4"/>
  <c r="AH3979" i="4"/>
  <c r="AH3980" i="4"/>
  <c r="AH3981" i="4"/>
  <c r="AH3982" i="4"/>
  <c r="AH3983" i="4"/>
  <c r="AH3984" i="4"/>
  <c r="AH3985" i="4"/>
  <c r="AH3986" i="4"/>
  <c r="AH3987" i="4"/>
  <c r="AH3988" i="4"/>
  <c r="AH3989" i="4"/>
  <c r="AH3990" i="4"/>
  <c r="AH3991" i="4"/>
  <c r="AH3992" i="4"/>
  <c r="AH3993" i="4"/>
  <c r="AH3994" i="4"/>
  <c r="AH3995" i="4"/>
  <c r="AH3996" i="4"/>
  <c r="AH3997" i="4"/>
  <c r="AH3998" i="4"/>
  <c r="AH3999" i="4"/>
  <c r="AH4000" i="4"/>
  <c r="AH4001" i="4"/>
  <c r="AH4002" i="4"/>
  <c r="AH4003" i="4"/>
  <c r="AH4004" i="4"/>
  <c r="AH4005" i="4"/>
  <c r="AH4006" i="4"/>
  <c r="AH4007" i="4"/>
  <c r="AH4008" i="4"/>
  <c r="AH4009" i="4"/>
  <c r="AH4010" i="4"/>
  <c r="AH4011" i="4"/>
  <c r="AH4012" i="4"/>
  <c r="AH4013" i="4"/>
  <c r="AH4014" i="4"/>
  <c r="AH4015" i="4"/>
  <c r="AH4016" i="4"/>
  <c r="AH4017" i="4"/>
  <c r="AH4018" i="4"/>
  <c r="AH4019" i="4"/>
  <c r="AH4020" i="4"/>
  <c r="AH4021" i="4"/>
  <c r="AH4022" i="4"/>
  <c r="AH4023" i="4"/>
  <c r="AH4024" i="4"/>
  <c r="AH4025" i="4"/>
  <c r="AH4026" i="4"/>
  <c r="AH4027" i="4"/>
  <c r="AH4028" i="4"/>
  <c r="AH4029" i="4"/>
  <c r="AH4030" i="4"/>
  <c r="AH4031" i="4"/>
  <c r="AH4032" i="4"/>
  <c r="AH4033" i="4"/>
  <c r="AH4034" i="4"/>
  <c r="AH4035" i="4"/>
  <c r="AH4036" i="4"/>
  <c r="AH4037" i="4"/>
  <c r="AH4038" i="4"/>
  <c r="AH4039" i="4"/>
  <c r="AH4040" i="4"/>
  <c r="AH4041" i="4"/>
  <c r="AH4042" i="4"/>
  <c r="AH4043" i="4"/>
  <c r="AH4044" i="4"/>
  <c r="AH4045" i="4"/>
  <c r="AH4046" i="4"/>
  <c r="AH4047" i="4"/>
  <c r="AH4048" i="4"/>
  <c r="AH4049" i="4"/>
  <c r="AH4050" i="4"/>
  <c r="AH4051" i="4"/>
  <c r="AH4052" i="4"/>
  <c r="AH4053" i="4"/>
  <c r="AH4054" i="4"/>
  <c r="AH4055" i="4"/>
  <c r="AH4056" i="4"/>
  <c r="AH4057" i="4"/>
  <c r="AH4058" i="4"/>
  <c r="AH4059" i="4"/>
  <c r="AH4060" i="4"/>
  <c r="AH4061" i="4"/>
  <c r="AH4062" i="4"/>
  <c r="AH4063" i="4"/>
  <c r="AH4064" i="4"/>
  <c r="AH4065" i="4"/>
  <c r="AH4066" i="4"/>
  <c r="AH4067" i="4"/>
  <c r="AH4068" i="4"/>
  <c r="AH4069" i="4"/>
  <c r="AH4070" i="4"/>
  <c r="AH4071" i="4"/>
  <c r="AH4072" i="4"/>
  <c r="AH4073" i="4"/>
  <c r="AH4074" i="4"/>
  <c r="AH4075" i="4"/>
  <c r="AH4076" i="4"/>
  <c r="AH4077" i="4"/>
  <c r="AH4078" i="4"/>
  <c r="AH4079" i="4"/>
  <c r="AH4080" i="4"/>
  <c r="AH4081" i="4"/>
  <c r="AH4082" i="4"/>
  <c r="AH4083" i="4"/>
  <c r="AH4084" i="4"/>
  <c r="AH4085" i="4"/>
  <c r="AH4086" i="4"/>
  <c r="AH4087" i="4"/>
  <c r="AH4088" i="4"/>
  <c r="AH4089" i="4"/>
  <c r="AH4090" i="4"/>
  <c r="AH4091" i="4"/>
  <c r="AH4092" i="4"/>
  <c r="AH4093" i="4"/>
  <c r="AH4094" i="4"/>
  <c r="AH4095" i="4"/>
  <c r="AH4096" i="4"/>
  <c r="AH4097" i="4"/>
  <c r="AH4098" i="4"/>
  <c r="AH4099" i="4"/>
  <c r="AH4100" i="4"/>
  <c r="AH4101" i="4"/>
  <c r="AH4102" i="4"/>
  <c r="AH4103" i="4"/>
  <c r="AH4104" i="4"/>
  <c r="AH4105" i="4"/>
  <c r="AH4106" i="4"/>
  <c r="AH4107" i="4"/>
  <c r="AH4108" i="4"/>
  <c r="AH4109" i="4"/>
  <c r="AH4110" i="4"/>
  <c r="AH4111" i="4"/>
  <c r="AH4112" i="4"/>
  <c r="AH4113" i="4"/>
  <c r="AH4114" i="4"/>
  <c r="AH4115" i="4"/>
  <c r="AH4116" i="4"/>
  <c r="AH4117" i="4"/>
  <c r="AH4118" i="4"/>
  <c r="AH4119" i="4"/>
  <c r="AH4120" i="4"/>
  <c r="AH4121" i="4"/>
  <c r="AH4122" i="4"/>
  <c r="AH4123" i="4"/>
  <c r="AH4124" i="4"/>
  <c r="AH4125" i="4"/>
  <c r="AH4126" i="4"/>
  <c r="AH4127" i="4"/>
  <c r="AH4128" i="4"/>
  <c r="AH4129" i="4"/>
  <c r="AH4130" i="4"/>
  <c r="AH4131" i="4"/>
  <c r="AH4132" i="4"/>
  <c r="AH4133" i="4"/>
  <c r="AH4134" i="4"/>
  <c r="AH4135" i="4"/>
  <c r="AH4136" i="4"/>
  <c r="AH4137" i="4"/>
  <c r="AH4138" i="4"/>
  <c r="AH4139" i="4"/>
  <c r="AH4140" i="4"/>
  <c r="AH4141" i="4"/>
  <c r="AH4142" i="4"/>
  <c r="AH4143" i="4"/>
  <c r="AH4144" i="4"/>
  <c r="AH4145" i="4"/>
  <c r="AH4146" i="4"/>
  <c r="AH4147" i="4"/>
  <c r="AH4148" i="4"/>
  <c r="AH4149" i="4"/>
  <c r="AH4150" i="4"/>
  <c r="AH4151" i="4"/>
  <c r="AH4152" i="4"/>
  <c r="AH4153" i="4"/>
  <c r="AH4154" i="4"/>
  <c r="AH4155" i="4"/>
  <c r="AH4156" i="4"/>
  <c r="AH4157" i="4"/>
  <c r="AH4158" i="4"/>
  <c r="AH4159" i="4"/>
  <c r="AH4160" i="4"/>
  <c r="AH4161" i="4"/>
  <c r="AH4162" i="4"/>
  <c r="AH4163" i="4"/>
  <c r="AH4164" i="4"/>
  <c r="AH4165" i="4"/>
  <c r="AH4166" i="4"/>
  <c r="AH4167" i="4"/>
  <c r="AH4168" i="4"/>
  <c r="AH4169" i="4"/>
  <c r="AH4170" i="4"/>
  <c r="AH4171" i="4"/>
  <c r="AH4172" i="4"/>
  <c r="AH4173" i="4"/>
  <c r="AH4174" i="4"/>
  <c r="AH4175" i="4"/>
  <c r="AH4176" i="4"/>
  <c r="AH4177" i="4"/>
  <c r="AH4178" i="4"/>
  <c r="AH4179" i="4"/>
  <c r="AH4180" i="4"/>
  <c r="AH4181" i="4"/>
  <c r="AH4182" i="4"/>
  <c r="AH4183" i="4"/>
  <c r="AH4184" i="4"/>
  <c r="AH4185" i="4"/>
  <c r="AH4186" i="4"/>
  <c r="AH4187" i="4"/>
  <c r="AH4188" i="4"/>
  <c r="AH4189" i="4"/>
  <c r="AH4190" i="4"/>
  <c r="AH4191" i="4"/>
  <c r="AH4192" i="4"/>
  <c r="AH4193" i="4"/>
  <c r="AH4194" i="4"/>
  <c r="AH4195" i="4"/>
  <c r="AH4196" i="4"/>
  <c r="AH4197" i="4"/>
  <c r="AH4198" i="4"/>
  <c r="AH4199" i="4"/>
  <c r="AH4200" i="4"/>
  <c r="AH4201" i="4"/>
  <c r="AH4202" i="4"/>
  <c r="AH4203" i="4"/>
  <c r="AH4204" i="4"/>
  <c r="AH4205" i="4"/>
  <c r="AH4206" i="4"/>
  <c r="AH4207" i="4"/>
  <c r="AH4208" i="4"/>
  <c r="AH4209" i="4"/>
  <c r="AH4210" i="4"/>
  <c r="AH4211" i="4"/>
  <c r="AH4212" i="4"/>
  <c r="AH4213" i="4"/>
  <c r="AH4214" i="4"/>
  <c r="AH4215" i="4"/>
  <c r="AH4216" i="4"/>
  <c r="AH4217" i="4"/>
  <c r="AH4218" i="4"/>
  <c r="AH4219" i="4"/>
  <c r="AH4220" i="4"/>
  <c r="AH4221" i="4"/>
  <c r="AH4222" i="4"/>
  <c r="AH4223" i="4"/>
  <c r="AH4224" i="4"/>
  <c r="AH4225" i="4"/>
  <c r="AH4226" i="4"/>
  <c r="AH4227" i="4"/>
  <c r="AH4228" i="4"/>
  <c r="AH4229" i="4"/>
  <c r="AH4230" i="4"/>
  <c r="AH4231" i="4"/>
  <c r="AH4232" i="4"/>
  <c r="AH4233" i="4"/>
  <c r="AH4234" i="4"/>
  <c r="AH4235" i="4"/>
  <c r="AH4236" i="4"/>
  <c r="AH4237" i="4"/>
  <c r="AH4238" i="4"/>
  <c r="AH4239" i="4"/>
  <c r="AH4240" i="4"/>
  <c r="AH4241" i="4"/>
  <c r="AH4242" i="4"/>
  <c r="AH4243" i="4"/>
  <c r="AH4244" i="4"/>
  <c r="AH4245" i="4"/>
  <c r="AH4246" i="4"/>
  <c r="AH4247" i="4"/>
  <c r="AH4248" i="4"/>
  <c r="AH4249" i="4"/>
  <c r="AH4250" i="4"/>
  <c r="AH4251" i="4"/>
  <c r="AH4252" i="4"/>
  <c r="AH4253" i="4"/>
  <c r="AH4254" i="4"/>
  <c r="AH4255" i="4"/>
  <c r="AH4256" i="4"/>
  <c r="AH4257" i="4"/>
  <c r="AH4258" i="4"/>
  <c r="AH4259" i="4"/>
  <c r="AH4260" i="4"/>
  <c r="AH4261" i="4"/>
  <c r="AH4262" i="4"/>
  <c r="AH4263" i="4"/>
  <c r="AH4264" i="4"/>
  <c r="AH4265" i="4"/>
  <c r="AH4266" i="4"/>
  <c r="AH4267" i="4"/>
  <c r="AH4268" i="4"/>
  <c r="AH4269" i="4"/>
  <c r="AH4270" i="4"/>
  <c r="AH4271" i="4"/>
  <c r="AH4272" i="4"/>
  <c r="AH4273" i="4"/>
  <c r="AH4274" i="4"/>
  <c r="AH4275" i="4"/>
  <c r="AH4276" i="4"/>
  <c r="AH4277" i="4"/>
  <c r="AH4278" i="4"/>
  <c r="AH4279" i="4"/>
  <c r="AH4280" i="4"/>
  <c r="AH4281" i="4"/>
  <c r="AH4282" i="4"/>
  <c r="AH4283" i="4"/>
  <c r="AH4284" i="4"/>
  <c r="AH4285" i="4"/>
  <c r="AH4286" i="4"/>
  <c r="AH4287" i="4"/>
  <c r="AH4288" i="4"/>
  <c r="AH4289" i="4"/>
  <c r="AH4290" i="4"/>
  <c r="AH4291" i="4"/>
  <c r="AH4292" i="4"/>
  <c r="AH4293" i="4"/>
  <c r="AH4294" i="4"/>
  <c r="AH4295" i="4"/>
  <c r="AH4296" i="4"/>
  <c r="AH4297" i="4"/>
  <c r="AH4298" i="4"/>
  <c r="AH4299" i="4"/>
  <c r="AH4300" i="4"/>
  <c r="AH4301" i="4"/>
  <c r="AH4302" i="4"/>
  <c r="AH4303" i="4"/>
  <c r="AH4304" i="4"/>
  <c r="AH4305" i="4"/>
  <c r="AH4306" i="4"/>
  <c r="AH4307" i="4"/>
  <c r="AH4308" i="4"/>
  <c r="AH4309" i="4"/>
  <c r="AH4310" i="4"/>
  <c r="AH4311" i="4"/>
  <c r="AH4312" i="4"/>
  <c r="AH4313" i="4"/>
  <c r="AH4314" i="4"/>
  <c r="AH4315" i="4"/>
  <c r="AH4316" i="4"/>
  <c r="AH4317" i="4"/>
  <c r="AH4318" i="4"/>
  <c r="AH4319" i="4"/>
  <c r="AH4320" i="4"/>
  <c r="AH4321" i="4"/>
  <c r="AH4322" i="4"/>
  <c r="AH4323" i="4"/>
  <c r="AH4324" i="4"/>
  <c r="AH4325" i="4"/>
  <c r="AH4326" i="4"/>
  <c r="AH4327" i="4"/>
  <c r="AH4328" i="4"/>
  <c r="AH4329" i="4"/>
  <c r="AH4330" i="4"/>
  <c r="AH4331" i="4"/>
  <c r="AH4332" i="4"/>
  <c r="AH4333" i="4"/>
  <c r="AH4334" i="4"/>
  <c r="AH4335" i="4"/>
  <c r="AH4336" i="4"/>
  <c r="AH4337" i="4"/>
  <c r="AH4338" i="4"/>
  <c r="AH4339" i="4"/>
  <c r="AH4340" i="4"/>
  <c r="AH4341" i="4"/>
  <c r="AH4342" i="4"/>
  <c r="AH4343" i="4"/>
  <c r="AH4344" i="4"/>
  <c r="AH4345" i="4"/>
  <c r="AH4346" i="4"/>
  <c r="AH4347" i="4"/>
  <c r="AH4348" i="4"/>
  <c r="AH4349" i="4"/>
  <c r="AH4350" i="4"/>
  <c r="AH4351" i="4"/>
  <c r="AH4352" i="4"/>
  <c r="AH4353" i="4"/>
  <c r="AH4354" i="4"/>
  <c r="AH4355" i="4"/>
  <c r="AH4356" i="4"/>
  <c r="AH4357" i="4"/>
  <c r="AH4358" i="4"/>
  <c r="AH4359" i="4"/>
  <c r="AH4360" i="4"/>
  <c r="AH4361" i="4"/>
  <c r="AH4362" i="4"/>
  <c r="AH4363" i="4"/>
  <c r="AH4364" i="4"/>
  <c r="AH4365" i="4"/>
  <c r="AH4366" i="4"/>
  <c r="AH4367" i="4"/>
  <c r="AH4368" i="4"/>
  <c r="AH4369" i="4"/>
  <c r="AH4370" i="4"/>
  <c r="AH4371" i="4"/>
  <c r="AH4372" i="4"/>
  <c r="AH4373" i="4"/>
  <c r="AH4374" i="4"/>
  <c r="AH4375" i="4"/>
  <c r="AH4376" i="4"/>
  <c r="AH4377" i="4"/>
  <c r="AH4378" i="4"/>
  <c r="AH4379" i="4"/>
  <c r="AI2" i="4"/>
  <c r="AI3" i="4"/>
  <c r="AI4" i="4"/>
  <c r="AI5" i="4"/>
  <c r="AI6" i="4"/>
  <c r="AI7" i="4"/>
  <c r="AI8" i="4"/>
  <c r="AI9" i="4"/>
  <c r="AI10" i="4"/>
  <c r="AI11" i="4"/>
  <c r="AI12" i="4"/>
  <c r="AI13" i="4"/>
  <c r="AI14" i="4"/>
  <c r="AI15" i="4"/>
  <c r="AI16" i="4"/>
  <c r="AI17" i="4"/>
  <c r="AI18" i="4"/>
  <c r="AI19" i="4"/>
  <c r="AI20" i="4"/>
  <c r="AI21" i="4"/>
  <c r="AI22" i="4"/>
  <c r="AI23" i="4"/>
  <c r="AI24" i="4"/>
  <c r="AI25" i="4"/>
  <c r="AI26" i="4"/>
  <c r="AI27" i="4"/>
  <c r="AI28" i="4"/>
  <c r="AI29" i="4"/>
  <c r="AI30" i="4"/>
  <c r="AI31" i="4"/>
  <c r="AI32" i="4"/>
  <c r="AI33" i="4"/>
  <c r="AI34" i="4"/>
  <c r="AI35" i="4"/>
  <c r="AI36" i="4"/>
  <c r="AI37" i="4"/>
  <c r="AI38" i="4"/>
  <c r="AI39" i="4"/>
  <c r="AI40" i="4"/>
  <c r="AI41" i="4"/>
  <c r="AI42" i="4"/>
  <c r="AI43" i="4"/>
  <c r="AI44" i="4"/>
  <c r="AI45" i="4"/>
  <c r="AI46" i="4"/>
  <c r="AI47" i="4"/>
  <c r="AI48" i="4"/>
  <c r="AI49" i="4"/>
  <c r="AI50" i="4"/>
  <c r="AI51" i="4"/>
  <c r="AI52" i="4"/>
  <c r="AI53" i="4"/>
  <c r="AI54" i="4"/>
  <c r="AI55" i="4"/>
  <c r="AI56" i="4"/>
  <c r="AI57" i="4"/>
  <c r="AI58" i="4"/>
  <c r="AI59" i="4"/>
  <c r="AI60" i="4"/>
  <c r="AI61" i="4"/>
  <c r="AI62" i="4"/>
  <c r="AI63" i="4"/>
  <c r="AI64" i="4"/>
  <c r="AI65" i="4"/>
  <c r="AI66" i="4"/>
  <c r="AI67" i="4"/>
  <c r="AI68" i="4"/>
  <c r="AI69" i="4"/>
  <c r="AI70" i="4"/>
  <c r="AI71" i="4"/>
  <c r="AI72" i="4"/>
  <c r="AI73" i="4"/>
  <c r="AI74" i="4"/>
  <c r="AI75" i="4"/>
  <c r="AI76" i="4"/>
  <c r="AI77" i="4"/>
  <c r="AI78" i="4"/>
  <c r="AI79" i="4"/>
  <c r="AI80" i="4"/>
  <c r="AI81" i="4"/>
  <c r="AI82" i="4"/>
  <c r="AI83" i="4"/>
  <c r="AI84" i="4"/>
  <c r="AI85" i="4"/>
  <c r="AI86" i="4"/>
  <c r="AI87" i="4"/>
  <c r="AI88" i="4"/>
  <c r="AI89" i="4"/>
  <c r="AI90" i="4"/>
  <c r="AI91" i="4"/>
  <c r="AI92" i="4"/>
  <c r="AI93" i="4"/>
  <c r="AI94" i="4"/>
  <c r="AI95" i="4"/>
  <c r="AI96" i="4"/>
  <c r="AI97" i="4"/>
  <c r="AI98" i="4"/>
  <c r="AI99" i="4"/>
  <c r="AI100" i="4"/>
  <c r="AI101" i="4"/>
  <c r="AI102" i="4"/>
  <c r="AI103" i="4"/>
  <c r="AI104" i="4"/>
  <c r="AI105" i="4"/>
  <c r="AI106" i="4"/>
  <c r="AI107" i="4"/>
  <c r="AI108" i="4"/>
  <c r="AI109" i="4"/>
  <c r="AI110" i="4"/>
  <c r="AI111" i="4"/>
  <c r="AI112" i="4"/>
  <c r="AI113" i="4"/>
  <c r="AI114" i="4"/>
  <c r="AI115" i="4"/>
  <c r="AI116" i="4"/>
  <c r="AI117" i="4"/>
  <c r="AI118" i="4"/>
  <c r="AI119" i="4"/>
  <c r="AI120" i="4"/>
  <c r="AI121" i="4"/>
  <c r="AI122" i="4"/>
  <c r="AI123" i="4"/>
  <c r="AI124" i="4"/>
  <c r="AI125" i="4"/>
  <c r="AI126" i="4"/>
  <c r="AI127" i="4"/>
  <c r="AI128" i="4"/>
  <c r="AI129" i="4"/>
  <c r="AI130" i="4"/>
  <c r="AI131" i="4"/>
  <c r="AI132" i="4"/>
  <c r="AI133" i="4"/>
  <c r="AI134" i="4"/>
  <c r="AI135" i="4"/>
  <c r="AI136" i="4"/>
  <c r="AI137" i="4"/>
  <c r="AI138" i="4"/>
  <c r="AI139" i="4"/>
  <c r="AI140" i="4"/>
  <c r="AI141" i="4"/>
  <c r="AI142" i="4"/>
  <c r="AI143" i="4"/>
  <c r="AI144" i="4"/>
  <c r="AI145" i="4"/>
  <c r="AI146" i="4"/>
  <c r="AI147" i="4"/>
  <c r="AI148" i="4"/>
  <c r="AI149" i="4"/>
  <c r="AI150" i="4"/>
  <c r="AI151" i="4"/>
  <c r="AI152" i="4"/>
  <c r="AI153" i="4"/>
  <c r="AI154" i="4"/>
  <c r="AI155" i="4"/>
  <c r="AI156" i="4"/>
  <c r="AI157" i="4"/>
  <c r="AI158" i="4"/>
  <c r="AI159" i="4"/>
  <c r="AI160" i="4"/>
  <c r="AI161" i="4"/>
  <c r="AI162" i="4"/>
  <c r="AI163" i="4"/>
  <c r="AI164" i="4"/>
  <c r="AI165" i="4"/>
  <c r="AI166" i="4"/>
  <c r="AI167" i="4"/>
  <c r="AI168" i="4"/>
  <c r="AI169" i="4"/>
  <c r="AI170" i="4"/>
  <c r="AI171" i="4"/>
  <c r="AI172" i="4"/>
  <c r="AI173" i="4"/>
  <c r="AI174" i="4"/>
  <c r="AI175" i="4"/>
  <c r="AI176" i="4"/>
  <c r="AI177" i="4"/>
  <c r="AI178" i="4"/>
  <c r="AI179" i="4"/>
  <c r="AI180" i="4"/>
  <c r="AI181" i="4"/>
  <c r="AI182" i="4"/>
  <c r="AI183" i="4"/>
  <c r="AI184" i="4"/>
  <c r="AI185" i="4"/>
  <c r="AI186" i="4"/>
  <c r="AI187" i="4"/>
  <c r="AI188" i="4"/>
  <c r="AI189" i="4"/>
  <c r="AI190" i="4"/>
  <c r="AI191" i="4"/>
  <c r="AI192" i="4"/>
  <c r="AI193" i="4"/>
  <c r="AI194" i="4"/>
  <c r="AI195" i="4"/>
  <c r="AI196" i="4"/>
  <c r="AI197" i="4"/>
  <c r="AI198" i="4"/>
  <c r="AI199" i="4"/>
  <c r="AI200" i="4"/>
  <c r="AI201" i="4"/>
  <c r="AI202" i="4"/>
  <c r="AI203" i="4"/>
  <c r="AI204" i="4"/>
  <c r="AI205" i="4"/>
  <c r="AI206" i="4"/>
  <c r="AI207" i="4"/>
  <c r="AI208" i="4"/>
  <c r="AI209" i="4"/>
  <c r="AI210" i="4"/>
  <c r="AI211" i="4"/>
  <c r="AI212" i="4"/>
  <c r="AI213" i="4"/>
  <c r="AI214" i="4"/>
  <c r="AI215" i="4"/>
  <c r="AI216" i="4"/>
  <c r="AI217" i="4"/>
  <c r="AI218" i="4"/>
  <c r="AI219" i="4"/>
  <c r="AI220" i="4"/>
  <c r="AI221" i="4"/>
  <c r="AI222" i="4"/>
  <c r="AI223" i="4"/>
  <c r="AI224" i="4"/>
  <c r="AI225" i="4"/>
  <c r="AI226" i="4"/>
  <c r="AI227" i="4"/>
  <c r="AI228" i="4"/>
  <c r="AI229" i="4"/>
  <c r="AI230" i="4"/>
  <c r="AI231" i="4"/>
  <c r="AI232" i="4"/>
  <c r="AI233" i="4"/>
  <c r="AI234" i="4"/>
  <c r="AI235" i="4"/>
  <c r="AI236" i="4"/>
  <c r="AI237" i="4"/>
  <c r="AI238" i="4"/>
  <c r="AI239" i="4"/>
  <c r="AI240" i="4"/>
  <c r="AI241" i="4"/>
  <c r="AI242" i="4"/>
  <c r="AI243" i="4"/>
  <c r="AI244" i="4"/>
  <c r="AI245" i="4"/>
  <c r="AI246" i="4"/>
  <c r="AI247" i="4"/>
  <c r="AI248" i="4"/>
  <c r="AI249" i="4"/>
  <c r="AI250" i="4"/>
  <c r="AI251" i="4"/>
  <c r="AI252" i="4"/>
  <c r="AI253" i="4"/>
  <c r="AI254" i="4"/>
  <c r="AI255" i="4"/>
  <c r="AI256" i="4"/>
  <c r="AI257" i="4"/>
  <c r="AI258" i="4"/>
  <c r="AI259" i="4"/>
  <c r="AI260" i="4"/>
  <c r="AI261" i="4"/>
  <c r="AI262" i="4"/>
  <c r="AI263" i="4"/>
  <c r="AI264" i="4"/>
  <c r="AI265" i="4"/>
  <c r="AI266" i="4"/>
  <c r="AI267" i="4"/>
  <c r="AI268" i="4"/>
  <c r="AI269" i="4"/>
  <c r="AI270" i="4"/>
  <c r="AI271" i="4"/>
  <c r="AI272" i="4"/>
  <c r="AI273" i="4"/>
  <c r="AI274" i="4"/>
  <c r="AI275" i="4"/>
  <c r="AI276" i="4"/>
  <c r="AI277" i="4"/>
  <c r="AI278" i="4"/>
  <c r="AI279" i="4"/>
  <c r="AI280" i="4"/>
  <c r="AI281" i="4"/>
  <c r="AI282" i="4"/>
  <c r="AI283" i="4"/>
  <c r="AI284" i="4"/>
  <c r="AI285" i="4"/>
  <c r="AI286" i="4"/>
  <c r="AI287" i="4"/>
  <c r="AI288" i="4"/>
  <c r="AI289" i="4"/>
  <c r="AI290" i="4"/>
  <c r="AI291" i="4"/>
  <c r="AI292" i="4"/>
  <c r="AI293" i="4"/>
  <c r="AI294" i="4"/>
  <c r="AI295" i="4"/>
  <c r="AI296" i="4"/>
  <c r="AI297" i="4"/>
  <c r="AI298" i="4"/>
  <c r="AI299" i="4"/>
  <c r="AI300" i="4"/>
  <c r="AI301" i="4"/>
  <c r="AI302" i="4"/>
  <c r="AI303" i="4"/>
  <c r="AI304" i="4"/>
  <c r="AI305" i="4"/>
  <c r="AI306" i="4"/>
  <c r="AI307" i="4"/>
  <c r="AI308" i="4"/>
  <c r="AI309" i="4"/>
  <c r="AI310" i="4"/>
  <c r="AI311" i="4"/>
  <c r="AI312" i="4"/>
  <c r="AI313" i="4"/>
  <c r="AI314" i="4"/>
  <c r="AI315" i="4"/>
  <c r="AI316" i="4"/>
  <c r="AI317" i="4"/>
  <c r="AI318" i="4"/>
  <c r="AI319" i="4"/>
  <c r="AI320" i="4"/>
  <c r="AI321" i="4"/>
  <c r="AI322" i="4"/>
  <c r="AI323" i="4"/>
  <c r="AI324" i="4"/>
  <c r="AI325" i="4"/>
  <c r="AI326" i="4"/>
  <c r="AI327" i="4"/>
  <c r="AI328" i="4"/>
  <c r="AI329" i="4"/>
  <c r="AI330" i="4"/>
  <c r="AI331" i="4"/>
  <c r="AI332" i="4"/>
  <c r="AI333" i="4"/>
  <c r="AI334" i="4"/>
  <c r="AI335" i="4"/>
  <c r="AI336" i="4"/>
  <c r="AI337" i="4"/>
  <c r="AI338" i="4"/>
  <c r="AI339" i="4"/>
  <c r="AI340" i="4"/>
  <c r="AI341" i="4"/>
  <c r="AI342" i="4"/>
  <c r="AI343" i="4"/>
  <c r="AI344" i="4"/>
  <c r="AI345" i="4"/>
  <c r="AI346" i="4"/>
  <c r="AI347" i="4"/>
  <c r="AI348" i="4"/>
  <c r="AI349" i="4"/>
  <c r="AI350" i="4"/>
  <c r="AI351" i="4"/>
  <c r="AI352" i="4"/>
  <c r="AI353" i="4"/>
  <c r="AI354" i="4"/>
  <c r="AI355" i="4"/>
  <c r="AI356" i="4"/>
  <c r="AI357" i="4"/>
  <c r="AI358" i="4"/>
  <c r="AI359" i="4"/>
  <c r="AI360" i="4"/>
  <c r="AI361" i="4"/>
  <c r="AI362" i="4"/>
  <c r="AI363" i="4"/>
  <c r="AI364" i="4"/>
  <c r="AI365" i="4"/>
  <c r="AI366" i="4"/>
  <c r="AI367" i="4"/>
  <c r="AI368" i="4"/>
  <c r="AI369" i="4"/>
  <c r="AI370" i="4"/>
  <c r="AI371" i="4"/>
  <c r="AI372" i="4"/>
  <c r="AI373" i="4"/>
  <c r="AI374" i="4"/>
  <c r="AI375" i="4"/>
  <c r="AI376" i="4"/>
  <c r="AI377" i="4"/>
  <c r="AI378" i="4"/>
  <c r="AI379" i="4"/>
  <c r="AI380" i="4"/>
  <c r="AI381" i="4"/>
  <c r="AI382" i="4"/>
  <c r="AI383" i="4"/>
  <c r="AI384" i="4"/>
  <c r="AI385" i="4"/>
  <c r="AI386" i="4"/>
  <c r="AI387" i="4"/>
  <c r="AI388" i="4"/>
  <c r="AI389" i="4"/>
  <c r="AI390" i="4"/>
  <c r="AI391" i="4"/>
  <c r="AI392" i="4"/>
  <c r="AI393" i="4"/>
  <c r="AI394" i="4"/>
  <c r="AI395" i="4"/>
  <c r="AI396" i="4"/>
  <c r="AI397" i="4"/>
  <c r="AI398" i="4"/>
  <c r="AI399" i="4"/>
  <c r="AI400" i="4"/>
  <c r="AI401" i="4"/>
  <c r="AI402" i="4"/>
  <c r="AI403" i="4"/>
  <c r="AI404" i="4"/>
  <c r="AI405" i="4"/>
  <c r="AI406" i="4"/>
  <c r="AI407" i="4"/>
  <c r="AI408" i="4"/>
  <c r="AI409" i="4"/>
  <c r="AI410" i="4"/>
  <c r="AI411" i="4"/>
  <c r="AI412" i="4"/>
  <c r="AI413" i="4"/>
  <c r="AI414" i="4"/>
  <c r="AI415" i="4"/>
  <c r="AI416" i="4"/>
  <c r="AI417" i="4"/>
  <c r="AI418" i="4"/>
  <c r="AI419" i="4"/>
  <c r="AI420" i="4"/>
  <c r="AI421" i="4"/>
  <c r="AI422" i="4"/>
  <c r="AI423" i="4"/>
  <c r="AI424" i="4"/>
  <c r="AI425" i="4"/>
  <c r="AI426" i="4"/>
  <c r="AI427" i="4"/>
  <c r="AI428" i="4"/>
  <c r="AI429" i="4"/>
  <c r="AI430" i="4"/>
  <c r="AI431" i="4"/>
  <c r="AI432" i="4"/>
  <c r="AI433" i="4"/>
  <c r="AI434" i="4"/>
  <c r="AI435" i="4"/>
  <c r="AI436" i="4"/>
  <c r="AI437" i="4"/>
  <c r="AI438" i="4"/>
  <c r="AI439" i="4"/>
  <c r="AI440" i="4"/>
  <c r="AI441" i="4"/>
  <c r="AI442" i="4"/>
  <c r="AI443" i="4"/>
  <c r="AI444" i="4"/>
  <c r="AI445" i="4"/>
  <c r="AI446" i="4"/>
  <c r="AI447" i="4"/>
  <c r="AI448" i="4"/>
  <c r="AI449" i="4"/>
  <c r="AI450" i="4"/>
  <c r="AI451" i="4"/>
  <c r="AI452" i="4"/>
  <c r="AI453" i="4"/>
  <c r="AI454" i="4"/>
  <c r="AI455" i="4"/>
  <c r="AI456" i="4"/>
  <c r="AI457" i="4"/>
  <c r="AI458" i="4"/>
  <c r="AI459" i="4"/>
  <c r="AI460" i="4"/>
  <c r="AI461" i="4"/>
  <c r="AI462" i="4"/>
  <c r="AI463" i="4"/>
  <c r="AI464" i="4"/>
  <c r="AI465" i="4"/>
  <c r="AI466" i="4"/>
  <c r="AI467" i="4"/>
  <c r="AI468" i="4"/>
  <c r="AI469" i="4"/>
  <c r="AI470" i="4"/>
  <c r="AI471" i="4"/>
  <c r="AI472" i="4"/>
  <c r="AI473" i="4"/>
  <c r="AI474" i="4"/>
  <c r="AI475" i="4"/>
  <c r="AI476" i="4"/>
  <c r="AI477" i="4"/>
  <c r="AI478" i="4"/>
  <c r="AI479" i="4"/>
  <c r="AI480" i="4"/>
  <c r="AI481" i="4"/>
  <c r="AI482" i="4"/>
  <c r="AI483" i="4"/>
  <c r="AI484" i="4"/>
  <c r="AI485" i="4"/>
  <c r="AI486" i="4"/>
  <c r="AI487" i="4"/>
  <c r="AI488" i="4"/>
  <c r="AI489" i="4"/>
  <c r="AI490" i="4"/>
  <c r="AI491" i="4"/>
  <c r="AI492" i="4"/>
  <c r="AI493" i="4"/>
  <c r="AI494" i="4"/>
  <c r="AI495" i="4"/>
  <c r="AI496" i="4"/>
  <c r="AI497" i="4"/>
  <c r="AI498" i="4"/>
  <c r="AI499" i="4"/>
  <c r="AI500" i="4"/>
  <c r="AI501" i="4"/>
  <c r="AI502" i="4"/>
  <c r="AI503" i="4"/>
  <c r="AI504" i="4"/>
  <c r="AI505" i="4"/>
  <c r="AI506" i="4"/>
  <c r="AI507" i="4"/>
  <c r="AI508" i="4"/>
  <c r="AI509" i="4"/>
  <c r="AI510" i="4"/>
  <c r="AI511" i="4"/>
  <c r="AI512" i="4"/>
  <c r="AI513" i="4"/>
  <c r="AI514" i="4"/>
  <c r="AI515" i="4"/>
  <c r="AI516" i="4"/>
  <c r="AI517" i="4"/>
  <c r="AI518" i="4"/>
  <c r="AI519" i="4"/>
  <c r="AI520" i="4"/>
  <c r="AI521" i="4"/>
  <c r="AI522" i="4"/>
  <c r="AI523" i="4"/>
  <c r="AI524" i="4"/>
  <c r="AI525" i="4"/>
  <c r="AI526" i="4"/>
  <c r="AI527" i="4"/>
  <c r="AI528" i="4"/>
  <c r="AI529" i="4"/>
  <c r="AI530" i="4"/>
  <c r="AI531" i="4"/>
  <c r="AI532" i="4"/>
  <c r="AI533" i="4"/>
  <c r="AI534" i="4"/>
  <c r="AI535" i="4"/>
  <c r="AI536" i="4"/>
  <c r="AI537" i="4"/>
  <c r="AI538" i="4"/>
  <c r="AI539" i="4"/>
  <c r="AI540" i="4"/>
  <c r="AI541" i="4"/>
  <c r="AI542" i="4"/>
  <c r="AI543" i="4"/>
  <c r="AI544" i="4"/>
  <c r="AI545" i="4"/>
  <c r="AI546" i="4"/>
  <c r="AI547" i="4"/>
  <c r="AI548" i="4"/>
  <c r="AI549" i="4"/>
  <c r="AI550" i="4"/>
  <c r="AI551" i="4"/>
  <c r="AI552" i="4"/>
  <c r="AI553" i="4"/>
  <c r="AI554" i="4"/>
  <c r="AI555" i="4"/>
  <c r="AI556" i="4"/>
  <c r="AI557" i="4"/>
  <c r="AI558" i="4"/>
  <c r="AI559" i="4"/>
  <c r="AI560" i="4"/>
  <c r="AI561" i="4"/>
  <c r="AI562" i="4"/>
  <c r="AI563" i="4"/>
  <c r="AI564" i="4"/>
  <c r="AI565" i="4"/>
  <c r="AI566" i="4"/>
  <c r="AI567" i="4"/>
  <c r="AI568" i="4"/>
  <c r="AI569" i="4"/>
  <c r="AI570" i="4"/>
  <c r="AI571" i="4"/>
  <c r="AI572" i="4"/>
  <c r="AI573" i="4"/>
  <c r="AI574" i="4"/>
  <c r="AI575" i="4"/>
  <c r="AI576" i="4"/>
  <c r="AI577" i="4"/>
  <c r="AI578" i="4"/>
  <c r="AI579" i="4"/>
  <c r="AI580" i="4"/>
  <c r="AI581" i="4"/>
  <c r="AI582" i="4"/>
  <c r="AI583" i="4"/>
  <c r="AI584" i="4"/>
  <c r="AI585" i="4"/>
  <c r="AI586" i="4"/>
  <c r="AI587" i="4"/>
  <c r="AI588" i="4"/>
  <c r="AI589" i="4"/>
  <c r="AI590" i="4"/>
  <c r="AI591" i="4"/>
  <c r="AI592" i="4"/>
  <c r="AI593" i="4"/>
  <c r="AI594" i="4"/>
  <c r="AI595" i="4"/>
  <c r="AI596" i="4"/>
  <c r="AI597" i="4"/>
  <c r="AI598" i="4"/>
  <c r="AI599" i="4"/>
  <c r="AI600" i="4"/>
  <c r="AI601" i="4"/>
  <c r="AI602" i="4"/>
  <c r="AI603" i="4"/>
  <c r="AI604" i="4"/>
  <c r="AI605" i="4"/>
  <c r="AI606" i="4"/>
  <c r="AI607" i="4"/>
  <c r="AI608" i="4"/>
  <c r="AI609" i="4"/>
  <c r="AI610" i="4"/>
  <c r="AI611" i="4"/>
  <c r="AI612" i="4"/>
  <c r="AI613" i="4"/>
  <c r="AI614" i="4"/>
  <c r="AI615" i="4"/>
  <c r="AI616" i="4"/>
  <c r="AI617" i="4"/>
  <c r="AI618" i="4"/>
  <c r="AI619" i="4"/>
  <c r="AI620" i="4"/>
  <c r="AI621" i="4"/>
  <c r="AI622" i="4"/>
  <c r="AI623" i="4"/>
  <c r="AI624" i="4"/>
  <c r="AI625" i="4"/>
  <c r="AI626" i="4"/>
  <c r="AI627" i="4"/>
  <c r="AI628" i="4"/>
  <c r="AI629" i="4"/>
  <c r="AI630" i="4"/>
  <c r="AI631" i="4"/>
  <c r="AI632" i="4"/>
  <c r="AI633" i="4"/>
  <c r="AI634" i="4"/>
  <c r="AI635" i="4"/>
  <c r="AI636" i="4"/>
  <c r="AI637" i="4"/>
  <c r="AI638" i="4"/>
  <c r="AI639" i="4"/>
  <c r="AI640" i="4"/>
  <c r="AI641" i="4"/>
  <c r="AI642" i="4"/>
  <c r="AI643" i="4"/>
  <c r="AI644" i="4"/>
  <c r="AI645" i="4"/>
  <c r="AI646" i="4"/>
  <c r="AI647" i="4"/>
  <c r="AI648" i="4"/>
  <c r="AI649" i="4"/>
  <c r="AI650" i="4"/>
  <c r="AI651" i="4"/>
  <c r="AI652" i="4"/>
  <c r="AI653" i="4"/>
  <c r="AI654" i="4"/>
  <c r="AI655" i="4"/>
  <c r="AI656" i="4"/>
  <c r="AI657" i="4"/>
  <c r="AI658" i="4"/>
  <c r="AI659" i="4"/>
  <c r="AI660" i="4"/>
  <c r="AI661" i="4"/>
  <c r="AI662" i="4"/>
  <c r="AI663" i="4"/>
  <c r="AI664" i="4"/>
  <c r="AI665" i="4"/>
  <c r="AI666" i="4"/>
  <c r="AI667" i="4"/>
  <c r="AI668" i="4"/>
  <c r="AI669" i="4"/>
  <c r="AI670" i="4"/>
  <c r="AI671" i="4"/>
  <c r="AI672" i="4"/>
  <c r="AI673" i="4"/>
  <c r="AI674" i="4"/>
  <c r="AI675" i="4"/>
  <c r="AI676" i="4"/>
  <c r="AI677" i="4"/>
  <c r="AI678" i="4"/>
  <c r="AI679" i="4"/>
  <c r="AI680" i="4"/>
  <c r="AI681" i="4"/>
  <c r="AI682" i="4"/>
  <c r="AI683" i="4"/>
  <c r="AI684" i="4"/>
  <c r="AI685" i="4"/>
  <c r="AI686" i="4"/>
  <c r="AI687" i="4"/>
  <c r="AI688" i="4"/>
  <c r="AI689" i="4"/>
  <c r="AI690" i="4"/>
  <c r="AI691" i="4"/>
  <c r="AI692" i="4"/>
  <c r="AI693" i="4"/>
  <c r="AI694" i="4"/>
  <c r="AI695" i="4"/>
  <c r="AI696" i="4"/>
  <c r="AI697" i="4"/>
  <c r="AI698" i="4"/>
  <c r="AI699" i="4"/>
  <c r="AI700" i="4"/>
  <c r="AI701" i="4"/>
  <c r="AI702" i="4"/>
  <c r="AI703" i="4"/>
  <c r="AI704" i="4"/>
  <c r="AI705" i="4"/>
  <c r="AI706" i="4"/>
  <c r="AI707" i="4"/>
  <c r="AI708" i="4"/>
  <c r="AI709" i="4"/>
  <c r="AI710" i="4"/>
  <c r="AI711" i="4"/>
  <c r="AI712" i="4"/>
  <c r="AI713" i="4"/>
  <c r="AI714" i="4"/>
  <c r="AI715" i="4"/>
  <c r="AI716" i="4"/>
  <c r="AI717" i="4"/>
  <c r="AI718" i="4"/>
  <c r="AI719" i="4"/>
  <c r="AI720" i="4"/>
  <c r="AI721" i="4"/>
  <c r="AI722" i="4"/>
  <c r="AI723" i="4"/>
  <c r="AI724" i="4"/>
  <c r="AI725" i="4"/>
  <c r="AI726" i="4"/>
  <c r="AI727" i="4"/>
  <c r="AI728" i="4"/>
  <c r="AI729" i="4"/>
  <c r="AI730" i="4"/>
  <c r="AI731" i="4"/>
  <c r="AI732" i="4"/>
  <c r="AI733" i="4"/>
  <c r="AI734" i="4"/>
  <c r="AI735" i="4"/>
  <c r="AI736" i="4"/>
  <c r="AI737" i="4"/>
  <c r="AI738" i="4"/>
  <c r="AI739" i="4"/>
  <c r="AI740" i="4"/>
  <c r="AI741" i="4"/>
  <c r="AI742" i="4"/>
  <c r="AI743" i="4"/>
  <c r="AI744" i="4"/>
  <c r="AI745" i="4"/>
  <c r="AI746" i="4"/>
  <c r="AI747" i="4"/>
  <c r="AI748" i="4"/>
  <c r="AI749" i="4"/>
  <c r="AI750" i="4"/>
  <c r="AI751" i="4"/>
  <c r="AI752" i="4"/>
  <c r="AI753" i="4"/>
  <c r="AI754" i="4"/>
  <c r="AI755" i="4"/>
  <c r="AI756" i="4"/>
  <c r="AI757" i="4"/>
  <c r="AI758" i="4"/>
  <c r="AI759" i="4"/>
  <c r="AI760" i="4"/>
  <c r="AI761" i="4"/>
  <c r="AI762" i="4"/>
  <c r="AI763" i="4"/>
  <c r="AI764" i="4"/>
  <c r="AI765" i="4"/>
  <c r="AI766" i="4"/>
  <c r="AI767" i="4"/>
  <c r="AI768" i="4"/>
  <c r="AI769" i="4"/>
  <c r="AI770" i="4"/>
  <c r="AI771" i="4"/>
  <c r="AI772" i="4"/>
  <c r="AI773" i="4"/>
  <c r="AI774" i="4"/>
  <c r="AI775" i="4"/>
  <c r="AI776" i="4"/>
  <c r="AI777" i="4"/>
  <c r="AI778" i="4"/>
  <c r="AI779" i="4"/>
  <c r="AI780" i="4"/>
  <c r="AI781" i="4"/>
  <c r="AI782" i="4"/>
  <c r="AI783" i="4"/>
  <c r="AI784" i="4"/>
  <c r="AI785" i="4"/>
  <c r="AI786" i="4"/>
  <c r="AI787" i="4"/>
  <c r="AI788" i="4"/>
  <c r="AI789" i="4"/>
  <c r="AI790" i="4"/>
  <c r="AI791" i="4"/>
  <c r="AI792" i="4"/>
  <c r="AI793" i="4"/>
  <c r="AI794" i="4"/>
  <c r="AI795" i="4"/>
  <c r="AI796" i="4"/>
  <c r="AI797" i="4"/>
  <c r="AI798" i="4"/>
  <c r="AI799" i="4"/>
  <c r="AI800" i="4"/>
  <c r="AI801" i="4"/>
  <c r="AI802" i="4"/>
  <c r="AI803" i="4"/>
  <c r="AI804" i="4"/>
  <c r="AI805" i="4"/>
  <c r="AI806" i="4"/>
  <c r="AI807" i="4"/>
  <c r="AI808" i="4"/>
  <c r="AI809" i="4"/>
  <c r="AI810" i="4"/>
  <c r="AI811" i="4"/>
  <c r="AI812" i="4"/>
  <c r="AI813" i="4"/>
  <c r="AI814" i="4"/>
  <c r="AI815" i="4"/>
  <c r="AI816" i="4"/>
  <c r="AI817" i="4"/>
  <c r="AI818" i="4"/>
  <c r="AI819" i="4"/>
  <c r="AI820" i="4"/>
  <c r="AI821" i="4"/>
  <c r="AI822" i="4"/>
  <c r="AI823" i="4"/>
  <c r="AI824" i="4"/>
  <c r="AI825" i="4"/>
  <c r="AI826" i="4"/>
  <c r="AI827" i="4"/>
  <c r="AI828" i="4"/>
  <c r="AI829" i="4"/>
  <c r="AI830" i="4"/>
  <c r="AI831" i="4"/>
  <c r="AI832" i="4"/>
  <c r="AI833" i="4"/>
  <c r="AI834" i="4"/>
  <c r="AI835" i="4"/>
  <c r="AI836" i="4"/>
  <c r="AI837" i="4"/>
  <c r="AI838" i="4"/>
  <c r="AI839" i="4"/>
  <c r="AI840" i="4"/>
  <c r="AI841" i="4"/>
  <c r="AI842" i="4"/>
  <c r="AI843" i="4"/>
  <c r="AI844" i="4"/>
  <c r="AI845" i="4"/>
  <c r="AI846" i="4"/>
  <c r="AI847" i="4"/>
  <c r="AI848" i="4"/>
  <c r="AI849" i="4"/>
  <c r="AI850" i="4"/>
  <c r="AI851" i="4"/>
  <c r="AI852" i="4"/>
  <c r="AI853" i="4"/>
  <c r="AI854" i="4"/>
  <c r="AI855" i="4"/>
  <c r="AI856" i="4"/>
  <c r="AI857" i="4"/>
  <c r="AI858" i="4"/>
  <c r="AI859" i="4"/>
  <c r="AI860" i="4"/>
  <c r="AI861" i="4"/>
  <c r="AI862" i="4"/>
  <c r="AI863" i="4"/>
  <c r="AI864" i="4"/>
  <c r="AI865" i="4"/>
  <c r="AI866" i="4"/>
  <c r="AI867" i="4"/>
  <c r="AI868" i="4"/>
  <c r="AI869" i="4"/>
  <c r="AI870" i="4"/>
  <c r="AI871" i="4"/>
  <c r="AI872" i="4"/>
  <c r="AI873" i="4"/>
  <c r="AI874" i="4"/>
  <c r="AI875" i="4"/>
  <c r="AI876" i="4"/>
  <c r="AI877" i="4"/>
  <c r="AI878" i="4"/>
  <c r="AI879" i="4"/>
  <c r="AI880" i="4"/>
  <c r="AI881" i="4"/>
  <c r="AI882" i="4"/>
  <c r="AI883" i="4"/>
  <c r="AI884" i="4"/>
  <c r="AI885" i="4"/>
  <c r="AI886" i="4"/>
  <c r="AI887" i="4"/>
  <c r="AI888" i="4"/>
  <c r="AI889" i="4"/>
  <c r="AI890" i="4"/>
  <c r="AI891" i="4"/>
  <c r="AI892" i="4"/>
  <c r="AI893" i="4"/>
  <c r="AI894" i="4"/>
  <c r="AI895" i="4"/>
  <c r="AI896" i="4"/>
  <c r="AI897" i="4"/>
  <c r="AI898" i="4"/>
  <c r="AI899" i="4"/>
  <c r="AI900" i="4"/>
  <c r="AI901" i="4"/>
  <c r="AI902" i="4"/>
  <c r="AI903" i="4"/>
  <c r="AI904" i="4"/>
  <c r="AI905" i="4"/>
  <c r="AI906" i="4"/>
  <c r="AI907" i="4"/>
  <c r="AI908" i="4"/>
  <c r="AI909" i="4"/>
  <c r="AI910" i="4"/>
  <c r="AI911" i="4"/>
  <c r="AI912" i="4"/>
  <c r="AI913" i="4"/>
  <c r="AI914" i="4"/>
  <c r="AI915" i="4"/>
  <c r="AI916" i="4"/>
  <c r="AI917" i="4"/>
  <c r="AI918" i="4"/>
  <c r="AI919" i="4"/>
  <c r="AI920" i="4"/>
  <c r="AI921" i="4"/>
  <c r="AI922" i="4"/>
  <c r="AI923" i="4"/>
  <c r="AI924" i="4"/>
  <c r="AI925" i="4"/>
  <c r="AI926" i="4"/>
  <c r="AI927" i="4"/>
  <c r="AI928" i="4"/>
  <c r="AI929" i="4"/>
  <c r="AI930" i="4"/>
  <c r="AI931" i="4"/>
  <c r="AI932" i="4"/>
  <c r="AI933" i="4"/>
  <c r="AI934" i="4"/>
  <c r="AI935" i="4"/>
  <c r="AI936" i="4"/>
  <c r="AI937" i="4"/>
  <c r="AI938" i="4"/>
  <c r="AI939" i="4"/>
  <c r="AI940" i="4"/>
  <c r="AI941" i="4"/>
  <c r="AI942" i="4"/>
  <c r="AI943" i="4"/>
  <c r="AI944" i="4"/>
  <c r="AI945" i="4"/>
  <c r="AI946" i="4"/>
  <c r="AI947" i="4"/>
  <c r="AI948" i="4"/>
  <c r="AI949" i="4"/>
  <c r="AI950" i="4"/>
  <c r="AI951" i="4"/>
  <c r="AI952" i="4"/>
  <c r="AI953" i="4"/>
  <c r="AI954" i="4"/>
  <c r="AI955" i="4"/>
  <c r="AI956" i="4"/>
  <c r="AI957" i="4"/>
  <c r="AI958" i="4"/>
  <c r="AI959" i="4"/>
  <c r="AI960" i="4"/>
  <c r="AI961" i="4"/>
  <c r="AI962" i="4"/>
  <c r="AI963" i="4"/>
  <c r="AI964" i="4"/>
  <c r="AI965" i="4"/>
  <c r="AI966" i="4"/>
  <c r="AI967" i="4"/>
  <c r="AI968" i="4"/>
  <c r="AI969" i="4"/>
  <c r="AI970" i="4"/>
  <c r="AI971" i="4"/>
  <c r="AI972" i="4"/>
  <c r="AI973" i="4"/>
  <c r="AI974" i="4"/>
  <c r="AI975" i="4"/>
  <c r="AI976" i="4"/>
  <c r="AI977" i="4"/>
  <c r="AI978" i="4"/>
  <c r="AI979" i="4"/>
  <c r="AI980" i="4"/>
  <c r="AI981" i="4"/>
  <c r="AI982" i="4"/>
  <c r="AI983" i="4"/>
  <c r="AI984" i="4"/>
  <c r="AI985" i="4"/>
  <c r="AI986" i="4"/>
  <c r="AI987" i="4"/>
  <c r="AI988" i="4"/>
  <c r="AI989" i="4"/>
  <c r="AI990" i="4"/>
  <c r="AI991" i="4"/>
  <c r="AI992" i="4"/>
  <c r="AI993" i="4"/>
  <c r="AI994" i="4"/>
  <c r="AI995" i="4"/>
  <c r="AI996" i="4"/>
  <c r="AI997" i="4"/>
  <c r="AI998" i="4"/>
  <c r="AI999" i="4"/>
  <c r="AI1000" i="4"/>
  <c r="AI1001" i="4"/>
  <c r="AI1002" i="4"/>
  <c r="AI1003" i="4"/>
  <c r="AI1004" i="4"/>
  <c r="AI1005" i="4"/>
  <c r="AI1006" i="4"/>
  <c r="AI1007" i="4"/>
  <c r="AI1008" i="4"/>
  <c r="AI1009" i="4"/>
  <c r="AI1010" i="4"/>
  <c r="AI1011" i="4"/>
  <c r="AI1012" i="4"/>
  <c r="AI1013" i="4"/>
  <c r="AI1014" i="4"/>
  <c r="AI1015" i="4"/>
  <c r="AI1016" i="4"/>
  <c r="AI1017" i="4"/>
  <c r="AI1018" i="4"/>
  <c r="AI1019" i="4"/>
  <c r="AI1020" i="4"/>
  <c r="AI1021" i="4"/>
  <c r="AI1022" i="4"/>
  <c r="AI1023" i="4"/>
  <c r="AI1024" i="4"/>
  <c r="AI1025" i="4"/>
  <c r="AI1026" i="4"/>
  <c r="AI1027" i="4"/>
  <c r="AI1028" i="4"/>
  <c r="AI1029" i="4"/>
  <c r="AI1030" i="4"/>
  <c r="AI1031" i="4"/>
  <c r="AI1032" i="4"/>
  <c r="AI1033" i="4"/>
  <c r="AI1034" i="4"/>
  <c r="AI1035" i="4"/>
  <c r="AI1036" i="4"/>
  <c r="AI1037" i="4"/>
  <c r="AI1038" i="4"/>
  <c r="AI1039" i="4"/>
  <c r="AI1040" i="4"/>
  <c r="AI1041" i="4"/>
  <c r="AI1042" i="4"/>
  <c r="AI1043" i="4"/>
  <c r="AI1044" i="4"/>
  <c r="AI1045" i="4"/>
  <c r="AI1046" i="4"/>
  <c r="AI1047" i="4"/>
  <c r="AI1048" i="4"/>
  <c r="AI1049" i="4"/>
  <c r="AI1050" i="4"/>
  <c r="AI1051" i="4"/>
  <c r="AI1052" i="4"/>
  <c r="AI1053" i="4"/>
  <c r="AI1054" i="4"/>
  <c r="AI1055" i="4"/>
  <c r="AI1056" i="4"/>
  <c r="AI1057" i="4"/>
  <c r="AI1058" i="4"/>
  <c r="AI1059" i="4"/>
  <c r="AI1060" i="4"/>
  <c r="AI1061" i="4"/>
  <c r="AI1062" i="4"/>
  <c r="AI1063" i="4"/>
  <c r="AI1064" i="4"/>
  <c r="AI1065" i="4"/>
  <c r="AI1066" i="4"/>
  <c r="AI1067" i="4"/>
  <c r="AI1068" i="4"/>
  <c r="AI1069" i="4"/>
  <c r="AI1070" i="4"/>
  <c r="AI1071" i="4"/>
  <c r="AI1072" i="4"/>
  <c r="AI1073" i="4"/>
  <c r="AI1074" i="4"/>
  <c r="AI1075" i="4"/>
  <c r="AI1076" i="4"/>
  <c r="AI1077" i="4"/>
  <c r="AI1078" i="4"/>
  <c r="AI1079" i="4"/>
  <c r="AI1080" i="4"/>
  <c r="AI1081" i="4"/>
  <c r="AI1082" i="4"/>
  <c r="AI1083" i="4"/>
  <c r="AI1084" i="4"/>
  <c r="AI1085" i="4"/>
  <c r="AI1086" i="4"/>
  <c r="AI1087" i="4"/>
  <c r="AI1088" i="4"/>
  <c r="AI1089" i="4"/>
  <c r="AI1090" i="4"/>
  <c r="AI1091" i="4"/>
  <c r="AI1092" i="4"/>
  <c r="AI1093" i="4"/>
  <c r="AI1094" i="4"/>
  <c r="AI1095" i="4"/>
  <c r="AI1096" i="4"/>
  <c r="AI1097" i="4"/>
  <c r="AI1098" i="4"/>
  <c r="AI1099" i="4"/>
  <c r="AI1100" i="4"/>
  <c r="AI1101" i="4"/>
  <c r="AI1102" i="4"/>
  <c r="AI1103" i="4"/>
  <c r="AI1104" i="4"/>
  <c r="AI1105" i="4"/>
  <c r="AI1106" i="4"/>
  <c r="AI1107" i="4"/>
  <c r="AI1108" i="4"/>
  <c r="AI1109" i="4"/>
  <c r="AI1110" i="4"/>
  <c r="AI1111" i="4"/>
  <c r="AI1112" i="4"/>
  <c r="AI1113" i="4"/>
  <c r="AI1114" i="4"/>
  <c r="AI1115" i="4"/>
  <c r="AI1116" i="4"/>
  <c r="AI1117" i="4"/>
  <c r="AI1118" i="4"/>
  <c r="AI1119" i="4"/>
  <c r="AI1120" i="4"/>
  <c r="AI1121" i="4"/>
  <c r="AI1122" i="4"/>
  <c r="AI1123" i="4"/>
  <c r="AI1124" i="4"/>
  <c r="AI1125" i="4"/>
  <c r="AI1126" i="4"/>
  <c r="AI1127" i="4"/>
  <c r="AI1128" i="4"/>
  <c r="AI1129" i="4"/>
  <c r="AI1130" i="4"/>
  <c r="AI1131" i="4"/>
  <c r="AI1132" i="4"/>
  <c r="AI1133" i="4"/>
  <c r="AI1134" i="4"/>
  <c r="AI1135" i="4"/>
  <c r="AI1136" i="4"/>
  <c r="AI1137" i="4"/>
  <c r="AI1138" i="4"/>
  <c r="AI1139" i="4"/>
  <c r="AI1140" i="4"/>
  <c r="AI1141" i="4"/>
  <c r="AI1142" i="4"/>
  <c r="AI1143" i="4"/>
  <c r="AI1144" i="4"/>
  <c r="AI1145" i="4"/>
  <c r="AI1146" i="4"/>
  <c r="AI1147" i="4"/>
  <c r="AI1148" i="4"/>
  <c r="AI1149" i="4"/>
  <c r="AI1150" i="4"/>
  <c r="AI1151" i="4"/>
  <c r="AI1152" i="4"/>
  <c r="AI1153" i="4"/>
  <c r="AI1154" i="4"/>
  <c r="AI1155" i="4"/>
  <c r="AI1156" i="4"/>
  <c r="AI1157" i="4"/>
  <c r="AI1158" i="4"/>
  <c r="AI1159" i="4"/>
  <c r="AI1160" i="4"/>
  <c r="AI1161" i="4"/>
  <c r="AI1162" i="4"/>
  <c r="AI1163" i="4"/>
  <c r="AI1164" i="4"/>
  <c r="AI1165" i="4"/>
  <c r="AI1166" i="4"/>
  <c r="AI1167" i="4"/>
  <c r="AI1168" i="4"/>
  <c r="AI1169" i="4"/>
  <c r="AI1170" i="4"/>
  <c r="AI1171" i="4"/>
  <c r="AI1172" i="4"/>
  <c r="AI1173" i="4"/>
  <c r="AI1174" i="4"/>
  <c r="AI1175" i="4"/>
  <c r="AI1176" i="4"/>
  <c r="AI1177" i="4"/>
  <c r="AI1178" i="4"/>
  <c r="AI1179" i="4"/>
  <c r="AI1180" i="4"/>
  <c r="AI1181" i="4"/>
  <c r="AI1182" i="4"/>
  <c r="AI1183" i="4"/>
  <c r="AI1184" i="4"/>
  <c r="AI1185" i="4"/>
  <c r="AI1186" i="4"/>
  <c r="AI1187" i="4"/>
  <c r="AI1188" i="4"/>
  <c r="AI1189" i="4"/>
  <c r="AI1190" i="4"/>
  <c r="AI1191" i="4"/>
  <c r="AI1192" i="4"/>
  <c r="AI1193" i="4"/>
  <c r="AI1194" i="4"/>
  <c r="AI1195" i="4"/>
  <c r="AI1196" i="4"/>
  <c r="AI1197" i="4"/>
  <c r="AI1198" i="4"/>
  <c r="AI1199" i="4"/>
  <c r="AI1200" i="4"/>
  <c r="AI1201" i="4"/>
  <c r="AI1202" i="4"/>
  <c r="AI1203" i="4"/>
  <c r="AI1204" i="4"/>
  <c r="AI1205" i="4"/>
  <c r="AI1206" i="4"/>
  <c r="AI1207" i="4"/>
  <c r="AI1208" i="4"/>
  <c r="AI1209" i="4"/>
  <c r="AI1210" i="4"/>
  <c r="AI1211" i="4"/>
  <c r="AI1212" i="4"/>
  <c r="AI1213" i="4"/>
  <c r="AI1214" i="4"/>
  <c r="AI1215" i="4"/>
  <c r="AI1216" i="4"/>
  <c r="AI1217" i="4"/>
  <c r="AI1218" i="4"/>
  <c r="AI1219" i="4"/>
  <c r="AI1220" i="4"/>
  <c r="AI1221" i="4"/>
  <c r="AI1222" i="4"/>
  <c r="AI1223" i="4"/>
  <c r="AI1224" i="4"/>
  <c r="AI1225" i="4"/>
  <c r="AI1226" i="4"/>
  <c r="AI1227" i="4"/>
  <c r="AI1228" i="4"/>
  <c r="AI1229" i="4"/>
  <c r="AI1230" i="4"/>
  <c r="AI1231" i="4"/>
  <c r="AI1232" i="4"/>
  <c r="AI1233" i="4"/>
  <c r="AI1234" i="4"/>
  <c r="AI1235" i="4"/>
  <c r="AI1236" i="4"/>
  <c r="AI1237" i="4"/>
  <c r="AI1238" i="4"/>
  <c r="AI1239" i="4"/>
  <c r="AI1240" i="4"/>
  <c r="AI1241" i="4"/>
  <c r="AI1242" i="4"/>
  <c r="AI1243" i="4"/>
  <c r="AI1244" i="4"/>
  <c r="AI1245" i="4"/>
  <c r="AI1246" i="4"/>
  <c r="AI1247" i="4"/>
  <c r="AI1248" i="4"/>
  <c r="AI1249" i="4"/>
  <c r="AI1250" i="4"/>
  <c r="AI1251" i="4"/>
  <c r="AI1252" i="4"/>
  <c r="AI1253" i="4"/>
  <c r="AI1254" i="4"/>
  <c r="AI1255" i="4"/>
  <c r="AI1256" i="4"/>
  <c r="AI1257" i="4"/>
  <c r="AI1258" i="4"/>
  <c r="AI1259" i="4"/>
  <c r="AI1260" i="4"/>
  <c r="AI1261" i="4"/>
  <c r="AI1262" i="4"/>
  <c r="AI1263" i="4"/>
  <c r="AI1264" i="4"/>
  <c r="AI1265" i="4"/>
  <c r="AI1266" i="4"/>
  <c r="AI1267" i="4"/>
  <c r="AI1268" i="4"/>
  <c r="AI1269" i="4"/>
  <c r="AI1270" i="4"/>
  <c r="AI1271" i="4"/>
  <c r="AI1272" i="4"/>
  <c r="AI1273" i="4"/>
  <c r="AI1274" i="4"/>
  <c r="AI1275" i="4"/>
  <c r="AI1276" i="4"/>
  <c r="AI1277" i="4"/>
  <c r="AI1278" i="4"/>
  <c r="AI1279" i="4"/>
  <c r="AI1280" i="4"/>
  <c r="AI1281" i="4"/>
  <c r="AI1282" i="4"/>
  <c r="AI1283" i="4"/>
  <c r="AI1284" i="4"/>
  <c r="AI1285" i="4"/>
  <c r="AI1286" i="4"/>
  <c r="AI1287" i="4"/>
  <c r="AI1288" i="4"/>
  <c r="AI1289" i="4"/>
  <c r="AI1290" i="4"/>
  <c r="AI1291" i="4"/>
  <c r="AI1292" i="4"/>
  <c r="AI1293" i="4"/>
  <c r="AI1294" i="4"/>
  <c r="AI1295" i="4"/>
  <c r="AI1296" i="4"/>
  <c r="AI1297" i="4"/>
  <c r="AI1298" i="4"/>
  <c r="AI1299" i="4"/>
  <c r="AI1300" i="4"/>
  <c r="AI1301" i="4"/>
  <c r="AI1302" i="4"/>
  <c r="AI1303" i="4"/>
  <c r="AI1304" i="4"/>
  <c r="AI1305" i="4"/>
  <c r="AI1306" i="4"/>
  <c r="AI1307" i="4"/>
  <c r="AI1308" i="4"/>
  <c r="AI1309" i="4"/>
  <c r="AI1310" i="4"/>
  <c r="AI1311" i="4"/>
  <c r="AI1312" i="4"/>
  <c r="AI1313" i="4"/>
  <c r="AI1314" i="4"/>
  <c r="AI1315" i="4"/>
  <c r="AI1316" i="4"/>
  <c r="AI1317" i="4"/>
  <c r="AI1318" i="4"/>
  <c r="AI1319" i="4"/>
  <c r="AI1320" i="4"/>
  <c r="AI1321" i="4"/>
  <c r="AI1322" i="4"/>
  <c r="AI1323" i="4"/>
  <c r="AI1324" i="4"/>
  <c r="AI1325" i="4"/>
  <c r="AI1326" i="4"/>
  <c r="AI1327" i="4"/>
  <c r="AI1328" i="4"/>
  <c r="AI1329" i="4"/>
  <c r="AI1330" i="4"/>
  <c r="AI1331" i="4"/>
  <c r="AI1332" i="4"/>
  <c r="AI1333" i="4"/>
  <c r="AI1334" i="4"/>
  <c r="AI1335" i="4"/>
  <c r="AI1336" i="4"/>
  <c r="AI1337" i="4"/>
  <c r="AI1338" i="4"/>
  <c r="AI1339" i="4"/>
  <c r="AI1340" i="4"/>
  <c r="AI1341" i="4"/>
  <c r="AI1342" i="4"/>
  <c r="AI1343" i="4"/>
  <c r="AI1344" i="4"/>
  <c r="AI1345" i="4"/>
  <c r="AI1346" i="4"/>
  <c r="AI1347" i="4"/>
  <c r="AI1348" i="4"/>
  <c r="AI1349" i="4"/>
  <c r="AI1350" i="4"/>
  <c r="AI1351" i="4"/>
  <c r="AI1352" i="4"/>
  <c r="AI1353" i="4"/>
  <c r="AI1354" i="4"/>
  <c r="AI1355" i="4"/>
  <c r="AI1356" i="4"/>
  <c r="AI1357" i="4"/>
  <c r="AI1358" i="4"/>
  <c r="AI1359" i="4"/>
  <c r="AI1360" i="4"/>
  <c r="AI1361" i="4"/>
  <c r="AI1362" i="4"/>
  <c r="AI1363" i="4"/>
  <c r="AI1364" i="4"/>
  <c r="AI1365" i="4"/>
  <c r="AI1366" i="4"/>
  <c r="AI1367" i="4"/>
  <c r="AI1368" i="4"/>
  <c r="AI1369" i="4"/>
  <c r="AI1370" i="4"/>
  <c r="AI1371" i="4"/>
  <c r="AI1372" i="4"/>
  <c r="AI1373" i="4"/>
  <c r="AI1374" i="4"/>
  <c r="AI1375" i="4"/>
  <c r="AI1376" i="4"/>
  <c r="AI1377" i="4"/>
  <c r="AI1378" i="4"/>
  <c r="AI1379" i="4"/>
  <c r="AI1380" i="4"/>
  <c r="AI1381" i="4"/>
  <c r="AI1382" i="4"/>
  <c r="AI1383" i="4"/>
  <c r="AI1384" i="4"/>
  <c r="AI1385" i="4"/>
  <c r="AI1386" i="4"/>
  <c r="AI1387" i="4"/>
  <c r="AI1388" i="4"/>
  <c r="AI1389" i="4"/>
  <c r="AI1390" i="4"/>
  <c r="AI1391" i="4"/>
  <c r="AI1392" i="4"/>
  <c r="AI1393" i="4"/>
  <c r="AI1394" i="4"/>
  <c r="AI1395" i="4"/>
  <c r="AI1396" i="4"/>
  <c r="AI1397" i="4"/>
  <c r="AI1398" i="4"/>
  <c r="AI1399" i="4"/>
  <c r="AI1400" i="4"/>
  <c r="AI1401" i="4"/>
  <c r="AI1402" i="4"/>
  <c r="AI1403" i="4"/>
  <c r="AI1404" i="4"/>
  <c r="AI1405" i="4"/>
  <c r="AI1406" i="4"/>
  <c r="AI1407" i="4"/>
  <c r="AI1408" i="4"/>
  <c r="AI1409" i="4"/>
  <c r="AI1410" i="4"/>
  <c r="AI1411" i="4"/>
  <c r="AI1412" i="4"/>
  <c r="AI1413" i="4"/>
  <c r="AI1414" i="4"/>
  <c r="AI1415" i="4"/>
  <c r="AI1416" i="4"/>
  <c r="AI1417" i="4"/>
  <c r="AI1418" i="4"/>
  <c r="AI1419" i="4"/>
  <c r="AI1420" i="4"/>
  <c r="AI1421" i="4"/>
  <c r="AI1422" i="4"/>
  <c r="AI1423" i="4"/>
  <c r="AI1424" i="4"/>
  <c r="AI1425" i="4"/>
  <c r="AI1426" i="4"/>
  <c r="AI1427" i="4"/>
  <c r="AI1428" i="4"/>
  <c r="AI1429" i="4"/>
  <c r="AI1430" i="4"/>
  <c r="AI1431" i="4"/>
  <c r="AI1432" i="4"/>
  <c r="AI1433" i="4"/>
  <c r="AI1434" i="4"/>
  <c r="AI1435" i="4"/>
  <c r="AI1436" i="4"/>
  <c r="AI1437" i="4"/>
  <c r="AI1438" i="4"/>
  <c r="AI1439" i="4"/>
  <c r="AI1440" i="4"/>
  <c r="AI1441" i="4"/>
  <c r="AI1442" i="4"/>
  <c r="AI1443" i="4"/>
  <c r="AI1444" i="4"/>
  <c r="AI1445" i="4"/>
  <c r="AI1446" i="4"/>
  <c r="AI1447" i="4"/>
  <c r="AI1448" i="4"/>
  <c r="AI1449" i="4"/>
  <c r="AI1450" i="4"/>
  <c r="AI1451" i="4"/>
  <c r="AI1452" i="4"/>
  <c r="AI1453" i="4"/>
  <c r="AI1454" i="4"/>
  <c r="AI1455" i="4"/>
  <c r="AI1456" i="4"/>
  <c r="AI1457" i="4"/>
  <c r="AI1458" i="4"/>
  <c r="AI1459" i="4"/>
  <c r="AI1460" i="4"/>
  <c r="AI1461" i="4"/>
  <c r="AI1462" i="4"/>
  <c r="AI1463" i="4"/>
  <c r="AI1464" i="4"/>
  <c r="AI1465" i="4"/>
  <c r="AI1466" i="4"/>
  <c r="AI1467" i="4"/>
  <c r="AI1468" i="4"/>
  <c r="AI1469" i="4"/>
  <c r="AI1470" i="4"/>
  <c r="AI1471" i="4"/>
  <c r="AI1472" i="4"/>
  <c r="AI1473" i="4"/>
  <c r="AI1474" i="4"/>
  <c r="AI1475" i="4"/>
  <c r="AI1476" i="4"/>
  <c r="AI1477" i="4"/>
  <c r="AI1478" i="4"/>
  <c r="AI1479" i="4"/>
  <c r="AI1480" i="4"/>
  <c r="AI1481" i="4"/>
  <c r="AI1482" i="4"/>
  <c r="AI1483" i="4"/>
  <c r="AI1484" i="4"/>
  <c r="AI1485" i="4"/>
  <c r="AI1486" i="4"/>
  <c r="AI1487" i="4"/>
  <c r="AI1488" i="4"/>
  <c r="AI1489" i="4"/>
  <c r="AI1490" i="4"/>
  <c r="AI1491" i="4"/>
  <c r="AI1492" i="4"/>
  <c r="AI1493" i="4"/>
  <c r="AI1494" i="4"/>
  <c r="AI1495" i="4"/>
  <c r="AI1496" i="4"/>
  <c r="AI1497" i="4"/>
  <c r="AI1498" i="4"/>
  <c r="AI1499" i="4"/>
  <c r="AI1500" i="4"/>
  <c r="AI1501" i="4"/>
  <c r="AI1502" i="4"/>
  <c r="AI1503" i="4"/>
  <c r="AI1504" i="4"/>
  <c r="AI1505" i="4"/>
  <c r="AI1506" i="4"/>
  <c r="AI1507" i="4"/>
  <c r="AI1508" i="4"/>
  <c r="AI1509" i="4"/>
  <c r="AI1510" i="4"/>
  <c r="AI1511" i="4"/>
  <c r="AI1512" i="4"/>
  <c r="AI1513" i="4"/>
  <c r="AI1514" i="4"/>
  <c r="AI1515" i="4"/>
  <c r="AI1516" i="4"/>
  <c r="AI1517" i="4"/>
  <c r="AI1518" i="4"/>
  <c r="AI1519" i="4"/>
  <c r="AI1520" i="4"/>
  <c r="AI1521" i="4"/>
  <c r="AI1522" i="4"/>
  <c r="AI1523" i="4"/>
  <c r="AI1524" i="4"/>
  <c r="AI1525" i="4"/>
  <c r="AI1526" i="4"/>
  <c r="AI1527" i="4"/>
  <c r="AI1528" i="4"/>
  <c r="AI1529" i="4"/>
  <c r="AI1530" i="4"/>
  <c r="AI1531" i="4"/>
  <c r="AI1532" i="4"/>
  <c r="AI1533" i="4"/>
  <c r="AI1534" i="4"/>
  <c r="AI1535" i="4"/>
  <c r="AI1536" i="4"/>
  <c r="AI1537" i="4"/>
  <c r="AI1538" i="4"/>
  <c r="AI1539" i="4"/>
  <c r="AI1540" i="4"/>
  <c r="AI1541" i="4"/>
  <c r="AI1542" i="4"/>
  <c r="AI1543" i="4"/>
  <c r="AI1544" i="4"/>
  <c r="AI1545" i="4"/>
  <c r="AI1546" i="4"/>
  <c r="AI1547" i="4"/>
  <c r="AI1548" i="4"/>
  <c r="AI1549" i="4"/>
  <c r="AI1550" i="4"/>
  <c r="AI1551" i="4"/>
  <c r="AI1552" i="4"/>
  <c r="AI1553" i="4"/>
  <c r="AI1554" i="4"/>
  <c r="AI1555" i="4"/>
  <c r="AI1556" i="4"/>
  <c r="AI1557" i="4"/>
  <c r="AI1558" i="4"/>
  <c r="AI1559" i="4"/>
  <c r="AI1560" i="4"/>
  <c r="AI1561" i="4"/>
  <c r="AI1562" i="4"/>
  <c r="AI1563" i="4"/>
  <c r="AI1564" i="4"/>
  <c r="AI1565" i="4"/>
  <c r="AI1566" i="4"/>
  <c r="AI1567" i="4"/>
  <c r="AI1568" i="4"/>
  <c r="AI1569" i="4"/>
  <c r="AI1570" i="4"/>
  <c r="AI1571" i="4"/>
  <c r="AI1572" i="4"/>
  <c r="AI1573" i="4"/>
  <c r="AI1574" i="4"/>
  <c r="AI1575" i="4"/>
  <c r="AI1576" i="4"/>
  <c r="AI1577" i="4"/>
  <c r="AI1578" i="4"/>
  <c r="AI1579" i="4"/>
  <c r="AI1580" i="4"/>
  <c r="AI1581" i="4"/>
  <c r="AI1582" i="4"/>
  <c r="AI1583" i="4"/>
  <c r="AI1584" i="4"/>
  <c r="AI1585" i="4"/>
  <c r="AI1586" i="4"/>
  <c r="AI1587" i="4"/>
  <c r="AI1588" i="4"/>
  <c r="AI1589" i="4"/>
  <c r="AI1590" i="4"/>
  <c r="AI1591" i="4"/>
  <c r="AI1592" i="4"/>
  <c r="AI1593" i="4"/>
  <c r="AI1594" i="4"/>
  <c r="AI1595" i="4"/>
  <c r="AI1596" i="4"/>
  <c r="AI1597" i="4"/>
  <c r="AI1598" i="4"/>
  <c r="AI1599" i="4"/>
  <c r="AI1600" i="4"/>
  <c r="AI1601" i="4"/>
  <c r="AI1602" i="4"/>
  <c r="AI1603" i="4"/>
  <c r="AI1604" i="4"/>
  <c r="AI1605" i="4"/>
  <c r="AI1606" i="4"/>
  <c r="AI1607" i="4"/>
  <c r="AI1608" i="4"/>
  <c r="AI1609" i="4"/>
  <c r="AI1610" i="4"/>
  <c r="AI1611" i="4"/>
  <c r="AI1612" i="4"/>
  <c r="AI1613" i="4"/>
  <c r="AI1614" i="4"/>
  <c r="AI1615" i="4"/>
  <c r="AI1616" i="4"/>
  <c r="AI1617" i="4"/>
  <c r="AI1618" i="4"/>
  <c r="AI1619" i="4"/>
  <c r="AI1620" i="4"/>
  <c r="AI1621" i="4"/>
  <c r="AI1622" i="4"/>
  <c r="AI1623" i="4"/>
  <c r="AI1624" i="4"/>
  <c r="AI1625" i="4"/>
  <c r="AI1626" i="4"/>
  <c r="AI1627" i="4"/>
  <c r="AI1628" i="4"/>
  <c r="AI1629" i="4"/>
  <c r="AI1630" i="4"/>
  <c r="AI1631" i="4"/>
  <c r="AI1632" i="4"/>
  <c r="AI1633" i="4"/>
  <c r="AI1634" i="4"/>
  <c r="AI1635" i="4"/>
  <c r="AI1636" i="4"/>
  <c r="AI1637" i="4"/>
  <c r="AI1638" i="4"/>
  <c r="AI1639" i="4"/>
  <c r="AI1640" i="4"/>
  <c r="AI1641" i="4"/>
  <c r="AI1642" i="4"/>
  <c r="AI1643" i="4"/>
  <c r="AI1644" i="4"/>
  <c r="AI1645" i="4"/>
  <c r="AI1646" i="4"/>
  <c r="AI1647" i="4"/>
  <c r="AI1648" i="4"/>
  <c r="AI1649" i="4"/>
  <c r="AI1650" i="4"/>
  <c r="AI1651" i="4"/>
  <c r="AI1652" i="4"/>
  <c r="AI1653" i="4"/>
  <c r="AI1654" i="4"/>
  <c r="AI1655" i="4"/>
  <c r="AI1656" i="4"/>
  <c r="AI1657" i="4"/>
  <c r="AI1658" i="4"/>
  <c r="AI1659" i="4"/>
  <c r="AI1660" i="4"/>
  <c r="AI1661" i="4"/>
  <c r="AI1662" i="4"/>
  <c r="AI1663" i="4"/>
  <c r="AI1664" i="4"/>
  <c r="AI1665" i="4"/>
  <c r="AI1666" i="4"/>
  <c r="AI1667" i="4"/>
  <c r="AI1668" i="4"/>
  <c r="AI1669" i="4"/>
  <c r="AI1670" i="4"/>
  <c r="AI1671" i="4"/>
  <c r="AI1672" i="4"/>
  <c r="AI1673" i="4"/>
  <c r="AI1674" i="4"/>
  <c r="AI1675" i="4"/>
  <c r="AI1676" i="4"/>
  <c r="AI1677" i="4"/>
  <c r="AI1678" i="4"/>
  <c r="AI1679" i="4"/>
  <c r="AI1680" i="4"/>
  <c r="AI1681" i="4"/>
  <c r="AI1682" i="4"/>
  <c r="AI1683" i="4"/>
  <c r="AI1684" i="4"/>
  <c r="AI1685" i="4"/>
  <c r="AI1686" i="4"/>
  <c r="AI1687" i="4"/>
  <c r="AI1688" i="4"/>
  <c r="AI1689" i="4"/>
  <c r="AI1690" i="4"/>
  <c r="AI1691" i="4"/>
  <c r="AI1692" i="4"/>
  <c r="AI1693" i="4"/>
  <c r="AI1694" i="4"/>
  <c r="AI1695" i="4"/>
  <c r="AI1696" i="4"/>
  <c r="AI1697" i="4"/>
  <c r="AI1698" i="4"/>
  <c r="AI1699" i="4"/>
  <c r="AI1700" i="4"/>
  <c r="AI1701" i="4"/>
  <c r="AI1702" i="4"/>
  <c r="AI1703" i="4"/>
  <c r="AI1704" i="4"/>
  <c r="AI1705" i="4"/>
  <c r="AI1706" i="4"/>
  <c r="AI1707" i="4"/>
  <c r="AI1708" i="4"/>
  <c r="AI1709" i="4"/>
  <c r="AI1710" i="4"/>
  <c r="AI1711" i="4"/>
  <c r="AI1712" i="4"/>
  <c r="AI1713" i="4"/>
  <c r="AI1714" i="4"/>
  <c r="AI1715" i="4"/>
  <c r="AI1716" i="4"/>
  <c r="AI1717" i="4"/>
  <c r="AI1718" i="4"/>
  <c r="AI1719" i="4"/>
  <c r="AI1720" i="4"/>
  <c r="AI1721" i="4"/>
  <c r="AI1722" i="4"/>
  <c r="AI1723" i="4"/>
  <c r="AI1724" i="4"/>
  <c r="AI1725" i="4"/>
  <c r="AI1726" i="4"/>
  <c r="AI1727" i="4"/>
  <c r="AI1728" i="4"/>
  <c r="AI1729" i="4"/>
  <c r="AI1730" i="4"/>
  <c r="AI1731" i="4"/>
  <c r="AI1732" i="4"/>
  <c r="AI1733" i="4"/>
  <c r="AI1734" i="4"/>
  <c r="AI1735" i="4"/>
  <c r="AI1736" i="4"/>
  <c r="AI1737" i="4"/>
  <c r="AI1738" i="4"/>
  <c r="AI1739" i="4"/>
  <c r="AI1740" i="4"/>
  <c r="AI1741" i="4"/>
  <c r="AI1742" i="4"/>
  <c r="AI1743" i="4"/>
  <c r="AI1744" i="4"/>
  <c r="AI1745" i="4"/>
  <c r="AI1746" i="4"/>
  <c r="AI1747" i="4"/>
  <c r="AI1748" i="4"/>
  <c r="AI1749" i="4"/>
  <c r="AI1750" i="4"/>
  <c r="AI1751" i="4"/>
  <c r="AI1752" i="4"/>
  <c r="AI1753" i="4"/>
  <c r="AI1754" i="4"/>
  <c r="AI1755" i="4"/>
  <c r="AI1756" i="4"/>
  <c r="AI1757" i="4"/>
  <c r="AI1758" i="4"/>
  <c r="AI1759" i="4"/>
  <c r="AI1760" i="4"/>
  <c r="AI1761" i="4"/>
  <c r="AI1762" i="4"/>
  <c r="AI1763" i="4"/>
  <c r="AI1764" i="4"/>
  <c r="AI1765" i="4"/>
  <c r="AI1766" i="4"/>
  <c r="AI1767" i="4"/>
  <c r="AI1768" i="4"/>
  <c r="AI1769" i="4"/>
  <c r="AI1770" i="4"/>
  <c r="AI1771" i="4"/>
  <c r="AI1772" i="4"/>
  <c r="AI1773" i="4"/>
  <c r="AI1774" i="4"/>
  <c r="AI1775" i="4"/>
  <c r="AI1776" i="4"/>
  <c r="AI1777" i="4"/>
  <c r="AI1778" i="4"/>
  <c r="AI1779" i="4"/>
  <c r="AI1780" i="4"/>
  <c r="AI1781" i="4"/>
  <c r="AI1782" i="4"/>
  <c r="AI1783" i="4"/>
  <c r="AI1784" i="4"/>
  <c r="AI1785" i="4"/>
  <c r="AI1786" i="4"/>
  <c r="AI1787" i="4"/>
  <c r="AI1788" i="4"/>
  <c r="AI1789" i="4"/>
  <c r="AI1790" i="4"/>
  <c r="AI1791" i="4"/>
  <c r="AI1792" i="4"/>
  <c r="AI1793" i="4"/>
  <c r="AI1794" i="4"/>
  <c r="AI1795" i="4"/>
  <c r="AI1796" i="4"/>
  <c r="AI1797" i="4"/>
  <c r="AI1798" i="4"/>
  <c r="AI1799" i="4"/>
  <c r="AI1800" i="4"/>
  <c r="AI1801" i="4"/>
  <c r="AI1802" i="4"/>
  <c r="AI1803" i="4"/>
  <c r="AI1804" i="4"/>
  <c r="AI1805" i="4"/>
  <c r="AI1806" i="4"/>
  <c r="AI1807" i="4"/>
  <c r="AI1808" i="4"/>
  <c r="AI1809" i="4"/>
  <c r="AI1810" i="4"/>
  <c r="AI1811" i="4"/>
  <c r="AI1812" i="4"/>
  <c r="AI1813" i="4"/>
  <c r="AI1814" i="4"/>
  <c r="AI1815" i="4"/>
  <c r="AI1816" i="4"/>
  <c r="AI1817" i="4"/>
  <c r="AI1818" i="4"/>
  <c r="AI1819" i="4"/>
  <c r="AI1820" i="4"/>
  <c r="AI1821" i="4"/>
  <c r="AI1822" i="4"/>
  <c r="AI1823" i="4"/>
  <c r="AI1824" i="4"/>
  <c r="AI1825" i="4"/>
  <c r="AI1826" i="4"/>
  <c r="AI1827" i="4"/>
  <c r="AI1828" i="4"/>
  <c r="AI1829" i="4"/>
  <c r="AI1830" i="4"/>
  <c r="AI1831" i="4"/>
  <c r="AI1832" i="4"/>
  <c r="AI1833" i="4"/>
  <c r="AI1834" i="4"/>
  <c r="AI1835" i="4"/>
  <c r="AI1836" i="4"/>
  <c r="AI1837" i="4"/>
  <c r="AI1838" i="4"/>
  <c r="AI1839" i="4"/>
  <c r="AI1840" i="4"/>
  <c r="AI1841" i="4"/>
  <c r="AI1842" i="4"/>
  <c r="AI1843" i="4"/>
  <c r="AI1844" i="4"/>
  <c r="AI1845" i="4"/>
  <c r="AI1846" i="4"/>
  <c r="AI1847" i="4"/>
  <c r="AI1848" i="4"/>
  <c r="AI1849" i="4"/>
  <c r="AI1850" i="4"/>
  <c r="AI1851" i="4"/>
  <c r="AI1852" i="4"/>
  <c r="AI1853" i="4"/>
  <c r="AI1854" i="4"/>
  <c r="AI1855" i="4"/>
  <c r="AI1856" i="4"/>
  <c r="AI1857" i="4"/>
  <c r="AI1858" i="4"/>
  <c r="AI1859" i="4"/>
  <c r="AI1860" i="4"/>
  <c r="AI1861" i="4"/>
  <c r="AI1862" i="4"/>
  <c r="AI1863" i="4"/>
  <c r="AI1864" i="4"/>
  <c r="AI1865" i="4"/>
  <c r="AI1866" i="4"/>
  <c r="AI1867" i="4"/>
  <c r="AI1868" i="4"/>
  <c r="AI1869" i="4"/>
  <c r="AI1870" i="4"/>
  <c r="AI1871" i="4"/>
  <c r="AI1872" i="4"/>
  <c r="AI1873" i="4"/>
  <c r="AI1874" i="4"/>
  <c r="AI1875" i="4"/>
  <c r="AI1876" i="4"/>
  <c r="AI1877" i="4"/>
  <c r="AI1878" i="4"/>
  <c r="AI1879" i="4"/>
  <c r="AI1880" i="4"/>
  <c r="AI1881" i="4"/>
  <c r="AI1882" i="4"/>
  <c r="AI1883" i="4"/>
  <c r="AI1884" i="4"/>
  <c r="AI1885" i="4"/>
  <c r="AI1886" i="4"/>
  <c r="AI1887" i="4"/>
  <c r="AI1888" i="4"/>
  <c r="AI1889" i="4"/>
  <c r="AI1890" i="4"/>
  <c r="AI1891" i="4"/>
  <c r="AI1892" i="4"/>
  <c r="AI1893" i="4"/>
  <c r="AI1894" i="4"/>
  <c r="AI1895" i="4"/>
  <c r="AI1896" i="4"/>
  <c r="AI1897" i="4"/>
  <c r="AI1898" i="4"/>
  <c r="AI1899" i="4"/>
  <c r="AI1900" i="4"/>
  <c r="AI1901" i="4"/>
  <c r="AI1902" i="4"/>
  <c r="AI1903" i="4"/>
  <c r="AI1904" i="4"/>
  <c r="AI1905" i="4"/>
  <c r="AI1906" i="4"/>
  <c r="AI1907" i="4"/>
  <c r="AI1908" i="4"/>
  <c r="AI1909" i="4"/>
  <c r="AI1910" i="4"/>
  <c r="AI1911" i="4"/>
  <c r="AI1912" i="4"/>
  <c r="AI1913" i="4"/>
  <c r="AI1914" i="4"/>
  <c r="AI1915" i="4"/>
  <c r="AI1916" i="4"/>
  <c r="AI1917" i="4"/>
  <c r="AI1918" i="4"/>
  <c r="AI1919" i="4"/>
  <c r="AI1920" i="4"/>
  <c r="AI1921" i="4"/>
  <c r="AI1922" i="4"/>
  <c r="AI1923" i="4"/>
  <c r="AI1924" i="4"/>
  <c r="AI1925" i="4"/>
  <c r="AI1926" i="4"/>
  <c r="AI1927" i="4"/>
  <c r="AI1928" i="4"/>
  <c r="AI1929" i="4"/>
  <c r="AI1930" i="4"/>
  <c r="AI1931" i="4"/>
  <c r="AI1932" i="4"/>
  <c r="AI1933" i="4"/>
  <c r="AI1934" i="4"/>
  <c r="AI1935" i="4"/>
  <c r="AI1936" i="4"/>
  <c r="AI1937" i="4"/>
  <c r="AI1938" i="4"/>
  <c r="AI1939" i="4"/>
  <c r="AI1940" i="4"/>
  <c r="AI1941" i="4"/>
  <c r="AI1942" i="4"/>
  <c r="AI1943" i="4"/>
  <c r="AI1944" i="4"/>
  <c r="AI1945" i="4"/>
  <c r="AI1946" i="4"/>
  <c r="AI1947" i="4"/>
  <c r="AI1948" i="4"/>
  <c r="AI1949" i="4"/>
  <c r="AI1950" i="4"/>
  <c r="AI1951" i="4"/>
  <c r="AI1952" i="4"/>
  <c r="AI1953" i="4"/>
  <c r="AI1954" i="4"/>
  <c r="AI1955" i="4"/>
  <c r="AI1956" i="4"/>
  <c r="AI1957" i="4"/>
  <c r="AI1958" i="4"/>
  <c r="AI1959" i="4"/>
  <c r="AI1960" i="4"/>
  <c r="AI1961" i="4"/>
  <c r="AI1962" i="4"/>
  <c r="AI1963" i="4"/>
  <c r="AI1964" i="4"/>
  <c r="AI1965" i="4"/>
  <c r="AI1966" i="4"/>
  <c r="AI1967" i="4"/>
  <c r="AI1968" i="4"/>
  <c r="AI1969" i="4"/>
  <c r="AI1970" i="4"/>
  <c r="AI1971" i="4"/>
  <c r="AI1972" i="4"/>
  <c r="AI1973" i="4"/>
  <c r="AI1974" i="4"/>
  <c r="AI1975" i="4"/>
  <c r="AI1976" i="4"/>
  <c r="AI1977" i="4"/>
  <c r="AI1978" i="4"/>
  <c r="AI1979" i="4"/>
  <c r="AI1980" i="4"/>
  <c r="AI1981" i="4"/>
  <c r="AI1982" i="4"/>
  <c r="AI1983" i="4"/>
  <c r="AI1984" i="4"/>
  <c r="AI1985" i="4"/>
  <c r="AI1986" i="4"/>
  <c r="AI1987" i="4"/>
  <c r="AI1988" i="4"/>
  <c r="AI1989" i="4"/>
  <c r="AI1990" i="4"/>
  <c r="AI1991" i="4"/>
  <c r="AI1992" i="4"/>
  <c r="AI1993" i="4"/>
  <c r="AI1994" i="4"/>
  <c r="AI1995" i="4"/>
  <c r="AI1996" i="4"/>
  <c r="AI1997" i="4"/>
  <c r="AI1998" i="4"/>
  <c r="AI1999" i="4"/>
  <c r="AI2000" i="4"/>
  <c r="AI2001" i="4"/>
  <c r="AI2002" i="4"/>
  <c r="AI2003" i="4"/>
  <c r="AI2004" i="4"/>
  <c r="AI2005" i="4"/>
  <c r="AI2006" i="4"/>
  <c r="AI2007" i="4"/>
  <c r="AI2008" i="4"/>
  <c r="AI2009" i="4"/>
  <c r="AI2010" i="4"/>
  <c r="AI2011" i="4"/>
  <c r="AI2012" i="4"/>
  <c r="AI2013" i="4"/>
  <c r="AI2014" i="4"/>
  <c r="AI2015" i="4"/>
  <c r="AI2016" i="4"/>
  <c r="AI2017" i="4"/>
  <c r="AI2018" i="4"/>
  <c r="AI2019" i="4"/>
  <c r="AI2020" i="4"/>
  <c r="AI2021" i="4"/>
  <c r="AI2022" i="4"/>
  <c r="AI2023" i="4"/>
  <c r="AI2024" i="4"/>
  <c r="AI2025" i="4"/>
  <c r="AI2026" i="4"/>
  <c r="AI2027" i="4"/>
  <c r="AI2028" i="4"/>
  <c r="AI2029" i="4"/>
  <c r="AI2030" i="4"/>
  <c r="AI2031" i="4"/>
  <c r="AI2032" i="4"/>
  <c r="AI2033" i="4"/>
  <c r="AI2034" i="4"/>
  <c r="AI2035" i="4"/>
  <c r="AI2036" i="4"/>
  <c r="AI2037" i="4"/>
  <c r="AI2038" i="4"/>
  <c r="AI2039" i="4"/>
  <c r="AI2040" i="4"/>
  <c r="AI2041" i="4"/>
  <c r="AI2042" i="4"/>
  <c r="AI2043" i="4"/>
  <c r="AI2044" i="4"/>
  <c r="AI2045" i="4"/>
  <c r="AI2046" i="4"/>
  <c r="AI2047" i="4"/>
  <c r="AI2048" i="4"/>
  <c r="AI2049" i="4"/>
  <c r="AI2050" i="4"/>
  <c r="AI2051" i="4"/>
  <c r="AI2052" i="4"/>
  <c r="AI2053" i="4"/>
  <c r="AI2054" i="4"/>
  <c r="AI2055" i="4"/>
  <c r="AI2056" i="4"/>
  <c r="AI2057" i="4"/>
  <c r="AI2058" i="4"/>
  <c r="AI2059" i="4"/>
  <c r="AI2060" i="4"/>
  <c r="AI2061" i="4"/>
  <c r="AI2062" i="4"/>
  <c r="AI2063" i="4"/>
  <c r="AI2064" i="4"/>
  <c r="AI2065" i="4"/>
  <c r="AI2066" i="4"/>
  <c r="AI2067" i="4"/>
  <c r="AI2068" i="4"/>
  <c r="AI2069" i="4"/>
  <c r="AI2070" i="4"/>
  <c r="AI2071" i="4"/>
  <c r="AI2072" i="4"/>
  <c r="AI2073" i="4"/>
  <c r="AI2074" i="4"/>
  <c r="AI2075" i="4"/>
  <c r="AI2076" i="4"/>
  <c r="AI2077" i="4"/>
  <c r="AI2078" i="4"/>
  <c r="AI2079" i="4"/>
  <c r="AI2080" i="4"/>
  <c r="AI2081" i="4"/>
  <c r="AI2082" i="4"/>
  <c r="AI2083" i="4"/>
  <c r="AI2084" i="4"/>
  <c r="AI2085" i="4"/>
  <c r="AI2086" i="4"/>
  <c r="AI2087" i="4"/>
  <c r="AI2088" i="4"/>
  <c r="AI2089" i="4"/>
  <c r="AI2090" i="4"/>
  <c r="AI2091" i="4"/>
  <c r="AI2092" i="4"/>
  <c r="AI2093" i="4"/>
  <c r="AI2094" i="4"/>
  <c r="AI2095" i="4"/>
  <c r="AI2096" i="4"/>
  <c r="AI2097" i="4"/>
  <c r="AI2098" i="4"/>
  <c r="AI2099" i="4"/>
  <c r="AI2100" i="4"/>
  <c r="AI2101" i="4"/>
  <c r="AI2102" i="4"/>
  <c r="AI2103" i="4"/>
  <c r="AI2104" i="4"/>
  <c r="AI2105" i="4"/>
  <c r="AI2106" i="4"/>
  <c r="AI2107" i="4"/>
  <c r="AI2108" i="4"/>
  <c r="AI2109" i="4"/>
  <c r="AI2110" i="4"/>
  <c r="AI2111" i="4"/>
  <c r="AI2112" i="4"/>
  <c r="AI2113" i="4"/>
  <c r="AI2114" i="4"/>
  <c r="AI2115" i="4"/>
  <c r="AI2116" i="4"/>
  <c r="AI2117" i="4"/>
  <c r="AI2118" i="4"/>
  <c r="AI2119" i="4"/>
  <c r="AI2120" i="4"/>
  <c r="AI2121" i="4"/>
  <c r="AI2122" i="4"/>
  <c r="AI2123" i="4"/>
  <c r="AI2124" i="4"/>
  <c r="AI2125" i="4"/>
  <c r="AI2126" i="4"/>
  <c r="AI2127" i="4"/>
  <c r="AI2128" i="4"/>
  <c r="AI2129" i="4"/>
  <c r="AI2130" i="4"/>
  <c r="AI2131" i="4"/>
  <c r="AI2132" i="4"/>
  <c r="AI2133" i="4"/>
  <c r="AI2134" i="4"/>
  <c r="AI2135" i="4"/>
  <c r="AI2136" i="4"/>
  <c r="AI2137" i="4"/>
  <c r="AI2138" i="4"/>
  <c r="AI2139" i="4"/>
  <c r="AI2140" i="4"/>
  <c r="AI2141" i="4"/>
  <c r="AI2142" i="4"/>
  <c r="AI2143" i="4"/>
  <c r="AI2144" i="4"/>
  <c r="AI2145" i="4"/>
  <c r="AI2146" i="4"/>
  <c r="AI2147" i="4"/>
  <c r="AI2148" i="4"/>
  <c r="AI2149" i="4"/>
  <c r="AI2150" i="4"/>
  <c r="AI2151" i="4"/>
  <c r="AI2152" i="4"/>
  <c r="AI2153" i="4"/>
  <c r="AI2154" i="4"/>
  <c r="AI2155" i="4"/>
  <c r="AI2156" i="4"/>
  <c r="AI2157" i="4"/>
  <c r="AI2158" i="4"/>
  <c r="AI2159" i="4"/>
  <c r="AI2160" i="4"/>
  <c r="AI2161" i="4"/>
  <c r="AI2162" i="4"/>
  <c r="AI2163" i="4"/>
  <c r="AI2164" i="4"/>
  <c r="AI2165" i="4"/>
  <c r="AI2166" i="4"/>
  <c r="AI2167" i="4"/>
  <c r="AI2168" i="4"/>
  <c r="AI2169" i="4"/>
  <c r="AI2170" i="4"/>
  <c r="AI2171" i="4"/>
  <c r="AI2172" i="4"/>
  <c r="AI2173" i="4"/>
  <c r="AI2174" i="4"/>
  <c r="AI2175" i="4"/>
  <c r="AI2176" i="4"/>
  <c r="AI2177" i="4"/>
  <c r="AI2178" i="4"/>
  <c r="AI2179" i="4"/>
  <c r="AI2180" i="4"/>
  <c r="AI2181" i="4"/>
  <c r="AI2182" i="4"/>
  <c r="AI2183" i="4"/>
  <c r="AI2184" i="4"/>
  <c r="AI2185" i="4"/>
  <c r="AI2186" i="4"/>
  <c r="AI2187" i="4"/>
  <c r="AI2188" i="4"/>
  <c r="AI2189" i="4"/>
  <c r="AI2190" i="4"/>
  <c r="AI2191" i="4"/>
  <c r="AI2192" i="4"/>
  <c r="AI2193" i="4"/>
  <c r="AI2194" i="4"/>
  <c r="AI2195" i="4"/>
  <c r="AI2196" i="4"/>
  <c r="AI2197" i="4"/>
  <c r="AI2198" i="4"/>
  <c r="AI2199" i="4"/>
  <c r="AI2200" i="4"/>
  <c r="AI2201" i="4"/>
  <c r="AI2202" i="4"/>
  <c r="AI2203" i="4"/>
  <c r="AI2204" i="4"/>
  <c r="AI2205" i="4"/>
  <c r="AI2206" i="4"/>
  <c r="AI2207" i="4"/>
  <c r="AI2208" i="4"/>
  <c r="AI2209" i="4"/>
  <c r="AI2210" i="4"/>
  <c r="AI2211" i="4"/>
  <c r="AI2212" i="4"/>
  <c r="AI2213" i="4"/>
  <c r="AI2214" i="4"/>
  <c r="AI2215" i="4"/>
  <c r="AI2216" i="4"/>
  <c r="AI2217" i="4"/>
  <c r="AI2218" i="4"/>
  <c r="AI2219" i="4"/>
  <c r="AI2220" i="4"/>
  <c r="AI2221" i="4"/>
  <c r="AI2222" i="4"/>
  <c r="AI2223" i="4"/>
  <c r="AI2224" i="4"/>
  <c r="AI2225" i="4"/>
  <c r="AI2226" i="4"/>
  <c r="AI2227" i="4"/>
  <c r="AI2228" i="4"/>
  <c r="AI2229" i="4"/>
  <c r="AI2230" i="4"/>
  <c r="AI2231" i="4"/>
  <c r="AI2232" i="4"/>
  <c r="AI2233" i="4"/>
  <c r="AI2234" i="4"/>
  <c r="AI2235" i="4"/>
  <c r="AI2236" i="4"/>
  <c r="AI2237" i="4"/>
  <c r="AI2238" i="4"/>
  <c r="AI2239" i="4"/>
  <c r="AI2240" i="4"/>
  <c r="AI2241" i="4"/>
  <c r="AI2242" i="4"/>
  <c r="AI2243" i="4"/>
  <c r="AI2244" i="4"/>
  <c r="AI2245" i="4"/>
  <c r="AI2246" i="4"/>
  <c r="AI2247" i="4"/>
  <c r="AI2248" i="4"/>
  <c r="AI2249" i="4"/>
  <c r="AI2250" i="4"/>
  <c r="AI2251" i="4"/>
  <c r="AI2252" i="4"/>
  <c r="AI2253" i="4"/>
  <c r="AI2254" i="4"/>
  <c r="AI2255" i="4"/>
  <c r="AI2256" i="4"/>
  <c r="AI2257" i="4"/>
  <c r="AI2258" i="4"/>
  <c r="AI2259" i="4"/>
  <c r="AI2260" i="4"/>
  <c r="AI2261" i="4"/>
  <c r="AI2262" i="4"/>
  <c r="AI2263" i="4"/>
  <c r="AI2264" i="4"/>
  <c r="AI2265" i="4"/>
  <c r="AI2266" i="4"/>
  <c r="AI2267" i="4"/>
  <c r="AI2268" i="4"/>
  <c r="AI2269" i="4"/>
  <c r="AI2270" i="4"/>
  <c r="AI2271" i="4"/>
  <c r="AI2272" i="4"/>
  <c r="AI2273" i="4"/>
  <c r="AI2274" i="4"/>
  <c r="AI2275" i="4"/>
  <c r="AI2276" i="4"/>
  <c r="AI2277" i="4"/>
  <c r="AI2278" i="4"/>
  <c r="AI2279" i="4"/>
  <c r="AI2280" i="4"/>
  <c r="AI2281" i="4"/>
  <c r="AI2282" i="4"/>
  <c r="AI2283" i="4"/>
  <c r="AI2284" i="4"/>
  <c r="AI2285" i="4"/>
  <c r="AI2286" i="4"/>
  <c r="AI2287" i="4"/>
  <c r="AI2288" i="4"/>
  <c r="AI2289" i="4"/>
  <c r="AI2290" i="4"/>
  <c r="AI2291" i="4"/>
  <c r="AI2292" i="4"/>
  <c r="AI2293" i="4"/>
  <c r="AI2294" i="4"/>
  <c r="AI2295" i="4"/>
  <c r="AI2296" i="4"/>
  <c r="AI2297" i="4"/>
  <c r="AI2298" i="4"/>
  <c r="AI2299" i="4"/>
  <c r="AI2300" i="4"/>
  <c r="AI2301" i="4"/>
  <c r="AI2302" i="4"/>
  <c r="AI2303" i="4"/>
  <c r="AI2304" i="4"/>
  <c r="AI2305" i="4"/>
  <c r="AI2306" i="4"/>
  <c r="AI2307" i="4"/>
  <c r="AI2308" i="4"/>
  <c r="AI2309" i="4"/>
  <c r="AI2310" i="4"/>
  <c r="AI2311" i="4"/>
  <c r="AI2312" i="4"/>
  <c r="AI2313" i="4"/>
  <c r="AI2314" i="4"/>
  <c r="AI2315" i="4"/>
  <c r="AI2316" i="4"/>
  <c r="AI2317" i="4"/>
  <c r="AI2318" i="4"/>
  <c r="AI2319" i="4"/>
  <c r="AI2320" i="4"/>
  <c r="AI2321" i="4"/>
  <c r="AI2322" i="4"/>
  <c r="AI2323" i="4"/>
  <c r="AI2324" i="4"/>
  <c r="AI2325" i="4"/>
  <c r="AI2326" i="4"/>
  <c r="AI2327" i="4"/>
  <c r="AI2328" i="4"/>
  <c r="AI2329" i="4"/>
  <c r="AI2330" i="4"/>
  <c r="AI2331" i="4"/>
  <c r="AI2332" i="4"/>
  <c r="AI2333" i="4"/>
  <c r="AI2334" i="4"/>
  <c r="AI2335" i="4"/>
  <c r="AI2336" i="4"/>
  <c r="AI2337" i="4"/>
  <c r="AI2338" i="4"/>
  <c r="AI2339" i="4"/>
  <c r="AI2340" i="4"/>
  <c r="AI2341" i="4"/>
  <c r="AI2342" i="4"/>
  <c r="AI2343" i="4"/>
  <c r="AI2344" i="4"/>
  <c r="AI2345" i="4"/>
  <c r="AI2346" i="4"/>
  <c r="AI2347" i="4"/>
  <c r="AI2348" i="4"/>
  <c r="AI2349" i="4"/>
  <c r="AI2350" i="4"/>
  <c r="AI2351" i="4"/>
  <c r="AI2352" i="4"/>
  <c r="AI2353" i="4"/>
  <c r="AI2354" i="4"/>
  <c r="AI2355" i="4"/>
  <c r="AI2356" i="4"/>
  <c r="AI2357" i="4"/>
  <c r="AI2358" i="4"/>
  <c r="AI2359" i="4"/>
  <c r="AI2360" i="4"/>
  <c r="AI2361" i="4"/>
  <c r="AI2362" i="4"/>
  <c r="AI2363" i="4"/>
  <c r="AI2364" i="4"/>
  <c r="AI2365" i="4"/>
  <c r="AI2366" i="4"/>
  <c r="AI2367" i="4"/>
  <c r="AI2368" i="4"/>
  <c r="AI2369" i="4"/>
  <c r="AI2370" i="4"/>
  <c r="AI2371" i="4"/>
  <c r="AI2372" i="4"/>
  <c r="AI2373" i="4"/>
  <c r="AI2374" i="4"/>
  <c r="AI2375" i="4"/>
  <c r="AI2376" i="4"/>
  <c r="AI2377" i="4"/>
  <c r="AI2378" i="4"/>
  <c r="AI2379" i="4"/>
  <c r="AI2380" i="4"/>
  <c r="AI2381" i="4"/>
  <c r="AI2382" i="4"/>
  <c r="AI2383" i="4"/>
  <c r="AI2384" i="4"/>
  <c r="AI2385" i="4"/>
  <c r="AI2386" i="4"/>
  <c r="AI2387" i="4"/>
  <c r="AI2388" i="4"/>
  <c r="AI2389" i="4"/>
  <c r="AI2390" i="4"/>
  <c r="AI2391" i="4"/>
  <c r="AI2392" i="4"/>
  <c r="AI2393" i="4"/>
  <c r="AI2394" i="4"/>
  <c r="AI2395" i="4"/>
  <c r="AI2396" i="4"/>
  <c r="AI2397" i="4"/>
  <c r="AI2398" i="4"/>
  <c r="AI2399" i="4"/>
  <c r="AI2400" i="4"/>
  <c r="AI2401" i="4"/>
  <c r="AI2402" i="4"/>
  <c r="AI2403" i="4"/>
  <c r="AI2404" i="4"/>
  <c r="AI2405" i="4"/>
  <c r="AI2406" i="4"/>
  <c r="AI2407" i="4"/>
  <c r="AI2408" i="4"/>
  <c r="AI2409" i="4"/>
  <c r="AI2410" i="4"/>
  <c r="AI2411" i="4"/>
  <c r="AI2412" i="4"/>
  <c r="AI2413" i="4"/>
  <c r="AI2414" i="4"/>
  <c r="AI2415" i="4"/>
  <c r="AI2416" i="4"/>
  <c r="AI2417" i="4"/>
  <c r="AI2418" i="4"/>
  <c r="AI2419" i="4"/>
  <c r="AI2420" i="4"/>
  <c r="AI2421" i="4"/>
  <c r="AI2422" i="4"/>
  <c r="AI2423" i="4"/>
  <c r="AI2424" i="4"/>
  <c r="AI2425" i="4"/>
  <c r="AI2426" i="4"/>
  <c r="AI2427" i="4"/>
  <c r="AI2428" i="4"/>
  <c r="AI2429" i="4"/>
  <c r="AI2430" i="4"/>
  <c r="AI2431" i="4"/>
  <c r="AI2432" i="4"/>
  <c r="AI2433" i="4"/>
  <c r="AI2434" i="4"/>
  <c r="AI2435" i="4"/>
  <c r="AI2436" i="4"/>
  <c r="AI2437" i="4"/>
  <c r="AI2438" i="4"/>
  <c r="AI2439" i="4"/>
  <c r="AI2440" i="4"/>
  <c r="AI2441" i="4"/>
  <c r="AI2442" i="4"/>
  <c r="AI2443" i="4"/>
  <c r="AI2444" i="4"/>
  <c r="AI2445" i="4"/>
  <c r="AI2446" i="4"/>
  <c r="AI2447" i="4"/>
  <c r="AI2448" i="4"/>
  <c r="AI2449" i="4"/>
  <c r="AI2450" i="4"/>
  <c r="AI2451" i="4"/>
  <c r="AI2452" i="4"/>
  <c r="AI2453" i="4"/>
  <c r="AI2454" i="4"/>
  <c r="AI2455" i="4"/>
  <c r="AI2456" i="4"/>
  <c r="AI2457" i="4"/>
  <c r="AI2458" i="4"/>
  <c r="AI2459" i="4"/>
  <c r="AI2460" i="4"/>
  <c r="AI2461" i="4"/>
  <c r="AI2462" i="4"/>
  <c r="AI2463" i="4"/>
  <c r="AI2464" i="4"/>
  <c r="AI2465" i="4"/>
  <c r="AI2466" i="4"/>
  <c r="AI2467" i="4"/>
  <c r="AI2468" i="4"/>
  <c r="AI2469" i="4"/>
  <c r="AI2470" i="4"/>
  <c r="AI2471" i="4"/>
  <c r="AI2472" i="4"/>
  <c r="AI2473" i="4"/>
  <c r="AI2474" i="4"/>
  <c r="AI2475" i="4"/>
  <c r="AI2476" i="4"/>
  <c r="AI2477" i="4"/>
  <c r="AI2478" i="4"/>
  <c r="AI2479" i="4"/>
  <c r="AI2480" i="4"/>
  <c r="AI2481" i="4"/>
  <c r="AI2482" i="4"/>
  <c r="AI2483" i="4"/>
  <c r="AI2484" i="4"/>
  <c r="AI2485" i="4"/>
  <c r="AI2486" i="4"/>
  <c r="AI2487" i="4"/>
  <c r="AI2488" i="4"/>
  <c r="AI2489" i="4"/>
  <c r="AI2490" i="4"/>
  <c r="AI2491" i="4"/>
  <c r="AI2492" i="4"/>
  <c r="AI2493" i="4"/>
  <c r="AI2494" i="4"/>
  <c r="AI2495" i="4"/>
  <c r="AI2496" i="4"/>
  <c r="AI2497" i="4"/>
  <c r="AI2498" i="4"/>
  <c r="AI2499" i="4"/>
  <c r="AI2500" i="4"/>
  <c r="AI2501" i="4"/>
  <c r="AI2502" i="4"/>
  <c r="AI2503" i="4"/>
  <c r="AI2504" i="4"/>
  <c r="AI2505" i="4"/>
  <c r="AI2506" i="4"/>
  <c r="AI2507" i="4"/>
  <c r="AI2508" i="4"/>
  <c r="AI2509" i="4"/>
  <c r="AI2510" i="4"/>
  <c r="AI2511" i="4"/>
  <c r="AI2512" i="4"/>
  <c r="AI2513" i="4"/>
  <c r="AI2514" i="4"/>
  <c r="AI2515" i="4"/>
  <c r="AI2516" i="4"/>
  <c r="AI2517" i="4"/>
  <c r="AI2518" i="4"/>
  <c r="AI2519" i="4"/>
  <c r="AI2520" i="4"/>
  <c r="AI2521" i="4"/>
  <c r="AI2522" i="4"/>
  <c r="AI2523" i="4"/>
  <c r="AI2524" i="4"/>
  <c r="AI2525" i="4"/>
  <c r="AI2526" i="4"/>
  <c r="AI2527" i="4"/>
  <c r="AI2528" i="4"/>
  <c r="AI2529" i="4"/>
  <c r="AI2530" i="4"/>
  <c r="AI2531" i="4"/>
  <c r="AI2532" i="4"/>
  <c r="AI2533" i="4"/>
  <c r="AI2534" i="4"/>
  <c r="AI2535" i="4"/>
  <c r="AI2536" i="4"/>
  <c r="AI2537" i="4"/>
  <c r="AI2538" i="4"/>
  <c r="AI2539" i="4"/>
  <c r="AI2540" i="4"/>
  <c r="AI2541" i="4"/>
  <c r="AI2542" i="4"/>
  <c r="AI2543" i="4"/>
  <c r="AI2544" i="4"/>
  <c r="AI2545" i="4"/>
  <c r="AI2546" i="4"/>
  <c r="AI2547" i="4"/>
  <c r="AI2548" i="4"/>
  <c r="AI2549" i="4"/>
  <c r="AI2550" i="4"/>
  <c r="AI2551" i="4"/>
  <c r="AI2552" i="4"/>
  <c r="AI2553" i="4"/>
  <c r="AI2554" i="4"/>
  <c r="AI2555" i="4"/>
  <c r="AI2556" i="4"/>
  <c r="AI2557" i="4"/>
  <c r="AI2558" i="4"/>
  <c r="AI2559" i="4"/>
  <c r="AI2560" i="4"/>
  <c r="AI2561" i="4"/>
  <c r="AI2562" i="4"/>
  <c r="AI2563" i="4"/>
  <c r="AI2564" i="4"/>
  <c r="AI2565" i="4"/>
  <c r="AI2566" i="4"/>
  <c r="AI2567" i="4"/>
  <c r="AI2568" i="4"/>
  <c r="AI2569" i="4"/>
  <c r="AI2570" i="4"/>
  <c r="AI2571" i="4"/>
  <c r="AI2572" i="4"/>
  <c r="AI2573" i="4"/>
  <c r="AI2574" i="4"/>
  <c r="AI2575" i="4"/>
  <c r="AI2576" i="4"/>
  <c r="AI2577" i="4"/>
  <c r="AI2578" i="4"/>
  <c r="AI2579" i="4"/>
  <c r="AI2580" i="4"/>
  <c r="AI2581" i="4"/>
  <c r="AI2582" i="4"/>
  <c r="AI2583" i="4"/>
  <c r="AI2584" i="4"/>
  <c r="AI2585" i="4"/>
  <c r="AI2586" i="4"/>
  <c r="AI2587" i="4"/>
  <c r="AI2588" i="4"/>
  <c r="AI2589" i="4"/>
  <c r="AI2590" i="4"/>
  <c r="AI2591" i="4"/>
  <c r="AI2592" i="4"/>
  <c r="AI2593" i="4"/>
  <c r="AI2594" i="4"/>
  <c r="AI2595" i="4"/>
  <c r="AI2596" i="4"/>
  <c r="AI2597" i="4"/>
  <c r="AI2598" i="4"/>
  <c r="AI2599" i="4"/>
  <c r="AI2600" i="4"/>
  <c r="AI2601" i="4"/>
  <c r="AI2602" i="4"/>
  <c r="AI2603" i="4"/>
  <c r="AI2604" i="4"/>
  <c r="AI2605" i="4"/>
  <c r="AI2606" i="4"/>
  <c r="AI2607" i="4"/>
  <c r="AI2608" i="4"/>
  <c r="AI2609" i="4"/>
  <c r="AI2610" i="4"/>
  <c r="AI2611" i="4"/>
  <c r="AI2612" i="4"/>
  <c r="AI2613" i="4"/>
  <c r="AI2614" i="4"/>
  <c r="AI2615" i="4"/>
  <c r="AI2616" i="4"/>
  <c r="AI2617" i="4"/>
  <c r="AI2618" i="4"/>
  <c r="AI2619" i="4"/>
  <c r="AI2620" i="4"/>
  <c r="AI2621" i="4"/>
  <c r="AI2622" i="4"/>
  <c r="AI2623" i="4"/>
  <c r="AI2624" i="4"/>
  <c r="AI2625" i="4"/>
  <c r="AI2626" i="4"/>
  <c r="AI2627" i="4"/>
  <c r="AI2628" i="4"/>
  <c r="AI2629" i="4"/>
  <c r="AI2630" i="4"/>
  <c r="AI2631" i="4"/>
  <c r="AI2632" i="4"/>
  <c r="AI2633" i="4"/>
  <c r="AI2634" i="4"/>
  <c r="AI2635" i="4"/>
  <c r="AI2636" i="4"/>
  <c r="AI2637" i="4"/>
  <c r="AI2638" i="4"/>
  <c r="AI2639" i="4"/>
  <c r="AI2640" i="4"/>
  <c r="AI2641" i="4"/>
  <c r="AI2642" i="4"/>
  <c r="AI2643" i="4"/>
  <c r="AI2644" i="4"/>
  <c r="AI2645" i="4"/>
  <c r="AI2646" i="4"/>
  <c r="AI2647" i="4"/>
  <c r="AI2648" i="4"/>
  <c r="AI2649" i="4"/>
  <c r="AI2650" i="4"/>
  <c r="AI2651" i="4"/>
  <c r="AI2652" i="4"/>
  <c r="AI2653" i="4"/>
  <c r="AI2654" i="4"/>
  <c r="AI2655" i="4"/>
  <c r="AI2656" i="4"/>
  <c r="AI2657" i="4"/>
  <c r="AI2658" i="4"/>
  <c r="AI2659" i="4"/>
  <c r="AI2660" i="4"/>
  <c r="AI2661" i="4"/>
  <c r="AI2662" i="4"/>
  <c r="AI2663" i="4"/>
  <c r="AI2664" i="4"/>
  <c r="AI2665" i="4"/>
  <c r="AI2666" i="4"/>
  <c r="AI2667" i="4"/>
  <c r="AI2668" i="4"/>
  <c r="AI2669" i="4"/>
  <c r="AI2670" i="4"/>
  <c r="AI2671" i="4"/>
  <c r="AI2672" i="4"/>
  <c r="AI2673" i="4"/>
  <c r="AI2674" i="4"/>
  <c r="AI2675" i="4"/>
  <c r="AI2676" i="4"/>
  <c r="AI2677" i="4"/>
  <c r="AI2678" i="4"/>
  <c r="AI2679" i="4"/>
  <c r="AI2680" i="4"/>
  <c r="AI2681" i="4"/>
  <c r="AI2682" i="4"/>
  <c r="AI2683" i="4"/>
  <c r="AI2684" i="4"/>
  <c r="AI2685" i="4"/>
  <c r="AI2686" i="4"/>
  <c r="AI2687" i="4"/>
  <c r="AI2688" i="4"/>
  <c r="AI2689" i="4"/>
  <c r="AI2690" i="4"/>
  <c r="AI2691" i="4"/>
  <c r="AI2692" i="4"/>
  <c r="AI2693" i="4"/>
  <c r="AI2694" i="4"/>
  <c r="AI2695" i="4"/>
  <c r="AI2696" i="4"/>
  <c r="AI2697" i="4"/>
  <c r="AI2698" i="4"/>
  <c r="AI2699" i="4"/>
  <c r="AI2700" i="4"/>
  <c r="AI2701" i="4"/>
  <c r="AI2702" i="4"/>
  <c r="AI2703" i="4"/>
  <c r="AI2704" i="4"/>
  <c r="AI2705" i="4"/>
  <c r="AI2706" i="4"/>
  <c r="AI2707" i="4"/>
  <c r="AI2708" i="4"/>
  <c r="AI2709" i="4"/>
  <c r="AI2710" i="4"/>
  <c r="AI2711" i="4"/>
  <c r="AI2712" i="4"/>
  <c r="AI2713" i="4"/>
  <c r="AI2714" i="4"/>
  <c r="AI2715" i="4"/>
  <c r="AI2716" i="4"/>
  <c r="AI2717" i="4"/>
  <c r="AI2718" i="4"/>
  <c r="AI2719" i="4"/>
  <c r="AI2720" i="4"/>
  <c r="AI2721" i="4"/>
  <c r="AI2722" i="4"/>
  <c r="AI2723" i="4"/>
  <c r="AI2724" i="4"/>
  <c r="AI2725" i="4"/>
  <c r="AI2726" i="4"/>
  <c r="AI2727" i="4"/>
  <c r="AI2728" i="4"/>
  <c r="AI2729" i="4"/>
  <c r="AI2730" i="4"/>
  <c r="AI2731" i="4"/>
  <c r="AI2732" i="4"/>
  <c r="AI2733" i="4"/>
  <c r="AI2734" i="4"/>
  <c r="AI2735" i="4"/>
  <c r="AI2736" i="4"/>
  <c r="AI2737" i="4"/>
  <c r="AI2738" i="4"/>
  <c r="AI2739" i="4"/>
  <c r="AI2740" i="4"/>
  <c r="AI2741" i="4"/>
  <c r="AI2742" i="4"/>
  <c r="AI2743" i="4"/>
  <c r="AI2744" i="4"/>
  <c r="AI2745" i="4"/>
  <c r="AI2746" i="4"/>
  <c r="AI2747" i="4"/>
  <c r="AI2748" i="4"/>
  <c r="AI2749" i="4"/>
  <c r="AI2750" i="4"/>
  <c r="AI2751" i="4"/>
  <c r="AI2752" i="4"/>
  <c r="AI2753" i="4"/>
  <c r="AI2754" i="4"/>
  <c r="AI2755" i="4"/>
  <c r="AI2756" i="4"/>
  <c r="AI2757" i="4"/>
  <c r="AI2758" i="4"/>
  <c r="AI2759" i="4"/>
  <c r="AI2760" i="4"/>
  <c r="AI2761" i="4"/>
  <c r="AI2762" i="4"/>
  <c r="AI2763" i="4"/>
  <c r="AI2764" i="4"/>
  <c r="AI2765" i="4"/>
  <c r="AI2766" i="4"/>
  <c r="AI2767" i="4"/>
  <c r="AI2768" i="4"/>
  <c r="AI2769" i="4"/>
  <c r="AI2770" i="4"/>
  <c r="AI2771" i="4"/>
  <c r="AI2772" i="4"/>
  <c r="AI2773" i="4"/>
  <c r="AI2774" i="4"/>
  <c r="AI2775" i="4"/>
  <c r="AI2776" i="4"/>
  <c r="AI2777" i="4"/>
  <c r="AI2778" i="4"/>
  <c r="AI2779" i="4"/>
  <c r="AI2780" i="4"/>
  <c r="AI2781" i="4"/>
  <c r="AI2782" i="4"/>
  <c r="AI2783" i="4"/>
  <c r="AI2784" i="4"/>
  <c r="AI2785" i="4"/>
  <c r="AI2786" i="4"/>
  <c r="AI2787" i="4"/>
  <c r="AI2788" i="4"/>
  <c r="AI2789" i="4"/>
  <c r="AI2790" i="4"/>
  <c r="AI2791" i="4"/>
  <c r="AI2792" i="4"/>
  <c r="AI2793" i="4"/>
  <c r="AI2794" i="4"/>
  <c r="AI2795" i="4"/>
  <c r="AI2796" i="4"/>
  <c r="AI2797" i="4"/>
  <c r="AI2798" i="4"/>
  <c r="AI2799" i="4"/>
  <c r="AI2800" i="4"/>
  <c r="AI2801" i="4"/>
  <c r="AI2802" i="4"/>
  <c r="AI2803" i="4"/>
  <c r="AI2804" i="4"/>
  <c r="AI2805" i="4"/>
  <c r="AI2806" i="4"/>
  <c r="AI2807" i="4"/>
  <c r="AI2808" i="4"/>
  <c r="AI2809" i="4"/>
  <c r="AI2810" i="4"/>
  <c r="AI2811" i="4"/>
  <c r="AI2812" i="4"/>
  <c r="AI2813" i="4"/>
  <c r="AI2814" i="4"/>
  <c r="AI2815" i="4"/>
  <c r="AI2816" i="4"/>
  <c r="AI2817" i="4"/>
  <c r="AI2818" i="4"/>
  <c r="AI2819" i="4"/>
  <c r="AI2820" i="4"/>
  <c r="AI2821" i="4"/>
  <c r="AI2822" i="4"/>
  <c r="AI2823" i="4"/>
  <c r="AI2824" i="4"/>
  <c r="AI2825" i="4"/>
  <c r="AI2826" i="4"/>
  <c r="AI2827" i="4"/>
  <c r="AI2828" i="4"/>
  <c r="AI2829" i="4"/>
  <c r="AI2830" i="4"/>
  <c r="AI2831" i="4"/>
  <c r="AI2832" i="4"/>
  <c r="AI2833" i="4"/>
  <c r="AI2834" i="4"/>
  <c r="AI2835" i="4"/>
  <c r="AI2836" i="4"/>
  <c r="AI2837" i="4"/>
  <c r="AI2838" i="4"/>
  <c r="AI2839" i="4"/>
  <c r="AI2840" i="4"/>
  <c r="AI2841" i="4"/>
  <c r="AI2842" i="4"/>
  <c r="AI2843" i="4"/>
  <c r="AI2844" i="4"/>
  <c r="AI2845" i="4"/>
  <c r="AI2846" i="4"/>
  <c r="AI2847" i="4"/>
  <c r="AI2848" i="4"/>
  <c r="AI2849" i="4"/>
  <c r="AI2850" i="4"/>
  <c r="AI2851" i="4"/>
  <c r="AI2852" i="4"/>
  <c r="AI2853" i="4"/>
  <c r="AI2854" i="4"/>
  <c r="AI2855" i="4"/>
  <c r="AI2856" i="4"/>
  <c r="AI2857" i="4"/>
  <c r="AI2858" i="4"/>
  <c r="AI2859" i="4"/>
  <c r="AI2860" i="4"/>
  <c r="AI2861" i="4"/>
  <c r="AI2862" i="4"/>
  <c r="AI2863" i="4"/>
  <c r="AI2864" i="4"/>
  <c r="AI2865" i="4"/>
  <c r="AI2866" i="4"/>
  <c r="AI2867" i="4"/>
  <c r="AI2868" i="4"/>
  <c r="AI2869" i="4"/>
  <c r="AI2870" i="4"/>
  <c r="AI2871" i="4"/>
  <c r="AI2872" i="4"/>
  <c r="AI2873" i="4"/>
  <c r="AI2874" i="4"/>
  <c r="AI2875" i="4"/>
  <c r="AI2876" i="4"/>
  <c r="AI2877" i="4"/>
  <c r="AI2878" i="4"/>
  <c r="AI2879" i="4"/>
  <c r="AI2880" i="4"/>
  <c r="AI2881" i="4"/>
  <c r="AI2882" i="4"/>
  <c r="AI2883" i="4"/>
  <c r="AI2884" i="4"/>
  <c r="AI2885" i="4"/>
  <c r="AI2886" i="4"/>
  <c r="AI2887" i="4"/>
  <c r="AI2888" i="4"/>
  <c r="AI2889" i="4"/>
  <c r="AI2890" i="4"/>
  <c r="AI2891" i="4"/>
  <c r="AI2892" i="4"/>
  <c r="AI2893" i="4"/>
  <c r="AI2894" i="4"/>
  <c r="AI2895" i="4"/>
  <c r="AI2896" i="4"/>
  <c r="AI2897" i="4"/>
  <c r="AI2898" i="4"/>
  <c r="AI2899" i="4"/>
  <c r="AI2900" i="4"/>
  <c r="AI2901" i="4"/>
  <c r="AI2902" i="4"/>
  <c r="AI2903" i="4"/>
  <c r="AI2904" i="4"/>
  <c r="AI2905" i="4"/>
  <c r="AI2906" i="4"/>
  <c r="AI2907" i="4"/>
  <c r="AI2908" i="4"/>
  <c r="AI2909" i="4"/>
  <c r="AI2910" i="4"/>
  <c r="AI2911" i="4"/>
  <c r="AI2912" i="4"/>
  <c r="AI2913" i="4"/>
  <c r="AI2914" i="4"/>
  <c r="AI2915" i="4"/>
  <c r="AI2916" i="4"/>
  <c r="AI2917" i="4"/>
  <c r="AI2918" i="4"/>
  <c r="AI2919" i="4"/>
  <c r="AI2920" i="4"/>
  <c r="AI2921" i="4"/>
  <c r="AI2922" i="4"/>
  <c r="AI2923" i="4"/>
  <c r="AI2924" i="4"/>
  <c r="AI2925" i="4"/>
  <c r="AI2926" i="4"/>
  <c r="AI2927" i="4"/>
  <c r="AI2928" i="4"/>
  <c r="AI2929" i="4"/>
  <c r="AI2930" i="4"/>
  <c r="AI2931" i="4"/>
  <c r="AI2932" i="4"/>
  <c r="AI2933" i="4"/>
  <c r="AI2934" i="4"/>
  <c r="AI2935" i="4"/>
  <c r="AI2936" i="4"/>
  <c r="AI2937" i="4"/>
  <c r="AI2938" i="4"/>
  <c r="AI2939" i="4"/>
  <c r="AI2940" i="4"/>
  <c r="AI2941" i="4"/>
  <c r="AI2942" i="4"/>
  <c r="AI2943" i="4"/>
  <c r="AI2944" i="4"/>
  <c r="AI2945" i="4"/>
  <c r="AI2946" i="4"/>
  <c r="AI2947" i="4"/>
  <c r="AI2948" i="4"/>
  <c r="AI2949" i="4"/>
  <c r="AI2950" i="4"/>
  <c r="AI2951" i="4"/>
  <c r="AI2952" i="4"/>
  <c r="AI2953" i="4"/>
  <c r="AI2954" i="4"/>
  <c r="AI2955" i="4"/>
  <c r="AI2956" i="4"/>
  <c r="AI2957" i="4"/>
  <c r="AI2958" i="4"/>
  <c r="AI2959" i="4"/>
  <c r="AI2960" i="4"/>
  <c r="AI2961" i="4"/>
  <c r="AI2962" i="4"/>
  <c r="AI2963" i="4"/>
  <c r="AI2964" i="4"/>
  <c r="AI2965" i="4"/>
  <c r="AI2966" i="4"/>
  <c r="AI2967" i="4"/>
  <c r="AI2968" i="4"/>
  <c r="AI2969" i="4"/>
  <c r="AI2970" i="4"/>
  <c r="AI2971" i="4"/>
  <c r="AI2972" i="4"/>
  <c r="AI2973" i="4"/>
  <c r="AI2974" i="4"/>
  <c r="AI2975" i="4"/>
  <c r="AI2976" i="4"/>
  <c r="AI2977" i="4"/>
  <c r="AI2978" i="4"/>
  <c r="AI2979" i="4"/>
  <c r="AI2980" i="4"/>
  <c r="AI2981" i="4"/>
  <c r="AI2982" i="4"/>
  <c r="AI2983" i="4"/>
  <c r="AI2984" i="4"/>
  <c r="AI2985" i="4"/>
  <c r="AI2986" i="4"/>
  <c r="AI2987" i="4"/>
  <c r="AI2988" i="4"/>
  <c r="AI2989" i="4"/>
  <c r="AI2990" i="4"/>
  <c r="AI2991" i="4"/>
  <c r="AI2992" i="4"/>
  <c r="AI2993" i="4"/>
  <c r="AI2994" i="4"/>
  <c r="AI2995" i="4"/>
  <c r="AI2996" i="4"/>
  <c r="AI2997" i="4"/>
  <c r="AI2998" i="4"/>
  <c r="AI2999" i="4"/>
  <c r="AI3000" i="4"/>
  <c r="AI3001" i="4"/>
  <c r="AI3002" i="4"/>
  <c r="AI3003" i="4"/>
  <c r="AI3004" i="4"/>
  <c r="AI3005" i="4"/>
  <c r="AI3006" i="4"/>
  <c r="AI3007" i="4"/>
  <c r="AI3008" i="4"/>
  <c r="AI3009" i="4"/>
  <c r="AI3010" i="4"/>
  <c r="AI3011" i="4"/>
  <c r="AI3012" i="4"/>
  <c r="AI3013" i="4"/>
  <c r="AI3014" i="4"/>
  <c r="AI3015" i="4"/>
  <c r="AI3016" i="4"/>
  <c r="AI3017" i="4"/>
  <c r="AI3018" i="4"/>
  <c r="AI3019" i="4"/>
  <c r="AI3020" i="4"/>
  <c r="AI3021" i="4"/>
  <c r="AI3022" i="4"/>
  <c r="AI3023" i="4"/>
  <c r="AI3024" i="4"/>
  <c r="AI3025" i="4"/>
  <c r="AI3026" i="4"/>
  <c r="AI3027" i="4"/>
  <c r="AI3028" i="4"/>
  <c r="AI3029" i="4"/>
  <c r="AI3030" i="4"/>
  <c r="AI3031" i="4"/>
  <c r="AI3032" i="4"/>
  <c r="AI3033" i="4"/>
  <c r="AI3034" i="4"/>
  <c r="AI3035" i="4"/>
  <c r="AI3036" i="4"/>
  <c r="AI3037" i="4"/>
  <c r="AI3038" i="4"/>
  <c r="AI3039" i="4"/>
  <c r="AI3040" i="4"/>
  <c r="AI3041" i="4"/>
  <c r="AI3042" i="4"/>
  <c r="AI3043" i="4"/>
  <c r="AI3044" i="4"/>
  <c r="AI3045" i="4"/>
  <c r="AI3046" i="4"/>
  <c r="AI3047" i="4"/>
  <c r="AI3048" i="4"/>
  <c r="AI3049" i="4"/>
  <c r="AI3050" i="4"/>
  <c r="AI3051" i="4"/>
  <c r="AI3052" i="4"/>
  <c r="AI3053" i="4"/>
  <c r="AI3054" i="4"/>
  <c r="AI3055" i="4"/>
  <c r="AI3056" i="4"/>
  <c r="AI3057" i="4"/>
  <c r="AI3058" i="4"/>
  <c r="AI3059" i="4"/>
  <c r="AI3060" i="4"/>
  <c r="AI3061" i="4"/>
  <c r="AI3062" i="4"/>
  <c r="AI3063" i="4"/>
  <c r="AI3064" i="4"/>
  <c r="AI3065" i="4"/>
  <c r="AI3066" i="4"/>
  <c r="AI3067" i="4"/>
  <c r="AI3068" i="4"/>
  <c r="AI3069" i="4"/>
  <c r="AI3070" i="4"/>
  <c r="AI3071" i="4"/>
  <c r="AI3072" i="4"/>
  <c r="AI3073" i="4"/>
  <c r="AI3074" i="4"/>
  <c r="AI3075" i="4"/>
  <c r="AI3076" i="4"/>
  <c r="AI3077" i="4"/>
  <c r="AI3078" i="4"/>
  <c r="AI3079" i="4"/>
  <c r="AI3080" i="4"/>
  <c r="AI3081" i="4"/>
  <c r="AI3082" i="4"/>
  <c r="AI3083" i="4"/>
  <c r="AI3084" i="4"/>
  <c r="AI3085" i="4"/>
  <c r="AI3086" i="4"/>
  <c r="AI3087" i="4"/>
  <c r="AI3088" i="4"/>
  <c r="AI3089" i="4"/>
  <c r="AI3090" i="4"/>
  <c r="AI3091" i="4"/>
  <c r="AI3092" i="4"/>
  <c r="AI3093" i="4"/>
  <c r="AI3094" i="4"/>
  <c r="AI3095" i="4"/>
  <c r="AI3096" i="4"/>
  <c r="AI3097" i="4"/>
  <c r="AI3098" i="4"/>
  <c r="AI3099" i="4"/>
  <c r="AI3100" i="4"/>
  <c r="AI3101" i="4"/>
  <c r="AI3102" i="4"/>
  <c r="AI3103" i="4"/>
  <c r="AI3104" i="4"/>
  <c r="AI3105" i="4"/>
  <c r="AI3106" i="4"/>
  <c r="AI3107" i="4"/>
  <c r="AI3108" i="4"/>
  <c r="AI3109" i="4"/>
  <c r="AI3110" i="4"/>
  <c r="AI3111" i="4"/>
  <c r="AI3112" i="4"/>
  <c r="AI3113" i="4"/>
  <c r="AI3114" i="4"/>
  <c r="AI3115" i="4"/>
  <c r="AI3116" i="4"/>
  <c r="AI3117" i="4"/>
  <c r="AI3118" i="4"/>
  <c r="AI3119" i="4"/>
  <c r="AI3120" i="4"/>
  <c r="AI3121" i="4"/>
  <c r="AI3122" i="4"/>
  <c r="AI3123" i="4"/>
  <c r="AI3124" i="4"/>
  <c r="AI3125" i="4"/>
  <c r="AI3126" i="4"/>
  <c r="AI3127" i="4"/>
  <c r="AI3128" i="4"/>
  <c r="AI3129" i="4"/>
  <c r="AI3130" i="4"/>
  <c r="AI3131" i="4"/>
  <c r="AI3132" i="4"/>
  <c r="AI3133" i="4"/>
  <c r="AI3134" i="4"/>
  <c r="AI3135" i="4"/>
  <c r="AI3136" i="4"/>
  <c r="AI3137" i="4"/>
  <c r="AI3138" i="4"/>
  <c r="AI3139" i="4"/>
  <c r="AI3140" i="4"/>
  <c r="AI3141" i="4"/>
  <c r="AI3142" i="4"/>
  <c r="AI3143" i="4"/>
  <c r="AI3144" i="4"/>
  <c r="AI3145" i="4"/>
  <c r="AI3146" i="4"/>
  <c r="AI3147" i="4"/>
  <c r="AI3148" i="4"/>
  <c r="AI3149" i="4"/>
  <c r="AI3150" i="4"/>
  <c r="AI3151" i="4"/>
  <c r="AI3152" i="4"/>
  <c r="AI3153" i="4"/>
  <c r="AI3154" i="4"/>
  <c r="AI3155" i="4"/>
  <c r="AI3156" i="4"/>
  <c r="AI3157" i="4"/>
  <c r="AI3158" i="4"/>
  <c r="AI3159" i="4"/>
  <c r="AI3160" i="4"/>
  <c r="AI3161" i="4"/>
  <c r="AI3162" i="4"/>
  <c r="AI3163" i="4"/>
  <c r="AI3164" i="4"/>
  <c r="AI3165" i="4"/>
  <c r="AI3166" i="4"/>
  <c r="AI3167" i="4"/>
  <c r="AI3168" i="4"/>
  <c r="AI3169" i="4"/>
  <c r="AI3170" i="4"/>
  <c r="AI3171" i="4"/>
  <c r="AI3172" i="4"/>
  <c r="AI3173" i="4"/>
  <c r="AI3174" i="4"/>
  <c r="AI3175" i="4"/>
  <c r="AI3176" i="4"/>
  <c r="AI3177" i="4"/>
  <c r="AI3178" i="4"/>
  <c r="AI3179" i="4"/>
  <c r="AI3180" i="4"/>
  <c r="AI3181" i="4"/>
  <c r="AI3182" i="4"/>
  <c r="AI3183" i="4"/>
  <c r="AI3184" i="4"/>
  <c r="AI3185" i="4"/>
  <c r="AI3186" i="4"/>
  <c r="AI3187" i="4"/>
  <c r="AI3188" i="4"/>
  <c r="AI3189" i="4"/>
  <c r="AI3190" i="4"/>
  <c r="AI3191" i="4"/>
  <c r="AI3192" i="4"/>
  <c r="AI3193" i="4"/>
  <c r="AI3194" i="4"/>
  <c r="AI3195" i="4"/>
  <c r="AI3196" i="4"/>
  <c r="AI3197" i="4"/>
  <c r="AI3198" i="4"/>
  <c r="AI3199" i="4"/>
  <c r="AI3200" i="4"/>
  <c r="AI3201" i="4"/>
  <c r="AI3202" i="4"/>
  <c r="AI3203" i="4"/>
  <c r="AI3204" i="4"/>
  <c r="AI3205" i="4"/>
  <c r="AI3206" i="4"/>
  <c r="AI3207" i="4"/>
  <c r="AI3208" i="4"/>
  <c r="AI3209" i="4"/>
  <c r="AI3210" i="4"/>
  <c r="AI3211" i="4"/>
  <c r="AI3212" i="4"/>
  <c r="AI3213" i="4"/>
  <c r="AI3214" i="4"/>
  <c r="AI3215" i="4"/>
  <c r="AI3216" i="4"/>
  <c r="AI3217" i="4"/>
  <c r="AI3218" i="4"/>
  <c r="AI3219" i="4"/>
  <c r="AI3220" i="4"/>
  <c r="AI3221" i="4"/>
  <c r="AI3222" i="4"/>
  <c r="AI3223" i="4"/>
  <c r="AI3224" i="4"/>
  <c r="AI3225" i="4"/>
  <c r="AI3226" i="4"/>
  <c r="AI3227" i="4"/>
  <c r="AI3228" i="4"/>
  <c r="AI3229" i="4"/>
  <c r="AI3230" i="4"/>
  <c r="AI3231" i="4"/>
  <c r="AI3232" i="4"/>
  <c r="AI3233" i="4"/>
  <c r="AI3234" i="4"/>
  <c r="AI3235" i="4"/>
  <c r="AI3236" i="4"/>
  <c r="AI3237" i="4"/>
  <c r="AI3238" i="4"/>
  <c r="AI3239" i="4"/>
  <c r="AI3240" i="4"/>
  <c r="AI3241" i="4"/>
  <c r="AI3242" i="4"/>
  <c r="AI3243" i="4"/>
  <c r="AI3244" i="4"/>
  <c r="AI3245" i="4"/>
  <c r="AI3246" i="4"/>
  <c r="AI3247" i="4"/>
  <c r="AI3248" i="4"/>
  <c r="AI3249" i="4"/>
  <c r="AI3250" i="4"/>
  <c r="AI3251" i="4"/>
  <c r="AI3252" i="4"/>
  <c r="AI3253" i="4"/>
  <c r="AI3254" i="4"/>
  <c r="AI3255" i="4"/>
  <c r="AI3256" i="4"/>
  <c r="AI3257" i="4"/>
  <c r="AI3258" i="4"/>
  <c r="AI3259" i="4"/>
  <c r="AI3260" i="4"/>
  <c r="AI3261" i="4"/>
  <c r="AI3262" i="4"/>
  <c r="AI3263" i="4"/>
  <c r="AI3264" i="4"/>
  <c r="AI3265" i="4"/>
  <c r="AI3266" i="4"/>
  <c r="AI3267" i="4"/>
  <c r="AI3268" i="4"/>
  <c r="AI3269" i="4"/>
  <c r="AI3270" i="4"/>
  <c r="AI3271" i="4"/>
  <c r="AI3272" i="4"/>
  <c r="AI3273" i="4"/>
  <c r="AI3274" i="4"/>
  <c r="AI3275" i="4"/>
  <c r="AI3276" i="4"/>
  <c r="AI3277" i="4"/>
  <c r="AI3278" i="4"/>
  <c r="AI3279" i="4"/>
  <c r="AI3280" i="4"/>
  <c r="AI3281" i="4"/>
  <c r="AI3282" i="4"/>
  <c r="AI3283" i="4"/>
  <c r="AI3284" i="4"/>
  <c r="AI3285" i="4"/>
  <c r="AI3286" i="4"/>
  <c r="AI3287" i="4"/>
  <c r="AI3288" i="4"/>
  <c r="AI3289" i="4"/>
  <c r="AI3290" i="4"/>
  <c r="AI3291" i="4"/>
  <c r="AI3292" i="4"/>
  <c r="AI3293" i="4"/>
  <c r="AI3294" i="4"/>
  <c r="AI3295" i="4"/>
  <c r="AI3296" i="4"/>
  <c r="AI3297" i="4"/>
  <c r="AI3298" i="4"/>
  <c r="AI3299" i="4"/>
  <c r="AI3300" i="4"/>
  <c r="AI3301" i="4"/>
  <c r="AI3302" i="4"/>
  <c r="AI3303" i="4"/>
  <c r="AI3304" i="4"/>
  <c r="AI3305" i="4"/>
  <c r="AI3306" i="4"/>
  <c r="AI3307" i="4"/>
  <c r="AI3308" i="4"/>
  <c r="AI3309" i="4"/>
  <c r="AI3310" i="4"/>
  <c r="AI3311" i="4"/>
  <c r="AI3312" i="4"/>
  <c r="AI3313" i="4"/>
  <c r="AI3314" i="4"/>
  <c r="AI3315" i="4"/>
  <c r="AI3316" i="4"/>
  <c r="AI3317" i="4"/>
  <c r="AI3318" i="4"/>
  <c r="AI3319" i="4"/>
  <c r="AI3320" i="4"/>
  <c r="AI3321" i="4"/>
  <c r="AI3322" i="4"/>
  <c r="AI3323" i="4"/>
  <c r="AI3324" i="4"/>
  <c r="AI3325" i="4"/>
  <c r="AI3326" i="4"/>
  <c r="AI3327" i="4"/>
  <c r="AI3328" i="4"/>
  <c r="AI3329" i="4"/>
  <c r="AI3330" i="4"/>
  <c r="AI3331" i="4"/>
  <c r="AI3332" i="4"/>
  <c r="AI3333" i="4"/>
  <c r="AI3334" i="4"/>
  <c r="AI3335" i="4"/>
  <c r="AI3336" i="4"/>
  <c r="AI3337" i="4"/>
  <c r="AI3338" i="4"/>
  <c r="AI3339" i="4"/>
  <c r="AI3340" i="4"/>
  <c r="AI3341" i="4"/>
  <c r="AI3342" i="4"/>
  <c r="AI3343" i="4"/>
  <c r="AI3344" i="4"/>
  <c r="AI3345" i="4"/>
  <c r="AI3346" i="4"/>
  <c r="AI3347" i="4"/>
  <c r="AI3348" i="4"/>
  <c r="AI3349" i="4"/>
  <c r="AI3350" i="4"/>
  <c r="AI3351" i="4"/>
  <c r="AI3352" i="4"/>
  <c r="AI3353" i="4"/>
  <c r="AI3354" i="4"/>
  <c r="AI3355" i="4"/>
  <c r="AI3356" i="4"/>
  <c r="AI3357" i="4"/>
  <c r="AI3358" i="4"/>
  <c r="AI3359" i="4"/>
  <c r="AI3360" i="4"/>
  <c r="AI3361" i="4"/>
  <c r="AI3362" i="4"/>
  <c r="AI3363" i="4"/>
  <c r="AI3364" i="4"/>
  <c r="AI3365" i="4"/>
  <c r="AI3366" i="4"/>
  <c r="AI3367" i="4"/>
  <c r="AI3368" i="4"/>
  <c r="AI3369" i="4"/>
  <c r="AI3370" i="4"/>
  <c r="AI3371" i="4"/>
  <c r="AI3372" i="4"/>
  <c r="AI3373" i="4"/>
  <c r="AI3374" i="4"/>
  <c r="AI3375" i="4"/>
  <c r="AI3376" i="4"/>
  <c r="AI3377" i="4"/>
  <c r="AI3378" i="4"/>
  <c r="AI3379" i="4"/>
  <c r="AI3380" i="4"/>
  <c r="AI3381" i="4"/>
  <c r="AI3382" i="4"/>
  <c r="AI3383" i="4"/>
  <c r="AI3384" i="4"/>
  <c r="AI3385" i="4"/>
  <c r="AI3386" i="4"/>
  <c r="AI3387" i="4"/>
  <c r="AI3388" i="4"/>
  <c r="AI3389" i="4"/>
  <c r="AI3390" i="4"/>
  <c r="AI3391" i="4"/>
  <c r="AI3392" i="4"/>
  <c r="AI3393" i="4"/>
  <c r="AI3394" i="4"/>
  <c r="AI3395" i="4"/>
  <c r="AI3396" i="4"/>
  <c r="AI3397" i="4"/>
  <c r="AI3398" i="4"/>
  <c r="AI3399" i="4"/>
  <c r="AI3400" i="4"/>
  <c r="AI3401" i="4"/>
  <c r="AI3402" i="4"/>
  <c r="AI3403" i="4"/>
  <c r="AI3404" i="4"/>
  <c r="AI3405" i="4"/>
  <c r="AI3406" i="4"/>
  <c r="AI3407" i="4"/>
  <c r="AI3408" i="4"/>
  <c r="AI3409" i="4"/>
  <c r="AI3410" i="4"/>
  <c r="AI3411" i="4"/>
  <c r="AI3412" i="4"/>
  <c r="AI3413" i="4"/>
  <c r="AI3414" i="4"/>
  <c r="AI3415" i="4"/>
  <c r="AI3416" i="4"/>
  <c r="AI3417" i="4"/>
  <c r="AI3418" i="4"/>
  <c r="AI3419" i="4"/>
  <c r="AI3420" i="4"/>
  <c r="AI3421" i="4"/>
  <c r="AI3422" i="4"/>
  <c r="AI3423" i="4"/>
  <c r="AI3424" i="4"/>
  <c r="AI3425" i="4"/>
  <c r="AI3426" i="4"/>
  <c r="AI3427" i="4"/>
  <c r="AI3428" i="4"/>
  <c r="AI3429" i="4"/>
  <c r="AI3430" i="4"/>
  <c r="AI3431" i="4"/>
  <c r="AI3432" i="4"/>
  <c r="AI3433" i="4"/>
  <c r="AI3434" i="4"/>
  <c r="AI3435" i="4"/>
  <c r="AI3436" i="4"/>
  <c r="AI3437" i="4"/>
  <c r="AI3438" i="4"/>
  <c r="AI3439" i="4"/>
  <c r="AI3440" i="4"/>
  <c r="AI3441" i="4"/>
  <c r="AI3442" i="4"/>
  <c r="AI3443" i="4"/>
  <c r="AI3444" i="4"/>
  <c r="AI3445" i="4"/>
  <c r="AI3446" i="4"/>
  <c r="AI3447" i="4"/>
  <c r="AI3448" i="4"/>
  <c r="AI3449" i="4"/>
  <c r="AI3450" i="4"/>
  <c r="AI3451" i="4"/>
  <c r="AI3452" i="4"/>
  <c r="AI3453" i="4"/>
  <c r="AI3454" i="4"/>
  <c r="AI3455" i="4"/>
  <c r="AI3456" i="4"/>
  <c r="AI3457" i="4"/>
  <c r="AI3458" i="4"/>
  <c r="AI3459" i="4"/>
  <c r="AI3460" i="4"/>
  <c r="AI3461" i="4"/>
  <c r="AI3462" i="4"/>
  <c r="AI3463" i="4"/>
  <c r="AI3464" i="4"/>
  <c r="AI3465" i="4"/>
  <c r="AI3466" i="4"/>
  <c r="AI3467" i="4"/>
  <c r="AI3468" i="4"/>
  <c r="AI3469" i="4"/>
  <c r="AI3470" i="4"/>
  <c r="AI3471" i="4"/>
  <c r="AI3472" i="4"/>
  <c r="AI3473" i="4"/>
  <c r="AI3474" i="4"/>
  <c r="AI3475" i="4"/>
  <c r="AI3476" i="4"/>
  <c r="AI3477" i="4"/>
  <c r="AI3478" i="4"/>
  <c r="AI3479" i="4"/>
  <c r="AI3480" i="4"/>
  <c r="AI3481" i="4"/>
  <c r="AI3482" i="4"/>
  <c r="AI3483" i="4"/>
  <c r="AI3484" i="4"/>
  <c r="AI3485" i="4"/>
  <c r="AI3486" i="4"/>
  <c r="AI3487" i="4"/>
  <c r="AI3488" i="4"/>
  <c r="AI3489" i="4"/>
  <c r="AI3490" i="4"/>
  <c r="AI3491" i="4"/>
  <c r="AI3492" i="4"/>
  <c r="AI3493" i="4"/>
  <c r="AI3494" i="4"/>
  <c r="AI3495" i="4"/>
  <c r="AI3496" i="4"/>
  <c r="AI3497" i="4"/>
  <c r="AI3498" i="4"/>
  <c r="AI3499" i="4"/>
  <c r="AI3500" i="4"/>
  <c r="AI3501" i="4"/>
  <c r="AI3502" i="4"/>
  <c r="AI3503" i="4"/>
  <c r="AI3504" i="4"/>
  <c r="AI3505" i="4"/>
  <c r="AI3506" i="4"/>
  <c r="AI3507" i="4"/>
  <c r="AI3508" i="4"/>
  <c r="AI3509" i="4"/>
  <c r="AI3510" i="4"/>
  <c r="AI3511" i="4"/>
  <c r="AI3512" i="4"/>
  <c r="AI3513" i="4"/>
  <c r="AI3514" i="4"/>
  <c r="AI3515" i="4"/>
  <c r="AI3516" i="4"/>
  <c r="AI3517" i="4"/>
  <c r="AI3518" i="4"/>
  <c r="AI3519" i="4"/>
  <c r="AI3520" i="4"/>
  <c r="AI3521" i="4"/>
  <c r="AI3522" i="4"/>
  <c r="AI3523" i="4"/>
  <c r="AI3524" i="4"/>
  <c r="AI3525" i="4"/>
  <c r="AI3526" i="4"/>
  <c r="AI3527" i="4"/>
  <c r="AI3528" i="4"/>
  <c r="AI3529" i="4"/>
  <c r="AI3530" i="4"/>
  <c r="AI3531" i="4"/>
  <c r="AI3532" i="4"/>
  <c r="AI3533" i="4"/>
  <c r="AI3534" i="4"/>
  <c r="AI3535" i="4"/>
  <c r="AI3536" i="4"/>
  <c r="AI3537" i="4"/>
  <c r="AI3538" i="4"/>
  <c r="AI3539" i="4"/>
  <c r="AI3540" i="4"/>
  <c r="AI3541" i="4"/>
  <c r="AI3542" i="4"/>
  <c r="AI3543" i="4"/>
  <c r="AI3544" i="4"/>
  <c r="AI3545" i="4"/>
  <c r="AI3546" i="4"/>
  <c r="AI3547" i="4"/>
  <c r="AI3548" i="4"/>
  <c r="AI3549" i="4"/>
  <c r="AI3550" i="4"/>
  <c r="AI3551" i="4"/>
  <c r="AI3552" i="4"/>
  <c r="AI3553" i="4"/>
  <c r="AI3554" i="4"/>
  <c r="AI3555" i="4"/>
  <c r="AI3556" i="4"/>
  <c r="AI3557" i="4"/>
  <c r="AI3558" i="4"/>
  <c r="AI3559" i="4"/>
  <c r="AI3560" i="4"/>
  <c r="AI3561" i="4"/>
  <c r="AI3562" i="4"/>
  <c r="AI3563" i="4"/>
  <c r="AI3564" i="4"/>
  <c r="AI3565" i="4"/>
  <c r="AI3566" i="4"/>
  <c r="AI3567" i="4"/>
  <c r="AI3568" i="4"/>
  <c r="AI3569" i="4"/>
  <c r="AI3570" i="4"/>
  <c r="AI3571" i="4"/>
  <c r="AI3572" i="4"/>
  <c r="AI3573" i="4"/>
  <c r="AI3574" i="4"/>
  <c r="AI3575" i="4"/>
  <c r="AI3576" i="4"/>
  <c r="AI3577" i="4"/>
  <c r="AI3578" i="4"/>
  <c r="AI3579" i="4"/>
  <c r="AI3580" i="4"/>
  <c r="AI3581" i="4"/>
  <c r="AI3582" i="4"/>
  <c r="AI3583" i="4"/>
  <c r="AI3584" i="4"/>
  <c r="AI3585" i="4"/>
  <c r="AI3586" i="4"/>
  <c r="AI3587" i="4"/>
  <c r="AI3588" i="4"/>
  <c r="AI3589" i="4"/>
  <c r="AI3590" i="4"/>
  <c r="AI3591" i="4"/>
  <c r="AI3592" i="4"/>
  <c r="AI3593" i="4"/>
  <c r="AI3594" i="4"/>
  <c r="AI3595" i="4"/>
  <c r="AI3596" i="4"/>
  <c r="AI3597" i="4"/>
  <c r="AI3598" i="4"/>
  <c r="AI3599" i="4"/>
  <c r="AI3600" i="4"/>
  <c r="AI3601" i="4"/>
  <c r="AI3602" i="4"/>
  <c r="AI3603" i="4"/>
  <c r="AI3604" i="4"/>
  <c r="AI3605" i="4"/>
  <c r="AI3606" i="4"/>
  <c r="AI3607" i="4"/>
  <c r="AI3608" i="4"/>
  <c r="AI3609" i="4"/>
  <c r="AI3610" i="4"/>
  <c r="AI3611" i="4"/>
  <c r="AI3612" i="4"/>
  <c r="AI3613" i="4"/>
  <c r="AI3614" i="4"/>
  <c r="AI3615" i="4"/>
  <c r="AI3616" i="4"/>
  <c r="AI3617" i="4"/>
  <c r="AI3618" i="4"/>
  <c r="AI3619" i="4"/>
  <c r="AI3620" i="4"/>
  <c r="AI3621" i="4"/>
  <c r="AI3622" i="4"/>
  <c r="AI3623" i="4"/>
  <c r="AI3624" i="4"/>
  <c r="AI3625" i="4"/>
  <c r="AI3626" i="4"/>
  <c r="AI3627" i="4"/>
  <c r="AI3628" i="4"/>
  <c r="AI3629" i="4"/>
  <c r="AI3630" i="4"/>
  <c r="AI3631" i="4"/>
  <c r="AI3632" i="4"/>
  <c r="AI3633" i="4"/>
  <c r="AI3634" i="4"/>
  <c r="AI3635" i="4"/>
  <c r="AI3636" i="4"/>
  <c r="AI3637" i="4"/>
  <c r="AI3638" i="4"/>
  <c r="AI3639" i="4"/>
  <c r="AI3640" i="4"/>
  <c r="AI3641" i="4"/>
  <c r="AI3642" i="4"/>
  <c r="AI3643" i="4"/>
  <c r="AI3644" i="4"/>
  <c r="AI3645" i="4"/>
  <c r="AI3646" i="4"/>
  <c r="AI3647" i="4"/>
  <c r="AI3648" i="4"/>
  <c r="AI3649" i="4"/>
  <c r="AI3650" i="4"/>
  <c r="AI3651" i="4"/>
  <c r="AI3652" i="4"/>
  <c r="AI3653" i="4"/>
  <c r="AI3654" i="4"/>
  <c r="AI3655" i="4"/>
  <c r="AI3656" i="4"/>
  <c r="AI3657" i="4"/>
  <c r="AI3658" i="4"/>
  <c r="AI3659" i="4"/>
  <c r="AI3660" i="4"/>
  <c r="AI3661" i="4"/>
  <c r="AI3662" i="4"/>
  <c r="AI3663" i="4"/>
  <c r="AI3664" i="4"/>
  <c r="AI3665" i="4"/>
  <c r="AI3666" i="4"/>
  <c r="AI3667" i="4"/>
  <c r="AI3668" i="4"/>
  <c r="AI3669" i="4"/>
  <c r="AI3670" i="4"/>
  <c r="AI3671" i="4"/>
  <c r="AI3672" i="4"/>
  <c r="AI3673" i="4"/>
  <c r="AI3674" i="4"/>
  <c r="AI3675" i="4"/>
  <c r="AI3676" i="4"/>
  <c r="AI3677" i="4"/>
  <c r="AI3678" i="4"/>
  <c r="AI3679" i="4"/>
  <c r="AI3680" i="4"/>
  <c r="AI3681" i="4"/>
  <c r="AI3682" i="4"/>
  <c r="AI3683" i="4"/>
  <c r="AI3684" i="4"/>
  <c r="AI3685" i="4"/>
  <c r="AI3686" i="4"/>
  <c r="AI3687" i="4"/>
  <c r="AI3688" i="4"/>
  <c r="AI3689" i="4"/>
  <c r="AI3690" i="4"/>
  <c r="AI3691" i="4"/>
  <c r="AI3692" i="4"/>
  <c r="AI3693" i="4"/>
  <c r="AI3694" i="4"/>
  <c r="AI3695" i="4"/>
  <c r="AI3696" i="4"/>
  <c r="AI3697" i="4"/>
  <c r="AI3698" i="4"/>
  <c r="AI3699" i="4"/>
  <c r="AI3700" i="4"/>
  <c r="AI3701" i="4"/>
  <c r="AI3702" i="4"/>
  <c r="AI3703" i="4"/>
  <c r="AI3704" i="4"/>
  <c r="AI3705" i="4"/>
  <c r="AI3706" i="4"/>
  <c r="AI3707" i="4"/>
  <c r="AI3708" i="4"/>
  <c r="AI3709" i="4"/>
  <c r="AI3710" i="4"/>
  <c r="AI3711" i="4"/>
  <c r="AI3712" i="4"/>
  <c r="AI3713" i="4"/>
  <c r="AI3714" i="4"/>
  <c r="AI3715" i="4"/>
  <c r="AI3716" i="4"/>
  <c r="AI3717" i="4"/>
  <c r="AI3718" i="4"/>
  <c r="AI3719" i="4"/>
  <c r="AI3720" i="4"/>
  <c r="AI3721" i="4"/>
  <c r="AI3722" i="4"/>
  <c r="AI3723" i="4"/>
  <c r="AI3724" i="4"/>
  <c r="AI3725" i="4"/>
  <c r="AI3726" i="4"/>
  <c r="AI3727" i="4"/>
  <c r="AI3728" i="4"/>
  <c r="AI3729" i="4"/>
  <c r="AI3730" i="4"/>
  <c r="AI3731" i="4"/>
  <c r="AI3732" i="4"/>
  <c r="AI3733" i="4"/>
  <c r="AI3734" i="4"/>
  <c r="AI3735" i="4"/>
  <c r="AI3736" i="4"/>
  <c r="AI3737" i="4"/>
  <c r="AI3738" i="4"/>
  <c r="AI3739" i="4"/>
  <c r="AI3740" i="4"/>
  <c r="AI3741" i="4"/>
  <c r="AI3742" i="4"/>
  <c r="AI3743" i="4"/>
  <c r="AI3744" i="4"/>
  <c r="AI3745" i="4"/>
  <c r="AI3746" i="4"/>
  <c r="AI3747" i="4"/>
  <c r="AI3748" i="4"/>
  <c r="AI3749" i="4"/>
  <c r="AI3750" i="4"/>
  <c r="AI3751" i="4"/>
  <c r="AI3752" i="4"/>
  <c r="AI3753" i="4"/>
  <c r="AI3754" i="4"/>
  <c r="AI3755" i="4"/>
  <c r="AI3756" i="4"/>
  <c r="AI3757" i="4"/>
  <c r="AI3758" i="4"/>
  <c r="AI3759" i="4"/>
  <c r="AI3760" i="4"/>
  <c r="AI3761" i="4"/>
  <c r="AI3762" i="4"/>
  <c r="AI3763" i="4"/>
  <c r="AI3764" i="4"/>
  <c r="AI3765" i="4"/>
  <c r="AI3766" i="4"/>
  <c r="AI3767" i="4"/>
  <c r="AI3768" i="4"/>
  <c r="AI3769" i="4"/>
  <c r="AI3770" i="4"/>
  <c r="AI3771" i="4"/>
  <c r="AI3772" i="4"/>
  <c r="AI3773" i="4"/>
  <c r="AI3774" i="4"/>
  <c r="AI3775" i="4"/>
  <c r="AI3776" i="4"/>
  <c r="AI3777" i="4"/>
  <c r="AI3778" i="4"/>
  <c r="AI3779" i="4"/>
  <c r="AI3780" i="4"/>
  <c r="AI3781" i="4"/>
  <c r="AI3782" i="4"/>
  <c r="AI3783" i="4"/>
  <c r="AI3784" i="4"/>
  <c r="AI3785" i="4"/>
  <c r="AI3786" i="4"/>
  <c r="AI3787" i="4"/>
  <c r="AI3788" i="4"/>
  <c r="AI3789" i="4"/>
  <c r="AI3790" i="4"/>
  <c r="AI3791" i="4"/>
  <c r="AI3792" i="4"/>
  <c r="AI3793" i="4"/>
  <c r="AI3794" i="4"/>
  <c r="AI3795" i="4"/>
  <c r="AI3796" i="4"/>
  <c r="AI3797" i="4"/>
  <c r="AI3798" i="4"/>
  <c r="AI3799" i="4"/>
  <c r="AI3800" i="4"/>
  <c r="AI3801" i="4"/>
  <c r="AI3802" i="4"/>
  <c r="AI3803" i="4"/>
  <c r="AI3804" i="4"/>
  <c r="AI3805" i="4"/>
  <c r="AI3806" i="4"/>
  <c r="AI3807" i="4"/>
  <c r="AI3808" i="4"/>
  <c r="AI3809" i="4"/>
  <c r="AI3810" i="4"/>
  <c r="AI3811" i="4"/>
  <c r="AI3812" i="4"/>
  <c r="AI3813" i="4"/>
  <c r="AI3814" i="4"/>
  <c r="AI3815" i="4"/>
  <c r="AI3816" i="4"/>
  <c r="AI3817" i="4"/>
  <c r="AI3818" i="4"/>
  <c r="AI3819" i="4"/>
  <c r="AI3820" i="4"/>
  <c r="AI3821" i="4"/>
  <c r="AI3822" i="4"/>
  <c r="AI3823" i="4"/>
  <c r="AI3824" i="4"/>
  <c r="AI3825" i="4"/>
  <c r="AI3826" i="4"/>
  <c r="AI3827" i="4"/>
  <c r="AI3828" i="4"/>
  <c r="AI3829" i="4"/>
  <c r="AI3830" i="4"/>
  <c r="AI3831" i="4"/>
  <c r="AI3832" i="4"/>
  <c r="AI3833" i="4"/>
  <c r="AI3834" i="4"/>
  <c r="AI3835" i="4"/>
  <c r="AI3836" i="4"/>
  <c r="AI3837" i="4"/>
  <c r="AI3838" i="4"/>
  <c r="AI3839" i="4"/>
  <c r="AI3840" i="4"/>
  <c r="AI3841" i="4"/>
  <c r="AI3842" i="4"/>
  <c r="AI3843" i="4"/>
  <c r="AI3844" i="4"/>
  <c r="AI3845" i="4"/>
  <c r="AI3846" i="4"/>
  <c r="AI3847" i="4"/>
  <c r="AI3848" i="4"/>
  <c r="AI3849" i="4"/>
  <c r="AI3850" i="4"/>
  <c r="AI3851" i="4"/>
  <c r="AI3852" i="4"/>
  <c r="AI3853" i="4"/>
  <c r="AI3854" i="4"/>
  <c r="AI3855" i="4"/>
  <c r="AI3856" i="4"/>
  <c r="AI3857" i="4"/>
  <c r="AI3858" i="4"/>
  <c r="AI3859" i="4"/>
  <c r="AI3860" i="4"/>
  <c r="AI3861" i="4"/>
  <c r="AI3862" i="4"/>
  <c r="AI3863" i="4"/>
  <c r="AI3864" i="4"/>
  <c r="AI3865" i="4"/>
  <c r="AI3866" i="4"/>
  <c r="AI3867" i="4"/>
  <c r="AI3868" i="4"/>
  <c r="AI3869" i="4"/>
  <c r="AI3870" i="4"/>
  <c r="AI3871" i="4"/>
  <c r="AI3872" i="4"/>
  <c r="AI3873" i="4"/>
  <c r="AI3874" i="4"/>
  <c r="AI3875" i="4"/>
  <c r="AI3876" i="4"/>
  <c r="AI3877" i="4"/>
  <c r="AI3878" i="4"/>
  <c r="AI3879" i="4"/>
  <c r="AI3880" i="4"/>
  <c r="AI3881" i="4"/>
  <c r="AI3882" i="4"/>
  <c r="AI3883" i="4"/>
  <c r="AI3884" i="4"/>
  <c r="AI3885" i="4"/>
  <c r="AI3886" i="4"/>
  <c r="AI3887" i="4"/>
  <c r="AI3888" i="4"/>
  <c r="AI3889" i="4"/>
  <c r="AI3890" i="4"/>
  <c r="AI3891" i="4"/>
  <c r="AI3892" i="4"/>
  <c r="AI3893" i="4"/>
  <c r="AI3894" i="4"/>
  <c r="AI3895" i="4"/>
  <c r="AI3896" i="4"/>
  <c r="AI3897" i="4"/>
  <c r="AI3898" i="4"/>
  <c r="AI3899" i="4"/>
  <c r="AI3900" i="4"/>
  <c r="AI3901" i="4"/>
  <c r="AI3902" i="4"/>
  <c r="AI3903" i="4"/>
  <c r="AI3904" i="4"/>
  <c r="AI3905" i="4"/>
  <c r="AI3906" i="4"/>
  <c r="AI3907" i="4"/>
  <c r="AI3908" i="4"/>
  <c r="AI3909" i="4"/>
  <c r="AI3910" i="4"/>
  <c r="AI3911" i="4"/>
  <c r="AI3912" i="4"/>
  <c r="AI3913" i="4"/>
  <c r="AI3914" i="4"/>
  <c r="AI3915" i="4"/>
  <c r="AI3916" i="4"/>
  <c r="AI3917" i="4"/>
  <c r="AI3918" i="4"/>
  <c r="AI3919" i="4"/>
  <c r="AI3920" i="4"/>
  <c r="AI3921" i="4"/>
  <c r="AI3922" i="4"/>
  <c r="AI3923" i="4"/>
  <c r="AI3924" i="4"/>
  <c r="AI3925" i="4"/>
  <c r="AI3926" i="4"/>
  <c r="AI3927" i="4"/>
  <c r="AI3928" i="4"/>
  <c r="AI3929" i="4"/>
  <c r="AI3930" i="4"/>
  <c r="AI3931" i="4"/>
  <c r="AI3932" i="4"/>
  <c r="AI3933" i="4"/>
  <c r="AI3934" i="4"/>
  <c r="AI3935" i="4"/>
  <c r="AI3936" i="4"/>
  <c r="AI3937" i="4"/>
  <c r="AI3938" i="4"/>
  <c r="AI3939" i="4"/>
  <c r="AI3940" i="4"/>
  <c r="AI3941" i="4"/>
  <c r="AI3942" i="4"/>
  <c r="AI3943" i="4"/>
  <c r="AI3944" i="4"/>
  <c r="AI3945" i="4"/>
  <c r="AI3946" i="4"/>
  <c r="AI3947" i="4"/>
  <c r="AI3948" i="4"/>
  <c r="AI3949" i="4"/>
  <c r="AI3950" i="4"/>
  <c r="AI3951" i="4"/>
  <c r="AI3952" i="4"/>
  <c r="AI3953" i="4"/>
  <c r="AI3954" i="4"/>
  <c r="AI3955" i="4"/>
  <c r="AI3956" i="4"/>
  <c r="AI3957" i="4"/>
  <c r="AI3958" i="4"/>
  <c r="AI3959" i="4"/>
  <c r="AI3960" i="4"/>
  <c r="AI3961" i="4"/>
  <c r="AI3962" i="4"/>
  <c r="AI3963" i="4"/>
  <c r="AI3964" i="4"/>
  <c r="AI3965" i="4"/>
  <c r="AI3966" i="4"/>
  <c r="AI3967" i="4"/>
  <c r="AI3968" i="4"/>
  <c r="AI3969" i="4"/>
  <c r="AI3970" i="4"/>
  <c r="AI3971" i="4"/>
  <c r="AI3972" i="4"/>
  <c r="AI3973" i="4"/>
  <c r="AI3974" i="4"/>
  <c r="AI3975" i="4"/>
  <c r="AI3976" i="4"/>
  <c r="AI3977" i="4"/>
  <c r="AI3978" i="4"/>
  <c r="AI3979" i="4"/>
  <c r="AI3980" i="4"/>
  <c r="AI3981" i="4"/>
  <c r="AI3982" i="4"/>
  <c r="AI3983" i="4"/>
  <c r="AI3984" i="4"/>
  <c r="AI3985" i="4"/>
  <c r="AI3986" i="4"/>
  <c r="AI3987" i="4"/>
  <c r="AI3988" i="4"/>
  <c r="AI3989" i="4"/>
  <c r="AI3990" i="4"/>
  <c r="AI3991" i="4"/>
  <c r="AI3992" i="4"/>
  <c r="AI3993" i="4"/>
  <c r="AI3994" i="4"/>
  <c r="AI3995" i="4"/>
  <c r="AI3996" i="4"/>
  <c r="AI3997" i="4"/>
  <c r="AI3998" i="4"/>
  <c r="AI3999" i="4"/>
  <c r="AI4000" i="4"/>
  <c r="AI4001" i="4"/>
  <c r="AI4002" i="4"/>
  <c r="AI4003" i="4"/>
  <c r="AI4004" i="4"/>
  <c r="AI4005" i="4"/>
  <c r="AI4006" i="4"/>
  <c r="AI4007" i="4"/>
  <c r="AI4008" i="4"/>
  <c r="AI4009" i="4"/>
  <c r="AI4010" i="4"/>
  <c r="AI4011" i="4"/>
  <c r="AI4012" i="4"/>
  <c r="AI4013" i="4"/>
  <c r="AI4014" i="4"/>
  <c r="AI4015" i="4"/>
  <c r="AI4016" i="4"/>
  <c r="AI4017" i="4"/>
  <c r="AI4018" i="4"/>
  <c r="AI4019" i="4"/>
  <c r="AI4020" i="4"/>
  <c r="AI4021" i="4"/>
  <c r="AI4022" i="4"/>
  <c r="AI4023" i="4"/>
  <c r="AI4024" i="4"/>
  <c r="AI4025" i="4"/>
  <c r="AI4026" i="4"/>
  <c r="AI4027" i="4"/>
  <c r="AI4028" i="4"/>
  <c r="AI4029" i="4"/>
  <c r="AI4030" i="4"/>
  <c r="AI4031" i="4"/>
  <c r="AI4032" i="4"/>
  <c r="AI4033" i="4"/>
  <c r="AI4034" i="4"/>
  <c r="AI4035" i="4"/>
  <c r="AI4036" i="4"/>
  <c r="AI4037" i="4"/>
  <c r="AI4038" i="4"/>
  <c r="AI4039" i="4"/>
  <c r="AI4040" i="4"/>
  <c r="AI4041" i="4"/>
  <c r="AI4042" i="4"/>
  <c r="AI4043" i="4"/>
  <c r="AI4044" i="4"/>
  <c r="AI4045" i="4"/>
  <c r="AI4046" i="4"/>
  <c r="AI4047" i="4"/>
  <c r="AI4048" i="4"/>
  <c r="AI4049" i="4"/>
  <c r="AI4050" i="4"/>
  <c r="AI4051" i="4"/>
  <c r="AI4052" i="4"/>
  <c r="AI4053" i="4"/>
  <c r="AI4054" i="4"/>
  <c r="AI4055" i="4"/>
  <c r="AI4056" i="4"/>
  <c r="AI4057" i="4"/>
  <c r="AI4058" i="4"/>
  <c r="AI4059" i="4"/>
  <c r="AI4060" i="4"/>
  <c r="AI4061" i="4"/>
  <c r="AI4062" i="4"/>
  <c r="AI4063" i="4"/>
  <c r="AI4064" i="4"/>
  <c r="AI4065" i="4"/>
  <c r="AI4066" i="4"/>
  <c r="AI4067" i="4"/>
  <c r="AI4068" i="4"/>
  <c r="AI4069" i="4"/>
  <c r="AI4070" i="4"/>
  <c r="AI4071" i="4"/>
  <c r="AI4072" i="4"/>
  <c r="AI4073" i="4"/>
  <c r="AI4074" i="4"/>
  <c r="AI4075" i="4"/>
  <c r="AI4076" i="4"/>
  <c r="AI4077" i="4"/>
  <c r="AI4078" i="4"/>
  <c r="AI4079" i="4"/>
  <c r="AI4080" i="4"/>
  <c r="AI4081" i="4"/>
  <c r="AI4082" i="4"/>
  <c r="AI4083" i="4"/>
  <c r="AI4084" i="4"/>
  <c r="AI4085" i="4"/>
  <c r="AI4086" i="4"/>
  <c r="AI4087" i="4"/>
  <c r="AI4088" i="4"/>
  <c r="AI4089" i="4"/>
  <c r="AI4090" i="4"/>
  <c r="AI4091" i="4"/>
  <c r="AI4092" i="4"/>
  <c r="AI4093" i="4"/>
  <c r="AI4094" i="4"/>
  <c r="AI4095" i="4"/>
  <c r="AI4096" i="4"/>
  <c r="AI4097" i="4"/>
  <c r="AI4098" i="4"/>
  <c r="AI4099" i="4"/>
  <c r="AI4100" i="4"/>
  <c r="AI4101" i="4"/>
  <c r="AI4102" i="4"/>
  <c r="AI4103" i="4"/>
  <c r="AI4104" i="4"/>
  <c r="AI4105" i="4"/>
  <c r="AI4106" i="4"/>
  <c r="AI4107" i="4"/>
  <c r="AI4108" i="4"/>
  <c r="AI4109" i="4"/>
  <c r="AI4110" i="4"/>
  <c r="AI4111" i="4"/>
  <c r="AI4112" i="4"/>
  <c r="AI4113" i="4"/>
  <c r="AI4114" i="4"/>
  <c r="AI4115" i="4"/>
  <c r="AI4116" i="4"/>
  <c r="AI4117" i="4"/>
  <c r="AI4118" i="4"/>
  <c r="AI4119" i="4"/>
  <c r="AI4120" i="4"/>
  <c r="AI4121" i="4"/>
  <c r="AI4122" i="4"/>
  <c r="AI4123" i="4"/>
  <c r="AI4124" i="4"/>
  <c r="AI4125" i="4"/>
  <c r="AI4126" i="4"/>
  <c r="AI4127" i="4"/>
  <c r="AI4128" i="4"/>
  <c r="AI4129" i="4"/>
  <c r="AI4130" i="4"/>
  <c r="AI4131" i="4"/>
  <c r="AI4132" i="4"/>
  <c r="AI4133" i="4"/>
  <c r="AI4134" i="4"/>
  <c r="AI4135" i="4"/>
  <c r="AI4136" i="4"/>
  <c r="AI4137" i="4"/>
  <c r="AI4138" i="4"/>
  <c r="AI4139" i="4"/>
  <c r="AI4140" i="4"/>
  <c r="AI4141" i="4"/>
  <c r="AI4142" i="4"/>
  <c r="AI4143" i="4"/>
  <c r="AI4144" i="4"/>
  <c r="AI4145" i="4"/>
  <c r="AI4146" i="4"/>
  <c r="AI4147" i="4"/>
  <c r="AI4148" i="4"/>
  <c r="AI4149" i="4"/>
  <c r="AI4150" i="4"/>
  <c r="AI4151" i="4"/>
  <c r="AI4152" i="4"/>
  <c r="AI4153" i="4"/>
  <c r="AI4154" i="4"/>
  <c r="AI4155" i="4"/>
  <c r="AI4156" i="4"/>
  <c r="AI4157" i="4"/>
  <c r="AI4158" i="4"/>
  <c r="AI4159" i="4"/>
  <c r="AI4160" i="4"/>
  <c r="AI4161" i="4"/>
  <c r="AI4162" i="4"/>
  <c r="AI4163" i="4"/>
  <c r="AI4164" i="4"/>
  <c r="AI4165" i="4"/>
  <c r="AI4166" i="4"/>
  <c r="AI4167" i="4"/>
  <c r="AI4168" i="4"/>
  <c r="AI4169" i="4"/>
  <c r="AI4170" i="4"/>
  <c r="AI4171" i="4"/>
  <c r="AI4172" i="4"/>
  <c r="AI4173" i="4"/>
  <c r="AI4174" i="4"/>
  <c r="AI4175" i="4"/>
  <c r="AI4176" i="4"/>
  <c r="AI4177" i="4"/>
  <c r="AI4178" i="4"/>
  <c r="AI4179" i="4"/>
  <c r="AI4180" i="4"/>
  <c r="AI4181" i="4"/>
  <c r="AI4182" i="4"/>
  <c r="AI4183" i="4"/>
  <c r="AI4184" i="4"/>
  <c r="AI4185" i="4"/>
  <c r="AI4186" i="4"/>
  <c r="AI4187" i="4"/>
  <c r="AI4188" i="4"/>
  <c r="AI4189" i="4"/>
  <c r="AI4190" i="4"/>
  <c r="AI4191" i="4"/>
  <c r="AI4192" i="4"/>
  <c r="AI4193" i="4"/>
  <c r="AI4194" i="4"/>
  <c r="AI4195" i="4"/>
  <c r="AI4196" i="4"/>
  <c r="AI4197" i="4"/>
  <c r="AI4198" i="4"/>
  <c r="AI4199" i="4"/>
  <c r="AI4200" i="4"/>
  <c r="AI4201" i="4"/>
  <c r="AI4202" i="4"/>
  <c r="AI4203" i="4"/>
  <c r="AI4204" i="4"/>
  <c r="AI4205" i="4"/>
  <c r="AI4206" i="4"/>
  <c r="AI4207" i="4"/>
  <c r="AI4208" i="4"/>
  <c r="AI4209" i="4"/>
  <c r="AI4210" i="4"/>
  <c r="AI4211" i="4"/>
  <c r="AI4212" i="4"/>
  <c r="AI4213" i="4"/>
  <c r="AI4214" i="4"/>
  <c r="AI4215" i="4"/>
  <c r="AI4216" i="4"/>
  <c r="AI4217" i="4"/>
  <c r="AI4218" i="4"/>
  <c r="AI4219" i="4"/>
  <c r="AI4220" i="4"/>
  <c r="AI4221" i="4"/>
  <c r="AI4222" i="4"/>
  <c r="AI4223" i="4"/>
  <c r="AI4224" i="4"/>
  <c r="AI4225" i="4"/>
  <c r="AI4226" i="4"/>
  <c r="AI4227" i="4"/>
  <c r="AI4228" i="4"/>
  <c r="AI4229" i="4"/>
  <c r="AI4230" i="4"/>
  <c r="AI4231" i="4"/>
  <c r="AI4232" i="4"/>
  <c r="AI4233" i="4"/>
  <c r="AI4234" i="4"/>
  <c r="AI4235" i="4"/>
  <c r="AI4236" i="4"/>
  <c r="AI4237" i="4"/>
  <c r="AI4238" i="4"/>
  <c r="AI4239" i="4"/>
  <c r="AI4240" i="4"/>
  <c r="AI4241" i="4"/>
  <c r="AI4242" i="4"/>
  <c r="AI4243" i="4"/>
  <c r="AI4244" i="4"/>
  <c r="AI4245" i="4"/>
  <c r="AI4246" i="4"/>
  <c r="AI4247" i="4"/>
  <c r="AI4248" i="4"/>
  <c r="AI4249" i="4"/>
  <c r="AI4250" i="4"/>
  <c r="AI4251" i="4"/>
  <c r="AI4252" i="4"/>
  <c r="AI4253" i="4"/>
  <c r="AI4254" i="4"/>
  <c r="AI4255" i="4"/>
  <c r="AI4256" i="4"/>
  <c r="AI4257" i="4"/>
  <c r="AI4258" i="4"/>
  <c r="AI4259" i="4"/>
  <c r="AI4260" i="4"/>
  <c r="AI4261" i="4"/>
  <c r="AI4262" i="4"/>
  <c r="AI4263" i="4"/>
  <c r="AI4264" i="4"/>
  <c r="AI4265" i="4"/>
  <c r="AI4266" i="4"/>
  <c r="AI4267" i="4"/>
  <c r="AI4268" i="4"/>
  <c r="AI4269" i="4"/>
  <c r="AI4270" i="4"/>
  <c r="AI4271" i="4"/>
  <c r="AI4272" i="4"/>
  <c r="AI4273" i="4"/>
  <c r="AI4274" i="4"/>
  <c r="AI4275" i="4"/>
  <c r="AI4276" i="4"/>
  <c r="AI4277" i="4"/>
  <c r="AI4278" i="4"/>
  <c r="AI4279" i="4"/>
  <c r="AI4280" i="4"/>
  <c r="AI4281" i="4"/>
  <c r="AI4282" i="4"/>
  <c r="AI4283" i="4"/>
  <c r="AI4284" i="4"/>
  <c r="AI4285" i="4"/>
  <c r="AI4286" i="4"/>
  <c r="AI4287" i="4"/>
  <c r="AI4288" i="4"/>
  <c r="AI4289" i="4"/>
  <c r="AI4290" i="4"/>
  <c r="AI4291" i="4"/>
  <c r="AI4292" i="4"/>
  <c r="AI4293" i="4"/>
  <c r="AI4294" i="4"/>
  <c r="AI4295" i="4"/>
  <c r="AI4296" i="4"/>
  <c r="AI4297" i="4"/>
  <c r="AI4298" i="4"/>
  <c r="AI4299" i="4"/>
  <c r="AI4300" i="4"/>
  <c r="AI4301" i="4"/>
  <c r="AI4302" i="4"/>
  <c r="AI4303" i="4"/>
  <c r="AI4304" i="4"/>
  <c r="AI4305" i="4"/>
  <c r="AI4306" i="4"/>
  <c r="AI4307" i="4"/>
  <c r="AI4308" i="4"/>
  <c r="AI4309" i="4"/>
  <c r="AI4310" i="4"/>
  <c r="AI4311" i="4"/>
  <c r="AI4312" i="4"/>
  <c r="AI4313" i="4"/>
  <c r="AI4314" i="4"/>
  <c r="AI4315" i="4"/>
  <c r="AI4316" i="4"/>
  <c r="AI4317" i="4"/>
  <c r="AI4318" i="4"/>
  <c r="AI4319" i="4"/>
  <c r="AI4320" i="4"/>
  <c r="AI4321" i="4"/>
  <c r="AI4322" i="4"/>
  <c r="AI4323" i="4"/>
  <c r="AI4324" i="4"/>
  <c r="AI4325" i="4"/>
  <c r="AI4326" i="4"/>
  <c r="AI4327" i="4"/>
  <c r="AI4328" i="4"/>
  <c r="AI4329" i="4"/>
  <c r="AI4330" i="4"/>
  <c r="AI4331" i="4"/>
  <c r="AI4332" i="4"/>
  <c r="AI4333" i="4"/>
  <c r="AI4334" i="4"/>
  <c r="AI4335" i="4"/>
  <c r="AI4336" i="4"/>
  <c r="AI4337" i="4"/>
  <c r="AI4338" i="4"/>
  <c r="AI4339" i="4"/>
  <c r="AI4340" i="4"/>
  <c r="AI4341" i="4"/>
  <c r="AI4342" i="4"/>
  <c r="AI4343" i="4"/>
  <c r="AI4344" i="4"/>
  <c r="AI4345" i="4"/>
  <c r="AI4346" i="4"/>
  <c r="AI4347" i="4"/>
  <c r="AI4348" i="4"/>
  <c r="AI4349" i="4"/>
  <c r="AI4350" i="4"/>
  <c r="AI4351" i="4"/>
  <c r="AI4352" i="4"/>
  <c r="AI4353" i="4"/>
  <c r="AI4354" i="4"/>
  <c r="AI4355" i="4"/>
  <c r="AI4356" i="4"/>
  <c r="AI4357" i="4"/>
  <c r="AI4358" i="4"/>
  <c r="AI4359" i="4"/>
  <c r="AI4360" i="4"/>
  <c r="AI4361" i="4"/>
  <c r="AI4362" i="4"/>
  <c r="AI4363" i="4"/>
  <c r="AI4364" i="4"/>
  <c r="AI4365" i="4"/>
  <c r="AI4366" i="4"/>
  <c r="AI4367" i="4"/>
  <c r="AI4368" i="4"/>
  <c r="AI4369" i="4"/>
  <c r="AI4370" i="4"/>
  <c r="AI4371" i="4"/>
  <c r="AI4372" i="4"/>
  <c r="AI4373" i="4"/>
  <c r="AI4374" i="4"/>
  <c r="AI4375" i="4"/>
  <c r="AI4376" i="4"/>
  <c r="AI4377" i="4"/>
  <c r="AI4378" i="4"/>
  <c r="AI4379" i="4"/>
  <c r="V18" i="11" l="1"/>
  <c r="V10" i="11"/>
  <c r="V43" i="11"/>
  <c r="V48" i="11"/>
  <c r="V42" i="11"/>
  <c r="V27" i="11"/>
  <c r="V4" i="11"/>
  <c r="V35" i="11"/>
  <c r="V5" i="11"/>
  <c r="V7" i="11"/>
  <c r="V38" i="11"/>
  <c r="V8" i="11"/>
  <c r="V30" i="11"/>
  <c r="V36" i="11"/>
  <c r="V37" i="11"/>
  <c r="V28" i="11"/>
  <c r="V21" i="11"/>
  <c r="V19" i="11"/>
  <c r="V41" i="11"/>
  <c r="V44" i="11"/>
  <c r="V14" i="11"/>
  <c r="P40" i="11"/>
  <c r="P23" i="11"/>
  <c r="P16" i="11"/>
  <c r="P24" i="11"/>
  <c r="P46" i="11"/>
  <c r="P33" i="11"/>
  <c r="G34" i="11"/>
  <c r="DA83" i="18"/>
  <c r="DC83" i="18" s="1"/>
  <c r="DC322" i="18"/>
  <c r="F38" i="11"/>
  <c r="G38" i="11" s="1"/>
  <c r="F27" i="11"/>
  <c r="G27" i="11" s="1"/>
  <c r="F7" i="11"/>
  <c r="G7" i="11" s="1"/>
  <c r="G4" i="11"/>
  <c r="F5" i="11"/>
  <c r="G5" i="11" s="1"/>
  <c r="F35" i="11"/>
  <c r="G35" i="11" s="1"/>
  <c r="DC305" i="18"/>
  <c r="DC9" i="18"/>
  <c r="F10" i="11"/>
  <c r="G10" i="11" s="1"/>
  <c r="DA196" i="18"/>
  <c r="DC196" i="18" s="1"/>
  <c r="DA39" i="18"/>
  <c r="DB30" i="18"/>
  <c r="DD30" i="18"/>
  <c r="DB186" i="18"/>
  <c r="DD186" i="18" s="1"/>
  <c r="DB180" i="18"/>
  <c r="DD180" i="18" s="1"/>
  <c r="DB182" i="18"/>
  <c r="DD182" i="18" s="1"/>
  <c r="DB178" i="18"/>
  <c r="DD178" i="18" s="1"/>
  <c r="J13" i="11"/>
  <c r="J50" i="11"/>
  <c r="J26" i="11"/>
  <c r="J45" i="11"/>
  <c r="J40" i="11"/>
  <c r="J23" i="11"/>
  <c r="J16" i="11"/>
  <c r="J24" i="11"/>
  <c r="J34" i="11"/>
  <c r="J33" i="11"/>
  <c r="DB330" i="18"/>
  <c r="DD330" i="18" s="1"/>
  <c r="DC4" i="18"/>
  <c r="F30" i="11"/>
  <c r="G30" i="11" s="1"/>
  <c r="F48" i="11"/>
  <c r="G48" i="11" s="1"/>
  <c r="G8" i="11"/>
  <c r="F43" i="11"/>
  <c r="G43" i="11" s="1"/>
  <c r="DC327" i="18"/>
  <c r="DC311" i="18"/>
  <c r="DC223" i="18"/>
  <c r="AE39" i="11" s="1"/>
  <c r="DC183" i="18"/>
  <c r="DC167" i="18"/>
  <c r="DC139" i="18"/>
  <c r="DC107" i="18"/>
  <c r="DA303" i="18"/>
  <c r="DC27" i="18"/>
  <c r="AE41" i="11" s="1"/>
  <c r="P28" i="11"/>
  <c r="P17" i="11"/>
  <c r="P21" i="11"/>
  <c r="P25" i="11"/>
  <c r="P44" i="11"/>
  <c r="M10" i="11"/>
  <c r="M43" i="11"/>
  <c r="M48" i="11"/>
  <c r="M27" i="11"/>
  <c r="M4" i="11"/>
  <c r="M35" i="11"/>
  <c r="M5" i="11"/>
  <c r="M38" i="11"/>
  <c r="M8" i="11"/>
  <c r="M30" i="11"/>
  <c r="M19" i="11"/>
  <c r="M41" i="11"/>
  <c r="M44" i="11"/>
  <c r="M14" i="11"/>
  <c r="DC233" i="18"/>
  <c r="DC200" i="18"/>
  <c r="AJ5" i="11" s="1"/>
  <c r="DC188" i="18"/>
  <c r="DC100" i="18"/>
  <c r="DA337" i="18"/>
  <c r="DC337" i="18" s="1"/>
  <c r="DA326" i="18"/>
  <c r="DC326" i="18" s="1"/>
  <c r="DA309" i="18"/>
  <c r="DA296" i="18"/>
  <c r="DC296" i="18" s="1"/>
  <c r="AI35" i="11" s="1"/>
  <c r="DA289" i="18"/>
  <c r="DC289" i="18" s="1"/>
  <c r="DA276" i="18"/>
  <c r="DC276" i="18" s="1"/>
  <c r="DA269" i="18"/>
  <c r="DC269" i="18" s="1"/>
  <c r="AI11" i="11" s="1"/>
  <c r="DA263" i="18"/>
  <c r="DA256" i="18"/>
  <c r="DA226" i="18"/>
  <c r="DC226" i="18" s="1"/>
  <c r="DA205" i="18"/>
  <c r="DA197" i="18"/>
  <c r="DC197" i="18" s="1"/>
  <c r="AD40" i="11" s="1"/>
  <c r="DA163" i="18"/>
  <c r="DC163" i="18" s="1"/>
  <c r="DA103" i="18"/>
  <c r="DC103" i="18" s="1"/>
  <c r="DA64" i="18"/>
  <c r="DA330" i="18"/>
  <c r="DC330" i="18" s="1"/>
  <c r="DA325" i="18"/>
  <c r="DC325" i="18" s="1"/>
  <c r="DA301" i="18"/>
  <c r="DC301" i="18" s="1"/>
  <c r="AG25" i="11" s="1"/>
  <c r="DA288" i="18"/>
  <c r="DC288" i="18" s="1"/>
  <c r="DA275" i="18"/>
  <c r="DC275" i="18" s="1"/>
  <c r="DA268" i="18"/>
  <c r="DC268" i="18" s="1"/>
  <c r="AI23" i="11" s="1"/>
  <c r="DA255" i="18"/>
  <c r="DA249" i="18"/>
  <c r="DA236" i="18"/>
  <c r="DC236" i="18" s="1"/>
  <c r="AG37" i="11" s="1"/>
  <c r="DA231" i="18"/>
  <c r="DA217" i="18"/>
  <c r="DC217" i="18" s="1"/>
  <c r="DA176" i="18"/>
  <c r="DC176" i="18" s="1"/>
  <c r="DA170" i="18"/>
  <c r="DC170" i="18" s="1"/>
  <c r="DA151" i="18"/>
  <c r="DC151" i="18" s="1"/>
  <c r="DA73" i="18"/>
  <c r="DC73" i="18" s="1"/>
  <c r="DA45" i="18"/>
  <c r="DC45" i="18" s="1"/>
  <c r="DA19" i="18"/>
  <c r="DC19" i="18" s="1"/>
  <c r="DA79" i="18"/>
  <c r="DC79" i="18" s="1"/>
  <c r="DA30" i="18"/>
  <c r="DC30" i="18" s="1"/>
  <c r="AH38" i="11" s="1"/>
  <c r="DA38" i="18"/>
  <c r="DC38" i="18" s="1"/>
  <c r="DC89" i="18"/>
  <c r="DA26" i="18"/>
  <c r="DC26" i="18" s="1"/>
  <c r="AI53" i="11" s="1"/>
  <c r="DA267" i="18"/>
  <c r="DA16" i="18"/>
  <c r="DA18" i="18"/>
  <c r="DC18" i="18" s="1"/>
  <c r="AH27" i="11" s="1"/>
  <c r="DA248" i="18"/>
  <c r="DC248" i="18" s="1"/>
  <c r="AI27" i="11" s="1"/>
  <c r="DA89" i="18"/>
  <c r="DB90" i="18" s="1"/>
  <c r="DD90" i="18" s="1"/>
  <c r="DA225" i="18"/>
  <c r="DA328" i="18"/>
  <c r="DA194" i="18"/>
  <c r="DC194" i="18" s="1"/>
  <c r="DA229" i="18"/>
  <c r="DC229" i="18" s="1"/>
  <c r="AE6" i="11" s="1"/>
  <c r="DC33" i="18"/>
  <c r="DA234" i="18"/>
  <c r="DA155" i="18"/>
  <c r="DC155" i="18" s="1"/>
  <c r="DA115" i="18"/>
  <c r="DC115" i="18" s="1"/>
  <c r="DA160" i="18"/>
  <c r="DC160" i="18" s="1"/>
  <c r="DA204" i="18"/>
  <c r="DC204" i="18" s="1"/>
  <c r="AC47" i="11" s="1"/>
  <c r="DA67" i="18"/>
  <c r="DC67" i="18" s="1"/>
  <c r="DA34" i="18"/>
  <c r="DA14" i="18"/>
  <c r="DC14" i="18" s="1"/>
  <c r="DA253" i="18"/>
  <c r="DC253" i="18" s="1"/>
  <c r="DA28" i="18"/>
  <c r="DC64" i="18"/>
  <c r="AI10" i="11" s="1"/>
  <c r="DA215" i="18"/>
  <c r="DB315" i="18"/>
  <c r="DA283" i="18"/>
  <c r="DB282" i="18" s="1"/>
  <c r="DD282" i="18" s="1"/>
  <c r="DA277" i="18"/>
  <c r="DC277" i="18" s="1"/>
  <c r="DC28" i="18"/>
  <c r="DA109" i="18"/>
  <c r="DC109" i="18" s="1"/>
  <c r="DA209" i="18"/>
  <c r="DC209" i="18" s="1"/>
  <c r="DA261" i="18"/>
  <c r="DA320" i="18"/>
  <c r="DB319" i="18" s="1"/>
  <c r="DD319" i="18" s="1"/>
  <c r="DC16" i="18"/>
  <c r="DA127" i="18"/>
  <c r="DC127" i="18" s="1"/>
  <c r="DA220" i="18"/>
  <c r="DC220" i="18" s="1"/>
  <c r="DA147" i="18"/>
  <c r="DC147" i="18" s="1"/>
  <c r="DA136" i="18"/>
  <c r="DC136" i="18" s="1"/>
  <c r="AF33" i="11" s="1"/>
  <c r="DA257" i="18"/>
  <c r="DC257" i="18" s="1"/>
  <c r="AC33" i="11" s="1"/>
  <c r="DA302" i="18"/>
  <c r="DC302" i="18" s="1"/>
  <c r="DA271" i="18"/>
  <c r="DC271" i="18" s="1"/>
  <c r="DA258" i="18"/>
  <c r="DC258" i="18" s="1"/>
  <c r="DA245" i="18"/>
  <c r="DC245" i="18" s="1"/>
  <c r="DA240" i="18"/>
  <c r="DC240" i="18" s="1"/>
  <c r="DA227" i="18"/>
  <c r="DC227" i="18" s="1"/>
  <c r="AC23" i="11" s="1"/>
  <c r="DA221" i="18"/>
  <c r="DB216" i="18"/>
  <c r="DB214" i="18"/>
  <c r="DA193" i="18"/>
  <c r="DC193" i="18" s="1"/>
  <c r="DA180" i="18"/>
  <c r="DC180" i="18" s="1"/>
  <c r="AF41" i="11" s="1"/>
  <c r="DA172" i="18"/>
  <c r="DC172" i="18" s="1"/>
  <c r="DA65" i="18"/>
  <c r="DC65" i="18" s="1"/>
  <c r="DC44" i="18"/>
  <c r="AH46" i="11" s="1"/>
  <c r="DC20" i="18"/>
  <c r="DA32" i="18"/>
  <c r="DC32" i="18" s="1"/>
  <c r="DA61" i="18"/>
  <c r="DA69" i="18"/>
  <c r="DA36" i="18"/>
  <c r="DC36" i="18" s="1"/>
  <c r="DA133" i="18"/>
  <c r="DC133" i="18" s="1"/>
  <c r="DA189" i="18"/>
  <c r="DC189" i="18" s="1"/>
  <c r="DA72" i="18"/>
  <c r="DC72" i="18" s="1"/>
  <c r="DA5" i="18"/>
  <c r="DB6" i="18" s="1"/>
  <c r="DD6" i="18" s="1"/>
  <c r="DA56" i="18"/>
  <c r="DC56" i="18" s="1"/>
  <c r="DC68" i="18"/>
  <c r="AF42" i="11" s="1"/>
  <c r="DA99" i="18"/>
  <c r="DC99" i="18" s="1"/>
  <c r="AE52" i="11" s="1"/>
  <c r="DA145" i="18"/>
  <c r="DA50" i="18"/>
  <c r="DC50" i="18" s="1"/>
  <c r="DA54" i="18"/>
  <c r="DA287" i="18"/>
  <c r="DA324" i="18"/>
  <c r="DA13" i="18"/>
  <c r="DA48" i="18"/>
  <c r="DC48" i="18" s="1"/>
  <c r="DA59" i="18"/>
  <c r="DC59" i="18" s="1"/>
  <c r="DA76" i="18"/>
  <c r="DC76" i="18" s="1"/>
  <c r="AH37" i="11" s="1"/>
  <c r="DA52" i="18"/>
  <c r="DA24" i="18"/>
  <c r="DC24" i="18" s="1"/>
  <c r="DA40" i="18"/>
  <c r="DA46" i="18"/>
  <c r="DA199" i="18"/>
  <c r="DC199" i="18" s="1"/>
  <c r="AF52" i="11" s="1"/>
  <c r="DA272" i="18"/>
  <c r="DC272" i="18" s="1"/>
  <c r="AD52" i="11" s="1"/>
  <c r="DA312" i="18"/>
  <c r="DC312" i="18" s="1"/>
  <c r="DA21" i="18"/>
  <c r="DA12" i="18"/>
  <c r="DC12" i="18" s="1"/>
  <c r="DA41" i="18"/>
  <c r="DC41" i="18" s="1"/>
  <c r="AF4" i="11" s="1"/>
  <c r="DA169" i="18"/>
  <c r="DC169" i="18" s="1"/>
  <c r="DA297" i="18"/>
  <c r="DA47" i="18"/>
  <c r="DC47" i="18" s="1"/>
  <c r="DA153" i="18"/>
  <c r="DA332" i="18"/>
  <c r="DC332" i="18" s="1"/>
  <c r="DA6" i="18"/>
  <c r="DA292" i="18"/>
  <c r="DC292" i="18" s="1"/>
  <c r="DA25" i="18"/>
  <c r="DC25" i="18" s="1"/>
  <c r="DA81" i="18"/>
  <c r="DC81" i="18" s="1"/>
  <c r="DA132" i="18"/>
  <c r="DC132" i="18" s="1"/>
  <c r="DA243" i="18"/>
  <c r="DC243" i="18" s="1"/>
  <c r="DA84" i="18"/>
  <c r="DC84" i="18" s="1"/>
  <c r="DC43" i="18"/>
  <c r="DA116" i="18"/>
  <c r="DA336" i="18"/>
  <c r="DC336" i="18" s="1"/>
  <c r="AE24" i="11" s="1"/>
  <c r="DA102" i="18"/>
  <c r="DC102" i="18" s="1"/>
  <c r="DA173" i="18"/>
  <c r="DA105" i="18"/>
  <c r="DA60" i="18"/>
  <c r="DC60" i="18" s="1"/>
  <c r="AD41" i="11" s="1"/>
  <c r="DA58" i="18"/>
  <c r="DC58" i="18" s="1"/>
  <c r="AI19" i="11" s="1"/>
  <c r="DA184" i="18"/>
  <c r="DC184" i="18" s="1"/>
  <c r="AG19" i="11" s="1"/>
  <c r="DA307" i="18"/>
  <c r="DC307" i="18" s="1"/>
  <c r="AC19" i="11" s="1"/>
  <c r="DC23" i="18"/>
  <c r="DA80" i="18"/>
  <c r="DC80" i="18" s="1"/>
  <c r="DA141" i="18"/>
  <c r="DA134" i="18"/>
  <c r="DC134" i="18" s="1"/>
  <c r="DA239" i="18"/>
  <c r="DC11" i="18"/>
  <c r="DA129" i="18"/>
  <c r="DA168" i="18"/>
  <c r="DC168" i="18" s="1"/>
  <c r="DA92" i="18"/>
  <c r="DC92" i="18" s="1"/>
  <c r="S53" i="11"/>
  <c r="S13" i="11"/>
  <c r="S50" i="11"/>
  <c r="S26" i="11"/>
  <c r="S20" i="11"/>
  <c r="S45" i="11"/>
  <c r="S40" i="11"/>
  <c r="S23" i="11"/>
  <c r="S16" i="11"/>
  <c r="S24" i="11"/>
  <c r="S46" i="11"/>
  <c r="S34" i="11"/>
  <c r="S33" i="11"/>
  <c r="P53" i="11"/>
  <c r="P13" i="11"/>
  <c r="P50" i="11"/>
  <c r="P26" i="11"/>
  <c r="P45" i="11"/>
  <c r="M36" i="11"/>
  <c r="M29" i="11"/>
  <c r="M11" i="11"/>
  <c r="M37" i="11"/>
  <c r="M28" i="11"/>
  <c r="M17" i="11"/>
  <c r="M39" i="11"/>
  <c r="J18" i="11"/>
  <c r="J10" i="11"/>
  <c r="J43" i="11"/>
  <c r="J48" i="11"/>
  <c r="J42" i="11"/>
  <c r="J27" i="11"/>
  <c r="J35" i="11"/>
  <c r="G53" i="11"/>
  <c r="G13" i="11"/>
  <c r="G50" i="11"/>
  <c r="G26" i="11"/>
  <c r="G20" i="11"/>
  <c r="G45" i="11"/>
  <c r="G40" i="11"/>
  <c r="G23" i="11"/>
  <c r="G16" i="11"/>
  <c r="G24" i="11"/>
  <c r="G46" i="11"/>
  <c r="DC303" i="18"/>
  <c r="DC299" i="18"/>
  <c r="AF50" i="11" s="1"/>
  <c r="DC263" i="18"/>
  <c r="DC211" i="18"/>
  <c r="DC195" i="18"/>
  <c r="AE26" i="11" s="1"/>
  <c r="DC191" i="18"/>
  <c r="DC111" i="18"/>
  <c r="DB334" i="18"/>
  <c r="DD334" i="18" s="1"/>
  <c r="DB318" i="18"/>
  <c r="DD318" i="18" s="1"/>
  <c r="DB254" i="18"/>
  <c r="DD254" i="18" s="1"/>
  <c r="DB190" i="18"/>
  <c r="DD190" i="18" s="1"/>
  <c r="DB58" i="18"/>
  <c r="DD58" i="18" s="1"/>
  <c r="DB47" i="18"/>
  <c r="DD47" i="18" s="1"/>
  <c r="DB37" i="18"/>
  <c r="DD37" i="18" s="1"/>
  <c r="DB31" i="18"/>
  <c r="DD31" i="18" s="1"/>
  <c r="DB15" i="18"/>
  <c r="DD15" i="18" s="1"/>
  <c r="DB300" i="18"/>
  <c r="DD300" i="18" s="1"/>
  <c r="DB268" i="18"/>
  <c r="DD268" i="18" s="1"/>
  <c r="DB272" i="18"/>
  <c r="DD272" i="18" s="1"/>
  <c r="DB264" i="18"/>
  <c r="DD264" i="18" s="1"/>
  <c r="DB244" i="18"/>
  <c r="DD244" i="18" s="1"/>
  <c r="DB248" i="18"/>
  <c r="DD248" i="18" s="1"/>
  <c r="DB228" i="18"/>
  <c r="DD228" i="18" s="1"/>
  <c r="DB192" i="18"/>
  <c r="DD192" i="18" s="1"/>
  <c r="DB60" i="18"/>
  <c r="DD60" i="18" s="1"/>
  <c r="DB338" i="18"/>
  <c r="DD338" i="18" s="1"/>
  <c r="DB322" i="18"/>
  <c r="DD322" i="18" s="1"/>
  <c r="DB274" i="18"/>
  <c r="DD274" i="18" s="1"/>
  <c r="DB41" i="18"/>
  <c r="DD41" i="18" s="1"/>
  <c r="DB35" i="18"/>
  <c r="DD35" i="18" s="1"/>
  <c r="DB19" i="18"/>
  <c r="DD19" i="18" s="1"/>
  <c r="DB328" i="18"/>
  <c r="DD328" i="18" s="1"/>
  <c r="DB332" i="18"/>
  <c r="DD332" i="18" s="1"/>
  <c r="DB316" i="18"/>
  <c r="DD316" i="18" s="1"/>
  <c r="DB320" i="18"/>
  <c r="DD320" i="18" s="1"/>
  <c r="DB292" i="18"/>
  <c r="DD292" i="18" s="1"/>
  <c r="DB296" i="18"/>
  <c r="DD296" i="18" s="1"/>
  <c r="DB240" i="18"/>
  <c r="DD240" i="18" s="1"/>
  <c r="DB220" i="18"/>
  <c r="DD220" i="18" s="1"/>
  <c r="DB224" i="18"/>
  <c r="DD224" i="18" s="1"/>
  <c r="DB184" i="18"/>
  <c r="DD184" i="18" s="1"/>
  <c r="DB188" i="18"/>
  <c r="DD188" i="18" s="1"/>
  <c r="DB88" i="18"/>
  <c r="DD88" i="18" s="1"/>
  <c r="DB92" i="18"/>
  <c r="DD92" i="18" s="1"/>
  <c r="DB28" i="18"/>
  <c r="DD28" i="18" s="1"/>
  <c r="DB32" i="18"/>
  <c r="DD32" i="18" s="1"/>
  <c r="DC321" i="18"/>
  <c r="DC313" i="18"/>
  <c r="DC293" i="18"/>
  <c r="DC273" i="18"/>
  <c r="AI37" i="11" s="1"/>
  <c r="DC249" i="18"/>
  <c r="AC50" i="11" s="1"/>
  <c r="DB278" i="18"/>
  <c r="DD278" i="18" s="1"/>
  <c r="DB39" i="18"/>
  <c r="DD39" i="18" s="1"/>
  <c r="DB34" i="18"/>
  <c r="DD34" i="18" s="1"/>
  <c r="DB29" i="18"/>
  <c r="DD29" i="18" s="1"/>
  <c r="DB312" i="18"/>
  <c r="DD312" i="18" s="1"/>
  <c r="DB288" i="18"/>
  <c r="DD288" i="18" s="1"/>
  <c r="DB256" i="18"/>
  <c r="DD256" i="18" s="1"/>
  <c r="DB260" i="18"/>
  <c r="DD260" i="18" s="1"/>
  <c r="DB208" i="18"/>
  <c r="DD208" i="18" s="1"/>
  <c r="DB212" i="18"/>
  <c r="DD212" i="18" s="1"/>
  <c r="DB12" i="18"/>
  <c r="DD12" i="18" s="1"/>
  <c r="DB336" i="18"/>
  <c r="DD336" i="18" s="1"/>
  <c r="DB324" i="18"/>
  <c r="DD324" i="18" s="1"/>
  <c r="DB304" i="18"/>
  <c r="DD304" i="18" s="1"/>
  <c r="DB308" i="18"/>
  <c r="DD308" i="18" s="1"/>
  <c r="DB280" i="18"/>
  <c r="DD280" i="18" s="1"/>
  <c r="DB284" i="18"/>
  <c r="DD284" i="18" s="1"/>
  <c r="DB232" i="18"/>
  <c r="DD232" i="18" s="1"/>
  <c r="DB236" i="18"/>
  <c r="DD236" i="18" s="1"/>
  <c r="DB196" i="18"/>
  <c r="DD196" i="18" s="1"/>
  <c r="DB200" i="18"/>
  <c r="DD200" i="18" s="1"/>
  <c r="DB64" i="18"/>
  <c r="DD64" i="18" s="1"/>
  <c r="DB68" i="18"/>
  <c r="DD68" i="18" s="1"/>
  <c r="DB40" i="18"/>
  <c r="DD40" i="18" s="1"/>
  <c r="DB44" i="18"/>
  <c r="DD44" i="18" s="1"/>
  <c r="DB72" i="18"/>
  <c r="DD72" i="18" s="1"/>
  <c r="DB108" i="18"/>
  <c r="DD108" i="18" s="1"/>
  <c r="DB144" i="18"/>
  <c r="DD144" i="18" s="1"/>
  <c r="CD335" i="18"/>
  <c r="CE335" i="18"/>
  <c r="CD331" i="18"/>
  <c r="CE331" i="18"/>
  <c r="CD327" i="18"/>
  <c r="CE327" i="18"/>
  <c r="CD323" i="18"/>
  <c r="CE323" i="18"/>
  <c r="CD319" i="18"/>
  <c r="CE319" i="18"/>
  <c r="CD315" i="18"/>
  <c r="CE315" i="18"/>
  <c r="CD311" i="18"/>
  <c r="CE311" i="18"/>
  <c r="CD307" i="18"/>
  <c r="CE307" i="18"/>
  <c r="CD303" i="18"/>
  <c r="CE303" i="18"/>
  <c r="CD299" i="18"/>
  <c r="CE299" i="18"/>
  <c r="CD295" i="18"/>
  <c r="CE295" i="18"/>
  <c r="CD291" i="18"/>
  <c r="CE291" i="18"/>
  <c r="CD287" i="18"/>
  <c r="CE287" i="18"/>
  <c r="CD283" i="18"/>
  <c r="CE283" i="18"/>
  <c r="CD279" i="18"/>
  <c r="CE279" i="18"/>
  <c r="CD275" i="18"/>
  <c r="CE275" i="18"/>
  <c r="CD271" i="18"/>
  <c r="CE271" i="18"/>
  <c r="CD267" i="18"/>
  <c r="CE267" i="18"/>
  <c r="CD263" i="18"/>
  <c r="CE263" i="18"/>
  <c r="CD259" i="18"/>
  <c r="CE259" i="18"/>
  <c r="CD255" i="18"/>
  <c r="CE255" i="18"/>
  <c r="CD251" i="18"/>
  <c r="CE251" i="18"/>
  <c r="CD247" i="18"/>
  <c r="CE247" i="18"/>
  <c r="CD243" i="18"/>
  <c r="CE243" i="18"/>
  <c r="CD239" i="18"/>
  <c r="CE239" i="18"/>
  <c r="CD235" i="18"/>
  <c r="CE235" i="18"/>
  <c r="CD231" i="18"/>
  <c r="CE231" i="18"/>
  <c r="CD227" i="18"/>
  <c r="CE227" i="18"/>
  <c r="CD223" i="18"/>
  <c r="CE223" i="18"/>
  <c r="CD219" i="18"/>
  <c r="CE219" i="18"/>
  <c r="CD215" i="18"/>
  <c r="CE215" i="18"/>
  <c r="CD211" i="18"/>
  <c r="CE211" i="18"/>
  <c r="CD207" i="18"/>
  <c r="CE207" i="18"/>
  <c r="CD203" i="18"/>
  <c r="CE203" i="18"/>
  <c r="CD199" i="18"/>
  <c r="CE199" i="18"/>
  <c r="CD195" i="18"/>
  <c r="CE195" i="18"/>
  <c r="CD191" i="18"/>
  <c r="CE191" i="18"/>
  <c r="CD187" i="18"/>
  <c r="CE187" i="18"/>
  <c r="CD183" i="18"/>
  <c r="CE183" i="18"/>
  <c r="CD179" i="18"/>
  <c r="CE179" i="18"/>
  <c r="CD175" i="18"/>
  <c r="CE175" i="18"/>
  <c r="CD171" i="18"/>
  <c r="CE171" i="18"/>
  <c r="CD167" i="18"/>
  <c r="CE167" i="18"/>
  <c r="CD163" i="18"/>
  <c r="CE163" i="18"/>
  <c r="CD159" i="18"/>
  <c r="CE159" i="18"/>
  <c r="CD155" i="18"/>
  <c r="CE155" i="18"/>
  <c r="CD151" i="18"/>
  <c r="CE151" i="18"/>
  <c r="CD147" i="18"/>
  <c r="CE147" i="18"/>
  <c r="CD143" i="18"/>
  <c r="CE143" i="18"/>
  <c r="CD139" i="18"/>
  <c r="CE139" i="18"/>
  <c r="CD135" i="18"/>
  <c r="CE135" i="18"/>
  <c r="CD131" i="18"/>
  <c r="CE131" i="18"/>
  <c r="CD127" i="18"/>
  <c r="CE127" i="18"/>
  <c r="CD123" i="18"/>
  <c r="CE123" i="18"/>
  <c r="CD119" i="18"/>
  <c r="CE119" i="18"/>
  <c r="CD115" i="18"/>
  <c r="CE115" i="18"/>
  <c r="CD111" i="18"/>
  <c r="CE111" i="18"/>
  <c r="CD107" i="18"/>
  <c r="CE107" i="18"/>
  <c r="CD103" i="18"/>
  <c r="CE103" i="18"/>
  <c r="CD99" i="18"/>
  <c r="CE99" i="18"/>
  <c r="CD95" i="18"/>
  <c r="CE95" i="18"/>
  <c r="CD91" i="18"/>
  <c r="CE91" i="18"/>
  <c r="CD87" i="18"/>
  <c r="CE87" i="18"/>
  <c r="CD83" i="18"/>
  <c r="CE83" i="18"/>
  <c r="CD79" i="18"/>
  <c r="CE79" i="18"/>
  <c r="CD75" i="18"/>
  <c r="CE75" i="18"/>
  <c r="CD71" i="18"/>
  <c r="CE71" i="18"/>
  <c r="CD67" i="18"/>
  <c r="CE67" i="18"/>
  <c r="CD63" i="18"/>
  <c r="CE63" i="18"/>
  <c r="CD59" i="18"/>
  <c r="CE59" i="18"/>
  <c r="CD55" i="18"/>
  <c r="CE55" i="18"/>
  <c r="CD51" i="18"/>
  <c r="CE51" i="18"/>
  <c r="CH51" i="18"/>
  <c r="CD47" i="18"/>
  <c r="CE47" i="18"/>
  <c r="CH47" i="18"/>
  <c r="CD43" i="18"/>
  <c r="CE43" i="18"/>
  <c r="CH43" i="18"/>
  <c r="CD39" i="18"/>
  <c r="CE39" i="18"/>
  <c r="CH39" i="18"/>
  <c r="CD35" i="18"/>
  <c r="CE35" i="18"/>
  <c r="CH35" i="18"/>
  <c r="CD31" i="18"/>
  <c r="CE31" i="18"/>
  <c r="CH31" i="18"/>
  <c r="CD27" i="18"/>
  <c r="CE27" i="18"/>
  <c r="CH27" i="18"/>
  <c r="CD23" i="18"/>
  <c r="CE23" i="18"/>
  <c r="CH23" i="18"/>
  <c r="CD19" i="18"/>
  <c r="CE19" i="18"/>
  <c r="CH19" i="18"/>
  <c r="CD15" i="18"/>
  <c r="CE15" i="18"/>
  <c r="CH15" i="18"/>
  <c r="CD11" i="18"/>
  <c r="CE11" i="18"/>
  <c r="CH11" i="18"/>
  <c r="CD7" i="18"/>
  <c r="CE7" i="18"/>
  <c r="CH7" i="18"/>
  <c r="CD3" i="18"/>
  <c r="CE3" i="18"/>
  <c r="CH3" i="18"/>
  <c r="CH323" i="18"/>
  <c r="CH307" i="18"/>
  <c r="CH291" i="18"/>
  <c r="CH275" i="18"/>
  <c r="CH259" i="18"/>
  <c r="CH243" i="18"/>
  <c r="CH227" i="18"/>
  <c r="CH211" i="18"/>
  <c r="CH195" i="18"/>
  <c r="CH179" i="18"/>
  <c r="CH163" i="18"/>
  <c r="CH147" i="18"/>
  <c r="CH131" i="18"/>
  <c r="CH115" i="18"/>
  <c r="CH99" i="18"/>
  <c r="CH83" i="18"/>
  <c r="CH67" i="18"/>
  <c r="DA310" i="18"/>
  <c r="DA306" i="18"/>
  <c r="DA298" i="18"/>
  <c r="DA294" i="18"/>
  <c r="DA290" i="18"/>
  <c r="DA282" i="18"/>
  <c r="DA278" i="18"/>
  <c r="DC278" i="18" s="1"/>
  <c r="AD44" i="11" s="1"/>
  <c r="DA274" i="18"/>
  <c r="DA270" i="18"/>
  <c r="DA266" i="18"/>
  <c r="DC266" i="18" s="1"/>
  <c r="AJ15" i="11" s="1"/>
  <c r="DA262" i="18"/>
  <c r="DA250" i="18"/>
  <c r="DA246" i="18"/>
  <c r="DA238" i="18"/>
  <c r="DA230" i="18"/>
  <c r="DA222" i="18"/>
  <c r="DA218" i="18"/>
  <c r="DC218" i="18" s="1"/>
  <c r="DA214" i="18"/>
  <c r="DA210" i="18"/>
  <c r="DA206" i="18"/>
  <c r="DC206" i="18" s="1"/>
  <c r="DA202" i="18"/>
  <c r="DA198" i="18"/>
  <c r="DA190" i="18"/>
  <c r="DA186" i="18"/>
  <c r="DA182" i="18"/>
  <c r="DC182" i="18" s="1"/>
  <c r="DA178" i="18"/>
  <c r="DA174" i="18"/>
  <c r="DA166" i="18"/>
  <c r="DA162" i="18"/>
  <c r="DA158" i="18"/>
  <c r="DC158" i="18" s="1"/>
  <c r="DA154" i="18"/>
  <c r="DA150" i="18"/>
  <c r="DA146" i="18"/>
  <c r="DC146" i="18" s="1"/>
  <c r="DA142" i="18"/>
  <c r="DA138" i="18"/>
  <c r="DA130" i="18"/>
  <c r="DA126" i="18"/>
  <c r="DA122" i="18"/>
  <c r="DC122" i="18" s="1"/>
  <c r="DA118" i="18"/>
  <c r="DA110" i="18"/>
  <c r="DC110" i="18" s="1"/>
  <c r="DA106" i="18"/>
  <c r="DA98" i="18"/>
  <c r="DC98" i="18" s="1"/>
  <c r="DA94" i="18"/>
  <c r="DA90" i="18"/>
  <c r="DC90" i="18" s="1"/>
  <c r="DA86" i="18"/>
  <c r="DA78" i="18"/>
  <c r="DA74" i="18"/>
  <c r="DB69" i="18" s="1"/>
  <c r="DA66" i="18"/>
  <c r="DA62" i="18"/>
  <c r="DA22" i="18"/>
  <c r="DA10" i="18"/>
  <c r="CE338" i="18"/>
  <c r="CD338" i="18"/>
  <c r="CH338" i="18"/>
  <c r="CE334" i="18"/>
  <c r="CD334" i="18"/>
  <c r="CH334" i="18"/>
  <c r="CD330" i="18"/>
  <c r="CE330" i="18"/>
  <c r="CH330" i="18"/>
  <c r="CD326" i="18"/>
  <c r="CE326" i="18"/>
  <c r="CH326" i="18"/>
  <c r="CE322" i="18"/>
  <c r="CD322" i="18"/>
  <c r="CH322" i="18"/>
  <c r="CD318" i="18"/>
  <c r="CE318" i="18"/>
  <c r="CH318" i="18"/>
  <c r="CD314" i="18"/>
  <c r="CE314" i="18"/>
  <c r="CH314" i="18"/>
  <c r="CE310" i="18"/>
  <c r="CD310" i="18"/>
  <c r="CH310" i="18"/>
  <c r="CE306" i="18"/>
  <c r="CD306" i="18"/>
  <c r="CH306" i="18"/>
  <c r="CE302" i="18"/>
  <c r="CD302" i="18"/>
  <c r="CH302" i="18"/>
  <c r="CD298" i="18"/>
  <c r="CE298" i="18"/>
  <c r="CH298" i="18"/>
  <c r="CE294" i="18"/>
  <c r="CD294" i="18"/>
  <c r="CH294" i="18"/>
  <c r="CD290" i="18"/>
  <c r="CE290" i="18"/>
  <c r="CH290" i="18"/>
  <c r="CE286" i="18"/>
  <c r="CH286" i="18"/>
  <c r="CD286" i="18"/>
  <c r="CD282" i="18"/>
  <c r="CE282" i="18"/>
  <c r="CH282" i="18"/>
  <c r="CE278" i="18"/>
  <c r="CD278" i="18"/>
  <c r="CH278" i="18"/>
  <c r="CE274" i="18"/>
  <c r="CD274" i="18"/>
  <c r="CH274" i="18"/>
  <c r="CE270" i="18"/>
  <c r="CD270" i="18"/>
  <c r="CH270" i="18"/>
  <c r="CD266" i="18"/>
  <c r="CE266" i="18"/>
  <c r="CH266" i="18"/>
  <c r="CD262" i="18"/>
  <c r="CE262" i="18"/>
  <c r="CH262" i="18"/>
  <c r="CE258" i="18"/>
  <c r="CH258" i="18"/>
  <c r="CD258" i="18"/>
  <c r="CD254" i="18"/>
  <c r="CE254" i="18"/>
  <c r="CH254" i="18"/>
  <c r="CD250" i="18"/>
  <c r="CE250" i="18"/>
  <c r="CH250" i="18"/>
  <c r="CE246" i="18"/>
  <c r="CD246" i="18"/>
  <c r="CH246" i="18"/>
  <c r="CE242" i="18"/>
  <c r="CD242" i="18"/>
  <c r="CH242" i="18"/>
  <c r="CE238" i="18"/>
  <c r="CD238" i="18"/>
  <c r="CH238" i="18"/>
  <c r="CD234" i="18"/>
  <c r="CE234" i="18"/>
  <c r="CH234" i="18"/>
  <c r="CE230" i="18"/>
  <c r="CH230" i="18"/>
  <c r="CD230" i="18"/>
  <c r="CD226" i="18"/>
  <c r="CE226" i="18"/>
  <c r="CH226" i="18"/>
  <c r="CE222" i="18"/>
  <c r="CD222" i="18"/>
  <c r="CH222" i="18"/>
  <c r="CD218" i="18"/>
  <c r="CE218" i="18"/>
  <c r="CH218" i="18"/>
  <c r="CE214" i="18"/>
  <c r="CD214" i="18"/>
  <c r="CH214" i="18"/>
  <c r="CE210" i="18"/>
  <c r="CD210" i="18"/>
  <c r="CH210" i="18"/>
  <c r="CE206" i="18"/>
  <c r="CD206" i="18"/>
  <c r="CH206" i="18"/>
  <c r="CD202" i="18"/>
  <c r="CE202" i="18"/>
  <c r="CH202" i="18"/>
  <c r="CD198" i="18"/>
  <c r="CE198" i="18"/>
  <c r="CH198" i="18"/>
  <c r="CE194" i="18"/>
  <c r="CD194" i="18"/>
  <c r="CH194" i="18"/>
  <c r="CD190" i="18"/>
  <c r="CE190" i="18"/>
  <c r="CH190" i="18"/>
  <c r="CD186" i="18"/>
  <c r="CE186" i="18"/>
  <c r="CH186" i="18"/>
  <c r="CE182" i="18"/>
  <c r="CD182" i="18"/>
  <c r="CH182" i="18"/>
  <c r="CE178" i="18"/>
  <c r="CD178" i="18"/>
  <c r="CH178" i="18"/>
  <c r="CE174" i="18"/>
  <c r="CD174" i="18"/>
  <c r="CH174" i="18"/>
  <c r="CD170" i="18"/>
  <c r="CE170" i="18"/>
  <c r="CH170" i="18"/>
  <c r="CE166" i="18"/>
  <c r="CD166" i="18"/>
  <c r="CH166" i="18"/>
  <c r="CD162" i="18"/>
  <c r="CE162" i="18"/>
  <c r="CH162" i="18"/>
  <c r="CE158" i="18"/>
  <c r="CH158" i="18"/>
  <c r="CD158" i="18"/>
  <c r="CD154" i="18"/>
  <c r="CE154" i="18"/>
  <c r="CH154" i="18"/>
  <c r="CE150" i="18"/>
  <c r="CD150" i="18"/>
  <c r="CH150" i="18"/>
  <c r="CE146" i="18"/>
  <c r="CD146" i="18"/>
  <c r="CH146" i="18"/>
  <c r="CE142" i="18"/>
  <c r="CD142" i="18"/>
  <c r="CH142" i="18"/>
  <c r="CD138" i="18"/>
  <c r="CE138" i="18"/>
  <c r="CH138" i="18"/>
  <c r="CD134" i="18"/>
  <c r="CE134" i="18"/>
  <c r="CH134" i="18"/>
  <c r="CE130" i="18"/>
  <c r="CH130" i="18"/>
  <c r="CD130" i="18"/>
  <c r="CD126" i="18"/>
  <c r="CE126" i="18"/>
  <c r="CH126" i="18"/>
  <c r="CD122" i="18"/>
  <c r="CE122" i="18"/>
  <c r="CH122" i="18"/>
  <c r="CE118" i="18"/>
  <c r="CD118" i="18"/>
  <c r="CH118" i="18"/>
  <c r="CE114" i="18"/>
  <c r="CD114" i="18"/>
  <c r="CH114" i="18"/>
  <c r="CE110" i="18"/>
  <c r="CD110" i="18"/>
  <c r="CH110" i="18"/>
  <c r="CD106" i="18"/>
  <c r="CE106" i="18"/>
  <c r="CH106" i="18"/>
  <c r="CE102" i="18"/>
  <c r="CH102" i="18"/>
  <c r="CD102" i="18"/>
  <c r="CD98" i="18"/>
  <c r="CE98" i="18"/>
  <c r="CH98" i="18"/>
  <c r="CE94" i="18"/>
  <c r="CD94" i="18"/>
  <c r="CH94" i="18"/>
  <c r="CD90" i="18"/>
  <c r="CE90" i="18"/>
  <c r="CH90" i="18"/>
  <c r="CD86" i="18"/>
  <c r="CE86" i="18"/>
  <c r="CH86" i="18"/>
  <c r="CD82" i="18"/>
  <c r="CH82" i="18"/>
  <c r="CE82" i="18"/>
  <c r="CD78" i="18"/>
  <c r="CE78" i="18"/>
  <c r="CH78" i="18"/>
  <c r="CD74" i="18"/>
  <c r="CE74" i="18"/>
  <c r="CH74" i="18"/>
  <c r="CD70" i="18"/>
  <c r="CE70" i="18"/>
  <c r="CH70" i="18"/>
  <c r="CD66" i="18"/>
  <c r="CE66" i="18"/>
  <c r="CH66" i="18"/>
  <c r="CD62" i="18"/>
  <c r="CE62" i="18"/>
  <c r="CH62" i="18"/>
  <c r="CD58" i="18"/>
  <c r="CE58" i="18"/>
  <c r="CH58" i="18"/>
  <c r="CE54" i="18"/>
  <c r="CD54" i="18"/>
  <c r="CH54" i="18"/>
  <c r="CD50" i="18"/>
  <c r="CH50" i="18"/>
  <c r="CE50" i="18"/>
  <c r="CD46" i="18"/>
  <c r="CE46" i="18"/>
  <c r="CH46" i="18"/>
  <c r="CD42" i="18"/>
  <c r="CE42" i="18"/>
  <c r="CH42" i="18"/>
  <c r="CE38" i="18"/>
  <c r="CD38" i="18"/>
  <c r="CH38" i="18"/>
  <c r="CD34" i="18"/>
  <c r="CE34" i="18"/>
  <c r="CH34" i="18"/>
  <c r="CE30" i="18"/>
  <c r="CH30" i="18"/>
  <c r="CD30" i="18"/>
  <c r="CD26" i="18"/>
  <c r="CE26" i="18"/>
  <c r="CH26" i="18"/>
  <c r="CD22" i="18"/>
  <c r="CE22" i="18"/>
  <c r="CH22" i="18"/>
  <c r="CD18" i="18"/>
  <c r="CH18" i="18"/>
  <c r="CE18" i="18"/>
  <c r="CD14" i="18"/>
  <c r="CE14" i="18"/>
  <c r="CH14" i="18"/>
  <c r="CD10" i="18"/>
  <c r="CE10" i="18"/>
  <c r="CH10" i="18"/>
  <c r="CD6" i="18"/>
  <c r="CE6" i="18"/>
  <c r="CH6" i="18"/>
  <c r="CH335" i="18"/>
  <c r="CH319" i="18"/>
  <c r="CH303" i="18"/>
  <c r="CH287" i="18"/>
  <c r="CH271" i="18"/>
  <c r="CH255" i="18"/>
  <c r="CH239" i="18"/>
  <c r="CH223" i="18"/>
  <c r="CH207" i="18"/>
  <c r="CH191" i="18"/>
  <c r="CH175" i="18"/>
  <c r="CH159" i="18"/>
  <c r="CH143" i="18"/>
  <c r="CH127" i="18"/>
  <c r="CH111" i="18"/>
  <c r="CH95" i="18"/>
  <c r="CH79" i="18"/>
  <c r="CH63" i="18"/>
  <c r="DA165" i="18"/>
  <c r="DA161" i="18"/>
  <c r="DA149" i="18"/>
  <c r="DA137" i="18"/>
  <c r="DA125" i="18"/>
  <c r="DB124" i="18" s="1"/>
  <c r="DA121" i="18"/>
  <c r="DC121" i="18" s="1"/>
  <c r="DA117" i="18"/>
  <c r="DA113" i="18"/>
  <c r="DA101" i="18"/>
  <c r="DB100" i="18" s="1"/>
  <c r="DA97" i="18"/>
  <c r="DC97" i="18" s="1"/>
  <c r="DA93" i="18"/>
  <c r="DA85" i="18"/>
  <c r="DA77" i="18"/>
  <c r="DB76" i="18" s="1"/>
  <c r="DA53" i="18"/>
  <c r="DA49" i="18"/>
  <c r="DA17" i="18"/>
  <c r="CD337" i="18"/>
  <c r="CH337" i="18"/>
  <c r="CE337" i="18"/>
  <c r="CD333" i="18"/>
  <c r="CH333" i="18"/>
  <c r="CE333" i="18"/>
  <c r="CE329" i="18"/>
  <c r="CH329" i="18"/>
  <c r="CD329" i="18"/>
  <c r="CD325" i="18"/>
  <c r="CE325" i="18"/>
  <c r="CH325" i="18"/>
  <c r="CD321" i="18"/>
  <c r="CH321" i="18"/>
  <c r="CE321" i="18"/>
  <c r="CD317" i="18"/>
  <c r="CH317" i="18"/>
  <c r="CE317" i="18"/>
  <c r="CD313" i="18"/>
  <c r="CE313" i="18"/>
  <c r="CH313" i="18"/>
  <c r="CD309" i="18"/>
  <c r="CE309" i="18"/>
  <c r="CH309" i="18"/>
  <c r="CD305" i="18"/>
  <c r="CH305" i="18"/>
  <c r="CE305" i="18"/>
  <c r="CH301" i="18"/>
  <c r="CD301" i="18"/>
  <c r="CE301" i="18"/>
  <c r="CD297" i="18"/>
  <c r="CE297" i="18"/>
  <c r="CH297" i="18"/>
  <c r="CD293" i="18"/>
  <c r="CE293" i="18"/>
  <c r="CH293" i="18"/>
  <c r="CD289" i="18"/>
  <c r="CH289" i="18"/>
  <c r="CE289" i="18"/>
  <c r="CD285" i="18"/>
  <c r="CH285" i="18"/>
  <c r="CE285" i="18"/>
  <c r="CE281" i="18"/>
  <c r="CH281" i="18"/>
  <c r="CD281" i="18"/>
  <c r="CD277" i="18"/>
  <c r="CE277" i="18"/>
  <c r="CH277" i="18"/>
  <c r="CH273" i="18"/>
  <c r="CE273" i="18"/>
  <c r="CD273" i="18"/>
  <c r="CD269" i="18"/>
  <c r="CH269" i="18"/>
  <c r="CE269" i="18"/>
  <c r="CE265" i="18"/>
  <c r="CD265" i="18"/>
  <c r="CH265" i="18"/>
  <c r="CD261" i="18"/>
  <c r="CE261" i="18"/>
  <c r="CH261" i="18"/>
  <c r="CD257" i="18"/>
  <c r="CH257" i="18"/>
  <c r="CE257" i="18"/>
  <c r="CH253" i="18"/>
  <c r="CD253" i="18"/>
  <c r="CE253" i="18"/>
  <c r="CD249" i="18"/>
  <c r="CE249" i="18"/>
  <c r="CH249" i="18"/>
  <c r="CD245" i="18"/>
  <c r="CE245" i="18"/>
  <c r="CH245" i="18"/>
  <c r="CD241" i="18"/>
  <c r="CH241" i="18"/>
  <c r="CE241" i="18"/>
  <c r="CD237" i="18"/>
  <c r="CH237" i="18"/>
  <c r="CE237" i="18"/>
  <c r="CD233" i="18"/>
  <c r="CE233" i="18"/>
  <c r="CH233" i="18"/>
  <c r="CD229" i="18"/>
  <c r="CE229" i="18"/>
  <c r="CH229" i="18"/>
  <c r="CH225" i="18"/>
  <c r="CD225" i="18"/>
  <c r="CE225" i="18"/>
  <c r="CD221" i="18"/>
  <c r="CH221" i="18"/>
  <c r="CE221" i="18"/>
  <c r="CD217" i="18"/>
  <c r="CE217" i="18"/>
  <c r="CH217" i="18"/>
  <c r="CD213" i="18"/>
  <c r="CE213" i="18"/>
  <c r="CH213" i="18"/>
  <c r="CD209" i="18"/>
  <c r="CH209" i="18"/>
  <c r="CE209" i="18"/>
  <c r="CD205" i="18"/>
  <c r="CH205" i="18"/>
  <c r="CE205" i="18"/>
  <c r="CE201" i="18"/>
  <c r="CH201" i="18"/>
  <c r="CD201" i="18"/>
  <c r="CD197" i="18"/>
  <c r="CE197" i="18"/>
  <c r="CH197" i="18"/>
  <c r="CD193" i="18"/>
  <c r="CH193" i="18"/>
  <c r="CE193" i="18"/>
  <c r="CD189" i="18"/>
  <c r="CH189" i="18"/>
  <c r="CE189" i="18"/>
  <c r="CD185" i="18"/>
  <c r="CE185" i="18"/>
  <c r="CH185" i="18"/>
  <c r="CD181" i="18"/>
  <c r="CE181" i="18"/>
  <c r="CH181" i="18"/>
  <c r="CD177" i="18"/>
  <c r="CH177" i="18"/>
  <c r="CE177" i="18"/>
  <c r="CE173" i="18"/>
  <c r="CH173" i="18"/>
  <c r="CD173" i="18"/>
  <c r="CD169" i="18"/>
  <c r="CH169" i="18"/>
  <c r="CE169" i="18"/>
  <c r="CD165" i="18"/>
  <c r="CE165" i="18"/>
  <c r="CH165" i="18"/>
  <c r="CD161" i="18"/>
  <c r="CH161" i="18"/>
  <c r="CE161" i="18"/>
  <c r="CD157" i="18"/>
  <c r="CE157" i="18"/>
  <c r="CH157" i="18"/>
  <c r="CH153" i="18"/>
  <c r="CD153" i="18"/>
  <c r="CE153" i="18"/>
  <c r="CD149" i="18"/>
  <c r="CE149" i="18"/>
  <c r="CH149" i="18"/>
  <c r="CH145" i="18"/>
  <c r="CE145" i="18"/>
  <c r="CD145" i="18"/>
  <c r="CD141" i="18"/>
  <c r="CE141" i="18"/>
  <c r="CH141" i="18"/>
  <c r="CD137" i="18"/>
  <c r="CH137" i="18"/>
  <c r="CE137" i="18"/>
  <c r="CD133" i="18"/>
  <c r="CE133" i="18"/>
  <c r="CH133" i="18"/>
  <c r="CD129" i="18"/>
  <c r="CH129" i="18"/>
  <c r="CE129" i="18"/>
  <c r="CE125" i="18"/>
  <c r="CH125" i="18"/>
  <c r="CD125" i="18"/>
  <c r="CD121" i="18"/>
  <c r="CH121" i="18"/>
  <c r="CE121" i="18"/>
  <c r="CD117" i="18"/>
  <c r="CE117" i="18"/>
  <c r="CH117" i="18"/>
  <c r="CD113" i="18"/>
  <c r="CH113" i="18"/>
  <c r="CE113" i="18"/>
  <c r="CE109" i="18"/>
  <c r="CD109" i="18"/>
  <c r="CH109" i="18"/>
  <c r="CD105" i="18"/>
  <c r="CH105" i="18"/>
  <c r="CE105" i="18"/>
  <c r="CD101" i="18"/>
  <c r="CE101" i="18"/>
  <c r="CH101" i="18"/>
  <c r="CH97" i="18"/>
  <c r="CD97" i="18"/>
  <c r="CE97" i="18"/>
  <c r="CD93" i="18"/>
  <c r="CE93" i="18"/>
  <c r="CH93" i="18"/>
  <c r="CE89" i="18"/>
  <c r="CD89" i="18"/>
  <c r="CH89" i="18"/>
  <c r="CD85" i="18"/>
  <c r="CE85" i="18"/>
  <c r="CH85" i="18"/>
  <c r="CE81" i="18"/>
  <c r="CD81" i="18"/>
  <c r="CH81" i="18"/>
  <c r="CE77" i="18"/>
  <c r="CD77" i="18"/>
  <c r="CH77" i="18"/>
  <c r="CE73" i="18"/>
  <c r="CH73" i="18"/>
  <c r="CD73" i="18"/>
  <c r="CD69" i="18"/>
  <c r="CE69" i="18"/>
  <c r="CH69" i="18"/>
  <c r="CE65" i="18"/>
  <c r="CD65" i="18"/>
  <c r="CH65" i="18"/>
  <c r="CE61" i="18"/>
  <c r="CD61" i="18"/>
  <c r="CH61" i="18"/>
  <c r="CE57" i="18"/>
  <c r="CD57" i="18"/>
  <c r="CH57" i="18"/>
  <c r="CD53" i="18"/>
  <c r="CE53" i="18"/>
  <c r="CH53" i="18"/>
  <c r="CE49" i="18"/>
  <c r="CD49" i="18"/>
  <c r="CH49" i="18"/>
  <c r="CE45" i="18"/>
  <c r="CH45" i="18"/>
  <c r="CD45" i="18"/>
  <c r="CE41" i="18"/>
  <c r="CD41" i="18"/>
  <c r="CH41" i="18"/>
  <c r="CD37" i="18"/>
  <c r="CE37" i="18"/>
  <c r="CH37" i="18"/>
  <c r="CE33" i="18"/>
  <c r="CD33" i="18"/>
  <c r="CH33" i="18"/>
  <c r="CE29" i="18"/>
  <c r="CD29" i="18"/>
  <c r="CH29" i="18"/>
  <c r="CE25" i="18"/>
  <c r="CH25" i="18"/>
  <c r="CD25" i="18"/>
  <c r="CD21" i="18"/>
  <c r="CE21" i="18"/>
  <c r="CH21" i="18"/>
  <c r="CE17" i="18"/>
  <c r="CH17" i="18"/>
  <c r="CD17" i="18"/>
  <c r="CE13" i="18"/>
  <c r="CD13" i="18"/>
  <c r="CH13" i="18"/>
  <c r="CE9" i="18"/>
  <c r="CD9" i="18"/>
  <c r="CH9" i="18"/>
  <c r="CD5" i="18"/>
  <c r="CE5" i="18"/>
  <c r="CH5" i="18"/>
  <c r="CH331" i="18"/>
  <c r="CH315" i="18"/>
  <c r="CH299" i="18"/>
  <c r="CH283" i="18"/>
  <c r="CH267" i="18"/>
  <c r="CH251" i="18"/>
  <c r="CH235" i="18"/>
  <c r="CH219" i="18"/>
  <c r="CH203" i="18"/>
  <c r="CH187" i="18"/>
  <c r="CH171" i="18"/>
  <c r="CH155" i="18"/>
  <c r="CH139" i="18"/>
  <c r="CH123" i="18"/>
  <c r="CH107" i="18"/>
  <c r="CH91" i="18"/>
  <c r="CH75" i="18"/>
  <c r="CH59" i="18"/>
  <c r="DB20" i="18"/>
  <c r="DB8" i="18"/>
  <c r="DD8" i="18" s="1"/>
  <c r="DA140" i="18"/>
  <c r="DC140" i="18" s="1"/>
  <c r="DA120" i="18"/>
  <c r="DC120" i="18" s="1"/>
  <c r="DA108" i="18"/>
  <c r="DC108" i="18" s="1"/>
  <c r="DA104" i="18"/>
  <c r="DA88" i="18"/>
  <c r="CD336" i="18"/>
  <c r="CH336" i="18"/>
  <c r="CE336" i="18"/>
  <c r="CD332" i="18"/>
  <c r="CH332" i="18"/>
  <c r="CE332" i="18"/>
  <c r="CD328" i="18"/>
  <c r="CH328" i="18"/>
  <c r="CE328" i="18"/>
  <c r="CE324" i="18"/>
  <c r="CH324" i="18"/>
  <c r="CD324" i="18"/>
  <c r="CD320" i="18"/>
  <c r="CH320" i="18"/>
  <c r="CE320" i="18"/>
  <c r="CH316" i="18"/>
  <c r="CE316" i="18"/>
  <c r="CD316" i="18"/>
  <c r="CD312" i="18"/>
  <c r="CH312" i="18"/>
  <c r="CE312" i="18"/>
  <c r="CE308" i="18"/>
  <c r="CH308" i="18"/>
  <c r="CD308" i="18"/>
  <c r="CD304" i="18"/>
  <c r="CH304" i="18"/>
  <c r="CE304" i="18"/>
  <c r="CD300" i="18"/>
  <c r="CH300" i="18"/>
  <c r="CE300" i="18"/>
  <c r="CH296" i="18"/>
  <c r="CD296" i="18"/>
  <c r="CE296" i="18"/>
  <c r="CD292" i="18"/>
  <c r="CE292" i="18"/>
  <c r="CH292" i="18"/>
  <c r="CD288" i="18"/>
  <c r="CH288" i="18"/>
  <c r="CE288" i="18"/>
  <c r="CD284" i="18"/>
  <c r="CH284" i="18"/>
  <c r="CE284" i="18"/>
  <c r="CH280" i="18"/>
  <c r="CD280" i="18"/>
  <c r="CE280" i="18"/>
  <c r="CD276" i="18"/>
  <c r="CE276" i="18"/>
  <c r="CH276" i="18"/>
  <c r="CD272" i="18"/>
  <c r="CH272" i="18"/>
  <c r="CE272" i="18"/>
  <c r="CH268" i="18"/>
  <c r="CD268" i="18"/>
  <c r="CE268" i="18"/>
  <c r="CD264" i="18"/>
  <c r="CH264" i="18"/>
  <c r="CE264" i="18"/>
  <c r="CD260" i="18"/>
  <c r="CE260" i="18"/>
  <c r="CH260" i="18"/>
  <c r="CD256" i="18"/>
  <c r="CH256" i="18"/>
  <c r="CE256" i="18"/>
  <c r="CH252" i="18"/>
  <c r="CD252" i="18"/>
  <c r="CE252" i="18"/>
  <c r="CD248" i="18"/>
  <c r="CH248" i="18"/>
  <c r="CE248" i="18"/>
  <c r="CE244" i="18"/>
  <c r="CH244" i="18"/>
  <c r="CD244" i="18"/>
  <c r="CD240" i="18"/>
  <c r="CH240" i="18"/>
  <c r="CE240" i="18"/>
  <c r="CD236" i="18"/>
  <c r="CH236" i="18"/>
  <c r="CE236" i="18"/>
  <c r="CD232" i="18"/>
  <c r="CH232" i="18"/>
  <c r="CE232" i="18"/>
  <c r="CD228" i="18"/>
  <c r="CE228" i="18"/>
  <c r="CH228" i="18"/>
  <c r="CD224" i="18"/>
  <c r="CH224" i="18"/>
  <c r="CE224" i="18"/>
  <c r="CD220" i="18"/>
  <c r="CH220" i="18"/>
  <c r="CE220" i="18"/>
  <c r="CH216" i="18"/>
  <c r="CD216" i="18"/>
  <c r="CE216" i="18"/>
  <c r="CD212" i="18"/>
  <c r="CE212" i="18"/>
  <c r="CH212" i="18"/>
  <c r="CD208" i="18"/>
  <c r="CH208" i="18"/>
  <c r="CE208" i="18"/>
  <c r="CD204" i="18"/>
  <c r="CH204" i="18"/>
  <c r="CE204" i="18"/>
  <c r="CD200" i="18"/>
  <c r="CH200" i="18"/>
  <c r="CE200" i="18"/>
  <c r="CE196" i="18"/>
  <c r="CH196" i="18"/>
  <c r="CD196" i="18"/>
  <c r="CD192" i="18"/>
  <c r="CH192" i="18"/>
  <c r="CE192" i="18"/>
  <c r="CH188" i="18"/>
  <c r="CE188" i="18"/>
  <c r="CD188" i="18"/>
  <c r="CD184" i="18"/>
  <c r="CH184" i="18"/>
  <c r="CE184" i="18"/>
  <c r="CE180" i="18"/>
  <c r="CH180" i="18"/>
  <c r="CD180" i="18"/>
  <c r="CD176" i="18"/>
  <c r="CH176" i="18"/>
  <c r="CE176" i="18"/>
  <c r="CD172" i="18"/>
  <c r="CH172" i="18"/>
  <c r="CE172" i="18"/>
  <c r="CH168" i="18"/>
  <c r="CE168" i="18"/>
  <c r="CD168" i="18"/>
  <c r="CD164" i="18"/>
  <c r="CH164" i="18"/>
  <c r="CE164" i="18"/>
  <c r="CD160" i="18"/>
  <c r="CH160" i="18"/>
  <c r="CE160" i="18"/>
  <c r="CD156" i="18"/>
  <c r="CH156" i="18"/>
  <c r="CE156" i="18"/>
  <c r="CH152" i="18"/>
  <c r="CD152" i="18"/>
  <c r="CE152" i="18"/>
  <c r="CD148" i="18"/>
  <c r="CH148" i="18"/>
  <c r="CE148" i="18"/>
  <c r="CD144" i="18"/>
  <c r="CH144" i="18"/>
  <c r="CE144" i="18"/>
  <c r="CH140" i="18"/>
  <c r="CD140" i="18"/>
  <c r="CE140" i="18"/>
  <c r="CD136" i="18"/>
  <c r="CH136" i="18"/>
  <c r="CE136" i="18"/>
  <c r="CD132" i="18"/>
  <c r="CH132" i="18"/>
  <c r="CE132" i="18"/>
  <c r="CD128" i="18"/>
  <c r="CH128" i="18"/>
  <c r="CE128" i="18"/>
  <c r="CH124" i="18"/>
  <c r="CD124" i="18"/>
  <c r="CE124" i="18"/>
  <c r="CD120" i="18"/>
  <c r="CH120" i="18"/>
  <c r="CE120" i="18"/>
  <c r="CH116" i="18"/>
  <c r="CD116" i="18"/>
  <c r="CE116" i="18"/>
  <c r="CD112" i="18"/>
  <c r="CH112" i="18"/>
  <c r="CE112" i="18"/>
  <c r="CD108" i="18"/>
  <c r="CH108" i="18"/>
  <c r="CE108" i="18"/>
  <c r="CD104" i="18"/>
  <c r="CH104" i="18"/>
  <c r="CE104" i="18"/>
  <c r="CD100" i="18"/>
  <c r="CH100" i="18"/>
  <c r="CE100" i="18"/>
  <c r="CD96" i="18"/>
  <c r="CH96" i="18"/>
  <c r="CE96" i="18"/>
  <c r="CD92" i="18"/>
  <c r="CH92" i="18"/>
  <c r="CE92" i="18"/>
  <c r="CH88" i="18"/>
  <c r="CE88" i="18"/>
  <c r="CD88" i="18"/>
  <c r="CD84" i="18"/>
  <c r="CE84" i="18"/>
  <c r="CH84" i="18"/>
  <c r="CD80" i="18"/>
  <c r="CE80" i="18"/>
  <c r="CH80" i="18"/>
  <c r="CD76" i="18"/>
  <c r="CH76" i="18"/>
  <c r="CE76" i="18"/>
  <c r="CD72" i="18"/>
  <c r="CE72" i="18"/>
  <c r="CH72" i="18"/>
  <c r="CE68" i="18"/>
  <c r="CH68" i="18"/>
  <c r="CD68" i="18"/>
  <c r="CD64" i="18"/>
  <c r="CE64" i="18"/>
  <c r="CH64" i="18"/>
  <c r="CH60" i="18"/>
  <c r="CD60" i="18"/>
  <c r="CE60" i="18"/>
  <c r="CD56" i="18"/>
  <c r="CH56" i="18"/>
  <c r="CE56" i="18"/>
  <c r="CE52" i="18"/>
  <c r="CH52" i="18"/>
  <c r="CD52" i="18"/>
  <c r="CD48" i="18"/>
  <c r="CE48" i="18"/>
  <c r="CH48" i="18"/>
  <c r="CD44" i="18"/>
  <c r="CH44" i="18"/>
  <c r="CE44" i="18"/>
  <c r="CE40" i="18"/>
  <c r="CH40" i="18"/>
  <c r="CD40" i="18"/>
  <c r="CE36" i="18"/>
  <c r="CD36" i="18"/>
  <c r="CH36" i="18"/>
  <c r="CD32" i="18"/>
  <c r="CE32" i="18"/>
  <c r="CH32" i="18"/>
  <c r="CD28" i="18"/>
  <c r="CH28" i="18"/>
  <c r="CE28" i="18"/>
  <c r="CH24" i="18"/>
  <c r="CD24" i="18"/>
  <c r="CE24" i="18"/>
  <c r="CD20" i="18"/>
  <c r="CE20" i="18"/>
  <c r="CH20" i="18"/>
  <c r="CD16" i="18"/>
  <c r="CE16" i="18"/>
  <c r="CH16" i="18"/>
  <c r="CH12" i="18"/>
  <c r="CE12" i="18"/>
  <c r="CD12" i="18"/>
  <c r="CD8" i="18"/>
  <c r="CE8" i="18"/>
  <c r="CH8" i="18"/>
  <c r="CE4" i="18"/>
  <c r="CD4" i="18"/>
  <c r="CH4" i="18"/>
  <c r="CH327" i="18"/>
  <c r="CH311" i="18"/>
  <c r="CH295" i="18"/>
  <c r="CH279" i="18"/>
  <c r="CH263" i="18"/>
  <c r="CH247" i="18"/>
  <c r="CH231" i="18"/>
  <c r="CH215" i="18"/>
  <c r="CH199" i="18"/>
  <c r="CH183" i="18"/>
  <c r="CH167" i="18"/>
  <c r="CH151" i="18"/>
  <c r="CH135" i="18"/>
  <c r="CH119" i="18"/>
  <c r="CH103" i="18"/>
  <c r="CH87" i="18"/>
  <c r="CH71" i="18"/>
  <c r="CH55" i="18"/>
  <c r="V29" i="11"/>
  <c r="V11" i="11"/>
  <c r="V39" i="11"/>
  <c r="S36" i="11"/>
  <c r="S29" i="11"/>
  <c r="S11" i="11"/>
  <c r="S37" i="11"/>
  <c r="S28" i="11"/>
  <c r="S17" i="11"/>
  <c r="S39" i="11"/>
  <c r="S21" i="11"/>
  <c r="S19" i="11"/>
  <c r="S41" i="11"/>
  <c r="S25" i="11"/>
  <c r="S44" i="11"/>
  <c r="S14" i="11"/>
  <c r="P7" i="11"/>
  <c r="P38" i="11"/>
  <c r="P8" i="11"/>
  <c r="P30" i="11"/>
  <c r="V53" i="11"/>
  <c r="V13" i="11"/>
  <c r="V50" i="11"/>
  <c r="V26" i="11"/>
  <c r="V20" i="11"/>
  <c r="V45" i="11"/>
  <c r="V40" i="11"/>
  <c r="V23" i="11"/>
  <c r="V16" i="11"/>
  <c r="V24" i="11"/>
  <c r="V46" i="11"/>
  <c r="V34" i="11"/>
  <c r="V33" i="11"/>
  <c r="S43" i="11"/>
  <c r="S35" i="11"/>
  <c r="M18" i="11"/>
  <c r="G52" i="11"/>
  <c r="G51" i="11"/>
  <c r="G49" i="11"/>
  <c r="G12" i="11"/>
  <c r="G32" i="11"/>
  <c r="P36" i="11"/>
  <c r="P29" i="11"/>
  <c r="P11" i="11"/>
  <c r="J53" i="11"/>
  <c r="S52" i="11"/>
  <c r="S51" i="11"/>
  <c r="S49" i="11"/>
  <c r="S12" i="11"/>
  <c r="S32" i="11"/>
  <c r="S31" i="11"/>
  <c r="S9" i="11"/>
  <c r="S6" i="11"/>
  <c r="S22" i="11"/>
  <c r="S47" i="11"/>
  <c r="S15" i="11"/>
  <c r="S3" i="11"/>
  <c r="A3" i="8"/>
  <c r="M32" i="36"/>
  <c r="M30" i="36"/>
  <c r="M22" i="36"/>
  <c r="M20" i="36"/>
  <c r="M12" i="36"/>
  <c r="M10" i="36"/>
  <c r="D2" i="35"/>
  <c r="B1" i="35"/>
  <c r="DB106" i="18" l="1"/>
  <c r="DC105" i="18"/>
  <c r="AI43" i="11" s="1"/>
  <c r="DB110" i="18"/>
  <c r="DD110" i="18" s="1"/>
  <c r="DD106" i="18"/>
  <c r="DC116" i="18"/>
  <c r="DB115" i="18"/>
  <c r="DD115" i="18"/>
  <c r="DB111" i="18"/>
  <c r="DD111" i="18" s="1"/>
  <c r="DC6" i="18"/>
  <c r="DB3" i="18"/>
  <c r="DD3" i="18" s="1"/>
  <c r="DB298" i="18"/>
  <c r="DD298" i="18" s="1"/>
  <c r="DC297" i="18"/>
  <c r="AG8" i="11" s="1"/>
  <c r="DB24" i="18"/>
  <c r="DD24" i="18" s="1"/>
  <c r="DB26" i="18"/>
  <c r="DB22" i="18"/>
  <c r="DD22" i="18" s="1"/>
  <c r="DD26" i="18"/>
  <c r="DC21" i="18"/>
  <c r="DB45" i="18"/>
  <c r="DC46" i="18"/>
  <c r="DB49" i="18"/>
  <c r="DD49" i="18" s="1"/>
  <c r="DD45" i="18"/>
  <c r="DC324" i="18"/>
  <c r="AD48" i="11" s="1"/>
  <c r="DB142" i="18"/>
  <c r="DD142" i="18" s="1"/>
  <c r="DC221" i="18"/>
  <c r="DB27" i="18"/>
  <c r="DD27" i="18" s="1"/>
  <c r="AH29" i="11"/>
  <c r="AF29" i="11"/>
  <c r="DB66" i="18"/>
  <c r="DD66" i="18" s="1"/>
  <c r="DB252" i="18"/>
  <c r="DB250" i="18"/>
  <c r="DD250" i="18" s="1"/>
  <c r="DD252" i="18"/>
  <c r="DB314" i="18"/>
  <c r="DD314" i="18" s="1"/>
  <c r="DC309" i="18"/>
  <c r="AH22" i="11" s="1"/>
  <c r="DC13" i="18"/>
  <c r="AG35" i="11" s="1"/>
  <c r="DB198" i="18"/>
  <c r="DD198" i="18" s="1"/>
  <c r="DB326" i="18"/>
  <c r="DD326" i="18" s="1"/>
  <c r="DB210" i="18"/>
  <c r="DD210" i="18" s="1"/>
  <c r="DB4" i="18"/>
  <c r="DD4" i="18" s="1"/>
  <c r="DB302" i="18"/>
  <c r="DD302" i="18" s="1"/>
  <c r="DC145" i="18"/>
  <c r="AI31" i="11" s="1"/>
  <c r="DB333" i="18"/>
  <c r="AI22" i="11"/>
  <c r="DD130" i="18"/>
  <c r="DD132" i="18"/>
  <c r="DC129" i="18"/>
  <c r="DD134" i="18"/>
  <c r="DB146" i="18"/>
  <c r="DD146" i="18" s="1"/>
  <c r="DC141" i="18"/>
  <c r="DC173" i="18"/>
  <c r="DD176" i="18"/>
  <c r="DD172" i="18"/>
  <c r="AF39" i="11"/>
  <c r="AJ39" i="11"/>
  <c r="DC40" i="18"/>
  <c r="DB43" i="18"/>
  <c r="DD43" i="18" s="1"/>
  <c r="DB290" i="18"/>
  <c r="DD290" i="18" s="1"/>
  <c r="DB74" i="18"/>
  <c r="DD74" i="18" s="1"/>
  <c r="DB70" i="18"/>
  <c r="DD70" i="18" s="1"/>
  <c r="DC69" i="18"/>
  <c r="AH47" i="11"/>
  <c r="AE47" i="11"/>
  <c r="AG14" i="11"/>
  <c r="DC234" i="18"/>
  <c r="AH5" i="11" s="1"/>
  <c r="DB231" i="18"/>
  <c r="DB331" i="18"/>
  <c r="DB329" i="18"/>
  <c r="DD329" i="18" s="1"/>
  <c r="DD331" i="18"/>
  <c r="DB327" i="18"/>
  <c r="DC328" i="18"/>
  <c r="DD327" i="18"/>
  <c r="AF5" i="11"/>
  <c r="AI5" i="11"/>
  <c r="DD258" i="18"/>
  <c r="DC255" i="18"/>
  <c r="DB258" i="18"/>
  <c r="DB222" i="18"/>
  <c r="DD222" i="18" s="1"/>
  <c r="DC283" i="18"/>
  <c r="AE51" i="11" s="1"/>
  <c r="DB7" i="18"/>
  <c r="DD7" i="18" s="1"/>
  <c r="DB113" i="18"/>
  <c r="DD113" i="18" s="1"/>
  <c r="DB42" i="18"/>
  <c r="DD42" i="18" s="1"/>
  <c r="DC39" i="18"/>
  <c r="AD24" i="11" s="1"/>
  <c r="DD231" i="18"/>
  <c r="DC205" i="18"/>
  <c r="DB325" i="18"/>
  <c r="DD325" i="18" s="1"/>
  <c r="AI24" i="11"/>
  <c r="DB337" i="18"/>
  <c r="AI28" i="11"/>
  <c r="AE28" i="11"/>
  <c r="DD154" i="18"/>
  <c r="DD158" i="18"/>
  <c r="DD156" i="18"/>
  <c r="DC153" i="18"/>
  <c r="DB53" i="18"/>
  <c r="DD53" i="18" s="1"/>
  <c r="DC54" i="18"/>
  <c r="AJ38" i="11"/>
  <c r="AD38" i="11"/>
  <c r="DB62" i="18"/>
  <c r="DD62" i="18" s="1"/>
  <c r="DC61" i="18"/>
  <c r="AD27" i="11" s="1"/>
  <c r="DB286" i="18"/>
  <c r="DD286" i="18" s="1"/>
  <c r="DC320" i="18"/>
  <c r="DD315" i="18"/>
  <c r="DB317" i="18"/>
  <c r="DD317" i="18" s="1"/>
  <c r="DB218" i="18"/>
  <c r="DD218" i="18" s="1"/>
  <c r="DC215" i="18"/>
  <c r="DD214" i="18"/>
  <c r="AJ42" i="11"/>
  <c r="AD42" i="11"/>
  <c r="DB230" i="18"/>
  <c r="DD230" i="18" s="1"/>
  <c r="DC225" i="18"/>
  <c r="DB226" i="18"/>
  <c r="DD226" i="18" s="1"/>
  <c r="DB17" i="18"/>
  <c r="DD17" i="18"/>
  <c r="AJ7" i="11"/>
  <c r="DC231" i="18"/>
  <c r="AE25" i="11" s="1"/>
  <c r="DB234" i="18"/>
  <c r="DD234" i="18" s="1"/>
  <c r="DB259" i="18"/>
  <c r="DB255" i="18"/>
  <c r="DD255" i="18" s="1"/>
  <c r="DB257" i="18"/>
  <c r="DD257" i="18" s="1"/>
  <c r="DC256" i="18"/>
  <c r="DD259" i="18"/>
  <c r="AJ40" i="11"/>
  <c r="AF40" i="11"/>
  <c r="DB306" i="18"/>
  <c r="DD306" i="18" s="1"/>
  <c r="DC287" i="18"/>
  <c r="AF48" i="11" s="1"/>
  <c r="AE33" i="11"/>
  <c r="AJ33" i="11"/>
  <c r="DD174" i="18"/>
  <c r="DB204" i="18"/>
  <c r="DD204" i="18" s="1"/>
  <c r="DB233" i="18"/>
  <c r="DD233" i="18" s="1"/>
  <c r="AF11" i="11"/>
  <c r="AJ11" i="11"/>
  <c r="DB321" i="18"/>
  <c r="DD216" i="18"/>
  <c r="DB202" i="18"/>
  <c r="DD202" i="18" s="1"/>
  <c r="DB242" i="18"/>
  <c r="DD242" i="18" s="1"/>
  <c r="DB238" i="18"/>
  <c r="DD238" i="18" s="1"/>
  <c r="AJ19" i="11"/>
  <c r="AF19" i="11"/>
  <c r="DD337" i="18"/>
  <c r="DD333" i="18"/>
  <c r="DB335" i="18"/>
  <c r="DD335" i="18" s="1"/>
  <c r="DB246" i="18"/>
  <c r="DD246" i="18"/>
  <c r="AI3" i="11"/>
  <c r="AF3" i="11"/>
  <c r="DC52" i="18"/>
  <c r="AD21" i="11" s="1"/>
  <c r="DB55" i="18"/>
  <c r="DD55" i="18" s="1"/>
  <c r="DB51" i="18"/>
  <c r="DD51" i="18" s="1"/>
  <c r="DB10" i="18"/>
  <c r="DD10" i="18" s="1"/>
  <c r="DB14" i="18"/>
  <c r="DD14" i="18" s="1"/>
  <c r="AI33" i="11"/>
  <c r="AD33" i="11"/>
  <c r="DB266" i="18"/>
  <c r="DD266" i="18" s="1"/>
  <c r="DC261" i="18"/>
  <c r="AJ14" i="11" s="1"/>
  <c r="DC34" i="18"/>
  <c r="DB33" i="18"/>
  <c r="DD33" i="18" s="1"/>
  <c r="DB270" i="18"/>
  <c r="DD270" i="18"/>
  <c r="DC267" i="18"/>
  <c r="AF31" i="11"/>
  <c r="AH31" i="11"/>
  <c r="AI7" i="11"/>
  <c r="AF7" i="11"/>
  <c r="DB262" i="18"/>
  <c r="DD262" i="18" s="1"/>
  <c r="DC5" i="18"/>
  <c r="AF47" i="11" s="1"/>
  <c r="AJ3" i="11"/>
  <c r="DC239" i="18"/>
  <c r="AC44" i="11" s="1"/>
  <c r="DB5" i="18"/>
  <c r="DD5" i="18" s="1"/>
  <c r="DB206" i="18"/>
  <c r="DD206" i="18" s="1"/>
  <c r="DB194" i="18"/>
  <c r="DD194" i="18" s="1"/>
  <c r="DB276" i="18"/>
  <c r="DB235" i="18"/>
  <c r="DD235" i="18" s="1"/>
  <c r="DD321" i="18"/>
  <c r="DB323" i="18"/>
  <c r="DD323" i="18" s="1"/>
  <c r="DB310" i="18"/>
  <c r="DD310" i="18" s="1"/>
  <c r="DD276" i="18"/>
  <c r="DC104" i="18"/>
  <c r="DB103" i="18"/>
  <c r="DD103" i="18" s="1"/>
  <c r="DB99" i="18"/>
  <c r="DD99" i="18" s="1"/>
  <c r="DB101" i="18"/>
  <c r="DD101" i="18" s="1"/>
  <c r="DC17" i="18"/>
  <c r="DB18" i="18"/>
  <c r="DD18" i="18"/>
  <c r="DD20" i="18"/>
  <c r="DB86" i="18"/>
  <c r="DD86" i="18" s="1"/>
  <c r="DB82" i="18"/>
  <c r="DD82" i="18" s="1"/>
  <c r="DC85" i="18"/>
  <c r="DC113" i="18"/>
  <c r="DB138" i="18"/>
  <c r="DD138" i="18"/>
  <c r="DC137" i="18"/>
  <c r="DB59" i="18"/>
  <c r="DB61" i="18"/>
  <c r="DD61" i="18" s="1"/>
  <c r="DB57" i="18"/>
  <c r="DD57" i="18" s="1"/>
  <c r="DD59" i="18"/>
  <c r="DC62" i="18"/>
  <c r="DB81" i="18"/>
  <c r="DD81" i="18" s="1"/>
  <c r="DB83" i="18"/>
  <c r="DD83" i="18" s="1"/>
  <c r="DC86" i="18"/>
  <c r="DB85" i="18"/>
  <c r="DD85" i="18" s="1"/>
  <c r="DB107" i="18"/>
  <c r="DD107" i="18" s="1"/>
  <c r="DD109" i="18"/>
  <c r="DB109" i="18"/>
  <c r="DB105" i="18"/>
  <c r="DD105" i="18" s="1"/>
  <c r="DC106" i="18"/>
  <c r="DB123" i="18"/>
  <c r="DD123" i="18" s="1"/>
  <c r="DC126" i="18"/>
  <c r="DB125" i="18"/>
  <c r="DD125" i="18" s="1"/>
  <c r="DD127" i="18"/>
  <c r="DB127" i="18"/>
  <c r="DD161" i="18"/>
  <c r="DC162" i="18"/>
  <c r="DD159" i="18"/>
  <c r="DD163" i="18"/>
  <c r="DB203" i="18"/>
  <c r="DD203" i="18" s="1"/>
  <c r="DB205" i="18"/>
  <c r="DD205" i="18" s="1"/>
  <c r="DC202" i="18"/>
  <c r="DB201" i="18"/>
  <c r="DD201" i="18" s="1"/>
  <c r="DB245" i="18"/>
  <c r="DD245" i="18"/>
  <c r="DB247" i="18"/>
  <c r="DC246" i="18"/>
  <c r="AJ30" i="11" s="1"/>
  <c r="DD247" i="18"/>
  <c r="DB243" i="18"/>
  <c r="DD243" i="18" s="1"/>
  <c r="DB271" i="18"/>
  <c r="DB267" i="18"/>
  <c r="DD267" i="18" s="1"/>
  <c r="DB269" i="18"/>
  <c r="DD269" i="18" s="1"/>
  <c r="DC270" i="18"/>
  <c r="AI46" i="11" s="1"/>
  <c r="DD271" i="18"/>
  <c r="DB287" i="18"/>
  <c r="DB289" i="18"/>
  <c r="DD289" i="18" s="1"/>
  <c r="DB285" i="18"/>
  <c r="DD285" i="18" s="1"/>
  <c r="DC290" i="18"/>
  <c r="AF49" i="11" s="1"/>
  <c r="DD287" i="18"/>
  <c r="DB309" i="18"/>
  <c r="DD309" i="18" s="1"/>
  <c r="DB311" i="18"/>
  <c r="DC310" i="18"/>
  <c r="DD311" i="18"/>
  <c r="DB313" i="18"/>
  <c r="DD313" i="18" s="1"/>
  <c r="DB16" i="18"/>
  <c r="DD16" i="18" s="1"/>
  <c r="DB136" i="18"/>
  <c r="DD136" i="18" s="1"/>
  <c r="AF16" i="11"/>
  <c r="AJ16" i="11"/>
  <c r="DB50" i="18"/>
  <c r="DD50" i="18" s="1"/>
  <c r="DC49" i="18"/>
  <c r="DD46" i="18"/>
  <c r="DB46" i="18"/>
  <c r="DB96" i="18"/>
  <c r="DD96" i="18" s="1"/>
  <c r="DB98" i="18"/>
  <c r="DD98" i="18"/>
  <c r="DB94" i="18"/>
  <c r="DD94" i="18" s="1"/>
  <c r="DC93" i="18"/>
  <c r="DB120" i="18"/>
  <c r="DD120" i="18" s="1"/>
  <c r="DB118" i="18"/>
  <c r="DD118" i="18" s="1"/>
  <c r="DC117" i="18"/>
  <c r="DB122" i="18"/>
  <c r="DD122" i="18" s="1"/>
  <c r="DC149" i="18"/>
  <c r="DD150" i="18"/>
  <c r="DD148" i="18"/>
  <c r="DD152" i="18"/>
  <c r="DB65" i="18"/>
  <c r="DD65" i="18" s="1"/>
  <c r="DB67" i="18"/>
  <c r="DD67" i="18" s="1"/>
  <c r="DB63" i="18"/>
  <c r="DD63" i="18" s="1"/>
  <c r="DC66" i="18"/>
  <c r="AC48" i="11"/>
  <c r="AJ48" i="11"/>
  <c r="DC130" i="18"/>
  <c r="DD129" i="18"/>
  <c r="DD133" i="18"/>
  <c r="DD131" i="18"/>
  <c r="DD149" i="18"/>
  <c r="DC150" i="18"/>
  <c r="DD147" i="18"/>
  <c r="DD151" i="18"/>
  <c r="DD165" i="18"/>
  <c r="DD169" i="18"/>
  <c r="DC166" i="18"/>
  <c r="DD167" i="18"/>
  <c r="DB187" i="18"/>
  <c r="DB183" i="18"/>
  <c r="DC186" i="18"/>
  <c r="DD183" i="18"/>
  <c r="DD187" i="18"/>
  <c r="DB185" i="18"/>
  <c r="DD185" i="18" s="1"/>
  <c r="AJ9" i="11"/>
  <c r="AF9" i="11"/>
  <c r="DB223" i="18"/>
  <c r="DB219" i="18"/>
  <c r="DD219" i="18" s="1"/>
  <c r="DB221" i="18"/>
  <c r="DD221" i="18" s="1"/>
  <c r="DC222" i="18"/>
  <c r="DD223" i="18"/>
  <c r="DB251" i="18"/>
  <c r="DD251" i="18" s="1"/>
  <c r="DB253" i="18"/>
  <c r="DD253" i="18" s="1"/>
  <c r="DC250" i="18"/>
  <c r="AI36" i="11" s="1"/>
  <c r="DB249" i="18"/>
  <c r="DD249" i="18" s="1"/>
  <c r="DB277" i="18"/>
  <c r="DD277" i="18" s="1"/>
  <c r="DD273" i="18"/>
  <c r="DB273" i="18"/>
  <c r="DC274" i="18"/>
  <c r="AI12" i="11" s="1"/>
  <c r="DB275" i="18"/>
  <c r="DD275" i="18" s="1"/>
  <c r="DB293" i="18"/>
  <c r="DB295" i="18"/>
  <c r="DC294" i="18"/>
  <c r="DD295" i="18"/>
  <c r="DB291" i="18"/>
  <c r="DD291" i="18" s="1"/>
  <c r="DD293" i="18"/>
  <c r="DB84" i="18"/>
  <c r="DD84" i="18" s="1"/>
  <c r="DB104" i="18"/>
  <c r="AJ41" i="11"/>
  <c r="AC41" i="11"/>
  <c r="DB54" i="18"/>
  <c r="DD54" i="18" s="1"/>
  <c r="DC53" i="18"/>
  <c r="AF23" i="11"/>
  <c r="AJ23" i="11"/>
  <c r="DC161" i="18"/>
  <c r="DD162" i="18"/>
  <c r="DD160" i="18"/>
  <c r="DD164" i="18"/>
  <c r="DB11" i="18"/>
  <c r="DD13" i="18"/>
  <c r="DB13" i="18"/>
  <c r="DB9" i="18"/>
  <c r="DD9" i="18" s="1"/>
  <c r="DC10" i="18"/>
  <c r="DD11" i="18"/>
  <c r="DD69" i="18"/>
  <c r="DB71" i="18"/>
  <c r="DD71" i="18" s="1"/>
  <c r="DC74" i="18"/>
  <c r="DB97" i="18"/>
  <c r="DD97" i="18" s="1"/>
  <c r="DC94" i="18"/>
  <c r="DD93" i="18"/>
  <c r="DB93" i="18"/>
  <c r="DB95" i="18"/>
  <c r="DD95" i="18" s="1"/>
  <c r="DB119" i="18"/>
  <c r="DD119" i="18" s="1"/>
  <c r="DC118" i="18"/>
  <c r="DB121" i="18"/>
  <c r="DD121" i="18" s="1"/>
  <c r="DB117" i="18"/>
  <c r="DD117" i="18" s="1"/>
  <c r="DB139" i="18"/>
  <c r="DD139" i="18" s="1"/>
  <c r="DB135" i="18"/>
  <c r="DD135" i="18"/>
  <c r="DB137" i="18"/>
  <c r="DD137" i="18" s="1"/>
  <c r="DC138" i="18"/>
  <c r="AJ8" i="11" s="1"/>
  <c r="DD153" i="18"/>
  <c r="DD157" i="18"/>
  <c r="DC154" i="18"/>
  <c r="DD155" i="18"/>
  <c r="DD173" i="18"/>
  <c r="DC174" i="18"/>
  <c r="DD171" i="18"/>
  <c r="DD175" i="18"/>
  <c r="DB191" i="18"/>
  <c r="DD191" i="18" s="1"/>
  <c r="DB193" i="18"/>
  <c r="DD193" i="18" s="1"/>
  <c r="DB189" i="18"/>
  <c r="DD189" i="18" s="1"/>
  <c r="DC190" i="18"/>
  <c r="DB207" i="18"/>
  <c r="DB209" i="18"/>
  <c r="DD209" i="18" s="1"/>
  <c r="DC210" i="18"/>
  <c r="DD207" i="18"/>
  <c r="DB211" i="18"/>
  <c r="DD211" i="18" s="1"/>
  <c r="DB229" i="18"/>
  <c r="DD229" i="18" s="1"/>
  <c r="DB225" i="18"/>
  <c r="DD225" i="18" s="1"/>
  <c r="DC230" i="18"/>
  <c r="AJ26" i="11" s="1"/>
  <c r="DB227" i="18"/>
  <c r="DD227" i="18" s="1"/>
  <c r="DB261" i="18"/>
  <c r="DD261" i="18" s="1"/>
  <c r="DB263" i="18"/>
  <c r="DD263" i="18" s="1"/>
  <c r="DC262" i="18"/>
  <c r="DB265" i="18"/>
  <c r="DD265" i="18" s="1"/>
  <c r="DB299" i="18"/>
  <c r="DB301" i="18"/>
  <c r="DC298" i="18"/>
  <c r="DD299" i="18"/>
  <c r="DB297" i="18"/>
  <c r="DD297" i="18" s="1"/>
  <c r="DD301" i="18"/>
  <c r="DB56" i="18"/>
  <c r="DD56" i="18" s="1"/>
  <c r="DB116" i="18"/>
  <c r="DD116" i="18" s="1"/>
  <c r="AF10" i="11"/>
  <c r="AJ10" i="11"/>
  <c r="AF21" i="11"/>
  <c r="AI21" i="11"/>
  <c r="DB114" i="18"/>
  <c r="DD114" i="18" s="1"/>
  <c r="DC88" i="18"/>
  <c r="DB91" i="18"/>
  <c r="DD89" i="18"/>
  <c r="DB87" i="18"/>
  <c r="DD87" i="18" s="1"/>
  <c r="DB89" i="18"/>
  <c r="DD91" i="18"/>
  <c r="DB78" i="18"/>
  <c r="DD78" i="18" s="1"/>
  <c r="DC77" i="18"/>
  <c r="DD76" i="18"/>
  <c r="DB102" i="18"/>
  <c r="DD102" i="18" s="1"/>
  <c r="DC101" i="18"/>
  <c r="DD100" i="18"/>
  <c r="DD104" i="18"/>
  <c r="DD126" i="18"/>
  <c r="DB126" i="18"/>
  <c r="DC125" i="18"/>
  <c r="AC46" i="11" s="1"/>
  <c r="DD124" i="18"/>
  <c r="DC165" i="18"/>
  <c r="DD166" i="18"/>
  <c r="DD170" i="18"/>
  <c r="DD168" i="18"/>
  <c r="DC22" i="18"/>
  <c r="DD25" i="18"/>
  <c r="DB23" i="18"/>
  <c r="DD23" i="18" s="1"/>
  <c r="DB25" i="18"/>
  <c r="DB21" i="18"/>
  <c r="DD21" i="18" s="1"/>
  <c r="DB75" i="18"/>
  <c r="DC78" i="18"/>
  <c r="DB77" i="18"/>
  <c r="DD77" i="18" s="1"/>
  <c r="DD75" i="18"/>
  <c r="DB79" i="18"/>
  <c r="DD79" i="18" s="1"/>
  <c r="AF30" i="11"/>
  <c r="AI30" i="11"/>
  <c r="AF27" i="11"/>
  <c r="AJ27" i="11"/>
  <c r="DB143" i="18"/>
  <c r="DD143" i="18" s="1"/>
  <c r="DD145" i="18"/>
  <c r="DB145" i="18"/>
  <c r="DB141" i="18"/>
  <c r="DD141" i="18" s="1"/>
  <c r="DC142" i="18"/>
  <c r="DB181" i="18"/>
  <c r="DD181" i="18" s="1"/>
  <c r="DD177" i="18"/>
  <c r="DB177" i="18"/>
  <c r="DC178" i="18"/>
  <c r="DB179" i="18"/>
  <c r="DD179" i="18" s="1"/>
  <c r="DB197" i="18"/>
  <c r="DD197" i="18" s="1"/>
  <c r="DB199" i="18"/>
  <c r="DD199" i="18" s="1"/>
  <c r="DC198" i="18"/>
  <c r="AD49" i="11" s="1"/>
  <c r="DB195" i="18"/>
  <c r="DD195" i="18" s="1"/>
  <c r="DB213" i="18"/>
  <c r="DD213" i="18" s="1"/>
  <c r="DB215" i="18"/>
  <c r="DD215" i="18" s="1"/>
  <c r="DC214" i="18"/>
  <c r="AI18" i="11" s="1"/>
  <c r="DB217" i="18"/>
  <c r="DD217" i="18" s="1"/>
  <c r="DB239" i="18"/>
  <c r="DD239" i="18" s="1"/>
  <c r="DD241" i="18"/>
  <c r="DB241" i="18"/>
  <c r="DB237" i="18"/>
  <c r="DD237" i="18" s="1"/>
  <c r="DC238" i="18"/>
  <c r="AD51" i="11" s="1"/>
  <c r="DB283" i="18"/>
  <c r="DD283" i="18" s="1"/>
  <c r="DB279" i="18"/>
  <c r="DD279" i="18" s="1"/>
  <c r="DC282" i="18"/>
  <c r="AG6" i="11" s="1"/>
  <c r="DB281" i="18"/>
  <c r="DD281" i="18" s="1"/>
  <c r="DB303" i="18"/>
  <c r="DB305" i="18"/>
  <c r="DD305" i="18" s="1"/>
  <c r="DC306" i="18"/>
  <c r="DD303" i="18"/>
  <c r="DB307" i="18"/>
  <c r="DD307" i="18" s="1"/>
  <c r="DB52" i="18"/>
  <c r="DD52" i="18" s="1"/>
  <c r="DB112" i="18"/>
  <c r="DD112" i="18" s="1"/>
  <c r="DB128" i="18"/>
  <c r="DD128" i="18" s="1"/>
  <c r="DB80" i="18"/>
  <c r="DD80" i="18" s="1"/>
  <c r="DB140" i="18"/>
  <c r="DD140" i="18" s="1"/>
  <c r="DB73" i="18"/>
  <c r="DD73" i="18" s="1"/>
  <c r="DB48" i="18"/>
  <c r="DD48" i="18" s="1"/>
  <c r="AF24" i="11"/>
  <c r="AJ24" i="11"/>
  <c r="B1" i="5"/>
  <c r="D2" i="34"/>
  <c r="B1" i="34"/>
  <c r="AJ52" i="11" l="1"/>
  <c r="AC52" i="11"/>
  <c r="AF14" i="11"/>
  <c r="AJ45" i="11"/>
  <c r="AC45" i="11"/>
  <c r="AH43" i="11"/>
  <c r="AE43" i="11"/>
  <c r="AJ25" i="11"/>
  <c r="AF25" i="11"/>
  <c r="AJ20" i="11"/>
  <c r="AF20" i="11"/>
  <c r="AF44" i="11"/>
  <c r="AJ44" i="11"/>
  <c r="AF51" i="11"/>
  <c r="AJ51" i="11"/>
  <c r="AJ32" i="11"/>
  <c r="AC32" i="11"/>
  <c r="AF12" i="11"/>
  <c r="AJ12" i="11"/>
  <c r="AJ4" i="11"/>
  <c r="AE4" i="11"/>
  <c r="AE13" i="11"/>
  <c r="AJ13" i="11"/>
  <c r="AF28" i="11"/>
  <c r="AJ28" i="11"/>
  <c r="AF46" i="11"/>
  <c r="AF36" i="11"/>
  <c r="AJ36" i="11"/>
  <c r="AJ21" i="11"/>
  <c r="AC21" i="11"/>
  <c r="AG26" i="11"/>
  <c r="AF26" i="11"/>
  <c r="AF8" i="11"/>
  <c r="AI8" i="11"/>
  <c r="AF35" i="11"/>
  <c r="AJ35" i="11"/>
  <c r="AJ22" i="11"/>
  <c r="AF22" i="11"/>
  <c r="AF6" i="11"/>
  <c r="AJ6" i="11"/>
  <c r="AF43" i="11"/>
  <c r="AJ43" i="11"/>
  <c r="AC49" i="11"/>
  <c r="AJ49" i="11"/>
  <c r="AD50" i="11"/>
  <c r="AJ50" i="11"/>
  <c r="AF18" i="11"/>
  <c r="AJ18" i="11"/>
  <c r="AF53" i="11"/>
  <c r="AJ53" i="11"/>
  <c r="AJ17" i="11"/>
  <c r="AD17" i="11"/>
  <c r="AC31" i="11"/>
  <c r="AJ31" i="11"/>
  <c r="AI32" i="11"/>
  <c r="AF32" i="11"/>
  <c r="AJ46" i="11"/>
  <c r="AF37" i="11"/>
  <c r="AJ37" i="11"/>
  <c r="AF13" i="11"/>
  <c r="AI13" i="11"/>
  <c r="AG38" i="11"/>
  <c r="AF38" i="11"/>
  <c r="AF34" i="11"/>
  <c r="AJ34" i="11"/>
  <c r="AD47" i="11"/>
  <c r="AJ47" i="11"/>
  <c r="AF17" i="11"/>
  <c r="AI17" i="11"/>
  <c r="AI15" i="11"/>
  <c r="AF15" i="11"/>
  <c r="D22" i="36"/>
  <c r="D12" i="36"/>
  <c r="D32" i="36"/>
  <c r="C22" i="36"/>
  <c r="C12" i="36"/>
  <c r="C32" i="36"/>
  <c r="E30" i="33"/>
  <c r="E20" i="33"/>
  <c r="E10" i="33"/>
  <c r="E32" i="33"/>
  <c r="E22" i="33"/>
  <c r="E12" i="33"/>
  <c r="F30" i="33"/>
  <c r="F20" i="33"/>
  <c r="F10" i="33"/>
  <c r="F32" i="33"/>
  <c r="F12" i="33"/>
  <c r="F22" i="33"/>
  <c r="D2" i="5" l="1"/>
  <c r="D2" i="8" l="1"/>
  <c r="D3" i="25"/>
  <c r="P7" i="36" s="1"/>
  <c r="C3" i="25"/>
  <c r="P6" i="36" s="1"/>
  <c r="B3" i="25"/>
  <c r="P5" i="36" s="1"/>
  <c r="D2" i="25"/>
  <c r="C2" i="25"/>
  <c r="B2" i="25"/>
  <c r="H7" i="35" l="1"/>
  <c r="S5" i="36"/>
  <c r="K7" i="35" s="1"/>
  <c r="U5" i="36"/>
  <c r="M7" i="35" s="1"/>
  <c r="W5" i="36"/>
  <c r="O7" i="35" s="1"/>
  <c r="Y5" i="36"/>
  <c r="Q7" i="35" s="1"/>
  <c r="AA5" i="36"/>
  <c r="S7" i="35" s="1"/>
  <c r="R5" i="36"/>
  <c r="J7" i="35" s="1"/>
  <c r="T5" i="36"/>
  <c r="L7" i="35" s="1"/>
  <c r="V5" i="36"/>
  <c r="N7" i="35" s="1"/>
  <c r="X5" i="36"/>
  <c r="P7" i="35" s="1"/>
  <c r="Z5" i="36"/>
  <c r="R7" i="35" s="1"/>
  <c r="Q5" i="36"/>
  <c r="I7" i="35" s="1"/>
  <c r="G28" i="36"/>
  <c r="I30" i="36" s="1"/>
  <c r="L5" i="25"/>
  <c r="A20" i="25"/>
  <c r="B20" i="25" s="1"/>
  <c r="F5" i="25"/>
  <c r="A30" i="25"/>
  <c r="A10" i="25"/>
  <c r="B10" i="25" s="1"/>
  <c r="P2" i="36"/>
  <c r="R6" i="36"/>
  <c r="J8" i="35" s="1"/>
  <c r="T6" i="36"/>
  <c r="L8" i="35" s="1"/>
  <c r="V6" i="36"/>
  <c r="N8" i="35" s="1"/>
  <c r="X6" i="36"/>
  <c r="P8" i="35" s="1"/>
  <c r="Z6" i="36"/>
  <c r="R8" i="35" s="1"/>
  <c r="Q6" i="36"/>
  <c r="I8" i="35" s="1"/>
  <c r="H8" i="35"/>
  <c r="S6" i="36"/>
  <c r="K8" i="35" s="1"/>
  <c r="U6" i="36"/>
  <c r="M8" i="35" s="1"/>
  <c r="W6" i="36"/>
  <c r="O8" i="35" s="1"/>
  <c r="Y6" i="36"/>
  <c r="Q8" i="35" s="1"/>
  <c r="AA6" i="36"/>
  <c r="S8" i="35" s="1"/>
  <c r="R7" i="36"/>
  <c r="J9" i="35" s="1"/>
  <c r="T7" i="36"/>
  <c r="L9" i="35" s="1"/>
  <c r="V7" i="36"/>
  <c r="N9" i="35" s="1"/>
  <c r="X7" i="36"/>
  <c r="P9" i="35" s="1"/>
  <c r="Z7" i="36"/>
  <c r="R9" i="35" s="1"/>
  <c r="Q7" i="36"/>
  <c r="I9" i="35" s="1"/>
  <c r="H9" i="35"/>
  <c r="S7" i="36"/>
  <c r="K9" i="35" s="1"/>
  <c r="U7" i="36"/>
  <c r="M9" i="35" s="1"/>
  <c r="W7" i="36"/>
  <c r="O9" i="35" s="1"/>
  <c r="Y7" i="36"/>
  <c r="Q9" i="35" s="1"/>
  <c r="AA7" i="36"/>
  <c r="S9" i="35" s="1"/>
  <c r="G18" i="36"/>
  <c r="J20" i="36" s="1"/>
  <c r="P3" i="36"/>
  <c r="G8" i="36"/>
  <c r="I12" i="36" s="1"/>
  <c r="L3" i="25"/>
  <c r="F3" i="25"/>
  <c r="A18" i="25"/>
  <c r="B18" i="25" s="1"/>
  <c r="P4" i="36"/>
  <c r="A28" i="25"/>
  <c r="A8" i="25"/>
  <c r="J30" i="36"/>
  <c r="H32" i="36"/>
  <c r="H30" i="36"/>
  <c r="J31" i="36"/>
  <c r="A3" i="36"/>
  <c r="A8" i="36"/>
  <c r="D10" i="36" s="1"/>
  <c r="A12" i="35"/>
  <c r="A24" i="35" s="1"/>
  <c r="A27" i="35"/>
  <c r="A39" i="35" s="1"/>
  <c r="A18" i="36"/>
  <c r="A4" i="36"/>
  <c r="A42" i="35"/>
  <c r="A54" i="35" s="1"/>
  <c r="A28" i="36"/>
  <c r="A5" i="36"/>
  <c r="J19" i="33"/>
  <c r="J25" i="33" s="1"/>
  <c r="J29" i="30"/>
  <c r="J29" i="33"/>
  <c r="J35" i="33" s="1"/>
  <c r="J49" i="30"/>
  <c r="J9" i="33"/>
  <c r="J15" i="33" s="1"/>
  <c r="J9" i="30"/>
  <c r="A27" i="34"/>
  <c r="A39" i="34" s="1"/>
  <c r="A18" i="33"/>
  <c r="J4" i="33"/>
  <c r="A4" i="33"/>
  <c r="A42" i="34"/>
  <c r="A54" i="34" s="1"/>
  <c r="A3" i="33"/>
  <c r="J5" i="33"/>
  <c r="A28" i="33"/>
  <c r="A12" i="34"/>
  <c r="A24" i="34" s="1"/>
  <c r="J3" i="33"/>
  <c r="A8" i="33"/>
  <c r="A5" i="33"/>
  <c r="U21" i="19"/>
  <c r="U5" i="19"/>
  <c r="U9" i="19"/>
  <c r="U13" i="19"/>
  <c r="U17" i="19"/>
  <c r="L6" i="25"/>
  <c r="A15" i="19"/>
  <c r="A19" i="19"/>
  <c r="A3" i="19"/>
  <c r="B3" i="19" s="1"/>
  <c r="A7" i="19"/>
  <c r="A11" i="19"/>
  <c r="U11" i="19"/>
  <c r="U15" i="19"/>
  <c r="U19" i="19"/>
  <c r="U3" i="19"/>
  <c r="U7" i="19"/>
  <c r="L7" i="25"/>
  <c r="A20" i="19"/>
  <c r="A4" i="19"/>
  <c r="A8" i="19"/>
  <c r="A12" i="19"/>
  <c r="A16" i="19"/>
  <c r="U16" i="19"/>
  <c r="U20" i="19"/>
  <c r="U4" i="19"/>
  <c r="U8" i="19"/>
  <c r="U12" i="19"/>
  <c r="L8" i="25"/>
  <c r="A9" i="19"/>
  <c r="A13" i="19"/>
  <c r="A17" i="19"/>
  <c r="A21" i="19"/>
  <c r="A5" i="19"/>
  <c r="AK2" i="25"/>
  <c r="A3" i="30"/>
  <c r="J5" i="30"/>
  <c r="N5" i="30" s="1" a="1"/>
  <c r="N5" i="30" s="1"/>
  <c r="A28" i="30"/>
  <c r="E34" i="30" s="1"/>
  <c r="A42" i="5"/>
  <c r="K2" i="8"/>
  <c r="M2" i="8" s="1"/>
  <c r="A27" i="5"/>
  <c r="J4" i="30"/>
  <c r="N4" i="30" s="1" a="1"/>
  <c r="N4" i="30" s="1"/>
  <c r="A18" i="30"/>
  <c r="E24" i="30" s="1"/>
  <c r="A4" i="30"/>
  <c r="F2" i="8"/>
  <c r="H2" i="8" s="1"/>
  <c r="A12" i="5"/>
  <c r="A8" i="30"/>
  <c r="E14" i="30" s="1"/>
  <c r="A5" i="30"/>
  <c r="J3" i="30"/>
  <c r="N3" i="30" s="1" a="1"/>
  <c r="N3" i="30" s="1"/>
  <c r="AJ2" i="25"/>
  <c r="AF2" i="25"/>
  <c r="AE2" i="25"/>
  <c r="P2" i="8"/>
  <c r="R2" i="8" s="1"/>
  <c r="AD2" i="25"/>
  <c r="AI2" i="25"/>
  <c r="W5" i="25"/>
  <c r="W3" i="25"/>
  <c r="W4" i="25"/>
  <c r="R3" i="25"/>
  <c r="U3" i="25" s="1"/>
  <c r="R4" i="25"/>
  <c r="U4" i="25" s="1"/>
  <c r="R5" i="25"/>
  <c r="P12" i="25"/>
  <c r="T12" i="25"/>
  <c r="L12" i="25"/>
  <c r="F11" i="25"/>
  <c r="J13" i="25" s="1"/>
  <c r="F21" i="25"/>
  <c r="F31" i="25"/>
  <c r="A39" i="25"/>
  <c r="B39" i="25" s="1"/>
  <c r="A19" i="25"/>
  <c r="B19" i="25" s="1"/>
  <c r="A23" i="25"/>
  <c r="C23" i="25" s="1"/>
  <c r="A43" i="25"/>
  <c r="C43" i="25" s="1"/>
  <c r="A31" i="25"/>
  <c r="F6" i="25"/>
  <c r="A32" i="25"/>
  <c r="A40" i="25"/>
  <c r="B40" i="25" s="1"/>
  <c r="F7" i="25"/>
  <c r="A21" i="25"/>
  <c r="C21" i="25" s="1"/>
  <c r="A29" i="25"/>
  <c r="A33" i="25"/>
  <c r="A41" i="25"/>
  <c r="C41" i="25" s="1"/>
  <c r="F4" i="25"/>
  <c r="F8" i="25"/>
  <c r="A22" i="25"/>
  <c r="C22" i="25" s="1"/>
  <c r="A38" i="25"/>
  <c r="B38" i="25" s="1"/>
  <c r="A42" i="25"/>
  <c r="C42" i="25" s="1"/>
  <c r="A13" i="25"/>
  <c r="C13" i="25" s="1"/>
  <c r="A12" i="25"/>
  <c r="C12" i="25" s="1"/>
  <c r="A9" i="25"/>
  <c r="B9" i="25" s="1"/>
  <c r="A11" i="25"/>
  <c r="C11" i="25" s="1"/>
  <c r="L4" i="25"/>
  <c r="K5" i="30" l="1" a="1"/>
  <c r="K5" i="30" s="1"/>
  <c r="H31" i="36"/>
  <c r="I32" i="36"/>
  <c r="K32" i="36" s="1"/>
  <c r="J32" i="36"/>
  <c r="I31" i="36"/>
  <c r="I21" i="36"/>
  <c r="H20" i="36"/>
  <c r="I22" i="36"/>
  <c r="I10" i="36"/>
  <c r="H12" i="36"/>
  <c r="K10" i="36" s="1"/>
  <c r="J10" i="36"/>
  <c r="H11" i="36"/>
  <c r="J12" i="36"/>
  <c r="J21" i="36"/>
  <c r="I20" i="36"/>
  <c r="H22" i="36"/>
  <c r="J22" i="36"/>
  <c r="H21" i="36"/>
  <c r="K21" i="36" s="1"/>
  <c r="J11" i="36"/>
  <c r="H10" i="36"/>
  <c r="I11" i="36"/>
  <c r="H4" i="25"/>
  <c r="I4" i="25"/>
  <c r="G4" i="25"/>
  <c r="G7" i="25"/>
  <c r="H7" i="25"/>
  <c r="I7" i="25"/>
  <c r="G3" i="25"/>
  <c r="H3" i="25"/>
  <c r="I3" i="25"/>
  <c r="I5" i="25"/>
  <c r="G5" i="25"/>
  <c r="H5" i="25"/>
  <c r="R2" i="36"/>
  <c r="J4" i="35" s="1"/>
  <c r="T2" i="36"/>
  <c r="L4" i="35" s="1"/>
  <c r="V2" i="36"/>
  <c r="N4" i="35" s="1"/>
  <c r="X2" i="36"/>
  <c r="P4" i="35" s="1"/>
  <c r="Z2" i="36"/>
  <c r="R4" i="35" s="1"/>
  <c r="Q2" i="36"/>
  <c r="I4" i="35" s="1"/>
  <c r="S2" i="36"/>
  <c r="K4" i="35" s="1"/>
  <c r="U2" i="36"/>
  <c r="M4" i="35" s="1"/>
  <c r="W2" i="36"/>
  <c r="O4" i="35" s="1"/>
  <c r="Y2" i="36"/>
  <c r="Q4" i="35" s="1"/>
  <c r="AA2" i="36"/>
  <c r="S4" i="35" s="1"/>
  <c r="H4" i="35"/>
  <c r="I6" i="25"/>
  <c r="G6" i="25"/>
  <c r="H6" i="25"/>
  <c r="H8" i="25"/>
  <c r="I8" i="25"/>
  <c r="G8" i="25"/>
  <c r="H6" i="35"/>
  <c r="S4" i="36"/>
  <c r="K6" i="35" s="1"/>
  <c r="U4" i="36"/>
  <c r="M6" i="35" s="1"/>
  <c r="W4" i="36"/>
  <c r="O6" i="35" s="1"/>
  <c r="Y4" i="36"/>
  <c r="Q6" i="35" s="1"/>
  <c r="AA4" i="36"/>
  <c r="S6" i="35" s="1"/>
  <c r="R4" i="36"/>
  <c r="J6" i="35" s="1"/>
  <c r="T4" i="36"/>
  <c r="L6" i="35" s="1"/>
  <c r="V4" i="36"/>
  <c r="N6" i="35" s="1"/>
  <c r="X4" i="36"/>
  <c r="P6" i="35" s="1"/>
  <c r="Z4" i="36"/>
  <c r="R6" i="35" s="1"/>
  <c r="Q4" i="36"/>
  <c r="I6" i="35" s="1"/>
  <c r="R3" i="36"/>
  <c r="J5" i="35" s="1"/>
  <c r="T3" i="36"/>
  <c r="L5" i="35" s="1"/>
  <c r="V3" i="36"/>
  <c r="N5" i="35" s="1"/>
  <c r="X3" i="36"/>
  <c r="P5" i="35" s="1"/>
  <c r="Z3" i="36"/>
  <c r="R5" i="35" s="1"/>
  <c r="Q3" i="36"/>
  <c r="I5" i="35" s="1"/>
  <c r="H5" i="35"/>
  <c r="S3" i="36"/>
  <c r="K5" i="35" s="1"/>
  <c r="U3" i="36"/>
  <c r="M5" i="35" s="1"/>
  <c r="W3" i="36"/>
  <c r="O5" i="35" s="1"/>
  <c r="Y3" i="36"/>
  <c r="Q5" i="35" s="1"/>
  <c r="AA3" i="36"/>
  <c r="S5" i="35" s="1"/>
  <c r="M4" i="25"/>
  <c r="O4" i="25"/>
  <c r="P4" i="25"/>
  <c r="B8" i="25"/>
  <c r="O6" i="25"/>
  <c r="M6" i="25"/>
  <c r="P6" i="25"/>
  <c r="D5" i="33"/>
  <c r="C5" i="33"/>
  <c r="B5" i="33"/>
  <c r="B3" i="33"/>
  <c r="C3" i="33"/>
  <c r="D3" i="33"/>
  <c r="O7" i="25"/>
  <c r="P7" i="25"/>
  <c r="M7" i="25"/>
  <c r="P3" i="25"/>
  <c r="M3" i="25"/>
  <c r="O3" i="25"/>
  <c r="E5" i="30"/>
  <c r="B5" i="30"/>
  <c r="D5" i="30"/>
  <c r="C5" i="30"/>
  <c r="O8" i="25"/>
  <c r="M8" i="25"/>
  <c r="P8" i="25"/>
  <c r="P3" i="33"/>
  <c r="R3" i="33" s="1"/>
  <c r="M3" i="33" a="1"/>
  <c r="M3" i="33" s="1"/>
  <c r="L3" i="33" a="1"/>
  <c r="L3" i="33" s="1"/>
  <c r="K3" i="33" a="1"/>
  <c r="K3" i="33" s="1"/>
  <c r="C4" i="33"/>
  <c r="D4" i="33"/>
  <c r="B4" i="33"/>
  <c r="O5" i="25"/>
  <c r="M5" i="25"/>
  <c r="P5" i="25"/>
  <c r="E4" i="30"/>
  <c r="B4" i="30"/>
  <c r="D4" i="30"/>
  <c r="C4" i="30"/>
  <c r="E3" i="30"/>
  <c r="D3" i="30"/>
  <c r="C3" i="30"/>
  <c r="B3" i="30"/>
  <c r="P5" i="33"/>
  <c r="R5" i="33" s="1"/>
  <c r="L5" i="33" a="1"/>
  <c r="L5" i="33" s="1"/>
  <c r="K5" i="33" a="1"/>
  <c r="K5" i="33" s="1"/>
  <c r="M5" i="33" a="1"/>
  <c r="M5" i="33" s="1"/>
  <c r="Q5" i="33" s="1"/>
  <c r="P4" i="33"/>
  <c r="R4" i="33" s="1"/>
  <c r="M4" i="33" a="1"/>
  <c r="M4" i="33" s="1"/>
  <c r="L4" i="33" a="1"/>
  <c r="L4" i="33" s="1"/>
  <c r="Q4" i="33" s="1"/>
  <c r="K4" i="33" a="1"/>
  <c r="K4" i="33" s="1"/>
  <c r="V28" i="25"/>
  <c r="V24" i="25"/>
  <c r="V20" i="25"/>
  <c r="V16" i="25"/>
  <c r="V27" i="25"/>
  <c r="V23" i="25"/>
  <c r="V19" i="25"/>
  <c r="V15" i="25"/>
  <c r="V26" i="25"/>
  <c r="V22" i="25"/>
  <c r="V18" i="25"/>
  <c r="V14" i="25"/>
  <c r="V29" i="25"/>
  <c r="V25" i="25"/>
  <c r="V21" i="25"/>
  <c r="V17" i="25"/>
  <c r="R28" i="25"/>
  <c r="R24" i="25"/>
  <c r="R20" i="25"/>
  <c r="R16" i="25"/>
  <c r="R27" i="25"/>
  <c r="R23" i="25"/>
  <c r="R19" i="25"/>
  <c r="R15" i="25"/>
  <c r="R26" i="25"/>
  <c r="R22" i="25"/>
  <c r="R18" i="25"/>
  <c r="R14" i="25"/>
  <c r="R29" i="25"/>
  <c r="R25" i="25"/>
  <c r="R21" i="25"/>
  <c r="R17" i="25"/>
  <c r="Z4" i="25"/>
  <c r="X4" i="25"/>
  <c r="Y4" i="25"/>
  <c r="X3" i="25"/>
  <c r="Y3" i="25"/>
  <c r="Z3" i="25"/>
  <c r="N28" i="25"/>
  <c r="N24" i="25"/>
  <c r="N20" i="25"/>
  <c r="N16" i="25"/>
  <c r="N27" i="25"/>
  <c r="N23" i="25"/>
  <c r="N19" i="25"/>
  <c r="N15" i="25"/>
  <c r="N26" i="25"/>
  <c r="N22" i="25"/>
  <c r="N18" i="25"/>
  <c r="N14" i="25"/>
  <c r="N29" i="25"/>
  <c r="N25" i="25"/>
  <c r="N21" i="25"/>
  <c r="N17" i="25"/>
  <c r="Y5" i="25"/>
  <c r="Z5" i="25"/>
  <c r="X5" i="25"/>
  <c r="A21" i="34"/>
  <c r="A33" i="34"/>
  <c r="K30" i="36"/>
  <c r="A45" i="34"/>
  <c r="B4" i="36"/>
  <c r="C4" i="36"/>
  <c r="B5" i="36"/>
  <c r="C5" i="36"/>
  <c r="C3" i="36"/>
  <c r="B3" i="36"/>
  <c r="D31" i="36"/>
  <c r="G51" i="35" s="1"/>
  <c r="C31" i="36"/>
  <c r="D30" i="36"/>
  <c r="C30" i="36"/>
  <c r="D21" i="36"/>
  <c r="G36" i="35" s="1"/>
  <c r="D20" i="36"/>
  <c r="C21" i="36"/>
  <c r="C20" i="36"/>
  <c r="D11" i="36"/>
  <c r="G21" i="35" s="1"/>
  <c r="C11" i="36"/>
  <c r="A14" i="36" s="1"/>
  <c r="C10" i="36"/>
  <c r="B10" i="36" s="1"/>
  <c r="A36" i="34"/>
  <c r="A15" i="34"/>
  <c r="A30" i="34"/>
  <c r="A48" i="34"/>
  <c r="A51" i="35"/>
  <c r="A48" i="35"/>
  <c r="A45" i="35"/>
  <c r="A18" i="35"/>
  <c r="A21" i="35"/>
  <c r="A15" i="35"/>
  <c r="A18" i="34"/>
  <c r="A30" i="35"/>
  <c r="A33" i="35"/>
  <c r="A36" i="35"/>
  <c r="M13" i="33"/>
  <c r="M12" i="33"/>
  <c r="K12" i="33"/>
  <c r="K13" i="33"/>
  <c r="K11" i="33"/>
  <c r="M11" i="33"/>
  <c r="A51" i="34"/>
  <c r="M33" i="33"/>
  <c r="K32" i="33"/>
  <c r="M32" i="33"/>
  <c r="K31" i="33"/>
  <c r="K33" i="33"/>
  <c r="M31" i="33"/>
  <c r="K23" i="33"/>
  <c r="M23" i="33"/>
  <c r="K21" i="33"/>
  <c r="K22" i="33"/>
  <c r="M22" i="33"/>
  <c r="M21" i="33"/>
  <c r="E5" i="33"/>
  <c r="F11" i="33"/>
  <c r="E14" i="33"/>
  <c r="E11" i="33"/>
  <c r="E21" i="33"/>
  <c r="F21" i="33"/>
  <c r="E24" i="33"/>
  <c r="E3" i="33"/>
  <c r="E4" i="33"/>
  <c r="E34" i="33"/>
  <c r="F31" i="33"/>
  <c r="E31" i="33"/>
  <c r="O49" i="30"/>
  <c r="O51" i="30" s="1"/>
  <c r="O57" i="30" s="1"/>
  <c r="Q49" i="30"/>
  <c r="Q51" i="30" s="1"/>
  <c r="Q58" i="30" s="1"/>
  <c r="K49" i="30"/>
  <c r="K51" i="30" s="1"/>
  <c r="K50" i="30" s="1"/>
  <c r="R49" i="30"/>
  <c r="R51" i="30" s="1"/>
  <c r="R60" i="30" s="1"/>
  <c r="P49" i="30"/>
  <c r="P51" i="30" s="1"/>
  <c r="P65" i="30" s="1"/>
  <c r="Z49" i="30"/>
  <c r="Z51" i="30" s="1"/>
  <c r="Z67" i="30" s="1"/>
  <c r="L49" i="30"/>
  <c r="L51" i="30" s="1"/>
  <c r="L50" i="30" s="1"/>
  <c r="M49" i="30"/>
  <c r="M51" i="30" s="1"/>
  <c r="M66" i="30" s="1"/>
  <c r="V49" i="30"/>
  <c r="V51" i="30" s="1"/>
  <c r="V60" i="30" s="1"/>
  <c r="Y49" i="30"/>
  <c r="Y51" i="30" s="1"/>
  <c r="Y66" i="30" s="1"/>
  <c r="X49" i="30"/>
  <c r="X51" i="30" s="1"/>
  <c r="X64" i="30" s="1"/>
  <c r="U49" i="30"/>
  <c r="U51" i="30" s="1"/>
  <c r="U65" i="30" s="1"/>
  <c r="S49" i="30"/>
  <c r="S51" i="30" s="1"/>
  <c r="S60" i="30" s="1"/>
  <c r="T49" i="30"/>
  <c r="T51" i="30" s="1"/>
  <c r="T50" i="30" s="1"/>
  <c r="W49" i="30"/>
  <c r="W51" i="30" s="1"/>
  <c r="W64" i="30" s="1"/>
  <c r="N49" i="30"/>
  <c r="N51" i="30" s="1"/>
  <c r="N67" i="30" s="1"/>
  <c r="S9" i="30"/>
  <c r="S11" i="30" s="1"/>
  <c r="S21" i="30" s="1"/>
  <c r="V9" i="30"/>
  <c r="V11" i="30" s="1"/>
  <c r="Q9" i="30"/>
  <c r="Q11" i="30" s="1"/>
  <c r="Q22" i="30" s="1"/>
  <c r="U9" i="30"/>
  <c r="U11" i="30" s="1"/>
  <c r="U21" i="30" s="1"/>
  <c r="W9" i="30"/>
  <c r="W11" i="30" s="1"/>
  <c r="W18" i="30" s="1"/>
  <c r="O9" i="30"/>
  <c r="O11" i="30" s="1"/>
  <c r="O16" i="30" s="1"/>
  <c r="R9" i="30"/>
  <c r="R11" i="30" s="1"/>
  <c r="R18" i="30" s="1"/>
  <c r="L9" i="30"/>
  <c r="L11" i="30" s="1"/>
  <c r="M9" i="30"/>
  <c r="M11" i="30" s="1"/>
  <c r="M14" i="30" s="1"/>
  <c r="Z9" i="30"/>
  <c r="Z11" i="30" s="1"/>
  <c r="Z18" i="30" s="1"/>
  <c r="K9" i="30"/>
  <c r="K11" i="30" s="1"/>
  <c r="N9" i="30"/>
  <c r="N11" i="30" s="1"/>
  <c r="X9" i="30"/>
  <c r="X11" i="30" s="1"/>
  <c r="X13" i="30" s="1"/>
  <c r="T9" i="30"/>
  <c r="T11" i="30" s="1"/>
  <c r="T22" i="30" s="1"/>
  <c r="Y9" i="30"/>
  <c r="Y11" i="30" s="1"/>
  <c r="Y14" i="30" s="1"/>
  <c r="P9" i="30"/>
  <c r="P11" i="30" s="1"/>
  <c r="S29" i="30"/>
  <c r="S31" i="30" s="1"/>
  <c r="S42" i="30" s="1"/>
  <c r="V29" i="30"/>
  <c r="V31" i="30" s="1"/>
  <c r="V43" i="30" s="1"/>
  <c r="Q29" i="30"/>
  <c r="Q31" i="30" s="1"/>
  <c r="Q45" i="30" s="1"/>
  <c r="L29" i="30"/>
  <c r="L31" i="30" s="1"/>
  <c r="L34" i="30" s="1"/>
  <c r="O29" i="30"/>
  <c r="O31" i="30" s="1"/>
  <c r="O37" i="30" s="1"/>
  <c r="R29" i="30"/>
  <c r="R31" i="30" s="1"/>
  <c r="R46" i="30" s="1"/>
  <c r="T29" i="30"/>
  <c r="T31" i="30" s="1"/>
  <c r="T43" i="30" s="1"/>
  <c r="U29" i="30"/>
  <c r="U31" i="30" s="1"/>
  <c r="U37" i="30" s="1"/>
  <c r="K29" i="30"/>
  <c r="K31" i="30" s="1"/>
  <c r="K40" i="30" s="1"/>
  <c r="N29" i="30"/>
  <c r="N31" i="30" s="1"/>
  <c r="N43" i="30" s="1"/>
  <c r="X29" i="30"/>
  <c r="X31" i="30" s="1"/>
  <c r="X39" i="30" s="1"/>
  <c r="M29" i="30"/>
  <c r="M31" i="30" s="1"/>
  <c r="M35" i="30" s="1"/>
  <c r="W29" i="30"/>
  <c r="W31" i="30" s="1"/>
  <c r="W42" i="30" s="1"/>
  <c r="Z29" i="30"/>
  <c r="Z31" i="30" s="1"/>
  <c r="Z30" i="30" s="1"/>
  <c r="Y29" i="30"/>
  <c r="Y31" i="30" s="1"/>
  <c r="Y30" i="30" s="1"/>
  <c r="P29" i="30"/>
  <c r="P31" i="30" s="1"/>
  <c r="P39" i="30" s="1"/>
  <c r="L2" i="8"/>
  <c r="G17" i="19"/>
  <c r="C17" i="19"/>
  <c r="F17" i="19"/>
  <c r="B17" i="19"/>
  <c r="I17" i="19"/>
  <c r="E17" i="19"/>
  <c r="H17" i="19"/>
  <c r="D17" i="19"/>
  <c r="R12" i="19"/>
  <c r="N12" i="19"/>
  <c r="Q12" i="19"/>
  <c r="M12" i="19"/>
  <c r="T12" i="19"/>
  <c r="P12" i="19"/>
  <c r="S12" i="19"/>
  <c r="O12" i="19"/>
  <c r="R16" i="19"/>
  <c r="N16" i="19"/>
  <c r="Q16" i="19"/>
  <c r="M16" i="19"/>
  <c r="T16" i="19"/>
  <c r="P16" i="19"/>
  <c r="S16" i="19"/>
  <c r="O16" i="19"/>
  <c r="G4" i="19"/>
  <c r="F4" i="19"/>
  <c r="I4" i="19"/>
  <c r="E4" i="19"/>
  <c r="C4" i="19"/>
  <c r="H4" i="19"/>
  <c r="D4" i="19"/>
  <c r="B4" i="19"/>
  <c r="R3" i="19"/>
  <c r="N3" i="19"/>
  <c r="Q3" i="19"/>
  <c r="M3" i="19"/>
  <c r="T3" i="19"/>
  <c r="P3" i="19"/>
  <c r="S3" i="19"/>
  <c r="O3" i="19"/>
  <c r="R9" i="19"/>
  <c r="N9" i="19"/>
  <c r="Q9" i="19"/>
  <c r="M9" i="19"/>
  <c r="T9" i="19"/>
  <c r="P9" i="19"/>
  <c r="S9" i="19"/>
  <c r="O9" i="19"/>
  <c r="G13" i="19"/>
  <c r="C13" i="19"/>
  <c r="F13" i="19"/>
  <c r="B13" i="19"/>
  <c r="I13" i="19"/>
  <c r="E13" i="19"/>
  <c r="H13" i="19"/>
  <c r="D13" i="19"/>
  <c r="R8" i="19"/>
  <c r="N8" i="19"/>
  <c r="Q8" i="19"/>
  <c r="M8" i="19"/>
  <c r="T8" i="19"/>
  <c r="P8" i="19"/>
  <c r="S8" i="19"/>
  <c r="O8" i="19"/>
  <c r="G16" i="19"/>
  <c r="C16" i="19"/>
  <c r="F16" i="19"/>
  <c r="B16" i="19"/>
  <c r="I16" i="19"/>
  <c r="E16" i="19"/>
  <c r="H16" i="19"/>
  <c r="D16" i="19"/>
  <c r="G20" i="19"/>
  <c r="C20" i="19"/>
  <c r="F20" i="19"/>
  <c r="B20" i="19"/>
  <c r="I20" i="19"/>
  <c r="E20" i="19"/>
  <c r="H20" i="19"/>
  <c r="D20" i="19"/>
  <c r="R19" i="19"/>
  <c r="N19" i="19"/>
  <c r="Q19" i="19"/>
  <c r="M19" i="19"/>
  <c r="T19" i="19"/>
  <c r="P19" i="19"/>
  <c r="S19" i="19"/>
  <c r="O19" i="19"/>
  <c r="R5" i="19"/>
  <c r="N5" i="19"/>
  <c r="Q5" i="19"/>
  <c r="M5" i="19"/>
  <c r="T5" i="19"/>
  <c r="P5" i="19"/>
  <c r="S5" i="19"/>
  <c r="O5" i="19"/>
  <c r="G5" i="19"/>
  <c r="C5" i="19"/>
  <c r="F5" i="19"/>
  <c r="B5" i="19"/>
  <c r="I5" i="19"/>
  <c r="E5" i="19"/>
  <c r="H5" i="19"/>
  <c r="D5" i="19"/>
  <c r="G9" i="19"/>
  <c r="C9" i="19"/>
  <c r="F9" i="19"/>
  <c r="B9" i="19"/>
  <c r="I9" i="19"/>
  <c r="E9" i="19"/>
  <c r="H9" i="19"/>
  <c r="D9" i="19"/>
  <c r="R4" i="19"/>
  <c r="N4" i="19"/>
  <c r="Q4" i="19"/>
  <c r="M4" i="19"/>
  <c r="T4" i="19"/>
  <c r="P4" i="19"/>
  <c r="S4" i="19"/>
  <c r="O4" i="19"/>
  <c r="G12" i="19"/>
  <c r="C12" i="19"/>
  <c r="F12" i="19"/>
  <c r="B12" i="19"/>
  <c r="I12" i="19"/>
  <c r="E12" i="19"/>
  <c r="H12" i="19"/>
  <c r="D12" i="19"/>
  <c r="R15" i="19"/>
  <c r="N15" i="19"/>
  <c r="Q15" i="19"/>
  <c r="M15" i="19"/>
  <c r="T15" i="19"/>
  <c r="P15" i="19"/>
  <c r="S15" i="19"/>
  <c r="O15" i="19"/>
  <c r="R17" i="19"/>
  <c r="N17" i="19"/>
  <c r="Q17" i="19"/>
  <c r="M17" i="19"/>
  <c r="T17" i="19"/>
  <c r="P17" i="19"/>
  <c r="S17" i="19"/>
  <c r="O17" i="19"/>
  <c r="R21" i="19"/>
  <c r="N21" i="19"/>
  <c r="Q21" i="19"/>
  <c r="M21" i="19"/>
  <c r="T21" i="19"/>
  <c r="P21" i="19"/>
  <c r="S21" i="19"/>
  <c r="O21" i="19"/>
  <c r="G21" i="19"/>
  <c r="C21" i="19"/>
  <c r="F21" i="19"/>
  <c r="B21" i="19"/>
  <c r="I21" i="19"/>
  <c r="E21" i="19"/>
  <c r="H21" i="19"/>
  <c r="D21" i="19"/>
  <c r="R20" i="19"/>
  <c r="N20" i="19"/>
  <c r="Q20" i="19"/>
  <c r="M20" i="19"/>
  <c r="T20" i="19"/>
  <c r="P20" i="19"/>
  <c r="S20" i="19"/>
  <c r="O20" i="19"/>
  <c r="G8" i="19"/>
  <c r="C8" i="19"/>
  <c r="F8" i="19"/>
  <c r="B8" i="19"/>
  <c r="I8" i="19"/>
  <c r="E8" i="19"/>
  <c r="H8" i="19"/>
  <c r="D8" i="19"/>
  <c r="R7" i="19"/>
  <c r="N7" i="19"/>
  <c r="Q7" i="19"/>
  <c r="M7" i="19"/>
  <c r="T7" i="19"/>
  <c r="P7" i="19"/>
  <c r="S7" i="19"/>
  <c r="O7" i="19"/>
  <c r="R11" i="19"/>
  <c r="N11" i="19"/>
  <c r="Q11" i="19"/>
  <c r="M11" i="19"/>
  <c r="T11" i="19"/>
  <c r="P11" i="19"/>
  <c r="S11" i="19"/>
  <c r="O11" i="19"/>
  <c r="R13" i="19"/>
  <c r="N13" i="19"/>
  <c r="Q13" i="19"/>
  <c r="M13" i="19"/>
  <c r="T13" i="19"/>
  <c r="P13" i="19"/>
  <c r="S13" i="19"/>
  <c r="O13" i="19"/>
  <c r="J33" i="25"/>
  <c r="J37" i="25"/>
  <c r="I35" i="25"/>
  <c r="H33" i="25"/>
  <c r="H37" i="25"/>
  <c r="G35" i="25"/>
  <c r="J34" i="25"/>
  <c r="J38" i="25"/>
  <c r="I36" i="25"/>
  <c r="H34" i="25"/>
  <c r="H38" i="25"/>
  <c r="G36" i="25"/>
  <c r="J35" i="25"/>
  <c r="I33" i="25"/>
  <c r="I37" i="25"/>
  <c r="H35" i="25"/>
  <c r="G33" i="25"/>
  <c r="G37" i="25"/>
  <c r="J36" i="25"/>
  <c r="I34" i="25"/>
  <c r="I38" i="25"/>
  <c r="H36" i="25"/>
  <c r="G34" i="25"/>
  <c r="G38" i="25"/>
  <c r="I2" i="8"/>
  <c r="N2" i="8"/>
  <c r="F31" i="30"/>
  <c r="D34" i="30" s="1"/>
  <c r="AH2" i="25"/>
  <c r="AH15" i="25" s="1"/>
  <c r="E31" i="30"/>
  <c r="C34" i="30" s="1"/>
  <c r="AC2" i="25"/>
  <c r="AC14" i="25" s="1"/>
  <c r="F11" i="30"/>
  <c r="D14" i="30" s="1"/>
  <c r="E21" i="30"/>
  <c r="C24" i="30" s="1"/>
  <c r="F21" i="30"/>
  <c r="D24" i="30" s="1"/>
  <c r="E11" i="30"/>
  <c r="C14" i="30" s="1"/>
  <c r="E32" i="30"/>
  <c r="E20" i="30"/>
  <c r="E22" i="30"/>
  <c r="E10" i="30"/>
  <c r="E12" i="30"/>
  <c r="E30" i="30"/>
  <c r="F32" i="30"/>
  <c r="F22" i="30"/>
  <c r="F12" i="30"/>
  <c r="F30" i="30"/>
  <c r="F20" i="30"/>
  <c r="F10" i="30"/>
  <c r="M3" i="30" a="1"/>
  <c r="M3" i="30" s="1"/>
  <c r="L3" i="30" a="1"/>
  <c r="L3" i="30" s="1"/>
  <c r="K3" i="30" a="1"/>
  <c r="K3" i="30" s="1"/>
  <c r="K4" i="30" a="1"/>
  <c r="K4" i="30" s="1"/>
  <c r="M4" i="30" a="1"/>
  <c r="M4" i="30" s="1"/>
  <c r="L4" i="30" a="1"/>
  <c r="L4" i="30" s="1"/>
  <c r="L5" i="30" a="1"/>
  <c r="L5" i="30" s="1"/>
  <c r="A30" i="5"/>
  <c r="A39" i="5" s="1"/>
  <c r="A36" i="5"/>
  <c r="A33" i="5"/>
  <c r="G2" i="8"/>
  <c r="M5" i="30" a="1"/>
  <c r="M5" i="30" s="1"/>
  <c r="A21" i="5"/>
  <c r="A15" i="5"/>
  <c r="A24" i="5" s="1"/>
  <c r="A18" i="5"/>
  <c r="A48" i="5"/>
  <c r="A51" i="5"/>
  <c r="A45" i="5"/>
  <c r="A54" i="5" s="1"/>
  <c r="Q2" i="8"/>
  <c r="S2" i="8"/>
  <c r="T5" i="25"/>
  <c r="S3" i="25"/>
  <c r="T3" i="25"/>
  <c r="T4" i="25"/>
  <c r="S4" i="25"/>
  <c r="U5" i="25"/>
  <c r="S5" i="25"/>
  <c r="J18" i="25"/>
  <c r="G14" i="25"/>
  <c r="I17" i="25"/>
  <c r="H13" i="25"/>
  <c r="G18" i="25"/>
  <c r="G16" i="25"/>
  <c r="H23" i="25"/>
  <c r="H28" i="25"/>
  <c r="I25" i="25"/>
  <c r="G28" i="25"/>
  <c r="J28" i="25"/>
  <c r="H25" i="25"/>
  <c r="H17" i="25"/>
  <c r="I16" i="25"/>
  <c r="J15" i="25"/>
  <c r="I13" i="25"/>
  <c r="G13" i="25"/>
  <c r="J17" i="25"/>
  <c r="G15" i="25"/>
  <c r="H14" i="25"/>
  <c r="J16" i="25"/>
  <c r="H15" i="25"/>
  <c r="I14" i="25"/>
  <c r="I15" i="25"/>
  <c r="J14" i="25"/>
  <c r="H18" i="25"/>
  <c r="I18" i="25"/>
  <c r="G17" i="25"/>
  <c r="H16" i="25"/>
  <c r="J25" i="25"/>
  <c r="G27" i="25"/>
  <c r="H26" i="25"/>
  <c r="G23" i="25"/>
  <c r="I26" i="25"/>
  <c r="I28" i="25"/>
  <c r="J23" i="25"/>
  <c r="H27" i="25"/>
  <c r="I24" i="25"/>
  <c r="G24" i="25"/>
  <c r="G26" i="25"/>
  <c r="J27" i="25"/>
  <c r="G25" i="25"/>
  <c r="H24" i="25"/>
  <c r="J26" i="25"/>
  <c r="J24" i="25"/>
  <c r="I27" i="25"/>
  <c r="I23" i="25"/>
  <c r="K31" i="36" l="1"/>
  <c r="K20" i="36"/>
  <c r="K22" i="36"/>
  <c r="K12" i="36"/>
  <c r="K11" i="36"/>
  <c r="B30" i="36"/>
  <c r="B31" i="36" s="1"/>
  <c r="B20" i="36"/>
  <c r="B21" i="36" s="1"/>
  <c r="B11" i="36"/>
  <c r="U56" i="30"/>
  <c r="G14" i="35"/>
  <c r="G29" i="35"/>
  <c r="G44" i="35"/>
  <c r="G20" i="35"/>
  <c r="G30" i="35"/>
  <c r="A24" i="36"/>
  <c r="G50" i="35"/>
  <c r="M55" i="30"/>
  <c r="G15" i="35"/>
  <c r="G35" i="35"/>
  <c r="G45" i="35"/>
  <c r="A34" i="36"/>
  <c r="M59" i="30"/>
  <c r="N12" i="33"/>
  <c r="L12" i="33" s="1"/>
  <c r="N31" i="33"/>
  <c r="L31" i="33" s="1"/>
  <c r="Q3" i="33"/>
  <c r="Q6" i="33" s="1"/>
  <c r="M64" i="30"/>
  <c r="M60" i="30"/>
  <c r="R53" i="30"/>
  <c r="R54" i="30"/>
  <c r="R61" i="30"/>
  <c r="N46" i="30"/>
  <c r="M56" i="30"/>
  <c r="U66" i="30"/>
  <c r="L66" i="30"/>
  <c r="V46" i="30"/>
  <c r="O64" i="30"/>
  <c r="N22" i="33"/>
  <c r="L22" i="33" s="1"/>
  <c r="N32" i="33"/>
  <c r="L32" i="33" s="1"/>
  <c r="N11" i="33"/>
  <c r="L11" i="33" s="1"/>
  <c r="N23" i="33"/>
  <c r="L23" i="33" s="1"/>
  <c r="N63" i="30"/>
  <c r="N21" i="33"/>
  <c r="L21" i="33" s="1"/>
  <c r="N33" i="33"/>
  <c r="L33" i="33" s="1"/>
  <c r="N13" i="33"/>
  <c r="L13" i="33" s="1"/>
  <c r="N58" i="30"/>
  <c r="U62" i="30"/>
  <c r="U61" i="30"/>
  <c r="U67" i="30"/>
  <c r="N60" i="30"/>
  <c r="N64" i="30"/>
  <c r="N59" i="30"/>
  <c r="N54" i="30"/>
  <c r="L46" i="30"/>
  <c r="M65" i="30"/>
  <c r="W67" i="30"/>
  <c r="N55" i="30"/>
  <c r="N61" i="30"/>
  <c r="V40" i="30"/>
  <c r="R38" i="30"/>
  <c r="R64" i="30"/>
  <c r="U55" i="30"/>
  <c r="M63" i="30"/>
  <c r="R57" i="30"/>
  <c r="S62" i="30"/>
  <c r="R65" i="30"/>
  <c r="R55" i="30"/>
  <c r="U63" i="30"/>
  <c r="O53" i="30"/>
  <c r="S56" i="30"/>
  <c r="P57" i="30"/>
  <c r="M62" i="30"/>
  <c r="O65" i="30"/>
  <c r="R62" i="30"/>
  <c r="M57" i="30"/>
  <c r="U57" i="30"/>
  <c r="N56" i="30"/>
  <c r="R66" i="30"/>
  <c r="U60" i="30"/>
  <c r="R58" i="30"/>
  <c r="M53" i="30"/>
  <c r="U53" i="30"/>
  <c r="N50" i="30"/>
  <c r="R50" i="30"/>
  <c r="U58" i="30"/>
  <c r="R56" i="30"/>
  <c r="M67" i="30"/>
  <c r="V58" i="30"/>
  <c r="P67" i="30"/>
  <c r="N34" i="30"/>
  <c r="R67" i="30"/>
  <c r="N62" i="30"/>
  <c r="R63" i="30"/>
  <c r="M58" i="30"/>
  <c r="U54" i="30"/>
  <c r="P60" i="30"/>
  <c r="N57" i="30"/>
  <c r="U59" i="30"/>
  <c r="R59" i="30"/>
  <c r="M54" i="30"/>
  <c r="U50" i="30"/>
  <c r="P56" i="30"/>
  <c r="N53" i="30"/>
  <c r="M61" i="30"/>
  <c r="M50" i="30"/>
  <c r="U64" i="30"/>
  <c r="V65" i="30"/>
  <c r="V55" i="30"/>
  <c r="N30" i="30"/>
  <c r="V47" i="30"/>
  <c r="V34" i="30"/>
  <c r="Z44" i="30"/>
  <c r="V37" i="30"/>
  <c r="Z40" i="30"/>
  <c r="L47" i="30"/>
  <c r="L45" i="30"/>
  <c r="P62" i="30"/>
  <c r="V50" i="30"/>
  <c r="O50" i="30"/>
  <c r="V54" i="30"/>
  <c r="O61" i="30"/>
  <c r="O56" i="30"/>
  <c r="L33" i="30"/>
  <c r="L35" i="30"/>
  <c r="M47" i="30"/>
  <c r="L30" i="30"/>
  <c r="V56" i="30"/>
  <c r="V53" i="30"/>
  <c r="O58" i="30"/>
  <c r="V64" i="30"/>
  <c r="P53" i="30"/>
  <c r="O55" i="30"/>
  <c r="S36" i="30"/>
  <c r="M44" i="30"/>
  <c r="Q67" i="30"/>
  <c r="V61" i="30"/>
  <c r="S58" i="30"/>
  <c r="Z55" i="30"/>
  <c r="Y60" i="30"/>
  <c r="Z41" i="30"/>
  <c r="Z36" i="30"/>
  <c r="L38" i="30"/>
  <c r="U39" i="30"/>
  <c r="L37" i="30"/>
  <c r="V38" i="30"/>
  <c r="R40" i="30"/>
  <c r="L39" i="30"/>
  <c r="L44" i="30"/>
  <c r="Q53" i="30"/>
  <c r="V57" i="30"/>
  <c r="P63" i="30"/>
  <c r="O63" i="30"/>
  <c r="V67" i="30"/>
  <c r="S50" i="30"/>
  <c r="P59" i="30"/>
  <c r="O60" i="30"/>
  <c r="V63" i="30"/>
  <c r="P55" i="30"/>
  <c r="O54" i="30"/>
  <c r="P66" i="30"/>
  <c r="Z59" i="30"/>
  <c r="P45" i="30"/>
  <c r="L36" i="30"/>
  <c r="L40" i="30"/>
  <c r="L42" i="30"/>
  <c r="U34" i="30"/>
  <c r="M41" i="30"/>
  <c r="L43" i="30"/>
  <c r="O62" i="30"/>
  <c r="V66" i="30"/>
  <c r="P58" i="30"/>
  <c r="O67" i="30"/>
  <c r="P64" i="30"/>
  <c r="O59" i="30"/>
  <c r="V62" i="30"/>
  <c r="P54" i="30"/>
  <c r="O66" i="30"/>
  <c r="P61" i="30"/>
  <c r="V59" i="30"/>
  <c r="P50" i="30"/>
  <c r="P34" i="30"/>
  <c r="M38" i="30"/>
  <c r="U44" i="30"/>
  <c r="Q66" i="30"/>
  <c r="Z62" i="30"/>
  <c r="T58" i="30"/>
  <c r="Q56" i="30"/>
  <c r="Z65" i="30"/>
  <c r="Y61" i="30"/>
  <c r="Q65" i="30"/>
  <c r="Y55" i="30"/>
  <c r="T60" i="30"/>
  <c r="Q57" i="30"/>
  <c r="Z60" i="30"/>
  <c r="Y57" i="30"/>
  <c r="Z63" i="30"/>
  <c r="Q63" i="30"/>
  <c r="T46" i="30"/>
  <c r="P30" i="30"/>
  <c r="M46" i="30"/>
  <c r="P44" i="30"/>
  <c r="U45" i="30"/>
  <c r="M33" i="30"/>
  <c r="P37" i="30"/>
  <c r="M37" i="30"/>
  <c r="P42" i="30"/>
  <c r="U30" i="30"/>
  <c r="U42" i="30"/>
  <c r="M42" i="30"/>
  <c r="P41" i="30"/>
  <c r="U35" i="30"/>
  <c r="M36" i="30"/>
  <c r="P36" i="30"/>
  <c r="M40" i="30"/>
  <c r="U40" i="30"/>
  <c r="P47" i="30"/>
  <c r="P33" i="30"/>
  <c r="U38" i="30"/>
  <c r="P40" i="30"/>
  <c r="U41" i="30"/>
  <c r="M39" i="30"/>
  <c r="U33" i="30"/>
  <c r="U47" i="30"/>
  <c r="S67" i="30"/>
  <c r="S64" i="30"/>
  <c r="S57" i="30"/>
  <c r="S61" i="30"/>
  <c r="T30" i="30"/>
  <c r="S66" i="30"/>
  <c r="S63" i="30"/>
  <c r="S59" i="30"/>
  <c r="P43" i="30"/>
  <c r="U46" i="30"/>
  <c r="M34" i="30"/>
  <c r="S54" i="30"/>
  <c r="S53" i="30"/>
  <c r="S55" i="30"/>
  <c r="S65" i="30"/>
  <c r="Z46" i="30"/>
  <c r="R41" i="30"/>
  <c r="K65" i="30"/>
  <c r="W57" i="30"/>
  <c r="W61" i="30"/>
  <c r="K61" i="30"/>
  <c r="K33" i="30"/>
  <c r="L64" i="30"/>
  <c r="W60" i="30"/>
  <c r="K64" i="30"/>
  <c r="L62" i="30"/>
  <c r="X58" i="30"/>
  <c r="W63" i="30"/>
  <c r="K67" i="30"/>
  <c r="L61" i="30"/>
  <c r="L58" i="30"/>
  <c r="X67" i="30"/>
  <c r="L54" i="30"/>
  <c r="X66" i="30"/>
  <c r="Q44" i="30"/>
  <c r="T42" i="30"/>
  <c r="Y41" i="30"/>
  <c r="Y58" i="30"/>
  <c r="T61" i="30"/>
  <c r="Z56" i="30"/>
  <c r="T57" i="30"/>
  <c r="T62" i="30"/>
  <c r="Y44" i="30"/>
  <c r="Y43" i="30"/>
  <c r="Q30" i="30"/>
  <c r="K38" i="30"/>
  <c r="Q62" i="30"/>
  <c r="Y53" i="30"/>
  <c r="Q60" i="30"/>
  <c r="Q33" i="30"/>
  <c r="X42" i="30"/>
  <c r="Q54" i="30"/>
  <c r="Z35" i="30"/>
  <c r="R34" i="30"/>
  <c r="Z34" i="30"/>
  <c r="N44" i="30"/>
  <c r="X57" i="30"/>
  <c r="W56" i="30"/>
  <c r="W58" i="30"/>
  <c r="K60" i="30"/>
  <c r="L57" i="30"/>
  <c r="X50" i="30"/>
  <c r="W66" i="30"/>
  <c r="L63" i="30"/>
  <c r="X60" i="30"/>
  <c r="W59" i="30"/>
  <c r="L53" i="30"/>
  <c r="X65" i="30"/>
  <c r="W62" i="30"/>
  <c r="F5" i="33"/>
  <c r="V30" i="30"/>
  <c r="N41" i="30"/>
  <c r="N36" i="30"/>
  <c r="R33" i="30"/>
  <c r="Z45" i="30"/>
  <c r="Z38" i="30"/>
  <c r="O45" i="30"/>
  <c r="R35" i="30"/>
  <c r="V33" i="30"/>
  <c r="O35" i="30"/>
  <c r="S41" i="30"/>
  <c r="O34" i="30"/>
  <c r="N37" i="30"/>
  <c r="X61" i="30"/>
  <c r="K63" i="30"/>
  <c r="L60" i="30"/>
  <c r="X56" i="30"/>
  <c r="W55" i="30"/>
  <c r="L65" i="30"/>
  <c r="Y62" i="30"/>
  <c r="Q61" i="30"/>
  <c r="K59" i="30"/>
  <c r="Z58" i="30"/>
  <c r="L56" i="30"/>
  <c r="X54" i="30"/>
  <c r="T55" i="30"/>
  <c r="W50" i="30"/>
  <c r="Q59" i="30"/>
  <c r="K56" i="30"/>
  <c r="L67" i="30"/>
  <c r="X63" i="30"/>
  <c r="T53" i="30"/>
  <c r="V41" i="30"/>
  <c r="N38" i="30"/>
  <c r="Z47" i="30"/>
  <c r="V35" i="30"/>
  <c r="N39" i="30"/>
  <c r="W35" i="30"/>
  <c r="V42" i="30"/>
  <c r="N45" i="30"/>
  <c r="Z42" i="30"/>
  <c r="S47" i="30"/>
  <c r="R43" i="30"/>
  <c r="K37" i="30"/>
  <c r="W40" i="30"/>
  <c r="Z37" i="30"/>
  <c r="P38" i="30"/>
  <c r="V39" i="30"/>
  <c r="L41" i="30"/>
  <c r="R39" i="30"/>
  <c r="U36" i="30"/>
  <c r="N35" i="30"/>
  <c r="M43" i="30"/>
  <c r="S45" i="30"/>
  <c r="R42" i="30"/>
  <c r="W37" i="30"/>
  <c r="P35" i="30"/>
  <c r="M30" i="30"/>
  <c r="O42" i="30"/>
  <c r="U43" i="30"/>
  <c r="K46" i="30"/>
  <c r="M45" i="30"/>
  <c r="P46" i="30"/>
  <c r="R37" i="30"/>
  <c r="W45" i="30"/>
  <c r="V44" i="30"/>
  <c r="R47" i="30"/>
  <c r="N42" i="30"/>
  <c r="Q55" i="30"/>
  <c r="Z64" i="30"/>
  <c r="X59" i="30"/>
  <c r="T64" i="30"/>
  <c r="Q50" i="30"/>
  <c r="K62" i="30"/>
  <c r="Z61" i="30"/>
  <c r="L59" i="30"/>
  <c r="Y56" i="30"/>
  <c r="X55" i="30"/>
  <c r="T59" i="30"/>
  <c r="W54" i="30"/>
  <c r="K66" i="30"/>
  <c r="X62" i="30"/>
  <c r="T65" i="30"/>
  <c r="Q64" i="30"/>
  <c r="K58" i="30"/>
  <c r="Z57" i="30"/>
  <c r="L55" i="30"/>
  <c r="Y50" i="30"/>
  <c r="X53" i="30"/>
  <c r="W53" i="30"/>
  <c r="Z66" i="30"/>
  <c r="Z50" i="30"/>
  <c r="Y65" i="30"/>
  <c r="W65" i="30"/>
  <c r="X35" i="30"/>
  <c r="Y37" i="30"/>
  <c r="X38" i="30"/>
  <c r="X33" i="30"/>
  <c r="X34" i="30"/>
  <c r="Y42" i="30"/>
  <c r="T38" i="30"/>
  <c r="T34" i="30"/>
  <c r="X47" i="30"/>
  <c r="T44" i="30"/>
  <c r="Z33" i="30"/>
  <c r="S30" i="30"/>
  <c r="Q39" i="30"/>
  <c r="R45" i="30"/>
  <c r="N33" i="30"/>
  <c r="X36" i="30"/>
  <c r="Q41" i="30"/>
  <c r="Z43" i="30"/>
  <c r="Y45" i="30"/>
  <c r="V45" i="30"/>
  <c r="R36" i="30"/>
  <c r="T41" i="30"/>
  <c r="N40" i="30"/>
  <c r="N66" i="30"/>
  <c r="Y39" i="30"/>
  <c r="Q38" i="30"/>
  <c r="Y33" i="30"/>
  <c r="T36" i="30"/>
  <c r="Q46" i="30"/>
  <c r="X37" i="30"/>
  <c r="D24" i="33"/>
  <c r="D22" i="33"/>
  <c r="D20" i="33" s="1"/>
  <c r="D34" i="33"/>
  <c r="D32" i="33"/>
  <c r="D30" i="33" s="1"/>
  <c r="W36" i="30"/>
  <c r="Y35" i="30"/>
  <c r="O38" i="30"/>
  <c r="T39" i="30"/>
  <c r="W34" i="30"/>
  <c r="Y40" i="30"/>
  <c r="S34" i="30"/>
  <c r="Q37" i="30"/>
  <c r="O30" i="30"/>
  <c r="T35" i="30"/>
  <c r="X45" i="30"/>
  <c r="Y47" i="30"/>
  <c r="S38" i="30"/>
  <c r="X44" i="30"/>
  <c r="W43" i="30"/>
  <c r="Z39" i="30"/>
  <c r="Y34" i="30"/>
  <c r="S33" i="30"/>
  <c r="V36" i="30"/>
  <c r="Q40" i="30"/>
  <c r="O44" i="30"/>
  <c r="R30" i="30"/>
  <c r="T45" i="30"/>
  <c r="K35" i="30"/>
  <c r="N47" i="30"/>
  <c r="X41" i="30"/>
  <c r="Q36" i="30"/>
  <c r="R44" i="30"/>
  <c r="K42" i="30"/>
  <c r="W44" i="30"/>
  <c r="Y46" i="30"/>
  <c r="S40" i="30"/>
  <c r="Q43" i="30"/>
  <c r="O40" i="30"/>
  <c r="T33" i="30"/>
  <c r="K47" i="30"/>
  <c r="X30" i="30"/>
  <c r="C20" i="33"/>
  <c r="C22" i="33" s="1"/>
  <c r="C24" i="33"/>
  <c r="Y67" i="30"/>
  <c r="T54" i="30"/>
  <c r="T63" i="30"/>
  <c r="K55" i="30"/>
  <c r="Z54" i="30"/>
  <c r="Y64" i="30"/>
  <c r="T67" i="30"/>
  <c r="N65" i="30"/>
  <c r="C34" i="33"/>
  <c r="C30" i="33"/>
  <c r="C32" i="33" s="1"/>
  <c r="W41" i="30"/>
  <c r="O33" i="30"/>
  <c r="W33" i="30"/>
  <c r="S37" i="30"/>
  <c r="O46" i="30"/>
  <c r="K43" i="30"/>
  <c r="O36" i="30"/>
  <c r="K39" i="30"/>
  <c r="W46" i="30"/>
  <c r="S39" i="30"/>
  <c r="O43" i="30"/>
  <c r="K45" i="30"/>
  <c r="K30" i="30"/>
  <c r="W39" i="30"/>
  <c r="S35" i="30"/>
  <c r="O39" i="30"/>
  <c r="K41" i="30"/>
  <c r="C10" i="33"/>
  <c r="C12" i="33" s="1"/>
  <c r="C14" i="33"/>
  <c r="F3" i="33"/>
  <c r="K54" i="30"/>
  <c r="Z53" i="30"/>
  <c r="Y63" i="30"/>
  <c r="T66" i="30"/>
  <c r="F4" i="33"/>
  <c r="W38" i="30"/>
  <c r="Q42" i="30"/>
  <c r="X46" i="30"/>
  <c r="W47" i="30"/>
  <c r="Y38" i="30"/>
  <c r="S43" i="30"/>
  <c r="Q47" i="30"/>
  <c r="O47" i="30"/>
  <c r="T40" i="30"/>
  <c r="K34" i="30"/>
  <c r="X40" i="30"/>
  <c r="Q35" i="30"/>
  <c r="K36" i="30"/>
  <c r="W30" i="30"/>
  <c r="Y36" i="30"/>
  <c r="S46" i="30"/>
  <c r="Q34" i="30"/>
  <c r="O41" i="30"/>
  <c r="T47" i="30"/>
  <c r="K44" i="30"/>
  <c r="X43" i="30"/>
  <c r="S44" i="30"/>
  <c r="T37" i="30"/>
  <c r="D14" i="33"/>
  <c r="D12" i="33"/>
  <c r="D10" i="33" s="1"/>
  <c r="Y54" i="30"/>
  <c r="T56" i="30"/>
  <c r="K53" i="30"/>
  <c r="Y59" i="30"/>
  <c r="K57" i="30"/>
  <c r="K27" i="30"/>
  <c r="K10" i="30"/>
  <c r="Y25" i="30"/>
  <c r="Y24" i="30"/>
  <c r="U23" i="30"/>
  <c r="R25" i="30"/>
  <c r="R22" i="30"/>
  <c r="Q13" i="30"/>
  <c r="Q27" i="30"/>
  <c r="N22" i="30"/>
  <c r="N10" i="30"/>
  <c r="V15" i="30"/>
  <c r="V10" i="30"/>
  <c r="P25" i="30"/>
  <c r="P10" i="30"/>
  <c r="Y21" i="30"/>
  <c r="X16" i="30"/>
  <c r="Q21" i="30"/>
  <c r="O18" i="30"/>
  <c r="X15" i="30"/>
  <c r="Q24" i="30"/>
  <c r="Y27" i="30"/>
  <c r="Q23" i="30"/>
  <c r="R23" i="30"/>
  <c r="Y18" i="30"/>
  <c r="Y10" i="30"/>
  <c r="Z19" i="30"/>
  <c r="Z10" i="30"/>
  <c r="T13" i="30"/>
  <c r="T10" i="30"/>
  <c r="W16" i="30"/>
  <c r="W10" i="30"/>
  <c r="U14" i="30"/>
  <c r="U10" i="30"/>
  <c r="W19" i="30"/>
  <c r="O17" i="30"/>
  <c r="O13" i="30"/>
  <c r="W15" i="30"/>
  <c r="W22" i="30"/>
  <c r="Q16" i="30"/>
  <c r="X26" i="30"/>
  <c r="Q19" i="30"/>
  <c r="U16" i="30"/>
  <c r="Q26" i="30"/>
  <c r="R27" i="30"/>
  <c r="R10" i="30"/>
  <c r="X17" i="30"/>
  <c r="X10" i="30"/>
  <c r="R14" i="30"/>
  <c r="W27" i="30"/>
  <c r="X20" i="30"/>
  <c r="Q25" i="30"/>
  <c r="Q17" i="30"/>
  <c r="U20" i="30"/>
  <c r="W25" i="30"/>
  <c r="R20" i="30"/>
  <c r="Q15" i="30"/>
  <c r="Q20" i="30"/>
  <c r="U26" i="30"/>
  <c r="M21" i="30"/>
  <c r="M10" i="30"/>
  <c r="O23" i="30"/>
  <c r="O10" i="30"/>
  <c r="S26" i="30"/>
  <c r="S10" i="30"/>
  <c r="O21" i="30"/>
  <c r="Y20" i="30"/>
  <c r="Z15" i="30"/>
  <c r="T25" i="30"/>
  <c r="Q14" i="30"/>
  <c r="Q10" i="30"/>
  <c r="K14" i="30"/>
  <c r="K19" i="30"/>
  <c r="K23" i="30"/>
  <c r="K17" i="30"/>
  <c r="L20" i="30"/>
  <c r="L10" i="30"/>
  <c r="K24" i="30"/>
  <c r="K20" i="30"/>
  <c r="K22" i="30"/>
  <c r="K26" i="30"/>
  <c r="L13" i="30"/>
  <c r="S18" i="30"/>
  <c r="O19" i="30"/>
  <c r="N18" i="30"/>
  <c r="M17" i="30"/>
  <c r="L16" i="30"/>
  <c r="M24" i="30"/>
  <c r="T16" i="30"/>
  <c r="N17" i="30"/>
  <c r="U13" i="30"/>
  <c r="K15" i="30"/>
  <c r="M27" i="30"/>
  <c r="X24" i="30"/>
  <c r="T20" i="30"/>
  <c r="P16" i="30"/>
  <c r="L18" i="30"/>
  <c r="Y16" i="30"/>
  <c r="W14" i="30"/>
  <c r="T23" i="30"/>
  <c r="R17" i="30"/>
  <c r="P19" i="30"/>
  <c r="K13" i="30"/>
  <c r="N27" i="30"/>
  <c r="M26" i="30"/>
  <c r="L25" i="30"/>
  <c r="Z24" i="30"/>
  <c r="Y23" i="30"/>
  <c r="X22" i="30"/>
  <c r="W21" i="30"/>
  <c r="V20" i="30"/>
  <c r="U19" i="30"/>
  <c r="T18" i="30"/>
  <c r="S17" i="30"/>
  <c r="R16" i="30"/>
  <c r="P14" i="30"/>
  <c r="L14" i="30"/>
  <c r="X27" i="30"/>
  <c r="V25" i="30"/>
  <c r="T27" i="30"/>
  <c r="S14" i="30"/>
  <c r="P27" i="30"/>
  <c r="K16" i="30"/>
  <c r="O15" i="30"/>
  <c r="N14" i="30"/>
  <c r="M13" i="30"/>
  <c r="Z27" i="30"/>
  <c r="Y26" i="30"/>
  <c r="X25" i="30"/>
  <c r="W24" i="30"/>
  <c r="V23" i="30"/>
  <c r="U22" i="30"/>
  <c r="T21" i="30"/>
  <c r="S20" i="30"/>
  <c r="R19" i="30"/>
  <c r="Q18" i="30"/>
  <c r="P17" i="30"/>
  <c r="P24" i="30"/>
  <c r="L15" i="30"/>
  <c r="L26" i="30"/>
  <c r="V24" i="30"/>
  <c r="P18" i="30"/>
  <c r="L22" i="30"/>
  <c r="V27" i="30"/>
  <c r="S24" i="30"/>
  <c r="P21" i="30"/>
  <c r="N20" i="30"/>
  <c r="U17" i="30"/>
  <c r="O26" i="30"/>
  <c r="N24" i="30"/>
  <c r="Z14" i="30"/>
  <c r="U25" i="30"/>
  <c r="L23" i="30"/>
  <c r="S15" i="30"/>
  <c r="N25" i="30"/>
  <c r="V14" i="30"/>
  <c r="K18" i="30"/>
  <c r="N13" i="30"/>
  <c r="Y13" i="30"/>
  <c r="T24" i="30"/>
  <c r="P20" i="30"/>
  <c r="Z22" i="30"/>
  <c r="L19" i="30"/>
  <c r="R26" i="30"/>
  <c r="O22" i="30"/>
  <c r="L27" i="30"/>
  <c r="W23" i="30"/>
  <c r="S19" i="30"/>
  <c r="N16" i="30"/>
  <c r="Z25" i="30"/>
  <c r="X23" i="30"/>
  <c r="V21" i="30"/>
  <c r="T15" i="30"/>
  <c r="K25" i="30"/>
  <c r="O24" i="30"/>
  <c r="N23" i="30"/>
  <c r="M22" i="30"/>
  <c r="L21" i="30"/>
  <c r="Z20" i="30"/>
  <c r="Y19" i="30"/>
  <c r="X18" i="30"/>
  <c r="W17" i="30"/>
  <c r="V16" i="30"/>
  <c r="U15" i="30"/>
  <c r="T14" i="30"/>
  <c r="S13" i="30"/>
  <c r="P26" i="30"/>
  <c r="M23" i="30"/>
  <c r="Z21" i="30"/>
  <c r="X19" i="30"/>
  <c r="V17" i="30"/>
  <c r="T19" i="30"/>
  <c r="R21" i="30"/>
  <c r="P15" i="30"/>
  <c r="O27" i="30"/>
  <c r="N26" i="30"/>
  <c r="M25" i="30"/>
  <c r="L24" i="30"/>
  <c r="Z23" i="30"/>
  <c r="Y22" i="30"/>
  <c r="X21" i="30"/>
  <c r="W20" i="30"/>
  <c r="V19" i="30"/>
  <c r="U18" i="30"/>
  <c r="T17" i="30"/>
  <c r="S16" i="30"/>
  <c r="R15" i="30"/>
  <c r="P13" i="30"/>
  <c r="V26" i="30"/>
  <c r="V18" i="30"/>
  <c r="N21" i="30"/>
  <c r="P23" i="30"/>
  <c r="N15" i="30"/>
  <c r="M20" i="30"/>
  <c r="S27" i="30"/>
  <c r="O25" i="30"/>
  <c r="M16" i="30"/>
  <c r="S23" i="30"/>
  <c r="Y17" i="30"/>
  <c r="O14" i="30"/>
  <c r="Z26" i="30"/>
  <c r="V22" i="30"/>
  <c r="M19" i="30"/>
  <c r="Z17" i="30"/>
  <c r="V13" i="30"/>
  <c r="S22" i="30"/>
  <c r="K21" i="30"/>
  <c r="O20" i="30"/>
  <c r="N19" i="30"/>
  <c r="M18" i="30"/>
  <c r="L17" i="30"/>
  <c r="Z16" i="30"/>
  <c r="Y15" i="30"/>
  <c r="X14" i="30"/>
  <c r="W13" i="30"/>
  <c r="U27" i="30"/>
  <c r="T26" i="30"/>
  <c r="S25" i="30"/>
  <c r="R24" i="30"/>
  <c r="P22" i="30"/>
  <c r="M15" i="30"/>
  <c r="Z13" i="30"/>
  <c r="W26" i="30"/>
  <c r="U24" i="30"/>
  <c r="R13" i="30"/>
  <c r="F3" i="30"/>
  <c r="L13" i="19"/>
  <c r="L11" i="19"/>
  <c r="L7" i="19"/>
  <c r="J8" i="19"/>
  <c r="L20" i="19"/>
  <c r="J21" i="19"/>
  <c r="L21" i="19"/>
  <c r="L17" i="19"/>
  <c r="L15" i="19"/>
  <c r="J12" i="19"/>
  <c r="L4" i="19"/>
  <c r="J9" i="19"/>
  <c r="J5" i="19"/>
  <c r="L5" i="19"/>
  <c r="L19" i="19"/>
  <c r="J20" i="19"/>
  <c r="J16" i="19"/>
  <c r="L8" i="19"/>
  <c r="J13" i="19"/>
  <c r="L9" i="19"/>
  <c r="L3" i="19"/>
  <c r="J4" i="19"/>
  <c r="L16" i="19"/>
  <c r="L12" i="19"/>
  <c r="J17" i="19"/>
  <c r="C30" i="30"/>
  <c r="C32" i="30" s="1"/>
  <c r="F4" i="30"/>
  <c r="F5" i="30"/>
  <c r="AC12" i="25"/>
  <c r="AD12" i="25" s="1"/>
  <c r="AH6" i="25"/>
  <c r="AK6" i="25" s="1"/>
  <c r="AH16" i="25"/>
  <c r="AJ16" i="25" s="1"/>
  <c r="AH11" i="25"/>
  <c r="AK11" i="25" s="1"/>
  <c r="AH17" i="25"/>
  <c r="AK17" i="25" s="1"/>
  <c r="AH8" i="25"/>
  <c r="AH7" i="25"/>
  <c r="AJ7" i="25" s="1"/>
  <c r="AH18" i="25"/>
  <c r="AK18" i="25" s="1"/>
  <c r="AH9" i="25"/>
  <c r="AI9" i="25" s="1"/>
  <c r="AH4" i="25"/>
  <c r="AI4" i="25" s="1"/>
  <c r="AH10" i="25"/>
  <c r="AJ10" i="25" s="1"/>
  <c r="AH5" i="25"/>
  <c r="AI5" i="25" s="1"/>
  <c r="AH19" i="25"/>
  <c r="AK19" i="25" s="1"/>
  <c r="AH14" i="25"/>
  <c r="AK14" i="25" s="1"/>
  <c r="AH13" i="25"/>
  <c r="AJ13" i="25" s="1"/>
  <c r="AH12" i="25"/>
  <c r="AK12" i="25" s="1"/>
  <c r="AC16" i="25"/>
  <c r="AF16" i="25" s="1"/>
  <c r="AC13" i="25"/>
  <c r="AF13" i="25" s="1"/>
  <c r="AC10" i="25"/>
  <c r="AE10" i="25" s="1"/>
  <c r="AC19" i="25"/>
  <c r="AF19" i="25" s="1"/>
  <c r="AC8" i="25"/>
  <c r="AK15" i="25"/>
  <c r="AI15" i="25"/>
  <c r="AJ15" i="25"/>
  <c r="AC7" i="25"/>
  <c r="AE7" i="25" s="1"/>
  <c r="AC4" i="25"/>
  <c r="AD4" i="25" s="1"/>
  <c r="AC11" i="25"/>
  <c r="AC18" i="25"/>
  <c r="AF18" i="25" s="1"/>
  <c r="AC15" i="25"/>
  <c r="AE15" i="25" s="1"/>
  <c r="AC6" i="25"/>
  <c r="AD6" i="25" s="1"/>
  <c r="D12" i="30"/>
  <c r="D10" i="30" s="1"/>
  <c r="AC17" i="25"/>
  <c r="AE17" i="25" s="1"/>
  <c r="AC9" i="25"/>
  <c r="AC5" i="25"/>
  <c r="D32" i="30"/>
  <c r="D30" i="30" s="1"/>
  <c r="AF14" i="25"/>
  <c r="AE14" i="25"/>
  <c r="AD14" i="25"/>
  <c r="C20" i="30"/>
  <c r="C22" i="30" s="1"/>
  <c r="D22" i="30"/>
  <c r="D20" i="30" s="1"/>
  <c r="AA5" i="25"/>
  <c r="AA4" i="25"/>
  <c r="AA3" i="25"/>
  <c r="B32" i="36" l="1"/>
  <c r="B12" i="36"/>
  <c r="B22" i="36"/>
  <c r="R6" i="33"/>
  <c r="H3" i="33"/>
  <c r="G3" i="33" s="1"/>
  <c r="H4" i="33"/>
  <c r="G4" i="33" s="1"/>
  <c r="H5" i="33"/>
  <c r="G5" i="33" s="1"/>
  <c r="AJ17" i="25"/>
  <c r="AJ18" i="25"/>
  <c r="AI10" i="25"/>
  <c r="AI16" i="25"/>
  <c r="AF12" i="25"/>
  <c r="H4" i="30"/>
  <c r="G4" i="30" s="1"/>
  <c r="H5" i="30"/>
  <c r="G5" i="30" s="1"/>
  <c r="AK5" i="25"/>
  <c r="H3" i="30"/>
  <c r="G3" i="30" s="1"/>
  <c r="AI13" i="25"/>
  <c r="AE12" i="25"/>
  <c r="AJ19" i="25"/>
  <c r="AK4" i="25"/>
  <c r="AJ4" i="25"/>
  <c r="AF10" i="25"/>
  <c r="AK10" i="25"/>
  <c r="AK13" i="25"/>
  <c r="AK16" i="25"/>
  <c r="AD19" i="25"/>
  <c r="AE19" i="25"/>
  <c r="AK7" i="25"/>
  <c r="AI7" i="25"/>
  <c r="AD15" i="25"/>
  <c r="AJ12" i="25"/>
  <c r="AI14" i="25"/>
  <c r="AJ14" i="25"/>
  <c r="AF15" i="25"/>
  <c r="AJ11" i="25"/>
  <c r="AI12" i="25"/>
  <c r="AI18" i="25"/>
  <c r="AF4" i="25"/>
  <c r="AI11" i="25"/>
  <c r="AJ5" i="25"/>
  <c r="AI19" i="25"/>
  <c r="AI17" i="25"/>
  <c r="AK9" i="25"/>
  <c r="AJ9" i="25"/>
  <c r="AJ8" i="25"/>
  <c r="AK8" i="25"/>
  <c r="AI8" i="25"/>
  <c r="AI6" i="25"/>
  <c r="AJ6" i="25"/>
  <c r="AD17" i="25"/>
  <c r="AD16" i="25"/>
  <c r="AE4" i="25"/>
  <c r="AD10" i="25"/>
  <c r="AF17" i="25"/>
  <c r="AD7" i="25"/>
  <c r="AF7" i="25"/>
  <c r="AE16" i="25"/>
  <c r="AE11" i="25"/>
  <c r="AD11" i="25"/>
  <c r="AD18" i="25"/>
  <c r="AE18" i="25"/>
  <c r="AF11" i="25"/>
  <c r="AF6" i="25"/>
  <c r="AE6" i="25"/>
  <c r="AF8" i="25"/>
  <c r="AE8" i="25"/>
  <c r="AD8" i="25"/>
  <c r="AE13" i="25"/>
  <c r="AD13" i="25"/>
  <c r="AF5" i="25"/>
  <c r="AD5" i="25"/>
  <c r="AE5" i="25"/>
  <c r="AF9" i="25"/>
  <c r="AE9" i="25"/>
  <c r="AD9" i="25"/>
  <c r="L11" i="25"/>
  <c r="C7" i="19"/>
  <c r="D3" i="19"/>
  <c r="E7" i="19"/>
  <c r="I7" i="19"/>
  <c r="F3" i="19"/>
  <c r="G19" i="19"/>
  <c r="C19" i="19"/>
  <c r="F19" i="19"/>
  <c r="B19" i="19"/>
  <c r="I19" i="19"/>
  <c r="E19" i="19"/>
  <c r="H19" i="19"/>
  <c r="D19" i="19"/>
  <c r="G15" i="19"/>
  <c r="C15" i="19"/>
  <c r="F15" i="19"/>
  <c r="B15" i="19"/>
  <c r="I15" i="19"/>
  <c r="E15" i="19"/>
  <c r="H15" i="19"/>
  <c r="D15" i="19"/>
  <c r="G11" i="19"/>
  <c r="C11" i="19"/>
  <c r="F11" i="19"/>
  <c r="B11" i="19"/>
  <c r="I11" i="19"/>
  <c r="E11" i="19"/>
  <c r="H11" i="19"/>
  <c r="D11" i="19"/>
  <c r="D7" i="19"/>
  <c r="B7" i="19"/>
  <c r="H7" i="19"/>
  <c r="F7" i="19"/>
  <c r="I3" i="19"/>
  <c r="G3" i="19"/>
  <c r="E3" i="19"/>
  <c r="C3" i="19"/>
  <c r="G7" i="19"/>
  <c r="H3" i="19"/>
  <c r="V30" i="25" l="1"/>
  <c r="R30" i="25"/>
  <c r="N30" i="25"/>
  <c r="J7" i="19"/>
  <c r="J3" i="19"/>
  <c r="J11" i="19"/>
  <c r="J15" i="19"/>
  <c r="J19" i="19"/>
  <c r="C10" i="30" l="1"/>
  <c r="C12" i="30" s="1"/>
  <c r="B28" i="25"/>
  <c r="N3" i="25"/>
  <c r="N4" i="25"/>
  <c r="B29" i="25"/>
  <c r="N8" i="25"/>
  <c r="C33" i="25"/>
  <c r="N6" i="25"/>
  <c r="C31" i="25"/>
  <c r="N7" i="25"/>
  <c r="C32" i="25"/>
  <c r="N5" i="25"/>
  <c r="B30" i="2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BB94D9A-9927-4FA4-93FB-85AD989BF1DA}" keepAlive="1" interval="7" name="Query - Dyno_Data" description="Connection to the 'Dyno_Data' query in the workbook." type="5" refreshedVersion="8" background="1" refreshOnLoad="1" saveData="1">
    <dbPr connection="Provider=Microsoft.Mashup.OleDb.1;Data Source=$Workbook$;Location=Dyno_Data;Extended Properties=&quot;&quot;" command="SELECT * FROM [Dyno_Data]"/>
  </connection>
  <connection id="2" xr16:uid="{5282B759-F37B-48D0-AE86-693372CE93C2}" keepAlive="1" interval="7" name="Query - Dyno_EndMatch" description="Connection to the 'Dyno_EndMatch' query in the workbook." type="5" refreshedVersion="8" background="1" refreshOnLoad="1" saveData="1">
    <dbPr connection="Provider=Microsoft.Mashup.OleDb.1;Data Source=$Workbook$;Location=Dyno_EndMatch;Extended Properties=&quot;&quot;" command="SELECT * FROM [Dyno_EndMatch]"/>
  </connection>
  <connection id="3" xr16:uid="{F0E02B91-5098-4413-8814-FE873AAD2EB2}" keepAlive="1" name="Query - TBA_Events" description="Connection to the 'TBA_Events' query in the workbook." type="5" refreshedVersion="8" background="1" saveData="1">
    <dbPr connection="Provider=Microsoft.Mashup.OleDb.1;Data Source=$Workbook$;Location=TBA_Events;Extended Properties=&quot;&quot;" command="SELECT * FROM [TBA_Events]"/>
  </connection>
  <connection id="4" xr16:uid="{59162036-7CE8-4C62-9185-160C992CAFEC}" keepAlive="1" interval="10" name="Query - TBA_Matches-All" description="Connection to the 'TBA_Matches-All' query in the workbook." type="5" refreshedVersion="8" background="1" refreshOnLoad="1" saveData="1">
    <dbPr connection="Provider=Microsoft.Mashup.OleDb.1;Data Source=$Workbook$;Location=TBA_Matches-All;Extended Properties=&quot;&quot;" command="SELECT * FROM [TBA_Matches-All]"/>
  </connection>
  <connection id="5" xr16:uid="{EFBEBB29-24F3-4683-A79B-2BF0CB1897D6}" keepAlive="1" interval="10" name="Query - TBA_Matches-Blue" description="Connection to the 'TBA_Matches-Blue' query in the workbook." type="5" refreshedVersion="8" background="1" refreshOnLoad="1" saveData="1">
    <dbPr connection="Provider=Microsoft.Mashup.OleDb.1;Data Source=$Workbook$;Location=TBA_Matches-Blue;Extended Properties=&quot;&quot;" command="SELECT * FROM [TBA_Matches-Blue]"/>
  </connection>
  <connection id="6" xr16:uid="{62A970E6-5B4E-4A69-A285-E94CA63F71CF}" keepAlive="1" interval="10" name="Query - TBA_Matches-Red" description="Connection to the 'TBA_Matches-Red' query in the workbook." type="5" refreshedVersion="8" background="1" refreshOnLoad="1" saveData="1">
    <dbPr connection="Provider=Microsoft.Mashup.OleDb.1;Data Source=$Workbook$;Location=TBA_Matches-Red;Extended Properties=&quot;&quot;" command="SELECT * FROM [TBA_Matches-Red]"/>
  </connection>
  <connection id="7" xr16:uid="{132458D5-3EAE-4F94-9F2B-261C321110BD}" keepAlive="1" interval="10" name="Query - TBA_Rankings" description="Connection to the 'TBA_Rankings' query in the workbook." type="5" refreshedVersion="8" background="1" refreshOnLoad="1" saveData="1">
    <dbPr connection="Provider=Microsoft.Mashup.OleDb.1;Data Source=$Workbook$;Location=TBA_Rankings;Extended Properties=&quot;&quot;" command="SELECT * FROM [TBA_Rankings]"/>
  </connection>
  <connection id="8" xr16:uid="{6C27EFA0-7582-4B14-8F4D-A1A615C55D4C}" keepAlive="1" name="Query - TBA_Schedule" description="Connection to the 'TBA_Schedule' query in the workbook." type="5" refreshedVersion="8" refreshOnLoad="1" saveData="1">
    <dbPr connection="Provider=Microsoft.Mashup.OleDb.1;Data Source=$Workbook$;Location=TBA_Schedule;Extended Properties=&quot;&quot;" command="SELECT * FROM [TBA_Schedule]"/>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<sst xmlns="http://schemas.openxmlformats.org/spreadsheetml/2006/main" count="75391" uniqueCount="1429">
  <si>
    <t>Welcome to DynoScout 2024's Match Preview Report</t>
  </si>
  <si>
    <t>This year's eScouting data is being highly supplemented by data from The Blue Alliance. Many thanks to The Blue Alliance for making their valuable data readily accessible to all.</t>
  </si>
  <si>
    <t>Our scouters are human and doing their best to capture all of the robot action accurately.</t>
  </si>
  <si>
    <t>If you suspect any errors, please send a description of them to us at this link. Thank you!</t>
  </si>
  <si>
    <t>This Match Preview Report is an Excel file with multiple tabs for various aspects of the Crescendo game. If you do not see the colored tabs along the bottom, please scroll down.</t>
  </si>
  <si>
    <t>Getting Started</t>
  </si>
  <si>
    <r>
      <t xml:space="preserve">The Report shows data for a specific match. To select a different match, go to the </t>
    </r>
    <r>
      <rPr>
        <b/>
        <sz val="12"/>
        <color theme="1"/>
        <rFont val="Calibri"/>
        <family val="2"/>
        <scheme val="minor"/>
      </rPr>
      <t>Summary</t>
    </r>
    <r>
      <rPr>
        <sz val="12"/>
        <color theme="1"/>
        <rFont val="Calibri"/>
        <family val="2"/>
        <scheme val="minor"/>
      </rPr>
      <t xml:space="preserve"> tab and use the drop-down in the upper left. A refresh of this webpage will set this value</t>
    </r>
  </si>
  <si>
    <t>to be the most recent match scouted to help expedite finding the match you want. Each tab has a drop-down that allows you to change which alliance is being evaluated on that tab.</t>
  </si>
  <si>
    <r>
      <rPr>
        <b/>
        <sz val="14"/>
        <color theme="0"/>
        <rFont val="Calibri"/>
        <family val="2"/>
        <scheme val="minor"/>
      </rPr>
      <t>Summary</t>
    </r>
    <r>
      <rPr>
        <sz val="14"/>
        <color theme="0"/>
        <rFont val="Calibri"/>
        <family val="2"/>
        <scheme val="minor"/>
      </rPr>
      <t xml:space="preserve"> tab</t>
    </r>
  </si>
  <si>
    <t>This tab displays the name of the event being scouted and evaluated, and lists the alliance's teams with their event ranking and their score, which is their total ranking points with</t>
  </si>
  <si>
    <t>cooperition points to the right of the decimal. It also includes overview information for both alliances, with a white background, and the selected alliance with a background of</t>
  </si>
  <si>
    <r>
      <t xml:space="preserve">corresponding color. Charts included on the </t>
    </r>
    <r>
      <rPr>
        <b/>
        <sz val="12"/>
        <color theme="1"/>
        <rFont val="Calibri"/>
        <family val="2"/>
        <scheme val="minor"/>
      </rPr>
      <t>Summary</t>
    </r>
    <r>
      <rPr>
        <sz val="12"/>
        <color theme="1"/>
        <rFont val="Calibri"/>
        <family val="2"/>
        <scheme val="minor"/>
      </rPr>
      <t xml:space="preserve"> tab:</t>
    </r>
  </si>
  <si>
    <r>
      <rPr>
        <sz val="12"/>
        <color theme="1"/>
        <rFont val="Aptos Narrow"/>
        <family val="2"/>
      </rPr>
      <t>•</t>
    </r>
    <r>
      <rPr>
        <sz val="12"/>
        <color theme="1"/>
        <rFont val="Calibri"/>
        <family val="2"/>
      </rPr>
      <t xml:space="preserve"> Stacked Column chart showing each alliance's average points per match</t>
    </r>
  </si>
  <si>
    <r>
      <rPr>
        <sz val="12"/>
        <color theme="1"/>
        <rFont val="Aptos Narrow"/>
        <family val="2"/>
      </rPr>
      <t>•</t>
    </r>
    <r>
      <rPr>
        <sz val="12"/>
        <color theme="1"/>
        <rFont val="Calibri"/>
        <family val="2"/>
      </rPr>
      <t xml:space="preserve"> Doughnut chart showing each team's apparent strategy played from each setup location</t>
    </r>
  </si>
  <si>
    <r>
      <rPr>
        <sz val="12"/>
        <color theme="1"/>
        <rFont val="Aptos Narrow"/>
        <family val="2"/>
      </rPr>
      <t>•</t>
    </r>
    <r>
      <rPr>
        <sz val="12"/>
        <color theme="1"/>
        <rFont val="Calibri"/>
        <family val="2"/>
      </rPr>
      <t xml:space="preserve"> Column chart showing each team's average points per match phase</t>
    </r>
  </si>
  <si>
    <t>(Setup locations each have a ring and are identified by their first letter - roughly centered</t>
  </si>
  <si>
    <r>
      <rPr>
        <sz val="12"/>
        <color theme="1"/>
        <rFont val="Aptos Narrow"/>
        <family val="2"/>
      </rPr>
      <t>•</t>
    </r>
    <r>
      <rPr>
        <sz val="12"/>
        <color theme="1"/>
        <rFont val="Calibri"/>
        <family val="2"/>
      </rPr>
      <t xml:space="preserve"> Stacked Column chart showing the average time each team spends in each zone</t>
    </r>
  </si>
  <si>
    <r>
      <t xml:space="preserve">on the staged notes on the </t>
    </r>
    <r>
      <rPr>
        <b/>
        <sz val="12"/>
        <color theme="1"/>
        <rFont val="Calibri"/>
        <family val="2"/>
        <scheme val="minor"/>
      </rPr>
      <t>A</t>
    </r>
    <r>
      <rPr>
        <sz val="12"/>
        <color theme="1"/>
        <rFont val="Calibri"/>
        <family val="2"/>
        <scheme val="minor"/>
      </rPr>
      <t xml:space="preserve">mp side, the center of the </t>
    </r>
    <r>
      <rPr>
        <b/>
        <sz val="12"/>
        <color theme="1"/>
        <rFont val="Calibri"/>
        <family val="2"/>
        <scheme val="minor"/>
      </rPr>
      <t>S</t>
    </r>
    <r>
      <rPr>
        <sz val="12"/>
        <color theme="1"/>
        <rFont val="Calibri"/>
        <family val="2"/>
        <scheme val="minor"/>
      </rPr>
      <t>ubwoofer, and the</t>
    </r>
    <r>
      <rPr>
        <b/>
        <sz val="12"/>
        <color theme="1"/>
        <rFont val="Calibri"/>
        <family val="2"/>
        <scheme val="minor"/>
      </rPr>
      <t xml:space="preserve"> P</t>
    </r>
    <r>
      <rPr>
        <sz val="12"/>
        <color theme="1"/>
        <rFont val="Calibri"/>
        <family val="2"/>
        <scheme val="minor"/>
      </rPr>
      <t>odium, as</t>
    </r>
  </si>
  <si>
    <r>
      <rPr>
        <sz val="12"/>
        <color theme="1"/>
        <rFont val="Aptos Narrow"/>
        <family val="2"/>
      </rPr>
      <t>•</t>
    </r>
    <r>
      <rPr>
        <sz val="12"/>
        <color theme="1"/>
        <rFont val="Calibri"/>
        <family val="2"/>
      </rPr>
      <t xml:space="preserve"> Column chart showing the number of times each team had a human player in the</t>
    </r>
  </si>
  <si>
    <r>
      <t xml:space="preserve">well as anywhere between the center and the </t>
    </r>
    <r>
      <rPr>
        <b/>
        <sz val="12"/>
        <color theme="1"/>
        <rFont val="Calibri"/>
        <family val="2"/>
        <scheme val="minor"/>
      </rPr>
      <t>O</t>
    </r>
    <r>
      <rPr>
        <sz val="12"/>
        <color theme="1"/>
        <rFont val="Calibri"/>
        <family val="2"/>
        <scheme val="minor"/>
      </rPr>
      <t>pponent's source. Each setup ring is then</t>
    </r>
  </si>
  <si>
    <t>Amp and the number of high notes were made onto the microphones</t>
  </si>
  <si>
    <t>divided proportionately into colored segments corresponding the strategies legend.)</t>
  </si>
  <si>
    <r>
      <rPr>
        <sz val="12"/>
        <color theme="1"/>
        <rFont val="Aptos Narrow"/>
        <family val="2"/>
      </rPr>
      <t>•</t>
    </r>
    <r>
      <rPr>
        <sz val="12"/>
        <color theme="1"/>
        <rFont val="Calibri"/>
        <family val="2"/>
      </rPr>
      <t xml:space="preserve"> Stacked Column chart showing the average number of deliveries per match each</t>
    </r>
  </si>
  <si>
    <r>
      <rPr>
        <sz val="12"/>
        <color theme="1"/>
        <rFont val="Aptos Narrow"/>
        <family val="2"/>
      </rPr>
      <t>•</t>
    </r>
    <r>
      <rPr>
        <sz val="12"/>
        <color theme="1"/>
        <rFont val="Calibri"/>
        <family val="2"/>
      </rPr>
      <t xml:space="preserve"> Bubble chart showing each team's average points for any combination of defense</t>
    </r>
  </si>
  <si>
    <t>team made to the Amp, Speaker, and Trap</t>
  </si>
  <si>
    <t>(Defense played is on the Y-axis and defense faced is on the X-axis. The size of the bubbles</t>
  </si>
  <si>
    <r>
      <rPr>
        <sz val="12"/>
        <color theme="1"/>
        <rFont val="Aptos Narrow"/>
        <family val="2"/>
      </rPr>
      <t>•</t>
    </r>
    <r>
      <rPr>
        <sz val="12"/>
        <color theme="1"/>
        <rFont val="Calibri"/>
        <family val="2"/>
      </rPr>
      <t xml:space="preserve"> Line graph showing the trend of each team's total note deliveries</t>
    </r>
  </si>
  <si>
    <t>are based on the average points and normalized to the largest value on the alliance.</t>
  </si>
  <si>
    <t>(The X-axis is not match number, but their respective 1st, 2nd, 3rd, etc. match)</t>
  </si>
  <si>
    <t>Defense played ratings are 0 (avoided contact), 1 (embraced driveby contact), 2 (defended</t>
  </si>
  <si>
    <r>
      <rPr>
        <sz val="12"/>
        <color theme="1"/>
        <rFont val="Aptos Narrow"/>
        <family val="2"/>
      </rPr>
      <t>•</t>
    </r>
    <r>
      <rPr>
        <sz val="12"/>
        <color theme="1"/>
        <rFont val="Calibri"/>
        <family val="2"/>
      </rPr>
      <t xml:space="preserve"> Line graph showing the trend of each team's total stage points</t>
    </r>
  </si>
  <si>
    <t>teams when there was opportunity), and 3 (shadowed a team or tried to shutdown an</t>
  </si>
  <si>
    <t>element of the field. Defense faced ratings are 0-3 and correspond to the types played.)</t>
  </si>
  <si>
    <r>
      <rPr>
        <b/>
        <sz val="14"/>
        <color theme="1"/>
        <rFont val="Calibri"/>
        <family val="2"/>
        <scheme val="minor"/>
      </rPr>
      <t>Center</t>
    </r>
    <r>
      <rPr>
        <sz val="14"/>
        <color theme="1"/>
        <rFont val="Calibri"/>
        <family val="2"/>
        <scheme val="minor"/>
      </rPr>
      <t xml:space="preserve"> tab</t>
    </r>
  </si>
  <si>
    <t>This tab displays the center 5 notes and which ones were contacted by which teams, from each of the robot setup locations. The 'A' column indicates that the team acquired the note;</t>
  </si>
  <si>
    <t>the 'D' column indicates that they disrupted it instead. The percentage displayed is of the number of matches that they interacted with the note.</t>
  </si>
  <si>
    <t>The C1 note ID is assigned to the one on the Source side (closest to the scoring table) and C5 is the one on the Amp side.</t>
  </si>
  <si>
    <r>
      <rPr>
        <b/>
        <sz val="14"/>
        <color theme="0"/>
        <rFont val="Calibri"/>
        <family val="2"/>
        <scheme val="minor"/>
      </rPr>
      <t>Auto</t>
    </r>
    <r>
      <rPr>
        <sz val="14"/>
        <color theme="0"/>
        <rFont val="Calibri"/>
        <family val="2"/>
        <scheme val="minor"/>
      </rPr>
      <t xml:space="preserve"> tab</t>
    </r>
  </si>
  <si>
    <t>This tab lists the alliance's teams with their overview information from the Summary tab, plus the percentage of matches that the team earned the Leave points. Data displayed on</t>
  </si>
  <si>
    <r>
      <t xml:space="preserve">this tab is focused on planning autonomous actions. Charts included on the </t>
    </r>
    <r>
      <rPr>
        <b/>
        <sz val="12"/>
        <color theme="1"/>
        <rFont val="Calibri"/>
        <family val="2"/>
        <scheme val="minor"/>
      </rPr>
      <t>Auto</t>
    </r>
    <r>
      <rPr>
        <sz val="12"/>
        <color theme="1"/>
        <rFont val="Calibri"/>
        <family val="2"/>
        <scheme val="minor"/>
      </rPr>
      <t xml:space="preserve"> tab:</t>
    </r>
  </si>
  <si>
    <r>
      <rPr>
        <sz val="12"/>
        <color theme="1"/>
        <rFont val="Aptos Narrow"/>
        <family val="2"/>
      </rPr>
      <t>•</t>
    </r>
    <r>
      <rPr>
        <sz val="12"/>
        <color theme="1"/>
        <rFont val="Calibri"/>
        <family val="2"/>
      </rPr>
      <t xml:space="preserve"> Column chart showing all six teams' average autonomous points per match</t>
    </r>
  </si>
  <si>
    <r>
      <rPr>
        <sz val="12"/>
        <color theme="1"/>
        <rFont val="Aptos Narrow"/>
        <family val="2"/>
      </rPr>
      <t>•</t>
    </r>
    <r>
      <rPr>
        <sz val="12"/>
        <color theme="1"/>
        <rFont val="Calibri"/>
        <family val="2"/>
      </rPr>
      <t xml:space="preserve"> Clustered Column chart showing each team's average autonomous deliveries per match,</t>
    </r>
  </si>
  <si>
    <r>
      <rPr>
        <sz val="12"/>
        <color theme="1"/>
        <rFont val="Aptos Narrow"/>
        <family val="2"/>
      </rPr>
      <t>•</t>
    </r>
    <r>
      <rPr>
        <sz val="12"/>
        <color theme="1"/>
        <rFont val="Calibri"/>
        <family val="2"/>
      </rPr>
      <t xml:space="preserve"> Line graphs for each team's autonomous contact time with the 5 Center notes</t>
    </r>
  </si>
  <si>
    <t>broken down by robot setup location</t>
  </si>
  <si>
    <t>(The X-axis is the 15 seconds of autonomous, the Y-axis is the note ID - see</t>
  </si>
  <si>
    <r>
      <rPr>
        <sz val="12"/>
        <color theme="1"/>
        <rFont val="Aptos Narrow"/>
        <family val="2"/>
      </rPr>
      <t>•</t>
    </r>
    <r>
      <rPr>
        <sz val="12"/>
        <color theme="1"/>
        <rFont val="Calibri"/>
        <family val="2"/>
      </rPr>
      <t xml:space="preserve"> Doughnut gauges for each team's average autonomous deliveries to the Amp and Speaker</t>
    </r>
  </si>
  <si>
    <t>Center tab - with positive numbers representing acquisition and negative</t>
  </si>
  <si>
    <t>(The left vertical gauge illustrates Amp deliveries relative to the event. The range is from</t>
  </si>
  <si>
    <t>numbers indicating disruption. Each of the team's matches (up to 16) has a</t>
  </si>
  <si>
    <t>lowest average at the event to the highest average, with red and green zones for the</t>
  </si>
  <si>
    <t>series plotted on their graph. The legend at right shows which match number,</t>
  </si>
  <si>
    <t>bottom 25% and highest 25%, respectively. Actual average value is displayed in a label.</t>
  </si>
  <si>
    <t>with their robot setup location code in parentheses. The match number is added</t>
  </si>
  <si>
    <t>The right vertical gauge is the same, except for Speaker deliveries. Any team that</t>
  </si>
  <si>
    <t>to the note value as a decimal in order to provide separation between series.)</t>
  </si>
  <si>
    <t>delivered a note to the Trap will have a label displaying the number of auto Trap deliveries)</t>
  </si>
  <si>
    <r>
      <rPr>
        <b/>
        <sz val="14"/>
        <color theme="0"/>
        <rFont val="Calibri"/>
        <family val="2"/>
        <scheme val="minor"/>
      </rPr>
      <t>Teleop</t>
    </r>
    <r>
      <rPr>
        <sz val="14"/>
        <color theme="0"/>
        <rFont val="Calibri"/>
        <family val="2"/>
        <scheme val="minor"/>
      </rPr>
      <t xml:space="preserve"> tab</t>
    </r>
  </si>
  <si>
    <t>This tab lists the alliance's teams with their overview information from the Summary tab, plus the number of Melody ranking points they've earned. Data displayed on this tab is</t>
  </si>
  <si>
    <r>
      <t xml:space="preserve">focused on planning teleoperated actions. Charts included on the </t>
    </r>
    <r>
      <rPr>
        <b/>
        <sz val="12"/>
        <color theme="1"/>
        <rFont val="Calibri"/>
        <family val="2"/>
        <scheme val="minor"/>
      </rPr>
      <t>Teleop</t>
    </r>
    <r>
      <rPr>
        <sz val="12"/>
        <color theme="1"/>
        <rFont val="Calibri"/>
        <family val="2"/>
        <scheme val="minor"/>
      </rPr>
      <t xml:space="preserve"> tab:</t>
    </r>
  </si>
  <si>
    <r>
      <rPr>
        <sz val="12"/>
        <color theme="1"/>
        <rFont val="Aptos Narrow"/>
        <family val="2"/>
      </rPr>
      <t>•</t>
    </r>
    <r>
      <rPr>
        <sz val="12"/>
        <color theme="1"/>
        <rFont val="Calibri"/>
        <family val="2"/>
      </rPr>
      <t xml:space="preserve"> Column chart showing all six teams' average teleoperated points per match</t>
    </r>
  </si>
  <si>
    <r>
      <rPr>
        <sz val="12"/>
        <color theme="1"/>
        <rFont val="Aptos Narrow"/>
        <family val="2"/>
      </rPr>
      <t>•</t>
    </r>
    <r>
      <rPr>
        <sz val="12"/>
        <color theme="1"/>
        <rFont val="Calibri"/>
        <family val="2"/>
      </rPr>
      <t xml:space="preserve"> Stacked Bar chart showing each team's average teleoperated deliveries per match</t>
    </r>
  </si>
  <si>
    <r>
      <rPr>
        <sz val="12"/>
        <color theme="1"/>
        <rFont val="Aptos Narrow"/>
        <family val="2"/>
      </rPr>
      <t>•</t>
    </r>
    <r>
      <rPr>
        <sz val="12"/>
        <color theme="1"/>
        <rFont val="Calibri"/>
        <family val="2"/>
      </rPr>
      <t xml:space="preserve"> Pie charts for each team's teleoperated Speaker deliveries by origin and accuracy</t>
    </r>
  </si>
  <si>
    <t>(The top bar shows the average for each team overall, at any drive station. The lower</t>
  </si>
  <si>
    <t>(The pie is divided proportionately by delivery origin - Subwoofer, Alliance Wing,</t>
  </si>
  <si>
    <t>bar shows each team's average at the same drive station they will be at in the match)</t>
  </si>
  <si>
    <t>and Neutral Zone. Within, or next to, these pie segments is the team's shooting</t>
  </si>
  <si>
    <r>
      <rPr>
        <sz val="12"/>
        <color theme="1"/>
        <rFont val="Aptos Narrow"/>
        <family val="2"/>
      </rPr>
      <t>•</t>
    </r>
    <r>
      <rPr>
        <sz val="12"/>
        <color theme="1"/>
        <rFont val="Calibri"/>
        <family val="2"/>
      </rPr>
      <t xml:space="preserve"> Doughnut gauges for each team's average teleoperated deliveries to the Amp and Speaker</t>
    </r>
  </si>
  <si>
    <t>percentage from this location. In the lower right, a label displays the team's Amp</t>
  </si>
  <si>
    <t>delivery accuracy.)</t>
  </si>
  <si>
    <r>
      <rPr>
        <sz val="12"/>
        <color theme="1"/>
        <rFont val="Aptos Narrow"/>
        <family val="2"/>
      </rPr>
      <t>•</t>
    </r>
    <r>
      <rPr>
        <sz val="12"/>
        <color theme="1"/>
        <rFont val="Calibri"/>
        <family val="2"/>
      </rPr>
      <t xml:space="preserve"> Column chart for each team showing their average teleoperated deliveries from</t>
    </r>
  </si>
  <si>
    <t>each drive station</t>
  </si>
  <si>
    <t>The right vertical gauge is the same, except for Speaker deliveries. Total trap deliveries</t>
  </si>
  <si>
    <t>(A label is included for their average at the drive station they will be playing from.)</t>
  </si>
  <si>
    <t>are included in a label at the bottom, with number of scouted matched shown.)</t>
  </si>
  <si>
    <r>
      <rPr>
        <b/>
        <sz val="14"/>
        <color theme="0"/>
        <rFont val="Calibri"/>
        <family val="2"/>
        <scheme val="minor"/>
      </rPr>
      <t>Showtime</t>
    </r>
    <r>
      <rPr>
        <sz val="14"/>
        <color theme="0"/>
        <rFont val="Calibri"/>
        <family val="2"/>
        <scheme val="minor"/>
      </rPr>
      <t xml:space="preserve"> tab</t>
    </r>
  </si>
  <si>
    <t>This tab lists the alliance's teams with their overview information from the Summary tab, plus the number of Ensemble ranking points they've earned. Data displayed on this tab is</t>
  </si>
  <si>
    <r>
      <t xml:space="preserve">focused on planning actions related to the Stage. Charts included on the </t>
    </r>
    <r>
      <rPr>
        <b/>
        <sz val="12"/>
        <color theme="1"/>
        <rFont val="Calibri"/>
        <family val="2"/>
        <scheme val="minor"/>
      </rPr>
      <t>Showtime</t>
    </r>
    <r>
      <rPr>
        <sz val="12"/>
        <color theme="1"/>
        <rFont val="Calibri"/>
        <family val="2"/>
        <scheme val="minor"/>
      </rPr>
      <t xml:space="preserve"> tab:</t>
    </r>
  </si>
  <si>
    <r>
      <rPr>
        <sz val="12"/>
        <color theme="1"/>
        <rFont val="Aptos Narrow"/>
        <family val="2"/>
      </rPr>
      <t>•</t>
    </r>
    <r>
      <rPr>
        <sz val="12"/>
        <color theme="1"/>
        <rFont val="Calibri"/>
        <family val="2"/>
      </rPr>
      <t xml:space="preserve"> Stopwatch chart for each team, showing climb times for success and failure</t>
    </r>
  </si>
  <si>
    <r>
      <rPr>
        <sz val="12"/>
        <color theme="1"/>
        <rFont val="Aptos Narrow"/>
        <family val="2"/>
      </rPr>
      <t>•</t>
    </r>
    <r>
      <rPr>
        <sz val="12"/>
        <color theme="1"/>
        <rFont val="Calibri"/>
        <family val="2"/>
      </rPr>
      <t xml:space="preserve"> Column chart showing all six teams' average Stage points per match</t>
    </r>
  </si>
  <si>
    <t>(The red segment shows the longest climb attempt that failed, whereas the green</t>
  </si>
  <si>
    <r>
      <rPr>
        <sz val="12"/>
        <color theme="1"/>
        <rFont val="Aptos Narrow"/>
        <family val="2"/>
      </rPr>
      <t>•</t>
    </r>
    <r>
      <rPr>
        <sz val="12"/>
        <color theme="1"/>
        <rFont val="Calibri"/>
        <family val="2"/>
      </rPr>
      <t xml:space="preserve"> Stage Diagram for each team showing successful and failed climbs at each stage location</t>
    </r>
  </si>
  <si>
    <t>segment shows the quickest successful climb. Longest failure is not displayed if it</t>
  </si>
  <si>
    <t>(Near and Far labels are dynamic and, for the Amp and Source stations, will change</t>
  </si>
  <si>
    <t>is longer than the quickest successful climb. For a complete picture, the values and</t>
  </si>
  <si>
    <t>depending on which alliance is being evaluated. For Center station climbs at Stage Left</t>
  </si>
  <si>
    <t>averages for successes and failures are included to the right of the chart.)</t>
  </si>
  <si>
    <t>or Stage Right, their results are included in the Near label values.)</t>
  </si>
  <si>
    <r>
      <rPr>
        <sz val="12"/>
        <color theme="1"/>
        <rFont val="Aptos Narrow"/>
        <family val="2"/>
      </rPr>
      <t>•</t>
    </r>
    <r>
      <rPr>
        <sz val="12"/>
        <color theme="1"/>
        <rFont val="Calibri"/>
        <family val="2"/>
      </rPr>
      <t xml:space="preserve"> Table showing Match Events for all six robots. Match Events are actions which</t>
    </r>
  </si>
  <si>
    <r>
      <rPr>
        <sz val="12"/>
        <color theme="1"/>
        <rFont val="Aptos Narrow"/>
        <family val="2"/>
      </rPr>
      <t>•</t>
    </r>
    <r>
      <rPr>
        <sz val="12"/>
        <color theme="1"/>
        <rFont val="Calibri"/>
        <family val="2"/>
      </rPr>
      <t xml:space="preserve"> Clustered Column chart for each team showing the number of times they earned points</t>
    </r>
  </si>
  <si>
    <t>are infrequent but notable, and not directly captured by the scouting system.</t>
  </si>
  <si>
    <t>for Harmony and Spotlight</t>
  </si>
  <si>
    <t>Match Number</t>
  </si>
  <si>
    <t>eScouting through</t>
  </si>
  <si>
    <t>Amp Sta.</t>
  </si>
  <si>
    <t>Scouted</t>
  </si>
  <si>
    <t>Rank</t>
  </si>
  <si>
    <t>Score</t>
  </si>
  <si>
    <t>Center Sta.</t>
  </si>
  <si>
    <t>Source Sta.</t>
  </si>
  <si>
    <t>Alliance</t>
  </si>
  <si>
    <t>Red</t>
  </si>
  <si>
    <t>Amp</t>
  </si>
  <si>
    <t>Subwoofer</t>
  </si>
  <si>
    <t>Podium</t>
  </si>
  <si>
    <t>Source</t>
  </si>
  <si>
    <t>A</t>
  </si>
  <si>
    <t>D</t>
  </si>
  <si>
    <t>%</t>
  </si>
  <si>
    <t>C1</t>
  </si>
  <si>
    <t>C2</t>
  </si>
  <si>
    <t>C3</t>
  </si>
  <si>
    <t>C4</t>
  </si>
  <si>
    <t>C5</t>
  </si>
  <si>
    <t>Amp Station</t>
  </si>
  <si>
    <t>Leave %</t>
  </si>
  <si>
    <t>Center Station</t>
  </si>
  <si>
    <t>Source Station</t>
  </si>
  <si>
    <t>Melody RP</t>
  </si>
  <si>
    <t>Fumbled
Note</t>
  </si>
  <si>
    <t>Broke
Down</t>
  </si>
  <si>
    <t>Crossed
Center</t>
  </si>
  <si>
    <t>Lost
Parts</t>
  </si>
  <si>
    <t>Ring
Toss</t>
  </si>
  <si>
    <t>More Than
1 Note</t>
  </si>
  <si>
    <t>Multiple
Climbs</t>
  </si>
  <si>
    <t>No Show</t>
  </si>
  <si>
    <t>Climb
Blocked</t>
  </si>
  <si>
    <t>Tipped
Over</t>
  </si>
  <si>
    <t>Jammed
Piece</t>
  </si>
  <si>
    <t>Successful Climb</t>
  </si>
  <si>
    <t>Unsuccessful Climb</t>
  </si>
  <si>
    <t>Ensemble RP</t>
  </si>
  <si>
    <t>Station 1</t>
  </si>
  <si>
    <t>Station 2</t>
  </si>
  <si>
    <t>Station 3</t>
  </si>
  <si>
    <t>Average Zone Times</t>
  </si>
  <si>
    <t>Average Points</t>
  </si>
  <si>
    <t>Alliance Human Player</t>
  </si>
  <si>
    <t>Alliance Average Note Deliveries</t>
  </si>
  <si>
    <t>Alliance Note Delivery Trend</t>
  </si>
  <si>
    <t>Alliance Stage Points Trend</t>
  </si>
  <si>
    <t>Team</t>
  </si>
  <si>
    <t>Red Wing</t>
  </si>
  <si>
    <t>Neutral</t>
  </si>
  <si>
    <t>Blue Wing</t>
  </si>
  <si>
    <t>AveAuto</t>
  </si>
  <si>
    <t>AveTele</t>
  </si>
  <si>
    <t>AveStage</t>
  </si>
  <si>
    <t>AvePoints</t>
  </si>
  <si>
    <t>HPAmp</t>
  </si>
  <si>
    <t>Mics</t>
  </si>
  <si>
    <t>Coop</t>
  </si>
  <si>
    <t>Speaker</t>
  </si>
  <si>
    <t>Trap</t>
  </si>
  <si>
    <t>Total</t>
  </si>
  <si>
    <t>Blue</t>
  </si>
  <si>
    <t>Match</t>
  </si>
  <si>
    <t>Center</t>
  </si>
  <si>
    <t>normalizing bubble sizes</t>
  </si>
  <si>
    <t>Source Station Apparent Strategies</t>
  </si>
  <si>
    <t>Source Station
Defense/Avoidance</t>
  </si>
  <si>
    <t>Center Station
Defense/Avoidance</t>
  </si>
  <si>
    <t>Amp Station
Defense/Avoidance</t>
  </si>
  <si>
    <t>AppStrat</t>
  </si>
  <si>
    <t>S</t>
  </si>
  <si>
    <t>P</t>
  </si>
  <si>
    <t>O</t>
  </si>
  <si>
    <t>None</t>
  </si>
  <si>
    <t>Avo\Def</t>
  </si>
  <si>
    <t>Def</t>
  </si>
  <si>
    <t>Defense</t>
  </si>
  <si>
    <t>Mover</t>
  </si>
  <si>
    <t>Average Auto</t>
  </si>
  <si>
    <t>Shooter</t>
  </si>
  <si>
    <t>Hybrid</t>
  </si>
  <si>
    <t>Celebrity</t>
  </si>
  <si>
    <t>Center Station Apparent Strategies</t>
  </si>
  <si>
    <t>Average Teleop</t>
  </si>
  <si>
    <t>Amp Station Apparent Strategies</t>
  </si>
  <si>
    <t>Average Stage</t>
  </si>
  <si>
    <t>Auto Deliveries</t>
  </si>
  <si>
    <t>Average Auto Deliveries per Robot Setup</t>
  </si>
  <si>
    <t>Miss</t>
  </si>
  <si>
    <t>Total Att</t>
  </si>
  <si>
    <t>Difference</t>
  </si>
  <si>
    <t>Norm</t>
  </si>
  <si>
    <t>Amp Station - Auto Deliveries</t>
  </si>
  <si>
    <t>Amp Station Center Note Auto Contact Time</t>
  </si>
  <si>
    <t>Scale</t>
  </si>
  <si>
    <t>Divisions</t>
  </si>
  <si>
    <t>L Amp</t>
  </si>
  <si>
    <t>R Speak</t>
  </si>
  <si>
    <t>All Amp</t>
  </si>
  <si>
    <t>All Speak</t>
  </si>
  <si>
    <t>Pointer</t>
  </si>
  <si>
    <t>L Red</t>
  </si>
  <si>
    <t>Actual Value</t>
  </si>
  <si>
    <t>L Yellow</t>
  </si>
  <si>
    <t>Needle Width</t>
  </si>
  <si>
    <t>L Green</t>
  </si>
  <si>
    <t>Balance</t>
  </si>
  <si>
    <t>Seconds</t>
  </si>
  <si>
    <t>1</t>
  </si>
  <si>
    <t>2</t>
  </si>
  <si>
    <t>3</t>
  </si>
  <si>
    <t>4</t>
  </si>
  <si>
    <t>5</t>
  </si>
  <si>
    <t>6</t>
  </si>
  <si>
    <t>7</t>
  </si>
  <si>
    <t>8</t>
  </si>
  <si>
    <t>9</t>
  </si>
  <si>
    <t>10</t>
  </si>
  <si>
    <t>11</t>
  </si>
  <si>
    <t>12</t>
  </si>
  <si>
    <t>13</t>
  </si>
  <si>
    <t>14</t>
  </si>
  <si>
    <t>15</t>
  </si>
  <si>
    <t>16</t>
  </si>
  <si>
    <t>R Green</t>
  </si>
  <si>
    <t>Event Low</t>
  </si>
  <si>
    <t>R Yellow</t>
  </si>
  <si>
    <t>Team Value</t>
  </si>
  <si>
    <t>R Red</t>
  </si>
  <si>
    <t>Event High</t>
  </si>
  <si>
    <t>Center Station - Auto Deliveries</t>
  </si>
  <si>
    <t>Source Station - Auto Deliveries</t>
  </si>
  <si>
    <t>Center Station Center Note Auto Contact Time</t>
  </si>
  <si>
    <t>Source Station Center Note Auto Contact Time</t>
  </si>
  <si>
    <t>Teleop Deliveries</t>
  </si>
  <si>
    <t>Average Teleop Deliveries per Drive Station</t>
  </si>
  <si>
    <t>Average Teleop Deliveries</t>
  </si>
  <si>
    <t>team</t>
  </si>
  <si>
    <t>Current Stations</t>
  </si>
  <si>
    <t>All Stations</t>
  </si>
  <si>
    <t>Amp Station - Teleop Deliveries</t>
  </si>
  <si>
    <t>Amp Station - Speaker Shooting Percentages</t>
  </si>
  <si>
    <t>Origin</t>
  </si>
  <si>
    <t>Quantity</t>
  </si>
  <si>
    <t>Shooting</t>
  </si>
  <si>
    <t>Misses</t>
  </si>
  <si>
    <t>SubW</t>
  </si>
  <si>
    <t>AllyW</t>
  </si>
  <si>
    <t>Neut</t>
  </si>
  <si>
    <t>Center Station - Teleop Deliveries</t>
  </si>
  <si>
    <t>Center Station - Speaker Shooting Percentages</t>
  </si>
  <si>
    <t>Source Station - Teleop Deliveries</t>
  </si>
  <si>
    <t>Source Station - Speaker Shooting Percentages</t>
  </si>
  <si>
    <t>Stage Extras</t>
  </si>
  <si>
    <t>Fumbled</t>
  </si>
  <si>
    <t>BrokeDown</t>
  </si>
  <si>
    <t>CrossedCenter</t>
  </si>
  <si>
    <t>LostParts</t>
  </si>
  <si>
    <t>RingToss</t>
  </si>
  <si>
    <t>AdditionalNote</t>
  </si>
  <si>
    <t>MultiClimb</t>
  </si>
  <si>
    <t>NoShow</t>
  </si>
  <si>
    <t>StageInt</t>
  </si>
  <si>
    <t>TippedOver</t>
  </si>
  <si>
    <t>JammedPiece</t>
  </si>
  <si>
    <t>Harmony</t>
  </si>
  <si>
    <t>Spotlit</t>
  </si>
  <si>
    <t>Amp Station - Climb Times</t>
  </si>
  <si>
    <t>Amp Station - Climb Locations</t>
  </si>
  <si>
    <t>Success</t>
  </si>
  <si>
    <t>Fail</t>
  </si>
  <si>
    <t>Location</t>
  </si>
  <si>
    <t>No Attempt</t>
  </si>
  <si>
    <t>Label</t>
  </si>
  <si>
    <t>Stage</t>
  </si>
  <si>
    <t>Min/Max</t>
  </si>
  <si>
    <t>Near</t>
  </si>
  <si>
    <t>Left</t>
  </si>
  <si>
    <t>Average</t>
  </si>
  <si>
    <t>CENTER</t>
  </si>
  <si>
    <t>Far</t>
  </si>
  <si>
    <t>Right</t>
  </si>
  <si>
    <t>Center Station - Climb Times</t>
  </si>
  <si>
    <t>Center Station - Climb Locations</t>
  </si>
  <si>
    <t>Source Station - Climb Times</t>
  </si>
  <si>
    <t>Source Station - Climb Locations</t>
  </si>
  <si>
    <t>Id</t>
  </si>
  <si>
    <t>Time</t>
  </si>
  <si>
    <t>RecordType</t>
  </si>
  <si>
    <t>Mode</t>
  </si>
  <si>
    <t>Leave</t>
  </si>
  <si>
    <t>AcqLoc</t>
  </si>
  <si>
    <t>AcqCenter</t>
  </si>
  <si>
    <t>AcqDis</t>
  </si>
  <si>
    <t>AcqDrp</t>
  </si>
  <si>
    <t>DelOrig</t>
  </si>
  <si>
    <t>DelDest</t>
  </si>
  <si>
    <t>DelMiss</t>
  </si>
  <si>
    <t>DriveSta</t>
  </si>
  <si>
    <t>RobotSta</t>
  </si>
  <si>
    <t>StageStat</t>
  </si>
  <si>
    <t>StageAtt</t>
  </si>
  <si>
    <t>StageLoc</t>
  </si>
  <si>
    <t>ClimbT</t>
  </si>
  <si>
    <t>OZTime</t>
  </si>
  <si>
    <t>NZTime</t>
  </si>
  <si>
    <t>AZTime</t>
  </si>
  <si>
    <t>Avoidance</t>
  </si>
  <si>
    <t>Strategy</t>
  </si>
  <si>
    <t>ScouterName</t>
  </si>
  <si>
    <t>ScouterError</t>
  </si>
  <si>
    <t>match_event</t>
  </si>
  <si>
    <t>teammat</t>
  </si>
  <si>
    <t>TimeCenter</t>
  </si>
  <si>
    <t>StartMatch</t>
  </si>
  <si>
    <t>Auto</t>
  </si>
  <si>
    <t>-</t>
  </si>
  <si>
    <t>red0</t>
  </si>
  <si>
    <t>Activities</t>
  </si>
  <si>
    <t>OppW</t>
  </si>
  <si>
    <t>EndAuto</t>
  </si>
  <si>
    <t>Z</t>
  </si>
  <si>
    <t>EndMatch</t>
  </si>
  <si>
    <t>Showtime</t>
  </si>
  <si>
    <t>frc639</t>
  </si>
  <si>
    <t>red2</t>
  </si>
  <si>
    <t>OppS</t>
  </si>
  <si>
    <t>Else</t>
  </si>
  <si>
    <t>-1</t>
  </si>
  <si>
    <t>BLUE ALLIANCE API</t>
  </si>
  <si>
    <t>A L L I A N C E   T O T A L S   ( A ) ,   T E A M   T O T A L S   ( T ) ,   A N D   C O N T R I B U T I O N   P E R C E N T A G E S   ( P )</t>
  </si>
  <si>
    <t>D E F E N S E   F A C T O R S</t>
  </si>
  <si>
    <t>Name</t>
  </si>
  <si>
    <t>RP</t>
  </si>
  <si>
    <t>avescoreA</t>
  </si>
  <si>
    <t>avescoreT</t>
  </si>
  <si>
    <t>avescoreP</t>
  </si>
  <si>
    <t>aveampA</t>
  </si>
  <si>
    <t>aveampT</t>
  </si>
  <si>
    <t>aveampP</t>
  </si>
  <si>
    <t>avespkrA</t>
  </si>
  <si>
    <t>avespkrT</t>
  </si>
  <si>
    <t>avespkrP</t>
  </si>
  <si>
    <t>avetrapA</t>
  </si>
  <si>
    <t>avetrapT</t>
  </si>
  <si>
    <t>avetrapP</t>
  </si>
  <si>
    <t>avenotesA</t>
  </si>
  <si>
    <t>avenotesT</t>
  </si>
  <si>
    <t>avenotesP</t>
  </si>
  <si>
    <t>avestageA</t>
  </si>
  <si>
    <t>avestageT</t>
  </si>
  <si>
    <t>avestageP</t>
  </si>
  <si>
    <t>aveAampT</t>
  </si>
  <si>
    <t>aveAspkrT</t>
  </si>
  <si>
    <t>aveAtrapT</t>
  </si>
  <si>
    <t>aveTampT</t>
  </si>
  <si>
    <t>aveTspkrT</t>
  </si>
  <si>
    <t>aveTtrapT</t>
  </si>
  <si>
    <t>D3Diff</t>
  </si>
  <si>
    <t>D2Diff</t>
  </si>
  <si>
    <t>D1Diff</t>
  </si>
  <si>
    <t>D0Diff</t>
  </si>
  <si>
    <t>A3Diff</t>
  </si>
  <si>
    <t>A2Diff</t>
  </si>
  <si>
    <t>A1Diff</t>
  </si>
  <si>
    <t>A0Diff</t>
  </si>
  <si>
    <t>frc1796</t>
  </si>
  <si>
    <t>frc20</t>
  </si>
  <si>
    <t>frc250</t>
  </si>
  <si>
    <t>frc2601</t>
  </si>
  <si>
    <t>frc2791</t>
  </si>
  <si>
    <t>frc3171</t>
  </si>
  <si>
    <t>frc4122</t>
  </si>
  <si>
    <t>frc5016</t>
  </si>
  <si>
    <t>frc6401</t>
  </si>
  <si>
    <t>frc6463</t>
  </si>
  <si>
    <t>frc6911</t>
  </si>
  <si>
    <t>frc6969</t>
  </si>
  <si>
    <t>frc7504</t>
  </si>
  <si>
    <t>frc7718</t>
  </si>
  <si>
    <t>B L U E   A L L I A N C E   A P I</t>
  </si>
  <si>
    <t>DynoScout</t>
  </si>
  <si>
    <t>HUMAN PLAYER</t>
  </si>
  <si>
    <t>LEAVE</t>
  </si>
  <si>
    <t>AUTO DELIVERY TOTALS</t>
  </si>
  <si>
    <t>TELEOP DELIVERY TOTALS</t>
  </si>
  <si>
    <t>GAME TOTAL</t>
  </si>
  <si>
    <t>FLOOR DELIVERY TOTALS</t>
  </si>
  <si>
    <t>CENTER NOTE ACTIVITY</t>
  </si>
  <si>
    <t>DESTINATION MISSES AND SHOOTING PERCENTAGES</t>
  </si>
  <si>
    <t>ORIGIN MISSES AND SHOOTING PERCENTAGES</t>
  </si>
  <si>
    <t>ACQUISTIONS</t>
  </si>
  <si>
    <t>ZONE TIMES</t>
  </si>
  <si>
    <t>SHOWTIME</t>
  </si>
  <si>
    <t>RATINGS</t>
  </si>
  <si>
    <t>CONTRIBUTION TOTALS AND PERCENTAGES</t>
  </si>
  <si>
    <t>Event_Key</t>
  </si>
  <si>
    <t>Comp_Level</t>
  </si>
  <si>
    <t>Key</t>
  </si>
  <si>
    <t>Match_Number</t>
  </si>
  <si>
    <t>Station</t>
  </si>
  <si>
    <t>View</t>
  </si>
  <si>
    <t>Coopertition</t>
  </si>
  <si>
    <t>MelodyRP</t>
  </si>
  <si>
    <t>EnsembleRP</t>
  </si>
  <si>
    <t>OppFoulPts</t>
  </si>
  <si>
    <t>Aamp</t>
  </si>
  <si>
    <t>Aspkr</t>
  </si>
  <si>
    <t>ANotePts</t>
  </si>
  <si>
    <t>AutoPts</t>
  </si>
  <si>
    <t>Tamp</t>
  </si>
  <si>
    <t>Tspkra</t>
  </si>
  <si>
    <t>Tspkrna</t>
  </si>
  <si>
    <t>TspkraPts</t>
  </si>
  <si>
    <t>TspkrnaPts</t>
  </si>
  <si>
    <t>Tspkr</t>
  </si>
  <si>
    <t>TspkrPts</t>
  </si>
  <si>
    <t>TNotePts</t>
  </si>
  <si>
    <t>TrapPts</t>
  </si>
  <si>
    <t>TotNotes</t>
  </si>
  <si>
    <t>NotePts</t>
  </si>
  <si>
    <t>StagePts</t>
  </si>
  <si>
    <t>HPamp</t>
  </si>
  <si>
    <t>HPmics</t>
  </si>
  <si>
    <t>AampT</t>
  </si>
  <si>
    <t>AspkrT</t>
  </si>
  <si>
    <t>AtrapT</t>
  </si>
  <si>
    <t>TampT</t>
  </si>
  <si>
    <t>TspkrT</t>
  </si>
  <si>
    <t>TtrapT</t>
  </si>
  <si>
    <t>TotNotesT</t>
  </si>
  <si>
    <t>NeutFlrT</t>
  </si>
  <si>
    <t>AllyWFlrT</t>
  </si>
  <si>
    <t>RobotSet</t>
  </si>
  <si>
    <t>Acenter1</t>
  </si>
  <si>
    <t>Acenter2</t>
  </si>
  <si>
    <t>Acenter3</t>
  </si>
  <si>
    <t>Acenter4</t>
  </si>
  <si>
    <t>Acenter5</t>
  </si>
  <si>
    <t>ampM</t>
  </si>
  <si>
    <t>ampShtP</t>
  </si>
  <si>
    <t>spkrM</t>
  </si>
  <si>
    <t>spkrShtP</t>
  </si>
  <si>
    <t>trapM</t>
  </si>
  <si>
    <t>trapShtP</t>
  </si>
  <si>
    <t>NZflM</t>
  </si>
  <si>
    <t>NZflP</t>
  </si>
  <si>
    <t>AZflM</t>
  </si>
  <si>
    <t>AZflP</t>
  </si>
  <si>
    <t>OZflrT</t>
  </si>
  <si>
    <t>OZflrM</t>
  </si>
  <si>
    <t>OZflrP</t>
  </si>
  <si>
    <t>NZflrT</t>
  </si>
  <si>
    <t>NZflrM</t>
  </si>
  <si>
    <t>NZflrP</t>
  </si>
  <si>
    <t>AZflrT</t>
  </si>
  <si>
    <t>AZflrM</t>
  </si>
  <si>
    <t>AZflrP</t>
  </si>
  <si>
    <t>SubwT</t>
  </si>
  <si>
    <t>SubwM</t>
  </si>
  <si>
    <t>SubwP</t>
  </si>
  <si>
    <t>AcqOZfl</t>
  </si>
  <si>
    <t>AcqNZfl</t>
  </si>
  <si>
    <t>AcqAZfl</t>
  </si>
  <si>
    <t>AcqSource</t>
  </si>
  <si>
    <t>sourceD</t>
  </si>
  <si>
    <t>timeOZ</t>
  </si>
  <si>
    <t>timeNZ</t>
  </si>
  <si>
    <t>timeAZ</t>
  </si>
  <si>
    <t>timeclimb</t>
  </si>
  <si>
    <t>stageStat</t>
  </si>
  <si>
    <t>stageAtt</t>
  </si>
  <si>
    <t>stageLoc</t>
  </si>
  <si>
    <t>appStrat</t>
  </si>
  <si>
    <t>Avoid</t>
  </si>
  <si>
    <t>teammatch</t>
  </si>
  <si>
    <t>AptsT</t>
  </si>
  <si>
    <t>AptsP</t>
  </si>
  <si>
    <t>AnotesP</t>
  </si>
  <si>
    <t>TampP</t>
  </si>
  <si>
    <t>TspkrP</t>
  </si>
  <si>
    <t>TspkrptsC</t>
  </si>
  <si>
    <t>TtrapP</t>
  </si>
  <si>
    <t>TotnotesP</t>
  </si>
  <si>
    <t>noteptsT</t>
  </si>
  <si>
    <t>noteptsP</t>
  </si>
  <si>
    <t>stageptsT</t>
  </si>
  <si>
    <t>stageptsP</t>
  </si>
  <si>
    <t>TotptsC</t>
  </si>
  <si>
    <t>TotptsP</t>
  </si>
  <si>
    <t>AveTeamTNoteDels</t>
  </si>
  <si>
    <t>AveOppTNoteDels</t>
  </si>
  <si>
    <t>ATTNDDiff</t>
  </si>
  <si>
    <t>AOTNPDiff</t>
  </si>
  <si>
    <t>2024nysu</t>
  </si>
  <si>
    <t>qm</t>
  </si>
  <si>
    <t>Atrap</t>
  </si>
  <si>
    <t>Tspkrpts</t>
  </si>
  <si>
    <t>Ttrap</t>
  </si>
  <si>
    <t>event_key</t>
  </si>
  <si>
    <t>comp_level</t>
  </si>
  <si>
    <t>key</t>
  </si>
  <si>
    <t>match_number</t>
  </si>
  <si>
    <t>Blue1</t>
  </si>
  <si>
    <t>Blue2</t>
  </si>
  <si>
    <t>Blue3</t>
  </si>
  <si>
    <t>Red1</t>
  </si>
  <si>
    <t>Red2</t>
  </si>
  <si>
    <t>Red3</t>
  </si>
  <si>
    <t>End_Date</t>
  </si>
  <si>
    <t>Event_Code</t>
  </si>
  <si>
    <t>Event_Type</t>
  </si>
  <si>
    <t>Event_Type_String</t>
  </si>
  <si>
    <t>Event_Name</t>
  </si>
  <si>
    <t>Short_Name</t>
  </si>
  <si>
    <t>Start_Date</t>
  </si>
  <si>
    <t>Week</t>
  </si>
  <si>
    <t>Year</t>
  </si>
  <si>
    <t>2024-04-06</t>
  </si>
  <si>
    <t>alhu</t>
  </si>
  <si>
    <t>Regional</t>
  </si>
  <si>
    <t>2024alhu</t>
  </si>
  <si>
    <t>Rocket City Regional</t>
  </si>
  <si>
    <t>Rocket City</t>
  </si>
  <si>
    <t>2024-04-03</t>
  </si>
  <si>
    <t>2024-03-09</t>
  </si>
  <si>
    <t>arli</t>
  </si>
  <si>
    <t>2024arli</t>
  </si>
  <si>
    <t>Arkansas Regional</t>
  </si>
  <si>
    <t>Arkansas</t>
  </si>
  <si>
    <t>2024-03-06</t>
  </si>
  <si>
    <t>2024-03-17</t>
  </si>
  <si>
    <t>ausc</t>
  </si>
  <si>
    <t>2024ausc</t>
  </si>
  <si>
    <t>Southern Cross Regional</t>
  </si>
  <si>
    <t>Southern Cross</t>
  </si>
  <si>
    <t>2024-03-15</t>
  </si>
  <si>
    <t>2024-03-23</t>
  </si>
  <si>
    <t>azgl</t>
  </si>
  <si>
    <t>2024azgl</t>
  </si>
  <si>
    <t>Arizona East Regional</t>
  </si>
  <si>
    <t>Arizona East</t>
  </si>
  <si>
    <t>2024-03-20</t>
  </si>
  <si>
    <t>2024-03-16</t>
  </si>
  <si>
    <t>azva</t>
  </si>
  <si>
    <t>2024azva</t>
  </si>
  <si>
    <t>Arizona Valley Regional</t>
  </si>
  <si>
    <t>Arizona Valley</t>
  </si>
  <si>
    <t>2024-03-13</t>
  </si>
  <si>
    <t>2024-03-02</t>
  </si>
  <si>
    <t>bcvi</t>
  </si>
  <si>
    <t>2024bcvi</t>
  </si>
  <si>
    <t>Canadian Pacific Regional</t>
  </si>
  <si>
    <t>Canadian Pacific</t>
  </si>
  <si>
    <t>2024-02-28</t>
  </si>
  <si>
    <t>brbr</t>
  </si>
  <si>
    <t>2024brbr</t>
  </si>
  <si>
    <t>Brazil Regional</t>
  </si>
  <si>
    <t>Brazil</t>
  </si>
  <si>
    <t>caav</t>
  </si>
  <si>
    <t>2024caav</t>
  </si>
  <si>
    <t>Aerospace Valley Regional</t>
  </si>
  <si>
    <t>Aerospace Valley</t>
  </si>
  <si>
    <t>2024-04-07</t>
  </si>
  <si>
    <t>cabe</t>
  </si>
  <si>
    <t>2024cabe</t>
  </si>
  <si>
    <t>East Bay Regional</t>
  </si>
  <si>
    <t>East Bay</t>
  </si>
  <si>
    <t>2024-04-04</t>
  </si>
  <si>
    <t>cada</t>
  </si>
  <si>
    <t>2024cada</t>
  </si>
  <si>
    <t>Sacramento Regional</t>
  </si>
  <si>
    <t>Sacramento</t>
  </si>
  <si>
    <t>2024-03-24</t>
  </si>
  <si>
    <t>cafr</t>
  </si>
  <si>
    <t>2024cafr</t>
  </si>
  <si>
    <t>Central Valley Regional</t>
  </si>
  <si>
    <t>Central Valley</t>
  </si>
  <si>
    <t>2024-03-21</t>
  </si>
  <si>
    <t>cala</t>
  </si>
  <si>
    <t>2024cala</t>
  </si>
  <si>
    <t>Los Angeles Regional</t>
  </si>
  <si>
    <t>Los Angeles</t>
  </si>
  <si>
    <t>2024-03-14</t>
  </si>
  <si>
    <t>2024-03-30</t>
  </si>
  <si>
    <t>camb</t>
  </si>
  <si>
    <t>2024camb</t>
  </si>
  <si>
    <t>Monterey Bay Regional</t>
  </si>
  <si>
    <t>Monterey Bay</t>
  </si>
  <si>
    <t>2024-03-27</t>
  </si>
  <si>
    <t>caoc</t>
  </si>
  <si>
    <t>2024caoc</t>
  </si>
  <si>
    <t>Orange County Regional</t>
  </si>
  <si>
    <t>Orange County</t>
  </si>
  <si>
    <t>2024-03-03</t>
  </si>
  <si>
    <t>caph</t>
  </si>
  <si>
    <t>2024caph</t>
  </si>
  <si>
    <t>Hueneme Port Regional</t>
  </si>
  <si>
    <t>Hueneme Port</t>
  </si>
  <si>
    <t>2024-02-29</t>
  </si>
  <si>
    <t>casd</t>
  </si>
  <si>
    <t>2024casd</t>
  </si>
  <si>
    <t>San Diego Regional presented by Qualcomm</t>
  </si>
  <si>
    <t>San Diego</t>
  </si>
  <si>
    <t>2024-03-10</t>
  </si>
  <si>
    <t>casf</t>
  </si>
  <si>
    <t>2024casf</t>
  </si>
  <si>
    <t>San Francisco Regional</t>
  </si>
  <si>
    <t>San Francisco</t>
  </si>
  <si>
    <t>2024-03-07</t>
  </si>
  <si>
    <t>casj</t>
  </si>
  <si>
    <t>2024casj</t>
  </si>
  <si>
    <t>Silicon Valley Regional</t>
  </si>
  <si>
    <t>Silicon Valley</t>
  </si>
  <si>
    <t>cave</t>
  </si>
  <si>
    <t>2024cave</t>
  </si>
  <si>
    <t>Ventura County Regional</t>
  </si>
  <si>
    <t>Ventura County</t>
  </si>
  <si>
    <t>chcmp</t>
  </si>
  <si>
    <t>District Championship</t>
  </si>
  <si>
    <t>2024chcmp</t>
  </si>
  <si>
    <t>FIRST Chesapeake District Championship</t>
  </si>
  <si>
    <t>Chesapeake</t>
  </si>
  <si>
    <t>code</t>
  </si>
  <si>
    <t>2024code</t>
  </si>
  <si>
    <t>Colorado Regional</t>
  </si>
  <si>
    <t>Colorado</t>
  </si>
  <si>
    <t>cthar</t>
  </si>
  <si>
    <t>District</t>
  </si>
  <si>
    <t>2024cthar</t>
  </si>
  <si>
    <t>NE District Hartford Event</t>
  </si>
  <si>
    <t>Hartford</t>
  </si>
  <si>
    <t>2024-03-01</t>
  </si>
  <si>
    <t>ctwat</t>
  </si>
  <si>
    <t>2024ctwat</t>
  </si>
  <si>
    <t>NE District Waterbury Event</t>
  </si>
  <si>
    <t>Waterbury</t>
  </si>
  <si>
    <t>2024-03-08</t>
  </si>
  <si>
    <t>fim1</t>
  </si>
  <si>
    <t>District Championship Division</t>
  </si>
  <si>
    <t>2024fim1</t>
  </si>
  <si>
    <t>FIRST in Michigan State Championship - DTE Energy Foundation Field Division</t>
  </si>
  <si>
    <t>MSC - DTE Energy Foundation Field</t>
  </si>
  <si>
    <t>fim2</t>
  </si>
  <si>
    <t>2024fim2</t>
  </si>
  <si>
    <t>FIRST in Michigan State Championship - Hemlock Semiconductor Field Division</t>
  </si>
  <si>
    <t>MSC - Hemlock Semiconductor Field</t>
  </si>
  <si>
    <t>fim3</t>
  </si>
  <si>
    <t>2024fim3</t>
  </si>
  <si>
    <t>FIRST in Michigan State Championship - Consumers Energy Field Division</t>
  </si>
  <si>
    <t>MSC - Consumers Energy Field</t>
  </si>
  <si>
    <t>fim4</t>
  </si>
  <si>
    <t>2024fim4</t>
  </si>
  <si>
    <t>FIRST in Michigan State Championship - Aptiv Field Division</t>
  </si>
  <si>
    <t>MSC - Aptiv Field</t>
  </si>
  <si>
    <t>fit1</t>
  </si>
  <si>
    <t>2024fit1</t>
  </si>
  <si>
    <t>FIRST In Texas District Championship - Mercury Field Division</t>
  </si>
  <si>
    <t>TDC - Mercury Field</t>
  </si>
  <si>
    <t>fit2</t>
  </si>
  <si>
    <t>2024fit2</t>
  </si>
  <si>
    <t>FIRST In Texas District Championship - Apollo Field Division</t>
  </si>
  <si>
    <t>TDC - Apollo Field</t>
  </si>
  <si>
    <t>flor</t>
  </si>
  <si>
    <t>2024flor</t>
  </si>
  <si>
    <t>Orlando Regional</t>
  </si>
  <si>
    <t>Orlando</t>
  </si>
  <si>
    <t>flta</t>
  </si>
  <si>
    <t>2024flta</t>
  </si>
  <si>
    <t>Tallahassee Regional</t>
  </si>
  <si>
    <t>Tallahassee</t>
  </si>
  <si>
    <t>flwp</t>
  </si>
  <si>
    <t>2024flwp</t>
  </si>
  <si>
    <t>South Florida Regional</t>
  </si>
  <si>
    <t>South Florida</t>
  </si>
  <si>
    <t>gaalb</t>
  </si>
  <si>
    <t>2024gaalb</t>
  </si>
  <si>
    <t>PCH District Albany Event</t>
  </si>
  <si>
    <t>Albany</t>
  </si>
  <si>
    <t>2024-03-28</t>
  </si>
  <si>
    <t>gacar</t>
  </si>
  <si>
    <t>2024gacar</t>
  </si>
  <si>
    <t>PCH District Carrollton Event</t>
  </si>
  <si>
    <t>Carrollton</t>
  </si>
  <si>
    <t>gacmp</t>
  </si>
  <si>
    <t>2024gacmp</t>
  </si>
  <si>
    <t>Peachtree District Championship</t>
  </si>
  <si>
    <t>Peachtree</t>
  </si>
  <si>
    <t>gadal</t>
  </si>
  <si>
    <t>2024gadal</t>
  </si>
  <si>
    <t>PCH District Dalton Event</t>
  </si>
  <si>
    <t>Dalton</t>
  </si>
  <si>
    <t>gagwi</t>
  </si>
  <si>
    <t>2024gagwi</t>
  </si>
  <si>
    <t>PCH District Gwinnett Event</t>
  </si>
  <si>
    <t>Gwinnett</t>
  </si>
  <si>
    <t>hiho</t>
  </si>
  <si>
    <t>2024hiho</t>
  </si>
  <si>
    <t>Hawaii Regional</t>
  </si>
  <si>
    <t>Hawaii</t>
  </si>
  <si>
    <t>iacf</t>
  </si>
  <si>
    <t>2024iacf</t>
  </si>
  <si>
    <t>Iowa Regional</t>
  </si>
  <si>
    <t>Iowa</t>
  </si>
  <si>
    <t>idbo</t>
  </si>
  <si>
    <t>2024idbo</t>
  </si>
  <si>
    <t>Idaho Regional</t>
  </si>
  <si>
    <t>Idaho</t>
  </si>
  <si>
    <t>ilch</t>
  </si>
  <si>
    <t>2024ilch</t>
  </si>
  <si>
    <t>Midwest Regional</t>
  </si>
  <si>
    <t>Midwest</t>
  </si>
  <si>
    <t>ilpe</t>
  </si>
  <si>
    <t>2024ilpe</t>
  </si>
  <si>
    <t>Central Illinois Regional</t>
  </si>
  <si>
    <t>Central Illinois</t>
  </si>
  <si>
    <t>incmp</t>
  </si>
  <si>
    <t>2024incmp</t>
  </si>
  <si>
    <t>FIRST Indiana State Championship</t>
  </si>
  <si>
    <t>Indiana</t>
  </si>
  <si>
    <t>2024-04-05</t>
  </si>
  <si>
    <t>incol</t>
  </si>
  <si>
    <t>2024incol</t>
  </si>
  <si>
    <t>FIN District Columbus Event</t>
  </si>
  <si>
    <t>Columbus</t>
  </si>
  <si>
    <t>ineva</t>
  </si>
  <si>
    <t>2024ineva</t>
  </si>
  <si>
    <t>FIN District Washington Event presented by Toyota</t>
  </si>
  <si>
    <t>Washington</t>
  </si>
  <si>
    <t>inmis</t>
  </si>
  <si>
    <t>2024inmis</t>
  </si>
  <si>
    <t>FIN District Mishawaka Event</t>
  </si>
  <si>
    <t>Mishawaka</t>
  </si>
  <si>
    <t>inpla</t>
  </si>
  <si>
    <t>2024inpla</t>
  </si>
  <si>
    <t>FIN District Plainfield Event presented by Carrier</t>
  </si>
  <si>
    <t>Plainfield</t>
  </si>
  <si>
    <t>2024-03-22</t>
  </si>
  <si>
    <t>iscmp</t>
  </si>
  <si>
    <t>2024iscmp</t>
  </si>
  <si>
    <t>FIRST Israel District Championship</t>
  </si>
  <si>
    <t>Israel</t>
  </si>
  <si>
    <t>2024-03-19</t>
  </si>
  <si>
    <t>2024-02-26</t>
  </si>
  <si>
    <t>isde1</t>
  </si>
  <si>
    <t>2024isde1</t>
  </si>
  <si>
    <t>ISR District Event #1</t>
  </si>
  <si>
    <t>ISR #1</t>
  </si>
  <si>
    <t>2024-02-24</t>
  </si>
  <si>
    <t>isde2</t>
  </si>
  <si>
    <t>2024isde2</t>
  </si>
  <si>
    <t>ISR District Event #2</t>
  </si>
  <si>
    <t>ISR #2</t>
  </si>
  <si>
    <t>2024-02-27</t>
  </si>
  <si>
    <t>2024-03-05</t>
  </si>
  <si>
    <t>isde3</t>
  </si>
  <si>
    <t>2024isde3</t>
  </si>
  <si>
    <t>ISR District Event #3</t>
  </si>
  <si>
    <t>ISR #3</t>
  </si>
  <si>
    <t>isde4</t>
  </si>
  <si>
    <t>2024isde4</t>
  </si>
  <si>
    <t>ISR District Event #4</t>
  </si>
  <si>
    <t>ISR #4</t>
  </si>
  <si>
    <t>ksla</t>
  </si>
  <si>
    <t>2024ksla</t>
  </si>
  <si>
    <t>Heartland Regional</t>
  </si>
  <si>
    <t>Heartland</t>
  </si>
  <si>
    <t>lake</t>
  </si>
  <si>
    <t>2024lake</t>
  </si>
  <si>
    <t>Bayou Regional</t>
  </si>
  <si>
    <t>Bayou</t>
  </si>
  <si>
    <t>mabos</t>
  </si>
  <si>
    <t>2024mabos</t>
  </si>
  <si>
    <t>NE District Greater Boston Event</t>
  </si>
  <si>
    <t>Greater Boston</t>
  </si>
  <si>
    <t>mabri</t>
  </si>
  <si>
    <t>2024mabri</t>
  </si>
  <si>
    <t>NE District BSU Event</t>
  </si>
  <si>
    <t>BSU</t>
  </si>
  <si>
    <t>marea</t>
  </si>
  <si>
    <t>2024marea</t>
  </si>
  <si>
    <t>NE District North Shore Event</t>
  </si>
  <si>
    <t>North Shore</t>
  </si>
  <si>
    <t>mawne</t>
  </si>
  <si>
    <t>2024mawne</t>
  </si>
  <si>
    <t>NE District Western NE Event</t>
  </si>
  <si>
    <t>Western NE</t>
  </si>
  <si>
    <t>2024-03-31</t>
  </si>
  <si>
    <t>mawor</t>
  </si>
  <si>
    <t>2024mawor</t>
  </si>
  <si>
    <t>NE District WPI Event</t>
  </si>
  <si>
    <t>WPI</t>
  </si>
  <si>
    <t>2024-03-29</t>
  </si>
  <si>
    <t>mdowi</t>
  </si>
  <si>
    <t>2024mdowi</t>
  </si>
  <si>
    <t>CHS District Owings Mills MD Event</t>
  </si>
  <si>
    <t>Owings Mills MD</t>
  </si>
  <si>
    <t>mdsev</t>
  </si>
  <si>
    <t>2024mdsev</t>
  </si>
  <si>
    <t>CHS District Severn MD Event</t>
  </si>
  <si>
    <t>Severn MD</t>
  </si>
  <si>
    <t>melew</t>
  </si>
  <si>
    <t>2024melew</t>
  </si>
  <si>
    <t>NE District Pine Tree Event</t>
  </si>
  <si>
    <t>Pine Tree</t>
  </si>
  <si>
    <t>miann</t>
  </si>
  <si>
    <t>2024miann</t>
  </si>
  <si>
    <t>FIM District Ann Arbor Event presented by DTE</t>
  </si>
  <si>
    <t>Ann Arbor</t>
  </si>
  <si>
    <t>mibat</t>
  </si>
  <si>
    <t>2024mibat</t>
  </si>
  <si>
    <t>FIM District Battle Creek Event presented by Parker Hannifin</t>
  </si>
  <si>
    <t>Battle Creek</t>
  </si>
  <si>
    <t>mibel</t>
  </si>
  <si>
    <t>2024mibel</t>
  </si>
  <si>
    <t>FIM District Belleville Event presented by Autokiniton</t>
  </si>
  <si>
    <t>Belleville</t>
  </si>
  <si>
    <t>miber</t>
  </si>
  <si>
    <t>2024miber</t>
  </si>
  <si>
    <t>FIM District Berrien Springs Event presented by Edgewater Automation</t>
  </si>
  <si>
    <t>Berrien Springs</t>
  </si>
  <si>
    <t>mibkn</t>
  </si>
  <si>
    <t>2024mibkn</t>
  </si>
  <si>
    <t>FIM District Jackson at Columbia Event presented by Consumers Energy Foundation</t>
  </si>
  <si>
    <t>Jackson at Columbia</t>
  </si>
  <si>
    <t>mibro</t>
  </si>
  <si>
    <t>2024mibro</t>
  </si>
  <si>
    <t>FIM District Woodhaven Event presented by Altair</t>
  </si>
  <si>
    <t>Woodhaven</t>
  </si>
  <si>
    <t>micmp</t>
  </si>
  <si>
    <t>2024micmp</t>
  </si>
  <si>
    <t>FIRST in Michigan State Championship</t>
  </si>
  <si>
    <t>Michigan</t>
  </si>
  <si>
    <t>midet</t>
  </si>
  <si>
    <t>2024midet</t>
  </si>
  <si>
    <t>FIM District Renaissance Event presented by DTE Energy Foundation</t>
  </si>
  <si>
    <t>Renaissance</t>
  </si>
  <si>
    <t>midtr</t>
  </si>
  <si>
    <t>2024midtr</t>
  </si>
  <si>
    <t>FIM District Wayne State Event presented by Magna</t>
  </si>
  <si>
    <t>Wayne State</t>
  </si>
  <si>
    <t>miesc</t>
  </si>
  <si>
    <t>2024miesc</t>
  </si>
  <si>
    <t>FIM District Escanaba Event presented by Highline</t>
  </si>
  <si>
    <t>Escanaba</t>
  </si>
  <si>
    <t>mike2</t>
  </si>
  <si>
    <t>2024mike2</t>
  </si>
  <si>
    <t>FIM District Kettering University Event #2 presented by The Gene Haas Foundation</t>
  </si>
  <si>
    <t>Kettering University #2</t>
  </si>
  <si>
    <t>miken</t>
  </si>
  <si>
    <t>2024miken</t>
  </si>
  <si>
    <t>FIM District Kentwood Event presented by Dematic</t>
  </si>
  <si>
    <t>Kentwood</t>
  </si>
  <si>
    <t>miket</t>
  </si>
  <si>
    <t>2024miket</t>
  </si>
  <si>
    <t>FIM District Kettering University Event #1 presented by The Gene Haas Foundation</t>
  </si>
  <si>
    <t>Kettering University #1</t>
  </si>
  <si>
    <t>milac</t>
  </si>
  <si>
    <t>2024milac</t>
  </si>
  <si>
    <t>FIM District Lake City Event</t>
  </si>
  <si>
    <t>Lake City</t>
  </si>
  <si>
    <t>milan</t>
  </si>
  <si>
    <t>2024milan</t>
  </si>
  <si>
    <t>FIM District Lansing Event</t>
  </si>
  <si>
    <t>Lansing</t>
  </si>
  <si>
    <t>miliv</t>
  </si>
  <si>
    <t>2024miliv</t>
  </si>
  <si>
    <t>FIM District Livonia Event presented by Aisin</t>
  </si>
  <si>
    <t>Livonia</t>
  </si>
  <si>
    <t>milsu</t>
  </si>
  <si>
    <t>2024milsu</t>
  </si>
  <si>
    <t>FIM District LSSU Event</t>
  </si>
  <si>
    <t>LSSU</t>
  </si>
  <si>
    <t>mimcc</t>
  </si>
  <si>
    <t>2024mimcc</t>
  </si>
  <si>
    <t>FIM District Macomb Event presented by DTE</t>
  </si>
  <si>
    <t>Macomb</t>
  </si>
  <si>
    <t>mimid</t>
  </si>
  <si>
    <t>2024mimid</t>
  </si>
  <si>
    <t>FIM District Midland Event presented by Dow</t>
  </si>
  <si>
    <t>Midland</t>
  </si>
  <si>
    <t>mimil</t>
  </si>
  <si>
    <t>2024mimil</t>
  </si>
  <si>
    <t>FIM District Milford Event presented by GM Milford Proving Ground</t>
  </si>
  <si>
    <t>Milford</t>
  </si>
  <si>
    <t>mimtp</t>
  </si>
  <si>
    <t>2024mimtp</t>
  </si>
  <si>
    <t>FIM District Central Michigan University Event</t>
  </si>
  <si>
    <t>Central Michigan University</t>
  </si>
  <si>
    <t>mimus</t>
  </si>
  <si>
    <t>2024mimus</t>
  </si>
  <si>
    <t>FIM District Muskegon Event presented by Renk</t>
  </si>
  <si>
    <t>Muskegon</t>
  </si>
  <si>
    <t>misjo</t>
  </si>
  <si>
    <t>2024misjo</t>
  </si>
  <si>
    <t>FIM District St. Joseph Event presented by Whirlpool</t>
  </si>
  <si>
    <t>St. Joseph</t>
  </si>
  <si>
    <t>mitr2</t>
  </si>
  <si>
    <t>2024mitr2</t>
  </si>
  <si>
    <t>FIM District Troy Event #2 presented by Magna</t>
  </si>
  <si>
    <t>Troy #2</t>
  </si>
  <si>
    <t>mitry</t>
  </si>
  <si>
    <t>2024mitry</t>
  </si>
  <si>
    <t>FIM District Troy Event #1 presented by Aptiv</t>
  </si>
  <si>
    <t>Troy #1</t>
  </si>
  <si>
    <t>mitvc</t>
  </si>
  <si>
    <t>2024mitvc</t>
  </si>
  <si>
    <t>FIM District Traverse City Event presented by Cone Drive</t>
  </si>
  <si>
    <t>Traverse City</t>
  </si>
  <si>
    <t>miwmi</t>
  </si>
  <si>
    <t>2024miwmi</t>
  </si>
  <si>
    <t>FIM District West Michigan Event</t>
  </si>
  <si>
    <t>West Michigan</t>
  </si>
  <si>
    <t>mndu</t>
  </si>
  <si>
    <t>2024mndu</t>
  </si>
  <si>
    <t>Lake Superior Regional</t>
  </si>
  <si>
    <t>Lake Superior</t>
  </si>
  <si>
    <t>mndu2</t>
  </si>
  <si>
    <t>2024mndu2</t>
  </si>
  <si>
    <t>Northern Lights Regional</t>
  </si>
  <si>
    <t>Northern Lights</t>
  </si>
  <si>
    <t>mnmi</t>
  </si>
  <si>
    <t>2024mnmi</t>
  </si>
  <si>
    <t>Minnesota 10,000 Lakes Regional</t>
  </si>
  <si>
    <t>Minnesota 10,000 Lakes</t>
  </si>
  <si>
    <t>mnmi2</t>
  </si>
  <si>
    <t>2024mnmi2</t>
  </si>
  <si>
    <t>Minnesota Granite City Regional</t>
  </si>
  <si>
    <t>Minnesota Granite City</t>
  </si>
  <si>
    <t>mokc</t>
  </si>
  <si>
    <t>2024mokc</t>
  </si>
  <si>
    <t>Greater Kansas City Regional</t>
  </si>
  <si>
    <t>Greater Kansas City</t>
  </si>
  <si>
    <t>mose</t>
  </si>
  <si>
    <t>2024mose</t>
  </si>
  <si>
    <t>Central Missouri Regional</t>
  </si>
  <si>
    <t>Central Missouri</t>
  </si>
  <si>
    <t>mosl</t>
  </si>
  <si>
    <t>2024mosl</t>
  </si>
  <si>
    <t>St. Louis Regional</t>
  </si>
  <si>
    <t>St. Louis</t>
  </si>
  <si>
    <t>mrcmp</t>
  </si>
  <si>
    <t>2024mrcmp</t>
  </si>
  <si>
    <t>FIRST Mid-Atlantic District Championship</t>
  </si>
  <si>
    <t>Mid-Atlantic</t>
  </si>
  <si>
    <t>mslr</t>
  </si>
  <si>
    <t>2024mslr</t>
  </si>
  <si>
    <t>Magnolia Regional</t>
  </si>
  <si>
    <t>Magnolia</t>
  </si>
  <si>
    <t>mxmo</t>
  </si>
  <si>
    <t>2024mxmo</t>
  </si>
  <si>
    <t>Regional Monterrey presented by PrepaTec</t>
  </si>
  <si>
    <t>Regional Monterrey</t>
  </si>
  <si>
    <t>mxpu</t>
  </si>
  <si>
    <t>2024mxpu</t>
  </si>
  <si>
    <t>Regional Hermosillo presented by PrepaTec</t>
  </si>
  <si>
    <t>Regional Hermosillo</t>
  </si>
  <si>
    <t>mxto</t>
  </si>
  <si>
    <t>2024mxto</t>
  </si>
  <si>
    <t>Regional Laguna presented by Peñoles</t>
  </si>
  <si>
    <t>Regional Laguna</t>
  </si>
  <si>
    <t>ncash</t>
  </si>
  <si>
    <t>2024ncash</t>
  </si>
  <si>
    <t>FNC District UNC Asheville Event</t>
  </si>
  <si>
    <t>UNC Asheville</t>
  </si>
  <si>
    <t>nccmp</t>
  </si>
  <si>
    <t>2024nccmp</t>
  </si>
  <si>
    <t>FIRST North Carolina District State Championship</t>
  </si>
  <si>
    <t>North Carolina District</t>
  </si>
  <si>
    <t>ncmec</t>
  </si>
  <si>
    <t>2024ncmec</t>
  </si>
  <si>
    <t>FNC District Mecklenburg County Event</t>
  </si>
  <si>
    <t>Mecklenburg County</t>
  </si>
  <si>
    <t>ncpem</t>
  </si>
  <si>
    <t>2024ncpem</t>
  </si>
  <si>
    <t>FNC District UNC Pembroke Event</t>
  </si>
  <si>
    <t>UNC Pembroke</t>
  </si>
  <si>
    <t>ncwa2</t>
  </si>
  <si>
    <t>2024ncwa2</t>
  </si>
  <si>
    <t>FNC District Wake County Event</t>
  </si>
  <si>
    <t>Wake County</t>
  </si>
  <si>
    <t>ncwak</t>
  </si>
  <si>
    <t>2024ncwak</t>
  </si>
  <si>
    <t>FNC District Orange County Event</t>
  </si>
  <si>
    <t>ndgf</t>
  </si>
  <si>
    <t>2024ndgf</t>
  </si>
  <si>
    <t>Great Northern Regional</t>
  </si>
  <si>
    <t>Great Northern</t>
  </si>
  <si>
    <t>ne1</t>
  </si>
  <si>
    <t>2024ne1</t>
  </si>
  <si>
    <t>New England FIRST District Championship - Ganson Field Division</t>
  </si>
  <si>
    <t>NEDC - Ganson Field</t>
  </si>
  <si>
    <t>ne2</t>
  </si>
  <si>
    <t>2024ne2</t>
  </si>
  <si>
    <t>New England FIRST District Championship - Richardson Field Division</t>
  </si>
  <si>
    <t>NEDC - Richardson Field</t>
  </si>
  <si>
    <t>necmp</t>
  </si>
  <si>
    <t>2024necmp</t>
  </si>
  <si>
    <t>New England FIRST District Championship</t>
  </si>
  <si>
    <t>New England</t>
  </si>
  <si>
    <t>nhdur</t>
  </si>
  <si>
    <t>2024nhdur</t>
  </si>
  <si>
    <t>NE District UNH Event</t>
  </si>
  <si>
    <t>UNH</t>
  </si>
  <si>
    <t>nhgrs</t>
  </si>
  <si>
    <t>2024nhgrs</t>
  </si>
  <si>
    <t>NE District Granite State Event</t>
  </si>
  <si>
    <t>Granite State</t>
  </si>
  <si>
    <t>njall</t>
  </si>
  <si>
    <t>2024njall</t>
  </si>
  <si>
    <t>FMA District Allentown Event</t>
  </si>
  <si>
    <t>Allentown</t>
  </si>
  <si>
    <t>njfla</t>
  </si>
  <si>
    <t>2024njfla</t>
  </si>
  <si>
    <t>FMA District Mount Olive Event</t>
  </si>
  <si>
    <t>Mount Olive</t>
  </si>
  <si>
    <t>njski</t>
  </si>
  <si>
    <t>2024njski</t>
  </si>
  <si>
    <t>FMA District Montgomery Event</t>
  </si>
  <si>
    <t>Montgomery</t>
  </si>
  <si>
    <t>njtab</t>
  </si>
  <si>
    <t>2024njtab</t>
  </si>
  <si>
    <t>FMA District Seneca Event</t>
  </si>
  <si>
    <t>Seneca</t>
  </si>
  <si>
    <t>njwas</t>
  </si>
  <si>
    <t>2024njwas</t>
  </si>
  <si>
    <t>FMA District Warren Hills Event</t>
  </si>
  <si>
    <t>Warren Hills</t>
  </si>
  <si>
    <t>nvlv</t>
  </si>
  <si>
    <t>2024nvlv</t>
  </si>
  <si>
    <t>Las Vegas Regional</t>
  </si>
  <si>
    <t>Las Vegas</t>
  </si>
  <si>
    <t>nyli2</t>
  </si>
  <si>
    <t>2024nyli2</t>
  </si>
  <si>
    <t>FIRST Long Island Regional</t>
  </si>
  <si>
    <t>Long Island</t>
  </si>
  <si>
    <t>nyny</t>
  </si>
  <si>
    <t>2024nyny</t>
  </si>
  <si>
    <t>New York City Regional</t>
  </si>
  <si>
    <t>New York City</t>
  </si>
  <si>
    <t>nyro</t>
  </si>
  <si>
    <t>2024nyro</t>
  </si>
  <si>
    <t>Finger Lakes Regional</t>
  </si>
  <si>
    <t>Finger Lakes</t>
  </si>
  <si>
    <t>nysu</t>
  </si>
  <si>
    <t>Hudson Valley Regional</t>
  </si>
  <si>
    <t>Hudson Valley</t>
  </si>
  <si>
    <t>nytr</t>
  </si>
  <si>
    <t>2024nytr</t>
  </si>
  <si>
    <t>New York Tech Valley Regional</t>
  </si>
  <si>
    <t>New York Tech Valley</t>
  </si>
  <si>
    <t>ohcl</t>
  </si>
  <si>
    <t>2024ohcl</t>
  </si>
  <si>
    <t>Buckeye Regional</t>
  </si>
  <si>
    <t>Buckeye</t>
  </si>
  <si>
    <t>ohmv</t>
  </si>
  <si>
    <t>2024ohmv</t>
  </si>
  <si>
    <t>Miami Valley Regional</t>
  </si>
  <si>
    <t>Miami Valley</t>
  </si>
  <si>
    <t>okok</t>
  </si>
  <si>
    <t>2024okok</t>
  </si>
  <si>
    <t>Oklahoma Regional</t>
  </si>
  <si>
    <t>Oklahoma</t>
  </si>
  <si>
    <t>oktu</t>
  </si>
  <si>
    <t>2024oktu</t>
  </si>
  <si>
    <t>Green Country Regional</t>
  </si>
  <si>
    <t>Green Country</t>
  </si>
  <si>
    <t>onbar</t>
  </si>
  <si>
    <t>2024onbar</t>
  </si>
  <si>
    <t>ONT District Georgian Event</t>
  </si>
  <si>
    <t>Georgian</t>
  </si>
  <si>
    <t>oncmp</t>
  </si>
  <si>
    <t>2024oncmp</t>
  </si>
  <si>
    <t>FIRST Ontario Provincial Championship</t>
  </si>
  <si>
    <t>Ontario</t>
  </si>
  <si>
    <t>onham</t>
  </si>
  <si>
    <t>2024onham</t>
  </si>
  <si>
    <t>ONT District McMaster University</t>
  </si>
  <si>
    <t>McMaster University</t>
  </si>
  <si>
    <t>onnew</t>
  </si>
  <si>
    <t>2024onnew</t>
  </si>
  <si>
    <t>ONT District Newmarket Complex Event</t>
  </si>
  <si>
    <t>Newmarket Complex</t>
  </si>
  <si>
    <t>onnob</t>
  </si>
  <si>
    <t>2024onnob</t>
  </si>
  <si>
    <t>ONT District North Bay Event</t>
  </si>
  <si>
    <t>North Bay</t>
  </si>
  <si>
    <t>onosh</t>
  </si>
  <si>
    <t>2024onosh</t>
  </si>
  <si>
    <t>ONT District Durham College Event</t>
  </si>
  <si>
    <t>Durham College</t>
  </si>
  <si>
    <t>onsca</t>
  </si>
  <si>
    <t>2024onsca</t>
  </si>
  <si>
    <t>ONT District Centennial College Event</t>
  </si>
  <si>
    <t>Centennial College</t>
  </si>
  <si>
    <t>ont1</t>
  </si>
  <si>
    <t>2024ont1</t>
  </si>
  <si>
    <t>FIRST Ontario Provincial Championship - Science Field Division</t>
  </si>
  <si>
    <t>OPC - Science Field</t>
  </si>
  <si>
    <t>ont2</t>
  </si>
  <si>
    <t>2024ont2</t>
  </si>
  <si>
    <t>FIRST Ontario Provincial Championship - Technology Field Division</t>
  </si>
  <si>
    <t>OPC - Technology Field</t>
  </si>
  <si>
    <t>ontor</t>
  </si>
  <si>
    <t>2024ontor</t>
  </si>
  <si>
    <t>ONT District Humber College Event</t>
  </si>
  <si>
    <t>Humber College</t>
  </si>
  <si>
    <t>2024-03-18</t>
  </si>
  <si>
    <t>onwat</t>
  </si>
  <si>
    <t>2024onwat</t>
  </si>
  <si>
    <t>ONT District University of Waterloo Event</t>
  </si>
  <si>
    <t>University of Waterloo</t>
  </si>
  <si>
    <t>onwin</t>
  </si>
  <si>
    <t>2024onwin</t>
  </si>
  <si>
    <t>ONT District Windsor Essex Great Lakes Event</t>
  </si>
  <si>
    <t>Windsor Essex Great Lakes</t>
  </si>
  <si>
    <t>orore</t>
  </si>
  <si>
    <t>2024orore</t>
  </si>
  <si>
    <t>PNW District Clackamas Academy Event</t>
  </si>
  <si>
    <t>Clackamas Academy</t>
  </si>
  <si>
    <t>orsal</t>
  </si>
  <si>
    <t>2024orsal</t>
  </si>
  <si>
    <t>PNW District Oregon State Fairgrounds Event</t>
  </si>
  <si>
    <t>Oregon State Fairgrounds</t>
  </si>
  <si>
    <t>orwil</t>
  </si>
  <si>
    <t>2024orwil</t>
  </si>
  <si>
    <t>PNW District Wilsonville Event</t>
  </si>
  <si>
    <t>Wilsonville</t>
  </si>
  <si>
    <t>paben</t>
  </si>
  <si>
    <t>2024paben</t>
  </si>
  <si>
    <t>FMA District Bensalem Event</t>
  </si>
  <si>
    <t>Bensalem</t>
  </si>
  <si>
    <t>paca</t>
  </si>
  <si>
    <t>2024paca</t>
  </si>
  <si>
    <t>Greater Pittsburgh Regional</t>
  </si>
  <si>
    <t>Greater Pittsburgh</t>
  </si>
  <si>
    <t>pahat</t>
  </si>
  <si>
    <t>2024pahat</t>
  </si>
  <si>
    <t>FMA District Hatboro-Horsham Event</t>
  </si>
  <si>
    <t>Hatboro-Horsham</t>
  </si>
  <si>
    <t>paphi</t>
  </si>
  <si>
    <t>2024paphi</t>
  </si>
  <si>
    <t>FMA District Springside Chestnut Hill Event</t>
  </si>
  <si>
    <t>Springside Chestnut Hill</t>
  </si>
  <si>
    <t>pncmp</t>
  </si>
  <si>
    <t>2024pncmp</t>
  </si>
  <si>
    <t>Pacific Northwest FIRST District Championship</t>
  </si>
  <si>
    <t>Pacific Northwest</t>
  </si>
  <si>
    <t>qcmo</t>
  </si>
  <si>
    <t>2024qcmo</t>
  </si>
  <si>
    <t>Festival de Robotique Regional</t>
  </si>
  <si>
    <t>Festival de Robotique</t>
  </si>
  <si>
    <t>rikin</t>
  </si>
  <si>
    <t>2024rikin</t>
  </si>
  <si>
    <t>NE District URI Event</t>
  </si>
  <si>
    <t>URI</t>
  </si>
  <si>
    <t>scand</t>
  </si>
  <si>
    <t>2024scand</t>
  </si>
  <si>
    <t>PCH District Anderson Event presented by MAGNA</t>
  </si>
  <si>
    <t>Anderson</t>
  </si>
  <si>
    <t>sccha</t>
  </si>
  <si>
    <t>2024sccha</t>
  </si>
  <si>
    <t>PCH District Charleston Event presented by South Carolina Department of Education</t>
  </si>
  <si>
    <t>Charleston</t>
  </si>
  <si>
    <t>tnkn</t>
  </si>
  <si>
    <t>2024tnkn</t>
  </si>
  <si>
    <t>Smoky Mountains Regional</t>
  </si>
  <si>
    <t>Smoky Mountains</t>
  </si>
  <si>
    <t>tuhc</t>
  </si>
  <si>
    <t>2024tuhc</t>
  </si>
  <si>
    <t>Haliç Regional</t>
  </si>
  <si>
    <t>Haliç</t>
  </si>
  <si>
    <t>tuis</t>
  </si>
  <si>
    <t>2024tuis</t>
  </si>
  <si>
    <t>İstanbul Regional</t>
  </si>
  <si>
    <t>İstanbul</t>
  </si>
  <si>
    <t>tuis2</t>
  </si>
  <si>
    <t>2024tuis2</t>
  </si>
  <si>
    <t>Bosphorus Regional</t>
  </si>
  <si>
    <t>Bosphorus</t>
  </si>
  <si>
    <t>tuis3</t>
  </si>
  <si>
    <t>2024tuis3</t>
  </si>
  <si>
    <t>Marmara Regional</t>
  </si>
  <si>
    <t>Marmara</t>
  </si>
  <si>
    <t>txama</t>
  </si>
  <si>
    <t>2024txama</t>
  </si>
  <si>
    <t>FIT District Amarillo Event</t>
  </si>
  <si>
    <t>Amarillo</t>
  </si>
  <si>
    <t>txbel</t>
  </si>
  <si>
    <t>2024txbel</t>
  </si>
  <si>
    <t>FIT District Belton Event</t>
  </si>
  <si>
    <t>Belton</t>
  </si>
  <si>
    <t>txcle</t>
  </si>
  <si>
    <t>2024txcle</t>
  </si>
  <si>
    <t>FIT District Space City @ Friendswood Event</t>
  </si>
  <si>
    <t>Space City @ Friendswood</t>
  </si>
  <si>
    <t>txcmp</t>
  </si>
  <si>
    <t>2024txcmp</t>
  </si>
  <si>
    <t>FIRST In Texas District Championship</t>
  </si>
  <si>
    <t>Texas</t>
  </si>
  <si>
    <t>txdal</t>
  </si>
  <si>
    <t>2024txdal</t>
  </si>
  <si>
    <t>FIT District Dallas Event</t>
  </si>
  <si>
    <t>Dallas</t>
  </si>
  <si>
    <t>txfor</t>
  </si>
  <si>
    <t>2024txfor</t>
  </si>
  <si>
    <t>FIT District Fort Worth Event</t>
  </si>
  <si>
    <t>Fort Worth</t>
  </si>
  <si>
    <t>txhou</t>
  </si>
  <si>
    <t>2024txhou</t>
  </si>
  <si>
    <t>FIT District Houston Event</t>
  </si>
  <si>
    <t>Houston</t>
  </si>
  <si>
    <t>txkat</t>
  </si>
  <si>
    <t>2024txkat</t>
  </si>
  <si>
    <t>FIT District Katy Event</t>
  </si>
  <si>
    <t>Katy</t>
  </si>
  <si>
    <t>txpla</t>
  </si>
  <si>
    <t>2024txpla</t>
  </si>
  <si>
    <t>FIT District Plano Event</t>
  </si>
  <si>
    <t>Plano</t>
  </si>
  <si>
    <t>txsan</t>
  </si>
  <si>
    <t>2024txsan</t>
  </si>
  <si>
    <t>FIT District San Antonio Event</t>
  </si>
  <si>
    <t>San Antonio</t>
  </si>
  <si>
    <t>txwac</t>
  </si>
  <si>
    <t>2024txwac</t>
  </si>
  <si>
    <t>FIT District Waco Event</t>
  </si>
  <si>
    <t>Waco</t>
  </si>
  <si>
    <t>utwv</t>
  </si>
  <si>
    <t>2024utwv</t>
  </si>
  <si>
    <t>Utah Regional</t>
  </si>
  <si>
    <t>Utah</t>
  </si>
  <si>
    <t>vaash</t>
  </si>
  <si>
    <t>2024vaash</t>
  </si>
  <si>
    <t>CHS District Ashland VA Event</t>
  </si>
  <si>
    <t>Ashland VA</t>
  </si>
  <si>
    <t>vabla</t>
  </si>
  <si>
    <t>2024vabla</t>
  </si>
  <si>
    <t>CHS District Blacksburg VA Event</t>
  </si>
  <si>
    <t>Blacksburg VA</t>
  </si>
  <si>
    <t>vafal</t>
  </si>
  <si>
    <t>2024vafal</t>
  </si>
  <si>
    <t>CHS District Falls Church VA Event presented by Department of Energy</t>
  </si>
  <si>
    <t>Falls Church VA</t>
  </si>
  <si>
    <t>vagle</t>
  </si>
  <si>
    <t>2024vagle</t>
  </si>
  <si>
    <t>CHS District Glen Allen VA Event</t>
  </si>
  <si>
    <t>Glen Allen VA</t>
  </si>
  <si>
    <t>vapor</t>
  </si>
  <si>
    <t>2024vapor</t>
  </si>
  <si>
    <t>CHS District Portsmouth VA Event</t>
  </si>
  <si>
    <t>Portsmouth VA</t>
  </si>
  <si>
    <t>waahs</t>
  </si>
  <si>
    <t>2024waahs</t>
  </si>
  <si>
    <t>PNW District Auburn Event</t>
  </si>
  <si>
    <t>Auburn</t>
  </si>
  <si>
    <t>wabon</t>
  </si>
  <si>
    <t>2024wabon</t>
  </si>
  <si>
    <t>PNW District Bonney Lake Event</t>
  </si>
  <si>
    <t>Bonney Lake</t>
  </si>
  <si>
    <t>wasam</t>
  </si>
  <si>
    <t>2024wasam</t>
  </si>
  <si>
    <t>PNW District Sammamish Event</t>
  </si>
  <si>
    <t>Sammamish</t>
  </si>
  <si>
    <t>wasno</t>
  </si>
  <si>
    <t>2024wasno</t>
  </si>
  <si>
    <t>PNW District Glacier Peak Event</t>
  </si>
  <si>
    <t>Glacier Peak</t>
  </si>
  <si>
    <t>wayak</t>
  </si>
  <si>
    <t>2024wayak</t>
  </si>
  <si>
    <t>PNW District SunDome Event</t>
  </si>
  <si>
    <t>SunDome</t>
  </si>
  <si>
    <t>wila</t>
  </si>
  <si>
    <t>2024wila</t>
  </si>
  <si>
    <t>Seven Rivers Regional</t>
  </si>
  <si>
    <t>Seven Rivers</t>
  </si>
  <si>
    <t>wimi</t>
  </si>
  <si>
    <t>2024wimi</t>
  </si>
  <si>
    <t>Wisconsin Regional</t>
  </si>
  <si>
    <t>Wisconsin</t>
  </si>
  <si>
    <t>2024nytr_qm1</t>
  </si>
  <si>
    <t>frc1880</t>
  </si>
  <si>
    <t>frc229</t>
  </si>
  <si>
    <t>frc3360</t>
  </si>
  <si>
    <t>frc3951</t>
  </si>
  <si>
    <t>frc5149</t>
  </si>
  <si>
    <t>frc1559</t>
  </si>
  <si>
    <t>2024nytr_qm2</t>
  </si>
  <si>
    <t>frc333</t>
  </si>
  <si>
    <t>frc1601</t>
  </si>
  <si>
    <t>frc5590</t>
  </si>
  <si>
    <t>frc5993</t>
  </si>
  <si>
    <t>frc1591</t>
  </si>
  <si>
    <t>2024nytr_qm3</t>
  </si>
  <si>
    <t>frc3181</t>
  </si>
  <si>
    <t>frc6648</t>
  </si>
  <si>
    <t>frc5881</t>
  </si>
  <si>
    <t>frc1493</t>
  </si>
  <si>
    <t>frc7030</t>
  </si>
  <si>
    <t>2024nytr_qm4</t>
  </si>
  <si>
    <t>frc9076</t>
  </si>
  <si>
    <t>frc6300</t>
  </si>
  <si>
    <t>frc3003</t>
  </si>
  <si>
    <t>frc9750</t>
  </si>
  <si>
    <t>frc9624</t>
  </si>
  <si>
    <t>2024nytr_qm5</t>
  </si>
  <si>
    <t>frc3044</t>
  </si>
  <si>
    <t>frc7031</t>
  </si>
  <si>
    <t>frc2095</t>
  </si>
  <si>
    <t>frc7605</t>
  </si>
  <si>
    <t>2024nytr_qm6</t>
  </si>
  <si>
    <t>frc3173</t>
  </si>
  <si>
    <t>frc3986</t>
  </si>
  <si>
    <t>2024nytr_qm7</t>
  </si>
  <si>
    <t>frc3799</t>
  </si>
  <si>
    <t>frc3550</t>
  </si>
  <si>
    <t>frc6621</t>
  </si>
  <si>
    <t>frc2234</t>
  </si>
  <si>
    <t>frc2053</t>
  </si>
  <si>
    <t>2024nytr_qm8</t>
  </si>
  <si>
    <t>frc3419</t>
  </si>
  <si>
    <t>frc1511</t>
  </si>
  <si>
    <t>2024nytr_qm9</t>
  </si>
  <si>
    <t>frc296</t>
  </si>
  <si>
    <t>frc7709</t>
  </si>
  <si>
    <t>2024nytr_qm10</t>
  </si>
  <si>
    <t>2024nytr_qm11</t>
  </si>
  <si>
    <t>2024nytr_qm12</t>
  </si>
  <si>
    <t>2024nytr_qm13</t>
  </si>
  <si>
    <t>2024nytr_qm14</t>
  </si>
  <si>
    <t>2024nytr_qm15</t>
  </si>
  <si>
    <t>2024nytr_qm16</t>
  </si>
  <si>
    <t>2024nytr_qm17</t>
  </si>
  <si>
    <t>2024nytr_qm18</t>
  </si>
  <si>
    <t>2024nytr_qm19</t>
  </si>
  <si>
    <t>2024nytr_qm20</t>
  </si>
  <si>
    <t>2024nytr_qm21</t>
  </si>
  <si>
    <t>2024nytr_qm22</t>
  </si>
  <si>
    <t>2024nytr_qm23</t>
  </si>
  <si>
    <t>2024nytr_qm24</t>
  </si>
  <si>
    <t>2024nytr_qm25</t>
  </si>
  <si>
    <t>2024nytr_qm26</t>
  </si>
  <si>
    <t>2024nytr_qm27</t>
  </si>
  <si>
    <t>2024nytr_qm28</t>
  </si>
  <si>
    <t>2024nytr_qm29</t>
  </si>
  <si>
    <t>2024nytr_qm30</t>
  </si>
  <si>
    <t>2024nytr_qm31</t>
  </si>
  <si>
    <t>2024nytr_qm32</t>
  </si>
  <si>
    <t>2024nytr_qm33</t>
  </si>
  <si>
    <t>2024nytr_qm34</t>
  </si>
  <si>
    <t>2024nytr_qm35</t>
  </si>
  <si>
    <t>2024nytr_qm36</t>
  </si>
  <si>
    <t>2024nytr_qm37</t>
  </si>
  <si>
    <t>2024nytr_qm38</t>
  </si>
  <si>
    <t>2024nytr_qm39</t>
  </si>
  <si>
    <t>2024nytr_qm40</t>
  </si>
  <si>
    <t>2024nytr_qm41</t>
  </si>
  <si>
    <t>2024nytr_qm42</t>
  </si>
  <si>
    <t>2024nytr_qm43</t>
  </si>
  <si>
    <t>2024nytr_qm44</t>
  </si>
  <si>
    <t>2024nytr_qm45</t>
  </si>
  <si>
    <t>2024nytr_qm46</t>
  </si>
  <si>
    <t>2024nytr_qm47</t>
  </si>
  <si>
    <t>2024nytr_qm48</t>
  </si>
  <si>
    <t>2024nytr_qm49</t>
  </si>
  <si>
    <t>2024nytr_qm50</t>
  </si>
  <si>
    <t>2024nytr_qm51</t>
  </si>
  <si>
    <t>2024nytr_qm52</t>
  </si>
  <si>
    <t>2024nytr_qm53</t>
  </si>
  <si>
    <t>2024nytr_qm54</t>
  </si>
  <si>
    <t>2024nytr_qm55</t>
  </si>
  <si>
    <t>2024nytr_qm56</t>
  </si>
  <si>
    <t>2024nytr_qm57</t>
  </si>
  <si>
    <t>2024nytr_qm58</t>
  </si>
  <si>
    <t>2024nytr_qm59</t>
  </si>
  <si>
    <t>2024nytr_qm60</t>
  </si>
  <si>
    <t>2024nytr_qm61</t>
  </si>
  <si>
    <t>2024nytr_qm62</t>
  </si>
  <si>
    <t>2024nytr_qm63</t>
  </si>
  <si>
    <t>2024nytr_qm64</t>
  </si>
  <si>
    <t>2024nytr_qm65</t>
  </si>
  <si>
    <t>2024nytr_qm66</t>
  </si>
  <si>
    <t>2024nytr_qm67</t>
  </si>
  <si>
    <t>2024nytr_qm68</t>
  </si>
  <si>
    <t>2024nytr_qm69</t>
  </si>
  <si>
    <t>2024nytr_qm70</t>
  </si>
  <si>
    <t>2024nytr_qm71</t>
  </si>
  <si>
    <t>2024nytr_qm72</t>
  </si>
  <si>
    <t>2024nytr_qm73</t>
  </si>
  <si>
    <t>2024nytr_qm74</t>
  </si>
  <si>
    <t>2024nytr_qm75</t>
  </si>
  <si>
    <t>2024nytr_qm76</t>
  </si>
  <si>
    <t>2024nytr_qm77</t>
  </si>
  <si>
    <t>Vincent</t>
  </si>
  <si>
    <t>Milo</t>
  </si>
  <si>
    <t>blue1</t>
  </si>
  <si>
    <t>Caleb</t>
  </si>
  <si>
    <t>red1</t>
  </si>
  <si>
    <t>Sydney</t>
  </si>
  <si>
    <t>blue0</t>
  </si>
  <si>
    <t>Jialing</t>
  </si>
  <si>
    <t>blue2</t>
  </si>
  <si>
    <t>Avery</t>
  </si>
  <si>
    <t>Pre</t>
  </si>
  <si>
    <t>Spkr</t>
  </si>
  <si>
    <t>Y</t>
  </si>
  <si>
    <t>N</t>
  </si>
  <si>
    <t>Podm</t>
  </si>
  <si>
    <t>Teleop</t>
  </si>
  <si>
    <t>Match_Event</t>
  </si>
  <si>
    <t>Park</t>
  </si>
  <si>
    <t>On</t>
  </si>
  <si>
    <t>R</t>
  </si>
  <si>
    <t>L</t>
  </si>
  <si>
    <t>Celebity</t>
  </si>
  <si>
    <t>C</t>
  </si>
  <si>
    <t>ShowTime</t>
  </si>
  <si>
    <t>0</t>
  </si>
  <si>
    <t>Eric</t>
  </si>
  <si>
    <t>Savannah</t>
  </si>
  <si>
    <t>Anthony</t>
  </si>
  <si>
    <t>AllyWing</t>
  </si>
  <si>
    <t>Kevin</t>
  </si>
  <si>
    <t>Diganta</t>
  </si>
  <si>
    <t>Tiffany</t>
  </si>
  <si>
    <t>rankings</t>
  </si>
  <si>
    <t>B</t>
  </si>
  <si>
    <t>Blue3S</t>
  </si>
  <si>
    <t>Red3A</t>
  </si>
  <si>
    <t>Blue2C</t>
  </si>
  <si>
    <t>Red2C</t>
  </si>
  <si>
    <t>Blue1A</t>
  </si>
  <si>
    <t>Red1S</t>
  </si>
  <si>
    <t>frc99999</t>
  </si>
  <si>
    <t>Kyle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</si>
</sst>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0.0"/>
    <numFmt numFmtId="166" formatCode="m/d/yy\ h:mm:ss\ AM/PM"/>
    <numFmt numFmtId="167" formatCode="ss"/>
    <numFmt numFmtId="168" formatCode="0.0000"/>
    <numFmt numFmtId="169" formatCode="0.0%"/>
  </numFmts>
  <fonts count="22" x14ac:knownFonts="1">
    <font>
      <sz val="11"/>
      <color theme="1"/>
      <name val="Calibri"/>
      <family val="2"/>
      <scheme val="minor"/>
    </font>
    <font>
      <b/>
      <sz val="11"/>
      <color theme="0"/>
      <name val="Calibri"/>
      <family val="2"/>
      <scheme val="minor"/>
    </font>
    <font>
      <sz val="11"/>
      <name val="Calibri"/>
      <family val="2"/>
      <scheme val="minor"/>
    </font>
    <font>
      <b/>
      <sz val="11"/>
      <color theme="1"/>
      <name val="Calibri"/>
      <family val="2"/>
      <scheme val="minor"/>
    </font>
    <font>
      <b/>
      <sz val="11"/>
      <color rgb="FF00B050"/>
      <name val="Calibri"/>
      <family val="2"/>
      <scheme val="minor"/>
    </font>
    <font>
      <b/>
      <sz val="11"/>
      <color rgb="FFFF0000"/>
      <name val="Calibri"/>
      <family val="2"/>
      <scheme val="minor"/>
    </font>
    <font>
      <i/>
      <sz val="11"/>
      <color theme="1"/>
      <name val="Calibri"/>
      <family val="2"/>
      <scheme val="minor"/>
    </font>
    <font>
      <sz val="8"/>
      <name val="Calibri"/>
      <family val="2"/>
      <scheme val="minor"/>
    </font>
    <font>
      <sz val="11"/>
      <color theme="1"/>
      <name val="Calibri"/>
      <family val="2"/>
      <scheme val="minor"/>
    </font>
    <font>
      <sz val="11"/>
      <color theme="0"/>
      <name val="Calibri"/>
      <family val="2"/>
      <scheme val="minor"/>
    </font>
    <font>
      <b/>
      <sz val="10"/>
      <color theme="0"/>
      <name val="Calibri"/>
      <family val="2"/>
      <scheme val="minor"/>
    </font>
    <font>
      <b/>
      <sz val="12"/>
      <color theme="1"/>
      <name val="Calibri"/>
      <family val="2"/>
      <scheme val="minor"/>
    </font>
    <font>
      <sz val="12"/>
      <color theme="1"/>
      <name val="Calibri"/>
      <family val="2"/>
      <scheme val="minor"/>
    </font>
    <font>
      <b/>
      <sz val="14"/>
      <color theme="0"/>
      <name val="Calibri"/>
      <family val="2"/>
      <scheme val="minor"/>
    </font>
    <font>
      <u/>
      <sz val="11"/>
      <color theme="10"/>
      <name val="Calibri"/>
      <family val="2"/>
      <scheme val="minor"/>
    </font>
    <font>
      <b/>
      <sz val="16"/>
      <color theme="1"/>
      <name val="Calibri"/>
      <family val="2"/>
      <scheme val="minor"/>
    </font>
    <font>
      <u/>
      <sz val="12"/>
      <color theme="10"/>
      <name val="Calibri"/>
      <family val="2"/>
      <scheme val="minor"/>
    </font>
    <font>
      <b/>
      <sz val="14"/>
      <color theme="1"/>
      <name val="Calibri"/>
      <family val="2"/>
      <scheme val="minor"/>
    </font>
    <font>
      <sz val="14"/>
      <color theme="1"/>
      <name val="Calibri"/>
      <family val="2"/>
      <scheme val="minor"/>
    </font>
    <font>
      <sz val="12"/>
      <color theme="1"/>
      <name val="Aptos Narrow"/>
      <family val="2"/>
    </font>
    <font>
      <sz val="12"/>
      <color theme="1"/>
      <name val="Calibri"/>
      <family val="2"/>
    </font>
    <font>
      <sz val="14"/>
      <color theme="0"/>
      <name val="Calibri"/>
      <family val="2"/>
      <scheme val="minor"/>
    </font>
  </fonts>
  <fills count="19">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00B050"/>
        <bgColor indexed="64"/>
      </patternFill>
    </fill>
    <fill>
      <patternFill patternType="solid">
        <fgColor rgb="FF0070C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00B0F0"/>
        <bgColor indexed="64"/>
      </patternFill>
    </fill>
    <fill>
      <patternFill patternType="solid">
        <fgColor theme="2" tint="-0.499984740745262"/>
        <bgColor indexed="64"/>
      </patternFill>
    </fill>
    <fill>
      <patternFill patternType="solid">
        <fgColor theme="7"/>
        <bgColor indexed="64"/>
      </patternFill>
    </fill>
    <fill>
      <patternFill patternType="solid">
        <fgColor theme="9"/>
        <bgColor indexed="64"/>
      </patternFill>
    </fill>
    <fill>
      <patternFill patternType="solid">
        <fgColor rgb="FFFFC000"/>
        <bgColor indexed="64"/>
      </patternFill>
    </fill>
    <fill>
      <patternFill patternType="solid">
        <fgColor rgb="FF92D050"/>
        <bgColor indexed="64"/>
      </patternFill>
    </fill>
    <fill>
      <patternFill patternType="solid">
        <fgColor theme="9" tint="0.59999389629810485"/>
        <bgColor indexed="64"/>
      </patternFill>
    </fill>
    <fill>
      <patternFill patternType="solid">
        <fgColor theme="1"/>
        <bgColor indexed="64"/>
      </patternFill>
    </fill>
    <fill>
      <patternFill patternType="solid">
        <fgColor rgb="FFFF00FF"/>
        <bgColor indexed="64"/>
      </patternFill>
    </fill>
    <fill>
      <patternFill patternType="solid">
        <fgColor theme="8"/>
        <bgColor indexed="64"/>
      </patternFill>
    </fill>
  </fills>
  <borders count="52">
    <border>
      <left/>
      <right/>
      <top/>
      <bottom/>
      <diagonal/>
    </border>
    <border>
      <left style="thin">
        <color indexed="64"/>
      </left>
      <right/>
      <top/>
      <bottom/>
      <diagonal/>
    </border>
    <border>
      <left/>
      <right style="thin">
        <color indexed="64"/>
      </right>
      <top/>
      <bottom/>
      <diagonal/>
    </border>
    <border>
      <left style="hair">
        <color auto="1"/>
      </left>
      <right/>
      <top/>
      <bottom/>
      <diagonal/>
    </border>
    <border>
      <left style="hair">
        <color auto="1"/>
      </left>
      <right style="thin">
        <color auto="1"/>
      </right>
      <top/>
      <bottom/>
      <diagonal/>
    </border>
    <border>
      <left style="medium">
        <color auto="1"/>
      </left>
      <right/>
      <top style="medium">
        <color auto="1"/>
      </top>
      <bottom/>
      <diagonal/>
    </border>
    <border>
      <left style="hair">
        <color auto="1"/>
      </left>
      <right/>
      <top style="medium">
        <color auto="1"/>
      </top>
      <bottom/>
      <diagonal/>
    </border>
    <border>
      <left style="thin">
        <color auto="1"/>
      </left>
      <right/>
      <top style="medium">
        <color auto="1"/>
      </top>
      <bottom/>
      <diagonal/>
    </border>
    <border>
      <left style="hair">
        <color auto="1"/>
      </left>
      <right style="thin">
        <color auto="1"/>
      </right>
      <top style="medium">
        <color auto="1"/>
      </top>
      <bottom/>
      <diagonal/>
    </border>
    <border>
      <left/>
      <right/>
      <top style="medium">
        <color auto="1"/>
      </top>
      <bottom/>
      <diagonal/>
    </border>
    <border>
      <left style="hair">
        <color auto="1"/>
      </left>
      <right style="hair">
        <color auto="1"/>
      </right>
      <top style="medium">
        <color auto="1"/>
      </top>
      <bottom/>
      <diagonal/>
    </border>
    <border>
      <left style="hair">
        <color auto="1"/>
      </left>
      <right style="medium">
        <color auto="1"/>
      </right>
      <top style="medium">
        <color auto="1"/>
      </top>
      <bottom/>
      <diagonal/>
    </border>
    <border>
      <left style="medium">
        <color auto="1"/>
      </left>
      <right/>
      <top/>
      <bottom/>
      <diagonal/>
    </border>
    <border>
      <left style="hair">
        <color auto="1"/>
      </left>
      <right style="hair">
        <color auto="1"/>
      </right>
      <top/>
      <bottom/>
      <diagonal/>
    </border>
    <border>
      <left style="hair">
        <color auto="1"/>
      </left>
      <right style="medium">
        <color auto="1"/>
      </right>
      <top/>
      <bottom/>
      <diagonal/>
    </border>
    <border>
      <left/>
      <right/>
      <top style="hair">
        <color auto="1"/>
      </top>
      <bottom style="hair">
        <color auto="1"/>
      </bottom>
      <diagonal/>
    </border>
    <border>
      <left style="medium">
        <color auto="1"/>
      </left>
      <right/>
      <top style="hair">
        <color auto="1"/>
      </top>
      <bottom style="hair">
        <color auto="1"/>
      </bottom>
      <diagonal/>
    </border>
    <border>
      <left style="hair">
        <color auto="1"/>
      </left>
      <right/>
      <top style="hair">
        <color auto="1"/>
      </top>
      <bottom style="hair">
        <color auto="1"/>
      </bottom>
      <diagonal/>
    </border>
    <border>
      <left style="thin">
        <color auto="1"/>
      </left>
      <right/>
      <top style="hair">
        <color auto="1"/>
      </top>
      <bottom style="hair">
        <color auto="1"/>
      </bottom>
      <diagonal/>
    </border>
    <border>
      <left style="hair">
        <color auto="1"/>
      </left>
      <right style="thin">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auto="1"/>
      </left>
      <right/>
      <top/>
      <bottom style="medium">
        <color auto="1"/>
      </bottom>
      <diagonal/>
    </border>
    <border>
      <left style="hair">
        <color auto="1"/>
      </left>
      <right/>
      <top/>
      <bottom style="medium">
        <color auto="1"/>
      </bottom>
      <diagonal/>
    </border>
    <border>
      <left style="thin">
        <color auto="1"/>
      </left>
      <right/>
      <top/>
      <bottom style="medium">
        <color auto="1"/>
      </bottom>
      <diagonal/>
    </border>
    <border>
      <left style="hair">
        <color auto="1"/>
      </left>
      <right style="thin">
        <color auto="1"/>
      </right>
      <top/>
      <bottom style="medium">
        <color auto="1"/>
      </bottom>
      <diagonal/>
    </border>
    <border>
      <left/>
      <right/>
      <top/>
      <bottom style="medium">
        <color auto="1"/>
      </bottom>
      <diagonal/>
    </border>
    <border>
      <left style="hair">
        <color auto="1"/>
      </left>
      <right style="hair">
        <color auto="1"/>
      </right>
      <top/>
      <bottom style="medium">
        <color auto="1"/>
      </bottom>
      <diagonal/>
    </border>
    <border>
      <left style="hair">
        <color auto="1"/>
      </left>
      <right style="medium">
        <color auto="1"/>
      </right>
      <top/>
      <bottom style="medium">
        <color auto="1"/>
      </bottom>
      <diagonal/>
    </border>
    <border>
      <left style="thin">
        <color indexed="64"/>
      </left>
      <right style="thin">
        <color indexed="64"/>
      </right>
      <top/>
      <bottom/>
      <diagonal/>
    </border>
    <border>
      <left style="thick">
        <color rgb="FFFF0000"/>
      </left>
      <right/>
      <top style="thick">
        <color rgb="FFFF0000"/>
      </top>
      <bottom/>
      <diagonal/>
    </border>
    <border>
      <left/>
      <right/>
      <top style="thick">
        <color rgb="FFFF0000"/>
      </top>
      <bottom/>
      <diagonal/>
    </border>
    <border>
      <left/>
      <right style="thick">
        <color rgb="FFFF0000"/>
      </right>
      <top style="thick">
        <color rgb="FFFF0000"/>
      </top>
      <bottom/>
      <diagonal/>
    </border>
    <border>
      <left style="thick">
        <color rgb="FFFF0000"/>
      </left>
      <right/>
      <top/>
      <bottom/>
      <diagonal/>
    </border>
    <border>
      <left/>
      <right style="thick">
        <color rgb="FFFF0000"/>
      </right>
      <top/>
      <bottom/>
      <diagonal/>
    </border>
    <border>
      <left style="thick">
        <color rgb="FFFF0000"/>
      </left>
      <right/>
      <top/>
      <bottom style="thick">
        <color rgb="FFFF0000"/>
      </bottom>
      <diagonal/>
    </border>
    <border>
      <left/>
      <right/>
      <top/>
      <bottom style="thick">
        <color rgb="FFFF0000"/>
      </bottom>
      <diagonal/>
    </border>
    <border>
      <left/>
      <right style="thick">
        <color rgb="FFFF0000"/>
      </right>
      <top/>
      <bottom style="thick">
        <color rgb="FFFF0000"/>
      </bottom>
      <diagonal/>
    </border>
    <border>
      <left style="medium">
        <color indexed="64"/>
      </left>
      <right style="medium">
        <color indexed="64"/>
      </right>
      <top style="medium">
        <color indexed="64"/>
      </top>
      <bottom style="medium">
        <color indexed="64"/>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s>
  <cellStyleXfs count="3">
    <xf numFmtId="0" fontId="0" fillId="0" borderId="0"/>
    <xf numFmtId="9" fontId="8" fillId="0" borderId="0" applyFont="0" applyFill="0" applyBorder="0" applyAlignment="0" applyProtection="0"/>
    <xf numFmtId="0" fontId="14" fillId="0" borderId="0" applyNumberFormat="0" applyFill="0" applyBorder="0" applyAlignment="0" applyProtection="0"/>
  </cellStyleXfs>
  <cellXfs count="194">
    <xf numFmtId="0" fontId="0" fillId="0" borderId="0" xfId="0"/>
    <xf numFmtId="0" fontId="0" fillId="0" borderId="0" xfId="0" applyAlignment="1">
      <alignment horizontal="center"/>
    </xf>
    <xf numFmtId="0" fontId="0" fillId="0" borderId="0" xfId="0" applyAlignment="1">
      <alignment horizontal="left"/>
    </xf>
    <xf numFmtId="22" fontId="0" fillId="0" borderId="0" xfId="0" applyNumberFormat="1"/>
    <xf numFmtId="0" fontId="0" fillId="3" borderId="0" xfId="0" applyFill="1"/>
    <xf numFmtId="0" fontId="3" fillId="0" borderId="0" xfId="0" applyFont="1"/>
    <xf numFmtId="0" fontId="1" fillId="4" borderId="0" xfId="0" applyFont="1" applyFill="1" applyAlignment="1">
      <alignment horizontal="center"/>
    </xf>
    <xf numFmtId="0" fontId="3" fillId="3" borderId="3" xfId="0" applyFont="1" applyFill="1" applyBorder="1" applyAlignment="1">
      <alignment horizontal="center"/>
    </xf>
    <xf numFmtId="0" fontId="1" fillId="4" borderId="1" xfId="0" applyFont="1" applyFill="1" applyBorder="1" applyAlignment="1">
      <alignment horizontal="center"/>
    </xf>
    <xf numFmtId="0" fontId="3" fillId="3" borderId="4" xfId="0" applyFont="1" applyFill="1" applyBorder="1" applyAlignment="1">
      <alignment horizontal="center"/>
    </xf>
    <xf numFmtId="0" fontId="3" fillId="0" borderId="0" xfId="0" applyFont="1" applyAlignment="1">
      <alignment horizontal="center"/>
    </xf>
    <xf numFmtId="0" fontId="1" fillId="5" borderId="0" xfId="0" applyFont="1" applyFill="1"/>
    <xf numFmtId="0" fontId="4" fillId="0" borderId="5" xfId="0" applyFont="1" applyBorder="1" applyAlignment="1">
      <alignment horizontal="center"/>
    </xf>
    <xf numFmtId="0" fontId="5" fillId="0" borderId="6" xfId="0" applyFont="1" applyBorder="1" applyAlignment="1">
      <alignment horizontal="center"/>
    </xf>
    <xf numFmtId="0" fontId="4" fillId="0" borderId="7" xfId="0" applyFont="1" applyBorder="1" applyAlignment="1">
      <alignment horizontal="center"/>
    </xf>
    <xf numFmtId="0" fontId="5" fillId="0" borderId="8" xfId="0" applyFont="1" applyBorder="1" applyAlignment="1">
      <alignment horizontal="center"/>
    </xf>
    <xf numFmtId="0" fontId="4" fillId="0" borderId="9" xfId="0" applyFont="1" applyBorder="1" applyAlignment="1">
      <alignment horizontal="center"/>
    </xf>
    <xf numFmtId="0" fontId="5" fillId="0" borderId="10" xfId="0" applyFont="1" applyBorder="1" applyAlignment="1">
      <alignment horizontal="center"/>
    </xf>
    <xf numFmtId="0" fontId="4" fillId="0" borderId="10" xfId="0" applyFont="1" applyBorder="1" applyAlignment="1">
      <alignment horizontal="center"/>
    </xf>
    <xf numFmtId="0" fontId="5" fillId="0" borderId="11" xfId="0" applyFont="1" applyBorder="1" applyAlignment="1">
      <alignment horizontal="center"/>
    </xf>
    <xf numFmtId="0" fontId="1" fillId="2" borderId="0" xfId="0" applyFont="1" applyFill="1"/>
    <xf numFmtId="0" fontId="4" fillId="6" borderId="12" xfId="0" applyFont="1" applyFill="1" applyBorder="1" applyAlignment="1">
      <alignment horizontal="center"/>
    </xf>
    <xf numFmtId="0" fontId="5" fillId="6" borderId="3" xfId="0" applyFont="1" applyFill="1" applyBorder="1" applyAlignment="1">
      <alignment horizontal="center"/>
    </xf>
    <xf numFmtId="0" fontId="4" fillId="6" borderId="1" xfId="0" applyFont="1" applyFill="1" applyBorder="1" applyAlignment="1">
      <alignment horizontal="center"/>
    </xf>
    <xf numFmtId="0" fontId="5" fillId="6" borderId="4" xfId="0" applyFont="1" applyFill="1" applyBorder="1" applyAlignment="1">
      <alignment horizontal="center"/>
    </xf>
    <xf numFmtId="0" fontId="4" fillId="6" borderId="0" xfId="0" applyFont="1" applyFill="1" applyAlignment="1">
      <alignment horizontal="center"/>
    </xf>
    <xf numFmtId="0" fontId="5" fillId="6" borderId="13" xfId="0" applyFont="1" applyFill="1" applyBorder="1" applyAlignment="1">
      <alignment horizontal="center"/>
    </xf>
    <xf numFmtId="0" fontId="4" fillId="6" borderId="13" xfId="0" applyFont="1" applyFill="1" applyBorder="1" applyAlignment="1">
      <alignment horizontal="center"/>
    </xf>
    <xf numFmtId="0" fontId="5" fillId="6" borderId="14" xfId="0" applyFont="1" applyFill="1" applyBorder="1" applyAlignment="1">
      <alignment horizontal="center"/>
    </xf>
    <xf numFmtId="0" fontId="4" fillId="0" borderId="12" xfId="0" applyFont="1" applyBorder="1" applyAlignment="1">
      <alignment horizontal="center"/>
    </xf>
    <xf numFmtId="0" fontId="5" fillId="0" borderId="3" xfId="0" applyFont="1" applyBorder="1" applyAlignment="1">
      <alignment horizontal="center"/>
    </xf>
    <xf numFmtId="0" fontId="4" fillId="0" borderId="1" xfId="0" applyFont="1" applyBorder="1" applyAlignment="1">
      <alignment horizontal="center"/>
    </xf>
    <xf numFmtId="0" fontId="5" fillId="0" borderId="4" xfId="0" applyFont="1" applyBorder="1" applyAlignment="1">
      <alignment horizontal="center"/>
    </xf>
    <xf numFmtId="0" fontId="4" fillId="0" borderId="0" xfId="0" applyFont="1" applyAlignment="1">
      <alignment horizontal="center"/>
    </xf>
    <xf numFmtId="0" fontId="5" fillId="0" borderId="13" xfId="0" applyFont="1" applyBorder="1" applyAlignment="1">
      <alignment horizontal="center"/>
    </xf>
    <xf numFmtId="0" fontId="4" fillId="0" borderId="13" xfId="0" applyFont="1" applyBorder="1" applyAlignment="1">
      <alignment horizontal="center"/>
    </xf>
    <xf numFmtId="0" fontId="5" fillId="0" borderId="14" xfId="0" applyFont="1" applyBorder="1" applyAlignment="1">
      <alignment horizontal="center"/>
    </xf>
    <xf numFmtId="0" fontId="1" fillId="5" borderId="15" xfId="0" applyFont="1" applyFill="1" applyBorder="1"/>
    <xf numFmtId="0" fontId="4" fillId="0" borderId="16" xfId="0" applyFont="1" applyBorder="1" applyAlignment="1">
      <alignment horizontal="center"/>
    </xf>
    <xf numFmtId="0" fontId="5" fillId="0" borderId="17" xfId="0" applyFont="1" applyBorder="1" applyAlignment="1">
      <alignment horizontal="center"/>
    </xf>
    <xf numFmtId="0" fontId="4" fillId="0" borderId="18" xfId="0" applyFont="1" applyBorder="1" applyAlignment="1">
      <alignment horizontal="center"/>
    </xf>
    <xf numFmtId="0" fontId="5" fillId="0" borderId="19" xfId="0" applyFont="1" applyBorder="1" applyAlignment="1">
      <alignment horizontal="center"/>
    </xf>
    <xf numFmtId="0" fontId="4" fillId="0" borderId="15" xfId="0" applyFont="1" applyBorder="1" applyAlignment="1">
      <alignment horizontal="center"/>
    </xf>
    <xf numFmtId="0" fontId="5" fillId="0" borderId="20" xfId="0" applyFont="1" applyBorder="1" applyAlignment="1">
      <alignment horizontal="center"/>
    </xf>
    <xf numFmtId="0" fontId="4" fillId="0" borderId="20" xfId="0" applyFont="1" applyBorder="1" applyAlignment="1">
      <alignment horizontal="center"/>
    </xf>
    <xf numFmtId="0" fontId="5" fillId="0" borderId="21" xfId="0" applyFont="1" applyBorder="1" applyAlignment="1">
      <alignment horizontal="center"/>
    </xf>
    <xf numFmtId="0" fontId="1" fillId="2" borderId="15" xfId="0" applyFont="1" applyFill="1" applyBorder="1"/>
    <xf numFmtId="0" fontId="4" fillId="0" borderId="22" xfId="0" applyFont="1" applyBorder="1" applyAlignment="1">
      <alignment horizontal="center"/>
    </xf>
    <xf numFmtId="0" fontId="5" fillId="0" borderId="23" xfId="0" applyFont="1" applyBorder="1" applyAlignment="1">
      <alignment horizontal="center"/>
    </xf>
    <xf numFmtId="0" fontId="4" fillId="0" borderId="24" xfId="0" applyFont="1" applyBorder="1" applyAlignment="1">
      <alignment horizontal="center"/>
    </xf>
    <xf numFmtId="0" fontId="5" fillId="0" borderId="25" xfId="0" applyFont="1" applyBorder="1" applyAlignment="1">
      <alignment horizontal="center"/>
    </xf>
    <xf numFmtId="0" fontId="4" fillId="0" borderId="26" xfId="0" applyFont="1" applyBorder="1" applyAlignment="1">
      <alignment horizontal="center"/>
    </xf>
    <xf numFmtId="0" fontId="5" fillId="0" borderId="27" xfId="0" applyFont="1" applyBorder="1" applyAlignment="1">
      <alignment horizontal="center"/>
    </xf>
    <xf numFmtId="0" fontId="4" fillId="0" borderId="27" xfId="0" applyFont="1" applyBorder="1" applyAlignment="1">
      <alignment horizontal="center"/>
    </xf>
    <xf numFmtId="0" fontId="5" fillId="0" borderId="28" xfId="0" applyFont="1" applyBorder="1" applyAlignment="1">
      <alignment horizontal="center"/>
    </xf>
    <xf numFmtId="0" fontId="0" fillId="7" borderId="0" xfId="0" applyFill="1"/>
    <xf numFmtId="0" fontId="3" fillId="7" borderId="0" xfId="0" applyFont="1" applyFill="1"/>
    <xf numFmtId="0" fontId="6" fillId="7" borderId="0" xfId="0" applyFont="1" applyFill="1"/>
    <xf numFmtId="0" fontId="2" fillId="8" borderId="0" xfId="0" applyFont="1" applyFill="1"/>
    <xf numFmtId="10" fontId="0" fillId="0" borderId="0" xfId="0" applyNumberFormat="1"/>
    <xf numFmtId="10" fontId="0" fillId="0" borderId="0" xfId="1" applyNumberFormat="1" applyFont="1"/>
    <xf numFmtId="10" fontId="2" fillId="8" borderId="0" xfId="1" applyNumberFormat="1" applyFont="1" applyFill="1"/>
    <xf numFmtId="0" fontId="1" fillId="9" borderId="0" xfId="0" applyFont="1" applyFill="1" applyAlignment="1">
      <alignment horizontal="center"/>
    </xf>
    <xf numFmtId="0" fontId="1" fillId="9" borderId="29" xfId="0" applyFont="1" applyFill="1" applyBorder="1"/>
    <xf numFmtId="0" fontId="0" fillId="10" borderId="0" xfId="0" applyFill="1"/>
    <xf numFmtId="10" fontId="0" fillId="10" borderId="0" xfId="0" applyNumberFormat="1" applyFill="1"/>
    <xf numFmtId="164" fontId="0" fillId="0" borderId="0" xfId="0" applyNumberFormat="1"/>
    <xf numFmtId="164" fontId="0" fillId="10" borderId="0" xfId="0" applyNumberFormat="1" applyFill="1"/>
    <xf numFmtId="0" fontId="0" fillId="11" borderId="0" xfId="0" applyFill="1"/>
    <xf numFmtId="10" fontId="0" fillId="11" borderId="0" xfId="0" applyNumberFormat="1" applyFill="1"/>
    <xf numFmtId="165" fontId="0" fillId="0" borderId="0" xfId="0" applyNumberFormat="1" applyAlignment="1">
      <alignment horizontal="center"/>
    </xf>
    <xf numFmtId="165" fontId="3" fillId="0" borderId="0" xfId="0" applyNumberFormat="1" applyFont="1" applyAlignment="1">
      <alignment horizontal="center"/>
    </xf>
    <xf numFmtId="165" fontId="0" fillId="0" borderId="9" xfId="0" applyNumberFormat="1" applyBorder="1" applyAlignment="1">
      <alignment horizontal="center"/>
    </xf>
    <xf numFmtId="165" fontId="0" fillId="0" borderId="26" xfId="0" applyNumberFormat="1" applyBorder="1" applyAlignment="1">
      <alignment horizontal="center"/>
    </xf>
    <xf numFmtId="2" fontId="0" fillId="0" borderId="0" xfId="0" applyNumberFormat="1"/>
    <xf numFmtId="2" fontId="0" fillId="0" borderId="0" xfId="0" applyNumberFormat="1" applyAlignment="1">
      <alignment horizontal="center"/>
    </xf>
    <xf numFmtId="1" fontId="0" fillId="0" borderId="0" xfId="0" applyNumberFormat="1"/>
    <xf numFmtId="0" fontId="0" fillId="3" borderId="0" xfId="0" applyFill="1" applyAlignment="1">
      <alignment horizontal="center"/>
    </xf>
    <xf numFmtId="0" fontId="10" fillId="12" borderId="0" xfId="0" applyFont="1" applyFill="1"/>
    <xf numFmtId="0" fontId="1" fillId="12" borderId="0" xfId="0" applyFont="1" applyFill="1" applyAlignment="1">
      <alignment horizontal="center"/>
    </xf>
    <xf numFmtId="1" fontId="0" fillId="0" borderId="0" xfId="0" applyNumberFormat="1" applyAlignment="1">
      <alignment horizontal="center"/>
    </xf>
    <xf numFmtId="165" fontId="0" fillId="0" borderId="0" xfId="0" applyNumberFormat="1"/>
    <xf numFmtId="1" fontId="0" fillId="0" borderId="0" xfId="1" applyNumberFormat="1" applyFont="1" applyAlignment="1">
      <alignment horizontal="center"/>
    </xf>
    <xf numFmtId="1" fontId="0" fillId="10" borderId="0" xfId="1" applyNumberFormat="1" applyFont="1" applyFill="1" applyAlignment="1">
      <alignment horizontal="left"/>
    </xf>
    <xf numFmtId="0" fontId="0" fillId="0" borderId="33" xfId="0" applyBorder="1"/>
    <xf numFmtId="0" fontId="0" fillId="0" borderId="34" xfId="0" applyBorder="1"/>
    <xf numFmtId="0" fontId="0" fillId="0" borderId="35" xfId="0" applyBorder="1"/>
    <xf numFmtId="0" fontId="0" fillId="0" borderId="36" xfId="0" applyBorder="1"/>
    <xf numFmtId="0" fontId="11" fillId="0" borderId="0" xfId="0" applyFont="1" applyAlignment="1">
      <alignment horizontal="left"/>
    </xf>
    <xf numFmtId="0" fontId="12" fillId="3" borderId="0" xfId="0" applyFont="1" applyFill="1" applyAlignment="1">
      <alignment horizontal="center"/>
    </xf>
    <xf numFmtId="2" fontId="12" fillId="3" borderId="0" xfId="0" applyNumberFormat="1" applyFont="1" applyFill="1" applyAlignment="1">
      <alignment horizontal="center"/>
    </xf>
    <xf numFmtId="0" fontId="12" fillId="0" borderId="0" xfId="0" applyFont="1"/>
    <xf numFmtId="165" fontId="0" fillId="3" borderId="0" xfId="0" applyNumberFormat="1" applyFill="1"/>
    <xf numFmtId="1" fontId="0" fillId="3" borderId="0" xfId="0" applyNumberFormat="1" applyFill="1" applyAlignment="1">
      <alignment horizontal="center"/>
    </xf>
    <xf numFmtId="0" fontId="1" fillId="0" borderId="0" xfId="0" applyFont="1"/>
    <xf numFmtId="0" fontId="0" fillId="0" borderId="30" xfId="0" applyBorder="1"/>
    <xf numFmtId="0" fontId="0" fillId="14" borderId="0" xfId="0" applyFill="1"/>
    <xf numFmtId="0" fontId="0" fillId="13" borderId="0" xfId="0" applyFill="1"/>
    <xf numFmtId="0" fontId="0" fillId="14" borderId="34" xfId="0" applyFill="1" applyBorder="1"/>
    <xf numFmtId="0" fontId="0" fillId="3" borderId="34" xfId="0" applyFill="1" applyBorder="1"/>
    <xf numFmtId="0" fontId="0" fillId="13" borderId="34" xfId="0" applyFill="1" applyBorder="1"/>
    <xf numFmtId="0" fontId="9" fillId="2" borderId="34" xfId="0" applyFont="1" applyFill="1" applyBorder="1"/>
    <xf numFmtId="0" fontId="9" fillId="4" borderId="37" xfId="0" applyFont="1" applyFill="1" applyBorder="1"/>
    <xf numFmtId="165" fontId="12" fillId="3" borderId="0" xfId="0" applyNumberFormat="1" applyFont="1" applyFill="1" applyAlignment="1">
      <alignment horizontal="center"/>
    </xf>
    <xf numFmtId="0" fontId="0" fillId="0" borderId="38" xfId="0" applyBorder="1"/>
    <xf numFmtId="166" fontId="0" fillId="0" borderId="0" xfId="0" applyNumberFormat="1"/>
    <xf numFmtId="167" fontId="0" fillId="0" borderId="0" xfId="0" applyNumberFormat="1"/>
    <xf numFmtId="2" fontId="9" fillId="2" borderId="0" xfId="0" applyNumberFormat="1" applyFont="1" applyFill="1"/>
    <xf numFmtId="2" fontId="0" fillId="0" borderId="38" xfId="0" applyNumberFormat="1" applyBorder="1"/>
    <xf numFmtId="2" fontId="9" fillId="4" borderId="0" xfId="0" applyNumberFormat="1" applyFont="1" applyFill="1"/>
    <xf numFmtId="164" fontId="0" fillId="11" borderId="0" xfId="0" applyNumberFormat="1" applyFill="1"/>
    <xf numFmtId="2" fontId="0" fillId="0" borderId="0" xfId="1" applyNumberFormat="1" applyFont="1" applyAlignment="1">
      <alignment horizontal="center"/>
    </xf>
    <xf numFmtId="2" fontId="0" fillId="10" borderId="0" xfId="1" applyNumberFormat="1" applyFont="1" applyFill="1" applyAlignment="1">
      <alignment horizontal="left"/>
    </xf>
    <xf numFmtId="0" fontId="2" fillId="15" borderId="0" xfId="0" applyFont="1" applyFill="1"/>
    <xf numFmtId="0" fontId="0" fillId="0" borderId="0" xfId="0" applyAlignment="1">
      <alignment horizontal="right"/>
    </xf>
    <xf numFmtId="0" fontId="0" fillId="0" borderId="34" xfId="0" applyBorder="1" applyAlignment="1">
      <alignment horizontal="right"/>
    </xf>
    <xf numFmtId="0" fontId="0" fillId="0" borderId="37" xfId="0" applyBorder="1"/>
    <xf numFmtId="0" fontId="0" fillId="5" borderId="0" xfId="0" applyFill="1"/>
    <xf numFmtId="1" fontId="12" fillId="3" borderId="0" xfId="0" applyNumberFormat="1" applyFont="1" applyFill="1" applyAlignment="1">
      <alignment horizontal="center"/>
    </xf>
    <xf numFmtId="2" fontId="0" fillId="0" borderId="34" xfId="0" applyNumberFormat="1" applyBorder="1"/>
    <xf numFmtId="2" fontId="0" fillId="0" borderId="36" xfId="0" applyNumberFormat="1" applyBorder="1"/>
    <xf numFmtId="2" fontId="0" fillId="0" borderId="37" xfId="0" applyNumberFormat="1" applyBorder="1"/>
    <xf numFmtId="10" fontId="0" fillId="0" borderId="0" xfId="1" applyNumberFormat="1" applyFont="1" applyBorder="1"/>
    <xf numFmtId="10" fontId="0" fillId="0" borderId="36" xfId="1" applyNumberFormat="1" applyFont="1" applyBorder="1"/>
    <xf numFmtId="2" fontId="9" fillId="0" borderId="0" xfId="0" applyNumberFormat="1" applyFont="1"/>
    <xf numFmtId="0" fontId="9" fillId="0" borderId="34" xfId="0" applyFont="1" applyBorder="1"/>
    <xf numFmtId="0" fontId="9" fillId="0" borderId="37" xfId="0" applyFont="1" applyBorder="1"/>
    <xf numFmtId="168" fontId="2" fillId="0" borderId="0" xfId="0" applyNumberFormat="1" applyFont="1"/>
    <xf numFmtId="168" fontId="0" fillId="0" borderId="0" xfId="0" applyNumberFormat="1"/>
    <xf numFmtId="168" fontId="0" fillId="3" borderId="0" xfId="0" applyNumberFormat="1" applyFill="1"/>
    <xf numFmtId="168" fontId="0" fillId="4" borderId="0" xfId="0" applyNumberFormat="1" applyFill="1"/>
    <xf numFmtId="168" fontId="0" fillId="2" borderId="0" xfId="0" applyNumberFormat="1" applyFill="1"/>
    <xf numFmtId="169" fontId="0" fillId="0" borderId="0" xfId="1" applyNumberFormat="1" applyFont="1"/>
    <xf numFmtId="0" fontId="0" fillId="0" borderId="31" xfId="0" applyBorder="1"/>
    <xf numFmtId="0" fontId="0" fillId="0" borderId="32" xfId="0" applyBorder="1"/>
    <xf numFmtId="0" fontId="0" fillId="0" borderId="9" xfId="0" applyBorder="1"/>
    <xf numFmtId="0" fontId="0" fillId="0" borderId="39" xfId="0" applyBorder="1"/>
    <xf numFmtId="0" fontId="0" fillId="0" borderId="0" xfId="0" applyAlignment="1">
      <alignment horizontal="left" indent="1"/>
    </xf>
    <xf numFmtId="0" fontId="0" fillId="0" borderId="40" xfId="0" applyBorder="1"/>
    <xf numFmtId="0" fontId="0" fillId="0" borderId="26" xfId="0" applyBorder="1"/>
    <xf numFmtId="0" fontId="0" fillId="0" borderId="41" xfId="0" applyBorder="1"/>
    <xf numFmtId="0" fontId="0" fillId="0" borderId="37" xfId="0" applyBorder="1" applyAlignment="1">
      <alignment horizontal="right"/>
    </xf>
    <xf numFmtId="0" fontId="0" fillId="0" borderId="33" xfId="0" applyBorder="1" applyAlignment="1">
      <alignment horizontal="right"/>
    </xf>
    <xf numFmtId="0" fontId="0" fillId="0" borderId="35" xfId="0" applyBorder="1" applyAlignment="1">
      <alignment horizontal="right"/>
    </xf>
    <xf numFmtId="0" fontId="0" fillId="0" borderId="36" xfId="0" applyBorder="1" applyAlignment="1">
      <alignment horizontal="right"/>
    </xf>
    <xf numFmtId="0" fontId="12" fillId="3" borderId="0" xfId="0" applyFont="1" applyFill="1"/>
    <xf numFmtId="0" fontId="11" fillId="0" borderId="0" xfId="0" applyFont="1" applyAlignment="1" applyProtection="1">
      <alignment horizontal="left"/>
      <protection locked="0"/>
    </xf>
    <xf numFmtId="0" fontId="12" fillId="0" borderId="0" xfId="0" applyFont="1" applyAlignment="1" applyProtection="1">
      <alignment horizontal="left"/>
      <protection locked="0"/>
    </xf>
    <xf numFmtId="0" fontId="16" fillId="0" borderId="0" xfId="2" applyFont="1"/>
    <xf numFmtId="0" fontId="17" fillId="0" borderId="0" xfId="0" applyFont="1"/>
    <xf numFmtId="0" fontId="20" fillId="0" borderId="0" xfId="0" applyFont="1" applyAlignment="1">
      <alignment horizontal="left" indent="3"/>
    </xf>
    <xf numFmtId="0" fontId="12" fillId="0" borderId="0" xfId="0" applyFont="1" applyAlignment="1">
      <alignment horizontal="left" indent="1"/>
    </xf>
    <xf numFmtId="0" fontId="20" fillId="0" borderId="0" xfId="0" applyFont="1" applyAlignment="1">
      <alignment horizontal="left"/>
    </xf>
    <xf numFmtId="0" fontId="12" fillId="0" borderId="0" xfId="0" applyFont="1" applyAlignment="1">
      <alignment horizontal="left" indent="4"/>
    </xf>
    <xf numFmtId="1" fontId="9" fillId="0" borderId="42" xfId="0" applyNumberFormat="1" applyFont="1" applyBorder="1" applyAlignment="1">
      <alignment horizontal="center"/>
    </xf>
    <xf numFmtId="1" fontId="9" fillId="0" borderId="44" xfId="0" applyNumberFormat="1" applyFont="1" applyBorder="1" applyAlignment="1">
      <alignment horizontal="center"/>
    </xf>
    <xf numFmtId="1" fontId="9" fillId="0" borderId="45" xfId="0" applyNumberFormat="1" applyFont="1" applyBorder="1" applyAlignment="1">
      <alignment horizontal="center"/>
    </xf>
    <xf numFmtId="1" fontId="9" fillId="0" borderId="46" xfId="0" applyNumberFormat="1" applyFont="1" applyBorder="1" applyAlignment="1">
      <alignment horizontal="center"/>
    </xf>
    <xf numFmtId="1" fontId="9" fillId="0" borderId="47" xfId="0" applyNumberFormat="1" applyFont="1" applyBorder="1" applyAlignment="1">
      <alignment horizontal="center"/>
    </xf>
    <xf numFmtId="1" fontId="9" fillId="0" borderId="48" xfId="0" applyNumberFormat="1" applyFont="1" applyBorder="1" applyAlignment="1">
      <alignment horizontal="center"/>
    </xf>
    <xf numFmtId="0" fontId="1" fillId="2" borderId="49" xfId="0" applyFont="1" applyFill="1" applyBorder="1" applyAlignment="1">
      <alignment horizontal="center"/>
    </xf>
    <xf numFmtId="0" fontId="1" fillId="2" borderId="50" xfId="0" applyFont="1" applyFill="1" applyBorder="1" applyAlignment="1">
      <alignment horizontal="center"/>
    </xf>
    <xf numFmtId="0" fontId="1" fillId="5" borderId="50" xfId="0" applyFont="1" applyFill="1" applyBorder="1" applyAlignment="1">
      <alignment horizontal="center"/>
    </xf>
    <xf numFmtId="0" fontId="1" fillId="5" borderId="51" xfId="0" applyFont="1" applyFill="1" applyBorder="1" applyAlignment="1">
      <alignment horizontal="center"/>
    </xf>
    <xf numFmtId="0" fontId="1" fillId="5" borderId="49" xfId="0" applyFont="1" applyFill="1" applyBorder="1" applyAlignment="1">
      <alignment horizontal="center"/>
    </xf>
    <xf numFmtId="0" fontId="20" fillId="0" borderId="0" xfId="0" applyFont="1" applyAlignment="1">
      <alignment horizontal="left" indent="4"/>
    </xf>
    <xf numFmtId="0" fontId="21" fillId="17" borderId="0" xfId="0" applyFont="1" applyFill="1" applyAlignment="1">
      <alignment horizontal="left"/>
    </xf>
    <xf numFmtId="0" fontId="15" fillId="18" borderId="0" xfId="0" applyFont="1" applyFill="1" applyAlignment="1">
      <alignment horizontal="center"/>
    </xf>
    <xf numFmtId="0" fontId="18" fillId="3" borderId="0" xfId="0" applyFont="1" applyFill="1" applyAlignment="1">
      <alignment horizontal="left"/>
    </xf>
    <xf numFmtId="0" fontId="21" fillId="2" borderId="0" xfId="0" applyFont="1" applyFill="1" applyAlignment="1">
      <alignment horizontal="left"/>
    </xf>
    <xf numFmtId="0" fontId="21" fillId="4" borderId="0" xfId="0" applyFont="1" applyFill="1" applyAlignment="1">
      <alignment horizontal="left"/>
    </xf>
    <xf numFmtId="0" fontId="21" fillId="9" borderId="0" xfId="0" applyFont="1" applyFill="1" applyAlignment="1">
      <alignment horizontal="left"/>
    </xf>
    <xf numFmtId="0" fontId="13" fillId="16" borderId="0" xfId="0" applyFont="1" applyFill="1" applyAlignment="1">
      <alignment horizontal="center" vertical="center"/>
    </xf>
    <xf numFmtId="0" fontId="0" fillId="0" borderId="1" xfId="0" applyBorder="1" applyAlignment="1">
      <alignment horizontal="center"/>
    </xf>
    <xf numFmtId="0" fontId="0" fillId="0" borderId="2" xfId="0" applyBorder="1" applyAlignment="1">
      <alignment horizontal="center"/>
    </xf>
    <xf numFmtId="0" fontId="0" fillId="0" borderId="0" xfId="0" applyAlignment="1">
      <alignment horizontal="center"/>
    </xf>
    <xf numFmtId="0" fontId="0" fillId="0" borderId="0" xfId="0" applyAlignment="1">
      <alignment horizontal="center" vertical="center"/>
    </xf>
    <xf numFmtId="0" fontId="1" fillId="4" borderId="0" xfId="0" applyFont="1" applyFill="1" applyAlignment="1">
      <alignment horizontal="center"/>
    </xf>
    <xf numFmtId="0" fontId="1" fillId="4" borderId="40" xfId="0" applyFont="1" applyFill="1" applyBorder="1" applyAlignment="1">
      <alignment horizontal="center"/>
    </xf>
    <xf numFmtId="0" fontId="1" fillId="2" borderId="0" xfId="0" applyFont="1" applyFill="1" applyAlignment="1">
      <alignment horizontal="center"/>
    </xf>
    <xf numFmtId="0" fontId="1" fillId="2" borderId="40" xfId="0" applyFont="1" applyFill="1" applyBorder="1" applyAlignment="1">
      <alignment horizontal="center"/>
    </xf>
    <xf numFmtId="0" fontId="0" fillId="0" borderId="42" xfId="0" applyBorder="1" applyAlignment="1">
      <alignment horizontal="center" textRotation="90" wrapText="1"/>
    </xf>
    <xf numFmtId="0" fontId="0" fillId="0" borderId="42" xfId="0" applyBorder="1" applyAlignment="1">
      <alignment horizontal="center" textRotation="90"/>
    </xf>
    <xf numFmtId="0" fontId="0" fillId="0" borderId="43" xfId="0" applyBorder="1" applyAlignment="1">
      <alignment horizontal="center" textRotation="90"/>
    </xf>
    <xf numFmtId="0" fontId="0" fillId="0" borderId="30"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2" fontId="0" fillId="0" borderId="0" xfId="0" applyNumberFormat="1" applyAlignment="1">
      <alignment horizontal="center" wrapText="1"/>
    </xf>
    <xf numFmtId="2" fontId="0" fillId="0" borderId="0" xfId="0" applyNumberFormat="1" applyAlignment="1">
      <alignment horizontal="center"/>
    </xf>
    <xf numFmtId="0" fontId="0" fillId="3" borderId="0" xfId="0" applyFill="1" applyAlignment="1">
      <alignment horizontal="left"/>
    </xf>
    <xf numFmtId="0" fontId="1" fillId="5" borderId="0" xfId="0" applyFont="1" applyFill="1" applyAlignment="1">
      <alignment horizontal="center"/>
    </xf>
    <xf numFmtId="0" fontId="1" fillId="9" borderId="0" xfId="0" applyFont="1" applyFill="1" applyAlignment="1">
      <alignment horizontal="center"/>
    </xf>
    <xf numFmtId="0" fontId="1" fillId="9" borderId="2" xfId="0" applyFont="1" applyFill="1" applyBorder="1" applyAlignment="1">
      <alignment horizontal="center"/>
    </xf>
    <xf numFmtId="0" fontId="1" fillId="9" borderId="1" xfId="0" applyFont="1" applyFill="1" applyBorder="1" applyAlignment="1">
      <alignment horizontal="center"/>
    </xf>
  </cellXfs>
  <cellStyles count="3">
    <cellStyle name="Hyperlink" xfId="2" builtinId="8"/>
    <cellStyle name="Normal" xfId="0" builtinId="0"/>
    <cellStyle name="Percent" xfId="1" builtinId="5"/>
  </cellStyles>
  <dxfs count="337">
    <dxf>
      <numFmt numFmtId="2" formatCode="0.00"/>
    </dxf>
    <dxf>
      <numFmt numFmtId="2" formatCode="0.00"/>
    </dxf>
    <dxf>
      <numFmt numFmtId="2" formatCode="0.00"/>
    </dxf>
    <dxf>
      <numFmt numFmtId="2" formatCode="0.00"/>
    </dxf>
    <dxf>
      <numFmt numFmtId="14" formatCode="0.00%"/>
    </dxf>
    <dxf>
      <numFmt numFmtId="14" formatCode="0.00%"/>
    </dxf>
    <dxf>
      <numFmt numFmtId="14" formatCode="0.00%"/>
    </dxf>
    <dxf>
      <numFmt numFmtId="164" formatCode="0.000"/>
    </dxf>
    <dxf>
      <numFmt numFmtId="14" formatCode="0.00%"/>
    </dxf>
    <dxf>
      <numFmt numFmtId="14" formatCode="0.00%"/>
    </dxf>
    <dxf>
      <numFmt numFmtId="14" formatCode="0.00%"/>
    </dxf>
    <dxf>
      <numFmt numFmtId="14" formatCode="0.00%"/>
    </dxf>
    <dxf>
      <numFmt numFmtId="14" formatCode="0.00%"/>
    </dxf>
    <dxf>
      <numFmt numFmtId="14" formatCode="0.00%"/>
    </dxf>
    <dxf>
      <font>
        <b val="0"/>
        <i val="0"/>
        <strike val="0"/>
        <condense val="0"/>
        <extend val="0"/>
        <outline val="0"/>
        <shadow val="0"/>
        <u val="none"/>
        <vertAlign val="baseline"/>
        <sz val="11"/>
        <color theme="1"/>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4" formatCode="0.00%"/>
    </dxf>
    <dxf>
      <numFmt numFmtId="164" formatCode="0.000"/>
    </dxf>
    <dxf>
      <numFmt numFmtId="164" formatCode="0.000"/>
    </dxf>
    <dxf>
      <numFmt numFmtId="14" formatCode="0.00%"/>
    </dxf>
    <dxf>
      <numFmt numFmtId="164" formatCode="0.000"/>
    </dxf>
    <dxf>
      <numFmt numFmtId="164" formatCode="0.000"/>
    </dxf>
    <dxf>
      <numFmt numFmtId="14" formatCode="0.00%"/>
    </dxf>
    <dxf>
      <numFmt numFmtId="164" formatCode="0.000"/>
    </dxf>
    <dxf>
      <numFmt numFmtId="164" formatCode="0.000"/>
    </dxf>
    <dxf>
      <numFmt numFmtId="14" formatCode="0.00%"/>
    </dxf>
    <dxf>
      <numFmt numFmtId="164" formatCode="0.000"/>
    </dxf>
    <dxf>
      <numFmt numFmtId="164" formatCode="0.000"/>
    </dxf>
    <dxf>
      <numFmt numFmtId="14" formatCode="0.00%"/>
    </dxf>
    <dxf>
      <numFmt numFmtId="164" formatCode="0.000"/>
    </dxf>
    <dxf>
      <numFmt numFmtId="164" formatCode="0.000"/>
    </dxf>
    <dxf>
      <numFmt numFmtId="14" formatCode="0.00%"/>
    </dxf>
    <dxf>
      <numFmt numFmtId="164" formatCode="0.000"/>
    </dxf>
    <dxf>
      <numFmt numFmtId="164" formatCode="0.000"/>
    </dxf>
    <dxf>
      <alignment horizontal="center" vertical="bottom" textRotation="0" wrapText="0" indent="0" justifyLastLine="0" shrinkToFit="0" readingOrder="0"/>
    </dxf>
    <dxf>
      <alignment horizontal="center" vertical="bottom" textRotation="0" wrapText="0" indent="0" justifyLastLine="0" shrinkToFit="0" readingOrder="0"/>
    </dxf>
    <dxf>
      <numFmt numFmtId="27" formatCode="m/d/yyyy\ h:mm"/>
    </dxf>
    <dxf>
      <numFmt numFmtId="1" formatCode="0"/>
    </dxf>
    <dxf>
      <numFmt numFmtId="166" formatCode="m/d/yy\ h:mm:ss\ AM/PM"/>
    </dxf>
    <dxf>
      <font>
        <b/>
        <i val="0"/>
        <color theme="0"/>
      </font>
      <fill>
        <patternFill>
          <bgColor rgb="FF0070C0"/>
        </patternFill>
      </fill>
    </dxf>
    <dxf>
      <font>
        <b/>
        <i val="0"/>
        <color theme="0"/>
      </font>
      <fill>
        <patternFill>
          <bgColor rgb="FFFF000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font>
        <b/>
        <i val="0"/>
        <color theme="1"/>
      </font>
      <fill>
        <patternFill>
          <bgColor rgb="FFFFFF00"/>
        </patternFill>
      </fill>
    </dxf>
    <dxf>
      <font>
        <color theme="0" tint="-4.9989318521683403E-2"/>
      </font>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70C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2" formatCode="0.00"/>
    </dxf>
    <dxf>
      <numFmt numFmtId="0" formatCode="General"/>
    </dxf>
    <dxf>
      <numFmt numFmtId="0" formatCode="General"/>
    </dxf>
    <dxf>
      <numFmt numFmtId="14" formatCode="0.00%"/>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14" formatCode="0.00%"/>
    </dxf>
    <dxf>
      <numFmt numFmtId="0" formatCode="General"/>
    </dxf>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left style="thick">
          <color rgb="FFFF0000"/>
        </left>
        <right style="thick">
          <color rgb="FFFF0000"/>
        </right>
        <bottom style="thick">
          <color rgb="FFFF000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left style="thick">
          <color rgb="FFFF0000"/>
        </left>
        <right style="thick">
          <color rgb="FFFF0000"/>
        </right>
        <bottom style="thick">
          <color rgb="FFFF000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left style="thick">
          <color rgb="FFFF0000"/>
        </left>
        <right style="thick">
          <color rgb="FFFF0000"/>
        </right>
        <bottom style="thick">
          <color rgb="FFFF0000"/>
        </bottom>
      </border>
    </dxf>
    <dxf>
      <numFmt numFmtId="2" formatCode="0.00"/>
    </dxf>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numFmt numFmtId="0" formatCode="General"/>
    </dxf>
    <dxf>
      <numFmt numFmtId="0" formatCode="General"/>
    </dxf>
    <dxf>
      <numFmt numFmtId="0" formatCode="General"/>
    </dxf>
    <dxf>
      <numFmt numFmtId="0" formatCode="General"/>
    </dxf>
    <dxf>
      <border outline="0">
        <left style="thick">
          <color rgb="FFFF0000"/>
        </left>
        <right style="thick">
          <color rgb="FFFF0000"/>
        </right>
        <bottom style="thick">
          <color rgb="FFFF0000"/>
        </bottom>
      </border>
    </dxf>
    <dxf>
      <border outline="0">
        <left style="thick">
          <color rgb="FFFF0000"/>
        </left>
        <right style="thick">
          <color rgb="FFFF0000"/>
        </right>
        <bottom style="thick">
          <color rgb="FFFF000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0.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dxf>
    <dxf>
      <numFmt numFmtId="165" formatCode="0.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dxf>
    <dxf>
      <numFmt numFmtId="165" formatCode="0.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2" formatCode="0.00"/>
    </dxf>
    <dxf>
      <numFmt numFmtId="2" formatCode="0.00"/>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numFmt numFmtId="2" formatCode="0.00"/>
    </dxf>
    <dxf>
      <numFmt numFmtId="2" formatCode="0.00"/>
    </dxf>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colors>
    <mruColors>
      <color rgb="FFFF00FF"/>
      <color rgb="FF29FF8A"/>
      <color rgb="FFC9A4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6.xml"/><Relationship Id="rId1" Type="http://schemas.microsoft.com/office/2011/relationships/chartStyle" Target="style16.xml"/><Relationship Id="rId4" Type="http://schemas.openxmlformats.org/officeDocument/2006/relationships/chartUserShapes" Target="../drawings/drawing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24.xml"/><Relationship Id="rId1" Type="http://schemas.microsoft.com/office/2011/relationships/chartStyle" Target="style24.xml"/><Relationship Id="rId4" Type="http://schemas.openxmlformats.org/officeDocument/2006/relationships/chartUserShapes" Target="../drawings/drawing10.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22.xml"/><Relationship Id="rId2" Type="http://schemas.microsoft.com/office/2011/relationships/chartColorStyle" Target="colors33.xml"/><Relationship Id="rId1" Type="http://schemas.microsoft.com/office/2011/relationships/chartStyle" Target="style33.xml"/><Relationship Id="rId4" Type="http://schemas.openxmlformats.org/officeDocument/2006/relationships/image" Target="../media/image1.png"/></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3.xml"/><Relationship Id="rId2" Type="http://schemas.microsoft.com/office/2011/relationships/chartColorStyle" Target="colors34.xml"/><Relationship Id="rId1" Type="http://schemas.microsoft.com/office/2011/relationships/chartStyle" Target="style34.xml"/><Relationship Id="rId4" Type="http://schemas.openxmlformats.org/officeDocument/2006/relationships/image" Target="../media/image1.png"/></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24.xml"/><Relationship Id="rId2" Type="http://schemas.microsoft.com/office/2011/relationships/chartColorStyle" Target="colors35.xml"/><Relationship Id="rId1" Type="http://schemas.microsoft.com/office/2011/relationships/chartStyle" Target="style35.xml"/><Relationship Id="rId4" Type="http://schemas.openxmlformats.org/officeDocument/2006/relationships/image" Target="../media/image1.png"/></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25.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2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2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28.xml"/><Relationship Id="rId2" Type="http://schemas.microsoft.com/office/2011/relationships/chartColorStyle" Target="colors39.xml"/><Relationship Id="rId1" Type="http://schemas.microsoft.com/office/2011/relationships/chartStyle" Target="style3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Alliance Points per Match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MPR_Alliance!$A$8</c:f>
              <c:strCache>
                <c:ptCount val="1"/>
                <c:pt idx="0">
                  <c:v>frc2791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MPR_Alliance!$B$7:$C$7</c:f>
              <c:strCache>
                <c:ptCount val="2"/>
                <c:pt idx="0">
                  <c:v>Red</c:v>
                </c:pt>
                <c:pt idx="1">
                  <c:v>Blue</c:v>
                </c:pt>
              </c:strCache>
            </c:strRef>
          </c:cat>
          <c:val>
            <c:numRef>
              <c:f>MPR_Alliance!$B$8:$C$8</c:f>
              <c:numCache>
                <c:formatCode>0.00</c:formatCode>
                <c:ptCount val="2"/>
                <c:pt idx="0">
                  <c:v>18.633333333333333</c:v>
                </c:pt>
              </c:numCache>
            </c:numRef>
          </c:val>
          <c:extLst>
            <c:ext xmlns:c16="http://schemas.microsoft.com/office/drawing/2014/chart" uri="{C3380CC4-5D6E-409C-BE32-E72D297353CC}">
              <c16:uniqueId val="{00000000-7A2E-4654-8E12-2EB50425E5E4}"/>
            </c:ext>
          </c:extLst>
        </c:ser>
        <c:ser>
          <c:idx val="1"/>
          <c:order val="1"/>
          <c:tx>
            <c:strRef>
              <c:f>MPR_Alliance!$A$9</c:f>
              <c:strCache>
                <c:ptCount val="1"/>
                <c:pt idx="0">
                  <c:v>frc5016</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MPR_Alliance!$B$7:$C$7</c:f>
              <c:strCache>
                <c:ptCount val="2"/>
                <c:pt idx="0">
                  <c:v>Red</c:v>
                </c:pt>
                <c:pt idx="1">
                  <c:v>Blue</c:v>
                </c:pt>
              </c:strCache>
            </c:strRef>
          </c:cat>
          <c:val>
            <c:numRef>
              <c:f>MPR_Alliance!$B$9:$C$9</c:f>
              <c:numCache>
                <c:formatCode>0.00</c:formatCode>
                <c:ptCount val="2"/>
                <c:pt idx="0">
                  <c:v>15.03888888888889</c:v>
                </c:pt>
              </c:numCache>
            </c:numRef>
          </c:val>
          <c:extLst>
            <c:ext xmlns:c16="http://schemas.microsoft.com/office/drawing/2014/chart" uri="{C3380CC4-5D6E-409C-BE32-E72D297353CC}">
              <c16:uniqueId val="{00000001-7A2E-4654-8E12-2EB50425E5E4}"/>
            </c:ext>
          </c:extLst>
        </c:ser>
        <c:ser>
          <c:idx val="2"/>
          <c:order val="2"/>
          <c:tx>
            <c:strRef>
              <c:f>MPR_Alliance!$A$10</c:f>
              <c:strCache>
                <c:ptCount val="1"/>
                <c:pt idx="0">
                  <c:v>frc1591</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MPR_Alliance!$B$7:$C$7</c:f>
              <c:strCache>
                <c:ptCount val="2"/>
                <c:pt idx="0">
                  <c:v>Red</c:v>
                </c:pt>
                <c:pt idx="1">
                  <c:v>Blue</c:v>
                </c:pt>
              </c:strCache>
            </c:strRef>
          </c:cat>
          <c:val>
            <c:numRef>
              <c:f>MPR_Alliance!$B$10:$C$10</c:f>
              <c:numCache>
                <c:formatCode>0.00</c:formatCode>
                <c:ptCount val="2"/>
                <c:pt idx="0">
                  <c:v>41.0625</c:v>
                </c:pt>
              </c:numCache>
            </c:numRef>
          </c:val>
          <c:extLst>
            <c:ext xmlns:c16="http://schemas.microsoft.com/office/drawing/2014/chart" uri="{C3380CC4-5D6E-409C-BE32-E72D297353CC}">
              <c16:uniqueId val="{00000002-7A2E-4654-8E12-2EB50425E5E4}"/>
            </c:ext>
          </c:extLst>
        </c:ser>
        <c:ser>
          <c:idx val="3"/>
          <c:order val="3"/>
          <c:tx>
            <c:strRef>
              <c:f>MPR_Alliance!$A$11</c:f>
              <c:strCache>
                <c:ptCount val="1"/>
                <c:pt idx="0">
                  <c:v>frc5993</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MPR_Alliance!$B$7:$C$7</c:f>
              <c:strCache>
                <c:ptCount val="2"/>
                <c:pt idx="0">
                  <c:v>Red</c:v>
                </c:pt>
                <c:pt idx="1">
                  <c:v>Blue</c:v>
                </c:pt>
              </c:strCache>
            </c:strRef>
          </c:cat>
          <c:val>
            <c:numRef>
              <c:f>MPR_Alliance!$B$11:$C$11</c:f>
              <c:numCache>
                <c:formatCode>0.00</c:formatCode>
                <c:ptCount val="2"/>
                <c:pt idx="1">
                  <c:v>7.7</c:v>
                </c:pt>
              </c:numCache>
            </c:numRef>
          </c:val>
          <c:extLst>
            <c:ext xmlns:c16="http://schemas.microsoft.com/office/drawing/2014/chart" uri="{C3380CC4-5D6E-409C-BE32-E72D297353CC}">
              <c16:uniqueId val="{00000003-7A2E-4654-8E12-2EB50425E5E4}"/>
            </c:ext>
          </c:extLst>
        </c:ser>
        <c:ser>
          <c:idx val="4"/>
          <c:order val="4"/>
          <c:tx>
            <c:strRef>
              <c:f>MPR_Alliance!$A$12</c:f>
              <c:strCache>
                <c:ptCount val="1"/>
                <c:pt idx="0">
                  <c:v>frc1559</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MPR_Alliance!$B$7:$C$7</c:f>
              <c:strCache>
                <c:ptCount val="2"/>
                <c:pt idx="0">
                  <c:v>Red</c:v>
                </c:pt>
                <c:pt idx="1">
                  <c:v>Blue</c:v>
                </c:pt>
              </c:strCache>
            </c:strRef>
          </c:cat>
          <c:val>
            <c:numRef>
              <c:f>MPR_Alliance!$B$12:$C$12</c:f>
              <c:numCache>
                <c:formatCode>0.00</c:formatCode>
                <c:ptCount val="2"/>
                <c:pt idx="1">
                  <c:v>14.591666666666667</c:v>
                </c:pt>
              </c:numCache>
            </c:numRef>
          </c:val>
          <c:extLst>
            <c:ext xmlns:c16="http://schemas.microsoft.com/office/drawing/2014/chart" uri="{C3380CC4-5D6E-409C-BE32-E72D297353CC}">
              <c16:uniqueId val="{00000004-7A2E-4654-8E12-2EB50425E5E4}"/>
            </c:ext>
          </c:extLst>
        </c:ser>
        <c:ser>
          <c:idx val="5"/>
          <c:order val="5"/>
          <c:tx>
            <c:strRef>
              <c:f>MPR_Alliance!$A$13</c:f>
              <c:strCache>
                <c:ptCount val="1"/>
                <c:pt idx="0">
                  <c:v>frc3173</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MPR_Alliance!$B$7:$C$7</c:f>
              <c:strCache>
                <c:ptCount val="2"/>
                <c:pt idx="0">
                  <c:v>Red</c:v>
                </c:pt>
                <c:pt idx="1">
                  <c:v>Blue</c:v>
                </c:pt>
              </c:strCache>
            </c:strRef>
          </c:cat>
          <c:val>
            <c:numRef>
              <c:f>MPR_Alliance!$B$13:$C$13</c:f>
              <c:numCache>
                <c:formatCode>0.00</c:formatCode>
                <c:ptCount val="2"/>
                <c:pt idx="1">
                  <c:v>40.52335164835165</c:v>
                </c:pt>
              </c:numCache>
            </c:numRef>
          </c:val>
          <c:extLst>
            <c:ext xmlns:c16="http://schemas.microsoft.com/office/drawing/2014/chart" uri="{C3380CC4-5D6E-409C-BE32-E72D297353CC}">
              <c16:uniqueId val="{00000005-7A2E-4654-8E12-2EB50425E5E4}"/>
            </c:ext>
          </c:extLst>
        </c:ser>
        <c:dLbls>
          <c:dLblPos val="ctr"/>
          <c:showLegendKey val="0"/>
          <c:showVal val="1"/>
          <c:showCatName val="0"/>
          <c:showSerName val="0"/>
          <c:showPercent val="0"/>
          <c:showBubbleSize val="0"/>
        </c:dLbls>
        <c:gapWidth val="150"/>
        <c:overlap val="100"/>
        <c:axId val="430979576"/>
        <c:axId val="430983896"/>
      </c:barChart>
      <c:catAx>
        <c:axId val="430979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983896"/>
        <c:crosses val="autoZero"/>
        <c:auto val="1"/>
        <c:lblAlgn val="ctr"/>
        <c:lblOffset val="100"/>
        <c:noMultiLvlLbl val="0"/>
      </c:catAx>
      <c:valAx>
        <c:axId val="430983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979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Team Points - Each Match</a:t>
            </a:r>
            <a:r>
              <a:rPr lang="en-US" baseline="0"/>
              <a:t> Phase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4675273945848151E-2"/>
          <c:y val="0.14641690009337072"/>
          <c:w val="0.93936882236978858"/>
          <c:h val="0.53978960350544414"/>
        </c:manualLayout>
      </c:layout>
      <c:barChart>
        <c:barDir val="col"/>
        <c:grouping val="clustered"/>
        <c:varyColors val="0"/>
        <c:ser>
          <c:idx val="0"/>
          <c:order val="0"/>
          <c:tx>
            <c:strRef>
              <c:f>MPR_Alliance!$M$2</c:f>
              <c:strCache>
                <c:ptCount val="1"/>
                <c:pt idx="0">
                  <c:v>AveAuto</c:v>
                </c:pt>
              </c:strCache>
            </c:strRef>
          </c:tx>
          <c:spPr>
            <a:solidFill>
              <a:srgbClr val="FFC000"/>
            </a:solidFill>
            <a:ln>
              <a:noFill/>
            </a:ln>
            <a:effectLst/>
          </c:spPr>
          <c:invertIfNegative val="0"/>
          <c:cat>
            <c:multiLvlStrRef>
              <c:f>MPR_Alliance!$K$3:$L$8</c:f>
              <c:multiLvlStrCache>
                <c:ptCount val="6"/>
                <c:lvl>
                  <c:pt idx="0">
                    <c:v>frc2791</c:v>
                  </c:pt>
                  <c:pt idx="1">
                    <c:v>frc5016</c:v>
                  </c:pt>
                  <c:pt idx="2">
                    <c:v>frc1591</c:v>
                  </c:pt>
                  <c:pt idx="3">
                    <c:v>frc5993</c:v>
                  </c:pt>
                  <c:pt idx="4">
                    <c:v>frc1559</c:v>
                  </c:pt>
                  <c:pt idx="5">
                    <c:v>frc3173</c:v>
                  </c:pt>
                </c:lvl>
                <c:lvl>
                  <c:pt idx="0">
                    <c:v>Red</c:v>
                  </c:pt>
                  <c:pt idx="1">
                    <c:v>Red</c:v>
                  </c:pt>
                  <c:pt idx="2">
                    <c:v>Red</c:v>
                  </c:pt>
                  <c:pt idx="3">
                    <c:v>Blue</c:v>
                  </c:pt>
                  <c:pt idx="4">
                    <c:v>Blue</c:v>
                  </c:pt>
                  <c:pt idx="5">
                    <c:v>Blue</c:v>
                  </c:pt>
                </c:lvl>
              </c:multiLvlStrCache>
            </c:multiLvlStrRef>
          </c:cat>
          <c:val>
            <c:numRef>
              <c:f>MPR_Alliance!$M$3:$M$8</c:f>
              <c:numCache>
                <c:formatCode>0.00</c:formatCode>
                <c:ptCount val="6"/>
                <c:pt idx="0">
                  <c:v>5.833333333333333</c:v>
                </c:pt>
                <c:pt idx="1">
                  <c:v>3.6666666666666665</c:v>
                </c:pt>
                <c:pt idx="2">
                  <c:v>17.428571428571427</c:v>
                </c:pt>
                <c:pt idx="3">
                  <c:v>2.8333333333333335</c:v>
                </c:pt>
                <c:pt idx="4">
                  <c:v>2.1666666666666665</c:v>
                </c:pt>
                <c:pt idx="5">
                  <c:v>19.600000000000001</c:v>
                </c:pt>
              </c:numCache>
            </c:numRef>
          </c:val>
          <c:extLst>
            <c:ext xmlns:c16="http://schemas.microsoft.com/office/drawing/2014/chart" uri="{C3380CC4-5D6E-409C-BE32-E72D297353CC}">
              <c16:uniqueId val="{00000000-B9CE-46B5-8DF1-2E245EA031D3}"/>
            </c:ext>
          </c:extLst>
        </c:ser>
        <c:ser>
          <c:idx val="1"/>
          <c:order val="1"/>
          <c:tx>
            <c:strRef>
              <c:f>MPR_Alliance!$N$2</c:f>
              <c:strCache>
                <c:ptCount val="1"/>
                <c:pt idx="0">
                  <c:v>AveTele</c:v>
                </c:pt>
              </c:strCache>
            </c:strRef>
          </c:tx>
          <c:spPr>
            <a:solidFill>
              <a:srgbClr val="92D050"/>
            </a:solidFill>
            <a:ln>
              <a:noFill/>
            </a:ln>
            <a:effectLst/>
          </c:spPr>
          <c:invertIfNegative val="0"/>
          <c:cat>
            <c:multiLvlStrRef>
              <c:f>MPR_Alliance!$K$3:$L$8</c:f>
              <c:multiLvlStrCache>
                <c:ptCount val="6"/>
                <c:lvl>
                  <c:pt idx="0">
                    <c:v>frc2791</c:v>
                  </c:pt>
                  <c:pt idx="1">
                    <c:v>frc5016</c:v>
                  </c:pt>
                  <c:pt idx="2">
                    <c:v>frc1591</c:v>
                  </c:pt>
                  <c:pt idx="3">
                    <c:v>frc5993</c:v>
                  </c:pt>
                  <c:pt idx="4">
                    <c:v>frc1559</c:v>
                  </c:pt>
                  <c:pt idx="5">
                    <c:v>frc3173</c:v>
                  </c:pt>
                </c:lvl>
                <c:lvl>
                  <c:pt idx="0">
                    <c:v>Red</c:v>
                  </c:pt>
                  <c:pt idx="1">
                    <c:v>Red</c:v>
                  </c:pt>
                  <c:pt idx="2">
                    <c:v>Red</c:v>
                  </c:pt>
                  <c:pt idx="3">
                    <c:v>Blue</c:v>
                  </c:pt>
                  <c:pt idx="4">
                    <c:v>Blue</c:v>
                  </c:pt>
                  <c:pt idx="5">
                    <c:v>Blue</c:v>
                  </c:pt>
                </c:lvl>
              </c:multiLvlStrCache>
            </c:multiLvlStrRef>
          </c:cat>
          <c:val>
            <c:numRef>
              <c:f>MPR_Alliance!$N$3:$N$8</c:f>
              <c:numCache>
                <c:formatCode>0.00</c:formatCode>
                <c:ptCount val="6"/>
                <c:pt idx="0">
                  <c:v>9.6333333333333329</c:v>
                </c:pt>
                <c:pt idx="1">
                  <c:v>8.7055555555555575</c:v>
                </c:pt>
                <c:pt idx="2">
                  <c:v>20.633928571428573</c:v>
                </c:pt>
                <c:pt idx="3">
                  <c:v>3.5333333333333337</c:v>
                </c:pt>
                <c:pt idx="4">
                  <c:v>9.2583333333333346</c:v>
                </c:pt>
                <c:pt idx="5">
                  <c:v>20.123351648351651</c:v>
                </c:pt>
              </c:numCache>
            </c:numRef>
          </c:val>
          <c:extLst>
            <c:ext xmlns:c16="http://schemas.microsoft.com/office/drawing/2014/chart" uri="{C3380CC4-5D6E-409C-BE32-E72D297353CC}">
              <c16:uniqueId val="{00000001-B9CE-46B5-8DF1-2E245EA031D3}"/>
            </c:ext>
          </c:extLst>
        </c:ser>
        <c:ser>
          <c:idx val="2"/>
          <c:order val="2"/>
          <c:tx>
            <c:strRef>
              <c:f>MPR_Alliance!$O$2</c:f>
              <c:strCache>
                <c:ptCount val="1"/>
                <c:pt idx="0">
                  <c:v>AveStage</c:v>
                </c:pt>
              </c:strCache>
            </c:strRef>
          </c:tx>
          <c:spPr>
            <a:solidFill>
              <a:srgbClr val="FFFF00"/>
            </a:solidFill>
            <a:ln>
              <a:noFill/>
            </a:ln>
            <a:effectLst/>
          </c:spPr>
          <c:invertIfNegative val="0"/>
          <c:cat>
            <c:multiLvlStrRef>
              <c:f>MPR_Alliance!$K$3:$L$8</c:f>
              <c:multiLvlStrCache>
                <c:ptCount val="6"/>
                <c:lvl>
                  <c:pt idx="0">
                    <c:v>frc2791</c:v>
                  </c:pt>
                  <c:pt idx="1">
                    <c:v>frc5016</c:v>
                  </c:pt>
                  <c:pt idx="2">
                    <c:v>frc1591</c:v>
                  </c:pt>
                  <c:pt idx="3">
                    <c:v>frc5993</c:v>
                  </c:pt>
                  <c:pt idx="4">
                    <c:v>frc1559</c:v>
                  </c:pt>
                  <c:pt idx="5">
                    <c:v>frc3173</c:v>
                  </c:pt>
                </c:lvl>
                <c:lvl>
                  <c:pt idx="0">
                    <c:v>Red</c:v>
                  </c:pt>
                  <c:pt idx="1">
                    <c:v>Red</c:v>
                  </c:pt>
                  <c:pt idx="2">
                    <c:v>Red</c:v>
                  </c:pt>
                  <c:pt idx="3">
                    <c:v>Blue</c:v>
                  </c:pt>
                  <c:pt idx="4">
                    <c:v>Blue</c:v>
                  </c:pt>
                  <c:pt idx="5">
                    <c:v>Blue</c:v>
                  </c:pt>
                </c:lvl>
              </c:multiLvlStrCache>
            </c:multiLvlStrRef>
          </c:cat>
          <c:val>
            <c:numRef>
              <c:f>MPR_Alliance!$O$3:$O$8</c:f>
              <c:numCache>
                <c:formatCode>0.00</c:formatCode>
                <c:ptCount val="6"/>
                <c:pt idx="0">
                  <c:v>3.1666666666666665</c:v>
                </c:pt>
                <c:pt idx="1">
                  <c:v>2.6666666666666665</c:v>
                </c:pt>
                <c:pt idx="2">
                  <c:v>3</c:v>
                </c:pt>
                <c:pt idx="3">
                  <c:v>1.3333333333333333</c:v>
                </c:pt>
                <c:pt idx="4">
                  <c:v>3.1666666666666665</c:v>
                </c:pt>
                <c:pt idx="5">
                  <c:v>0.8</c:v>
                </c:pt>
              </c:numCache>
            </c:numRef>
          </c:val>
          <c:extLst>
            <c:ext xmlns:c16="http://schemas.microsoft.com/office/drawing/2014/chart" uri="{C3380CC4-5D6E-409C-BE32-E72D297353CC}">
              <c16:uniqueId val="{00000002-B9CE-46B5-8DF1-2E245EA031D3}"/>
            </c:ext>
          </c:extLst>
        </c:ser>
        <c:ser>
          <c:idx val="3"/>
          <c:order val="3"/>
          <c:tx>
            <c:strRef>
              <c:f>MPR_Alliance!$P$2</c:f>
              <c:strCache>
                <c:ptCount val="1"/>
                <c:pt idx="0">
                  <c:v>AvePoints</c:v>
                </c:pt>
              </c:strCache>
            </c:strRef>
          </c:tx>
          <c:spPr>
            <a:solidFill>
              <a:srgbClr val="C9A4E4"/>
            </a:solidFill>
            <a:ln>
              <a:noFill/>
            </a:ln>
            <a:effectLst/>
          </c:spPr>
          <c:invertIfNegative val="0"/>
          <c:cat>
            <c:multiLvlStrRef>
              <c:f>MPR_Alliance!$K$3:$L$8</c:f>
              <c:multiLvlStrCache>
                <c:ptCount val="6"/>
                <c:lvl>
                  <c:pt idx="0">
                    <c:v>frc2791</c:v>
                  </c:pt>
                  <c:pt idx="1">
                    <c:v>frc5016</c:v>
                  </c:pt>
                  <c:pt idx="2">
                    <c:v>frc1591</c:v>
                  </c:pt>
                  <c:pt idx="3">
                    <c:v>frc5993</c:v>
                  </c:pt>
                  <c:pt idx="4">
                    <c:v>frc1559</c:v>
                  </c:pt>
                  <c:pt idx="5">
                    <c:v>frc3173</c:v>
                  </c:pt>
                </c:lvl>
                <c:lvl>
                  <c:pt idx="0">
                    <c:v>Red</c:v>
                  </c:pt>
                  <c:pt idx="1">
                    <c:v>Red</c:v>
                  </c:pt>
                  <c:pt idx="2">
                    <c:v>Red</c:v>
                  </c:pt>
                  <c:pt idx="3">
                    <c:v>Blue</c:v>
                  </c:pt>
                  <c:pt idx="4">
                    <c:v>Blue</c:v>
                  </c:pt>
                  <c:pt idx="5">
                    <c:v>Blue</c:v>
                  </c:pt>
                </c:lvl>
              </c:multiLvlStrCache>
            </c:multiLvlStrRef>
          </c:cat>
          <c:val>
            <c:numRef>
              <c:f>MPR_Alliance!$P$3:$P$8</c:f>
              <c:numCache>
                <c:formatCode>0.00</c:formatCode>
                <c:ptCount val="6"/>
                <c:pt idx="0">
                  <c:v>18.633333333333333</c:v>
                </c:pt>
                <c:pt idx="1">
                  <c:v>15.03888888888889</c:v>
                </c:pt>
                <c:pt idx="2">
                  <c:v>41.0625</c:v>
                </c:pt>
                <c:pt idx="3">
                  <c:v>7.7</c:v>
                </c:pt>
                <c:pt idx="4">
                  <c:v>14.591666666666667</c:v>
                </c:pt>
                <c:pt idx="5">
                  <c:v>40.52335164835165</c:v>
                </c:pt>
              </c:numCache>
            </c:numRef>
          </c:val>
          <c:extLst>
            <c:ext xmlns:c16="http://schemas.microsoft.com/office/drawing/2014/chart" uri="{C3380CC4-5D6E-409C-BE32-E72D297353CC}">
              <c16:uniqueId val="{00000003-B9CE-46B5-8DF1-2E245EA031D3}"/>
            </c:ext>
          </c:extLst>
        </c:ser>
        <c:dLbls>
          <c:showLegendKey val="0"/>
          <c:showVal val="0"/>
          <c:showCatName val="0"/>
          <c:showSerName val="0"/>
          <c:showPercent val="0"/>
          <c:showBubbleSize val="0"/>
        </c:dLbls>
        <c:gapWidth val="219"/>
        <c:overlap val="-27"/>
        <c:axId val="1323162304"/>
        <c:axId val="1323161224"/>
      </c:barChart>
      <c:catAx>
        <c:axId val="132316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161224"/>
        <c:crosses val="autoZero"/>
        <c:auto val="1"/>
        <c:lblAlgn val="ctr"/>
        <c:lblOffset val="100"/>
        <c:noMultiLvlLbl val="0"/>
      </c:catAx>
      <c:valAx>
        <c:axId val="132316122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162304"/>
        <c:crosses val="autoZero"/>
        <c:crossBetween val="between"/>
      </c:valAx>
      <c:spPr>
        <a:noFill/>
        <a:ln>
          <a:noFill/>
        </a:ln>
        <a:effectLst/>
      </c:spPr>
    </c:plotArea>
    <c:legend>
      <c:legendPos val="b"/>
      <c:layout>
        <c:manualLayout>
          <c:xMode val="edge"/>
          <c:yMode val="edge"/>
          <c:x val="0.22969831120979325"/>
          <c:y val="0.88401541719049825"/>
          <c:w val="0.56091089136051209"/>
          <c:h val="9.847758000838130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Zone Times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MPR_Alliance!$F$3</c:f>
              <c:strCache>
                <c:ptCount val="1"/>
                <c:pt idx="0">
                  <c:v>frc2791</c:v>
                </c:pt>
              </c:strCache>
            </c:strRef>
          </c:tx>
          <c:spPr>
            <a:solidFill>
              <a:schemeClr val="accent1"/>
            </a:solidFill>
            <a:ln>
              <a:noFill/>
            </a:ln>
            <a:effectLst/>
          </c:spPr>
          <c:invertIfNegative val="0"/>
          <c:dLbls>
            <c:delete val="1"/>
          </c:dLbls>
          <c:cat>
            <c:strRef>
              <c:f>MPR_Alliance!$G$2:$I$2</c:f>
              <c:strCache>
                <c:ptCount val="3"/>
                <c:pt idx="0">
                  <c:v>Red Wing</c:v>
                </c:pt>
                <c:pt idx="1">
                  <c:v>Neutral</c:v>
                </c:pt>
                <c:pt idx="2">
                  <c:v>Blue Wing</c:v>
                </c:pt>
              </c:strCache>
            </c:strRef>
          </c:cat>
          <c:val>
            <c:numRef>
              <c:f>MPR_Alliance!$G$3:$I$3</c:f>
              <c:numCache>
                <c:formatCode>0.00</c:formatCode>
                <c:ptCount val="3"/>
                <c:pt idx="0">
                  <c:v>58.506068514285708</c:v>
                </c:pt>
                <c:pt idx="1">
                  <c:v>25.996721928571425</c:v>
                </c:pt>
                <c:pt idx="2">
                  <c:v>34.63846674285714</c:v>
                </c:pt>
              </c:numCache>
            </c:numRef>
          </c:val>
          <c:extLst>
            <c:ext xmlns:c16="http://schemas.microsoft.com/office/drawing/2014/chart" uri="{C3380CC4-5D6E-409C-BE32-E72D297353CC}">
              <c16:uniqueId val="{00000000-E1E4-4341-8F3A-F9EF72255E99}"/>
            </c:ext>
          </c:extLst>
        </c:ser>
        <c:ser>
          <c:idx val="1"/>
          <c:order val="1"/>
          <c:tx>
            <c:strRef>
              <c:f>MPR_Alliance!$F$4</c:f>
              <c:strCache>
                <c:ptCount val="1"/>
                <c:pt idx="0">
                  <c:v>frc5016</c:v>
                </c:pt>
              </c:strCache>
            </c:strRef>
          </c:tx>
          <c:spPr>
            <a:solidFill>
              <a:schemeClr val="accent2"/>
            </a:solidFill>
            <a:ln>
              <a:noFill/>
            </a:ln>
            <a:effectLst/>
          </c:spPr>
          <c:invertIfNegative val="0"/>
          <c:dLbls>
            <c:delete val="1"/>
          </c:dLbls>
          <c:cat>
            <c:strRef>
              <c:f>MPR_Alliance!$G$2:$I$2</c:f>
              <c:strCache>
                <c:ptCount val="3"/>
                <c:pt idx="0">
                  <c:v>Red Wing</c:v>
                </c:pt>
                <c:pt idx="1">
                  <c:v>Neutral</c:v>
                </c:pt>
                <c:pt idx="2">
                  <c:v>Blue Wing</c:v>
                </c:pt>
              </c:strCache>
            </c:strRef>
          </c:cat>
          <c:val>
            <c:numRef>
              <c:f>MPR_Alliance!$G$4:$I$4</c:f>
              <c:numCache>
                <c:formatCode>0.00</c:formatCode>
                <c:ptCount val="3"/>
                <c:pt idx="0">
                  <c:v>71.310115887500004</c:v>
                </c:pt>
                <c:pt idx="1">
                  <c:v>26.182530375000002</c:v>
                </c:pt>
                <c:pt idx="2">
                  <c:v>27.888349049999999</c:v>
                </c:pt>
              </c:numCache>
            </c:numRef>
          </c:val>
          <c:extLst>
            <c:ext xmlns:c16="http://schemas.microsoft.com/office/drawing/2014/chart" uri="{C3380CC4-5D6E-409C-BE32-E72D297353CC}">
              <c16:uniqueId val="{00000001-E1E4-4341-8F3A-F9EF72255E99}"/>
            </c:ext>
          </c:extLst>
        </c:ser>
        <c:ser>
          <c:idx val="2"/>
          <c:order val="2"/>
          <c:tx>
            <c:strRef>
              <c:f>MPR_Alliance!$F$5</c:f>
              <c:strCache>
                <c:ptCount val="1"/>
                <c:pt idx="0">
                  <c:v>frc1591</c:v>
                </c:pt>
              </c:strCache>
            </c:strRef>
          </c:tx>
          <c:spPr>
            <a:solidFill>
              <a:schemeClr val="accent3"/>
            </a:solidFill>
            <a:ln>
              <a:noFill/>
            </a:ln>
            <a:effectLst/>
          </c:spPr>
          <c:invertIfNegative val="0"/>
          <c:dLbls>
            <c:delete val="1"/>
          </c:dLbls>
          <c:cat>
            <c:strRef>
              <c:f>MPR_Alliance!$G$2:$I$2</c:f>
              <c:strCache>
                <c:ptCount val="3"/>
                <c:pt idx="0">
                  <c:v>Red Wing</c:v>
                </c:pt>
                <c:pt idx="1">
                  <c:v>Neutral</c:v>
                </c:pt>
                <c:pt idx="2">
                  <c:v>Blue Wing</c:v>
                </c:pt>
              </c:strCache>
            </c:strRef>
          </c:cat>
          <c:val>
            <c:numRef>
              <c:f>MPR_Alliance!$G$5:$I$5</c:f>
              <c:numCache>
                <c:formatCode>0.00</c:formatCode>
                <c:ptCount val="3"/>
                <c:pt idx="0">
                  <c:v>46.268107644444441</c:v>
                </c:pt>
                <c:pt idx="1">
                  <c:v>28.442284055555557</c:v>
                </c:pt>
                <c:pt idx="2">
                  <c:v>46.195643188888887</c:v>
                </c:pt>
              </c:numCache>
            </c:numRef>
          </c:val>
          <c:extLst>
            <c:ext xmlns:c16="http://schemas.microsoft.com/office/drawing/2014/chart" uri="{C3380CC4-5D6E-409C-BE32-E72D297353CC}">
              <c16:uniqueId val="{00000002-E1E4-4341-8F3A-F9EF72255E99}"/>
            </c:ext>
          </c:extLst>
        </c:ser>
        <c:ser>
          <c:idx val="3"/>
          <c:order val="3"/>
          <c:tx>
            <c:strRef>
              <c:f>MPR_Alliance!$F$6</c:f>
              <c:strCache>
                <c:ptCount val="1"/>
                <c:pt idx="0">
                  <c:v>frc5993</c:v>
                </c:pt>
              </c:strCache>
            </c:strRef>
          </c:tx>
          <c:spPr>
            <a:solidFill>
              <a:schemeClr val="accent4"/>
            </a:solidFill>
            <a:ln>
              <a:noFill/>
            </a:ln>
            <a:effectLst/>
          </c:spPr>
          <c:invertIfNegative val="0"/>
          <c:dLbls>
            <c:delete val="1"/>
          </c:dLbls>
          <c:cat>
            <c:strRef>
              <c:f>MPR_Alliance!$G$2:$I$2</c:f>
              <c:strCache>
                <c:ptCount val="3"/>
                <c:pt idx="0">
                  <c:v>Red Wing</c:v>
                </c:pt>
                <c:pt idx="1">
                  <c:v>Neutral</c:v>
                </c:pt>
                <c:pt idx="2">
                  <c:v>Blue Wing</c:v>
                </c:pt>
              </c:strCache>
            </c:strRef>
          </c:cat>
          <c:val>
            <c:numRef>
              <c:f>MPR_Alliance!$G$6:$I$6</c:f>
              <c:numCache>
                <c:formatCode>0.00</c:formatCode>
                <c:ptCount val="3"/>
                <c:pt idx="0">
                  <c:v>8.7537145750000001</c:v>
                </c:pt>
                <c:pt idx="1">
                  <c:v>41.691220174999998</c:v>
                </c:pt>
                <c:pt idx="2">
                  <c:v>77.006379774999999</c:v>
                </c:pt>
              </c:numCache>
            </c:numRef>
          </c:val>
          <c:extLst>
            <c:ext xmlns:c16="http://schemas.microsoft.com/office/drawing/2014/chart" uri="{C3380CC4-5D6E-409C-BE32-E72D297353CC}">
              <c16:uniqueId val="{00000003-E1E4-4341-8F3A-F9EF72255E99}"/>
            </c:ext>
          </c:extLst>
        </c:ser>
        <c:ser>
          <c:idx val="4"/>
          <c:order val="4"/>
          <c:tx>
            <c:strRef>
              <c:f>MPR_Alliance!$F$7</c:f>
              <c:strCache>
                <c:ptCount val="1"/>
                <c:pt idx="0">
                  <c:v>frc1559</c:v>
                </c:pt>
              </c:strCache>
            </c:strRef>
          </c:tx>
          <c:spPr>
            <a:solidFill>
              <a:schemeClr val="accent5"/>
            </a:solidFill>
            <a:ln>
              <a:noFill/>
            </a:ln>
            <a:effectLst/>
          </c:spPr>
          <c:invertIfNegative val="0"/>
          <c:dLbls>
            <c:delete val="1"/>
          </c:dLbls>
          <c:cat>
            <c:strRef>
              <c:f>MPR_Alliance!$G$2:$I$2</c:f>
              <c:strCache>
                <c:ptCount val="3"/>
                <c:pt idx="0">
                  <c:v>Red Wing</c:v>
                </c:pt>
                <c:pt idx="1">
                  <c:v>Neutral</c:v>
                </c:pt>
                <c:pt idx="2">
                  <c:v>Blue Wing</c:v>
                </c:pt>
              </c:strCache>
            </c:strRef>
          </c:cat>
          <c:val>
            <c:numRef>
              <c:f>MPR_Alliance!$G$7:$I$7</c:f>
              <c:numCache>
                <c:formatCode>0.00</c:formatCode>
                <c:ptCount val="3"/>
                <c:pt idx="0">
                  <c:v>22.1157258625</c:v>
                </c:pt>
                <c:pt idx="1">
                  <c:v>33.7496274875</c:v>
                </c:pt>
                <c:pt idx="2">
                  <c:v>61.455755787500003</c:v>
                </c:pt>
              </c:numCache>
            </c:numRef>
          </c:val>
          <c:extLst>
            <c:ext xmlns:c16="http://schemas.microsoft.com/office/drawing/2014/chart" uri="{C3380CC4-5D6E-409C-BE32-E72D297353CC}">
              <c16:uniqueId val="{00000004-E1E4-4341-8F3A-F9EF72255E99}"/>
            </c:ext>
          </c:extLst>
        </c:ser>
        <c:ser>
          <c:idx val="5"/>
          <c:order val="5"/>
          <c:tx>
            <c:strRef>
              <c:f>MPR_Alliance!$F$8</c:f>
              <c:strCache>
                <c:ptCount val="1"/>
                <c:pt idx="0">
                  <c:v>frc3173</c:v>
                </c:pt>
              </c:strCache>
            </c:strRef>
          </c:tx>
          <c:spPr>
            <a:solidFill>
              <a:schemeClr val="accent6"/>
            </a:solidFill>
            <a:ln>
              <a:noFill/>
            </a:ln>
            <a:effectLst/>
          </c:spPr>
          <c:invertIfNegative val="0"/>
          <c:dLbls>
            <c:delete val="1"/>
          </c:dLbls>
          <c:cat>
            <c:strRef>
              <c:f>MPR_Alliance!$G$2:$I$2</c:f>
              <c:strCache>
                <c:ptCount val="3"/>
                <c:pt idx="0">
                  <c:v>Red Wing</c:v>
                </c:pt>
                <c:pt idx="1">
                  <c:v>Neutral</c:v>
                </c:pt>
                <c:pt idx="2">
                  <c:v>Blue Wing</c:v>
                </c:pt>
              </c:strCache>
            </c:strRef>
          </c:cat>
          <c:val>
            <c:numRef>
              <c:f>MPR_Alliance!$G$8:$I$8</c:f>
              <c:numCache>
                <c:formatCode>0.00</c:formatCode>
                <c:ptCount val="3"/>
                <c:pt idx="0">
                  <c:v>38.389591214285716</c:v>
                </c:pt>
                <c:pt idx="1">
                  <c:v>32.251913471428573</c:v>
                </c:pt>
                <c:pt idx="2">
                  <c:v>64.783890357142852</c:v>
                </c:pt>
              </c:numCache>
            </c:numRef>
          </c:val>
          <c:extLst>
            <c:ext xmlns:c16="http://schemas.microsoft.com/office/drawing/2014/chart" uri="{C3380CC4-5D6E-409C-BE32-E72D297353CC}">
              <c16:uniqueId val="{00000005-E1E4-4341-8F3A-F9EF72255E99}"/>
            </c:ext>
          </c:extLst>
        </c:ser>
        <c:dLbls>
          <c:dLblPos val="ctr"/>
          <c:showLegendKey val="0"/>
          <c:showVal val="1"/>
          <c:showCatName val="0"/>
          <c:showSerName val="0"/>
          <c:showPercent val="0"/>
          <c:showBubbleSize val="0"/>
        </c:dLbls>
        <c:gapWidth val="150"/>
        <c:overlap val="100"/>
        <c:axId val="1382332208"/>
        <c:axId val="1382342288"/>
      </c:barChart>
      <c:catAx>
        <c:axId val="138233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342288"/>
        <c:crosses val="autoZero"/>
        <c:auto val="1"/>
        <c:lblAlgn val="ctr"/>
        <c:lblOffset val="100"/>
        <c:noMultiLvlLbl val="0"/>
      </c:catAx>
      <c:valAx>
        <c:axId val="13823422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332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Setup/Strategies</a:t>
            </a:r>
          </a:p>
        </c:rich>
      </c:tx>
      <c:layout>
        <c:manualLayout>
          <c:xMode val="edge"/>
          <c:yMode val="edge"/>
          <c:x val="0.26511727580295236"/>
          <c:y val="3.61111111111111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MPR_Alliance!$G$12</c:f>
              <c:strCache>
                <c:ptCount val="1"/>
                <c:pt idx="0">
                  <c:v>A</c:v>
                </c:pt>
              </c:strCache>
            </c:strRef>
          </c:tx>
          <c:dPt>
            <c:idx val="0"/>
            <c:bubble3D val="0"/>
            <c:spPr>
              <a:noFill/>
              <a:ln w="19050">
                <a:solidFill>
                  <a:schemeClr val="tx1"/>
                </a:solidFill>
              </a:ln>
              <a:effectLst/>
            </c:spPr>
            <c:extLst>
              <c:ext xmlns:c16="http://schemas.microsoft.com/office/drawing/2014/chart" uri="{C3380CC4-5D6E-409C-BE32-E72D297353CC}">
                <c16:uniqueId val="{00000001-A942-4365-B5D3-2BE0178E1DE1}"/>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A942-4365-B5D3-2BE0178E1DE1}"/>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A942-4365-B5D3-2BE0178E1DE1}"/>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07-A942-4365-B5D3-2BE0178E1DE1}"/>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09-A942-4365-B5D3-2BE0178E1DE1}"/>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0B-A942-4365-B5D3-2BE0178E1D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MPR_Alliance!$F$13:$F$18</c:f>
              <c:strCache>
                <c:ptCount val="6"/>
                <c:pt idx="0">
                  <c:v>None</c:v>
                </c:pt>
                <c:pt idx="1">
                  <c:v>Defense</c:v>
                </c:pt>
                <c:pt idx="2">
                  <c:v>Mover</c:v>
                </c:pt>
                <c:pt idx="3">
                  <c:v>Shooter</c:v>
                </c:pt>
                <c:pt idx="4">
                  <c:v>Hybrid</c:v>
                </c:pt>
                <c:pt idx="5">
                  <c:v>Celebrity</c:v>
                </c:pt>
              </c:strCache>
            </c:strRef>
          </c:cat>
          <c:val>
            <c:numRef>
              <c:f>MPR_Alliance!$G$13:$G$18</c:f>
              <c:numCache>
                <c:formatCode>0</c:formatCode>
                <c:ptCount val="6"/>
                <c:pt idx="0">
                  <c:v>0</c:v>
                </c:pt>
                <c:pt idx="1">
                  <c:v>0</c:v>
                </c:pt>
                <c:pt idx="2">
                  <c:v>0</c:v>
                </c:pt>
                <c:pt idx="3">
                  <c:v>0</c:v>
                </c:pt>
                <c:pt idx="4">
                  <c:v>7</c:v>
                </c:pt>
                <c:pt idx="5">
                  <c:v>0</c:v>
                </c:pt>
              </c:numCache>
            </c:numRef>
          </c:val>
          <c:extLst>
            <c:ext xmlns:c16="http://schemas.microsoft.com/office/drawing/2014/chart" uri="{C3380CC4-5D6E-409C-BE32-E72D297353CC}">
              <c16:uniqueId val="{0000000C-A942-4365-B5D3-2BE0178E1DE1}"/>
            </c:ext>
          </c:extLst>
        </c:ser>
        <c:ser>
          <c:idx val="1"/>
          <c:order val="1"/>
          <c:tx>
            <c:strRef>
              <c:f>MPR_Alliance!$H$12</c:f>
              <c:strCache>
                <c:ptCount val="1"/>
                <c:pt idx="0">
                  <c:v>S</c:v>
                </c:pt>
              </c:strCache>
            </c:strRef>
          </c:tx>
          <c:dPt>
            <c:idx val="0"/>
            <c:bubble3D val="0"/>
            <c:spPr>
              <a:noFill/>
              <a:ln w="19050">
                <a:solidFill>
                  <a:schemeClr val="tx1"/>
                </a:solidFill>
              </a:ln>
              <a:effectLst/>
            </c:spPr>
            <c:extLst>
              <c:ext xmlns:c16="http://schemas.microsoft.com/office/drawing/2014/chart" uri="{C3380CC4-5D6E-409C-BE32-E72D297353CC}">
                <c16:uniqueId val="{0000000E-A942-4365-B5D3-2BE0178E1DE1}"/>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10-A942-4365-B5D3-2BE0178E1DE1}"/>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12-A942-4365-B5D3-2BE0178E1DE1}"/>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14-A942-4365-B5D3-2BE0178E1DE1}"/>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16-A942-4365-B5D3-2BE0178E1DE1}"/>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18-A942-4365-B5D3-2BE0178E1D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MPR_Alliance!$F$13:$F$18</c:f>
              <c:strCache>
                <c:ptCount val="6"/>
                <c:pt idx="0">
                  <c:v>None</c:v>
                </c:pt>
                <c:pt idx="1">
                  <c:v>Defense</c:v>
                </c:pt>
                <c:pt idx="2">
                  <c:v>Mover</c:v>
                </c:pt>
                <c:pt idx="3">
                  <c:v>Shooter</c:v>
                </c:pt>
                <c:pt idx="4">
                  <c:v>Hybrid</c:v>
                </c:pt>
                <c:pt idx="5">
                  <c:v>Celebrity</c:v>
                </c:pt>
              </c:strCache>
            </c:strRef>
          </c:cat>
          <c:val>
            <c:numRef>
              <c:f>MPR_Alliance!$H$13:$H$18</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19-A942-4365-B5D3-2BE0178E1DE1}"/>
            </c:ext>
          </c:extLst>
        </c:ser>
        <c:ser>
          <c:idx val="2"/>
          <c:order val="2"/>
          <c:tx>
            <c:strRef>
              <c:f>MPR_Alliance!$I$12</c:f>
              <c:strCache>
                <c:ptCount val="1"/>
                <c:pt idx="0">
                  <c:v>P</c:v>
                </c:pt>
              </c:strCache>
            </c:strRef>
          </c:tx>
          <c:dPt>
            <c:idx val="0"/>
            <c:bubble3D val="0"/>
            <c:spPr>
              <a:noFill/>
              <a:ln w="19050">
                <a:solidFill>
                  <a:schemeClr val="tx1"/>
                </a:solidFill>
              </a:ln>
              <a:effectLst/>
            </c:spPr>
            <c:extLst>
              <c:ext xmlns:c16="http://schemas.microsoft.com/office/drawing/2014/chart" uri="{C3380CC4-5D6E-409C-BE32-E72D297353CC}">
                <c16:uniqueId val="{0000001B-A942-4365-B5D3-2BE0178E1DE1}"/>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1D-A942-4365-B5D3-2BE0178E1DE1}"/>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1F-A942-4365-B5D3-2BE0178E1DE1}"/>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21-A942-4365-B5D3-2BE0178E1DE1}"/>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23-A942-4365-B5D3-2BE0178E1DE1}"/>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25-A942-4365-B5D3-2BE0178E1D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MPR_Alliance!$F$13:$F$18</c:f>
              <c:strCache>
                <c:ptCount val="6"/>
                <c:pt idx="0">
                  <c:v>None</c:v>
                </c:pt>
                <c:pt idx="1">
                  <c:v>Defense</c:v>
                </c:pt>
                <c:pt idx="2">
                  <c:v>Mover</c:v>
                </c:pt>
                <c:pt idx="3">
                  <c:v>Shooter</c:v>
                </c:pt>
                <c:pt idx="4">
                  <c:v>Hybrid</c:v>
                </c:pt>
                <c:pt idx="5">
                  <c:v>Celebrity</c:v>
                </c:pt>
              </c:strCache>
            </c:strRef>
          </c:cat>
          <c:val>
            <c:numRef>
              <c:f>MPR_Alliance!$I$13:$I$18</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26-A942-4365-B5D3-2BE0178E1DE1}"/>
            </c:ext>
          </c:extLst>
        </c:ser>
        <c:ser>
          <c:idx val="3"/>
          <c:order val="3"/>
          <c:tx>
            <c:strRef>
              <c:f>MPR_Alliance!$J$12</c:f>
              <c:strCache>
                <c:ptCount val="1"/>
                <c:pt idx="0">
                  <c:v>O</c:v>
                </c:pt>
              </c:strCache>
            </c:strRef>
          </c:tx>
          <c:dPt>
            <c:idx val="0"/>
            <c:bubble3D val="0"/>
            <c:spPr>
              <a:noFill/>
              <a:ln w="19050">
                <a:solidFill>
                  <a:schemeClr val="tx1"/>
                </a:solidFill>
              </a:ln>
              <a:effectLst/>
            </c:spPr>
            <c:extLst>
              <c:ext xmlns:c16="http://schemas.microsoft.com/office/drawing/2014/chart" uri="{C3380CC4-5D6E-409C-BE32-E72D297353CC}">
                <c16:uniqueId val="{00000028-A942-4365-B5D3-2BE0178E1DE1}"/>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2A-A942-4365-B5D3-2BE0178E1DE1}"/>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2C-A942-4365-B5D3-2BE0178E1DE1}"/>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2E-A942-4365-B5D3-2BE0178E1DE1}"/>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30-A942-4365-B5D3-2BE0178E1DE1}"/>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32-A942-4365-B5D3-2BE0178E1D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MPR_Alliance!$F$13:$F$18</c:f>
              <c:strCache>
                <c:ptCount val="6"/>
                <c:pt idx="0">
                  <c:v>None</c:v>
                </c:pt>
                <c:pt idx="1">
                  <c:v>Defense</c:v>
                </c:pt>
                <c:pt idx="2">
                  <c:v>Mover</c:v>
                </c:pt>
                <c:pt idx="3">
                  <c:v>Shooter</c:v>
                </c:pt>
                <c:pt idx="4">
                  <c:v>Hybrid</c:v>
                </c:pt>
                <c:pt idx="5">
                  <c:v>Celebrity</c:v>
                </c:pt>
              </c:strCache>
            </c:strRef>
          </c:cat>
          <c:val>
            <c:numRef>
              <c:f>MPR_Alliance!$J$13:$J$18</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33-A942-4365-B5D3-2BE0178E1DE1}"/>
            </c:ext>
          </c:extLst>
        </c:ser>
        <c:dLbls>
          <c:showLegendKey val="0"/>
          <c:showVal val="1"/>
          <c:showCatName val="0"/>
          <c:showSerName val="0"/>
          <c:showPercent val="0"/>
          <c:showBubbleSize val="0"/>
          <c:showLeaderLines val="0"/>
        </c:dLbls>
        <c:firstSliceAng val="0"/>
        <c:holeSize val="20"/>
      </c:doughnutChart>
      <c:spPr>
        <a:noFill/>
        <a:ln>
          <a:noFill/>
        </a:ln>
        <a:effectLst/>
      </c:spPr>
    </c:plotArea>
    <c:legend>
      <c:legendPos val="b"/>
      <c:layout>
        <c:manualLayout>
          <c:xMode val="edge"/>
          <c:yMode val="edge"/>
          <c:x val="0.20641294838145233"/>
          <c:y val="0.77997484689413821"/>
          <c:w val="0.61758226753447731"/>
          <c:h val="0.155347958672795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Setup/Strategies</a:t>
            </a:r>
          </a:p>
        </c:rich>
      </c:tx>
      <c:layout>
        <c:manualLayout>
          <c:xMode val="edge"/>
          <c:yMode val="edge"/>
          <c:x val="0.25308285163776495"/>
          <c:y val="3.38631984585741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MPR_Alliance!$G$22</c:f>
              <c:strCache>
                <c:ptCount val="1"/>
                <c:pt idx="0">
                  <c:v>A</c:v>
                </c:pt>
              </c:strCache>
            </c:strRef>
          </c:tx>
          <c:dPt>
            <c:idx val="0"/>
            <c:bubble3D val="0"/>
            <c:spPr>
              <a:noFill/>
              <a:ln w="19050">
                <a:solidFill>
                  <a:sysClr val="windowText" lastClr="000000"/>
                </a:solidFill>
              </a:ln>
              <a:effectLst/>
            </c:spPr>
            <c:extLst>
              <c:ext xmlns:c16="http://schemas.microsoft.com/office/drawing/2014/chart" uri="{C3380CC4-5D6E-409C-BE32-E72D297353CC}">
                <c16:uniqueId val="{00000001-3553-4AA0-9FBD-4DD156A78EE9}"/>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3553-4AA0-9FBD-4DD156A78EE9}"/>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3553-4AA0-9FBD-4DD156A78EE9}"/>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07-3553-4AA0-9FBD-4DD156A78EE9}"/>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09-3553-4AA0-9FBD-4DD156A78EE9}"/>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0B-3553-4AA0-9FBD-4DD156A78E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MPR_Alliance!$F$23:$F$28</c:f>
              <c:strCache>
                <c:ptCount val="6"/>
                <c:pt idx="0">
                  <c:v>None</c:v>
                </c:pt>
                <c:pt idx="1">
                  <c:v>Defense</c:v>
                </c:pt>
                <c:pt idx="2">
                  <c:v>Mover</c:v>
                </c:pt>
                <c:pt idx="3">
                  <c:v>Shooter</c:v>
                </c:pt>
                <c:pt idx="4">
                  <c:v>Hybrid</c:v>
                </c:pt>
                <c:pt idx="5">
                  <c:v>Celebrity</c:v>
                </c:pt>
              </c:strCache>
            </c:strRef>
          </c:cat>
          <c:val>
            <c:numRef>
              <c:f>MPR_Alliance!$G$23:$G$28</c:f>
              <c:numCache>
                <c:formatCode>0</c:formatCode>
                <c:ptCount val="6"/>
                <c:pt idx="0">
                  <c:v>2</c:v>
                </c:pt>
                <c:pt idx="1">
                  <c:v>0</c:v>
                </c:pt>
                <c:pt idx="2">
                  <c:v>0</c:v>
                </c:pt>
                <c:pt idx="3">
                  <c:v>1</c:v>
                </c:pt>
                <c:pt idx="4">
                  <c:v>2</c:v>
                </c:pt>
                <c:pt idx="5">
                  <c:v>0</c:v>
                </c:pt>
              </c:numCache>
            </c:numRef>
          </c:val>
          <c:extLst>
            <c:ext xmlns:c16="http://schemas.microsoft.com/office/drawing/2014/chart" uri="{C3380CC4-5D6E-409C-BE32-E72D297353CC}">
              <c16:uniqueId val="{0000000C-3553-4AA0-9FBD-4DD156A78EE9}"/>
            </c:ext>
          </c:extLst>
        </c:ser>
        <c:ser>
          <c:idx val="1"/>
          <c:order val="1"/>
          <c:tx>
            <c:strRef>
              <c:f>MPR_Alliance!$H$22</c:f>
              <c:strCache>
                <c:ptCount val="1"/>
                <c:pt idx="0">
                  <c:v>S</c:v>
                </c:pt>
              </c:strCache>
            </c:strRef>
          </c:tx>
          <c:dPt>
            <c:idx val="0"/>
            <c:bubble3D val="0"/>
            <c:spPr>
              <a:noFill/>
              <a:ln w="19050">
                <a:solidFill>
                  <a:sysClr val="windowText" lastClr="000000"/>
                </a:solidFill>
              </a:ln>
              <a:effectLst/>
            </c:spPr>
            <c:extLst>
              <c:ext xmlns:c16="http://schemas.microsoft.com/office/drawing/2014/chart" uri="{C3380CC4-5D6E-409C-BE32-E72D297353CC}">
                <c16:uniqueId val="{0000000E-3553-4AA0-9FBD-4DD156A78EE9}"/>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10-3553-4AA0-9FBD-4DD156A78EE9}"/>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12-3553-4AA0-9FBD-4DD156A78EE9}"/>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14-3553-4AA0-9FBD-4DD156A78EE9}"/>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16-3553-4AA0-9FBD-4DD156A78EE9}"/>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18-3553-4AA0-9FBD-4DD156A78E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MPR_Alliance!$F$23:$F$28</c:f>
              <c:strCache>
                <c:ptCount val="6"/>
                <c:pt idx="0">
                  <c:v>None</c:v>
                </c:pt>
                <c:pt idx="1">
                  <c:v>Defense</c:v>
                </c:pt>
                <c:pt idx="2">
                  <c:v>Mover</c:v>
                </c:pt>
                <c:pt idx="3">
                  <c:v>Shooter</c:v>
                </c:pt>
                <c:pt idx="4">
                  <c:v>Hybrid</c:v>
                </c:pt>
                <c:pt idx="5">
                  <c:v>Celebrity</c:v>
                </c:pt>
              </c:strCache>
            </c:strRef>
          </c:cat>
          <c:val>
            <c:numRef>
              <c:f>MPR_Alliance!$H$23:$H$28</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19-3553-4AA0-9FBD-4DD156A78EE9}"/>
            </c:ext>
          </c:extLst>
        </c:ser>
        <c:ser>
          <c:idx val="2"/>
          <c:order val="2"/>
          <c:tx>
            <c:strRef>
              <c:f>MPR_Alliance!$I$22</c:f>
              <c:strCache>
                <c:ptCount val="1"/>
                <c:pt idx="0">
                  <c:v>P</c:v>
                </c:pt>
              </c:strCache>
            </c:strRef>
          </c:tx>
          <c:dPt>
            <c:idx val="0"/>
            <c:bubble3D val="0"/>
            <c:spPr>
              <a:noFill/>
              <a:ln w="19050">
                <a:solidFill>
                  <a:sysClr val="windowText" lastClr="000000"/>
                </a:solidFill>
              </a:ln>
              <a:effectLst/>
            </c:spPr>
            <c:extLst>
              <c:ext xmlns:c16="http://schemas.microsoft.com/office/drawing/2014/chart" uri="{C3380CC4-5D6E-409C-BE32-E72D297353CC}">
                <c16:uniqueId val="{0000001B-3553-4AA0-9FBD-4DD156A78EE9}"/>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1D-3553-4AA0-9FBD-4DD156A78EE9}"/>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1F-3553-4AA0-9FBD-4DD156A78EE9}"/>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21-3553-4AA0-9FBD-4DD156A78EE9}"/>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23-3553-4AA0-9FBD-4DD156A78EE9}"/>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25-3553-4AA0-9FBD-4DD156A78E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MPR_Alliance!$F$23:$F$28</c:f>
              <c:strCache>
                <c:ptCount val="6"/>
                <c:pt idx="0">
                  <c:v>None</c:v>
                </c:pt>
                <c:pt idx="1">
                  <c:v>Defense</c:v>
                </c:pt>
                <c:pt idx="2">
                  <c:v>Mover</c:v>
                </c:pt>
                <c:pt idx="3">
                  <c:v>Shooter</c:v>
                </c:pt>
                <c:pt idx="4">
                  <c:v>Hybrid</c:v>
                </c:pt>
                <c:pt idx="5">
                  <c:v>Celebrity</c:v>
                </c:pt>
              </c:strCache>
            </c:strRef>
          </c:cat>
          <c:val>
            <c:numRef>
              <c:f>MPR_Alliance!$I$23:$I$28</c:f>
              <c:numCache>
                <c:formatCode>0</c:formatCode>
                <c:ptCount val="6"/>
                <c:pt idx="0">
                  <c:v>0</c:v>
                </c:pt>
                <c:pt idx="1">
                  <c:v>0</c:v>
                </c:pt>
                <c:pt idx="2">
                  <c:v>0</c:v>
                </c:pt>
                <c:pt idx="3">
                  <c:v>0</c:v>
                </c:pt>
                <c:pt idx="4">
                  <c:v>1</c:v>
                </c:pt>
                <c:pt idx="5">
                  <c:v>0</c:v>
                </c:pt>
              </c:numCache>
            </c:numRef>
          </c:val>
          <c:extLst>
            <c:ext xmlns:c16="http://schemas.microsoft.com/office/drawing/2014/chart" uri="{C3380CC4-5D6E-409C-BE32-E72D297353CC}">
              <c16:uniqueId val="{00000026-3553-4AA0-9FBD-4DD156A78EE9}"/>
            </c:ext>
          </c:extLst>
        </c:ser>
        <c:ser>
          <c:idx val="3"/>
          <c:order val="3"/>
          <c:tx>
            <c:strRef>
              <c:f>MPR_Alliance!$J$22</c:f>
              <c:strCache>
                <c:ptCount val="1"/>
                <c:pt idx="0">
                  <c:v>O</c:v>
                </c:pt>
              </c:strCache>
            </c:strRef>
          </c:tx>
          <c:dPt>
            <c:idx val="0"/>
            <c:bubble3D val="0"/>
            <c:spPr>
              <a:noFill/>
              <a:ln w="19050">
                <a:solidFill>
                  <a:sysClr val="windowText" lastClr="000000"/>
                </a:solidFill>
              </a:ln>
              <a:effectLst/>
            </c:spPr>
            <c:extLst>
              <c:ext xmlns:c16="http://schemas.microsoft.com/office/drawing/2014/chart" uri="{C3380CC4-5D6E-409C-BE32-E72D297353CC}">
                <c16:uniqueId val="{00000028-3553-4AA0-9FBD-4DD156A78EE9}"/>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2A-3553-4AA0-9FBD-4DD156A78EE9}"/>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2C-3553-4AA0-9FBD-4DD156A78EE9}"/>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2E-3553-4AA0-9FBD-4DD156A78EE9}"/>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30-3553-4AA0-9FBD-4DD156A78EE9}"/>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32-3553-4AA0-9FBD-4DD156A78E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MPR_Alliance!$F$23:$F$28</c:f>
              <c:strCache>
                <c:ptCount val="6"/>
                <c:pt idx="0">
                  <c:v>None</c:v>
                </c:pt>
                <c:pt idx="1">
                  <c:v>Defense</c:v>
                </c:pt>
                <c:pt idx="2">
                  <c:v>Mover</c:v>
                </c:pt>
                <c:pt idx="3">
                  <c:v>Shooter</c:v>
                </c:pt>
                <c:pt idx="4">
                  <c:v>Hybrid</c:v>
                </c:pt>
                <c:pt idx="5">
                  <c:v>Celebrity</c:v>
                </c:pt>
              </c:strCache>
            </c:strRef>
          </c:cat>
          <c:val>
            <c:numRef>
              <c:f>MPR_Alliance!$J$23:$J$28</c:f>
              <c:numCache>
                <c:formatCode>0</c:formatCode>
                <c:ptCount val="6"/>
                <c:pt idx="0">
                  <c:v>0</c:v>
                </c:pt>
                <c:pt idx="1">
                  <c:v>1</c:v>
                </c:pt>
                <c:pt idx="2">
                  <c:v>0</c:v>
                </c:pt>
                <c:pt idx="3">
                  <c:v>0</c:v>
                </c:pt>
                <c:pt idx="4">
                  <c:v>1</c:v>
                </c:pt>
                <c:pt idx="5">
                  <c:v>0</c:v>
                </c:pt>
              </c:numCache>
            </c:numRef>
          </c:val>
          <c:extLst>
            <c:ext xmlns:c16="http://schemas.microsoft.com/office/drawing/2014/chart" uri="{C3380CC4-5D6E-409C-BE32-E72D297353CC}">
              <c16:uniqueId val="{00000033-3553-4AA0-9FBD-4DD156A78EE9}"/>
            </c:ext>
          </c:extLst>
        </c:ser>
        <c:dLbls>
          <c:showLegendKey val="0"/>
          <c:showVal val="1"/>
          <c:showCatName val="0"/>
          <c:showSerName val="0"/>
          <c:showPercent val="0"/>
          <c:showBubbleSize val="0"/>
          <c:showLeaderLines val="0"/>
        </c:dLbls>
        <c:firstSliceAng val="0"/>
        <c:holeSize val="20"/>
      </c:doughnutChart>
      <c:spPr>
        <a:noFill/>
        <a:ln>
          <a:noFill/>
        </a:ln>
        <a:effectLst/>
      </c:spPr>
    </c:plotArea>
    <c:legend>
      <c:legendPos val="b"/>
      <c:layout>
        <c:manualLayout>
          <c:xMode val="edge"/>
          <c:yMode val="edge"/>
          <c:x val="0.19659171938767772"/>
          <c:y val="0.77609462473260205"/>
          <c:w val="0.61758226753447731"/>
          <c:h val="0.155347958672795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Setup/Strategies</a:t>
            </a:r>
          </a:p>
        </c:rich>
      </c:tx>
      <c:layout>
        <c:manualLayout>
          <c:xMode val="edge"/>
          <c:yMode val="edge"/>
          <c:x val="0.26753353747448233"/>
          <c:y val="4.46212452610090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MPR_Alliance!$G$32</c:f>
              <c:strCache>
                <c:ptCount val="1"/>
                <c:pt idx="0">
                  <c:v>A</c:v>
                </c:pt>
              </c:strCache>
            </c:strRef>
          </c:tx>
          <c:dPt>
            <c:idx val="0"/>
            <c:bubble3D val="0"/>
            <c:spPr>
              <a:noFill/>
              <a:ln w="19050">
                <a:solidFill>
                  <a:sysClr val="windowText" lastClr="000000"/>
                </a:solidFill>
              </a:ln>
              <a:effectLst/>
            </c:spPr>
            <c:extLst>
              <c:ext xmlns:c16="http://schemas.microsoft.com/office/drawing/2014/chart" uri="{C3380CC4-5D6E-409C-BE32-E72D297353CC}">
                <c16:uniqueId val="{00000001-6047-477C-95C0-29D1F60C1A0F}"/>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6047-477C-95C0-29D1F60C1A0F}"/>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6047-477C-95C0-29D1F60C1A0F}"/>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07-6047-477C-95C0-29D1F60C1A0F}"/>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09-6047-477C-95C0-29D1F60C1A0F}"/>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0B-6047-477C-95C0-29D1F60C1A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MPR_Alliance!$F$33:$F$38</c:f>
              <c:strCache>
                <c:ptCount val="6"/>
                <c:pt idx="0">
                  <c:v>None</c:v>
                </c:pt>
                <c:pt idx="1">
                  <c:v>Defense</c:v>
                </c:pt>
                <c:pt idx="2">
                  <c:v>Mover</c:v>
                </c:pt>
                <c:pt idx="3">
                  <c:v>Shooter</c:v>
                </c:pt>
                <c:pt idx="4">
                  <c:v>Hybrid</c:v>
                </c:pt>
                <c:pt idx="5">
                  <c:v>Celebrity</c:v>
                </c:pt>
              </c:strCache>
            </c:strRef>
          </c:cat>
          <c:val>
            <c:numRef>
              <c:f>MPR_Alliance!$G$33:$G$38</c:f>
              <c:numCache>
                <c:formatCode>0</c:formatCode>
                <c:ptCount val="6"/>
                <c:pt idx="0">
                  <c:v>2</c:v>
                </c:pt>
                <c:pt idx="1">
                  <c:v>0</c:v>
                </c:pt>
                <c:pt idx="2">
                  <c:v>0</c:v>
                </c:pt>
                <c:pt idx="3">
                  <c:v>0</c:v>
                </c:pt>
                <c:pt idx="4">
                  <c:v>2</c:v>
                </c:pt>
                <c:pt idx="5">
                  <c:v>0</c:v>
                </c:pt>
              </c:numCache>
            </c:numRef>
          </c:val>
          <c:extLst>
            <c:ext xmlns:c16="http://schemas.microsoft.com/office/drawing/2014/chart" uri="{C3380CC4-5D6E-409C-BE32-E72D297353CC}">
              <c16:uniqueId val="{0000000C-6047-477C-95C0-29D1F60C1A0F}"/>
            </c:ext>
          </c:extLst>
        </c:ser>
        <c:ser>
          <c:idx val="1"/>
          <c:order val="1"/>
          <c:tx>
            <c:strRef>
              <c:f>MPR_Alliance!$H$32</c:f>
              <c:strCache>
                <c:ptCount val="1"/>
                <c:pt idx="0">
                  <c:v>S</c:v>
                </c:pt>
              </c:strCache>
            </c:strRef>
          </c:tx>
          <c:dPt>
            <c:idx val="0"/>
            <c:bubble3D val="0"/>
            <c:spPr>
              <a:noFill/>
              <a:ln w="19050">
                <a:solidFill>
                  <a:sysClr val="windowText" lastClr="000000"/>
                </a:solidFill>
              </a:ln>
              <a:effectLst/>
            </c:spPr>
            <c:extLst>
              <c:ext xmlns:c16="http://schemas.microsoft.com/office/drawing/2014/chart" uri="{C3380CC4-5D6E-409C-BE32-E72D297353CC}">
                <c16:uniqueId val="{0000000E-6047-477C-95C0-29D1F60C1A0F}"/>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10-6047-477C-95C0-29D1F60C1A0F}"/>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12-6047-477C-95C0-29D1F60C1A0F}"/>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14-6047-477C-95C0-29D1F60C1A0F}"/>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16-6047-477C-95C0-29D1F60C1A0F}"/>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18-6047-477C-95C0-29D1F60C1A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MPR_Alliance!$F$33:$F$38</c:f>
              <c:strCache>
                <c:ptCount val="6"/>
                <c:pt idx="0">
                  <c:v>None</c:v>
                </c:pt>
                <c:pt idx="1">
                  <c:v>Defense</c:v>
                </c:pt>
                <c:pt idx="2">
                  <c:v>Mover</c:v>
                </c:pt>
                <c:pt idx="3">
                  <c:v>Shooter</c:v>
                </c:pt>
                <c:pt idx="4">
                  <c:v>Hybrid</c:v>
                </c:pt>
                <c:pt idx="5">
                  <c:v>Celebrity</c:v>
                </c:pt>
              </c:strCache>
            </c:strRef>
          </c:cat>
          <c:val>
            <c:numRef>
              <c:f>MPR_Alliance!$H$33:$H$38</c:f>
              <c:numCache>
                <c:formatCode>0</c:formatCode>
                <c:ptCount val="6"/>
                <c:pt idx="0">
                  <c:v>0</c:v>
                </c:pt>
                <c:pt idx="1">
                  <c:v>0</c:v>
                </c:pt>
                <c:pt idx="2">
                  <c:v>0</c:v>
                </c:pt>
                <c:pt idx="3">
                  <c:v>0</c:v>
                </c:pt>
                <c:pt idx="4">
                  <c:v>1</c:v>
                </c:pt>
                <c:pt idx="5">
                  <c:v>0</c:v>
                </c:pt>
              </c:numCache>
            </c:numRef>
          </c:val>
          <c:extLst>
            <c:ext xmlns:c16="http://schemas.microsoft.com/office/drawing/2014/chart" uri="{C3380CC4-5D6E-409C-BE32-E72D297353CC}">
              <c16:uniqueId val="{00000019-6047-477C-95C0-29D1F60C1A0F}"/>
            </c:ext>
          </c:extLst>
        </c:ser>
        <c:ser>
          <c:idx val="2"/>
          <c:order val="2"/>
          <c:tx>
            <c:strRef>
              <c:f>MPR_Alliance!$I$32</c:f>
              <c:strCache>
                <c:ptCount val="1"/>
                <c:pt idx="0">
                  <c:v>P</c:v>
                </c:pt>
              </c:strCache>
            </c:strRef>
          </c:tx>
          <c:dPt>
            <c:idx val="0"/>
            <c:bubble3D val="0"/>
            <c:spPr>
              <a:noFill/>
              <a:ln w="19050">
                <a:solidFill>
                  <a:sysClr val="windowText" lastClr="000000"/>
                </a:solidFill>
              </a:ln>
              <a:effectLst/>
            </c:spPr>
            <c:extLst>
              <c:ext xmlns:c16="http://schemas.microsoft.com/office/drawing/2014/chart" uri="{C3380CC4-5D6E-409C-BE32-E72D297353CC}">
                <c16:uniqueId val="{0000001B-6047-477C-95C0-29D1F60C1A0F}"/>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1D-6047-477C-95C0-29D1F60C1A0F}"/>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1F-6047-477C-95C0-29D1F60C1A0F}"/>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21-6047-477C-95C0-29D1F60C1A0F}"/>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23-6047-477C-95C0-29D1F60C1A0F}"/>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25-6047-477C-95C0-29D1F60C1A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MPR_Alliance!$F$33:$F$38</c:f>
              <c:strCache>
                <c:ptCount val="6"/>
                <c:pt idx="0">
                  <c:v>None</c:v>
                </c:pt>
                <c:pt idx="1">
                  <c:v>Defense</c:v>
                </c:pt>
                <c:pt idx="2">
                  <c:v>Mover</c:v>
                </c:pt>
                <c:pt idx="3">
                  <c:v>Shooter</c:v>
                </c:pt>
                <c:pt idx="4">
                  <c:v>Hybrid</c:v>
                </c:pt>
                <c:pt idx="5">
                  <c:v>Celebrity</c:v>
                </c:pt>
              </c:strCache>
            </c:strRef>
          </c:cat>
          <c:val>
            <c:numRef>
              <c:f>MPR_Alliance!$I$33:$I$38</c:f>
              <c:numCache>
                <c:formatCode>0</c:formatCode>
                <c:ptCount val="6"/>
                <c:pt idx="0">
                  <c:v>0</c:v>
                </c:pt>
                <c:pt idx="1">
                  <c:v>1</c:v>
                </c:pt>
                <c:pt idx="2">
                  <c:v>0</c:v>
                </c:pt>
                <c:pt idx="3">
                  <c:v>0</c:v>
                </c:pt>
                <c:pt idx="4">
                  <c:v>2</c:v>
                </c:pt>
                <c:pt idx="5">
                  <c:v>0</c:v>
                </c:pt>
              </c:numCache>
            </c:numRef>
          </c:val>
          <c:extLst>
            <c:ext xmlns:c16="http://schemas.microsoft.com/office/drawing/2014/chart" uri="{C3380CC4-5D6E-409C-BE32-E72D297353CC}">
              <c16:uniqueId val="{00000026-6047-477C-95C0-29D1F60C1A0F}"/>
            </c:ext>
          </c:extLst>
        </c:ser>
        <c:ser>
          <c:idx val="3"/>
          <c:order val="3"/>
          <c:tx>
            <c:strRef>
              <c:f>MPR_Alliance!$J$32</c:f>
              <c:strCache>
                <c:ptCount val="1"/>
                <c:pt idx="0">
                  <c:v>O</c:v>
                </c:pt>
              </c:strCache>
            </c:strRef>
          </c:tx>
          <c:dPt>
            <c:idx val="0"/>
            <c:bubble3D val="0"/>
            <c:spPr>
              <a:noFill/>
              <a:ln w="19050">
                <a:solidFill>
                  <a:sysClr val="windowText" lastClr="000000"/>
                </a:solidFill>
              </a:ln>
              <a:effectLst/>
            </c:spPr>
            <c:extLst>
              <c:ext xmlns:c16="http://schemas.microsoft.com/office/drawing/2014/chart" uri="{C3380CC4-5D6E-409C-BE32-E72D297353CC}">
                <c16:uniqueId val="{00000028-6047-477C-95C0-29D1F60C1A0F}"/>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2A-6047-477C-95C0-29D1F60C1A0F}"/>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2C-6047-477C-95C0-29D1F60C1A0F}"/>
              </c:ext>
            </c:extLst>
          </c:dPt>
          <c:dPt>
            <c:idx val="3"/>
            <c:bubble3D val="0"/>
            <c:spPr>
              <a:solidFill>
                <a:srgbClr val="29FF8A"/>
              </a:solidFill>
              <a:ln w="19050">
                <a:solidFill>
                  <a:schemeClr val="lt1"/>
                </a:solidFill>
              </a:ln>
              <a:effectLst/>
            </c:spPr>
            <c:extLst>
              <c:ext xmlns:c16="http://schemas.microsoft.com/office/drawing/2014/chart" uri="{C3380CC4-5D6E-409C-BE32-E72D297353CC}">
                <c16:uniqueId val="{0000002E-6047-477C-95C0-29D1F60C1A0F}"/>
              </c:ext>
            </c:extLst>
          </c:dPt>
          <c:dPt>
            <c:idx val="4"/>
            <c:bubble3D val="0"/>
            <c:spPr>
              <a:solidFill>
                <a:srgbClr val="FF00FF"/>
              </a:solidFill>
              <a:ln w="19050">
                <a:solidFill>
                  <a:schemeClr val="lt1"/>
                </a:solidFill>
              </a:ln>
              <a:effectLst/>
            </c:spPr>
            <c:extLst>
              <c:ext xmlns:c16="http://schemas.microsoft.com/office/drawing/2014/chart" uri="{C3380CC4-5D6E-409C-BE32-E72D297353CC}">
                <c16:uniqueId val="{00000030-6047-477C-95C0-29D1F60C1A0F}"/>
              </c:ext>
            </c:extLst>
          </c:dPt>
          <c:dPt>
            <c:idx val="5"/>
            <c:bubble3D val="0"/>
            <c:spPr>
              <a:solidFill>
                <a:srgbClr val="FFC000"/>
              </a:solidFill>
              <a:ln w="19050">
                <a:solidFill>
                  <a:schemeClr val="lt1"/>
                </a:solidFill>
              </a:ln>
              <a:effectLst/>
            </c:spPr>
            <c:extLst>
              <c:ext xmlns:c16="http://schemas.microsoft.com/office/drawing/2014/chart" uri="{C3380CC4-5D6E-409C-BE32-E72D297353CC}">
                <c16:uniqueId val="{00000032-6047-477C-95C0-29D1F60C1A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extLst>
          </c:dLbls>
          <c:cat>
            <c:strRef>
              <c:f>MPR_Alliance!$F$33:$F$38</c:f>
              <c:strCache>
                <c:ptCount val="6"/>
                <c:pt idx="0">
                  <c:v>None</c:v>
                </c:pt>
                <c:pt idx="1">
                  <c:v>Defense</c:v>
                </c:pt>
                <c:pt idx="2">
                  <c:v>Mover</c:v>
                </c:pt>
                <c:pt idx="3">
                  <c:v>Shooter</c:v>
                </c:pt>
                <c:pt idx="4">
                  <c:v>Hybrid</c:v>
                </c:pt>
                <c:pt idx="5">
                  <c:v>Celebrity</c:v>
                </c:pt>
              </c:strCache>
            </c:strRef>
          </c:cat>
          <c:val>
            <c:numRef>
              <c:f>MPR_Alliance!$J$33:$J$38</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33-6047-477C-95C0-29D1F60C1A0F}"/>
            </c:ext>
          </c:extLst>
        </c:ser>
        <c:dLbls>
          <c:showLegendKey val="0"/>
          <c:showVal val="1"/>
          <c:showCatName val="0"/>
          <c:showSerName val="0"/>
          <c:showPercent val="0"/>
          <c:showBubbleSize val="0"/>
          <c:showLeaderLines val="0"/>
        </c:dLbls>
        <c:firstSliceAng val="0"/>
        <c:holeSize val="20"/>
      </c:doughnutChart>
      <c:spPr>
        <a:noFill/>
        <a:ln>
          <a:noFill/>
        </a:ln>
        <a:effectLst/>
      </c:spPr>
    </c:plotArea>
    <c:legend>
      <c:legendPos val="b"/>
      <c:layout>
        <c:manualLayout>
          <c:xMode val="edge"/>
          <c:yMode val="edge"/>
          <c:x val="0.21104257801108195"/>
          <c:y val="0.77071558763487902"/>
          <c:w val="0.61758226753447731"/>
          <c:h val="0.155347958672795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Scoring vs Defense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1"/>
        <c:ser>
          <c:idx val="0"/>
          <c:order val="0"/>
          <c:tx>
            <c:strRef>
              <c:f>MPR_Alliance!$M$13</c:f>
              <c:strCache>
                <c:ptCount val="1"/>
                <c:pt idx="0">
                  <c:v>Def</c:v>
                </c:pt>
              </c:strCache>
            </c:strRef>
          </c:tx>
          <c:spPr>
            <a:solidFill>
              <a:srgbClr val="29FF8A"/>
            </a:solidFill>
          </c:spPr>
          <c:invertIfNegative val="0"/>
          <c:dPt>
            <c:idx val="0"/>
            <c:invertIfNegative val="0"/>
            <c:bubble3D val="0"/>
            <c:spPr>
              <a:solidFill>
                <a:srgbClr val="29FF8A"/>
              </a:solidFill>
              <a:ln>
                <a:noFill/>
              </a:ln>
              <a:effectLst/>
            </c:spPr>
            <c:extLst>
              <c:ext xmlns:c16="http://schemas.microsoft.com/office/drawing/2014/chart" uri="{C3380CC4-5D6E-409C-BE32-E72D297353CC}">
                <c16:uniqueId val="{00000001-6E2F-4989-BBE2-A5B5B53324FC}"/>
              </c:ext>
            </c:extLst>
          </c:dPt>
          <c:dPt>
            <c:idx val="1"/>
            <c:invertIfNegative val="0"/>
            <c:bubble3D val="0"/>
            <c:spPr>
              <a:solidFill>
                <a:srgbClr val="29FF8A"/>
              </a:solidFill>
              <a:ln>
                <a:noFill/>
              </a:ln>
              <a:effectLst/>
            </c:spPr>
            <c:extLst>
              <c:ext xmlns:c16="http://schemas.microsoft.com/office/drawing/2014/chart" uri="{C3380CC4-5D6E-409C-BE32-E72D297353CC}">
                <c16:uniqueId val="{00000003-6E2F-4989-BBE2-A5B5B53324FC}"/>
              </c:ext>
            </c:extLst>
          </c:dPt>
          <c:dPt>
            <c:idx val="2"/>
            <c:invertIfNegative val="0"/>
            <c:bubble3D val="0"/>
            <c:spPr>
              <a:solidFill>
                <a:srgbClr val="29FF8A"/>
              </a:solidFill>
              <a:ln>
                <a:noFill/>
              </a:ln>
              <a:effectLst/>
            </c:spPr>
            <c:extLst>
              <c:ext xmlns:c16="http://schemas.microsoft.com/office/drawing/2014/chart" uri="{C3380CC4-5D6E-409C-BE32-E72D297353CC}">
                <c16:uniqueId val="{00000005-6E2F-4989-BBE2-A5B5B53324FC}"/>
              </c:ext>
            </c:extLst>
          </c:dPt>
          <c:dPt>
            <c:idx val="3"/>
            <c:invertIfNegative val="0"/>
            <c:bubble3D val="0"/>
            <c:spPr>
              <a:solidFill>
                <a:srgbClr val="29FF8A"/>
              </a:solidFill>
              <a:ln>
                <a:noFill/>
              </a:ln>
              <a:effectLst/>
            </c:spPr>
            <c:extLst>
              <c:ext xmlns:c16="http://schemas.microsoft.com/office/drawing/2014/chart" uri="{C3380CC4-5D6E-409C-BE32-E72D297353CC}">
                <c16:uniqueId val="{00000007-6E2F-4989-BBE2-A5B5B53324FC}"/>
              </c:ext>
            </c:extLst>
          </c:dPt>
          <c:dPt>
            <c:idx val="4"/>
            <c:invertIfNegative val="0"/>
            <c:bubble3D val="0"/>
            <c:spPr>
              <a:solidFill>
                <a:srgbClr val="29FF8A"/>
              </a:solidFill>
              <a:ln>
                <a:noFill/>
              </a:ln>
              <a:effectLst/>
            </c:spPr>
            <c:extLst>
              <c:ext xmlns:c16="http://schemas.microsoft.com/office/drawing/2014/chart" uri="{C3380CC4-5D6E-409C-BE32-E72D297353CC}">
                <c16:uniqueId val="{00000009-6E2F-4989-BBE2-A5B5B53324FC}"/>
              </c:ext>
            </c:extLst>
          </c:dPt>
          <c:dPt>
            <c:idx val="5"/>
            <c:invertIfNegative val="0"/>
            <c:bubble3D val="0"/>
            <c:spPr>
              <a:solidFill>
                <a:srgbClr val="29FF8A"/>
              </a:solidFill>
              <a:ln>
                <a:noFill/>
              </a:ln>
              <a:effectLst/>
            </c:spPr>
            <c:extLst>
              <c:ext xmlns:c16="http://schemas.microsoft.com/office/drawing/2014/chart" uri="{C3380CC4-5D6E-409C-BE32-E72D297353CC}">
                <c16:uniqueId val="{0000000B-6E2F-4989-BBE2-A5B5B53324FC}"/>
              </c:ext>
            </c:extLst>
          </c:dPt>
          <c:dPt>
            <c:idx val="6"/>
            <c:invertIfNegative val="0"/>
            <c:bubble3D val="0"/>
            <c:spPr>
              <a:solidFill>
                <a:srgbClr val="29FF8A"/>
              </a:solidFill>
              <a:ln>
                <a:noFill/>
              </a:ln>
              <a:effectLst/>
            </c:spPr>
            <c:extLst>
              <c:ext xmlns:c16="http://schemas.microsoft.com/office/drawing/2014/chart" uri="{C3380CC4-5D6E-409C-BE32-E72D297353CC}">
                <c16:uniqueId val="{0000000D-6E2F-4989-BBE2-A5B5B53324FC}"/>
              </c:ext>
            </c:extLst>
          </c:dPt>
          <c:dPt>
            <c:idx val="7"/>
            <c:invertIfNegative val="0"/>
            <c:bubble3D val="0"/>
            <c:spPr>
              <a:solidFill>
                <a:srgbClr val="29FF8A"/>
              </a:solidFill>
              <a:ln>
                <a:noFill/>
              </a:ln>
              <a:effectLst/>
            </c:spPr>
            <c:extLst>
              <c:ext xmlns:c16="http://schemas.microsoft.com/office/drawing/2014/chart" uri="{C3380CC4-5D6E-409C-BE32-E72D297353CC}">
                <c16:uniqueId val="{0000000F-6E2F-4989-BBE2-A5B5B53324FC}"/>
              </c:ext>
            </c:extLst>
          </c:dPt>
          <c:dPt>
            <c:idx val="8"/>
            <c:invertIfNegative val="0"/>
            <c:bubble3D val="0"/>
            <c:spPr>
              <a:solidFill>
                <a:srgbClr val="29FF8A"/>
              </a:solidFill>
              <a:ln>
                <a:noFill/>
              </a:ln>
              <a:effectLst/>
            </c:spPr>
            <c:extLst>
              <c:ext xmlns:c16="http://schemas.microsoft.com/office/drawing/2014/chart" uri="{C3380CC4-5D6E-409C-BE32-E72D297353CC}">
                <c16:uniqueId val="{00000011-6E2F-4989-BBE2-A5B5B53324FC}"/>
              </c:ext>
            </c:extLst>
          </c:dPt>
          <c:dPt>
            <c:idx val="9"/>
            <c:invertIfNegative val="0"/>
            <c:bubble3D val="0"/>
            <c:spPr>
              <a:solidFill>
                <a:srgbClr val="29FF8A"/>
              </a:solidFill>
              <a:ln>
                <a:noFill/>
              </a:ln>
              <a:effectLst/>
            </c:spPr>
            <c:extLst>
              <c:ext xmlns:c16="http://schemas.microsoft.com/office/drawing/2014/chart" uri="{C3380CC4-5D6E-409C-BE32-E72D297353CC}">
                <c16:uniqueId val="{00000013-6E2F-4989-BBE2-A5B5B53324FC}"/>
              </c:ext>
            </c:extLst>
          </c:dPt>
          <c:dPt>
            <c:idx val="10"/>
            <c:invertIfNegative val="0"/>
            <c:bubble3D val="0"/>
            <c:spPr>
              <a:solidFill>
                <a:srgbClr val="29FF8A"/>
              </a:solidFill>
              <a:ln>
                <a:noFill/>
              </a:ln>
              <a:effectLst/>
            </c:spPr>
            <c:extLst>
              <c:ext xmlns:c16="http://schemas.microsoft.com/office/drawing/2014/chart" uri="{C3380CC4-5D6E-409C-BE32-E72D297353CC}">
                <c16:uniqueId val="{00000015-6E2F-4989-BBE2-A5B5B53324FC}"/>
              </c:ext>
            </c:extLst>
          </c:dPt>
          <c:dPt>
            <c:idx val="11"/>
            <c:invertIfNegative val="0"/>
            <c:bubble3D val="0"/>
            <c:spPr>
              <a:solidFill>
                <a:srgbClr val="29FF8A"/>
              </a:solidFill>
              <a:ln>
                <a:noFill/>
              </a:ln>
              <a:effectLst/>
            </c:spPr>
            <c:extLst>
              <c:ext xmlns:c16="http://schemas.microsoft.com/office/drawing/2014/chart" uri="{C3380CC4-5D6E-409C-BE32-E72D297353CC}">
                <c16:uniqueId val="{00000017-6E2F-4989-BBE2-A5B5B53324FC}"/>
              </c:ext>
            </c:extLst>
          </c:dPt>
          <c:dPt>
            <c:idx val="12"/>
            <c:invertIfNegative val="0"/>
            <c:bubble3D val="0"/>
            <c:spPr>
              <a:solidFill>
                <a:srgbClr val="29FF8A"/>
              </a:solidFill>
              <a:ln>
                <a:noFill/>
              </a:ln>
              <a:effectLst/>
            </c:spPr>
            <c:extLst>
              <c:ext xmlns:c16="http://schemas.microsoft.com/office/drawing/2014/chart" uri="{C3380CC4-5D6E-409C-BE32-E72D297353CC}">
                <c16:uniqueId val="{00000019-6E2F-4989-BBE2-A5B5B53324FC}"/>
              </c:ext>
            </c:extLst>
          </c:dPt>
          <c:dPt>
            <c:idx val="13"/>
            <c:invertIfNegative val="0"/>
            <c:bubble3D val="0"/>
            <c:spPr>
              <a:solidFill>
                <a:srgbClr val="29FF8A"/>
              </a:solidFill>
              <a:ln>
                <a:noFill/>
              </a:ln>
              <a:effectLst/>
            </c:spPr>
            <c:extLst>
              <c:ext xmlns:c16="http://schemas.microsoft.com/office/drawing/2014/chart" uri="{C3380CC4-5D6E-409C-BE32-E72D297353CC}">
                <c16:uniqueId val="{0000001B-6E2F-4989-BBE2-A5B5B53324FC}"/>
              </c:ext>
            </c:extLst>
          </c:dPt>
          <c:dPt>
            <c:idx val="14"/>
            <c:invertIfNegative val="0"/>
            <c:bubble3D val="0"/>
            <c:spPr>
              <a:solidFill>
                <a:srgbClr val="29FF8A"/>
              </a:solidFill>
              <a:ln>
                <a:noFill/>
              </a:ln>
              <a:effectLst/>
            </c:spPr>
            <c:extLst>
              <c:ext xmlns:c16="http://schemas.microsoft.com/office/drawing/2014/chart" uri="{C3380CC4-5D6E-409C-BE32-E72D297353CC}">
                <c16:uniqueId val="{0000001D-6E2F-4989-BBE2-A5B5B53324FC}"/>
              </c:ext>
            </c:extLst>
          </c:dPt>
          <c:dPt>
            <c:idx val="15"/>
            <c:invertIfNegative val="0"/>
            <c:bubble3D val="0"/>
            <c:spPr>
              <a:solidFill>
                <a:srgbClr val="29FF8A"/>
              </a:solidFill>
              <a:ln>
                <a:noFill/>
              </a:ln>
              <a:effectLst/>
            </c:spPr>
            <c:extLst>
              <c:ext xmlns:c16="http://schemas.microsoft.com/office/drawing/2014/chart" uri="{C3380CC4-5D6E-409C-BE32-E72D297353CC}">
                <c16:uniqueId val="{0000001F-6E2F-4989-BBE2-A5B5B53324FC}"/>
              </c:ext>
            </c:extLst>
          </c:dPt>
          <c:dPt>
            <c:idx val="16"/>
            <c:invertIfNegative val="0"/>
            <c:bubble3D val="0"/>
            <c:spPr>
              <a:solidFill>
                <a:srgbClr val="29FF8A"/>
              </a:solidFill>
              <a:ln>
                <a:noFill/>
              </a:ln>
              <a:effectLst/>
            </c:spPr>
            <c:extLst>
              <c:ext xmlns:c16="http://schemas.microsoft.com/office/drawing/2014/chart" uri="{C3380CC4-5D6E-409C-BE32-E72D297353CC}">
                <c16:uniqueId val="{00000021-6E2F-4989-BBE2-A5B5B53324FC}"/>
              </c:ext>
            </c:extLst>
          </c:dPt>
          <c:dLbls>
            <c:spPr>
              <a:noFill/>
              <a:ln>
                <a:noFill/>
              </a:ln>
              <a:effectLst/>
            </c:spPr>
            <c:txPr>
              <a:bodyPr rot="0" spcFirstLastPara="1" vertOverflow="clip" horzOverflow="clip" vert="horz" wrap="square" lIns="0" tIns="0" rIns="0" bIns="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1"/>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xVal>
            <c:numRef>
              <c:f>MPR_Alliance!$L$14:$L$30</c:f>
              <c:numCache>
                <c:formatCode>0</c:formatCode>
                <c:ptCount val="17"/>
                <c:pt idx="0">
                  <c:v>0</c:v>
                </c:pt>
                <c:pt idx="1">
                  <c:v>0</c:v>
                </c:pt>
                <c:pt idx="2">
                  <c:v>0</c:v>
                </c:pt>
                <c:pt idx="3">
                  <c:v>0</c:v>
                </c:pt>
                <c:pt idx="4">
                  <c:v>1</c:v>
                </c:pt>
                <c:pt idx="5">
                  <c:v>1</c:v>
                </c:pt>
                <c:pt idx="6">
                  <c:v>1</c:v>
                </c:pt>
                <c:pt idx="7">
                  <c:v>1</c:v>
                </c:pt>
                <c:pt idx="8">
                  <c:v>2</c:v>
                </c:pt>
                <c:pt idx="9">
                  <c:v>2</c:v>
                </c:pt>
                <c:pt idx="10">
                  <c:v>2</c:v>
                </c:pt>
                <c:pt idx="11">
                  <c:v>2</c:v>
                </c:pt>
                <c:pt idx="12">
                  <c:v>3</c:v>
                </c:pt>
                <c:pt idx="13">
                  <c:v>3</c:v>
                </c:pt>
                <c:pt idx="14">
                  <c:v>3</c:v>
                </c:pt>
                <c:pt idx="15">
                  <c:v>3</c:v>
                </c:pt>
                <c:pt idx="16">
                  <c:v>5</c:v>
                </c:pt>
              </c:numCache>
            </c:numRef>
          </c:xVal>
          <c:yVal>
            <c:numRef>
              <c:f>MPR_Alliance!$M$14:$M$30</c:f>
              <c:numCache>
                <c:formatCode>0</c:formatCode>
                <c:ptCount val="17"/>
                <c:pt idx="0">
                  <c:v>0</c:v>
                </c:pt>
                <c:pt idx="1">
                  <c:v>1</c:v>
                </c:pt>
                <c:pt idx="2">
                  <c:v>2</c:v>
                </c:pt>
                <c:pt idx="3">
                  <c:v>3</c:v>
                </c:pt>
                <c:pt idx="4">
                  <c:v>0</c:v>
                </c:pt>
                <c:pt idx="5">
                  <c:v>1</c:v>
                </c:pt>
                <c:pt idx="6">
                  <c:v>2</c:v>
                </c:pt>
                <c:pt idx="7">
                  <c:v>3</c:v>
                </c:pt>
                <c:pt idx="8">
                  <c:v>0</c:v>
                </c:pt>
                <c:pt idx="9">
                  <c:v>1</c:v>
                </c:pt>
                <c:pt idx="10">
                  <c:v>2</c:v>
                </c:pt>
                <c:pt idx="11">
                  <c:v>3</c:v>
                </c:pt>
                <c:pt idx="12">
                  <c:v>0</c:v>
                </c:pt>
                <c:pt idx="13">
                  <c:v>1</c:v>
                </c:pt>
                <c:pt idx="14">
                  <c:v>2</c:v>
                </c:pt>
                <c:pt idx="15">
                  <c:v>3</c:v>
                </c:pt>
                <c:pt idx="16">
                  <c:v>5</c:v>
                </c:pt>
              </c:numCache>
            </c:numRef>
          </c:yVal>
          <c:bubbleSize>
            <c:numRef>
              <c:f>MPR_Alliance!$N$14:$N$30</c:f>
              <c:numCache>
                <c:formatCode>0.0</c:formatCode>
                <c:ptCount val="17"/>
                <c:pt idx="0">
                  <c:v>37.928571428571431</c:v>
                </c:pt>
                <c:pt idx="1">
                  <c:v>35.384615384615387</c:v>
                </c:pt>
                <c:pt idx="2">
                  <c:v>0</c:v>
                </c:pt>
                <c:pt idx="3">
                  <c:v>0</c:v>
                </c:pt>
                <c:pt idx="4">
                  <c:v>46.5</c:v>
                </c:pt>
                <c:pt idx="5">
                  <c:v>0</c:v>
                </c:pt>
                <c:pt idx="6">
                  <c:v>0</c:v>
                </c:pt>
                <c:pt idx="7">
                  <c:v>0</c:v>
                </c:pt>
                <c:pt idx="8">
                  <c:v>0</c:v>
                </c:pt>
                <c:pt idx="9">
                  <c:v>0</c:v>
                </c:pt>
                <c:pt idx="10">
                  <c:v>0</c:v>
                </c:pt>
                <c:pt idx="11">
                  <c:v>0</c:v>
                </c:pt>
                <c:pt idx="12">
                  <c:v>44.875</c:v>
                </c:pt>
                <c:pt idx="13">
                  <c:v>0</c:v>
                </c:pt>
                <c:pt idx="14">
                  <c:v>0</c:v>
                </c:pt>
                <c:pt idx="15">
                  <c:v>0</c:v>
                </c:pt>
                <c:pt idx="16">
                  <c:v>46.5</c:v>
                </c:pt>
              </c:numCache>
            </c:numRef>
          </c:bubbleSize>
          <c:bubble3D val="0"/>
          <c:extLst>
            <c:ext xmlns:c16="http://schemas.microsoft.com/office/drawing/2014/chart" uri="{C3380CC4-5D6E-409C-BE32-E72D297353CC}">
              <c16:uniqueId val="{00000000-1084-401C-9989-AB23BBC2EE33}"/>
            </c:ext>
          </c:extLst>
        </c:ser>
        <c:dLbls>
          <c:dLblPos val="r"/>
          <c:showLegendKey val="0"/>
          <c:showVal val="1"/>
          <c:showCatName val="0"/>
          <c:showSerName val="0"/>
          <c:showPercent val="0"/>
          <c:showBubbleSize val="0"/>
        </c:dLbls>
        <c:bubbleScale val="100"/>
        <c:showNegBubbles val="0"/>
        <c:sizeRepresents val="w"/>
        <c:axId val="404956072"/>
        <c:axId val="404952112"/>
      </c:bubbleChart>
      <c:valAx>
        <c:axId val="404956072"/>
        <c:scaling>
          <c:orientation val="minMax"/>
          <c:max val="4"/>
          <c:min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Defense Faced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52112"/>
        <c:crossesAt val="0"/>
        <c:crossBetween val="midCat"/>
      </c:valAx>
      <c:valAx>
        <c:axId val="404952112"/>
        <c:scaling>
          <c:orientation val="minMax"/>
          <c:max val="4"/>
          <c:min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Defense Played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56072"/>
        <c:crossesAt val="0"/>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Scoring vs Defense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1"/>
        <c:ser>
          <c:idx val="0"/>
          <c:order val="0"/>
          <c:tx>
            <c:strRef>
              <c:f>MPR_Alliance!$Q$13</c:f>
              <c:strCache>
                <c:ptCount val="1"/>
                <c:pt idx="0">
                  <c:v>Def</c:v>
                </c:pt>
              </c:strCache>
            </c:strRef>
          </c:tx>
          <c:spPr>
            <a:solidFill>
              <a:srgbClr val="29FF8A"/>
            </a:solidFill>
          </c:spPr>
          <c:invertIfNegative val="0"/>
          <c:dPt>
            <c:idx val="0"/>
            <c:invertIfNegative val="0"/>
            <c:bubble3D val="0"/>
            <c:spPr>
              <a:solidFill>
                <a:srgbClr val="29FF8A"/>
              </a:solidFill>
              <a:ln>
                <a:noFill/>
              </a:ln>
              <a:effectLst/>
            </c:spPr>
            <c:extLst>
              <c:ext xmlns:c16="http://schemas.microsoft.com/office/drawing/2014/chart" uri="{C3380CC4-5D6E-409C-BE32-E72D297353CC}">
                <c16:uniqueId val="{00000001-0A96-40C1-A1F9-6E2CB73532AB}"/>
              </c:ext>
            </c:extLst>
          </c:dPt>
          <c:dPt>
            <c:idx val="1"/>
            <c:invertIfNegative val="0"/>
            <c:bubble3D val="0"/>
            <c:spPr>
              <a:solidFill>
                <a:srgbClr val="29FF8A"/>
              </a:solidFill>
              <a:ln>
                <a:noFill/>
              </a:ln>
              <a:effectLst/>
            </c:spPr>
            <c:extLst>
              <c:ext xmlns:c16="http://schemas.microsoft.com/office/drawing/2014/chart" uri="{C3380CC4-5D6E-409C-BE32-E72D297353CC}">
                <c16:uniqueId val="{00000003-0A96-40C1-A1F9-6E2CB73532AB}"/>
              </c:ext>
            </c:extLst>
          </c:dPt>
          <c:dPt>
            <c:idx val="2"/>
            <c:invertIfNegative val="0"/>
            <c:bubble3D val="0"/>
            <c:spPr>
              <a:solidFill>
                <a:srgbClr val="29FF8A"/>
              </a:solidFill>
              <a:ln>
                <a:noFill/>
              </a:ln>
              <a:effectLst/>
            </c:spPr>
            <c:extLst>
              <c:ext xmlns:c16="http://schemas.microsoft.com/office/drawing/2014/chart" uri="{C3380CC4-5D6E-409C-BE32-E72D297353CC}">
                <c16:uniqueId val="{00000005-0A96-40C1-A1F9-6E2CB73532AB}"/>
              </c:ext>
            </c:extLst>
          </c:dPt>
          <c:dPt>
            <c:idx val="3"/>
            <c:invertIfNegative val="0"/>
            <c:bubble3D val="0"/>
            <c:spPr>
              <a:solidFill>
                <a:srgbClr val="29FF8A"/>
              </a:solidFill>
              <a:ln>
                <a:noFill/>
              </a:ln>
              <a:effectLst/>
            </c:spPr>
            <c:extLst>
              <c:ext xmlns:c16="http://schemas.microsoft.com/office/drawing/2014/chart" uri="{C3380CC4-5D6E-409C-BE32-E72D297353CC}">
                <c16:uniqueId val="{00000007-0A96-40C1-A1F9-6E2CB73532AB}"/>
              </c:ext>
            </c:extLst>
          </c:dPt>
          <c:dPt>
            <c:idx val="4"/>
            <c:invertIfNegative val="0"/>
            <c:bubble3D val="0"/>
            <c:spPr>
              <a:solidFill>
                <a:srgbClr val="29FF8A"/>
              </a:solidFill>
              <a:ln>
                <a:noFill/>
              </a:ln>
              <a:effectLst/>
            </c:spPr>
            <c:extLst>
              <c:ext xmlns:c16="http://schemas.microsoft.com/office/drawing/2014/chart" uri="{C3380CC4-5D6E-409C-BE32-E72D297353CC}">
                <c16:uniqueId val="{00000009-0A96-40C1-A1F9-6E2CB73532AB}"/>
              </c:ext>
            </c:extLst>
          </c:dPt>
          <c:dPt>
            <c:idx val="5"/>
            <c:invertIfNegative val="0"/>
            <c:bubble3D val="0"/>
            <c:spPr>
              <a:solidFill>
                <a:srgbClr val="29FF8A"/>
              </a:solidFill>
              <a:ln>
                <a:noFill/>
              </a:ln>
              <a:effectLst/>
            </c:spPr>
            <c:extLst>
              <c:ext xmlns:c16="http://schemas.microsoft.com/office/drawing/2014/chart" uri="{C3380CC4-5D6E-409C-BE32-E72D297353CC}">
                <c16:uniqueId val="{0000000B-0A96-40C1-A1F9-6E2CB73532AB}"/>
              </c:ext>
            </c:extLst>
          </c:dPt>
          <c:dPt>
            <c:idx val="6"/>
            <c:invertIfNegative val="0"/>
            <c:bubble3D val="0"/>
            <c:spPr>
              <a:solidFill>
                <a:srgbClr val="29FF8A"/>
              </a:solidFill>
              <a:ln>
                <a:noFill/>
              </a:ln>
              <a:effectLst/>
            </c:spPr>
            <c:extLst>
              <c:ext xmlns:c16="http://schemas.microsoft.com/office/drawing/2014/chart" uri="{C3380CC4-5D6E-409C-BE32-E72D297353CC}">
                <c16:uniqueId val="{0000000D-0A96-40C1-A1F9-6E2CB73532AB}"/>
              </c:ext>
            </c:extLst>
          </c:dPt>
          <c:dPt>
            <c:idx val="7"/>
            <c:invertIfNegative val="0"/>
            <c:bubble3D val="0"/>
            <c:spPr>
              <a:solidFill>
                <a:srgbClr val="29FF8A"/>
              </a:solidFill>
              <a:ln>
                <a:noFill/>
              </a:ln>
              <a:effectLst/>
            </c:spPr>
            <c:extLst>
              <c:ext xmlns:c16="http://schemas.microsoft.com/office/drawing/2014/chart" uri="{C3380CC4-5D6E-409C-BE32-E72D297353CC}">
                <c16:uniqueId val="{0000000F-0A96-40C1-A1F9-6E2CB73532AB}"/>
              </c:ext>
            </c:extLst>
          </c:dPt>
          <c:dPt>
            <c:idx val="8"/>
            <c:invertIfNegative val="0"/>
            <c:bubble3D val="0"/>
            <c:spPr>
              <a:solidFill>
                <a:srgbClr val="29FF8A"/>
              </a:solidFill>
              <a:ln>
                <a:noFill/>
              </a:ln>
              <a:effectLst/>
            </c:spPr>
            <c:extLst>
              <c:ext xmlns:c16="http://schemas.microsoft.com/office/drawing/2014/chart" uri="{C3380CC4-5D6E-409C-BE32-E72D297353CC}">
                <c16:uniqueId val="{00000011-0A96-40C1-A1F9-6E2CB73532AB}"/>
              </c:ext>
            </c:extLst>
          </c:dPt>
          <c:dPt>
            <c:idx val="9"/>
            <c:invertIfNegative val="0"/>
            <c:bubble3D val="0"/>
            <c:spPr>
              <a:solidFill>
                <a:srgbClr val="29FF8A"/>
              </a:solidFill>
              <a:ln>
                <a:noFill/>
              </a:ln>
              <a:effectLst/>
            </c:spPr>
            <c:extLst>
              <c:ext xmlns:c16="http://schemas.microsoft.com/office/drawing/2014/chart" uri="{C3380CC4-5D6E-409C-BE32-E72D297353CC}">
                <c16:uniqueId val="{00000013-0A96-40C1-A1F9-6E2CB73532AB}"/>
              </c:ext>
            </c:extLst>
          </c:dPt>
          <c:dPt>
            <c:idx val="10"/>
            <c:invertIfNegative val="0"/>
            <c:bubble3D val="0"/>
            <c:spPr>
              <a:solidFill>
                <a:srgbClr val="29FF8A"/>
              </a:solidFill>
              <a:ln>
                <a:noFill/>
              </a:ln>
              <a:effectLst/>
            </c:spPr>
            <c:extLst>
              <c:ext xmlns:c16="http://schemas.microsoft.com/office/drawing/2014/chart" uri="{C3380CC4-5D6E-409C-BE32-E72D297353CC}">
                <c16:uniqueId val="{00000015-0A96-40C1-A1F9-6E2CB73532AB}"/>
              </c:ext>
            </c:extLst>
          </c:dPt>
          <c:dPt>
            <c:idx val="11"/>
            <c:invertIfNegative val="0"/>
            <c:bubble3D val="0"/>
            <c:spPr>
              <a:solidFill>
                <a:srgbClr val="29FF8A"/>
              </a:solidFill>
              <a:ln>
                <a:noFill/>
              </a:ln>
              <a:effectLst/>
            </c:spPr>
            <c:extLst>
              <c:ext xmlns:c16="http://schemas.microsoft.com/office/drawing/2014/chart" uri="{C3380CC4-5D6E-409C-BE32-E72D297353CC}">
                <c16:uniqueId val="{00000017-0A96-40C1-A1F9-6E2CB73532AB}"/>
              </c:ext>
            </c:extLst>
          </c:dPt>
          <c:dPt>
            <c:idx val="12"/>
            <c:invertIfNegative val="0"/>
            <c:bubble3D val="0"/>
            <c:spPr>
              <a:solidFill>
                <a:srgbClr val="29FF8A"/>
              </a:solidFill>
              <a:ln>
                <a:noFill/>
              </a:ln>
              <a:effectLst/>
            </c:spPr>
            <c:extLst>
              <c:ext xmlns:c16="http://schemas.microsoft.com/office/drawing/2014/chart" uri="{C3380CC4-5D6E-409C-BE32-E72D297353CC}">
                <c16:uniqueId val="{00000019-0A96-40C1-A1F9-6E2CB73532AB}"/>
              </c:ext>
            </c:extLst>
          </c:dPt>
          <c:dPt>
            <c:idx val="13"/>
            <c:invertIfNegative val="0"/>
            <c:bubble3D val="0"/>
            <c:spPr>
              <a:solidFill>
                <a:srgbClr val="29FF8A"/>
              </a:solidFill>
              <a:ln>
                <a:noFill/>
              </a:ln>
              <a:effectLst/>
            </c:spPr>
            <c:extLst>
              <c:ext xmlns:c16="http://schemas.microsoft.com/office/drawing/2014/chart" uri="{C3380CC4-5D6E-409C-BE32-E72D297353CC}">
                <c16:uniqueId val="{0000001B-0A96-40C1-A1F9-6E2CB73532AB}"/>
              </c:ext>
            </c:extLst>
          </c:dPt>
          <c:dPt>
            <c:idx val="14"/>
            <c:invertIfNegative val="0"/>
            <c:bubble3D val="0"/>
            <c:spPr>
              <a:solidFill>
                <a:srgbClr val="29FF8A"/>
              </a:solidFill>
              <a:ln>
                <a:noFill/>
              </a:ln>
              <a:effectLst/>
            </c:spPr>
            <c:extLst>
              <c:ext xmlns:c16="http://schemas.microsoft.com/office/drawing/2014/chart" uri="{C3380CC4-5D6E-409C-BE32-E72D297353CC}">
                <c16:uniqueId val="{0000001D-0A96-40C1-A1F9-6E2CB73532AB}"/>
              </c:ext>
            </c:extLst>
          </c:dPt>
          <c:dPt>
            <c:idx val="15"/>
            <c:invertIfNegative val="0"/>
            <c:bubble3D val="0"/>
            <c:spPr>
              <a:solidFill>
                <a:srgbClr val="29FF8A"/>
              </a:solidFill>
              <a:ln>
                <a:noFill/>
              </a:ln>
              <a:effectLst/>
            </c:spPr>
            <c:extLst>
              <c:ext xmlns:c16="http://schemas.microsoft.com/office/drawing/2014/chart" uri="{C3380CC4-5D6E-409C-BE32-E72D297353CC}">
                <c16:uniqueId val="{0000001F-0A96-40C1-A1F9-6E2CB73532AB}"/>
              </c:ext>
            </c:extLst>
          </c:dPt>
          <c:dPt>
            <c:idx val="16"/>
            <c:invertIfNegative val="0"/>
            <c:bubble3D val="0"/>
            <c:spPr>
              <a:solidFill>
                <a:srgbClr val="29FF8A"/>
              </a:solidFill>
              <a:ln>
                <a:noFill/>
              </a:ln>
              <a:effectLst/>
            </c:spPr>
            <c:extLst>
              <c:ext xmlns:c16="http://schemas.microsoft.com/office/drawing/2014/chart" uri="{C3380CC4-5D6E-409C-BE32-E72D297353CC}">
                <c16:uniqueId val="{00000021-0A96-40C1-A1F9-6E2CB73532AB}"/>
              </c:ext>
            </c:extLst>
          </c:dPt>
          <c:dLbls>
            <c:spPr>
              <a:noFill/>
              <a:ln>
                <a:noFill/>
              </a:ln>
              <a:effectLst/>
            </c:spPr>
            <c:txPr>
              <a:bodyPr rot="0" spcFirstLastPara="1" vertOverflow="clip" horzOverflow="clip" vert="horz" wrap="square" lIns="0" tIns="0" rIns="0" bIns="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1"/>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xVal>
            <c:numRef>
              <c:f>MPR_Alliance!$P$14:$P$30</c:f>
              <c:numCache>
                <c:formatCode>0</c:formatCode>
                <c:ptCount val="17"/>
                <c:pt idx="0">
                  <c:v>0</c:v>
                </c:pt>
                <c:pt idx="1">
                  <c:v>0</c:v>
                </c:pt>
                <c:pt idx="2">
                  <c:v>0</c:v>
                </c:pt>
                <c:pt idx="3">
                  <c:v>0</c:v>
                </c:pt>
                <c:pt idx="4">
                  <c:v>1</c:v>
                </c:pt>
                <c:pt idx="5">
                  <c:v>1</c:v>
                </c:pt>
                <c:pt idx="6">
                  <c:v>1</c:v>
                </c:pt>
                <c:pt idx="7">
                  <c:v>1</c:v>
                </c:pt>
                <c:pt idx="8">
                  <c:v>2</c:v>
                </c:pt>
                <c:pt idx="9">
                  <c:v>2</c:v>
                </c:pt>
                <c:pt idx="10">
                  <c:v>2</c:v>
                </c:pt>
                <c:pt idx="11">
                  <c:v>2</c:v>
                </c:pt>
                <c:pt idx="12">
                  <c:v>3</c:v>
                </c:pt>
                <c:pt idx="13">
                  <c:v>3</c:v>
                </c:pt>
                <c:pt idx="14">
                  <c:v>3</c:v>
                </c:pt>
                <c:pt idx="15">
                  <c:v>3</c:v>
                </c:pt>
                <c:pt idx="16">
                  <c:v>5</c:v>
                </c:pt>
              </c:numCache>
            </c:numRef>
          </c:xVal>
          <c:yVal>
            <c:numRef>
              <c:f>MPR_Alliance!$Q$14:$Q$30</c:f>
              <c:numCache>
                <c:formatCode>0</c:formatCode>
                <c:ptCount val="17"/>
                <c:pt idx="0">
                  <c:v>0</c:v>
                </c:pt>
                <c:pt idx="1">
                  <c:v>1</c:v>
                </c:pt>
                <c:pt idx="2">
                  <c:v>2</c:v>
                </c:pt>
                <c:pt idx="3">
                  <c:v>3</c:v>
                </c:pt>
                <c:pt idx="4">
                  <c:v>0</c:v>
                </c:pt>
                <c:pt idx="5">
                  <c:v>1</c:v>
                </c:pt>
                <c:pt idx="6">
                  <c:v>2</c:v>
                </c:pt>
                <c:pt idx="7">
                  <c:v>3</c:v>
                </c:pt>
                <c:pt idx="8">
                  <c:v>0</c:v>
                </c:pt>
                <c:pt idx="9">
                  <c:v>1</c:v>
                </c:pt>
                <c:pt idx="10">
                  <c:v>2</c:v>
                </c:pt>
                <c:pt idx="11">
                  <c:v>3</c:v>
                </c:pt>
                <c:pt idx="12">
                  <c:v>0</c:v>
                </c:pt>
                <c:pt idx="13">
                  <c:v>1</c:v>
                </c:pt>
                <c:pt idx="14">
                  <c:v>2</c:v>
                </c:pt>
                <c:pt idx="15">
                  <c:v>3</c:v>
                </c:pt>
                <c:pt idx="16">
                  <c:v>5</c:v>
                </c:pt>
              </c:numCache>
            </c:numRef>
          </c:yVal>
          <c:bubbleSize>
            <c:numRef>
              <c:f>MPR_Alliance!$R$14:$R$30</c:f>
              <c:numCache>
                <c:formatCode>0.0</c:formatCode>
                <c:ptCount val="17"/>
                <c:pt idx="0">
                  <c:v>20.5</c:v>
                </c:pt>
                <c:pt idx="1">
                  <c:v>12.8</c:v>
                </c:pt>
                <c:pt idx="2">
                  <c:v>0</c:v>
                </c:pt>
                <c:pt idx="3">
                  <c:v>6</c:v>
                </c:pt>
                <c:pt idx="4">
                  <c:v>27.5</c:v>
                </c:pt>
                <c:pt idx="5">
                  <c:v>0</c:v>
                </c:pt>
                <c:pt idx="6">
                  <c:v>3</c:v>
                </c:pt>
                <c:pt idx="7">
                  <c:v>0</c:v>
                </c:pt>
                <c:pt idx="8">
                  <c:v>17.75</c:v>
                </c:pt>
                <c:pt idx="9">
                  <c:v>0</c:v>
                </c:pt>
                <c:pt idx="10">
                  <c:v>0</c:v>
                </c:pt>
                <c:pt idx="11">
                  <c:v>0</c:v>
                </c:pt>
                <c:pt idx="12">
                  <c:v>0</c:v>
                </c:pt>
                <c:pt idx="13">
                  <c:v>0</c:v>
                </c:pt>
                <c:pt idx="14">
                  <c:v>0</c:v>
                </c:pt>
                <c:pt idx="15">
                  <c:v>0</c:v>
                </c:pt>
                <c:pt idx="16">
                  <c:v>46.5</c:v>
                </c:pt>
              </c:numCache>
            </c:numRef>
          </c:bubbleSize>
          <c:bubble3D val="0"/>
          <c:extLst>
            <c:ext xmlns:c16="http://schemas.microsoft.com/office/drawing/2014/chart" uri="{C3380CC4-5D6E-409C-BE32-E72D297353CC}">
              <c16:uniqueId val="{00000000-9993-4A82-B146-0D3D82A7E4FC}"/>
            </c:ext>
          </c:extLst>
        </c:ser>
        <c:dLbls>
          <c:dLblPos val="r"/>
          <c:showLegendKey val="0"/>
          <c:showVal val="1"/>
          <c:showCatName val="0"/>
          <c:showSerName val="0"/>
          <c:showPercent val="0"/>
          <c:showBubbleSize val="0"/>
        </c:dLbls>
        <c:bubbleScale val="100"/>
        <c:showNegBubbles val="0"/>
        <c:sizeRepresents val="w"/>
        <c:axId val="404956072"/>
        <c:axId val="404952112"/>
      </c:bubbleChart>
      <c:valAx>
        <c:axId val="404956072"/>
        <c:scaling>
          <c:orientation val="minMax"/>
          <c:max val="4"/>
          <c:min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Defense Faced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52112"/>
        <c:crossesAt val="0"/>
        <c:crossBetween val="midCat"/>
      </c:valAx>
      <c:valAx>
        <c:axId val="404952112"/>
        <c:scaling>
          <c:orientation val="minMax"/>
          <c:max val="4"/>
          <c:min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Defense Played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56072"/>
        <c:crossesAt val="0"/>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Scoring vs Defense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MPR_Alliance!$U$13</c:f>
              <c:strCache>
                <c:ptCount val="1"/>
                <c:pt idx="0">
                  <c:v>Def</c:v>
                </c:pt>
              </c:strCache>
            </c:strRef>
          </c:tx>
          <c:spPr>
            <a:solidFill>
              <a:srgbClr val="29FF8A"/>
            </a:solidFill>
            <a:ln w="25400">
              <a:noFill/>
            </a:ln>
            <a:effectLst/>
          </c:spPr>
          <c:invertIfNegative val="0"/>
          <c:dLbls>
            <c:spPr>
              <a:noFill/>
              <a:ln>
                <a:noFill/>
              </a:ln>
              <a:effectLst/>
            </c:spPr>
            <c:txPr>
              <a:bodyPr rot="0" spcFirstLastPara="1" vertOverflow="clip" horzOverflow="clip" vert="horz" wrap="square" lIns="0" tIns="0" rIns="0" bIns="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1"/>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xVal>
            <c:numRef>
              <c:f>MPR_Alliance!$T$14:$T$30</c:f>
              <c:numCache>
                <c:formatCode>0</c:formatCode>
                <c:ptCount val="17"/>
                <c:pt idx="0">
                  <c:v>0</c:v>
                </c:pt>
                <c:pt idx="1">
                  <c:v>0</c:v>
                </c:pt>
                <c:pt idx="2">
                  <c:v>0</c:v>
                </c:pt>
                <c:pt idx="3">
                  <c:v>0</c:v>
                </c:pt>
                <c:pt idx="4">
                  <c:v>1</c:v>
                </c:pt>
                <c:pt idx="5">
                  <c:v>1</c:v>
                </c:pt>
                <c:pt idx="6">
                  <c:v>1</c:v>
                </c:pt>
                <c:pt idx="7">
                  <c:v>1</c:v>
                </c:pt>
                <c:pt idx="8">
                  <c:v>2</c:v>
                </c:pt>
                <c:pt idx="9">
                  <c:v>2</c:v>
                </c:pt>
                <c:pt idx="10">
                  <c:v>2</c:v>
                </c:pt>
                <c:pt idx="11">
                  <c:v>2</c:v>
                </c:pt>
                <c:pt idx="12">
                  <c:v>3</c:v>
                </c:pt>
                <c:pt idx="13">
                  <c:v>3</c:v>
                </c:pt>
                <c:pt idx="14">
                  <c:v>3</c:v>
                </c:pt>
                <c:pt idx="15">
                  <c:v>3</c:v>
                </c:pt>
                <c:pt idx="16">
                  <c:v>5</c:v>
                </c:pt>
              </c:numCache>
            </c:numRef>
          </c:xVal>
          <c:yVal>
            <c:numRef>
              <c:f>MPR_Alliance!$U$14:$U$30</c:f>
              <c:numCache>
                <c:formatCode>0</c:formatCode>
                <c:ptCount val="17"/>
                <c:pt idx="0">
                  <c:v>0</c:v>
                </c:pt>
                <c:pt idx="1">
                  <c:v>1</c:v>
                </c:pt>
                <c:pt idx="2">
                  <c:v>2</c:v>
                </c:pt>
                <c:pt idx="3">
                  <c:v>3</c:v>
                </c:pt>
                <c:pt idx="4">
                  <c:v>0</c:v>
                </c:pt>
                <c:pt idx="5">
                  <c:v>1</c:v>
                </c:pt>
                <c:pt idx="6">
                  <c:v>2</c:v>
                </c:pt>
                <c:pt idx="7">
                  <c:v>3</c:v>
                </c:pt>
                <c:pt idx="8">
                  <c:v>0</c:v>
                </c:pt>
                <c:pt idx="9">
                  <c:v>1</c:v>
                </c:pt>
                <c:pt idx="10">
                  <c:v>2</c:v>
                </c:pt>
                <c:pt idx="11">
                  <c:v>3</c:v>
                </c:pt>
                <c:pt idx="12">
                  <c:v>0</c:v>
                </c:pt>
                <c:pt idx="13">
                  <c:v>1</c:v>
                </c:pt>
                <c:pt idx="14">
                  <c:v>2</c:v>
                </c:pt>
                <c:pt idx="15">
                  <c:v>3</c:v>
                </c:pt>
                <c:pt idx="16">
                  <c:v>5</c:v>
                </c:pt>
              </c:numCache>
            </c:numRef>
          </c:yVal>
          <c:bubbleSize>
            <c:numRef>
              <c:f>MPR_Alliance!$V$14:$V$30</c:f>
              <c:numCache>
                <c:formatCode>0.0</c:formatCode>
                <c:ptCount val="17"/>
                <c:pt idx="0">
                  <c:v>8.0400000000000009</c:v>
                </c:pt>
                <c:pt idx="1">
                  <c:v>0</c:v>
                </c:pt>
                <c:pt idx="2">
                  <c:v>6</c:v>
                </c:pt>
                <c:pt idx="3">
                  <c:v>0</c:v>
                </c:pt>
                <c:pt idx="4">
                  <c:v>0</c:v>
                </c:pt>
                <c:pt idx="5">
                  <c:v>0</c:v>
                </c:pt>
                <c:pt idx="6">
                  <c:v>0</c:v>
                </c:pt>
                <c:pt idx="7">
                  <c:v>0</c:v>
                </c:pt>
                <c:pt idx="8">
                  <c:v>0</c:v>
                </c:pt>
                <c:pt idx="9">
                  <c:v>0</c:v>
                </c:pt>
                <c:pt idx="10">
                  <c:v>0</c:v>
                </c:pt>
                <c:pt idx="11">
                  <c:v>0</c:v>
                </c:pt>
                <c:pt idx="12">
                  <c:v>0</c:v>
                </c:pt>
                <c:pt idx="13">
                  <c:v>0</c:v>
                </c:pt>
                <c:pt idx="14">
                  <c:v>0</c:v>
                </c:pt>
                <c:pt idx="15">
                  <c:v>0</c:v>
                </c:pt>
                <c:pt idx="16">
                  <c:v>46.5</c:v>
                </c:pt>
              </c:numCache>
            </c:numRef>
          </c:bubbleSize>
          <c:bubble3D val="0"/>
          <c:extLst>
            <c:ext xmlns:c16="http://schemas.microsoft.com/office/drawing/2014/chart" uri="{C3380CC4-5D6E-409C-BE32-E72D297353CC}">
              <c16:uniqueId val="{00000000-2F09-426C-852C-BF5E51DFEDAC}"/>
            </c:ext>
          </c:extLst>
        </c:ser>
        <c:dLbls>
          <c:dLblPos val="r"/>
          <c:showLegendKey val="0"/>
          <c:showVal val="1"/>
          <c:showCatName val="0"/>
          <c:showSerName val="0"/>
          <c:showPercent val="0"/>
          <c:showBubbleSize val="0"/>
        </c:dLbls>
        <c:bubbleScale val="100"/>
        <c:showNegBubbles val="0"/>
        <c:sizeRepresents val="w"/>
        <c:axId val="404956072"/>
        <c:axId val="404952112"/>
      </c:bubbleChart>
      <c:valAx>
        <c:axId val="404956072"/>
        <c:scaling>
          <c:orientation val="minMax"/>
          <c:max val="4"/>
          <c:min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Defense Faced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52112"/>
        <c:crossesAt val="0"/>
        <c:crossBetween val="midCat"/>
      </c:valAx>
      <c:valAx>
        <c:axId val="404952112"/>
        <c:scaling>
          <c:orientation val="minMax"/>
          <c:max val="4"/>
          <c:min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Defense Played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56072"/>
        <c:crossesAt val="0"/>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Human Player at Amp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MPR_Alliance!$S$2</c:f>
              <c:strCache>
                <c:ptCount val="1"/>
                <c:pt idx="0">
                  <c:v>HPAmp</c:v>
                </c:pt>
              </c:strCache>
            </c:strRef>
          </c:tx>
          <c:spPr>
            <a:solidFill>
              <a:srgbClr val="29FF8A"/>
            </a:solidFill>
            <a:ln>
              <a:noFill/>
            </a:ln>
            <a:effectLst/>
          </c:spPr>
          <c:invertIfNegative val="0"/>
          <c:cat>
            <c:strRef>
              <c:f>MPR_Alliance!$R$3:$R$5</c:f>
              <c:strCache>
                <c:ptCount val="3"/>
                <c:pt idx="0">
                  <c:v>frc5993</c:v>
                </c:pt>
                <c:pt idx="1">
                  <c:v>frc1559</c:v>
                </c:pt>
                <c:pt idx="2">
                  <c:v>frc3173</c:v>
                </c:pt>
              </c:strCache>
            </c:strRef>
          </c:cat>
          <c:val>
            <c:numRef>
              <c:f>MPR_Alliance!$S$3:$S$5</c:f>
              <c:numCache>
                <c:formatCode>General</c:formatCode>
                <c:ptCount val="3"/>
                <c:pt idx="0">
                  <c:v>3</c:v>
                </c:pt>
                <c:pt idx="1">
                  <c:v>1</c:v>
                </c:pt>
                <c:pt idx="2">
                  <c:v>3</c:v>
                </c:pt>
              </c:numCache>
            </c:numRef>
          </c:val>
          <c:extLst>
            <c:ext xmlns:c16="http://schemas.microsoft.com/office/drawing/2014/chart" uri="{C3380CC4-5D6E-409C-BE32-E72D297353CC}">
              <c16:uniqueId val="{00000000-A3E3-481E-82CD-890B09215A99}"/>
            </c:ext>
          </c:extLst>
        </c:ser>
        <c:ser>
          <c:idx val="1"/>
          <c:order val="1"/>
          <c:tx>
            <c:strRef>
              <c:f>MPR_Alliance!$T$2</c:f>
              <c:strCache>
                <c:ptCount val="1"/>
                <c:pt idx="0">
                  <c:v>Mics</c:v>
                </c:pt>
              </c:strCache>
            </c:strRef>
          </c:tx>
          <c:spPr>
            <a:solidFill>
              <a:srgbClr val="C9A4E4"/>
            </a:solidFill>
            <a:ln>
              <a:noFill/>
            </a:ln>
            <a:effectLst/>
          </c:spPr>
          <c:invertIfNegative val="0"/>
          <c:cat>
            <c:strRef>
              <c:f>MPR_Alliance!$R$3:$R$5</c:f>
              <c:strCache>
                <c:ptCount val="3"/>
                <c:pt idx="0">
                  <c:v>frc5993</c:v>
                </c:pt>
                <c:pt idx="1">
                  <c:v>frc1559</c:v>
                </c:pt>
                <c:pt idx="2">
                  <c:v>frc3173</c:v>
                </c:pt>
              </c:strCache>
            </c:strRef>
          </c:cat>
          <c:val>
            <c:numRef>
              <c:f>MPR_Alliance!$T$3:$T$5</c:f>
              <c:numCache>
                <c:formatCode>General</c:formatCode>
                <c:ptCount val="3"/>
                <c:pt idx="0">
                  <c:v>0</c:v>
                </c:pt>
                <c:pt idx="1">
                  <c:v>0</c:v>
                </c:pt>
                <c:pt idx="2">
                  <c:v>1</c:v>
                </c:pt>
              </c:numCache>
            </c:numRef>
          </c:val>
          <c:extLst>
            <c:ext xmlns:c16="http://schemas.microsoft.com/office/drawing/2014/chart" uri="{C3380CC4-5D6E-409C-BE32-E72D297353CC}">
              <c16:uniqueId val="{00000001-A3E3-481E-82CD-890B09215A99}"/>
            </c:ext>
          </c:extLst>
        </c:ser>
        <c:dLbls>
          <c:showLegendKey val="0"/>
          <c:showVal val="0"/>
          <c:showCatName val="0"/>
          <c:showSerName val="0"/>
          <c:showPercent val="0"/>
          <c:showBubbleSize val="0"/>
        </c:dLbls>
        <c:gapWidth val="150"/>
        <c:overlap val="-27"/>
        <c:axId val="404929792"/>
        <c:axId val="404935912"/>
      </c:barChart>
      <c:catAx>
        <c:axId val="4049297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935912"/>
        <c:crosses val="autoZero"/>
        <c:auto val="1"/>
        <c:lblAlgn val="ctr"/>
        <c:lblOffset val="100"/>
        <c:noMultiLvlLbl val="0"/>
      </c:catAx>
      <c:valAx>
        <c:axId val="40493591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40492979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Note Deliveries per Match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MPR_Alliance!$X$2</c:f>
              <c:strCache>
                <c:ptCount val="1"/>
                <c:pt idx="0">
                  <c:v>Amp</c:v>
                </c:pt>
              </c:strCache>
            </c:strRef>
          </c:tx>
          <c:spPr>
            <a:solidFill>
              <a:srgbClr val="FFFF00"/>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MPR_Alliance!$W$3:$W$5</c:f>
              <c:strCache>
                <c:ptCount val="3"/>
                <c:pt idx="0">
                  <c:v>frc5993</c:v>
                </c:pt>
                <c:pt idx="1">
                  <c:v>frc1559</c:v>
                </c:pt>
                <c:pt idx="2">
                  <c:v>frc3173</c:v>
                </c:pt>
              </c:strCache>
            </c:strRef>
          </c:cat>
          <c:val>
            <c:numRef>
              <c:f>MPR_Alliance!$X$3:$X$5</c:f>
              <c:numCache>
                <c:formatCode>General</c:formatCode>
                <c:ptCount val="3"/>
                <c:pt idx="0">
                  <c:v>0.83333333333333337</c:v>
                </c:pt>
                <c:pt idx="1">
                  <c:v>0</c:v>
                </c:pt>
                <c:pt idx="2">
                  <c:v>5.2</c:v>
                </c:pt>
              </c:numCache>
            </c:numRef>
          </c:val>
          <c:extLst>
            <c:ext xmlns:c16="http://schemas.microsoft.com/office/drawing/2014/chart" uri="{C3380CC4-5D6E-409C-BE32-E72D297353CC}">
              <c16:uniqueId val="{00000000-5E34-4087-BB3F-8E8C28A4A61F}"/>
            </c:ext>
          </c:extLst>
        </c:ser>
        <c:ser>
          <c:idx val="1"/>
          <c:order val="1"/>
          <c:tx>
            <c:strRef>
              <c:f>MPR_Alliance!$Y$2</c:f>
              <c:strCache>
                <c:ptCount val="1"/>
                <c:pt idx="0">
                  <c:v>Speaker</c:v>
                </c:pt>
              </c:strCache>
            </c:strRef>
          </c:tx>
          <c:spPr>
            <a:solidFill>
              <a:srgbClr val="FFC000"/>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MPR_Alliance!$W$3:$W$5</c:f>
              <c:strCache>
                <c:ptCount val="3"/>
                <c:pt idx="0">
                  <c:v>frc5993</c:v>
                </c:pt>
                <c:pt idx="1">
                  <c:v>frc1559</c:v>
                </c:pt>
                <c:pt idx="2">
                  <c:v>frc3173</c:v>
                </c:pt>
              </c:strCache>
            </c:strRef>
          </c:cat>
          <c:val>
            <c:numRef>
              <c:f>MPR_Alliance!$Y$3:$Y$5</c:f>
              <c:numCache>
                <c:formatCode>General</c:formatCode>
                <c:ptCount val="3"/>
                <c:pt idx="0">
                  <c:v>1.4285714285714286</c:v>
                </c:pt>
                <c:pt idx="1">
                  <c:v>2.8095238095238093</c:v>
                </c:pt>
                <c:pt idx="2">
                  <c:v>7.3714285714285719</c:v>
                </c:pt>
              </c:numCache>
            </c:numRef>
          </c:val>
          <c:extLst>
            <c:ext xmlns:c16="http://schemas.microsoft.com/office/drawing/2014/chart" uri="{C3380CC4-5D6E-409C-BE32-E72D297353CC}">
              <c16:uniqueId val="{00000001-5E34-4087-BB3F-8E8C28A4A61F}"/>
            </c:ext>
          </c:extLst>
        </c:ser>
        <c:ser>
          <c:idx val="2"/>
          <c:order val="2"/>
          <c:tx>
            <c:strRef>
              <c:f>MPR_Alliance!$Z$2</c:f>
              <c:strCache>
                <c:ptCount val="1"/>
                <c:pt idx="0">
                  <c:v>Trap</c:v>
                </c:pt>
              </c:strCache>
            </c:strRef>
          </c:tx>
          <c:spPr>
            <a:solidFill>
              <a:srgbClr val="29FF8A"/>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MPR_Alliance!$W$3:$W$5</c:f>
              <c:strCache>
                <c:ptCount val="3"/>
                <c:pt idx="0">
                  <c:v>frc5993</c:v>
                </c:pt>
                <c:pt idx="1">
                  <c:v>frc1559</c:v>
                </c:pt>
                <c:pt idx="2">
                  <c:v>frc3173</c:v>
                </c:pt>
              </c:strCache>
            </c:strRef>
          </c:cat>
          <c:val>
            <c:numRef>
              <c:f>MPR_Alliance!$Z$3:$Z$5</c:f>
              <c:numCache>
                <c:formatCode>General</c:formatCode>
                <c:ptCount val="3"/>
                <c:pt idx="0">
                  <c:v>0</c:v>
                </c:pt>
                <c:pt idx="1">
                  <c:v>0</c:v>
                </c:pt>
                <c:pt idx="2">
                  <c:v>0</c:v>
                </c:pt>
              </c:numCache>
            </c:numRef>
          </c:val>
          <c:extLst>
            <c:ext xmlns:c16="http://schemas.microsoft.com/office/drawing/2014/chart" uri="{C3380CC4-5D6E-409C-BE32-E72D297353CC}">
              <c16:uniqueId val="{00000002-5E34-4087-BB3F-8E8C28A4A61F}"/>
            </c:ext>
          </c:extLst>
        </c:ser>
        <c:dLbls>
          <c:dLblPos val="ctr"/>
          <c:showLegendKey val="0"/>
          <c:showVal val="1"/>
          <c:showCatName val="0"/>
          <c:showSerName val="0"/>
          <c:showPercent val="0"/>
          <c:showBubbleSize val="0"/>
        </c:dLbls>
        <c:gapWidth val="150"/>
        <c:overlap val="100"/>
        <c:axId val="1213533928"/>
        <c:axId val="1213534288"/>
        <c:extLst>
          <c:ext xmlns:c15="http://schemas.microsoft.com/office/drawing/2012/chart" uri="{02D57815-91ED-43cb-92C2-25804820EDAC}">
            <c15:filteredBarSeries>
              <c15:ser>
                <c:idx val="3"/>
                <c:order val="3"/>
                <c:tx>
                  <c:strRef>
                    <c:extLst>
                      <c:ext uri="{02D57815-91ED-43cb-92C2-25804820EDAC}">
                        <c15:formulaRef>
                          <c15:sqref>MPR_Alliance!$AA$2</c15:sqref>
                        </c15:formulaRef>
                      </c:ext>
                    </c:extLst>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MPR_Alliance!$W$3:$W$5</c15:sqref>
                        </c15:formulaRef>
                      </c:ext>
                    </c:extLst>
                    <c:strCache>
                      <c:ptCount val="3"/>
                      <c:pt idx="0">
                        <c:v>frc5993</c:v>
                      </c:pt>
                      <c:pt idx="1">
                        <c:v>frc1559</c:v>
                      </c:pt>
                      <c:pt idx="2">
                        <c:v>frc3173</c:v>
                      </c:pt>
                    </c:strCache>
                  </c:strRef>
                </c:cat>
                <c:val>
                  <c:numRef>
                    <c:extLst>
                      <c:ext uri="{02D57815-91ED-43cb-92C2-25804820EDAC}">
                        <c15:formulaRef>
                          <c15:sqref>MPR_Alliance!$AA$3:$AA$5</c15:sqref>
                        </c15:formulaRef>
                      </c:ext>
                    </c:extLst>
                    <c:numCache>
                      <c:formatCode>General</c:formatCode>
                      <c:ptCount val="3"/>
                      <c:pt idx="0">
                        <c:v>2.2619047619047619</c:v>
                      </c:pt>
                      <c:pt idx="1">
                        <c:v>2.8095238095238093</c:v>
                      </c:pt>
                      <c:pt idx="2">
                        <c:v>12.571428571428573</c:v>
                      </c:pt>
                    </c:numCache>
                  </c:numRef>
                </c:val>
                <c:extLst>
                  <c:ext xmlns:c16="http://schemas.microsoft.com/office/drawing/2014/chart" uri="{C3380CC4-5D6E-409C-BE32-E72D297353CC}">
                    <c16:uniqueId val="{00000003-5E34-4087-BB3F-8E8C28A4A61F}"/>
                  </c:ext>
                </c:extLst>
              </c15:ser>
            </c15:filteredBarSeries>
          </c:ext>
        </c:extLst>
      </c:barChart>
      <c:catAx>
        <c:axId val="1213533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534288"/>
        <c:crosses val="autoZero"/>
        <c:auto val="1"/>
        <c:lblAlgn val="ctr"/>
        <c:lblOffset val="100"/>
        <c:noMultiLvlLbl val="0"/>
      </c:catAx>
      <c:valAx>
        <c:axId val="1213534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533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Note Deliveries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MPR_Alliance!$AD$2</c:f>
              <c:strCache>
                <c:ptCount val="1"/>
                <c:pt idx="0">
                  <c:v>frc5993</c:v>
                </c:pt>
              </c:strCache>
            </c:strRef>
          </c:tx>
          <c:spPr>
            <a:ln w="28575" cap="rnd">
              <a:solidFill>
                <a:schemeClr val="accent2"/>
              </a:solidFill>
              <a:round/>
            </a:ln>
            <a:effectLst/>
          </c:spPr>
          <c:marker>
            <c:symbol val="circle"/>
            <c:size val="5"/>
            <c:spPr>
              <a:solidFill>
                <a:srgbClr val="FFC000"/>
              </a:solidFill>
              <a:ln w="9525">
                <a:solidFill>
                  <a:srgbClr val="FFC000"/>
                </a:solidFill>
              </a:ln>
              <a:effectLst/>
            </c:spPr>
          </c:marker>
          <c:cat>
            <c:numRef>
              <c:f>[0]!Tr_Note_Match</c:f>
              <c:numCache>
                <c:formatCode>General</c:formatCode>
                <c:ptCount val="8"/>
                <c:pt idx="0">
                  <c:v>1</c:v>
                </c:pt>
                <c:pt idx="1">
                  <c:v>2</c:v>
                </c:pt>
                <c:pt idx="2">
                  <c:v>3</c:v>
                </c:pt>
                <c:pt idx="3">
                  <c:v>4</c:v>
                </c:pt>
                <c:pt idx="4">
                  <c:v>5</c:v>
                </c:pt>
                <c:pt idx="5">
                  <c:v>6</c:v>
                </c:pt>
                <c:pt idx="6">
                  <c:v>7</c:v>
                </c:pt>
                <c:pt idx="7">
                  <c:v>8</c:v>
                </c:pt>
              </c:numCache>
              <c:extLst xmlns:c15="http://schemas.microsoft.com/office/drawing/2012/chart"/>
            </c:numRef>
          </c:cat>
          <c:val>
            <c:numRef>
              <c:f>[0]!Tr_Note_Amp</c:f>
              <c:numCache>
                <c:formatCode>General</c:formatCode>
                <c:ptCount val="8"/>
                <c:pt idx="0">
                  <c:v>1</c:v>
                </c:pt>
                <c:pt idx="1">
                  <c:v>0</c:v>
                </c:pt>
                <c:pt idx="2">
                  <c:v>0</c:v>
                </c:pt>
                <c:pt idx="3">
                  <c:v>2</c:v>
                </c:pt>
                <c:pt idx="4">
                  <c:v>6</c:v>
                </c:pt>
                <c:pt idx="5">
                  <c:v>2</c:v>
                </c:pt>
                <c:pt idx="6">
                  <c:v>3</c:v>
                </c:pt>
                <c:pt idx="7">
                  <c:v>0</c:v>
                </c:pt>
              </c:numCache>
            </c:numRef>
          </c:val>
          <c:smooth val="0"/>
          <c:extLst>
            <c:ext xmlns:c16="http://schemas.microsoft.com/office/drawing/2014/chart" uri="{C3380CC4-5D6E-409C-BE32-E72D297353CC}">
              <c16:uniqueId val="{00000000-52A1-46F6-85DF-4F22685E4C0D}"/>
            </c:ext>
          </c:extLst>
        </c:ser>
        <c:ser>
          <c:idx val="2"/>
          <c:order val="1"/>
          <c:tx>
            <c:strRef>
              <c:f>MPR_Alliance!$AE$2</c:f>
              <c:strCache>
                <c:ptCount val="1"/>
                <c:pt idx="0">
                  <c:v>frc1559</c:v>
                </c:pt>
              </c:strCache>
            </c:strRef>
          </c:tx>
          <c:spPr>
            <a:ln w="28575" cap="rnd">
              <a:solidFill>
                <a:schemeClr val="accent3"/>
              </a:solidFill>
              <a:round/>
            </a:ln>
            <a:effectLst/>
          </c:spPr>
          <c:marker>
            <c:symbol val="circle"/>
            <c:size val="5"/>
            <c:spPr>
              <a:solidFill>
                <a:srgbClr val="29FF8A"/>
              </a:solidFill>
              <a:ln w="9525">
                <a:solidFill>
                  <a:srgbClr val="29FF8A"/>
                </a:solidFill>
              </a:ln>
              <a:effectLst/>
            </c:spPr>
          </c:marker>
          <c:cat>
            <c:numRef>
              <c:f>[0]!Tr_Note_Match</c:f>
              <c:numCache>
                <c:formatCode>General</c:formatCode>
                <c:ptCount val="8"/>
                <c:pt idx="0">
                  <c:v>1</c:v>
                </c:pt>
                <c:pt idx="1">
                  <c:v>2</c:v>
                </c:pt>
                <c:pt idx="2">
                  <c:v>3</c:v>
                </c:pt>
                <c:pt idx="3">
                  <c:v>4</c:v>
                </c:pt>
                <c:pt idx="4">
                  <c:v>5</c:v>
                </c:pt>
                <c:pt idx="5">
                  <c:v>6</c:v>
                </c:pt>
                <c:pt idx="6">
                  <c:v>7</c:v>
                </c:pt>
                <c:pt idx="7">
                  <c:v>8</c:v>
                </c:pt>
              </c:numCache>
              <c:extLst xmlns:c15="http://schemas.microsoft.com/office/drawing/2012/chart"/>
            </c:numRef>
          </c:cat>
          <c:val>
            <c:numRef>
              <c:f>[0]!Tr_Note_Center</c:f>
              <c:numCache>
                <c:formatCode>General</c:formatCode>
                <c:ptCount val="8"/>
                <c:pt idx="0">
                  <c:v>3</c:v>
                </c:pt>
                <c:pt idx="1">
                  <c:v>3</c:v>
                </c:pt>
                <c:pt idx="2">
                  <c:v>5</c:v>
                </c:pt>
                <c:pt idx="3">
                  <c:v>0</c:v>
                </c:pt>
                <c:pt idx="4">
                  <c:v>0</c:v>
                </c:pt>
                <c:pt idx="5">
                  <c:v>0</c:v>
                </c:pt>
                <c:pt idx="6">
                  <c:v>6</c:v>
                </c:pt>
                <c:pt idx="7">
                  <c:v>0</c:v>
                </c:pt>
              </c:numCache>
            </c:numRef>
          </c:val>
          <c:smooth val="0"/>
          <c:extLst>
            <c:ext xmlns:c16="http://schemas.microsoft.com/office/drawing/2014/chart" uri="{C3380CC4-5D6E-409C-BE32-E72D297353CC}">
              <c16:uniqueId val="{00000001-52A1-46F6-85DF-4F22685E4C0D}"/>
            </c:ext>
          </c:extLst>
        </c:ser>
        <c:ser>
          <c:idx val="3"/>
          <c:order val="2"/>
          <c:tx>
            <c:strRef>
              <c:f>MPR_Alliance!$AF$2</c:f>
              <c:strCache>
                <c:ptCount val="1"/>
                <c:pt idx="0">
                  <c:v>frc3173</c:v>
                </c:pt>
              </c:strCache>
            </c:strRef>
          </c:tx>
          <c:spPr>
            <a:ln w="28575" cap="rnd">
              <a:solidFill>
                <a:schemeClr val="accent4"/>
              </a:solidFill>
              <a:round/>
            </a:ln>
            <a:effectLst/>
          </c:spPr>
          <c:marker>
            <c:symbol val="circle"/>
            <c:size val="5"/>
            <c:spPr>
              <a:solidFill>
                <a:srgbClr val="FF00FF"/>
              </a:solidFill>
              <a:ln w="9525">
                <a:solidFill>
                  <a:srgbClr val="FF00FF"/>
                </a:solidFill>
              </a:ln>
              <a:effectLst/>
            </c:spPr>
          </c:marker>
          <c:cat>
            <c:numRef>
              <c:f>[0]!Tr_Note_Match</c:f>
              <c:numCache>
                <c:formatCode>General</c:formatCode>
                <c:ptCount val="8"/>
                <c:pt idx="0">
                  <c:v>1</c:v>
                </c:pt>
                <c:pt idx="1">
                  <c:v>2</c:v>
                </c:pt>
                <c:pt idx="2">
                  <c:v>3</c:v>
                </c:pt>
                <c:pt idx="3">
                  <c:v>4</c:v>
                </c:pt>
                <c:pt idx="4">
                  <c:v>5</c:v>
                </c:pt>
                <c:pt idx="5">
                  <c:v>6</c:v>
                </c:pt>
                <c:pt idx="6">
                  <c:v>7</c:v>
                </c:pt>
                <c:pt idx="7">
                  <c:v>8</c:v>
                </c:pt>
              </c:numCache>
              <c:extLst xmlns:c15="http://schemas.microsoft.com/office/drawing/2012/chart"/>
            </c:numRef>
          </c:cat>
          <c:val>
            <c:numRef>
              <c:f>[0]!Tr_Note_Source</c:f>
              <c:numCache>
                <c:formatCode>General</c:formatCode>
                <c:ptCount val="8"/>
                <c:pt idx="0">
                  <c:v>14</c:v>
                </c:pt>
                <c:pt idx="1">
                  <c:v>12</c:v>
                </c:pt>
                <c:pt idx="2">
                  <c:v>0</c:v>
                </c:pt>
                <c:pt idx="3">
                  <c:v>0</c:v>
                </c:pt>
                <c:pt idx="4">
                  <c:v>12</c:v>
                </c:pt>
                <c:pt idx="5">
                  <c:v>15</c:v>
                </c:pt>
                <c:pt idx="6">
                  <c:v>15</c:v>
                </c:pt>
                <c:pt idx="7">
                  <c:v>0</c:v>
                </c:pt>
              </c:numCache>
            </c:numRef>
          </c:val>
          <c:smooth val="0"/>
          <c:extLst>
            <c:ext xmlns:c16="http://schemas.microsoft.com/office/drawing/2014/chart" uri="{C3380CC4-5D6E-409C-BE32-E72D297353CC}">
              <c16:uniqueId val="{00000002-52A1-46F6-85DF-4F22685E4C0D}"/>
            </c:ext>
          </c:extLst>
        </c:ser>
        <c:dLbls>
          <c:showLegendKey val="0"/>
          <c:showVal val="0"/>
          <c:showCatName val="0"/>
          <c:showSerName val="0"/>
          <c:showPercent val="0"/>
          <c:showBubbleSize val="0"/>
        </c:dLbls>
        <c:marker val="1"/>
        <c:smooth val="0"/>
        <c:axId val="1451925976"/>
        <c:axId val="1451927056"/>
        <c:extLst/>
      </c:lineChart>
      <c:catAx>
        <c:axId val="1451925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927056"/>
        <c:crosses val="autoZero"/>
        <c:auto val="1"/>
        <c:lblAlgn val="ctr"/>
        <c:lblOffset val="100"/>
        <c:noMultiLvlLbl val="0"/>
      </c:catAx>
      <c:valAx>
        <c:axId val="1451927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925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Stage Points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MPR_Alliance!$AI$2</c:f>
              <c:strCache>
                <c:ptCount val="1"/>
                <c:pt idx="0">
                  <c:v>frc5993</c:v>
                </c:pt>
              </c:strCache>
            </c:strRef>
          </c:tx>
          <c:spPr>
            <a:ln w="28575" cap="rnd">
              <a:solidFill>
                <a:schemeClr val="accent3"/>
              </a:solidFill>
              <a:round/>
            </a:ln>
            <a:effectLst/>
          </c:spPr>
          <c:marker>
            <c:symbol val="circle"/>
            <c:size val="5"/>
            <c:spPr>
              <a:solidFill>
                <a:srgbClr val="FFC000"/>
              </a:solidFill>
              <a:ln w="9525">
                <a:solidFill>
                  <a:srgbClr val="FFC000"/>
                </a:solidFill>
              </a:ln>
              <a:effectLst/>
            </c:spPr>
          </c:marker>
          <c:cat>
            <c:numRef>
              <c:f>[0]!Tr_Stage_Match</c:f>
              <c:numCache>
                <c:formatCode>General</c:formatCode>
                <c:ptCount val="8"/>
                <c:pt idx="0">
                  <c:v>1</c:v>
                </c:pt>
                <c:pt idx="1">
                  <c:v>2</c:v>
                </c:pt>
                <c:pt idx="2">
                  <c:v>3</c:v>
                </c:pt>
                <c:pt idx="3">
                  <c:v>4</c:v>
                </c:pt>
                <c:pt idx="4">
                  <c:v>5</c:v>
                </c:pt>
                <c:pt idx="5">
                  <c:v>6</c:v>
                </c:pt>
                <c:pt idx="6">
                  <c:v>7</c:v>
                </c:pt>
                <c:pt idx="7">
                  <c:v>8</c:v>
                </c:pt>
              </c:numCache>
              <c:extLst xmlns:c15="http://schemas.microsoft.com/office/drawing/2012/chart"/>
            </c:numRef>
          </c:cat>
          <c:val>
            <c:numRef>
              <c:f>[0]!Tr_Stage_Amp</c:f>
              <c:numCache>
                <c:formatCode>General</c:formatCode>
                <c:ptCount val="8"/>
                <c:pt idx="0">
                  <c:v>1</c:v>
                </c:pt>
                <c:pt idx="1">
                  <c:v>1</c:v>
                </c:pt>
                <c:pt idx="2">
                  <c:v>0</c:v>
                </c:pt>
                <c:pt idx="3">
                  <c:v>3</c:v>
                </c:pt>
                <c:pt idx="4">
                  <c:v>1</c:v>
                </c:pt>
                <c:pt idx="5">
                  <c:v>1</c:v>
                </c:pt>
                <c:pt idx="6">
                  <c:v>1</c:v>
                </c:pt>
                <c:pt idx="7">
                  <c:v>0</c:v>
                </c:pt>
              </c:numCache>
            </c:numRef>
          </c:val>
          <c:smooth val="0"/>
          <c:extLst>
            <c:ext xmlns:c16="http://schemas.microsoft.com/office/drawing/2014/chart" uri="{C3380CC4-5D6E-409C-BE32-E72D297353CC}">
              <c16:uniqueId val="{00000004-49A9-4CAE-B7D4-B8A532C7CF60}"/>
            </c:ext>
          </c:extLst>
        </c:ser>
        <c:ser>
          <c:idx val="1"/>
          <c:order val="1"/>
          <c:tx>
            <c:strRef>
              <c:f>MPR_Alliance!$AJ$2</c:f>
              <c:strCache>
                <c:ptCount val="1"/>
                <c:pt idx="0">
                  <c:v>frc1559</c:v>
                </c:pt>
              </c:strCache>
            </c:strRef>
          </c:tx>
          <c:spPr>
            <a:ln w="28575" cap="rnd">
              <a:solidFill>
                <a:schemeClr val="accent2"/>
              </a:solidFill>
              <a:round/>
            </a:ln>
            <a:effectLst/>
          </c:spPr>
          <c:marker>
            <c:symbol val="circle"/>
            <c:size val="5"/>
            <c:spPr>
              <a:solidFill>
                <a:srgbClr val="29FF8A"/>
              </a:solidFill>
              <a:ln w="9525">
                <a:solidFill>
                  <a:srgbClr val="29FF8A"/>
                </a:solidFill>
              </a:ln>
              <a:effectLst/>
            </c:spPr>
          </c:marker>
          <c:cat>
            <c:numRef>
              <c:f>[0]!Tr_Stage_Match</c:f>
              <c:numCache>
                <c:formatCode>General</c:formatCode>
                <c:ptCount val="8"/>
                <c:pt idx="0">
                  <c:v>1</c:v>
                </c:pt>
                <c:pt idx="1">
                  <c:v>2</c:v>
                </c:pt>
                <c:pt idx="2">
                  <c:v>3</c:v>
                </c:pt>
                <c:pt idx="3">
                  <c:v>4</c:v>
                </c:pt>
                <c:pt idx="4">
                  <c:v>5</c:v>
                </c:pt>
                <c:pt idx="5">
                  <c:v>6</c:v>
                </c:pt>
                <c:pt idx="6">
                  <c:v>7</c:v>
                </c:pt>
                <c:pt idx="7">
                  <c:v>8</c:v>
                </c:pt>
              </c:numCache>
              <c:extLst xmlns:c15="http://schemas.microsoft.com/office/drawing/2012/chart"/>
            </c:numRef>
          </c:cat>
          <c:val>
            <c:numRef>
              <c:f>[0]!Tr_Stage_Center</c:f>
              <c:numCache>
                <c:formatCode>General</c:formatCode>
                <c:ptCount val="8"/>
                <c:pt idx="0">
                  <c:v>3</c:v>
                </c:pt>
                <c:pt idx="1">
                  <c:v>3</c:v>
                </c:pt>
                <c:pt idx="2">
                  <c:v>3</c:v>
                </c:pt>
                <c:pt idx="3">
                  <c:v>0</c:v>
                </c:pt>
                <c:pt idx="4">
                  <c:v>4</c:v>
                </c:pt>
                <c:pt idx="5">
                  <c:v>3</c:v>
                </c:pt>
                <c:pt idx="6">
                  <c:v>3</c:v>
                </c:pt>
                <c:pt idx="7">
                  <c:v>0</c:v>
                </c:pt>
              </c:numCache>
            </c:numRef>
          </c:val>
          <c:smooth val="0"/>
          <c:extLst>
            <c:ext xmlns:c16="http://schemas.microsoft.com/office/drawing/2014/chart" uri="{C3380CC4-5D6E-409C-BE32-E72D297353CC}">
              <c16:uniqueId val="{00000003-49A9-4CAE-B7D4-B8A532C7CF60}"/>
            </c:ext>
          </c:extLst>
        </c:ser>
        <c:ser>
          <c:idx val="0"/>
          <c:order val="2"/>
          <c:tx>
            <c:strRef>
              <c:f>MPR_Alliance!$AK$2</c:f>
              <c:strCache>
                <c:ptCount val="1"/>
                <c:pt idx="0">
                  <c:v>frc3173</c:v>
                </c:pt>
              </c:strCache>
            </c:strRef>
          </c:tx>
          <c:spPr>
            <a:ln w="28575" cap="rnd">
              <a:solidFill>
                <a:schemeClr val="accent1"/>
              </a:solidFill>
              <a:round/>
            </a:ln>
            <a:effectLst/>
          </c:spPr>
          <c:marker>
            <c:symbol val="circle"/>
            <c:size val="5"/>
            <c:spPr>
              <a:solidFill>
                <a:srgbClr val="FF00FF"/>
              </a:solidFill>
              <a:ln w="9525">
                <a:solidFill>
                  <a:srgbClr val="FF00FF"/>
                </a:solidFill>
              </a:ln>
              <a:effectLst/>
            </c:spPr>
          </c:marker>
          <c:cat>
            <c:numRef>
              <c:f>[0]!Tr_Stage_Match</c:f>
              <c:numCache>
                <c:formatCode>General</c:formatCode>
                <c:ptCount val="8"/>
                <c:pt idx="0">
                  <c:v>1</c:v>
                </c:pt>
                <c:pt idx="1">
                  <c:v>2</c:v>
                </c:pt>
                <c:pt idx="2">
                  <c:v>3</c:v>
                </c:pt>
                <c:pt idx="3">
                  <c:v>4</c:v>
                </c:pt>
                <c:pt idx="4">
                  <c:v>5</c:v>
                </c:pt>
                <c:pt idx="5">
                  <c:v>6</c:v>
                </c:pt>
                <c:pt idx="6">
                  <c:v>7</c:v>
                </c:pt>
                <c:pt idx="7">
                  <c:v>8</c:v>
                </c:pt>
              </c:numCache>
              <c:extLst xmlns:c15="http://schemas.microsoft.com/office/drawing/2012/chart"/>
            </c:numRef>
          </c:cat>
          <c:val>
            <c:numRef>
              <c:f>[0]!Tr_Stage_Source</c:f>
              <c:numCache>
                <c:formatCode>General</c:formatCode>
                <c:ptCount val="8"/>
                <c:pt idx="0">
                  <c:v>1</c:v>
                </c:pt>
                <c:pt idx="1">
                  <c:v>0</c:v>
                </c:pt>
                <c:pt idx="2">
                  <c:v>0</c:v>
                </c:pt>
                <c:pt idx="3">
                  <c:v>0</c:v>
                </c:pt>
                <c:pt idx="4">
                  <c:v>1</c:v>
                </c:pt>
                <c:pt idx="5">
                  <c:v>1</c:v>
                </c:pt>
                <c:pt idx="6">
                  <c:v>1</c:v>
                </c:pt>
                <c:pt idx="7">
                  <c:v>0</c:v>
                </c:pt>
              </c:numCache>
            </c:numRef>
          </c:val>
          <c:smooth val="0"/>
          <c:extLst>
            <c:ext xmlns:c16="http://schemas.microsoft.com/office/drawing/2014/chart" uri="{C3380CC4-5D6E-409C-BE32-E72D297353CC}">
              <c16:uniqueId val="{00000002-49A9-4CAE-B7D4-B8A532C7CF60}"/>
            </c:ext>
          </c:extLst>
        </c:ser>
        <c:dLbls>
          <c:showLegendKey val="0"/>
          <c:showVal val="0"/>
          <c:showCatName val="0"/>
          <c:showSerName val="0"/>
          <c:showPercent val="0"/>
          <c:showBubbleSize val="0"/>
        </c:dLbls>
        <c:marker val="1"/>
        <c:smooth val="0"/>
        <c:axId val="675128184"/>
        <c:axId val="675129984"/>
      </c:lineChart>
      <c:catAx>
        <c:axId val="675128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29984"/>
        <c:crosses val="autoZero"/>
        <c:auto val="1"/>
        <c:lblAlgn val="ctr"/>
        <c:lblOffset val="100"/>
        <c:noMultiLvlLbl val="0"/>
      </c:catAx>
      <c:valAx>
        <c:axId val="675129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28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Autonomous Deliveries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Thresholds</c:v>
          </c:tx>
          <c:dPt>
            <c:idx val="0"/>
            <c:bubble3D val="0"/>
            <c:spPr>
              <a:solidFill>
                <a:srgbClr val="FF0000"/>
              </a:solidFill>
              <a:ln>
                <a:noFill/>
              </a:ln>
              <a:effectLst/>
            </c:spPr>
            <c:extLst>
              <c:ext xmlns:c16="http://schemas.microsoft.com/office/drawing/2014/chart" uri="{C3380CC4-5D6E-409C-BE32-E72D297353CC}">
                <c16:uniqueId val="{00000001-9E70-4F0B-A19E-45639DBFED47}"/>
              </c:ext>
            </c:extLst>
          </c:dPt>
          <c:dPt>
            <c:idx val="1"/>
            <c:bubble3D val="0"/>
            <c:spPr>
              <a:solidFill>
                <a:srgbClr val="FFFF00"/>
              </a:solidFill>
              <a:ln>
                <a:noFill/>
              </a:ln>
              <a:effectLst/>
            </c:spPr>
            <c:extLst>
              <c:ext xmlns:c16="http://schemas.microsoft.com/office/drawing/2014/chart" uri="{C3380CC4-5D6E-409C-BE32-E72D297353CC}">
                <c16:uniqueId val="{00000003-9E70-4F0B-A19E-45639DBFED47}"/>
              </c:ext>
            </c:extLst>
          </c:dPt>
          <c:dPt>
            <c:idx val="2"/>
            <c:bubble3D val="0"/>
            <c:spPr>
              <a:solidFill>
                <a:srgbClr val="00B050"/>
              </a:solidFill>
              <a:ln>
                <a:noFill/>
              </a:ln>
              <a:effectLst/>
            </c:spPr>
            <c:extLst>
              <c:ext xmlns:c16="http://schemas.microsoft.com/office/drawing/2014/chart" uri="{C3380CC4-5D6E-409C-BE32-E72D297353CC}">
                <c16:uniqueId val="{00000005-9E70-4F0B-A19E-45639DBFED47}"/>
              </c:ext>
            </c:extLst>
          </c:dPt>
          <c:dPt>
            <c:idx val="3"/>
            <c:bubble3D val="0"/>
            <c:spPr>
              <a:solidFill>
                <a:srgbClr val="00B050"/>
              </a:solidFill>
              <a:ln>
                <a:noFill/>
              </a:ln>
              <a:effectLst/>
            </c:spPr>
            <c:extLst>
              <c:ext xmlns:c16="http://schemas.microsoft.com/office/drawing/2014/chart" uri="{C3380CC4-5D6E-409C-BE32-E72D297353CC}">
                <c16:uniqueId val="{00000007-9E70-4F0B-A19E-45639DBFED47}"/>
              </c:ext>
            </c:extLst>
          </c:dPt>
          <c:dPt>
            <c:idx val="4"/>
            <c:bubble3D val="0"/>
            <c:spPr>
              <a:solidFill>
                <a:srgbClr val="FFFF00"/>
              </a:solidFill>
              <a:ln>
                <a:noFill/>
              </a:ln>
              <a:effectLst/>
            </c:spPr>
            <c:extLst>
              <c:ext xmlns:c16="http://schemas.microsoft.com/office/drawing/2014/chart" uri="{C3380CC4-5D6E-409C-BE32-E72D297353CC}">
                <c16:uniqueId val="{00000009-9E70-4F0B-A19E-45639DBFED47}"/>
              </c:ext>
            </c:extLst>
          </c:dPt>
          <c:dPt>
            <c:idx val="5"/>
            <c:bubble3D val="0"/>
            <c:spPr>
              <a:solidFill>
                <a:srgbClr val="FF0000"/>
              </a:solidFill>
              <a:ln>
                <a:noFill/>
              </a:ln>
              <a:effectLst/>
            </c:spPr>
            <c:extLst>
              <c:ext xmlns:c16="http://schemas.microsoft.com/office/drawing/2014/chart" uri="{C3380CC4-5D6E-409C-BE32-E72D297353CC}">
                <c16:uniqueId val="{0000000B-9E70-4F0B-A19E-45639DBFED47}"/>
              </c:ext>
            </c:extLst>
          </c:dPt>
          <c:val>
            <c:numRef>
              <c:f>MPR_Auto!$B$10:$B$15</c:f>
              <c:numCache>
                <c:formatCode>General</c:formatCode>
                <c:ptCount val="6"/>
                <c:pt idx="0">
                  <c:v>25</c:v>
                </c:pt>
                <c:pt idx="1">
                  <c:v>50</c:v>
                </c:pt>
                <c:pt idx="2">
                  <c:v>25</c:v>
                </c:pt>
                <c:pt idx="3">
                  <c:v>25</c:v>
                </c:pt>
                <c:pt idx="4">
                  <c:v>50</c:v>
                </c:pt>
                <c:pt idx="5">
                  <c:v>25</c:v>
                </c:pt>
              </c:numCache>
            </c:numRef>
          </c:val>
          <c:extLst>
            <c:ext xmlns:c16="http://schemas.microsoft.com/office/drawing/2014/chart" uri="{C3380CC4-5D6E-409C-BE32-E72D297353CC}">
              <c16:uniqueId val="{0000000C-9E70-4F0B-A19E-45639DBFED47}"/>
            </c:ext>
          </c:extLst>
        </c:ser>
        <c:dLbls>
          <c:showLegendKey val="0"/>
          <c:showVal val="0"/>
          <c:showCatName val="0"/>
          <c:showSerName val="0"/>
          <c:showPercent val="0"/>
          <c:showBubbleSize val="0"/>
          <c:showLeaderLines val="1"/>
        </c:dLbls>
        <c:firstSliceAng val="180"/>
        <c:holeSize val="75"/>
      </c:doughnutChart>
      <c:pieChart>
        <c:varyColors val="1"/>
        <c:ser>
          <c:idx val="1"/>
          <c:order val="1"/>
          <c:tx>
            <c:v>Amp</c:v>
          </c:tx>
          <c:dPt>
            <c:idx val="0"/>
            <c:bubble3D val="0"/>
            <c:spPr>
              <a:noFill/>
              <a:ln>
                <a:noFill/>
              </a:ln>
              <a:effectLst/>
            </c:spPr>
            <c:extLst>
              <c:ext xmlns:c16="http://schemas.microsoft.com/office/drawing/2014/chart" uri="{C3380CC4-5D6E-409C-BE32-E72D297353CC}">
                <c16:uniqueId val="{0000000E-9E70-4F0B-A19E-45639DBFED47}"/>
              </c:ext>
            </c:extLst>
          </c:dPt>
          <c:dPt>
            <c:idx val="1"/>
            <c:bubble3D val="0"/>
            <c:spPr>
              <a:solidFill>
                <a:schemeClr val="tx1"/>
              </a:solidFill>
              <a:ln>
                <a:noFill/>
              </a:ln>
              <a:effectLst/>
            </c:spPr>
            <c:extLst>
              <c:ext xmlns:c16="http://schemas.microsoft.com/office/drawing/2014/chart" uri="{C3380CC4-5D6E-409C-BE32-E72D297353CC}">
                <c16:uniqueId val="{00000010-9E70-4F0B-A19E-45639DBFED47}"/>
              </c:ext>
            </c:extLst>
          </c:dPt>
          <c:dPt>
            <c:idx val="2"/>
            <c:bubble3D val="0"/>
            <c:spPr>
              <a:noFill/>
              <a:ln>
                <a:noFill/>
              </a:ln>
              <a:effectLst/>
            </c:spPr>
            <c:extLst>
              <c:ext xmlns:c16="http://schemas.microsoft.com/office/drawing/2014/chart" uri="{C3380CC4-5D6E-409C-BE32-E72D297353CC}">
                <c16:uniqueId val="{00000012-9E70-4F0B-A19E-45639DBFED47}"/>
              </c:ext>
            </c:extLst>
          </c:dPt>
          <c:val>
            <c:numRef>
              <c:f>MPR_Auto!$C$10:$C$12</c:f>
              <c:numCache>
                <c:formatCode>General</c:formatCode>
                <c:ptCount val="3"/>
                <c:pt idx="0">
                  <c:v>-1.5</c:v>
                </c:pt>
                <c:pt idx="1">
                  <c:v>1.5</c:v>
                </c:pt>
                <c:pt idx="2">
                  <c:v>100</c:v>
                </c:pt>
              </c:numCache>
            </c:numRef>
          </c:val>
          <c:extLst>
            <c:ext xmlns:c16="http://schemas.microsoft.com/office/drawing/2014/chart" uri="{C3380CC4-5D6E-409C-BE32-E72D297353CC}">
              <c16:uniqueId val="{00000013-9E70-4F0B-A19E-45639DBFED47}"/>
            </c:ext>
          </c:extLst>
        </c:ser>
        <c:dLbls>
          <c:showLegendKey val="0"/>
          <c:showVal val="0"/>
          <c:showCatName val="0"/>
          <c:showSerName val="0"/>
          <c:showPercent val="0"/>
          <c:showBubbleSize val="0"/>
          <c:showLeaderLines val="1"/>
        </c:dLbls>
        <c:firstSliceAng val="180"/>
        <c:extLst/>
      </c:pieChart>
      <c:pieChart>
        <c:varyColors val="1"/>
        <c:ser>
          <c:idx val="3"/>
          <c:order val="2"/>
          <c:tx>
            <c:v>Speaker</c:v>
          </c:tx>
          <c:dPt>
            <c:idx val="0"/>
            <c:bubble3D val="0"/>
            <c:explosion val="3"/>
            <c:spPr>
              <a:noFill/>
              <a:ln>
                <a:noFill/>
              </a:ln>
              <a:effectLst/>
            </c:spPr>
            <c:extLst>
              <c:ext xmlns:c16="http://schemas.microsoft.com/office/drawing/2014/chart" uri="{C3380CC4-5D6E-409C-BE32-E72D297353CC}">
                <c16:uniqueId val="{00000015-9E70-4F0B-A19E-45639DBFED47}"/>
              </c:ext>
            </c:extLst>
          </c:dPt>
          <c:dPt>
            <c:idx val="1"/>
            <c:bubble3D val="0"/>
            <c:spPr>
              <a:solidFill>
                <a:srgbClr val="FFC000"/>
              </a:solidFill>
              <a:ln>
                <a:noFill/>
              </a:ln>
              <a:effectLst/>
            </c:spPr>
            <c:extLst>
              <c:ext xmlns:c16="http://schemas.microsoft.com/office/drawing/2014/chart" uri="{C3380CC4-5D6E-409C-BE32-E72D297353CC}">
                <c16:uniqueId val="{00000017-9E70-4F0B-A19E-45639DBFED47}"/>
              </c:ext>
            </c:extLst>
          </c:dPt>
          <c:dPt>
            <c:idx val="2"/>
            <c:bubble3D val="0"/>
            <c:spPr>
              <a:noFill/>
              <a:ln>
                <a:noFill/>
              </a:ln>
              <a:effectLst/>
            </c:spPr>
            <c:extLst>
              <c:ext xmlns:c16="http://schemas.microsoft.com/office/drawing/2014/chart" uri="{C3380CC4-5D6E-409C-BE32-E72D297353CC}">
                <c16:uniqueId val="{00000019-9E70-4F0B-A19E-45639DBFED47}"/>
              </c:ext>
            </c:extLst>
          </c:dPt>
          <c:val>
            <c:numRef>
              <c:f>MPR_Auto!$D$10:$D$12</c:f>
              <c:numCache>
                <c:formatCode>General</c:formatCode>
                <c:ptCount val="3"/>
                <c:pt idx="0">
                  <c:v>93.166666666666671</c:v>
                </c:pt>
                <c:pt idx="1">
                  <c:v>1.5</c:v>
                </c:pt>
                <c:pt idx="2">
                  <c:v>6.8333333333333339</c:v>
                </c:pt>
              </c:numCache>
            </c:numRef>
          </c:val>
          <c:extLst>
            <c:ext xmlns:c16="http://schemas.microsoft.com/office/drawing/2014/chart" uri="{C3380CC4-5D6E-409C-BE32-E72D297353CC}">
              <c16:uniqueId val="{0000001A-9E70-4F0B-A19E-45639DBFED47}"/>
            </c:ext>
          </c:extLst>
        </c:ser>
        <c:dLbls>
          <c:showLegendKey val="0"/>
          <c:showVal val="0"/>
          <c:showCatName val="0"/>
          <c:showSerName val="0"/>
          <c:showPercent val="0"/>
          <c:showBubbleSize val="0"/>
          <c:showLeaderLines val="1"/>
        </c:dLbls>
        <c:firstSliceAng val="18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Autonomous Deliveries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Thresholds</c:v>
          </c:tx>
          <c:dPt>
            <c:idx val="0"/>
            <c:bubble3D val="0"/>
            <c:spPr>
              <a:solidFill>
                <a:srgbClr val="FF0000"/>
              </a:solidFill>
              <a:ln>
                <a:noFill/>
              </a:ln>
              <a:effectLst/>
            </c:spPr>
            <c:extLst>
              <c:ext xmlns:c16="http://schemas.microsoft.com/office/drawing/2014/chart" uri="{C3380CC4-5D6E-409C-BE32-E72D297353CC}">
                <c16:uniqueId val="{00000001-2E23-4E2F-B2DC-2E014514CD82}"/>
              </c:ext>
            </c:extLst>
          </c:dPt>
          <c:dPt>
            <c:idx val="1"/>
            <c:bubble3D val="0"/>
            <c:spPr>
              <a:solidFill>
                <a:srgbClr val="FFFF00"/>
              </a:solidFill>
              <a:ln>
                <a:noFill/>
              </a:ln>
              <a:effectLst/>
            </c:spPr>
            <c:extLst>
              <c:ext xmlns:c16="http://schemas.microsoft.com/office/drawing/2014/chart" uri="{C3380CC4-5D6E-409C-BE32-E72D297353CC}">
                <c16:uniqueId val="{00000003-2E23-4E2F-B2DC-2E014514CD82}"/>
              </c:ext>
            </c:extLst>
          </c:dPt>
          <c:dPt>
            <c:idx val="2"/>
            <c:bubble3D val="0"/>
            <c:spPr>
              <a:solidFill>
                <a:srgbClr val="00B050"/>
              </a:solidFill>
              <a:ln>
                <a:noFill/>
              </a:ln>
              <a:effectLst/>
            </c:spPr>
            <c:extLst>
              <c:ext xmlns:c16="http://schemas.microsoft.com/office/drawing/2014/chart" uri="{C3380CC4-5D6E-409C-BE32-E72D297353CC}">
                <c16:uniqueId val="{00000005-2E23-4E2F-B2DC-2E014514CD82}"/>
              </c:ext>
            </c:extLst>
          </c:dPt>
          <c:dPt>
            <c:idx val="3"/>
            <c:bubble3D val="0"/>
            <c:spPr>
              <a:solidFill>
                <a:srgbClr val="00B050"/>
              </a:solidFill>
              <a:ln>
                <a:noFill/>
              </a:ln>
              <a:effectLst/>
            </c:spPr>
            <c:extLst>
              <c:ext xmlns:c16="http://schemas.microsoft.com/office/drawing/2014/chart" uri="{C3380CC4-5D6E-409C-BE32-E72D297353CC}">
                <c16:uniqueId val="{00000007-2E23-4E2F-B2DC-2E014514CD82}"/>
              </c:ext>
            </c:extLst>
          </c:dPt>
          <c:dPt>
            <c:idx val="4"/>
            <c:bubble3D val="0"/>
            <c:spPr>
              <a:solidFill>
                <a:srgbClr val="FFFF00"/>
              </a:solidFill>
              <a:ln>
                <a:noFill/>
              </a:ln>
              <a:effectLst/>
            </c:spPr>
            <c:extLst>
              <c:ext xmlns:c16="http://schemas.microsoft.com/office/drawing/2014/chart" uri="{C3380CC4-5D6E-409C-BE32-E72D297353CC}">
                <c16:uniqueId val="{00000009-2E23-4E2F-B2DC-2E014514CD82}"/>
              </c:ext>
            </c:extLst>
          </c:dPt>
          <c:dPt>
            <c:idx val="5"/>
            <c:bubble3D val="0"/>
            <c:spPr>
              <a:solidFill>
                <a:srgbClr val="FF0000"/>
              </a:solidFill>
              <a:ln>
                <a:noFill/>
              </a:ln>
              <a:effectLst/>
            </c:spPr>
            <c:extLst>
              <c:ext xmlns:c16="http://schemas.microsoft.com/office/drawing/2014/chart" uri="{C3380CC4-5D6E-409C-BE32-E72D297353CC}">
                <c16:uniqueId val="{0000000B-2E23-4E2F-B2DC-2E014514CD82}"/>
              </c:ext>
            </c:extLst>
          </c:dPt>
          <c:val>
            <c:numRef>
              <c:f>MPR_Auto!$B$20:$B$25</c:f>
              <c:numCache>
                <c:formatCode>General</c:formatCode>
                <c:ptCount val="6"/>
                <c:pt idx="0">
                  <c:v>25</c:v>
                </c:pt>
                <c:pt idx="1">
                  <c:v>50</c:v>
                </c:pt>
                <c:pt idx="2">
                  <c:v>25</c:v>
                </c:pt>
                <c:pt idx="3">
                  <c:v>25</c:v>
                </c:pt>
                <c:pt idx="4">
                  <c:v>50</c:v>
                </c:pt>
                <c:pt idx="5">
                  <c:v>25</c:v>
                </c:pt>
              </c:numCache>
            </c:numRef>
          </c:val>
          <c:extLst>
            <c:ext xmlns:c16="http://schemas.microsoft.com/office/drawing/2014/chart" uri="{C3380CC4-5D6E-409C-BE32-E72D297353CC}">
              <c16:uniqueId val="{0000000C-2E23-4E2F-B2DC-2E014514CD82}"/>
            </c:ext>
          </c:extLst>
        </c:ser>
        <c:dLbls>
          <c:showLegendKey val="0"/>
          <c:showVal val="0"/>
          <c:showCatName val="0"/>
          <c:showSerName val="0"/>
          <c:showPercent val="0"/>
          <c:showBubbleSize val="0"/>
          <c:showLeaderLines val="1"/>
        </c:dLbls>
        <c:firstSliceAng val="180"/>
        <c:holeSize val="75"/>
      </c:doughnutChart>
      <c:pieChart>
        <c:varyColors val="1"/>
        <c:ser>
          <c:idx val="1"/>
          <c:order val="1"/>
          <c:tx>
            <c:v>Amp</c:v>
          </c:tx>
          <c:dPt>
            <c:idx val="0"/>
            <c:bubble3D val="0"/>
            <c:spPr>
              <a:noFill/>
              <a:ln>
                <a:noFill/>
              </a:ln>
              <a:effectLst/>
            </c:spPr>
            <c:extLst>
              <c:ext xmlns:c16="http://schemas.microsoft.com/office/drawing/2014/chart" uri="{C3380CC4-5D6E-409C-BE32-E72D297353CC}">
                <c16:uniqueId val="{0000000E-2E23-4E2F-B2DC-2E014514CD82}"/>
              </c:ext>
            </c:extLst>
          </c:dPt>
          <c:dPt>
            <c:idx val="1"/>
            <c:bubble3D val="0"/>
            <c:spPr>
              <a:solidFill>
                <a:schemeClr val="tx1"/>
              </a:solidFill>
              <a:ln>
                <a:noFill/>
              </a:ln>
              <a:effectLst/>
            </c:spPr>
            <c:extLst>
              <c:ext xmlns:c16="http://schemas.microsoft.com/office/drawing/2014/chart" uri="{C3380CC4-5D6E-409C-BE32-E72D297353CC}">
                <c16:uniqueId val="{00000010-2E23-4E2F-B2DC-2E014514CD82}"/>
              </c:ext>
            </c:extLst>
          </c:dPt>
          <c:dPt>
            <c:idx val="2"/>
            <c:bubble3D val="0"/>
            <c:spPr>
              <a:noFill/>
              <a:ln>
                <a:noFill/>
              </a:ln>
              <a:effectLst/>
            </c:spPr>
            <c:extLst>
              <c:ext xmlns:c16="http://schemas.microsoft.com/office/drawing/2014/chart" uri="{C3380CC4-5D6E-409C-BE32-E72D297353CC}">
                <c16:uniqueId val="{00000012-2E23-4E2F-B2DC-2E014514CD82}"/>
              </c:ext>
            </c:extLst>
          </c:dPt>
          <c:val>
            <c:numRef>
              <c:f>MPR_Auto!$C$20:$C$22</c:f>
              <c:numCache>
                <c:formatCode>General</c:formatCode>
                <c:ptCount val="3"/>
                <c:pt idx="0">
                  <c:v>-1.5</c:v>
                </c:pt>
                <c:pt idx="1">
                  <c:v>1.5</c:v>
                </c:pt>
                <c:pt idx="2">
                  <c:v>100</c:v>
                </c:pt>
              </c:numCache>
            </c:numRef>
          </c:val>
          <c:extLst>
            <c:ext xmlns:c16="http://schemas.microsoft.com/office/drawing/2014/chart" uri="{C3380CC4-5D6E-409C-BE32-E72D297353CC}">
              <c16:uniqueId val="{00000013-2E23-4E2F-B2DC-2E014514CD82}"/>
            </c:ext>
          </c:extLst>
        </c:ser>
        <c:dLbls>
          <c:showLegendKey val="0"/>
          <c:showVal val="0"/>
          <c:showCatName val="0"/>
          <c:showSerName val="0"/>
          <c:showPercent val="0"/>
          <c:showBubbleSize val="0"/>
          <c:showLeaderLines val="1"/>
        </c:dLbls>
        <c:firstSliceAng val="180"/>
        <c:extLst/>
      </c:pieChart>
      <c:pieChart>
        <c:varyColors val="1"/>
        <c:ser>
          <c:idx val="3"/>
          <c:order val="2"/>
          <c:tx>
            <c:v>Speaker</c:v>
          </c:tx>
          <c:dPt>
            <c:idx val="0"/>
            <c:bubble3D val="0"/>
            <c:spPr>
              <a:noFill/>
              <a:ln>
                <a:noFill/>
              </a:ln>
              <a:effectLst/>
            </c:spPr>
            <c:extLst>
              <c:ext xmlns:c16="http://schemas.microsoft.com/office/drawing/2014/chart" uri="{C3380CC4-5D6E-409C-BE32-E72D297353CC}">
                <c16:uniqueId val="{00000015-2E23-4E2F-B2DC-2E014514CD82}"/>
              </c:ext>
            </c:extLst>
          </c:dPt>
          <c:dPt>
            <c:idx val="1"/>
            <c:bubble3D val="0"/>
            <c:spPr>
              <a:solidFill>
                <a:srgbClr val="FFC000"/>
              </a:solidFill>
              <a:ln>
                <a:noFill/>
              </a:ln>
              <a:effectLst/>
            </c:spPr>
            <c:extLst>
              <c:ext xmlns:c16="http://schemas.microsoft.com/office/drawing/2014/chart" uri="{C3380CC4-5D6E-409C-BE32-E72D297353CC}">
                <c16:uniqueId val="{00000017-2E23-4E2F-B2DC-2E014514CD82}"/>
              </c:ext>
            </c:extLst>
          </c:dPt>
          <c:dPt>
            <c:idx val="2"/>
            <c:bubble3D val="0"/>
            <c:spPr>
              <a:noFill/>
              <a:ln>
                <a:noFill/>
              </a:ln>
              <a:effectLst/>
            </c:spPr>
            <c:extLst>
              <c:ext xmlns:c16="http://schemas.microsoft.com/office/drawing/2014/chart" uri="{C3380CC4-5D6E-409C-BE32-E72D297353CC}">
                <c16:uniqueId val="{00000019-2E23-4E2F-B2DC-2E014514CD82}"/>
              </c:ext>
            </c:extLst>
          </c:dPt>
          <c:val>
            <c:numRef>
              <c:f>MPR_Auto!$D$20:$D$22</c:f>
              <c:numCache>
                <c:formatCode>General</c:formatCode>
                <c:ptCount val="3"/>
                <c:pt idx="0">
                  <c:v>94.833333333333329</c:v>
                </c:pt>
                <c:pt idx="1">
                  <c:v>1.5</c:v>
                </c:pt>
                <c:pt idx="2">
                  <c:v>5.166666666666667</c:v>
                </c:pt>
              </c:numCache>
            </c:numRef>
          </c:val>
          <c:extLst>
            <c:ext xmlns:c16="http://schemas.microsoft.com/office/drawing/2014/chart" uri="{C3380CC4-5D6E-409C-BE32-E72D297353CC}">
              <c16:uniqueId val="{0000001A-2E23-4E2F-B2DC-2E014514CD82}"/>
            </c:ext>
          </c:extLst>
        </c:ser>
        <c:dLbls>
          <c:showLegendKey val="0"/>
          <c:showVal val="0"/>
          <c:showCatName val="0"/>
          <c:showSerName val="0"/>
          <c:showPercent val="0"/>
          <c:showBubbleSize val="0"/>
          <c:showLeaderLines val="1"/>
        </c:dLbls>
        <c:firstSliceAng val="18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Autonomous Deliveries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Thresholds</c:v>
          </c:tx>
          <c:dPt>
            <c:idx val="0"/>
            <c:bubble3D val="0"/>
            <c:spPr>
              <a:solidFill>
                <a:srgbClr val="FF0000"/>
              </a:solidFill>
              <a:ln>
                <a:noFill/>
              </a:ln>
              <a:effectLst/>
            </c:spPr>
            <c:extLst>
              <c:ext xmlns:c16="http://schemas.microsoft.com/office/drawing/2014/chart" uri="{C3380CC4-5D6E-409C-BE32-E72D297353CC}">
                <c16:uniqueId val="{00000001-A74B-4F68-AB94-860D1266EF2D}"/>
              </c:ext>
            </c:extLst>
          </c:dPt>
          <c:dPt>
            <c:idx val="1"/>
            <c:bubble3D val="0"/>
            <c:spPr>
              <a:solidFill>
                <a:srgbClr val="FFFF00"/>
              </a:solidFill>
              <a:ln>
                <a:noFill/>
              </a:ln>
              <a:effectLst/>
            </c:spPr>
            <c:extLst>
              <c:ext xmlns:c16="http://schemas.microsoft.com/office/drawing/2014/chart" uri="{C3380CC4-5D6E-409C-BE32-E72D297353CC}">
                <c16:uniqueId val="{00000003-A74B-4F68-AB94-860D1266EF2D}"/>
              </c:ext>
            </c:extLst>
          </c:dPt>
          <c:dPt>
            <c:idx val="2"/>
            <c:bubble3D val="0"/>
            <c:spPr>
              <a:solidFill>
                <a:srgbClr val="00B050"/>
              </a:solidFill>
              <a:ln>
                <a:noFill/>
              </a:ln>
              <a:effectLst/>
            </c:spPr>
            <c:extLst>
              <c:ext xmlns:c16="http://schemas.microsoft.com/office/drawing/2014/chart" uri="{C3380CC4-5D6E-409C-BE32-E72D297353CC}">
                <c16:uniqueId val="{00000005-A74B-4F68-AB94-860D1266EF2D}"/>
              </c:ext>
            </c:extLst>
          </c:dPt>
          <c:dPt>
            <c:idx val="3"/>
            <c:bubble3D val="0"/>
            <c:spPr>
              <a:solidFill>
                <a:srgbClr val="00B050"/>
              </a:solidFill>
              <a:ln>
                <a:noFill/>
              </a:ln>
              <a:effectLst/>
            </c:spPr>
            <c:extLst>
              <c:ext xmlns:c16="http://schemas.microsoft.com/office/drawing/2014/chart" uri="{C3380CC4-5D6E-409C-BE32-E72D297353CC}">
                <c16:uniqueId val="{00000007-A74B-4F68-AB94-860D1266EF2D}"/>
              </c:ext>
            </c:extLst>
          </c:dPt>
          <c:dPt>
            <c:idx val="4"/>
            <c:bubble3D val="0"/>
            <c:spPr>
              <a:solidFill>
                <a:srgbClr val="FFFF00"/>
              </a:solidFill>
              <a:ln>
                <a:noFill/>
              </a:ln>
              <a:effectLst/>
            </c:spPr>
            <c:extLst>
              <c:ext xmlns:c16="http://schemas.microsoft.com/office/drawing/2014/chart" uri="{C3380CC4-5D6E-409C-BE32-E72D297353CC}">
                <c16:uniqueId val="{00000009-A74B-4F68-AB94-860D1266EF2D}"/>
              </c:ext>
            </c:extLst>
          </c:dPt>
          <c:dPt>
            <c:idx val="5"/>
            <c:bubble3D val="0"/>
            <c:spPr>
              <a:solidFill>
                <a:srgbClr val="FF0000"/>
              </a:solidFill>
              <a:ln>
                <a:noFill/>
              </a:ln>
              <a:effectLst/>
            </c:spPr>
            <c:extLst>
              <c:ext xmlns:c16="http://schemas.microsoft.com/office/drawing/2014/chart" uri="{C3380CC4-5D6E-409C-BE32-E72D297353CC}">
                <c16:uniqueId val="{0000000B-A74B-4F68-AB94-860D1266EF2D}"/>
              </c:ext>
            </c:extLst>
          </c:dPt>
          <c:val>
            <c:numRef>
              <c:f>MPR_Auto!$B$30:$B$35</c:f>
              <c:numCache>
                <c:formatCode>General</c:formatCode>
                <c:ptCount val="6"/>
                <c:pt idx="0">
                  <c:v>25</c:v>
                </c:pt>
                <c:pt idx="1">
                  <c:v>50</c:v>
                </c:pt>
                <c:pt idx="2">
                  <c:v>25</c:v>
                </c:pt>
                <c:pt idx="3">
                  <c:v>25</c:v>
                </c:pt>
                <c:pt idx="4">
                  <c:v>50</c:v>
                </c:pt>
                <c:pt idx="5">
                  <c:v>25</c:v>
                </c:pt>
              </c:numCache>
            </c:numRef>
          </c:val>
          <c:extLst>
            <c:ext xmlns:c16="http://schemas.microsoft.com/office/drawing/2014/chart" uri="{C3380CC4-5D6E-409C-BE32-E72D297353CC}">
              <c16:uniqueId val="{0000000C-A74B-4F68-AB94-860D1266EF2D}"/>
            </c:ext>
          </c:extLst>
        </c:ser>
        <c:dLbls>
          <c:showLegendKey val="0"/>
          <c:showVal val="0"/>
          <c:showCatName val="0"/>
          <c:showSerName val="0"/>
          <c:showPercent val="0"/>
          <c:showBubbleSize val="0"/>
          <c:showLeaderLines val="1"/>
        </c:dLbls>
        <c:firstSliceAng val="180"/>
        <c:holeSize val="75"/>
      </c:doughnutChart>
      <c:pieChart>
        <c:varyColors val="1"/>
        <c:ser>
          <c:idx val="1"/>
          <c:order val="1"/>
          <c:tx>
            <c:v>Amp</c:v>
          </c:tx>
          <c:dPt>
            <c:idx val="0"/>
            <c:bubble3D val="0"/>
            <c:spPr>
              <a:noFill/>
              <a:ln>
                <a:noFill/>
              </a:ln>
              <a:effectLst/>
            </c:spPr>
            <c:extLst>
              <c:ext xmlns:c16="http://schemas.microsoft.com/office/drawing/2014/chart" uri="{C3380CC4-5D6E-409C-BE32-E72D297353CC}">
                <c16:uniqueId val="{0000000E-A74B-4F68-AB94-860D1266EF2D}"/>
              </c:ext>
            </c:extLst>
          </c:dPt>
          <c:dPt>
            <c:idx val="1"/>
            <c:bubble3D val="0"/>
            <c:spPr>
              <a:solidFill>
                <a:sysClr val="windowText" lastClr="000000"/>
              </a:solidFill>
              <a:ln>
                <a:noFill/>
              </a:ln>
              <a:effectLst/>
            </c:spPr>
            <c:extLst>
              <c:ext xmlns:c16="http://schemas.microsoft.com/office/drawing/2014/chart" uri="{C3380CC4-5D6E-409C-BE32-E72D297353CC}">
                <c16:uniqueId val="{00000010-A74B-4F68-AB94-860D1266EF2D}"/>
              </c:ext>
            </c:extLst>
          </c:dPt>
          <c:dPt>
            <c:idx val="2"/>
            <c:bubble3D val="0"/>
            <c:spPr>
              <a:noFill/>
              <a:ln>
                <a:noFill/>
              </a:ln>
              <a:effectLst/>
            </c:spPr>
            <c:extLst>
              <c:ext xmlns:c16="http://schemas.microsoft.com/office/drawing/2014/chart" uri="{C3380CC4-5D6E-409C-BE32-E72D297353CC}">
                <c16:uniqueId val="{00000012-A74B-4F68-AB94-860D1266EF2D}"/>
              </c:ext>
            </c:extLst>
          </c:dPt>
          <c:val>
            <c:numRef>
              <c:f>MPR_Auto!$C$30:$C$32</c:f>
              <c:numCache>
                <c:formatCode>General</c:formatCode>
                <c:ptCount val="3"/>
                <c:pt idx="0">
                  <c:v>-1.5</c:v>
                </c:pt>
                <c:pt idx="1">
                  <c:v>1.5</c:v>
                </c:pt>
                <c:pt idx="2">
                  <c:v>100</c:v>
                </c:pt>
              </c:numCache>
            </c:numRef>
          </c:val>
          <c:extLst>
            <c:ext xmlns:c16="http://schemas.microsoft.com/office/drawing/2014/chart" uri="{C3380CC4-5D6E-409C-BE32-E72D297353CC}">
              <c16:uniqueId val="{00000013-A74B-4F68-AB94-860D1266EF2D}"/>
            </c:ext>
          </c:extLst>
        </c:ser>
        <c:dLbls>
          <c:showLegendKey val="0"/>
          <c:showVal val="0"/>
          <c:showCatName val="0"/>
          <c:showSerName val="0"/>
          <c:showPercent val="0"/>
          <c:showBubbleSize val="0"/>
          <c:showLeaderLines val="1"/>
        </c:dLbls>
        <c:firstSliceAng val="180"/>
        <c:extLst/>
      </c:pieChart>
      <c:pieChart>
        <c:varyColors val="1"/>
        <c:ser>
          <c:idx val="3"/>
          <c:order val="2"/>
          <c:tx>
            <c:v>Speaker</c:v>
          </c:tx>
          <c:dPt>
            <c:idx val="0"/>
            <c:bubble3D val="0"/>
            <c:spPr>
              <a:noFill/>
              <a:ln>
                <a:noFill/>
              </a:ln>
              <a:effectLst/>
            </c:spPr>
            <c:extLst>
              <c:ext xmlns:c16="http://schemas.microsoft.com/office/drawing/2014/chart" uri="{C3380CC4-5D6E-409C-BE32-E72D297353CC}">
                <c16:uniqueId val="{00000015-A74B-4F68-AB94-860D1266EF2D}"/>
              </c:ext>
            </c:extLst>
          </c:dPt>
          <c:dPt>
            <c:idx val="1"/>
            <c:bubble3D val="0"/>
            <c:spPr>
              <a:solidFill>
                <a:srgbClr val="FFC000"/>
              </a:solidFill>
              <a:ln>
                <a:noFill/>
              </a:ln>
              <a:effectLst/>
            </c:spPr>
            <c:extLst>
              <c:ext xmlns:c16="http://schemas.microsoft.com/office/drawing/2014/chart" uri="{C3380CC4-5D6E-409C-BE32-E72D297353CC}">
                <c16:uniqueId val="{00000017-A74B-4F68-AB94-860D1266EF2D}"/>
              </c:ext>
            </c:extLst>
          </c:dPt>
          <c:dPt>
            <c:idx val="2"/>
            <c:bubble3D val="0"/>
            <c:spPr>
              <a:noFill/>
              <a:ln>
                <a:noFill/>
              </a:ln>
              <a:effectLst/>
            </c:spPr>
            <c:extLst>
              <c:ext xmlns:c16="http://schemas.microsoft.com/office/drawing/2014/chart" uri="{C3380CC4-5D6E-409C-BE32-E72D297353CC}">
                <c16:uniqueId val="{00000019-A74B-4F68-AB94-860D1266EF2D}"/>
              </c:ext>
            </c:extLst>
          </c:dPt>
          <c:val>
            <c:numRef>
              <c:f>MPR_Auto!$D$30:$D$32</c:f>
              <c:numCache>
                <c:formatCode>General</c:formatCode>
                <c:ptCount val="3"/>
                <c:pt idx="0">
                  <c:v>70.071428571428569</c:v>
                </c:pt>
                <c:pt idx="1">
                  <c:v>1.5</c:v>
                </c:pt>
                <c:pt idx="2">
                  <c:v>29.928571428571427</c:v>
                </c:pt>
              </c:numCache>
            </c:numRef>
          </c:val>
          <c:extLst>
            <c:ext xmlns:c16="http://schemas.microsoft.com/office/drawing/2014/chart" uri="{C3380CC4-5D6E-409C-BE32-E72D297353CC}">
              <c16:uniqueId val="{0000001A-A74B-4F68-AB94-860D1266EF2D}"/>
            </c:ext>
          </c:extLst>
        </c:ser>
        <c:dLbls>
          <c:showLegendKey val="0"/>
          <c:showVal val="0"/>
          <c:showCatName val="0"/>
          <c:showSerName val="0"/>
          <c:showPercent val="0"/>
          <c:showBubbleSize val="0"/>
          <c:showLeaderLines val="1"/>
        </c:dLbls>
        <c:firstSliceAng val="18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4"/>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Autonomous Deliveries per Robot Setup</a:t>
            </a:r>
            <a:r>
              <a:rPr lang="en-US" baseline="0"/>
              <a:t> Location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MPR_Auto!$K$2</c:f>
              <c:strCache>
                <c:ptCount val="1"/>
                <c:pt idx="0">
                  <c:v>Amp</c:v>
                </c:pt>
              </c:strCache>
            </c:strRef>
          </c:tx>
          <c:spPr>
            <a:solidFill>
              <a:srgbClr val="FFFF00"/>
            </a:solidFill>
            <a:ln>
              <a:solidFill>
                <a:srgbClr val="FFFF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MPR_Auto!$J$3:$J$5</c:f>
              <c:strCache>
                <c:ptCount val="3"/>
                <c:pt idx="0">
                  <c:v>frc2791</c:v>
                </c:pt>
                <c:pt idx="1">
                  <c:v>frc5016</c:v>
                </c:pt>
                <c:pt idx="2">
                  <c:v>frc1591</c:v>
                </c:pt>
              </c:strCache>
            </c:strRef>
          </c:cat>
          <c:val>
            <c:numRef>
              <c:f>MPR_Auto!$K$3:$K$5</c:f>
              <c:numCache>
                <c:formatCode>0.00</c:formatCode>
                <c:ptCount val="3"/>
                <c:pt idx="0">
                  <c:v>1.5</c:v>
                </c:pt>
                <c:pt idx="1">
                  <c:v>1</c:v>
                </c:pt>
                <c:pt idx="2">
                  <c:v>0</c:v>
                </c:pt>
              </c:numCache>
            </c:numRef>
          </c:val>
          <c:extLst>
            <c:ext xmlns:c16="http://schemas.microsoft.com/office/drawing/2014/chart" uri="{C3380CC4-5D6E-409C-BE32-E72D297353CC}">
              <c16:uniqueId val="{00000000-E061-44A0-9519-B4EC23900D6E}"/>
            </c:ext>
          </c:extLst>
        </c:ser>
        <c:ser>
          <c:idx val="1"/>
          <c:order val="1"/>
          <c:tx>
            <c:strRef>
              <c:f>MPR_Auto!$L$2</c:f>
              <c:strCache>
                <c:ptCount val="1"/>
                <c:pt idx="0">
                  <c:v>Subwoofer</c:v>
                </c:pt>
              </c:strCache>
            </c:strRef>
          </c:tx>
          <c:spPr>
            <a:solidFill>
              <a:srgbClr val="FFC000"/>
            </a:solidFill>
            <a:ln>
              <a:solidFill>
                <a:srgbClr val="FFC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MPR_Auto!$J$3:$J$5</c:f>
              <c:strCache>
                <c:ptCount val="3"/>
                <c:pt idx="0">
                  <c:v>frc2791</c:v>
                </c:pt>
                <c:pt idx="1">
                  <c:v>frc5016</c:v>
                </c:pt>
                <c:pt idx="2">
                  <c:v>frc1591</c:v>
                </c:pt>
              </c:strCache>
            </c:strRef>
          </c:cat>
          <c:val>
            <c:numRef>
              <c:f>MPR_Auto!$L$3:$L$5</c:f>
              <c:numCache>
                <c:formatCode>0.00</c:formatCode>
                <c:ptCount val="3"/>
                <c:pt idx="0">
                  <c:v>1</c:v>
                </c:pt>
                <c:pt idx="1">
                  <c:v>1</c:v>
                </c:pt>
                <c:pt idx="2">
                  <c:v>3.3333333333333335</c:v>
                </c:pt>
              </c:numCache>
            </c:numRef>
          </c:val>
          <c:extLst>
            <c:ext xmlns:c16="http://schemas.microsoft.com/office/drawing/2014/chart" uri="{C3380CC4-5D6E-409C-BE32-E72D297353CC}">
              <c16:uniqueId val="{00000001-E061-44A0-9519-B4EC23900D6E}"/>
            </c:ext>
          </c:extLst>
        </c:ser>
        <c:ser>
          <c:idx val="2"/>
          <c:order val="2"/>
          <c:tx>
            <c:strRef>
              <c:f>MPR_Auto!$M$2</c:f>
              <c:strCache>
                <c:ptCount val="1"/>
                <c:pt idx="0">
                  <c:v>Podium</c:v>
                </c:pt>
              </c:strCache>
            </c:strRef>
          </c:tx>
          <c:spPr>
            <a:solidFill>
              <a:srgbClr val="29FF8A"/>
            </a:solidFill>
            <a:ln>
              <a:solidFill>
                <a:srgbClr val="29FF8A"/>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MPR_Auto!$J$3:$J$5</c:f>
              <c:strCache>
                <c:ptCount val="3"/>
                <c:pt idx="0">
                  <c:v>frc2791</c:v>
                </c:pt>
                <c:pt idx="1">
                  <c:v>frc5016</c:v>
                </c:pt>
                <c:pt idx="2">
                  <c:v>frc1591</c:v>
                </c:pt>
              </c:strCache>
            </c:strRef>
          </c:cat>
          <c:val>
            <c:numRef>
              <c:f>MPR_Auto!$M$3:$M$5</c:f>
              <c:numCache>
                <c:formatCode>0.00</c:formatCode>
                <c:ptCount val="3"/>
                <c:pt idx="0">
                  <c:v>0.33333333333333331</c:v>
                </c:pt>
                <c:pt idx="1">
                  <c:v>0</c:v>
                </c:pt>
                <c:pt idx="2">
                  <c:v>2</c:v>
                </c:pt>
              </c:numCache>
            </c:numRef>
          </c:val>
          <c:extLst>
            <c:ext xmlns:c16="http://schemas.microsoft.com/office/drawing/2014/chart" uri="{C3380CC4-5D6E-409C-BE32-E72D297353CC}">
              <c16:uniqueId val="{00000002-E061-44A0-9519-B4EC23900D6E}"/>
            </c:ext>
          </c:extLst>
        </c:ser>
        <c:ser>
          <c:idx val="3"/>
          <c:order val="3"/>
          <c:tx>
            <c:strRef>
              <c:f>MPR_Auto!$N$2</c:f>
              <c:strCache>
                <c:ptCount val="1"/>
                <c:pt idx="0">
                  <c:v>Source</c:v>
                </c:pt>
              </c:strCache>
            </c:strRef>
          </c:tx>
          <c:spPr>
            <a:solidFill>
              <a:srgbClr val="FF00FF"/>
            </a:solidFill>
            <a:ln>
              <a:solidFill>
                <a:srgbClr val="FF00FF"/>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MPR_Auto!$J$3:$J$5</c:f>
              <c:strCache>
                <c:ptCount val="3"/>
                <c:pt idx="0">
                  <c:v>frc2791</c:v>
                </c:pt>
                <c:pt idx="1">
                  <c:v>frc5016</c:v>
                </c:pt>
                <c:pt idx="2">
                  <c:v>frc1591</c:v>
                </c:pt>
              </c:strCache>
            </c:strRef>
          </c:cat>
          <c:val>
            <c:numRef>
              <c:f>MPR_Auto!$N$3:$N$5</c:f>
              <c:numCache>
                <c:formatCode>0.00</c:formatCode>
                <c:ptCount val="3"/>
                <c:pt idx="0">
                  <c:v>0</c:v>
                </c:pt>
                <c:pt idx="1">
                  <c:v>0</c:v>
                </c:pt>
                <c:pt idx="2">
                  <c:v>0</c:v>
                </c:pt>
              </c:numCache>
            </c:numRef>
          </c:val>
          <c:extLst>
            <c:ext xmlns:c16="http://schemas.microsoft.com/office/drawing/2014/chart" uri="{C3380CC4-5D6E-409C-BE32-E72D297353CC}">
              <c16:uniqueId val="{00000003-E061-44A0-9519-B4EC23900D6E}"/>
            </c:ext>
          </c:extLst>
        </c:ser>
        <c:dLbls>
          <c:dLblPos val="inEnd"/>
          <c:showLegendKey val="0"/>
          <c:showVal val="1"/>
          <c:showCatName val="0"/>
          <c:showSerName val="0"/>
          <c:showPercent val="0"/>
          <c:showBubbleSize val="0"/>
        </c:dLbls>
        <c:gapWidth val="219"/>
        <c:overlap val="-27"/>
        <c:axId val="467086320"/>
        <c:axId val="467077680"/>
      </c:barChart>
      <c:catAx>
        <c:axId val="46708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077680"/>
        <c:crosses val="autoZero"/>
        <c:auto val="1"/>
        <c:lblAlgn val="ctr"/>
        <c:lblOffset val="100"/>
        <c:noMultiLvlLbl val="0"/>
      </c:catAx>
      <c:valAx>
        <c:axId val="4670776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086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Amp</a:t>
            </a:r>
            <a:r>
              <a:rPr lang="en-US" baseline="0"/>
              <a:t> Station - </a:t>
            </a:r>
            <a:r>
              <a:rPr lang="en-US"/>
              <a:t>Autonomous </a:t>
            </a:r>
            <a:r>
              <a:rPr lang="en-US" baseline="0"/>
              <a:t>center note contact</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MPR_Auto!$K$10</c:f>
              <c:strCache>
                <c:ptCount val="1"/>
                <c:pt idx="0">
                  <c:v>7 (A)</c:v>
                </c:pt>
              </c:strCache>
            </c:strRef>
          </c:tx>
          <c:spPr>
            <a:ln w="22225" cap="rnd">
              <a:solidFill>
                <a:schemeClr val="accent1"/>
              </a:solidFill>
              <a:round/>
            </a:ln>
            <a:effectLst/>
          </c:spPr>
          <c:marker>
            <c:symbol val="square"/>
            <c:size val="6"/>
            <c:spPr>
              <a:solidFill>
                <a:srgbClr val="FF0000"/>
              </a:solidFill>
              <a:ln w="9525">
                <a:solidFill>
                  <a:schemeClr val="tx1"/>
                </a:solidFill>
                <a:round/>
              </a:ln>
              <a:effectLst/>
            </c:spPr>
          </c:marker>
          <c:val>
            <c:numRef>
              <c:f>MPR_Auto!$K$13:$K$27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-4.07</c:v>
                </c:pt>
              </c:numCache>
            </c:numRef>
          </c:val>
          <c:smooth val="0"/>
          <c:extLst>
            <c:ext xmlns:c16="http://schemas.microsoft.com/office/drawing/2014/chart" uri="{C3380CC4-5D6E-409C-BE32-E72D297353CC}">
              <c16:uniqueId val="{00000000-D7FB-4E26-8C9A-DE16C27321AF}"/>
            </c:ext>
          </c:extLst>
        </c:ser>
        <c:ser>
          <c:idx val="2"/>
          <c:order val="1"/>
          <c:tx>
            <c:strRef>
              <c:f>MPR_Auto!$L$10</c:f>
              <c:strCache>
                <c:ptCount val="1"/>
                <c:pt idx="0">
                  <c:v>14 (A)</c:v>
                </c:pt>
              </c:strCache>
            </c:strRef>
          </c:tx>
          <c:spPr>
            <a:ln w="22225" cap="rnd">
              <a:solidFill>
                <a:srgbClr val="FFFF00"/>
              </a:solidFill>
              <a:round/>
            </a:ln>
            <a:effectLst/>
          </c:spPr>
          <c:marker>
            <c:symbol val="triangle"/>
            <c:size val="6"/>
            <c:spPr>
              <a:solidFill>
                <a:srgbClr val="FFFF00"/>
              </a:solidFill>
              <a:ln w="9525">
                <a:solidFill>
                  <a:schemeClr val="tx1"/>
                </a:solidFill>
                <a:round/>
              </a:ln>
              <a:effectLst/>
            </c:spPr>
          </c:marker>
          <c:val>
            <c:numRef>
              <c:f>MPR_Auto!$L$13:$L$27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1-D7FB-4E26-8C9A-DE16C27321AF}"/>
            </c:ext>
          </c:extLst>
        </c:ser>
        <c:ser>
          <c:idx val="3"/>
          <c:order val="2"/>
          <c:tx>
            <c:strRef>
              <c:f>MPR_Auto!$M$10</c:f>
              <c:strCache>
                <c:ptCount val="1"/>
                <c:pt idx="0">
                  <c:v>19 (S)</c:v>
                </c:pt>
              </c:strCache>
            </c:strRef>
          </c:tx>
          <c:spPr>
            <a:ln w="22225" cap="rnd">
              <a:solidFill>
                <a:srgbClr val="00B050"/>
              </a:solidFill>
              <a:round/>
            </a:ln>
            <a:effectLst/>
          </c:spPr>
          <c:marker>
            <c:symbol val="x"/>
            <c:size val="6"/>
            <c:spPr>
              <a:solidFill>
                <a:srgbClr val="00B050"/>
              </a:solidFill>
              <a:ln w="9525">
                <a:solidFill>
                  <a:schemeClr val="tx1"/>
                </a:solidFill>
                <a:round/>
              </a:ln>
              <a:effectLst/>
            </c:spPr>
          </c:marker>
          <c:val>
            <c:numRef>
              <c:f>MPR_Auto!$M$13:$M$27</c:f>
              <c:numCache>
                <c:formatCode>General</c:formatCode>
                <c:ptCount val="15"/>
                <c:pt idx="0">
                  <c:v>0</c:v>
                </c:pt>
                <c:pt idx="1">
                  <c:v>0</c:v>
                </c:pt>
                <c:pt idx="2">
                  <c:v>0</c:v>
                </c:pt>
                <c:pt idx="3">
                  <c:v>0</c:v>
                </c:pt>
                <c:pt idx="4">
                  <c:v>0</c:v>
                </c:pt>
                <c:pt idx="5">
                  <c:v>0</c:v>
                </c:pt>
                <c:pt idx="6">
                  <c:v>0</c:v>
                </c:pt>
                <c:pt idx="7">
                  <c:v>0</c:v>
                </c:pt>
                <c:pt idx="8">
                  <c:v>0</c:v>
                </c:pt>
                <c:pt idx="9">
                  <c:v>3.19</c:v>
                </c:pt>
                <c:pt idx="10">
                  <c:v>0</c:v>
                </c:pt>
                <c:pt idx="11">
                  <c:v>0</c:v>
                </c:pt>
                <c:pt idx="12">
                  <c:v>0</c:v>
                </c:pt>
                <c:pt idx="13">
                  <c:v>0</c:v>
                </c:pt>
                <c:pt idx="14">
                  <c:v>0</c:v>
                </c:pt>
              </c:numCache>
            </c:numRef>
          </c:val>
          <c:smooth val="0"/>
          <c:extLst>
            <c:ext xmlns:c16="http://schemas.microsoft.com/office/drawing/2014/chart" uri="{C3380CC4-5D6E-409C-BE32-E72D297353CC}">
              <c16:uniqueId val="{00000002-D7FB-4E26-8C9A-DE16C27321AF}"/>
            </c:ext>
          </c:extLst>
        </c:ser>
        <c:ser>
          <c:idx val="4"/>
          <c:order val="3"/>
          <c:tx>
            <c:strRef>
              <c:f>MPR_Auto!$N$10</c:f>
              <c:strCache>
                <c:ptCount val="1"/>
                <c:pt idx="0">
                  <c:v>29 (_)</c:v>
                </c:pt>
              </c:strCache>
            </c:strRef>
          </c:tx>
          <c:spPr>
            <a:ln w="22225" cap="rnd">
              <a:solidFill>
                <a:srgbClr val="00B0F0"/>
              </a:solidFill>
              <a:round/>
            </a:ln>
            <a:effectLst/>
          </c:spPr>
          <c:marker>
            <c:symbol val="star"/>
            <c:size val="6"/>
            <c:spPr>
              <a:solidFill>
                <a:srgbClr val="00B0F0"/>
              </a:solidFill>
              <a:ln w="9525">
                <a:solidFill>
                  <a:schemeClr val="tx1"/>
                </a:solidFill>
                <a:round/>
              </a:ln>
              <a:effectLst/>
            </c:spPr>
          </c:marker>
          <c:val>
            <c:numRef>
              <c:f>MPR_Auto!$N$13:$N$27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3-D7FB-4E26-8C9A-DE16C27321AF}"/>
            </c:ext>
          </c:extLst>
        </c:ser>
        <c:ser>
          <c:idx val="5"/>
          <c:order val="4"/>
          <c:tx>
            <c:strRef>
              <c:f>MPR_Auto!$O$10</c:f>
              <c:strCache>
                <c:ptCount val="1"/>
                <c:pt idx="0">
                  <c:v>40 (P)</c:v>
                </c:pt>
              </c:strCache>
            </c:strRef>
          </c:tx>
          <c:spPr>
            <a:ln w="22225" cap="rnd">
              <a:solidFill>
                <a:srgbClr val="0070C0"/>
              </a:solidFill>
              <a:round/>
            </a:ln>
            <a:effectLst/>
          </c:spPr>
          <c:marker>
            <c:symbol val="circle"/>
            <c:size val="6"/>
            <c:spPr>
              <a:solidFill>
                <a:srgbClr val="0070C0"/>
              </a:solidFill>
              <a:ln w="9525">
                <a:solidFill>
                  <a:schemeClr val="tx1"/>
                </a:solidFill>
                <a:round/>
              </a:ln>
              <a:effectLst/>
            </c:spPr>
          </c:marker>
          <c:val>
            <c:numRef>
              <c:f>MPR_Auto!$O$13:$O$27</c:f>
              <c:numCache>
                <c:formatCode>General</c:formatCode>
                <c:ptCount val="15"/>
                <c:pt idx="0">
                  <c:v>0</c:v>
                </c:pt>
                <c:pt idx="1">
                  <c:v>0</c:v>
                </c:pt>
                <c:pt idx="2">
                  <c:v>0</c:v>
                </c:pt>
                <c:pt idx="3">
                  <c:v>0</c:v>
                </c:pt>
                <c:pt idx="4">
                  <c:v>0</c:v>
                </c:pt>
                <c:pt idx="5">
                  <c:v>0</c:v>
                </c:pt>
                <c:pt idx="6">
                  <c:v>0</c:v>
                </c:pt>
                <c:pt idx="7">
                  <c:v>0</c:v>
                </c:pt>
                <c:pt idx="8">
                  <c:v>0</c:v>
                </c:pt>
                <c:pt idx="9">
                  <c:v>0</c:v>
                </c:pt>
                <c:pt idx="10">
                  <c:v>2.4</c:v>
                </c:pt>
                <c:pt idx="11">
                  <c:v>0</c:v>
                </c:pt>
                <c:pt idx="12">
                  <c:v>0</c:v>
                </c:pt>
                <c:pt idx="13">
                  <c:v>0</c:v>
                </c:pt>
                <c:pt idx="14">
                  <c:v>0</c:v>
                </c:pt>
              </c:numCache>
            </c:numRef>
          </c:val>
          <c:smooth val="0"/>
          <c:extLst>
            <c:ext xmlns:c16="http://schemas.microsoft.com/office/drawing/2014/chart" uri="{C3380CC4-5D6E-409C-BE32-E72D297353CC}">
              <c16:uniqueId val="{00000004-D7FB-4E26-8C9A-DE16C27321AF}"/>
            </c:ext>
          </c:extLst>
        </c:ser>
        <c:ser>
          <c:idx val="6"/>
          <c:order val="5"/>
          <c:tx>
            <c:strRef>
              <c:f>MPR_Auto!$P$10</c:f>
              <c:strCache>
                <c:ptCount val="1"/>
                <c:pt idx="0">
                  <c:v>51 (P)</c:v>
                </c:pt>
              </c:strCache>
            </c:strRef>
          </c:tx>
          <c:spPr>
            <a:ln w="22225" cap="rnd">
              <a:solidFill>
                <a:srgbClr val="FF00FF"/>
              </a:solidFill>
              <a:round/>
            </a:ln>
            <a:effectLst/>
          </c:spPr>
          <c:marker>
            <c:symbol val="plus"/>
            <c:size val="6"/>
            <c:spPr>
              <a:solidFill>
                <a:srgbClr val="FF00FF"/>
              </a:solidFill>
              <a:ln w="9525">
                <a:solidFill>
                  <a:schemeClr val="tx1"/>
                </a:solidFill>
                <a:round/>
              </a:ln>
              <a:effectLst/>
            </c:spPr>
          </c:marker>
          <c:val>
            <c:numRef>
              <c:f>MPR_Auto!$P$13:$P$27</c:f>
              <c:numCache>
                <c:formatCode>General</c:formatCode>
                <c:ptCount val="15"/>
                <c:pt idx="0">
                  <c:v>0</c:v>
                </c:pt>
                <c:pt idx="1">
                  <c:v>0</c:v>
                </c:pt>
                <c:pt idx="2">
                  <c:v>0</c:v>
                </c:pt>
                <c:pt idx="3">
                  <c:v>0</c:v>
                </c:pt>
                <c:pt idx="4">
                  <c:v>0</c:v>
                </c:pt>
                <c:pt idx="5">
                  <c:v>0</c:v>
                </c:pt>
                <c:pt idx="6">
                  <c:v>-2.5099999999999998</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5-D7FB-4E26-8C9A-DE16C27321AF}"/>
            </c:ext>
          </c:extLst>
        </c:ser>
        <c:ser>
          <c:idx val="7"/>
          <c:order val="6"/>
          <c:tx>
            <c:strRef>
              <c:f>MPR_Auto!$Q$10</c:f>
              <c:strCache>
                <c:ptCount val="1"/>
                <c:pt idx="0">
                  <c:v>56 (P)</c:v>
                </c:pt>
              </c:strCache>
            </c:strRef>
          </c:tx>
          <c:spPr>
            <a:ln w="22225" cap="rnd">
              <a:solidFill>
                <a:schemeClr val="tx1"/>
              </a:solidFill>
              <a:round/>
            </a:ln>
            <a:effectLst/>
          </c:spPr>
          <c:marker>
            <c:symbol val="dot"/>
            <c:size val="6"/>
            <c:spPr>
              <a:solidFill>
                <a:schemeClr val="tx1"/>
              </a:solidFill>
              <a:ln w="9525">
                <a:solidFill>
                  <a:schemeClr val="tx1"/>
                </a:solidFill>
                <a:round/>
              </a:ln>
              <a:effectLst/>
            </c:spPr>
          </c:marker>
          <c:val>
            <c:numRef>
              <c:f>MPR_Auto!$Q$13:$Q$27</c:f>
              <c:numCache>
                <c:formatCode>General</c:formatCode>
                <c:ptCount val="15"/>
                <c:pt idx="0">
                  <c:v>0</c:v>
                </c:pt>
                <c:pt idx="1">
                  <c:v>0</c:v>
                </c:pt>
                <c:pt idx="2">
                  <c:v>0</c:v>
                </c:pt>
                <c:pt idx="3">
                  <c:v>0</c:v>
                </c:pt>
                <c:pt idx="4">
                  <c:v>0</c:v>
                </c:pt>
                <c:pt idx="5">
                  <c:v>0</c:v>
                </c:pt>
                <c:pt idx="6">
                  <c:v>-2.56</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6-D7FB-4E26-8C9A-DE16C27321AF}"/>
            </c:ext>
          </c:extLst>
        </c:ser>
        <c:ser>
          <c:idx val="8"/>
          <c:order val="7"/>
          <c:tx>
            <c:strRef>
              <c:f>MPR_Auto!$R$10</c:f>
              <c:strCache>
                <c:ptCount val="1"/>
              </c:strCache>
            </c:strRef>
          </c:tx>
          <c:spPr>
            <a:ln w="22225" cap="rnd">
              <a:solidFill>
                <a:schemeClr val="accent1">
                  <a:lumMod val="40000"/>
                  <a:lumOff val="60000"/>
                </a:schemeClr>
              </a:solidFill>
              <a:round/>
            </a:ln>
            <a:effectLst/>
          </c:spPr>
          <c:marker>
            <c:symbol val="dash"/>
            <c:size val="6"/>
            <c:spPr>
              <a:solidFill>
                <a:schemeClr val="accent1">
                  <a:lumMod val="40000"/>
                  <a:lumOff val="60000"/>
                </a:schemeClr>
              </a:solidFill>
              <a:ln w="9525">
                <a:solidFill>
                  <a:schemeClr val="tx1"/>
                </a:solidFill>
                <a:round/>
              </a:ln>
              <a:effectLst/>
            </c:spPr>
          </c:marker>
          <c:val>
            <c:numRef>
              <c:f>MPR_Auto!$R$13:$R$27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7-D7FB-4E26-8C9A-DE16C27321AF}"/>
            </c:ext>
          </c:extLst>
        </c:ser>
        <c:ser>
          <c:idx val="9"/>
          <c:order val="8"/>
          <c:tx>
            <c:strRef>
              <c:f>MPR_Auto!$S$10</c:f>
              <c:strCache>
                <c:ptCount val="1"/>
              </c:strCache>
            </c:strRef>
          </c:tx>
          <c:spPr>
            <a:ln w="22225" cap="rnd">
              <a:solidFill>
                <a:srgbClr val="FFC000"/>
              </a:solidFill>
              <a:round/>
            </a:ln>
            <a:effectLst/>
          </c:spPr>
          <c:marker>
            <c:symbol val="diamond"/>
            <c:size val="6"/>
            <c:spPr>
              <a:solidFill>
                <a:srgbClr val="FFC000"/>
              </a:solidFill>
              <a:ln w="9525">
                <a:solidFill>
                  <a:schemeClr val="tx1"/>
                </a:solidFill>
                <a:round/>
              </a:ln>
              <a:effectLst/>
            </c:spPr>
          </c:marker>
          <c:val>
            <c:numRef>
              <c:f>MPR_Auto!$S$13:$S$27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8-D7FB-4E26-8C9A-DE16C27321AF}"/>
            </c:ext>
          </c:extLst>
        </c:ser>
        <c:ser>
          <c:idx val="10"/>
          <c:order val="9"/>
          <c:tx>
            <c:strRef>
              <c:f>MPR_Auto!$T$10</c:f>
              <c:strCache>
                <c:ptCount val="1"/>
              </c:strCache>
            </c:strRef>
          </c:tx>
          <c:spPr>
            <a:ln w="22225" cap="rnd">
              <a:solidFill>
                <a:srgbClr val="92D050"/>
              </a:solidFill>
              <a:round/>
            </a:ln>
            <a:effectLst/>
          </c:spPr>
          <c:marker>
            <c:symbol val="square"/>
            <c:size val="6"/>
            <c:spPr>
              <a:solidFill>
                <a:srgbClr val="92D050"/>
              </a:solidFill>
              <a:ln w="9525">
                <a:solidFill>
                  <a:schemeClr val="tx1"/>
                </a:solidFill>
                <a:round/>
              </a:ln>
              <a:effectLst/>
            </c:spPr>
          </c:marker>
          <c:val>
            <c:numRef>
              <c:f>MPR_Auto!$T$13:$T$27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9-D7FB-4E26-8C9A-DE16C27321AF}"/>
            </c:ext>
          </c:extLst>
        </c:ser>
        <c:ser>
          <c:idx val="11"/>
          <c:order val="10"/>
          <c:tx>
            <c:strRef>
              <c:f>MPR_Auto!$U$10</c:f>
              <c:strCache>
                <c:ptCount val="1"/>
              </c:strCache>
            </c:strRef>
          </c:tx>
          <c:spPr>
            <a:ln w="22225" cap="rnd">
              <a:solidFill>
                <a:schemeClr val="accent6">
                  <a:lumMod val="40000"/>
                  <a:lumOff val="60000"/>
                </a:schemeClr>
              </a:solidFill>
              <a:round/>
            </a:ln>
            <a:effectLst/>
          </c:spPr>
          <c:marker>
            <c:symbol val="triangle"/>
            <c:size val="6"/>
            <c:spPr>
              <a:solidFill>
                <a:schemeClr val="accent6">
                  <a:lumMod val="40000"/>
                  <a:lumOff val="60000"/>
                </a:schemeClr>
              </a:solidFill>
              <a:ln w="9525">
                <a:solidFill>
                  <a:schemeClr val="tx1"/>
                </a:solidFill>
                <a:round/>
              </a:ln>
              <a:effectLst/>
            </c:spPr>
          </c:marker>
          <c:val>
            <c:numRef>
              <c:f>MPR_Auto!$U$13:$U$27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A-D7FB-4E26-8C9A-DE16C27321AF}"/>
            </c:ext>
          </c:extLst>
        </c:ser>
        <c:ser>
          <c:idx val="12"/>
          <c:order val="11"/>
          <c:tx>
            <c:strRef>
              <c:f>MPR_Auto!$V$10</c:f>
              <c:strCache>
                <c:ptCount val="1"/>
              </c:strCache>
            </c:strRef>
          </c:tx>
          <c:spPr>
            <a:ln w="22225" cap="rnd">
              <a:solidFill>
                <a:schemeClr val="accent5">
                  <a:lumMod val="50000"/>
                </a:schemeClr>
              </a:solidFill>
              <a:round/>
            </a:ln>
            <a:effectLst/>
          </c:spPr>
          <c:marker>
            <c:symbol val="x"/>
            <c:size val="6"/>
            <c:spPr>
              <a:solidFill>
                <a:schemeClr val="accent5">
                  <a:lumMod val="50000"/>
                </a:schemeClr>
              </a:solidFill>
              <a:ln w="9525">
                <a:solidFill>
                  <a:schemeClr val="tx1"/>
                </a:solidFill>
                <a:round/>
              </a:ln>
              <a:effectLst/>
            </c:spPr>
          </c:marker>
          <c:val>
            <c:numRef>
              <c:f>MPR_Auto!$V$13:$V$27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B-D7FB-4E26-8C9A-DE16C27321AF}"/>
            </c:ext>
          </c:extLst>
        </c:ser>
        <c:ser>
          <c:idx val="13"/>
          <c:order val="12"/>
          <c:tx>
            <c:strRef>
              <c:f>MPR_Auto!$W$10</c:f>
              <c:strCache>
                <c:ptCount val="1"/>
              </c:strCache>
            </c:strRef>
          </c:tx>
          <c:spPr>
            <a:ln w="22225" cap="rnd">
              <a:solidFill>
                <a:srgbClr val="C9A4E4"/>
              </a:solidFill>
              <a:round/>
            </a:ln>
            <a:effectLst/>
          </c:spPr>
          <c:marker>
            <c:symbol val="star"/>
            <c:size val="6"/>
            <c:spPr>
              <a:solidFill>
                <a:srgbClr val="C9A4E4"/>
              </a:solidFill>
              <a:ln w="9525">
                <a:solidFill>
                  <a:schemeClr val="tx1"/>
                </a:solidFill>
                <a:round/>
              </a:ln>
              <a:effectLst/>
            </c:spPr>
          </c:marker>
          <c:val>
            <c:numRef>
              <c:f>MPR_Auto!$W$13:$W$27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C-D7FB-4E26-8C9A-DE16C27321AF}"/>
            </c:ext>
          </c:extLst>
        </c:ser>
        <c:ser>
          <c:idx val="14"/>
          <c:order val="13"/>
          <c:tx>
            <c:strRef>
              <c:f>MPR_Auto!$X$10</c:f>
              <c:strCache>
                <c:ptCount val="1"/>
              </c:strCache>
            </c:strRef>
          </c:tx>
          <c:spPr>
            <a:ln w="22225" cap="rnd">
              <a:solidFill>
                <a:srgbClr val="C00000"/>
              </a:solidFill>
              <a:round/>
            </a:ln>
            <a:effectLst/>
          </c:spPr>
          <c:marker>
            <c:symbol val="circle"/>
            <c:size val="6"/>
            <c:spPr>
              <a:solidFill>
                <a:srgbClr val="C00000"/>
              </a:solidFill>
              <a:ln w="9525">
                <a:solidFill>
                  <a:schemeClr val="tx1"/>
                </a:solidFill>
                <a:round/>
              </a:ln>
              <a:effectLst/>
            </c:spPr>
          </c:marker>
          <c:val>
            <c:numRef>
              <c:f>MPR_Auto!$X$13:$X$27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D-D7FB-4E26-8C9A-DE16C27321AF}"/>
            </c:ext>
          </c:extLst>
        </c:ser>
        <c:ser>
          <c:idx val="15"/>
          <c:order val="14"/>
          <c:tx>
            <c:strRef>
              <c:f>MPR_Auto!$Y$10</c:f>
              <c:strCache>
                <c:ptCount val="1"/>
              </c:strCache>
            </c:strRef>
          </c:tx>
          <c:spPr>
            <a:ln w="22225" cap="rnd">
              <a:solidFill>
                <a:srgbClr val="7030A0"/>
              </a:solidFill>
              <a:round/>
            </a:ln>
            <a:effectLst/>
          </c:spPr>
          <c:marker>
            <c:symbol val="plus"/>
            <c:size val="6"/>
            <c:spPr>
              <a:solidFill>
                <a:srgbClr val="7030A0"/>
              </a:solidFill>
              <a:ln w="9525">
                <a:solidFill>
                  <a:schemeClr val="tx1"/>
                </a:solidFill>
                <a:round/>
              </a:ln>
              <a:effectLst/>
            </c:spPr>
          </c:marker>
          <c:val>
            <c:numRef>
              <c:f>MPR_Auto!$Y$13:$Y$27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E-D7FB-4E26-8C9A-DE16C27321AF}"/>
            </c:ext>
          </c:extLst>
        </c:ser>
        <c:ser>
          <c:idx val="16"/>
          <c:order val="15"/>
          <c:tx>
            <c:strRef>
              <c:f>MPR_Auto!$Z$10</c:f>
              <c:strCache>
                <c:ptCount val="1"/>
              </c:strCache>
            </c:strRef>
          </c:tx>
          <c:spPr>
            <a:ln w="22225" cap="rnd">
              <a:solidFill>
                <a:schemeClr val="bg1">
                  <a:lumMod val="65000"/>
                </a:schemeClr>
              </a:solidFill>
              <a:round/>
            </a:ln>
            <a:effectLst/>
          </c:spPr>
          <c:marker>
            <c:symbol val="dot"/>
            <c:size val="6"/>
            <c:spPr>
              <a:solidFill>
                <a:schemeClr val="bg1">
                  <a:lumMod val="65000"/>
                </a:schemeClr>
              </a:solidFill>
              <a:ln w="9525">
                <a:solidFill>
                  <a:schemeClr val="tx1"/>
                </a:solidFill>
                <a:round/>
              </a:ln>
              <a:effectLst/>
            </c:spPr>
          </c:marker>
          <c:val>
            <c:numRef>
              <c:f>MPR_Auto!$Z$13:$Z$27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F-D7FB-4E26-8C9A-DE16C27321AF}"/>
            </c:ext>
          </c:extLst>
        </c:ser>
        <c:dLbls>
          <c:showLegendKey val="0"/>
          <c:showVal val="0"/>
          <c:showCatName val="0"/>
          <c:showSerName val="0"/>
          <c:showPercent val="0"/>
          <c:showBubbleSize val="0"/>
        </c:dLbls>
        <c:marker val="1"/>
        <c:smooth val="0"/>
        <c:axId val="130263975"/>
        <c:axId val="130260015"/>
      </c:lineChart>
      <c:catAx>
        <c:axId val="130263975"/>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autonomous seconds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0260015"/>
        <c:crosses val="autoZero"/>
        <c:auto val="1"/>
        <c:lblAlgn val="ctr"/>
        <c:lblOffset val="100"/>
        <c:noMultiLvlLbl val="0"/>
      </c:catAx>
      <c:valAx>
        <c:axId val="130260015"/>
        <c:scaling>
          <c:orientation val="minMax"/>
          <c:max val="6"/>
          <c:min val="-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a:t>
                </a:r>
                <a:r>
                  <a:rPr lang="en-US" baseline="0"/>
                  <a:t>dis) ce</a:t>
                </a:r>
                <a:r>
                  <a:rPr lang="en-US"/>
                  <a:t>nter note id (acq)</a:t>
                </a:r>
              </a:p>
            </c:rich>
          </c:tx>
          <c:layout>
            <c:manualLayout>
              <c:xMode val="edge"/>
              <c:yMode val="edge"/>
              <c:x val="1.9631452318460189E-2"/>
              <c:y val="0.25624154935178556"/>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63975"/>
        <c:crosses val="autoZero"/>
        <c:crossBetween val="between"/>
        <c:majorUnit val="1"/>
      </c:valAx>
      <c:spPr>
        <a:noFill/>
        <a:ln>
          <a:noFill/>
        </a:ln>
        <a:effectLst/>
      </c:spPr>
    </c:plotArea>
    <c:legend>
      <c:legendPos val="r"/>
      <c:layout>
        <c:manualLayout>
          <c:xMode val="edge"/>
          <c:yMode val="edge"/>
          <c:x val="0.8746666666666667"/>
          <c:y val="3.2833187518226899E-2"/>
          <c:w val="0.10866666666666666"/>
          <c:h val="0.929981773111694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center</a:t>
            </a:r>
            <a:r>
              <a:rPr lang="en-US" baseline="0"/>
              <a:t> Station - </a:t>
            </a:r>
            <a:r>
              <a:rPr lang="en-US"/>
              <a:t>Autonomous </a:t>
            </a:r>
            <a:r>
              <a:rPr lang="en-US" baseline="0"/>
              <a:t>center note contact</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MPR_Auto!$K$30</c:f>
              <c:strCache>
                <c:ptCount val="1"/>
                <c:pt idx="0">
                  <c:v>3 (P)</c:v>
                </c:pt>
              </c:strCache>
            </c:strRef>
          </c:tx>
          <c:spPr>
            <a:ln w="22225" cap="rnd">
              <a:solidFill>
                <a:srgbClr val="FF0000"/>
              </a:solidFill>
              <a:round/>
            </a:ln>
            <a:effectLst/>
          </c:spPr>
          <c:marker>
            <c:symbol val="square"/>
            <c:size val="6"/>
            <c:spPr>
              <a:solidFill>
                <a:srgbClr val="FF000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MPR_Auto!$K$33:$K$47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0-48FE-4E01-A8A0-B9D9394377AF}"/>
            </c:ext>
          </c:extLst>
        </c:ser>
        <c:ser>
          <c:idx val="2"/>
          <c:order val="1"/>
          <c:tx>
            <c:strRef>
              <c:f>MPR_Auto!$L$30</c:f>
              <c:strCache>
                <c:ptCount val="1"/>
                <c:pt idx="0">
                  <c:v>10 (A)</c:v>
                </c:pt>
              </c:strCache>
            </c:strRef>
          </c:tx>
          <c:spPr>
            <a:ln w="22225" cap="rnd">
              <a:solidFill>
                <a:srgbClr val="FFFF00"/>
              </a:solidFill>
              <a:round/>
            </a:ln>
            <a:effectLst/>
          </c:spPr>
          <c:marker>
            <c:symbol val="triangle"/>
            <c:size val="6"/>
            <c:spPr>
              <a:solidFill>
                <a:srgbClr val="FFFF0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MPR_Auto!$L$33:$L$47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1-48FE-4E01-A8A0-B9D9394377AF}"/>
            </c:ext>
          </c:extLst>
        </c:ser>
        <c:ser>
          <c:idx val="3"/>
          <c:order val="2"/>
          <c:tx>
            <c:strRef>
              <c:f>MPR_Auto!$M$30</c:f>
              <c:strCache>
                <c:ptCount val="1"/>
                <c:pt idx="0">
                  <c:v>20 (A)</c:v>
                </c:pt>
              </c:strCache>
            </c:strRef>
          </c:tx>
          <c:spPr>
            <a:ln w="22225" cap="rnd">
              <a:solidFill>
                <a:srgbClr val="00B050"/>
              </a:solidFill>
              <a:round/>
            </a:ln>
            <a:effectLst/>
          </c:spPr>
          <c:marker>
            <c:symbol val="x"/>
            <c:size val="6"/>
            <c:spPr>
              <a:solidFill>
                <a:srgbClr val="00B05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MPR_Auto!$M$33:$M$47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2-48FE-4E01-A8A0-B9D9394377AF}"/>
            </c:ext>
          </c:extLst>
        </c:ser>
        <c:ser>
          <c:idx val="4"/>
          <c:order val="3"/>
          <c:tx>
            <c:strRef>
              <c:f>MPR_Auto!$N$30</c:f>
              <c:strCache>
                <c:ptCount val="1"/>
                <c:pt idx="0">
                  <c:v>27 (_)</c:v>
                </c:pt>
              </c:strCache>
            </c:strRef>
          </c:tx>
          <c:spPr>
            <a:ln w="22225" cap="rnd">
              <a:solidFill>
                <a:srgbClr val="00B0F0"/>
              </a:solidFill>
              <a:round/>
            </a:ln>
            <a:effectLst/>
          </c:spPr>
          <c:marker>
            <c:symbol val="star"/>
            <c:size val="6"/>
            <c:spPr>
              <a:solidFill>
                <a:srgbClr val="00B0F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MPR_Auto!$N$33:$N$47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3-48FE-4E01-A8A0-B9D9394377AF}"/>
            </c:ext>
          </c:extLst>
        </c:ser>
        <c:ser>
          <c:idx val="5"/>
          <c:order val="4"/>
          <c:tx>
            <c:strRef>
              <c:f>MPR_Auto!$O$30</c:f>
              <c:strCache>
                <c:ptCount val="1"/>
                <c:pt idx="0">
                  <c:v>41 (S)</c:v>
                </c:pt>
              </c:strCache>
            </c:strRef>
          </c:tx>
          <c:spPr>
            <a:ln w="22225" cap="rnd">
              <a:solidFill>
                <a:srgbClr val="0070C0"/>
              </a:solidFill>
              <a:round/>
            </a:ln>
            <a:effectLst/>
          </c:spPr>
          <c:marker>
            <c:symbol val="circle"/>
            <c:size val="6"/>
            <c:spPr>
              <a:solidFill>
                <a:srgbClr val="0070C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MPR_Auto!$O$33:$O$47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4-48FE-4E01-A8A0-B9D9394377AF}"/>
            </c:ext>
          </c:extLst>
        </c:ser>
        <c:ser>
          <c:idx val="6"/>
          <c:order val="5"/>
          <c:tx>
            <c:strRef>
              <c:f>MPR_Auto!$P$30</c:f>
              <c:strCache>
                <c:ptCount val="1"/>
                <c:pt idx="0">
                  <c:v>46 (P)</c:v>
                </c:pt>
              </c:strCache>
            </c:strRef>
          </c:tx>
          <c:spPr>
            <a:ln w="22225" cap="rnd">
              <a:solidFill>
                <a:srgbClr val="FF00FF"/>
              </a:solidFill>
              <a:round/>
            </a:ln>
            <a:effectLst/>
          </c:spPr>
          <c:marker>
            <c:symbol val="plus"/>
            <c:size val="6"/>
            <c:spPr>
              <a:solidFill>
                <a:srgbClr val="FF00FF"/>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MPR_Auto!$P$33:$P$47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5-48FE-4E01-A8A0-B9D9394377AF}"/>
            </c:ext>
          </c:extLst>
        </c:ser>
        <c:ser>
          <c:idx val="7"/>
          <c:order val="6"/>
          <c:tx>
            <c:strRef>
              <c:f>MPR_Auto!$Q$30</c:f>
              <c:strCache>
                <c:ptCount val="1"/>
                <c:pt idx="0">
                  <c:v>56 (A)</c:v>
                </c:pt>
              </c:strCache>
            </c:strRef>
          </c:tx>
          <c:spPr>
            <a:ln w="22225" cap="rnd">
              <a:solidFill>
                <a:sysClr val="windowText" lastClr="000000"/>
              </a:solidFill>
              <a:round/>
            </a:ln>
            <a:effectLst/>
          </c:spPr>
          <c:marker>
            <c:symbol val="dot"/>
            <c:size val="6"/>
            <c:spPr>
              <a:solidFill>
                <a:schemeClr val="tx1"/>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MPR_Auto!$Q$33:$Q$47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6-48FE-4E01-A8A0-B9D9394377AF}"/>
            </c:ext>
          </c:extLst>
        </c:ser>
        <c:ser>
          <c:idx val="8"/>
          <c:order val="7"/>
          <c:tx>
            <c:strRef>
              <c:f>MPR_Auto!$R$30</c:f>
              <c:strCache>
                <c:ptCount val="1"/>
              </c:strCache>
            </c:strRef>
          </c:tx>
          <c:spPr>
            <a:ln w="22225" cap="rnd">
              <a:solidFill>
                <a:srgbClr val="FF0000">
                  <a:lumMod val="40000"/>
                  <a:lumOff val="60000"/>
                </a:srgbClr>
              </a:solidFill>
              <a:round/>
            </a:ln>
            <a:effectLst/>
          </c:spPr>
          <c:marker>
            <c:symbol val="dash"/>
            <c:size val="6"/>
            <c:spPr>
              <a:solidFill>
                <a:schemeClr val="accent1">
                  <a:lumMod val="40000"/>
                  <a:lumOff val="60000"/>
                </a:schemeClr>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MPR_Auto!$R$33:$R$47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7-48FE-4E01-A8A0-B9D9394377AF}"/>
            </c:ext>
          </c:extLst>
        </c:ser>
        <c:ser>
          <c:idx val="9"/>
          <c:order val="8"/>
          <c:tx>
            <c:strRef>
              <c:f>MPR_Auto!$S$30</c:f>
              <c:strCache>
                <c:ptCount val="1"/>
              </c:strCache>
            </c:strRef>
          </c:tx>
          <c:spPr>
            <a:ln w="22225" cap="rnd">
              <a:solidFill>
                <a:srgbClr val="FFC000"/>
              </a:solidFill>
              <a:round/>
            </a:ln>
            <a:effectLst/>
          </c:spPr>
          <c:marker>
            <c:symbol val="diamond"/>
            <c:size val="6"/>
            <c:spPr>
              <a:solidFill>
                <a:srgbClr val="FFC00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MPR_Auto!$S$33:$S$47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8-48FE-4E01-A8A0-B9D9394377AF}"/>
            </c:ext>
          </c:extLst>
        </c:ser>
        <c:ser>
          <c:idx val="10"/>
          <c:order val="9"/>
          <c:tx>
            <c:strRef>
              <c:f>MPR_Auto!$T$30</c:f>
              <c:strCache>
                <c:ptCount val="1"/>
              </c:strCache>
            </c:strRef>
          </c:tx>
          <c:spPr>
            <a:ln w="22225" cap="rnd">
              <a:solidFill>
                <a:srgbClr val="92D050"/>
              </a:solidFill>
              <a:round/>
            </a:ln>
            <a:effectLst/>
          </c:spPr>
          <c:marker>
            <c:symbol val="square"/>
            <c:size val="6"/>
            <c:spPr>
              <a:solidFill>
                <a:srgbClr val="92D05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MPR_Auto!$T$33:$T$47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9-48FE-4E01-A8A0-B9D9394377AF}"/>
            </c:ext>
          </c:extLst>
        </c:ser>
        <c:ser>
          <c:idx val="11"/>
          <c:order val="10"/>
          <c:tx>
            <c:strRef>
              <c:f>MPR_Auto!$U$30</c:f>
              <c:strCache>
                <c:ptCount val="1"/>
              </c:strCache>
            </c:strRef>
          </c:tx>
          <c:spPr>
            <a:ln w="22225" cap="rnd">
              <a:solidFill>
                <a:srgbClr val="40AFFF">
                  <a:lumMod val="40000"/>
                  <a:lumOff val="60000"/>
                </a:srgbClr>
              </a:solidFill>
              <a:round/>
            </a:ln>
            <a:effectLst/>
          </c:spPr>
          <c:marker>
            <c:symbol val="triangle"/>
            <c:size val="6"/>
            <c:spPr>
              <a:solidFill>
                <a:schemeClr val="accent6">
                  <a:lumMod val="40000"/>
                  <a:lumOff val="60000"/>
                </a:schemeClr>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MPR_Auto!$U$33:$U$47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A-48FE-4E01-A8A0-B9D9394377AF}"/>
            </c:ext>
          </c:extLst>
        </c:ser>
        <c:ser>
          <c:idx val="12"/>
          <c:order val="11"/>
          <c:tx>
            <c:strRef>
              <c:f>MPR_Auto!$V$30</c:f>
              <c:strCache>
                <c:ptCount val="1"/>
              </c:strCache>
            </c:strRef>
          </c:tx>
          <c:spPr>
            <a:ln w="22225" cap="rnd">
              <a:solidFill>
                <a:srgbClr val="BFE4FF">
                  <a:lumMod val="50000"/>
                </a:srgbClr>
              </a:solidFill>
              <a:round/>
            </a:ln>
            <a:effectLst/>
          </c:spPr>
          <c:marker>
            <c:symbol val="x"/>
            <c:size val="6"/>
            <c:spPr>
              <a:solidFill>
                <a:schemeClr val="accent5">
                  <a:lumMod val="50000"/>
                </a:schemeClr>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MPR_Auto!$V$33:$V$47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B-48FE-4E01-A8A0-B9D9394377AF}"/>
            </c:ext>
          </c:extLst>
        </c:ser>
        <c:ser>
          <c:idx val="13"/>
          <c:order val="12"/>
          <c:tx>
            <c:strRef>
              <c:f>MPR_Auto!$W$30</c:f>
              <c:strCache>
                <c:ptCount val="1"/>
              </c:strCache>
            </c:strRef>
          </c:tx>
          <c:spPr>
            <a:ln w="22225" cap="rnd">
              <a:solidFill>
                <a:srgbClr val="C9A4E4"/>
              </a:solidFill>
              <a:round/>
            </a:ln>
            <a:effectLst/>
          </c:spPr>
          <c:marker>
            <c:symbol val="star"/>
            <c:size val="6"/>
            <c:spPr>
              <a:solidFill>
                <a:srgbClr val="C9A4E4"/>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MPR_Auto!$W$33:$W$47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C-48FE-4E01-A8A0-B9D9394377AF}"/>
            </c:ext>
          </c:extLst>
        </c:ser>
        <c:ser>
          <c:idx val="14"/>
          <c:order val="13"/>
          <c:tx>
            <c:strRef>
              <c:f>MPR_Auto!$X$30</c:f>
              <c:strCache>
                <c:ptCount val="1"/>
              </c:strCache>
            </c:strRef>
          </c:tx>
          <c:spPr>
            <a:ln w="22225" cap="rnd">
              <a:solidFill>
                <a:srgbClr val="C00000"/>
              </a:solidFill>
              <a:round/>
            </a:ln>
            <a:effectLst/>
          </c:spPr>
          <c:marker>
            <c:symbol val="circle"/>
            <c:size val="6"/>
            <c:spPr>
              <a:solidFill>
                <a:srgbClr val="C0000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MPR_Auto!$X$33:$X$47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D-48FE-4E01-A8A0-B9D9394377AF}"/>
            </c:ext>
          </c:extLst>
        </c:ser>
        <c:ser>
          <c:idx val="15"/>
          <c:order val="14"/>
          <c:tx>
            <c:strRef>
              <c:f>MPR_Auto!$Y$30</c:f>
              <c:strCache>
                <c:ptCount val="1"/>
              </c:strCache>
            </c:strRef>
          </c:tx>
          <c:spPr>
            <a:ln w="22225" cap="rnd">
              <a:solidFill>
                <a:srgbClr val="7030A0"/>
              </a:solidFill>
              <a:round/>
            </a:ln>
            <a:effectLst/>
          </c:spPr>
          <c:marker>
            <c:symbol val="plus"/>
            <c:size val="6"/>
            <c:spPr>
              <a:solidFill>
                <a:srgbClr val="7030A0"/>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MPR_Auto!$Y$33:$Y$47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E-48FE-4E01-A8A0-B9D9394377AF}"/>
            </c:ext>
          </c:extLst>
        </c:ser>
        <c:ser>
          <c:idx val="16"/>
          <c:order val="15"/>
          <c:tx>
            <c:strRef>
              <c:f>MPR_Auto!$Z$30</c:f>
              <c:strCache>
                <c:ptCount val="1"/>
              </c:strCache>
            </c:strRef>
          </c:tx>
          <c:spPr>
            <a:ln w="22225" cap="rnd">
              <a:solidFill>
                <a:sysClr val="window" lastClr="FFFFFF">
                  <a:lumMod val="65000"/>
                </a:sysClr>
              </a:solidFill>
              <a:round/>
            </a:ln>
            <a:effectLst/>
          </c:spPr>
          <c:marker>
            <c:symbol val="dot"/>
            <c:size val="6"/>
            <c:spPr>
              <a:solidFill>
                <a:schemeClr val="bg1">
                  <a:lumMod val="65000"/>
                </a:schemeClr>
              </a:solidFill>
              <a:ln w="9525">
                <a:solidFill>
                  <a:schemeClr val="tx1"/>
                </a:solidFill>
                <a:round/>
              </a:ln>
              <a:effectLst/>
            </c:spPr>
          </c:marker>
          <c:cat>
            <c:numRef>
              <c:f>MPR_Auto!$J$33:$J$47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MPR_Auto!$Z$33:$Z$47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F-48FE-4E01-A8A0-B9D9394377AF}"/>
            </c:ext>
          </c:extLst>
        </c:ser>
        <c:dLbls>
          <c:showLegendKey val="0"/>
          <c:showVal val="0"/>
          <c:showCatName val="0"/>
          <c:showSerName val="0"/>
          <c:showPercent val="0"/>
          <c:showBubbleSize val="0"/>
        </c:dLbls>
        <c:marker val="1"/>
        <c:smooth val="0"/>
        <c:axId val="130263975"/>
        <c:axId val="130260015"/>
      </c:lineChart>
      <c:catAx>
        <c:axId val="130263975"/>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autonomous seconds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0260015"/>
        <c:crosses val="autoZero"/>
        <c:auto val="1"/>
        <c:lblAlgn val="ctr"/>
        <c:lblOffset val="100"/>
        <c:noMultiLvlLbl val="0"/>
      </c:catAx>
      <c:valAx>
        <c:axId val="130260015"/>
        <c:scaling>
          <c:orientation val="minMax"/>
          <c:max val="6"/>
          <c:min val="-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a:t>
                </a:r>
                <a:r>
                  <a:rPr lang="en-US" baseline="0"/>
                  <a:t>dis) ce</a:t>
                </a:r>
                <a:r>
                  <a:rPr lang="en-US"/>
                  <a:t>nter note id (acq)</a:t>
                </a:r>
              </a:p>
            </c:rich>
          </c:tx>
          <c:layout>
            <c:manualLayout>
              <c:xMode val="edge"/>
              <c:yMode val="edge"/>
              <c:x val="1.9631452318460189E-2"/>
              <c:y val="0.25624154935178556"/>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63975"/>
        <c:crosses val="autoZero"/>
        <c:crossBetween val="between"/>
        <c:majorUnit val="1"/>
      </c:valAx>
      <c:spPr>
        <a:noFill/>
        <a:ln>
          <a:noFill/>
        </a:ln>
        <a:effectLst/>
      </c:spPr>
    </c:plotArea>
    <c:legend>
      <c:legendPos val="r"/>
      <c:layout>
        <c:manualLayout>
          <c:xMode val="edge"/>
          <c:yMode val="edge"/>
          <c:x val="0.8746666666666667"/>
          <c:y val="3.2833187518226899E-2"/>
          <c:w val="0.10866666666666666"/>
          <c:h val="0.929981773111694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source</a:t>
            </a:r>
            <a:r>
              <a:rPr lang="en-US" baseline="0"/>
              <a:t> Station - </a:t>
            </a:r>
            <a:r>
              <a:rPr lang="en-US"/>
              <a:t>Autonomous </a:t>
            </a:r>
            <a:r>
              <a:rPr lang="en-US" baseline="0"/>
              <a:t>center note contact</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MPR_Auto!$K$50</c:f>
              <c:strCache>
                <c:ptCount val="1"/>
                <c:pt idx="0">
                  <c:v>2 (S)</c:v>
                </c:pt>
              </c:strCache>
            </c:strRef>
          </c:tx>
          <c:spPr>
            <a:ln w="22225" cap="rnd">
              <a:solidFill>
                <a:srgbClr val="FF0000"/>
              </a:solidFill>
              <a:round/>
            </a:ln>
            <a:effectLst/>
          </c:spPr>
          <c:marker>
            <c:symbol val="square"/>
            <c:size val="6"/>
            <c:spPr>
              <a:solidFill>
                <a:srgbClr val="FF000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MPR_Auto!$K$53:$K$67</c:f>
              <c:numCache>
                <c:formatCode>General</c:formatCode>
                <c:ptCount val="15"/>
                <c:pt idx="0">
                  <c:v>0</c:v>
                </c:pt>
                <c:pt idx="1">
                  <c:v>0</c:v>
                </c:pt>
                <c:pt idx="2">
                  <c:v>0</c:v>
                </c:pt>
                <c:pt idx="3">
                  <c:v>0</c:v>
                </c:pt>
                <c:pt idx="4">
                  <c:v>0</c:v>
                </c:pt>
                <c:pt idx="5">
                  <c:v>0</c:v>
                </c:pt>
                <c:pt idx="6">
                  <c:v>0</c:v>
                </c:pt>
                <c:pt idx="7">
                  <c:v>0</c:v>
                </c:pt>
                <c:pt idx="8">
                  <c:v>5.0199999999999996</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0-1FC1-4198-96C2-CFCA7D3A8D91}"/>
            </c:ext>
          </c:extLst>
        </c:ser>
        <c:ser>
          <c:idx val="2"/>
          <c:order val="1"/>
          <c:tx>
            <c:strRef>
              <c:f>MPR_Auto!$L$50</c:f>
              <c:strCache>
                <c:ptCount val="1"/>
                <c:pt idx="0">
                  <c:v>15 (S)</c:v>
                </c:pt>
              </c:strCache>
            </c:strRef>
          </c:tx>
          <c:spPr>
            <a:ln w="22225" cap="rnd">
              <a:solidFill>
                <a:srgbClr val="FFFF00"/>
              </a:solidFill>
              <a:round/>
            </a:ln>
            <a:effectLst/>
          </c:spPr>
          <c:marker>
            <c:symbol val="triangle"/>
            <c:size val="6"/>
            <c:spPr>
              <a:solidFill>
                <a:srgbClr val="FFFF0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MPR_Auto!$L$53:$L$67</c:f>
              <c:numCache>
                <c:formatCode>General</c:formatCode>
                <c:ptCount val="15"/>
                <c:pt idx="0">
                  <c:v>0</c:v>
                </c:pt>
                <c:pt idx="1">
                  <c:v>0</c:v>
                </c:pt>
                <c:pt idx="2">
                  <c:v>0</c:v>
                </c:pt>
                <c:pt idx="3">
                  <c:v>0</c:v>
                </c:pt>
                <c:pt idx="4">
                  <c:v>0</c:v>
                </c:pt>
                <c:pt idx="5">
                  <c:v>0</c:v>
                </c:pt>
                <c:pt idx="6">
                  <c:v>0</c:v>
                </c:pt>
                <c:pt idx="7">
                  <c:v>0</c:v>
                </c:pt>
                <c:pt idx="8">
                  <c:v>0</c:v>
                </c:pt>
                <c:pt idx="9">
                  <c:v>5.15</c:v>
                </c:pt>
                <c:pt idx="10">
                  <c:v>0</c:v>
                </c:pt>
                <c:pt idx="11">
                  <c:v>0</c:v>
                </c:pt>
                <c:pt idx="12">
                  <c:v>0</c:v>
                </c:pt>
                <c:pt idx="13">
                  <c:v>0</c:v>
                </c:pt>
                <c:pt idx="14">
                  <c:v>0</c:v>
                </c:pt>
              </c:numCache>
            </c:numRef>
          </c:val>
          <c:smooth val="0"/>
          <c:extLst>
            <c:ext xmlns:c16="http://schemas.microsoft.com/office/drawing/2014/chart" uri="{C3380CC4-5D6E-409C-BE32-E72D297353CC}">
              <c16:uniqueId val="{00000001-1FC1-4198-96C2-CFCA7D3A8D91}"/>
            </c:ext>
          </c:extLst>
        </c:ser>
        <c:ser>
          <c:idx val="3"/>
          <c:order val="2"/>
          <c:tx>
            <c:strRef>
              <c:f>MPR_Auto!$M$50</c:f>
              <c:strCache>
                <c:ptCount val="1"/>
                <c:pt idx="0">
                  <c:v>21 (S)</c:v>
                </c:pt>
              </c:strCache>
            </c:strRef>
          </c:tx>
          <c:spPr>
            <a:ln w="22225" cap="rnd">
              <a:solidFill>
                <a:srgbClr val="00B050"/>
              </a:solidFill>
              <a:round/>
            </a:ln>
            <a:effectLst/>
          </c:spPr>
          <c:marker>
            <c:symbol val="x"/>
            <c:size val="6"/>
            <c:spPr>
              <a:solidFill>
                <a:srgbClr val="00B05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MPR_Auto!$M$53:$M$67</c:f>
              <c:numCache>
                <c:formatCode>General</c:formatCode>
                <c:ptCount val="15"/>
                <c:pt idx="0">
                  <c:v>0</c:v>
                </c:pt>
                <c:pt idx="1">
                  <c:v>0</c:v>
                </c:pt>
                <c:pt idx="2">
                  <c:v>0</c:v>
                </c:pt>
                <c:pt idx="3">
                  <c:v>0</c:v>
                </c:pt>
                <c:pt idx="4">
                  <c:v>0</c:v>
                </c:pt>
                <c:pt idx="5">
                  <c:v>0</c:v>
                </c:pt>
                <c:pt idx="6">
                  <c:v>0</c:v>
                </c:pt>
                <c:pt idx="7">
                  <c:v>0</c:v>
                </c:pt>
                <c:pt idx="8">
                  <c:v>5.21</c:v>
                </c:pt>
                <c:pt idx="9">
                  <c:v>0</c:v>
                </c:pt>
                <c:pt idx="10">
                  <c:v>0</c:v>
                </c:pt>
                <c:pt idx="11">
                  <c:v>0</c:v>
                </c:pt>
                <c:pt idx="12">
                  <c:v>0</c:v>
                </c:pt>
                <c:pt idx="13">
                  <c:v>0</c:v>
                </c:pt>
                <c:pt idx="14">
                  <c:v>3.21</c:v>
                </c:pt>
              </c:numCache>
            </c:numRef>
          </c:val>
          <c:smooth val="0"/>
          <c:extLst>
            <c:ext xmlns:c16="http://schemas.microsoft.com/office/drawing/2014/chart" uri="{C3380CC4-5D6E-409C-BE32-E72D297353CC}">
              <c16:uniqueId val="{00000002-1FC1-4198-96C2-CFCA7D3A8D91}"/>
            </c:ext>
          </c:extLst>
        </c:ser>
        <c:ser>
          <c:idx val="4"/>
          <c:order val="3"/>
          <c:tx>
            <c:strRef>
              <c:f>MPR_Auto!$N$50</c:f>
              <c:strCache>
                <c:ptCount val="1"/>
                <c:pt idx="0">
                  <c:v>31 (P)</c:v>
                </c:pt>
              </c:strCache>
            </c:strRef>
          </c:tx>
          <c:spPr>
            <a:ln w="22225" cap="rnd">
              <a:solidFill>
                <a:srgbClr val="00B0F0"/>
              </a:solidFill>
              <a:round/>
            </a:ln>
            <a:effectLst/>
          </c:spPr>
          <c:marker>
            <c:symbol val="star"/>
            <c:size val="6"/>
            <c:spPr>
              <a:solidFill>
                <a:srgbClr val="00B0F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MPR_Auto!$N$53:$N$67</c:f>
              <c:numCache>
                <c:formatCode>General</c:formatCode>
                <c:ptCount val="15"/>
                <c:pt idx="0">
                  <c:v>0</c:v>
                </c:pt>
                <c:pt idx="1">
                  <c:v>0</c:v>
                </c:pt>
                <c:pt idx="2">
                  <c:v>3.31</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3-1FC1-4198-96C2-CFCA7D3A8D91}"/>
            </c:ext>
          </c:extLst>
        </c:ser>
        <c:ser>
          <c:idx val="5"/>
          <c:order val="4"/>
          <c:tx>
            <c:strRef>
              <c:f>MPR_Auto!$O$50</c:f>
              <c:strCache>
                <c:ptCount val="1"/>
                <c:pt idx="0">
                  <c:v>37 (S)</c:v>
                </c:pt>
              </c:strCache>
            </c:strRef>
          </c:tx>
          <c:spPr>
            <a:ln w="22225" cap="rnd">
              <a:solidFill>
                <a:srgbClr val="0070C0"/>
              </a:solidFill>
              <a:round/>
            </a:ln>
            <a:effectLst/>
          </c:spPr>
          <c:marker>
            <c:symbol val="circle"/>
            <c:size val="6"/>
            <c:spPr>
              <a:solidFill>
                <a:srgbClr val="0070C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MPR_Auto!$O$53:$O$67</c:f>
              <c:numCache>
                <c:formatCode>General</c:formatCode>
                <c:ptCount val="15"/>
                <c:pt idx="0">
                  <c:v>0</c:v>
                </c:pt>
                <c:pt idx="1">
                  <c:v>0</c:v>
                </c:pt>
                <c:pt idx="2">
                  <c:v>0</c:v>
                </c:pt>
                <c:pt idx="3">
                  <c:v>0</c:v>
                </c:pt>
                <c:pt idx="4">
                  <c:v>0</c:v>
                </c:pt>
                <c:pt idx="5">
                  <c:v>0</c:v>
                </c:pt>
                <c:pt idx="6">
                  <c:v>3.37</c:v>
                </c:pt>
                <c:pt idx="7">
                  <c:v>0</c:v>
                </c:pt>
                <c:pt idx="8">
                  <c:v>5.37</c:v>
                </c:pt>
                <c:pt idx="9">
                  <c:v>0</c:v>
                </c:pt>
                <c:pt idx="10">
                  <c:v>0</c:v>
                </c:pt>
                <c:pt idx="11">
                  <c:v>0</c:v>
                </c:pt>
                <c:pt idx="12">
                  <c:v>0</c:v>
                </c:pt>
                <c:pt idx="13">
                  <c:v>4.37</c:v>
                </c:pt>
                <c:pt idx="14">
                  <c:v>0</c:v>
                </c:pt>
              </c:numCache>
            </c:numRef>
          </c:val>
          <c:smooth val="0"/>
          <c:extLst>
            <c:ext xmlns:c16="http://schemas.microsoft.com/office/drawing/2014/chart" uri="{C3380CC4-5D6E-409C-BE32-E72D297353CC}">
              <c16:uniqueId val="{00000004-1FC1-4198-96C2-CFCA7D3A8D91}"/>
            </c:ext>
          </c:extLst>
        </c:ser>
        <c:ser>
          <c:idx val="6"/>
          <c:order val="5"/>
          <c:tx>
            <c:strRef>
              <c:f>MPR_Auto!$P$50</c:f>
              <c:strCache>
                <c:ptCount val="1"/>
                <c:pt idx="0">
                  <c:v>44 (S)</c:v>
                </c:pt>
              </c:strCache>
            </c:strRef>
          </c:tx>
          <c:spPr>
            <a:ln w="22225" cap="rnd">
              <a:solidFill>
                <a:srgbClr val="FF00FF"/>
              </a:solidFill>
              <a:round/>
            </a:ln>
            <a:effectLst/>
          </c:spPr>
          <c:marker>
            <c:symbol val="plus"/>
            <c:size val="6"/>
            <c:spPr>
              <a:solidFill>
                <a:srgbClr val="FF00FF"/>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MPR_Auto!$P$53:$P$67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4.4400000000000004</c:v>
                </c:pt>
                <c:pt idx="13">
                  <c:v>0</c:v>
                </c:pt>
                <c:pt idx="14">
                  <c:v>0</c:v>
                </c:pt>
              </c:numCache>
            </c:numRef>
          </c:val>
          <c:smooth val="0"/>
          <c:extLst>
            <c:ext xmlns:c16="http://schemas.microsoft.com/office/drawing/2014/chart" uri="{C3380CC4-5D6E-409C-BE32-E72D297353CC}">
              <c16:uniqueId val="{00000005-1FC1-4198-96C2-CFCA7D3A8D91}"/>
            </c:ext>
          </c:extLst>
        </c:ser>
        <c:ser>
          <c:idx val="7"/>
          <c:order val="6"/>
          <c:tx>
            <c:strRef>
              <c:f>MPR_Auto!$Q$50</c:f>
              <c:strCache>
                <c:ptCount val="1"/>
                <c:pt idx="0">
                  <c:v>56 (S)</c:v>
                </c:pt>
              </c:strCache>
            </c:strRef>
          </c:tx>
          <c:spPr>
            <a:ln w="22225" cap="rnd">
              <a:solidFill>
                <a:sysClr val="windowText" lastClr="000000"/>
              </a:solidFill>
              <a:round/>
            </a:ln>
            <a:effectLst/>
          </c:spPr>
          <c:marker>
            <c:symbol val="dot"/>
            <c:size val="6"/>
            <c:spPr>
              <a:solidFill>
                <a:schemeClr val="tx1"/>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MPR_Auto!$Q$53:$Q$67</c:f>
              <c:numCache>
                <c:formatCode>General</c:formatCode>
                <c:ptCount val="15"/>
                <c:pt idx="0">
                  <c:v>0</c:v>
                </c:pt>
                <c:pt idx="1">
                  <c:v>0</c:v>
                </c:pt>
                <c:pt idx="2">
                  <c:v>0</c:v>
                </c:pt>
                <c:pt idx="3">
                  <c:v>0</c:v>
                </c:pt>
                <c:pt idx="4">
                  <c:v>0</c:v>
                </c:pt>
                <c:pt idx="5">
                  <c:v>0</c:v>
                </c:pt>
                <c:pt idx="6">
                  <c:v>0</c:v>
                </c:pt>
                <c:pt idx="7">
                  <c:v>0</c:v>
                </c:pt>
                <c:pt idx="8">
                  <c:v>-5.5600000000000005</c:v>
                </c:pt>
                <c:pt idx="9">
                  <c:v>0</c:v>
                </c:pt>
                <c:pt idx="10">
                  <c:v>0</c:v>
                </c:pt>
                <c:pt idx="11">
                  <c:v>0</c:v>
                </c:pt>
                <c:pt idx="12">
                  <c:v>0</c:v>
                </c:pt>
                <c:pt idx="13">
                  <c:v>0</c:v>
                </c:pt>
                <c:pt idx="14">
                  <c:v>4.5600000000000005</c:v>
                </c:pt>
              </c:numCache>
            </c:numRef>
          </c:val>
          <c:smooth val="0"/>
          <c:extLst>
            <c:ext xmlns:c16="http://schemas.microsoft.com/office/drawing/2014/chart" uri="{C3380CC4-5D6E-409C-BE32-E72D297353CC}">
              <c16:uniqueId val="{00000006-1FC1-4198-96C2-CFCA7D3A8D91}"/>
            </c:ext>
          </c:extLst>
        </c:ser>
        <c:ser>
          <c:idx val="8"/>
          <c:order val="7"/>
          <c:tx>
            <c:strRef>
              <c:f>MPR_Auto!$R$50</c:f>
              <c:strCache>
                <c:ptCount val="1"/>
              </c:strCache>
            </c:strRef>
          </c:tx>
          <c:spPr>
            <a:ln w="22225" cap="rnd">
              <a:solidFill>
                <a:srgbClr val="FF0000">
                  <a:lumMod val="40000"/>
                  <a:lumOff val="60000"/>
                </a:srgbClr>
              </a:solidFill>
              <a:round/>
            </a:ln>
            <a:effectLst/>
          </c:spPr>
          <c:marker>
            <c:symbol val="dash"/>
            <c:size val="6"/>
            <c:spPr>
              <a:solidFill>
                <a:schemeClr val="accent1">
                  <a:lumMod val="40000"/>
                  <a:lumOff val="60000"/>
                </a:schemeClr>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MPR_Auto!$R$53:$R$67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7-1FC1-4198-96C2-CFCA7D3A8D91}"/>
            </c:ext>
          </c:extLst>
        </c:ser>
        <c:ser>
          <c:idx val="9"/>
          <c:order val="8"/>
          <c:tx>
            <c:strRef>
              <c:f>MPR_Auto!$S$50</c:f>
              <c:strCache>
                <c:ptCount val="1"/>
              </c:strCache>
            </c:strRef>
          </c:tx>
          <c:spPr>
            <a:ln w="22225" cap="rnd">
              <a:solidFill>
                <a:srgbClr val="FFC000"/>
              </a:solidFill>
              <a:round/>
            </a:ln>
            <a:effectLst/>
          </c:spPr>
          <c:marker>
            <c:symbol val="diamond"/>
            <c:size val="6"/>
            <c:spPr>
              <a:solidFill>
                <a:srgbClr val="FFC00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MPR_Auto!$S$53:$S$67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8-1FC1-4198-96C2-CFCA7D3A8D91}"/>
            </c:ext>
          </c:extLst>
        </c:ser>
        <c:ser>
          <c:idx val="10"/>
          <c:order val="9"/>
          <c:tx>
            <c:strRef>
              <c:f>MPR_Auto!$T$50</c:f>
              <c:strCache>
                <c:ptCount val="1"/>
              </c:strCache>
            </c:strRef>
          </c:tx>
          <c:spPr>
            <a:ln w="22225" cap="rnd">
              <a:solidFill>
                <a:srgbClr val="92D050"/>
              </a:solidFill>
              <a:round/>
            </a:ln>
            <a:effectLst/>
          </c:spPr>
          <c:marker>
            <c:symbol val="square"/>
            <c:size val="6"/>
            <c:spPr>
              <a:solidFill>
                <a:srgbClr val="92D05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MPR_Auto!$T$53:$T$67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9-1FC1-4198-96C2-CFCA7D3A8D91}"/>
            </c:ext>
          </c:extLst>
        </c:ser>
        <c:ser>
          <c:idx val="11"/>
          <c:order val="10"/>
          <c:tx>
            <c:strRef>
              <c:f>MPR_Auto!$U$50</c:f>
              <c:strCache>
                <c:ptCount val="1"/>
              </c:strCache>
            </c:strRef>
          </c:tx>
          <c:spPr>
            <a:ln w="22225" cap="rnd">
              <a:solidFill>
                <a:srgbClr val="40AFFF">
                  <a:lumMod val="40000"/>
                  <a:lumOff val="60000"/>
                </a:srgbClr>
              </a:solidFill>
              <a:round/>
            </a:ln>
            <a:effectLst/>
          </c:spPr>
          <c:marker>
            <c:symbol val="triangle"/>
            <c:size val="6"/>
            <c:spPr>
              <a:solidFill>
                <a:schemeClr val="accent6">
                  <a:lumMod val="40000"/>
                  <a:lumOff val="60000"/>
                </a:schemeClr>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MPR_Auto!$U$53:$U$67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A-1FC1-4198-96C2-CFCA7D3A8D91}"/>
            </c:ext>
          </c:extLst>
        </c:ser>
        <c:ser>
          <c:idx val="12"/>
          <c:order val="11"/>
          <c:tx>
            <c:strRef>
              <c:f>MPR_Auto!$V$50</c:f>
              <c:strCache>
                <c:ptCount val="1"/>
              </c:strCache>
            </c:strRef>
          </c:tx>
          <c:spPr>
            <a:ln w="22225" cap="rnd">
              <a:solidFill>
                <a:srgbClr val="BFE4FF">
                  <a:lumMod val="50000"/>
                </a:srgbClr>
              </a:solidFill>
              <a:round/>
            </a:ln>
            <a:effectLst/>
          </c:spPr>
          <c:marker>
            <c:symbol val="x"/>
            <c:size val="6"/>
            <c:spPr>
              <a:solidFill>
                <a:schemeClr val="accent5">
                  <a:lumMod val="50000"/>
                </a:schemeClr>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MPR_Auto!$V$53:$V$67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B-1FC1-4198-96C2-CFCA7D3A8D91}"/>
            </c:ext>
          </c:extLst>
        </c:ser>
        <c:ser>
          <c:idx val="13"/>
          <c:order val="12"/>
          <c:tx>
            <c:strRef>
              <c:f>MPR_Auto!$W$50</c:f>
              <c:strCache>
                <c:ptCount val="1"/>
              </c:strCache>
            </c:strRef>
          </c:tx>
          <c:spPr>
            <a:ln w="22225" cap="rnd">
              <a:solidFill>
                <a:srgbClr val="C9A4E4"/>
              </a:solidFill>
              <a:round/>
            </a:ln>
            <a:effectLst/>
          </c:spPr>
          <c:marker>
            <c:symbol val="star"/>
            <c:size val="6"/>
            <c:spPr>
              <a:solidFill>
                <a:srgbClr val="C9A4E4"/>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MPR_Auto!$W$53:$W$67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C-1FC1-4198-96C2-CFCA7D3A8D91}"/>
            </c:ext>
          </c:extLst>
        </c:ser>
        <c:ser>
          <c:idx val="14"/>
          <c:order val="13"/>
          <c:tx>
            <c:strRef>
              <c:f>MPR_Auto!$X$50</c:f>
              <c:strCache>
                <c:ptCount val="1"/>
              </c:strCache>
            </c:strRef>
          </c:tx>
          <c:spPr>
            <a:ln w="22225" cap="rnd">
              <a:solidFill>
                <a:srgbClr val="C00000"/>
              </a:solidFill>
              <a:round/>
            </a:ln>
            <a:effectLst/>
          </c:spPr>
          <c:marker>
            <c:symbol val="circle"/>
            <c:size val="6"/>
            <c:spPr>
              <a:solidFill>
                <a:srgbClr val="C0000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MPR_Auto!$X$53:$X$67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D-1FC1-4198-96C2-CFCA7D3A8D91}"/>
            </c:ext>
          </c:extLst>
        </c:ser>
        <c:ser>
          <c:idx val="15"/>
          <c:order val="14"/>
          <c:tx>
            <c:strRef>
              <c:f>MPR_Auto!$Y$50</c:f>
              <c:strCache>
                <c:ptCount val="1"/>
              </c:strCache>
            </c:strRef>
          </c:tx>
          <c:spPr>
            <a:ln w="22225" cap="rnd">
              <a:solidFill>
                <a:srgbClr val="7030A0"/>
              </a:solidFill>
              <a:round/>
            </a:ln>
            <a:effectLst/>
          </c:spPr>
          <c:marker>
            <c:symbol val="plus"/>
            <c:size val="6"/>
            <c:spPr>
              <a:solidFill>
                <a:srgbClr val="7030A0"/>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MPR_Auto!$Y$53:$Y$67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E-1FC1-4198-96C2-CFCA7D3A8D91}"/>
            </c:ext>
          </c:extLst>
        </c:ser>
        <c:ser>
          <c:idx val="16"/>
          <c:order val="15"/>
          <c:tx>
            <c:strRef>
              <c:f>MPR_Auto!$Z$50</c:f>
              <c:strCache>
                <c:ptCount val="1"/>
              </c:strCache>
            </c:strRef>
          </c:tx>
          <c:spPr>
            <a:ln w="22225" cap="rnd">
              <a:solidFill>
                <a:sysClr val="window" lastClr="FFFFFF">
                  <a:lumMod val="65000"/>
                </a:sysClr>
              </a:solidFill>
              <a:round/>
            </a:ln>
            <a:effectLst/>
          </c:spPr>
          <c:marker>
            <c:symbol val="dot"/>
            <c:size val="6"/>
            <c:spPr>
              <a:solidFill>
                <a:schemeClr val="bg1">
                  <a:lumMod val="65000"/>
                </a:schemeClr>
              </a:solidFill>
              <a:ln w="9525">
                <a:solidFill>
                  <a:schemeClr val="tx1"/>
                </a:solidFill>
                <a:round/>
              </a:ln>
              <a:effectLst/>
            </c:spPr>
          </c:marker>
          <c:cat>
            <c:numRef>
              <c:f>MPR_Auto!$J$53:$J$67</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MPR_Auto!$Z$53:$Z$67</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F-1FC1-4198-96C2-CFCA7D3A8D91}"/>
            </c:ext>
          </c:extLst>
        </c:ser>
        <c:dLbls>
          <c:showLegendKey val="0"/>
          <c:showVal val="0"/>
          <c:showCatName val="0"/>
          <c:showSerName val="0"/>
          <c:showPercent val="0"/>
          <c:showBubbleSize val="0"/>
        </c:dLbls>
        <c:marker val="1"/>
        <c:smooth val="0"/>
        <c:axId val="130263975"/>
        <c:axId val="130260015"/>
      </c:lineChart>
      <c:catAx>
        <c:axId val="130263975"/>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autonomous seconds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0260015"/>
        <c:crosses val="autoZero"/>
        <c:auto val="1"/>
        <c:lblAlgn val="ctr"/>
        <c:lblOffset val="100"/>
        <c:noMultiLvlLbl val="0"/>
      </c:catAx>
      <c:valAx>
        <c:axId val="130260015"/>
        <c:scaling>
          <c:orientation val="minMax"/>
          <c:max val="6"/>
          <c:min val="-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a:t>
                </a:r>
                <a:r>
                  <a:rPr lang="en-US" baseline="0"/>
                  <a:t>dis) ce</a:t>
                </a:r>
                <a:r>
                  <a:rPr lang="en-US"/>
                  <a:t>nter note id (acq)</a:t>
                </a:r>
              </a:p>
            </c:rich>
          </c:tx>
          <c:layout>
            <c:manualLayout>
              <c:xMode val="edge"/>
              <c:yMode val="edge"/>
              <c:x val="1.9631452318460189E-2"/>
              <c:y val="0.25624154935178556"/>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63975"/>
        <c:crosses val="autoZero"/>
        <c:crossBetween val="between"/>
        <c:majorUnit val="1"/>
      </c:valAx>
      <c:spPr>
        <a:noFill/>
        <a:ln>
          <a:noFill/>
        </a:ln>
        <a:effectLst/>
      </c:spPr>
    </c:plotArea>
    <c:legend>
      <c:legendPos val="r"/>
      <c:layout>
        <c:manualLayout>
          <c:xMode val="edge"/>
          <c:yMode val="edge"/>
          <c:x val="0.8746666666666667"/>
          <c:y val="3.2833187518226899E-2"/>
          <c:w val="0.10866666666666666"/>
          <c:h val="0.929981773111694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Autonomous Points per Match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MPR_Alliance!$B$17</c:f>
              <c:strCache>
                <c:ptCount val="1"/>
                <c:pt idx="0">
                  <c:v>Red</c:v>
                </c:pt>
              </c:strCache>
            </c:strRef>
          </c:tx>
          <c:spPr>
            <a:solidFill>
              <a:schemeClr val="accent1"/>
            </a:solidFill>
            <a:ln>
              <a:solidFill>
                <a:schemeClr val="accent1"/>
              </a:solidFill>
            </a:ln>
            <a:effectLst/>
          </c:spPr>
          <c:invertIfNegative val="0"/>
          <c:cat>
            <c:strRef>
              <c:f>MPR_Alliance!$A$18:$A$23</c:f>
              <c:strCache>
                <c:ptCount val="6"/>
                <c:pt idx="0">
                  <c:v>frc2791</c:v>
                </c:pt>
                <c:pt idx="1">
                  <c:v>frc5016</c:v>
                </c:pt>
                <c:pt idx="2">
                  <c:v>frc1591</c:v>
                </c:pt>
                <c:pt idx="3">
                  <c:v>frc5993</c:v>
                </c:pt>
                <c:pt idx="4">
                  <c:v>frc1559</c:v>
                </c:pt>
                <c:pt idx="5">
                  <c:v>frc3173</c:v>
                </c:pt>
              </c:strCache>
            </c:strRef>
          </c:cat>
          <c:val>
            <c:numRef>
              <c:f>MPR_Alliance!$B$18:$B$23</c:f>
              <c:numCache>
                <c:formatCode>0.00</c:formatCode>
                <c:ptCount val="6"/>
                <c:pt idx="0">
                  <c:v>5.833333333333333</c:v>
                </c:pt>
                <c:pt idx="1">
                  <c:v>3.6666666666666665</c:v>
                </c:pt>
                <c:pt idx="2">
                  <c:v>17.428571428571427</c:v>
                </c:pt>
              </c:numCache>
            </c:numRef>
          </c:val>
          <c:extLst>
            <c:ext xmlns:c16="http://schemas.microsoft.com/office/drawing/2014/chart" uri="{C3380CC4-5D6E-409C-BE32-E72D297353CC}">
              <c16:uniqueId val="{00000000-8D88-4177-BB9F-9289DBCE8F19}"/>
            </c:ext>
          </c:extLst>
        </c:ser>
        <c:ser>
          <c:idx val="1"/>
          <c:order val="1"/>
          <c:tx>
            <c:strRef>
              <c:f>MPR_Alliance!$C$17</c:f>
              <c:strCache>
                <c:ptCount val="1"/>
                <c:pt idx="0">
                  <c:v>Blue</c:v>
                </c:pt>
              </c:strCache>
            </c:strRef>
          </c:tx>
          <c:spPr>
            <a:solidFill>
              <a:schemeClr val="accent4"/>
            </a:solidFill>
            <a:ln>
              <a:solidFill>
                <a:schemeClr val="accent4"/>
              </a:solidFill>
            </a:ln>
            <a:effectLst/>
          </c:spPr>
          <c:invertIfNegative val="0"/>
          <c:cat>
            <c:strRef>
              <c:f>MPR_Alliance!$A$18:$A$23</c:f>
              <c:strCache>
                <c:ptCount val="6"/>
                <c:pt idx="0">
                  <c:v>frc2791</c:v>
                </c:pt>
                <c:pt idx="1">
                  <c:v>frc5016</c:v>
                </c:pt>
                <c:pt idx="2">
                  <c:v>frc1591</c:v>
                </c:pt>
                <c:pt idx="3">
                  <c:v>frc5993</c:v>
                </c:pt>
                <c:pt idx="4">
                  <c:v>frc1559</c:v>
                </c:pt>
                <c:pt idx="5">
                  <c:v>frc3173</c:v>
                </c:pt>
              </c:strCache>
            </c:strRef>
          </c:cat>
          <c:val>
            <c:numRef>
              <c:f>MPR_Alliance!$C$18:$C$23</c:f>
              <c:numCache>
                <c:formatCode>0.00</c:formatCode>
                <c:ptCount val="6"/>
                <c:pt idx="3">
                  <c:v>2.8333333333333335</c:v>
                </c:pt>
                <c:pt idx="4">
                  <c:v>2.1666666666666665</c:v>
                </c:pt>
                <c:pt idx="5">
                  <c:v>19.600000000000001</c:v>
                </c:pt>
              </c:numCache>
            </c:numRef>
          </c:val>
          <c:extLst>
            <c:ext xmlns:c16="http://schemas.microsoft.com/office/drawing/2014/chart" uri="{C3380CC4-5D6E-409C-BE32-E72D297353CC}">
              <c16:uniqueId val="{00000001-8D88-4177-BB9F-9289DBCE8F19}"/>
            </c:ext>
          </c:extLst>
        </c:ser>
        <c:dLbls>
          <c:showLegendKey val="0"/>
          <c:showVal val="0"/>
          <c:showCatName val="0"/>
          <c:showSerName val="0"/>
          <c:showPercent val="0"/>
          <c:showBubbleSize val="0"/>
        </c:dLbls>
        <c:gapWidth val="150"/>
        <c:overlap val="100"/>
        <c:axId val="1267892048"/>
        <c:axId val="1267893848"/>
      </c:barChart>
      <c:catAx>
        <c:axId val="1267892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893848"/>
        <c:crosses val="autoZero"/>
        <c:auto val="1"/>
        <c:lblAlgn val="ctr"/>
        <c:lblOffset val="100"/>
        <c:noMultiLvlLbl val="0"/>
      </c:catAx>
      <c:valAx>
        <c:axId val="12678938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892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Teleoperated Deliveries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Thresholds</c:v>
          </c:tx>
          <c:dPt>
            <c:idx val="0"/>
            <c:bubble3D val="0"/>
            <c:spPr>
              <a:solidFill>
                <a:srgbClr val="FF0000"/>
              </a:solidFill>
              <a:ln>
                <a:noFill/>
              </a:ln>
              <a:effectLst/>
            </c:spPr>
            <c:extLst>
              <c:ext xmlns:c16="http://schemas.microsoft.com/office/drawing/2014/chart" uri="{C3380CC4-5D6E-409C-BE32-E72D297353CC}">
                <c16:uniqueId val="{00000001-89BE-451C-BD4C-887F883D1DDA}"/>
              </c:ext>
            </c:extLst>
          </c:dPt>
          <c:dPt>
            <c:idx val="1"/>
            <c:bubble3D val="0"/>
            <c:spPr>
              <a:solidFill>
                <a:srgbClr val="FFFF00"/>
              </a:solidFill>
              <a:ln>
                <a:noFill/>
              </a:ln>
              <a:effectLst/>
            </c:spPr>
            <c:extLst>
              <c:ext xmlns:c16="http://schemas.microsoft.com/office/drawing/2014/chart" uri="{C3380CC4-5D6E-409C-BE32-E72D297353CC}">
                <c16:uniqueId val="{00000003-89BE-451C-BD4C-887F883D1DDA}"/>
              </c:ext>
            </c:extLst>
          </c:dPt>
          <c:dPt>
            <c:idx val="2"/>
            <c:bubble3D val="0"/>
            <c:spPr>
              <a:solidFill>
                <a:srgbClr val="00B050"/>
              </a:solidFill>
              <a:ln>
                <a:noFill/>
              </a:ln>
              <a:effectLst/>
            </c:spPr>
            <c:extLst>
              <c:ext xmlns:c16="http://schemas.microsoft.com/office/drawing/2014/chart" uri="{C3380CC4-5D6E-409C-BE32-E72D297353CC}">
                <c16:uniqueId val="{00000005-89BE-451C-BD4C-887F883D1DDA}"/>
              </c:ext>
            </c:extLst>
          </c:dPt>
          <c:dPt>
            <c:idx val="3"/>
            <c:bubble3D val="0"/>
            <c:spPr>
              <a:solidFill>
                <a:srgbClr val="00B050"/>
              </a:solidFill>
              <a:ln>
                <a:noFill/>
              </a:ln>
              <a:effectLst/>
            </c:spPr>
            <c:extLst>
              <c:ext xmlns:c16="http://schemas.microsoft.com/office/drawing/2014/chart" uri="{C3380CC4-5D6E-409C-BE32-E72D297353CC}">
                <c16:uniqueId val="{00000007-89BE-451C-BD4C-887F883D1DDA}"/>
              </c:ext>
            </c:extLst>
          </c:dPt>
          <c:dPt>
            <c:idx val="4"/>
            <c:bubble3D val="0"/>
            <c:spPr>
              <a:solidFill>
                <a:srgbClr val="FFFF00"/>
              </a:solidFill>
              <a:ln>
                <a:noFill/>
              </a:ln>
              <a:effectLst/>
            </c:spPr>
            <c:extLst>
              <c:ext xmlns:c16="http://schemas.microsoft.com/office/drawing/2014/chart" uri="{C3380CC4-5D6E-409C-BE32-E72D297353CC}">
                <c16:uniqueId val="{00000009-89BE-451C-BD4C-887F883D1DDA}"/>
              </c:ext>
            </c:extLst>
          </c:dPt>
          <c:dPt>
            <c:idx val="5"/>
            <c:bubble3D val="0"/>
            <c:spPr>
              <a:solidFill>
                <a:srgbClr val="FF0000"/>
              </a:solidFill>
              <a:ln>
                <a:noFill/>
              </a:ln>
              <a:effectLst/>
            </c:spPr>
            <c:extLst>
              <c:ext xmlns:c16="http://schemas.microsoft.com/office/drawing/2014/chart" uri="{C3380CC4-5D6E-409C-BE32-E72D297353CC}">
                <c16:uniqueId val="{0000000B-89BE-451C-BD4C-887F883D1DDA}"/>
              </c:ext>
            </c:extLst>
          </c:dPt>
          <c:val>
            <c:numRef>
              <c:f>MPR_Teleop!$B$10:$B$15</c:f>
              <c:numCache>
                <c:formatCode>General</c:formatCode>
                <c:ptCount val="6"/>
                <c:pt idx="0">
                  <c:v>25</c:v>
                </c:pt>
                <c:pt idx="1">
                  <c:v>50</c:v>
                </c:pt>
                <c:pt idx="2">
                  <c:v>25</c:v>
                </c:pt>
                <c:pt idx="3">
                  <c:v>25</c:v>
                </c:pt>
                <c:pt idx="4">
                  <c:v>50</c:v>
                </c:pt>
                <c:pt idx="5">
                  <c:v>25</c:v>
                </c:pt>
              </c:numCache>
            </c:numRef>
          </c:val>
          <c:extLst>
            <c:ext xmlns:c16="http://schemas.microsoft.com/office/drawing/2014/chart" uri="{C3380CC4-5D6E-409C-BE32-E72D297353CC}">
              <c16:uniqueId val="{0000000C-89BE-451C-BD4C-887F883D1DDA}"/>
            </c:ext>
          </c:extLst>
        </c:ser>
        <c:dLbls>
          <c:showLegendKey val="0"/>
          <c:showVal val="0"/>
          <c:showCatName val="0"/>
          <c:showSerName val="0"/>
          <c:showPercent val="0"/>
          <c:showBubbleSize val="0"/>
          <c:showLeaderLines val="1"/>
        </c:dLbls>
        <c:firstSliceAng val="180"/>
        <c:holeSize val="75"/>
      </c:doughnutChart>
      <c:pieChart>
        <c:varyColors val="1"/>
        <c:ser>
          <c:idx val="1"/>
          <c:order val="1"/>
          <c:tx>
            <c:v>Amp</c:v>
          </c:tx>
          <c:dPt>
            <c:idx val="0"/>
            <c:bubble3D val="0"/>
            <c:spPr>
              <a:noFill/>
              <a:ln>
                <a:noFill/>
              </a:ln>
              <a:effectLst/>
            </c:spPr>
            <c:extLst>
              <c:ext xmlns:c16="http://schemas.microsoft.com/office/drawing/2014/chart" uri="{C3380CC4-5D6E-409C-BE32-E72D297353CC}">
                <c16:uniqueId val="{0000000E-89BE-451C-BD4C-887F883D1DDA}"/>
              </c:ext>
            </c:extLst>
          </c:dPt>
          <c:dPt>
            <c:idx val="1"/>
            <c:bubble3D val="0"/>
            <c:spPr>
              <a:solidFill>
                <a:schemeClr val="tx1"/>
              </a:solidFill>
              <a:ln>
                <a:noFill/>
              </a:ln>
              <a:effectLst/>
            </c:spPr>
            <c:extLst>
              <c:ext xmlns:c16="http://schemas.microsoft.com/office/drawing/2014/chart" uri="{C3380CC4-5D6E-409C-BE32-E72D297353CC}">
                <c16:uniqueId val="{00000010-89BE-451C-BD4C-887F883D1DDA}"/>
              </c:ext>
            </c:extLst>
          </c:dPt>
          <c:dPt>
            <c:idx val="2"/>
            <c:bubble3D val="0"/>
            <c:spPr>
              <a:noFill/>
              <a:ln>
                <a:noFill/>
              </a:ln>
              <a:effectLst/>
            </c:spPr>
            <c:extLst>
              <c:ext xmlns:c16="http://schemas.microsoft.com/office/drawing/2014/chart" uri="{C3380CC4-5D6E-409C-BE32-E72D297353CC}">
                <c16:uniqueId val="{00000012-89BE-451C-BD4C-887F883D1DDA}"/>
              </c:ext>
            </c:extLst>
          </c:dPt>
          <c:val>
            <c:numRef>
              <c:f>MPR_Teleop!$C$10:$C$12</c:f>
              <c:numCache>
                <c:formatCode>General</c:formatCode>
                <c:ptCount val="3"/>
                <c:pt idx="0">
                  <c:v>9.717948717948719</c:v>
                </c:pt>
                <c:pt idx="1">
                  <c:v>1.5</c:v>
                </c:pt>
                <c:pt idx="2">
                  <c:v>88.782051282051285</c:v>
                </c:pt>
              </c:numCache>
            </c:numRef>
          </c:val>
          <c:extLst>
            <c:ext xmlns:c16="http://schemas.microsoft.com/office/drawing/2014/chart" uri="{C3380CC4-5D6E-409C-BE32-E72D297353CC}">
              <c16:uniqueId val="{00000013-89BE-451C-BD4C-887F883D1DDA}"/>
            </c:ext>
          </c:extLst>
        </c:ser>
        <c:dLbls>
          <c:showLegendKey val="0"/>
          <c:showVal val="0"/>
          <c:showCatName val="0"/>
          <c:showSerName val="0"/>
          <c:showPercent val="0"/>
          <c:showBubbleSize val="0"/>
          <c:showLeaderLines val="1"/>
        </c:dLbls>
        <c:firstSliceAng val="180"/>
        <c:extLst/>
      </c:pieChart>
      <c:pieChart>
        <c:varyColors val="1"/>
        <c:ser>
          <c:idx val="3"/>
          <c:order val="2"/>
          <c:tx>
            <c:v>Speaker</c:v>
          </c:tx>
          <c:dPt>
            <c:idx val="0"/>
            <c:bubble3D val="0"/>
            <c:explosion val="3"/>
            <c:spPr>
              <a:noFill/>
              <a:ln>
                <a:noFill/>
              </a:ln>
              <a:effectLst/>
            </c:spPr>
            <c:extLst>
              <c:ext xmlns:c16="http://schemas.microsoft.com/office/drawing/2014/chart" uri="{C3380CC4-5D6E-409C-BE32-E72D297353CC}">
                <c16:uniqueId val="{00000015-89BE-451C-BD4C-887F883D1DDA}"/>
              </c:ext>
            </c:extLst>
          </c:dPt>
          <c:dPt>
            <c:idx val="1"/>
            <c:bubble3D val="0"/>
            <c:spPr>
              <a:solidFill>
                <a:srgbClr val="FFC000"/>
              </a:solidFill>
              <a:ln>
                <a:noFill/>
              </a:ln>
              <a:effectLst/>
            </c:spPr>
            <c:extLst>
              <c:ext xmlns:c16="http://schemas.microsoft.com/office/drawing/2014/chart" uri="{C3380CC4-5D6E-409C-BE32-E72D297353CC}">
                <c16:uniqueId val="{00000017-89BE-451C-BD4C-887F883D1DDA}"/>
              </c:ext>
            </c:extLst>
          </c:dPt>
          <c:dPt>
            <c:idx val="2"/>
            <c:bubble3D val="0"/>
            <c:spPr>
              <a:noFill/>
              <a:ln>
                <a:noFill/>
              </a:ln>
              <a:effectLst/>
            </c:spPr>
            <c:extLst>
              <c:ext xmlns:c16="http://schemas.microsoft.com/office/drawing/2014/chart" uri="{C3380CC4-5D6E-409C-BE32-E72D297353CC}">
                <c16:uniqueId val="{00000019-89BE-451C-BD4C-887F883D1DDA}"/>
              </c:ext>
            </c:extLst>
          </c:dPt>
          <c:val>
            <c:numRef>
              <c:f>MPR_Teleop!$D$10:$D$12</c:f>
              <c:numCache>
                <c:formatCode>General</c:formatCode>
                <c:ptCount val="3"/>
                <c:pt idx="0">
                  <c:v>80.536458333333329</c:v>
                </c:pt>
                <c:pt idx="1">
                  <c:v>1.5</c:v>
                </c:pt>
                <c:pt idx="2">
                  <c:v>19.463541666666668</c:v>
                </c:pt>
              </c:numCache>
            </c:numRef>
          </c:val>
          <c:extLst>
            <c:ext xmlns:c16="http://schemas.microsoft.com/office/drawing/2014/chart" uri="{C3380CC4-5D6E-409C-BE32-E72D297353CC}">
              <c16:uniqueId val="{0000001A-89BE-451C-BD4C-887F883D1DDA}"/>
            </c:ext>
          </c:extLst>
        </c:ser>
        <c:dLbls>
          <c:showLegendKey val="0"/>
          <c:showVal val="0"/>
          <c:showCatName val="0"/>
          <c:showSerName val="0"/>
          <c:showPercent val="0"/>
          <c:showBubbleSize val="0"/>
          <c:showLeaderLines val="1"/>
        </c:dLbls>
        <c:firstSliceAng val="18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Teleoperated Deliveries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Thresholds</c:v>
          </c:tx>
          <c:dPt>
            <c:idx val="0"/>
            <c:bubble3D val="0"/>
            <c:spPr>
              <a:solidFill>
                <a:srgbClr val="FF0000"/>
              </a:solidFill>
              <a:ln>
                <a:noFill/>
              </a:ln>
              <a:effectLst/>
            </c:spPr>
            <c:extLst>
              <c:ext xmlns:c16="http://schemas.microsoft.com/office/drawing/2014/chart" uri="{C3380CC4-5D6E-409C-BE32-E72D297353CC}">
                <c16:uniqueId val="{00000001-C648-412D-8829-63D7F320C09F}"/>
              </c:ext>
            </c:extLst>
          </c:dPt>
          <c:dPt>
            <c:idx val="1"/>
            <c:bubble3D val="0"/>
            <c:spPr>
              <a:solidFill>
                <a:srgbClr val="FFFF00"/>
              </a:solidFill>
              <a:ln>
                <a:noFill/>
              </a:ln>
              <a:effectLst/>
            </c:spPr>
            <c:extLst>
              <c:ext xmlns:c16="http://schemas.microsoft.com/office/drawing/2014/chart" uri="{C3380CC4-5D6E-409C-BE32-E72D297353CC}">
                <c16:uniqueId val="{00000003-C648-412D-8829-63D7F320C09F}"/>
              </c:ext>
            </c:extLst>
          </c:dPt>
          <c:dPt>
            <c:idx val="2"/>
            <c:bubble3D val="0"/>
            <c:spPr>
              <a:solidFill>
                <a:srgbClr val="00B050"/>
              </a:solidFill>
              <a:ln>
                <a:noFill/>
              </a:ln>
              <a:effectLst/>
            </c:spPr>
            <c:extLst>
              <c:ext xmlns:c16="http://schemas.microsoft.com/office/drawing/2014/chart" uri="{C3380CC4-5D6E-409C-BE32-E72D297353CC}">
                <c16:uniqueId val="{00000005-C648-412D-8829-63D7F320C09F}"/>
              </c:ext>
            </c:extLst>
          </c:dPt>
          <c:dPt>
            <c:idx val="3"/>
            <c:bubble3D val="0"/>
            <c:spPr>
              <a:solidFill>
                <a:srgbClr val="00B050"/>
              </a:solidFill>
              <a:ln>
                <a:noFill/>
              </a:ln>
              <a:effectLst/>
            </c:spPr>
            <c:extLst>
              <c:ext xmlns:c16="http://schemas.microsoft.com/office/drawing/2014/chart" uri="{C3380CC4-5D6E-409C-BE32-E72D297353CC}">
                <c16:uniqueId val="{00000007-C648-412D-8829-63D7F320C09F}"/>
              </c:ext>
            </c:extLst>
          </c:dPt>
          <c:dPt>
            <c:idx val="4"/>
            <c:bubble3D val="0"/>
            <c:spPr>
              <a:solidFill>
                <a:srgbClr val="FFFF00"/>
              </a:solidFill>
              <a:ln>
                <a:noFill/>
              </a:ln>
              <a:effectLst/>
            </c:spPr>
            <c:extLst>
              <c:ext xmlns:c16="http://schemas.microsoft.com/office/drawing/2014/chart" uri="{C3380CC4-5D6E-409C-BE32-E72D297353CC}">
                <c16:uniqueId val="{00000009-C648-412D-8829-63D7F320C09F}"/>
              </c:ext>
            </c:extLst>
          </c:dPt>
          <c:dPt>
            <c:idx val="5"/>
            <c:bubble3D val="0"/>
            <c:spPr>
              <a:solidFill>
                <a:srgbClr val="FF0000"/>
              </a:solidFill>
              <a:ln>
                <a:noFill/>
              </a:ln>
              <a:effectLst/>
            </c:spPr>
            <c:extLst>
              <c:ext xmlns:c16="http://schemas.microsoft.com/office/drawing/2014/chart" uri="{C3380CC4-5D6E-409C-BE32-E72D297353CC}">
                <c16:uniqueId val="{0000000B-C648-412D-8829-63D7F320C09F}"/>
              </c:ext>
            </c:extLst>
          </c:dPt>
          <c:val>
            <c:numRef>
              <c:f>MPR_Teleop!$B$20:$B$25</c:f>
              <c:numCache>
                <c:formatCode>General</c:formatCode>
                <c:ptCount val="6"/>
                <c:pt idx="0">
                  <c:v>25</c:v>
                </c:pt>
                <c:pt idx="1">
                  <c:v>50</c:v>
                </c:pt>
                <c:pt idx="2">
                  <c:v>25</c:v>
                </c:pt>
                <c:pt idx="3">
                  <c:v>25</c:v>
                </c:pt>
                <c:pt idx="4">
                  <c:v>50</c:v>
                </c:pt>
                <c:pt idx="5">
                  <c:v>25</c:v>
                </c:pt>
              </c:numCache>
            </c:numRef>
          </c:val>
          <c:extLst>
            <c:ext xmlns:c16="http://schemas.microsoft.com/office/drawing/2014/chart" uri="{C3380CC4-5D6E-409C-BE32-E72D297353CC}">
              <c16:uniqueId val="{0000000C-C648-412D-8829-63D7F320C09F}"/>
            </c:ext>
          </c:extLst>
        </c:ser>
        <c:dLbls>
          <c:showLegendKey val="0"/>
          <c:showVal val="0"/>
          <c:showCatName val="0"/>
          <c:showSerName val="0"/>
          <c:showPercent val="0"/>
          <c:showBubbleSize val="0"/>
          <c:showLeaderLines val="1"/>
        </c:dLbls>
        <c:firstSliceAng val="180"/>
        <c:holeSize val="75"/>
      </c:doughnutChart>
      <c:pieChart>
        <c:varyColors val="1"/>
        <c:ser>
          <c:idx val="1"/>
          <c:order val="1"/>
          <c:tx>
            <c:v>Amp</c:v>
          </c:tx>
          <c:dPt>
            <c:idx val="0"/>
            <c:bubble3D val="0"/>
            <c:spPr>
              <a:noFill/>
              <a:ln>
                <a:noFill/>
              </a:ln>
              <a:effectLst/>
            </c:spPr>
            <c:extLst>
              <c:ext xmlns:c16="http://schemas.microsoft.com/office/drawing/2014/chart" uri="{C3380CC4-5D6E-409C-BE32-E72D297353CC}">
                <c16:uniqueId val="{0000000E-C648-412D-8829-63D7F320C09F}"/>
              </c:ext>
            </c:extLst>
          </c:dPt>
          <c:dPt>
            <c:idx val="1"/>
            <c:bubble3D val="0"/>
            <c:spPr>
              <a:solidFill>
                <a:schemeClr val="tx1"/>
              </a:solidFill>
              <a:ln>
                <a:noFill/>
              </a:ln>
              <a:effectLst/>
            </c:spPr>
            <c:extLst>
              <c:ext xmlns:c16="http://schemas.microsoft.com/office/drawing/2014/chart" uri="{C3380CC4-5D6E-409C-BE32-E72D297353CC}">
                <c16:uniqueId val="{00000010-C648-412D-8829-63D7F320C09F}"/>
              </c:ext>
            </c:extLst>
          </c:dPt>
          <c:dPt>
            <c:idx val="2"/>
            <c:bubble3D val="0"/>
            <c:spPr>
              <a:noFill/>
              <a:ln>
                <a:noFill/>
              </a:ln>
              <a:effectLst/>
            </c:spPr>
            <c:extLst>
              <c:ext xmlns:c16="http://schemas.microsoft.com/office/drawing/2014/chart" uri="{C3380CC4-5D6E-409C-BE32-E72D297353CC}">
                <c16:uniqueId val="{00000012-C648-412D-8829-63D7F320C09F}"/>
              </c:ext>
            </c:extLst>
          </c:dPt>
          <c:val>
            <c:numRef>
              <c:f>MPR_Teleop!$C$20:$C$22</c:f>
              <c:numCache>
                <c:formatCode>General</c:formatCode>
                <c:ptCount val="3"/>
                <c:pt idx="0">
                  <c:v>1.7051282051282048</c:v>
                </c:pt>
                <c:pt idx="1">
                  <c:v>1.5</c:v>
                </c:pt>
                <c:pt idx="2">
                  <c:v>96.794871794871796</c:v>
                </c:pt>
              </c:numCache>
            </c:numRef>
          </c:val>
          <c:extLst>
            <c:ext xmlns:c16="http://schemas.microsoft.com/office/drawing/2014/chart" uri="{C3380CC4-5D6E-409C-BE32-E72D297353CC}">
              <c16:uniqueId val="{00000013-C648-412D-8829-63D7F320C09F}"/>
            </c:ext>
          </c:extLst>
        </c:ser>
        <c:dLbls>
          <c:showLegendKey val="0"/>
          <c:showVal val="0"/>
          <c:showCatName val="0"/>
          <c:showSerName val="0"/>
          <c:showPercent val="0"/>
          <c:showBubbleSize val="0"/>
          <c:showLeaderLines val="1"/>
        </c:dLbls>
        <c:firstSliceAng val="180"/>
        <c:extLst/>
      </c:pieChart>
      <c:pieChart>
        <c:varyColors val="1"/>
        <c:ser>
          <c:idx val="3"/>
          <c:order val="2"/>
          <c:tx>
            <c:v>Speaker</c:v>
          </c:tx>
          <c:dPt>
            <c:idx val="0"/>
            <c:bubble3D val="0"/>
            <c:spPr>
              <a:noFill/>
              <a:ln>
                <a:noFill/>
              </a:ln>
              <a:effectLst/>
            </c:spPr>
            <c:extLst>
              <c:ext xmlns:c16="http://schemas.microsoft.com/office/drawing/2014/chart" uri="{C3380CC4-5D6E-409C-BE32-E72D297353CC}">
                <c16:uniqueId val="{00000015-C648-412D-8829-63D7F320C09F}"/>
              </c:ext>
            </c:extLst>
          </c:dPt>
          <c:dPt>
            <c:idx val="1"/>
            <c:bubble3D val="0"/>
            <c:spPr>
              <a:solidFill>
                <a:srgbClr val="FFC000"/>
              </a:solidFill>
              <a:ln>
                <a:noFill/>
              </a:ln>
              <a:effectLst/>
            </c:spPr>
            <c:extLst>
              <c:ext xmlns:c16="http://schemas.microsoft.com/office/drawing/2014/chart" uri="{C3380CC4-5D6E-409C-BE32-E72D297353CC}">
                <c16:uniqueId val="{00000017-C648-412D-8829-63D7F320C09F}"/>
              </c:ext>
            </c:extLst>
          </c:dPt>
          <c:dPt>
            <c:idx val="2"/>
            <c:bubble3D val="0"/>
            <c:spPr>
              <a:noFill/>
              <a:ln>
                <a:noFill/>
              </a:ln>
              <a:effectLst/>
            </c:spPr>
            <c:extLst>
              <c:ext xmlns:c16="http://schemas.microsoft.com/office/drawing/2014/chart" uri="{C3380CC4-5D6E-409C-BE32-E72D297353CC}">
                <c16:uniqueId val="{00000019-C648-412D-8829-63D7F320C09F}"/>
              </c:ext>
            </c:extLst>
          </c:dPt>
          <c:val>
            <c:numRef>
              <c:f>MPR_Teleop!$D$20:$D$22</c:f>
              <c:numCache>
                <c:formatCode>General</c:formatCode>
                <c:ptCount val="3"/>
                <c:pt idx="0">
                  <c:v>83.270833333333329</c:v>
                </c:pt>
                <c:pt idx="1">
                  <c:v>1.5</c:v>
                </c:pt>
                <c:pt idx="2">
                  <c:v>16.729166666666668</c:v>
                </c:pt>
              </c:numCache>
            </c:numRef>
          </c:val>
          <c:extLst>
            <c:ext xmlns:c16="http://schemas.microsoft.com/office/drawing/2014/chart" uri="{C3380CC4-5D6E-409C-BE32-E72D297353CC}">
              <c16:uniqueId val="{0000001A-C648-412D-8829-63D7F320C09F}"/>
            </c:ext>
          </c:extLst>
        </c:ser>
        <c:dLbls>
          <c:showLegendKey val="0"/>
          <c:showVal val="0"/>
          <c:showCatName val="0"/>
          <c:showSerName val="0"/>
          <c:showPercent val="0"/>
          <c:showBubbleSize val="0"/>
          <c:showLeaderLines val="1"/>
        </c:dLbls>
        <c:firstSliceAng val="18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Teleoperated Deliveries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Thresholds</c:v>
          </c:tx>
          <c:dPt>
            <c:idx val="0"/>
            <c:bubble3D val="0"/>
            <c:spPr>
              <a:solidFill>
                <a:srgbClr val="FF0000"/>
              </a:solidFill>
              <a:ln>
                <a:noFill/>
              </a:ln>
              <a:effectLst/>
            </c:spPr>
            <c:extLst>
              <c:ext xmlns:c16="http://schemas.microsoft.com/office/drawing/2014/chart" uri="{C3380CC4-5D6E-409C-BE32-E72D297353CC}">
                <c16:uniqueId val="{00000001-F3A0-4580-8236-2A27E40FD958}"/>
              </c:ext>
            </c:extLst>
          </c:dPt>
          <c:dPt>
            <c:idx val="1"/>
            <c:bubble3D val="0"/>
            <c:spPr>
              <a:solidFill>
                <a:srgbClr val="FFFF00"/>
              </a:solidFill>
              <a:ln>
                <a:noFill/>
              </a:ln>
              <a:effectLst/>
            </c:spPr>
            <c:extLst>
              <c:ext xmlns:c16="http://schemas.microsoft.com/office/drawing/2014/chart" uri="{C3380CC4-5D6E-409C-BE32-E72D297353CC}">
                <c16:uniqueId val="{00000003-F3A0-4580-8236-2A27E40FD958}"/>
              </c:ext>
            </c:extLst>
          </c:dPt>
          <c:dPt>
            <c:idx val="2"/>
            <c:bubble3D val="0"/>
            <c:spPr>
              <a:solidFill>
                <a:srgbClr val="00B050"/>
              </a:solidFill>
              <a:ln>
                <a:noFill/>
              </a:ln>
              <a:effectLst/>
            </c:spPr>
            <c:extLst>
              <c:ext xmlns:c16="http://schemas.microsoft.com/office/drawing/2014/chart" uri="{C3380CC4-5D6E-409C-BE32-E72D297353CC}">
                <c16:uniqueId val="{00000005-F3A0-4580-8236-2A27E40FD958}"/>
              </c:ext>
            </c:extLst>
          </c:dPt>
          <c:dPt>
            <c:idx val="3"/>
            <c:bubble3D val="0"/>
            <c:spPr>
              <a:solidFill>
                <a:srgbClr val="00B050"/>
              </a:solidFill>
              <a:ln>
                <a:noFill/>
              </a:ln>
              <a:effectLst/>
            </c:spPr>
            <c:extLst>
              <c:ext xmlns:c16="http://schemas.microsoft.com/office/drawing/2014/chart" uri="{C3380CC4-5D6E-409C-BE32-E72D297353CC}">
                <c16:uniqueId val="{00000007-F3A0-4580-8236-2A27E40FD958}"/>
              </c:ext>
            </c:extLst>
          </c:dPt>
          <c:dPt>
            <c:idx val="4"/>
            <c:bubble3D val="0"/>
            <c:spPr>
              <a:solidFill>
                <a:srgbClr val="FFFF00"/>
              </a:solidFill>
              <a:ln>
                <a:noFill/>
              </a:ln>
              <a:effectLst/>
            </c:spPr>
            <c:extLst>
              <c:ext xmlns:c16="http://schemas.microsoft.com/office/drawing/2014/chart" uri="{C3380CC4-5D6E-409C-BE32-E72D297353CC}">
                <c16:uniqueId val="{00000009-F3A0-4580-8236-2A27E40FD958}"/>
              </c:ext>
            </c:extLst>
          </c:dPt>
          <c:dPt>
            <c:idx val="5"/>
            <c:bubble3D val="0"/>
            <c:spPr>
              <a:solidFill>
                <a:srgbClr val="FF0000"/>
              </a:solidFill>
              <a:ln>
                <a:noFill/>
              </a:ln>
              <a:effectLst/>
            </c:spPr>
            <c:extLst>
              <c:ext xmlns:c16="http://schemas.microsoft.com/office/drawing/2014/chart" uri="{C3380CC4-5D6E-409C-BE32-E72D297353CC}">
                <c16:uniqueId val="{0000000B-F3A0-4580-8236-2A27E40FD958}"/>
              </c:ext>
            </c:extLst>
          </c:dPt>
          <c:val>
            <c:numRef>
              <c:f>MPR_Teleop!$B$30:$B$35</c:f>
              <c:numCache>
                <c:formatCode>General</c:formatCode>
                <c:ptCount val="6"/>
                <c:pt idx="0">
                  <c:v>25</c:v>
                </c:pt>
                <c:pt idx="1">
                  <c:v>50</c:v>
                </c:pt>
                <c:pt idx="2">
                  <c:v>25</c:v>
                </c:pt>
                <c:pt idx="3">
                  <c:v>25</c:v>
                </c:pt>
                <c:pt idx="4">
                  <c:v>50</c:v>
                </c:pt>
                <c:pt idx="5">
                  <c:v>25</c:v>
                </c:pt>
              </c:numCache>
            </c:numRef>
          </c:val>
          <c:extLst>
            <c:ext xmlns:c16="http://schemas.microsoft.com/office/drawing/2014/chart" uri="{C3380CC4-5D6E-409C-BE32-E72D297353CC}">
              <c16:uniqueId val="{0000000C-F3A0-4580-8236-2A27E40FD958}"/>
            </c:ext>
          </c:extLst>
        </c:ser>
        <c:dLbls>
          <c:showLegendKey val="0"/>
          <c:showVal val="0"/>
          <c:showCatName val="0"/>
          <c:showSerName val="0"/>
          <c:showPercent val="0"/>
          <c:showBubbleSize val="0"/>
          <c:showLeaderLines val="1"/>
        </c:dLbls>
        <c:firstSliceAng val="180"/>
        <c:holeSize val="75"/>
      </c:doughnutChart>
      <c:pieChart>
        <c:varyColors val="1"/>
        <c:ser>
          <c:idx val="1"/>
          <c:order val="1"/>
          <c:tx>
            <c:v>Amp</c:v>
          </c:tx>
          <c:dPt>
            <c:idx val="0"/>
            <c:bubble3D val="0"/>
            <c:spPr>
              <a:noFill/>
              <a:ln>
                <a:noFill/>
              </a:ln>
              <a:effectLst/>
            </c:spPr>
            <c:extLst>
              <c:ext xmlns:c16="http://schemas.microsoft.com/office/drawing/2014/chart" uri="{C3380CC4-5D6E-409C-BE32-E72D297353CC}">
                <c16:uniqueId val="{0000000E-F3A0-4580-8236-2A27E40FD958}"/>
              </c:ext>
            </c:extLst>
          </c:dPt>
          <c:dPt>
            <c:idx val="1"/>
            <c:bubble3D val="0"/>
            <c:spPr>
              <a:solidFill>
                <a:sysClr val="windowText" lastClr="000000"/>
              </a:solidFill>
              <a:ln>
                <a:noFill/>
              </a:ln>
              <a:effectLst/>
            </c:spPr>
            <c:extLst>
              <c:ext xmlns:c16="http://schemas.microsoft.com/office/drawing/2014/chart" uri="{C3380CC4-5D6E-409C-BE32-E72D297353CC}">
                <c16:uniqueId val="{00000010-F3A0-4580-8236-2A27E40FD958}"/>
              </c:ext>
            </c:extLst>
          </c:dPt>
          <c:dPt>
            <c:idx val="2"/>
            <c:bubble3D val="0"/>
            <c:spPr>
              <a:noFill/>
              <a:ln>
                <a:noFill/>
              </a:ln>
              <a:effectLst/>
            </c:spPr>
            <c:extLst>
              <c:ext xmlns:c16="http://schemas.microsoft.com/office/drawing/2014/chart" uri="{C3380CC4-5D6E-409C-BE32-E72D297353CC}">
                <c16:uniqueId val="{00000012-F3A0-4580-8236-2A27E40FD958}"/>
              </c:ext>
            </c:extLst>
          </c:dPt>
          <c:val>
            <c:numRef>
              <c:f>MPR_Teleop!$C$30:$C$32</c:f>
              <c:numCache>
                <c:formatCode>General</c:formatCode>
                <c:ptCount val="3"/>
                <c:pt idx="0">
                  <c:v>9.4890109890109873</c:v>
                </c:pt>
                <c:pt idx="1">
                  <c:v>1.5</c:v>
                </c:pt>
                <c:pt idx="2">
                  <c:v>89.010989010989007</c:v>
                </c:pt>
              </c:numCache>
            </c:numRef>
          </c:val>
          <c:extLst>
            <c:ext xmlns:c16="http://schemas.microsoft.com/office/drawing/2014/chart" uri="{C3380CC4-5D6E-409C-BE32-E72D297353CC}">
              <c16:uniqueId val="{00000013-F3A0-4580-8236-2A27E40FD958}"/>
            </c:ext>
          </c:extLst>
        </c:ser>
        <c:dLbls>
          <c:showLegendKey val="0"/>
          <c:showVal val="0"/>
          <c:showCatName val="0"/>
          <c:showSerName val="0"/>
          <c:showPercent val="0"/>
          <c:showBubbleSize val="0"/>
          <c:showLeaderLines val="1"/>
        </c:dLbls>
        <c:firstSliceAng val="180"/>
        <c:extLst/>
      </c:pieChart>
      <c:pieChart>
        <c:varyColors val="1"/>
        <c:ser>
          <c:idx val="3"/>
          <c:order val="2"/>
          <c:tx>
            <c:v>Speaker</c:v>
          </c:tx>
          <c:dPt>
            <c:idx val="0"/>
            <c:bubble3D val="0"/>
            <c:spPr>
              <a:noFill/>
              <a:ln>
                <a:noFill/>
              </a:ln>
              <a:effectLst/>
            </c:spPr>
            <c:extLst>
              <c:ext xmlns:c16="http://schemas.microsoft.com/office/drawing/2014/chart" uri="{C3380CC4-5D6E-409C-BE32-E72D297353CC}">
                <c16:uniqueId val="{00000015-F3A0-4580-8236-2A27E40FD958}"/>
              </c:ext>
            </c:extLst>
          </c:dPt>
          <c:dPt>
            <c:idx val="1"/>
            <c:bubble3D val="0"/>
            <c:spPr>
              <a:solidFill>
                <a:srgbClr val="FFC000"/>
              </a:solidFill>
              <a:ln>
                <a:noFill/>
              </a:ln>
              <a:effectLst/>
            </c:spPr>
            <c:extLst>
              <c:ext xmlns:c16="http://schemas.microsoft.com/office/drawing/2014/chart" uri="{C3380CC4-5D6E-409C-BE32-E72D297353CC}">
                <c16:uniqueId val="{00000017-F3A0-4580-8236-2A27E40FD958}"/>
              </c:ext>
            </c:extLst>
          </c:dPt>
          <c:dPt>
            <c:idx val="2"/>
            <c:bubble3D val="0"/>
            <c:spPr>
              <a:noFill/>
              <a:ln>
                <a:noFill/>
              </a:ln>
              <a:effectLst/>
            </c:spPr>
            <c:extLst>
              <c:ext xmlns:c16="http://schemas.microsoft.com/office/drawing/2014/chart" uri="{C3380CC4-5D6E-409C-BE32-E72D297353CC}">
                <c16:uniqueId val="{00000019-F3A0-4580-8236-2A27E40FD958}"/>
              </c:ext>
            </c:extLst>
          </c:dPt>
          <c:val>
            <c:numRef>
              <c:f>MPR_Teleop!$D$30:$D$32</c:f>
              <c:numCache>
                <c:formatCode>General</c:formatCode>
                <c:ptCount val="3"/>
                <c:pt idx="0">
                  <c:v>51.5</c:v>
                </c:pt>
                <c:pt idx="1">
                  <c:v>1.5</c:v>
                </c:pt>
                <c:pt idx="2">
                  <c:v>48.5</c:v>
                </c:pt>
              </c:numCache>
            </c:numRef>
          </c:val>
          <c:extLst>
            <c:ext xmlns:c16="http://schemas.microsoft.com/office/drawing/2014/chart" uri="{C3380CC4-5D6E-409C-BE32-E72D297353CC}">
              <c16:uniqueId val="{0000001A-F3A0-4580-8236-2A27E40FD958}"/>
            </c:ext>
          </c:extLst>
        </c:ser>
        <c:dLbls>
          <c:showLegendKey val="0"/>
          <c:showVal val="0"/>
          <c:showCatName val="0"/>
          <c:showSerName val="0"/>
          <c:showPercent val="0"/>
          <c:showBubbleSize val="0"/>
          <c:showLeaderLines val="1"/>
        </c:dLbls>
        <c:firstSliceAng val="18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4"/>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Teleoperated Points per Match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MPR_Alliance!$B$27</c:f>
              <c:strCache>
                <c:ptCount val="1"/>
                <c:pt idx="0">
                  <c:v>Red</c:v>
                </c:pt>
              </c:strCache>
            </c:strRef>
          </c:tx>
          <c:spPr>
            <a:solidFill>
              <a:schemeClr val="accent1"/>
            </a:solidFill>
            <a:ln>
              <a:noFill/>
            </a:ln>
            <a:effectLst/>
          </c:spPr>
          <c:invertIfNegative val="0"/>
          <c:cat>
            <c:strRef>
              <c:f>MPR_Alliance!$A$28:$A$33</c:f>
              <c:strCache>
                <c:ptCount val="6"/>
                <c:pt idx="0">
                  <c:v>frc2791</c:v>
                </c:pt>
                <c:pt idx="1">
                  <c:v>frc5016</c:v>
                </c:pt>
                <c:pt idx="2">
                  <c:v>frc1591</c:v>
                </c:pt>
                <c:pt idx="3">
                  <c:v>frc5993</c:v>
                </c:pt>
                <c:pt idx="4">
                  <c:v>frc1559</c:v>
                </c:pt>
                <c:pt idx="5">
                  <c:v>frc3173</c:v>
                </c:pt>
              </c:strCache>
            </c:strRef>
          </c:cat>
          <c:val>
            <c:numRef>
              <c:f>MPR_Alliance!$B$28:$B$33</c:f>
              <c:numCache>
                <c:formatCode>0.00</c:formatCode>
                <c:ptCount val="6"/>
                <c:pt idx="0">
                  <c:v>9.8000000000000007</c:v>
                </c:pt>
                <c:pt idx="1">
                  <c:v>8.7055555555555575</c:v>
                </c:pt>
                <c:pt idx="2">
                  <c:v>20.467261904761905</c:v>
                </c:pt>
              </c:numCache>
            </c:numRef>
          </c:val>
          <c:extLst>
            <c:ext xmlns:c16="http://schemas.microsoft.com/office/drawing/2014/chart" uri="{C3380CC4-5D6E-409C-BE32-E72D297353CC}">
              <c16:uniqueId val="{00000000-5A7E-4D59-A8B5-DC3DDC0CE7A9}"/>
            </c:ext>
          </c:extLst>
        </c:ser>
        <c:ser>
          <c:idx val="1"/>
          <c:order val="1"/>
          <c:tx>
            <c:strRef>
              <c:f>MPR_Alliance!$C$27</c:f>
              <c:strCache>
                <c:ptCount val="1"/>
                <c:pt idx="0">
                  <c:v>Blue</c:v>
                </c:pt>
              </c:strCache>
            </c:strRef>
          </c:tx>
          <c:spPr>
            <a:solidFill>
              <a:schemeClr val="accent4"/>
            </a:solidFill>
            <a:ln>
              <a:solidFill>
                <a:schemeClr val="accent4"/>
              </a:solidFill>
            </a:ln>
            <a:effectLst/>
          </c:spPr>
          <c:invertIfNegative val="0"/>
          <c:cat>
            <c:strRef>
              <c:f>MPR_Alliance!$A$28:$A$33</c:f>
              <c:strCache>
                <c:ptCount val="6"/>
                <c:pt idx="0">
                  <c:v>frc2791</c:v>
                </c:pt>
                <c:pt idx="1">
                  <c:v>frc5016</c:v>
                </c:pt>
                <c:pt idx="2">
                  <c:v>frc1591</c:v>
                </c:pt>
                <c:pt idx="3">
                  <c:v>frc5993</c:v>
                </c:pt>
                <c:pt idx="4">
                  <c:v>frc1559</c:v>
                </c:pt>
                <c:pt idx="5">
                  <c:v>frc3173</c:v>
                </c:pt>
              </c:strCache>
            </c:strRef>
          </c:cat>
          <c:val>
            <c:numRef>
              <c:f>MPR_Alliance!$C$28:$C$33</c:f>
              <c:numCache>
                <c:formatCode>0.00</c:formatCode>
                <c:ptCount val="6"/>
                <c:pt idx="3">
                  <c:v>3.5333333333333341</c:v>
                </c:pt>
                <c:pt idx="4">
                  <c:v>9.2583333333333346</c:v>
                </c:pt>
                <c:pt idx="5">
                  <c:v>20.123351648351647</c:v>
                </c:pt>
              </c:numCache>
            </c:numRef>
          </c:val>
          <c:extLst>
            <c:ext xmlns:c16="http://schemas.microsoft.com/office/drawing/2014/chart" uri="{C3380CC4-5D6E-409C-BE32-E72D297353CC}">
              <c16:uniqueId val="{00000001-5A7E-4D59-A8B5-DC3DDC0CE7A9}"/>
            </c:ext>
          </c:extLst>
        </c:ser>
        <c:dLbls>
          <c:showLegendKey val="0"/>
          <c:showVal val="0"/>
          <c:showCatName val="0"/>
          <c:showSerName val="0"/>
          <c:showPercent val="0"/>
          <c:showBubbleSize val="0"/>
        </c:dLbls>
        <c:gapWidth val="150"/>
        <c:overlap val="100"/>
        <c:axId val="1324994000"/>
        <c:axId val="1324988960"/>
      </c:barChart>
      <c:catAx>
        <c:axId val="13249940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988960"/>
        <c:crosses val="autoZero"/>
        <c:auto val="1"/>
        <c:lblAlgn val="ctr"/>
        <c:lblOffset val="100"/>
        <c:noMultiLvlLbl val="0"/>
      </c:catAx>
      <c:valAx>
        <c:axId val="1324988960"/>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99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Amp Station - Speaker</a:t>
            </a:r>
          </a:p>
          <a:p>
            <a:pPr>
              <a:defRPr/>
            </a:pPr>
            <a:r>
              <a:rPr lang="en-US"/>
              <a:t>Origin Shooting</a:t>
            </a:r>
            <a:r>
              <a:rPr lang="en-US" baseline="0"/>
              <a:t> Percentages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3"/>
          <c:order val="3"/>
          <c:tx>
            <c:strRef>
              <c:f>MPR_Teleop!$N$10</c:f>
              <c:strCache>
                <c:ptCount val="1"/>
                <c:pt idx="0">
                  <c:v>Total</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1-2E15-4360-A2BC-4305D7EC6EF9}"/>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2E15-4360-A2BC-4305D7EC6EF9}"/>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2E15-4360-A2BC-4305D7EC6EF9}"/>
              </c:ext>
            </c:extLst>
          </c:dPt>
          <c:dLbls>
            <c:dLbl>
              <c:idx val="0"/>
              <c:layout>
                <c:manualLayout>
                  <c:x val="7.0871609798775159E-2"/>
                  <c:y val="4.0499483019168061E-3"/>
                </c:manualLayout>
              </c:layout>
              <c:tx>
                <c:rich>
                  <a:bodyPr/>
                  <a:lstStyle/>
                  <a:p>
                    <a:fld id="{63C75A4C-8ABA-4F71-889E-D136444B7A51}"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2E15-4360-A2BC-4305D7EC6EF9}"/>
                </c:ext>
              </c:extLst>
            </c:dLbl>
            <c:dLbl>
              <c:idx val="1"/>
              <c:tx>
                <c:rich>
                  <a:bodyPr/>
                  <a:lstStyle/>
                  <a:p>
                    <a:fld id="{2F140711-AEBF-4A0F-A145-AAC0AEE654DE}"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2E15-4360-A2BC-4305D7EC6EF9}"/>
                </c:ext>
              </c:extLst>
            </c:dLbl>
            <c:dLbl>
              <c:idx val="2"/>
              <c:layout>
                <c:manualLayout>
                  <c:x val="-5.961796442111407E-2"/>
                  <c:y val="3.8562793287202734E-3"/>
                </c:manualLayout>
              </c:layout>
              <c:tx>
                <c:rich>
                  <a:bodyPr/>
                  <a:lstStyle/>
                  <a:p>
                    <a:fld id="{C75E87C5-2076-451B-ABE1-F03125B9E2A2}"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E15-4360-A2BC-4305D7EC6E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howLeaderLines val="0"/>
            <c:extLst>
              <c:ext xmlns:c15="http://schemas.microsoft.com/office/drawing/2012/chart" uri="{CE6537A1-D6FC-4f65-9D91-7224C49458BB}">
                <c15:showDataLabelsRange val="1"/>
              </c:ext>
            </c:extLst>
          </c:dLbls>
          <c:cat>
            <c:strRef>
              <c:f>MPR_Teleop!$J$11:$J$13</c:f>
              <c:strCache>
                <c:ptCount val="3"/>
                <c:pt idx="0">
                  <c:v>SubW</c:v>
                </c:pt>
                <c:pt idx="1">
                  <c:v>AllyW</c:v>
                </c:pt>
                <c:pt idx="2">
                  <c:v>Neut</c:v>
                </c:pt>
              </c:strCache>
            </c:strRef>
          </c:cat>
          <c:val>
            <c:numRef>
              <c:f>MPR_Teleop!$N$11:$N$13</c:f>
              <c:numCache>
                <c:formatCode>General</c:formatCode>
                <c:ptCount val="3"/>
                <c:pt idx="0">
                  <c:v>24</c:v>
                </c:pt>
                <c:pt idx="1">
                  <c:v>31</c:v>
                </c:pt>
                <c:pt idx="2">
                  <c:v>0</c:v>
                </c:pt>
              </c:numCache>
            </c:numRef>
          </c:val>
          <c:extLst>
            <c:ext xmlns:c15="http://schemas.microsoft.com/office/drawing/2012/chart" uri="{02D57815-91ED-43cb-92C2-25804820EDAC}">
              <c15:datalabelsRange>
                <c15:f>MPR_Teleop!$L$11:$L$14</c15:f>
                <c15:dlblRangeCache>
                  <c:ptCount val="4"/>
                  <c:pt idx="0">
                    <c:v>91.67%</c:v>
                  </c:pt>
                  <c:pt idx="1">
                    <c:v>87.10%</c:v>
                  </c:pt>
                  <c:pt idx="2">
                    <c:v>0.00%</c:v>
                  </c:pt>
                </c15:dlblRangeCache>
              </c15:datalabelsRange>
            </c:ext>
            <c:ext xmlns:c16="http://schemas.microsoft.com/office/drawing/2014/chart" uri="{C3380CC4-5D6E-409C-BE32-E72D297353CC}">
              <c16:uniqueId val="{00000006-2E15-4360-A2BC-4305D7EC6EF9}"/>
            </c:ext>
          </c:extLst>
        </c:ser>
        <c:dLbls>
          <c:dLblPos val="bestFit"/>
          <c:showLegendKey val="0"/>
          <c:showVal val="1"/>
          <c:showCatName val="0"/>
          <c:showSerName val="0"/>
          <c:showPercent val="0"/>
          <c:showBubbleSize val="0"/>
          <c:showLeaderLines val="0"/>
        </c:dLbls>
        <c:firstSliceAng val="0"/>
        <c:extLst>
          <c:ext xmlns:c15="http://schemas.microsoft.com/office/drawing/2012/chart" uri="{02D57815-91ED-43cb-92C2-25804820EDAC}">
            <c15:filteredPieSeries>
              <c15:ser>
                <c:idx val="0"/>
                <c:order val="0"/>
                <c:tx>
                  <c:strRef>
                    <c:extLst>
                      <c:ext uri="{02D57815-91ED-43cb-92C2-25804820EDAC}">
                        <c15:formulaRef>
                          <c15:sqref>MPR_Teleop!$K$10</c15:sqref>
                        </c15:formulaRef>
                      </c:ext>
                    </c:extLst>
                    <c:strCache>
                      <c:ptCount val="1"/>
                      <c:pt idx="0">
                        <c:v>Quantity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2E15-4360-A2BC-4305D7EC6E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2E15-4360-A2BC-4305D7EC6EF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2E15-4360-A2BC-4305D7EC6E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uri="{CE6537A1-D6FC-4f65-9D91-7224C49458BB}"/>
                  </c:extLst>
                </c:dLbls>
                <c:cat>
                  <c:strRef>
                    <c:extLst>
                      <c:ext uri="{02D57815-91ED-43cb-92C2-25804820EDAC}">
                        <c15:formulaRef>
                          <c15:sqref>MPR_Teleop!$J$11:$J$13</c15:sqref>
                        </c15:formulaRef>
                      </c:ext>
                    </c:extLst>
                    <c:strCache>
                      <c:ptCount val="3"/>
                      <c:pt idx="0">
                        <c:v>SubW</c:v>
                      </c:pt>
                      <c:pt idx="1">
                        <c:v>AllyW</c:v>
                      </c:pt>
                      <c:pt idx="2">
                        <c:v>Neut</c:v>
                      </c:pt>
                    </c:strCache>
                  </c:strRef>
                </c:cat>
                <c:val>
                  <c:numRef>
                    <c:extLst>
                      <c:ext uri="{02D57815-91ED-43cb-92C2-25804820EDAC}">
                        <c15:formulaRef>
                          <c15:sqref>MPR_Teleop!$K$11:$K$13</c15:sqref>
                        </c15:formulaRef>
                      </c:ext>
                    </c:extLst>
                    <c:numCache>
                      <c:formatCode>General</c:formatCode>
                      <c:ptCount val="3"/>
                      <c:pt idx="0">
                        <c:v>22</c:v>
                      </c:pt>
                      <c:pt idx="1">
                        <c:v>27</c:v>
                      </c:pt>
                      <c:pt idx="2">
                        <c:v>0</c:v>
                      </c:pt>
                    </c:numCache>
                  </c:numRef>
                </c:val>
                <c:extLst>
                  <c:ext xmlns:c16="http://schemas.microsoft.com/office/drawing/2014/chart" uri="{C3380CC4-5D6E-409C-BE32-E72D297353CC}">
                    <c16:uniqueId val="{0000000D-2E15-4360-A2BC-4305D7EC6EF9}"/>
                  </c:ext>
                </c:extLst>
              </c15:ser>
            </c15:filteredPieSeries>
            <c15:filteredPieSeries>
              <c15:ser>
                <c:idx val="1"/>
                <c:order val="1"/>
                <c:tx>
                  <c:strRef>
                    <c:extLst>
                      <c:ext xmlns:c15="http://schemas.microsoft.com/office/drawing/2012/chart" uri="{02D57815-91ED-43cb-92C2-25804820EDAC}">
                        <c15:formulaRef>
                          <c15:sqref>MPR_Teleop!$L$10</c15:sqref>
                        </c15:formulaRef>
                      </c:ext>
                    </c:extLst>
                    <c:strCache>
                      <c:ptCount val="1"/>
                      <c:pt idx="0">
                        <c:v>Shooting</c:v>
                      </c:pt>
                    </c:strCache>
                  </c:strRef>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0F-2E15-4360-A2BC-4305D7EC6EF9}"/>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1-2E15-4360-A2BC-4305D7EC6EF9}"/>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3-2E15-4360-A2BC-4305D7EC6E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extLst>
                      <c:ext xmlns:c15="http://schemas.microsoft.com/office/drawing/2012/chart" uri="{02D57815-91ED-43cb-92C2-25804820EDAC}">
                        <c15:formulaRef>
                          <c15:sqref>MPR_Teleop!$J$11:$J$13</c15:sqref>
                        </c15:formulaRef>
                      </c:ext>
                    </c:extLst>
                    <c:strCache>
                      <c:ptCount val="3"/>
                      <c:pt idx="0">
                        <c:v>SubW</c:v>
                      </c:pt>
                      <c:pt idx="1">
                        <c:v>AllyW</c:v>
                      </c:pt>
                      <c:pt idx="2">
                        <c:v>Neut</c:v>
                      </c:pt>
                    </c:strCache>
                  </c:strRef>
                </c:cat>
                <c:val>
                  <c:numRef>
                    <c:extLst>
                      <c:ext xmlns:c15="http://schemas.microsoft.com/office/drawing/2012/chart" uri="{02D57815-91ED-43cb-92C2-25804820EDAC}">
                        <c15:formulaRef>
                          <c15:sqref>MPR_Teleop!$L$11:$L$13</c15:sqref>
                        </c15:formulaRef>
                      </c:ext>
                    </c:extLst>
                    <c:numCache>
                      <c:formatCode>0.00%</c:formatCode>
                      <c:ptCount val="3"/>
                      <c:pt idx="0">
                        <c:v>0.91666666666666663</c:v>
                      </c:pt>
                      <c:pt idx="1">
                        <c:v>0.87096774193548387</c:v>
                      </c:pt>
                      <c:pt idx="2">
                        <c:v>0</c:v>
                      </c:pt>
                    </c:numCache>
                  </c:numRef>
                </c:val>
                <c:extLst xmlns:c15="http://schemas.microsoft.com/office/drawing/2012/chart">
                  <c:ext xmlns:c16="http://schemas.microsoft.com/office/drawing/2014/chart" uri="{C3380CC4-5D6E-409C-BE32-E72D297353CC}">
                    <c16:uniqueId val="{00000014-2E15-4360-A2BC-4305D7EC6EF9}"/>
                  </c:ext>
                </c:extLst>
              </c15:ser>
            </c15:filteredPieSeries>
            <c15:filteredPieSeries>
              <c15:ser>
                <c:idx val="2"/>
                <c:order val="2"/>
                <c:tx>
                  <c:strRef>
                    <c:extLst>
                      <c:ext xmlns:c15="http://schemas.microsoft.com/office/drawing/2012/chart" uri="{02D57815-91ED-43cb-92C2-25804820EDAC}">
                        <c15:formulaRef>
                          <c15:sqref>MPR_Teleop!$M$10</c15:sqref>
                        </c15:formulaRef>
                      </c:ext>
                    </c:extLst>
                    <c:strCache>
                      <c:ptCount val="1"/>
                      <c:pt idx="0">
                        <c:v>Misses</c:v>
                      </c:pt>
                    </c:strCache>
                  </c:strRef>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16-2E15-4360-A2BC-4305D7EC6EF9}"/>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8-2E15-4360-A2BC-4305D7EC6EF9}"/>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A-2E15-4360-A2BC-4305D7EC6E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extLst>
                      <c:ext xmlns:c15="http://schemas.microsoft.com/office/drawing/2012/chart" uri="{02D57815-91ED-43cb-92C2-25804820EDAC}">
                        <c15:formulaRef>
                          <c15:sqref>MPR_Teleop!$J$11:$J$13</c15:sqref>
                        </c15:formulaRef>
                      </c:ext>
                    </c:extLst>
                    <c:strCache>
                      <c:ptCount val="3"/>
                      <c:pt idx="0">
                        <c:v>SubW</c:v>
                      </c:pt>
                      <c:pt idx="1">
                        <c:v>AllyW</c:v>
                      </c:pt>
                      <c:pt idx="2">
                        <c:v>Neut</c:v>
                      </c:pt>
                    </c:strCache>
                  </c:strRef>
                </c:cat>
                <c:val>
                  <c:numRef>
                    <c:extLst>
                      <c:ext xmlns:c15="http://schemas.microsoft.com/office/drawing/2012/chart" uri="{02D57815-91ED-43cb-92C2-25804820EDAC}">
                        <c15:formulaRef>
                          <c15:sqref>MPR_Teleop!$M$11:$M$13</c15:sqref>
                        </c15:formulaRef>
                      </c:ext>
                    </c:extLst>
                    <c:numCache>
                      <c:formatCode>General</c:formatCode>
                      <c:ptCount val="3"/>
                      <c:pt idx="0">
                        <c:v>2</c:v>
                      </c:pt>
                      <c:pt idx="1">
                        <c:v>4</c:v>
                      </c:pt>
                      <c:pt idx="2">
                        <c:v>0</c:v>
                      </c:pt>
                    </c:numCache>
                  </c:numRef>
                </c:val>
                <c:extLst xmlns:c15="http://schemas.microsoft.com/office/drawing/2012/chart">
                  <c:ext xmlns:c16="http://schemas.microsoft.com/office/drawing/2014/chart" uri="{C3380CC4-5D6E-409C-BE32-E72D297353CC}">
                    <c16:uniqueId val="{0000001B-2E15-4360-A2BC-4305D7EC6EF9}"/>
                  </c:ext>
                </c:extLst>
              </c15:ser>
            </c15:filteredPieSeries>
          </c:ext>
        </c:extLst>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Center Station - Speaker</a:t>
            </a:r>
          </a:p>
          <a:p>
            <a:pPr>
              <a:defRPr/>
            </a:pPr>
            <a:r>
              <a:rPr lang="en-US"/>
              <a:t>Origin Shooting</a:t>
            </a:r>
            <a:r>
              <a:rPr lang="en-US" baseline="0"/>
              <a:t> Percentages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3"/>
          <c:order val="3"/>
          <c:tx>
            <c:strRef>
              <c:f>MPR_Teleop!$N$20</c:f>
              <c:strCache>
                <c:ptCount val="1"/>
                <c:pt idx="0">
                  <c:v>Total</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1-2816-4176-82CF-3ECF721A4109}"/>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2816-4176-82CF-3ECF721A4109}"/>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2816-4176-82CF-3ECF721A4109}"/>
              </c:ext>
            </c:extLst>
          </c:dPt>
          <c:dLbls>
            <c:dLbl>
              <c:idx val="0"/>
              <c:tx>
                <c:rich>
                  <a:bodyPr/>
                  <a:lstStyle/>
                  <a:p>
                    <a:fld id="{DDAD8767-8E6C-4625-AA55-D0FB3F9F7B89}"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2816-4176-82CF-3ECF721A4109}"/>
                </c:ext>
              </c:extLst>
            </c:dLbl>
            <c:dLbl>
              <c:idx val="1"/>
              <c:tx>
                <c:rich>
                  <a:bodyPr/>
                  <a:lstStyle/>
                  <a:p>
                    <a:fld id="{29C04E34-F20B-4BCF-99AE-6A035E31F0E9}"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2816-4176-82CF-3ECF721A4109}"/>
                </c:ext>
              </c:extLst>
            </c:dLbl>
            <c:dLbl>
              <c:idx val="2"/>
              <c:tx>
                <c:rich>
                  <a:bodyPr/>
                  <a:lstStyle/>
                  <a:p>
                    <a:fld id="{9187F0C7-A37D-429F-872A-30476013F990}"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2816-4176-82CF-3ECF721A41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howLeaderLines val="0"/>
            <c:extLst>
              <c:ext xmlns:c15="http://schemas.microsoft.com/office/drawing/2012/chart" uri="{CE6537A1-D6FC-4f65-9D91-7224C49458BB}">
                <c15:showDataLabelsRange val="1"/>
              </c:ext>
            </c:extLst>
          </c:dLbls>
          <c:cat>
            <c:strRef>
              <c:f>MPR_Teleop!$J$21:$J$23</c:f>
              <c:strCache>
                <c:ptCount val="3"/>
                <c:pt idx="0">
                  <c:v>SubW</c:v>
                </c:pt>
                <c:pt idx="1">
                  <c:v>AllyW</c:v>
                </c:pt>
                <c:pt idx="2">
                  <c:v>Neut</c:v>
                </c:pt>
              </c:strCache>
            </c:strRef>
          </c:cat>
          <c:val>
            <c:numRef>
              <c:f>MPR_Teleop!$N$21:$N$23</c:f>
              <c:numCache>
                <c:formatCode>General</c:formatCode>
                <c:ptCount val="3"/>
                <c:pt idx="0">
                  <c:v>28</c:v>
                </c:pt>
                <c:pt idx="1">
                  <c:v>21</c:v>
                </c:pt>
                <c:pt idx="2">
                  <c:v>2</c:v>
                </c:pt>
              </c:numCache>
            </c:numRef>
          </c:val>
          <c:extLst>
            <c:ext xmlns:c15="http://schemas.microsoft.com/office/drawing/2012/chart" uri="{02D57815-91ED-43cb-92C2-25804820EDAC}">
              <c15:datalabelsRange>
                <c15:f>MPR_Teleop!$L$21:$L$23</c15:f>
                <c15:dlblRangeCache>
                  <c:ptCount val="3"/>
                  <c:pt idx="0">
                    <c:v>78.57%</c:v>
                  </c:pt>
                  <c:pt idx="1">
                    <c:v>80.95%</c:v>
                  </c:pt>
                  <c:pt idx="2">
                    <c:v>100.00%</c:v>
                  </c:pt>
                </c15:dlblRangeCache>
              </c15:datalabelsRange>
            </c:ext>
            <c:ext xmlns:c16="http://schemas.microsoft.com/office/drawing/2014/chart" uri="{C3380CC4-5D6E-409C-BE32-E72D297353CC}">
              <c16:uniqueId val="{00000006-2816-4176-82CF-3ECF721A4109}"/>
            </c:ext>
          </c:extLst>
        </c:ser>
        <c:dLbls>
          <c:dLblPos val="bestFit"/>
          <c:showLegendKey val="0"/>
          <c:showVal val="1"/>
          <c:showCatName val="0"/>
          <c:showSerName val="0"/>
          <c:showPercent val="0"/>
          <c:showBubbleSize val="0"/>
          <c:showLeaderLines val="0"/>
        </c:dLbls>
        <c:firstSliceAng val="0"/>
        <c:extLst>
          <c:ext xmlns:c15="http://schemas.microsoft.com/office/drawing/2012/chart" uri="{02D57815-91ED-43cb-92C2-25804820EDAC}">
            <c15:filteredPieSeries>
              <c15:ser>
                <c:idx val="0"/>
                <c:order val="0"/>
                <c:tx>
                  <c:strRef>
                    <c:extLst>
                      <c:ext uri="{02D57815-91ED-43cb-92C2-25804820EDAC}">
                        <c15:formulaRef>
                          <c15:sqref>MPR_Teleop!$K$20</c15:sqref>
                        </c15:formulaRef>
                      </c:ext>
                    </c:extLst>
                    <c:strCache>
                      <c:ptCount val="1"/>
                      <c:pt idx="0">
                        <c:v>Quantity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2816-4176-82CF-3ECF721A410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2816-4176-82CF-3ECF721A410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2816-4176-82CF-3ECF721A410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uri="{CE6537A1-D6FC-4f65-9D91-7224C49458BB}"/>
                  </c:extLst>
                </c:dLbls>
                <c:cat>
                  <c:strRef>
                    <c:extLst>
                      <c:ext uri="{02D57815-91ED-43cb-92C2-25804820EDAC}">
                        <c15:formulaRef>
                          <c15:sqref>MPR_Teleop!$J$21:$J$23</c15:sqref>
                        </c15:formulaRef>
                      </c:ext>
                    </c:extLst>
                    <c:strCache>
                      <c:ptCount val="3"/>
                      <c:pt idx="0">
                        <c:v>SubW</c:v>
                      </c:pt>
                      <c:pt idx="1">
                        <c:v>AllyW</c:v>
                      </c:pt>
                      <c:pt idx="2">
                        <c:v>Neut</c:v>
                      </c:pt>
                    </c:strCache>
                  </c:strRef>
                </c:cat>
                <c:val>
                  <c:numRef>
                    <c:extLst>
                      <c:ext uri="{02D57815-91ED-43cb-92C2-25804820EDAC}">
                        <c15:formulaRef>
                          <c15:sqref>MPR_Teleop!$K$21:$K$23</c15:sqref>
                        </c15:formulaRef>
                      </c:ext>
                    </c:extLst>
                    <c:numCache>
                      <c:formatCode>General</c:formatCode>
                      <c:ptCount val="3"/>
                      <c:pt idx="0">
                        <c:v>22</c:v>
                      </c:pt>
                      <c:pt idx="1">
                        <c:v>17</c:v>
                      </c:pt>
                      <c:pt idx="2">
                        <c:v>2</c:v>
                      </c:pt>
                    </c:numCache>
                  </c:numRef>
                </c:val>
                <c:extLst>
                  <c:ext xmlns:c16="http://schemas.microsoft.com/office/drawing/2014/chart" uri="{C3380CC4-5D6E-409C-BE32-E72D297353CC}">
                    <c16:uniqueId val="{0000000D-2816-4176-82CF-3ECF721A4109}"/>
                  </c:ext>
                </c:extLst>
              </c15:ser>
            </c15:filteredPieSeries>
            <c15:filteredPieSeries>
              <c15:ser>
                <c:idx val="1"/>
                <c:order val="1"/>
                <c:tx>
                  <c:strRef>
                    <c:extLst>
                      <c:ext xmlns:c15="http://schemas.microsoft.com/office/drawing/2012/chart" uri="{02D57815-91ED-43cb-92C2-25804820EDAC}">
                        <c15:formulaRef>
                          <c15:sqref>MPR_Teleop!$L$20</c15:sqref>
                        </c15:formulaRef>
                      </c:ext>
                    </c:extLst>
                    <c:strCache>
                      <c:ptCount val="1"/>
                      <c:pt idx="0">
                        <c:v>Shooting</c:v>
                      </c:pt>
                    </c:strCache>
                  </c:strRef>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0F-2816-4176-82CF-3ECF721A4109}"/>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1-2816-4176-82CF-3ECF721A4109}"/>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3-2816-4176-82CF-3ECF721A410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extLst>
                      <c:ext xmlns:c15="http://schemas.microsoft.com/office/drawing/2012/chart" uri="{02D57815-91ED-43cb-92C2-25804820EDAC}">
                        <c15:formulaRef>
                          <c15:sqref>MPR_Teleop!$J$21:$J$23</c15:sqref>
                        </c15:formulaRef>
                      </c:ext>
                    </c:extLst>
                    <c:strCache>
                      <c:ptCount val="3"/>
                      <c:pt idx="0">
                        <c:v>SubW</c:v>
                      </c:pt>
                      <c:pt idx="1">
                        <c:v>AllyW</c:v>
                      </c:pt>
                      <c:pt idx="2">
                        <c:v>Neut</c:v>
                      </c:pt>
                    </c:strCache>
                  </c:strRef>
                </c:cat>
                <c:val>
                  <c:numRef>
                    <c:extLst>
                      <c:ext xmlns:c15="http://schemas.microsoft.com/office/drawing/2012/chart" uri="{02D57815-91ED-43cb-92C2-25804820EDAC}">
                        <c15:formulaRef>
                          <c15:sqref>MPR_Teleop!$L$21:$L$23</c15:sqref>
                        </c15:formulaRef>
                      </c:ext>
                    </c:extLst>
                    <c:numCache>
                      <c:formatCode>0.00%</c:formatCode>
                      <c:ptCount val="3"/>
                      <c:pt idx="0">
                        <c:v>0.7857142857142857</c:v>
                      </c:pt>
                      <c:pt idx="1">
                        <c:v>0.80952380952380953</c:v>
                      </c:pt>
                      <c:pt idx="2">
                        <c:v>1</c:v>
                      </c:pt>
                    </c:numCache>
                  </c:numRef>
                </c:val>
                <c:extLst xmlns:c15="http://schemas.microsoft.com/office/drawing/2012/chart">
                  <c:ext xmlns:c16="http://schemas.microsoft.com/office/drawing/2014/chart" uri="{C3380CC4-5D6E-409C-BE32-E72D297353CC}">
                    <c16:uniqueId val="{00000014-2816-4176-82CF-3ECF721A4109}"/>
                  </c:ext>
                </c:extLst>
              </c15:ser>
            </c15:filteredPieSeries>
            <c15:filteredPieSeries>
              <c15:ser>
                <c:idx val="2"/>
                <c:order val="2"/>
                <c:tx>
                  <c:strRef>
                    <c:extLst>
                      <c:ext xmlns:c15="http://schemas.microsoft.com/office/drawing/2012/chart" uri="{02D57815-91ED-43cb-92C2-25804820EDAC}">
                        <c15:formulaRef>
                          <c15:sqref>MPR_Teleop!$M$20</c15:sqref>
                        </c15:formulaRef>
                      </c:ext>
                    </c:extLst>
                    <c:strCache>
                      <c:ptCount val="1"/>
                      <c:pt idx="0">
                        <c:v>Misses</c:v>
                      </c:pt>
                    </c:strCache>
                  </c:strRef>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16-2816-4176-82CF-3ECF721A4109}"/>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8-2816-4176-82CF-3ECF721A4109}"/>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A-2816-4176-82CF-3ECF721A410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extLst>
                      <c:ext xmlns:c15="http://schemas.microsoft.com/office/drawing/2012/chart" uri="{02D57815-91ED-43cb-92C2-25804820EDAC}">
                        <c15:formulaRef>
                          <c15:sqref>MPR_Teleop!$J$21:$J$23</c15:sqref>
                        </c15:formulaRef>
                      </c:ext>
                    </c:extLst>
                    <c:strCache>
                      <c:ptCount val="3"/>
                      <c:pt idx="0">
                        <c:v>SubW</c:v>
                      </c:pt>
                      <c:pt idx="1">
                        <c:v>AllyW</c:v>
                      </c:pt>
                      <c:pt idx="2">
                        <c:v>Neut</c:v>
                      </c:pt>
                    </c:strCache>
                  </c:strRef>
                </c:cat>
                <c:val>
                  <c:numRef>
                    <c:extLst>
                      <c:ext xmlns:c15="http://schemas.microsoft.com/office/drawing/2012/chart" uri="{02D57815-91ED-43cb-92C2-25804820EDAC}">
                        <c15:formulaRef>
                          <c15:sqref>MPR_Teleop!$M$21:$M$23</c15:sqref>
                        </c15:formulaRef>
                      </c:ext>
                    </c:extLst>
                    <c:numCache>
                      <c:formatCode>General</c:formatCode>
                      <c:ptCount val="3"/>
                      <c:pt idx="0">
                        <c:v>6</c:v>
                      </c:pt>
                      <c:pt idx="1">
                        <c:v>4</c:v>
                      </c:pt>
                      <c:pt idx="2">
                        <c:v>0</c:v>
                      </c:pt>
                    </c:numCache>
                  </c:numRef>
                </c:val>
                <c:extLst xmlns:c15="http://schemas.microsoft.com/office/drawing/2012/chart">
                  <c:ext xmlns:c16="http://schemas.microsoft.com/office/drawing/2014/chart" uri="{C3380CC4-5D6E-409C-BE32-E72D297353CC}">
                    <c16:uniqueId val="{0000001B-2816-4176-82CF-3ECF721A4109}"/>
                  </c:ext>
                </c:extLst>
              </c15:ser>
            </c15:filteredPieSeries>
          </c:ext>
        </c:extLst>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Source Station - Speaker</a:t>
            </a:r>
          </a:p>
          <a:p>
            <a:pPr>
              <a:defRPr/>
            </a:pPr>
            <a:r>
              <a:rPr lang="en-US"/>
              <a:t>Origin Shooting</a:t>
            </a:r>
            <a:r>
              <a:rPr lang="en-US" baseline="0"/>
              <a:t> Percentages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3"/>
          <c:order val="3"/>
          <c:tx>
            <c:strRef>
              <c:f>MPR_Teleop!$N$30</c:f>
              <c:strCache>
                <c:ptCount val="1"/>
                <c:pt idx="0">
                  <c:v>Total</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1-129C-4775-B6E2-2499B4A711A8}"/>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129C-4775-B6E2-2499B4A711A8}"/>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129C-4775-B6E2-2499B4A711A8}"/>
              </c:ext>
            </c:extLst>
          </c:dPt>
          <c:dLbls>
            <c:dLbl>
              <c:idx val="0"/>
              <c:layout>
                <c:manualLayout>
                  <c:x val="7.2677894429863013E-2"/>
                  <c:y val="5.1236777221029192E-3"/>
                </c:manualLayout>
              </c:layout>
              <c:tx>
                <c:rich>
                  <a:bodyPr/>
                  <a:lstStyle/>
                  <a:p>
                    <a:fld id="{72FA5F50-6CDA-487A-A411-7E2ABDC28741}"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29C-4775-B6E2-2499B4A711A8}"/>
                </c:ext>
              </c:extLst>
            </c:dLbl>
            <c:dLbl>
              <c:idx val="1"/>
              <c:tx>
                <c:rich>
                  <a:bodyPr/>
                  <a:lstStyle/>
                  <a:p>
                    <a:fld id="{52F9AB96-0C72-419E-9DF8-412B872EB179}"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29C-4775-B6E2-2499B4A711A8}"/>
                </c:ext>
              </c:extLst>
            </c:dLbl>
            <c:dLbl>
              <c:idx val="2"/>
              <c:layout>
                <c:manualLayout>
                  <c:x val="-7.0634660250801978E-2"/>
                  <c:y val="5.7985365465680425E-3"/>
                </c:manualLayout>
              </c:layout>
              <c:tx>
                <c:rich>
                  <a:bodyPr/>
                  <a:lstStyle/>
                  <a:p>
                    <a:fld id="{4B8DA61C-44FF-4861-9D27-5C302731B6F8}" type="CELLRANGE">
                      <a:rPr lang="en-US"/>
                      <a:pPr/>
                      <a:t>[CELLRANGE]</a:t>
                    </a:fld>
                    <a:endParaRPr lang="en-US"/>
                  </a:p>
                </c:rich>
              </c:tx>
              <c:dLblPos val="bestFi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129C-4775-B6E2-2499B4A711A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howLeaderLines val="0"/>
            <c:extLst>
              <c:ext xmlns:c15="http://schemas.microsoft.com/office/drawing/2012/chart" uri="{CE6537A1-D6FC-4f65-9D91-7224C49458BB}">
                <c15:showDataLabelsRange val="1"/>
              </c:ext>
            </c:extLst>
          </c:dLbls>
          <c:cat>
            <c:strRef>
              <c:f>MPR_Teleop!$J$31:$J$33</c:f>
              <c:strCache>
                <c:ptCount val="3"/>
                <c:pt idx="0">
                  <c:v>SubW</c:v>
                </c:pt>
                <c:pt idx="1">
                  <c:v>AllyW</c:v>
                </c:pt>
                <c:pt idx="2">
                  <c:v>Neut</c:v>
                </c:pt>
              </c:strCache>
            </c:strRef>
          </c:cat>
          <c:val>
            <c:numRef>
              <c:f>MPR_Teleop!$N$31:$N$33</c:f>
              <c:numCache>
                <c:formatCode>General</c:formatCode>
                <c:ptCount val="3"/>
                <c:pt idx="0">
                  <c:v>21</c:v>
                </c:pt>
                <c:pt idx="1">
                  <c:v>96</c:v>
                </c:pt>
                <c:pt idx="2">
                  <c:v>1</c:v>
                </c:pt>
              </c:numCache>
            </c:numRef>
          </c:val>
          <c:extLst>
            <c:ext xmlns:c15="http://schemas.microsoft.com/office/drawing/2012/chart" uri="{02D57815-91ED-43cb-92C2-25804820EDAC}">
              <c15:datalabelsRange>
                <c15:f>MPR_Teleop!$L$31:$L$33</c15:f>
                <c15:dlblRangeCache>
                  <c:ptCount val="3"/>
                  <c:pt idx="0">
                    <c:v>95.24%</c:v>
                  </c:pt>
                  <c:pt idx="1">
                    <c:v>98.96%</c:v>
                  </c:pt>
                  <c:pt idx="2">
                    <c:v>100.00%</c:v>
                  </c:pt>
                </c15:dlblRangeCache>
              </c15:datalabelsRange>
            </c:ext>
            <c:ext xmlns:c16="http://schemas.microsoft.com/office/drawing/2014/chart" uri="{C3380CC4-5D6E-409C-BE32-E72D297353CC}">
              <c16:uniqueId val="{00000006-129C-4775-B6E2-2499B4A711A8}"/>
            </c:ext>
          </c:extLst>
        </c:ser>
        <c:dLbls>
          <c:dLblPos val="bestFit"/>
          <c:showLegendKey val="0"/>
          <c:showVal val="1"/>
          <c:showCatName val="0"/>
          <c:showSerName val="0"/>
          <c:showPercent val="0"/>
          <c:showBubbleSize val="0"/>
          <c:showLeaderLines val="0"/>
        </c:dLbls>
        <c:firstSliceAng val="0"/>
        <c:extLst>
          <c:ext xmlns:c15="http://schemas.microsoft.com/office/drawing/2012/chart" uri="{02D57815-91ED-43cb-92C2-25804820EDAC}">
            <c15:filteredPieSeries>
              <c15:ser>
                <c:idx val="0"/>
                <c:order val="0"/>
                <c:tx>
                  <c:strRef>
                    <c:extLst>
                      <c:ext uri="{02D57815-91ED-43cb-92C2-25804820EDAC}">
                        <c15:formulaRef>
                          <c15:sqref>MPR_Teleop!$K$30</c15:sqref>
                        </c15:formulaRef>
                      </c:ext>
                    </c:extLst>
                    <c:strCache>
                      <c:ptCount val="1"/>
                      <c:pt idx="0">
                        <c:v>Quantity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129C-4775-B6E2-2499B4A711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129C-4775-B6E2-2499B4A711A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129C-4775-B6E2-2499B4A711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uri="{CE6537A1-D6FC-4f65-9D91-7224C49458BB}"/>
                  </c:extLst>
                </c:dLbls>
                <c:cat>
                  <c:strRef>
                    <c:extLst>
                      <c:ext uri="{02D57815-91ED-43cb-92C2-25804820EDAC}">
                        <c15:formulaRef>
                          <c15:sqref>MPR_Teleop!$J$31:$J$33</c15:sqref>
                        </c15:formulaRef>
                      </c:ext>
                    </c:extLst>
                    <c:strCache>
                      <c:ptCount val="3"/>
                      <c:pt idx="0">
                        <c:v>SubW</c:v>
                      </c:pt>
                      <c:pt idx="1">
                        <c:v>AllyW</c:v>
                      </c:pt>
                      <c:pt idx="2">
                        <c:v>Neut</c:v>
                      </c:pt>
                    </c:strCache>
                  </c:strRef>
                </c:cat>
                <c:val>
                  <c:numRef>
                    <c:extLst>
                      <c:ext uri="{02D57815-91ED-43cb-92C2-25804820EDAC}">
                        <c15:formulaRef>
                          <c15:sqref>MPR_Teleop!$K$31:$K$33</c15:sqref>
                        </c15:formulaRef>
                      </c:ext>
                    </c:extLst>
                    <c:numCache>
                      <c:formatCode>General</c:formatCode>
                      <c:ptCount val="3"/>
                      <c:pt idx="0">
                        <c:v>20</c:v>
                      </c:pt>
                      <c:pt idx="1">
                        <c:v>95</c:v>
                      </c:pt>
                      <c:pt idx="2">
                        <c:v>1</c:v>
                      </c:pt>
                    </c:numCache>
                  </c:numRef>
                </c:val>
                <c:extLst>
                  <c:ext xmlns:c16="http://schemas.microsoft.com/office/drawing/2014/chart" uri="{C3380CC4-5D6E-409C-BE32-E72D297353CC}">
                    <c16:uniqueId val="{0000000D-129C-4775-B6E2-2499B4A711A8}"/>
                  </c:ext>
                </c:extLst>
              </c15:ser>
            </c15:filteredPieSeries>
            <c15:filteredPieSeries>
              <c15:ser>
                <c:idx val="1"/>
                <c:order val="1"/>
                <c:tx>
                  <c:strRef>
                    <c:extLst>
                      <c:ext xmlns:c15="http://schemas.microsoft.com/office/drawing/2012/chart" uri="{02D57815-91ED-43cb-92C2-25804820EDAC}">
                        <c15:formulaRef>
                          <c15:sqref>MPR_Teleop!$L$30</c15:sqref>
                        </c15:formulaRef>
                      </c:ext>
                    </c:extLst>
                    <c:strCache>
                      <c:ptCount val="1"/>
                      <c:pt idx="0">
                        <c:v>Shooting</c:v>
                      </c:pt>
                    </c:strCache>
                  </c:strRef>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0F-129C-4775-B6E2-2499B4A711A8}"/>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1-129C-4775-B6E2-2499B4A711A8}"/>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3-129C-4775-B6E2-2499B4A711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extLst>
                      <c:ext xmlns:c15="http://schemas.microsoft.com/office/drawing/2012/chart" uri="{02D57815-91ED-43cb-92C2-25804820EDAC}">
                        <c15:formulaRef>
                          <c15:sqref>MPR_Teleop!$J$31:$J$33</c15:sqref>
                        </c15:formulaRef>
                      </c:ext>
                    </c:extLst>
                    <c:strCache>
                      <c:ptCount val="3"/>
                      <c:pt idx="0">
                        <c:v>SubW</c:v>
                      </c:pt>
                      <c:pt idx="1">
                        <c:v>AllyW</c:v>
                      </c:pt>
                      <c:pt idx="2">
                        <c:v>Neut</c:v>
                      </c:pt>
                    </c:strCache>
                  </c:strRef>
                </c:cat>
                <c:val>
                  <c:numRef>
                    <c:extLst>
                      <c:ext xmlns:c15="http://schemas.microsoft.com/office/drawing/2012/chart" uri="{02D57815-91ED-43cb-92C2-25804820EDAC}">
                        <c15:formulaRef>
                          <c15:sqref>MPR_Teleop!$L$31:$L$33</c15:sqref>
                        </c15:formulaRef>
                      </c:ext>
                    </c:extLst>
                    <c:numCache>
                      <c:formatCode>0.00%</c:formatCode>
                      <c:ptCount val="3"/>
                      <c:pt idx="0">
                        <c:v>0.95238095238095233</c:v>
                      </c:pt>
                      <c:pt idx="1">
                        <c:v>0.98958333333333337</c:v>
                      </c:pt>
                      <c:pt idx="2">
                        <c:v>1</c:v>
                      </c:pt>
                    </c:numCache>
                  </c:numRef>
                </c:val>
                <c:extLst xmlns:c15="http://schemas.microsoft.com/office/drawing/2012/chart">
                  <c:ext xmlns:c16="http://schemas.microsoft.com/office/drawing/2014/chart" uri="{C3380CC4-5D6E-409C-BE32-E72D297353CC}">
                    <c16:uniqueId val="{00000014-129C-4775-B6E2-2499B4A711A8}"/>
                  </c:ext>
                </c:extLst>
              </c15:ser>
            </c15:filteredPieSeries>
            <c15:filteredPieSeries>
              <c15:ser>
                <c:idx val="2"/>
                <c:order val="2"/>
                <c:tx>
                  <c:strRef>
                    <c:extLst>
                      <c:ext xmlns:c15="http://schemas.microsoft.com/office/drawing/2012/chart" uri="{02D57815-91ED-43cb-92C2-25804820EDAC}">
                        <c15:formulaRef>
                          <c15:sqref>MPR_Teleop!$M$30</c15:sqref>
                        </c15:formulaRef>
                      </c:ext>
                    </c:extLst>
                    <c:strCache>
                      <c:ptCount val="1"/>
                      <c:pt idx="0">
                        <c:v>Misses</c:v>
                      </c:pt>
                    </c:strCache>
                  </c:strRef>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16-129C-4775-B6E2-2499B4A711A8}"/>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8-129C-4775-B6E2-2499B4A711A8}"/>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A-129C-4775-B6E2-2499B4A711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extLst>
                      <c:ext xmlns:c15="http://schemas.microsoft.com/office/drawing/2012/chart" uri="{02D57815-91ED-43cb-92C2-25804820EDAC}">
                        <c15:formulaRef>
                          <c15:sqref>MPR_Teleop!$J$31:$J$33</c15:sqref>
                        </c15:formulaRef>
                      </c:ext>
                    </c:extLst>
                    <c:strCache>
                      <c:ptCount val="3"/>
                      <c:pt idx="0">
                        <c:v>SubW</c:v>
                      </c:pt>
                      <c:pt idx="1">
                        <c:v>AllyW</c:v>
                      </c:pt>
                      <c:pt idx="2">
                        <c:v>Neut</c:v>
                      </c:pt>
                    </c:strCache>
                  </c:strRef>
                </c:cat>
                <c:val>
                  <c:numRef>
                    <c:extLst>
                      <c:ext xmlns:c15="http://schemas.microsoft.com/office/drawing/2012/chart" uri="{02D57815-91ED-43cb-92C2-25804820EDAC}">
                        <c15:formulaRef>
                          <c15:sqref>MPR_Teleop!$M$31:$M$33</c15:sqref>
                        </c15:formulaRef>
                      </c:ext>
                    </c:extLst>
                    <c:numCache>
                      <c:formatCode>General</c:formatCode>
                      <c:ptCount val="3"/>
                      <c:pt idx="0">
                        <c:v>1</c:v>
                      </c:pt>
                      <c:pt idx="1">
                        <c:v>1</c:v>
                      </c:pt>
                      <c:pt idx="2">
                        <c:v>0</c:v>
                      </c:pt>
                    </c:numCache>
                  </c:numRef>
                </c:val>
                <c:extLst xmlns:c15="http://schemas.microsoft.com/office/drawing/2012/chart">
                  <c:ext xmlns:c16="http://schemas.microsoft.com/office/drawing/2014/chart" uri="{C3380CC4-5D6E-409C-BE32-E72D297353CC}">
                    <c16:uniqueId val="{0000001B-129C-4775-B6E2-2499B4A711A8}"/>
                  </c:ext>
                </c:extLst>
              </c15:ser>
            </c15:filteredPieSeries>
          </c:ext>
        </c:extLst>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Teleoperated Deliveries per Drive Station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Amp</c:v>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MPR_Teleop!$J$3</c:f>
              <c:strCache>
                <c:ptCount val="1"/>
                <c:pt idx="0">
                  <c:v>frc2791</c:v>
                </c:pt>
              </c:strCache>
            </c:strRef>
          </c:cat>
          <c:val>
            <c:numRef>
              <c:f>MPR_Teleop!$K$3</c:f>
              <c:numCache>
                <c:formatCode>0.00</c:formatCode>
                <c:ptCount val="1"/>
                <c:pt idx="0">
                  <c:v>5</c:v>
                </c:pt>
              </c:numCache>
            </c:numRef>
          </c:val>
          <c:extLst>
            <c:ext xmlns:c16="http://schemas.microsoft.com/office/drawing/2014/chart" uri="{C3380CC4-5D6E-409C-BE32-E72D297353CC}">
              <c16:uniqueId val="{00000000-2D19-4DDF-A0DB-7D0386CDB969}"/>
            </c:ext>
          </c:extLst>
        </c:ser>
        <c:ser>
          <c:idx val="1"/>
          <c:order val="1"/>
          <c:tx>
            <c:v>Center</c:v>
          </c:tx>
          <c:spPr>
            <a:solidFill>
              <a:srgbClr val="FFC000"/>
            </a:solidFill>
            <a:ln>
              <a:noFill/>
            </a:ln>
            <a:effectLst/>
          </c:spPr>
          <c:invertIfNegative val="0"/>
          <c:cat>
            <c:strRef>
              <c:f>MPR_Teleop!$J$3</c:f>
              <c:strCache>
                <c:ptCount val="1"/>
                <c:pt idx="0">
                  <c:v>frc2791</c:v>
                </c:pt>
              </c:strCache>
            </c:strRef>
          </c:cat>
          <c:val>
            <c:numRef>
              <c:f>MPR_Teleop!$L$3</c:f>
              <c:numCache>
                <c:formatCode>0.00</c:formatCode>
                <c:ptCount val="1"/>
                <c:pt idx="0">
                  <c:v>7.5</c:v>
                </c:pt>
              </c:numCache>
            </c:numRef>
          </c:val>
          <c:extLst>
            <c:ext xmlns:c16="http://schemas.microsoft.com/office/drawing/2014/chart" uri="{C3380CC4-5D6E-409C-BE32-E72D297353CC}">
              <c16:uniqueId val="{00000001-2D19-4DDF-A0DB-7D0386CDB969}"/>
            </c:ext>
          </c:extLst>
        </c:ser>
        <c:ser>
          <c:idx val="2"/>
          <c:order val="2"/>
          <c:tx>
            <c:v>Source</c:v>
          </c:tx>
          <c:spPr>
            <a:solidFill>
              <a:srgbClr val="29FF8A"/>
            </a:solidFill>
            <a:ln>
              <a:noFill/>
            </a:ln>
            <a:effectLst/>
          </c:spPr>
          <c:invertIfNegative val="0"/>
          <c:cat>
            <c:strRef>
              <c:f>MPR_Teleop!$J$3</c:f>
              <c:strCache>
                <c:ptCount val="1"/>
                <c:pt idx="0">
                  <c:v>frc2791</c:v>
                </c:pt>
              </c:strCache>
            </c:strRef>
          </c:cat>
          <c:val>
            <c:numRef>
              <c:f>MPR_Teleop!$M$3</c:f>
              <c:numCache>
                <c:formatCode>0.00</c:formatCode>
                <c:ptCount val="1"/>
                <c:pt idx="0">
                  <c:v>0</c:v>
                </c:pt>
              </c:numCache>
            </c:numRef>
          </c:val>
          <c:extLst>
            <c:ext xmlns:c16="http://schemas.microsoft.com/office/drawing/2014/chart" uri="{C3380CC4-5D6E-409C-BE32-E72D297353CC}">
              <c16:uniqueId val="{00000002-2D19-4DDF-A0DB-7D0386CDB969}"/>
            </c:ext>
          </c:extLst>
        </c:ser>
        <c:dLbls>
          <c:showLegendKey val="0"/>
          <c:showVal val="0"/>
          <c:showCatName val="0"/>
          <c:showSerName val="0"/>
          <c:showPercent val="0"/>
          <c:showBubbleSize val="0"/>
        </c:dLbls>
        <c:gapWidth val="219"/>
        <c:overlap val="-27"/>
        <c:axId val="1019872768"/>
        <c:axId val="1019873128"/>
      </c:barChart>
      <c:catAx>
        <c:axId val="101987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873128"/>
        <c:crosses val="autoZero"/>
        <c:auto val="1"/>
        <c:lblAlgn val="ctr"/>
        <c:lblOffset val="100"/>
        <c:noMultiLvlLbl val="0"/>
      </c:catAx>
      <c:valAx>
        <c:axId val="1019873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872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Teleoperated Deliveries per Drive Station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Amp</c:v>
          </c:tx>
          <c:spPr>
            <a:solidFill>
              <a:srgbClr val="FFFF00"/>
            </a:solidFill>
            <a:ln>
              <a:noFill/>
            </a:ln>
            <a:effectLst/>
          </c:spPr>
          <c:invertIfNegative val="0"/>
          <c:cat>
            <c:strRef>
              <c:f>MPR_Teleop!$J$4</c:f>
              <c:strCache>
                <c:ptCount val="1"/>
                <c:pt idx="0">
                  <c:v>frc5016</c:v>
                </c:pt>
              </c:strCache>
            </c:strRef>
          </c:cat>
          <c:val>
            <c:numRef>
              <c:f>MPR_Teleop!$K$4</c:f>
              <c:numCache>
                <c:formatCode>0.00</c:formatCode>
                <c:ptCount val="1"/>
                <c:pt idx="0">
                  <c:v>5</c:v>
                </c:pt>
              </c:numCache>
            </c:numRef>
          </c:val>
          <c:extLst>
            <c:ext xmlns:c16="http://schemas.microsoft.com/office/drawing/2014/chart" uri="{C3380CC4-5D6E-409C-BE32-E72D297353CC}">
              <c16:uniqueId val="{00000000-4B8B-46D7-BEF6-FA0454663E42}"/>
            </c:ext>
          </c:extLst>
        </c:ser>
        <c:ser>
          <c:idx val="1"/>
          <c:order val="1"/>
          <c:tx>
            <c:v>Center</c:v>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MPR_Teleop!$J$4</c:f>
              <c:strCache>
                <c:ptCount val="1"/>
                <c:pt idx="0">
                  <c:v>frc5016</c:v>
                </c:pt>
              </c:strCache>
            </c:strRef>
          </c:cat>
          <c:val>
            <c:numRef>
              <c:f>MPR_Teleop!$L$4</c:f>
              <c:numCache>
                <c:formatCode>0.00</c:formatCode>
                <c:ptCount val="1"/>
                <c:pt idx="0">
                  <c:v>4.5</c:v>
                </c:pt>
              </c:numCache>
            </c:numRef>
          </c:val>
          <c:extLst>
            <c:ext xmlns:c16="http://schemas.microsoft.com/office/drawing/2014/chart" uri="{C3380CC4-5D6E-409C-BE32-E72D297353CC}">
              <c16:uniqueId val="{00000001-4B8B-46D7-BEF6-FA0454663E42}"/>
            </c:ext>
          </c:extLst>
        </c:ser>
        <c:ser>
          <c:idx val="2"/>
          <c:order val="2"/>
          <c:tx>
            <c:v>Source</c:v>
          </c:tx>
          <c:spPr>
            <a:solidFill>
              <a:srgbClr val="29FF8A"/>
            </a:solidFill>
            <a:ln>
              <a:noFill/>
            </a:ln>
            <a:effectLst/>
          </c:spPr>
          <c:invertIfNegative val="0"/>
          <c:cat>
            <c:strRef>
              <c:f>MPR_Teleop!$J$4</c:f>
              <c:strCache>
                <c:ptCount val="1"/>
                <c:pt idx="0">
                  <c:v>frc5016</c:v>
                </c:pt>
              </c:strCache>
            </c:strRef>
          </c:cat>
          <c:val>
            <c:numRef>
              <c:f>MPR_Teleop!$M$4</c:f>
              <c:numCache>
                <c:formatCode>0.00</c:formatCode>
                <c:ptCount val="1"/>
                <c:pt idx="0">
                  <c:v>2.6666666666666665</c:v>
                </c:pt>
              </c:numCache>
            </c:numRef>
          </c:val>
          <c:extLst>
            <c:ext xmlns:c16="http://schemas.microsoft.com/office/drawing/2014/chart" uri="{C3380CC4-5D6E-409C-BE32-E72D297353CC}">
              <c16:uniqueId val="{00000002-4B8B-46D7-BEF6-FA0454663E42}"/>
            </c:ext>
          </c:extLst>
        </c:ser>
        <c:dLbls>
          <c:showLegendKey val="0"/>
          <c:showVal val="0"/>
          <c:showCatName val="0"/>
          <c:showSerName val="0"/>
          <c:showPercent val="0"/>
          <c:showBubbleSize val="0"/>
        </c:dLbls>
        <c:gapWidth val="219"/>
        <c:overlap val="-27"/>
        <c:axId val="1019872768"/>
        <c:axId val="1019873128"/>
      </c:barChart>
      <c:catAx>
        <c:axId val="101987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873128"/>
        <c:crosses val="autoZero"/>
        <c:auto val="1"/>
        <c:lblAlgn val="ctr"/>
        <c:lblOffset val="100"/>
        <c:noMultiLvlLbl val="0"/>
      </c:catAx>
      <c:valAx>
        <c:axId val="1019873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872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Teleoperated Deliveries per Drive Station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Amp</c:v>
          </c:tx>
          <c:spPr>
            <a:solidFill>
              <a:srgbClr val="FFFF00"/>
            </a:solidFill>
            <a:ln>
              <a:noFill/>
            </a:ln>
            <a:effectLst/>
          </c:spPr>
          <c:invertIfNegative val="0"/>
          <c:cat>
            <c:strRef>
              <c:f>MPR_Teleop!$J$5</c:f>
              <c:strCache>
                <c:ptCount val="1"/>
                <c:pt idx="0">
                  <c:v>frc1591</c:v>
                </c:pt>
              </c:strCache>
            </c:strRef>
          </c:cat>
          <c:val>
            <c:numRef>
              <c:f>MPR_Teleop!$K$5</c:f>
              <c:numCache>
                <c:formatCode>0.00</c:formatCode>
                <c:ptCount val="1"/>
                <c:pt idx="0">
                  <c:v>11</c:v>
                </c:pt>
              </c:numCache>
            </c:numRef>
          </c:val>
          <c:extLst>
            <c:ext xmlns:c16="http://schemas.microsoft.com/office/drawing/2014/chart" uri="{C3380CC4-5D6E-409C-BE32-E72D297353CC}">
              <c16:uniqueId val="{00000000-FA7D-44C9-BE6C-48D40C9753A7}"/>
            </c:ext>
          </c:extLst>
        </c:ser>
        <c:ser>
          <c:idx val="1"/>
          <c:order val="1"/>
          <c:tx>
            <c:v>Center</c:v>
          </c:tx>
          <c:spPr>
            <a:solidFill>
              <a:srgbClr val="FFC000"/>
            </a:solidFill>
            <a:ln>
              <a:noFill/>
            </a:ln>
            <a:effectLst/>
          </c:spPr>
          <c:invertIfNegative val="0"/>
          <c:cat>
            <c:strRef>
              <c:f>MPR_Teleop!$J$5</c:f>
              <c:strCache>
                <c:ptCount val="1"/>
                <c:pt idx="0">
                  <c:v>frc1591</c:v>
                </c:pt>
              </c:strCache>
            </c:strRef>
          </c:cat>
          <c:val>
            <c:numRef>
              <c:f>MPR_Teleop!$L$5</c:f>
              <c:numCache>
                <c:formatCode>0.00</c:formatCode>
                <c:ptCount val="1"/>
                <c:pt idx="0">
                  <c:v>11</c:v>
                </c:pt>
              </c:numCache>
            </c:numRef>
          </c:val>
          <c:extLst>
            <c:ext xmlns:c16="http://schemas.microsoft.com/office/drawing/2014/chart" uri="{C3380CC4-5D6E-409C-BE32-E72D297353CC}">
              <c16:uniqueId val="{00000001-FA7D-44C9-BE6C-48D40C9753A7}"/>
            </c:ext>
          </c:extLst>
        </c:ser>
        <c:ser>
          <c:idx val="2"/>
          <c:order val="2"/>
          <c:tx>
            <c:v>Source</c:v>
          </c:tx>
          <c:spPr>
            <a:solidFill>
              <a:srgbClr val="29FF8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MPR_Teleop!$J$5</c:f>
              <c:strCache>
                <c:ptCount val="1"/>
                <c:pt idx="0">
                  <c:v>frc1591</c:v>
                </c:pt>
              </c:strCache>
            </c:strRef>
          </c:cat>
          <c:val>
            <c:numRef>
              <c:f>MPR_Teleop!$M$5</c:f>
              <c:numCache>
                <c:formatCode>0.00</c:formatCode>
                <c:ptCount val="1"/>
                <c:pt idx="0">
                  <c:v>9.3333333333333339</c:v>
                </c:pt>
              </c:numCache>
            </c:numRef>
          </c:val>
          <c:extLst>
            <c:ext xmlns:c16="http://schemas.microsoft.com/office/drawing/2014/chart" uri="{C3380CC4-5D6E-409C-BE32-E72D297353CC}">
              <c16:uniqueId val="{00000002-FA7D-44C9-BE6C-48D40C9753A7}"/>
            </c:ext>
          </c:extLst>
        </c:ser>
        <c:dLbls>
          <c:showLegendKey val="0"/>
          <c:showVal val="0"/>
          <c:showCatName val="0"/>
          <c:showSerName val="0"/>
          <c:showPercent val="0"/>
          <c:showBubbleSize val="0"/>
        </c:dLbls>
        <c:gapWidth val="219"/>
        <c:overlap val="-27"/>
        <c:axId val="1019872768"/>
        <c:axId val="1019873128"/>
      </c:barChart>
      <c:catAx>
        <c:axId val="101987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873128"/>
        <c:crosses val="autoZero"/>
        <c:auto val="1"/>
        <c:lblAlgn val="ctr"/>
        <c:lblOffset val="100"/>
        <c:noMultiLvlLbl val="0"/>
      </c:catAx>
      <c:valAx>
        <c:axId val="1019873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872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Alliance Teleoperated Note Deliveries</a:t>
            </a:r>
            <a:r>
              <a:rPr lang="en-US" baseline="0"/>
              <a:t> </a:t>
            </a:r>
            <a:endParaRPr lang="en-US"/>
          </a:p>
        </c:rich>
      </c:tx>
      <c:layout>
        <c:manualLayout>
          <c:xMode val="edge"/>
          <c:yMode val="edge"/>
          <c:x val="0.30240964020122485"/>
          <c:y val="3.46084178397729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MPR_Teleop!$P$3</c:f>
              <c:strCache>
                <c:ptCount val="1"/>
                <c:pt idx="0">
                  <c:v>frc2791</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MPR_Teleop!$Q$2:$R$2</c:f>
              <c:strCache>
                <c:ptCount val="2"/>
                <c:pt idx="0">
                  <c:v>Current Stations</c:v>
                </c:pt>
                <c:pt idx="1">
                  <c:v>All Stations</c:v>
                </c:pt>
              </c:strCache>
            </c:strRef>
          </c:cat>
          <c:val>
            <c:numRef>
              <c:f>MPR_Teleop!$Q$3:$R$3</c:f>
              <c:numCache>
                <c:formatCode>0.00</c:formatCode>
                <c:ptCount val="2"/>
                <c:pt idx="0">
                  <c:v>5</c:v>
                </c:pt>
                <c:pt idx="1">
                  <c:v>5.833333333333333</c:v>
                </c:pt>
              </c:numCache>
            </c:numRef>
          </c:val>
          <c:extLst>
            <c:ext xmlns:c16="http://schemas.microsoft.com/office/drawing/2014/chart" uri="{C3380CC4-5D6E-409C-BE32-E72D297353CC}">
              <c16:uniqueId val="{00000000-5463-4800-A3CE-D1844D12823A}"/>
            </c:ext>
          </c:extLst>
        </c:ser>
        <c:ser>
          <c:idx val="1"/>
          <c:order val="1"/>
          <c:tx>
            <c:strRef>
              <c:f>MPR_Teleop!$P$4</c:f>
              <c:strCache>
                <c:ptCount val="1"/>
                <c:pt idx="0">
                  <c:v>frc5016</c:v>
                </c:pt>
              </c:strCache>
            </c:strRef>
          </c:tx>
          <c:spPr>
            <a:solidFill>
              <a:srgbClr val="29FF8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MPR_Teleop!$Q$2:$R$2</c:f>
              <c:strCache>
                <c:ptCount val="2"/>
                <c:pt idx="0">
                  <c:v>Current Stations</c:v>
                </c:pt>
                <c:pt idx="1">
                  <c:v>All Stations</c:v>
                </c:pt>
              </c:strCache>
            </c:strRef>
          </c:cat>
          <c:val>
            <c:numRef>
              <c:f>MPR_Teleop!$Q$4:$R$4</c:f>
              <c:numCache>
                <c:formatCode>0.00</c:formatCode>
                <c:ptCount val="2"/>
                <c:pt idx="0">
                  <c:v>4.5</c:v>
                </c:pt>
                <c:pt idx="1">
                  <c:v>4.333333333333333</c:v>
                </c:pt>
              </c:numCache>
            </c:numRef>
          </c:val>
          <c:extLst>
            <c:ext xmlns:c16="http://schemas.microsoft.com/office/drawing/2014/chart" uri="{C3380CC4-5D6E-409C-BE32-E72D297353CC}">
              <c16:uniqueId val="{00000001-5463-4800-A3CE-D1844D12823A}"/>
            </c:ext>
          </c:extLst>
        </c:ser>
        <c:ser>
          <c:idx val="2"/>
          <c:order val="2"/>
          <c:tx>
            <c:strRef>
              <c:f>MPR_Teleop!$P$5</c:f>
              <c:strCache>
                <c:ptCount val="1"/>
                <c:pt idx="0">
                  <c:v>frc1591</c:v>
                </c:pt>
              </c:strCache>
            </c:strRef>
          </c:tx>
          <c:spPr>
            <a:solidFill>
              <a:srgbClr val="FF00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MPR_Teleop!$Q$2:$R$2</c:f>
              <c:strCache>
                <c:ptCount val="2"/>
                <c:pt idx="0">
                  <c:v>Current Stations</c:v>
                </c:pt>
                <c:pt idx="1">
                  <c:v>All Stations</c:v>
                </c:pt>
              </c:strCache>
            </c:strRef>
          </c:cat>
          <c:val>
            <c:numRef>
              <c:f>MPR_Teleop!$Q$5:$R$5</c:f>
              <c:numCache>
                <c:formatCode>0.00</c:formatCode>
                <c:ptCount val="2"/>
                <c:pt idx="0">
                  <c:v>9.3333333333333339</c:v>
                </c:pt>
                <c:pt idx="1">
                  <c:v>13.428571428571429</c:v>
                </c:pt>
              </c:numCache>
            </c:numRef>
          </c:val>
          <c:extLst>
            <c:ext xmlns:c16="http://schemas.microsoft.com/office/drawing/2014/chart" uri="{C3380CC4-5D6E-409C-BE32-E72D297353CC}">
              <c16:uniqueId val="{00000002-5463-4800-A3CE-D1844D12823A}"/>
            </c:ext>
          </c:extLst>
        </c:ser>
        <c:dLbls>
          <c:dLblPos val="ctr"/>
          <c:showLegendKey val="0"/>
          <c:showVal val="1"/>
          <c:showCatName val="0"/>
          <c:showSerName val="0"/>
          <c:showPercent val="0"/>
          <c:showBubbleSize val="0"/>
        </c:dLbls>
        <c:gapWidth val="182"/>
        <c:overlap val="100"/>
        <c:axId val="857905104"/>
        <c:axId val="857905464"/>
      </c:barChart>
      <c:catAx>
        <c:axId val="857905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905464"/>
        <c:crosses val="autoZero"/>
        <c:auto val="1"/>
        <c:lblAlgn val="ctr"/>
        <c:lblOffset val="100"/>
        <c:noMultiLvlLbl val="0"/>
      </c:catAx>
      <c:valAx>
        <c:axId val="85790546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90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Amp</a:t>
            </a:r>
            <a:r>
              <a:rPr lang="en-US" baseline="0"/>
              <a:t> </a:t>
            </a:r>
            <a:r>
              <a:rPr lang="en-US"/>
              <a:t>- Climb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v>Seconds</c:v>
          </c:tx>
          <c:dPt>
            <c:idx val="0"/>
            <c:bubble3D val="0"/>
            <c:spPr>
              <a:solidFill>
                <a:srgbClr val="FF0000"/>
              </a:solidFill>
              <a:ln w="12700">
                <a:solidFill>
                  <a:srgbClr val="FF0000"/>
                </a:solidFill>
              </a:ln>
              <a:effectLst/>
            </c:spPr>
            <c:extLst>
              <c:ext xmlns:c16="http://schemas.microsoft.com/office/drawing/2014/chart" uri="{C3380CC4-5D6E-409C-BE32-E72D297353CC}">
                <c16:uniqueId val="{00000001-7BB9-4432-82D2-15F96547624F}"/>
              </c:ext>
            </c:extLst>
          </c:dPt>
          <c:dPt>
            <c:idx val="1"/>
            <c:bubble3D val="0"/>
            <c:spPr>
              <a:solidFill>
                <a:srgbClr val="00B050"/>
              </a:solidFill>
              <a:ln w="12700">
                <a:solidFill>
                  <a:srgbClr val="00B050"/>
                </a:solidFill>
              </a:ln>
              <a:effectLst/>
            </c:spPr>
            <c:extLst>
              <c:ext xmlns:c16="http://schemas.microsoft.com/office/drawing/2014/chart" uri="{C3380CC4-5D6E-409C-BE32-E72D297353CC}">
                <c16:uniqueId val="{00000003-7BB9-4432-82D2-15F96547624F}"/>
              </c:ext>
            </c:extLst>
          </c:dPt>
          <c:dPt>
            <c:idx val="2"/>
            <c:bubble3D val="0"/>
            <c:spPr>
              <a:noFill/>
              <a:ln w="19050">
                <a:noFill/>
              </a:ln>
              <a:effectLst/>
            </c:spPr>
            <c:extLst>
              <c:ext xmlns:c16="http://schemas.microsoft.com/office/drawing/2014/chart" uri="{C3380CC4-5D6E-409C-BE32-E72D297353CC}">
                <c16:uniqueId val="{00000005-7BB9-4432-82D2-15F96547624F}"/>
              </c:ext>
            </c:extLst>
          </c:dPt>
          <c:val>
            <c:numRef>
              <c:f>MPR_Showtime!$B$10:$B$12</c:f>
              <c:numCache>
                <c:formatCode>0.0000</c:formatCode>
                <c:ptCount val="3"/>
                <c:pt idx="0">
                  <c:v>3.0160380999999998</c:v>
                </c:pt>
                <c:pt idx="1">
                  <c:v>9.4842600000000221E-2</c:v>
                </c:pt>
                <c:pt idx="2">
                  <c:v>56.889119299999997</c:v>
                </c:pt>
              </c:numCache>
            </c:numRef>
          </c:val>
          <c:extLst>
            <c:ext xmlns:c16="http://schemas.microsoft.com/office/drawing/2014/chart" uri="{C3380CC4-5D6E-409C-BE32-E72D297353CC}">
              <c16:uniqueId val="{00000006-7BB9-4432-82D2-15F96547624F}"/>
            </c:ext>
          </c:extLst>
        </c:ser>
        <c:dLbls>
          <c:showLegendKey val="0"/>
          <c:showVal val="0"/>
          <c:showCatName val="0"/>
          <c:showSerName val="0"/>
          <c:showPercent val="0"/>
          <c:showBubbleSize val="0"/>
          <c:showLeaderLines val="1"/>
        </c:dLbls>
        <c:firstSliceAng val="0"/>
      </c:pieChart>
      <c:spPr>
        <a:blipFill dpi="0" rotWithShape="1">
          <a:blip xmlns:r="http://schemas.openxmlformats.org/officeDocument/2006/relationships" r:embed="rId4"/>
          <a:srcRect/>
          <a:stretch>
            <a:fillRect l="-2000" t="-3000" r="-2500" b="-2000"/>
          </a:stretch>
        </a:blip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Center - Climb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FF0000"/>
              </a:solidFill>
              <a:ln w="6350">
                <a:solidFill>
                  <a:srgbClr val="FF0000"/>
                </a:solidFill>
              </a:ln>
              <a:effectLst/>
            </c:spPr>
            <c:extLst>
              <c:ext xmlns:c16="http://schemas.microsoft.com/office/drawing/2014/chart" uri="{C3380CC4-5D6E-409C-BE32-E72D297353CC}">
                <c16:uniqueId val="{00000001-8097-42F1-8790-E18C30129FCE}"/>
              </c:ext>
            </c:extLst>
          </c:dPt>
          <c:dPt>
            <c:idx val="1"/>
            <c:bubble3D val="0"/>
            <c:spPr>
              <a:solidFill>
                <a:srgbClr val="00B050"/>
              </a:solidFill>
              <a:ln w="12700">
                <a:solidFill>
                  <a:srgbClr val="00B050"/>
                </a:solidFill>
              </a:ln>
              <a:effectLst/>
            </c:spPr>
            <c:extLst>
              <c:ext xmlns:c16="http://schemas.microsoft.com/office/drawing/2014/chart" uri="{C3380CC4-5D6E-409C-BE32-E72D297353CC}">
                <c16:uniqueId val="{00000003-8097-42F1-8790-E18C30129FCE}"/>
              </c:ext>
            </c:extLst>
          </c:dPt>
          <c:dPt>
            <c:idx val="2"/>
            <c:bubble3D val="0"/>
            <c:spPr>
              <a:noFill/>
              <a:ln w="19050">
                <a:noFill/>
              </a:ln>
              <a:effectLst/>
            </c:spPr>
            <c:extLst>
              <c:ext xmlns:c16="http://schemas.microsoft.com/office/drawing/2014/chart" uri="{C3380CC4-5D6E-409C-BE32-E72D297353CC}">
                <c16:uniqueId val="{00000005-8097-42F1-8790-E18C30129FCE}"/>
              </c:ext>
            </c:extLst>
          </c:dPt>
          <c:val>
            <c:numRef>
              <c:f>MPR_Showtime!$B$20:$B$22</c:f>
              <c:numCache>
                <c:formatCode>0.0000</c:formatCode>
                <c:ptCount val="3"/>
                <c:pt idx="0">
                  <c:v>0</c:v>
                </c:pt>
                <c:pt idx="1">
                  <c:v>1.6282983</c:v>
                </c:pt>
                <c:pt idx="2">
                  <c:v>58.371701700000003</c:v>
                </c:pt>
              </c:numCache>
            </c:numRef>
          </c:val>
          <c:extLst>
            <c:ext xmlns:c16="http://schemas.microsoft.com/office/drawing/2014/chart" uri="{C3380CC4-5D6E-409C-BE32-E72D297353CC}">
              <c16:uniqueId val="{00000006-8097-42F1-8790-E18C30129FCE}"/>
            </c:ext>
          </c:extLst>
        </c:ser>
        <c:dLbls>
          <c:showLegendKey val="0"/>
          <c:showVal val="0"/>
          <c:showCatName val="0"/>
          <c:showSerName val="0"/>
          <c:showPercent val="0"/>
          <c:showBubbleSize val="0"/>
          <c:showLeaderLines val="1"/>
        </c:dLbls>
        <c:firstSliceAng val="0"/>
      </c:pieChart>
      <c:spPr>
        <a:blipFill dpi="0" rotWithShape="1">
          <a:blip xmlns:r="http://schemas.openxmlformats.org/officeDocument/2006/relationships" r:embed="rId4"/>
          <a:srcRect/>
          <a:stretch>
            <a:fillRect l="-2000" t="-3000" r="-2500" b="-2000"/>
          </a:stretch>
        </a:blip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Source - Climb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FF0000"/>
              </a:solidFill>
              <a:ln w="12700">
                <a:solidFill>
                  <a:srgbClr val="FF0000"/>
                </a:solidFill>
              </a:ln>
              <a:effectLst/>
            </c:spPr>
            <c:extLst>
              <c:ext xmlns:c16="http://schemas.microsoft.com/office/drawing/2014/chart" uri="{C3380CC4-5D6E-409C-BE32-E72D297353CC}">
                <c16:uniqueId val="{00000001-709E-46BD-A4B9-E517602DA122}"/>
              </c:ext>
            </c:extLst>
          </c:dPt>
          <c:dPt>
            <c:idx val="1"/>
            <c:bubble3D val="0"/>
            <c:spPr>
              <a:solidFill>
                <a:srgbClr val="00B050"/>
              </a:solidFill>
              <a:ln w="12700">
                <a:solidFill>
                  <a:srgbClr val="00B050"/>
                </a:solidFill>
              </a:ln>
              <a:effectLst/>
            </c:spPr>
            <c:extLst>
              <c:ext xmlns:c16="http://schemas.microsoft.com/office/drawing/2014/chart" uri="{C3380CC4-5D6E-409C-BE32-E72D297353CC}">
                <c16:uniqueId val="{00000003-709E-46BD-A4B9-E517602DA122}"/>
              </c:ext>
            </c:extLst>
          </c:dPt>
          <c:dPt>
            <c:idx val="2"/>
            <c:bubble3D val="0"/>
            <c:spPr>
              <a:noFill/>
              <a:ln w="19050">
                <a:noFill/>
              </a:ln>
              <a:effectLst/>
            </c:spPr>
            <c:extLst>
              <c:ext xmlns:c16="http://schemas.microsoft.com/office/drawing/2014/chart" uri="{C3380CC4-5D6E-409C-BE32-E72D297353CC}">
                <c16:uniqueId val="{00000005-709E-46BD-A4B9-E517602DA122}"/>
              </c:ext>
            </c:extLst>
          </c:dPt>
          <c:val>
            <c:numRef>
              <c:f>MPR_Showtime!$B$30:$B$32</c:f>
              <c:numCache>
                <c:formatCode>0.0000</c:formatCode>
                <c:ptCount val="3"/>
                <c:pt idx="0">
                  <c:v>0</c:v>
                </c:pt>
                <c:pt idx="1">
                  <c:v>2.0227572</c:v>
                </c:pt>
                <c:pt idx="2">
                  <c:v>57.977242799999999</c:v>
                </c:pt>
              </c:numCache>
            </c:numRef>
          </c:val>
          <c:extLst>
            <c:ext xmlns:c16="http://schemas.microsoft.com/office/drawing/2014/chart" uri="{C3380CC4-5D6E-409C-BE32-E72D297353CC}">
              <c16:uniqueId val="{00000006-709E-46BD-A4B9-E517602DA122}"/>
            </c:ext>
          </c:extLst>
        </c:ser>
        <c:dLbls>
          <c:showLegendKey val="0"/>
          <c:showVal val="0"/>
          <c:showCatName val="0"/>
          <c:showSerName val="0"/>
          <c:showPercent val="0"/>
          <c:showBubbleSize val="0"/>
          <c:showLeaderLines val="1"/>
        </c:dLbls>
        <c:firstSliceAng val="0"/>
      </c:pieChart>
      <c:spPr>
        <a:blipFill dpi="0" rotWithShape="1">
          <a:blip xmlns:r="http://schemas.openxmlformats.org/officeDocument/2006/relationships" r:embed="rId4"/>
          <a:srcRect/>
          <a:stretch>
            <a:fillRect l="-2000" t="-3000" r="-2500" b="-2000"/>
          </a:stretch>
        </a:blip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Stage Points per Match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MPR_Alliance!$B$37</c:f>
              <c:strCache>
                <c:ptCount val="1"/>
                <c:pt idx="0">
                  <c:v>Red</c:v>
                </c:pt>
              </c:strCache>
            </c:strRef>
          </c:tx>
          <c:spPr>
            <a:solidFill>
              <a:schemeClr val="accent1"/>
            </a:solidFill>
            <a:ln>
              <a:noFill/>
            </a:ln>
            <a:effectLst/>
          </c:spPr>
          <c:invertIfNegative val="0"/>
          <c:cat>
            <c:strRef>
              <c:f>MPR_Alliance!$A$38:$A$43</c:f>
              <c:strCache>
                <c:ptCount val="6"/>
                <c:pt idx="0">
                  <c:v>frc1591</c:v>
                </c:pt>
                <c:pt idx="1">
                  <c:v>frc5016</c:v>
                </c:pt>
                <c:pt idx="2">
                  <c:v>frc2791</c:v>
                </c:pt>
                <c:pt idx="3">
                  <c:v>frc5993</c:v>
                </c:pt>
                <c:pt idx="4">
                  <c:v>frc1559</c:v>
                </c:pt>
                <c:pt idx="5">
                  <c:v>frc3173</c:v>
                </c:pt>
              </c:strCache>
            </c:strRef>
          </c:cat>
          <c:val>
            <c:numRef>
              <c:f>MPR_Alliance!$B$38:$B$43</c:f>
              <c:numCache>
                <c:formatCode>0.00</c:formatCode>
                <c:ptCount val="6"/>
                <c:pt idx="0">
                  <c:v>3</c:v>
                </c:pt>
                <c:pt idx="1">
                  <c:v>2.6666666666666665</c:v>
                </c:pt>
                <c:pt idx="2">
                  <c:v>3.1666666666666665</c:v>
                </c:pt>
              </c:numCache>
            </c:numRef>
          </c:val>
          <c:extLst>
            <c:ext xmlns:c16="http://schemas.microsoft.com/office/drawing/2014/chart" uri="{C3380CC4-5D6E-409C-BE32-E72D297353CC}">
              <c16:uniqueId val="{00000000-A913-431F-9AAF-DE5A262D9D24}"/>
            </c:ext>
          </c:extLst>
        </c:ser>
        <c:ser>
          <c:idx val="1"/>
          <c:order val="1"/>
          <c:tx>
            <c:strRef>
              <c:f>MPR_Alliance!$C$37</c:f>
              <c:strCache>
                <c:ptCount val="1"/>
                <c:pt idx="0">
                  <c:v>Blue</c:v>
                </c:pt>
              </c:strCache>
            </c:strRef>
          </c:tx>
          <c:spPr>
            <a:solidFill>
              <a:schemeClr val="accent4"/>
            </a:solidFill>
            <a:ln>
              <a:solidFill>
                <a:schemeClr val="accent4"/>
              </a:solidFill>
            </a:ln>
            <a:effectLst/>
          </c:spPr>
          <c:invertIfNegative val="0"/>
          <c:cat>
            <c:strRef>
              <c:f>MPR_Alliance!$A$38:$A$43</c:f>
              <c:strCache>
                <c:ptCount val="6"/>
                <c:pt idx="0">
                  <c:v>frc1591</c:v>
                </c:pt>
                <c:pt idx="1">
                  <c:v>frc5016</c:v>
                </c:pt>
                <c:pt idx="2">
                  <c:v>frc2791</c:v>
                </c:pt>
                <c:pt idx="3">
                  <c:v>frc5993</c:v>
                </c:pt>
                <c:pt idx="4">
                  <c:v>frc1559</c:v>
                </c:pt>
                <c:pt idx="5">
                  <c:v>frc3173</c:v>
                </c:pt>
              </c:strCache>
            </c:strRef>
          </c:cat>
          <c:val>
            <c:numRef>
              <c:f>MPR_Alliance!$C$38:$C$43</c:f>
              <c:numCache>
                <c:formatCode>0.00</c:formatCode>
                <c:ptCount val="6"/>
                <c:pt idx="3">
                  <c:v>1.3333333333333333</c:v>
                </c:pt>
                <c:pt idx="4">
                  <c:v>3.1666666666666665</c:v>
                </c:pt>
                <c:pt idx="5">
                  <c:v>0.8</c:v>
                </c:pt>
              </c:numCache>
            </c:numRef>
          </c:val>
          <c:extLst>
            <c:ext xmlns:c16="http://schemas.microsoft.com/office/drawing/2014/chart" uri="{C3380CC4-5D6E-409C-BE32-E72D297353CC}">
              <c16:uniqueId val="{00000001-A913-431F-9AAF-DE5A262D9D24}"/>
            </c:ext>
          </c:extLst>
        </c:ser>
        <c:dLbls>
          <c:showLegendKey val="0"/>
          <c:showVal val="0"/>
          <c:showCatName val="0"/>
          <c:showSerName val="0"/>
          <c:showPercent val="0"/>
          <c:showBubbleSize val="0"/>
        </c:dLbls>
        <c:gapWidth val="150"/>
        <c:overlap val="100"/>
        <c:axId val="1324999400"/>
        <c:axId val="1324995800"/>
      </c:barChart>
      <c:catAx>
        <c:axId val="1324999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995800"/>
        <c:crosses val="autoZero"/>
        <c:auto val="1"/>
        <c:lblAlgn val="ctr"/>
        <c:lblOffset val="100"/>
        <c:noMultiLvlLbl val="0"/>
      </c:catAx>
      <c:valAx>
        <c:axId val="13249958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99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Amp Station</a:t>
            </a:r>
            <a:r>
              <a:rPr lang="en-US" baseline="0"/>
              <a:t> - Extras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MPR_Showtime!$B$2</c:f>
              <c:strCache>
                <c:ptCount val="1"/>
                <c:pt idx="0">
                  <c:v>Harmony</c:v>
                </c:pt>
              </c:strCache>
            </c:strRef>
          </c:tx>
          <c:spPr>
            <a:solidFill>
              <a:srgbClr val="C9A4E4"/>
            </a:solidFill>
            <a:ln>
              <a:noFill/>
            </a:ln>
            <a:effectLst/>
          </c:spPr>
          <c:invertIfNegative val="0"/>
          <c:cat>
            <c:strRef>
              <c:f>MPR_Showtime!$A$3</c:f>
              <c:strCache>
                <c:ptCount val="1"/>
                <c:pt idx="0">
                  <c:v>frc2791</c:v>
                </c:pt>
              </c:strCache>
            </c:strRef>
          </c:cat>
          <c:val>
            <c:numRef>
              <c:f>MPR_Showtime!$B$3</c:f>
              <c:numCache>
                <c:formatCode>0</c:formatCode>
                <c:ptCount val="1"/>
                <c:pt idx="0">
                  <c:v>3</c:v>
                </c:pt>
              </c:numCache>
            </c:numRef>
          </c:val>
          <c:extLst>
            <c:ext xmlns:c16="http://schemas.microsoft.com/office/drawing/2014/chart" uri="{C3380CC4-5D6E-409C-BE32-E72D297353CC}">
              <c16:uniqueId val="{00000000-3986-4E21-8283-098424CC72F5}"/>
            </c:ext>
          </c:extLst>
        </c:ser>
        <c:ser>
          <c:idx val="1"/>
          <c:order val="1"/>
          <c:tx>
            <c:strRef>
              <c:f>MPR_Showtime!$C$2</c:f>
              <c:strCache>
                <c:ptCount val="1"/>
                <c:pt idx="0">
                  <c:v>Spotlit</c:v>
                </c:pt>
              </c:strCache>
            </c:strRef>
          </c:tx>
          <c:spPr>
            <a:solidFill>
              <a:srgbClr val="29FF8A"/>
            </a:solidFill>
            <a:ln>
              <a:noFill/>
            </a:ln>
            <a:effectLst/>
          </c:spPr>
          <c:invertIfNegative val="0"/>
          <c:cat>
            <c:strRef>
              <c:f>MPR_Showtime!$A$3</c:f>
              <c:strCache>
                <c:ptCount val="1"/>
                <c:pt idx="0">
                  <c:v>frc2791</c:v>
                </c:pt>
              </c:strCache>
            </c:strRef>
          </c:cat>
          <c:val>
            <c:numRef>
              <c:f>MPR_Showtime!$C$3</c:f>
              <c:numCache>
                <c:formatCode>0</c:formatCode>
                <c:ptCount val="1"/>
                <c:pt idx="0">
                  <c:v>0</c:v>
                </c:pt>
              </c:numCache>
            </c:numRef>
          </c:val>
          <c:extLst>
            <c:ext xmlns:c16="http://schemas.microsoft.com/office/drawing/2014/chart" uri="{C3380CC4-5D6E-409C-BE32-E72D297353CC}">
              <c16:uniqueId val="{00000001-3986-4E21-8283-098424CC72F5}"/>
            </c:ext>
          </c:extLst>
        </c:ser>
        <c:dLbls>
          <c:showLegendKey val="0"/>
          <c:showVal val="0"/>
          <c:showCatName val="0"/>
          <c:showSerName val="0"/>
          <c:showPercent val="0"/>
          <c:showBubbleSize val="0"/>
        </c:dLbls>
        <c:gapWidth val="219"/>
        <c:overlap val="-27"/>
        <c:axId val="674345504"/>
        <c:axId val="674340464"/>
      </c:barChart>
      <c:catAx>
        <c:axId val="674345504"/>
        <c:scaling>
          <c:orientation val="minMax"/>
        </c:scaling>
        <c:delete val="1"/>
        <c:axPos val="b"/>
        <c:numFmt formatCode="General" sourceLinked="1"/>
        <c:majorTickMark val="none"/>
        <c:minorTickMark val="none"/>
        <c:tickLblPos val="nextTo"/>
        <c:crossAx val="674340464"/>
        <c:crosses val="autoZero"/>
        <c:auto val="1"/>
        <c:lblAlgn val="ctr"/>
        <c:lblOffset val="100"/>
        <c:noMultiLvlLbl val="0"/>
      </c:catAx>
      <c:valAx>
        <c:axId val="674340464"/>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7434550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Center Station</a:t>
            </a:r>
            <a:r>
              <a:rPr lang="en-US" baseline="0"/>
              <a:t> - Extras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MPR_Showtime!$B$2</c:f>
              <c:strCache>
                <c:ptCount val="1"/>
                <c:pt idx="0">
                  <c:v>Harmony</c:v>
                </c:pt>
              </c:strCache>
            </c:strRef>
          </c:tx>
          <c:spPr>
            <a:solidFill>
              <a:srgbClr val="C9A4E4"/>
            </a:solidFill>
            <a:ln>
              <a:noFill/>
            </a:ln>
            <a:effectLst/>
          </c:spPr>
          <c:invertIfNegative val="0"/>
          <c:cat>
            <c:strRef>
              <c:f>MPR_Showtime!$A$4</c:f>
              <c:strCache>
                <c:ptCount val="1"/>
                <c:pt idx="0">
                  <c:v>frc5016</c:v>
                </c:pt>
              </c:strCache>
            </c:strRef>
          </c:cat>
          <c:val>
            <c:numRef>
              <c:f>MPR_Showtime!$B$4</c:f>
              <c:numCache>
                <c:formatCode>0</c:formatCode>
                <c:ptCount val="1"/>
                <c:pt idx="0">
                  <c:v>0</c:v>
                </c:pt>
              </c:numCache>
            </c:numRef>
          </c:val>
          <c:extLst>
            <c:ext xmlns:c16="http://schemas.microsoft.com/office/drawing/2014/chart" uri="{C3380CC4-5D6E-409C-BE32-E72D297353CC}">
              <c16:uniqueId val="{00000000-BA8A-467D-AEFF-C67E81C5B761}"/>
            </c:ext>
          </c:extLst>
        </c:ser>
        <c:ser>
          <c:idx val="1"/>
          <c:order val="1"/>
          <c:tx>
            <c:strRef>
              <c:f>MPR_Showtime!$C$2</c:f>
              <c:strCache>
                <c:ptCount val="1"/>
                <c:pt idx="0">
                  <c:v>Spotlit</c:v>
                </c:pt>
              </c:strCache>
            </c:strRef>
          </c:tx>
          <c:spPr>
            <a:solidFill>
              <a:srgbClr val="29FF8A"/>
            </a:solidFill>
            <a:ln>
              <a:noFill/>
            </a:ln>
            <a:effectLst/>
          </c:spPr>
          <c:invertIfNegative val="0"/>
          <c:cat>
            <c:strRef>
              <c:f>MPR_Showtime!$A$4</c:f>
              <c:strCache>
                <c:ptCount val="1"/>
                <c:pt idx="0">
                  <c:v>frc5016</c:v>
                </c:pt>
              </c:strCache>
            </c:strRef>
          </c:cat>
          <c:val>
            <c:numRef>
              <c:f>MPR_Showtime!$C$4</c:f>
              <c:numCache>
                <c:formatCode>0</c:formatCode>
                <c:ptCount val="1"/>
                <c:pt idx="0">
                  <c:v>0</c:v>
                </c:pt>
              </c:numCache>
            </c:numRef>
          </c:val>
          <c:extLst>
            <c:ext xmlns:c16="http://schemas.microsoft.com/office/drawing/2014/chart" uri="{C3380CC4-5D6E-409C-BE32-E72D297353CC}">
              <c16:uniqueId val="{00000001-BA8A-467D-AEFF-C67E81C5B761}"/>
            </c:ext>
          </c:extLst>
        </c:ser>
        <c:dLbls>
          <c:showLegendKey val="0"/>
          <c:showVal val="0"/>
          <c:showCatName val="0"/>
          <c:showSerName val="0"/>
          <c:showPercent val="0"/>
          <c:showBubbleSize val="0"/>
        </c:dLbls>
        <c:gapWidth val="219"/>
        <c:overlap val="-27"/>
        <c:axId val="674345504"/>
        <c:axId val="674340464"/>
      </c:barChart>
      <c:catAx>
        <c:axId val="674345504"/>
        <c:scaling>
          <c:orientation val="minMax"/>
        </c:scaling>
        <c:delete val="1"/>
        <c:axPos val="b"/>
        <c:numFmt formatCode="General" sourceLinked="1"/>
        <c:majorTickMark val="none"/>
        <c:minorTickMark val="none"/>
        <c:tickLblPos val="nextTo"/>
        <c:crossAx val="674340464"/>
        <c:crosses val="autoZero"/>
        <c:auto val="1"/>
        <c:lblAlgn val="ctr"/>
        <c:lblOffset val="100"/>
        <c:noMultiLvlLbl val="0"/>
      </c:catAx>
      <c:valAx>
        <c:axId val="674340464"/>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7434550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Source Station</a:t>
            </a:r>
            <a:r>
              <a:rPr lang="en-US" baseline="0"/>
              <a:t> - Extras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MPR_Showtime!$B$2</c:f>
              <c:strCache>
                <c:ptCount val="1"/>
                <c:pt idx="0">
                  <c:v>Harmony</c:v>
                </c:pt>
              </c:strCache>
            </c:strRef>
          </c:tx>
          <c:spPr>
            <a:solidFill>
              <a:srgbClr val="C9A4E4"/>
            </a:solidFill>
            <a:ln>
              <a:noFill/>
            </a:ln>
            <a:effectLst/>
          </c:spPr>
          <c:invertIfNegative val="0"/>
          <c:cat>
            <c:strRef>
              <c:f>MPR_Showtime!$A$5</c:f>
              <c:strCache>
                <c:ptCount val="1"/>
                <c:pt idx="0">
                  <c:v>frc1591</c:v>
                </c:pt>
              </c:strCache>
            </c:strRef>
          </c:cat>
          <c:val>
            <c:numRef>
              <c:f>MPR_Showtime!$B$5</c:f>
              <c:numCache>
                <c:formatCode>0</c:formatCode>
                <c:ptCount val="1"/>
                <c:pt idx="0">
                  <c:v>1</c:v>
                </c:pt>
              </c:numCache>
            </c:numRef>
          </c:val>
          <c:extLst>
            <c:ext xmlns:c16="http://schemas.microsoft.com/office/drawing/2014/chart" uri="{C3380CC4-5D6E-409C-BE32-E72D297353CC}">
              <c16:uniqueId val="{00000000-6AEE-4B04-973F-791259FB1ED6}"/>
            </c:ext>
          </c:extLst>
        </c:ser>
        <c:ser>
          <c:idx val="1"/>
          <c:order val="1"/>
          <c:tx>
            <c:strRef>
              <c:f>MPR_Showtime!$C$2</c:f>
              <c:strCache>
                <c:ptCount val="1"/>
                <c:pt idx="0">
                  <c:v>Spotlit</c:v>
                </c:pt>
              </c:strCache>
            </c:strRef>
          </c:tx>
          <c:spPr>
            <a:solidFill>
              <a:srgbClr val="29FF8A"/>
            </a:solidFill>
            <a:ln>
              <a:noFill/>
            </a:ln>
            <a:effectLst/>
          </c:spPr>
          <c:invertIfNegative val="0"/>
          <c:cat>
            <c:strRef>
              <c:f>MPR_Showtime!$A$5</c:f>
              <c:strCache>
                <c:ptCount val="1"/>
                <c:pt idx="0">
                  <c:v>frc1591</c:v>
                </c:pt>
              </c:strCache>
            </c:strRef>
          </c:cat>
          <c:val>
            <c:numRef>
              <c:f>MPR_Showtime!$C$5</c:f>
              <c:numCache>
                <c:formatCode>0</c:formatCode>
                <c:ptCount val="1"/>
                <c:pt idx="0">
                  <c:v>1</c:v>
                </c:pt>
              </c:numCache>
            </c:numRef>
          </c:val>
          <c:extLst>
            <c:ext xmlns:c16="http://schemas.microsoft.com/office/drawing/2014/chart" uri="{C3380CC4-5D6E-409C-BE32-E72D297353CC}">
              <c16:uniqueId val="{00000001-6AEE-4B04-973F-791259FB1ED6}"/>
            </c:ext>
          </c:extLst>
        </c:ser>
        <c:dLbls>
          <c:showLegendKey val="0"/>
          <c:showVal val="0"/>
          <c:showCatName val="0"/>
          <c:showSerName val="0"/>
          <c:showPercent val="0"/>
          <c:showBubbleSize val="0"/>
        </c:dLbls>
        <c:gapWidth val="219"/>
        <c:overlap val="-27"/>
        <c:axId val="674345504"/>
        <c:axId val="674340464"/>
      </c:barChart>
      <c:catAx>
        <c:axId val="674345504"/>
        <c:scaling>
          <c:orientation val="minMax"/>
        </c:scaling>
        <c:delete val="1"/>
        <c:axPos val="b"/>
        <c:numFmt formatCode="General" sourceLinked="1"/>
        <c:majorTickMark val="none"/>
        <c:minorTickMark val="none"/>
        <c:tickLblPos val="nextTo"/>
        <c:crossAx val="674340464"/>
        <c:crosses val="autoZero"/>
        <c:auto val="1"/>
        <c:lblAlgn val="ctr"/>
        <c:lblOffset val="100"/>
        <c:noMultiLvlLbl val="0"/>
      </c:catAx>
      <c:valAx>
        <c:axId val="674340464"/>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7434550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29.xml"/><Relationship Id="rId3" Type="http://schemas.openxmlformats.org/officeDocument/2006/relationships/chart" Target="../charts/chart24.xml"/><Relationship Id="rId7" Type="http://schemas.openxmlformats.org/officeDocument/2006/relationships/chart" Target="../charts/chart28.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11" Type="http://schemas.openxmlformats.org/officeDocument/2006/relationships/chart" Target="../charts/chart32.xml"/><Relationship Id="rId5" Type="http://schemas.openxmlformats.org/officeDocument/2006/relationships/chart" Target="../charts/chart26.xml"/><Relationship Id="rId10" Type="http://schemas.openxmlformats.org/officeDocument/2006/relationships/chart" Target="../charts/chart31.xml"/><Relationship Id="rId4" Type="http://schemas.openxmlformats.org/officeDocument/2006/relationships/chart" Target="../charts/chart25.xml"/><Relationship Id="rId9" Type="http://schemas.openxmlformats.org/officeDocument/2006/relationships/chart" Target="../charts/chart30.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39.xml"/><Relationship Id="rId3" Type="http://schemas.openxmlformats.org/officeDocument/2006/relationships/chart" Target="../charts/chart35.xml"/><Relationship Id="rId7" Type="http://schemas.openxmlformats.org/officeDocument/2006/relationships/chart" Target="../charts/chart38.xml"/><Relationship Id="rId2" Type="http://schemas.openxmlformats.org/officeDocument/2006/relationships/chart" Target="../charts/chart34.xml"/><Relationship Id="rId1" Type="http://schemas.openxmlformats.org/officeDocument/2006/relationships/chart" Target="../charts/chart33.xml"/><Relationship Id="rId6" Type="http://schemas.openxmlformats.org/officeDocument/2006/relationships/chart" Target="../charts/chart37.xml"/><Relationship Id="rId5" Type="http://schemas.openxmlformats.org/officeDocument/2006/relationships/image" Target="../media/image2.png"/><Relationship Id="rId4" Type="http://schemas.openxmlformats.org/officeDocument/2006/relationships/chart" Target="../charts/chart36.xml"/></Relationships>
</file>

<file path=xl/drawings/drawing1.xml><?xml version="1.0" encoding="utf-8"?>
<xdr:wsDr xmlns:xdr="http://schemas.openxmlformats.org/drawingml/2006/spreadsheetDrawing" xmlns:a="http://schemas.openxmlformats.org/drawingml/2006/main">
  <xdr:twoCellAnchor editAs="oneCell">
    <xdr:from>
      <xdr:col>0</xdr:col>
      <xdr:colOff>7620</xdr:colOff>
      <xdr:row>3</xdr:row>
      <xdr:rowOff>53340</xdr:rowOff>
    </xdr:from>
    <xdr:to>
      <xdr:col>4</xdr:col>
      <xdr:colOff>210312</xdr:colOff>
      <xdr:row>15</xdr:row>
      <xdr:rowOff>42672</xdr:rowOff>
    </xdr:to>
    <xdr:graphicFrame macro="">
      <xdr:nvGraphicFramePr>
        <xdr:cNvPr id="7" name="APtsAve">
          <a:extLst>
            <a:ext uri="{FF2B5EF4-FFF2-40B4-BE49-F238E27FC236}">
              <a16:creationId xmlns:a16="http://schemas.microsoft.com/office/drawing/2014/main" id="{3F41DECF-1739-457C-957A-7A61C0C18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7620</xdr:colOff>
      <xdr:row>3</xdr:row>
      <xdr:rowOff>53340</xdr:rowOff>
    </xdr:from>
    <xdr:to>
      <xdr:col>19</xdr:col>
      <xdr:colOff>0</xdr:colOff>
      <xdr:row>15</xdr:row>
      <xdr:rowOff>42672</xdr:rowOff>
    </xdr:to>
    <xdr:graphicFrame macro="">
      <xdr:nvGraphicFramePr>
        <xdr:cNvPr id="19" name="TPtsPhaseAve">
          <a:extLst>
            <a:ext uri="{FF2B5EF4-FFF2-40B4-BE49-F238E27FC236}">
              <a16:creationId xmlns:a16="http://schemas.microsoft.com/office/drawing/2014/main" id="{ADCFDD49-B4E8-4C72-9DAC-9502CE5D27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7620</xdr:colOff>
      <xdr:row>15</xdr:row>
      <xdr:rowOff>91440</xdr:rowOff>
    </xdr:from>
    <xdr:to>
      <xdr:col>4</xdr:col>
      <xdr:colOff>210312</xdr:colOff>
      <xdr:row>30</xdr:row>
      <xdr:rowOff>15240</xdr:rowOff>
    </xdr:to>
    <xdr:graphicFrame macro="">
      <xdr:nvGraphicFramePr>
        <xdr:cNvPr id="23" name="AveZoneTimes">
          <a:extLst>
            <a:ext uri="{FF2B5EF4-FFF2-40B4-BE49-F238E27FC236}">
              <a16:creationId xmlns:a16="http://schemas.microsoft.com/office/drawing/2014/main" id="{2AC64ECF-C091-4787-B55A-C5A6D4BF1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129540</xdr:colOff>
      <xdr:row>15</xdr:row>
      <xdr:rowOff>114300</xdr:rowOff>
    </xdr:from>
    <xdr:to>
      <xdr:col>18</xdr:col>
      <xdr:colOff>548640</xdr:colOff>
      <xdr:row>30</xdr:row>
      <xdr:rowOff>38100</xdr:rowOff>
    </xdr:to>
    <xdr:graphicFrame macro="">
      <xdr:nvGraphicFramePr>
        <xdr:cNvPr id="25" name="SourceStrat">
          <a:extLst>
            <a:ext uri="{FF2B5EF4-FFF2-40B4-BE49-F238E27FC236}">
              <a16:creationId xmlns:a16="http://schemas.microsoft.com/office/drawing/2014/main" id="{3130559A-216B-45B6-A632-2CE1471449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236220</xdr:colOff>
      <xdr:row>15</xdr:row>
      <xdr:rowOff>114300</xdr:rowOff>
    </xdr:from>
    <xdr:to>
      <xdr:col>14</xdr:col>
      <xdr:colOff>45720</xdr:colOff>
      <xdr:row>30</xdr:row>
      <xdr:rowOff>38100</xdr:rowOff>
    </xdr:to>
    <xdr:graphicFrame macro="">
      <xdr:nvGraphicFramePr>
        <xdr:cNvPr id="28" name="CentStrat">
          <a:extLst>
            <a:ext uri="{FF2B5EF4-FFF2-40B4-BE49-F238E27FC236}">
              <a16:creationId xmlns:a16="http://schemas.microsoft.com/office/drawing/2014/main" id="{8932385D-F337-483A-89AF-2CFE356D74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76200</xdr:colOff>
      <xdr:row>15</xdr:row>
      <xdr:rowOff>114300</xdr:rowOff>
    </xdr:from>
    <xdr:to>
      <xdr:col>9</xdr:col>
      <xdr:colOff>160020</xdr:colOff>
      <xdr:row>30</xdr:row>
      <xdr:rowOff>38100</xdr:rowOff>
    </xdr:to>
    <xdr:graphicFrame macro="">
      <xdr:nvGraphicFramePr>
        <xdr:cNvPr id="29" name="AmpStrat">
          <a:extLst>
            <a:ext uri="{FF2B5EF4-FFF2-40B4-BE49-F238E27FC236}">
              <a16:creationId xmlns:a16="http://schemas.microsoft.com/office/drawing/2014/main" id="{06E812F2-F73C-47FC-BBA2-04064CA46866}"/>
            </a:ext>
            <a:ext uri="{C183D7F6-B498-43B3-948B-1728B52AA6E4}">
              <adec:decorative xmlns:adec="http://schemas.microsoft.com/office/drawing/2017/decorative" val="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129540</xdr:colOff>
      <xdr:row>30</xdr:row>
      <xdr:rowOff>114300</xdr:rowOff>
    </xdr:from>
    <xdr:to>
      <xdr:col>18</xdr:col>
      <xdr:colOff>548640</xdr:colOff>
      <xdr:row>44</xdr:row>
      <xdr:rowOff>205740</xdr:rowOff>
    </xdr:to>
    <xdr:graphicFrame macro="">
      <xdr:nvGraphicFramePr>
        <xdr:cNvPr id="3" name="SourceScoreDef">
          <a:extLst>
            <a:ext uri="{FF2B5EF4-FFF2-40B4-BE49-F238E27FC236}">
              <a16:creationId xmlns:a16="http://schemas.microsoft.com/office/drawing/2014/main" id="{FB8A7324-5722-40C0-B5E4-3B72491BF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9</xdr:col>
      <xdr:colOff>236220</xdr:colOff>
      <xdr:row>30</xdr:row>
      <xdr:rowOff>114300</xdr:rowOff>
    </xdr:from>
    <xdr:to>
      <xdr:col>14</xdr:col>
      <xdr:colOff>45720</xdr:colOff>
      <xdr:row>44</xdr:row>
      <xdr:rowOff>205740</xdr:rowOff>
    </xdr:to>
    <xdr:graphicFrame macro="">
      <xdr:nvGraphicFramePr>
        <xdr:cNvPr id="6" name="CentScoreDef">
          <a:extLst>
            <a:ext uri="{FF2B5EF4-FFF2-40B4-BE49-F238E27FC236}">
              <a16:creationId xmlns:a16="http://schemas.microsoft.com/office/drawing/2014/main" id="{114BD3C9-E3F8-442B-BFFD-D795992921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xdr:col>
      <xdr:colOff>76200</xdr:colOff>
      <xdr:row>30</xdr:row>
      <xdr:rowOff>114300</xdr:rowOff>
    </xdr:from>
    <xdr:to>
      <xdr:col>9</xdr:col>
      <xdr:colOff>160020</xdr:colOff>
      <xdr:row>44</xdr:row>
      <xdr:rowOff>205740</xdr:rowOff>
    </xdr:to>
    <xdr:graphicFrame macro="">
      <xdr:nvGraphicFramePr>
        <xdr:cNvPr id="8" name="AmpScoreDef">
          <a:extLst>
            <a:ext uri="{FF2B5EF4-FFF2-40B4-BE49-F238E27FC236}">
              <a16:creationId xmlns:a16="http://schemas.microsoft.com/office/drawing/2014/main" id="{49F1EAAC-2030-44C8-B730-3D4B8755E2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68580</xdr:colOff>
      <xdr:row>30</xdr:row>
      <xdr:rowOff>114300</xdr:rowOff>
    </xdr:from>
    <xdr:to>
      <xdr:col>4</xdr:col>
      <xdr:colOff>213360</xdr:colOff>
      <xdr:row>44</xdr:row>
      <xdr:rowOff>205740</xdr:rowOff>
    </xdr:to>
    <xdr:graphicFrame macro="">
      <xdr:nvGraphicFramePr>
        <xdr:cNvPr id="11" name="HPAmp">
          <a:extLst>
            <a:ext uri="{FF2B5EF4-FFF2-40B4-BE49-F238E27FC236}">
              <a16:creationId xmlns:a16="http://schemas.microsoft.com/office/drawing/2014/main" id="{47A561D3-73CB-4029-847F-BE07C51DB3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68580</xdr:colOff>
      <xdr:row>45</xdr:row>
      <xdr:rowOff>22860</xdr:rowOff>
    </xdr:from>
    <xdr:to>
      <xdr:col>4</xdr:col>
      <xdr:colOff>216408</xdr:colOff>
      <xdr:row>59</xdr:row>
      <xdr:rowOff>114300</xdr:rowOff>
    </xdr:to>
    <xdr:graphicFrame macro="">
      <xdr:nvGraphicFramePr>
        <xdr:cNvPr id="14" name="DelsMatch">
          <a:extLst>
            <a:ext uri="{FF2B5EF4-FFF2-40B4-BE49-F238E27FC236}">
              <a16:creationId xmlns:a16="http://schemas.microsoft.com/office/drawing/2014/main" id="{2CB09058-9C34-47E4-AD3F-1D61184BF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5</xdr:col>
      <xdr:colOff>68580</xdr:colOff>
      <xdr:row>45</xdr:row>
      <xdr:rowOff>22860</xdr:rowOff>
    </xdr:from>
    <xdr:to>
      <xdr:col>11</xdr:col>
      <xdr:colOff>492252</xdr:colOff>
      <xdr:row>59</xdr:row>
      <xdr:rowOff>114300</xdr:rowOff>
    </xdr:to>
    <xdr:graphicFrame macro="">
      <xdr:nvGraphicFramePr>
        <xdr:cNvPr id="17" name="TrendDels">
          <a:extLst>
            <a:ext uri="{FF2B5EF4-FFF2-40B4-BE49-F238E27FC236}">
              <a16:creationId xmlns:a16="http://schemas.microsoft.com/office/drawing/2014/main" id="{BCFA8523-F6F2-4FFE-9E6B-F41B7C1D2F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11</xdr:col>
      <xdr:colOff>586740</xdr:colOff>
      <xdr:row>45</xdr:row>
      <xdr:rowOff>30480</xdr:rowOff>
    </xdr:from>
    <xdr:to>
      <xdr:col>18</xdr:col>
      <xdr:colOff>530352</xdr:colOff>
      <xdr:row>59</xdr:row>
      <xdr:rowOff>121920</xdr:rowOff>
    </xdr:to>
    <xdr:graphicFrame macro="">
      <xdr:nvGraphicFramePr>
        <xdr:cNvPr id="4" name="TrendStage">
          <a:extLst>
            <a:ext uri="{FF2B5EF4-FFF2-40B4-BE49-F238E27FC236}">
              <a16:creationId xmlns:a16="http://schemas.microsoft.com/office/drawing/2014/main" id="{B7F6B6A7-CBBC-4627-8776-2685F21FE9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0</xdr:colOff>
      <xdr:row>2</xdr:row>
      <xdr:rowOff>0</xdr:rowOff>
    </xdr:from>
    <xdr:to>
      <xdr:col>10</xdr:col>
      <xdr:colOff>581025</xdr:colOff>
      <xdr:row>5</xdr:row>
      <xdr:rowOff>0</xdr:rowOff>
    </xdr:to>
    <xdr:sp macro="" textlink="">
      <xdr:nvSpPr>
        <xdr:cNvPr id="2" name="Circle: Hollow 1">
          <a:extLst>
            <a:ext uri="{FF2B5EF4-FFF2-40B4-BE49-F238E27FC236}">
              <a16:creationId xmlns:a16="http://schemas.microsoft.com/office/drawing/2014/main" id="{B0DA1DE9-2C95-4995-A9E9-A0EF9AF6C1E5}"/>
            </a:ext>
          </a:extLst>
        </xdr:cNvPr>
        <xdr:cNvSpPr/>
      </xdr:nvSpPr>
      <xdr:spPr>
        <a:xfrm>
          <a:off x="4572000" y="390525"/>
          <a:ext cx="581025" cy="571500"/>
        </a:xfrm>
        <a:prstGeom prst="donut">
          <a:avLst>
            <a:gd name="adj" fmla="val 14983"/>
          </a:avLst>
        </a:prstGeom>
        <a:solidFill>
          <a:srgbClr val="FFC000"/>
        </a:solidFill>
        <a:ln>
          <a:solidFill>
            <a:srgbClr val="FFC000"/>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xdr:col>
      <xdr:colOff>0</xdr:colOff>
      <xdr:row>6</xdr:row>
      <xdr:rowOff>0</xdr:rowOff>
    </xdr:from>
    <xdr:to>
      <xdr:col>11</xdr:col>
      <xdr:colOff>0</xdr:colOff>
      <xdr:row>9</xdr:row>
      <xdr:rowOff>0</xdr:rowOff>
    </xdr:to>
    <xdr:sp macro="" textlink="">
      <xdr:nvSpPr>
        <xdr:cNvPr id="3" name="Circle: Hollow 2">
          <a:extLst>
            <a:ext uri="{FF2B5EF4-FFF2-40B4-BE49-F238E27FC236}">
              <a16:creationId xmlns:a16="http://schemas.microsoft.com/office/drawing/2014/main" id="{6DAB1804-B4F5-4C7D-AFDA-6266CDD4EBA7}"/>
            </a:ext>
          </a:extLst>
        </xdr:cNvPr>
        <xdr:cNvSpPr/>
      </xdr:nvSpPr>
      <xdr:spPr>
        <a:xfrm>
          <a:off x="4572000" y="1343025"/>
          <a:ext cx="581025" cy="571500"/>
        </a:xfrm>
        <a:prstGeom prst="donut">
          <a:avLst>
            <a:gd name="adj" fmla="val 14983"/>
          </a:avLst>
        </a:prstGeom>
        <a:solidFill>
          <a:srgbClr val="FFC000"/>
        </a:solidFill>
        <a:ln>
          <a:solidFill>
            <a:srgbClr val="FFC000"/>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xdr:col>
      <xdr:colOff>0</xdr:colOff>
      <xdr:row>10</xdr:row>
      <xdr:rowOff>0</xdr:rowOff>
    </xdr:from>
    <xdr:to>
      <xdr:col>11</xdr:col>
      <xdr:colOff>0</xdr:colOff>
      <xdr:row>13</xdr:row>
      <xdr:rowOff>0</xdr:rowOff>
    </xdr:to>
    <xdr:sp macro="" textlink="">
      <xdr:nvSpPr>
        <xdr:cNvPr id="4" name="Circle: Hollow 3">
          <a:extLst>
            <a:ext uri="{FF2B5EF4-FFF2-40B4-BE49-F238E27FC236}">
              <a16:creationId xmlns:a16="http://schemas.microsoft.com/office/drawing/2014/main" id="{B49E493D-BADD-4323-AFF3-8FA5CADFA041}"/>
            </a:ext>
          </a:extLst>
        </xdr:cNvPr>
        <xdr:cNvSpPr/>
      </xdr:nvSpPr>
      <xdr:spPr>
        <a:xfrm>
          <a:off x="4572000" y="2295525"/>
          <a:ext cx="581025" cy="571500"/>
        </a:xfrm>
        <a:prstGeom prst="donut">
          <a:avLst>
            <a:gd name="adj" fmla="val 14983"/>
          </a:avLst>
        </a:prstGeom>
        <a:solidFill>
          <a:srgbClr val="FFC000"/>
        </a:solidFill>
        <a:ln>
          <a:solidFill>
            <a:srgbClr val="FFC000"/>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xdr:col>
      <xdr:colOff>0</xdr:colOff>
      <xdr:row>14</xdr:row>
      <xdr:rowOff>0</xdr:rowOff>
    </xdr:from>
    <xdr:to>
      <xdr:col>11</xdr:col>
      <xdr:colOff>0</xdr:colOff>
      <xdr:row>17</xdr:row>
      <xdr:rowOff>0</xdr:rowOff>
    </xdr:to>
    <xdr:sp macro="" textlink="">
      <xdr:nvSpPr>
        <xdr:cNvPr id="5" name="Circle: Hollow 4">
          <a:extLst>
            <a:ext uri="{FF2B5EF4-FFF2-40B4-BE49-F238E27FC236}">
              <a16:creationId xmlns:a16="http://schemas.microsoft.com/office/drawing/2014/main" id="{58C07171-94B2-402F-B459-E5BC853E61BC}"/>
            </a:ext>
          </a:extLst>
        </xdr:cNvPr>
        <xdr:cNvSpPr/>
      </xdr:nvSpPr>
      <xdr:spPr>
        <a:xfrm>
          <a:off x="4572000" y="3248025"/>
          <a:ext cx="581025" cy="571500"/>
        </a:xfrm>
        <a:prstGeom prst="donut">
          <a:avLst>
            <a:gd name="adj" fmla="val 14983"/>
          </a:avLst>
        </a:prstGeom>
        <a:solidFill>
          <a:srgbClr val="FFC000"/>
        </a:solidFill>
        <a:ln>
          <a:solidFill>
            <a:srgbClr val="FFC000"/>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xdr:col>
      <xdr:colOff>0</xdr:colOff>
      <xdr:row>18</xdr:row>
      <xdr:rowOff>0</xdr:rowOff>
    </xdr:from>
    <xdr:to>
      <xdr:col>11</xdr:col>
      <xdr:colOff>0</xdr:colOff>
      <xdr:row>21</xdr:row>
      <xdr:rowOff>0</xdr:rowOff>
    </xdr:to>
    <xdr:sp macro="" textlink="">
      <xdr:nvSpPr>
        <xdr:cNvPr id="6" name="Circle: Hollow 5">
          <a:extLst>
            <a:ext uri="{FF2B5EF4-FFF2-40B4-BE49-F238E27FC236}">
              <a16:creationId xmlns:a16="http://schemas.microsoft.com/office/drawing/2014/main" id="{0A920374-72B8-42CD-BCB9-C8EA4BC15E72}"/>
            </a:ext>
          </a:extLst>
        </xdr:cNvPr>
        <xdr:cNvSpPr/>
      </xdr:nvSpPr>
      <xdr:spPr>
        <a:xfrm>
          <a:off x="4572000" y="4200525"/>
          <a:ext cx="581025" cy="581025"/>
        </a:xfrm>
        <a:prstGeom prst="donut">
          <a:avLst>
            <a:gd name="adj" fmla="val 14983"/>
          </a:avLst>
        </a:prstGeom>
        <a:solidFill>
          <a:srgbClr val="FFC000"/>
        </a:solidFill>
        <a:ln>
          <a:solidFill>
            <a:srgbClr val="FFC000"/>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10</xdr:row>
      <xdr:rowOff>0</xdr:rowOff>
    </xdr:from>
    <xdr:to>
      <xdr:col>5</xdr:col>
      <xdr:colOff>609600</xdr:colOff>
      <xdr:row>24</xdr:row>
      <xdr:rowOff>0</xdr:rowOff>
    </xdr:to>
    <xdr:grpSp>
      <xdr:nvGrpSpPr>
        <xdr:cNvPr id="4" name="AmpAutoDels">
          <a:extLst>
            <a:ext uri="{FF2B5EF4-FFF2-40B4-BE49-F238E27FC236}">
              <a16:creationId xmlns:a16="http://schemas.microsoft.com/office/drawing/2014/main" id="{E56F30F0-B64C-031E-35E9-A03B71809B66}"/>
            </a:ext>
          </a:extLst>
        </xdr:cNvPr>
        <xdr:cNvGrpSpPr/>
      </xdr:nvGrpSpPr>
      <xdr:grpSpPr>
        <a:xfrm>
          <a:off x="984738" y="1852246"/>
          <a:ext cx="2502877" cy="2514600"/>
          <a:chOff x="982980" y="1859280"/>
          <a:chExt cx="2514600" cy="2514600"/>
        </a:xfrm>
      </xdr:grpSpPr>
      <xdr:graphicFrame macro="">
        <xdr:nvGraphicFramePr>
          <xdr:cNvPr id="14" name="Chart 13">
            <a:extLst>
              <a:ext uri="{FF2B5EF4-FFF2-40B4-BE49-F238E27FC236}">
                <a16:creationId xmlns:a16="http://schemas.microsoft.com/office/drawing/2014/main" id="{9016BB7C-DE7F-3EDE-F2B4-946736A0FCAB}"/>
              </a:ext>
            </a:extLst>
          </xdr:cNvPr>
          <xdr:cNvGraphicFramePr/>
        </xdr:nvGraphicFramePr>
        <xdr:xfrm>
          <a:off x="982980" y="1859280"/>
          <a:ext cx="2514600" cy="2514600"/>
        </xdr:xfrm>
        <a:graphic>
          <a:graphicData uri="http://schemas.openxmlformats.org/drawingml/2006/chart">
            <c:chart xmlns:c="http://schemas.openxmlformats.org/drawingml/2006/chart" xmlns:r="http://schemas.openxmlformats.org/officeDocument/2006/relationships" r:id="rId1"/>
          </a:graphicData>
        </a:graphic>
      </xdr:graphicFrame>
      <xdr:sp macro="" textlink="MPR_Auto!C14">
        <xdr:nvSpPr>
          <xdr:cNvPr id="15" name="TextBox 14">
            <a:extLst>
              <a:ext uri="{FF2B5EF4-FFF2-40B4-BE49-F238E27FC236}">
                <a16:creationId xmlns:a16="http://schemas.microsoft.com/office/drawing/2014/main" id="{2D3CB1AD-373B-9903-7844-85B5CFD1C137}"/>
              </a:ext>
            </a:extLst>
          </xdr:cNvPr>
          <xdr:cNvSpPr txBox="1"/>
        </xdr:nvSpPr>
        <xdr:spPr>
          <a:xfrm>
            <a:off x="1501140" y="2445943"/>
            <a:ext cx="663575"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r"/>
            <a:fld id="{EC32C86C-8431-4113-8DC2-1A4EE62C6503}" type="TxLink">
              <a:rPr lang="en-US" sz="1100" b="0" i="0" u="none" strike="noStrike">
                <a:solidFill>
                  <a:srgbClr val="000000"/>
                </a:solidFill>
                <a:latin typeface="Calibri"/>
                <a:cs typeface="Calibri"/>
              </a:rPr>
              <a:pPr algn="r"/>
              <a:t>Amp: 0</a:t>
            </a:fld>
            <a:endParaRPr lang="en-US" sz="1100"/>
          </a:p>
        </xdr:txBody>
      </xdr:sp>
      <xdr:sp macro="" textlink="MPR_Auto!D14">
        <xdr:nvSpPr>
          <xdr:cNvPr id="16" name="TextBox 15">
            <a:extLst>
              <a:ext uri="{FF2B5EF4-FFF2-40B4-BE49-F238E27FC236}">
                <a16:creationId xmlns:a16="http://schemas.microsoft.com/office/drawing/2014/main" id="{0C5458D4-80E5-D568-4E82-31F2D43D1271}"/>
              </a:ext>
            </a:extLst>
          </xdr:cNvPr>
          <xdr:cNvSpPr txBox="1"/>
        </xdr:nvSpPr>
        <xdr:spPr>
          <a:xfrm>
            <a:off x="2340608" y="2446578"/>
            <a:ext cx="817245"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fld id="{30CB9A6C-0F5A-48CC-BA54-88ED4F2FD178}" type="TxLink">
              <a:rPr lang="en-US" sz="1100" b="0" i="0" u="none" strike="noStrike">
                <a:solidFill>
                  <a:srgbClr val="000000"/>
                </a:solidFill>
                <a:latin typeface="Calibri"/>
                <a:cs typeface="Calibri"/>
              </a:rPr>
              <a:pPr/>
              <a:t>Spkr: 0.83</a:t>
            </a:fld>
            <a:endParaRPr lang="en-US" sz="1100"/>
          </a:p>
        </xdr:txBody>
      </xdr:sp>
      <xdr:sp macro="" textlink="MPR_Auto!E14">
        <xdr:nvSpPr>
          <xdr:cNvPr id="17" name="TextBox 16">
            <a:extLst>
              <a:ext uri="{FF2B5EF4-FFF2-40B4-BE49-F238E27FC236}">
                <a16:creationId xmlns:a16="http://schemas.microsoft.com/office/drawing/2014/main" id="{8E490067-D4FF-E584-857E-EFDEBDBF3E95}"/>
              </a:ext>
            </a:extLst>
          </xdr:cNvPr>
          <xdr:cNvSpPr txBox="1"/>
        </xdr:nvSpPr>
        <xdr:spPr>
          <a:xfrm>
            <a:off x="1917064" y="4177905"/>
            <a:ext cx="684530"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ctr"/>
            <a:fld id="{0FC75313-2FC8-43B4-BC02-EE8C4C425E0C}" type="TxLink">
              <a:rPr lang="en-US" sz="1100" b="0" i="0" u="none" strike="noStrike">
                <a:solidFill>
                  <a:srgbClr val="000000"/>
                </a:solidFill>
                <a:latin typeface="Calibri"/>
                <a:cs typeface="Calibri"/>
              </a:rPr>
              <a:pPr algn="ctr"/>
              <a:t> </a:t>
            </a:fld>
            <a:endParaRPr lang="en-US" sz="1100"/>
          </a:p>
        </xdr:txBody>
      </xdr:sp>
    </xdr:grpSp>
    <xdr:clientData/>
  </xdr:twoCellAnchor>
  <xdr:twoCellAnchor editAs="oneCell">
    <xdr:from>
      <xdr:col>1</xdr:col>
      <xdr:colOff>0</xdr:colOff>
      <xdr:row>25</xdr:row>
      <xdr:rowOff>0</xdr:rowOff>
    </xdr:from>
    <xdr:to>
      <xdr:col>5</xdr:col>
      <xdr:colOff>609600</xdr:colOff>
      <xdr:row>39</xdr:row>
      <xdr:rowOff>0</xdr:rowOff>
    </xdr:to>
    <xdr:grpSp>
      <xdr:nvGrpSpPr>
        <xdr:cNvPr id="19" name="CentAutoDels">
          <a:extLst>
            <a:ext uri="{FF2B5EF4-FFF2-40B4-BE49-F238E27FC236}">
              <a16:creationId xmlns:a16="http://schemas.microsoft.com/office/drawing/2014/main" id="{81961B14-9413-4A1E-9E99-E747C14A334E}"/>
            </a:ext>
          </a:extLst>
        </xdr:cNvPr>
        <xdr:cNvGrpSpPr/>
      </xdr:nvGrpSpPr>
      <xdr:grpSpPr>
        <a:xfrm>
          <a:off x="984738" y="4548554"/>
          <a:ext cx="2502877" cy="2514600"/>
          <a:chOff x="1689564" y="2192134"/>
          <a:chExt cx="2743200" cy="2743196"/>
        </a:xfrm>
      </xdr:grpSpPr>
      <xdr:graphicFrame macro="">
        <xdr:nvGraphicFramePr>
          <xdr:cNvPr id="20" name="Chart 19">
            <a:extLst>
              <a:ext uri="{FF2B5EF4-FFF2-40B4-BE49-F238E27FC236}">
                <a16:creationId xmlns:a16="http://schemas.microsoft.com/office/drawing/2014/main" id="{0F8E38F5-4670-0E28-14F4-AE75474BB942}"/>
              </a:ext>
            </a:extLst>
          </xdr:cNvPr>
          <xdr:cNvGraphicFramePr/>
        </xdr:nvGraphicFramePr>
        <xdr:xfrm>
          <a:off x="1689564" y="2192134"/>
          <a:ext cx="2743200" cy="2743196"/>
        </xdr:xfrm>
        <a:graphic>
          <a:graphicData uri="http://schemas.openxmlformats.org/drawingml/2006/chart">
            <c:chart xmlns:c="http://schemas.openxmlformats.org/drawingml/2006/chart" xmlns:r="http://schemas.openxmlformats.org/officeDocument/2006/relationships" r:id="rId2"/>
          </a:graphicData>
        </a:graphic>
      </xdr:graphicFrame>
      <xdr:sp macro="" textlink="MPR_Auto!C24">
        <xdr:nvSpPr>
          <xdr:cNvPr id="21" name="TextBox 20">
            <a:extLst>
              <a:ext uri="{FF2B5EF4-FFF2-40B4-BE49-F238E27FC236}">
                <a16:creationId xmlns:a16="http://schemas.microsoft.com/office/drawing/2014/main" id="{46EC233F-F9C5-3892-D8E5-73083928B424}"/>
              </a:ext>
            </a:extLst>
          </xdr:cNvPr>
          <xdr:cNvSpPr txBox="1"/>
        </xdr:nvSpPr>
        <xdr:spPr>
          <a:xfrm>
            <a:off x="2267300" y="2818143"/>
            <a:ext cx="72390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r"/>
            <a:fld id="{242E4FF7-58A8-4AEC-8702-A812E3775457}" type="TxLink">
              <a:rPr lang="en-US" sz="1100" b="0" i="0" u="none" strike="noStrike">
                <a:solidFill>
                  <a:srgbClr val="000000"/>
                </a:solidFill>
                <a:latin typeface="Calibri"/>
                <a:cs typeface="Calibri"/>
              </a:rPr>
              <a:pPr algn="r"/>
              <a:t>Amp: 0</a:t>
            </a:fld>
            <a:endParaRPr lang="en-US" sz="1100"/>
          </a:p>
        </xdr:txBody>
      </xdr:sp>
      <xdr:sp macro="" textlink="MPR_Auto!D24">
        <xdr:nvSpPr>
          <xdr:cNvPr id="22" name="TextBox 21">
            <a:extLst>
              <a:ext uri="{FF2B5EF4-FFF2-40B4-BE49-F238E27FC236}">
                <a16:creationId xmlns:a16="http://schemas.microsoft.com/office/drawing/2014/main" id="{C5C73A1B-2F9D-6713-858C-FAFC07CD9587}"/>
              </a:ext>
            </a:extLst>
          </xdr:cNvPr>
          <xdr:cNvSpPr txBox="1"/>
        </xdr:nvSpPr>
        <xdr:spPr>
          <a:xfrm>
            <a:off x="3183083" y="2818833"/>
            <a:ext cx="89154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fld id="{E6E05ADE-4863-4FA6-B650-6662456A89AC}" type="TxLink">
              <a:rPr lang="en-US" sz="1100" b="0" i="0" u="none" strike="noStrike">
                <a:solidFill>
                  <a:srgbClr val="000000"/>
                </a:solidFill>
                <a:latin typeface="Calibri"/>
                <a:cs typeface="Calibri"/>
              </a:rPr>
              <a:pPr/>
              <a:t>Spkr: 0.67</a:t>
            </a:fld>
            <a:endParaRPr lang="en-US" sz="1100"/>
          </a:p>
        </xdr:txBody>
      </xdr:sp>
      <xdr:sp macro="" textlink="MPR_Auto!E24">
        <xdr:nvSpPr>
          <xdr:cNvPr id="23" name="TextBox 22">
            <a:extLst>
              <a:ext uri="{FF2B5EF4-FFF2-40B4-BE49-F238E27FC236}">
                <a16:creationId xmlns:a16="http://schemas.microsoft.com/office/drawing/2014/main" id="{EDF17970-C2DB-6B4A-2931-4582009258C2}"/>
              </a:ext>
            </a:extLst>
          </xdr:cNvPr>
          <xdr:cNvSpPr txBox="1"/>
        </xdr:nvSpPr>
        <xdr:spPr>
          <a:xfrm>
            <a:off x="2721035" y="4707556"/>
            <a:ext cx="74676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ctr"/>
            <a:fld id="{50B7859F-969B-41A2-86A2-5D2C3C6BDF4B}" type="TxLink">
              <a:rPr lang="en-US" sz="1100" b="0" i="0" u="none" strike="noStrike">
                <a:solidFill>
                  <a:srgbClr val="000000"/>
                </a:solidFill>
                <a:latin typeface="Calibri"/>
                <a:cs typeface="Calibri"/>
              </a:rPr>
              <a:pPr algn="ctr"/>
              <a:t> </a:t>
            </a:fld>
            <a:endParaRPr lang="en-US" sz="1100"/>
          </a:p>
        </xdr:txBody>
      </xdr:sp>
    </xdr:grpSp>
    <xdr:clientData/>
  </xdr:twoCellAnchor>
  <xdr:twoCellAnchor editAs="oneCell">
    <xdr:from>
      <xdr:col>1</xdr:col>
      <xdr:colOff>0</xdr:colOff>
      <xdr:row>40</xdr:row>
      <xdr:rowOff>0</xdr:rowOff>
    </xdr:from>
    <xdr:to>
      <xdr:col>5</xdr:col>
      <xdr:colOff>609600</xdr:colOff>
      <xdr:row>54</xdr:row>
      <xdr:rowOff>0</xdr:rowOff>
    </xdr:to>
    <xdr:graphicFrame macro="">
      <xdr:nvGraphicFramePr>
        <xdr:cNvPr id="38" name="SourceAutoDels">
          <a:extLst>
            <a:ext uri="{FF2B5EF4-FFF2-40B4-BE49-F238E27FC236}">
              <a16:creationId xmlns:a16="http://schemas.microsoft.com/office/drawing/2014/main" id="{A6973EB8-EA84-4DDE-83E3-B8B17393D9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160020</xdr:colOff>
      <xdr:row>43</xdr:row>
      <xdr:rowOff>45720</xdr:rowOff>
    </xdr:from>
    <xdr:to>
      <xdr:col>5</xdr:col>
      <xdr:colOff>277493</xdr:colOff>
      <xdr:row>53</xdr:row>
      <xdr:rowOff>152480</xdr:rowOff>
    </xdr:to>
    <xdr:grpSp>
      <xdr:nvGrpSpPr>
        <xdr:cNvPr id="39" name="Group 38">
          <a:extLst>
            <a:ext uri="{FF2B5EF4-FFF2-40B4-BE49-F238E27FC236}">
              <a16:creationId xmlns:a16="http://schemas.microsoft.com/office/drawing/2014/main" id="{27538482-F64B-D254-8C66-A279A9249280}"/>
            </a:ext>
          </a:extLst>
        </xdr:cNvPr>
        <xdr:cNvGrpSpPr/>
      </xdr:nvGrpSpPr>
      <xdr:grpSpPr>
        <a:xfrm>
          <a:off x="1508174" y="7823982"/>
          <a:ext cx="1647334" cy="1888667"/>
          <a:chOff x="2887980" y="6888480"/>
          <a:chExt cx="1656713" cy="1889840"/>
        </a:xfrm>
      </xdr:grpSpPr>
      <xdr:sp macro="" textlink="MPR_Auto!C34">
        <xdr:nvSpPr>
          <xdr:cNvPr id="31" name="TextBox 30">
            <a:extLst>
              <a:ext uri="{FF2B5EF4-FFF2-40B4-BE49-F238E27FC236}">
                <a16:creationId xmlns:a16="http://schemas.microsoft.com/office/drawing/2014/main" id="{E0F0A52D-70B3-4CA1-8C0B-B1CE25536BC6}"/>
              </a:ext>
            </a:extLst>
          </xdr:cNvPr>
          <xdr:cNvSpPr txBox="1"/>
        </xdr:nvSpPr>
        <xdr:spPr>
          <a:xfrm>
            <a:off x="2887980" y="6888480"/>
            <a:ext cx="663575"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r"/>
            <a:fld id="{BAE45E12-E747-4327-B828-EAC70ED12DBD}" type="TxLink">
              <a:rPr lang="en-US" sz="1100" b="0" i="0" u="none" strike="noStrike">
                <a:solidFill>
                  <a:srgbClr val="000000"/>
                </a:solidFill>
                <a:latin typeface="Calibri"/>
                <a:cs typeface="Calibri"/>
              </a:rPr>
              <a:pPr algn="r"/>
              <a:t>Amp: 0</a:t>
            </a:fld>
            <a:endParaRPr lang="en-US" sz="1100"/>
          </a:p>
        </xdr:txBody>
      </xdr:sp>
      <xdr:sp macro="" textlink="MPR_Auto!D34">
        <xdr:nvSpPr>
          <xdr:cNvPr id="32" name="TextBox 31">
            <a:extLst>
              <a:ext uri="{FF2B5EF4-FFF2-40B4-BE49-F238E27FC236}">
                <a16:creationId xmlns:a16="http://schemas.microsoft.com/office/drawing/2014/main" id="{F9E969E3-8DE6-4A22-AE4F-AE77345B80B4}"/>
              </a:ext>
            </a:extLst>
          </xdr:cNvPr>
          <xdr:cNvSpPr txBox="1"/>
        </xdr:nvSpPr>
        <xdr:spPr>
          <a:xfrm>
            <a:off x="3727448" y="6889113"/>
            <a:ext cx="817245"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fld id="{E8A4E324-7D25-42DB-809C-4D514A165D26}" type="TxLink">
              <a:rPr lang="en-US" sz="1100" b="0" i="0" u="none" strike="noStrike">
                <a:solidFill>
                  <a:srgbClr val="000000"/>
                </a:solidFill>
                <a:latin typeface="Calibri"/>
                <a:cs typeface="Calibri"/>
              </a:rPr>
              <a:pPr/>
              <a:t>Spkr: 3.14</a:t>
            </a:fld>
            <a:endParaRPr lang="en-US" sz="1100"/>
          </a:p>
        </xdr:txBody>
      </xdr:sp>
      <xdr:sp macro="" textlink="MPR_Auto!E34">
        <xdr:nvSpPr>
          <xdr:cNvPr id="33" name="TextBox 32">
            <a:extLst>
              <a:ext uri="{FF2B5EF4-FFF2-40B4-BE49-F238E27FC236}">
                <a16:creationId xmlns:a16="http://schemas.microsoft.com/office/drawing/2014/main" id="{6345B102-7B5B-4C81-8E05-DA3329D334A1}"/>
              </a:ext>
            </a:extLst>
          </xdr:cNvPr>
          <xdr:cNvSpPr txBox="1"/>
        </xdr:nvSpPr>
        <xdr:spPr>
          <a:xfrm>
            <a:off x="3303904" y="8620445"/>
            <a:ext cx="684530"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ctr"/>
            <a:fld id="{BA3AFE54-9EC3-4FF5-9F08-D1AEC283F788}" type="TxLink">
              <a:rPr lang="en-US" sz="1100" b="0" i="0" u="none" strike="noStrike">
                <a:solidFill>
                  <a:srgbClr val="000000"/>
                </a:solidFill>
                <a:latin typeface="Calibri"/>
                <a:cs typeface="Calibri"/>
              </a:rPr>
              <a:pPr algn="ctr"/>
              <a:t> </a:t>
            </a:fld>
            <a:endParaRPr lang="en-US" sz="1100"/>
          </a:p>
        </xdr:txBody>
      </xdr:sp>
    </xdr:grpSp>
    <xdr:clientData/>
  </xdr:twoCellAnchor>
  <xdr:twoCellAnchor editAs="absolute">
    <xdr:from>
      <xdr:col>6</xdr:col>
      <xdr:colOff>0</xdr:colOff>
      <xdr:row>0</xdr:row>
      <xdr:rowOff>0</xdr:rowOff>
    </xdr:from>
    <xdr:to>
      <xdr:col>18</xdr:col>
      <xdr:colOff>0</xdr:colOff>
      <xdr:row>9</xdr:row>
      <xdr:rowOff>152400</xdr:rowOff>
    </xdr:to>
    <xdr:graphicFrame macro="">
      <xdr:nvGraphicFramePr>
        <xdr:cNvPr id="2" name="AutoDelsSetup">
          <a:extLst>
            <a:ext uri="{FF2B5EF4-FFF2-40B4-BE49-F238E27FC236}">
              <a16:creationId xmlns:a16="http://schemas.microsoft.com/office/drawing/2014/main" id="{7F712D4D-1B25-480B-B444-A4718CF05C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10</xdr:row>
      <xdr:rowOff>0</xdr:rowOff>
    </xdr:from>
    <xdr:to>
      <xdr:col>18</xdr:col>
      <xdr:colOff>0</xdr:colOff>
      <xdr:row>24</xdr:row>
      <xdr:rowOff>0</xdr:rowOff>
    </xdr:to>
    <xdr:graphicFrame macro="">
      <xdr:nvGraphicFramePr>
        <xdr:cNvPr id="5" name="AmpCentTime">
          <a:extLst>
            <a:ext uri="{FF2B5EF4-FFF2-40B4-BE49-F238E27FC236}">
              <a16:creationId xmlns:a16="http://schemas.microsoft.com/office/drawing/2014/main" id="{296B270C-3EA2-4045-B4AC-698273C47C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25</xdr:row>
      <xdr:rowOff>0</xdr:rowOff>
    </xdr:from>
    <xdr:to>
      <xdr:col>18</xdr:col>
      <xdr:colOff>0</xdr:colOff>
      <xdr:row>39</xdr:row>
      <xdr:rowOff>0</xdr:rowOff>
    </xdr:to>
    <xdr:graphicFrame macro="">
      <xdr:nvGraphicFramePr>
        <xdr:cNvPr id="6" name="CentCentTime">
          <a:extLst>
            <a:ext uri="{FF2B5EF4-FFF2-40B4-BE49-F238E27FC236}">
              <a16:creationId xmlns:a16="http://schemas.microsoft.com/office/drawing/2014/main" id="{1231BD66-AEBC-40BE-889C-21EC97A486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0</xdr:colOff>
      <xdr:row>40</xdr:row>
      <xdr:rowOff>7620</xdr:rowOff>
    </xdr:from>
    <xdr:to>
      <xdr:col>18</xdr:col>
      <xdr:colOff>0</xdr:colOff>
      <xdr:row>54</xdr:row>
      <xdr:rowOff>7620</xdr:rowOff>
    </xdr:to>
    <xdr:graphicFrame macro="">
      <xdr:nvGraphicFramePr>
        <xdr:cNvPr id="7" name="SourceCentTime">
          <a:extLst>
            <a:ext uri="{FF2B5EF4-FFF2-40B4-BE49-F238E27FC236}">
              <a16:creationId xmlns:a16="http://schemas.microsoft.com/office/drawing/2014/main" id="{5760B58A-68E2-4C89-B1DD-9E9598E6EE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25908</xdr:colOff>
      <xdr:row>2</xdr:row>
      <xdr:rowOff>11724</xdr:rowOff>
    </xdr:from>
    <xdr:to>
      <xdr:col>5</xdr:col>
      <xdr:colOff>612648</xdr:colOff>
      <xdr:row>9</xdr:row>
      <xdr:rowOff>148884</xdr:rowOff>
    </xdr:to>
    <xdr:graphicFrame macro="">
      <xdr:nvGraphicFramePr>
        <xdr:cNvPr id="8" name="AutoPtsAll">
          <a:extLst>
            <a:ext uri="{FF2B5EF4-FFF2-40B4-BE49-F238E27FC236}">
              <a16:creationId xmlns:a16="http://schemas.microsoft.com/office/drawing/2014/main" id="{EC5E7F5B-A87F-4817-ADCD-321D2D7A0B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0.49722</cdr:x>
      <cdr:y>0.24028</cdr:y>
    </cdr:from>
    <cdr:to>
      <cdr:x>0.50278</cdr:x>
      <cdr:y>0.89861</cdr:y>
    </cdr:to>
    <cdr:cxnSp macro="">
      <cdr:nvCxnSpPr>
        <cdr:cNvPr id="3" name="Straight Connector 2">
          <a:extLst xmlns:a="http://schemas.openxmlformats.org/drawingml/2006/main">
            <a:ext uri="{FF2B5EF4-FFF2-40B4-BE49-F238E27FC236}">
              <a16:creationId xmlns:a16="http://schemas.microsoft.com/office/drawing/2014/main" id="{CB55D67D-BA64-E40B-6FEE-14688D469DE3}"/>
            </a:ext>
          </a:extLst>
        </cdr:cNvPr>
        <cdr:cNvCxnSpPr/>
      </cdr:nvCxnSpPr>
      <cdr:spPr>
        <a:xfrm xmlns:a="http://schemas.openxmlformats.org/drawingml/2006/main" flipH="1">
          <a:off x="1363980" y="659130"/>
          <a:ext cx="15240" cy="1805940"/>
        </a:xfrm>
        <a:prstGeom xmlns:a="http://schemas.openxmlformats.org/drawingml/2006/main" prst="line">
          <a:avLst/>
        </a:prstGeom>
        <a:ln xmlns:a="http://schemas.openxmlformats.org/drawingml/2006/main" w="15875" cap="rnd">
          <a:solidFill>
            <a:schemeClr val="bg1">
              <a:lumMod val="6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xml><?xml version="1.0" encoding="utf-8"?>
<c:userShapes xmlns:c="http://schemas.openxmlformats.org/drawingml/2006/chart">
  <cdr:relSizeAnchor xmlns:cdr="http://schemas.openxmlformats.org/drawingml/2006/chartDrawing">
    <cdr:from>
      <cdr:x>0.49722</cdr:x>
      <cdr:y>0.24028</cdr:y>
    </cdr:from>
    <cdr:to>
      <cdr:x>0.50278</cdr:x>
      <cdr:y>0.89861</cdr:y>
    </cdr:to>
    <cdr:cxnSp macro="">
      <cdr:nvCxnSpPr>
        <cdr:cNvPr id="3" name="Straight Connector 2">
          <a:extLst xmlns:a="http://schemas.openxmlformats.org/drawingml/2006/main">
            <a:ext uri="{FF2B5EF4-FFF2-40B4-BE49-F238E27FC236}">
              <a16:creationId xmlns:a16="http://schemas.microsoft.com/office/drawing/2014/main" id="{CB55D67D-BA64-E40B-6FEE-14688D469DE3}"/>
            </a:ext>
          </a:extLst>
        </cdr:cNvPr>
        <cdr:cNvCxnSpPr/>
      </cdr:nvCxnSpPr>
      <cdr:spPr>
        <a:xfrm xmlns:a="http://schemas.openxmlformats.org/drawingml/2006/main" flipH="1">
          <a:off x="1363980" y="659130"/>
          <a:ext cx="15240" cy="1805940"/>
        </a:xfrm>
        <a:prstGeom xmlns:a="http://schemas.openxmlformats.org/drawingml/2006/main" prst="line">
          <a:avLst/>
        </a:prstGeom>
        <a:ln xmlns:a="http://schemas.openxmlformats.org/drawingml/2006/main" w="15875" cap="rnd">
          <a:solidFill>
            <a:schemeClr val="bg1">
              <a:lumMod val="6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6.xml><?xml version="1.0" encoding="utf-8"?>
<c:userShapes xmlns:c="http://schemas.openxmlformats.org/drawingml/2006/chart">
  <cdr:relSizeAnchor xmlns:cdr="http://schemas.openxmlformats.org/drawingml/2006/chartDrawing">
    <cdr:from>
      <cdr:x>0.49722</cdr:x>
      <cdr:y>0.24028</cdr:y>
    </cdr:from>
    <cdr:to>
      <cdr:x>0.50278</cdr:x>
      <cdr:y>0.89861</cdr:y>
    </cdr:to>
    <cdr:cxnSp macro="">
      <cdr:nvCxnSpPr>
        <cdr:cNvPr id="3" name="Straight Connector 2">
          <a:extLst xmlns:a="http://schemas.openxmlformats.org/drawingml/2006/main">
            <a:ext uri="{FF2B5EF4-FFF2-40B4-BE49-F238E27FC236}">
              <a16:creationId xmlns:a16="http://schemas.microsoft.com/office/drawing/2014/main" id="{CB55D67D-BA64-E40B-6FEE-14688D469DE3}"/>
            </a:ext>
          </a:extLst>
        </cdr:cNvPr>
        <cdr:cNvCxnSpPr/>
      </cdr:nvCxnSpPr>
      <cdr:spPr>
        <a:xfrm xmlns:a="http://schemas.openxmlformats.org/drawingml/2006/main" flipH="1">
          <a:off x="1363980" y="659130"/>
          <a:ext cx="15240" cy="1805940"/>
        </a:xfrm>
        <a:prstGeom xmlns:a="http://schemas.openxmlformats.org/drawingml/2006/main" prst="line">
          <a:avLst/>
        </a:prstGeom>
        <a:ln xmlns:a="http://schemas.openxmlformats.org/drawingml/2006/main" w="15875" cap="rnd">
          <a:solidFill>
            <a:schemeClr val="bg1">
              <a:lumMod val="6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7.xml><?xml version="1.0" encoding="utf-8"?>
<xdr:wsDr xmlns:xdr="http://schemas.openxmlformats.org/drawingml/2006/spreadsheetDrawing" xmlns:a="http://schemas.openxmlformats.org/drawingml/2006/main">
  <xdr:twoCellAnchor>
    <xdr:from>
      <xdr:col>1</xdr:col>
      <xdr:colOff>0</xdr:colOff>
      <xdr:row>10</xdr:row>
      <xdr:rowOff>0</xdr:rowOff>
    </xdr:from>
    <xdr:to>
      <xdr:col>5</xdr:col>
      <xdr:colOff>609600</xdr:colOff>
      <xdr:row>24</xdr:row>
      <xdr:rowOff>0</xdr:rowOff>
    </xdr:to>
    <xdr:grpSp>
      <xdr:nvGrpSpPr>
        <xdr:cNvPr id="2" name="Group 1">
          <a:extLst>
            <a:ext uri="{FF2B5EF4-FFF2-40B4-BE49-F238E27FC236}">
              <a16:creationId xmlns:a16="http://schemas.microsoft.com/office/drawing/2014/main" id="{F45B114A-42BC-4BB3-A0F2-C376ADA3EE3B}"/>
            </a:ext>
          </a:extLst>
        </xdr:cNvPr>
        <xdr:cNvGrpSpPr/>
      </xdr:nvGrpSpPr>
      <xdr:grpSpPr>
        <a:xfrm>
          <a:off x="984738" y="1852246"/>
          <a:ext cx="2502877" cy="2514600"/>
          <a:chOff x="982980" y="1859280"/>
          <a:chExt cx="2514600" cy="2514600"/>
        </a:xfrm>
      </xdr:grpSpPr>
      <xdr:graphicFrame macro="">
        <xdr:nvGraphicFramePr>
          <xdr:cNvPr id="3" name="Chart 2">
            <a:extLst>
              <a:ext uri="{FF2B5EF4-FFF2-40B4-BE49-F238E27FC236}">
                <a16:creationId xmlns:a16="http://schemas.microsoft.com/office/drawing/2014/main" id="{B686B309-6432-BCC5-D4FE-83E35CD42987}"/>
              </a:ext>
            </a:extLst>
          </xdr:cNvPr>
          <xdr:cNvGraphicFramePr/>
        </xdr:nvGraphicFramePr>
        <xdr:xfrm>
          <a:off x="982980" y="1859280"/>
          <a:ext cx="2514600" cy="2514600"/>
        </xdr:xfrm>
        <a:graphic>
          <a:graphicData uri="http://schemas.openxmlformats.org/drawingml/2006/chart">
            <c:chart xmlns:c="http://schemas.openxmlformats.org/drawingml/2006/chart" xmlns:r="http://schemas.openxmlformats.org/officeDocument/2006/relationships" r:id="rId1"/>
          </a:graphicData>
        </a:graphic>
      </xdr:graphicFrame>
      <xdr:sp macro="" textlink="MPR_Teleop!C14">
        <xdr:nvSpPr>
          <xdr:cNvPr id="4" name="TextBox 3">
            <a:extLst>
              <a:ext uri="{FF2B5EF4-FFF2-40B4-BE49-F238E27FC236}">
                <a16:creationId xmlns:a16="http://schemas.microsoft.com/office/drawing/2014/main" id="{5AC4063B-3E5D-1B53-26DC-31673F3CA5D4}"/>
              </a:ext>
            </a:extLst>
          </xdr:cNvPr>
          <xdr:cNvSpPr txBox="1"/>
        </xdr:nvSpPr>
        <xdr:spPr>
          <a:xfrm>
            <a:off x="1501140" y="2445943"/>
            <a:ext cx="663575"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r"/>
            <a:fld id="{8308BDC8-849B-457E-82A7-432D14BC6F9D}" type="TxLink">
              <a:rPr lang="en-US" sz="1100" b="0" i="0" u="none" strike="noStrike">
                <a:solidFill>
                  <a:srgbClr val="000000"/>
                </a:solidFill>
                <a:latin typeface="Calibri"/>
                <a:cs typeface="Calibri"/>
              </a:rPr>
              <a:pPr algn="r"/>
              <a:t>Amp: 1.17</a:t>
            </a:fld>
            <a:endParaRPr lang="en-US" sz="1100"/>
          </a:p>
        </xdr:txBody>
      </xdr:sp>
      <xdr:sp macro="" textlink="MPR_Teleop!D14">
        <xdr:nvSpPr>
          <xdr:cNvPr id="5" name="TextBox 4">
            <a:extLst>
              <a:ext uri="{FF2B5EF4-FFF2-40B4-BE49-F238E27FC236}">
                <a16:creationId xmlns:a16="http://schemas.microsoft.com/office/drawing/2014/main" id="{4899C0EE-8D23-A3F1-E118-49682F48B6B0}"/>
              </a:ext>
            </a:extLst>
          </xdr:cNvPr>
          <xdr:cNvSpPr txBox="1"/>
        </xdr:nvSpPr>
        <xdr:spPr>
          <a:xfrm>
            <a:off x="2340608" y="2446578"/>
            <a:ext cx="817245"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fld id="{E8A87B73-4301-4F4D-9FF9-DC55879A85B2}" type="TxLink">
              <a:rPr lang="en-US" sz="1100" b="0" i="0" u="none" strike="noStrike">
                <a:solidFill>
                  <a:srgbClr val="000000"/>
                </a:solidFill>
                <a:latin typeface="Calibri"/>
                <a:cs typeface="Calibri"/>
              </a:rPr>
              <a:pPr/>
              <a:t>Spkr: 3.83</a:t>
            </a:fld>
            <a:endParaRPr lang="en-US" sz="1100"/>
          </a:p>
        </xdr:txBody>
      </xdr:sp>
      <xdr:sp macro="" textlink="MPR_Teleop!E14">
        <xdr:nvSpPr>
          <xdr:cNvPr id="6" name="TextBox 5">
            <a:extLst>
              <a:ext uri="{FF2B5EF4-FFF2-40B4-BE49-F238E27FC236}">
                <a16:creationId xmlns:a16="http://schemas.microsoft.com/office/drawing/2014/main" id="{4FA80EC4-791D-01E6-1107-BDAEA89F1980}"/>
              </a:ext>
            </a:extLst>
          </xdr:cNvPr>
          <xdr:cNvSpPr txBox="1"/>
        </xdr:nvSpPr>
        <xdr:spPr>
          <a:xfrm>
            <a:off x="1917064" y="4177905"/>
            <a:ext cx="684530"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ctr"/>
            <a:fld id="{6975B8C8-0266-40F3-95CE-F42BD5419388}" type="TxLink">
              <a:rPr lang="en-US" sz="1100" b="0" i="0" u="none" strike="noStrike">
                <a:solidFill>
                  <a:srgbClr val="000000"/>
                </a:solidFill>
                <a:latin typeface="Calibri"/>
                <a:cs typeface="Calibri"/>
              </a:rPr>
              <a:pPr algn="ctr"/>
              <a:t>Trap: 0/7</a:t>
            </a:fld>
            <a:endParaRPr lang="en-US" sz="1100"/>
          </a:p>
        </xdr:txBody>
      </xdr:sp>
    </xdr:grpSp>
    <xdr:clientData/>
  </xdr:twoCellAnchor>
  <xdr:twoCellAnchor editAs="oneCell">
    <xdr:from>
      <xdr:col>1</xdr:col>
      <xdr:colOff>0</xdr:colOff>
      <xdr:row>25</xdr:row>
      <xdr:rowOff>0</xdr:rowOff>
    </xdr:from>
    <xdr:to>
      <xdr:col>5</xdr:col>
      <xdr:colOff>609600</xdr:colOff>
      <xdr:row>39</xdr:row>
      <xdr:rowOff>0</xdr:rowOff>
    </xdr:to>
    <xdr:grpSp>
      <xdr:nvGrpSpPr>
        <xdr:cNvPr id="7" name="Auto_SrceA">
          <a:extLst>
            <a:ext uri="{FF2B5EF4-FFF2-40B4-BE49-F238E27FC236}">
              <a16:creationId xmlns:a16="http://schemas.microsoft.com/office/drawing/2014/main" id="{2512E20B-D500-47B2-829C-6D0263C7769A}"/>
            </a:ext>
          </a:extLst>
        </xdr:cNvPr>
        <xdr:cNvGrpSpPr/>
      </xdr:nvGrpSpPr>
      <xdr:grpSpPr>
        <a:xfrm>
          <a:off x="984738" y="4548554"/>
          <a:ext cx="2502877" cy="2514600"/>
          <a:chOff x="1689564" y="2192134"/>
          <a:chExt cx="2743200" cy="2743196"/>
        </a:xfrm>
      </xdr:grpSpPr>
      <xdr:graphicFrame macro="">
        <xdr:nvGraphicFramePr>
          <xdr:cNvPr id="8" name="Chart 7">
            <a:extLst>
              <a:ext uri="{FF2B5EF4-FFF2-40B4-BE49-F238E27FC236}">
                <a16:creationId xmlns:a16="http://schemas.microsoft.com/office/drawing/2014/main" id="{579DC344-78CF-A187-5BC8-496BED263115}"/>
              </a:ext>
            </a:extLst>
          </xdr:cNvPr>
          <xdr:cNvGraphicFramePr/>
        </xdr:nvGraphicFramePr>
        <xdr:xfrm>
          <a:off x="1689564" y="2192134"/>
          <a:ext cx="2743200" cy="2743196"/>
        </xdr:xfrm>
        <a:graphic>
          <a:graphicData uri="http://schemas.openxmlformats.org/drawingml/2006/chart">
            <c:chart xmlns:c="http://schemas.openxmlformats.org/drawingml/2006/chart" xmlns:r="http://schemas.openxmlformats.org/officeDocument/2006/relationships" r:id="rId2"/>
          </a:graphicData>
        </a:graphic>
      </xdr:graphicFrame>
      <xdr:sp macro="" textlink="MPR_Teleop!C24">
        <xdr:nvSpPr>
          <xdr:cNvPr id="9" name="TextBox 8">
            <a:extLst>
              <a:ext uri="{FF2B5EF4-FFF2-40B4-BE49-F238E27FC236}">
                <a16:creationId xmlns:a16="http://schemas.microsoft.com/office/drawing/2014/main" id="{6B9CB6F0-51DB-D200-4C12-FABEF64B73E7}"/>
              </a:ext>
            </a:extLst>
          </xdr:cNvPr>
          <xdr:cNvSpPr txBox="1"/>
        </xdr:nvSpPr>
        <xdr:spPr>
          <a:xfrm>
            <a:off x="2267300" y="2818143"/>
            <a:ext cx="72390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r"/>
            <a:fld id="{0859F394-DCA9-4EEE-ABB3-90464239C85A}" type="TxLink">
              <a:rPr lang="en-US" sz="1100" b="0" i="0" u="none" strike="noStrike">
                <a:solidFill>
                  <a:srgbClr val="000000"/>
                </a:solidFill>
                <a:latin typeface="Calibri"/>
                <a:cs typeface="Calibri"/>
              </a:rPr>
              <a:pPr algn="r"/>
              <a:t>Amp: 0.33</a:t>
            </a:fld>
            <a:endParaRPr lang="en-US" sz="1100"/>
          </a:p>
        </xdr:txBody>
      </xdr:sp>
      <xdr:sp macro="" textlink="MPR_Teleop!D24">
        <xdr:nvSpPr>
          <xdr:cNvPr id="10" name="TextBox 9">
            <a:extLst>
              <a:ext uri="{FF2B5EF4-FFF2-40B4-BE49-F238E27FC236}">
                <a16:creationId xmlns:a16="http://schemas.microsoft.com/office/drawing/2014/main" id="{C37095C9-9BE7-5715-4CF3-36A96046FE80}"/>
              </a:ext>
            </a:extLst>
          </xdr:cNvPr>
          <xdr:cNvSpPr txBox="1"/>
        </xdr:nvSpPr>
        <xdr:spPr>
          <a:xfrm>
            <a:off x="3183083" y="2818833"/>
            <a:ext cx="89154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fld id="{6F2FE243-803F-4233-82CB-3EC962CAF925}" type="TxLink">
              <a:rPr lang="en-US" sz="1100" b="0" i="0" u="none" strike="noStrike">
                <a:solidFill>
                  <a:srgbClr val="000000"/>
                </a:solidFill>
                <a:latin typeface="Calibri"/>
                <a:cs typeface="Calibri"/>
              </a:rPr>
              <a:pPr/>
              <a:t>Spkr: 3.33</a:t>
            </a:fld>
            <a:endParaRPr lang="en-US" sz="1100"/>
          </a:p>
        </xdr:txBody>
      </xdr:sp>
      <xdr:sp macro="" textlink="MPR_Teleop!E24">
        <xdr:nvSpPr>
          <xdr:cNvPr id="11" name="TextBox 10">
            <a:extLst>
              <a:ext uri="{FF2B5EF4-FFF2-40B4-BE49-F238E27FC236}">
                <a16:creationId xmlns:a16="http://schemas.microsoft.com/office/drawing/2014/main" id="{2241A437-0C79-DFD8-617F-C3FDF1B9E89F}"/>
              </a:ext>
            </a:extLst>
          </xdr:cNvPr>
          <xdr:cNvSpPr txBox="1"/>
        </xdr:nvSpPr>
        <xdr:spPr>
          <a:xfrm>
            <a:off x="2721035" y="4707556"/>
            <a:ext cx="746760" cy="172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ctr"/>
            <a:fld id="{D145FC79-AFBA-44B8-9D17-7AB226F70854}" type="TxLink">
              <a:rPr lang="en-US" sz="1100" b="0" i="0" u="none" strike="noStrike">
                <a:solidFill>
                  <a:srgbClr val="000000"/>
                </a:solidFill>
                <a:latin typeface="Calibri"/>
                <a:cs typeface="Calibri"/>
              </a:rPr>
              <a:pPr algn="ctr"/>
              <a:t>Trap: 0/8</a:t>
            </a:fld>
            <a:endParaRPr lang="en-US" sz="1100"/>
          </a:p>
        </xdr:txBody>
      </xdr:sp>
    </xdr:grpSp>
    <xdr:clientData/>
  </xdr:twoCellAnchor>
  <xdr:twoCellAnchor editAs="oneCell">
    <xdr:from>
      <xdr:col>1</xdr:col>
      <xdr:colOff>0</xdr:colOff>
      <xdr:row>40</xdr:row>
      <xdr:rowOff>0</xdr:rowOff>
    </xdr:from>
    <xdr:to>
      <xdr:col>5</xdr:col>
      <xdr:colOff>609600</xdr:colOff>
      <xdr:row>54</xdr:row>
      <xdr:rowOff>0</xdr:rowOff>
    </xdr:to>
    <xdr:graphicFrame macro="">
      <xdr:nvGraphicFramePr>
        <xdr:cNvPr id="12" name="Chart 11">
          <a:extLst>
            <a:ext uri="{FF2B5EF4-FFF2-40B4-BE49-F238E27FC236}">
              <a16:creationId xmlns:a16="http://schemas.microsoft.com/office/drawing/2014/main" id="{799DD981-C44B-47BC-AFD7-22BBBFF9D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160020</xdr:colOff>
      <xdr:row>43</xdr:row>
      <xdr:rowOff>45720</xdr:rowOff>
    </xdr:from>
    <xdr:to>
      <xdr:col>5</xdr:col>
      <xdr:colOff>277493</xdr:colOff>
      <xdr:row>53</xdr:row>
      <xdr:rowOff>152480</xdr:rowOff>
    </xdr:to>
    <xdr:grpSp>
      <xdr:nvGrpSpPr>
        <xdr:cNvPr id="13" name="Group 12">
          <a:extLst>
            <a:ext uri="{FF2B5EF4-FFF2-40B4-BE49-F238E27FC236}">
              <a16:creationId xmlns:a16="http://schemas.microsoft.com/office/drawing/2014/main" id="{1AE6EB39-3AD1-484D-93E2-BF0BB5F2BF53}"/>
            </a:ext>
          </a:extLst>
        </xdr:cNvPr>
        <xdr:cNvGrpSpPr/>
      </xdr:nvGrpSpPr>
      <xdr:grpSpPr>
        <a:xfrm>
          <a:off x="1508174" y="7823982"/>
          <a:ext cx="1647334" cy="1888667"/>
          <a:chOff x="2887980" y="6888480"/>
          <a:chExt cx="1656713" cy="1889840"/>
        </a:xfrm>
      </xdr:grpSpPr>
      <xdr:sp macro="" textlink="MPR_Teleop!C34">
        <xdr:nvSpPr>
          <xdr:cNvPr id="14" name="TextBox 13">
            <a:extLst>
              <a:ext uri="{FF2B5EF4-FFF2-40B4-BE49-F238E27FC236}">
                <a16:creationId xmlns:a16="http://schemas.microsoft.com/office/drawing/2014/main" id="{ACE36A42-93B9-B4C3-2A67-479220C4D2AB}"/>
              </a:ext>
            </a:extLst>
          </xdr:cNvPr>
          <xdr:cNvSpPr txBox="1"/>
        </xdr:nvSpPr>
        <xdr:spPr>
          <a:xfrm>
            <a:off x="2887980" y="6888480"/>
            <a:ext cx="663575"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r"/>
            <a:fld id="{1A534865-72C8-4D62-BDF3-B13A133D07D3}" type="TxLink">
              <a:rPr lang="en-US" sz="1100" b="0" i="0" u="none" strike="noStrike">
                <a:solidFill>
                  <a:srgbClr val="000000"/>
                </a:solidFill>
                <a:latin typeface="Calibri"/>
                <a:cs typeface="Calibri"/>
              </a:rPr>
              <a:pPr algn="r"/>
              <a:t>Amp: 1.14</a:t>
            </a:fld>
            <a:endParaRPr lang="en-US" sz="1100"/>
          </a:p>
        </xdr:txBody>
      </xdr:sp>
      <xdr:sp macro="" textlink="MPR_Teleop!D34">
        <xdr:nvSpPr>
          <xdr:cNvPr id="15" name="TextBox 14">
            <a:extLst>
              <a:ext uri="{FF2B5EF4-FFF2-40B4-BE49-F238E27FC236}">
                <a16:creationId xmlns:a16="http://schemas.microsoft.com/office/drawing/2014/main" id="{D9EBBA8E-B890-4259-680F-DBA6C26D5687}"/>
              </a:ext>
            </a:extLst>
          </xdr:cNvPr>
          <xdr:cNvSpPr txBox="1"/>
        </xdr:nvSpPr>
        <xdr:spPr>
          <a:xfrm>
            <a:off x="3727448" y="6889113"/>
            <a:ext cx="817245"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fld id="{30D83362-41B8-42BF-8C2F-FF02CEDC2DA6}" type="TxLink">
              <a:rPr lang="en-US" sz="1100" b="0" i="0" u="none" strike="noStrike">
                <a:solidFill>
                  <a:srgbClr val="000000"/>
                </a:solidFill>
                <a:latin typeface="Calibri"/>
                <a:cs typeface="Calibri"/>
              </a:rPr>
              <a:pPr/>
              <a:t>Spkr: 9.14</a:t>
            </a:fld>
            <a:endParaRPr lang="en-US" sz="1100"/>
          </a:p>
        </xdr:txBody>
      </xdr:sp>
      <xdr:sp macro="" textlink="MPR_Teleop!E34">
        <xdr:nvSpPr>
          <xdr:cNvPr id="16" name="TextBox 15">
            <a:extLst>
              <a:ext uri="{FF2B5EF4-FFF2-40B4-BE49-F238E27FC236}">
                <a16:creationId xmlns:a16="http://schemas.microsoft.com/office/drawing/2014/main" id="{DF6AC51F-A743-A5B2-1647-1C7B0B9274D5}"/>
              </a:ext>
            </a:extLst>
          </xdr:cNvPr>
          <xdr:cNvSpPr txBox="1"/>
        </xdr:nvSpPr>
        <xdr:spPr>
          <a:xfrm>
            <a:off x="3303904" y="8620445"/>
            <a:ext cx="684530" cy="1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oAutofit/>
          </a:bodyPr>
          <a:lstStyle/>
          <a:p>
            <a:pPr algn="ctr"/>
            <a:fld id="{2C40C2BB-6C35-4C37-888F-2600547E01D3}" type="TxLink">
              <a:rPr lang="en-US" sz="1100" b="0" i="0" u="none" strike="noStrike">
                <a:solidFill>
                  <a:srgbClr val="000000"/>
                </a:solidFill>
                <a:latin typeface="Calibri"/>
                <a:cs typeface="Calibri"/>
              </a:rPr>
              <a:pPr algn="ctr"/>
              <a:t>Trap: 0/9</a:t>
            </a:fld>
            <a:endParaRPr lang="en-US" sz="1100"/>
          </a:p>
        </xdr:txBody>
      </xdr:sp>
    </xdr:grpSp>
    <xdr:clientData/>
  </xdr:twoCellAnchor>
  <xdr:twoCellAnchor>
    <xdr:from>
      <xdr:col>0</xdr:col>
      <xdr:colOff>22860</xdr:colOff>
      <xdr:row>2</xdr:row>
      <xdr:rowOff>7620</xdr:rowOff>
    </xdr:from>
    <xdr:to>
      <xdr:col>5</xdr:col>
      <xdr:colOff>609600</xdr:colOff>
      <xdr:row>9</xdr:row>
      <xdr:rowOff>144780</xdr:rowOff>
    </xdr:to>
    <xdr:graphicFrame macro="">
      <xdr:nvGraphicFramePr>
        <xdr:cNvPr id="22" name="Chart 21">
          <a:extLst>
            <a:ext uri="{FF2B5EF4-FFF2-40B4-BE49-F238E27FC236}">
              <a16:creationId xmlns:a16="http://schemas.microsoft.com/office/drawing/2014/main" id="{D12AC397-8827-48C4-8270-9C326323EE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10</xdr:row>
      <xdr:rowOff>0</xdr:rowOff>
    </xdr:from>
    <xdr:to>
      <xdr:col>10</xdr:col>
      <xdr:colOff>304800</xdr:colOff>
      <xdr:row>24</xdr:row>
      <xdr:rowOff>0</xdr:rowOff>
    </xdr:to>
    <xdr:graphicFrame macro="">
      <xdr:nvGraphicFramePr>
        <xdr:cNvPr id="23" name="Chart 22">
          <a:extLst>
            <a:ext uri="{FF2B5EF4-FFF2-40B4-BE49-F238E27FC236}">
              <a16:creationId xmlns:a16="http://schemas.microsoft.com/office/drawing/2014/main" id="{8B294106-FFA2-4954-BA2A-EA06C8476A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25</xdr:row>
      <xdr:rowOff>0</xdr:rowOff>
    </xdr:from>
    <xdr:to>
      <xdr:col>10</xdr:col>
      <xdr:colOff>304800</xdr:colOff>
      <xdr:row>39</xdr:row>
      <xdr:rowOff>0</xdr:rowOff>
    </xdr:to>
    <xdr:graphicFrame macro="">
      <xdr:nvGraphicFramePr>
        <xdr:cNvPr id="24" name="Chart 23">
          <a:extLst>
            <a:ext uri="{FF2B5EF4-FFF2-40B4-BE49-F238E27FC236}">
              <a16:creationId xmlns:a16="http://schemas.microsoft.com/office/drawing/2014/main" id="{2EE8C21A-60F9-46C5-A214-FE0B4B030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0</xdr:colOff>
      <xdr:row>40</xdr:row>
      <xdr:rowOff>0</xdr:rowOff>
    </xdr:from>
    <xdr:to>
      <xdr:col>10</xdr:col>
      <xdr:colOff>304800</xdr:colOff>
      <xdr:row>54</xdr:row>
      <xdr:rowOff>0</xdr:rowOff>
    </xdr:to>
    <xdr:graphicFrame macro="">
      <xdr:nvGraphicFramePr>
        <xdr:cNvPr id="26" name="Chart 25">
          <a:extLst>
            <a:ext uri="{FF2B5EF4-FFF2-40B4-BE49-F238E27FC236}">
              <a16:creationId xmlns:a16="http://schemas.microsoft.com/office/drawing/2014/main" id="{4A5271CA-D084-4668-A5F2-9E349764D3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304800</xdr:colOff>
      <xdr:row>10</xdr:row>
      <xdr:rowOff>0</xdr:rowOff>
    </xdr:from>
    <xdr:to>
      <xdr:col>18</xdr:col>
      <xdr:colOff>0</xdr:colOff>
      <xdr:row>24</xdr:row>
      <xdr:rowOff>0</xdr:rowOff>
    </xdr:to>
    <xdr:graphicFrame macro="">
      <xdr:nvGraphicFramePr>
        <xdr:cNvPr id="27" name="Chart 26">
          <a:extLst>
            <a:ext uri="{FF2B5EF4-FFF2-40B4-BE49-F238E27FC236}">
              <a16:creationId xmlns:a16="http://schemas.microsoft.com/office/drawing/2014/main" id="{48E2FEC8-B985-4587-9780-0DE3A8749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304800</xdr:colOff>
      <xdr:row>25</xdr:row>
      <xdr:rowOff>0</xdr:rowOff>
    </xdr:from>
    <xdr:to>
      <xdr:col>18</xdr:col>
      <xdr:colOff>0</xdr:colOff>
      <xdr:row>39</xdr:row>
      <xdr:rowOff>0</xdr:rowOff>
    </xdr:to>
    <xdr:graphicFrame macro="">
      <xdr:nvGraphicFramePr>
        <xdr:cNvPr id="28" name="Chart 27">
          <a:extLst>
            <a:ext uri="{FF2B5EF4-FFF2-40B4-BE49-F238E27FC236}">
              <a16:creationId xmlns:a16="http://schemas.microsoft.com/office/drawing/2014/main" id="{581A6012-0EB3-4937-ACEB-1542DEC2D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304800</xdr:colOff>
      <xdr:row>40</xdr:row>
      <xdr:rowOff>0</xdr:rowOff>
    </xdr:from>
    <xdr:to>
      <xdr:col>18</xdr:col>
      <xdr:colOff>0</xdr:colOff>
      <xdr:row>54</xdr:row>
      <xdr:rowOff>0</xdr:rowOff>
    </xdr:to>
    <xdr:graphicFrame macro="">
      <xdr:nvGraphicFramePr>
        <xdr:cNvPr id="29" name="Chart 28">
          <a:extLst>
            <a:ext uri="{FF2B5EF4-FFF2-40B4-BE49-F238E27FC236}">
              <a16:creationId xmlns:a16="http://schemas.microsoft.com/office/drawing/2014/main" id="{3C033A36-08C9-463B-8234-E277FD630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274320</xdr:colOff>
      <xdr:row>22</xdr:row>
      <xdr:rowOff>114300</xdr:rowOff>
    </xdr:from>
    <xdr:to>
      <xdr:col>10</xdr:col>
      <xdr:colOff>274320</xdr:colOff>
      <xdr:row>23</xdr:row>
      <xdr:rowOff>160020</xdr:rowOff>
    </xdr:to>
    <xdr:sp macro="" textlink="MPR_Teleop!J15">
      <xdr:nvSpPr>
        <xdr:cNvPr id="18" name="TextBox 17">
          <a:extLst>
            <a:ext uri="{FF2B5EF4-FFF2-40B4-BE49-F238E27FC236}">
              <a16:creationId xmlns:a16="http://schemas.microsoft.com/office/drawing/2014/main" id="{37DE7AB9-40C9-671C-CA54-8230CADA0C30}"/>
            </a:ext>
          </a:extLst>
        </xdr:cNvPr>
        <xdr:cNvSpPr txBox="1"/>
      </xdr:nvSpPr>
      <xdr:spPr>
        <a:xfrm>
          <a:off x="4404360" y="4107180"/>
          <a:ext cx="1828800"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B0E0B3EA-F9F4-4434-9A4D-53EBDEB95EC9}" type="TxLink">
            <a:rPr lang="en-US" sz="1100" b="1" i="0" u="none" strike="noStrike">
              <a:solidFill>
                <a:srgbClr val="000000"/>
              </a:solidFill>
              <a:latin typeface="Calibri"/>
              <a:cs typeface="Calibri"/>
            </a:rPr>
            <a:pPr algn="r"/>
            <a:t>Amp Accuracy: 35.71%</a:t>
          </a:fld>
          <a:endParaRPr lang="en-US" sz="1100" b="1"/>
        </a:p>
      </xdr:txBody>
    </xdr:sp>
    <xdr:clientData/>
  </xdr:twoCellAnchor>
  <xdr:twoCellAnchor>
    <xdr:from>
      <xdr:col>7</xdr:col>
      <xdr:colOff>289560</xdr:colOff>
      <xdr:row>37</xdr:row>
      <xdr:rowOff>137160</xdr:rowOff>
    </xdr:from>
    <xdr:to>
      <xdr:col>10</xdr:col>
      <xdr:colOff>289560</xdr:colOff>
      <xdr:row>38</xdr:row>
      <xdr:rowOff>182880</xdr:rowOff>
    </xdr:to>
    <xdr:sp macro="" textlink="MPR_Teleop!J25">
      <xdr:nvSpPr>
        <xdr:cNvPr id="19" name="TextBox 18">
          <a:extLst>
            <a:ext uri="{FF2B5EF4-FFF2-40B4-BE49-F238E27FC236}">
              <a16:creationId xmlns:a16="http://schemas.microsoft.com/office/drawing/2014/main" id="{44CE4B08-4862-4DAD-AA8E-9EDDC5C8CB4C}"/>
            </a:ext>
          </a:extLst>
        </xdr:cNvPr>
        <xdr:cNvSpPr txBox="1"/>
      </xdr:nvSpPr>
      <xdr:spPr>
        <a:xfrm>
          <a:off x="4419600" y="6827520"/>
          <a:ext cx="1828800" cy="228600"/>
        </a:xfrm>
        <a:prstGeom prst="rect">
          <a:avLst/>
        </a:prstGeom>
        <a:solidFill>
          <a:sysClr val="window" lastClr="FFFFFF"/>
        </a:solidFill>
        <a:ln w="9525" cmpd="sng">
          <a:noFill/>
        </a:ln>
        <a:effectLst/>
      </xdr:spPr>
      <xdr:txBody>
        <a:bodyPr vertOverflow="clip" horzOverflow="clip" wrap="square" rtlCol="0" anchor="t"/>
        <a:lstStyle/>
        <a:p>
          <a:pPr marL="0" marR="0" lvl="0" indent="0" algn="r" defTabSz="914400" eaLnBrk="1" fontAlgn="auto" latinLnBrk="0" hangingPunct="1">
            <a:lnSpc>
              <a:spcPct val="100000"/>
            </a:lnSpc>
            <a:spcBef>
              <a:spcPts val="0"/>
            </a:spcBef>
            <a:spcAft>
              <a:spcPts val="0"/>
            </a:spcAft>
            <a:buClrTx/>
            <a:buSzTx/>
            <a:buFontTx/>
            <a:buNone/>
            <a:tabLst/>
            <a:defRPr/>
          </a:pPr>
          <a:fld id="{19A339F5-28B0-4156-94AD-EF2C0A67146D}" type="TxLink">
            <a:rPr kumimoji="0" lang="en-US" sz="1100" b="1" i="0" u="none" strike="noStrike" kern="0" cap="none" spc="0" normalizeH="0" baseline="0" noProof="0" smtClean="0">
              <a:ln>
                <a:noFill/>
              </a:ln>
              <a:solidFill>
                <a:srgbClr val="000000"/>
              </a:solidFill>
              <a:effectLst/>
              <a:uLnTx/>
              <a:uFillTx/>
              <a:latin typeface="Calibri"/>
              <a:ea typeface="+mn-ea"/>
              <a:cs typeface="Calibri"/>
            </a:rPr>
            <a:pPr marL="0" marR="0" lvl="0" indent="0" algn="r" defTabSz="914400" eaLnBrk="1" fontAlgn="auto" latinLnBrk="0" hangingPunct="1">
              <a:lnSpc>
                <a:spcPct val="100000"/>
              </a:lnSpc>
              <a:spcBef>
                <a:spcPts val="0"/>
              </a:spcBef>
              <a:spcAft>
                <a:spcPts val="0"/>
              </a:spcAft>
              <a:buClrTx/>
              <a:buSzTx/>
              <a:buFontTx/>
              <a:buNone/>
              <a:tabLst/>
              <a:defRPr/>
            </a:pPr>
            <a:t>Amp Accuracy: 28.57%</a:t>
          </a:fld>
          <a:endParaRPr kumimoji="0" lang="en-US" sz="11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7</xdr:col>
      <xdr:colOff>289560</xdr:colOff>
      <xdr:row>52</xdr:row>
      <xdr:rowOff>121920</xdr:rowOff>
    </xdr:from>
    <xdr:to>
      <xdr:col>10</xdr:col>
      <xdr:colOff>289560</xdr:colOff>
      <xdr:row>53</xdr:row>
      <xdr:rowOff>167640</xdr:rowOff>
    </xdr:to>
    <xdr:sp macro="" textlink="MPR_Teleop!J35">
      <xdr:nvSpPr>
        <xdr:cNvPr id="20" name="TextBox 19">
          <a:extLst>
            <a:ext uri="{FF2B5EF4-FFF2-40B4-BE49-F238E27FC236}">
              <a16:creationId xmlns:a16="http://schemas.microsoft.com/office/drawing/2014/main" id="{C4E04404-A7E2-4C2F-8BCE-E0C98B85451F}"/>
            </a:ext>
          </a:extLst>
        </xdr:cNvPr>
        <xdr:cNvSpPr txBox="1"/>
      </xdr:nvSpPr>
      <xdr:spPr>
        <a:xfrm>
          <a:off x="4419600" y="9509760"/>
          <a:ext cx="1828800" cy="228600"/>
        </a:xfrm>
        <a:prstGeom prst="rect">
          <a:avLst/>
        </a:prstGeom>
        <a:solidFill>
          <a:sysClr val="window" lastClr="FFFFFF"/>
        </a:solidFill>
        <a:ln w="9525" cmpd="sng">
          <a:noFill/>
        </a:ln>
        <a:effectLst/>
      </xdr:spPr>
      <xdr:txBody>
        <a:bodyPr vertOverflow="clip" horzOverflow="clip" wrap="square" rtlCol="0" anchor="t"/>
        <a:lstStyle/>
        <a:p>
          <a:pPr marL="0" marR="0" lvl="0" indent="0" algn="r" defTabSz="914400" eaLnBrk="1" fontAlgn="auto" latinLnBrk="0" hangingPunct="1">
            <a:lnSpc>
              <a:spcPct val="100000"/>
            </a:lnSpc>
            <a:spcBef>
              <a:spcPts val="0"/>
            </a:spcBef>
            <a:spcAft>
              <a:spcPts val="0"/>
            </a:spcAft>
            <a:buClrTx/>
            <a:buSzTx/>
            <a:buFontTx/>
            <a:buNone/>
            <a:tabLst/>
            <a:defRPr/>
          </a:pPr>
          <a:fld id="{FB32B4FA-153F-49AD-907B-0F0326A99E83}" type="TxLink">
            <a:rPr kumimoji="0" lang="en-US" sz="1100" b="1" i="0" u="none" strike="noStrike" kern="0" cap="none" spc="0" normalizeH="0" baseline="0" noProof="0" smtClean="0">
              <a:ln>
                <a:noFill/>
              </a:ln>
              <a:solidFill>
                <a:srgbClr val="000000"/>
              </a:solidFill>
              <a:effectLst/>
              <a:uLnTx/>
              <a:uFillTx/>
              <a:latin typeface="Calibri"/>
              <a:ea typeface="+mn-ea"/>
              <a:cs typeface="Calibri"/>
            </a:rPr>
            <a:pPr marL="0" marR="0" lvl="0" indent="0" algn="r" defTabSz="914400" eaLnBrk="1" fontAlgn="auto" latinLnBrk="0" hangingPunct="1">
              <a:lnSpc>
                <a:spcPct val="100000"/>
              </a:lnSpc>
              <a:spcBef>
                <a:spcPts val="0"/>
              </a:spcBef>
              <a:spcAft>
                <a:spcPts val="0"/>
              </a:spcAft>
              <a:buClrTx/>
              <a:buSzTx/>
              <a:buFontTx/>
              <a:buNone/>
              <a:tabLst/>
              <a:defRPr/>
            </a:pPr>
            <a:t>Amp Accuracy: 71.43%</a:t>
          </a:fld>
          <a:endParaRPr kumimoji="0" lang="en-US" sz="11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6</xdr:col>
      <xdr:colOff>0</xdr:colOff>
      <xdr:row>0</xdr:row>
      <xdr:rowOff>0</xdr:rowOff>
    </xdr:from>
    <xdr:to>
      <xdr:col>18</xdr:col>
      <xdr:colOff>0</xdr:colOff>
      <xdr:row>9</xdr:row>
      <xdr:rowOff>152400</xdr:rowOff>
    </xdr:to>
    <xdr:graphicFrame macro="">
      <xdr:nvGraphicFramePr>
        <xdr:cNvPr id="25" name="Chart 24">
          <a:extLst>
            <a:ext uri="{FF2B5EF4-FFF2-40B4-BE49-F238E27FC236}">
              <a16:creationId xmlns:a16="http://schemas.microsoft.com/office/drawing/2014/main" id="{CA4C85EE-FAA5-4CE1-897A-D49215B2B4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0.49722</cdr:x>
      <cdr:y>0.24028</cdr:y>
    </cdr:from>
    <cdr:to>
      <cdr:x>0.50278</cdr:x>
      <cdr:y>0.89861</cdr:y>
    </cdr:to>
    <cdr:cxnSp macro="">
      <cdr:nvCxnSpPr>
        <cdr:cNvPr id="3" name="Straight Connector 2">
          <a:extLst xmlns:a="http://schemas.openxmlformats.org/drawingml/2006/main">
            <a:ext uri="{FF2B5EF4-FFF2-40B4-BE49-F238E27FC236}">
              <a16:creationId xmlns:a16="http://schemas.microsoft.com/office/drawing/2014/main" id="{CB55D67D-BA64-E40B-6FEE-14688D469DE3}"/>
            </a:ext>
          </a:extLst>
        </cdr:cNvPr>
        <cdr:cNvCxnSpPr/>
      </cdr:nvCxnSpPr>
      <cdr:spPr>
        <a:xfrm xmlns:a="http://schemas.openxmlformats.org/drawingml/2006/main" flipH="1">
          <a:off x="1363980" y="659130"/>
          <a:ext cx="15240" cy="1805940"/>
        </a:xfrm>
        <a:prstGeom xmlns:a="http://schemas.openxmlformats.org/drawingml/2006/main" prst="line">
          <a:avLst/>
        </a:prstGeom>
        <a:ln xmlns:a="http://schemas.openxmlformats.org/drawingml/2006/main" w="15875" cap="rnd">
          <a:solidFill>
            <a:schemeClr val="bg1">
              <a:lumMod val="6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9.xml><?xml version="1.0" encoding="utf-8"?>
<c:userShapes xmlns:c="http://schemas.openxmlformats.org/drawingml/2006/chart">
  <cdr:relSizeAnchor xmlns:cdr="http://schemas.openxmlformats.org/drawingml/2006/chartDrawing">
    <cdr:from>
      <cdr:x>0.49722</cdr:x>
      <cdr:y>0.24028</cdr:y>
    </cdr:from>
    <cdr:to>
      <cdr:x>0.50278</cdr:x>
      <cdr:y>0.89861</cdr:y>
    </cdr:to>
    <cdr:cxnSp macro="">
      <cdr:nvCxnSpPr>
        <cdr:cNvPr id="3" name="Straight Connector 2">
          <a:extLst xmlns:a="http://schemas.openxmlformats.org/drawingml/2006/main">
            <a:ext uri="{FF2B5EF4-FFF2-40B4-BE49-F238E27FC236}">
              <a16:creationId xmlns:a16="http://schemas.microsoft.com/office/drawing/2014/main" id="{CB55D67D-BA64-E40B-6FEE-14688D469DE3}"/>
            </a:ext>
          </a:extLst>
        </cdr:cNvPr>
        <cdr:cNvCxnSpPr/>
      </cdr:nvCxnSpPr>
      <cdr:spPr>
        <a:xfrm xmlns:a="http://schemas.openxmlformats.org/drawingml/2006/main" flipH="1">
          <a:off x="1363980" y="659130"/>
          <a:ext cx="15240" cy="1805940"/>
        </a:xfrm>
        <a:prstGeom xmlns:a="http://schemas.openxmlformats.org/drawingml/2006/main" prst="line">
          <a:avLst/>
        </a:prstGeom>
        <a:ln xmlns:a="http://schemas.openxmlformats.org/drawingml/2006/main" w="15875" cap="rnd">
          <a:solidFill>
            <a:schemeClr val="bg1">
              <a:lumMod val="6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0.xml><?xml version="1.0" encoding="utf-8"?>
<c:userShapes xmlns:c="http://schemas.openxmlformats.org/drawingml/2006/chart">
  <cdr:relSizeAnchor xmlns:cdr="http://schemas.openxmlformats.org/drawingml/2006/chartDrawing">
    <cdr:from>
      <cdr:x>0.49722</cdr:x>
      <cdr:y>0.24028</cdr:y>
    </cdr:from>
    <cdr:to>
      <cdr:x>0.50278</cdr:x>
      <cdr:y>0.89861</cdr:y>
    </cdr:to>
    <cdr:cxnSp macro="">
      <cdr:nvCxnSpPr>
        <cdr:cNvPr id="3" name="Straight Connector 2">
          <a:extLst xmlns:a="http://schemas.openxmlformats.org/drawingml/2006/main">
            <a:ext uri="{FF2B5EF4-FFF2-40B4-BE49-F238E27FC236}">
              <a16:creationId xmlns:a16="http://schemas.microsoft.com/office/drawing/2014/main" id="{CB55D67D-BA64-E40B-6FEE-14688D469DE3}"/>
            </a:ext>
          </a:extLst>
        </cdr:cNvPr>
        <cdr:cNvCxnSpPr/>
      </cdr:nvCxnSpPr>
      <cdr:spPr>
        <a:xfrm xmlns:a="http://schemas.openxmlformats.org/drawingml/2006/main" flipH="1">
          <a:off x="1363980" y="659130"/>
          <a:ext cx="15240" cy="1805940"/>
        </a:xfrm>
        <a:prstGeom xmlns:a="http://schemas.openxmlformats.org/drawingml/2006/main" prst="line">
          <a:avLst/>
        </a:prstGeom>
        <a:ln xmlns:a="http://schemas.openxmlformats.org/drawingml/2006/main" w="15875" cap="rnd">
          <a:solidFill>
            <a:schemeClr val="bg1">
              <a:lumMod val="6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1.xml><?xml version="1.0" encoding="utf-8"?>
<xdr:wsDr xmlns:xdr="http://schemas.openxmlformats.org/drawingml/2006/spreadsheetDrawing" xmlns:a="http://schemas.openxmlformats.org/drawingml/2006/main">
  <xdr:twoCellAnchor>
    <xdr:from>
      <xdr:col>1</xdr:col>
      <xdr:colOff>0</xdr:colOff>
      <xdr:row>10</xdr:row>
      <xdr:rowOff>0</xdr:rowOff>
    </xdr:from>
    <xdr:to>
      <xdr:col>6</xdr:col>
      <xdr:colOff>0</xdr:colOff>
      <xdr:row>24</xdr:row>
      <xdr:rowOff>0</xdr:rowOff>
    </xdr:to>
    <xdr:graphicFrame macro="">
      <xdr:nvGraphicFramePr>
        <xdr:cNvPr id="22" name="Chart 21">
          <a:extLst>
            <a:ext uri="{FF2B5EF4-FFF2-40B4-BE49-F238E27FC236}">
              <a16:creationId xmlns:a16="http://schemas.microsoft.com/office/drawing/2014/main" id="{0FA30E1C-8DBE-482F-B9DE-36DA642C73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25</xdr:row>
      <xdr:rowOff>0</xdr:rowOff>
    </xdr:from>
    <xdr:to>
      <xdr:col>6</xdr:col>
      <xdr:colOff>0</xdr:colOff>
      <xdr:row>39</xdr:row>
      <xdr:rowOff>0</xdr:rowOff>
    </xdr:to>
    <xdr:graphicFrame macro="">
      <xdr:nvGraphicFramePr>
        <xdr:cNvPr id="24" name="Chart 23">
          <a:extLst>
            <a:ext uri="{FF2B5EF4-FFF2-40B4-BE49-F238E27FC236}">
              <a16:creationId xmlns:a16="http://schemas.microsoft.com/office/drawing/2014/main" id="{AEBCCFE9-30C1-4EF6-8766-4077C27C9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40</xdr:row>
      <xdr:rowOff>0</xdr:rowOff>
    </xdr:from>
    <xdr:to>
      <xdr:col>6</xdr:col>
      <xdr:colOff>0</xdr:colOff>
      <xdr:row>54</xdr:row>
      <xdr:rowOff>0</xdr:rowOff>
    </xdr:to>
    <xdr:graphicFrame macro="">
      <xdr:nvGraphicFramePr>
        <xdr:cNvPr id="25" name="Chart 24">
          <a:extLst>
            <a:ext uri="{FF2B5EF4-FFF2-40B4-BE49-F238E27FC236}">
              <a16:creationId xmlns:a16="http://schemas.microsoft.com/office/drawing/2014/main" id="{5E454857-1DDF-49D4-80EE-9C989A708D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45720</xdr:colOff>
      <xdr:row>2</xdr:row>
      <xdr:rowOff>21772</xdr:rowOff>
    </xdr:from>
    <xdr:to>
      <xdr:col>6</xdr:col>
      <xdr:colOff>0</xdr:colOff>
      <xdr:row>9</xdr:row>
      <xdr:rowOff>158932</xdr:rowOff>
    </xdr:to>
    <xdr:graphicFrame macro="">
      <xdr:nvGraphicFramePr>
        <xdr:cNvPr id="26" name="Chart 25">
          <a:extLst>
            <a:ext uri="{FF2B5EF4-FFF2-40B4-BE49-F238E27FC236}">
              <a16:creationId xmlns:a16="http://schemas.microsoft.com/office/drawing/2014/main" id="{33A37843-3F6C-48F7-95C2-9B9B8EC755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9</xdr:col>
      <xdr:colOff>6532</xdr:colOff>
      <xdr:row>9</xdr:row>
      <xdr:rowOff>44632</xdr:rowOff>
    </xdr:from>
    <xdr:to>
      <xdr:col>14</xdr:col>
      <xdr:colOff>63138</xdr:colOff>
      <xdr:row>23</xdr:row>
      <xdr:rowOff>190500</xdr:rowOff>
    </xdr:to>
    <xdr:grpSp>
      <xdr:nvGrpSpPr>
        <xdr:cNvPr id="52" name="Amp_Stage">
          <a:extLst>
            <a:ext uri="{FF2B5EF4-FFF2-40B4-BE49-F238E27FC236}">
              <a16:creationId xmlns:a16="http://schemas.microsoft.com/office/drawing/2014/main" id="{B77583D0-6102-9CE6-BA05-45A2A1AFA037}"/>
            </a:ext>
          </a:extLst>
        </xdr:cNvPr>
        <xdr:cNvGrpSpPr/>
      </xdr:nvGrpSpPr>
      <xdr:grpSpPr>
        <a:xfrm>
          <a:off x="4796246" y="1748246"/>
          <a:ext cx="2560321" cy="2655025"/>
          <a:chOff x="4800600" y="1737360"/>
          <a:chExt cx="2560320" cy="2651760"/>
        </a:xfrm>
      </xdr:grpSpPr>
      <xdr:pic>
        <xdr:nvPicPr>
          <xdr:cNvPr id="28" name="Picture 27">
            <a:extLst>
              <a:ext uri="{FF2B5EF4-FFF2-40B4-BE49-F238E27FC236}">
                <a16:creationId xmlns:a16="http://schemas.microsoft.com/office/drawing/2014/main" id="{5EB47A75-0EB7-F250-B6E5-37DB3FAEB141}"/>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776" t="600" r="-4940" b="-1809"/>
          <a:stretch/>
        </xdr:blipFill>
        <xdr:spPr>
          <a:xfrm rot="16200000">
            <a:off x="4754880" y="1783080"/>
            <a:ext cx="2651760" cy="2560320"/>
          </a:xfrm>
          <a:prstGeom prst="rect">
            <a:avLst/>
          </a:prstGeom>
        </xdr:spPr>
      </xdr:pic>
      <xdr:sp macro="" textlink="MPR_Showtime!M10">
        <xdr:nvSpPr>
          <xdr:cNvPr id="29" name="TextBox 28">
            <a:extLst>
              <a:ext uri="{FF2B5EF4-FFF2-40B4-BE49-F238E27FC236}">
                <a16:creationId xmlns:a16="http://schemas.microsoft.com/office/drawing/2014/main" id="{5D6E99B0-4A9D-1F06-125A-9DA7F9F87801}"/>
              </a:ext>
            </a:extLst>
          </xdr:cNvPr>
          <xdr:cNvSpPr txBox="1"/>
        </xdr:nvSpPr>
        <xdr:spPr>
          <a:xfrm rot="3600000">
            <a:off x="5350812" y="3011376"/>
            <a:ext cx="576072"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FEC5B68-2CF8-4F0B-A082-206269D3CF06}" type="TxLink">
              <a:rPr lang="en-US" sz="1100" b="0" i="0" u="none" strike="noStrike">
                <a:solidFill>
                  <a:srgbClr val="000000"/>
                </a:solidFill>
                <a:latin typeface="Calibri"/>
                <a:cs typeface="Calibri"/>
              </a:rPr>
              <a:pPr algn="ctr"/>
              <a:t>FAR</a:t>
            </a:fld>
            <a:endParaRPr lang="en-US" sz="1100"/>
          </a:p>
        </xdr:txBody>
      </xdr:sp>
      <xdr:sp macro="" textlink="MPR_Showtime!M12">
        <xdr:nvSpPr>
          <xdr:cNvPr id="30" name="TextBox 29">
            <a:extLst>
              <a:ext uri="{FF2B5EF4-FFF2-40B4-BE49-F238E27FC236}">
                <a16:creationId xmlns:a16="http://schemas.microsoft.com/office/drawing/2014/main" id="{690905EB-903C-D4AD-4491-9A684B9F3A9B}"/>
              </a:ext>
            </a:extLst>
          </xdr:cNvPr>
          <xdr:cNvSpPr txBox="1"/>
        </xdr:nvSpPr>
        <xdr:spPr>
          <a:xfrm rot="18000000">
            <a:off x="6143291" y="2988516"/>
            <a:ext cx="576072"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C48946-F8B9-4DFE-94C7-55B8D53557B4}" type="TxLink">
              <a:rPr lang="en-US" sz="1100" b="0" i="0" u="none" strike="noStrike">
                <a:solidFill>
                  <a:srgbClr val="000000"/>
                </a:solidFill>
                <a:latin typeface="Calibri"/>
                <a:cs typeface="Calibri"/>
              </a:rPr>
              <a:pPr algn="ctr"/>
              <a:t>NEAR</a:t>
            </a:fld>
            <a:endParaRPr lang="en-US" sz="1100"/>
          </a:p>
        </xdr:txBody>
      </xdr:sp>
      <xdr:sp macro="" textlink="">
        <xdr:nvSpPr>
          <xdr:cNvPr id="31" name="TextBox 30">
            <a:extLst>
              <a:ext uri="{FF2B5EF4-FFF2-40B4-BE49-F238E27FC236}">
                <a16:creationId xmlns:a16="http://schemas.microsoft.com/office/drawing/2014/main" id="{24B87DD5-5F4C-3737-C52C-AE9521BA9C75}"/>
              </a:ext>
            </a:extLst>
          </xdr:cNvPr>
          <xdr:cNvSpPr txBox="1"/>
        </xdr:nvSpPr>
        <xdr:spPr>
          <a:xfrm>
            <a:off x="5669328" y="2308812"/>
            <a:ext cx="685800"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CENTER</a:t>
            </a:r>
          </a:p>
        </xdr:txBody>
      </xdr:sp>
      <xdr:sp macro="" textlink="MPR_Showtime!K10">
        <xdr:nvSpPr>
          <xdr:cNvPr id="32" name="TextBox 31">
            <a:extLst>
              <a:ext uri="{FF2B5EF4-FFF2-40B4-BE49-F238E27FC236}">
                <a16:creationId xmlns:a16="http://schemas.microsoft.com/office/drawing/2014/main" id="{4FE4A865-C846-94D6-1564-07FDB39051A3}"/>
              </a:ext>
            </a:extLst>
          </xdr:cNvPr>
          <xdr:cNvSpPr txBox="1"/>
        </xdr:nvSpPr>
        <xdr:spPr>
          <a:xfrm rot="3600000">
            <a:off x="4863132" y="3209496"/>
            <a:ext cx="804672"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2445ED63-B081-4A9D-9584-3D2965AB6C10}" type="TxLink">
              <a:rPr lang="en-US" sz="1100" b="0" i="0" u="none" strike="noStrike">
                <a:ln w="9525">
                  <a:solidFill>
                    <a:schemeClr val="bg1"/>
                  </a:solidFill>
                </a:ln>
                <a:solidFill>
                  <a:schemeClr val="bg1"/>
                </a:solidFill>
                <a:latin typeface="Calibri"/>
                <a:cs typeface="Calibri"/>
              </a:rPr>
              <a:pPr algn="ctr"/>
              <a:t>0S / 0F</a:t>
            </a:fld>
            <a:endParaRPr lang="en-US" sz="1100">
              <a:ln w="9525">
                <a:solidFill>
                  <a:schemeClr val="bg1"/>
                </a:solidFill>
              </a:ln>
              <a:solidFill>
                <a:schemeClr val="bg1"/>
              </a:solidFill>
            </a:endParaRPr>
          </a:p>
        </xdr:txBody>
      </xdr:sp>
      <xdr:sp macro="" textlink="MPR_Showtime!K12">
        <xdr:nvSpPr>
          <xdr:cNvPr id="33" name="TextBox 32">
            <a:extLst>
              <a:ext uri="{FF2B5EF4-FFF2-40B4-BE49-F238E27FC236}">
                <a16:creationId xmlns:a16="http://schemas.microsoft.com/office/drawing/2014/main" id="{2EFC9011-FA74-4EBD-9322-8C2C2BD50652}"/>
              </a:ext>
            </a:extLst>
          </xdr:cNvPr>
          <xdr:cNvSpPr txBox="1"/>
        </xdr:nvSpPr>
        <xdr:spPr>
          <a:xfrm rot="18000000">
            <a:off x="6379513" y="3194257"/>
            <a:ext cx="804672"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7887152B-F12F-4B40-AB40-7CF183BC63DE}" type="TxLink">
              <a:rPr lang="en-US" sz="1100" b="0" i="0" u="none" strike="noStrike">
                <a:ln w="9525">
                  <a:solidFill>
                    <a:schemeClr val="bg1"/>
                  </a:solidFill>
                </a:ln>
                <a:solidFill>
                  <a:schemeClr val="bg1"/>
                </a:solidFill>
                <a:latin typeface="Calibri"/>
                <a:cs typeface="Calibri"/>
              </a:rPr>
              <a:pPr algn="ctr"/>
              <a:t>4S / 0F</a:t>
            </a:fld>
            <a:endParaRPr lang="en-US" sz="1100">
              <a:ln w="9525">
                <a:solidFill>
                  <a:schemeClr val="bg1"/>
                </a:solidFill>
              </a:ln>
              <a:solidFill>
                <a:schemeClr val="bg1"/>
              </a:solidFill>
            </a:endParaRPr>
          </a:p>
        </xdr:txBody>
      </xdr:sp>
      <xdr:sp macro="" textlink="MPR_Showtime!K11">
        <xdr:nvSpPr>
          <xdr:cNvPr id="34" name="TextBox 33">
            <a:extLst>
              <a:ext uri="{FF2B5EF4-FFF2-40B4-BE49-F238E27FC236}">
                <a16:creationId xmlns:a16="http://schemas.microsoft.com/office/drawing/2014/main" id="{E9F57754-8E34-447C-A89D-1D1089E3C52A}"/>
              </a:ext>
            </a:extLst>
          </xdr:cNvPr>
          <xdr:cNvSpPr txBox="1"/>
        </xdr:nvSpPr>
        <xdr:spPr>
          <a:xfrm>
            <a:off x="5594652" y="1921716"/>
            <a:ext cx="804672" cy="2286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207FB963-0020-4020-BCAD-012DEC15E09E}" type="TxLink">
              <a:rPr lang="en-US" sz="1100" b="0" i="0" u="none" strike="noStrike">
                <a:ln w="9525">
                  <a:solidFill>
                    <a:schemeClr val="bg1"/>
                  </a:solidFill>
                </a:ln>
                <a:solidFill>
                  <a:schemeClr val="bg1"/>
                </a:solidFill>
                <a:latin typeface="Calibri"/>
                <a:cs typeface="Calibri"/>
              </a:rPr>
              <a:pPr algn="ctr"/>
              <a:t>1S / 0F</a:t>
            </a:fld>
            <a:endParaRPr lang="en-US" sz="1100">
              <a:ln w="9525">
                <a:solidFill>
                  <a:schemeClr val="bg1"/>
                </a:solidFill>
              </a:ln>
              <a:solidFill>
                <a:schemeClr val="bg1"/>
              </a:solidFill>
            </a:endParaRPr>
          </a:p>
        </xdr:txBody>
      </xdr:sp>
    </xdr:grpSp>
    <xdr:clientData/>
  </xdr:twoCellAnchor>
  <xdr:twoCellAnchor editAs="absolute">
    <xdr:from>
      <xdr:col>9</xdr:col>
      <xdr:colOff>6532</xdr:colOff>
      <xdr:row>24</xdr:row>
      <xdr:rowOff>44631</xdr:rowOff>
    </xdr:from>
    <xdr:to>
      <xdr:col>14</xdr:col>
      <xdr:colOff>63138</xdr:colOff>
      <xdr:row>38</xdr:row>
      <xdr:rowOff>190500</xdr:rowOff>
    </xdr:to>
    <xdr:grpSp>
      <xdr:nvGrpSpPr>
        <xdr:cNvPr id="53" name="Center_Stage">
          <a:extLst>
            <a:ext uri="{FF2B5EF4-FFF2-40B4-BE49-F238E27FC236}">
              <a16:creationId xmlns:a16="http://schemas.microsoft.com/office/drawing/2014/main" id="{436FD503-4913-4F69-BD80-05225986ECE1}"/>
            </a:ext>
          </a:extLst>
        </xdr:cNvPr>
        <xdr:cNvGrpSpPr/>
      </xdr:nvGrpSpPr>
      <xdr:grpSpPr>
        <a:xfrm>
          <a:off x="4796246" y="4464231"/>
          <a:ext cx="2560321" cy="2655026"/>
          <a:chOff x="4800600" y="1737360"/>
          <a:chExt cx="2560320" cy="2651760"/>
        </a:xfrm>
      </xdr:grpSpPr>
      <xdr:pic>
        <xdr:nvPicPr>
          <xdr:cNvPr id="54" name="Picture 53">
            <a:extLst>
              <a:ext uri="{FF2B5EF4-FFF2-40B4-BE49-F238E27FC236}">
                <a16:creationId xmlns:a16="http://schemas.microsoft.com/office/drawing/2014/main" id="{0E0591E4-A5B6-07A2-AF63-93CFEE8CCCAB}"/>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776" t="600" r="-4940" b="-1809"/>
          <a:stretch/>
        </xdr:blipFill>
        <xdr:spPr>
          <a:xfrm rot="16200000">
            <a:off x="4754880" y="1783080"/>
            <a:ext cx="2651760" cy="2560320"/>
          </a:xfrm>
          <a:prstGeom prst="rect">
            <a:avLst/>
          </a:prstGeom>
        </xdr:spPr>
      </xdr:pic>
      <xdr:sp macro="" textlink="MPR_Showtime!M20">
        <xdr:nvSpPr>
          <xdr:cNvPr id="55" name="TextBox 54">
            <a:extLst>
              <a:ext uri="{FF2B5EF4-FFF2-40B4-BE49-F238E27FC236}">
                <a16:creationId xmlns:a16="http://schemas.microsoft.com/office/drawing/2014/main" id="{70B507F9-441A-CF66-BE75-C3048D455894}"/>
              </a:ext>
            </a:extLst>
          </xdr:cNvPr>
          <xdr:cNvSpPr txBox="1"/>
        </xdr:nvSpPr>
        <xdr:spPr>
          <a:xfrm rot="3600000">
            <a:off x="5350812" y="3011376"/>
            <a:ext cx="576072" cy="2286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49056778-B50C-4452-943B-3CF67EA34989}" type="TxLink">
              <a:rPr kumimoji="0" lang="en-US" sz="1100" b="0" i="0"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FAR</a:t>
            </a:fld>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sp macro="" textlink="MPR_Showtime!M22">
        <xdr:nvSpPr>
          <xdr:cNvPr id="56" name="TextBox 55">
            <a:extLst>
              <a:ext uri="{FF2B5EF4-FFF2-40B4-BE49-F238E27FC236}">
                <a16:creationId xmlns:a16="http://schemas.microsoft.com/office/drawing/2014/main" id="{1893B3FF-3321-D1E1-1835-4330F5309036}"/>
              </a:ext>
            </a:extLst>
          </xdr:cNvPr>
          <xdr:cNvSpPr txBox="1"/>
        </xdr:nvSpPr>
        <xdr:spPr>
          <a:xfrm rot="18000000">
            <a:off x="6143291" y="2988516"/>
            <a:ext cx="576072" cy="2286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2CB47C34-5BA4-40F3-9CBB-1BA48A2D3F3F}" type="TxLink">
              <a:rPr kumimoji="0" lang="en-US" sz="1100" b="0" i="0"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NEAR</a:t>
            </a:fld>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sp macro="" textlink="">
        <xdr:nvSpPr>
          <xdr:cNvPr id="57" name="TextBox 56">
            <a:extLst>
              <a:ext uri="{FF2B5EF4-FFF2-40B4-BE49-F238E27FC236}">
                <a16:creationId xmlns:a16="http://schemas.microsoft.com/office/drawing/2014/main" id="{5F0B6F33-D506-987C-09C2-7AFD3DCD315D}"/>
              </a:ext>
            </a:extLst>
          </xdr:cNvPr>
          <xdr:cNvSpPr txBox="1"/>
        </xdr:nvSpPr>
        <xdr:spPr>
          <a:xfrm>
            <a:off x="5669328" y="2308812"/>
            <a:ext cx="685800" cy="2286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CENTER</a:t>
            </a:r>
          </a:p>
        </xdr:txBody>
      </xdr:sp>
      <xdr:sp macro="" textlink="MPR_Showtime!K20">
        <xdr:nvSpPr>
          <xdr:cNvPr id="58" name="TextBox 57">
            <a:extLst>
              <a:ext uri="{FF2B5EF4-FFF2-40B4-BE49-F238E27FC236}">
                <a16:creationId xmlns:a16="http://schemas.microsoft.com/office/drawing/2014/main" id="{85A3F2EB-F0F4-6FF2-251A-0FB2B4014B93}"/>
              </a:ext>
            </a:extLst>
          </xdr:cNvPr>
          <xdr:cNvSpPr txBox="1"/>
        </xdr:nvSpPr>
        <xdr:spPr>
          <a:xfrm rot="3600000">
            <a:off x="4863132" y="3209496"/>
            <a:ext cx="804672" cy="228600"/>
          </a:xfrm>
          <a:prstGeom prst="rect">
            <a:avLst/>
          </a:prstGeom>
          <a:solidFill>
            <a:sysClr val="windowText" lastClr="000000"/>
          </a:solidFill>
          <a:ln w="9525" cmpd="sng">
            <a:solidFill>
              <a:sysClr val="window" lastClr="FFFFFF">
                <a:shade val="50000"/>
              </a:sysClr>
            </a:solidFill>
          </a:ln>
          <a:effectLst/>
        </xdr:spPr>
        <xdr:txBody>
          <a:bodyPr vertOverflow="clip" horzOverflow="clip" wrap="square"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FAF19FBB-CE26-4EDF-8F3D-F96B2D0EFCA5}" type="TxLink">
              <a:rPr kumimoji="0" lang="en-US" sz="1100" b="0" i="0" u="none" strike="noStrike" kern="0" cap="none" spc="0" normalizeH="0" baseline="0" noProof="0" smtClean="0">
                <a:ln w="9525">
                  <a:solidFill>
                    <a:schemeClr val="bg1"/>
                  </a:solidFill>
                </a:ln>
                <a:solidFill>
                  <a:schemeClr val="bg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1S / 0F</a:t>
            </a:fld>
            <a:endParaRPr kumimoji="0" lang="en-US" sz="1100" b="0" i="0" u="none" strike="noStrike" kern="0" cap="none" spc="0" normalizeH="0" baseline="0" noProof="0">
              <a:ln w="9525">
                <a:solidFill>
                  <a:schemeClr val="bg1"/>
                </a:solidFill>
              </a:ln>
              <a:solidFill>
                <a:schemeClr val="bg1"/>
              </a:solidFill>
              <a:effectLst/>
              <a:uLnTx/>
              <a:uFillTx/>
              <a:latin typeface="Calibri" panose="020F0502020204030204"/>
              <a:ea typeface="+mn-ea"/>
              <a:cs typeface="+mn-cs"/>
            </a:endParaRPr>
          </a:p>
        </xdr:txBody>
      </xdr:sp>
      <xdr:sp macro="" textlink="MPR_Showtime!K22">
        <xdr:nvSpPr>
          <xdr:cNvPr id="59" name="TextBox 58">
            <a:extLst>
              <a:ext uri="{FF2B5EF4-FFF2-40B4-BE49-F238E27FC236}">
                <a16:creationId xmlns:a16="http://schemas.microsoft.com/office/drawing/2014/main" id="{67E86A9D-F204-AB8B-25B8-318E4B61EDE7}"/>
              </a:ext>
            </a:extLst>
          </xdr:cNvPr>
          <xdr:cNvSpPr txBox="1"/>
        </xdr:nvSpPr>
        <xdr:spPr>
          <a:xfrm rot="18000000">
            <a:off x="6379513" y="3194257"/>
            <a:ext cx="804672" cy="228600"/>
          </a:xfrm>
          <a:prstGeom prst="rect">
            <a:avLst/>
          </a:prstGeom>
          <a:solidFill>
            <a:sysClr val="windowText" lastClr="000000"/>
          </a:solidFill>
          <a:ln w="9525" cmpd="sng">
            <a:solidFill>
              <a:sysClr val="window" lastClr="FFFFFF">
                <a:shade val="50000"/>
              </a:sysClr>
            </a:solidFill>
          </a:ln>
          <a:effectLst/>
        </xdr:spPr>
        <xdr:txBody>
          <a:bodyPr vertOverflow="clip" horzOverflow="clip" wrap="square"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40B97342-776E-4DBA-851C-ACB0398ACC64}" type="TxLink">
              <a:rPr kumimoji="0" lang="en-US" sz="1100" b="0" i="0" u="none" strike="noStrike" kern="0" cap="none" spc="0" normalizeH="0" baseline="0" noProof="0" smtClean="0">
                <a:ln w="9525">
                  <a:solidFill>
                    <a:schemeClr val="bg1"/>
                  </a:solidFill>
                </a:ln>
                <a:solidFill>
                  <a:schemeClr val="bg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4S / 0F</a:t>
            </a:fld>
            <a:endParaRPr kumimoji="0" lang="en-US" sz="1100" b="0" i="0" u="none" strike="noStrike" kern="0" cap="none" spc="0" normalizeH="0" baseline="0" noProof="0">
              <a:ln w="9525">
                <a:solidFill>
                  <a:schemeClr val="bg1"/>
                </a:solidFill>
              </a:ln>
              <a:solidFill>
                <a:schemeClr val="bg1"/>
              </a:solidFill>
              <a:effectLst/>
              <a:uLnTx/>
              <a:uFillTx/>
              <a:latin typeface="Calibri" panose="020F0502020204030204"/>
              <a:ea typeface="+mn-ea"/>
              <a:cs typeface="+mn-cs"/>
            </a:endParaRPr>
          </a:p>
        </xdr:txBody>
      </xdr:sp>
      <xdr:sp macro="" textlink="MPR_Showtime!K21">
        <xdr:nvSpPr>
          <xdr:cNvPr id="60" name="TextBox 59">
            <a:extLst>
              <a:ext uri="{FF2B5EF4-FFF2-40B4-BE49-F238E27FC236}">
                <a16:creationId xmlns:a16="http://schemas.microsoft.com/office/drawing/2014/main" id="{3CAFFD5D-D193-0F6C-932D-659DEF5078CC}"/>
              </a:ext>
            </a:extLst>
          </xdr:cNvPr>
          <xdr:cNvSpPr txBox="1"/>
        </xdr:nvSpPr>
        <xdr:spPr>
          <a:xfrm>
            <a:off x="5594652" y="1921716"/>
            <a:ext cx="804672" cy="228600"/>
          </a:xfrm>
          <a:prstGeom prst="rect">
            <a:avLst/>
          </a:prstGeom>
          <a:solidFill>
            <a:sysClr val="windowText" lastClr="000000"/>
          </a:solidFill>
          <a:ln w="9525" cmpd="sng">
            <a:solidFill>
              <a:sysClr val="window" lastClr="FFFFFF">
                <a:shade val="50000"/>
              </a:sysClr>
            </a:solidFill>
          </a:ln>
          <a:effectLst/>
        </xdr:spPr>
        <xdr:txBody>
          <a:bodyPr vertOverflow="clip" horzOverflow="clip" wrap="square"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D6356DC5-6E60-4E5B-B7AA-8762BF63E6E9}" type="TxLink">
              <a:rPr kumimoji="0" lang="en-US" sz="1100" b="0" i="0" u="none" strike="noStrike" kern="0" cap="none" spc="0" normalizeH="0" baseline="0" noProof="0" smtClean="0">
                <a:ln w="9525">
                  <a:solidFill>
                    <a:schemeClr val="bg1"/>
                  </a:solidFill>
                </a:ln>
                <a:solidFill>
                  <a:schemeClr val="bg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0S / 0F</a:t>
            </a:fld>
            <a:endParaRPr kumimoji="0" lang="en-US" sz="1100" b="0" i="0" u="none" strike="noStrike" kern="0" cap="none" spc="0" normalizeH="0" baseline="0" noProof="0">
              <a:ln w="9525">
                <a:solidFill>
                  <a:schemeClr val="bg1"/>
                </a:solidFill>
              </a:ln>
              <a:solidFill>
                <a:schemeClr val="bg1"/>
              </a:solidFill>
              <a:effectLst/>
              <a:uLnTx/>
              <a:uFillTx/>
              <a:latin typeface="Calibri" panose="020F0502020204030204"/>
              <a:ea typeface="+mn-ea"/>
              <a:cs typeface="+mn-cs"/>
            </a:endParaRPr>
          </a:p>
        </xdr:txBody>
      </xdr:sp>
    </xdr:grpSp>
    <xdr:clientData/>
  </xdr:twoCellAnchor>
  <xdr:twoCellAnchor editAs="absolute">
    <xdr:from>
      <xdr:col>9</xdr:col>
      <xdr:colOff>6532</xdr:colOff>
      <xdr:row>39</xdr:row>
      <xdr:rowOff>44631</xdr:rowOff>
    </xdr:from>
    <xdr:to>
      <xdr:col>14</xdr:col>
      <xdr:colOff>63138</xdr:colOff>
      <xdr:row>53</xdr:row>
      <xdr:rowOff>190500</xdr:rowOff>
    </xdr:to>
    <xdr:grpSp>
      <xdr:nvGrpSpPr>
        <xdr:cNvPr id="69" name="Source_Stage">
          <a:extLst>
            <a:ext uri="{FF2B5EF4-FFF2-40B4-BE49-F238E27FC236}">
              <a16:creationId xmlns:a16="http://schemas.microsoft.com/office/drawing/2014/main" id="{138B5FEB-A0B4-4FBE-BF02-F850F95CD41D}"/>
            </a:ext>
          </a:extLst>
        </xdr:cNvPr>
        <xdr:cNvGrpSpPr/>
      </xdr:nvGrpSpPr>
      <xdr:grpSpPr>
        <a:xfrm>
          <a:off x="4796246" y="7180217"/>
          <a:ext cx="2560321" cy="2655026"/>
          <a:chOff x="4800600" y="1737360"/>
          <a:chExt cx="2560320" cy="2651760"/>
        </a:xfrm>
      </xdr:grpSpPr>
      <xdr:pic>
        <xdr:nvPicPr>
          <xdr:cNvPr id="70" name="Picture 69">
            <a:extLst>
              <a:ext uri="{FF2B5EF4-FFF2-40B4-BE49-F238E27FC236}">
                <a16:creationId xmlns:a16="http://schemas.microsoft.com/office/drawing/2014/main" id="{FB8D7BE5-F7CB-9EB0-0D87-CA9C4ACB3D55}"/>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776" t="600" r="-4940" b="-1809"/>
          <a:stretch/>
        </xdr:blipFill>
        <xdr:spPr>
          <a:xfrm rot="16200000">
            <a:off x="4754880" y="1783080"/>
            <a:ext cx="2651760" cy="2560320"/>
          </a:xfrm>
          <a:prstGeom prst="rect">
            <a:avLst/>
          </a:prstGeom>
        </xdr:spPr>
      </xdr:pic>
      <xdr:sp macro="" textlink="MPR_Showtime!M30">
        <xdr:nvSpPr>
          <xdr:cNvPr id="71" name="TextBox 70">
            <a:extLst>
              <a:ext uri="{FF2B5EF4-FFF2-40B4-BE49-F238E27FC236}">
                <a16:creationId xmlns:a16="http://schemas.microsoft.com/office/drawing/2014/main" id="{8D461119-C334-E47B-B889-4307C56CC95A}"/>
              </a:ext>
            </a:extLst>
          </xdr:cNvPr>
          <xdr:cNvSpPr txBox="1"/>
        </xdr:nvSpPr>
        <xdr:spPr>
          <a:xfrm rot="3600000">
            <a:off x="5350812" y="3011376"/>
            <a:ext cx="576072" cy="2286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B5A57DD4-51EB-4974-873C-18FB66B004C2}" type="TxLink">
              <a:rPr kumimoji="0" lang="en-US" sz="1100" b="0" i="0"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NEAR</a:t>
            </a:fld>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sp macro="" textlink="MPR_Showtime!M32">
        <xdr:nvSpPr>
          <xdr:cNvPr id="72" name="TextBox 71">
            <a:extLst>
              <a:ext uri="{FF2B5EF4-FFF2-40B4-BE49-F238E27FC236}">
                <a16:creationId xmlns:a16="http://schemas.microsoft.com/office/drawing/2014/main" id="{A3939B03-77F8-8134-326C-ECF9B590CA4D}"/>
              </a:ext>
            </a:extLst>
          </xdr:cNvPr>
          <xdr:cNvSpPr txBox="1"/>
        </xdr:nvSpPr>
        <xdr:spPr>
          <a:xfrm rot="18000000">
            <a:off x="6143291" y="2988516"/>
            <a:ext cx="576072" cy="2286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53708E53-3323-4E19-A0C8-FC00E2925266}" type="TxLink">
              <a:rPr kumimoji="0" lang="en-US" sz="1100" b="0" i="0" u="none" strike="noStrike" kern="0" cap="none" spc="0" normalizeH="0" baseline="0" noProof="0" smtClean="0">
                <a:ln>
                  <a:noFill/>
                </a:ln>
                <a:solidFill>
                  <a:srgbClr val="000000"/>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FAR</a:t>
            </a:fld>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sp macro="" textlink="">
        <xdr:nvSpPr>
          <xdr:cNvPr id="73" name="TextBox 72">
            <a:extLst>
              <a:ext uri="{FF2B5EF4-FFF2-40B4-BE49-F238E27FC236}">
                <a16:creationId xmlns:a16="http://schemas.microsoft.com/office/drawing/2014/main" id="{0E80E169-19E1-79C7-7343-2E5F6D7A11E1}"/>
              </a:ext>
            </a:extLst>
          </xdr:cNvPr>
          <xdr:cNvSpPr txBox="1"/>
        </xdr:nvSpPr>
        <xdr:spPr>
          <a:xfrm>
            <a:off x="5669328" y="2308812"/>
            <a:ext cx="685800" cy="2286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CENTER</a:t>
            </a:r>
          </a:p>
        </xdr:txBody>
      </xdr:sp>
      <xdr:sp macro="" textlink="MPR_Showtime!K30">
        <xdr:nvSpPr>
          <xdr:cNvPr id="74" name="TextBox 73">
            <a:extLst>
              <a:ext uri="{FF2B5EF4-FFF2-40B4-BE49-F238E27FC236}">
                <a16:creationId xmlns:a16="http://schemas.microsoft.com/office/drawing/2014/main" id="{F6D424E3-A33A-2821-752B-A356BE8A4832}"/>
              </a:ext>
            </a:extLst>
          </xdr:cNvPr>
          <xdr:cNvSpPr txBox="1"/>
        </xdr:nvSpPr>
        <xdr:spPr>
          <a:xfrm rot="3600000">
            <a:off x="4863132" y="3209496"/>
            <a:ext cx="804672" cy="228600"/>
          </a:xfrm>
          <a:prstGeom prst="rect">
            <a:avLst/>
          </a:prstGeom>
          <a:solidFill>
            <a:sysClr val="windowText" lastClr="000000"/>
          </a:solidFill>
          <a:ln w="9525" cmpd="sng">
            <a:solidFill>
              <a:sysClr val="window" lastClr="FFFFFF">
                <a:shade val="50000"/>
              </a:sysClr>
            </a:solidFill>
          </a:ln>
          <a:effectLst/>
        </xdr:spPr>
        <xdr:txBody>
          <a:bodyPr vertOverflow="clip" horzOverflow="clip" wrap="square"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EC8B2246-63B9-4C7E-9E95-D7C80B723F9B}" type="TxLink">
              <a:rPr kumimoji="0" lang="en-US" sz="1100" b="0" i="0" u="none" strike="noStrike" kern="0" cap="none" spc="0" normalizeH="0" baseline="0" noProof="0" smtClean="0">
                <a:ln w="9525">
                  <a:solidFill>
                    <a:schemeClr val="bg1"/>
                  </a:solidFill>
                </a:ln>
                <a:solidFill>
                  <a:schemeClr val="bg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4S / 0F</a:t>
            </a:fld>
            <a:endParaRPr kumimoji="0" lang="en-US" sz="1100" b="0" i="0" u="none" strike="noStrike" kern="0" cap="none" spc="0" normalizeH="0" baseline="0" noProof="0">
              <a:ln w="9525">
                <a:solidFill>
                  <a:schemeClr val="bg1"/>
                </a:solidFill>
              </a:ln>
              <a:solidFill>
                <a:schemeClr val="bg1"/>
              </a:solidFill>
              <a:effectLst/>
              <a:uLnTx/>
              <a:uFillTx/>
              <a:latin typeface="Calibri" panose="020F0502020204030204"/>
              <a:ea typeface="+mn-ea"/>
              <a:cs typeface="+mn-cs"/>
            </a:endParaRPr>
          </a:p>
        </xdr:txBody>
      </xdr:sp>
      <xdr:sp macro="" textlink="MPR_Showtime!K32">
        <xdr:nvSpPr>
          <xdr:cNvPr id="75" name="TextBox 74">
            <a:extLst>
              <a:ext uri="{FF2B5EF4-FFF2-40B4-BE49-F238E27FC236}">
                <a16:creationId xmlns:a16="http://schemas.microsoft.com/office/drawing/2014/main" id="{6CA08B66-25FB-0CAC-E314-D16E5F55C1DB}"/>
              </a:ext>
            </a:extLst>
          </xdr:cNvPr>
          <xdr:cNvSpPr txBox="1"/>
        </xdr:nvSpPr>
        <xdr:spPr>
          <a:xfrm rot="18000000">
            <a:off x="6379513" y="3194257"/>
            <a:ext cx="804672" cy="228600"/>
          </a:xfrm>
          <a:prstGeom prst="rect">
            <a:avLst/>
          </a:prstGeom>
          <a:solidFill>
            <a:sysClr val="windowText" lastClr="000000"/>
          </a:solidFill>
          <a:ln w="9525" cmpd="sng">
            <a:solidFill>
              <a:sysClr val="window" lastClr="FFFFFF">
                <a:shade val="50000"/>
              </a:sysClr>
            </a:solidFill>
          </a:ln>
          <a:effectLst/>
        </xdr:spPr>
        <xdr:txBody>
          <a:bodyPr vertOverflow="clip" horzOverflow="clip" wrap="square"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F9E3108C-9834-48F0-BB65-F7BAC4064657}" type="TxLink">
              <a:rPr kumimoji="0" lang="en-US" sz="1100" b="0" i="0" u="none" strike="noStrike" kern="0" cap="none" spc="0" normalizeH="0" baseline="0" noProof="0" smtClean="0">
                <a:ln w="9525">
                  <a:solidFill>
                    <a:schemeClr val="bg1"/>
                  </a:solidFill>
                </a:ln>
                <a:solidFill>
                  <a:schemeClr val="bg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2S / 0F</a:t>
            </a:fld>
            <a:endParaRPr kumimoji="0" lang="en-US" sz="1100" b="0" i="0" u="none" strike="noStrike" kern="0" cap="none" spc="0" normalizeH="0" baseline="0" noProof="0">
              <a:ln w="9525">
                <a:solidFill>
                  <a:schemeClr val="bg1"/>
                </a:solidFill>
              </a:ln>
              <a:solidFill>
                <a:schemeClr val="bg1"/>
              </a:solidFill>
              <a:effectLst/>
              <a:uLnTx/>
              <a:uFillTx/>
              <a:latin typeface="Calibri" panose="020F0502020204030204"/>
              <a:ea typeface="+mn-ea"/>
              <a:cs typeface="+mn-cs"/>
            </a:endParaRPr>
          </a:p>
        </xdr:txBody>
      </xdr:sp>
      <xdr:sp macro="" textlink="MPR_Showtime!K31">
        <xdr:nvSpPr>
          <xdr:cNvPr id="76" name="TextBox 75">
            <a:extLst>
              <a:ext uri="{FF2B5EF4-FFF2-40B4-BE49-F238E27FC236}">
                <a16:creationId xmlns:a16="http://schemas.microsoft.com/office/drawing/2014/main" id="{A432D1E0-483D-25B2-2CE5-94B131C0234E}"/>
              </a:ext>
            </a:extLst>
          </xdr:cNvPr>
          <xdr:cNvSpPr txBox="1"/>
        </xdr:nvSpPr>
        <xdr:spPr>
          <a:xfrm>
            <a:off x="5594652" y="1921716"/>
            <a:ext cx="804672" cy="228600"/>
          </a:xfrm>
          <a:prstGeom prst="rect">
            <a:avLst/>
          </a:prstGeom>
          <a:solidFill>
            <a:sysClr val="windowText" lastClr="000000"/>
          </a:solidFill>
          <a:ln w="9525" cmpd="sng">
            <a:solidFill>
              <a:sysClr val="window" lastClr="FFFFFF">
                <a:shade val="50000"/>
              </a:sysClr>
            </a:solidFill>
          </a:ln>
          <a:effectLst/>
        </xdr:spPr>
        <xdr:txBody>
          <a:bodyPr vertOverflow="clip" horzOverflow="clip" wrap="square"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D3586E9E-79A6-43C4-9B2D-CBAE3E3DDC10}" type="TxLink">
              <a:rPr kumimoji="0" lang="en-US" sz="1100" b="0" i="0" u="none" strike="noStrike" kern="0" cap="none" spc="0" normalizeH="0" baseline="0" noProof="0" smtClean="0">
                <a:ln w="9525">
                  <a:solidFill>
                    <a:schemeClr val="bg1"/>
                  </a:solidFill>
                </a:ln>
                <a:solidFill>
                  <a:schemeClr val="bg1"/>
                </a:solidFill>
                <a:effectLst/>
                <a:uLnTx/>
                <a:uFillTx/>
                <a:latin typeface="Calibri"/>
                <a:ea typeface="+mn-ea"/>
                <a:cs typeface="Calibri"/>
              </a:rPr>
              <a:pPr marL="0" marR="0" lvl="0" indent="0" algn="ctr" defTabSz="914400" eaLnBrk="1" fontAlgn="auto" latinLnBrk="0" hangingPunct="1">
                <a:lnSpc>
                  <a:spcPct val="100000"/>
                </a:lnSpc>
                <a:spcBef>
                  <a:spcPts val="0"/>
                </a:spcBef>
                <a:spcAft>
                  <a:spcPts val="0"/>
                </a:spcAft>
                <a:buClrTx/>
                <a:buSzTx/>
                <a:buFontTx/>
                <a:buNone/>
                <a:tabLst/>
                <a:defRPr/>
              </a:pPr>
              <a:t>0S / 0F</a:t>
            </a:fld>
            <a:endParaRPr kumimoji="0" lang="en-US" sz="1100" b="0" i="0" u="none" strike="noStrike" kern="0" cap="none" spc="0" normalizeH="0" baseline="0" noProof="0">
              <a:ln w="9525">
                <a:solidFill>
                  <a:schemeClr val="bg1"/>
                </a:solidFill>
              </a:ln>
              <a:solidFill>
                <a:schemeClr val="bg1"/>
              </a:solidFill>
              <a:effectLst/>
              <a:uLnTx/>
              <a:uFillTx/>
              <a:latin typeface="Calibri" panose="020F0502020204030204"/>
              <a:ea typeface="+mn-ea"/>
              <a:cs typeface="+mn-cs"/>
            </a:endParaRPr>
          </a:p>
        </xdr:txBody>
      </xdr:sp>
    </xdr:grpSp>
    <xdr:clientData/>
  </xdr:twoCellAnchor>
  <xdr:twoCellAnchor editAs="absolute">
    <xdr:from>
      <xdr:col>14</xdr:col>
      <xdr:colOff>25038</xdr:colOff>
      <xdr:row>9</xdr:row>
      <xdr:rowOff>181792</xdr:rowOff>
    </xdr:from>
    <xdr:to>
      <xdr:col>19</xdr:col>
      <xdr:colOff>38100</xdr:colOff>
      <xdr:row>23</xdr:row>
      <xdr:rowOff>190500</xdr:rowOff>
    </xdr:to>
    <xdr:graphicFrame macro="">
      <xdr:nvGraphicFramePr>
        <xdr:cNvPr id="77" name="Chart 76">
          <a:extLst>
            <a:ext uri="{FF2B5EF4-FFF2-40B4-BE49-F238E27FC236}">
              <a16:creationId xmlns:a16="http://schemas.microsoft.com/office/drawing/2014/main" id="{FF55E08C-7BF6-45BF-A6D5-D5F8A1A08D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14</xdr:col>
      <xdr:colOff>25038</xdr:colOff>
      <xdr:row>24</xdr:row>
      <xdr:rowOff>174171</xdr:rowOff>
    </xdr:from>
    <xdr:to>
      <xdr:col>19</xdr:col>
      <xdr:colOff>38100</xdr:colOff>
      <xdr:row>38</xdr:row>
      <xdr:rowOff>181792</xdr:rowOff>
    </xdr:to>
    <xdr:graphicFrame macro="">
      <xdr:nvGraphicFramePr>
        <xdr:cNvPr id="78" name="Chart 77">
          <a:extLst>
            <a:ext uri="{FF2B5EF4-FFF2-40B4-BE49-F238E27FC236}">
              <a16:creationId xmlns:a16="http://schemas.microsoft.com/office/drawing/2014/main" id="{BF723E39-D03D-43EE-9E9E-FDDCCA4D57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14</xdr:col>
      <xdr:colOff>25038</xdr:colOff>
      <xdr:row>39</xdr:row>
      <xdr:rowOff>181791</xdr:rowOff>
    </xdr:from>
    <xdr:to>
      <xdr:col>19</xdr:col>
      <xdr:colOff>38100</xdr:colOff>
      <xdr:row>53</xdr:row>
      <xdr:rowOff>190500</xdr:rowOff>
    </xdr:to>
    <xdr:graphicFrame macro="">
      <xdr:nvGraphicFramePr>
        <xdr:cNvPr id="79" name="Chart 78">
          <a:extLst>
            <a:ext uri="{FF2B5EF4-FFF2-40B4-BE49-F238E27FC236}">
              <a16:creationId xmlns:a16="http://schemas.microsoft.com/office/drawing/2014/main" id="{5D105395-466D-4B87-A65C-72EEFBAB3E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1" xr16:uid="{1A1A54CD-ED2A-42C1-9993-0BB6A46EB091}" autoFormatId="16" applyNumberFormats="0" applyBorderFormats="0" applyFontFormats="0" applyPatternFormats="0" applyAlignmentFormats="0" applyWidthHeightFormats="0">
  <queryTableRefresh nextId="40" unboundColumnsRight="2">
    <queryTableFields count="35">
      <queryTableField id="1" name="Id" tableColumnId="1"/>
      <queryTableField id="2" name="Team" tableColumnId="2"/>
      <queryTableField id="3" name="Match" tableColumnId="3"/>
      <queryTableField id="4" name="Time" tableColumnId="4"/>
      <queryTableField id="5" name="RecordType" tableColumnId="5"/>
      <queryTableField id="6" name="Mode" tableColumnId="6"/>
      <queryTableField id="7" name="Leave" tableColumnId="7"/>
      <queryTableField id="8" name="AcqLoc" tableColumnId="8"/>
      <queryTableField id="36" name="AcqCenter" tableColumnId="9"/>
      <queryTableField id="10" name="AcqDis" tableColumnId="10"/>
      <queryTableField id="11" name="AcqDrp" tableColumnId="11"/>
      <queryTableField id="12" name="DelOrig" tableColumnId="12"/>
      <queryTableField id="13" name="DelDest" tableColumnId="13"/>
      <queryTableField id="14" name="DelMiss" tableColumnId="14"/>
      <queryTableField id="15" name="DriveSta" tableColumnId="15"/>
      <queryTableField id="16" name="RobotSta" tableColumnId="16"/>
      <queryTableField id="17" name="HPAmp" tableColumnId="17"/>
      <queryTableField id="18" name="StageStat" tableColumnId="18"/>
      <queryTableField id="19" name="StageAtt" tableColumnId="19"/>
      <queryTableField id="20" name="StageLoc" tableColumnId="20"/>
      <queryTableField id="21" name="Harmony" tableColumnId="21"/>
      <queryTableField id="22" name="Spotlit" tableColumnId="22"/>
      <queryTableField id="23" name="ClimbT" tableColumnId="23"/>
      <queryTableField id="24" name="OZTime" tableColumnId="24"/>
      <queryTableField id="25" name="NZTime" tableColumnId="25"/>
      <queryTableField id="26" name="AZTime" tableColumnId="26"/>
      <queryTableField id="27" name="Defense" tableColumnId="27"/>
      <queryTableField id="28" name="Avoidance" tableColumnId="28"/>
      <queryTableField id="29" name="Strategy" tableColumnId="29"/>
      <queryTableField id="30" name="Mics" tableColumnId="30"/>
      <queryTableField id="32" name="ScouterName" tableColumnId="32"/>
      <queryTableField id="34" name="ScouterError" tableColumnId="34"/>
      <queryTableField id="35" name="match_event" tableColumnId="35"/>
      <queryTableField id="38" dataBound="0" tableColumnId="36"/>
      <queryTableField id="39" dataBound="0" tableColumnId="3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refreshOnLoad="1" connectionId="2" xr16:uid="{6FCEED10-0485-4315-9B7B-F2D81203C0F6}" autoFormatId="16" applyNumberFormats="0" applyBorderFormats="0" applyFontFormats="0" applyPatternFormats="0" applyAlignmentFormats="0" applyWidthHeightFormats="0">
  <queryTableRefresh nextId="38">
    <queryTableFields count="35">
      <queryTableField id="1" name="Id" tableColumnId="1"/>
      <queryTableField id="2" name="Team" tableColumnId="2"/>
      <queryTableField id="3" name="Match" tableColumnId="3"/>
      <queryTableField id="4" name="Time" tableColumnId="4"/>
      <queryTableField id="5" name="RecordType" tableColumnId="5"/>
      <queryTableField id="6" name="Mode" tableColumnId="6"/>
      <queryTableField id="7" name="Leave" tableColumnId="7"/>
      <queryTableField id="8" name="AcqLoc" tableColumnId="8"/>
      <queryTableField id="9" name="AcqCenter" tableColumnId="9"/>
      <queryTableField id="10" name="AcqDis" tableColumnId="10"/>
      <queryTableField id="11" name="AcqDrp" tableColumnId="11"/>
      <queryTableField id="12" name="DelOrig" tableColumnId="12"/>
      <queryTableField id="13" name="DelDest" tableColumnId="13"/>
      <queryTableField id="14" name="DelMiss" tableColumnId="14"/>
      <queryTableField id="15" name="DriveSta" tableColumnId="15"/>
      <queryTableField id="16" name="RobotSta" tableColumnId="16"/>
      <queryTableField id="17" name="HPAmp" tableColumnId="17"/>
      <queryTableField id="18" name="StageStat" tableColumnId="18"/>
      <queryTableField id="19" name="StageAtt" tableColumnId="19"/>
      <queryTableField id="20" name="StageLoc" tableColumnId="20"/>
      <queryTableField id="21" name="Harmony" tableColumnId="21"/>
      <queryTableField id="22" name="Spotlit" tableColumnId="22"/>
      <queryTableField id="23" name="ClimbT" tableColumnId="23"/>
      <queryTableField id="24" name="OZTime" tableColumnId="24"/>
      <queryTableField id="25" name="NZTime" tableColumnId="25"/>
      <queryTableField id="26" name="AZTime" tableColumnId="26"/>
      <queryTableField id="27" name="Defense" tableColumnId="27"/>
      <queryTableField id="28" name="Avoidance" tableColumnId="28"/>
      <queryTableField id="29" name="Strategy" tableColumnId="29"/>
      <queryTableField id="30" name="Mics" tableColumnId="30"/>
      <queryTableField id="32" name="ScouterName" tableColumnId="32"/>
      <queryTableField id="34" name="ScouterError" tableColumnId="34"/>
      <queryTableField id="35" name="match_event" tableColumnId="35"/>
      <queryTableField id="36" name="teammat" tableColumnId="36"/>
      <queryTableField id="37" name="TimeCenter" tableColumnId="3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7" xr16:uid="{555C5ACD-A193-4D8C-86CC-F2DD23FD313E}" autoFormatId="16" applyNumberFormats="0" applyBorderFormats="0" applyFontFormats="0" applyPatternFormats="0" applyAlignmentFormats="0" applyWidthHeightFormats="0">
  <queryTableRefresh nextId="40" unboundColumnsRight="32">
    <queryTableFields count="36">
      <queryTableField id="1" name="Name" tableColumnId="1"/>
      <queryTableField id="4" name="Rank" tableColumnId="4"/>
      <queryTableField id="5" name="Team" tableColumnId="5"/>
      <queryTableField id="3" name="RP" tableColumnId="3"/>
      <queryTableField id="6" dataBound="0" tableColumnId="2"/>
      <queryTableField id="7" dataBound="0" tableColumnId="6"/>
      <queryTableField id="8" dataBound="0" tableColumnId="7"/>
      <queryTableField id="9" dataBound="0" tableColumnId="8"/>
      <queryTableField id="10" dataBound="0" tableColumnId="9"/>
      <queryTableField id="11" dataBound="0" tableColumnId="10"/>
      <queryTableField id="12" dataBound="0" tableColumnId="11"/>
      <queryTableField id="13" dataBound="0" tableColumnId="12"/>
      <queryTableField id="14" dataBound="0" tableColumnId="13"/>
      <queryTableField id="15" dataBound="0" tableColumnId="14"/>
      <queryTableField id="16" dataBound="0" tableColumnId="15"/>
      <queryTableField id="17" dataBound="0" tableColumnId="16"/>
      <queryTableField id="18" dataBound="0" tableColumnId="17"/>
      <queryTableField id="19" dataBound="0" tableColumnId="18"/>
      <queryTableField id="20" dataBound="0" tableColumnId="19"/>
      <queryTableField id="21" dataBound="0" tableColumnId="20"/>
      <queryTableField id="22" dataBound="0" tableColumnId="21"/>
      <queryTableField id="23" dataBound="0" tableColumnId="22"/>
      <queryTableField id="24" dataBound="0" tableColumnId="23"/>
      <queryTableField id="25" dataBound="0" tableColumnId="24"/>
      <queryTableField id="26" dataBound="0" tableColumnId="25"/>
      <queryTableField id="29" dataBound="0" tableColumnId="26"/>
      <queryTableField id="30" dataBound="0" tableColumnId="27"/>
      <queryTableField id="31" dataBound="0" tableColumnId="28"/>
      <queryTableField id="32" dataBound="0" tableColumnId="29"/>
      <queryTableField id="33" dataBound="0" tableColumnId="30"/>
      <queryTableField id="34" dataBound="0" tableColumnId="31"/>
      <queryTableField id="38" dataBound="0" tableColumnId="35"/>
      <queryTableField id="35" dataBound="0" tableColumnId="32"/>
      <queryTableField id="36" dataBound="0" tableColumnId="33"/>
      <queryTableField id="37" dataBound="0" tableColumnId="34"/>
      <queryTableField id="39" dataBound="0" tableColumnId="3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4" xr16:uid="{A5CFE624-F958-4733-9D5F-85F3CEDD4869}" autoFormatId="16" applyNumberFormats="0" applyBorderFormats="0" applyFontFormats="0" applyPatternFormats="0" applyAlignmentFormats="0" applyWidthHeightFormats="0">
  <queryTableRefresh nextId="152" unboundColumnsRight="78">
    <queryTableFields count="108">
      <queryTableField id="2" name="event_key" tableColumnId="2"/>
      <queryTableField id="1" name="comp_level" tableColumnId="1"/>
      <queryTableField id="3" name="key" tableColumnId="3"/>
      <queryTableField id="4" name="match_number" tableColumnId="4"/>
      <queryTableField id="114" name="Alliance" tableColumnId="92"/>
      <queryTableField id="5" name="Station" tableColumnId="5"/>
      <queryTableField id="6" name="View" tableColumnId="6"/>
      <queryTableField id="7" name="Team" tableColumnId="7"/>
      <queryTableField id="11" name="Coopertition" tableColumnId="8"/>
      <queryTableField id="12" name="Score" tableColumnId="9"/>
      <queryTableField id="137" name="MelodyRP" tableColumnId="102"/>
      <queryTableField id="138" name="EnsembleRP" tableColumnId="103"/>
      <queryTableField id="13" name="OppFoulPts" tableColumnId="10"/>
      <queryTableField id="14" name="Aamp" tableColumnId="11"/>
      <queryTableField id="15" name="Aspkr" tableColumnId="12"/>
      <queryTableField id="120" name="ANotePts" tableColumnId="13"/>
      <queryTableField id="115" name="AutoPts" tableColumnId="93"/>
      <queryTableField id="17" name="Tamp" tableColumnId="14"/>
      <queryTableField id="121" name="Tspkra" tableColumnId="17"/>
      <queryTableField id="122" name="Tspkrna" tableColumnId="95"/>
      <queryTableField id="123" name="TspkraPts" tableColumnId="96"/>
      <queryTableField id="124" name="TspkrnaPts" tableColumnId="97"/>
      <queryTableField id="18" name="Tspkr" tableColumnId="15"/>
      <queryTableField id="19" name="TspkrPts" tableColumnId="16"/>
      <queryTableField id="125" name="TNotePts" tableColumnId="98"/>
      <queryTableField id="126" name="TrapPts" tableColumnId="99"/>
      <queryTableField id="127" name="Trap" tableColumnId="100"/>
      <queryTableField id="21" name="TotNotes" tableColumnId="18"/>
      <queryTableField id="22" name="NotePts" tableColumnId="19"/>
      <queryTableField id="23" name="StagePts" tableColumnId="20"/>
      <queryTableField id="151" dataBound="0" tableColumnId="106"/>
      <queryTableField id="31" dataBound="0" tableColumnId="25"/>
      <queryTableField id="32" dataBound="0" tableColumnId="26"/>
      <queryTableField id="33" dataBound="0" tableColumnId="27"/>
      <queryTableField id="34" dataBound="0" tableColumnId="28"/>
      <queryTableField id="35" dataBound="0" tableColumnId="29"/>
      <queryTableField id="36" dataBound="0" tableColumnId="30"/>
      <queryTableField id="37" dataBound="0" tableColumnId="31"/>
      <queryTableField id="38" dataBound="0" tableColumnId="32"/>
      <queryTableField id="39" dataBound="0" tableColumnId="33"/>
      <queryTableField id="40" dataBound="0" tableColumnId="34"/>
      <queryTableField id="88" dataBound="0" tableColumnId="76"/>
      <queryTableField id="87" dataBound="0" tableColumnId="75"/>
      <queryTableField id="41" dataBound="0" tableColumnId="35"/>
      <queryTableField id="42" dataBound="0" tableColumnId="36"/>
      <queryTableField id="43" dataBound="0" tableColumnId="37"/>
      <queryTableField id="44" dataBound="0" tableColumnId="38"/>
      <queryTableField id="45" dataBound="0" tableColumnId="39"/>
      <queryTableField id="46" dataBound="0" tableColumnId="40"/>
      <queryTableField id="47" dataBound="0" tableColumnId="41"/>
      <queryTableField id="48" dataBound="0" tableColumnId="42"/>
      <queryTableField id="49" dataBound="0" tableColumnId="43"/>
      <queryTableField id="50" dataBound="0" tableColumnId="44"/>
      <queryTableField id="51" dataBound="0" tableColumnId="45"/>
      <queryTableField id="52" dataBound="0" tableColumnId="46"/>
      <queryTableField id="57" dataBound="0" tableColumnId="51"/>
      <queryTableField id="58" dataBound="0" tableColumnId="52"/>
      <queryTableField id="59" dataBound="0" tableColumnId="53"/>
      <queryTableField id="60" dataBound="0" tableColumnId="54"/>
      <queryTableField id="91" dataBound="0" tableColumnId="77"/>
      <queryTableField id="90" dataBound="0" tableColumnId="78"/>
      <queryTableField id="89" dataBound="0" tableColumnId="79"/>
      <queryTableField id="94" dataBound="0" tableColumnId="80"/>
      <queryTableField id="93" dataBound="0" tableColumnId="81"/>
      <queryTableField id="92" dataBound="0" tableColumnId="82"/>
      <queryTableField id="97" dataBound="0" tableColumnId="83"/>
      <queryTableField id="96" dataBound="0" tableColumnId="84"/>
      <queryTableField id="95" dataBound="0" tableColumnId="85"/>
      <queryTableField id="86" dataBound="0" tableColumnId="74"/>
      <queryTableField id="61" dataBound="0" tableColumnId="55"/>
      <queryTableField id="62" dataBound="0" tableColumnId="56"/>
      <queryTableField id="63" dataBound="0" tableColumnId="57"/>
      <queryTableField id="64" dataBound="0" tableColumnId="58"/>
      <queryTableField id="65" dataBound="0" tableColumnId="59"/>
      <queryTableField id="66" dataBound="0" tableColumnId="60"/>
      <queryTableField id="67" dataBound="0" tableColumnId="61"/>
      <queryTableField id="68" dataBound="0" tableColumnId="62"/>
      <queryTableField id="69" dataBound="0" tableColumnId="63"/>
      <queryTableField id="70" dataBound="0" tableColumnId="64"/>
      <queryTableField id="71" dataBound="0" tableColumnId="65"/>
      <queryTableField id="72" dataBound="0" tableColumnId="66"/>
      <queryTableField id="73" dataBound="0" tableColumnId="67"/>
      <queryTableField id="74" dataBound="0" tableColumnId="68"/>
      <queryTableField id="118" dataBound="0" tableColumnId="24"/>
      <queryTableField id="119" dataBound="0" tableColumnId="94"/>
      <queryTableField id="75" dataBound="0" tableColumnId="69"/>
      <queryTableField id="76" dataBound="0" tableColumnId="70"/>
      <queryTableField id="77" dataBound="0" tableColumnId="71"/>
      <queryTableField id="98" dataBound="0" tableColumnId="21"/>
      <queryTableField id="136" dataBound="0" tableColumnId="101"/>
      <queryTableField id="99" dataBound="0" tableColumnId="22"/>
      <queryTableField id="100" dataBound="0" tableColumnId="23"/>
      <queryTableField id="102" dataBound="0" tableColumnId="47"/>
      <queryTableField id="103" dataBound="0" tableColumnId="48"/>
      <queryTableField id="104" dataBound="0" tableColumnId="49"/>
      <queryTableField id="105" dataBound="0" tableColumnId="50"/>
      <queryTableField id="106" dataBound="0" tableColumnId="72"/>
      <queryTableField id="107" dataBound="0" tableColumnId="73"/>
      <queryTableField id="108" dataBound="0" tableColumnId="86"/>
      <queryTableField id="109" dataBound="0" tableColumnId="87"/>
      <queryTableField id="110" dataBound="0" tableColumnId="88"/>
      <queryTableField id="111" dataBound="0" tableColumnId="89"/>
      <queryTableField id="112" dataBound="0" tableColumnId="90"/>
      <queryTableField id="113" dataBound="0" tableColumnId="91"/>
      <queryTableField id="141" dataBound="0" tableColumnId="104"/>
      <queryTableField id="149" dataBound="0" tableColumnId="112"/>
      <queryTableField id="142" dataBound="0" tableColumnId="105"/>
      <queryTableField id="150" dataBound="0" tableColumnId="11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5" xr16:uid="{4B9CD117-6CB0-4FA0-8A70-ACFD92B35922}" autoFormatId="16" applyNumberFormats="0" applyBorderFormats="0" applyFontFormats="0" applyPatternFormats="0" applyAlignmentFormats="0" applyWidthHeightFormats="0">
  <queryTableRefresh nextId="115">
    <queryTableFields count="30">
      <queryTableField id="4" name="event_key" tableColumnId="4"/>
      <queryTableField id="3" name="comp_level" tableColumnId="3"/>
      <queryTableField id="5" name="key" tableColumnId="5"/>
      <queryTableField id="6" name="match_number" tableColumnId="6"/>
      <queryTableField id="77" name="Alliance" tableColumnId="1"/>
      <queryTableField id="71" name="Station" tableColumnId="21"/>
      <queryTableField id="70" name="View" tableColumnId="20"/>
      <queryTableField id="69" name="Team" tableColumnId="19"/>
      <queryTableField id="21" name="Coopertition" tableColumnId="8"/>
      <queryTableField id="22" name="Score" tableColumnId="9"/>
      <queryTableField id="111" name="MelodyRP" tableColumnId="27"/>
      <queryTableField id="112" name="EnsembleRP" tableColumnId="28"/>
      <queryTableField id="23" name="OppFoulPts" tableColumnId="10"/>
      <queryTableField id="24" name="Aamp" tableColumnId="11"/>
      <queryTableField id="25" name="Aspkr" tableColumnId="12"/>
      <queryTableField id="81" name="ANotePts" tableColumnId="7"/>
      <queryTableField id="78" name="AutoPts" tableColumnId="2"/>
      <queryTableField id="60" name="Tamp" tableColumnId="46"/>
      <queryTableField id="83" name="Tspkra" tableColumnId="15"/>
      <queryTableField id="85" name="Tspkrna" tableColumnId="23"/>
      <queryTableField id="84" name="TspkraPts" tableColumnId="22"/>
      <queryTableField id="86" name="TspkrnaPts" tableColumnId="24"/>
      <queryTableField id="61" name="Tspkr" tableColumnId="47"/>
      <queryTableField id="64" name="TspkrPts" tableColumnId="14"/>
      <queryTableField id="87" name="TNotePts" tableColumnId="25"/>
      <queryTableField id="82" name="TrapPts" tableColumnId="13"/>
      <queryTableField id="88" name="Trap" tableColumnId="26"/>
      <queryTableField id="66" name="TotNotes" tableColumnId="16"/>
      <queryTableField id="67" name="NotePts" tableColumnId="17"/>
      <queryTableField id="68" name="StagePts" tableColumnId="1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6" xr16:uid="{98A3D6C9-5D43-492F-B5C9-189D004C79EB}" autoFormatId="16" applyNumberFormats="0" applyBorderFormats="0" applyFontFormats="0" applyPatternFormats="0" applyAlignmentFormats="0" applyWidthHeightFormats="0">
  <queryTableRefresh nextId="94">
    <queryTableFields count="30">
      <queryTableField id="4" name="event_key" tableColumnId="4"/>
      <queryTableField id="3" name="comp_level" tableColumnId="3"/>
      <queryTableField id="5" name="key" tableColumnId="5"/>
      <queryTableField id="6" name="match_number" tableColumnId="6"/>
      <queryTableField id="57" name="Alliance" tableColumnId="2"/>
      <queryTableField id="34" name="Station" tableColumnId="23"/>
      <queryTableField id="33" name="View" tableColumnId="22"/>
      <queryTableField id="32" name="Team" tableColumnId="21"/>
      <queryTableField id="35" name="Coopertition" tableColumnId="24"/>
      <queryTableField id="12" name="Score" tableColumnId="1"/>
      <queryTableField id="90" name="MelodyRP" tableColumnId="16"/>
      <queryTableField id="91" name="EnsembleRP" tableColumnId="17"/>
      <queryTableField id="36" name="OppFoulPts" tableColumnId="25"/>
      <queryTableField id="37" name="Aamp" tableColumnId="26"/>
      <queryTableField id="38" name="Aspkr" tableColumnId="27"/>
      <queryTableField id="61" name="ANotePts" tableColumnId="8"/>
      <queryTableField id="58" name="AutoPts" tableColumnId="7"/>
      <queryTableField id="40" name="Tamp" tableColumnId="29"/>
      <queryTableField id="63" name="Tspkra" tableColumnId="10"/>
      <queryTableField id="65" name="Tspkrna" tableColumnId="12"/>
      <queryTableField id="64" name="TspkraPts" tableColumnId="11"/>
      <queryTableField id="66" name="TspkrnaPts" tableColumnId="13"/>
      <queryTableField id="41" name="Tspkr" tableColumnId="30"/>
      <queryTableField id="42" name="TspkrPts" tableColumnId="31"/>
      <queryTableField id="67" name="TNotePts" tableColumnId="14"/>
      <queryTableField id="62" name="TrapPts" tableColumnId="9"/>
      <queryTableField id="68" name="Trap" tableColumnId="15"/>
      <queryTableField id="44" name="TotNotes" tableColumnId="33"/>
      <queryTableField id="45" name="NotePts" tableColumnId="34"/>
      <queryTableField id="46" name="StagePts" tableColumnId="3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backgroundRefresh="0" refreshOnLoad="1" connectionId="8" xr16:uid="{F5DE9415-5239-4BEF-94CD-37B708619982}" autoFormatId="16" applyNumberFormats="0" applyBorderFormats="0" applyFontFormats="0" applyPatternFormats="0" applyAlignmentFormats="0" applyWidthHeightFormats="0">
  <queryTableRefresh nextId="29">
    <queryTableFields count="10">
      <queryTableField id="1" name="Event_Key" tableColumnId="1"/>
      <queryTableField id="2" name="Comp_Level" tableColumnId="2"/>
      <queryTableField id="3" name="Key" tableColumnId="3"/>
      <queryTableField id="4" name="Match_Number" tableColumnId="4"/>
      <queryTableField id="23" name="Blue1" tableColumnId="23"/>
      <queryTableField id="24" name="Blue2" tableColumnId="24"/>
      <queryTableField id="25" name="Blue3" tableColumnId="25"/>
      <queryTableField id="26" name="Red1" tableColumnId="26"/>
      <queryTableField id="27" name="Red2" tableColumnId="27"/>
      <queryTableField id="28" name="Red3" tableColumnId="2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3" xr16:uid="{5D3C6F0A-D42E-4101-B0D2-4CF2429D9555}" autoFormatId="16" applyNumberFormats="0" applyBorderFormats="0" applyFontFormats="0" applyPatternFormats="0" applyAlignmentFormats="0" applyWidthHeightFormats="0">
  <queryTableRefresh nextId="22">
    <queryTableFields count="10">
      <queryTableField id="12" name="End_Date" tableColumnId="12"/>
      <queryTableField id="13" name="Event_Code" tableColumnId="13"/>
      <queryTableField id="14" name="Event_Type" tableColumnId="14"/>
      <queryTableField id="15" name="Event_Type_String" tableColumnId="15"/>
      <queryTableField id="16" name="Event_Key" tableColumnId="16"/>
      <queryTableField id="17" name="Event_Name" tableColumnId="17"/>
      <queryTableField id="18" name="Short_Name" tableColumnId="18"/>
      <queryTableField id="19" name="Start_Date" tableColumnId="19"/>
      <queryTableField id="20" name="Week" tableColumnId="20"/>
      <queryTableField id="21" name="Year" tableColumnId="21"/>
    </queryTableFields>
  </queryTableRefresh>
</queryTable>
</file>

<file path=xl/tables/_rels/table29.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0.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1.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32.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33.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34.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35.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36.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2A41D15-2559-42F3-AB80-B69E8857BBB0}" name="Alliances" displayName="Alliances" ref="K2:P8" totalsRowShown="0" headerRowDxfId="336">
  <autoFilter ref="K2:P8" xr:uid="{F2A41D15-2559-42F3-AB80-B69E8857BBB0}"/>
  <tableColumns count="6">
    <tableColumn id="1" xr3:uid="{FA86B427-A3E7-477C-B0E2-99FB8B1A882B}" name="Alliance"/>
    <tableColumn id="2" xr3:uid="{5DD030C6-0694-4880-A75A-87B4E52294AD}" name="Team"/>
    <tableColumn id="3" xr3:uid="{0091FE94-56F9-48A8-B42C-4012DF51D286}" name="AveAuto" dataDxfId="335">
      <calculatedColumnFormula>IFERROR(AVERAGEIFS(TBA_Matches_All[AptsT],TBA_Matches_All[Team],$L3,TBA_Matches_All[Scouted],"&gt;0"),0)</calculatedColumnFormula>
    </tableColumn>
    <tableColumn id="4" xr3:uid="{F2BFF4AA-9BAF-40BF-A2C2-4778BFA3C5AE}" name="AveTele" dataDxfId="334">
      <calculatedColumnFormula>SUM(P3-O3-M3)</calculatedColumnFormula>
    </tableColumn>
    <tableColumn id="5" xr3:uid="{2391737C-19C0-4C19-8B30-4A80931C35AD}" name="AveStage" dataDxfId="333">
      <calculatedColumnFormula>IFERROR(AVERAGEIFS(TBA_Matches_All[stageptsT],TBA_Matches_All[Team],$L3,TBA_Matches_All[Scouted],"&gt;0"),0)</calculatedColumnFormula>
    </tableColumn>
    <tableColumn id="6" xr3:uid="{5B44DA88-1574-45C9-AB68-1735031365F3}" name="AvePoints" dataDxfId="332">
      <calculatedColumnFormula>IFERROR(AVERAGEIFS(TBA_Matches_All[TotptsC],TBA_Matches_All[Team],$L3,TBA_Matches_All[Scouted],"&gt;0"),0)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FB3754A-4A9B-4462-BF22-01DA7836CF9B}" name="Sum_AvePts" displayName="Sum_AvePts" ref="A7:C13" totalsRowShown="0">
  <autoFilter ref="A7:C13" xr:uid="{DFB3754A-4A9B-4462-BF22-01DA7836CF9B}"/>
  <tableColumns count="3">
    <tableColumn id="1" xr3:uid="{1302811A-5015-4182-BE46-4171F4871831}" name="Team" dataDxfId="331"/>
    <tableColumn id="2" xr3:uid="{CC96CC2D-3523-464A-85F6-A824F0E58531}" name="Red" dataDxfId="330"/>
    <tableColumn id="3" xr3:uid="{DE2745BA-7063-4AF9-B28C-A0C5987097DF}" name="Blue" dataDxfId="32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60A54A4-095E-425D-A46A-E6EEF1762DB5}" name="Sum_AveAuto" displayName="Sum_AveAuto" ref="A17:C23" totalsRowShown="0">
  <autoFilter ref="A17:C23" xr:uid="{B60A54A4-095E-425D-A46A-E6EEF1762DB5}"/>
  <tableColumns count="3">
    <tableColumn id="1" xr3:uid="{EE367719-792E-4C4D-81E2-BA8CF7202923}" name="Team"/>
    <tableColumn id="2" xr3:uid="{DA2FA52F-6566-45F5-8FA8-9E2229081931}" name="Red" dataDxfId="328"/>
    <tableColumn id="3" xr3:uid="{8D028A84-FCAF-4FE8-9141-D1798364019D}" name="Blue" dataDxfId="32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19E4577-D65A-4E0E-BF2E-BED8143204A5}" name="Sum_AveTeleop" displayName="Sum_AveTeleop" ref="A27:C33" totalsRowShown="0">
  <autoFilter ref="A27:C33" xr:uid="{419E4577-D65A-4E0E-BF2E-BED8143204A5}"/>
  <tableColumns count="3">
    <tableColumn id="1" xr3:uid="{16F432C2-D603-4CEE-94B0-3C2B5F810356}" name="Team"/>
    <tableColumn id="2" xr3:uid="{6CD20B6C-5A8D-49A8-BC50-0EDFEC69CDD3}" name="Red" dataDxfId="326"/>
    <tableColumn id="3" xr3:uid="{568D033F-4045-4CF9-9E98-49C3FE87FCF3}" name="Blue" dataDxfId="32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10B3778-E89E-47BF-B185-C2871A38AF6F}" name="Sum_AveStage" displayName="Sum_AveStage" ref="A37:C43" totalsRowShown="0">
  <autoFilter ref="A37:C43" xr:uid="{810B3778-E89E-47BF-B185-C2871A38AF6F}"/>
  <tableColumns count="3">
    <tableColumn id="1" xr3:uid="{2FE96D02-EB49-4A3C-8949-79EAF1FAA4F5}" name="Team"/>
    <tableColumn id="2" xr3:uid="{2F4E8AE2-5523-4AEF-A3BB-01F1C3A544A1}" name="Red" dataDxfId="324"/>
    <tableColumn id="3" xr3:uid="{7687674E-370E-487B-B2E1-8D2991F734F1}" name="Blue" dataDxfId="32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771500A-055D-4026-BE32-798CBF7F6D96}" name="Sum_AveZtime" displayName="Sum_AveZtime" ref="F2:I8" totalsRowShown="0">
  <autoFilter ref="F2:I8" xr:uid="{1771500A-055D-4026-BE32-798CBF7F6D96}"/>
  <tableColumns count="4">
    <tableColumn id="1" xr3:uid="{4DE27C55-FE9E-4D0E-B5A8-383B62591FC1}" name="Team" dataDxfId="322"/>
    <tableColumn id="2" xr3:uid="{A4D38062-E07D-4618-A25C-C899B722BB12}" name="Red Wing" dataDxfId="321"/>
    <tableColumn id="3" xr3:uid="{3B17944D-7835-4573-806B-E81470CCD6ED}" name="Neutral" dataDxfId="320"/>
    <tableColumn id="4" xr3:uid="{19AD61C6-336C-462A-B54A-08578FC0FD7E}" name="Blue Wing" dataDxfId="31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ABF9947-16AB-4260-A151-70DCC02593DA}" name="Sum_SourceStrat" displayName="Sum_SourceStrat" ref="F12:J18" totalsRowShown="0" headerRowDxfId="318">
  <autoFilter ref="F12:J18" xr:uid="{4ABF9947-16AB-4260-A151-70DCC02593DA}"/>
  <tableColumns count="5">
    <tableColumn id="1" xr3:uid="{CB7FD63B-AD90-4655-AB4B-C0D1F2913052}" name="AppStrat" dataDxfId="317"/>
    <tableColumn id="2" xr3:uid="{569BE8A8-77B2-4DFC-90BB-66F086F6DF7D}" name="A" dataDxfId="316">
      <calculatedColumnFormula>COUNTIFS(Dyno_EndMatch[Team],$F$11,Dyno_EndMatch[Strategy],$F13,Dyno_EndMatch[RobotSta],"Amp")</calculatedColumnFormula>
    </tableColumn>
    <tableColumn id="3" xr3:uid="{B1E4E86D-8A15-40D1-962E-85E463C61C92}" name="S" dataDxfId="315">
      <calculatedColumnFormula>COUNTIFS(Dyno_EndMatch[Team],$F$11,Dyno_EndMatch[Strategy],$F13,Dyno_EndMatch[RobotSta],"SubW")</calculatedColumnFormula>
    </tableColumn>
    <tableColumn id="4" xr3:uid="{6BBCCD47-CF58-45AC-AE1A-33A26AB66A47}" name="P" dataDxfId="314">
      <calculatedColumnFormula>COUNTIFS(Dyno_EndMatch[Team],$F$11,Dyno_EndMatch[Strategy],$F13,Dyno_EndMatch[RobotSta],"Podm")</calculatedColumnFormula>
    </tableColumn>
    <tableColumn id="5" xr3:uid="{1EBB1706-240A-4447-AA1C-76AC20456ADA}" name="O" dataDxfId="313">
      <calculatedColumnFormula>COUNTIFS(Dyno_EndMatch[Team],$F$11,Dyno_EndMatch[Strategy],$F13,Dyno_EndMatch[RobotSta],"OppS")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6ECE892-5426-4B18-ACE2-18081F3B0573}" name="Sum_CenterStrat" displayName="Sum_CenterStrat" ref="F22:J28" totalsRowShown="0" headerRowDxfId="312">
  <autoFilter ref="F22:J28" xr:uid="{06ECE892-5426-4B18-ACE2-18081F3B0573}"/>
  <tableColumns count="5">
    <tableColumn id="1" xr3:uid="{7A3C407A-9C5E-4732-AADC-EA7A7AF8FD6F}" name="AppStrat" dataDxfId="311"/>
    <tableColumn id="2" xr3:uid="{E6C3A6AE-C5D8-4EBA-9FBE-308AA3B2E49D}" name="A" dataDxfId="310">
      <calculatedColumnFormula>COUNTIFS(Dyno_EndMatch[Team],$F$21,Dyno_EndMatch[Strategy],$F23,Dyno_EndMatch[RobotSta],"Amp")</calculatedColumnFormula>
    </tableColumn>
    <tableColumn id="3" xr3:uid="{BE02C11D-63AC-4207-A080-CD89B09350AC}" name="S" dataDxfId="309">
      <calculatedColumnFormula>COUNTIFS(Dyno_EndMatch[Team],$F$21,Dyno_EndMatch[Strategy],$F23,Dyno_EndMatch[RobotSta],"SubW")</calculatedColumnFormula>
    </tableColumn>
    <tableColumn id="4" xr3:uid="{614B3397-39F3-483A-881E-6E8CE7552E9C}" name="P" dataDxfId="308">
      <calculatedColumnFormula>COUNTIFS(Dyno_EndMatch[Team],$F$21,Dyno_EndMatch[Strategy],$F23,Dyno_EndMatch[RobotSta],"Podm")</calculatedColumnFormula>
    </tableColumn>
    <tableColumn id="5" xr3:uid="{22D1AFC2-FADF-4220-A343-18656FAE13C3}" name="O" dataDxfId="307">
      <calculatedColumnFormula>COUNTIFS(Dyno_EndMatch[Team],$F$21,Dyno_EndMatch[Strategy],$F23,Dyno_EndMatch[RobotSta],"OppS")</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D1474F2-84A0-4888-BD5C-394DB1BC3C96}" name="Sum_AmpStrat" displayName="Sum_AmpStrat" ref="F32:J38" totalsRowShown="0" headerRowDxfId="306">
  <autoFilter ref="F32:J38" xr:uid="{1D1474F2-84A0-4888-BD5C-394DB1BC3C96}"/>
  <tableColumns count="5">
    <tableColumn id="1" xr3:uid="{8E505F21-05F4-4636-A064-E79AB8017EF5}" name="AppStrat" dataDxfId="305"/>
    <tableColumn id="2" xr3:uid="{D08F5B85-5309-49CC-8CF8-0479631CFD37}" name="A" dataDxfId="304">
      <calculatedColumnFormula>COUNTIFS(Dyno_EndMatch[Team],$F$31,Dyno_EndMatch[Strategy],$F33,Dyno_EndMatch[RobotSta],"Amp")</calculatedColumnFormula>
    </tableColumn>
    <tableColumn id="3" xr3:uid="{5624B0EB-C99C-40BE-8BDF-61CB9B712A41}" name="S" dataDxfId="303">
      <calculatedColumnFormula>COUNTIFS(Dyno_EndMatch[Team],$F$31,Dyno_EndMatch[Strategy],$F33,Dyno_EndMatch[RobotSta],"SubW")</calculatedColumnFormula>
    </tableColumn>
    <tableColumn id="4" xr3:uid="{5A35A99B-E27D-4CD7-BC60-C04496CE988C}" name="P" dataDxfId="302">
      <calculatedColumnFormula>COUNTIFS(Dyno_EndMatch[Team],$F$31,Dyno_EndMatch[Strategy],$F33,Dyno_EndMatch[RobotSta],"Podm")</calculatedColumnFormula>
    </tableColumn>
    <tableColumn id="5" xr3:uid="{08A73DD0-1FB0-477E-8C74-51404C654160}" name="O" dataDxfId="301">
      <calculatedColumnFormula>COUNTIFS(Dyno_EndMatch[Team],$F$31,Dyno_EndMatch[Strategy],$F33,Dyno_EndMatch[RobotSta],"OppS")</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8498FC87-0BA4-43D6-A9C6-B5B504A62DF6}" name="Sum_SourceDAPts" displayName="Sum_SourceDAPts" ref="L13:N30" totalsRowShown="0" headerRowDxfId="300">
  <autoFilter ref="L13:N30" xr:uid="{8498FC87-0BA4-43D6-A9C6-B5B504A62DF6}"/>
  <tableColumns count="3">
    <tableColumn id="1" xr3:uid="{F306A95B-0204-47F0-8F43-E17DB84D3443}" name="Avo\Def" dataDxfId="299"/>
    <tableColumn id="2" xr3:uid="{DC21BCBD-EEFD-4F52-9CAD-157D15FBD0E9}" name="Def" dataDxfId="298">
      <calculatedColumnFormula>IFERROR(AVERAGEIFS(TBA_Matches_All[TotptsC],TBA_Matches_All[Team],#REF!,TBA_Matches_All[Defense],#REF!,TBA_Matches_All[Avoid],$L14),0)</calculatedColumnFormula>
    </tableColumn>
    <tableColumn id="3" xr3:uid="{31AED9A2-7356-4EFF-AC21-19B26E938093}" name="Score" dataDxfId="297">
      <calculatedColumnFormula>IFERROR(AVERAGEIFS(TBA_Matches_All[TotptsC],TBA_Matches_All[Team],$L$12,TBA_Matches_All[Defense],$M14,TBA_Matches_All[Avoid],$L14),0)</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4A7FF95-7B0D-4285-9046-0CC4418B3BBD}" name="Sum_CenterDAPts" displayName="Sum_CenterDAPts" ref="P13:R30" totalsRowShown="0" headerRowDxfId="296">
  <autoFilter ref="P13:R30" xr:uid="{04A7FF95-7B0D-4285-9046-0CC4418B3BBD}"/>
  <tableColumns count="3">
    <tableColumn id="1" xr3:uid="{83A66F5D-11F1-4BA5-A690-CA12D3913A0E}" name="Avo\Def" dataDxfId="295"/>
    <tableColumn id="2" xr3:uid="{21AFE223-4F1F-4BDA-AA63-2E374BF96AB8}" name="Def" dataDxfId="294">
      <calculatedColumnFormula>IFERROR(AVERAGEIFS(TBA_Matches_All[TotptsC],TBA_Matches_All[Team],#REF!,TBA_Matches_All[Defense],#REF!,TBA_Matches_All[Avoid],$L14),0)</calculatedColumnFormula>
    </tableColumn>
    <tableColumn id="3" xr3:uid="{C6BB2E2B-C75B-4F43-8064-F56D8C8F2C69}" name="Score" dataDxfId="293">
      <calculatedColumnFormula>IFERROR(AVERAGEIFS(TBA_Matches_All[TotptsC],TBA_Matches_All[Team],$P$12,TBA_Matches_All[Defense],$M14,TBA_Matches_All[Avoid],$L14),0)</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6E8E100-1426-4D5B-ACD1-43E65DD9A318}" name="Sum_AmpDAPts" displayName="Sum_AmpDAPts" ref="T13:V30" totalsRowShown="0" headerRowDxfId="292">
  <autoFilter ref="T13:V30" xr:uid="{86E8E100-1426-4D5B-ACD1-43E65DD9A318}"/>
  <tableColumns count="3">
    <tableColumn id="1" xr3:uid="{4CCC0D81-1D06-4B7D-B8DB-A9607ECD031F}" name="Avo\Def" dataDxfId="291"/>
    <tableColumn id="2" xr3:uid="{E941811C-BFD8-4FDD-B753-01BD20190559}" name="Def" dataDxfId="290">
      <calculatedColumnFormula>IFERROR(AVERAGEIFS(TBA_Matches_All[TotptsC],TBA_Matches_All[Team],#REF!,TBA_Matches_All[Defense],#REF!,TBA_Matches_All[Avoid],$L14),0)</calculatedColumnFormula>
    </tableColumn>
    <tableColumn id="3" xr3:uid="{5A258E5E-D244-477A-B81E-A54D0DD41278}" name="Score" dataDxfId="289">
      <calculatedColumnFormula>IFERROR(AVERAGEIFS(TBA_Matches_All[TotptsC],TBA_Matches_All[Team],$T$12,TBA_Matches_All[Defense],$M14,TBA_Matches_All[Avoid],$L14),0)</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D23CAEFC-CBFF-4569-97BE-1F32C17466E1}" name="AllianceHP" displayName="AllianceHP" ref="R2:U5" totalsRowShown="0">
  <autoFilter ref="R2:U5" xr:uid="{D23CAEFC-CBFF-4569-97BE-1F32C17466E1}"/>
  <tableColumns count="4">
    <tableColumn id="1" xr3:uid="{FDA36104-C8FE-4543-A43C-B331F9DAEE0D}" name="Team"/>
    <tableColumn id="2" xr3:uid="{EBA907A0-572E-4C3D-842B-4F93926B87FF}" name="HPAmp" dataDxfId="288">
      <calculatedColumnFormula>COUNTIFS(Dyno_EndMatch[Team],$R3,Dyno_EndMatch[HPAmp],"Y")</calculatedColumnFormula>
    </tableColumn>
    <tableColumn id="3" xr3:uid="{C704874A-5181-4DEF-BD72-7CD7C0B0C9C0}" name="Mics" dataDxfId="287">
      <calculatedColumnFormula>SUMIFS(Dyno_EndMatch[Mics], Dyno_EndMatch[Team],$R3,Dyno_EndMatch[Mics],"&lt;4")</calculatedColumnFormula>
    </tableColumn>
    <tableColumn id="4" xr3:uid="{CC03D895-D829-4A47-A470-4CBA92EDD505}" name="Coop" dataDxfId="286">
      <calculatedColumnFormula>COUNTIFS(TBA_Matches_All[Coopertition], "TRUE", TBA_Matches_All[Team],$R3)</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0E3D038-19E8-4974-A072-EAA100EE7502}" name="AllianceNotes" displayName="AllianceNotes" ref="W2:AA5" totalsRowShown="0">
  <autoFilter ref="W2:AA5" xr:uid="{A0E3D038-19E8-4974-A072-EAA100EE7502}"/>
  <tableColumns count="5">
    <tableColumn id="1" xr3:uid="{F47D5D02-86A4-4706-95C5-E0A82927F451}" name="Team"/>
    <tableColumn id="2" xr3:uid="{4E964C0B-C56F-431C-A96D-72AC6734908C}" name="Amp" dataDxfId="285">
      <calculatedColumnFormula>IFERROR(SUM(AVERAGEIFS(TBA_Matches_All[AampT],TBA_Matches_All[Team],$W3),AVERAGEIFS(TBA_Matches_All[TampT],TBA_Matches_All[Team],$W3,TBA_Matches_All[Scouted],"&gt;0")),0)</calculatedColumnFormula>
    </tableColumn>
    <tableColumn id="3" xr3:uid="{CE30174F-6CFF-4FD3-B075-85A7B7A42521}" name="Speaker" dataDxfId="284">
      <calculatedColumnFormula>IFERROR(SUM(AVERAGEIFS(TBA_Matches_All[AspkrT],TBA_Matches_All[Team],$W3),AVERAGEIFS(TBA_Matches_All[TspkrT],TBA_Matches_All[Team],$W3,TBA_Matches_All[Scouted],"&gt;0")),0)</calculatedColumnFormula>
    </tableColumn>
    <tableColumn id="4" xr3:uid="{4511C3FC-581B-443E-A05F-6DD7E21A62BE}" name="Trap" dataDxfId="283">
      <calculatedColumnFormula>IFERROR(SUM(AVERAGEIFS(TBA_Matches_All[AtrapT],TBA_Matches_All[Team],$W3),AVERAGEIFS(TBA_Matches_All[TtrapT],TBA_Matches_All[Team],$W3,TBA_Matches_All[Scouted],"&gt;0")),0)</calculatedColumnFormula>
    </tableColumn>
    <tableColumn id="5" xr3:uid="{99C8D558-4627-4749-82B9-8553E0F260E0}" name="Total" dataDxfId="282">
      <calculatedColumnFormula>SUM(AllianceNotes[[#This Row],[Amp]],AllianceNotes[[#This Row],[Speaker]],AllianceNotes[[#This Row],[Trap]])</calculatedColumn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98E3BDEA-D6D9-47E9-9022-F0FC1D69E717}" name="Trend_Note" displayName="Trend_Note" ref="AC3:AF19" totalsRowShown="0" tableBorderDxfId="281">
  <autoFilter ref="AC3:AF19" xr:uid="{98E3BDEA-D6D9-47E9-9022-F0FC1D69E717}"/>
  <tableColumns count="4">
    <tableColumn id="1" xr3:uid="{85413253-CADE-47EA-AA78-8CC12760982A}" name="Match">
      <calculatedColumnFormula>IF(AC$2&gt;=ROW()-3,ROW()-3,"")</calculatedColumnFormula>
    </tableColumn>
    <tableColumn id="2" xr3:uid="{6AC25396-5592-42FA-A732-65A6BCAEE0B8}" name="Amp">
      <calculatedColumnFormula>IF($AC4="","",SUMIFS(TBA_Matches_All[TotNotesT],TBA_Matches_All[Team],AD$2,TBA_Matches_All[teammatch],$AC4))</calculatedColumnFormula>
    </tableColumn>
    <tableColumn id="3" xr3:uid="{65C341A3-A207-4324-9487-E1EDEF6D7BCD}" name="Center">
      <calculatedColumnFormula>IF($AC4="","",SUMIFS(TBA_Matches_All[TotNotesT],TBA_Matches_All[Team],AE$2,TBA_Matches_All[teammatch],$AC4))</calculatedColumnFormula>
    </tableColumn>
    <tableColumn id="4" xr3:uid="{E8FD2855-396A-4DF7-8879-D4FBECDF0124}" name="Source">
      <calculatedColumnFormula>IF($AC4="","",SUMIFS(TBA_Matches_All[TotNotesT],TBA_Matches_All[Team],AF$2,TBA_Matches_All[teammatch],$AC4))</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44217B35-CC2E-4E8F-928A-F15E161BDA4A}" name="Trend_Stage" displayName="Trend_Stage" ref="AH3:AK19" totalsRowShown="0" tableBorderDxfId="280">
  <autoFilter ref="AH3:AK19" xr:uid="{44217B35-CC2E-4E8F-928A-F15E161BDA4A}"/>
  <tableColumns count="4">
    <tableColumn id="1" xr3:uid="{6BB97869-3D05-4622-A85C-D54E3BD1381D}" name="Match" dataDxfId="279">
      <calculatedColumnFormula>IF(AH$2&gt;=ROW()-3,ROW()-3,"")</calculatedColumnFormula>
    </tableColumn>
    <tableColumn id="2" xr3:uid="{B64A41AC-E53D-4CEC-8F24-21F3F4859232}" name="Amp" dataDxfId="278">
      <calculatedColumnFormula>IF($AH4="","",SUMIFS(TBA_Matches_All[stageptsT],TBA_Matches_All[Team],AI$2,TBA_Matches_All[teammatch],$AH4))</calculatedColumnFormula>
    </tableColumn>
    <tableColumn id="3" xr3:uid="{30279790-ECB9-48E4-8843-EBCDA623DBBF}" name="Center" dataDxfId="277">
      <calculatedColumnFormula>IF($AH4="","",SUMIFS(TBA_Matches_All[stageptsT],TBA_Matches_All[Team],AJ$2,TBA_Matches_All[teammatch],$AH4))</calculatedColumnFormula>
    </tableColumn>
    <tableColumn id="4" xr3:uid="{8954F104-B411-4DDF-AB8C-DA6CF5369292}" name="Source" dataDxfId="276">
      <calculatedColumnFormula>IF($AH4="","",SUMIFS(TBA_Matches_All[stageptsT],TBA_Matches_All[Team],AK$2,TBA_Matches_All[teammatch],$AH4))</calculatedColumn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25FA31F-5BE7-437C-8417-295371F32D83}" name="Auto_Delivs" displayName="Auto_Delivs" ref="A2:H5" totalsRowShown="0">
  <autoFilter ref="A2:H5" xr:uid="{025FA31F-5BE7-437C-8417-295371F32D83}"/>
  <tableColumns count="8">
    <tableColumn id="1" xr3:uid="{2C91BF03-B288-435B-81AE-EF89605BC100}" name="Team" dataDxfId="275"/>
    <tableColumn id="2" xr3:uid="{B9A7C111-240F-4421-A928-85F5271EAB12}" name="Amp" dataDxfId="274"/>
    <tableColumn id="3" xr3:uid="{35334703-EFAD-4ADD-9614-4706D333B66A}" name="Speaker" dataDxfId="273">
      <calculatedColumnFormula>IFERROR(AVERAGEIFS(Dyno_EndMatch[NZTime],Dyno_EndMatch[Team],#REF!),0)</calculatedColumnFormula>
    </tableColumn>
    <tableColumn id="4" xr3:uid="{F70E5CE7-A821-4050-9D3D-42514EE6F4FB}" name="Trap" dataDxfId="272"/>
    <tableColumn id="5" xr3:uid="{9A5CFD4F-2C7D-4686-8383-29E6A6C5AEA4}" name="Miss" dataDxfId="271">
      <calculatedColumnFormula>IFERROR(SUM(SUMIFS(Dyno_Data[DelMiss],Dyno_Data[Team],$A3,Dyno_Data[RecordType],"Activities",Dyno_Data[Mode],"Auto")/COUNTIF(Dyno_EndMatch[Team],$A3)),0)</calculatedColumnFormula>
    </tableColumn>
    <tableColumn id="6" xr3:uid="{097BBCC6-40BC-4D66-823D-F58973BA6D69}" name="Total Att" dataDxfId="270">
      <calculatedColumnFormula>SUM(Auto_Delivs[[#This Row],[Amp]],Auto_Delivs[[#This Row],[Speaker]],Auto_Delivs[[#This Row],[Trap]],Auto_Delivs[[#This Row],[Miss]])</calculatedColumnFormula>
    </tableColumn>
    <tableColumn id="8" xr3:uid="{FE3D74DB-C2AA-4137-BE35-3C65AE3ACA0E}" name="Difference" dataDxfId="269">
      <calculatedColumnFormula>Auto_Delivs[[#This Row],[Norm]]-Auto_Delivs[[#This Row],[Total Att]]</calculatedColumnFormula>
    </tableColumn>
    <tableColumn id="9" xr3:uid="{4A97D33F-3E87-47D4-808B-604EC4E07D73}" name="Norm" dataDxfId="268">
      <calculatedColumnFormula>MAX(Auto_Delivs[Total Att])</calculatedColumnFormula>
    </tableColumn>
  </tableColumns>
  <tableStyleInfo name="TableStyleMedium1"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CEF9DDBE-1FF9-499F-9D95-2F7C580D0694}" name="Auto_SetPts" displayName="Auto_SetPts" ref="J2:N5" totalsRowShown="0" headerRowDxfId="267">
  <autoFilter ref="J2:N5" xr:uid="{CEF9DDBE-1FF9-499F-9D95-2F7C580D0694}"/>
  <tableColumns count="5">
    <tableColumn id="2" xr3:uid="{045C3D0F-899B-4530-B620-E0BD358BA21B}" name="Team"/>
    <tableColumn id="3" xr3:uid="{FB08B55A-3182-4931-849D-7A5714DC4A7B}" name="Amp" dataDxfId="266">
      <calculatedColumnFormula array="1">SUM(IFERROR(AVERAGEIFS(TBA_Matches_All[AampT],TBA_Matches_All[Team],$J3,TBA_Matches_All[RobotSet],"Amp"),0),IFERROR(AVERAGEIFS(TBA_Matches_All[AspkrT],TBA_Matches_All[Team],$J3,TBA_Matches_All[RobotSet],"Amp"),0),IFERROR(averagifs(TBA_Matches_All[AtrapT],TBA_Matches_All[Team],$J3,TBA_Matches_All[RobotSet],"Amp"),0))</calculatedColumnFormula>
    </tableColumn>
    <tableColumn id="4" xr3:uid="{FD0EE8FE-A541-436E-96C5-AFBCC0745A59}" name="Subwoofer" dataDxfId="265">
      <calculatedColumnFormula array="1">SUM(IFERROR(AVERAGEIFS(TBA_Matches_All[AampT],TBA_Matches_All[Team],$J3,TBA_Matches_All[RobotSet],"SubW"),0),IFERROR(AVERAGEIFS(TBA_Matches_All[AspkrT],TBA_Matches_All[Team],$J3,TBA_Matches_All[RobotSet],"SubW"),0),IFERROR(averagifs(TBA_Matches_All[AtrapT],TBA_Matches_All[Team],$J3,TBA_Matches_All[RobotSet],"SubW"),0))</calculatedColumnFormula>
    </tableColumn>
    <tableColumn id="5" xr3:uid="{AEACCBDC-D1AF-4D54-89A8-ED2E80151CA6}" name="Podium" dataDxfId="264">
      <calculatedColumnFormula array="1">SUM(IFERROR(AVERAGEIFS(TBA_Matches_All[AampT],TBA_Matches_All[Team],$J3,TBA_Matches_All[RobotSet],"Podm"),0),IFERROR(AVERAGEIFS(TBA_Matches_All[AspkrT],TBA_Matches_All[Team],$J3,TBA_Matches_All[RobotSet],"Podm"),0),IFERROR(averagifs(TBA_Matches_All[AtrapT],TBA_Matches_All[Team],$J3,TBA_Matches_All[RobotSet],"Podm"),0))</calculatedColumnFormula>
    </tableColumn>
    <tableColumn id="6" xr3:uid="{C7876E97-CCFE-4CB4-BDFC-EC3A774AD4BA}" name="Source" dataDxfId="263">
      <calculatedColumnFormula array="1">SUM(IFERROR(AVERAGEIFS(TBA_Matches_All[AampT],TBA_Matches_All[Team],$J3,TBA_Matches_All[RobotSet],"OppS"),0),IFERROR(AVERAGEIFS(TBA_Matches_All[AspkrT],TBA_Matches_All[Team],$J3,TBA_Matches_All[RobotSet],"OppS"),0),IFERROR(averagifs(TBA_Matches_All[AtrapT],TBA_Matches_All[Team],$J3,TBA_Matches_All[RobotSet],"OppS"),0))</calculatedColumnFormula>
    </tableColumn>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4492B02B-F354-4529-860A-BDB3147D1895}" name="CenterTime_Amp" displayName="CenterTime_Amp" ref="J12:Z27" totalsRowShown="0" tableBorderDxfId="262">
  <autoFilter ref="J12:Z27" xr:uid="{4492B02B-F354-4529-860A-BDB3147D1895}"/>
  <tableColumns count="17">
    <tableColumn id="1" xr3:uid="{EDE59A71-1ADA-4597-9DCC-F2FD3DAF7D12}" name="Seconds"/>
    <tableColumn id="2" xr3:uid="{EB23E7E0-DF98-44E4-AD51-C1059BD0138E}" name="1" dataDxfId="261">
      <calculatedColumnFormula>IFERROR(SUM((SUMIFS(Dyno_Data[AcqCenter],Dyno_Data[Team],$J$9, Dyno_Data[Match],K$11,Dyno_Data[TimeCenter],CenterTime_Amp[[#This Row],[Seconds]])+K$11/100)*SUMIFS(Dyno_Data[AcqDis],Dyno_Data[Team],$J$9, Dyno_Data[Match],K$11,Dyno_Data[TimeCenter],CenterTime_Amp[[#This Row],[Seconds]])),"")</calculatedColumnFormula>
    </tableColumn>
    <tableColumn id="3" xr3:uid="{CEE50F72-F660-4E06-9034-6304AD7CDEC9}" name="2" dataDxfId="260">
      <calculatedColumnFormula>IFERROR(SUM((SUMIFS(Dyno_Data[AcqCenter],Dyno_Data[Team],$J$9, Dyno_Data[Match],L$11,Dyno_Data[TimeCenter],CenterTime_Amp[[#This Row],[Seconds]])+L$11/100)*SUMIFS(Dyno_Data[AcqDis],Dyno_Data[Team],$J$9, Dyno_Data[Match],L$11,Dyno_Data[TimeCenter],CenterTime_Amp[[#This Row],[Seconds]])),"")</calculatedColumnFormula>
    </tableColumn>
    <tableColumn id="4" xr3:uid="{F213925C-4866-4C03-B6D4-8A010E68B44E}" name="3" dataDxfId="259">
      <calculatedColumnFormula>IFERROR(SUM((SUMIFS(Dyno_Data[AcqCenter],Dyno_Data[Team],$J$9, Dyno_Data[Match],M$11,Dyno_Data[TimeCenter],CenterTime_Amp[[#This Row],[Seconds]])+M$11/100)*SUMIFS(Dyno_Data[AcqDis],Dyno_Data[Team],$J$9, Dyno_Data[Match],M$11,Dyno_Data[TimeCenter],CenterTime_Amp[[#This Row],[Seconds]])),"")</calculatedColumnFormula>
    </tableColumn>
    <tableColumn id="5" xr3:uid="{ADC0B7A0-21E3-44BF-8FEA-4FDA802627DA}" name="4" dataDxfId="258">
      <calculatedColumnFormula>IFERROR(SUM((SUMIFS(Dyno_Data[AcqCenter],Dyno_Data[Team],$J$9, Dyno_Data[Match],N$11,Dyno_Data[TimeCenter],CenterTime_Amp[[#This Row],[Seconds]])+N$11/100)*SUMIFS(Dyno_Data[AcqDis],Dyno_Data[Team],$J$9, Dyno_Data[Match],N$11,Dyno_Data[TimeCenter],CenterTime_Amp[[#This Row],[Seconds]])),"")</calculatedColumnFormula>
    </tableColumn>
    <tableColumn id="6" xr3:uid="{5E48CD0D-257E-4273-A1F3-A96106241008}" name="5" dataDxfId="257">
      <calculatedColumnFormula>IFERROR(SUM((SUMIFS(Dyno_Data[AcqCenter],Dyno_Data[Team],$J$9, Dyno_Data[Match],O$11,Dyno_Data[TimeCenter],CenterTime_Amp[[#This Row],[Seconds]])+O$11/100)*SUMIFS(Dyno_Data[AcqDis],Dyno_Data[Team],$J$9, Dyno_Data[Match],O$11,Dyno_Data[TimeCenter],CenterTime_Amp[[#This Row],[Seconds]])),"")</calculatedColumnFormula>
    </tableColumn>
    <tableColumn id="7" xr3:uid="{0C6D05B2-FD33-43EF-8848-839B32F20F95}" name="6" dataDxfId="256">
      <calculatedColumnFormula>IFERROR(SUM((SUMIFS(Dyno_Data[AcqCenter],Dyno_Data[Team],$J$9, Dyno_Data[Match],P$11,Dyno_Data[TimeCenter],CenterTime_Amp[[#This Row],[Seconds]])+P$11/100)*SUMIFS(Dyno_Data[AcqDis],Dyno_Data[Team],$J$9, Dyno_Data[Match],P$11,Dyno_Data[TimeCenter],CenterTime_Amp[[#This Row],[Seconds]])),"")</calculatedColumnFormula>
    </tableColumn>
    <tableColumn id="8" xr3:uid="{CE8E1228-199D-4B23-BFE2-9486C337FB5D}" name="7" dataDxfId="255">
      <calculatedColumnFormula>IFERROR(SUM((SUMIFS(Dyno_Data[AcqCenter],Dyno_Data[Team],$J$9, Dyno_Data[Match],Q$11,Dyno_Data[TimeCenter],CenterTime_Amp[[#This Row],[Seconds]])+Q$11/100)*SUMIFS(Dyno_Data[AcqDis],Dyno_Data[Team],$J$9, Dyno_Data[Match],Q$11,Dyno_Data[TimeCenter],CenterTime_Amp[[#This Row],[Seconds]])),"")</calculatedColumnFormula>
    </tableColumn>
    <tableColumn id="9" xr3:uid="{48F416FF-5F60-47CB-8823-8B09EFA8D312}" name="8" dataDxfId="254">
      <calculatedColumnFormula>IFERROR(SUM((SUMIFS(Dyno_Data[AcqCenter],Dyno_Data[Team],$J$9, Dyno_Data[Match],R$11,Dyno_Data[TimeCenter],CenterTime_Amp[[#This Row],[Seconds]])+R$11/100)*SUMIFS(Dyno_Data[AcqDis],Dyno_Data[Team],$J$9, Dyno_Data[Match],R$11,Dyno_Data[TimeCenter],CenterTime_Amp[[#This Row],[Seconds]])),"")</calculatedColumnFormula>
    </tableColumn>
    <tableColumn id="10" xr3:uid="{EACC9D28-1256-4D5E-B9A9-A939B07C9BF6}" name="9" dataDxfId="253">
      <calculatedColumnFormula>IFERROR(SUM((SUMIFS(Dyno_Data[AcqCenter],Dyno_Data[Team],$J$9, Dyno_Data[Match],S$11,Dyno_Data[TimeCenter],CenterTime_Amp[[#This Row],[Seconds]])+S$11/100)*SUMIFS(Dyno_Data[AcqDis],Dyno_Data[Team],$J$9, Dyno_Data[Match],S$11,Dyno_Data[TimeCenter],CenterTime_Amp[[#This Row],[Seconds]])),"")</calculatedColumnFormula>
    </tableColumn>
    <tableColumn id="11" xr3:uid="{CCBEA545-5D8C-4AA1-8E97-7AA2DCEC7EA8}" name="10" dataDxfId="252">
      <calculatedColumnFormula>IFERROR(SUM((SUMIFS(Dyno_Data[AcqCenter],Dyno_Data[Team],$J$9, Dyno_Data[Match],T$11,Dyno_Data[TimeCenter],CenterTime_Amp[[#This Row],[Seconds]])+T$11/100)*SUMIFS(Dyno_Data[AcqDis],Dyno_Data[Team],$J$9, Dyno_Data[Match],T$11,Dyno_Data[TimeCenter],CenterTime_Amp[[#This Row],[Seconds]])),"")</calculatedColumnFormula>
    </tableColumn>
    <tableColumn id="12" xr3:uid="{0EA5818A-6154-4A5F-A2D3-E0E7729981FE}" name="11" dataDxfId="251">
      <calculatedColumnFormula>IFERROR(SUM((SUMIFS(Dyno_Data[AcqCenter],Dyno_Data[Team],$J$9, Dyno_Data[Match],U$11,Dyno_Data[TimeCenter],CenterTime_Amp[[#This Row],[Seconds]])+U$11/100)*SUMIFS(Dyno_Data[AcqDis],Dyno_Data[Team],$J$9, Dyno_Data[Match],U$11,Dyno_Data[TimeCenter],CenterTime_Amp[[#This Row],[Seconds]])),"")</calculatedColumnFormula>
    </tableColumn>
    <tableColumn id="13" xr3:uid="{64B147BD-044E-4706-B047-7404E09CBD5E}" name="12" dataDxfId="250">
      <calculatedColumnFormula>IFERROR(SUM((SUMIFS(Dyno_Data[AcqCenter],Dyno_Data[Team],$J$9, Dyno_Data[Match],V$11,Dyno_Data[TimeCenter],CenterTime_Amp[[#This Row],[Seconds]])+V$11/100)*SUMIFS(Dyno_Data[AcqDis],Dyno_Data[Team],$J$9, Dyno_Data[Match],V$11,Dyno_Data[TimeCenter],CenterTime_Amp[[#This Row],[Seconds]])),"")</calculatedColumnFormula>
    </tableColumn>
    <tableColumn id="14" xr3:uid="{4FF620BD-4080-4FEE-87A2-D809074DC3CB}" name="13" dataDxfId="249">
      <calculatedColumnFormula>IFERROR(SUM((SUMIFS(Dyno_Data[AcqCenter],Dyno_Data[Team],$J$9, Dyno_Data[Match],W$11,Dyno_Data[TimeCenter],CenterTime_Amp[[#This Row],[Seconds]])+W$11/100)*SUMIFS(Dyno_Data[AcqDis],Dyno_Data[Team],$J$9, Dyno_Data[Match],W$11,Dyno_Data[TimeCenter],CenterTime_Amp[[#This Row],[Seconds]])),"")</calculatedColumnFormula>
    </tableColumn>
    <tableColumn id="15" xr3:uid="{63543C7A-FF06-4F1A-A5D2-D95D1988395C}" name="14" dataDxfId="248">
      <calculatedColumnFormula>IFERROR(SUM((SUMIFS(Dyno_Data[AcqCenter],Dyno_Data[Team],$J$9, Dyno_Data[Match],X$11,Dyno_Data[TimeCenter],CenterTime_Amp[[#This Row],[Seconds]])+X$11/100)*SUMIFS(Dyno_Data[AcqDis],Dyno_Data[Team],$J$9, Dyno_Data[Match],X$11,Dyno_Data[TimeCenter],CenterTime_Amp[[#This Row],[Seconds]])),"")</calculatedColumnFormula>
    </tableColumn>
    <tableColumn id="16" xr3:uid="{BBC6424A-BACB-440D-B21F-1AD89A091F24}" name="15" dataDxfId="247">
      <calculatedColumnFormula>IFERROR(SUM((SUMIFS(Dyno_Data[AcqCenter],Dyno_Data[Team],$J$9, Dyno_Data[Match],Y$11,Dyno_Data[TimeCenter],CenterTime_Amp[[#This Row],[Seconds]])+Y$11/100)*SUMIFS(Dyno_Data[AcqDis],Dyno_Data[Team],$J$9, Dyno_Data[Match],Y$11,Dyno_Data[TimeCenter],CenterTime_Amp[[#This Row],[Seconds]])),"")</calculatedColumnFormula>
    </tableColumn>
    <tableColumn id="17" xr3:uid="{0C23695B-1041-42C5-B961-0BDEB9AE1D17}" name="16" dataDxfId="246">
      <calculatedColumnFormula>IFERROR(SUM((SUMIFS(Dyno_Data[AcqCenter],Dyno_Data[Team],$J$9, Dyno_Data[Match],Z$11,Dyno_Data[TimeCenter],CenterTime_Amp[[#This Row],[Seconds]])+Z$11/100)*SUMIFS(Dyno_Data[AcqDis],Dyno_Data[Team],$J$9, Dyno_Data[Match],Z$11,Dyno_Data[TimeCenter],CenterTime_Amp[[#This Row],[Seconds]])),"")</calculatedColumnFormula>
    </tableColumn>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D831459F-1285-470D-8E90-C8511A6130D7}" name="CenterTime_Center" displayName="CenterTime_Center" ref="J32:Z47" totalsRowShown="0" tableBorderDxfId="245">
  <autoFilter ref="J32:Z47" xr:uid="{D831459F-1285-470D-8E90-C8511A6130D7}"/>
  <tableColumns count="17">
    <tableColumn id="1" xr3:uid="{A3A22D55-07EB-4136-B30B-9062B2903673}" name="Seconds"/>
    <tableColumn id="2" xr3:uid="{7FC69463-A3F7-4B1A-BCB0-0A63C2EA71C5}" name="1" dataDxfId="244">
      <calculatedColumnFormula>IFERROR(SUM((SUMIFS(Dyno_Data[AcqCenter],Dyno_Data[Team],$J$29, Dyno_Data[Match],K$31,Dyno_Data[TimeCenter],CenterTime_Center[[#This Row],[Seconds]])+K$31/100)*SUMIFS(Dyno_Data[AcqDis],Dyno_Data[Team],$J$29, Dyno_Data[Match],K$31,Dyno_Data[TimeCenter],CenterTime_Center[[#This Row],[Seconds]])),"")</calculatedColumnFormula>
    </tableColumn>
    <tableColumn id="3" xr3:uid="{F29B0D0D-5472-4277-96E2-848405836BD7}" name="2" dataDxfId="243">
      <calculatedColumnFormula>IFERROR(SUM((SUMIFS(Dyno_Data[AcqCenter],Dyno_Data[Team],$J$29, Dyno_Data[Match],L$31,Dyno_Data[TimeCenter],CenterTime_Center[[#This Row],[Seconds]])+L$31/100)*SUMIFS(Dyno_Data[AcqDis],Dyno_Data[Team],$J$29, Dyno_Data[Match],L$31,Dyno_Data[TimeCenter],CenterTime_Center[[#This Row],[Seconds]])),"")</calculatedColumnFormula>
    </tableColumn>
    <tableColumn id="4" xr3:uid="{BD0D2233-3C15-4173-9047-88DDE4D5DD30}" name="3" dataDxfId="242">
      <calculatedColumnFormula>IFERROR(SUM((SUMIFS(Dyno_Data[AcqCenter],Dyno_Data[Team],$J$29, Dyno_Data[Match],M$31,Dyno_Data[TimeCenter],CenterTime_Center[[#This Row],[Seconds]])+M$31/100)*SUMIFS(Dyno_Data[AcqDis],Dyno_Data[Team],$J$29, Dyno_Data[Match],M$31,Dyno_Data[TimeCenter],CenterTime_Center[[#This Row],[Seconds]])),"")</calculatedColumnFormula>
    </tableColumn>
    <tableColumn id="5" xr3:uid="{D9B677B6-D7B8-47E5-8E79-52B8ABB89304}" name="4" dataDxfId="241">
      <calculatedColumnFormula>IFERROR(SUM((SUMIFS(Dyno_Data[AcqCenter],Dyno_Data[Team],$J$29, Dyno_Data[Match],N$31,Dyno_Data[TimeCenter],CenterTime_Center[[#This Row],[Seconds]])+N$31/100)*SUMIFS(Dyno_Data[AcqDis],Dyno_Data[Team],$J$29, Dyno_Data[Match],N$31,Dyno_Data[TimeCenter],CenterTime_Center[[#This Row],[Seconds]])),"")</calculatedColumnFormula>
    </tableColumn>
    <tableColumn id="6" xr3:uid="{731D9B24-1EBF-4E84-B76D-C222765A4669}" name="5" dataDxfId="240">
      <calculatedColumnFormula>IFERROR(SUM((SUMIFS(Dyno_Data[AcqCenter],Dyno_Data[Team],$J$29, Dyno_Data[Match],O$31,Dyno_Data[TimeCenter],CenterTime_Center[[#This Row],[Seconds]])+O$31/100)*SUMIFS(Dyno_Data[AcqDis],Dyno_Data[Team],$J$29, Dyno_Data[Match],O$31,Dyno_Data[TimeCenter],CenterTime_Center[[#This Row],[Seconds]])),"")</calculatedColumnFormula>
    </tableColumn>
    <tableColumn id="7" xr3:uid="{39916E60-34E7-46B5-8811-B2816BA367AA}" name="6" dataDxfId="239">
      <calculatedColumnFormula>IFERROR(SUM((SUMIFS(Dyno_Data[AcqCenter],Dyno_Data[Team],$J$29, Dyno_Data[Match],P$31,Dyno_Data[TimeCenter],CenterTime_Center[[#This Row],[Seconds]])+P$31/100)*SUMIFS(Dyno_Data[AcqDis],Dyno_Data[Team],$J$29, Dyno_Data[Match],P$31,Dyno_Data[TimeCenter],CenterTime_Center[[#This Row],[Seconds]])),"")</calculatedColumnFormula>
    </tableColumn>
    <tableColumn id="8" xr3:uid="{05EAC8AE-AB4B-43C7-AA6B-284174E166EA}" name="7" dataDxfId="238">
      <calculatedColumnFormula>IFERROR(SUM((SUMIFS(Dyno_Data[AcqCenter],Dyno_Data[Team],$J$29, Dyno_Data[Match],Q$31,Dyno_Data[TimeCenter],CenterTime_Center[[#This Row],[Seconds]])+Q$31/100)*SUMIFS(Dyno_Data[AcqDis],Dyno_Data[Team],$J$29, Dyno_Data[Match],Q$31,Dyno_Data[TimeCenter],CenterTime_Center[[#This Row],[Seconds]])),"")</calculatedColumnFormula>
    </tableColumn>
    <tableColumn id="9" xr3:uid="{92E0F62D-9531-4C4E-A55E-F4E79DECB2CA}" name="8" dataDxfId="237">
      <calculatedColumnFormula>IFERROR(SUM((SUMIFS(Dyno_Data[AcqCenter],Dyno_Data[Team],$J$29, Dyno_Data[Match],R$31,Dyno_Data[TimeCenter],CenterTime_Center[[#This Row],[Seconds]])+R$31/100)*SUMIFS(Dyno_Data[AcqDis],Dyno_Data[Team],$J$29, Dyno_Data[Match],R$31,Dyno_Data[TimeCenter],CenterTime_Center[[#This Row],[Seconds]])),"")</calculatedColumnFormula>
    </tableColumn>
    <tableColumn id="10" xr3:uid="{4E855AC6-3746-4E6B-9DF3-E769A7297B25}" name="9" dataDxfId="236">
      <calculatedColumnFormula>IFERROR(SUM((SUMIFS(Dyno_Data[AcqCenter],Dyno_Data[Team],$J$29, Dyno_Data[Match],S$31,Dyno_Data[TimeCenter],CenterTime_Center[[#This Row],[Seconds]])+S$31/100)*SUMIFS(Dyno_Data[AcqDis],Dyno_Data[Team],$J$29, Dyno_Data[Match],S$31,Dyno_Data[TimeCenter],CenterTime_Center[[#This Row],[Seconds]])),"")</calculatedColumnFormula>
    </tableColumn>
    <tableColumn id="11" xr3:uid="{4B8D9E5C-D7F4-4AD4-9E20-51EBCF0F8D7F}" name="10" dataDxfId="235">
      <calculatedColumnFormula>IFERROR(SUM((SUMIFS(Dyno_Data[AcqCenter],Dyno_Data[Team],$J$29, Dyno_Data[Match],T$31,Dyno_Data[TimeCenter],CenterTime_Center[[#This Row],[Seconds]])+T$31/100)*SUMIFS(Dyno_Data[AcqDis],Dyno_Data[Team],$J$29, Dyno_Data[Match],T$31,Dyno_Data[TimeCenter],CenterTime_Center[[#This Row],[Seconds]])),"")</calculatedColumnFormula>
    </tableColumn>
    <tableColumn id="12" xr3:uid="{0A4BDD75-3D52-42E0-986A-5DEA04987862}" name="11" dataDxfId="234">
      <calculatedColumnFormula>IFERROR(SUM((SUMIFS(Dyno_Data[AcqCenter],Dyno_Data[Team],$J$29, Dyno_Data[Match],U$31,Dyno_Data[TimeCenter],CenterTime_Center[[#This Row],[Seconds]])+U$31/100)*SUMIFS(Dyno_Data[AcqDis],Dyno_Data[Team],$J$29, Dyno_Data[Match],U$31,Dyno_Data[TimeCenter],CenterTime_Center[[#This Row],[Seconds]])),"")</calculatedColumnFormula>
    </tableColumn>
    <tableColumn id="13" xr3:uid="{4C8BEBE7-2B10-4E05-8B7E-F947F8DD3795}" name="12" dataDxfId="233">
      <calculatedColumnFormula>IFERROR(SUM((SUMIFS(Dyno_Data[AcqCenter],Dyno_Data[Team],$J$29, Dyno_Data[Match],V$31,Dyno_Data[TimeCenter],CenterTime_Center[[#This Row],[Seconds]])+V$31/100)*SUMIFS(Dyno_Data[AcqDis],Dyno_Data[Team],$J$29, Dyno_Data[Match],V$31,Dyno_Data[TimeCenter],CenterTime_Center[[#This Row],[Seconds]])),"")</calculatedColumnFormula>
    </tableColumn>
    <tableColumn id="14" xr3:uid="{B33F7A78-C667-46AC-AA9E-8BC244178381}" name="13" dataDxfId="232">
      <calculatedColumnFormula>IFERROR(SUM((SUMIFS(Dyno_Data[AcqCenter],Dyno_Data[Team],$J$29, Dyno_Data[Match],W$31,Dyno_Data[TimeCenter],CenterTime_Center[[#This Row],[Seconds]])+W$31/100)*SUMIFS(Dyno_Data[AcqDis],Dyno_Data[Team],$J$29, Dyno_Data[Match],W$31,Dyno_Data[TimeCenter],CenterTime_Center[[#This Row],[Seconds]])),"")</calculatedColumnFormula>
    </tableColumn>
    <tableColumn id="15" xr3:uid="{258F84E1-69FD-4100-83A8-5A0C4DFA60E9}" name="14" dataDxfId="231">
      <calculatedColumnFormula>IFERROR(SUM((SUMIFS(Dyno_Data[AcqCenter],Dyno_Data[Team],$J$29, Dyno_Data[Match],X$31,Dyno_Data[TimeCenter],CenterTime_Center[[#This Row],[Seconds]])+X$31/100)*SUMIFS(Dyno_Data[AcqDis],Dyno_Data[Team],$J$29, Dyno_Data[Match],X$31,Dyno_Data[TimeCenter],CenterTime_Center[[#This Row],[Seconds]])),"")</calculatedColumnFormula>
    </tableColumn>
    <tableColumn id="16" xr3:uid="{4EB19A16-CE77-4D13-965D-49933A6789EF}" name="15" dataDxfId="230">
      <calculatedColumnFormula>IFERROR(SUM((SUMIFS(Dyno_Data[AcqCenter],Dyno_Data[Team],$J$29, Dyno_Data[Match],Y$31,Dyno_Data[TimeCenter],CenterTime_Center[[#This Row],[Seconds]])+Y$31/100)*SUMIFS(Dyno_Data[AcqDis],Dyno_Data[Team],$J$29, Dyno_Data[Match],Y$31,Dyno_Data[TimeCenter],CenterTime_Center[[#This Row],[Seconds]])),"")</calculatedColumnFormula>
    </tableColumn>
    <tableColumn id="17" xr3:uid="{F246361C-141D-4C2B-A082-0AD4F23147BE}" name="16" dataDxfId="229">
      <calculatedColumnFormula>IFERROR(SUM((SUMIFS(Dyno_Data[AcqCenter],Dyno_Data[Team],$J$29, Dyno_Data[Match],Z$31,Dyno_Data[TimeCenter],CenterTime_Center[[#This Row],[Seconds]])+Z$31/100)*SUMIFS(Dyno_Data[AcqDis],Dyno_Data[Team],$J$29, Dyno_Data[Match],Z$31,Dyno_Data[TimeCenter],CenterTime_Center[[#This Row],[Seconds]])),"")</calculatedColumnFormula>
    </tableColumn>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25978EC7-EFBE-4AE8-90C0-FD49EA939F1D}" name="CenterTime_Source" displayName="CenterTime_Source" ref="J52:Z67" totalsRowShown="0" tableBorderDxfId="228">
  <autoFilter ref="J52:Z67" xr:uid="{25978EC7-EFBE-4AE8-90C0-FD49EA939F1D}"/>
  <tableColumns count="17">
    <tableColumn id="1" xr3:uid="{04DE9B1E-F7BA-497E-8E03-991B5485FE37}" name="Seconds"/>
    <tableColumn id="2" xr3:uid="{32772C83-3134-418C-90CC-86B7BA4F9B72}" name="1" dataDxfId="227">
      <calculatedColumnFormula>IFERROR(SUM((SUMIFS(Dyno_Data[AcqCenter],Dyno_Data[Team],$J$49, Dyno_Data[Match],K$51,Dyno_Data[TimeCenter],CenterTime_Source[[#This Row],[Seconds]])+K$51/100)*SUMIFS(Dyno_Data[AcqDis],Dyno_Data[Team],$J$49, Dyno_Data[Match],K$51,Dyno_Data[TimeCenter],CenterTime_Source[[#This Row],[Seconds]])),"")</calculatedColumnFormula>
    </tableColumn>
    <tableColumn id="3" xr3:uid="{49FB85DA-2772-42CC-B64D-2153E13474F4}" name="2" dataDxfId="226">
      <calculatedColumnFormula>IFERROR(SUM((SUMIFS(Dyno_Data[AcqCenter],Dyno_Data[Team],$J$49, Dyno_Data[Match],L$51,Dyno_Data[TimeCenter],CenterTime_Source[[#This Row],[Seconds]])+L$51/100)*SUMIFS(Dyno_Data[AcqDis],Dyno_Data[Team],$J$49, Dyno_Data[Match],L$51,Dyno_Data[TimeCenter],CenterTime_Source[[#This Row],[Seconds]])),"")</calculatedColumnFormula>
    </tableColumn>
    <tableColumn id="4" xr3:uid="{82594CA9-7314-4AAF-BEC2-70697FA2D09A}" name="3" dataDxfId="225">
      <calculatedColumnFormula>IFERROR(SUM((SUMIFS(Dyno_Data[AcqCenter],Dyno_Data[Team],$J$49, Dyno_Data[Match],M$51,Dyno_Data[TimeCenter],CenterTime_Source[[#This Row],[Seconds]])+M$51/100)*SUMIFS(Dyno_Data[AcqDis],Dyno_Data[Team],$J$49, Dyno_Data[Match],M$51,Dyno_Data[TimeCenter],CenterTime_Source[[#This Row],[Seconds]])),"")</calculatedColumnFormula>
    </tableColumn>
    <tableColumn id="5" xr3:uid="{28D402C1-4EE3-4B53-B1A4-89A0A5F726B0}" name="4" dataDxfId="224">
      <calculatedColumnFormula>IFERROR(SUM((SUMIFS(Dyno_Data[AcqCenter],Dyno_Data[Team],$J$49, Dyno_Data[Match],N$51,Dyno_Data[TimeCenter],CenterTime_Source[[#This Row],[Seconds]])+N$51/100)*SUMIFS(Dyno_Data[AcqDis],Dyno_Data[Team],$J$49, Dyno_Data[Match],N$51,Dyno_Data[TimeCenter],CenterTime_Source[[#This Row],[Seconds]])),"")</calculatedColumnFormula>
    </tableColumn>
    <tableColumn id="6" xr3:uid="{044A714E-41A0-497E-80CD-4DF472F8B0AA}" name="5" dataDxfId="223">
      <calculatedColumnFormula>IFERROR(SUM((SUMIFS(Dyno_Data[AcqCenter],Dyno_Data[Team],$J$49, Dyno_Data[Match],O$51,Dyno_Data[TimeCenter],CenterTime_Source[[#This Row],[Seconds]])+O$51/100)*SUMIFS(Dyno_Data[AcqDis],Dyno_Data[Team],$J$49, Dyno_Data[Match],O$51,Dyno_Data[TimeCenter],CenterTime_Source[[#This Row],[Seconds]])),"")</calculatedColumnFormula>
    </tableColumn>
    <tableColumn id="7" xr3:uid="{5484ACBA-5ED5-48BB-B8E8-3848CAC86C48}" name="6" dataDxfId="222">
      <calculatedColumnFormula>IFERROR(SUM((SUMIFS(Dyno_Data[AcqCenter],Dyno_Data[Team],$J$49, Dyno_Data[Match],P$51,Dyno_Data[TimeCenter],CenterTime_Source[[#This Row],[Seconds]])+P$51/100)*SUMIFS(Dyno_Data[AcqDis],Dyno_Data[Team],$J$49, Dyno_Data[Match],P$51,Dyno_Data[TimeCenter],CenterTime_Source[[#This Row],[Seconds]])),"")</calculatedColumnFormula>
    </tableColumn>
    <tableColumn id="8" xr3:uid="{85DF9D15-5C68-4864-A652-3E2D880BBDD3}" name="7" dataDxfId="221">
      <calculatedColumnFormula>IFERROR(SUM((SUMIFS(Dyno_Data[AcqCenter],Dyno_Data[Team],$J$49, Dyno_Data[Match],Q$51,Dyno_Data[TimeCenter],CenterTime_Source[[#This Row],[Seconds]])+Q$51/100)*SUMIFS(Dyno_Data[AcqDis],Dyno_Data[Team],$J$49, Dyno_Data[Match],Q$51,Dyno_Data[TimeCenter],CenterTime_Source[[#This Row],[Seconds]])),"")</calculatedColumnFormula>
    </tableColumn>
    <tableColumn id="9" xr3:uid="{0B451E15-739B-4D02-9304-A5FFA15179BB}" name="8" dataDxfId="220">
      <calculatedColumnFormula>IFERROR(SUM((SUMIFS(Dyno_Data[AcqCenter],Dyno_Data[Team],$J$49, Dyno_Data[Match],R$51,Dyno_Data[TimeCenter],CenterTime_Source[[#This Row],[Seconds]])+R$51/100)*SUMIFS(Dyno_Data[AcqDis],Dyno_Data[Team],$J$49, Dyno_Data[Match],R$51,Dyno_Data[TimeCenter],CenterTime_Source[[#This Row],[Seconds]])),"")</calculatedColumnFormula>
    </tableColumn>
    <tableColumn id="10" xr3:uid="{F23239D9-F99B-40CC-9E2C-0710662C3690}" name="9" dataDxfId="219">
      <calculatedColumnFormula>IFERROR(SUM((SUMIFS(Dyno_Data[AcqCenter],Dyno_Data[Team],$J$49, Dyno_Data[Match],S$51,Dyno_Data[TimeCenter],CenterTime_Source[[#This Row],[Seconds]])+S$51/100)*SUMIFS(Dyno_Data[AcqDis],Dyno_Data[Team],$J$49, Dyno_Data[Match],S$51,Dyno_Data[TimeCenter],CenterTime_Source[[#This Row],[Seconds]])),"")</calculatedColumnFormula>
    </tableColumn>
    <tableColumn id="11" xr3:uid="{11012327-DAAB-4596-B923-B8AAF6FD9C8A}" name="10" dataDxfId="218">
      <calculatedColumnFormula>IFERROR(SUM((SUMIFS(Dyno_Data[AcqCenter],Dyno_Data[Team],$J$49, Dyno_Data[Match],T$51,Dyno_Data[TimeCenter],CenterTime_Source[[#This Row],[Seconds]])+T$51/100)*SUMIFS(Dyno_Data[AcqDis],Dyno_Data[Team],$J$49, Dyno_Data[Match],T$51,Dyno_Data[TimeCenter],CenterTime_Source[[#This Row],[Seconds]])),"")</calculatedColumnFormula>
    </tableColumn>
    <tableColumn id="12" xr3:uid="{BE203274-F4B9-4E52-AFE9-D9F058E095A3}" name="11" dataDxfId="217">
      <calculatedColumnFormula>IFERROR(SUM((SUMIFS(Dyno_Data[AcqCenter],Dyno_Data[Team],$J$49, Dyno_Data[Match],U$51,Dyno_Data[TimeCenter],CenterTime_Source[[#This Row],[Seconds]])+U$51/100)*SUMIFS(Dyno_Data[AcqDis],Dyno_Data[Team],$J$49, Dyno_Data[Match],U$51,Dyno_Data[TimeCenter],CenterTime_Source[[#This Row],[Seconds]])),"")</calculatedColumnFormula>
    </tableColumn>
    <tableColumn id="13" xr3:uid="{51E543D8-8369-4CB7-8875-122477876EFB}" name="12" dataDxfId="216">
      <calculatedColumnFormula>IFERROR(SUM((SUMIFS(Dyno_Data[AcqCenter],Dyno_Data[Team],$J$49, Dyno_Data[Match],V$51,Dyno_Data[TimeCenter],CenterTime_Source[[#This Row],[Seconds]])+V$51/100)*SUMIFS(Dyno_Data[AcqDis],Dyno_Data[Team],$J$49, Dyno_Data[Match],V$51,Dyno_Data[TimeCenter],CenterTime_Source[[#This Row],[Seconds]])),"")</calculatedColumnFormula>
    </tableColumn>
    <tableColumn id="14" xr3:uid="{64BA9D8A-B1EE-4EAE-8A4F-609C39AC224C}" name="13" dataDxfId="215">
      <calculatedColumnFormula>IFERROR(SUM((SUMIFS(Dyno_Data[AcqCenter],Dyno_Data[Team],$J$49, Dyno_Data[Match],W$51,Dyno_Data[TimeCenter],CenterTime_Source[[#This Row],[Seconds]])+W$51/100)*SUMIFS(Dyno_Data[AcqDis],Dyno_Data[Team],$J$49, Dyno_Data[Match],W$51,Dyno_Data[TimeCenter],CenterTime_Source[[#This Row],[Seconds]])),"")</calculatedColumnFormula>
    </tableColumn>
    <tableColumn id="15" xr3:uid="{A6451184-DCFA-4FCC-B3D9-CA67C417B1F2}" name="14" dataDxfId="214">
      <calculatedColumnFormula>IFERROR(SUM((SUMIFS(Dyno_Data[AcqCenter],Dyno_Data[Team],$J$49, Dyno_Data[Match],X$51,Dyno_Data[TimeCenter],CenterTime_Source[[#This Row],[Seconds]])+X$51/100)*SUMIFS(Dyno_Data[AcqDis],Dyno_Data[Team],$J$49, Dyno_Data[Match],X$51,Dyno_Data[TimeCenter],CenterTime_Source[[#This Row],[Seconds]])),"")</calculatedColumnFormula>
    </tableColumn>
    <tableColumn id="16" xr3:uid="{C407CFFF-CCF2-432E-B3E6-A1E7D8CB1290}" name="15" dataDxfId="213">
      <calculatedColumnFormula>IFERROR(SUM((SUMIFS(Dyno_Data[AcqCenter],Dyno_Data[Team],$J$49, Dyno_Data[Match],Y$51,Dyno_Data[TimeCenter],CenterTime_Source[[#This Row],[Seconds]])+Y$51/100)*SUMIFS(Dyno_Data[AcqDis],Dyno_Data[Team],$J$49, Dyno_Data[Match],Y$51,Dyno_Data[TimeCenter],CenterTime_Source[[#This Row],[Seconds]])),"")</calculatedColumnFormula>
    </tableColumn>
    <tableColumn id="17" xr3:uid="{F0D69B54-95B5-44D6-B2E5-18AD6EA5F736}" name="16" dataDxfId="212">
      <calculatedColumnFormula>IFERROR(SUM((SUMIFS(Dyno_Data[AcqCenter],Dyno_Data[Team],$J$49, Dyno_Data[Match],Z$51,Dyno_Data[TimeCenter],CenterTime_Source[[#This Row],[Seconds]])+Z$51/100)*SUMIFS(Dyno_Data[AcqDis],Dyno_Data[Team],$J$49, Dyno_Data[Match],Z$51,Dyno_Data[TimeCenter],CenterTime_Source[[#This Row],[Seconds]])),"")</calculatedColumnFormula>
    </tableColumn>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68D6C5B5-100C-417E-9258-762DEF1993CA}" name="Teleop_Delivs" displayName="Teleop_Delivs" ref="A2:H5" totalsRowShown="0">
  <autoFilter ref="A2:H5" xr:uid="{025FA31F-5BE7-437C-8417-295371F32D83}"/>
  <tableColumns count="8">
    <tableColumn id="1" xr3:uid="{002C605D-E94A-4AED-9430-F92D56ABA232}" name="Team" dataDxfId="211"/>
    <tableColumn id="2" xr3:uid="{A4A4A48A-6B5E-492B-8888-A3F9D033ABC3}" name="Amp" dataDxfId="210">
      <calculatedColumnFormula>IFERROR(AVERAGEIFS(TBA_Matches_All[TampT],TBA_Matches_All[Team],$A3,TBA_Matches_All[Scouted],"&gt;0"),0)</calculatedColumnFormula>
    </tableColumn>
    <tableColumn id="3" xr3:uid="{128CA601-E0DD-4AAA-B567-B161F75E8F6F}" name="Speaker" dataDxfId="209">
      <calculatedColumnFormula>IFERROR(AVERAGEIFS(TBA_Matches_All[TspkrT],TBA_Matches_All[Team],$A3,TBA_Matches_All[Scouted],"&gt;0"),0)</calculatedColumnFormula>
    </tableColumn>
    <tableColumn id="4" xr3:uid="{55C03B32-7297-40C2-A6A0-21AC73BEDAC1}" name="Trap" dataDxfId="208">
      <calculatedColumnFormula>IFERROR(AVERAGEIFS(TBA_Matches_All[TtrapT],TBA_Matches_All[Team],$A3,TBA_Matches_All[Scouted],"&gt;0"),0)</calculatedColumnFormula>
    </tableColumn>
    <tableColumn id="5" xr3:uid="{8E137BFB-3269-4F9A-BAC2-D56F1A8D2617}" name="Miss" dataDxfId="207">
      <calculatedColumnFormula>IFERROR(SUM(SUMIFS(Dyno_Data[DelMiss],Dyno_Data[Team],$A3,Dyno_Data[RecordType],"Activities",Dyno_Data[Mode],"Teleop")/COUNTIF(Dyno_EndMatch[Team],$A3)),0)</calculatedColumnFormula>
    </tableColumn>
    <tableColumn id="6" xr3:uid="{F392BAFC-84B6-4385-B468-08DE8287E814}" name="Total Att" dataDxfId="206">
      <calculatedColumnFormula>SUM(Teleop_Delivs[[#This Row],[Amp]],Teleop_Delivs[[#This Row],[Speaker]],Teleop_Delivs[[#This Row],[Trap]],Teleop_Delivs[[#This Row],[Miss]])</calculatedColumnFormula>
    </tableColumn>
    <tableColumn id="8" xr3:uid="{12E8A42F-BBD5-4CCD-8E3E-BDD5DEACCA8C}" name="Difference" dataDxfId="205">
      <calculatedColumnFormula>Teleop_Delivs[[#This Row],[Norm]]-Teleop_Delivs[[#This Row],[Total Att]]</calculatedColumnFormula>
    </tableColumn>
    <tableColumn id="9" xr3:uid="{31A94863-6533-4DFA-A7E7-985A9D77049B}" name="Norm" dataDxfId="204">
      <calculatedColumnFormula>MAX(Teleop_Delivs[Total Att])</calculatedColumnFormula>
    </tableColumn>
  </tableColumns>
  <tableStyleInfo name="TableStyleMedium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A6F22F2-BCF9-4B77-A8F7-1589F16D5DF0}" name="Teleop_StaPts" displayName="Teleop_StaPts" ref="J2:M5" totalsRowShown="0" headerRowDxfId="203">
  <autoFilter ref="J2:M5" xr:uid="{CEF9DDBE-1FF9-499F-9D95-2F7C580D0694}"/>
  <tableColumns count="4">
    <tableColumn id="2" xr3:uid="{04DF403E-0A37-47C5-B5DB-7B55BAD485FD}" name="Team"/>
    <tableColumn id="3" xr3:uid="{53B6407C-805C-4F77-A9AB-82846E29F149}" name="Amp" dataDxfId="202">
      <calculatedColumnFormula array="1">SUM(IFERROR(AVERAGEIFS(TBA_Matches_All[TampT],TBA_Matches_All[Team],$J3,TBA_Matches_All[View],"A",TBA_Matches_All[Scouted],"&gt;0"),0),IFERROR(AVERAGEIFS(TBA_Matches_All[TspkrT],TBA_Matches_All[Team],$J3,TBA_Matches_All[View],"A",TBA_Matches_All[Scouted],"&gt;0"),0),IFERROR(averagifs(TBA_Matches_All[TtrapT],TBA_Matches_All[Team],$J3,TBA_Matches_All[View],"A",TBA_Matches_All[Scouted],"&gt;0"),0))</calculatedColumnFormula>
    </tableColumn>
    <tableColumn id="4" xr3:uid="{DDB29EEF-E8C8-44D0-BBEA-EF881E88557C}" name="Center" dataDxfId="201">
      <calculatedColumnFormula array="1">SUM(IFERROR(AVERAGEIFS(TBA_Matches_All[TampT],TBA_Matches_All[Team],$J3,TBA_Matches_All[View],"C",TBA_Matches_All[Scouted],"&gt;0"),0),IFERROR(AVERAGEIFS(TBA_Matches_All[TspkrT],TBA_Matches_All[Team],$J3,TBA_Matches_All[View],"C",TBA_Matches_All[Scouted],"&gt;0"),0),IFERROR(averagifs(TBA_Matches_All[TtrapT],TBA_Matches_All[Team],$J3,TBA_Matches_All[View],"C",TBA_Matches_All[Scouted],"&gt;0"),0))</calculatedColumnFormula>
    </tableColumn>
    <tableColumn id="5" xr3:uid="{80627494-B660-4AFC-B38E-A112441F9DA3}" name="Source" dataDxfId="200">
      <calculatedColumnFormula array="1">SUM(IFERROR(AVERAGEIFS(TBA_Matches_All[TampT],TBA_Matches_All[Team],$J3,TBA_Matches_All[View],"S",TBA_Matches_All[Scouted],"&gt;0"),0),IFERROR(AVERAGEIFS(TBA_Matches_All[TspkrT],TBA_Matches_All[Team],$J3,TBA_Matches_All[View],"S",TBA_Matches_All[Scouted],"&gt;0"),0),IFERROR(averagifs(TBA_Matches_All[TtrapT],TBA_Matches_All[Team],$J3,TBA_Matches_All[View],"S",TBA_Matches_All[Scouted],"&gt;0"),0))</calculatedColumnFormula>
    </tableColumn>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179F6623-7095-48CD-BBDB-7DB9344F3046}" name="Spkr_Amp" displayName="Spkr_Amp" ref="J10:N13" totalsRowShown="0">
  <autoFilter ref="J10:N13" xr:uid="{179F6623-7095-48CD-BBDB-7DB9344F3046}"/>
  <tableColumns count="5">
    <tableColumn id="1" xr3:uid="{8F93FCF6-856B-4766-A718-DF5D5AE7BF7C}" name="Origin"/>
    <tableColumn id="2" xr3:uid="{11C5CD23-81E0-462D-9AC3-533E93758F20}" name="Quantity" dataDxfId="199">
      <calculatedColumnFormula>IFERROR(COUNTIFS(Dyno_Data[Team],$J9,Dyno_Data[DelDest],"Spkr",Dyno_Data[DelOrig],"SubW"),0)</calculatedColumnFormula>
    </tableColumn>
    <tableColumn id="3" xr3:uid="{B2A36313-53CA-46B2-A83E-9B39C848FC7F}" name="Shooting" dataDxfId="198" dataCellStyle="Percent">
      <calculatedColumnFormula>IFERROR(SUM(Spkr_Amp[[#This Row],[Quantity]]/(Spkr_Amp[[#This Row],[Total]])),0)</calculatedColumnFormula>
    </tableColumn>
    <tableColumn id="4" xr3:uid="{F2979B92-48D3-4B7B-9C57-9A4470AF8037}" name="Misses" dataDxfId="197">
      <calculatedColumnFormula>IFERROR(COUNTIFS(Dyno_Data[Team],$J$9,Dyno_Data[DelDest],"Spkr",Dyno_Data[DelOrig],Spkr_Amp[[#This Row],[Origin]],Dyno_Data[DelMiss],1),0)</calculatedColumnFormula>
    </tableColumn>
    <tableColumn id="5" xr3:uid="{5237023F-BFC9-4B54-8131-9B69785A9BEC}" name="Total" dataDxfId="196">
      <calculatedColumnFormula>Spkr_Amp[[#This Row],[Quantity]]+Spkr_Amp[[#This Row],[Misses]]</calculatedColumnFormula>
    </tableColumn>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B52E427F-7289-44DE-ABA0-A666BE210C36}" name="Spkr_Center" displayName="Spkr_Center" ref="J20:N23" totalsRowShown="0">
  <autoFilter ref="J20:N23" xr:uid="{B52E427F-7289-44DE-ABA0-A666BE210C36}"/>
  <tableColumns count="5">
    <tableColumn id="1" xr3:uid="{77B6D960-A9CE-491A-B7E8-BE7091F8565A}" name="Origin"/>
    <tableColumn id="2" xr3:uid="{C0966739-9CC4-4867-87F0-9FB27BBAE2F9}" name="Quantity" dataDxfId="195">
      <calculatedColumnFormula>IFERROR(COUNTIFS(Dyno_Data[Team],$J$19,Dyno_Data[DelDest],"Spkr",Dyno_Data[DelOrig],Spkr_Center[[#This Row],[Origin]]),0)</calculatedColumnFormula>
    </tableColumn>
    <tableColumn id="3" xr3:uid="{C74C7589-CF74-498C-B49B-47BF2E5EEFB7}" name="Shooting" dataDxfId="194" dataCellStyle="Percent">
      <calculatedColumnFormula>IFERROR(SUM(Spkr_Center[[#This Row],[Quantity]]/(Spkr_Center[[#This Row],[Total]])),0)</calculatedColumnFormula>
    </tableColumn>
    <tableColumn id="4" xr3:uid="{767E17F8-6F42-44C1-A2DA-0EF250BF8EB3}" name="Misses" dataDxfId="193">
      <calculatedColumnFormula>IFERROR(COUNTIFS(Dyno_Data[Team],$J$19,Dyno_Data[DelDest],"Spkr",Dyno_Data[DelOrig],Spkr_Center[[#This Row],[Origin]],Dyno_Data[DelMiss],1),0)</calculatedColumnFormula>
    </tableColumn>
    <tableColumn id="5" xr3:uid="{1E242D8E-E215-4B7B-8CA0-BC8CFC586D39}" name="Total" dataDxfId="192">
      <calculatedColumnFormula>Spkr_Center[[#This Row],[Quantity]]+Spkr_Center[[#This Row],[Misses]]</calculatedColumnFormula>
    </tableColumn>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43264E54-9721-494F-AEA8-45538758E04D}" name="Spkr_Source" displayName="Spkr_Source" ref="J30:N33" totalsRowShown="0">
  <autoFilter ref="J30:N33" xr:uid="{43264E54-9721-494F-AEA8-45538758E04D}"/>
  <tableColumns count="5">
    <tableColumn id="1" xr3:uid="{E490897F-C85A-4153-B8D5-DEC583923C8B}" name="Origin"/>
    <tableColumn id="2" xr3:uid="{6559871B-871C-4C1C-87AD-F60785800FDA}" name="Quantity" dataDxfId="191">
      <calculatedColumnFormula>IFERROR(COUNTIFS(Dyno_Data[Team],$J$29,Dyno_Data[DelDest],"Spkr",Dyno_Data[DelOrig],Spkr_Source[[#This Row],[Origin]]),0)</calculatedColumnFormula>
    </tableColumn>
    <tableColumn id="3" xr3:uid="{46F4FC47-C608-4EA5-988B-C755A88520DF}" name="Shooting" dataDxfId="190" dataCellStyle="Percent">
      <calculatedColumnFormula>IFERROR(SUM(Spkr_Source[[#This Row],[Quantity]]/(Spkr_Source[[#This Row],[Total]])),0)</calculatedColumnFormula>
    </tableColumn>
    <tableColumn id="4" xr3:uid="{C388A3B2-ED19-4D19-81AB-6387349B09B2}" name="Misses" dataDxfId="189">
      <calculatedColumnFormula>IFERROR(COUNTIFS(Dyno_Data[Team],$J$29,Dyno_Data[DelDest],"Spkr",Dyno_Data[DelOrig],Spkr_Source[[#This Row],[Origin]],Dyno_Data[DelMiss],1),0)</calculatedColumnFormula>
    </tableColumn>
    <tableColumn id="5" xr3:uid="{77B865A1-8135-4C98-B776-0525B4849F2E}" name="Total" dataDxfId="188">
      <calculatedColumnFormula>Spkr_Source[[#This Row],[Quantity]]+Spkr_Source[[#This Row],[Misses]]</calculatedColumnFormula>
    </tableColumn>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CABC808-3141-43C4-9322-209FCE4B758D}" name="Stage_Extras" displayName="Stage_Extras" ref="A2:C5" totalsRowShown="0" headerRowDxfId="187">
  <autoFilter ref="A2:C5" xr:uid="{CEF9DDBE-1FF9-499F-9D95-2F7C580D0694}"/>
  <tableColumns count="3">
    <tableColumn id="2" xr3:uid="{38E953D4-6A71-499B-9DB8-3266935F197D}" name="Team"/>
    <tableColumn id="3" xr3:uid="{3403B916-AC27-42D8-8530-9693193B665E}" name="Harmony" dataDxfId="186">
      <calculatedColumnFormula>SUMIFS(TBA_Matches_All[Harmony],TBA_Matches_All[Team],$A3)</calculatedColumnFormula>
    </tableColumn>
    <tableColumn id="4" xr3:uid="{49FEDFAB-60B0-45F1-AE9D-77577D1C82AD}" name="Spotlit" dataDxfId="185">
      <calculatedColumnFormula>SUMIFS(TBA_Matches_All[Spotlit],TBA_Matches_All[Team],$A3)</calculatedColumnFormula>
    </tableColumn>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D8FF4183-AC58-4F92-A36B-6EB78F962C0F}" name="Alliances30" displayName="Alliances30" ref="O1:AA7" totalsRowShown="0" headerRowDxfId="184">
  <autoFilter ref="O1:AA7" xr:uid="{D8FF4183-AC58-4F92-A36B-6EB78F962C0F}"/>
  <tableColumns count="13">
    <tableColumn id="1" xr3:uid="{B2C9597D-C904-4C31-9ECC-0962B2A33327}" name="Alliance"/>
    <tableColumn id="2" xr3:uid="{D0A5A490-0E11-4B2C-8729-DC8BCB6A9E01}" name="Team"/>
    <tableColumn id="3" xr3:uid="{0B1949FC-BDF3-495F-A84E-D6F091A9612A}" name="Fumbled" dataDxfId="183">
      <calculatedColumnFormula>COUNTIFS(Dyno_Data[Team],Alliances30[[#This Row],[Team]],Dyno_Data[RecordType],"Match_Event",Dyno_Data[match_event],Q$1)</calculatedColumnFormula>
    </tableColumn>
    <tableColumn id="4" xr3:uid="{5399CA34-6013-44AB-AD97-EBF32DCE3C6C}" name="BrokeDown" dataDxfId="182">
      <calculatedColumnFormula>COUNTIFS(Dyno_Data[Team],Alliances30[[#This Row],[Team]],Dyno_Data[RecordType],"Match_Event",Dyno_Data[match_event],R$1)</calculatedColumnFormula>
    </tableColumn>
    <tableColumn id="5" xr3:uid="{02491DB4-7DCC-49BA-B160-8082731DA79F}" name="CrossedCenter" dataDxfId="181">
      <calculatedColumnFormula>COUNTIFS(Dyno_Data[Team],Alliances30[[#This Row],[Team]],Dyno_Data[RecordType],"Match_Event",Dyno_Data[match_event],S$1)</calculatedColumnFormula>
    </tableColumn>
    <tableColumn id="6" xr3:uid="{2882BBBB-DC59-42E1-9CF1-2FDC02540A64}" name="LostParts" dataDxfId="180">
      <calculatedColumnFormula>COUNTIFS(Dyno_Data[Team],Alliances30[[#This Row],[Team]],Dyno_Data[RecordType],"Match_Event",Dyno_Data[match_event],T$1)</calculatedColumnFormula>
    </tableColumn>
    <tableColumn id="7" xr3:uid="{FE520A34-1887-4341-ADF1-854521FA2808}" name="RingToss" dataDxfId="179">
      <calculatedColumnFormula>COUNTIFS(Dyno_Data[Team],Alliances30[[#This Row],[Team]],Dyno_Data[RecordType],"Match_Event",Dyno_Data[match_event],U$1)</calculatedColumnFormula>
    </tableColumn>
    <tableColumn id="8" xr3:uid="{A30F6C8F-453F-493A-8E03-B7C7F0BA265C}" name="AdditionalNote" dataDxfId="178">
      <calculatedColumnFormula>COUNTIFS(Dyno_Data[Team],Alliances30[[#This Row],[Team]],Dyno_Data[RecordType],"Match_Event",Dyno_Data[match_event],V$1)</calculatedColumnFormula>
    </tableColumn>
    <tableColumn id="9" xr3:uid="{05DBC14D-B17B-4518-BAC0-0DF387318A7C}" name="MultiClimb" dataDxfId="177">
      <calculatedColumnFormula>COUNTIFS(Dyno_Data[Team],Alliances30[[#This Row],[Team]],Dyno_Data[RecordType],"Match_Event",Dyno_Data[match_event],W$1)</calculatedColumnFormula>
    </tableColumn>
    <tableColumn id="10" xr3:uid="{64CB1DA5-D264-4306-91EB-D367FE51DC4C}" name="NoShow" dataDxfId="176">
      <calculatedColumnFormula>COUNTIFS(Dyno_Data[Team],Alliances30[[#This Row],[Team]],Dyno_Data[RecordType],"Match_Event",Dyno_Data[match_event],X$1)</calculatedColumnFormula>
    </tableColumn>
    <tableColumn id="11" xr3:uid="{159E2B94-D64D-4162-AF7F-2D3B8168A653}" name="StageInt" dataDxfId="175">
      <calculatedColumnFormula>COUNTIFS(Dyno_Data[Team],Alliances30[[#This Row],[Team]],Dyno_Data[RecordType],"Match_Event",Dyno_Data[match_event],Y$1)</calculatedColumnFormula>
    </tableColumn>
    <tableColumn id="12" xr3:uid="{585E0910-4511-486D-BA1B-74ED08236BCF}" name="TippedOver" dataDxfId="174">
      <calculatedColumnFormula>COUNTIFS(Dyno_Data[Team],Alliances30[[#This Row],[Team]],Dyno_Data[RecordType],"Match_Event",Dyno_Data[match_event],Z$1)</calculatedColumnFormula>
    </tableColumn>
    <tableColumn id="13" xr3:uid="{4BD45577-B880-46FE-9384-599F766797C8}" name="JammedPiece" dataDxfId="173">
      <calculatedColumnFormula>COUNTIFS(Dyno_Data[Team],Alliances30[[#This Row],[Team]],Dyno_Data[RecordType],"Match_Event",Dyno_Data[match_event],AA$1)</calculatedColumnFormula>
    </tableColumn>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D2D5E5-F724-46F3-AF1D-D5A581A929F1}" name="Dyno_Data" displayName="Dyno_Data" ref="A1:AI4379" tableType="queryTable" totalsRowShown="0">
  <autoFilter ref="A1:AI4379" xr:uid="{E0E2EEC0-D2E5-4293-8B7F-343E2CA88CEF}"/>
  <sortState xmlns:xlrd2="http://schemas.microsoft.com/office/spreadsheetml/2017/richdata2" ref="A2:AI4379">
    <sortCondition ref="D1:D4379"/>
  </sortState>
  <tableColumns count="35">
    <tableColumn id="1" xr3:uid="{7351D485-0789-4383-AB06-B3ACF16CCB01}" uniqueName="1" name="Id" queryTableFieldId="1"/>
    <tableColumn id="2" xr3:uid="{79B5CFC2-5505-4BCF-9F63-1B774485B1F9}" uniqueName="2" name="Team" queryTableFieldId="2"/>
    <tableColumn id="3" xr3:uid="{3C91636B-C24C-45C5-803B-67ED1935446B}" uniqueName="3" name="Match" queryTableFieldId="3"/>
    <tableColumn id="4" xr3:uid="{39AA75CD-D2C3-4517-B300-0816AED1AF98}" uniqueName="4" name="Time" queryTableFieldId="4" dataDxfId="61"/>
    <tableColumn id="5" xr3:uid="{08BFFBF1-7091-4762-853C-77B369E59993}" uniqueName="5" name="RecordType" queryTableFieldId="5"/>
    <tableColumn id="6" xr3:uid="{49FE86A5-F2C2-480F-BF9E-6C2C23A9207F}" uniqueName="6" name="Mode" queryTableFieldId="6"/>
    <tableColumn id="7" xr3:uid="{B4F608DD-6D89-4DDB-984E-C01CB7920BEE}" uniqueName="7" name="Leave" queryTableFieldId="7"/>
    <tableColumn id="8" xr3:uid="{D46B453A-8473-40D1-BF06-324DED723E19}" uniqueName="8" name="AcqLoc" queryTableFieldId="8"/>
    <tableColumn id="9" xr3:uid="{27DCBDAC-9AC6-4BED-8012-FA852AC72F68}" uniqueName="9" name="AcqCenter" queryTableFieldId="36"/>
    <tableColumn id="10" xr3:uid="{BB9AFE38-D1C9-4B94-9F9A-967EC1DFDFC7}" uniqueName="10" name="AcqDis" queryTableFieldId="10"/>
    <tableColumn id="11" xr3:uid="{4A57164C-F005-43EA-B771-B16543018919}" uniqueName="11" name="AcqDrp" queryTableFieldId="11"/>
    <tableColumn id="12" xr3:uid="{979AEB10-F7DD-4D62-8AFF-C10B36AF8EB9}" uniqueName="12" name="DelOrig" queryTableFieldId="12"/>
    <tableColumn id="13" xr3:uid="{E565E310-A124-4D83-A6A5-B1ACC9924186}" uniqueName="13" name="DelDest" queryTableFieldId="13"/>
    <tableColumn id="14" xr3:uid="{DA22497D-DEA9-4ACF-87A4-36E9418A64D8}" uniqueName="14" name="DelMiss" queryTableFieldId="14"/>
    <tableColumn id="15" xr3:uid="{0720386A-3C58-47D2-A9A8-07FA66E09F18}" uniqueName="15" name="DriveSta" queryTableFieldId="15"/>
    <tableColumn id="16" xr3:uid="{D2D0132B-D31F-4266-80A2-ADBFA644D6D3}" uniqueName="16" name="RobotSta" queryTableFieldId="16"/>
    <tableColumn id="17" xr3:uid="{76257D14-6FDC-4D90-923E-A851CE5163CE}" uniqueName="17" name="HPAmp" queryTableFieldId="17"/>
    <tableColumn id="18" xr3:uid="{30EB55FC-EAB3-4AAD-9259-4F739E79DA6E}" uniqueName="18" name="StageStat" queryTableFieldId="18"/>
    <tableColumn id="19" xr3:uid="{F6187BE4-4FF6-4334-B987-AC4B47335941}" uniqueName="19" name="StageAtt" queryTableFieldId="19"/>
    <tableColumn id="20" xr3:uid="{28D006EA-618E-4F15-A515-28B609650EDF}" uniqueName="20" name="StageLoc" queryTableFieldId="20"/>
    <tableColumn id="21" xr3:uid="{DBA6ADD0-2D90-434C-9949-F6257350CCA8}" uniqueName="21" name="Harmony" queryTableFieldId="21"/>
    <tableColumn id="22" xr3:uid="{355AAC7A-B269-4FCB-8249-89B9C3021CC9}" uniqueName="22" name="Spotlit" queryTableFieldId="22"/>
    <tableColumn id="23" xr3:uid="{295F6B1B-F946-4228-9D4A-80A128523106}" uniqueName="23" name="ClimbT" queryTableFieldId="23"/>
    <tableColumn id="24" xr3:uid="{E512EBDE-0445-44F0-B2F1-AD9842746F74}" uniqueName="24" name="OZTime" queryTableFieldId="24"/>
    <tableColumn id="25" xr3:uid="{CD9C3FB4-F145-4E86-A15E-CB0E059E3A27}" uniqueName="25" name="NZTime" queryTableFieldId="25"/>
    <tableColumn id="26" xr3:uid="{71F8B6D4-035D-4F0E-AF20-5BF15AA94FBF}" uniqueName="26" name="AZTime" queryTableFieldId="26"/>
    <tableColumn id="27" xr3:uid="{B5880C57-88B6-45CD-BDCF-DEFE36C26C74}" uniqueName="27" name="Defense" queryTableFieldId="27"/>
    <tableColumn id="28" xr3:uid="{E8685A98-D8AB-46F4-8398-5B0DA886D819}" uniqueName="28" name="Avoidance" queryTableFieldId="28"/>
    <tableColumn id="29" xr3:uid="{FDFC9F70-EF40-4155-B4C8-1A4E1260BAA7}" uniqueName="29" name="Strategy" queryTableFieldId="29"/>
    <tableColumn id="30" xr3:uid="{0EC71953-0D7C-4AD0-B62D-CF9587DC9158}" uniqueName="30" name="Mics" queryTableFieldId="30"/>
    <tableColumn id="32" xr3:uid="{6D65003E-CBAD-447B-9090-EE4E8AA6972B}" uniqueName="32" name="ScouterName" queryTableFieldId="32"/>
    <tableColumn id="34" xr3:uid="{2F2B4C96-C521-4005-A131-2872DF6E79FC}" uniqueName="34" name="ScouterError" queryTableFieldId="34"/>
    <tableColumn id="35" xr3:uid="{C4A005B2-43F6-4420-9D87-515EC11CEAFD}" uniqueName="35" name="match_event" queryTableFieldId="35"/>
    <tableColumn id="36" xr3:uid="{24D3C69E-5B2E-4125-8026-34D339C75306}" uniqueName="36" name="teammat" queryTableFieldId="38">
      <calculatedColumnFormula>SUM((MID(Dyno_Data[[#This Row],[Team]],4,5))+(Dyno_Data[[#This Row],[Match]]/100))</calculatedColumnFormula>
    </tableColumn>
    <tableColumn id="31" xr3:uid="{9BFD66FA-CA4D-442E-9C8A-E1A97FFD2D90}" uniqueName="31" name="TimeCenter" queryTableFieldId="39" dataDxfId="60">
      <calculatedColumnFormula>ROUND(SUM(IF(Dyno_Data[[#This Row],[AcqCenter]]&gt;0,Dyno_Data[[#This Row],[Time]]-SUMIFS(Dyno_Data[Time],Dyno_Data[Team],Dyno_Data[[#This Row],[Team]],Dyno_Data[RecordType],"StartMatch",Dyno_Data[Match],Dyno_Data[[#This Row],[Match]]),0)*86400),0)</calculatedColumnFormula>
    </tableColumn>
  </tableColumns>
  <tableStyleInfo name="TableStyleMedium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D4BA0C0-9E2F-4DED-958B-3F916380C7BE}" name="Dyno_EndMatch" displayName="Dyno_EndMatch" ref="A1:AI422" tableType="queryTable" totalsRowShown="0">
  <autoFilter ref="A1:AI422" xr:uid="{0D4BA0C0-9E2F-4DED-958B-3F916380C7BE}"/>
  <sortState xmlns:xlrd2="http://schemas.microsoft.com/office/spreadsheetml/2017/richdata2" ref="A2:AI422">
    <sortCondition ref="D1:D422"/>
  </sortState>
  <tableColumns count="35">
    <tableColumn id="1" xr3:uid="{54650531-8C45-41DF-AB1C-CD7B5C0402B3}" uniqueName="1" name="Id" queryTableFieldId="1"/>
    <tableColumn id="2" xr3:uid="{4B09EABE-B3DE-4974-90FB-96C294E84AE9}" uniqueName="2" name="Team" queryTableFieldId="2"/>
    <tableColumn id="3" xr3:uid="{72A7371E-29E1-4443-84DC-D7B9FDC35148}" uniqueName="3" name="Match" queryTableFieldId="3"/>
    <tableColumn id="4" xr3:uid="{E5B15304-E59D-4753-BC4A-68B4A6729C33}" uniqueName="4" name="Time" queryTableFieldId="4" dataDxfId="59"/>
    <tableColumn id="5" xr3:uid="{81F04D61-1DF5-469F-A01A-FEC15FD13287}" uniqueName="5" name="RecordType" queryTableFieldId="5"/>
    <tableColumn id="6" xr3:uid="{ACD9C2E6-941B-413D-A49F-5CE1A7B7773F}" uniqueName="6" name="Mode" queryTableFieldId="6"/>
    <tableColumn id="7" xr3:uid="{1579D796-FD32-46C2-B1D6-4865B329A173}" uniqueName="7" name="Leave" queryTableFieldId="7"/>
    <tableColumn id="8" xr3:uid="{21377041-8C55-4A1E-A3D3-68A8D46918DF}" uniqueName="8" name="AcqLoc" queryTableFieldId="8"/>
    <tableColumn id="9" xr3:uid="{A49DB03C-CD7B-48CF-AAAC-9EC3457FB0F9}" uniqueName="9" name="AcqCenter" queryTableFieldId="9"/>
    <tableColumn id="10" xr3:uid="{F0F2C987-DF5D-4657-96D7-5E3DC8DCC150}" uniqueName="10" name="AcqDis" queryTableFieldId="10"/>
    <tableColumn id="11" xr3:uid="{F719485A-0427-47FD-ACA6-C79F8F54F504}" uniqueName="11" name="AcqDrp" queryTableFieldId="11"/>
    <tableColumn id="12" xr3:uid="{63258427-A2B2-4AA5-8942-B6DB2CF8A74A}" uniqueName="12" name="DelOrig" queryTableFieldId="12"/>
    <tableColumn id="13" xr3:uid="{EE07A87F-AC31-4D51-BBC3-930AF815351D}" uniqueName="13" name="DelDest" queryTableFieldId="13"/>
    <tableColumn id="14" xr3:uid="{953AA7AB-7E95-4846-9696-3201F5B56012}" uniqueName="14" name="DelMiss" queryTableFieldId="14"/>
    <tableColumn id="15" xr3:uid="{E6058BBF-A401-453B-AA7B-5663289E14FD}" uniqueName="15" name="DriveSta" queryTableFieldId="15"/>
    <tableColumn id="16" xr3:uid="{48D03D8F-5B3A-43FC-8398-FF7F63314E27}" uniqueName="16" name="RobotSta" queryTableFieldId="16"/>
    <tableColumn id="17" xr3:uid="{296441D0-1E4A-466A-A6EF-5CB41D9DAD29}" uniqueName="17" name="HPAmp" queryTableFieldId="17"/>
    <tableColumn id="18" xr3:uid="{B1B74E93-B60A-44DB-B09F-69202CC73CD3}" uniqueName="18" name="StageStat" queryTableFieldId="18"/>
    <tableColumn id="19" xr3:uid="{A20484A9-86EA-4505-A23F-D2481F81E6F1}" uniqueName="19" name="StageAtt" queryTableFieldId="19"/>
    <tableColumn id="20" xr3:uid="{56D01071-AB4F-432F-82DA-3E4D42B9B5F6}" uniqueName="20" name="StageLoc" queryTableFieldId="20"/>
    <tableColumn id="21" xr3:uid="{D5038DC9-F5D2-4BA6-9FAC-1005CD54FBE1}" uniqueName="21" name="Harmony" queryTableFieldId="21"/>
    <tableColumn id="22" xr3:uid="{8F1B1766-AFE3-4542-8894-F4EF29399061}" uniqueName="22" name="Spotlit" queryTableFieldId="22"/>
    <tableColumn id="23" xr3:uid="{8AE6A524-8662-4D83-8F8A-63C21A5F1F21}" uniqueName="23" name="ClimbT" queryTableFieldId="23"/>
    <tableColumn id="24" xr3:uid="{1D78BE9A-21D8-45CF-A6E9-AE1B7E440D9D}" uniqueName="24" name="OZTime" queryTableFieldId="24"/>
    <tableColumn id="25" xr3:uid="{9234D292-6E19-46D4-A75B-C39B54A8E925}" uniqueName="25" name="NZTime" queryTableFieldId="25"/>
    <tableColumn id="26" xr3:uid="{FF892422-C218-4EA6-8CB1-AE45CEE6798B}" uniqueName="26" name="AZTime" queryTableFieldId="26"/>
    <tableColumn id="27" xr3:uid="{74F347D9-8A28-4299-8440-EFC88E62A9FE}" uniqueName="27" name="Defense" queryTableFieldId="27"/>
    <tableColumn id="28" xr3:uid="{BE17ECD9-D12E-4CB3-B39B-6904229FC793}" uniqueName="28" name="Avoidance" queryTableFieldId="28"/>
    <tableColumn id="29" xr3:uid="{5A9C9F93-01F4-46D2-952E-9F51AB86474A}" uniqueName="29" name="Strategy" queryTableFieldId="29"/>
    <tableColumn id="30" xr3:uid="{2B531741-C701-46F4-A03C-0AD8C6AB3799}" uniqueName="30" name="Mics" queryTableFieldId="30"/>
    <tableColumn id="32" xr3:uid="{980B162C-DB2A-4B92-BDF8-C6C2F8A1B531}" uniqueName="32" name="ScouterName" queryTableFieldId="32"/>
    <tableColumn id="34" xr3:uid="{0F726ADE-23E5-4F39-AC38-7920E7FDA506}" uniqueName="34" name="ScouterError" queryTableFieldId="34"/>
    <tableColumn id="35" xr3:uid="{A92F52D0-E373-4641-AB6A-73FC74AA0B70}" uniqueName="35" name="match_event" queryTableFieldId="35"/>
    <tableColumn id="36" xr3:uid="{932D0D6D-9C83-4FEC-86D5-E71031F7AD0F}" uniqueName="36" name="teammat" queryTableFieldId="36"/>
    <tableColumn id="31" xr3:uid="{1B74E62F-2992-40ED-B31D-01930313EC20}" uniqueName="31" name="TimeCenter" queryTableFieldId="37"/>
  </tableColumns>
  <tableStyleInfo name="TableStyleMedium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8905474-F835-485E-856B-0EBCCA3BE9DF}" name="TBA_Rankings" displayName="TBA_Rankings" ref="A2:AJ53" tableType="queryTable" totalsRowShown="0">
  <autoFilter ref="A2:AJ53" xr:uid="{FA172831-8862-4CDB-9432-DF78CFB38395}"/>
  <sortState xmlns:xlrd2="http://schemas.microsoft.com/office/spreadsheetml/2017/richdata2" ref="A3:AJ53">
    <sortCondition descending="1" ref="L2:L53"/>
  </sortState>
  <tableColumns count="36">
    <tableColumn id="1" xr3:uid="{27E7C07F-98B9-4371-862C-67FF4232595A}" uniqueName="1" name="Name" queryTableFieldId="1"/>
    <tableColumn id="4" xr3:uid="{B6118A43-BB43-4831-9746-10B68CCFB5FC}" uniqueName="4" name="Rank" queryTableFieldId="4" dataDxfId="58"/>
    <tableColumn id="5" xr3:uid="{CC181E0C-F3F1-4EC3-99A9-4936934D38E5}" uniqueName="5" name="Team" queryTableFieldId="5"/>
    <tableColumn id="3" xr3:uid="{50EEB6C8-86F5-4CB3-8991-C54C288001E6}" uniqueName="3" name="RP" queryTableFieldId="3" dataDxfId="57"/>
    <tableColumn id="2" xr3:uid="{EAF16A06-681F-44F3-A2D1-3FDBA159A049}" uniqueName="2" name="avescoreA" queryTableFieldId="6" dataDxfId="56">
      <calculatedColumnFormula>IFERROR(AVERAGEIFS(TBA_Matches_All[Score], TBA_Matches_All[Team],TBA_Rankings[[#This Row],[Team]],TBA_Matches_All[Scouted],"&gt;0"),0)</calculatedColumnFormula>
    </tableColumn>
    <tableColumn id="6" xr3:uid="{D825E0A7-C0B6-4132-B051-0B0822E3856C}" uniqueName="6" name="avescoreT" queryTableFieldId="7" dataDxfId="55">
      <calculatedColumnFormula>IFERROR(AVERAGEIFS(TBA_Matches_All[TotptsC], TBA_Matches_All[Team],TBA_Rankings[[#This Row],[Team]],TBA_Matches_All[Scouted],"&gt;0"),0)</calculatedColumnFormula>
    </tableColumn>
    <tableColumn id="7" xr3:uid="{5C605DAD-7992-404F-BAC3-73D882D22BFA}" uniqueName="7" name="avescoreP" queryTableFieldId="8" dataDxfId="54">
      <calculatedColumnFormula>IFERROR(TBA_Rankings[[#This Row],[avescoreT]]/TBA_Rankings[[#This Row],[avescoreA]],0)</calculatedColumnFormula>
    </tableColumn>
    <tableColumn id="8" xr3:uid="{541923A4-9D93-4493-96FF-84848C8652D2}" uniqueName="8" name="aveampA" queryTableFieldId="9" dataDxfId="53">
      <calculatedColumnFormula>IFERROR(SUM(AVERAGEIFS(TBA_Matches_All[Aamp],TBA_Matches_All[Team],TBA_Rankings[[#This Row],[Team]],TBA_Matches_All[Scouted],"&gt;0")+AVERAGEIFS(TBA_Matches_All[Tamp],TBA_Matches_All[Team],TBA_Rankings[[#This Row],[Team]],TBA_Matches_All[Scouted],"&gt;0")),0)</calculatedColumnFormula>
    </tableColumn>
    <tableColumn id="9" xr3:uid="{150994E7-84F8-4149-9B7B-75ED3E1F7163}" uniqueName="9" name="aveampT" queryTableFieldId="10" dataDxfId="52">
      <calculatedColumnFormula>IFERROR(SUM(AVERAGEIFS(TBA_Matches_All[AampT],TBA_Matches_All[Team],TBA_Rankings[[#This Row],[Team]],TBA_Matches_All[Scouted],"&gt;0")+AVERAGEIFS(TBA_Matches_All[TampT],TBA_Matches_All[Team],TBA_Rankings[[#This Row],[Team]],TBA_Matches_All[Scouted],"&gt;0")),0)</calculatedColumnFormula>
    </tableColumn>
    <tableColumn id="10" xr3:uid="{C028F3E2-89D2-4273-8276-5F082B2C533F}" uniqueName="10" name="aveampP" queryTableFieldId="11" dataDxfId="51">
      <calculatedColumnFormula>IFERROR(TBA_Rankings[[#This Row],[aveampT]]/TBA_Rankings[[#This Row],[aveampA]],0)</calculatedColumnFormula>
    </tableColumn>
    <tableColumn id="11" xr3:uid="{A72EBC6D-9ACD-486C-90B9-C22B294A41B6}" uniqueName="11" name="avespkrA" queryTableFieldId="12" dataDxfId="50">
      <calculatedColumnFormula>IFERROR(SUM(AVERAGEIFS(TBA_Matches_All[Aspkr],TBA_Matches_All[Team],TBA_Rankings[[#This Row],[Team]],TBA_Matches_All[Scouted],"&gt;0")+AVERAGEIFS(TBA_Matches_All[Tspkr],TBA_Matches_All[Team],TBA_Rankings[[#This Row],[Team]],TBA_Matches_All[Scouted],"&gt;0")),0)</calculatedColumnFormula>
    </tableColumn>
    <tableColumn id="12" xr3:uid="{CADB6C80-F715-4CC6-BABF-CFD15B649C79}" uniqueName="12" name="avespkrT" queryTableFieldId="13" dataDxfId="49">
      <calculatedColumnFormula>IFERROR(SUM(AVERAGEIFS(TBA_Matches_All[AspkrT],TBA_Matches_All[Team],TBA_Rankings[[#This Row],[Team]],TBA_Matches_All[Scouted],"&gt;0")+AVERAGEIFS(TBA_Matches_All[TspkrT],TBA_Matches_All[Team],TBA_Rankings[[#This Row],[Team]],TBA_Matches_All[Scouted],"&gt;0")),0)</calculatedColumnFormula>
    </tableColumn>
    <tableColumn id="13" xr3:uid="{DE5FDD9D-CAB4-4AD4-AD7A-EEEA596E12F1}" uniqueName="13" name="avespkrP" queryTableFieldId="14" dataDxfId="48">
      <calculatedColumnFormula>IFERROR(TBA_Rankings[[#This Row],[avespkrT]]/TBA_Rankings[[#This Row],[avespkrA]],0)</calculatedColumnFormula>
    </tableColumn>
    <tableColumn id="14" xr3:uid="{9694AA50-1FCE-4E6A-997A-FED5B8F1BD9F}" uniqueName="14" name="avetrapA" queryTableFieldId="15" dataDxfId="47">
      <calculatedColumnFormula>IFERROR(AVERAGEIFS(TBA_Matches_All[Trap],TBA_Matches_All[Team],TBA_Rankings[[#This Row],[Team]],TBA_Matches_All[Scouted],"&gt;0"),0)</calculatedColumnFormula>
    </tableColumn>
    <tableColumn id="15" xr3:uid="{0945BDFE-8C5A-4BC0-9526-1FFC8C1243AB}" uniqueName="15" name="avetrapT" queryTableFieldId="16" dataDxfId="46">
      <calculatedColumnFormula>IFERROR(SUM(AVERAGEIFS(TBA_Matches_All[AtrapT],TBA_Matches_All[Team],TBA_Rankings[[#This Row],[Team]],TBA_Matches_All[Scouted],"&gt;0")+AVERAGEIFS(TBA_Matches_All[TtrapT],TBA_Matches_All[Team],TBA_Rankings[[#This Row],[Team]],TBA_Matches_All[Scouted],"&gt;0")),0)</calculatedColumnFormula>
    </tableColumn>
    <tableColumn id="16" xr3:uid="{51D33BC0-EE6A-4E07-9C3D-D607C6799A73}" uniqueName="16" name="avetrapP" queryTableFieldId="17" dataDxfId="45">
      <calculatedColumnFormula>IFERROR(TBA_Rankings[[#This Row],[avetrapT]]/TBA_Rankings[[#This Row],[avetrapA]],0)</calculatedColumnFormula>
    </tableColumn>
    <tableColumn id="17" xr3:uid="{C4F07BBC-37E2-49DC-B87F-0703F950DE0B}" uniqueName="17" name="avenotesA" queryTableFieldId="18" dataDxfId="44">
      <calculatedColumnFormula>IFERROR(AVERAGEIFS(TBA_Matches_All[TotNotes],TBA_Matches_All[Team],TBA_Rankings[[#This Row],[Team]],TBA_Matches_All[Scouted],"&gt;0"),0)</calculatedColumnFormula>
    </tableColumn>
    <tableColumn id="18" xr3:uid="{0382EC05-6CD0-4100-A862-6AC8A8ABF1D9}" uniqueName="18" name="avenotesT" queryTableFieldId="19" dataDxfId="43">
      <calculatedColumnFormula>IFERROR(AVERAGEIFS(TBA_Matches_All[TotNotesT],TBA_Matches_All[Team],TBA_Rankings[[#This Row],[Team]],TBA_Matches_All[Scouted],"&gt;0"),0)</calculatedColumnFormula>
    </tableColumn>
    <tableColumn id="19" xr3:uid="{619BA493-98FC-4F4F-B3F2-DEAD543769EE}" uniqueName="19" name="avenotesP" queryTableFieldId="20" dataDxfId="42">
      <calculatedColumnFormula>IFERROR(TBA_Rankings[[#This Row],[avenotesT]]/TBA_Rankings[[#This Row],[avenotesA]],0)</calculatedColumnFormula>
    </tableColumn>
    <tableColumn id="20" xr3:uid="{48716B0F-2A1E-42D1-A268-974589375C3F}" uniqueName="20" name="avestageA" queryTableFieldId="21" dataDxfId="41">
      <calculatedColumnFormula>IFERROR(AVERAGEIFS(TBA_Matches_All[StagePts],TBA_Matches_All[Team],TBA_Rankings[[#This Row],[Team]],TBA_Matches_All[Scouted],"&gt;0"),0)</calculatedColumnFormula>
    </tableColumn>
    <tableColumn id="21" xr3:uid="{22ECBC01-A84A-4360-A17F-40CDBA308AE4}" uniqueName="21" name="avestageT" queryTableFieldId="22" dataDxfId="40">
      <calculatedColumnFormula>IFERROR(AVERAGEIFS(TBA_Matches_All[stageptsT],TBA_Matches_All[Team],TBA_Rankings[[#This Row],[Team]],TBA_Matches_All[Scouted],"&gt;0"),0)</calculatedColumnFormula>
    </tableColumn>
    <tableColumn id="22" xr3:uid="{CFD843C3-0B28-4068-B3D7-D89FCC647B05}" uniqueName="22" name="avestageP" queryTableFieldId="23" dataDxfId="39">
      <calculatedColumnFormula>IFERROR(TBA_Rankings[[#This Row],[avestageT]]/TBA_Rankings[[#This Row],[avestageA]],0)</calculatedColumnFormula>
    </tableColumn>
    <tableColumn id="23" xr3:uid="{393C7368-2D20-4F92-B37A-2E011F1C3C18}" uniqueName="23" name="aveAampT" queryTableFieldId="24" dataDxfId="38">
      <calculatedColumnFormula>IFERROR(AVERAGEIFS(TBA_Matches_All[AampT],TBA_Matches_All[Team],TBA_Rankings[[#This Row],[Team]],TBA_Matches_All[Scouted],"&gt;0"),0)</calculatedColumnFormula>
    </tableColumn>
    <tableColumn id="24" xr3:uid="{2EABD259-ECBD-4090-8902-B0749A38616E}" uniqueName="24" name="aveAspkrT" queryTableFieldId="25" dataDxfId="37">
      <calculatedColumnFormula>IFERROR(AVERAGEIFS(TBA_Matches_All[AspkrT],TBA_Matches_All[Team],TBA_Rankings[[#This Row],[Team]],TBA_Matches_All[Scouted],"&gt;0"),0)</calculatedColumnFormula>
    </tableColumn>
    <tableColumn id="25" xr3:uid="{7CCFFBED-E0C1-4C73-9106-16B0F57A67A6}" uniqueName="25" name="aveAtrapT" queryTableFieldId="26" dataDxfId="36">
      <calculatedColumnFormula>IFERROR(AVERAGEIFS(TBA_Matches_All[AtrapT],TBA_Matches_All[Team],TBA_Rankings[[#This Row],[Team]],TBA_Matches_All[Scouted],"&gt;0"),0)</calculatedColumnFormula>
    </tableColumn>
    <tableColumn id="26" xr3:uid="{BF43C1E4-4536-4C37-8304-4D2AFFD2FB1C}" uniqueName="26" name="aveTampT" queryTableFieldId="29" dataDxfId="35">
      <calculatedColumnFormula>IFERROR(AVERAGEIFS(TBA_Matches_All[TampT],TBA_Matches_All[Team],TBA_Rankings[[#This Row],[Team]],TBA_Matches_All[Scouted],"&gt;0"),0)</calculatedColumnFormula>
    </tableColumn>
    <tableColumn id="27" xr3:uid="{646D2327-FD14-42A5-8AEB-AE5D39B1A26A}" uniqueName="27" name="aveTspkrT" queryTableFieldId="30" dataDxfId="34">
      <calculatedColumnFormula>IFERROR(AVERAGEIFS(TBA_Matches_All[TspkrT],TBA_Matches_All[Team],TBA_Rankings[[#This Row],[Team]],TBA_Matches_All[Scouted],"&gt;0"),0)</calculatedColumnFormula>
    </tableColumn>
    <tableColumn id="28" xr3:uid="{0CC62716-60F5-4BAF-8728-CEC43EAF9053}" uniqueName="28" name="aveTtrapT" queryTableFieldId="31" dataDxfId="33">
      <calculatedColumnFormula>IFERROR(AVERAGEIFS(TBA_Matches_All[TtrapT],TBA_Matches_All[Team],TBA_Rankings[[#This Row],[Team]],TBA_Matches_All[Scouted],"&gt;0"),0)</calculatedColumnFormula>
    </tableColumn>
    <tableColumn id="29" xr3:uid="{69DFE125-7560-487D-82DF-8D24A03B9753}" uniqueName="29" name="D3Diff" queryTableFieldId="32" dataDxfId="32">
      <calculatedColumnFormula>IFERROR(AVERAGEIFS(TBA_Matches_All[ATTNDDiff],TBA_Matches_All[Team],TBA_Rankings[[#This Row],[Team]],TBA_Matches_All[Defense],3,TBA_Matches_All[Scouted],"&gt;0"),0)</calculatedColumnFormula>
    </tableColumn>
    <tableColumn id="30" xr3:uid="{737986B8-20CC-445E-929F-D6C9D1B6F3A2}" uniqueName="30" name="D2Diff" queryTableFieldId="33" dataDxfId="31">
      <calculatedColumnFormula>IFERROR(AVERAGEIFS(TBA_Matches_All[ATTNDDiff],TBA_Matches_All[Team],TBA_Rankings[[#This Row],[Team]],TBA_Matches_All[Defense],2,TBA_Matches_All[Scouted],"&gt;0"),0)</calculatedColumnFormula>
    </tableColumn>
    <tableColumn id="31" xr3:uid="{622AD09C-2014-4B40-8C25-24BBDA6A0CA3}" uniqueName="31" name="D1Diff" queryTableFieldId="34" dataDxfId="30">
      <calculatedColumnFormula>IFERROR(AVERAGEIFS(TBA_Matches_All[ATTNDDiff],TBA_Matches_All[Team],TBA_Rankings[[#This Row],[Team]],TBA_Matches_All[Defense],1,TBA_Matches_All[Scouted],"&gt;0"),0)</calculatedColumnFormula>
    </tableColumn>
    <tableColumn id="35" xr3:uid="{E42EF2CB-4905-4C9C-9557-53FA269EC00A}" uniqueName="35" name="D0Diff" queryTableFieldId="38" dataDxfId="29">
      <calculatedColumnFormula>IFERROR(AVERAGEIFS(TBA_Matches_All[ATTNDDiff],TBA_Matches_All[Team],TBA_Rankings[[#This Row],[Team]],TBA_Matches_All[Defense],0,TBA_Matches_All[Scouted],"&gt;0"),0)</calculatedColumnFormula>
    </tableColumn>
    <tableColumn id="32" xr3:uid="{D38D1D95-E850-44B6-9566-13D065B396CB}" uniqueName="32" name="A3Diff" queryTableFieldId="35" dataDxfId="28">
      <calculatedColumnFormula>IFERROR(AVERAGEIFS(TBA_Matches_All[ATTNDDiff],TBA_Matches_All[Team],TBA_Rankings[[#This Row],[Team]],TBA_Matches_All[Avoid],3,TBA_Matches_All[Scouted],"&gt;0"),0)</calculatedColumnFormula>
    </tableColumn>
    <tableColumn id="33" xr3:uid="{C34ED8FE-3DDF-4CD3-84EA-F1830D402718}" uniqueName="33" name="A2Diff" queryTableFieldId="36" dataDxfId="27">
      <calculatedColumnFormula>IFERROR(AVERAGEIFS(TBA_Matches_All[ATTNDDiff],TBA_Matches_All[Team],TBA_Rankings[[#This Row],[Team]],TBA_Matches_All[Avoid],2,TBA_Matches_All[Scouted],"&gt;0"),0)</calculatedColumnFormula>
    </tableColumn>
    <tableColumn id="34" xr3:uid="{C49E538D-731C-4BF3-99D8-6452125CCBF8}" uniqueName="34" name="A1Diff" queryTableFieldId="37" dataDxfId="26">
      <calculatedColumnFormula>IFERROR(AVERAGEIFS(TBA_Matches_All[ATTNDDiff],TBA_Matches_All[Team],TBA_Rankings[[#This Row],[Team]],TBA_Matches_All[Avoid],1,TBA_Matches_All[Scouted],"&gt;0"),0)</calculatedColumnFormula>
    </tableColumn>
    <tableColumn id="36" xr3:uid="{896BCA26-74AF-4FEB-A404-F96B1FC4D519}" uniqueName="36" name="A0Diff" queryTableFieldId="39" dataDxfId="25">
      <calculatedColumnFormula>IFERROR(AVERAGEIFS(TBA_Matches_All[ATTNDDiff],TBA_Matches_All[Team],TBA_Rankings[[#This Row],[Team]],TBA_Matches_All[Avoid],0,TBA_Matches_All[Scouted],"&gt;0"),0)</calculatedColumnFormula>
    </tableColumn>
  </tableColumns>
  <tableStyleInfo name="TableStyleMedium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DEE7266-5F82-4033-9BAD-BF05C622A5D8}" name="TBA_Matches_All" displayName="TBA_Matches_All" ref="A2:DD338" tableType="queryTable" totalsRowShown="0">
  <autoFilter ref="A2:DD338" xr:uid="{5F570C33-6148-4EA1-A7E5-0DE9540A1CD5}"/>
  <tableColumns count="108">
    <tableColumn id="2" xr3:uid="{164F6BE9-4A43-4601-B508-2AF1D1F2A644}" uniqueName="2" name="Event_Key" queryTableFieldId="2"/>
    <tableColumn id="1" xr3:uid="{439B84F3-B648-494A-9ADE-EF18054A52CD}" uniqueName="1" name="Comp_Level" queryTableFieldId="1"/>
    <tableColumn id="3" xr3:uid="{B54B25C5-0CEB-4A1F-98D6-7514F2C40E60}" uniqueName="3" name="Key" queryTableFieldId="3"/>
    <tableColumn id="4" xr3:uid="{BD93A07E-7038-4942-8FED-A0E86BA53B54}" uniqueName="4" name="Match_Number" queryTableFieldId="4"/>
    <tableColumn id="92" xr3:uid="{3F314C1F-847C-4D39-B7F4-2508D50C780D}" uniqueName="92" name="Alliance" queryTableFieldId="114"/>
    <tableColumn id="5" xr3:uid="{26FE2AAF-9A03-42EB-8933-73E68CF7D771}" uniqueName="5" name="Station" queryTableFieldId="5"/>
    <tableColumn id="6" xr3:uid="{934154E0-4606-4B90-A4F3-9B763BD62FAE}" uniqueName="6" name="View" queryTableFieldId="6"/>
    <tableColumn id="7" xr3:uid="{C0EE447A-3A44-4BD5-8317-DF08A8C7C5DE}" uniqueName="7" name="Team" queryTableFieldId="7"/>
    <tableColumn id="8" xr3:uid="{ED76B55B-955A-4309-BBAF-F5EBB3BBA1B9}" uniqueName="8" name="Coopertition" queryTableFieldId="11"/>
    <tableColumn id="9" xr3:uid="{B7B87C7D-B3B1-4B04-AA67-92DB935D3A6B}" uniqueName="9" name="Score" queryTableFieldId="12"/>
    <tableColumn id="102" xr3:uid="{80A32857-6B1E-4948-8B5C-4246A90159F7}" uniqueName="102" name="MelodyRP" queryTableFieldId="137"/>
    <tableColumn id="103" xr3:uid="{0296D0FE-95FD-4A23-990F-C06585CA1BA0}" uniqueName="103" name="EnsembleRP" queryTableFieldId="138"/>
    <tableColumn id="10" xr3:uid="{6A5E1961-DC39-482C-9DA2-949BA5F17012}" uniqueName="10" name="OppFoulPts" queryTableFieldId="13"/>
    <tableColumn id="11" xr3:uid="{9B7233CD-5B8A-4221-8236-FA9910538905}" uniqueName="11" name="Aamp" queryTableFieldId="14"/>
    <tableColumn id="12" xr3:uid="{64C97DD0-04EE-4F18-AFFC-A85773F41819}" uniqueName="12" name="Aspkr" queryTableFieldId="15"/>
    <tableColumn id="13" xr3:uid="{FA89629A-C767-4AC8-A7A7-E963944AD2F5}" uniqueName="13" name="ANotePts" queryTableFieldId="120"/>
    <tableColumn id="93" xr3:uid="{A12EA0B2-AB74-4E8A-B043-BCA4D168AC36}" uniqueName="93" name="AutoPts" queryTableFieldId="115"/>
    <tableColumn id="14" xr3:uid="{536FBBCA-EB5A-4071-9977-6C1A9C729C13}" uniqueName="14" name="Tamp" queryTableFieldId="17"/>
    <tableColumn id="17" xr3:uid="{18B3B9E1-3636-44B1-8C4D-8556885FC385}" uniqueName="17" name="Tspkra" queryTableFieldId="121"/>
    <tableColumn id="95" xr3:uid="{B077EA12-C835-42AF-A62B-76FA6E87D343}" uniqueName="95" name="Tspkrna" queryTableFieldId="122"/>
    <tableColumn id="96" xr3:uid="{3FE08D4E-0605-4D19-9BC2-70715C090BE2}" uniqueName="96" name="TspkraPts" queryTableFieldId="123"/>
    <tableColumn id="97" xr3:uid="{0365C226-D543-4ED9-89AE-5900D161763C}" uniqueName="97" name="TspkrnaPts" queryTableFieldId="124"/>
    <tableColumn id="15" xr3:uid="{E6B6EA37-A77F-4D9A-8898-4546C927BF27}" uniqueName="15" name="Tspkr" queryTableFieldId="18"/>
    <tableColumn id="16" xr3:uid="{5A8D1B4F-BBB5-4D42-BFD9-C24DADA5150D}" uniqueName="16" name="TspkrPts" queryTableFieldId="19"/>
    <tableColumn id="98" xr3:uid="{F4B1D821-124E-42D9-B8BF-D7F510535FDF}" uniqueName="98" name="TNotePts" queryTableFieldId="125"/>
    <tableColumn id="99" xr3:uid="{C0598311-DE1A-4A4E-A1F4-26231390E537}" uniqueName="99" name="TrapPts" queryTableFieldId="126"/>
    <tableColumn id="100" xr3:uid="{27569104-01D1-48C1-8104-C545E30D44E3}" uniqueName="100" name="Trap" queryTableFieldId="127"/>
    <tableColumn id="18" xr3:uid="{E20EB464-867B-4445-BF58-EBC5C3518F29}" uniqueName="18" name="TotNotes" queryTableFieldId="21"/>
    <tableColumn id="19" xr3:uid="{D20F578D-3EDC-4538-B17E-A9E3C3349EB4}" uniqueName="19" name="NotePts" queryTableFieldId="22"/>
    <tableColumn id="20" xr3:uid="{6BCC1281-8F86-4245-8A1D-21438075B467}" uniqueName="20" name="StagePts" queryTableFieldId="23"/>
    <tableColumn id="106" xr3:uid="{D24F8BA3-B994-4F34-8B9D-F75922F45FB5}" uniqueName="106" name="Scouted" queryTableFieldId="151">
      <calculatedColumnFormula>IFERROR(6/(COUNTIF(Dyno_EndMatch[Match],TBA_Matches_All[[#This Row],[Match_Number]])),0)</calculatedColumnFormula>
    </tableColumn>
    <tableColumn id="25" xr3:uid="{4F0434AD-3C6F-4A30-AB11-594B8E45B374}" uniqueName="25" name="HPamp" queryTableFieldId="31">
      <calculatedColumnFormula>COUNTIFS(Dyno_Data[Team],TBA_Matches_All[[#This Row],[Team]],Dyno_Data[Match],TBA_Matches_All[[#This Row],[Match_Number]],Dyno_Data[RecordType],"EndMatch",Dyno_Data[HPAmp],"Y")</calculatedColumnFormula>
    </tableColumn>
    <tableColumn id="26" xr3:uid="{FE3BA28B-AD0F-48DF-AC8F-C3686AF60B65}" uniqueName="26" name="HPmics" queryTableFieldId="32">
      <calculatedColumnFormula>SUMIFS(Dyno_Data[Mics], Dyno_Data[Team],TBA_Matches_All[[#This Row],[Team]],Dyno_Data[Match],TBA_Matches_All[[#This Row],[Match_Number]],Dyno_Data[RecordType],"EndMatch",Dyno_Data[HPAmp],"Y")</calculatedColumnFormula>
    </tableColumn>
    <tableColumn id="27" xr3:uid="{E4B70CBC-CCB9-41AC-928F-326C5AAEC3A9}" uniqueName="27" name="Leave" queryTableFieldId="33">
      <calculatedColumnFormula>SUMIFS(Dyno_Data[Leave], Dyno_Data[Team],TBA_Matches_All[[#This Row],[Team]],Dyno_Data[Match],TBA_Matches_All[[#This Row],[Match_Number]],Dyno_Data[RecordType],"EndAuto")</calculatedColumnFormula>
    </tableColumn>
    <tableColumn id="28" xr3:uid="{76F34DE7-98CF-43B9-8F1F-ADAEC5FA87EE}" uniqueName="28" name="AampT" queryTableFieldId="34">
      <calculatedColumnFormula>COUNTIFS(Dyno_Data[Team],TBA_Matches_All[[#This Row],[Team]],Dyno_Data[Match],TBA_Matches_All[[#This Row],[Match_Number]],Dyno_Data[RecordType],"Activities",Dyno_Data[DelDest],"Amp", Dyno_Data[DelMiss],"0", Dyno_Data[Mode],"Auto")</calculatedColumnFormula>
    </tableColumn>
    <tableColumn id="29" xr3:uid="{20225FA5-8626-4123-B7DA-432456F7905F}" uniqueName="29" name="AspkrT" queryTableFieldId="35">
      <calculatedColumnFormula>COUNTIFS(Dyno_Data[Team],TBA_Matches_All[[#This Row],[Team]],Dyno_Data[Match],TBA_Matches_All[[#This Row],[Match_Number]],Dyno_Data[RecordType],"Activities",Dyno_Data[DelDest],"Spkr", Dyno_Data[DelMiss],"0", Dyno_Data[Mode],"Auto")</calculatedColumnFormula>
    </tableColumn>
    <tableColumn id="30" xr3:uid="{B941FCB6-3CCF-459F-8305-FEE5B9363FD7}" uniqueName="30" name="AtrapT" queryTableFieldId="36">
      <calculatedColumnFormula>COUNTIFS(Dyno_Data[Team],TBA_Matches_All[[#This Row],[Team]],Dyno_Data[Match],TBA_Matches_All[[#This Row],[Match_Number]],Dyno_Data[RecordType],"Activities",Dyno_Data[DelDest],"Trap", Dyno_Data[DelMiss],"0", Dyno_Data[Mode],"Auto")</calculatedColumnFormula>
    </tableColumn>
    <tableColumn id="31" xr3:uid="{99233C60-3FBB-4AEE-9B9D-B5474EA2182E}" uniqueName="31" name="TampT" queryTableFieldId="37">
      <calculatedColumnFormula>COUNTIFS(Dyno_Data[Team],TBA_Matches_All[[#This Row],[Team]],Dyno_Data[Match],TBA_Matches_All[[#This Row],[Match_Number]],Dyno_Data[RecordType],"Activities",Dyno_Data[DelDest],"Amp", Dyno_Data[DelMiss],"0", Dyno_Data[Mode],"Teleop")</calculatedColumnFormula>
    </tableColumn>
    <tableColumn id="32" xr3:uid="{C81A4839-286C-4B86-AF07-51EFB83954B5}" uniqueName="32" name="TspkrT" queryTableFieldId="38">
      <calculatedColumnFormula>COUNTIFS(Dyno_Data[Team],TBA_Matches_All[[#This Row],[Team]],Dyno_Data[Match],TBA_Matches_All[[#This Row],[Match_Number]],Dyno_Data[RecordType],"Activities",Dyno_Data[DelDest],"Spkr", Dyno_Data[DelMiss],"0", Dyno_Data[Mode],"Teleop")</calculatedColumnFormula>
    </tableColumn>
    <tableColumn id="33" xr3:uid="{73BCFE14-3655-47BD-90F7-2631CB736702}" uniqueName="33" name="TtrapT" queryTableFieldId="39">
      <calculatedColumnFormula>COUNTIFS(Dyno_Data[Team],TBA_Matches_All[[#This Row],[Team]],Dyno_Data[Match],TBA_Matches_All[[#This Row],[Match_Number]],Dyno_Data[RecordType],"Activities",Dyno_Data[DelDest],"Trap", Dyno_Data[DelMiss],"0", Dyno_Data[Mode],"&lt;&gt;Auto")</calculatedColumnFormula>
    </tableColumn>
    <tableColumn id="34" xr3:uid="{A5ED6249-05F2-4F4C-8DA4-F1E17C7AED69}" uniqueName="34" name="TotNotesT" queryTableFieldId="40">
      <calculatedColumnFormula>SUM(TBA_Matches_All[[#This Row],[AampT]]+TBA_Matches_All[[#This Row],[AspkrT]]+TBA_Matches_All[[#This Row],[AtrapT]]+TBA_Matches_All[[#This Row],[TampT]]+TBA_Matches_All[[#This Row],[TspkrT]]+TBA_Matches_All[[#This Row],[TtrapT]])</calculatedColumnFormula>
    </tableColumn>
    <tableColumn id="76" xr3:uid="{83E827C4-BF4F-4207-870E-A4D05999847B}" uniqueName="76" name="NeutFlrT" queryTableFieldId="88">
      <calculatedColumnFormula>COUNTIFS(Dyno_Data[Team],TBA_Matches_All[[#This Row],[Team]],Dyno_Data[Match],TBA_Matches_All[[#This Row],[Match_Number]],Dyno_Data[RecordType],"Activities",Dyno_Data[DelDest],"Neut", Dyno_Data[DelMiss],"0")</calculatedColumnFormula>
    </tableColumn>
    <tableColumn id="75" xr3:uid="{8DC089AC-5CF0-4756-9EB4-A1A428BB5A08}" uniqueName="75" name="AllyWFlrT" queryTableFieldId="87">
      <calculatedColumnFormula>COUNTIFS(Dyno_Data[Team],TBA_Matches_All[[#This Row],[Team]],Dyno_Data[Match],TBA_Matches_All[[#This Row],[Match_Number]],Dyno_Data[RecordType],"Activities",Dyno_Data[DelDest],"AllyW", Dyno_Data[DelMiss],"0")</calculatedColumnFormula>
    </tableColumn>
    <tableColumn id="35" xr3:uid="{B3C1F813-657A-444C-BBAF-AD8397842F74}" uniqueName="35" name="RobotSet" queryTableFieldId="41">
      <calculatedColumnFormula>_xlfn.XLOOKUP(SUM(MID(TBA_Matches_All[[#This Row],[Team]],4,5),(TBA_Matches_All[[#This Row],[Match_Number]]/100)),Dyno_EndMatch[teammat],Dyno_EndMatch[RobotSta],"_",0,1)</calculatedColumnFormula>
    </tableColumn>
    <tableColumn id="36" xr3:uid="{F10D0D34-9188-4646-90FC-E4217848E7AE}" uniqueName="36" name="Acenter1" queryTableFieldId="42">
      <calculatedColumnFormula>SUMIFS(Dyno_Data[AcqDis], Dyno_Data[Team],TBA_Matches_All[[#This Row],[Team]],Dyno_Data[Match],TBA_Matches_All[[#This Row],[Match_Number]],Dyno_Data[RecordType],"Activities", Dyno_Data[AcqCenter],1,Dyno_Data[Mode],"Auto")</calculatedColumnFormula>
    </tableColumn>
    <tableColumn id="37" xr3:uid="{7C66D457-6F05-4DB6-8E32-3A1A437E9A42}" uniqueName="37" name="Acenter2" queryTableFieldId="43">
      <calculatedColumnFormula>SUMIFS(Dyno_Data[AcqDis], Dyno_Data[Team],TBA_Matches_All[[#This Row],[Team]],Dyno_Data[Match],TBA_Matches_All[[#This Row],[Match_Number]],Dyno_Data[RecordType],"Activities", Dyno_Data[AcqCenter],2,Dyno_Data[Mode],"Auto")</calculatedColumnFormula>
    </tableColumn>
    <tableColumn id="38" xr3:uid="{A9A3A951-FF79-4C1C-9652-26FA4B83DCFF}" uniqueName="38" name="Acenter3" queryTableFieldId="44">
      <calculatedColumnFormula>SUMIFS(Dyno_Data[AcqDis], Dyno_Data[Team],TBA_Matches_All[[#This Row],[Team]],Dyno_Data[Match],TBA_Matches_All[[#This Row],[Match_Number]],Dyno_Data[RecordType],"Activities", Dyno_Data[AcqCenter],3,Dyno_Data[Mode],"Auto")</calculatedColumnFormula>
    </tableColumn>
    <tableColumn id="39" xr3:uid="{4672F29E-14E3-4BE9-AAEB-E30B104FE53C}" uniqueName="39" name="Acenter4" queryTableFieldId="45">
      <calculatedColumnFormula>SUMIFS(Dyno_Data[AcqDis], Dyno_Data[Team],TBA_Matches_All[[#This Row],[Team]],Dyno_Data[Match],TBA_Matches_All[[#This Row],[Match_Number]],Dyno_Data[RecordType],"Activities", Dyno_Data[AcqCenter],4,Dyno_Data[Mode],"Auto")</calculatedColumnFormula>
    </tableColumn>
    <tableColumn id="40" xr3:uid="{DEFE502F-7181-432B-AF79-78A7F72A433E}" uniqueName="40" name="Acenter5" queryTableFieldId="46">
      <calculatedColumnFormula>SUMIFS(Dyno_Data[AcqDis], Dyno_Data[Team],TBA_Matches_All[[#This Row],[Team]],Dyno_Data[Match],TBA_Matches_All[[#This Row],[Match_Number]],Dyno_Data[RecordType],"Activities", Dyno_Data[AcqCenter],5,Dyno_Data[Mode],"Auto")</calculatedColumnFormula>
    </tableColumn>
    <tableColumn id="41" xr3:uid="{906C4625-3714-4F16-838A-F3FB41AB9D31}" uniqueName="41" name="ampM" queryTableFieldId="47">
      <calculatedColumnFormula>SUMIFS(Dyno_Data[DelMiss], Dyno_Data[Team],TBA_Matches_All[[#This Row],[Team]],Dyno_Data[Match],TBA_Matches_All[[#This Row],[Match_Number]],Dyno_Data[RecordType],"Activities", Dyno_Data[DelDest],"Amp")</calculatedColumnFormula>
    </tableColumn>
    <tableColumn id="42" xr3:uid="{E644E91A-DD2A-4D5E-BEC1-1FDC483F3F4F}" uniqueName="42" name="ampShtP" queryTableFieldId="48" dataDxfId="24" dataCellStyle="Percent">
      <calculatedColumnFormula>IFERROR(SUM((TBA_Matches_All[[#This Row],[AampT]]+TBA_Matches_All[[#This Row],[TampT]])/(TBA_Matches_All[[#This Row],[AampT]]+TBA_Matches_All[[#This Row],[TampT]]+TBA_Matches_All[[#This Row],[ampM]])),0)</calculatedColumnFormula>
    </tableColumn>
    <tableColumn id="43" xr3:uid="{F4E1AC00-B6C1-4D9A-A5FC-C77833C8DD95}" uniqueName="43" name="spkrM" queryTableFieldId="49">
      <calculatedColumnFormula>SUMIFS(Dyno_Data[DelMiss], Dyno_Data[Team],TBA_Matches_All[[#This Row],[Team]],Dyno_Data[Match],TBA_Matches_All[[#This Row],[Match_Number]],Dyno_Data[RecordType],"Activities", Dyno_Data[DelDest],"Spkr")</calculatedColumnFormula>
    </tableColumn>
    <tableColumn id="44" xr3:uid="{DFBEB7A5-F285-4D50-A148-3ABD41B38239}" uniqueName="44" name="spkrShtP" queryTableFieldId="50" dataDxfId="23" dataCellStyle="Percent">
      <calculatedColumnFormula>IFERROR(SUM((TBA_Matches_All[[#This Row],[AspkrT]]+TBA_Matches_All[[#This Row],[TspkrT]])/(TBA_Matches_All[[#This Row],[AspkrT]]+TBA_Matches_All[[#This Row],[TspkrT]]+TBA_Matches_All[[#This Row],[spkrM]])),0)</calculatedColumnFormula>
    </tableColumn>
    <tableColumn id="45" xr3:uid="{0B303C8D-CF55-4226-8EEC-79823A96646B}" uniqueName="45" name="trapM" queryTableFieldId="51">
      <calculatedColumnFormula>SUMIFS(Dyno_Data[DelMiss], Dyno_Data[Team],TBA_Matches_All[[#This Row],[Team]],Dyno_Data[Match],TBA_Matches_All[[#This Row],[Match_Number]],Dyno_Data[RecordType],"Activities", Dyno_Data[DelDest],"Trap")</calculatedColumnFormula>
    </tableColumn>
    <tableColumn id="46" xr3:uid="{D6589632-68E8-459D-BA30-36F319184284}" uniqueName="46" name="trapShtP" queryTableFieldId="52" dataDxfId="22" dataCellStyle="Percent">
      <calculatedColumnFormula>IFERROR((TBA_Matches_All[[#This Row],[AtrapT]]+TBA_Matches_All[[#This Row],[TtrapT]])/(TBA_Matches_All[[#This Row],[AtrapT]]+TBA_Matches_All[[#This Row],[TtrapT]]+TBA_Matches_All[[#This Row],[trapM]]),0)</calculatedColumnFormula>
    </tableColumn>
    <tableColumn id="51" xr3:uid="{AD3E0ADE-A48E-4178-A3C0-28650FEA488C}" uniqueName="51" name="NZflM" queryTableFieldId="57">
      <calculatedColumnFormula>COUNTIFS(Dyno_Data[Team],TBA_Matches_All[[#This Row],[Team]],Dyno_Data[Match],TBA_Matches_All[[#This Row],[Match_Number]],Dyno_Data[RecordType],"Activities",Dyno_Data[DelDest],"Neut", Dyno_Data[DelMiss],1)</calculatedColumnFormula>
    </tableColumn>
    <tableColumn id="52" xr3:uid="{531D6B28-FCF9-4E63-BF0F-DF2E68825116}" uniqueName="52" name="NZflP" queryTableFieldId="58" dataDxfId="21" dataCellStyle="Percent">
      <calculatedColumnFormula>IFERROR(SUM((TBA_Matches_All[[#This Row],[NeutFlrT]])/(TBA_Matches_All[[#This Row],[NeutFlrT]]+TBA_Matches_All[[#This Row],[NZflM]])),0)</calculatedColumnFormula>
    </tableColumn>
    <tableColumn id="53" xr3:uid="{C694FB1C-5139-4E50-8125-2D5FDCF21163}" uniqueName="53" name="AZflM" queryTableFieldId="59">
      <calculatedColumnFormula>COUNTIFS(Dyno_Data[Team],TBA_Matches_All[[#This Row],[Team]],Dyno_Data[Match],TBA_Matches_All[[#This Row],[Match_Number]],Dyno_Data[RecordType],"Activities",Dyno_Data[DelDest],"AllyW", Dyno_Data[DelMiss],1)</calculatedColumnFormula>
    </tableColumn>
    <tableColumn id="54" xr3:uid="{F6E9F289-EDDB-4922-8911-F7FE1BDB9E82}" uniqueName="54" name="AZflP" queryTableFieldId="60" dataDxfId="20" dataCellStyle="Percent">
      <calculatedColumnFormula>IFERROR(SUM((TBA_Matches_All[[#This Row],[AllyWFlrT]])/(TBA_Matches_All[[#This Row],[AllyWFlrT]]+TBA_Matches_All[[#This Row],[AZflM]])),0)</calculatedColumnFormula>
    </tableColumn>
    <tableColumn id="77" xr3:uid="{AA42AB8C-C14E-4711-8124-6223FD8C9F80}" uniqueName="77" name="OZflrT" queryTableFieldId="91">
      <calculatedColumnFormula>COUNTIFS(Dyno_Data[Team],TBA_Matches_All[[#This Row],[Team]],Dyno_Data[Match],TBA_Matches_All[[#This Row],[Match_Number]],Dyno_Data[RecordType],"Activities",Dyno_Data[DelOrig],"OppW", Dyno_Data[DelMiss],"0")</calculatedColumnFormula>
    </tableColumn>
    <tableColumn id="78" xr3:uid="{8A8271A3-F71F-4C3B-B1F8-99F8BF814A3F}" uniqueName="78" name="OZflrM" queryTableFieldId="90">
      <calculatedColumnFormula>COUNTIFS(Dyno_Data[Team],TBA_Matches_All[[#This Row],[Team]],Dyno_Data[Match],TBA_Matches_All[[#This Row],[Match_Number]],Dyno_Data[RecordType],"Activities",Dyno_Data[DelOrig],"OppW", Dyno_Data[DelMiss],"1")</calculatedColumnFormula>
    </tableColumn>
    <tableColumn id="79" xr3:uid="{BEAF63A3-8A98-4BDD-86F0-0F5D39D2065F}" uniqueName="79" name="OZflrP" queryTableFieldId="89" dataDxfId="19" dataCellStyle="Percent">
      <calculatedColumnFormula>IFERROR(SUM((TBA_Matches_All[[#This Row],[OZflrT]])/(TBA_Matches_All[[#This Row],[OZflrT]]+TBA_Matches_All[[#This Row],[OZflrM]])),0)</calculatedColumnFormula>
    </tableColumn>
    <tableColumn id="80" xr3:uid="{355637F9-9C93-451A-92F3-D39C27709812}" uniqueName="80" name="NZflrT" queryTableFieldId="94">
      <calculatedColumnFormula>COUNTIFS(Dyno_Data[Team],TBA_Matches_All[[#This Row],[Team]],Dyno_Data[Match],TBA_Matches_All[[#This Row],[Match_Number]],Dyno_Data[RecordType],"Activities",Dyno_Data[DelOrig],"Neut", Dyno_Data[DelMiss],"0")</calculatedColumnFormula>
    </tableColumn>
    <tableColumn id="81" xr3:uid="{88598F5D-3B56-44E2-9882-96E1A60B57FA}" uniqueName="81" name="NZflrM" queryTableFieldId="93">
      <calculatedColumnFormula>COUNTIFS(Dyno_Data[Team],TBA_Matches_All[[#This Row],[Team]],Dyno_Data[Match],TBA_Matches_All[[#This Row],[Match_Number]],Dyno_Data[RecordType],"Activities",Dyno_Data[DelOrig],"Neut", Dyno_Data[DelMiss],"1")</calculatedColumnFormula>
    </tableColumn>
    <tableColumn id="82" xr3:uid="{E0F0DA10-1FC3-4762-8F6B-49E709B1BE3A}" uniqueName="82" name="NZflrP" queryTableFieldId="92" dataDxfId="18" dataCellStyle="Percent">
      <calculatedColumnFormula>IFERROR(SUM((TBA_Matches_All[[#This Row],[NZflrT]])/(TBA_Matches_All[[#This Row],[NZflrT]]+TBA_Matches_All[[#This Row],[NZflrM]])),0)</calculatedColumnFormula>
    </tableColumn>
    <tableColumn id="83" xr3:uid="{FAF6ACA7-C329-4A22-A1D6-05A67B1A8524}" uniqueName="83" name="AZflrT" queryTableFieldId="97">
      <calculatedColumnFormula>COUNTIFS(Dyno_Data[Team],TBA_Matches_All[[#This Row],[Team]],Dyno_Data[Match],TBA_Matches_All[[#This Row],[Match_Number]],Dyno_Data[RecordType],"Activities",Dyno_Data[DelOrig],"AllyW", Dyno_Data[DelMiss],"0")</calculatedColumnFormula>
    </tableColumn>
    <tableColumn id="84" xr3:uid="{07E617AF-12AE-47E7-883C-BE9435D5A7BC}" uniqueName="84" name="AZflrM" queryTableFieldId="96">
      <calculatedColumnFormula>COUNTIFS(Dyno_Data[Team],TBA_Matches_All[[#This Row],[Team]],Dyno_Data[Match],TBA_Matches_All[[#This Row],[Match_Number]],Dyno_Data[RecordType],"Activities",Dyno_Data[DelOrig],"AllyW", Dyno_Data[DelMiss],"1")</calculatedColumnFormula>
    </tableColumn>
    <tableColumn id="85" xr3:uid="{C7DE1C21-19DC-4273-8400-AAB58E83ED93}" uniqueName="85" name="AZflrP" queryTableFieldId="95" dataDxfId="17" dataCellStyle="Percent">
      <calculatedColumnFormula>IFERROR(SUM((TBA_Matches_All[[#This Row],[AZflrT]])/(TBA_Matches_All[[#This Row],[AZflrT]]+TBA_Matches_All[[#This Row],[AZflrM]])),0)</calculatedColumnFormula>
    </tableColumn>
    <tableColumn id="74" xr3:uid="{26D8F5B6-FCF8-4A54-ADBB-704E187928B0}" uniqueName="74" name="SubwT" queryTableFieldId="86">
      <calculatedColumnFormula>COUNTIFS(Dyno_Data[Team],TBA_Matches_All[[#This Row],[Team]],Dyno_Data[Match],TBA_Matches_All[[#This Row],[Match_Number]],Dyno_Data[RecordType],"Activities",Dyno_Data[DelOrig],"SubW", Dyno_Data[DelMiss],"0")</calculatedColumnFormula>
    </tableColumn>
    <tableColumn id="55" xr3:uid="{D4C7C3F3-6DCE-4699-9A47-14FEF5002495}" uniqueName="55" name="SubwM" queryTableFieldId="61">
      <calculatedColumnFormula>COUNTIFS(Dyno_Data[Team],TBA_Matches_All[[#This Row],[Team]],Dyno_Data[Match],TBA_Matches_All[[#This Row],[Match_Number]],Dyno_Data[RecordType],"Activities",Dyno_Data[DelOrig],"SubW", Dyno_Data[DelMiss],"1")</calculatedColumnFormula>
    </tableColumn>
    <tableColumn id="56" xr3:uid="{D03A732C-E25A-4C7C-9286-ADFF40CB95E0}" uniqueName="56" name="SubwP" queryTableFieldId="62" dataDxfId="16" dataCellStyle="Percent">
      <calculatedColumnFormula>IFERROR(SUM((TBA_Matches_All[[#This Row],[SubwT]])/(TBA_Matches_All[[#This Row],[SubwT]]+TBA_Matches_All[[#This Row],[SubwM]])),0)</calculatedColumnFormula>
    </tableColumn>
    <tableColumn id="57" xr3:uid="{8DB9AB3C-8FF0-49C0-8AA5-B76329206539}" uniqueName="57" name="AcqOZfl" queryTableFieldId="63">
      <calculatedColumnFormula>COUNTIFS(Dyno_Data[Team],TBA_Matches_All[[#This Row],[Team]],Dyno_Data[Match],TBA_Matches_All[[#This Row],[Match_Number]],Dyno_Data[RecordType],"Activities", Dyno_Data[AcqLoc],"OppWing")</calculatedColumnFormula>
    </tableColumn>
    <tableColumn id="58" xr3:uid="{CC3EADFC-98B7-4A0D-9AC6-FA57C6A06BEF}" uniqueName="58" name="AcqNZfl" queryTableFieldId="64">
      <calculatedColumnFormula>COUNTIFS(Dyno_Data[Team],TBA_Matches_All[[#This Row],[Team]],Dyno_Data[Match],TBA_Matches_All[[#This Row],[Match_Number]],Dyno_Data[RecordType],"Activities", Dyno_Data[AcqLoc],"Neutral")</calculatedColumnFormula>
    </tableColumn>
    <tableColumn id="59" xr3:uid="{255DB5B8-AFDF-46F8-A141-EDDF40F72BF8}" uniqueName="59" name="AcqAZfl" queryTableFieldId="65">
      <calculatedColumnFormula>COUNTIFS(Dyno_Data[Team],TBA_Matches_All[[#This Row],[Team]],Dyno_Data[Match],TBA_Matches_All[[#This Row],[Match_Number]],Dyno_Data[RecordType],"Activities", Dyno_Data[AcqLoc],"AllyWing")</calculatedColumnFormula>
    </tableColumn>
    <tableColumn id="60" xr3:uid="{B0FEC32C-AC93-4E24-9DB6-0007C586FA2C}" uniqueName="60" name="AcqSource" queryTableFieldId="66">
      <calculatedColumnFormula>COUNTIFS(Dyno_Data[Team],TBA_Matches_All[[#This Row],[Team]],Dyno_Data[Match],TBA_Matches_All[[#This Row],[Match_Number]],Dyno_Data[RecordType],"Activities", Dyno_Data[AcqLoc],"Source")</calculatedColumnFormula>
    </tableColumn>
    <tableColumn id="61" xr3:uid="{DF3A66C9-DFA7-49B6-9334-E760839EB67E}" uniqueName="61" name="sourceD" queryTableFieldId="67">
      <calculatedColumnFormula>SUMIFS(Dyno_Data[AcqDrp], Dyno_Data[Team],TBA_Matches_All[[#This Row],[Team]],Dyno_Data[Match],TBA_Matches_All[[#This Row],[Match_Number]],Dyno_Data[RecordType],"Activities", Dyno_Data[AcqLoc],"Source")</calculatedColumnFormula>
    </tableColumn>
    <tableColumn id="62" xr3:uid="{43ECD1DE-63D1-4C9B-AC5F-84249CC76C6E}" uniqueName="62" name="timeOZ" queryTableFieldId="68">
      <calculatedColumnFormula>SUMIFS(Dyno_Data[OZTime], Dyno_Data[Team],TBA_Matches_All[[#This Row],[Team]],Dyno_Data[Match],TBA_Matches_All[[#This Row],[Match_Number]],Dyno_Data[RecordType],"EndMatch")</calculatedColumnFormula>
    </tableColumn>
    <tableColumn id="63" xr3:uid="{CE034A6F-9B67-4221-BC43-0523860514DB}" uniqueName="63" name="timeNZ" queryTableFieldId="69">
      <calculatedColumnFormula>SUMIFS(Dyno_Data[NZTime], Dyno_Data[Team],TBA_Matches_All[[#This Row],[Team]],Dyno_Data[Match],TBA_Matches_All[[#This Row],[Match_Number]],Dyno_Data[RecordType],"EndMatch")</calculatedColumnFormula>
    </tableColumn>
    <tableColumn id="64" xr3:uid="{619E7ADC-2A01-42AC-9888-85E8C3DE8594}" uniqueName="64" name="timeAZ" queryTableFieldId="70">
      <calculatedColumnFormula>SUMIFS(Dyno_Data[AZTime], Dyno_Data[Team],TBA_Matches_All[[#This Row],[Team]],Dyno_Data[Match],TBA_Matches_All[[#This Row],[Match_Number]],Dyno_Data[RecordType],"EndMatch")</calculatedColumnFormula>
    </tableColumn>
    <tableColumn id="65" xr3:uid="{01706D70-4947-47DB-A18C-E2AA6978F558}" uniqueName="65" name="timeclimb" queryTableFieldId="71">
      <calculatedColumnFormula>SUMIFS(Dyno_Data[ClimbT], Dyno_Data[Team],TBA_Matches_All[[#This Row],[Team]],Dyno_Data[Match],TBA_Matches_All[[#This Row],[Match_Number]],Dyno_Data[RecordType],"EndMatch")</calculatedColumnFormula>
    </tableColumn>
    <tableColumn id="66" xr3:uid="{22997363-CE8D-4564-8891-F51E416F1EE6}" uniqueName="66" name="stageStat" queryTableFieldId="72">
      <calculatedColumnFormula>_xlfn.XLOOKUP(SUM(MID(TBA_Matches_All[[#This Row],[Team]],4,5),(TBA_Matches_All[[#This Row],[Match_Number]]/100)),Dyno_EndMatch[teammat],Dyno_EndMatch[StageStat],"_",0,1)</calculatedColumnFormula>
    </tableColumn>
    <tableColumn id="67" xr3:uid="{BD523ED6-1B1E-458F-BF1C-F78356B30C4F}" uniqueName="67" name="stageAtt" queryTableFieldId="73">
      <calculatedColumnFormula>_xlfn.XLOOKUP(TBA_Matches_All[[#This Row],[teammat]],Dyno_EndMatch[teammat],Dyno_EndMatch[StageAtt],"_",0,1)</calculatedColumnFormula>
    </tableColumn>
    <tableColumn id="68" xr3:uid="{05A62A37-0C17-4B44-B264-DAB1C0802E25}" uniqueName="68" name="stageLoc" queryTableFieldId="74">
      <calculatedColumnFormula>_xlfn.XLOOKUP(TBA_Matches_All[[#This Row],[teammat]],Dyno_EndMatch[teammat],Dyno_EndMatch[StageLoc],"_",0,1)</calculatedColumnFormula>
    </tableColumn>
    <tableColumn id="24" xr3:uid="{2862011C-21B8-4D8C-B1D5-514E4C084244}" uniqueName="24" name="Harmony" queryTableFieldId="118">
      <calculatedColumnFormula>SUMIFS(Dyno_Data[Harmony], Dyno_Data[Team],TBA_Matches_All[[#This Row],[Team]],Dyno_Data[Match],TBA_Matches_All[[#This Row],[Match_Number]],Dyno_Data[RecordType],"EndMatch", Dyno_Data[StageStat],"On",Dyno_Data[Harmony],"&lt;&gt;9")</calculatedColumnFormula>
    </tableColumn>
    <tableColumn id="94" xr3:uid="{CB39A80E-2FFB-437A-83D7-6DC7CB31139A}" uniqueName="94" name="Spotlit" queryTableFieldId="119">
      <calculatedColumnFormula>SUMIFS(Dyno_Data[Spotlit], Dyno_Data[Team],TBA_Matches_All[[#This Row],[Team]],Dyno_Data[Match],TBA_Matches_All[[#This Row],[Match_Number]],Dyno_Data[RecordType],"EndMatch", Dyno_Data[StageStat],"On",Dyno_Data[Spotlit],"&lt;&gt;9")</calculatedColumnFormula>
    </tableColumn>
    <tableColumn id="69" xr3:uid="{1C9DAC2B-4ACD-47C5-82A6-ADF407C66083}" uniqueName="69" name="appStrat" queryTableFieldId="75">
      <calculatedColumnFormula>_xlfn.XLOOKUP(TBA_Matches_All[[#This Row],[teammat]],Dyno_EndMatch[teammat],Dyno_EndMatch[Strategy],"_",0,1)</calculatedColumnFormula>
    </tableColumn>
    <tableColumn id="70" xr3:uid="{D9C46392-CA41-4F01-B5A2-778D1DA252F8}" uniqueName="70" name="Defense" queryTableFieldId="76">
      <calculatedColumnFormula>SUMIFS(Dyno_Data[Defense], Dyno_Data[Team],TBA_Matches_All[[#This Row],[Team]],Dyno_Data[Match],TBA_Matches_All[[#This Row],[Match_Number]],Dyno_Data[RecordType],"EndMatch",Dyno_Data[Defense],"&lt;&gt;9")</calculatedColumnFormula>
    </tableColumn>
    <tableColumn id="71" xr3:uid="{74DDF36A-28B3-415C-9471-FA6E14652910}" uniqueName="71" name="Avoid" queryTableFieldId="77">
      <calculatedColumnFormula>SUMIFS(Dyno_Data[Avoidance], Dyno_Data[Team],TBA_Matches_All[[#This Row],[Team]],Dyno_Data[Match],TBA_Matches_All[[#This Row],[Match_Number]],Dyno_Data[RecordType],"EndMatch",Dyno_Data[Avoidance],"&lt;&gt;9")</calculatedColumnFormula>
    </tableColumn>
    <tableColumn id="21" xr3:uid="{639C2751-7F42-413D-9C82-05D2667F2F92}" uniqueName="21" name="teammatch" queryTableFieldId="98" dataDxfId="15" dataCellStyle="Percent">
      <calculatedColumnFormula>COUNTIF($H$2:TBA_Matches_All[[#This Row],[Team]],TBA_Matches_All[[#This Row],[Team]])</calculatedColumnFormula>
    </tableColumn>
    <tableColumn id="101" xr3:uid="{A1D54081-8767-437C-AD6E-D1E1552924B1}" uniqueName="101" name="teammat" queryTableFieldId="136" dataDxfId="14" dataCellStyle="Percent">
      <calculatedColumnFormula>SUM(MID(TBA_Matches_All[[#This Row],[Team]],4,5)+TBA_Matches_All[[#This Row],[Match_Number]]/100)</calculatedColumnFormula>
    </tableColumn>
    <tableColumn id="22" xr3:uid="{73538782-D45D-40A3-B132-76264D245EAA}" uniqueName="22" name="AptsT" queryTableFieldId="99">
      <calculatedColumnFormula>SUM((TBA_Matches_All[[#This Row],[Leave]]*2)+(TBA_Matches_All[[#This Row],[AampT]]*2)+(TBA_Matches_All[[#This Row],[AspkrT]]*5)+(TBA_Matches_All[[#This Row],[AtrapT]]*5))</calculatedColumnFormula>
    </tableColumn>
    <tableColumn id="23" xr3:uid="{0656A5F4-4FA0-4AFE-B667-4B9A4C7CBEA3}" uniqueName="23" name="AptsP" queryTableFieldId="100" dataDxfId="13">
      <calculatedColumnFormula>IFERROR(SUM(TBA_Matches_All[[#This Row],[AptsT]]/TBA_Matches_All[[#This Row],[AutoPts]]),0)</calculatedColumnFormula>
    </tableColumn>
    <tableColumn id="47" xr3:uid="{FBB5B73A-8A54-4AFD-A08F-6BEB2681A821}" uniqueName="47" name="AnotesP" queryTableFieldId="102" dataDxfId="12">
      <calculatedColumnFormula>IFERROR(SUM(TBA_Matches_All[[#This Row],[AampT]]+TBA_Matches_All[[#This Row],[AspkrT]]+TBA_Matches_All[[#This Row],[AtrapT]]/TBA_Matches_All[[#This Row],[Aamp]]+TBA_Matches_All[[#This Row],[Aspkr]]+TBA_Matches_All[[#This Row],[AtrapT]]),0)</calculatedColumnFormula>
    </tableColumn>
    <tableColumn id="48" xr3:uid="{5ACEC6E0-488D-4A8D-8381-0F39ACAD83DD}" uniqueName="48" name="TampP" queryTableFieldId="103" dataDxfId="11">
      <calculatedColumnFormula>IFERROR(SUM(TBA_Matches_All[[#This Row],[TampT]]/TBA_Matches_All[[#This Row],[Tamp]]),0)</calculatedColumnFormula>
    </tableColumn>
    <tableColumn id="49" xr3:uid="{3643893B-AE29-4AEB-B2B9-FF999EB728B4}" uniqueName="49" name="TspkrP" queryTableFieldId="104" dataDxfId="10">
      <calculatedColumnFormula>IFERROR(SUM(TBA_Matches_All[[#This Row],[TspkrT]]/TBA_Matches_All[[#This Row],[Tspkr]]),0)</calculatedColumnFormula>
    </tableColumn>
    <tableColumn id="50" xr3:uid="{DC6EF39B-59EE-43B1-95F7-78DDC28EC316}" uniqueName="50" name="TspkrptsC" queryTableFieldId="105">
      <calculatedColumnFormula>SUM(TBA_Matches_All[[#This Row],[TspkrPts]]*TBA_Matches_All[[#This Row],[TspkrP]])</calculatedColumnFormula>
    </tableColumn>
    <tableColumn id="72" xr3:uid="{C96D8421-9EAC-44D8-A64B-9FA300ACEE3F}" uniqueName="72" name="TtrapP" queryTableFieldId="106" dataDxfId="9">
      <calculatedColumnFormula>IFERROR(SUM(TBA_Matches_All[[#This Row],[TtrapT]]/TBA_Matches_All[[#This Row],[Trap]]),0)</calculatedColumnFormula>
    </tableColumn>
    <tableColumn id="73" xr3:uid="{0A9F5424-CC34-40ED-A1C0-86A553C75805}" uniqueName="73" name="TotnotesP" queryTableFieldId="107" dataDxfId="8">
      <calculatedColumnFormula>IFERROR(SUM(TBA_Matches_All[[#This Row],[TotNotesT]]/TBA_Matches_All[[#This Row],[TotNotes]]),0)</calculatedColumnFormula>
    </tableColumn>
    <tableColumn id="86" xr3:uid="{DC051686-F1DD-416B-BC76-CB6A7E55408A}" uniqueName="86" name="noteptsT" queryTableFieldId="108" dataDxfId="7">
      <calculatedColumnFormula>SUM((TBA_Matches_All[[#This Row],[AampT]]*2)+(TBA_Matches_All[[#This Row],[AspkrT]]*5)+(TBA_Matches_All[[#This Row],[AtrapT]]*5)+(TBA_Matches_All[[#This Row],[TampT]]*1)+(TBA_Matches_All[[#This Row],[TspkrptsC]]))</calculatedColumnFormula>
    </tableColumn>
    <tableColumn id="87" xr3:uid="{C964C252-A869-40DA-B33A-EB913853CE20}" uniqueName="87" name="noteptsP" queryTableFieldId="109" dataDxfId="6">
      <calculatedColumnFormula>IFERROR(TBA_Matches_All[[#This Row],[noteptsT]]/TBA_Matches_All[[#This Row],[NotePts]],0)</calculatedColumnFormula>
    </tableColumn>
    <tableColumn id="88" xr3:uid="{0165469D-18CC-4145-8C2E-E9D3414A77A7}" uniqueName="88" name="stageptsT" queryTableFieldId="110">
      <calculatedColumnFormula>SUM(IF(TBA_Matches_All[[#This Row],[stageStat]]="On",3,0),IF(TBA_Matches_All[[#This Row],[stageStat]]="Park",1,0),SUMIFS(TBA_Matches_All[[#This Row],[Spotlit]],TBA_Matches_All[[#This Row],[stageStat]],"On"),SUMIFS(TBA_Matches_All[[#This Row],[Harmony]],TBA_Matches_All[[#This Row],[stageStat]],"On"))</calculatedColumnFormula>
    </tableColumn>
    <tableColumn id="89" xr3:uid="{A259CEF5-AB98-4F81-B01A-B8729AF8A4E8}" uniqueName="89" name="stageptsP" queryTableFieldId="111" dataDxfId="5">
      <calculatedColumnFormula>IFERROR(TBA_Matches_All[[#This Row],[stageptsT]]/TBA_Matches_All[[#This Row],[StagePts]],0)</calculatedColumnFormula>
    </tableColumn>
    <tableColumn id="90" xr3:uid="{9255BEB4-2EFF-4863-809A-0FDA41E9D403}" uniqueName="90" name="TotptsC" queryTableFieldId="112">
      <calculatedColumnFormula>SUM((TBA_Matches_All[[#This Row],[AptsT]]+TBA_Matches_All[[#This Row],[TampT]]+TBA_Matches_All[[#This Row],[TspkrptsC]]+(TBA_Matches_All[[#This Row],[TtrapT]]*5)+TBA_Matches_All[[#This Row],[stageptsT]]))</calculatedColumnFormula>
    </tableColumn>
    <tableColumn id="91" xr3:uid="{867F9E1E-8F81-4CCD-A71E-6186784206F3}" uniqueName="91" name="TotptsP" queryTableFieldId="113" dataDxfId="4">
      <calculatedColumnFormula>IFERROR(SUM(TBA_Matches_All[[#This Row],[TotptsC]]/TBA_Matches_All[[#This Row],[Score]]),0)</calculatedColumnFormula>
    </tableColumn>
    <tableColumn id="104" xr3:uid="{A78ADD33-6AFA-49F7-BC33-6A7DCBBD886F}" uniqueName="104" name="AveTeamTNoteDels" queryTableFieldId="141" dataDxfId="3">
      <calculatedColumnFormula>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calculatedColumnFormula>
    </tableColumn>
    <tableColumn id="112" xr3:uid="{223BF291-8FD4-4CA2-9D6A-DB10457BBA71}" uniqueName="112" name="AveOppTNoteDels" queryTableFieldId="149" dataDxfId="2">
      <calculatedColumnFormula>SUMIFS(TBA_Matches_All[AveTeamTNoteDels],TBA_Matches_All[Match_Number],TBA_Matches_All[[#This Row],[Match_Number]],TBA_Matches_All[Alliance],"&lt;&gt;"&amp;TBA_Matches_All[[#This Row],[Alliance]],TBA_Matches_All[Scouted],"&gt;0")</calculatedColumnFormula>
    </tableColumn>
    <tableColumn id="105" xr3:uid="{9D3901B9-506E-490B-AE09-893DB751D553}" uniqueName="105" name="ATTNDDiff" queryTableFieldId="142" dataDxfId="1">
      <calculatedColumnFormula>(TBA_Matches_All[[#This Row],[TampT]]+TBA_Matches_All[[#This Row],[TspkrptsC]])-TBA_Matches_All[[#This Row],[AveTeamTNoteDels]]</calculatedColumnFormula>
    </tableColumn>
    <tableColumn id="113" xr3:uid="{03348F65-4029-4615-9CE4-E24168A7AE5A}" uniqueName="113" name="AOTNPDiff" queryTableFieldId="150" dataDxfId="0">
      <calculatedColumnFormula>SUMIFS(TBA_Matches_All[AveTeamTNoteDels],TBA_Matches_All[Match_Number],TBA_Matches_All[[#This Row],[Match_Number]],TBA_Matches_All[Alliance],"&lt;&gt;"&amp;TBA_Matches_All[[#This Row],[Alliance]])-TBA_Matches_All[[#This Row],[AveOppTNoteDels]]</calculatedColumnFormula>
    </tableColumn>
  </tableColumns>
  <tableStyleInfo name="TableStyleMedium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2B97D22-D406-4445-A699-AC70C8829A5E}" name="TBA_Matches_Blue_2" displayName="TBA_Matches_Blue_2" ref="A1:AD169" tableType="queryTable" totalsRowShown="0">
  <autoFilter ref="A1:AD169" xr:uid="{69611110-9DF5-456D-8AEE-6D2AFE0347A9}"/>
  <tableColumns count="30">
    <tableColumn id="4" xr3:uid="{38640806-C25A-4CF6-A5B1-30315B270BE0}" uniqueName="4" name="Event_Key" queryTableFieldId="4"/>
    <tableColumn id="3" xr3:uid="{E1C4599B-28F7-46D3-BC7D-83535B0D0462}" uniqueName="3" name="Comp_Level" queryTableFieldId="3"/>
    <tableColumn id="5" xr3:uid="{E558AE87-732E-4EEA-922F-F3C9BA939A1F}" uniqueName="5" name="Key" queryTableFieldId="5"/>
    <tableColumn id="6" xr3:uid="{79D1B3D9-37D9-425C-A84B-0311D7F6F0F0}" uniqueName="6" name="Match_Number" queryTableFieldId="6"/>
    <tableColumn id="1" xr3:uid="{BD1C7285-B0FA-4C1C-AB25-F1CC53529C88}" uniqueName="1" name="Alliance" queryTableFieldId="77"/>
    <tableColumn id="21" xr3:uid="{B6442BF7-0C85-4C5D-8A53-CAE1344C49D1}" uniqueName="21" name="Station" queryTableFieldId="71"/>
    <tableColumn id="20" xr3:uid="{E73D797B-E4EC-4E3A-A857-67DEF84CE824}" uniqueName="20" name="View" queryTableFieldId="70"/>
    <tableColumn id="19" xr3:uid="{FFEC5954-B929-4942-ABB1-A6BEA7F658C5}" uniqueName="19" name="Team" queryTableFieldId="69"/>
    <tableColumn id="8" xr3:uid="{EB92AA24-2133-4C1D-885F-9628563D3C97}" uniqueName="8" name="Coopertition" queryTableFieldId="21"/>
    <tableColumn id="9" xr3:uid="{1916567C-D345-4820-A9C6-A99D4FA6B266}" uniqueName="9" name="Score" queryTableFieldId="22"/>
    <tableColumn id="27" xr3:uid="{83318466-6E2B-4AA5-A29A-E94316455788}" uniqueName="27" name="MelodyRP" queryTableFieldId="111"/>
    <tableColumn id="28" xr3:uid="{76B9B1CA-6B70-4464-82CD-712F84F60648}" uniqueName="28" name="EnsembleRP" queryTableFieldId="112"/>
    <tableColumn id="10" xr3:uid="{E0A64EE8-1B12-4DDD-B61C-F11F12D17699}" uniqueName="10" name="OppFoulPts" queryTableFieldId="23"/>
    <tableColumn id="11" xr3:uid="{D4203962-1BBE-4C83-A056-0982BBF498D4}" uniqueName="11" name="Aamp" queryTableFieldId="24"/>
    <tableColumn id="12" xr3:uid="{4C11E4F6-C1B3-42E2-AD44-3DD0282FAA6B}" uniqueName="12" name="Aspkr" queryTableFieldId="25"/>
    <tableColumn id="7" xr3:uid="{52BCED28-D64D-4F21-A318-6F5BF44DE8DA}" uniqueName="7" name="ANotePts" queryTableFieldId="81"/>
    <tableColumn id="2" xr3:uid="{DB763BE5-BF5B-4081-A1EB-DA89BE73D947}" uniqueName="2" name="AutoPts" queryTableFieldId="78"/>
    <tableColumn id="46" xr3:uid="{A3178125-0DFC-4B99-A8BE-370BF36B331E}" uniqueName="46" name="Tamp" queryTableFieldId="60"/>
    <tableColumn id="15" xr3:uid="{89D7EE46-C945-47B4-A444-C0FF969607C4}" uniqueName="15" name="Tspkra" queryTableFieldId="83"/>
    <tableColumn id="23" xr3:uid="{984435E6-777C-4209-A730-B88335499268}" uniqueName="23" name="Tspkrna" queryTableFieldId="85"/>
    <tableColumn id="22" xr3:uid="{257246CC-2ED7-489E-AF7B-7E55316E9AFE}" uniqueName="22" name="TspkraPts" queryTableFieldId="84"/>
    <tableColumn id="24" xr3:uid="{3173F900-4DBF-450C-A524-6DB3B47B7D7E}" uniqueName="24" name="TspkrnaPts" queryTableFieldId="86"/>
    <tableColumn id="47" xr3:uid="{2FA0E4F1-A452-4180-A679-C0752D009DDB}" uniqueName="47" name="Tspkr" queryTableFieldId="61"/>
    <tableColumn id="14" xr3:uid="{40AABD5A-27A8-4A07-86B0-B5D0ACAA6A0B}" uniqueName="14" name="TspkrPts" queryTableFieldId="64"/>
    <tableColumn id="25" xr3:uid="{E6E273BA-61BC-4C9E-B28B-507FEC52F73B}" uniqueName="25" name="TNotePts" queryTableFieldId="87"/>
    <tableColumn id="13" xr3:uid="{10589B95-7C13-46DC-B0DF-BF83C786589E}" uniqueName="13" name="TrapPts" queryTableFieldId="82"/>
    <tableColumn id="26" xr3:uid="{2B2367D3-A73F-4E1A-929E-DDCA506C84D3}" uniqueName="26" name="Trap" queryTableFieldId="88"/>
    <tableColumn id="16" xr3:uid="{B1637EB6-2088-4DD2-A364-F0A3725D98BA}" uniqueName="16" name="TotNotes" queryTableFieldId="66"/>
    <tableColumn id="17" xr3:uid="{4E9FB560-CA5D-451B-9842-1FA905D210F7}" uniqueName="17" name="NotePts" queryTableFieldId="67"/>
    <tableColumn id="18" xr3:uid="{A19E7B23-3381-4E92-A457-BE728D8808AD}" uniqueName="18" name="StagePts" queryTableFieldId="68"/>
  </tableColumns>
  <tableStyleInfo name="TableStyleMedium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209C096-85FB-4696-B080-36EA3CE2A07E}" name="TBA_Matches_Red" displayName="TBA_Matches_Red" ref="A3:AD171" tableType="queryTable" totalsRowShown="0">
  <autoFilter ref="A3:AD171" xr:uid="{B1D547AE-C59B-43A0-A89C-BC2B908BFB55}"/>
  <tableColumns count="30">
    <tableColumn id="4" xr3:uid="{70DE8D02-0F77-455C-B055-3089A8D896D5}" uniqueName="4" name="Event_Key" queryTableFieldId="4"/>
    <tableColumn id="3" xr3:uid="{493A9355-E0D3-4D15-B791-C176108EF28C}" uniqueName="3" name="Comp_Level" queryTableFieldId="3"/>
    <tableColumn id="5" xr3:uid="{A46CFC88-4BFF-4FC8-8D53-93CCEAF70047}" uniqueName="5" name="Key" queryTableFieldId="5"/>
    <tableColumn id="6" xr3:uid="{C206C74B-0609-4A1C-AB87-2F445D743AA4}" uniqueName="6" name="Match_Number" queryTableFieldId="6"/>
    <tableColumn id="2" xr3:uid="{7A60177C-CBFB-455B-8C95-77BB4FE1B62D}" uniqueName="2" name="Alliance" queryTableFieldId="57"/>
    <tableColumn id="23" xr3:uid="{42F2FE2A-D0C2-4B44-8330-EA1828D9423A}" uniqueName="23" name="Station" queryTableFieldId="34"/>
    <tableColumn id="22" xr3:uid="{DF513817-E868-4BEE-B46A-473E37E4729C}" uniqueName="22" name="View" queryTableFieldId="33"/>
    <tableColumn id="21" xr3:uid="{33E2FD4B-716D-43DE-80ED-C211C1C2EFDC}" uniqueName="21" name="Team" queryTableFieldId="32"/>
    <tableColumn id="24" xr3:uid="{FDB8455D-E196-4F92-B6BE-2F111367CC4B}" uniqueName="24" name="Coopertition" queryTableFieldId="35"/>
    <tableColumn id="1" xr3:uid="{00D20FF5-1DD3-45B6-B5B9-9CA0F986FF13}" uniqueName="1" name="Score" queryTableFieldId="12"/>
    <tableColumn id="16" xr3:uid="{A35F5F3A-C202-4CA8-BE3D-08C0E25DAB4C}" uniqueName="16" name="MelodyRP" queryTableFieldId="90"/>
    <tableColumn id="17" xr3:uid="{A92D900F-9076-42B8-9FFB-8D174B166F78}" uniqueName="17" name="EnsembleRP" queryTableFieldId="91"/>
    <tableColumn id="25" xr3:uid="{E14EAA74-5BCA-4B80-AFE2-E73537985050}" uniqueName="25" name="OppFoulPts" queryTableFieldId="36"/>
    <tableColumn id="26" xr3:uid="{DEE77322-196D-4F91-AA76-230B5A2E3A7F}" uniqueName="26" name="Aamp" queryTableFieldId="37"/>
    <tableColumn id="27" xr3:uid="{AB449E97-2239-4E26-8FD2-9554ACC28D2F}" uniqueName="27" name="Aspkr" queryTableFieldId="38"/>
    <tableColumn id="8" xr3:uid="{59A2637D-0BD2-4556-A55D-75535BC9E80C}" uniqueName="8" name="ANotePts" queryTableFieldId="61"/>
    <tableColumn id="7" xr3:uid="{E9CA7892-9A9C-49C1-AEC5-35EAE459DAD9}" uniqueName="7" name="AutoPts" queryTableFieldId="58"/>
    <tableColumn id="29" xr3:uid="{30844429-9664-46BD-8770-007734CFD6EF}" uniqueName="29" name="Tamp" queryTableFieldId="40"/>
    <tableColumn id="10" xr3:uid="{166ED784-8202-4D97-8B65-9A3E202677A5}" uniqueName="10" name="Tspkra" queryTableFieldId="63"/>
    <tableColumn id="12" xr3:uid="{5A7EF276-4607-48FC-9A07-37B33AC95753}" uniqueName="12" name="Tspkrna" queryTableFieldId="65"/>
    <tableColumn id="11" xr3:uid="{74399D4F-BF43-4BE1-933D-3A13E24EC320}" uniqueName="11" name="TspkraPts" queryTableFieldId="64"/>
    <tableColumn id="13" xr3:uid="{3039049A-55E2-418F-BCBF-19D2D141831D}" uniqueName="13" name="TspkrnaPts" queryTableFieldId="66"/>
    <tableColumn id="30" xr3:uid="{28EEFFD6-987E-4B2B-8D99-29C053CBF583}" uniqueName="30" name="Tspkr" queryTableFieldId="41"/>
    <tableColumn id="31" xr3:uid="{BCEA5537-E2DB-4C4C-802B-5D20B880F364}" uniqueName="31" name="TspkrPts" queryTableFieldId="42"/>
    <tableColumn id="14" xr3:uid="{6B736D30-44DC-476A-BB78-CCA10A62010E}" uniqueName="14" name="TNotePts" queryTableFieldId="67"/>
    <tableColumn id="9" xr3:uid="{A98B34B2-1145-4D2C-A16B-4BB91AA9AEA2}" uniqueName="9" name="TrapPts" queryTableFieldId="62"/>
    <tableColumn id="15" xr3:uid="{2EE939EE-B3EA-4F15-AEBC-A3089CFB2245}" uniqueName="15" name="Trap" queryTableFieldId="68"/>
    <tableColumn id="33" xr3:uid="{0C402AD2-D04A-4D2E-9D9C-59C8F7B30674}" uniqueName="33" name="TotNotes" queryTableFieldId="44"/>
    <tableColumn id="34" xr3:uid="{B802A540-B6F6-45F6-A642-A9FAB9875129}" uniqueName="34" name="NotePts" queryTableFieldId="45"/>
    <tableColumn id="35" xr3:uid="{804B1CF9-746C-4934-8DC0-2B63B2AEC8A5}" uniqueName="35" name="StagePts" queryTableFieldId="46"/>
  </tableColumns>
  <tableStyleInfo name="TableStyleMedium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C9B88F0-20E5-48C0-B5BF-490C7C45766D}" name="TBA_Schedule" displayName="TBA_Schedule" ref="A1:J78" tableType="queryTable" totalsRowShown="0">
  <autoFilter ref="A1:J78" xr:uid="{DC9B88F0-20E5-48C0-B5BF-490C7C45766D}"/>
  <tableColumns count="10">
    <tableColumn id="1" xr3:uid="{4637DC10-ED69-4D89-8588-CD4010FBAB0A}" uniqueName="1" name="event_key" queryTableFieldId="1"/>
    <tableColumn id="2" xr3:uid="{52F38F54-4DEF-4419-A45F-0237AF08CA21}" uniqueName="2" name="comp_level" queryTableFieldId="2"/>
    <tableColumn id="3" xr3:uid="{4B9457EC-2D97-45E3-BF3B-DDB8C0F1D2AC}" uniqueName="3" name="key" queryTableFieldId="3"/>
    <tableColumn id="4" xr3:uid="{F4E8A126-E722-44A9-B92A-D1C9BF9C4615}" uniqueName="4" name="match_number" queryTableFieldId="4"/>
    <tableColumn id="23" xr3:uid="{3CB4F0B1-5AE4-42AA-8000-CEB4352C360B}" uniqueName="23" name="Blue1" queryTableFieldId="23" dataDxfId="172"/>
    <tableColumn id="24" xr3:uid="{6407E675-05B8-4464-A171-FD63D130E511}" uniqueName="24" name="Blue2" queryTableFieldId="24" dataDxfId="171"/>
    <tableColumn id="25" xr3:uid="{27D4FA26-B442-4A25-B1FB-6D51352897B8}" uniqueName="25" name="Blue3" queryTableFieldId="25" dataDxfId="170"/>
    <tableColumn id="26" xr3:uid="{AAA047F3-B559-4331-9D1B-71F6B412890F}" uniqueName="26" name="Red1" queryTableFieldId="26" dataDxfId="169"/>
    <tableColumn id="27" xr3:uid="{3CC4697F-CF2E-400F-8C7F-E6C3D2EB543B}" uniqueName="27" name="Red2" queryTableFieldId="27" dataDxfId="168"/>
    <tableColumn id="28" xr3:uid="{0BAD22DE-4D44-4687-B23F-518E0ACEFAD0}" uniqueName="28" name="Red3" queryTableFieldId="28" dataDxfId="167"/>
  </tableColumns>
  <tableStyleInfo name="TableStyleMedium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9223BE9-9C23-4049-B8C8-C1560EAFB694}" name="TBA_Events" displayName="TBA_Events" ref="A1:J182" tableType="queryTable" totalsRowShown="0">
  <autoFilter ref="A1:J182" xr:uid="{0886AFA9-1A59-4A0C-92A9-4627F3450D65}"/>
  <tableColumns count="10">
    <tableColumn id="12" xr3:uid="{4A5CB023-5BA4-4FF9-89EF-CF8E759D64EB}" uniqueName="12" name="End_Date" queryTableFieldId="12"/>
    <tableColumn id="13" xr3:uid="{A0010FE9-8F20-4C87-BE52-78FB747D578E}" uniqueName="13" name="Event_Code" queryTableFieldId="13"/>
    <tableColumn id="14" xr3:uid="{F067EA9A-AC70-426B-A1CA-42D6DCA744F4}" uniqueName="14" name="Event_Type" queryTableFieldId="14"/>
    <tableColumn id="15" xr3:uid="{DE505888-708A-443B-96B5-1CA8A5ED11BE}" uniqueName="15" name="Event_Type_String" queryTableFieldId="15"/>
    <tableColumn id="16" xr3:uid="{4618C33C-55D6-47D3-9C63-BD04F1DA7B8B}" uniqueName="16" name="Event_Key" queryTableFieldId="16"/>
    <tableColumn id="17" xr3:uid="{366E4044-6373-469D-AEBA-A71B77BF5FB2}" uniqueName="17" name="Event_Name" queryTableFieldId="17"/>
    <tableColumn id="18" xr3:uid="{C80A60E0-B2A7-49C7-80B7-377E8355ECC6}" uniqueName="18" name="Short_Name" queryTableFieldId="18"/>
    <tableColumn id="19" xr3:uid="{CE38C23C-1CEC-493F-93C8-36D3D93C0008}" uniqueName="19" name="Start_Date" queryTableFieldId="19"/>
    <tableColumn id="20" xr3:uid="{1BE36050-8A4C-4781-BBB4-B95A32656C5F}" uniqueName="20" name="Week" queryTableFieldId="20"/>
    <tableColumn id="21" xr3:uid="{85E22BAC-C856-4EC3-ACB7-E3FDD06B2895}" uniqueName="21" name="Year"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8.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9.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0.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1.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2.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3.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4.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5.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6.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7.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8.xml><?xml version="1.0" encoding="utf-8"?>
<a:themeOverride xmlns:a="http://schemas.openxmlformats.org/drawingml/2006/main">
  <a:clrScheme name="FRC">
    <a:dk1>
      <a:sysClr val="windowText" lastClr="000000"/>
    </a:dk1>
    <a:lt1>
      <a:sysClr val="window" lastClr="FFFFFF"/>
    </a:lt1>
    <a:dk2>
      <a:srgbClr val="44546A"/>
    </a:dk2>
    <a:lt2>
      <a:srgbClr val="E7E6E6"/>
    </a:lt2>
    <a:accent1>
      <a:srgbClr val="FF0000"/>
    </a:accent1>
    <a:accent2>
      <a:srgbClr val="FFCCCC"/>
    </a:accent2>
    <a:accent3>
      <a:srgbClr val="FF6566"/>
    </a:accent3>
    <a:accent4>
      <a:srgbClr val="0070C0"/>
    </a:accent4>
    <a:accent5>
      <a:srgbClr val="BFE4FF"/>
    </a:accent5>
    <a:accent6>
      <a:srgbClr val="40AFFF"/>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hyperlink" Target="mailto:stevebachman+6dzxzy25zdh1ivfz3qk6@boards.trello.co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6" Type="http://schemas.openxmlformats.org/officeDocument/2006/relationships/table" Target="../tables/table16.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5" Type="http://schemas.openxmlformats.org/officeDocument/2006/relationships/table" Target="../tables/table1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table" Target="../tables/table18.xml"/><Relationship Id="rId1" Type="http://schemas.openxmlformats.org/officeDocument/2006/relationships/table" Target="../tables/table17.xml"/><Relationship Id="rId5" Type="http://schemas.openxmlformats.org/officeDocument/2006/relationships/table" Target="../tables/table21.xml"/><Relationship Id="rId4" Type="http://schemas.openxmlformats.org/officeDocument/2006/relationships/table" Target="../tables/table20.xml"/></Relationships>
</file>

<file path=xl/worksheets/_rels/sheet9.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table" Target="../tables/table23.xml"/><Relationship Id="rId1" Type="http://schemas.openxmlformats.org/officeDocument/2006/relationships/table" Target="../tables/table22.xml"/><Relationship Id="rId5" Type="http://schemas.openxmlformats.org/officeDocument/2006/relationships/table" Target="../tables/table26.xml"/><Relationship Id="rId4" Type="http://schemas.openxmlformats.org/officeDocument/2006/relationships/table" Target="../tables/table25.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table" Target="../tables/table2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34.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3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3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27AFA-072E-4076-B655-D5997A55937A}">
  <sheetPr codeName="Sheet18">
    <tabColor theme="8"/>
  </sheetPr>
  <dimension ref="A1:B71"/>
  <sheetViews>
    <sheetView showGridLines="0" showRowColHeaders="0" workbookViewId="0">
      <selection activeCell="B66" sqref="B66"/>
    </sheetView>
  </sheetViews>
  <sheetFormatPr defaultRowHeight="14.4" x14ac:dyDescent="0.3"/>
  <cols>
    <col min="1" max="2" width="85.6640625" customWidth="1"/>
  </cols>
  <sheetData>
    <row r="1" spans="1:2" ht="21" x14ac:dyDescent="0.4">
      <c r="A1" s="167" t="s">
        <v>0</v>
      </c>
      <c r="B1" s="167"/>
    </row>
    <row r="2" spans="1:2" s="91" customFormat="1" ht="15.6" x14ac:dyDescent="0.3">
      <c r="A2" s="91" t="s">
        <v>1</v>
      </c>
    </row>
    <row r="3" spans="1:2" s="91" customFormat="1" ht="15.6" x14ac:dyDescent="0.3">
      <c r="A3" s="91" t="s">
        <v>2</v>
      </c>
      <c r="B3" s="148" t="s">
        <v>3</v>
      </c>
    </row>
    <row r="4" spans="1:2" s="91" customFormat="1" ht="15.6" x14ac:dyDescent="0.3"/>
    <row r="5" spans="1:2" s="91" customFormat="1" ht="15.6" x14ac:dyDescent="0.3">
      <c r="A5" s="91" t="s">
        <v>4</v>
      </c>
    </row>
    <row r="6" spans="1:2" s="91" customFormat="1" ht="15.6" x14ac:dyDescent="0.3"/>
    <row r="7" spans="1:2" s="91" customFormat="1" ht="18" x14ac:dyDescent="0.35">
      <c r="A7" s="149" t="s">
        <v>5</v>
      </c>
    </row>
    <row r="8" spans="1:2" s="91" customFormat="1" ht="15.6" x14ac:dyDescent="0.3">
      <c r="A8" s="151" t="s">
        <v>6</v>
      </c>
    </row>
    <row r="9" spans="1:2" s="91" customFormat="1" ht="15.6" x14ac:dyDescent="0.3">
      <c r="A9" s="151" t="s">
        <v>7</v>
      </c>
    </row>
    <row r="10" spans="1:2" s="91" customFormat="1" ht="15.6" x14ac:dyDescent="0.3"/>
    <row r="11" spans="1:2" s="91" customFormat="1" ht="18" x14ac:dyDescent="0.35">
      <c r="A11" s="169" t="s">
        <v>8</v>
      </c>
      <c r="B11" s="169"/>
    </row>
    <row r="12" spans="1:2" s="91" customFormat="1" ht="15.6" x14ac:dyDescent="0.3">
      <c r="A12" s="151" t="s">
        <v>9</v>
      </c>
    </row>
    <row r="13" spans="1:2" s="91" customFormat="1" ht="15.6" x14ac:dyDescent="0.3">
      <c r="A13" s="151" t="s">
        <v>10</v>
      </c>
    </row>
    <row r="14" spans="1:2" s="91" customFormat="1" ht="15.6" x14ac:dyDescent="0.3">
      <c r="A14" s="151" t="s">
        <v>11</v>
      </c>
    </row>
    <row r="15" spans="1:2" s="91" customFormat="1" ht="15.6" x14ac:dyDescent="0.3">
      <c r="A15" s="150" t="s">
        <v>12</v>
      </c>
      <c r="B15" s="152" t="s">
        <v>13</v>
      </c>
    </row>
    <row r="16" spans="1:2" s="91" customFormat="1" ht="15.6" x14ac:dyDescent="0.3">
      <c r="A16" s="150" t="s">
        <v>14</v>
      </c>
      <c r="B16" s="151" t="s">
        <v>15</v>
      </c>
    </row>
    <row r="17" spans="1:2" s="91" customFormat="1" ht="15.6" x14ac:dyDescent="0.3">
      <c r="A17" s="150" t="s">
        <v>16</v>
      </c>
      <c r="B17" s="151" t="s">
        <v>17</v>
      </c>
    </row>
    <row r="18" spans="1:2" s="91" customFormat="1" ht="15.6" x14ac:dyDescent="0.3">
      <c r="A18" s="150" t="s">
        <v>18</v>
      </c>
      <c r="B18" s="151" t="s">
        <v>19</v>
      </c>
    </row>
    <row r="19" spans="1:2" s="91" customFormat="1" ht="15.6" x14ac:dyDescent="0.3">
      <c r="A19" s="153" t="s">
        <v>20</v>
      </c>
      <c r="B19" s="151" t="s">
        <v>21</v>
      </c>
    </row>
    <row r="20" spans="1:2" s="91" customFormat="1" ht="15.6" x14ac:dyDescent="0.3">
      <c r="A20" s="150" t="s">
        <v>22</v>
      </c>
      <c r="B20" s="152" t="s">
        <v>23</v>
      </c>
    </row>
    <row r="21" spans="1:2" s="91" customFormat="1" ht="15.6" x14ac:dyDescent="0.3">
      <c r="A21" s="153" t="s">
        <v>24</v>
      </c>
      <c r="B21" s="151" t="s">
        <v>25</v>
      </c>
    </row>
    <row r="22" spans="1:2" s="91" customFormat="1" ht="15.6" x14ac:dyDescent="0.3">
      <c r="A22" s="150" t="s">
        <v>26</v>
      </c>
      <c r="B22" s="151" t="s">
        <v>27</v>
      </c>
    </row>
    <row r="23" spans="1:2" s="91" customFormat="1" ht="15.6" x14ac:dyDescent="0.3">
      <c r="A23" s="153" t="s">
        <v>28</v>
      </c>
      <c r="B23" s="151" t="s">
        <v>29</v>
      </c>
    </row>
    <row r="24" spans="1:2" s="91" customFormat="1" ht="15.6" x14ac:dyDescent="0.3">
      <c r="A24" s="150" t="s">
        <v>30</v>
      </c>
      <c r="B24" s="151" t="s">
        <v>31</v>
      </c>
    </row>
    <row r="25" spans="1:2" s="91" customFormat="1" ht="15.6" x14ac:dyDescent="0.3">
      <c r="A25" s="153" t="s">
        <v>28</v>
      </c>
      <c r="B25" s="151" t="s">
        <v>32</v>
      </c>
    </row>
    <row r="26" spans="1:2" s="91" customFormat="1" ht="15.6" x14ac:dyDescent="0.3"/>
    <row r="27" spans="1:2" s="91" customFormat="1" ht="18" x14ac:dyDescent="0.35">
      <c r="A27" s="168" t="s">
        <v>33</v>
      </c>
      <c r="B27" s="168"/>
    </row>
    <row r="28" spans="1:2" s="91" customFormat="1" ht="15.6" x14ac:dyDescent="0.3">
      <c r="A28" s="151" t="s">
        <v>34</v>
      </c>
    </row>
    <row r="29" spans="1:2" s="91" customFormat="1" ht="15.6" x14ac:dyDescent="0.3">
      <c r="A29" s="151" t="s">
        <v>35</v>
      </c>
    </row>
    <row r="30" spans="1:2" s="91" customFormat="1" ht="15.6" x14ac:dyDescent="0.3">
      <c r="A30" s="151" t="s">
        <v>36</v>
      </c>
    </row>
    <row r="31" spans="1:2" s="91" customFormat="1" ht="15.6" x14ac:dyDescent="0.3"/>
    <row r="32" spans="1:2" s="91" customFormat="1" ht="18" x14ac:dyDescent="0.35">
      <c r="A32" s="170" t="s">
        <v>37</v>
      </c>
      <c r="B32" s="170"/>
    </row>
    <row r="33" spans="1:2" s="91" customFormat="1" ht="15.6" x14ac:dyDescent="0.3">
      <c r="A33" s="151" t="s">
        <v>38</v>
      </c>
    </row>
    <row r="34" spans="1:2" s="91" customFormat="1" ht="15.6" x14ac:dyDescent="0.3">
      <c r="A34" s="151" t="s">
        <v>39</v>
      </c>
    </row>
    <row r="35" spans="1:2" s="91" customFormat="1" ht="15.6" x14ac:dyDescent="0.3">
      <c r="A35" s="150" t="s">
        <v>40</v>
      </c>
      <c r="B35" s="152" t="s">
        <v>41</v>
      </c>
    </row>
    <row r="36" spans="1:2" s="91" customFormat="1" ht="15.6" x14ac:dyDescent="0.3">
      <c r="A36" s="150" t="s">
        <v>42</v>
      </c>
      <c r="B36" s="151" t="s">
        <v>43</v>
      </c>
    </row>
    <row r="37" spans="1:2" s="91" customFormat="1" ht="15.6" x14ac:dyDescent="0.3">
      <c r="A37" s="153" t="s">
        <v>44</v>
      </c>
      <c r="B37" s="152" t="s">
        <v>45</v>
      </c>
    </row>
    <row r="38" spans="1:2" s="91" customFormat="1" ht="15.6" x14ac:dyDescent="0.3">
      <c r="A38" s="153" t="s">
        <v>46</v>
      </c>
      <c r="B38" s="151" t="s">
        <v>47</v>
      </c>
    </row>
    <row r="39" spans="1:2" s="91" customFormat="1" ht="15.6" x14ac:dyDescent="0.3">
      <c r="A39" s="153" t="s">
        <v>48</v>
      </c>
      <c r="B39" s="151" t="s">
        <v>49</v>
      </c>
    </row>
    <row r="40" spans="1:2" s="91" customFormat="1" ht="15.6" x14ac:dyDescent="0.3">
      <c r="A40" s="153" t="s">
        <v>50</v>
      </c>
      <c r="B40" s="151" t="s">
        <v>51</v>
      </c>
    </row>
    <row r="41" spans="1:2" s="91" customFormat="1" ht="15.6" x14ac:dyDescent="0.3">
      <c r="A41" s="153" t="s">
        <v>52</v>
      </c>
      <c r="B41" s="151" t="s">
        <v>53</v>
      </c>
    </row>
    <row r="42" spans="1:2" s="91" customFormat="1" ht="15.6" x14ac:dyDescent="0.3">
      <c r="A42" s="153" t="s">
        <v>54</v>
      </c>
      <c r="B42" s="151" t="s">
        <v>55</v>
      </c>
    </row>
    <row r="43" spans="1:2" s="91" customFormat="1" ht="15.6" x14ac:dyDescent="0.3"/>
    <row r="44" spans="1:2" s="91" customFormat="1" ht="18" x14ac:dyDescent="0.35">
      <c r="A44" s="171" t="s">
        <v>56</v>
      </c>
      <c r="B44" s="171"/>
    </row>
    <row r="45" spans="1:2" s="91" customFormat="1" ht="15.6" x14ac:dyDescent="0.3">
      <c r="A45" s="151" t="s">
        <v>57</v>
      </c>
    </row>
    <row r="46" spans="1:2" s="91" customFormat="1" ht="15.6" x14ac:dyDescent="0.3">
      <c r="A46" s="151" t="s">
        <v>58</v>
      </c>
    </row>
    <row r="47" spans="1:2" s="91" customFormat="1" ht="15.6" x14ac:dyDescent="0.3">
      <c r="A47" s="150" t="s">
        <v>59</v>
      </c>
      <c r="B47" s="152" t="s">
        <v>60</v>
      </c>
    </row>
    <row r="48" spans="1:2" s="91" customFormat="1" ht="15.6" x14ac:dyDescent="0.3">
      <c r="A48" s="150" t="s">
        <v>61</v>
      </c>
      <c r="B48" s="151" t="s">
        <v>62</v>
      </c>
    </row>
    <row r="49" spans="1:2" s="91" customFormat="1" ht="15.6" x14ac:dyDescent="0.3">
      <c r="A49" s="153" t="s">
        <v>63</v>
      </c>
      <c r="B49" s="151" t="s">
        <v>64</v>
      </c>
    </row>
    <row r="50" spans="1:2" s="91" customFormat="1" ht="15.6" x14ac:dyDescent="0.3">
      <c r="A50" s="153" t="s">
        <v>65</v>
      </c>
      <c r="B50" s="152" t="s">
        <v>66</v>
      </c>
    </row>
    <row r="51" spans="1:2" s="91" customFormat="1" ht="15.6" x14ac:dyDescent="0.3">
      <c r="A51" s="153" t="s">
        <v>67</v>
      </c>
      <c r="B51" s="151" t="s">
        <v>47</v>
      </c>
    </row>
    <row r="52" spans="1:2" s="91" customFormat="1" ht="15.6" x14ac:dyDescent="0.3">
      <c r="A52" s="153" t="s">
        <v>68</v>
      </c>
      <c r="B52" s="151" t="s">
        <v>49</v>
      </c>
    </row>
    <row r="53" spans="1:2" s="91" customFormat="1" ht="15.6" x14ac:dyDescent="0.3">
      <c r="A53" s="150" t="s">
        <v>69</v>
      </c>
      <c r="B53" s="151" t="s">
        <v>51</v>
      </c>
    </row>
    <row r="54" spans="1:2" ht="15.6" x14ac:dyDescent="0.3">
      <c r="A54" s="153" t="s">
        <v>70</v>
      </c>
      <c r="B54" s="151" t="s">
        <v>71</v>
      </c>
    </row>
    <row r="55" spans="1:2" ht="15.6" x14ac:dyDescent="0.3">
      <c r="A55" s="153" t="s">
        <v>72</v>
      </c>
      <c r="B55" s="151" t="s">
        <v>73</v>
      </c>
    </row>
    <row r="56" spans="1:2" s="91" customFormat="1" ht="15.6" x14ac:dyDescent="0.3"/>
    <row r="57" spans="1:2" ht="18" x14ac:dyDescent="0.35">
      <c r="A57" s="166" t="s">
        <v>74</v>
      </c>
      <c r="B57" s="166"/>
    </row>
    <row r="58" spans="1:2" s="91" customFormat="1" ht="15.6" x14ac:dyDescent="0.3">
      <c r="A58" s="151" t="s">
        <v>75</v>
      </c>
    </row>
    <row r="59" spans="1:2" s="91" customFormat="1" ht="15.6" x14ac:dyDescent="0.3">
      <c r="A59" s="151" t="s">
        <v>76</v>
      </c>
    </row>
    <row r="60" spans="1:2" s="91" customFormat="1" ht="15.6" x14ac:dyDescent="0.3">
      <c r="A60" s="150" t="s">
        <v>77</v>
      </c>
      <c r="B60" s="152" t="s">
        <v>78</v>
      </c>
    </row>
    <row r="61" spans="1:2" s="91" customFormat="1" ht="15.6" x14ac:dyDescent="0.3">
      <c r="A61" s="153" t="s">
        <v>79</v>
      </c>
      <c r="B61" s="152" t="s">
        <v>80</v>
      </c>
    </row>
    <row r="62" spans="1:2" s="91" customFormat="1" ht="15.6" x14ac:dyDescent="0.3">
      <c r="A62" s="153" t="s">
        <v>81</v>
      </c>
      <c r="B62" s="151" t="s">
        <v>82</v>
      </c>
    </row>
    <row r="63" spans="1:2" s="91" customFormat="1" ht="15.6" x14ac:dyDescent="0.3">
      <c r="A63" s="153" t="s">
        <v>83</v>
      </c>
      <c r="B63" s="151" t="s">
        <v>84</v>
      </c>
    </row>
    <row r="64" spans="1:2" s="91" customFormat="1" ht="15.6" x14ac:dyDescent="0.3">
      <c r="A64" s="153" t="s">
        <v>85</v>
      </c>
      <c r="B64" s="151" t="s">
        <v>86</v>
      </c>
    </row>
    <row r="65" spans="1:2" s="91" customFormat="1" ht="15.6" x14ac:dyDescent="0.3">
      <c r="A65" s="150" t="s">
        <v>87</v>
      </c>
      <c r="B65" s="152" t="s">
        <v>88</v>
      </c>
    </row>
    <row r="66" spans="1:2" s="91" customFormat="1" ht="15.6" x14ac:dyDescent="0.3">
      <c r="A66" s="165" t="s">
        <v>89</v>
      </c>
      <c r="B66" s="151" t="s">
        <v>90</v>
      </c>
    </row>
    <row r="67" spans="1:2" s="91" customFormat="1" ht="15.6" x14ac:dyDescent="0.3"/>
    <row r="68" spans="1:2" s="91" customFormat="1" ht="15.6" x14ac:dyDescent="0.3"/>
    <row r="69" spans="1:2" s="91" customFormat="1" ht="15.6" x14ac:dyDescent="0.3"/>
    <row r="70" spans="1:2" s="91" customFormat="1" ht="15.6" x14ac:dyDescent="0.3">
      <c r="A70"/>
    </row>
    <row r="71" spans="1:2" ht="15.6" x14ac:dyDescent="0.3">
      <c r="B71" s="91"/>
    </row>
  </sheetData>
  <sheetProtection algorithmName="SHA-512" hashValue="NzJidXKF6vPBSAHssdA+iPWdLDICidxf/NCxHftdoR4lfYQSNxlWlFuBdOsRQEtNXxAdhnVm9YJH78f3eKr9UQ==" saltValue="S9PM6UUQouMUlCInjmizxg==" spinCount="100000" sheet="1" objects="1" scenarios="1" selectLockedCells="1"/>
  <mergeCells count="6">
    <mergeCell ref="A57:B57"/>
    <mergeCell ref="A1:B1"/>
    <mergeCell ref="A27:B27"/>
    <mergeCell ref="A11:B11"/>
    <mergeCell ref="A32:B32"/>
    <mergeCell ref="A44:B44"/>
  </mergeCells>
  <hyperlinks>
    <hyperlink ref="B3" r:id="rId1" xr:uid="{CF714B3D-7C69-486F-B1A8-B1F73F1D574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00695-4186-4117-AC54-A0BFC977FDCD}">
  <sheetPr codeName="Sheet1">
    <tabColor rgb="FFFF0000"/>
  </sheetPr>
  <dimension ref="A1:S45"/>
  <sheetViews>
    <sheetView showGridLines="0" showRowColHeaders="0" tabSelected="1" zoomScale="130" zoomScaleNormal="130" workbookViewId="0">
      <pane ySplit="3" topLeftCell="A8" activePane="bottomLeft" state="frozen"/>
      <selection pane="bottomLeft" activeCell="B1" sqref="B1"/>
    </sheetView>
  </sheetViews>
  <sheetFormatPr defaultRowHeight="14.4" x14ac:dyDescent="0.3"/>
  <cols>
    <col min="1" max="1" width="14.33203125" bestFit="1" customWidth="1"/>
    <col min="2" max="2" width="5.33203125" style="2" customWidth="1"/>
    <col min="3" max="3" width="3.6640625" customWidth="1"/>
    <col min="4" max="4" width="15.33203125" customWidth="1"/>
    <col min="5" max="5" width="3.33203125" customWidth="1"/>
    <col min="6" max="6" width="10.6640625" customWidth="1"/>
    <col min="10" max="10" width="4" customWidth="1"/>
    <col min="11" max="11" width="10.6640625" customWidth="1"/>
    <col min="15" max="15" width="4" customWidth="1"/>
    <col min="16" max="16" width="10.6640625" customWidth="1"/>
  </cols>
  <sheetData>
    <row r="1" spans="1:19" ht="15.6" x14ac:dyDescent="0.3">
      <c r="A1" s="5" t="s">
        <v>91</v>
      </c>
      <c r="B1" s="146">
        <v>56</v>
      </c>
      <c r="D1" s="78" t="s">
        <v>92</v>
      </c>
      <c r="F1" s="4" t="s">
        <v>93</v>
      </c>
      <c r="G1" s="77" t="s">
        <v>94</v>
      </c>
      <c r="H1" s="77" t="s">
        <v>95</v>
      </c>
      <c r="I1" s="77" t="s">
        <v>96</v>
      </c>
      <c r="K1" s="4" t="s">
        <v>97</v>
      </c>
      <c r="L1" s="77" t="s">
        <v>94</v>
      </c>
      <c r="M1" s="77" t="s">
        <v>95</v>
      </c>
      <c r="N1" s="77" t="s">
        <v>96</v>
      </c>
      <c r="P1" s="4" t="s">
        <v>98</v>
      </c>
      <c r="Q1" s="77" t="s">
        <v>94</v>
      </c>
      <c r="R1" s="77" t="s">
        <v>95</v>
      </c>
      <c r="S1" s="77" t="s">
        <v>96</v>
      </c>
    </row>
    <row r="2" spans="1:19" ht="15.6" x14ac:dyDescent="0.3">
      <c r="A2" s="5" t="s">
        <v>99</v>
      </c>
      <c r="B2" s="147" t="s">
        <v>155</v>
      </c>
      <c r="D2" s="79" t="str">
        <f>_xlfn.CONCAT("Match ",_xlfn.MAXIFS(Dyno_Data[Match],Dyno_Data[RecordType],"EndMatch"))</f>
        <v>Match 77</v>
      </c>
      <c r="F2" s="145" t="str">
        <f>IF(Alliance="Red", _Red3, _Blue1)</f>
        <v>frc5993</v>
      </c>
      <c r="G2" s="89">
        <f>COUNTIFS(Dyno_EndMatch[Team],F2,Dyno_EndMatch[RecordType],"EndMatch")</f>
        <v>8</v>
      </c>
      <c r="H2" s="89">
        <f>_xlfn.XLOOKUP(F2,TBA_Rankings[Team],TBA_Rankings[Rank],"-",0,1)</f>
        <v>37</v>
      </c>
      <c r="I2" s="90">
        <f>SUM(_xlfn.XLOOKUP(F2,TBA_Rankings[Team],TBA_Rankings[RP],"-",0,1)+((COUNTIFS(TBA_Matches_All[Coopertition],"TRUE",TBA_Matches_All[Team],F2)/100)))</f>
        <v>392.05</v>
      </c>
      <c r="J2" s="91"/>
      <c r="K2" s="145" t="str">
        <f>IF(Alliance="Red", _Red2, _Blue2)</f>
        <v>frc1559</v>
      </c>
      <c r="L2" s="89">
        <f>COUNTIFS(Dyno_EndMatch[Team],K2,Dyno_EndMatch[RecordType],"EndMatch")</f>
        <v>8</v>
      </c>
      <c r="M2" s="89">
        <f>_xlfn.XLOOKUP(K2,TBA_Rankings[Team],TBA_Rankings[Rank],"-",0,1)</f>
        <v>23</v>
      </c>
      <c r="N2" s="90">
        <f>SUM(_xlfn.XLOOKUP(K2,TBA_Rankings[Team],TBA_Rankings[RP],"-",0,1)+((COUNTIFS(TBA_Matches_All[Coopertition],"TRUE",TBA_Matches_All[Team],K2)/100)))</f>
        <v>588.07000000000005</v>
      </c>
      <c r="O2" s="91"/>
      <c r="P2" s="145" t="str">
        <f>IF(Alliance="Red", _Red1, _Blue3)</f>
        <v>frc3173</v>
      </c>
      <c r="Q2" s="89">
        <f>COUNTIFS(Dyno_EndMatch[Team],P2,Dyno_EndMatch[RecordType],"EndMatch")</f>
        <v>7</v>
      </c>
      <c r="R2" s="89">
        <f>_xlfn.XLOOKUP(P2,TBA_Rankings[Team],TBA_Rankings[Rank],"-",0,1)</f>
        <v>2</v>
      </c>
      <c r="S2" s="90">
        <f>SUM(_xlfn.XLOOKUP(P2,TBA_Rankings[Team],TBA_Rankings[RP],"-",0,1)+((COUNTIFS(TBA_Matches_All[Coopertition],"TRUE",TBA_Matches_All[Team],P2)/100)))</f>
        <v>980.07</v>
      </c>
    </row>
    <row r="3" spans="1:19" ht="19.95" customHeight="1" x14ac:dyDescent="0.3">
      <c r="A3" s="172" t="str">
        <f>_xlfn.XLOOKUP(TBA_Matches_All[[#This Row],[Event_Key]],TBA_Events[Event_Key],TBA_Events[Event_Name],"Unknown",0,1)</f>
        <v>New York Tech Valley Regional</v>
      </c>
      <c r="B3" s="172"/>
      <c r="C3" s="172"/>
      <c r="D3" s="172"/>
      <c r="E3" s="172"/>
      <c r="F3" s="172"/>
      <c r="G3" s="172"/>
      <c r="H3" s="172"/>
      <c r="I3" s="172"/>
      <c r="J3" s="172"/>
      <c r="K3" s="172"/>
      <c r="L3" s="172"/>
      <c r="M3" s="172"/>
      <c r="N3" s="172"/>
      <c r="O3" s="172"/>
      <c r="P3" s="172"/>
      <c r="Q3" s="172"/>
      <c r="R3" s="172"/>
      <c r="S3" s="172"/>
    </row>
    <row r="15" spans="1:19" ht="13.95" customHeight="1" x14ac:dyDescent="0.3"/>
    <row r="30" ht="13.2" customHeight="1" x14ac:dyDescent="0.3"/>
    <row r="45" ht="18.600000000000001" customHeight="1" x14ac:dyDescent="0.3"/>
  </sheetData>
  <sheetProtection algorithmName="SHA-512" hashValue="ppBN3SJfpG2hGXKyNrITF85cnMutF6GnJ0FkgKi3puAg/EPjCfpIG38NbOUB8OFnohzjuDnEauisU0zp/l/SBw==" saltValue="y2s66X1n32M758y3tY2nkg==" spinCount="100000" sheet="1" objects="1" scenarios="1" selectLockedCells="1"/>
  <mergeCells count="1">
    <mergeCell ref="A3:S3"/>
  </mergeCells>
  <conditionalFormatting sqref="B2">
    <cfRule type="cellIs" dxfId="166" priority="5" operator="equal">
      <formula>"Blue"</formula>
    </cfRule>
    <cfRule type="cellIs" dxfId="165" priority="6" operator="equal">
      <formula>"Red"</formula>
    </cfRule>
  </conditionalFormatting>
  <conditionalFormatting sqref="F1:I2 K1:N2 P1:S2 F16:S60 A31:E60">
    <cfRule type="expression" dxfId="164" priority="1">
      <formula>$B$2="Blue"</formula>
    </cfRule>
    <cfRule type="expression" dxfId="163" priority="3">
      <formula>$B$2="Red"</formula>
    </cfRule>
  </conditionalFormatting>
  <conditionalFormatting sqref="K1:N2 P1:S2">
    <cfRule type="cellIs" priority="2" operator="between">
      <formula>1</formula>
      <formula>2</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C061227A-7513-4854-9DE0-11118B80E361}">
          <x14:formula1>
            <xm:f>MPR_Alliance!$A$2:$A$3</xm:f>
          </x14:formula1>
          <xm:sqref>B2</xm:sqref>
        </x14:dataValidation>
        <x14:dataValidation type="list" allowBlank="1" showInputMessage="1" showErrorMessage="1" xr:uid="{D7B6747E-DD8F-445B-ADBE-8872AA427FC4}">
          <x14:formula1>
            <xm:f>TBA_Schedule!$D$2:$D$197</xm:f>
          </x14:formula1>
          <xm:sqref>B1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64427-A9E7-401E-AE7E-A97EB3798F0E}">
  <sheetPr codeName="Sheet2">
    <tabColor rgb="FFFFFF00"/>
  </sheetPr>
  <dimension ref="A1:U23"/>
  <sheetViews>
    <sheetView showGridLines="0" showRowColHeaders="0" topLeftCell="A6" zoomScale="140" zoomScaleNormal="140" workbookViewId="0">
      <selection activeCell="L11" sqref="L11"/>
    </sheetView>
  </sheetViews>
  <sheetFormatPr defaultRowHeight="14.4" x14ac:dyDescent="0.3"/>
  <cols>
    <col min="2" max="9" width="6.6640625" style="1" customWidth="1"/>
    <col min="10" max="10" width="5.6640625" style="70" customWidth="1"/>
    <col min="11" max="11" width="8.6640625" style="1" customWidth="1"/>
    <col min="12" max="12" width="5.6640625" style="1" customWidth="1"/>
    <col min="13" max="20" width="6.6640625" style="1" customWidth="1"/>
  </cols>
  <sheetData>
    <row r="1" spans="1:21" x14ac:dyDescent="0.3">
      <c r="B1" s="175" t="s">
        <v>101</v>
      </c>
      <c r="C1" s="175"/>
      <c r="D1" s="173" t="s">
        <v>102</v>
      </c>
      <c r="E1" s="175"/>
      <c r="F1" s="173" t="s">
        <v>103</v>
      </c>
      <c r="G1" s="174"/>
      <c r="H1" s="175" t="s">
        <v>104</v>
      </c>
      <c r="I1" s="175"/>
      <c r="M1" s="175" t="s">
        <v>101</v>
      </c>
      <c r="N1" s="175"/>
      <c r="O1" s="173" t="s">
        <v>102</v>
      </c>
      <c r="P1" s="174"/>
      <c r="Q1" s="175" t="s">
        <v>103</v>
      </c>
      <c r="R1" s="175"/>
      <c r="S1" s="173" t="s">
        <v>104</v>
      </c>
      <c r="T1" s="175"/>
    </row>
    <row r="2" spans="1:21" s="5" customFormat="1" ht="15" thickBot="1" x14ac:dyDescent="0.35">
      <c r="B2" s="6" t="s">
        <v>105</v>
      </c>
      <c r="C2" s="7" t="s">
        <v>106</v>
      </c>
      <c r="D2" s="8" t="s">
        <v>105</v>
      </c>
      <c r="E2" s="7" t="s">
        <v>106</v>
      </c>
      <c r="F2" s="8" t="s">
        <v>105</v>
      </c>
      <c r="G2" s="9" t="s">
        <v>106</v>
      </c>
      <c r="H2" s="6" t="s">
        <v>105</v>
      </c>
      <c r="I2" s="7" t="s">
        <v>106</v>
      </c>
      <c r="J2" s="71" t="s">
        <v>107</v>
      </c>
      <c r="K2" s="10"/>
      <c r="L2" s="10" t="s">
        <v>107</v>
      </c>
      <c r="M2" s="6" t="s">
        <v>105</v>
      </c>
      <c r="N2" s="7" t="s">
        <v>106</v>
      </c>
      <c r="O2" s="8" t="s">
        <v>105</v>
      </c>
      <c r="P2" s="9" t="s">
        <v>106</v>
      </c>
      <c r="Q2" s="6" t="s">
        <v>105</v>
      </c>
      <c r="R2" s="7" t="s">
        <v>106</v>
      </c>
      <c r="S2" s="8" t="s">
        <v>105</v>
      </c>
      <c r="T2" s="7" t="s">
        <v>106</v>
      </c>
    </row>
    <row r="3" spans="1:21" x14ac:dyDescent="0.3">
      <c r="A3" s="11" t="str">
        <f>_Blue1</f>
        <v>frc5993</v>
      </c>
      <c r="B3" s="12">
        <f>COUNTIFS(TBA_Matches_All[Team],$A3,TBA_Matches_All[Acenter1],1,TBA_Matches_All[RobotSet],"Amp")</f>
        <v>0</v>
      </c>
      <c r="C3" s="13">
        <f>COUNTIFS(TBA_Matches_All[Team],$A3,TBA_Matches_All[Acenter1],-1,TBA_Matches_All[RobotSet],"Amp")</f>
        <v>0</v>
      </c>
      <c r="D3" s="14">
        <f>COUNTIFS(TBA_Matches_All[Team],$A3,TBA_Matches_All[Acenter1],1,TBA_Matches_All[RobotSet],"SubW")</f>
        <v>0</v>
      </c>
      <c r="E3" s="13">
        <f>COUNTIFS(TBA_Matches_All[Team],$A3,TBA_Matches_All[Acenter1],-1,TBA_Matches_All[RobotSet],"SubW")</f>
        <v>0</v>
      </c>
      <c r="F3" s="14">
        <f>COUNTIFS(TBA_Matches_All[Team],$A3,TBA_Matches_All[Acenter1],1,TBA_Matches_All[RobotSet],"Podm")</f>
        <v>0</v>
      </c>
      <c r="G3" s="15">
        <f>COUNTIFS(TBA_Matches_All[Team],$A3,TBA_Matches_All[Acenter1],-1,TBA_Matches_All[RobotSet],"Podm")</f>
        <v>0</v>
      </c>
      <c r="H3" s="16">
        <f>COUNTIFS(TBA_Matches_All[Team],$A3,TBA_Matches_All[Acenter1],1,TBA_Matches_All[RobotSet],"OppS")</f>
        <v>0</v>
      </c>
      <c r="I3" s="17">
        <f>COUNTIFS(TBA_Matches_All[Team],$A3,TBA_Matches_All[Acenter1],-1,TBA_Matches_All[RobotSet],"OppS")</f>
        <v>0</v>
      </c>
      <c r="J3" s="72">
        <f>IFERROR(SUM(B3:I3)/COUNTIFS(Dyno_EndMatch[Team],$A3,Dyno_EndMatch[RecordType],"EndMatch")*100,0)</f>
        <v>0</v>
      </c>
      <c r="K3" s="176" t="s">
        <v>108</v>
      </c>
      <c r="L3" s="72">
        <f>IFERROR(SUM(M3:T3)/COUNTIFS(Dyno_EndMatch[Team],$U3,Dyno_EndMatch[RecordType],"EndMatch")*100,0)</f>
        <v>0</v>
      </c>
      <c r="M3" s="18">
        <f>COUNTIFS(TBA_Matches_All[Team],$U3,TBA_Matches_All[Acenter1],1,TBA_Matches_All[RobotSet],"Amp")</f>
        <v>0</v>
      </c>
      <c r="N3" s="13">
        <f>COUNTIFS(TBA_Matches_All[Team],$U3,TBA_Matches_All[Acenter1],-1,TBA_Matches_All[RobotSet],"Amp")</f>
        <v>0</v>
      </c>
      <c r="O3" s="14">
        <f>COUNTIFS(TBA_Matches_All[Team],$U3,TBA_Matches_All[Acenter1],1,TBA_Matches_All[RobotSet],"SubW")</f>
        <v>0</v>
      </c>
      <c r="P3" s="15">
        <f>COUNTIFS(TBA_Matches_All[Team],$U3,TBA_Matches_All[Acenter1],-1,TBA_Matches_All[RobotSet],"SubW")</f>
        <v>0</v>
      </c>
      <c r="Q3" s="16">
        <f>COUNTIFS(TBA_Matches_All[Team],$U3,TBA_Matches_All[Acenter1],1,TBA_Matches_All[RobotSet],"Podm")</f>
        <v>0</v>
      </c>
      <c r="R3" s="13">
        <f>COUNTIFS(TBA_Matches_All[Team],$U3,TBA_Matches_All[Acenter1],-1,TBA_Matches_All[RobotSet],"Podm")</f>
        <v>0</v>
      </c>
      <c r="S3" s="14">
        <f>COUNTIFS(TBA_Matches_All[Team],$U3,TBA_Matches_All[Acenter1],1,TBA_Matches_All[RobotSet],"OppS")</f>
        <v>0</v>
      </c>
      <c r="T3" s="19">
        <f>COUNTIFS(TBA_Matches_All[Team],$U3,TBA_Matches_All[Acenter1],-1,TBA_Matches_All[RobotSet],"OppS")</f>
        <v>0</v>
      </c>
      <c r="U3" s="20" t="str">
        <f>_Red1</f>
        <v>frc1591</v>
      </c>
    </row>
    <row r="4" spans="1:21" x14ac:dyDescent="0.3">
      <c r="A4" s="11" t="str">
        <f>_Blue2</f>
        <v>frc1559</v>
      </c>
      <c r="B4" s="21">
        <f>COUNTIFS(TBA_Matches_All[Team],$A4,TBA_Matches_All[Acenter1],1,TBA_Matches_All[RobotSet],"Amp")</f>
        <v>0</v>
      </c>
      <c r="C4" s="22">
        <f>COUNTIFS(TBA_Matches_All[Team],$A4,TBA_Matches_All[Acenter1],-1,TBA_Matches_All[RobotSet],"Amp")</f>
        <v>0</v>
      </c>
      <c r="D4" s="23">
        <f>COUNTIFS(TBA_Matches_All[Team],$A4,TBA_Matches_All[Acenter1],1,TBA_Matches_All[RobotSet],"SubW")</f>
        <v>0</v>
      </c>
      <c r="E4" s="22">
        <f>COUNTIFS(TBA_Matches_All[Team],$A4,TBA_Matches_All[Acenter1],-1,TBA_Matches_All[RobotSet],"SubW")</f>
        <v>0</v>
      </c>
      <c r="F4" s="23">
        <f>COUNTIFS(TBA_Matches_All[Team],$A4,TBA_Matches_All[Acenter1],1,TBA_Matches_All[RobotSet],"Podm")</f>
        <v>0</v>
      </c>
      <c r="G4" s="24">
        <f>COUNTIFS(TBA_Matches_All[Team],$A4,TBA_Matches_All[Acenter1],-1,TBA_Matches_All[RobotSet],"Podm")</f>
        <v>0</v>
      </c>
      <c r="H4" s="25">
        <f>COUNTIFS(TBA_Matches_All[Team],$A4,TBA_Matches_All[Acenter1],1,TBA_Matches_All[RobotSet],"OppS")</f>
        <v>0</v>
      </c>
      <c r="I4" s="26">
        <f>COUNTIFS(TBA_Matches_All[Team],$A4,TBA_Matches_All[Acenter1],-1,TBA_Matches_All[RobotSet],"OppS")</f>
        <v>0</v>
      </c>
      <c r="J4" s="70">
        <f>IFERROR(SUM(B4:I4)/COUNTIFS(Dyno_EndMatch[Team],$A4,Dyno_EndMatch[RecordType],"EndMatch")*100,0)</f>
        <v>0</v>
      </c>
      <c r="K4" s="176"/>
      <c r="L4" s="70">
        <f>IFERROR(SUM(M4:T4)/COUNTIFS(Dyno_EndMatch[Team],$U4,Dyno_EndMatch[RecordType],"EndMatch")*100,0)</f>
        <v>0</v>
      </c>
      <c r="M4" s="27">
        <f>COUNTIFS(TBA_Matches_All[Team],$U4,TBA_Matches_All[Acenter1],1,TBA_Matches_All[RobotSet],"Amp")</f>
        <v>0</v>
      </c>
      <c r="N4" s="22">
        <f>COUNTIFS(TBA_Matches_All[Team],$U4,TBA_Matches_All[Acenter1],-1,TBA_Matches_All[RobotSet],"Amp")</f>
        <v>0</v>
      </c>
      <c r="O4" s="23">
        <f>COUNTIFS(TBA_Matches_All[Team],$U4,TBA_Matches_All[Acenter1],1,TBA_Matches_All[RobotSet],"SubW")</f>
        <v>0</v>
      </c>
      <c r="P4" s="24">
        <f>COUNTIFS(TBA_Matches_All[Team],$U4,TBA_Matches_All[Acenter1],-1,TBA_Matches_All[RobotSet],"SubW")</f>
        <v>0</v>
      </c>
      <c r="Q4" s="25">
        <f>COUNTIFS(TBA_Matches_All[Team],$U4,TBA_Matches_All[Acenter1],1,TBA_Matches_All[RobotSet],"Podm")</f>
        <v>0</v>
      </c>
      <c r="R4" s="22">
        <f>COUNTIFS(TBA_Matches_All[Team],$U4,TBA_Matches_All[Acenter1],-1,TBA_Matches_All[RobotSet],"Podm")</f>
        <v>0</v>
      </c>
      <c r="S4" s="23">
        <f>COUNTIFS(TBA_Matches_All[Team],$U4,TBA_Matches_All[Acenter1],1,TBA_Matches_All[RobotSet],"OppS")</f>
        <v>0</v>
      </c>
      <c r="T4" s="28">
        <f>COUNTIFS(TBA_Matches_All[Team],$U4,TBA_Matches_All[Acenter1],-1,TBA_Matches_All[RobotSet],"OppS")</f>
        <v>0</v>
      </c>
      <c r="U4" s="20" t="str">
        <f>_Red2</f>
        <v>frc5016</v>
      </c>
    </row>
    <row r="5" spans="1:21" x14ac:dyDescent="0.3">
      <c r="A5" s="11" t="str">
        <f>_Blue3</f>
        <v>frc3173</v>
      </c>
      <c r="B5" s="29">
        <f>COUNTIFS(TBA_Matches_All[Team],$A5,TBA_Matches_All[Acenter1],1,TBA_Matches_All[RobotSet],"Amp")</f>
        <v>1</v>
      </c>
      <c r="C5" s="30">
        <f>COUNTIFS(TBA_Matches_All[Team],$A5,TBA_Matches_All[Acenter1],-1,TBA_Matches_All[RobotSet],"Amp")</f>
        <v>0</v>
      </c>
      <c r="D5" s="31">
        <f>COUNTIFS(TBA_Matches_All[Team],$A5,TBA_Matches_All[Acenter1],1,TBA_Matches_All[RobotSet],"SubW")</f>
        <v>0</v>
      </c>
      <c r="E5" s="30">
        <f>COUNTIFS(TBA_Matches_All[Team],$A5,TBA_Matches_All[Acenter1],-1,TBA_Matches_All[RobotSet],"SubW")</f>
        <v>0</v>
      </c>
      <c r="F5" s="31">
        <f>COUNTIFS(TBA_Matches_All[Team],$A5,TBA_Matches_All[Acenter1],1,TBA_Matches_All[RobotSet],"Podm")</f>
        <v>0</v>
      </c>
      <c r="G5" s="32">
        <f>COUNTIFS(TBA_Matches_All[Team],$A5,TBA_Matches_All[Acenter1],-1,TBA_Matches_All[RobotSet],"Podm")</f>
        <v>0</v>
      </c>
      <c r="H5" s="33">
        <f>COUNTIFS(TBA_Matches_All[Team],$A5,TBA_Matches_All[Acenter1],1,TBA_Matches_All[RobotSet],"OppS")</f>
        <v>0</v>
      </c>
      <c r="I5" s="34">
        <f>COUNTIFS(TBA_Matches_All[Team],$A5,TBA_Matches_All[Acenter1],-1,TBA_Matches_All[RobotSet],"OppS")</f>
        <v>0</v>
      </c>
      <c r="J5" s="70">
        <f>IFERROR(SUM(B5:I5)/COUNTIFS(Dyno_EndMatch[Team],$A5,Dyno_EndMatch[RecordType],"EndMatch")*100,0)</f>
        <v>14.285714285714285</v>
      </c>
      <c r="K5" s="176"/>
      <c r="L5" s="70">
        <f>IFERROR(SUM(M5:T5)/COUNTIFS(Dyno_EndMatch[Team],$U5,Dyno_EndMatch[RecordType],"EndMatch")*100,0)</f>
        <v>0</v>
      </c>
      <c r="M5" s="35">
        <f>COUNTIFS(TBA_Matches_All[Team],$U5,TBA_Matches_All[Acenter1],1,TBA_Matches_All[RobotSet],"Amp")</f>
        <v>0</v>
      </c>
      <c r="N5" s="30">
        <f>COUNTIFS(TBA_Matches_All[Team],$U5,TBA_Matches_All[Acenter1],-1,TBA_Matches_All[RobotSet],"Amp")</f>
        <v>0</v>
      </c>
      <c r="O5" s="31">
        <f>COUNTIFS(TBA_Matches_All[Team],$U5,TBA_Matches_All[Acenter1],1,TBA_Matches_All[RobotSet],"SubW")</f>
        <v>0</v>
      </c>
      <c r="P5" s="32">
        <f>COUNTIFS(TBA_Matches_All[Team],$U5,TBA_Matches_All[Acenter1],-1,TBA_Matches_All[RobotSet],"SubW")</f>
        <v>0</v>
      </c>
      <c r="Q5" s="33">
        <f>COUNTIFS(TBA_Matches_All[Team],$U5,TBA_Matches_All[Acenter1],1,TBA_Matches_All[RobotSet],"Podm")</f>
        <v>0</v>
      </c>
      <c r="R5" s="30">
        <f>COUNTIFS(TBA_Matches_All[Team],$U5,TBA_Matches_All[Acenter1],-1,TBA_Matches_All[RobotSet],"Podm")</f>
        <v>0</v>
      </c>
      <c r="S5" s="31">
        <f>COUNTIFS(TBA_Matches_All[Team],$U5,TBA_Matches_All[Acenter1],1,TBA_Matches_All[RobotSet],"OppS")</f>
        <v>0</v>
      </c>
      <c r="T5" s="36">
        <f>COUNTIFS(TBA_Matches_All[Team],$U5,TBA_Matches_All[Acenter1],-1,TBA_Matches_All[RobotSet],"OppS")</f>
        <v>0</v>
      </c>
      <c r="U5" s="20" t="str">
        <f>_Red3</f>
        <v>frc2791</v>
      </c>
    </row>
    <row r="6" spans="1:21" ht="30" customHeight="1" x14ac:dyDescent="0.3">
      <c r="A6" s="37"/>
      <c r="B6" s="38"/>
      <c r="C6" s="39"/>
      <c r="D6" s="40"/>
      <c r="E6" s="39"/>
      <c r="F6" s="40"/>
      <c r="G6" s="41"/>
      <c r="H6" s="42"/>
      <c r="I6" s="43"/>
      <c r="L6" s="70"/>
      <c r="M6" s="44"/>
      <c r="N6" s="39"/>
      <c r="O6" s="40"/>
      <c r="P6" s="41"/>
      <c r="Q6" s="42"/>
      <c r="R6" s="39"/>
      <c r="S6" s="40"/>
      <c r="T6" s="45"/>
      <c r="U6" s="46"/>
    </row>
    <row r="7" spans="1:21" x14ac:dyDescent="0.3">
      <c r="A7" s="11" t="str">
        <f>_Blue1</f>
        <v>frc5993</v>
      </c>
      <c r="B7" s="29">
        <f>COUNTIFS(TBA_Matches_All[Team],$A7,TBA_Matches_All[Acenter2],1,TBA_Matches_All[RobotSet],"Amp")</f>
        <v>0</v>
      </c>
      <c r="C7" s="30">
        <f>COUNTIFS(TBA_Matches_All[Team],$A7,TBA_Matches_All[Acenter2],-1,TBA_Matches_All[RobotSet],"Amp")</f>
        <v>0</v>
      </c>
      <c r="D7" s="31">
        <f>COUNTIFS(TBA_Matches_All[Team],$A7,TBA_Matches_All[Acenter2],1,TBA_Matches_All[RobotSet],"SubW")</f>
        <v>0</v>
      </c>
      <c r="E7" s="30">
        <f>COUNTIFS(TBA_Matches_All[Team],$A7,TBA_Matches_All[Acenter2],-1,TBA_Matches_All[RobotSet],"SubW")</f>
        <v>0</v>
      </c>
      <c r="F7" s="31">
        <f>COUNTIFS(TBA_Matches_All[Team],$A7,TBA_Matches_All[Acenter2],1,TBA_Matches_All[RobotSet],"Podm")</f>
        <v>0</v>
      </c>
      <c r="G7" s="32">
        <f>COUNTIFS(TBA_Matches_All[Team],$A7,TBA_Matches_All[Acenter2],-1,TBA_Matches_All[RobotSet],"Podm")</f>
        <v>0</v>
      </c>
      <c r="H7" s="33">
        <f>COUNTIFS(TBA_Matches_All[Team],$A7,TBA_Matches_All[Acenter2],1,TBA_Matches_All[RobotSet],"OppS")</f>
        <v>0</v>
      </c>
      <c r="I7" s="34">
        <f>COUNTIFS(TBA_Matches_All[Team],$A7,TBA_Matches_All[Acenter2],-1,TBA_Matches_All[RobotSet],"OppS")</f>
        <v>0</v>
      </c>
      <c r="J7" s="70">
        <f>IFERROR(SUM(B7:I7)/COUNTIFS(Dyno_EndMatch[Team],$A7,Dyno_EndMatch[RecordType],"EndMatch")*100,0)</f>
        <v>0</v>
      </c>
      <c r="K7" s="176" t="s">
        <v>109</v>
      </c>
      <c r="L7" s="70">
        <f>IFERROR(SUM(M7:T7)/COUNTIFS(Dyno_EndMatch[Team],$U7,Dyno_EndMatch[RecordType],"EndMatch")*100,0)</f>
        <v>0</v>
      </c>
      <c r="M7" s="35">
        <f>COUNTIFS(TBA_Matches_All[Team],$U7,TBA_Matches_All[Acenter2],1,TBA_Matches_All[RobotSet],"Amp")</f>
        <v>0</v>
      </c>
      <c r="N7" s="30">
        <f>COUNTIFS(TBA_Matches_All[Team],$U7,TBA_Matches_All[Acenter2],-1,TBA_Matches_All[RobotSet],"Amp")</f>
        <v>0</v>
      </c>
      <c r="O7" s="31">
        <f>COUNTIFS(TBA_Matches_All[Team],$U7,TBA_Matches_All[Acenter2],1,TBA_Matches_All[RobotSet],"SubW")</f>
        <v>0</v>
      </c>
      <c r="P7" s="32">
        <f>COUNTIFS(TBA_Matches_All[Team],$U7,TBA_Matches_All[Acenter2],-1,TBA_Matches_All[RobotSet],"SubW")</f>
        <v>0</v>
      </c>
      <c r="Q7" s="33">
        <f>COUNTIFS(TBA_Matches_All[Team],$U7,TBA_Matches_All[Acenter2],1,TBA_Matches_All[RobotSet],"Podm")</f>
        <v>0</v>
      </c>
      <c r="R7" s="30">
        <f>COUNTIFS(TBA_Matches_All[Team],$U7,TBA_Matches_All[Acenter2],-1,TBA_Matches_All[RobotSet],"Podm")</f>
        <v>0</v>
      </c>
      <c r="S7" s="31">
        <f>COUNTIFS(TBA_Matches_All[Team],$U7,TBA_Matches_All[Acenter2],1,TBA_Matches_All[RobotSet],"OppS")</f>
        <v>0</v>
      </c>
      <c r="T7" s="36">
        <f>COUNTIFS(TBA_Matches_All[Team],$U7,TBA_Matches_All[Acenter2],-1,TBA_Matches_All[RobotSet],"OppS")</f>
        <v>0</v>
      </c>
      <c r="U7" s="20" t="str">
        <f>_Red1</f>
        <v>frc1591</v>
      </c>
    </row>
    <row r="8" spans="1:21" x14ac:dyDescent="0.3">
      <c r="A8" s="11" t="str">
        <f>_Blue2</f>
        <v>frc1559</v>
      </c>
      <c r="B8" s="21">
        <f>COUNTIFS(TBA_Matches_All[Team],$A8,TBA_Matches_All[Acenter2],1,TBA_Matches_All[RobotSet],"Amp")</f>
        <v>0</v>
      </c>
      <c r="C8" s="22">
        <f>COUNTIFS(TBA_Matches_All[Team],$A8,TBA_Matches_All[Acenter2],-1,TBA_Matches_All[RobotSet],"Amp")</f>
        <v>0</v>
      </c>
      <c r="D8" s="23">
        <f>COUNTIFS(TBA_Matches_All[Team],$A8,TBA_Matches_All[Acenter2],1,TBA_Matches_All[RobotSet],"SubW")</f>
        <v>0</v>
      </c>
      <c r="E8" s="22">
        <f>COUNTIFS(TBA_Matches_All[Team],$A8,TBA_Matches_All[Acenter2],-1,TBA_Matches_All[RobotSet],"SubW")</f>
        <v>0</v>
      </c>
      <c r="F8" s="23">
        <f>COUNTIFS(TBA_Matches_All[Team],$A8,TBA_Matches_All[Acenter2],1,TBA_Matches_All[RobotSet],"Podm")</f>
        <v>0</v>
      </c>
      <c r="G8" s="24">
        <f>COUNTIFS(TBA_Matches_All[Team],$A8,TBA_Matches_All[Acenter2],-1,TBA_Matches_All[RobotSet],"Podm")</f>
        <v>0</v>
      </c>
      <c r="H8" s="25">
        <f>COUNTIFS(TBA_Matches_All[Team],$A8,TBA_Matches_All[Acenter2],1,TBA_Matches_All[RobotSet],"OppS")</f>
        <v>0</v>
      </c>
      <c r="I8" s="26">
        <f>COUNTIFS(TBA_Matches_All[Team],$A8,TBA_Matches_All[Acenter2],-1,TBA_Matches_All[RobotSet],"OppS")</f>
        <v>0</v>
      </c>
      <c r="J8" s="70">
        <f>IFERROR(SUM(B8:I8)/COUNTIFS(Dyno_EndMatch[Team],$A8,Dyno_EndMatch[RecordType],"EndMatch")*100,0)</f>
        <v>0</v>
      </c>
      <c r="K8" s="176"/>
      <c r="L8" s="70">
        <f>IFERROR(SUM(M8:T8)/COUNTIFS(Dyno_EndMatch[Team],$U8,Dyno_EndMatch[RecordType],"EndMatch")*100,0)</f>
        <v>0</v>
      </c>
      <c r="M8" s="27">
        <f>COUNTIFS(TBA_Matches_All[Team],$U8,TBA_Matches_All[Acenter2],1,TBA_Matches_All[RobotSet],"Amp")</f>
        <v>0</v>
      </c>
      <c r="N8" s="22">
        <f>COUNTIFS(TBA_Matches_All[Team],$U8,TBA_Matches_All[Acenter2],-1,TBA_Matches_All[RobotSet],"Amp")</f>
        <v>0</v>
      </c>
      <c r="O8" s="23">
        <f>COUNTIFS(TBA_Matches_All[Team],$U8,TBA_Matches_All[Acenter2],1,TBA_Matches_All[RobotSet],"SubW")</f>
        <v>0</v>
      </c>
      <c r="P8" s="24">
        <f>COUNTIFS(TBA_Matches_All[Team],$U8,TBA_Matches_All[Acenter2],-1,TBA_Matches_All[RobotSet],"SubW")</f>
        <v>0</v>
      </c>
      <c r="Q8" s="25">
        <f>COUNTIFS(TBA_Matches_All[Team],$U8,TBA_Matches_All[Acenter2],1,TBA_Matches_All[RobotSet],"Podm")</f>
        <v>0</v>
      </c>
      <c r="R8" s="22">
        <f>COUNTIFS(TBA_Matches_All[Team],$U8,TBA_Matches_All[Acenter2],-1,TBA_Matches_All[RobotSet],"Podm")</f>
        <v>0</v>
      </c>
      <c r="S8" s="23">
        <f>COUNTIFS(TBA_Matches_All[Team],$U8,TBA_Matches_All[Acenter2],1,TBA_Matches_All[RobotSet],"OppS")</f>
        <v>0</v>
      </c>
      <c r="T8" s="28">
        <f>COUNTIFS(TBA_Matches_All[Team],$U8,TBA_Matches_All[Acenter2],-1,TBA_Matches_All[RobotSet],"OppS")</f>
        <v>0</v>
      </c>
      <c r="U8" s="20" t="str">
        <f>_Red2</f>
        <v>frc5016</v>
      </c>
    </row>
    <row r="9" spans="1:21" x14ac:dyDescent="0.3">
      <c r="A9" s="11" t="str">
        <f>_Blue3</f>
        <v>frc3173</v>
      </c>
      <c r="B9" s="29">
        <f>COUNTIFS(TBA_Matches_All[Team],$A9,TBA_Matches_All[Acenter2],1,TBA_Matches_All[RobotSet],"Amp")</f>
        <v>0</v>
      </c>
      <c r="C9" s="30">
        <f>COUNTIFS(TBA_Matches_All[Team],$A9,TBA_Matches_All[Acenter2],-1,TBA_Matches_All[RobotSet],"Amp")</f>
        <v>0</v>
      </c>
      <c r="D9" s="31">
        <f>COUNTIFS(TBA_Matches_All[Team],$A9,TBA_Matches_All[Acenter2],1,TBA_Matches_All[RobotSet],"SubW")</f>
        <v>0</v>
      </c>
      <c r="E9" s="30">
        <f>COUNTIFS(TBA_Matches_All[Team],$A9,TBA_Matches_All[Acenter2],-1,TBA_Matches_All[RobotSet],"SubW")</f>
        <v>0</v>
      </c>
      <c r="F9" s="31">
        <f>COUNTIFS(TBA_Matches_All[Team],$A9,TBA_Matches_All[Acenter2],1,TBA_Matches_All[RobotSet],"Podm")</f>
        <v>0</v>
      </c>
      <c r="G9" s="32">
        <f>COUNTIFS(TBA_Matches_All[Team],$A9,TBA_Matches_All[Acenter2],-1,TBA_Matches_All[RobotSet],"Podm")</f>
        <v>0</v>
      </c>
      <c r="H9" s="33">
        <f>COUNTIFS(TBA_Matches_All[Team],$A9,TBA_Matches_All[Acenter2],1,TBA_Matches_All[RobotSet],"OppS")</f>
        <v>0</v>
      </c>
      <c r="I9" s="34">
        <f>COUNTIFS(TBA_Matches_All[Team],$A9,TBA_Matches_All[Acenter2],-1,TBA_Matches_All[RobotSet],"OppS")</f>
        <v>0</v>
      </c>
      <c r="J9" s="70">
        <f>IFERROR(SUM(B9:I9)/COUNTIFS(Dyno_EndMatch[Team],$A9,Dyno_EndMatch[RecordType],"EndMatch")*100,0)</f>
        <v>0</v>
      </c>
      <c r="K9" s="176"/>
      <c r="L9" s="70">
        <f>IFERROR(SUM(M9:T9)/COUNTIFS(Dyno_EndMatch[Team],$U9,Dyno_EndMatch[RecordType],"EndMatch")*100,0)</f>
        <v>42.857142857142854</v>
      </c>
      <c r="M9" s="35">
        <f>COUNTIFS(TBA_Matches_All[Team],$U9,TBA_Matches_All[Acenter2],1,TBA_Matches_All[RobotSet],"Amp")</f>
        <v>0</v>
      </c>
      <c r="N9" s="30">
        <f>COUNTIFS(TBA_Matches_All[Team],$U9,TBA_Matches_All[Acenter2],-1,TBA_Matches_All[RobotSet],"Amp")</f>
        <v>0</v>
      </c>
      <c r="O9" s="31">
        <f>COUNTIFS(TBA_Matches_All[Team],$U9,TBA_Matches_All[Acenter2],1,TBA_Matches_All[RobotSet],"SubW")</f>
        <v>0</v>
      </c>
      <c r="P9" s="32">
        <f>COUNTIFS(TBA_Matches_All[Team],$U9,TBA_Matches_All[Acenter2],-1,TBA_Matches_All[RobotSet],"SubW")</f>
        <v>0</v>
      </c>
      <c r="Q9" s="33">
        <f>COUNTIFS(TBA_Matches_All[Team],$U9,TBA_Matches_All[Acenter2],1,TBA_Matches_All[RobotSet],"Podm")</f>
        <v>1</v>
      </c>
      <c r="R9" s="30">
        <f>COUNTIFS(TBA_Matches_All[Team],$U9,TBA_Matches_All[Acenter2],-1,TBA_Matches_All[RobotSet],"Podm")</f>
        <v>2</v>
      </c>
      <c r="S9" s="31">
        <f>COUNTIFS(TBA_Matches_All[Team],$U9,TBA_Matches_All[Acenter2],1,TBA_Matches_All[RobotSet],"OppS")</f>
        <v>0</v>
      </c>
      <c r="T9" s="36">
        <f>COUNTIFS(TBA_Matches_All[Team],$U9,TBA_Matches_All[Acenter2],-1,TBA_Matches_All[RobotSet],"OppS")</f>
        <v>0</v>
      </c>
      <c r="U9" s="20" t="str">
        <f>_Red3</f>
        <v>frc2791</v>
      </c>
    </row>
    <row r="10" spans="1:21" ht="30" customHeight="1" x14ac:dyDescent="0.3">
      <c r="A10" s="37"/>
      <c r="B10" s="38"/>
      <c r="C10" s="39"/>
      <c r="D10" s="40"/>
      <c r="E10" s="39"/>
      <c r="F10" s="40"/>
      <c r="G10" s="41"/>
      <c r="H10" s="42"/>
      <c r="I10" s="43"/>
      <c r="L10" s="70"/>
      <c r="M10" s="44"/>
      <c r="N10" s="39"/>
      <c r="O10" s="40"/>
      <c r="P10" s="41"/>
      <c r="Q10" s="42"/>
      <c r="R10" s="39"/>
      <c r="S10" s="40"/>
      <c r="T10" s="45"/>
      <c r="U10" s="46"/>
    </row>
    <row r="11" spans="1:21" x14ac:dyDescent="0.3">
      <c r="A11" s="11" t="str">
        <f>_Blue1</f>
        <v>frc5993</v>
      </c>
      <c r="B11" s="29">
        <f>COUNTIFS(TBA_Matches_All[Team],$A11,TBA_Matches_All[Acenter3],1,TBA_Matches_All[RobotSet],"Amp")</f>
        <v>0</v>
      </c>
      <c r="C11" s="30">
        <f>COUNTIFS(TBA_Matches_All[Team],$A11,TBA_Matches_All[Acenter3],-1,TBA_Matches_All[RobotSet],"Amp")</f>
        <v>0</v>
      </c>
      <c r="D11" s="31">
        <f>COUNTIFS(TBA_Matches_All[Team],$A11,TBA_Matches_All[Acenter3],1,TBA_Matches_All[RobotSet],"SubW")</f>
        <v>0</v>
      </c>
      <c r="E11" s="30">
        <f>COUNTIFS(TBA_Matches_All[Team],$A11,TBA_Matches_All[Acenter3],-1,TBA_Matches_All[RobotSet],"SubW")</f>
        <v>0</v>
      </c>
      <c r="F11" s="31">
        <f>COUNTIFS(TBA_Matches_All[Team],$A11,TBA_Matches_All[Acenter3],1,TBA_Matches_All[RobotSet],"Podm")</f>
        <v>0</v>
      </c>
      <c r="G11" s="32">
        <f>COUNTIFS(TBA_Matches_All[Team],$A11,TBA_Matches_All[Acenter3],-1,TBA_Matches_All[RobotSet],"Podm")</f>
        <v>0</v>
      </c>
      <c r="H11" s="33">
        <f>COUNTIFS(TBA_Matches_All[Team],$A11,TBA_Matches_All[Acenter3],1,TBA_Matches_All[RobotSet],"OppS")</f>
        <v>0</v>
      </c>
      <c r="I11" s="34">
        <f>COUNTIFS(TBA_Matches_All[Team],$A11,TBA_Matches_All[Acenter3],-1,TBA_Matches_All[RobotSet],"OppS")</f>
        <v>0</v>
      </c>
      <c r="J11" s="70">
        <f>IFERROR(SUM(B11:I11)/COUNTIFS(Dyno_EndMatch[Team],$A11,Dyno_EndMatch[RecordType],"EndMatch")*100,0)</f>
        <v>0</v>
      </c>
      <c r="K11" s="176" t="s">
        <v>110</v>
      </c>
      <c r="L11" s="70">
        <f>IFERROR(SUM(M11:T11)/COUNTIFS(Dyno_EndMatch[Team],$U11,Dyno_EndMatch[RecordType],"EndMatch")*100,0)</f>
        <v>33.333333333333329</v>
      </c>
      <c r="M11" s="35">
        <f>COUNTIFS(TBA_Matches_All[Team],$U11,TBA_Matches_All[Acenter3],1,TBA_Matches_All[RobotSet],"Amp")</f>
        <v>0</v>
      </c>
      <c r="N11" s="30">
        <f>COUNTIFS(TBA_Matches_All[Team],$U11,TBA_Matches_All[Acenter3],-1,TBA_Matches_All[RobotSet],"Amp")</f>
        <v>0</v>
      </c>
      <c r="O11" s="31">
        <f>COUNTIFS(TBA_Matches_All[Team],$U11,TBA_Matches_All[Acenter3],1,TBA_Matches_All[RobotSet],"SubW")</f>
        <v>2</v>
      </c>
      <c r="P11" s="32">
        <f>COUNTIFS(TBA_Matches_All[Team],$U11,TBA_Matches_All[Acenter3],-1,TBA_Matches_All[RobotSet],"SubW")</f>
        <v>0</v>
      </c>
      <c r="Q11" s="33">
        <f>COUNTIFS(TBA_Matches_All[Team],$U11,TBA_Matches_All[Acenter3],1,TBA_Matches_All[RobotSet],"Podm")</f>
        <v>1</v>
      </c>
      <c r="R11" s="30">
        <f>COUNTIFS(TBA_Matches_All[Team],$U11,TBA_Matches_All[Acenter3],-1,TBA_Matches_All[RobotSet],"Podm")</f>
        <v>0</v>
      </c>
      <c r="S11" s="31">
        <f>COUNTIFS(TBA_Matches_All[Team],$U11,TBA_Matches_All[Acenter3],1,TBA_Matches_All[RobotSet],"OppS")</f>
        <v>0</v>
      </c>
      <c r="T11" s="36">
        <f>COUNTIFS(TBA_Matches_All[Team],$U11,TBA_Matches_All[Acenter3],-1,TBA_Matches_All[RobotSet],"OppS")</f>
        <v>0</v>
      </c>
      <c r="U11" s="20" t="str">
        <f>_Red1</f>
        <v>frc1591</v>
      </c>
    </row>
    <row r="12" spans="1:21" x14ac:dyDescent="0.3">
      <c r="A12" s="11" t="str">
        <f>_Blue2</f>
        <v>frc1559</v>
      </c>
      <c r="B12" s="21">
        <f>COUNTIFS(TBA_Matches_All[Team],$A12,TBA_Matches_All[Acenter3],1,TBA_Matches_All[RobotSet],"Amp")</f>
        <v>0</v>
      </c>
      <c r="C12" s="22">
        <f>COUNTIFS(TBA_Matches_All[Team],$A12,TBA_Matches_All[Acenter3],-1,TBA_Matches_All[RobotSet],"Amp")</f>
        <v>0</v>
      </c>
      <c r="D12" s="23">
        <f>COUNTIFS(TBA_Matches_All[Team],$A12,TBA_Matches_All[Acenter3],1,TBA_Matches_All[RobotSet],"SubW")</f>
        <v>0</v>
      </c>
      <c r="E12" s="22">
        <f>COUNTIFS(TBA_Matches_All[Team],$A12,TBA_Matches_All[Acenter3],-1,TBA_Matches_All[RobotSet],"SubW")</f>
        <v>0</v>
      </c>
      <c r="F12" s="23">
        <f>COUNTIFS(TBA_Matches_All[Team],$A12,TBA_Matches_All[Acenter3],1,TBA_Matches_All[RobotSet],"Podm")</f>
        <v>0</v>
      </c>
      <c r="G12" s="24">
        <f>COUNTIFS(TBA_Matches_All[Team],$A12,TBA_Matches_All[Acenter3],-1,TBA_Matches_All[RobotSet],"Podm")</f>
        <v>0</v>
      </c>
      <c r="H12" s="25">
        <f>COUNTIFS(TBA_Matches_All[Team],$A12,TBA_Matches_All[Acenter3],1,TBA_Matches_All[RobotSet],"OppS")</f>
        <v>0</v>
      </c>
      <c r="I12" s="26">
        <f>COUNTIFS(TBA_Matches_All[Team],$A12,TBA_Matches_All[Acenter3],-1,TBA_Matches_All[RobotSet],"OppS")</f>
        <v>0</v>
      </c>
      <c r="J12" s="70">
        <f>IFERROR(SUM(B12:I12)/COUNTIFS(Dyno_EndMatch[Team],$A12,Dyno_EndMatch[RecordType],"EndMatch")*100,0)</f>
        <v>0</v>
      </c>
      <c r="K12" s="176"/>
      <c r="L12" s="70">
        <f>IFERROR(SUM(M12:T12)/COUNTIFS(Dyno_EndMatch[Team],$U12,Dyno_EndMatch[RecordType],"EndMatch")*100,0)</f>
        <v>0</v>
      </c>
      <c r="M12" s="27">
        <f>COUNTIFS(TBA_Matches_All[Team],$U12,TBA_Matches_All[Acenter3],1,TBA_Matches_All[RobotSet],"Amp")</f>
        <v>0</v>
      </c>
      <c r="N12" s="22">
        <f>COUNTIFS(TBA_Matches_All[Team],$U12,TBA_Matches_All[Acenter3],-1,TBA_Matches_All[RobotSet],"Amp")</f>
        <v>0</v>
      </c>
      <c r="O12" s="23">
        <f>COUNTIFS(TBA_Matches_All[Team],$U12,TBA_Matches_All[Acenter3],1,TBA_Matches_All[RobotSet],"SubW")</f>
        <v>0</v>
      </c>
      <c r="P12" s="24">
        <f>COUNTIFS(TBA_Matches_All[Team],$U12,TBA_Matches_All[Acenter3],-1,TBA_Matches_All[RobotSet],"SubW")</f>
        <v>0</v>
      </c>
      <c r="Q12" s="25">
        <f>COUNTIFS(TBA_Matches_All[Team],$U12,TBA_Matches_All[Acenter3],1,TBA_Matches_All[RobotSet],"Podm")</f>
        <v>0</v>
      </c>
      <c r="R12" s="22">
        <f>COUNTIFS(TBA_Matches_All[Team],$U12,TBA_Matches_All[Acenter3],-1,TBA_Matches_All[RobotSet],"Podm")</f>
        <v>0</v>
      </c>
      <c r="S12" s="23">
        <f>COUNTIFS(TBA_Matches_All[Team],$U12,TBA_Matches_All[Acenter3],1,TBA_Matches_All[RobotSet],"OppS")</f>
        <v>0</v>
      </c>
      <c r="T12" s="28">
        <f>COUNTIFS(TBA_Matches_All[Team],$U12,TBA_Matches_All[Acenter3],-1,TBA_Matches_All[RobotSet],"OppS")</f>
        <v>0</v>
      </c>
      <c r="U12" s="20" t="str">
        <f>_Red2</f>
        <v>frc5016</v>
      </c>
    </row>
    <row r="13" spans="1:21" x14ac:dyDescent="0.3">
      <c r="A13" s="11" t="str">
        <f>_Blue3</f>
        <v>frc3173</v>
      </c>
      <c r="B13" s="29">
        <f>COUNTIFS(TBA_Matches_All[Team],$A13,TBA_Matches_All[Acenter3],1,TBA_Matches_All[RobotSet],"Amp")</f>
        <v>0</v>
      </c>
      <c r="C13" s="30">
        <f>COUNTIFS(TBA_Matches_All[Team],$A13,TBA_Matches_All[Acenter3],-1,TBA_Matches_All[RobotSet],"Amp")</f>
        <v>0</v>
      </c>
      <c r="D13" s="31">
        <f>COUNTIFS(TBA_Matches_All[Team],$A13,TBA_Matches_All[Acenter3],1,TBA_Matches_All[RobotSet],"SubW")</f>
        <v>0</v>
      </c>
      <c r="E13" s="30">
        <f>COUNTIFS(TBA_Matches_All[Team],$A13,TBA_Matches_All[Acenter3],-1,TBA_Matches_All[RobotSet],"SubW")</f>
        <v>0</v>
      </c>
      <c r="F13" s="31">
        <f>COUNTIFS(TBA_Matches_All[Team],$A13,TBA_Matches_All[Acenter3],1,TBA_Matches_All[RobotSet],"Podm")</f>
        <v>0</v>
      </c>
      <c r="G13" s="32">
        <f>COUNTIFS(TBA_Matches_All[Team],$A13,TBA_Matches_All[Acenter3],-1,TBA_Matches_All[RobotSet],"Podm")</f>
        <v>0</v>
      </c>
      <c r="H13" s="33">
        <f>COUNTIFS(TBA_Matches_All[Team],$A13,TBA_Matches_All[Acenter3],1,TBA_Matches_All[RobotSet],"OppS")</f>
        <v>0</v>
      </c>
      <c r="I13" s="34">
        <f>COUNTIFS(TBA_Matches_All[Team],$A13,TBA_Matches_All[Acenter3],-1,TBA_Matches_All[RobotSet],"OppS")</f>
        <v>0</v>
      </c>
      <c r="J13" s="70">
        <f>IFERROR(SUM(B13:I13)/COUNTIFS(Dyno_EndMatch[Team],$A13,Dyno_EndMatch[RecordType],"EndMatch")*100,0)</f>
        <v>0</v>
      </c>
      <c r="K13" s="176"/>
      <c r="L13" s="70">
        <f>IFERROR(SUM(M13:T13)/COUNTIFS(Dyno_EndMatch[Team],$U13,Dyno_EndMatch[RecordType],"EndMatch")*100,0)</f>
        <v>14.285714285714285</v>
      </c>
      <c r="M13" s="35">
        <f>COUNTIFS(TBA_Matches_All[Team],$U13,TBA_Matches_All[Acenter3],1,TBA_Matches_All[RobotSet],"Amp")</f>
        <v>0</v>
      </c>
      <c r="N13" s="30">
        <f>COUNTIFS(TBA_Matches_All[Team],$U13,TBA_Matches_All[Acenter3],-1,TBA_Matches_All[RobotSet],"Amp")</f>
        <v>0</v>
      </c>
      <c r="O13" s="31">
        <f>COUNTIFS(TBA_Matches_All[Team],$U13,TBA_Matches_All[Acenter3],1,TBA_Matches_All[RobotSet],"SubW")</f>
        <v>1</v>
      </c>
      <c r="P13" s="32">
        <f>COUNTIFS(TBA_Matches_All[Team],$U13,TBA_Matches_All[Acenter3],-1,TBA_Matches_All[RobotSet],"SubW")</f>
        <v>0</v>
      </c>
      <c r="Q13" s="33">
        <f>COUNTIFS(TBA_Matches_All[Team],$U13,TBA_Matches_All[Acenter3],1,TBA_Matches_All[RobotSet],"Podm")</f>
        <v>0</v>
      </c>
      <c r="R13" s="30">
        <f>COUNTIFS(TBA_Matches_All[Team],$U13,TBA_Matches_All[Acenter3],-1,TBA_Matches_All[RobotSet],"Podm")</f>
        <v>0</v>
      </c>
      <c r="S13" s="31">
        <f>COUNTIFS(TBA_Matches_All[Team],$U13,TBA_Matches_All[Acenter3],1,TBA_Matches_All[RobotSet],"OppS")</f>
        <v>0</v>
      </c>
      <c r="T13" s="36">
        <f>COUNTIFS(TBA_Matches_All[Team],$U13,TBA_Matches_All[Acenter3],-1,TBA_Matches_All[RobotSet],"OppS")</f>
        <v>0</v>
      </c>
      <c r="U13" s="20" t="str">
        <f>_Red3</f>
        <v>frc2791</v>
      </c>
    </row>
    <row r="14" spans="1:21" ht="30" customHeight="1" x14ac:dyDescent="0.3">
      <c r="A14" s="37"/>
      <c r="B14" s="38"/>
      <c r="C14" s="39"/>
      <c r="D14" s="40"/>
      <c r="E14" s="39"/>
      <c r="F14" s="40"/>
      <c r="G14" s="41"/>
      <c r="H14" s="42"/>
      <c r="I14" s="43"/>
      <c r="L14" s="70"/>
      <c r="M14" s="44"/>
      <c r="N14" s="39"/>
      <c r="O14" s="40"/>
      <c r="P14" s="41"/>
      <c r="Q14" s="42"/>
      <c r="R14" s="39"/>
      <c r="S14" s="40"/>
      <c r="T14" s="45"/>
      <c r="U14" s="46"/>
    </row>
    <row r="15" spans="1:21" x14ac:dyDescent="0.3">
      <c r="A15" s="11" t="str">
        <f>_Blue1</f>
        <v>frc5993</v>
      </c>
      <c r="B15" s="29">
        <f>COUNTIFS(TBA_Matches_All[Team],$A15,TBA_Matches_All[Acenter4],1,TBA_Matches_All[RobotSet],"Amp")</f>
        <v>0</v>
      </c>
      <c r="C15" s="30">
        <f>COUNTIFS(TBA_Matches_All[Team],$A15,TBA_Matches_All[Acenter4],-1,TBA_Matches_All[RobotSet],"Amp")</f>
        <v>0</v>
      </c>
      <c r="D15" s="31">
        <f>COUNTIFS(TBA_Matches_All[Team],$A15,TBA_Matches_All[Acenter4],1,TBA_Matches_All[RobotSet],"SubW")</f>
        <v>0</v>
      </c>
      <c r="E15" s="30">
        <f>COUNTIFS(TBA_Matches_All[Team],$A15,TBA_Matches_All[Acenter4],-1,TBA_Matches_All[RobotSet],"SubW")</f>
        <v>0</v>
      </c>
      <c r="F15" s="31">
        <f>COUNTIFS(TBA_Matches_All[Team],$A15,TBA_Matches_All[Acenter4],1,TBA_Matches_All[RobotSet],"Podm")</f>
        <v>0</v>
      </c>
      <c r="G15" s="32">
        <f>COUNTIFS(TBA_Matches_All[Team],$A15,TBA_Matches_All[Acenter4],-1,TBA_Matches_All[RobotSet],"Podm")</f>
        <v>0</v>
      </c>
      <c r="H15" s="33">
        <f>COUNTIFS(TBA_Matches_All[Team],$A15,TBA_Matches_All[Acenter4],1,TBA_Matches_All[RobotSet],"OppS")</f>
        <v>0</v>
      </c>
      <c r="I15" s="34">
        <f>COUNTIFS(TBA_Matches_All[Team],$A15,TBA_Matches_All[Acenter4],-1,TBA_Matches_All[RobotSet],"OppS")</f>
        <v>0</v>
      </c>
      <c r="J15" s="70">
        <f>IFERROR(SUM(B15:I15)/COUNTIFS(Dyno_EndMatch[Team],$A15,Dyno_EndMatch[RecordType],"EndMatch")*100,0)</f>
        <v>0</v>
      </c>
      <c r="K15" s="176" t="s">
        <v>111</v>
      </c>
      <c r="L15" s="70">
        <f>IFERROR(SUM(M15:T15)/COUNTIFS(Dyno_EndMatch[Team],$U15,Dyno_EndMatch[RecordType],"EndMatch")*100,0)</f>
        <v>44.444444444444443</v>
      </c>
      <c r="M15" s="35">
        <f>COUNTIFS(TBA_Matches_All[Team],$U15,TBA_Matches_All[Acenter4],1,TBA_Matches_All[RobotSet],"Amp")</f>
        <v>0</v>
      </c>
      <c r="N15" s="30">
        <f>COUNTIFS(TBA_Matches_All[Team],$U15,TBA_Matches_All[Acenter4],-1,TBA_Matches_All[RobotSet],"Amp")</f>
        <v>0</v>
      </c>
      <c r="O15" s="31">
        <f>COUNTIFS(TBA_Matches_All[Team],$U15,TBA_Matches_All[Acenter4],1,TBA_Matches_All[RobotSet],"SubW")</f>
        <v>4</v>
      </c>
      <c r="P15" s="32">
        <f>COUNTIFS(TBA_Matches_All[Team],$U15,TBA_Matches_All[Acenter4],-1,TBA_Matches_All[RobotSet],"SubW")</f>
        <v>0</v>
      </c>
      <c r="Q15" s="33">
        <f>COUNTIFS(TBA_Matches_All[Team],$U15,TBA_Matches_All[Acenter4],1,TBA_Matches_All[RobotSet],"Podm")</f>
        <v>0</v>
      </c>
      <c r="R15" s="30">
        <f>COUNTIFS(TBA_Matches_All[Team],$U15,TBA_Matches_All[Acenter4],-1,TBA_Matches_All[RobotSet],"Podm")</f>
        <v>0</v>
      </c>
      <c r="S15" s="31">
        <f>COUNTIFS(TBA_Matches_All[Team],$U15,TBA_Matches_All[Acenter4],1,TBA_Matches_All[RobotSet],"OppS")</f>
        <v>0</v>
      </c>
      <c r="T15" s="36">
        <f>COUNTIFS(TBA_Matches_All[Team],$U15,TBA_Matches_All[Acenter4],-1,TBA_Matches_All[RobotSet],"OppS")</f>
        <v>0</v>
      </c>
      <c r="U15" s="20" t="str">
        <f>_Red1</f>
        <v>frc1591</v>
      </c>
    </row>
    <row r="16" spans="1:21" x14ac:dyDescent="0.3">
      <c r="A16" s="11" t="str">
        <f>_Blue2</f>
        <v>frc1559</v>
      </c>
      <c r="B16" s="21">
        <f>COUNTIFS(TBA_Matches_All[Team],$A16,TBA_Matches_All[Acenter4],1,TBA_Matches_All[RobotSet],"Amp")</f>
        <v>0</v>
      </c>
      <c r="C16" s="22">
        <f>COUNTIFS(TBA_Matches_All[Team],$A16,TBA_Matches_All[Acenter4],-1,TBA_Matches_All[RobotSet],"Amp")</f>
        <v>0</v>
      </c>
      <c r="D16" s="23">
        <f>COUNTIFS(TBA_Matches_All[Team],$A16,TBA_Matches_All[Acenter4],1,TBA_Matches_All[RobotSet],"SubW")</f>
        <v>0</v>
      </c>
      <c r="E16" s="22">
        <f>COUNTIFS(TBA_Matches_All[Team],$A16,TBA_Matches_All[Acenter4],-1,TBA_Matches_All[RobotSet],"SubW")</f>
        <v>0</v>
      </c>
      <c r="F16" s="23">
        <f>COUNTIFS(TBA_Matches_All[Team],$A16,TBA_Matches_All[Acenter4],1,TBA_Matches_All[RobotSet],"Podm")</f>
        <v>0</v>
      </c>
      <c r="G16" s="24">
        <f>COUNTIFS(TBA_Matches_All[Team],$A16,TBA_Matches_All[Acenter4],-1,TBA_Matches_All[RobotSet],"Podm")</f>
        <v>0</v>
      </c>
      <c r="H16" s="25">
        <f>COUNTIFS(TBA_Matches_All[Team],$A16,TBA_Matches_All[Acenter4],1,TBA_Matches_All[RobotSet],"OppS")</f>
        <v>0</v>
      </c>
      <c r="I16" s="26">
        <f>COUNTIFS(TBA_Matches_All[Team],$A16,TBA_Matches_All[Acenter4],-1,TBA_Matches_All[RobotSet],"OppS")</f>
        <v>0</v>
      </c>
      <c r="J16" s="70">
        <f>IFERROR(SUM(B16:I16)/COUNTIFS(Dyno_EndMatch[Team],$A16,Dyno_EndMatch[RecordType],"EndMatch")*100,0)</f>
        <v>0</v>
      </c>
      <c r="K16" s="176"/>
      <c r="L16" s="70">
        <f>IFERROR(SUM(M16:T16)/COUNTIFS(Dyno_EndMatch[Team],$U16,Dyno_EndMatch[RecordType],"EndMatch")*100,0)</f>
        <v>0</v>
      </c>
      <c r="M16" s="27">
        <f>COUNTIFS(TBA_Matches_All[Team],$U16,TBA_Matches_All[Acenter4],1,TBA_Matches_All[RobotSet],"Amp")</f>
        <v>0</v>
      </c>
      <c r="N16" s="22">
        <f>COUNTIFS(TBA_Matches_All[Team],$U16,TBA_Matches_All[Acenter4],-1,TBA_Matches_All[RobotSet],"Amp")</f>
        <v>0</v>
      </c>
      <c r="O16" s="23">
        <f>COUNTIFS(TBA_Matches_All[Team],$U16,TBA_Matches_All[Acenter4],1,TBA_Matches_All[RobotSet],"SubW")</f>
        <v>0</v>
      </c>
      <c r="P16" s="24">
        <f>COUNTIFS(TBA_Matches_All[Team],$U16,TBA_Matches_All[Acenter4],-1,TBA_Matches_All[RobotSet],"SubW")</f>
        <v>0</v>
      </c>
      <c r="Q16" s="25">
        <f>COUNTIFS(TBA_Matches_All[Team],$U16,TBA_Matches_All[Acenter4],1,TBA_Matches_All[RobotSet],"Podm")</f>
        <v>0</v>
      </c>
      <c r="R16" s="22">
        <f>COUNTIFS(TBA_Matches_All[Team],$U16,TBA_Matches_All[Acenter4],-1,TBA_Matches_All[RobotSet],"Podm")</f>
        <v>0</v>
      </c>
      <c r="S16" s="23">
        <f>COUNTIFS(TBA_Matches_All[Team],$U16,TBA_Matches_All[Acenter4],1,TBA_Matches_All[RobotSet],"OppS")</f>
        <v>0</v>
      </c>
      <c r="T16" s="28">
        <f>COUNTIFS(TBA_Matches_All[Team],$U16,TBA_Matches_All[Acenter4],-1,TBA_Matches_All[RobotSet],"OppS")</f>
        <v>0</v>
      </c>
      <c r="U16" s="20" t="str">
        <f>_Red2</f>
        <v>frc5016</v>
      </c>
    </row>
    <row r="17" spans="1:21" x14ac:dyDescent="0.3">
      <c r="A17" s="11" t="str">
        <f>_Blue3</f>
        <v>frc3173</v>
      </c>
      <c r="B17" s="29">
        <f>COUNTIFS(TBA_Matches_All[Team],$A17,TBA_Matches_All[Acenter4],1,TBA_Matches_All[RobotSet],"Amp")</f>
        <v>0</v>
      </c>
      <c r="C17" s="30">
        <f>COUNTIFS(TBA_Matches_All[Team],$A17,TBA_Matches_All[Acenter4],-1,TBA_Matches_All[RobotSet],"Amp")</f>
        <v>0</v>
      </c>
      <c r="D17" s="31">
        <f>COUNTIFS(TBA_Matches_All[Team],$A17,TBA_Matches_All[Acenter4],1,TBA_Matches_All[RobotSet],"SubW")</f>
        <v>0</v>
      </c>
      <c r="E17" s="30">
        <f>COUNTIFS(TBA_Matches_All[Team],$A17,TBA_Matches_All[Acenter4],-1,TBA_Matches_All[RobotSet],"SubW")</f>
        <v>0</v>
      </c>
      <c r="F17" s="31">
        <f>COUNTIFS(TBA_Matches_All[Team],$A17,TBA_Matches_All[Acenter4],1,TBA_Matches_All[RobotSet],"Podm")</f>
        <v>0</v>
      </c>
      <c r="G17" s="32">
        <f>COUNTIFS(TBA_Matches_All[Team],$A17,TBA_Matches_All[Acenter4],-1,TBA_Matches_All[RobotSet],"Podm")</f>
        <v>0</v>
      </c>
      <c r="H17" s="33">
        <f>COUNTIFS(TBA_Matches_All[Team],$A17,TBA_Matches_All[Acenter4],1,TBA_Matches_All[RobotSet],"OppS")</f>
        <v>0</v>
      </c>
      <c r="I17" s="34">
        <f>COUNTIFS(TBA_Matches_All[Team],$A17,TBA_Matches_All[Acenter4],-1,TBA_Matches_All[RobotSet],"OppS")</f>
        <v>0</v>
      </c>
      <c r="J17" s="70">
        <f>IFERROR(SUM(B17:I17)/COUNTIFS(Dyno_EndMatch[Team],$A17,Dyno_EndMatch[RecordType],"EndMatch")*100,0)</f>
        <v>0</v>
      </c>
      <c r="K17" s="176"/>
      <c r="L17" s="70">
        <f>IFERROR(SUM(M17:T17)/COUNTIFS(Dyno_EndMatch[Team],$U17,Dyno_EndMatch[RecordType],"EndMatch")*100,0)</f>
        <v>14.285714285714285</v>
      </c>
      <c r="M17" s="35">
        <f>COUNTIFS(TBA_Matches_All[Team],$U17,TBA_Matches_All[Acenter4],1,TBA_Matches_All[RobotSet],"Amp")</f>
        <v>0</v>
      </c>
      <c r="N17" s="30">
        <f>COUNTIFS(TBA_Matches_All[Team],$U17,TBA_Matches_All[Acenter4],-1,TBA_Matches_All[RobotSet],"Amp")</f>
        <v>1</v>
      </c>
      <c r="O17" s="31">
        <f>COUNTIFS(TBA_Matches_All[Team],$U17,TBA_Matches_All[Acenter4],1,TBA_Matches_All[RobotSet],"SubW")</f>
        <v>0</v>
      </c>
      <c r="P17" s="32">
        <f>COUNTIFS(TBA_Matches_All[Team],$U17,TBA_Matches_All[Acenter4],-1,TBA_Matches_All[RobotSet],"SubW")</f>
        <v>0</v>
      </c>
      <c r="Q17" s="33">
        <f>COUNTIFS(TBA_Matches_All[Team],$U17,TBA_Matches_All[Acenter4],1,TBA_Matches_All[RobotSet],"Podm")</f>
        <v>0</v>
      </c>
      <c r="R17" s="30">
        <f>COUNTIFS(TBA_Matches_All[Team],$U17,TBA_Matches_All[Acenter4],-1,TBA_Matches_All[RobotSet],"Podm")</f>
        <v>0</v>
      </c>
      <c r="S17" s="31">
        <f>COUNTIFS(TBA_Matches_All[Team],$U17,TBA_Matches_All[Acenter4],1,TBA_Matches_All[RobotSet],"OppS")</f>
        <v>0</v>
      </c>
      <c r="T17" s="36">
        <f>COUNTIFS(TBA_Matches_All[Team],$U17,TBA_Matches_All[Acenter4],-1,TBA_Matches_All[RobotSet],"OppS")</f>
        <v>0</v>
      </c>
      <c r="U17" s="20" t="str">
        <f>_Red3</f>
        <v>frc2791</v>
      </c>
    </row>
    <row r="18" spans="1:21" ht="30" customHeight="1" x14ac:dyDescent="0.3">
      <c r="A18" s="37"/>
      <c r="B18" s="38"/>
      <c r="C18" s="39"/>
      <c r="D18" s="40"/>
      <c r="E18" s="39"/>
      <c r="F18" s="40"/>
      <c r="G18" s="41"/>
      <c r="H18" s="42"/>
      <c r="I18" s="43"/>
      <c r="L18" s="70"/>
      <c r="M18" s="44"/>
      <c r="N18" s="39"/>
      <c r="O18" s="40"/>
      <c r="P18" s="41"/>
      <c r="Q18" s="42"/>
      <c r="R18" s="39"/>
      <c r="S18" s="40"/>
      <c r="T18" s="45"/>
      <c r="U18" s="46"/>
    </row>
    <row r="19" spans="1:21" x14ac:dyDescent="0.3">
      <c r="A19" s="11" t="str">
        <f>_Blue1</f>
        <v>frc5993</v>
      </c>
      <c r="B19" s="29">
        <f>COUNTIFS(TBA_Matches_All[Team],$A19,TBA_Matches_All[Acenter5],1,TBA_Matches_All[RobotSet],"Amp")</f>
        <v>0</v>
      </c>
      <c r="C19" s="30">
        <f>COUNTIFS(TBA_Matches_All[Team],$A19,TBA_Matches_All[Acenter5],-1,TBA_Matches_All[RobotSet],"Amp")</f>
        <v>0</v>
      </c>
      <c r="D19" s="31">
        <f>COUNTIFS(TBA_Matches_All[Team],$A19,TBA_Matches_All[Acenter5],1,TBA_Matches_All[RobotSet],"SubW")</f>
        <v>0</v>
      </c>
      <c r="E19" s="30">
        <f>COUNTIFS(TBA_Matches_All[Team],$A19,TBA_Matches_All[Acenter5],-1,TBA_Matches_All[RobotSet],"SubW")</f>
        <v>0</v>
      </c>
      <c r="F19" s="31">
        <f>COUNTIFS(TBA_Matches_All[Team],$A19,TBA_Matches_All[Acenter5],1,TBA_Matches_All[RobotSet],"Podm")</f>
        <v>0</v>
      </c>
      <c r="G19" s="32">
        <f>COUNTIFS(TBA_Matches_All[Team],$A19,TBA_Matches_All[Acenter5],-1,TBA_Matches_All[RobotSet],"Podm")</f>
        <v>0</v>
      </c>
      <c r="H19" s="33">
        <f>COUNTIFS(TBA_Matches_All[Team],$A19,TBA_Matches_All[Acenter5],1,TBA_Matches_All[RobotSet],"OppS")</f>
        <v>0</v>
      </c>
      <c r="I19" s="34">
        <f>COUNTIFS(TBA_Matches_All[Team],$A19,TBA_Matches_All[Acenter5],-1,TBA_Matches_All[RobotSet],"OppS")</f>
        <v>0</v>
      </c>
      <c r="J19" s="70">
        <f>IFERROR(SUM(B19:I19)/COUNTIFS(Dyno_EndMatch[Team],$A19,Dyno_EndMatch[RecordType],"EndMatch")*100,0)</f>
        <v>0</v>
      </c>
      <c r="K19" s="176" t="s">
        <v>112</v>
      </c>
      <c r="L19" s="70">
        <f>IFERROR(SUM(M19:T19)/COUNTIFS(Dyno_EndMatch[Team],$U19,Dyno_EndMatch[RecordType],"EndMatch")*100,0)</f>
        <v>66.666666666666657</v>
      </c>
      <c r="M19" s="35">
        <f>COUNTIFS(TBA_Matches_All[Team],$U19,TBA_Matches_All[Acenter5],1,TBA_Matches_All[RobotSet],"Amp")</f>
        <v>0</v>
      </c>
      <c r="N19" s="30">
        <f>COUNTIFS(TBA_Matches_All[Team],$U19,TBA_Matches_All[Acenter5],-1,TBA_Matches_All[RobotSet],"Amp")</f>
        <v>0</v>
      </c>
      <c r="O19" s="31">
        <f>COUNTIFS(TBA_Matches_All[Team],$U19,TBA_Matches_All[Acenter5],1,TBA_Matches_All[RobotSet],"SubW")</f>
        <v>5</v>
      </c>
      <c r="P19" s="32">
        <f>COUNTIFS(TBA_Matches_All[Team],$U19,TBA_Matches_All[Acenter5],-1,TBA_Matches_All[RobotSet],"SubW")</f>
        <v>1</v>
      </c>
      <c r="Q19" s="33">
        <f>COUNTIFS(TBA_Matches_All[Team],$U19,TBA_Matches_All[Acenter5],1,TBA_Matches_All[RobotSet],"Podm")</f>
        <v>0</v>
      </c>
      <c r="R19" s="30">
        <f>COUNTIFS(TBA_Matches_All[Team],$U19,TBA_Matches_All[Acenter5],-1,TBA_Matches_All[RobotSet],"Podm")</f>
        <v>0</v>
      </c>
      <c r="S19" s="31">
        <f>COUNTIFS(TBA_Matches_All[Team],$U19,TBA_Matches_All[Acenter5],1,TBA_Matches_All[RobotSet],"OppS")</f>
        <v>0</v>
      </c>
      <c r="T19" s="36">
        <f>COUNTIFS(TBA_Matches_All[Team],$U19,TBA_Matches_All[Acenter5],-1,TBA_Matches_All[RobotSet],"OppS")</f>
        <v>0</v>
      </c>
      <c r="U19" s="20" t="str">
        <f>_Red1</f>
        <v>frc1591</v>
      </c>
    </row>
    <row r="20" spans="1:21" x14ac:dyDescent="0.3">
      <c r="A20" s="11" t="str">
        <f>_Blue2</f>
        <v>frc1559</v>
      </c>
      <c r="B20" s="21">
        <f>COUNTIFS(TBA_Matches_All[Team],$A20,TBA_Matches_All[Acenter5],1,TBA_Matches_All[RobotSet],"Amp")</f>
        <v>0</v>
      </c>
      <c r="C20" s="22">
        <f>COUNTIFS(TBA_Matches_All[Team],$A20,TBA_Matches_All[Acenter5],-1,TBA_Matches_All[RobotSet],"Amp")</f>
        <v>1</v>
      </c>
      <c r="D20" s="23">
        <f>COUNTIFS(TBA_Matches_All[Team],$A20,TBA_Matches_All[Acenter5],1,TBA_Matches_All[RobotSet],"SubW")</f>
        <v>0</v>
      </c>
      <c r="E20" s="22">
        <f>COUNTIFS(TBA_Matches_All[Team],$A20,TBA_Matches_All[Acenter5],-1,TBA_Matches_All[RobotSet],"SubW")</f>
        <v>0</v>
      </c>
      <c r="F20" s="23">
        <f>COUNTIFS(TBA_Matches_All[Team],$A20,TBA_Matches_All[Acenter5],1,TBA_Matches_All[RobotSet],"Podm")</f>
        <v>0</v>
      </c>
      <c r="G20" s="24">
        <f>COUNTIFS(TBA_Matches_All[Team],$A20,TBA_Matches_All[Acenter5],-1,TBA_Matches_All[RobotSet],"Podm")</f>
        <v>0</v>
      </c>
      <c r="H20" s="25">
        <f>COUNTIFS(TBA_Matches_All[Team],$A20,TBA_Matches_All[Acenter5],1,TBA_Matches_All[RobotSet],"OppS")</f>
        <v>0</v>
      </c>
      <c r="I20" s="26">
        <f>COUNTIFS(TBA_Matches_All[Team],$A20,TBA_Matches_All[Acenter5],-1,TBA_Matches_All[RobotSet],"OppS")</f>
        <v>0</v>
      </c>
      <c r="J20" s="70">
        <f>IFERROR(SUM(B20:I20)/COUNTIFS(Dyno_EndMatch[Team],$A20,Dyno_EndMatch[RecordType],"EndMatch")*100,0)</f>
        <v>12.5</v>
      </c>
      <c r="K20" s="176"/>
      <c r="L20" s="70">
        <f>IFERROR(SUM(M20:T20)/COUNTIFS(Dyno_EndMatch[Team],$U20,Dyno_EndMatch[RecordType],"EndMatch")*100,0)</f>
        <v>0</v>
      </c>
      <c r="M20" s="27">
        <f>COUNTIFS(TBA_Matches_All[Team],$U20,TBA_Matches_All[Acenter5],1,TBA_Matches_All[RobotSet],"Amp")</f>
        <v>0</v>
      </c>
      <c r="N20" s="22">
        <f>COUNTIFS(TBA_Matches_All[Team],$U20,TBA_Matches_All[Acenter5],-1,TBA_Matches_All[RobotSet],"Amp")</f>
        <v>0</v>
      </c>
      <c r="O20" s="23">
        <f>COUNTIFS(TBA_Matches_All[Team],$U20,TBA_Matches_All[Acenter5],1,TBA_Matches_All[RobotSet],"SubW")</f>
        <v>0</v>
      </c>
      <c r="P20" s="24">
        <f>COUNTIFS(TBA_Matches_All[Team],$U20,TBA_Matches_All[Acenter5],-1,TBA_Matches_All[RobotSet],"SubW")</f>
        <v>0</v>
      </c>
      <c r="Q20" s="25">
        <f>COUNTIFS(TBA_Matches_All[Team],$U20,TBA_Matches_All[Acenter5],1,TBA_Matches_All[RobotSet],"Podm")</f>
        <v>0</v>
      </c>
      <c r="R20" s="22">
        <f>COUNTIFS(TBA_Matches_All[Team],$U20,TBA_Matches_All[Acenter5],-1,TBA_Matches_All[RobotSet],"Podm")</f>
        <v>0</v>
      </c>
      <c r="S20" s="23">
        <f>COUNTIFS(TBA_Matches_All[Team],$U20,TBA_Matches_All[Acenter5],1,TBA_Matches_All[RobotSet],"OppS")</f>
        <v>0</v>
      </c>
      <c r="T20" s="28">
        <f>COUNTIFS(TBA_Matches_All[Team],$U20,TBA_Matches_All[Acenter5],-1,TBA_Matches_All[RobotSet],"OppS")</f>
        <v>0</v>
      </c>
      <c r="U20" s="20" t="str">
        <f>_Red2</f>
        <v>frc5016</v>
      </c>
    </row>
    <row r="21" spans="1:21" ht="15" thickBot="1" x14ac:dyDescent="0.35">
      <c r="A21" s="11" t="str">
        <f>_Blue3</f>
        <v>frc3173</v>
      </c>
      <c r="B21" s="47">
        <f>COUNTIFS(TBA_Matches_All[Team],$A21,TBA_Matches_All[Acenter5],1,TBA_Matches_All[RobotSet],"Amp")</f>
        <v>3</v>
      </c>
      <c r="C21" s="48">
        <f>COUNTIFS(TBA_Matches_All[Team],$A21,TBA_Matches_All[Acenter5],-1,TBA_Matches_All[RobotSet],"Amp")</f>
        <v>1</v>
      </c>
      <c r="D21" s="49">
        <f>COUNTIFS(TBA_Matches_All[Team],$A21,TBA_Matches_All[Acenter5],1,TBA_Matches_All[RobotSet],"SubW")</f>
        <v>0</v>
      </c>
      <c r="E21" s="48">
        <f>COUNTIFS(TBA_Matches_All[Team],$A21,TBA_Matches_All[Acenter5],-1,TBA_Matches_All[RobotSet],"SubW")</f>
        <v>0</v>
      </c>
      <c r="F21" s="49">
        <f>COUNTIFS(TBA_Matches_All[Team],$A21,TBA_Matches_All[Acenter5],1,TBA_Matches_All[RobotSet],"Podm")</f>
        <v>0</v>
      </c>
      <c r="G21" s="50">
        <f>COUNTIFS(TBA_Matches_All[Team],$A21,TBA_Matches_All[Acenter5],-1,TBA_Matches_All[RobotSet],"Podm")</f>
        <v>0</v>
      </c>
      <c r="H21" s="51">
        <f>COUNTIFS(TBA_Matches_All[Team],$A21,TBA_Matches_All[Acenter5],1,TBA_Matches_All[RobotSet],"OppS")</f>
        <v>0</v>
      </c>
      <c r="I21" s="52">
        <f>COUNTIFS(TBA_Matches_All[Team],$A21,TBA_Matches_All[Acenter5],-1,TBA_Matches_All[RobotSet],"OppS")</f>
        <v>0</v>
      </c>
      <c r="J21" s="73">
        <f>IFERROR(SUM(B21:I21)/COUNTIFS(Dyno_EndMatch[Team],$A21,Dyno_EndMatch[RecordType],"EndMatch")*100,0)</f>
        <v>57.142857142857139</v>
      </c>
      <c r="K21" s="176"/>
      <c r="L21" s="73">
        <f>IFERROR(SUM(M21:T21)/COUNTIFS(Dyno_EndMatch[Team],$U21,Dyno_EndMatch[RecordType],"EndMatch")*100,0)</f>
        <v>0</v>
      </c>
      <c r="M21" s="53">
        <f>COUNTIFS(TBA_Matches_All[Team],$U21,TBA_Matches_All[Acenter5],1,TBA_Matches_All[RobotSet],"Amp")</f>
        <v>0</v>
      </c>
      <c r="N21" s="48">
        <f>COUNTIFS(TBA_Matches_All[Team],$U21,TBA_Matches_All[Acenter5],-1,TBA_Matches_All[RobotSet],"Amp")</f>
        <v>0</v>
      </c>
      <c r="O21" s="49">
        <f>COUNTIFS(TBA_Matches_All[Team],$U21,TBA_Matches_All[Acenter5],1,TBA_Matches_All[RobotSet],"SubW")</f>
        <v>0</v>
      </c>
      <c r="P21" s="50">
        <f>COUNTIFS(TBA_Matches_All[Team],$U21,TBA_Matches_All[Acenter5],-1,TBA_Matches_All[RobotSet],"SubW")</f>
        <v>0</v>
      </c>
      <c r="Q21" s="51">
        <f>COUNTIFS(TBA_Matches_All[Team],$U21,TBA_Matches_All[Acenter5],1,TBA_Matches_All[RobotSet],"Podm")</f>
        <v>0</v>
      </c>
      <c r="R21" s="48">
        <f>COUNTIFS(TBA_Matches_All[Team],$U21,TBA_Matches_All[Acenter5],-1,TBA_Matches_All[RobotSet],"Podm")</f>
        <v>0</v>
      </c>
      <c r="S21" s="49">
        <f>COUNTIFS(TBA_Matches_All[Team],$U21,TBA_Matches_All[Acenter5],1,TBA_Matches_All[RobotSet],"OppS")</f>
        <v>0</v>
      </c>
      <c r="T21" s="54">
        <f>COUNTIFS(TBA_Matches_All[Team],$U21,TBA_Matches_All[Acenter5],-1,TBA_Matches_All[RobotSet],"OppS")</f>
        <v>0</v>
      </c>
      <c r="U21" s="20" t="str">
        <f>_Red3</f>
        <v>frc2791</v>
      </c>
    </row>
    <row r="22" spans="1:21" s="5" customFormat="1" x14ac:dyDescent="0.3">
      <c r="B22" s="6" t="s">
        <v>105</v>
      </c>
      <c r="C22" s="7" t="s">
        <v>106</v>
      </c>
      <c r="D22" s="8" t="s">
        <v>105</v>
      </c>
      <c r="E22" s="7" t="s">
        <v>106</v>
      </c>
      <c r="F22" s="8" t="s">
        <v>105</v>
      </c>
      <c r="G22" s="9" t="s">
        <v>106</v>
      </c>
      <c r="H22" s="6" t="s">
        <v>105</v>
      </c>
      <c r="I22" s="7" t="s">
        <v>106</v>
      </c>
      <c r="J22" s="71" t="s">
        <v>107</v>
      </c>
      <c r="K22" s="10"/>
      <c r="L22" s="10" t="s">
        <v>107</v>
      </c>
      <c r="M22" s="6" t="s">
        <v>105</v>
      </c>
      <c r="N22" s="7" t="s">
        <v>106</v>
      </c>
      <c r="O22" s="8" t="s">
        <v>105</v>
      </c>
      <c r="P22" s="9" t="s">
        <v>106</v>
      </c>
      <c r="Q22" s="6" t="s">
        <v>105</v>
      </c>
      <c r="R22" s="7" t="s">
        <v>106</v>
      </c>
      <c r="S22" s="8" t="s">
        <v>105</v>
      </c>
      <c r="T22" s="7" t="s">
        <v>106</v>
      </c>
    </row>
    <row r="23" spans="1:21" x14ac:dyDescent="0.3">
      <c r="B23" s="175" t="s">
        <v>101</v>
      </c>
      <c r="C23" s="175"/>
      <c r="D23" s="173" t="s">
        <v>102</v>
      </c>
      <c r="E23" s="175"/>
      <c r="F23" s="173" t="s">
        <v>103</v>
      </c>
      <c r="G23" s="174"/>
      <c r="H23" s="175" t="s">
        <v>104</v>
      </c>
      <c r="I23" s="175"/>
      <c r="M23" s="175" t="s">
        <v>101</v>
      </c>
      <c r="N23" s="175"/>
      <c r="O23" s="173" t="s">
        <v>102</v>
      </c>
      <c r="P23" s="174"/>
      <c r="Q23" s="175" t="s">
        <v>103</v>
      </c>
      <c r="R23" s="175"/>
      <c r="S23" s="173" t="s">
        <v>104</v>
      </c>
      <c r="T23" s="175"/>
    </row>
  </sheetData>
  <sheetProtection algorithmName="SHA-512" hashValue="3Hz1Tw6C7H9Xv9kJMhi4oeevrBMlGZURKoHeJp635h/EFsjHpivSYMn5mcpEKZv+DXCqmHlcpOZfeWO0Kng+Ug==" saltValue="YJZ7JpZ7TyWHivkLElaA7Q==" spinCount="100000" sheet="1" objects="1" scenarios="1" selectLockedCells="1"/>
  <mergeCells count="21">
    <mergeCell ref="K15:K17"/>
    <mergeCell ref="B1:C1"/>
    <mergeCell ref="D1:E1"/>
    <mergeCell ref="F1:G1"/>
    <mergeCell ref="H1:I1"/>
    <mergeCell ref="Q1:R1"/>
    <mergeCell ref="S1:T1"/>
    <mergeCell ref="K3:K5"/>
    <mergeCell ref="K7:K9"/>
    <mergeCell ref="K11:K13"/>
    <mergeCell ref="M1:N1"/>
    <mergeCell ref="O1:P1"/>
    <mergeCell ref="O23:P23"/>
    <mergeCell ref="Q23:R23"/>
    <mergeCell ref="S23:T23"/>
    <mergeCell ref="K19:K21"/>
    <mergeCell ref="B23:C23"/>
    <mergeCell ref="D23:E23"/>
    <mergeCell ref="F23:G23"/>
    <mergeCell ref="H23:I23"/>
    <mergeCell ref="M23:N23"/>
  </mergeCells>
  <conditionalFormatting sqref="B3:B21 D3:D21 F3:F21 H3:H21 M3:M21 O3:O21 Q3:Q21 S3:S21">
    <cfRule type="cellIs" dxfId="162" priority="2" operator="notEqual">
      <formula>0</formula>
    </cfRule>
  </conditionalFormatting>
  <conditionalFormatting sqref="B3:T21">
    <cfRule type="cellIs" dxfId="161" priority="4" operator="equal">
      <formula>0</formula>
    </cfRule>
  </conditionalFormatting>
  <conditionalFormatting sqref="C3:C21 E3:E21 G3:G21 I3:I21 N3:N21 P3:P21 R3:R21 T3:T21">
    <cfRule type="cellIs" dxfId="160" priority="1" operator="notEqual">
      <formula>0</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B94FB-9AAE-4965-9151-084F630F1BB6}">
  <sheetPr codeName="Sheet3">
    <tabColor rgb="FF00B050"/>
  </sheetPr>
  <dimension ref="A1:F54"/>
  <sheetViews>
    <sheetView showGridLines="0" showRowColHeaders="0" zoomScale="130" zoomScaleNormal="130" workbookViewId="0">
      <selection activeCell="B2" sqref="B2"/>
    </sheetView>
  </sheetViews>
  <sheetFormatPr defaultRowHeight="14.4" x14ac:dyDescent="0.3"/>
  <cols>
    <col min="1" max="1" width="14.33203125" bestFit="1" customWidth="1"/>
    <col min="2" max="2" width="5.33203125" style="2" customWidth="1"/>
    <col min="3" max="3" width="3.6640625" customWidth="1"/>
    <col min="4" max="4" width="15.33203125" customWidth="1"/>
    <col min="5" max="5" width="3.33203125" customWidth="1"/>
    <col min="6" max="6" width="9.33203125" customWidth="1"/>
  </cols>
  <sheetData>
    <row r="1" spans="1:6" ht="15.6" x14ac:dyDescent="0.3">
      <c r="A1" s="5" t="s">
        <v>91</v>
      </c>
      <c r="B1" s="88">
        <f>Match</f>
        <v>56</v>
      </c>
      <c r="D1" s="78" t="s">
        <v>92</v>
      </c>
      <c r="F1" s="94"/>
    </row>
    <row r="2" spans="1:6" ht="15.6" x14ac:dyDescent="0.3">
      <c r="A2" s="5" t="s">
        <v>99</v>
      </c>
      <c r="B2" s="147" t="s">
        <v>100</v>
      </c>
      <c r="D2" s="79" t="str">
        <f>_xlfn.CONCAT("Match ",_xlfn.MAXIFS(Dyno_Data[Match],Dyno_Data[RecordType],"EndMatch"))</f>
        <v>Match 77</v>
      </c>
    </row>
    <row r="11" spans="1:6" x14ac:dyDescent="0.3">
      <c r="A11" s="77" t="s">
        <v>113</v>
      </c>
    </row>
    <row r="12" spans="1:6" ht="15.6" x14ac:dyDescent="0.3">
      <c r="A12" s="89" t="str">
        <f>IF(AllianceA="Red", _Red3, _Blue1)</f>
        <v>frc2791</v>
      </c>
    </row>
    <row r="13" spans="1:6" ht="12" customHeight="1" x14ac:dyDescent="0.3">
      <c r="A13" s="1"/>
    </row>
    <row r="14" spans="1:6" x14ac:dyDescent="0.3">
      <c r="A14" s="77" t="s">
        <v>94</v>
      </c>
    </row>
    <row r="15" spans="1:6" ht="15.6" x14ac:dyDescent="0.3">
      <c r="A15" s="89">
        <f>COUNTIFS(Dyno_EndMatch[Team],A12,Dyno_EndMatch[RecordType],"EndMatch")</f>
        <v>7</v>
      </c>
    </row>
    <row r="16" spans="1:6" ht="12" customHeight="1" x14ac:dyDescent="0.3">
      <c r="A16" s="1"/>
    </row>
    <row r="17" spans="1:1" x14ac:dyDescent="0.3">
      <c r="A17" s="77" t="s">
        <v>95</v>
      </c>
    </row>
    <row r="18" spans="1:1" ht="15.6" x14ac:dyDescent="0.3">
      <c r="A18" s="89">
        <f>_xlfn.XLOOKUP(A12,TBA_Rankings[Team],TBA_Rankings[Rank],"-",0,1)</f>
        <v>4</v>
      </c>
    </row>
    <row r="19" spans="1:1" ht="12" customHeight="1" x14ac:dyDescent="0.3">
      <c r="A19" s="1"/>
    </row>
    <row r="20" spans="1:1" x14ac:dyDescent="0.3">
      <c r="A20" s="77" t="s">
        <v>96</v>
      </c>
    </row>
    <row r="21" spans="1:1" ht="15.6" x14ac:dyDescent="0.3">
      <c r="A21" s="90">
        <f>SUM(_xlfn.XLOOKUP(A12,TBA_Rankings[Team],TBA_Rankings[RP],"-",0,1)+((COUNTIFS(TBA_Matches_All[Coopertition],"TRUE",TBA_Matches_All[Team],A12)/100)))</f>
        <v>931.06</v>
      </c>
    </row>
    <row r="22" spans="1:1" ht="12" customHeight="1" x14ac:dyDescent="0.3">
      <c r="A22" s="1"/>
    </row>
    <row r="23" spans="1:1" x14ac:dyDescent="0.3">
      <c r="A23" s="77" t="s">
        <v>114</v>
      </c>
    </row>
    <row r="24" spans="1:1" ht="15.6" x14ac:dyDescent="0.3">
      <c r="A24" s="103">
        <f>IFERROR(COUNTIFS(Dyno_EndMatch[Leave],1,Dyno_EndMatch[Team],A12)/A15*100,0)</f>
        <v>85.714285714285708</v>
      </c>
    </row>
    <row r="26" spans="1:1" x14ac:dyDescent="0.3">
      <c r="A26" s="77" t="s">
        <v>115</v>
      </c>
    </row>
    <row r="27" spans="1:1" ht="15.6" x14ac:dyDescent="0.3">
      <c r="A27" s="89" t="str">
        <f>IF(AllianceA="Red", _Red2, _Blue2)</f>
        <v>frc5016</v>
      </c>
    </row>
    <row r="28" spans="1:1" ht="12" customHeight="1" x14ac:dyDescent="0.3">
      <c r="A28" s="1"/>
    </row>
    <row r="29" spans="1:1" x14ac:dyDescent="0.3">
      <c r="A29" s="77" t="s">
        <v>94</v>
      </c>
    </row>
    <row r="30" spans="1:1" ht="15.6" x14ac:dyDescent="0.3">
      <c r="A30" s="89">
        <f>COUNTIFS(Dyno_EndMatch[Team],A27,Dyno_EndMatch[RecordType],"EndMatch")</f>
        <v>8</v>
      </c>
    </row>
    <row r="31" spans="1:1" ht="12" customHeight="1" x14ac:dyDescent="0.3">
      <c r="A31" s="1"/>
    </row>
    <row r="32" spans="1:1" x14ac:dyDescent="0.3">
      <c r="A32" s="77" t="s">
        <v>95</v>
      </c>
    </row>
    <row r="33" spans="1:1" ht="15.6" x14ac:dyDescent="0.3">
      <c r="A33" s="89">
        <f>_xlfn.XLOOKUP(A27,TBA_Rankings[Team],TBA_Rankings[Rank],"-",0,1)</f>
        <v>29</v>
      </c>
    </row>
    <row r="34" spans="1:1" ht="12" customHeight="1" x14ac:dyDescent="0.3">
      <c r="A34" s="1"/>
    </row>
    <row r="35" spans="1:1" x14ac:dyDescent="0.3">
      <c r="A35" s="77" t="s">
        <v>96</v>
      </c>
    </row>
    <row r="36" spans="1:1" ht="15.6" x14ac:dyDescent="0.3">
      <c r="A36" s="90">
        <f>SUM(_xlfn.XLOOKUP(A27,TBA_Rankings[Team],TBA_Rankings[RP],"-",0,1)+((COUNTIFS(TBA_Matches_All[Coopertition],"TRUE",TBA_Matches_All[Team],A27)/100)))</f>
        <v>490.06</v>
      </c>
    </row>
    <row r="37" spans="1:1" ht="12" customHeight="1" x14ac:dyDescent="0.3">
      <c r="A37" s="1"/>
    </row>
    <row r="38" spans="1:1" x14ac:dyDescent="0.3">
      <c r="A38" s="77" t="s">
        <v>114</v>
      </c>
    </row>
    <row r="39" spans="1:1" ht="15.6" x14ac:dyDescent="0.3">
      <c r="A39" s="103">
        <f>IFERROR(COUNTIFS(Dyno_EndMatch[Leave],1,Dyno_EndMatch[Team],A27)/A30*100,0)</f>
        <v>12.5</v>
      </c>
    </row>
    <row r="41" spans="1:1" x14ac:dyDescent="0.3">
      <c r="A41" s="77" t="s">
        <v>116</v>
      </c>
    </row>
    <row r="42" spans="1:1" ht="15.6" x14ac:dyDescent="0.3">
      <c r="A42" s="89" t="str">
        <f>IF(AllianceA="Red", _Red1, _Blue3)</f>
        <v>frc1591</v>
      </c>
    </row>
    <row r="43" spans="1:1" ht="12" customHeight="1" x14ac:dyDescent="0.3">
      <c r="A43" s="1"/>
    </row>
    <row r="44" spans="1:1" x14ac:dyDescent="0.3">
      <c r="A44" s="77" t="s">
        <v>94</v>
      </c>
    </row>
    <row r="45" spans="1:1" ht="15.6" x14ac:dyDescent="0.3">
      <c r="A45" s="89">
        <f>COUNTIFS(Dyno_EndMatch[Team],A42,Dyno_EndMatch[RecordType],"EndMatch")</f>
        <v>9</v>
      </c>
    </row>
    <row r="46" spans="1:1" ht="12" customHeight="1" x14ac:dyDescent="0.3">
      <c r="A46" s="1"/>
    </row>
    <row r="47" spans="1:1" x14ac:dyDescent="0.3">
      <c r="A47" s="77" t="s">
        <v>95</v>
      </c>
    </row>
    <row r="48" spans="1:1" ht="15.6" x14ac:dyDescent="0.3">
      <c r="A48" s="89">
        <f>_xlfn.XLOOKUP(A42,TBA_Rankings[Team],TBA_Rankings[Rank],"-",0,1)</f>
        <v>5</v>
      </c>
    </row>
    <row r="49" spans="1:1" ht="12" customHeight="1" x14ac:dyDescent="0.3">
      <c r="A49" s="1"/>
    </row>
    <row r="50" spans="1:1" x14ac:dyDescent="0.3">
      <c r="A50" s="77" t="s">
        <v>96</v>
      </c>
    </row>
    <row r="51" spans="1:1" ht="15.6" x14ac:dyDescent="0.3">
      <c r="A51" s="90">
        <f>SUM(_xlfn.XLOOKUP(A42,TBA_Rankings[Team],TBA_Rankings[RP],"-",0,1)+((COUNTIFS(TBA_Matches_All[Coopertition],"TRUE",TBA_Matches_All[Team],A42)/100)))</f>
        <v>931.05</v>
      </c>
    </row>
    <row r="52" spans="1:1" ht="12" customHeight="1" x14ac:dyDescent="0.3">
      <c r="A52" s="1"/>
    </row>
    <row r="53" spans="1:1" x14ac:dyDescent="0.3">
      <c r="A53" s="77" t="s">
        <v>114</v>
      </c>
    </row>
    <row r="54" spans="1:1" ht="15.6" x14ac:dyDescent="0.3">
      <c r="A54" s="103">
        <f>IFERROR(COUNTIFS(Dyno_EndMatch[Leave],1,Dyno_EndMatch[Team],A42)/A45*100,0)</f>
        <v>88.888888888888886</v>
      </c>
    </row>
  </sheetData>
  <sheetProtection algorithmName="SHA-512" hashValue="4TmV0GPTDspmfPbyMVYYafPA//4keIVPKgdaoSCj4kErfuY2D30Px7m8duhnVFPoetYLsEYmAuC3dGAgBZghZQ==" saltValue="LQXlqfEXSLSZDDZjc1PxFA==" spinCount="100000" sheet="1" objects="1" scenarios="1" selectLockedCells="1"/>
  <conditionalFormatting sqref="A11:A12">
    <cfRule type="expression" dxfId="159" priority="39">
      <formula>$B$2="Blue"</formula>
    </cfRule>
    <cfRule type="expression" dxfId="158" priority="40">
      <formula>$B$2="Red"</formula>
    </cfRule>
  </conditionalFormatting>
  <conditionalFormatting sqref="A14:A15">
    <cfRule type="expression" dxfId="157" priority="35">
      <formula>$B$2="Blue"</formula>
    </cfRule>
    <cfRule type="expression" dxfId="156" priority="36">
      <formula>$B$2="Red"</formula>
    </cfRule>
  </conditionalFormatting>
  <conditionalFormatting sqref="A17:A18">
    <cfRule type="expression" dxfId="155" priority="33">
      <formula>$B$2="Blue"</formula>
    </cfRule>
    <cfRule type="expression" dxfId="154" priority="34">
      <formula>$B$2="Red"</formula>
    </cfRule>
  </conditionalFormatting>
  <conditionalFormatting sqref="A20:A21">
    <cfRule type="expression" dxfId="153" priority="31">
      <formula>$B$2="Blue"</formula>
    </cfRule>
    <cfRule type="expression" dxfId="152" priority="32">
      <formula>$B$2="Red"</formula>
    </cfRule>
  </conditionalFormatting>
  <conditionalFormatting sqref="A23:A24">
    <cfRule type="expression" dxfId="151" priority="29">
      <formula>$B$2="Blue"</formula>
    </cfRule>
    <cfRule type="expression" dxfId="150" priority="30">
      <formula>$B$2="Red"</formula>
    </cfRule>
  </conditionalFormatting>
  <conditionalFormatting sqref="A26:A27">
    <cfRule type="expression" dxfId="149" priority="25">
      <formula>$B$2="Blue"</formula>
    </cfRule>
    <cfRule type="expression" dxfId="148" priority="26">
      <formula>$B$2="Red"</formula>
    </cfRule>
  </conditionalFormatting>
  <conditionalFormatting sqref="A29:A30">
    <cfRule type="expression" dxfId="147" priority="21">
      <formula>$B$2="Blue"</formula>
    </cfRule>
    <cfRule type="expression" dxfId="146" priority="22">
      <formula>$B$2="Red"</formula>
    </cfRule>
  </conditionalFormatting>
  <conditionalFormatting sqref="A32:A33">
    <cfRule type="expression" dxfId="145" priority="19">
      <formula>$B$2="Blue"</formula>
    </cfRule>
    <cfRule type="expression" dxfId="144" priority="20">
      <formula>$B$2="Red"</formula>
    </cfRule>
  </conditionalFormatting>
  <conditionalFormatting sqref="A35:A36">
    <cfRule type="expression" dxfId="143" priority="17">
      <formula>$B$2="Blue"</formula>
    </cfRule>
    <cfRule type="expression" dxfId="142" priority="18">
      <formula>$B$2="Red"</formula>
    </cfRule>
  </conditionalFormatting>
  <conditionalFormatting sqref="A38:A39">
    <cfRule type="expression" dxfId="141" priority="15">
      <formula>$B$2="Blue"</formula>
    </cfRule>
    <cfRule type="expression" dxfId="140" priority="16">
      <formula>$B$2="Red"</formula>
    </cfRule>
  </conditionalFormatting>
  <conditionalFormatting sqref="A41:A42">
    <cfRule type="expression" dxfId="139" priority="11">
      <formula>$B$2="Blue"</formula>
    </cfRule>
    <cfRule type="expression" dxfId="138" priority="12">
      <formula>$B$2="Red"</formula>
    </cfRule>
  </conditionalFormatting>
  <conditionalFormatting sqref="A44:A45">
    <cfRule type="expression" dxfId="137" priority="7">
      <formula>$B$2="Blue"</formula>
    </cfRule>
    <cfRule type="expression" dxfId="136" priority="8">
      <formula>$B$2="Red"</formula>
    </cfRule>
  </conditionalFormatting>
  <conditionalFormatting sqref="A47:A48">
    <cfRule type="expression" dxfId="135" priority="5">
      <formula>$B$2="Blue"</formula>
    </cfRule>
    <cfRule type="expression" dxfId="134" priority="6">
      <formula>$B$2="Red"</formula>
    </cfRule>
  </conditionalFormatting>
  <conditionalFormatting sqref="A50:A51">
    <cfRule type="expression" dxfId="133" priority="3">
      <formula>$B$2="Blue"</formula>
    </cfRule>
    <cfRule type="expression" dxfId="132" priority="4">
      <formula>$B$2="Red"</formula>
    </cfRule>
  </conditionalFormatting>
  <conditionalFormatting sqref="A53:A54">
    <cfRule type="expression" dxfId="131" priority="1">
      <formula>$B$2="Blue"</formula>
    </cfRule>
    <cfRule type="expression" dxfId="130" priority="2">
      <formula>$B$2="Red"</formula>
    </cfRule>
  </conditionalFormatting>
  <conditionalFormatting sqref="B2">
    <cfRule type="cellIs" dxfId="129" priority="46" operator="equal">
      <formula>"Blue"</formula>
    </cfRule>
    <cfRule type="cellIs" dxfId="128" priority="47" operator="equal">
      <formula>"Red"</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F4F15D8C-1925-4086-B17A-58E7F87433E2}">
          <x14:formula1>
            <xm:f>MPR_Alliance!$A$2:$A$3</xm:f>
          </x14:formula1>
          <xm:sqref>B2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C3036-19B9-4626-91AF-CB1F6E70DBCC}">
  <sheetPr codeName="Sheet4">
    <tabColor rgb="FF00B0F0"/>
  </sheetPr>
  <dimension ref="A1:F54"/>
  <sheetViews>
    <sheetView showGridLines="0" showRowColHeaders="0" zoomScale="130" zoomScaleNormal="130" workbookViewId="0">
      <selection activeCell="B2" sqref="B2"/>
    </sheetView>
  </sheetViews>
  <sheetFormatPr defaultRowHeight="14.4" x14ac:dyDescent="0.3"/>
  <cols>
    <col min="1" max="1" width="14.33203125" bestFit="1" customWidth="1"/>
    <col min="2" max="2" width="5.33203125" style="2" customWidth="1"/>
    <col min="3" max="3" width="3.6640625" customWidth="1"/>
    <col min="4" max="4" width="15.33203125" customWidth="1"/>
    <col min="5" max="5" width="3.33203125" customWidth="1"/>
    <col min="6" max="6" width="9.33203125" customWidth="1"/>
  </cols>
  <sheetData>
    <row r="1" spans="1:6" ht="15.6" x14ac:dyDescent="0.3">
      <c r="A1" s="5" t="s">
        <v>91</v>
      </c>
      <c r="B1" s="88">
        <f>Match</f>
        <v>56</v>
      </c>
      <c r="D1" s="78" t="s">
        <v>92</v>
      </c>
      <c r="F1" s="94"/>
    </row>
    <row r="2" spans="1:6" ht="15.6" x14ac:dyDescent="0.3">
      <c r="A2" s="5" t="s">
        <v>99</v>
      </c>
      <c r="B2" s="147" t="s">
        <v>100</v>
      </c>
      <c r="D2" s="79" t="str">
        <f>_xlfn.CONCAT("Match ",_xlfn.MAXIFS(Dyno_Data[Match],Dyno_Data[RecordType],"EndMatch"))</f>
        <v>Match 77</v>
      </c>
    </row>
    <row r="11" spans="1:6" x14ac:dyDescent="0.3">
      <c r="A11" s="77" t="s">
        <v>113</v>
      </c>
    </row>
    <row r="12" spans="1:6" ht="15.6" x14ac:dyDescent="0.3">
      <c r="A12" s="89" t="str">
        <f>IF(AllianceT="Red", _Red3, _Blue1)</f>
        <v>frc2791</v>
      </c>
    </row>
    <row r="13" spans="1:6" ht="12" customHeight="1" x14ac:dyDescent="0.3">
      <c r="A13" s="1"/>
    </row>
    <row r="14" spans="1:6" x14ac:dyDescent="0.3">
      <c r="A14" s="77" t="s">
        <v>94</v>
      </c>
    </row>
    <row r="15" spans="1:6" ht="15.6" x14ac:dyDescent="0.3">
      <c r="A15" s="89">
        <f>COUNTIFS(Dyno_EndMatch[Team],A12,Dyno_EndMatch[RecordType],"EndMatch")</f>
        <v>7</v>
      </c>
    </row>
    <row r="16" spans="1:6" ht="12" customHeight="1" x14ac:dyDescent="0.3">
      <c r="A16" s="1"/>
    </row>
    <row r="17" spans="1:1" x14ac:dyDescent="0.3">
      <c r="A17" s="77" t="s">
        <v>95</v>
      </c>
    </row>
    <row r="18" spans="1:1" ht="15.6" x14ac:dyDescent="0.3">
      <c r="A18" s="89">
        <f>_xlfn.XLOOKUP(A12,TBA_Rankings[Team],TBA_Rankings[Rank],"-",0,1)</f>
        <v>4</v>
      </c>
    </row>
    <row r="19" spans="1:1" ht="12" customHeight="1" x14ac:dyDescent="0.3">
      <c r="A19" s="1"/>
    </row>
    <row r="20" spans="1:1" x14ac:dyDescent="0.3">
      <c r="A20" s="77" t="s">
        <v>96</v>
      </c>
    </row>
    <row r="21" spans="1:1" ht="15.6" x14ac:dyDescent="0.3">
      <c r="A21" s="90">
        <f>SUM(_xlfn.XLOOKUP(A12,TBA_Rankings[Team],TBA_Rankings[RP],"-",0,1)+((COUNTIFS(TBA_Matches_All[Coopertition],"TRUE",TBA_Matches_All[Team],A12)/100)))</f>
        <v>931.06</v>
      </c>
    </row>
    <row r="22" spans="1:1" ht="12" customHeight="1" x14ac:dyDescent="0.3">
      <c r="A22" s="1"/>
    </row>
    <row r="23" spans="1:1" x14ac:dyDescent="0.3">
      <c r="A23" s="77" t="s">
        <v>117</v>
      </c>
    </row>
    <row r="24" spans="1:1" ht="15.6" x14ac:dyDescent="0.3">
      <c r="A24" s="118">
        <f>SUMIFS(TBA_Matches_All[MelodyRP],TBA_Matches_All[Team],A12,TBA_Matches_All[Scouted],"&gt;0")</f>
        <v>5</v>
      </c>
    </row>
    <row r="26" spans="1:1" x14ac:dyDescent="0.3">
      <c r="A26" s="77" t="s">
        <v>115</v>
      </c>
    </row>
    <row r="27" spans="1:1" ht="15.6" x14ac:dyDescent="0.3">
      <c r="A27" s="89" t="str">
        <f>IF(AllianceT="Red", _Red2, _Blue2)</f>
        <v>frc5016</v>
      </c>
    </row>
    <row r="28" spans="1:1" ht="12" customHeight="1" x14ac:dyDescent="0.3">
      <c r="A28" s="1"/>
    </row>
    <row r="29" spans="1:1" x14ac:dyDescent="0.3">
      <c r="A29" s="77" t="s">
        <v>94</v>
      </c>
    </row>
    <row r="30" spans="1:1" ht="15.6" x14ac:dyDescent="0.3">
      <c r="A30" s="89">
        <f>COUNTIFS(Dyno_EndMatch[Team],A27,Dyno_EndMatch[RecordType],"EndMatch")</f>
        <v>8</v>
      </c>
    </row>
    <row r="31" spans="1:1" ht="12" customHeight="1" x14ac:dyDescent="0.3">
      <c r="A31" s="1"/>
    </row>
    <row r="32" spans="1:1" x14ac:dyDescent="0.3">
      <c r="A32" s="77" t="s">
        <v>95</v>
      </c>
    </row>
    <row r="33" spans="1:1" ht="15.6" x14ac:dyDescent="0.3">
      <c r="A33" s="89">
        <f>_xlfn.XLOOKUP(A27,TBA_Rankings[Team],TBA_Rankings[Rank],"-",0,1)</f>
        <v>29</v>
      </c>
    </row>
    <row r="34" spans="1:1" ht="12" customHeight="1" x14ac:dyDescent="0.3">
      <c r="A34" s="1"/>
    </row>
    <row r="35" spans="1:1" x14ac:dyDescent="0.3">
      <c r="A35" s="77" t="s">
        <v>96</v>
      </c>
    </row>
    <row r="36" spans="1:1" ht="15.6" x14ac:dyDescent="0.3">
      <c r="A36" s="90">
        <f>SUM(_xlfn.XLOOKUP(A27,TBA_Rankings[Team],TBA_Rankings[RP],"-",0,1)+((COUNTIFS(TBA_Matches_All[Coopertition],"TRUE",TBA_Matches_All[Team],A27)/100)))</f>
        <v>490.06</v>
      </c>
    </row>
    <row r="37" spans="1:1" ht="12" customHeight="1" x14ac:dyDescent="0.3">
      <c r="A37" s="1"/>
    </row>
    <row r="38" spans="1:1" x14ac:dyDescent="0.3">
      <c r="A38" s="77" t="s">
        <v>117</v>
      </c>
    </row>
    <row r="39" spans="1:1" ht="15.6" x14ac:dyDescent="0.3">
      <c r="A39" s="118">
        <f>SUMIFS(TBA_Matches_All[MelodyRP],TBA_Matches_All[Team],A27,TBA_Matches_All[Scouted],"&gt;0")</f>
        <v>3</v>
      </c>
    </row>
    <row r="41" spans="1:1" x14ac:dyDescent="0.3">
      <c r="A41" s="77" t="s">
        <v>115</v>
      </c>
    </row>
    <row r="42" spans="1:1" ht="15.6" x14ac:dyDescent="0.3">
      <c r="A42" s="89" t="str">
        <f>IF(AllianceT="Red", _Red1, _Blue3)</f>
        <v>frc1591</v>
      </c>
    </row>
    <row r="43" spans="1:1" ht="12" customHeight="1" x14ac:dyDescent="0.3">
      <c r="A43" s="1"/>
    </row>
    <row r="44" spans="1:1" x14ac:dyDescent="0.3">
      <c r="A44" s="77" t="s">
        <v>94</v>
      </c>
    </row>
    <row r="45" spans="1:1" ht="15.6" x14ac:dyDescent="0.3">
      <c r="A45" s="89">
        <f>COUNTIFS(Dyno_EndMatch[Team],A42,Dyno_EndMatch[RecordType],"EndMatch")</f>
        <v>9</v>
      </c>
    </row>
    <row r="46" spans="1:1" ht="12" customHeight="1" x14ac:dyDescent="0.3">
      <c r="A46" s="1"/>
    </row>
    <row r="47" spans="1:1" x14ac:dyDescent="0.3">
      <c r="A47" s="77" t="s">
        <v>95</v>
      </c>
    </row>
    <row r="48" spans="1:1" ht="15.6" x14ac:dyDescent="0.3">
      <c r="A48" s="89">
        <f>_xlfn.XLOOKUP(A42,TBA_Rankings[Team],TBA_Rankings[Rank],"-",0,1)</f>
        <v>5</v>
      </c>
    </row>
    <row r="49" spans="1:1" ht="12" customHeight="1" x14ac:dyDescent="0.3">
      <c r="A49" s="1"/>
    </row>
    <row r="50" spans="1:1" x14ac:dyDescent="0.3">
      <c r="A50" s="77" t="s">
        <v>96</v>
      </c>
    </row>
    <row r="51" spans="1:1" ht="15.6" x14ac:dyDescent="0.3">
      <c r="A51" s="90">
        <f>SUM(_xlfn.XLOOKUP(A42,TBA_Rankings[Team],TBA_Rankings[RP],"-",0,1)+((COUNTIFS(TBA_Matches_All[Coopertition],"TRUE",TBA_Matches_All[Team],A42)/100)))</f>
        <v>931.05</v>
      </c>
    </row>
    <row r="52" spans="1:1" ht="12" customHeight="1" x14ac:dyDescent="0.3">
      <c r="A52" s="1"/>
    </row>
    <row r="53" spans="1:1" x14ac:dyDescent="0.3">
      <c r="A53" s="77" t="s">
        <v>117</v>
      </c>
    </row>
    <row r="54" spans="1:1" ht="15.6" x14ac:dyDescent="0.3">
      <c r="A54" s="118">
        <f>SUMIFS(TBA_Matches_All[MelodyRP],TBA_Matches_All[Team],A42,TBA_Matches_All[Scouted],"&gt;0")</f>
        <v>6</v>
      </c>
    </row>
  </sheetData>
  <sheetProtection algorithmName="SHA-512" hashValue="pOT9ZHfZ1jpIcYNnGeGZk18r5PBptfDcRn+KdrV+7R+jjfOHrqm+niE817Jr1GhruK3NBxtQm1sJ50wbAJNQGQ==" saltValue="6NbeYy2wLnk+c74EZROgEA==" spinCount="100000" sheet="1" objects="1" scenarios="1" selectLockedCells="1"/>
  <conditionalFormatting sqref="A11:A12">
    <cfRule type="expression" dxfId="127" priority="29">
      <formula>$B$2="Blue"</formula>
    </cfRule>
    <cfRule type="expression" dxfId="126" priority="30">
      <formula>$B$2="Red"</formula>
    </cfRule>
  </conditionalFormatting>
  <conditionalFormatting sqref="A14:A15">
    <cfRule type="expression" dxfId="125" priority="27">
      <formula>$B$2="Blue"</formula>
    </cfRule>
    <cfRule type="expression" dxfId="124" priority="28">
      <formula>$B$2="Red"</formula>
    </cfRule>
  </conditionalFormatting>
  <conditionalFormatting sqref="A17:A18">
    <cfRule type="expression" dxfId="123" priority="25">
      <formula>$B$2="Blue"</formula>
    </cfRule>
    <cfRule type="expression" dxfId="122" priority="26">
      <formula>$B$2="Red"</formula>
    </cfRule>
  </conditionalFormatting>
  <conditionalFormatting sqref="A20:A21">
    <cfRule type="expression" dxfId="121" priority="23">
      <formula>$B$2="Blue"</formula>
    </cfRule>
    <cfRule type="expression" dxfId="120" priority="24">
      <formula>$B$2="Red"</formula>
    </cfRule>
  </conditionalFormatting>
  <conditionalFormatting sqref="A23:A24">
    <cfRule type="expression" dxfId="119" priority="21">
      <formula>$B$2="Blue"</formula>
    </cfRule>
    <cfRule type="expression" dxfId="118" priority="22">
      <formula>$B$2="Red"</formula>
    </cfRule>
  </conditionalFormatting>
  <conditionalFormatting sqref="A26:A27">
    <cfRule type="expression" dxfId="117" priority="19">
      <formula>$B$2="Blue"</formula>
    </cfRule>
    <cfRule type="expression" dxfId="116" priority="20">
      <formula>$B$2="Red"</formula>
    </cfRule>
  </conditionalFormatting>
  <conditionalFormatting sqref="A29:A30">
    <cfRule type="expression" dxfId="115" priority="17">
      <formula>$B$2="Blue"</formula>
    </cfRule>
    <cfRule type="expression" dxfId="114" priority="18">
      <formula>$B$2="Red"</formula>
    </cfRule>
  </conditionalFormatting>
  <conditionalFormatting sqref="A32:A33">
    <cfRule type="expression" dxfId="113" priority="15">
      <formula>$B$2="Blue"</formula>
    </cfRule>
    <cfRule type="expression" dxfId="112" priority="16">
      <formula>$B$2="Red"</formula>
    </cfRule>
  </conditionalFormatting>
  <conditionalFormatting sqref="A35:A36">
    <cfRule type="expression" dxfId="111" priority="13">
      <formula>$B$2="Blue"</formula>
    </cfRule>
    <cfRule type="expression" dxfId="110" priority="14">
      <formula>$B$2="Red"</formula>
    </cfRule>
  </conditionalFormatting>
  <conditionalFormatting sqref="A38:A39">
    <cfRule type="expression" dxfId="109" priority="11">
      <formula>$B$2="Blue"</formula>
    </cfRule>
    <cfRule type="expression" dxfId="108" priority="12">
      <formula>$B$2="Red"</formula>
    </cfRule>
  </conditionalFormatting>
  <conditionalFormatting sqref="A41:A42">
    <cfRule type="expression" dxfId="107" priority="9">
      <formula>$B$2="Blue"</formula>
    </cfRule>
    <cfRule type="expression" dxfId="106" priority="10">
      <formula>$B$2="Red"</formula>
    </cfRule>
  </conditionalFormatting>
  <conditionalFormatting sqref="A44:A45">
    <cfRule type="expression" dxfId="105" priority="7">
      <formula>$B$2="Blue"</formula>
    </cfRule>
    <cfRule type="expression" dxfId="104" priority="8">
      <formula>$B$2="Red"</formula>
    </cfRule>
  </conditionalFormatting>
  <conditionalFormatting sqref="A47:A48">
    <cfRule type="expression" dxfId="103" priority="5">
      <formula>$B$2="Blue"</formula>
    </cfRule>
    <cfRule type="expression" dxfId="102" priority="6">
      <formula>$B$2="Red"</formula>
    </cfRule>
  </conditionalFormatting>
  <conditionalFormatting sqref="A50:A51">
    <cfRule type="expression" dxfId="101" priority="3">
      <formula>$B$2="Blue"</formula>
    </cfRule>
    <cfRule type="expression" dxfId="100" priority="4">
      <formula>$B$2="Red"</formula>
    </cfRule>
  </conditionalFormatting>
  <conditionalFormatting sqref="A53:A54">
    <cfRule type="expression" dxfId="99" priority="1">
      <formula>$B$2="Blue"</formula>
    </cfRule>
    <cfRule type="expression" dxfId="98" priority="2">
      <formula>$B$2="Red"</formula>
    </cfRule>
  </conditionalFormatting>
  <conditionalFormatting sqref="B2">
    <cfRule type="cellIs" dxfId="97" priority="31" operator="equal">
      <formula>"Blue"</formula>
    </cfRule>
    <cfRule type="cellIs" dxfId="96" priority="32" operator="equal">
      <formula>"Red"</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C16223A9-0AB4-4203-8D36-AD4ED3CDB9DC}">
          <x14:formula1>
            <xm:f>MPR_Alliance!$A$2:$A$3</xm:f>
          </x14:formula1>
          <xm:sqref>B2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906A0-314D-488C-B3D3-3707BBEDA45E}">
  <sheetPr codeName="Sheet5">
    <tabColor rgb="FFFF00FF"/>
  </sheetPr>
  <dimension ref="A1:S54"/>
  <sheetViews>
    <sheetView showGridLines="0" showRowColHeaders="0" zoomScale="140" zoomScaleNormal="140" workbookViewId="0">
      <selection activeCell="B2" sqref="B2"/>
    </sheetView>
  </sheetViews>
  <sheetFormatPr defaultRowHeight="14.4" x14ac:dyDescent="0.3"/>
  <cols>
    <col min="1" max="1" width="14.33203125" bestFit="1" customWidth="1"/>
    <col min="2" max="2" width="5.33203125" style="2" customWidth="1"/>
    <col min="3" max="3" width="3.6640625" customWidth="1"/>
    <col min="4" max="4" width="15.33203125" customWidth="1"/>
    <col min="5" max="5" width="3.33203125" customWidth="1"/>
    <col min="6" max="6" width="9.33203125" customWidth="1"/>
    <col min="7" max="7" width="1.6640625" customWidth="1"/>
    <col min="8" max="8" width="9.5546875" customWidth="1"/>
    <col min="9" max="19" width="7.33203125" customWidth="1"/>
  </cols>
  <sheetData>
    <row r="1" spans="1:19" ht="15.6" x14ac:dyDescent="0.3">
      <c r="A1" s="5" t="s">
        <v>91</v>
      </c>
      <c r="B1" s="88">
        <f>Match</f>
        <v>56</v>
      </c>
      <c r="D1" s="78" t="s">
        <v>92</v>
      </c>
      <c r="F1" s="94"/>
      <c r="I1" s="181" t="s">
        <v>118</v>
      </c>
      <c r="J1" s="181" t="s">
        <v>119</v>
      </c>
      <c r="K1" s="181" t="s">
        <v>120</v>
      </c>
      <c r="L1" s="181" t="s">
        <v>121</v>
      </c>
      <c r="M1" s="181" t="s">
        <v>122</v>
      </c>
      <c r="N1" s="181" t="s">
        <v>123</v>
      </c>
      <c r="O1" s="181" t="s">
        <v>124</v>
      </c>
      <c r="P1" s="182" t="s">
        <v>125</v>
      </c>
      <c r="Q1" s="181" t="s">
        <v>126</v>
      </c>
      <c r="R1" s="181" t="s">
        <v>127</v>
      </c>
      <c r="S1" s="181" t="s">
        <v>128</v>
      </c>
    </row>
    <row r="2" spans="1:19" ht="15.6" x14ac:dyDescent="0.3">
      <c r="A2" s="5" t="s">
        <v>99</v>
      </c>
      <c r="B2" s="147" t="s">
        <v>100</v>
      </c>
      <c r="D2" s="79" t="str">
        <f>_xlfn.CONCAT("Match ",_xlfn.MAXIFS(Dyno_Data[Match],Dyno_Data[RecordType],"EndMatch"))</f>
        <v>Match 77</v>
      </c>
      <c r="I2" s="182"/>
      <c r="J2" s="182"/>
      <c r="K2" s="182"/>
      <c r="L2" s="182"/>
      <c r="M2" s="182"/>
      <c r="N2" s="182"/>
      <c r="O2" s="182"/>
      <c r="P2" s="182"/>
      <c r="Q2" s="182"/>
      <c r="R2" s="182"/>
      <c r="S2" s="182"/>
    </row>
    <row r="3" spans="1:19" ht="15" thickBot="1" x14ac:dyDescent="0.35">
      <c r="I3" s="183"/>
      <c r="J3" s="183"/>
      <c r="K3" s="183"/>
      <c r="L3" s="183"/>
      <c r="M3" s="183"/>
      <c r="N3" s="183"/>
      <c r="O3" s="183"/>
      <c r="P3" s="183"/>
      <c r="Q3" s="183"/>
      <c r="R3" s="183"/>
      <c r="S3" s="183"/>
    </row>
    <row r="4" spans="1:19" x14ac:dyDescent="0.3">
      <c r="H4" s="160" t="str">
        <f>MPR_Showtime!P2</f>
        <v>frc1591</v>
      </c>
      <c r="I4" s="155">
        <f>MPR_Showtime!Q2</f>
        <v>1</v>
      </c>
      <c r="J4" s="155">
        <f>MPR_Showtime!R2</f>
        <v>0</v>
      </c>
      <c r="K4" s="155">
        <f>MPR_Showtime!S2</f>
        <v>0</v>
      </c>
      <c r="L4" s="155">
        <f>MPR_Showtime!T2</f>
        <v>0</v>
      </c>
      <c r="M4" s="155">
        <f>MPR_Showtime!U2</f>
        <v>0</v>
      </c>
      <c r="N4" s="155">
        <f>MPR_Showtime!V2</f>
        <v>0</v>
      </c>
      <c r="O4" s="155">
        <f>MPR_Showtime!W2</f>
        <v>0</v>
      </c>
      <c r="P4" s="155">
        <f>MPR_Showtime!X2</f>
        <v>0</v>
      </c>
      <c r="Q4" s="155">
        <f>MPR_Showtime!Y2</f>
        <v>0</v>
      </c>
      <c r="R4" s="155">
        <f>MPR_Showtime!Z2</f>
        <v>0</v>
      </c>
      <c r="S4" s="156">
        <f>MPR_Showtime!AA2</f>
        <v>0</v>
      </c>
    </row>
    <row r="5" spans="1:19" x14ac:dyDescent="0.3">
      <c r="H5" s="161" t="str">
        <f>MPR_Showtime!P3</f>
        <v>frc5016</v>
      </c>
      <c r="I5" s="154">
        <f>MPR_Showtime!Q3</f>
        <v>0</v>
      </c>
      <c r="J5" s="154">
        <f>MPR_Showtime!R3</f>
        <v>0</v>
      </c>
      <c r="K5" s="154">
        <f>MPR_Showtime!S3</f>
        <v>0</v>
      </c>
      <c r="L5" s="154">
        <f>MPR_Showtime!T3</f>
        <v>0</v>
      </c>
      <c r="M5" s="154">
        <f>MPR_Showtime!U3</f>
        <v>0</v>
      </c>
      <c r="N5" s="154">
        <f>MPR_Showtime!V3</f>
        <v>0</v>
      </c>
      <c r="O5" s="154">
        <f>MPR_Showtime!W3</f>
        <v>0</v>
      </c>
      <c r="P5" s="154">
        <f>MPR_Showtime!X3</f>
        <v>0</v>
      </c>
      <c r="Q5" s="154">
        <f>MPR_Showtime!Y3</f>
        <v>0</v>
      </c>
      <c r="R5" s="154">
        <f>MPR_Showtime!Z3</f>
        <v>0</v>
      </c>
      <c r="S5" s="157">
        <f>MPR_Showtime!AA3</f>
        <v>0</v>
      </c>
    </row>
    <row r="6" spans="1:19" ht="15" thickBot="1" x14ac:dyDescent="0.35">
      <c r="H6" s="161" t="str">
        <f>MPR_Showtime!P4</f>
        <v>frc2791</v>
      </c>
      <c r="I6" s="158">
        <f>MPR_Showtime!Q4</f>
        <v>1</v>
      </c>
      <c r="J6" s="158">
        <f>MPR_Showtime!R4</f>
        <v>0</v>
      </c>
      <c r="K6" s="158">
        <f>MPR_Showtime!S4</f>
        <v>0</v>
      </c>
      <c r="L6" s="158">
        <f>MPR_Showtime!T4</f>
        <v>0</v>
      </c>
      <c r="M6" s="158">
        <f>MPR_Showtime!U4</f>
        <v>0</v>
      </c>
      <c r="N6" s="158">
        <f>MPR_Showtime!V4</f>
        <v>0</v>
      </c>
      <c r="O6" s="158">
        <f>MPR_Showtime!W4</f>
        <v>1</v>
      </c>
      <c r="P6" s="158">
        <f>MPR_Showtime!X4</f>
        <v>0</v>
      </c>
      <c r="Q6" s="158">
        <f>MPR_Showtime!Y4</f>
        <v>0</v>
      </c>
      <c r="R6" s="158">
        <f>MPR_Showtime!Z4</f>
        <v>0</v>
      </c>
      <c r="S6" s="159">
        <f>MPR_Showtime!AA4</f>
        <v>0</v>
      </c>
    </row>
    <row r="7" spans="1:19" x14ac:dyDescent="0.3">
      <c r="H7" s="164" t="str">
        <f>MPR_Showtime!P5</f>
        <v>frc5993</v>
      </c>
      <c r="I7" s="155">
        <f>MPR_Showtime!Q5</f>
        <v>0</v>
      </c>
      <c r="J7" s="155">
        <f>MPR_Showtime!R5</f>
        <v>3</v>
      </c>
      <c r="K7" s="155">
        <f>MPR_Showtime!S5</f>
        <v>0</v>
      </c>
      <c r="L7" s="155">
        <f>MPR_Showtime!T5</f>
        <v>1</v>
      </c>
      <c r="M7" s="155">
        <f>MPR_Showtime!U5</f>
        <v>0</v>
      </c>
      <c r="N7" s="155">
        <f>MPR_Showtime!V5</f>
        <v>0</v>
      </c>
      <c r="O7" s="155">
        <f>MPR_Showtime!W5</f>
        <v>0</v>
      </c>
      <c r="P7" s="155">
        <f>MPR_Showtime!X5</f>
        <v>0</v>
      </c>
      <c r="Q7" s="155">
        <f>MPR_Showtime!Y5</f>
        <v>0</v>
      </c>
      <c r="R7" s="155">
        <f>MPR_Showtime!Z5</f>
        <v>0</v>
      </c>
      <c r="S7" s="156">
        <f>MPR_Showtime!AA5</f>
        <v>0</v>
      </c>
    </row>
    <row r="8" spans="1:19" x14ac:dyDescent="0.3">
      <c r="H8" s="162" t="str">
        <f>MPR_Showtime!P6</f>
        <v>frc1559</v>
      </c>
      <c r="I8" s="154">
        <f>MPR_Showtime!Q6</f>
        <v>0</v>
      </c>
      <c r="J8" s="154">
        <f>MPR_Showtime!R6</f>
        <v>1</v>
      </c>
      <c r="K8" s="154">
        <f>MPR_Showtime!S6</f>
        <v>0</v>
      </c>
      <c r="L8" s="154">
        <f>MPR_Showtime!T6</f>
        <v>0</v>
      </c>
      <c r="M8" s="154">
        <f>MPR_Showtime!U6</f>
        <v>0</v>
      </c>
      <c r="N8" s="154">
        <f>MPR_Showtime!V6</f>
        <v>0</v>
      </c>
      <c r="O8" s="154">
        <f>MPR_Showtime!W6</f>
        <v>0</v>
      </c>
      <c r="P8" s="154">
        <f>MPR_Showtime!X6</f>
        <v>0</v>
      </c>
      <c r="Q8" s="154">
        <f>MPR_Showtime!Y6</f>
        <v>0</v>
      </c>
      <c r="R8" s="154">
        <f>MPR_Showtime!Z6</f>
        <v>0</v>
      </c>
      <c r="S8" s="157">
        <f>MPR_Showtime!AA6</f>
        <v>1</v>
      </c>
    </row>
    <row r="9" spans="1:19" ht="15" thickBot="1" x14ac:dyDescent="0.35">
      <c r="H9" s="163" t="str">
        <f>MPR_Showtime!P7</f>
        <v>frc3173</v>
      </c>
      <c r="I9" s="158">
        <f>MPR_Showtime!Q7</f>
        <v>0</v>
      </c>
      <c r="J9" s="158">
        <f>MPR_Showtime!R7</f>
        <v>0</v>
      </c>
      <c r="K9" s="158">
        <f>MPR_Showtime!S7</f>
        <v>0</v>
      </c>
      <c r="L9" s="158">
        <f>MPR_Showtime!T7</f>
        <v>0</v>
      </c>
      <c r="M9" s="158">
        <f>MPR_Showtime!U7</f>
        <v>0</v>
      </c>
      <c r="N9" s="158">
        <f>MPR_Showtime!V7</f>
        <v>0</v>
      </c>
      <c r="O9" s="158">
        <f>MPR_Showtime!W7</f>
        <v>0</v>
      </c>
      <c r="P9" s="158">
        <f>MPR_Showtime!X7</f>
        <v>0</v>
      </c>
      <c r="Q9" s="158">
        <f>MPR_Showtime!Y7</f>
        <v>0</v>
      </c>
      <c r="R9" s="158">
        <f>MPR_Showtime!Z7</f>
        <v>0</v>
      </c>
      <c r="S9" s="159">
        <f>MPR_Showtime!AA7</f>
        <v>0</v>
      </c>
    </row>
    <row r="10" spans="1:19" ht="15" thickBot="1" x14ac:dyDescent="0.35"/>
    <row r="11" spans="1:19" x14ac:dyDescent="0.3">
      <c r="A11" s="77" t="s">
        <v>113</v>
      </c>
      <c r="G11" s="135"/>
      <c r="H11" s="135"/>
      <c r="I11" s="136"/>
    </row>
    <row r="12" spans="1:19" ht="15.6" x14ac:dyDescent="0.3">
      <c r="A12" s="89" t="str">
        <f>IF(AllianceShow="Red", _Red3, _Blue1)</f>
        <v>frc2791</v>
      </c>
      <c r="G12" s="177" t="s">
        <v>129</v>
      </c>
      <c r="H12" s="177"/>
      <c r="I12" s="178"/>
    </row>
    <row r="13" spans="1:19" ht="12" customHeight="1" x14ac:dyDescent="0.3">
      <c r="A13" s="1"/>
      <c r="G13" s="177"/>
      <c r="H13" s="177"/>
      <c r="I13" s="178"/>
    </row>
    <row r="14" spans="1:19" x14ac:dyDescent="0.3">
      <c r="A14" s="77" t="s">
        <v>94</v>
      </c>
      <c r="G14" s="137" t="str">
        <f>_xlfn.CONCAT("Minimum: ",ROUND(MPR_Showtime!C10,3))</f>
        <v>Minimum: 3.111</v>
      </c>
      <c r="H14" s="137"/>
      <c r="I14" s="138"/>
    </row>
    <row r="15" spans="1:19" ht="15.6" x14ac:dyDescent="0.3">
      <c r="A15" s="89">
        <f>COUNTIFS(Dyno_EndMatch[Team],A12,Dyno_EndMatch[RecordType],"EndMatch")</f>
        <v>7</v>
      </c>
      <c r="G15" s="137" t="str">
        <f>_xlfn.CONCAT("Average: ",ROUND(MPR_Showtime!C11,3))</f>
        <v>Average: 12.231</v>
      </c>
      <c r="H15" s="137"/>
      <c r="I15" s="138"/>
    </row>
    <row r="16" spans="1:19" ht="12" customHeight="1" x14ac:dyDescent="0.3">
      <c r="A16" s="1"/>
      <c r="I16" s="138"/>
    </row>
    <row r="17" spans="1:9" x14ac:dyDescent="0.3">
      <c r="A17" s="77" t="s">
        <v>95</v>
      </c>
      <c r="I17" s="138"/>
    </row>
    <row r="18" spans="1:9" ht="15.6" x14ac:dyDescent="0.3">
      <c r="A18" s="89">
        <f>_xlfn.XLOOKUP(A12,TBA_Rankings[Team],TBA_Rankings[Rank],"-",0,1)</f>
        <v>4</v>
      </c>
      <c r="G18" s="179" t="s">
        <v>130</v>
      </c>
      <c r="H18" s="179"/>
      <c r="I18" s="180"/>
    </row>
    <row r="19" spans="1:9" ht="12" customHeight="1" x14ac:dyDescent="0.3">
      <c r="A19" s="1"/>
      <c r="G19" s="179"/>
      <c r="H19" s="179"/>
      <c r="I19" s="180"/>
    </row>
    <row r="20" spans="1:9" x14ac:dyDescent="0.3">
      <c r="A20" s="77" t="s">
        <v>96</v>
      </c>
      <c r="G20" s="137" t="str">
        <f>_xlfn.CONCAT("Maximum: ",ROUND(MPR_Showtime!D10,3))</f>
        <v>Maximum: 3.016</v>
      </c>
      <c r="H20" s="137"/>
      <c r="I20" s="138"/>
    </row>
    <row r="21" spans="1:9" ht="15.6" x14ac:dyDescent="0.3">
      <c r="A21" s="90">
        <f>SUM(_xlfn.XLOOKUP(A12,TBA_Rankings[Team],TBA_Rankings[RP],"-",0,1)+((COUNTIFS(TBA_Matches_All[Coopertition],"TRUE",TBA_Matches_All[Team],A12)/100)))</f>
        <v>931.06</v>
      </c>
      <c r="G21" s="137" t="str">
        <f>_xlfn.CONCAT("Average: ",ROUND(MPR_Showtime!D11,3))</f>
        <v>Average: 3.016</v>
      </c>
      <c r="H21" s="137"/>
      <c r="I21" s="138"/>
    </row>
    <row r="22" spans="1:9" ht="12" customHeight="1" x14ac:dyDescent="0.3">
      <c r="A22" s="1"/>
      <c r="I22" s="138"/>
    </row>
    <row r="23" spans="1:9" x14ac:dyDescent="0.3">
      <c r="A23" s="77" t="s">
        <v>131</v>
      </c>
      <c r="I23" s="138"/>
    </row>
    <row r="24" spans="1:9" ht="16.2" thickBot="1" x14ac:dyDescent="0.35">
      <c r="A24" s="118">
        <f>SUMIFS(TBA_Matches_All[EnsembleRP],TBA_Matches_All[Team],A12,TBA_Matches_All[Scouted],"&gt;0")</f>
        <v>2</v>
      </c>
      <c r="G24" s="139"/>
      <c r="H24" s="139"/>
      <c r="I24" s="140"/>
    </row>
    <row r="25" spans="1:9" ht="15" thickBot="1" x14ac:dyDescent="0.35"/>
    <row r="26" spans="1:9" x14ac:dyDescent="0.3">
      <c r="A26" s="77" t="s">
        <v>115</v>
      </c>
      <c r="G26" s="135"/>
      <c r="H26" s="135"/>
      <c r="I26" s="136"/>
    </row>
    <row r="27" spans="1:9" ht="15.6" x14ac:dyDescent="0.3">
      <c r="A27" s="89" t="str">
        <f>IF(AllianceShow="Red", _Red2, _Blue2)</f>
        <v>frc5016</v>
      </c>
      <c r="G27" s="177" t="s">
        <v>129</v>
      </c>
      <c r="H27" s="177"/>
      <c r="I27" s="178"/>
    </row>
    <row r="28" spans="1:9" ht="12" customHeight="1" x14ac:dyDescent="0.3">
      <c r="A28" s="1"/>
      <c r="G28" s="177"/>
      <c r="H28" s="177"/>
      <c r="I28" s="178"/>
    </row>
    <row r="29" spans="1:9" x14ac:dyDescent="0.3">
      <c r="A29" s="77" t="s">
        <v>94</v>
      </c>
      <c r="G29" s="137" t="str">
        <f>_xlfn.CONCAT("Minimum: ",ROUND(MPR_Showtime!C20,3))</f>
        <v>Minimum: 1.628</v>
      </c>
      <c r="H29" s="137"/>
      <c r="I29" s="138"/>
    </row>
    <row r="30" spans="1:9" ht="15.6" x14ac:dyDescent="0.3">
      <c r="A30" s="89">
        <f>COUNTIFS(Dyno_EndMatch[Team],A27,Dyno_EndMatch[RecordType],"EndMatch")</f>
        <v>8</v>
      </c>
      <c r="G30" s="137" t="str">
        <f>_xlfn.CONCAT("Average: ",ROUND(MPR_Showtime!C21,3))</f>
        <v>Average: 4.792</v>
      </c>
      <c r="H30" s="137"/>
      <c r="I30" s="138"/>
    </row>
    <row r="31" spans="1:9" ht="12" customHeight="1" x14ac:dyDescent="0.3">
      <c r="A31" s="1"/>
      <c r="I31" s="138"/>
    </row>
    <row r="32" spans="1:9" x14ac:dyDescent="0.3">
      <c r="A32" s="77" t="s">
        <v>95</v>
      </c>
      <c r="I32" s="138"/>
    </row>
    <row r="33" spans="1:9" ht="15.6" x14ac:dyDescent="0.3">
      <c r="A33" s="89">
        <f>_xlfn.XLOOKUP(A27,TBA_Rankings[Team],TBA_Rankings[Rank],"-",0,1)</f>
        <v>29</v>
      </c>
      <c r="G33" s="179" t="s">
        <v>130</v>
      </c>
      <c r="H33" s="179"/>
      <c r="I33" s="180"/>
    </row>
    <row r="34" spans="1:9" ht="12" customHeight="1" x14ac:dyDescent="0.3">
      <c r="A34" s="1"/>
      <c r="G34" s="179"/>
      <c r="H34" s="179"/>
      <c r="I34" s="180"/>
    </row>
    <row r="35" spans="1:9" x14ac:dyDescent="0.3">
      <c r="A35" s="77" t="s">
        <v>96</v>
      </c>
      <c r="G35" s="137" t="str">
        <f>_xlfn.CONCAT("Maximum: ",ROUND(MPR_Showtime!D20,3))</f>
        <v>Maximum: 5.843</v>
      </c>
      <c r="H35" s="137"/>
      <c r="I35" s="138"/>
    </row>
    <row r="36" spans="1:9" ht="15.6" x14ac:dyDescent="0.3">
      <c r="A36" s="90">
        <f>SUM(_xlfn.XLOOKUP(A27,TBA_Rankings[Team],TBA_Rankings[RP],"-",0,1)+((COUNTIFS(TBA_Matches_All[Coopertition],"TRUE",TBA_Matches_All[Team],A27)/100)))</f>
        <v>490.06</v>
      </c>
      <c r="G36" s="137" t="str">
        <f>_xlfn.CONCAT("Average: ",ROUND(MPR_Showtime!D21,3))</f>
        <v>Average: 5.138</v>
      </c>
      <c r="H36" s="137"/>
      <c r="I36" s="138"/>
    </row>
    <row r="37" spans="1:9" ht="12" customHeight="1" x14ac:dyDescent="0.3">
      <c r="A37" s="1"/>
      <c r="I37" s="138"/>
    </row>
    <row r="38" spans="1:9" x14ac:dyDescent="0.3">
      <c r="A38" s="77" t="s">
        <v>131</v>
      </c>
      <c r="I38" s="138"/>
    </row>
    <row r="39" spans="1:9" ht="16.2" thickBot="1" x14ac:dyDescent="0.35">
      <c r="A39" s="118">
        <f>SUMIFS(TBA_Matches_All[EnsembleRP],TBA_Matches_All[Team],A27,TBA_Matches_All[Scouted],"&gt;0")</f>
        <v>1</v>
      </c>
      <c r="G39" s="139"/>
      <c r="H39" s="139"/>
      <c r="I39" s="140"/>
    </row>
    <row r="40" spans="1:9" ht="15" thickBot="1" x14ac:dyDescent="0.35"/>
    <row r="41" spans="1:9" x14ac:dyDescent="0.3">
      <c r="A41" s="77" t="s">
        <v>115</v>
      </c>
      <c r="G41" s="135"/>
      <c r="H41" s="135"/>
      <c r="I41" s="136"/>
    </row>
    <row r="42" spans="1:9" ht="15.6" x14ac:dyDescent="0.3">
      <c r="A42" s="89" t="str">
        <f>IF(AllianceShow="Red", _Red1, _Blue3)</f>
        <v>frc1591</v>
      </c>
      <c r="G42" s="177" t="s">
        <v>129</v>
      </c>
      <c r="H42" s="177"/>
      <c r="I42" s="178"/>
    </row>
    <row r="43" spans="1:9" ht="12" customHeight="1" x14ac:dyDescent="0.3">
      <c r="A43" s="1"/>
      <c r="G43" s="177"/>
      <c r="H43" s="177"/>
      <c r="I43" s="178"/>
    </row>
    <row r="44" spans="1:9" x14ac:dyDescent="0.3">
      <c r="A44" s="77" t="s">
        <v>94</v>
      </c>
      <c r="G44" s="137" t="str">
        <f>_xlfn.CONCAT("Minimum: ",ROUND(MPR_Showtime!C30,3))</f>
        <v>Minimum: 2.023</v>
      </c>
      <c r="H44" s="137"/>
      <c r="I44" s="138"/>
    </row>
    <row r="45" spans="1:9" ht="15.6" x14ac:dyDescent="0.3">
      <c r="A45" s="89">
        <f>COUNTIFS(Dyno_EndMatch[Team],A42,Dyno_EndMatch[RecordType],"EndMatch")</f>
        <v>9</v>
      </c>
      <c r="G45" s="137" t="str">
        <f>_xlfn.CONCAT("Average: ",ROUND(MPR_Showtime!C31,3))</f>
        <v>Average: 7.636</v>
      </c>
      <c r="H45" s="137"/>
      <c r="I45" s="138"/>
    </row>
    <row r="46" spans="1:9" ht="12" customHeight="1" x14ac:dyDescent="0.3">
      <c r="A46" s="1"/>
      <c r="I46" s="138"/>
    </row>
    <row r="47" spans="1:9" x14ac:dyDescent="0.3">
      <c r="A47" s="77" t="s">
        <v>95</v>
      </c>
      <c r="I47" s="138"/>
    </row>
    <row r="48" spans="1:9" ht="15.6" x14ac:dyDescent="0.3">
      <c r="A48" s="89">
        <f>_xlfn.XLOOKUP(A42,TBA_Rankings[Team],TBA_Rankings[Rank],"-",0,1)</f>
        <v>5</v>
      </c>
      <c r="G48" s="179" t="s">
        <v>130</v>
      </c>
      <c r="H48" s="179"/>
      <c r="I48" s="180"/>
    </row>
    <row r="49" spans="1:9" ht="12" customHeight="1" x14ac:dyDescent="0.3">
      <c r="A49" s="1"/>
      <c r="G49" s="179"/>
      <c r="H49" s="179"/>
      <c r="I49" s="180"/>
    </row>
    <row r="50" spans="1:9" x14ac:dyDescent="0.3">
      <c r="A50" s="77" t="s">
        <v>96</v>
      </c>
      <c r="G50" s="137" t="str">
        <f>_xlfn.CONCAT("Maximum: ",ROUND(MPR_Showtime!D30,3))</f>
        <v>Maximum: 0</v>
      </c>
      <c r="H50" s="137"/>
      <c r="I50" s="138"/>
    </row>
    <row r="51" spans="1:9" ht="15.6" x14ac:dyDescent="0.3">
      <c r="A51" s="90">
        <f>SUM(_xlfn.XLOOKUP(A42,TBA_Rankings[Team],TBA_Rankings[RP],"-",0,1)+((COUNTIFS(TBA_Matches_All[Coopertition],"TRUE",TBA_Matches_All[Team],A42)/100)))</f>
        <v>931.05</v>
      </c>
      <c r="G51" s="137" t="str">
        <f>_xlfn.CONCAT("Average: ",ROUND(MPR_Showtime!D31,3))</f>
        <v>Average: 0</v>
      </c>
      <c r="H51" s="137"/>
      <c r="I51" s="138"/>
    </row>
    <row r="52" spans="1:9" ht="12" customHeight="1" x14ac:dyDescent="0.3">
      <c r="A52" s="1"/>
      <c r="I52" s="138"/>
    </row>
    <row r="53" spans="1:9" x14ac:dyDescent="0.3">
      <c r="A53" s="77" t="s">
        <v>131</v>
      </c>
      <c r="I53" s="138"/>
    </row>
    <row r="54" spans="1:9" ht="16.2" thickBot="1" x14ac:dyDescent="0.35">
      <c r="A54" s="118">
        <f>SUMIFS(TBA_Matches_All[EnsembleRP],TBA_Matches_All[Team],A42,TBA_Matches_All[Scouted],"&gt;0")</f>
        <v>3</v>
      </c>
      <c r="G54" s="139"/>
      <c r="H54" s="139"/>
      <c r="I54" s="140"/>
    </row>
  </sheetData>
  <sheetProtection algorithmName="SHA-512" hashValue="zjWKE31t0uQ0eaj4X8JHpnXMp8Sy/9szCTRnLyy2rwmJJNun7hXG8qTMQA/ePY8JNJ0dNM7bWmHc7HcEIcGpUw==" saltValue="rbVRZeJ83DqIgWMR/OKtyg==" spinCount="100000" sheet="1" objects="1" scenarios="1" selectLockedCells="1"/>
  <mergeCells count="17">
    <mergeCell ref="S1:S3"/>
    <mergeCell ref="N1:N3"/>
    <mergeCell ref="O1:O3"/>
    <mergeCell ref="P1:P3"/>
    <mergeCell ref="Q1:Q3"/>
    <mergeCell ref="R1:R3"/>
    <mergeCell ref="I1:I3"/>
    <mergeCell ref="J1:J3"/>
    <mergeCell ref="K1:K3"/>
    <mergeCell ref="L1:L3"/>
    <mergeCell ref="M1:M3"/>
    <mergeCell ref="G42:I43"/>
    <mergeCell ref="G48:I49"/>
    <mergeCell ref="G12:I13"/>
    <mergeCell ref="G18:I19"/>
    <mergeCell ref="G27:I28"/>
    <mergeCell ref="G33:I34"/>
  </mergeCells>
  <conditionalFormatting sqref="A11:A12">
    <cfRule type="expression" dxfId="95" priority="37">
      <formula>$B$2="Blue"</formula>
    </cfRule>
    <cfRule type="expression" dxfId="94" priority="38">
      <formula>$B$2="Red"</formula>
    </cfRule>
  </conditionalFormatting>
  <conditionalFormatting sqref="A14:A15">
    <cfRule type="expression" dxfId="93" priority="35">
      <formula>$B$2="Blue"</formula>
    </cfRule>
    <cfRule type="expression" dxfId="92" priority="36">
      <formula>$B$2="Red"</formula>
    </cfRule>
  </conditionalFormatting>
  <conditionalFormatting sqref="A17:A18">
    <cfRule type="expression" dxfId="91" priority="33">
      <formula>$B$2="Blue"</formula>
    </cfRule>
    <cfRule type="expression" dxfId="90" priority="34">
      <formula>$B$2="Red"</formula>
    </cfRule>
  </conditionalFormatting>
  <conditionalFormatting sqref="A20:A21">
    <cfRule type="expression" dxfId="89" priority="31">
      <formula>$B$2="Blue"</formula>
    </cfRule>
    <cfRule type="expression" dxfId="88" priority="32">
      <formula>$B$2="Red"</formula>
    </cfRule>
  </conditionalFormatting>
  <conditionalFormatting sqref="A23:A24">
    <cfRule type="expression" dxfId="87" priority="7">
      <formula>$B$2="Blue"</formula>
    </cfRule>
    <cfRule type="expression" dxfId="86" priority="8">
      <formula>$B$2="Red"</formula>
    </cfRule>
  </conditionalFormatting>
  <conditionalFormatting sqref="A26:A27">
    <cfRule type="expression" dxfId="85" priority="27">
      <formula>$B$2="Blue"</formula>
    </cfRule>
    <cfRule type="expression" dxfId="84" priority="28">
      <formula>$B$2="Red"</formula>
    </cfRule>
  </conditionalFormatting>
  <conditionalFormatting sqref="A29:A30">
    <cfRule type="expression" dxfId="83" priority="25">
      <formula>$B$2="Blue"</formula>
    </cfRule>
    <cfRule type="expression" dxfId="82" priority="26">
      <formula>$B$2="Red"</formula>
    </cfRule>
  </conditionalFormatting>
  <conditionalFormatting sqref="A32:A33">
    <cfRule type="expression" dxfId="81" priority="23">
      <formula>$B$2="Blue"</formula>
    </cfRule>
    <cfRule type="expression" dxfId="80" priority="24">
      <formula>$B$2="Red"</formula>
    </cfRule>
  </conditionalFormatting>
  <conditionalFormatting sqref="A35:A36">
    <cfRule type="expression" dxfId="79" priority="21">
      <formula>$B$2="Blue"</formula>
    </cfRule>
    <cfRule type="expression" dxfId="78" priority="22">
      <formula>$B$2="Red"</formula>
    </cfRule>
  </conditionalFormatting>
  <conditionalFormatting sqref="A38:A39">
    <cfRule type="expression" dxfId="77" priority="5">
      <formula>$B$2="Blue"</formula>
    </cfRule>
    <cfRule type="expression" dxfId="76" priority="6">
      <formula>$B$2="Red"</formula>
    </cfRule>
  </conditionalFormatting>
  <conditionalFormatting sqref="A41:A42">
    <cfRule type="expression" dxfId="75" priority="17">
      <formula>$B$2="Blue"</formula>
    </cfRule>
    <cfRule type="expression" dxfId="74" priority="18">
      <formula>$B$2="Red"</formula>
    </cfRule>
  </conditionalFormatting>
  <conditionalFormatting sqref="A44:A45">
    <cfRule type="expression" dxfId="73" priority="15">
      <formula>$B$2="Blue"</formula>
    </cfRule>
    <cfRule type="expression" dxfId="72" priority="16">
      <formula>$B$2="Red"</formula>
    </cfRule>
  </conditionalFormatting>
  <conditionalFormatting sqref="A47:A48">
    <cfRule type="expression" dxfId="71" priority="13">
      <formula>$B$2="Blue"</formula>
    </cfRule>
    <cfRule type="expression" dxfId="70" priority="14">
      <formula>$B$2="Red"</formula>
    </cfRule>
  </conditionalFormatting>
  <conditionalFormatting sqref="A50:A51">
    <cfRule type="expression" dxfId="69" priority="11">
      <formula>$B$2="Blue"</formula>
    </cfRule>
    <cfRule type="expression" dxfId="68" priority="12">
      <formula>$B$2="Red"</formula>
    </cfRule>
  </conditionalFormatting>
  <conditionalFormatting sqref="A53:A54">
    <cfRule type="expression" dxfId="67" priority="3">
      <formula>$B$2="Blue"</formula>
    </cfRule>
    <cfRule type="expression" dxfId="66" priority="4">
      <formula>$B$2="Red"</formula>
    </cfRule>
  </conditionalFormatting>
  <conditionalFormatting sqref="B2">
    <cfRule type="cellIs" dxfId="65" priority="39" operator="equal">
      <formula>"Blue"</formula>
    </cfRule>
    <cfRule type="cellIs" dxfId="64" priority="40" operator="equal">
      <formula>"Red"</formula>
    </cfRule>
  </conditionalFormatting>
  <conditionalFormatting sqref="I4:S6">
    <cfRule type="cellIs" dxfId="63" priority="2" operator="greaterThan">
      <formula>0</formula>
    </cfRule>
  </conditionalFormatting>
  <conditionalFormatting sqref="I7:S9">
    <cfRule type="cellIs" dxfId="62" priority="1" operator="greaterThan">
      <formula>0</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AC142CE6-3812-48CE-9021-4682C1CB2F10}">
          <x14:formula1>
            <xm:f>MPR_Alliance!$A$2:$A$3</xm:f>
          </x14:formula1>
          <xm:sqref>B2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FB40E-F93A-4108-855E-B96E1F0E353C}">
  <sheetPr codeName="Sheet6">
    <tabColor rgb="FFC9A4E4"/>
  </sheetPr>
  <dimension ref="A1:AK43"/>
  <sheetViews>
    <sheetView workbookViewId="0">
      <selection activeCell="R7" sqref="R7"/>
    </sheetView>
  </sheetViews>
  <sheetFormatPr defaultRowHeight="14.4" x14ac:dyDescent="0.3"/>
  <cols>
    <col min="1" max="1" width="10.44140625" customWidth="1"/>
    <col min="5" max="5" width="10.33203125" style="74" customWidth="1"/>
    <col min="6" max="6" width="9.6640625" style="74" customWidth="1"/>
    <col min="7" max="7" width="10.5546875" style="74" customWidth="1"/>
    <col min="8" max="8" width="12.109375" style="74" customWidth="1"/>
    <col min="9" max="9" width="9.6640625" customWidth="1"/>
    <col min="19" max="19" width="9.33203125" customWidth="1"/>
  </cols>
  <sheetData>
    <row r="1" spans="1:37" ht="15" thickTop="1" x14ac:dyDescent="0.3">
      <c r="A1" t="s">
        <v>99</v>
      </c>
      <c r="B1" t="s">
        <v>132</v>
      </c>
      <c r="C1" t="s">
        <v>133</v>
      </c>
      <c r="D1" t="s">
        <v>134</v>
      </c>
      <c r="F1" s="175" t="s">
        <v>135</v>
      </c>
      <c r="G1" s="175"/>
      <c r="H1" s="175"/>
      <c r="I1" s="175"/>
      <c r="K1" s="175" t="s">
        <v>136</v>
      </c>
      <c r="L1" s="175"/>
      <c r="M1" s="175"/>
      <c r="N1" s="175"/>
      <c r="O1" s="175"/>
      <c r="P1" s="175"/>
      <c r="R1" s="175" t="s">
        <v>137</v>
      </c>
      <c r="S1" s="175"/>
      <c r="T1" s="175"/>
      <c r="U1" s="175"/>
      <c r="W1" s="175" t="s">
        <v>138</v>
      </c>
      <c r="X1" s="175"/>
      <c r="Y1" s="175"/>
      <c r="Z1" s="175"/>
      <c r="AA1" s="175"/>
      <c r="AC1" s="184" t="s">
        <v>139</v>
      </c>
      <c r="AD1" s="185"/>
      <c r="AE1" s="185"/>
      <c r="AF1" s="186"/>
      <c r="AH1" s="184" t="s">
        <v>140</v>
      </c>
      <c r="AI1" s="185"/>
      <c r="AJ1" s="185"/>
      <c r="AK1" s="186"/>
    </row>
    <row r="2" spans="1:37" x14ac:dyDescent="0.3">
      <c r="A2" s="20" t="s">
        <v>100</v>
      </c>
      <c r="B2" s="20" t="str">
        <f>_xlfn.XLOOKUP(Match,TBA_Schedule[match_number],TBA_Schedule[Red1],"-",0,1)</f>
        <v>frc1591</v>
      </c>
      <c r="C2" s="20" t="str">
        <f>_xlfn.XLOOKUP(Match,TBA_Schedule[match_number],TBA_Schedule[Red2],"-",0,1)</f>
        <v>frc5016</v>
      </c>
      <c r="D2" s="20" t="str">
        <f>_xlfn.XLOOKUP(Match,TBA_Schedule[match_number],TBA_Schedule[Red3],"-",0,1)</f>
        <v>frc2791</v>
      </c>
      <c r="F2" t="s">
        <v>141</v>
      </c>
      <c r="G2" s="74" t="s">
        <v>142</v>
      </c>
      <c r="H2" t="s">
        <v>143</v>
      </c>
      <c r="I2" t="s">
        <v>144</v>
      </c>
      <c r="K2" t="s">
        <v>99</v>
      </c>
      <c r="L2" t="s">
        <v>141</v>
      </c>
      <c r="M2" s="74" t="s">
        <v>145</v>
      </c>
      <c r="N2" s="74" t="s">
        <v>146</v>
      </c>
      <c r="O2" s="74" t="s">
        <v>147</v>
      </c>
      <c r="P2" s="74" t="s">
        <v>148</v>
      </c>
      <c r="R2" t="s">
        <v>141</v>
      </c>
      <c r="S2" t="s">
        <v>149</v>
      </c>
      <c r="T2" t="s">
        <v>150</v>
      </c>
      <c r="U2" t="s">
        <v>151</v>
      </c>
      <c r="W2" t="s">
        <v>141</v>
      </c>
      <c r="X2" t="s">
        <v>101</v>
      </c>
      <c r="Y2" t="s">
        <v>152</v>
      </c>
      <c r="Z2" t="s">
        <v>153</v>
      </c>
      <c r="AA2" t="s">
        <v>154</v>
      </c>
      <c r="AC2" s="84">
        <f>MAX(COUNTIF(Dyno_EndMatch[Team],AD2),COUNTIF(Dyno_EndMatch[Team],AE2),COUNTIF(Dyno_EndMatch[Team],AF2))</f>
        <v>8</v>
      </c>
      <c r="AD2" t="str">
        <f>IF(Alliance="Red",_Red3,_Blue1)</f>
        <v>frc5993</v>
      </c>
      <c r="AE2" t="str">
        <f>IF(Alliance="Red",_Red2,_Blue2)</f>
        <v>frc1559</v>
      </c>
      <c r="AF2" s="85" t="str">
        <f>IF(Alliance="Red",_Red1,_Blue3)</f>
        <v>frc3173</v>
      </c>
      <c r="AH2" s="84">
        <f>MAX(COUNTIF(Dyno_EndMatch[Team],AI2),COUNTIF(Dyno_EndMatch[Team],AJ2),COUNTIF(Dyno_EndMatch[Team],AK2))</f>
        <v>8</v>
      </c>
      <c r="AI2" t="str">
        <f>IF(Alliance="Red",_Red3,_Blue1)</f>
        <v>frc5993</v>
      </c>
      <c r="AJ2" t="str">
        <f>IF(Alliance="Red",_Red2,_Blue2)</f>
        <v>frc1559</v>
      </c>
      <c r="AK2" s="85" t="str">
        <f>IF(Alliance="Red",_Red1,_Blue3)</f>
        <v>frc3173</v>
      </c>
    </row>
    <row r="3" spans="1:37" x14ac:dyDescent="0.3">
      <c r="A3" s="11" t="s">
        <v>155</v>
      </c>
      <c r="B3" s="11" t="str">
        <f>_xlfn.XLOOKUP(Match,TBA_Schedule[match_number],TBA_Schedule[Blue1],"-",0,1)</f>
        <v>frc5993</v>
      </c>
      <c r="C3" s="11" t="str">
        <f>_xlfn.XLOOKUP(Match,TBA_Schedule[match_number],TBA_Schedule[Blue2],"-",0,1)</f>
        <v>frc1559</v>
      </c>
      <c r="D3" s="11" t="str">
        <f>_xlfn.XLOOKUP(Match,TBA_Schedule[match_number],TBA_Schedule[Blue3],"-",0,1)</f>
        <v>frc3173</v>
      </c>
      <c r="F3" t="str">
        <f>_Red3</f>
        <v>frc2791</v>
      </c>
      <c r="G3" s="74">
        <f>IFERROR(AVERAGEIFS(Dyno_EndMatch[AZTime],Dyno_EndMatch[Team],$F3,Dyno_EndMatch[AZTime],"&lt;&gt;0"),0)</f>
        <v>58.506068514285708</v>
      </c>
      <c r="H3" s="74">
        <f>IFERROR(AVERAGEIFS(Dyno_EndMatch[NZTime],Dyno_EndMatch[Team],$F3,Dyno_EndMatch[AZTime],"&lt;&gt;0"),0)</f>
        <v>25.996721928571425</v>
      </c>
      <c r="I3" s="74">
        <f>IFERROR(AVERAGEIFS(Dyno_EndMatch[OZTime],Dyno_EndMatch[Team],$F3,Dyno_EndMatch[AZTime],"&lt;&gt;0"),0)</f>
        <v>34.63846674285714</v>
      </c>
      <c r="K3" t="s">
        <v>100</v>
      </c>
      <c r="L3" t="str">
        <f>_Red3</f>
        <v>frc2791</v>
      </c>
      <c r="M3" s="74">
        <f>IFERROR(AVERAGEIFS(TBA_Matches_All[AptsT],TBA_Matches_All[Team],$L3,TBA_Matches_All[Scouted],"&gt;0"),0)</f>
        <v>5.833333333333333</v>
      </c>
      <c r="N3" s="74">
        <f>SUM(P3-O3-M3)</f>
        <v>9.6333333333333329</v>
      </c>
      <c r="O3" s="74">
        <f>IFERROR(AVERAGEIFS(TBA_Matches_All[stageptsT],TBA_Matches_All[Team],$L3,TBA_Matches_All[Scouted],"&gt;0"),0)</f>
        <v>3.1666666666666665</v>
      </c>
      <c r="P3" s="74">
        <f>IFERROR(AVERAGEIFS(TBA_Matches_All[TotptsC],TBA_Matches_All[Team],$L3,TBA_Matches_All[Scouted],"&gt;0"),0)</f>
        <v>18.633333333333333</v>
      </c>
      <c r="R3" t="str">
        <f>IF(Alliance="Red",_Red1,_Blue1)</f>
        <v>frc5993</v>
      </c>
      <c r="S3">
        <f>COUNTIFS(Dyno_EndMatch[Team],$R3,Dyno_EndMatch[HPAmp],"Y")</f>
        <v>3</v>
      </c>
      <c r="T3">
        <f>SUMIFS(Dyno_EndMatch[Mics], Dyno_EndMatch[Team],$R3,Dyno_EndMatch[Mics],"&lt;4")</f>
        <v>0</v>
      </c>
      <c r="U3">
        <f>COUNTIFS(TBA_Matches_All[Coopertition], "TRUE", TBA_Matches_All[Team],$R3)</f>
        <v>5</v>
      </c>
      <c r="W3" t="str">
        <f>IF(Alliance="Red",_Red1,_Blue1)</f>
        <v>frc5993</v>
      </c>
      <c r="X3">
        <f>IFERROR(SUM(AVERAGEIFS(TBA_Matches_All[AampT],TBA_Matches_All[Team],$W3),AVERAGEIFS(TBA_Matches_All[TampT],TBA_Matches_All[Team],$W3,TBA_Matches_All[Scouted],"&gt;0")),0)</f>
        <v>0.83333333333333337</v>
      </c>
      <c r="Y3">
        <f>IFERROR(SUM(AVERAGEIFS(TBA_Matches_All[AspkrT],TBA_Matches_All[Team],$W3),AVERAGEIFS(TBA_Matches_All[TspkrT],TBA_Matches_All[Team],$W3,TBA_Matches_All[Scouted],"&gt;0")),0)</f>
        <v>1.4285714285714286</v>
      </c>
      <c r="Z3">
        <f>IFERROR(SUM(AVERAGEIFS(TBA_Matches_All[AtrapT],TBA_Matches_All[Team],$W3),AVERAGEIFS(TBA_Matches_All[TtrapT],TBA_Matches_All[Team],$W3,TBA_Matches_All[Scouted],"&gt;0")),0)</f>
        <v>0</v>
      </c>
      <c r="AA3">
        <f>SUM(AllianceNotes[[#This Row],[Amp]],AllianceNotes[[#This Row],[Speaker]],AllianceNotes[[#This Row],[Trap]])</f>
        <v>2.2619047619047619</v>
      </c>
      <c r="AC3" t="s">
        <v>156</v>
      </c>
      <c r="AD3" t="s">
        <v>101</v>
      </c>
      <c r="AE3" t="s">
        <v>157</v>
      </c>
      <c r="AF3" t="s">
        <v>104</v>
      </c>
      <c r="AH3" t="s">
        <v>156</v>
      </c>
      <c r="AI3" t="s">
        <v>101</v>
      </c>
      <c r="AJ3" t="s">
        <v>157</v>
      </c>
      <c r="AK3" t="s">
        <v>104</v>
      </c>
    </row>
    <row r="4" spans="1:37" x14ac:dyDescent="0.3">
      <c r="F4" t="str">
        <f>_Red2</f>
        <v>frc5016</v>
      </c>
      <c r="G4" s="74">
        <f>IFERROR(AVERAGEIFS(Dyno_EndMatch[AZTime],Dyno_EndMatch[Team],$F4,Dyno_EndMatch[AZTime],"&lt;&gt;0"),0)</f>
        <v>71.310115887500004</v>
      </c>
      <c r="H4" s="74">
        <f>IFERROR(AVERAGEIFS(Dyno_EndMatch[NZTime],Dyno_EndMatch[Team],$F4,Dyno_EndMatch[AZTime],"&lt;&gt;0"),0)</f>
        <v>26.182530375000002</v>
      </c>
      <c r="I4" s="74">
        <f>IFERROR(AVERAGEIFS(Dyno_EndMatch[OZTime],Dyno_EndMatch[Team],$F4,Dyno_EndMatch[AZTime],"&lt;&gt;0"),0)</f>
        <v>27.888349049999999</v>
      </c>
      <c r="K4" t="s">
        <v>100</v>
      </c>
      <c r="L4" t="str">
        <f>_Red2</f>
        <v>frc5016</v>
      </c>
      <c r="M4" s="74">
        <f>IFERROR(AVERAGEIFS(TBA_Matches_All[AptsT],TBA_Matches_All[Team],$L4,TBA_Matches_All[Scouted],"&gt;0"),0)</f>
        <v>3.6666666666666665</v>
      </c>
      <c r="N4" s="74">
        <f t="shared" ref="N4:N5" si="0">SUM(P4-O4-M4)</f>
        <v>8.7055555555555575</v>
      </c>
      <c r="O4" s="74">
        <f>IFERROR(AVERAGEIFS(TBA_Matches_All[stageptsT],TBA_Matches_All[Team],$L4,TBA_Matches_All[Scouted],"&gt;0"),0)</f>
        <v>2.6666666666666665</v>
      </c>
      <c r="P4" s="74">
        <f>IFERROR(AVERAGEIFS(TBA_Matches_All[TotptsC],TBA_Matches_All[Team],$L4,TBA_Matches_All[Scouted],"&gt;0"),0)</f>
        <v>15.03888888888889</v>
      </c>
      <c r="R4" t="str">
        <f>IF(Alliance="Red",_Red2,_Blue2)</f>
        <v>frc1559</v>
      </c>
      <c r="S4">
        <f>COUNTIFS(Dyno_EndMatch[Team],$R4,Dyno_EndMatch[HPAmp],"Y")</f>
        <v>1</v>
      </c>
      <c r="T4">
        <f>SUMIFS(Dyno_EndMatch[Mics], Dyno_EndMatch[Team],$R4,Dyno_EndMatch[Mics],"&lt;4")</f>
        <v>0</v>
      </c>
      <c r="U4">
        <f>COUNTIFS(TBA_Matches_All[Coopertition], "TRUE", TBA_Matches_All[Team],$R4)</f>
        <v>7</v>
      </c>
      <c r="W4" t="str">
        <f>IF(Alliance="Red",_Red2,_Blue2)</f>
        <v>frc1559</v>
      </c>
      <c r="X4">
        <f>IFERROR(SUM(AVERAGEIFS(TBA_Matches_All[AampT],TBA_Matches_All[Team],$W4),AVERAGEIFS(TBA_Matches_All[TampT],TBA_Matches_All[Team],$W4,TBA_Matches_All[Scouted],"&gt;0")),0)</f>
        <v>0</v>
      </c>
      <c r="Y4">
        <f>IFERROR(SUM(AVERAGEIFS(TBA_Matches_All[AspkrT],TBA_Matches_All[Team],$W4),AVERAGEIFS(TBA_Matches_All[TspkrT],TBA_Matches_All[Team],$W4,TBA_Matches_All[Scouted],"&gt;0")),0)</f>
        <v>2.8095238095238093</v>
      </c>
      <c r="Z4">
        <f>IFERROR(SUM(AVERAGEIFS(TBA_Matches_All[AtrapT],TBA_Matches_All[Team],$W4),AVERAGEIFS(TBA_Matches_All[TtrapT],TBA_Matches_All[Team],$W4,TBA_Matches_All[Scouted],"&gt;0")),0)</f>
        <v>0</v>
      </c>
      <c r="AA4">
        <f>SUM(AllianceNotes[[#This Row],[Amp]],AllianceNotes[[#This Row],[Speaker]],AllianceNotes[[#This Row],[Trap]])</f>
        <v>2.8095238095238093</v>
      </c>
      <c r="AC4">
        <f>IF(AC$2&gt;=ROW()-3,ROW()-3,"")</f>
        <v>1</v>
      </c>
      <c r="AD4">
        <f>IF($AC4="","",SUMIFS(TBA_Matches_All[TotNotesT],TBA_Matches_All[Team],AD$2,TBA_Matches_All[teammatch],$AC4))</f>
        <v>1</v>
      </c>
      <c r="AE4">
        <f>IF($AC4="","",SUMIFS(TBA_Matches_All[TotNotesT],TBA_Matches_All[Team],AE$2,TBA_Matches_All[teammatch],$AC4))</f>
        <v>3</v>
      </c>
      <c r="AF4">
        <f>IF($AC4="","",SUMIFS(TBA_Matches_All[TotNotesT],TBA_Matches_All[Team],AF$2,TBA_Matches_All[teammatch],$AC4))</f>
        <v>14</v>
      </c>
      <c r="AH4">
        <f t="shared" ref="AH4:AH19" si="1">IF(AH$2&gt;=ROW()-3,ROW()-3,"")</f>
        <v>1</v>
      </c>
      <c r="AI4">
        <f>IF($AH4="","",SUMIFS(TBA_Matches_All[stageptsT],TBA_Matches_All[Team],AI$2,TBA_Matches_All[teammatch],$AH4))</f>
        <v>1</v>
      </c>
      <c r="AJ4">
        <f>IF($AH4="","",SUMIFS(TBA_Matches_All[stageptsT],TBA_Matches_All[Team],AJ$2,TBA_Matches_All[teammatch],$AH4))</f>
        <v>3</v>
      </c>
      <c r="AK4">
        <f>IF($AH4="","",SUMIFS(TBA_Matches_All[stageptsT],TBA_Matches_All[Team],AK$2,TBA_Matches_All[teammatch],$AH4))</f>
        <v>1</v>
      </c>
    </row>
    <row r="5" spans="1:37" x14ac:dyDescent="0.3">
      <c r="F5" t="str">
        <f>_Red1</f>
        <v>frc1591</v>
      </c>
      <c r="G5" s="74">
        <f>IFERROR(AVERAGEIFS(Dyno_EndMatch[AZTime],Dyno_EndMatch[Team],$F5,Dyno_EndMatch[AZTime],"&lt;&gt;0"),0)</f>
        <v>46.268107644444441</v>
      </c>
      <c r="H5" s="74">
        <f>IFERROR(AVERAGEIFS(Dyno_EndMatch[NZTime],Dyno_EndMatch[Team],$F5,Dyno_EndMatch[AZTime],"&lt;&gt;0"),0)</f>
        <v>28.442284055555557</v>
      </c>
      <c r="I5" s="74">
        <f>IFERROR(AVERAGEIFS(Dyno_EndMatch[OZTime],Dyno_EndMatch[Team],$F5,Dyno_EndMatch[AZTime],"&lt;&gt;0"),0)</f>
        <v>46.195643188888887</v>
      </c>
      <c r="K5" t="s">
        <v>100</v>
      </c>
      <c r="L5" t="str">
        <f>_Red1</f>
        <v>frc1591</v>
      </c>
      <c r="M5" s="74">
        <f>IFERROR(AVERAGEIFS(TBA_Matches_All[AptsT],TBA_Matches_All[Team],$L5,TBA_Matches_All[Scouted],"&gt;0"),0)</f>
        <v>17.428571428571427</v>
      </c>
      <c r="N5" s="74">
        <f t="shared" si="0"/>
        <v>20.633928571428573</v>
      </c>
      <c r="O5" s="74">
        <f>IFERROR(AVERAGEIFS(TBA_Matches_All[stageptsT],TBA_Matches_All[Team],$L5,TBA_Matches_All[Scouted],"&gt;0"),0)</f>
        <v>3</v>
      </c>
      <c r="P5" s="74">
        <f>IFERROR(AVERAGEIFS(TBA_Matches_All[TotptsC],TBA_Matches_All[Team],$L5,TBA_Matches_All[Scouted],"&gt;0"),0)</f>
        <v>41.0625</v>
      </c>
      <c r="R5" t="str">
        <f>IF(Alliance="Red",_Red3,_Blue3)</f>
        <v>frc3173</v>
      </c>
      <c r="S5">
        <f>COUNTIFS(Dyno_EndMatch[Team],$R5,Dyno_EndMatch[HPAmp],"Y")</f>
        <v>3</v>
      </c>
      <c r="T5">
        <f>SUMIFS(Dyno_EndMatch[Mics], Dyno_EndMatch[Team],$R5,Dyno_EndMatch[Mics],"&lt;4")</f>
        <v>1</v>
      </c>
      <c r="U5">
        <f>COUNTIFS(TBA_Matches_All[Coopertition], "TRUE", TBA_Matches_All[Team],$R5)</f>
        <v>7</v>
      </c>
      <c r="W5" t="str">
        <f>IF(Alliance="Red",_Red3,_Blue3)</f>
        <v>frc3173</v>
      </c>
      <c r="X5">
        <f>IFERROR(SUM(AVERAGEIFS(TBA_Matches_All[AampT],TBA_Matches_All[Team],$W5),AVERAGEIFS(TBA_Matches_All[TampT],TBA_Matches_All[Team],$W5,TBA_Matches_All[Scouted],"&gt;0")),0)</f>
        <v>5.2</v>
      </c>
      <c r="Y5">
        <f>IFERROR(SUM(AVERAGEIFS(TBA_Matches_All[AspkrT],TBA_Matches_All[Team],$W5),AVERAGEIFS(TBA_Matches_All[TspkrT],TBA_Matches_All[Team],$W5,TBA_Matches_All[Scouted],"&gt;0")),0)</f>
        <v>7.3714285714285719</v>
      </c>
      <c r="Z5">
        <f>IFERROR(SUM(AVERAGEIFS(TBA_Matches_All[AtrapT],TBA_Matches_All[Team],$W5),AVERAGEIFS(TBA_Matches_All[TtrapT],TBA_Matches_All[Team],$W5,TBA_Matches_All[Scouted],"&gt;0")),0)</f>
        <v>0</v>
      </c>
      <c r="AA5">
        <f>SUM(AllianceNotes[[#This Row],[Amp]],AllianceNotes[[#This Row],[Speaker]],AllianceNotes[[#This Row],[Trap]])</f>
        <v>12.571428571428573</v>
      </c>
      <c r="AC5">
        <f t="shared" ref="AC5:AC19" si="2">IF(AC$2&gt;=ROW()-3,ROW()-3,"")</f>
        <v>2</v>
      </c>
      <c r="AD5">
        <f>IF($AC5="","",SUMIFS(TBA_Matches_All[TotNotesT],TBA_Matches_All[Team],AD$2,TBA_Matches_All[teammatch],$AC5))</f>
        <v>0</v>
      </c>
      <c r="AE5">
        <f>IF($AC5="","",SUMIFS(TBA_Matches_All[TotNotesT],TBA_Matches_All[Team],AE$2,TBA_Matches_All[teammatch],$AC5))</f>
        <v>3</v>
      </c>
      <c r="AF5">
        <f>IF($AC5="","",SUMIFS(TBA_Matches_All[TotNotesT],TBA_Matches_All[Team],AF$2,TBA_Matches_All[teammatch],$AC5))</f>
        <v>12</v>
      </c>
      <c r="AH5">
        <f t="shared" si="1"/>
        <v>2</v>
      </c>
      <c r="AI5">
        <f>IF($AH5="","",SUMIFS(TBA_Matches_All[stageptsT],TBA_Matches_All[Team],AI$2,TBA_Matches_All[teammatch],$AH5))</f>
        <v>1</v>
      </c>
      <c r="AJ5">
        <f>IF($AH5="","",SUMIFS(TBA_Matches_All[stageptsT],TBA_Matches_All[Team],AJ$2,TBA_Matches_All[teammatch],$AH5))</f>
        <v>3</v>
      </c>
      <c r="AK5">
        <f>IF($AH5="","",SUMIFS(TBA_Matches_All[stageptsT],TBA_Matches_All[Team],AK$2,TBA_Matches_All[teammatch],$AH5))</f>
        <v>0</v>
      </c>
    </row>
    <row r="6" spans="1:37" x14ac:dyDescent="0.3">
      <c r="A6" s="175" t="s">
        <v>136</v>
      </c>
      <c r="B6" s="175"/>
      <c r="C6" s="175"/>
      <c r="F6" t="str">
        <f>_Blue1</f>
        <v>frc5993</v>
      </c>
      <c r="G6" s="74">
        <f>IFERROR(AVERAGEIFS(Dyno_EndMatch[OZTime],Dyno_EndMatch[Team],$F6,Dyno_EndMatch[AZTime],"&lt;&gt;0"),0)</f>
        <v>8.7537145750000001</v>
      </c>
      <c r="H6" s="74">
        <f>IFERROR(AVERAGEIFS(Dyno_EndMatch[NZTime],Dyno_EndMatch[Team],$F6,Dyno_EndMatch[AZTime],"&lt;&gt;0"),0)</f>
        <v>41.691220174999998</v>
      </c>
      <c r="I6" s="74">
        <f>IFERROR(AVERAGEIFS(Dyno_EndMatch[AZTime],Dyno_EndMatch[Team],$F6,Dyno_EndMatch[AZTime],"&lt;&gt;0"),0)</f>
        <v>77.006379774999999</v>
      </c>
      <c r="K6" t="s">
        <v>155</v>
      </c>
      <c r="L6" t="str">
        <f>_Blue1</f>
        <v>frc5993</v>
      </c>
      <c r="M6" s="74">
        <f>IFERROR(AVERAGEIFS(TBA_Matches_All[AptsT],TBA_Matches_All[Team],$L6,TBA_Matches_All[Scouted],"&gt;0"),0)</f>
        <v>2.8333333333333335</v>
      </c>
      <c r="N6" s="74">
        <f t="shared" ref="N6:N8" si="3">SUM(P6-O6-M6)</f>
        <v>3.5333333333333337</v>
      </c>
      <c r="O6" s="74">
        <f>IFERROR(AVERAGEIFS(TBA_Matches_All[stageptsT],TBA_Matches_All[Team],$L6,TBA_Matches_All[Scouted],"&gt;0"),0)</f>
        <v>1.3333333333333333</v>
      </c>
      <c r="P6" s="74">
        <f>IFERROR(AVERAGEIFS(TBA_Matches_All[TotptsC],TBA_Matches_All[Team],$L6,TBA_Matches_All[Scouted],"&gt;0"),0)</f>
        <v>7.7</v>
      </c>
      <c r="AC6">
        <f t="shared" si="2"/>
        <v>3</v>
      </c>
      <c r="AD6">
        <f>IF($AC6="","",SUMIFS(TBA_Matches_All[TotNotesT],TBA_Matches_All[Team],AD$2,TBA_Matches_All[teammatch],$AC6))</f>
        <v>0</v>
      </c>
      <c r="AE6">
        <f>IF($AC6="","",SUMIFS(TBA_Matches_All[TotNotesT],TBA_Matches_All[Team],AE$2,TBA_Matches_All[teammatch],$AC6))</f>
        <v>5</v>
      </c>
      <c r="AF6">
        <f>IF($AC6="","",SUMIFS(TBA_Matches_All[TotNotesT],TBA_Matches_All[Team],AF$2,TBA_Matches_All[teammatch],$AC6))</f>
        <v>0</v>
      </c>
      <c r="AH6">
        <f t="shared" si="1"/>
        <v>3</v>
      </c>
      <c r="AI6">
        <f>IF($AH6="","",SUMIFS(TBA_Matches_All[stageptsT],TBA_Matches_All[Team],AI$2,TBA_Matches_All[teammatch],$AH6))</f>
        <v>0</v>
      </c>
      <c r="AJ6">
        <f>IF($AH6="","",SUMIFS(TBA_Matches_All[stageptsT],TBA_Matches_All[Team],AJ$2,TBA_Matches_All[teammatch],$AH6))</f>
        <v>3</v>
      </c>
      <c r="AK6">
        <f>IF($AH6="","",SUMIFS(TBA_Matches_All[stageptsT],TBA_Matches_All[Team],AK$2,TBA_Matches_All[teammatch],$AH6))</f>
        <v>0</v>
      </c>
    </row>
    <row r="7" spans="1:37" x14ac:dyDescent="0.3">
      <c r="A7" t="s">
        <v>141</v>
      </c>
      <c r="B7" s="74" t="s">
        <v>100</v>
      </c>
      <c r="C7" t="s">
        <v>155</v>
      </c>
      <c r="F7" t="str">
        <f>_Blue2</f>
        <v>frc1559</v>
      </c>
      <c r="G7" s="74">
        <f>IFERROR(AVERAGEIFS(Dyno_EndMatch[OZTime],Dyno_EndMatch[Team],$F7,Dyno_EndMatch[AZTime],"&lt;&gt;0"),0)</f>
        <v>22.1157258625</v>
      </c>
      <c r="H7" s="74">
        <f>IFERROR(AVERAGEIFS(Dyno_EndMatch[NZTime],Dyno_EndMatch[Team],$F7,Dyno_EndMatch[AZTime],"&lt;&gt;0"),0)</f>
        <v>33.7496274875</v>
      </c>
      <c r="I7" s="74">
        <f>IFERROR(AVERAGEIFS(Dyno_EndMatch[AZTime],Dyno_EndMatch[Team],$F7,Dyno_EndMatch[AZTime],"&lt;&gt;0"),0)</f>
        <v>61.455755787500003</v>
      </c>
      <c r="K7" t="s">
        <v>155</v>
      </c>
      <c r="L7" t="str">
        <f>_Blue2</f>
        <v>frc1559</v>
      </c>
      <c r="M7" s="74">
        <f>IFERROR(AVERAGEIFS(TBA_Matches_All[AptsT],TBA_Matches_All[Team],$L7,TBA_Matches_All[Scouted],"&gt;0"),0)</f>
        <v>2.1666666666666665</v>
      </c>
      <c r="N7" s="74">
        <f t="shared" si="3"/>
        <v>9.2583333333333346</v>
      </c>
      <c r="O7" s="74">
        <f>IFERROR(AVERAGEIFS(TBA_Matches_All[stageptsT],TBA_Matches_All[Team],$L7,TBA_Matches_All[Scouted],"&gt;0"),0)</f>
        <v>3.1666666666666665</v>
      </c>
      <c r="P7" s="74">
        <f>IFERROR(AVERAGEIFS(TBA_Matches_All[TotptsC],TBA_Matches_All[Team],$L7,TBA_Matches_All[Scouted],"&gt;0"),0)</f>
        <v>14.591666666666667</v>
      </c>
      <c r="AC7">
        <f t="shared" si="2"/>
        <v>4</v>
      </c>
      <c r="AD7">
        <f>IF($AC7="","",SUMIFS(TBA_Matches_All[TotNotesT],TBA_Matches_All[Team],AD$2,TBA_Matches_All[teammatch],$AC7))</f>
        <v>2</v>
      </c>
      <c r="AE7">
        <f>IF($AC7="","",SUMIFS(TBA_Matches_All[TotNotesT],TBA_Matches_All[Team],AE$2,TBA_Matches_All[teammatch],$AC7))</f>
        <v>0</v>
      </c>
      <c r="AF7">
        <f>IF($AC7="","",SUMIFS(TBA_Matches_All[TotNotesT],TBA_Matches_All[Team],AF$2,TBA_Matches_All[teammatch],$AC7))</f>
        <v>0</v>
      </c>
      <c r="AH7">
        <f t="shared" si="1"/>
        <v>4</v>
      </c>
      <c r="AI7">
        <f>IF($AH7="","",SUMIFS(TBA_Matches_All[stageptsT],TBA_Matches_All[Team],AI$2,TBA_Matches_All[teammatch],$AH7))</f>
        <v>3</v>
      </c>
      <c r="AJ7">
        <f>IF($AH7="","",SUMIFS(TBA_Matches_All[stageptsT],TBA_Matches_All[Team],AJ$2,TBA_Matches_All[teammatch],$AH7))</f>
        <v>0</v>
      </c>
      <c r="AK7">
        <f>IF($AH7="","",SUMIFS(TBA_Matches_All[stageptsT],TBA_Matches_All[Team],AK$2,TBA_Matches_All[teammatch],$AH7))</f>
        <v>0</v>
      </c>
    </row>
    <row r="8" spans="1:37" x14ac:dyDescent="0.3">
      <c r="A8" t="str">
        <f>_Red3</f>
        <v>frc2791</v>
      </c>
      <c r="B8" s="74">
        <f>IFERROR(AVERAGEIFS(TBA_Matches_All[TotptsC],TBA_Matches_All[Team],$A8,TBA_Matches_All[Scouted],"&gt;0"),0)</f>
        <v>18.633333333333333</v>
      </c>
      <c r="C8" s="74"/>
      <c r="F8" t="str">
        <f>_Blue3</f>
        <v>frc3173</v>
      </c>
      <c r="G8" s="74">
        <f>IFERROR(AVERAGEIFS(Dyno_EndMatch[OZTime],Dyno_EndMatch[Team],$F8,Dyno_EndMatch[AZTime],"&lt;&gt;0"),0)</f>
        <v>38.389591214285716</v>
      </c>
      <c r="H8" s="74">
        <f>IFERROR(AVERAGEIFS(Dyno_EndMatch[NZTime],Dyno_EndMatch[Team],$F8,Dyno_EndMatch[AZTime],"&lt;&gt;0"),0)</f>
        <v>32.251913471428573</v>
      </c>
      <c r="I8" s="74">
        <f>IFERROR(AVERAGEIFS(Dyno_EndMatch[AZTime],Dyno_EndMatch[Team],$F8,Dyno_EndMatch[AZTime],"&lt;&gt;0"),0)</f>
        <v>64.783890357142852</v>
      </c>
      <c r="K8" t="s">
        <v>155</v>
      </c>
      <c r="L8" t="str">
        <f>+_Blue3</f>
        <v>frc3173</v>
      </c>
      <c r="M8" s="74">
        <f>IFERROR(AVERAGEIFS(TBA_Matches_All[AptsT],TBA_Matches_All[Team],$L8,TBA_Matches_All[Scouted],"&gt;0"),0)</f>
        <v>19.600000000000001</v>
      </c>
      <c r="N8" s="74">
        <f t="shared" si="3"/>
        <v>20.123351648351651</v>
      </c>
      <c r="O8" s="74">
        <f>IFERROR(AVERAGEIFS(TBA_Matches_All[stageptsT],TBA_Matches_All[Team],$L8,TBA_Matches_All[Scouted],"&gt;0"),0)</f>
        <v>0.8</v>
      </c>
      <c r="P8" s="74">
        <f>IFERROR(AVERAGEIFS(TBA_Matches_All[TotptsC],TBA_Matches_All[Team],$L8,TBA_Matches_All[Scouted],"&gt;0"),0)</f>
        <v>40.52335164835165</v>
      </c>
      <c r="AC8">
        <f t="shared" si="2"/>
        <v>5</v>
      </c>
      <c r="AD8">
        <f>IF($AC8="","",SUMIFS(TBA_Matches_All[TotNotesT],TBA_Matches_All[Team],AD$2,TBA_Matches_All[teammatch],$AC8))</f>
        <v>6</v>
      </c>
      <c r="AE8">
        <f>IF($AC8="","",SUMIFS(TBA_Matches_All[TotNotesT],TBA_Matches_All[Team],AE$2,TBA_Matches_All[teammatch],$AC8))</f>
        <v>0</v>
      </c>
      <c r="AF8">
        <f>IF($AC8="","",SUMIFS(TBA_Matches_All[TotNotesT],TBA_Matches_All[Team],AF$2,TBA_Matches_All[teammatch],$AC8))</f>
        <v>12</v>
      </c>
      <c r="AH8">
        <f t="shared" si="1"/>
        <v>5</v>
      </c>
      <c r="AI8">
        <f>IF($AH8="","",SUMIFS(TBA_Matches_All[stageptsT],TBA_Matches_All[Team],AI$2,TBA_Matches_All[teammatch],$AH8))</f>
        <v>1</v>
      </c>
      <c r="AJ8">
        <f>IF($AH8="","",SUMIFS(TBA_Matches_All[stageptsT],TBA_Matches_All[Team],AJ$2,TBA_Matches_All[teammatch],$AH8))</f>
        <v>4</v>
      </c>
      <c r="AK8">
        <f>IF($AH8="","",SUMIFS(TBA_Matches_All[stageptsT],TBA_Matches_All[Team],AK$2,TBA_Matches_All[teammatch],$AH8))</f>
        <v>1</v>
      </c>
    </row>
    <row r="9" spans="1:37" x14ac:dyDescent="0.3">
      <c r="A9" t="str">
        <f>_Red2</f>
        <v>frc5016</v>
      </c>
      <c r="B9" s="74">
        <f>IFERROR(AVERAGEIFS(TBA_Matches_All[TotptsC],TBA_Matches_All[Team],$A9,TBA_Matches_All[Scouted],"&gt;0"),0)</f>
        <v>15.03888888888889</v>
      </c>
      <c r="C9" s="74"/>
      <c r="H9"/>
      <c r="AC9">
        <f t="shared" si="2"/>
        <v>6</v>
      </c>
      <c r="AD9">
        <f>IF($AC9="","",SUMIFS(TBA_Matches_All[TotNotesT],TBA_Matches_All[Team],AD$2,TBA_Matches_All[teammatch],$AC9))</f>
        <v>2</v>
      </c>
      <c r="AE9">
        <f>IF($AC9="","",SUMIFS(TBA_Matches_All[TotNotesT],TBA_Matches_All[Team],AE$2,TBA_Matches_All[teammatch],$AC9))</f>
        <v>0</v>
      </c>
      <c r="AF9">
        <f>IF($AC9="","",SUMIFS(TBA_Matches_All[TotNotesT],TBA_Matches_All[Team],AF$2,TBA_Matches_All[teammatch],$AC9))</f>
        <v>15</v>
      </c>
      <c r="AH9">
        <f t="shared" si="1"/>
        <v>6</v>
      </c>
      <c r="AI9">
        <f>IF($AH9="","",SUMIFS(TBA_Matches_All[stageptsT],TBA_Matches_All[Team],AI$2,TBA_Matches_All[teammatch],$AH9))</f>
        <v>1</v>
      </c>
      <c r="AJ9">
        <f>IF($AH9="","",SUMIFS(TBA_Matches_All[stageptsT],TBA_Matches_All[Team],AJ$2,TBA_Matches_All[teammatch],$AH9))</f>
        <v>3</v>
      </c>
      <c r="AK9">
        <f>IF($AH9="","",SUMIFS(TBA_Matches_All[stageptsT],TBA_Matches_All[Team],AK$2,TBA_Matches_All[teammatch],$AH9))</f>
        <v>1</v>
      </c>
    </row>
    <row r="10" spans="1:37" x14ac:dyDescent="0.3">
      <c r="A10" t="str">
        <f>_Red1</f>
        <v>frc1591</v>
      </c>
      <c r="B10" s="74">
        <f>IFERROR(AVERAGEIFS(TBA_Matches_All[TotptsC],TBA_Matches_All[Team],$A10,TBA_Matches_All[Scouted],"&gt;0"),0)</f>
        <v>41.0625</v>
      </c>
      <c r="C10" s="74"/>
      <c r="E10"/>
      <c r="H10"/>
      <c r="L10" s="189" t="s">
        <v>158</v>
      </c>
      <c r="M10" s="189"/>
      <c r="N10" s="189"/>
      <c r="AC10">
        <f t="shared" si="2"/>
        <v>7</v>
      </c>
      <c r="AD10">
        <f>IF($AC10="","",SUMIFS(TBA_Matches_All[TotNotesT],TBA_Matches_All[Team],AD$2,TBA_Matches_All[teammatch],$AC10))</f>
        <v>3</v>
      </c>
      <c r="AE10">
        <f>IF($AC10="","",SUMIFS(TBA_Matches_All[TotNotesT],TBA_Matches_All[Team],AE$2,TBA_Matches_All[teammatch],$AC10))</f>
        <v>6</v>
      </c>
      <c r="AF10">
        <f>IF($AC10="","",SUMIFS(TBA_Matches_All[TotNotesT],TBA_Matches_All[Team],AF$2,TBA_Matches_All[teammatch],$AC10))</f>
        <v>15</v>
      </c>
      <c r="AH10">
        <f t="shared" si="1"/>
        <v>7</v>
      </c>
      <c r="AI10">
        <f>IF($AH10="","",SUMIFS(TBA_Matches_All[stageptsT],TBA_Matches_All[Team],AI$2,TBA_Matches_All[teammatch],$AH10))</f>
        <v>1</v>
      </c>
      <c r="AJ10">
        <f>IF($AH10="","",SUMIFS(TBA_Matches_All[stageptsT],TBA_Matches_All[Team],AJ$2,TBA_Matches_All[teammatch],$AH10))</f>
        <v>3</v>
      </c>
      <c r="AK10">
        <f>IF($AH10="","",SUMIFS(TBA_Matches_All[stageptsT],TBA_Matches_All[Team],AK$2,TBA_Matches_All[teammatch],$AH10))</f>
        <v>1</v>
      </c>
    </row>
    <row r="11" spans="1:37" x14ac:dyDescent="0.3">
      <c r="A11" t="str">
        <f>_Blue1</f>
        <v>frc5993</v>
      </c>
      <c r="B11" s="74"/>
      <c r="C11" s="74">
        <f>IFERROR(AVERAGEIFS(TBA_Matches_All[TotptsC],TBA_Matches_All[Team],$A11,TBA_Matches_All[Scouted],"&gt;0"),0)</f>
        <v>7.7</v>
      </c>
      <c r="F11" s="74" t="str">
        <f>IF(Alliance="red",_Red1,_Blue3)</f>
        <v>frc3173</v>
      </c>
      <c r="G11" s="188" t="s">
        <v>159</v>
      </c>
      <c r="H11" s="188"/>
      <c r="I11" s="188"/>
      <c r="J11" s="188"/>
      <c r="L11" s="92">
        <f>MAX(N14:N29,R14:R29,V14:V29)</f>
        <v>46.5</v>
      </c>
      <c r="M11" s="187" t="s">
        <v>160</v>
      </c>
      <c r="N11" s="188"/>
      <c r="Q11" s="187" t="s">
        <v>161</v>
      </c>
      <c r="R11" s="188"/>
      <c r="U11" s="187" t="s">
        <v>162</v>
      </c>
      <c r="V11" s="188"/>
      <c r="AC11">
        <f t="shared" si="2"/>
        <v>8</v>
      </c>
      <c r="AD11">
        <f>IF($AC11="","",SUMIFS(TBA_Matches_All[TotNotesT],TBA_Matches_All[Team],AD$2,TBA_Matches_All[teammatch],$AC11))</f>
        <v>0</v>
      </c>
      <c r="AE11">
        <f>IF($AC11="","",SUMIFS(TBA_Matches_All[TotNotesT],TBA_Matches_All[Team],AE$2,TBA_Matches_All[teammatch],$AC11))</f>
        <v>0</v>
      </c>
      <c r="AF11">
        <f>IF($AC11="","",SUMIFS(TBA_Matches_All[TotNotesT],TBA_Matches_All[Team],AF$2,TBA_Matches_All[teammatch],$AC11))</f>
        <v>0</v>
      </c>
      <c r="AH11">
        <f t="shared" si="1"/>
        <v>8</v>
      </c>
      <c r="AI11">
        <f>IF($AH11="","",SUMIFS(TBA_Matches_All[stageptsT],TBA_Matches_All[Team],AI$2,TBA_Matches_All[teammatch],$AH11))</f>
        <v>0</v>
      </c>
      <c r="AJ11">
        <f>IF($AH11="","",SUMIFS(TBA_Matches_All[stageptsT],TBA_Matches_All[Team],AJ$2,TBA_Matches_All[teammatch],$AH11))</f>
        <v>0</v>
      </c>
      <c r="AK11">
        <f>IF($AH11="","",SUMIFS(TBA_Matches_All[stageptsT],TBA_Matches_All[Team],AK$2,TBA_Matches_All[teammatch],$AH11))</f>
        <v>0</v>
      </c>
    </row>
    <row r="12" spans="1:37" x14ac:dyDescent="0.3">
      <c r="A12" t="str">
        <f>_Blue2</f>
        <v>frc1559</v>
      </c>
      <c r="B12" s="74"/>
      <c r="C12" s="74">
        <f>IFERROR(AVERAGEIFS(TBA_Matches_All[TotptsC],TBA_Matches_All[Team],$A12,TBA_Matches_All[Scouted],"&gt;0"),0)</f>
        <v>14.591666666666667</v>
      </c>
      <c r="F12" s="74" t="s">
        <v>163</v>
      </c>
      <c r="G12" s="74" t="s">
        <v>105</v>
      </c>
      <c r="H12" s="74" t="s">
        <v>164</v>
      </c>
      <c r="I12" s="74" t="s">
        <v>165</v>
      </c>
      <c r="J12" s="74" t="s">
        <v>166</v>
      </c>
      <c r="L12" s="74" t="str">
        <f>IF(Alliance="red",_Red1,_Blue3)</f>
        <v>frc3173</v>
      </c>
      <c r="M12" s="188"/>
      <c r="N12" s="188"/>
      <c r="O12" s="74"/>
      <c r="P12" s="74" t="str">
        <f>IF(Alliance="red",_Red2,_Blue2)</f>
        <v>frc1559</v>
      </c>
      <c r="Q12" s="188"/>
      <c r="R12" s="188"/>
      <c r="T12" s="74" t="str">
        <f>IF(Alliance="red",_Red3,_Blue1)</f>
        <v>frc5993</v>
      </c>
      <c r="U12" s="188"/>
      <c r="V12" s="188"/>
      <c r="AC12" t="str">
        <f t="shared" si="2"/>
        <v/>
      </c>
      <c r="AD12" t="str">
        <f>IF($AC12="","",SUMIFS(TBA_Matches_All[TotNotesT],TBA_Matches_All[Team],AD$2,TBA_Matches_All[teammatch],$AC12))</f>
        <v/>
      </c>
      <c r="AE12" t="str">
        <f>IF($AC12="","",SUMIFS(TBA_Matches_All[TotNotesT],TBA_Matches_All[Team],AE$2,TBA_Matches_All[teammatch],$AC12))</f>
        <v/>
      </c>
      <c r="AF12" t="str">
        <f>IF($AC12="","",SUMIFS(TBA_Matches_All[TotNotesT],TBA_Matches_All[Team],AF$2,TBA_Matches_All[teammatch],$AC12))</f>
        <v/>
      </c>
      <c r="AH12" t="str">
        <f t="shared" si="1"/>
        <v/>
      </c>
      <c r="AI12" t="str">
        <f>IF($AH12="","",SUMIFS(TBA_Matches_All[stageptsT],TBA_Matches_All[Team],AI$2,TBA_Matches_All[teammatch],$AH12))</f>
        <v/>
      </c>
      <c r="AJ12" t="str">
        <f>IF($AH12="","",SUMIFS(TBA_Matches_All[stageptsT],TBA_Matches_All[Team],AJ$2,TBA_Matches_All[teammatch],$AH12))</f>
        <v/>
      </c>
      <c r="AK12" t="str">
        <f>IF($AH12="","",SUMIFS(TBA_Matches_All[stageptsT],TBA_Matches_All[Team],AK$2,TBA_Matches_All[teammatch],$AH12))</f>
        <v/>
      </c>
    </row>
    <row r="13" spans="1:37" x14ac:dyDescent="0.3">
      <c r="A13" t="str">
        <f>_Blue3</f>
        <v>frc3173</v>
      </c>
      <c r="B13" s="74"/>
      <c r="C13" s="74">
        <f>IFERROR(AVERAGEIFS(TBA_Matches_All[TotptsC],TBA_Matches_All[Team],$A13,TBA_Matches_All[Scouted],"&gt;0"),0)</f>
        <v>40.52335164835165</v>
      </c>
      <c r="F13" s="74" t="s">
        <v>167</v>
      </c>
      <c r="G13" s="76">
        <f>COUNTIFS(Dyno_EndMatch[Team],$F$11,Dyno_EndMatch[Strategy],$F13,Dyno_EndMatch[RobotSta],"Amp")</f>
        <v>0</v>
      </c>
      <c r="H13" s="76">
        <f>COUNTIFS(Dyno_EndMatch[Team],$F$11,Dyno_EndMatch[Strategy],$F13,Dyno_EndMatch[RobotSta],"SubW")</f>
        <v>0</v>
      </c>
      <c r="I13" s="76">
        <f>COUNTIFS(Dyno_EndMatch[Team],$F$11,Dyno_EndMatch[Strategy],$F13,Dyno_EndMatch[RobotSta],"Podm")</f>
        <v>0</v>
      </c>
      <c r="J13" s="76">
        <f>COUNTIFS(Dyno_EndMatch[Team],$F$11,Dyno_EndMatch[Strategy],$F13,Dyno_EndMatch[RobotSta],"OppS")</f>
        <v>0</v>
      </c>
      <c r="L13" s="75" t="s">
        <v>168</v>
      </c>
      <c r="M13" s="1" t="s">
        <v>169</v>
      </c>
      <c r="N13" s="1" t="s">
        <v>96</v>
      </c>
      <c r="P13" s="75" t="s">
        <v>168</v>
      </c>
      <c r="Q13" s="1" t="s">
        <v>169</v>
      </c>
      <c r="R13" s="1" t="s">
        <v>96</v>
      </c>
      <c r="T13" s="75" t="s">
        <v>168</v>
      </c>
      <c r="U13" s="1" t="s">
        <v>169</v>
      </c>
      <c r="V13" s="1" t="s">
        <v>96</v>
      </c>
      <c r="AC13" t="str">
        <f t="shared" si="2"/>
        <v/>
      </c>
      <c r="AD13" t="str">
        <f>IF($AC13="","",SUMIFS(TBA_Matches_All[TotNotesT],TBA_Matches_All[Team],AD$2,TBA_Matches_All[teammatch],$AC13))</f>
        <v/>
      </c>
      <c r="AE13" t="str">
        <f>IF($AC13="","",SUMIFS(TBA_Matches_All[TotNotesT],TBA_Matches_All[Team],AE$2,TBA_Matches_All[teammatch],$AC13))</f>
        <v/>
      </c>
      <c r="AF13" t="str">
        <f>IF($AC13="","",SUMIFS(TBA_Matches_All[TotNotesT],TBA_Matches_All[Team],AF$2,TBA_Matches_All[teammatch],$AC13))</f>
        <v/>
      </c>
      <c r="AH13" t="str">
        <f t="shared" si="1"/>
        <v/>
      </c>
      <c r="AI13" t="str">
        <f>IF($AH13="","",SUMIFS(TBA_Matches_All[stageptsT],TBA_Matches_All[Team],AI$2,TBA_Matches_All[teammatch],$AH13))</f>
        <v/>
      </c>
      <c r="AJ13" t="str">
        <f>IF($AH13="","",SUMIFS(TBA_Matches_All[stageptsT],TBA_Matches_All[Team],AJ$2,TBA_Matches_All[teammatch],$AH13))</f>
        <v/>
      </c>
      <c r="AK13" t="str">
        <f>IF($AH13="","",SUMIFS(TBA_Matches_All[stageptsT],TBA_Matches_All[Team],AK$2,TBA_Matches_All[teammatch],$AH13))</f>
        <v/>
      </c>
    </row>
    <row r="14" spans="1:37" x14ac:dyDescent="0.3">
      <c r="F14" s="74" t="s">
        <v>170</v>
      </c>
      <c r="G14" s="76">
        <f>COUNTIFS(Dyno_EndMatch[Team],$F$11,Dyno_EndMatch[Strategy],$F14,Dyno_EndMatch[RobotSta],"Amp")</f>
        <v>0</v>
      </c>
      <c r="H14" s="76">
        <f>COUNTIFS(Dyno_EndMatch[Team],$F$11,Dyno_EndMatch[Strategy],$F14,Dyno_EndMatch[RobotSta],"SubW")</f>
        <v>0</v>
      </c>
      <c r="I14" s="76">
        <f>COUNTIFS(Dyno_EndMatch[Team],$F$11,Dyno_EndMatch[Strategy],$F14,Dyno_EndMatch[RobotSta],"Podm")</f>
        <v>0</v>
      </c>
      <c r="J14" s="76">
        <f>COUNTIFS(Dyno_EndMatch[Team],$F$11,Dyno_EndMatch[Strategy],$F14,Dyno_EndMatch[RobotSta],"OppS")</f>
        <v>0</v>
      </c>
      <c r="L14" s="80">
        <v>0</v>
      </c>
      <c r="M14" s="80">
        <v>0</v>
      </c>
      <c r="N14" s="81">
        <f>IFERROR(AVERAGEIFS(TBA_Matches_All[TotptsC],TBA_Matches_All[Team],$L$12,TBA_Matches_All[Defense],$M14,TBA_Matches_All[Avoid],$L14,TBA_Matches_All[Scouted],"&gt;0"),0)</f>
        <v>37.928571428571431</v>
      </c>
      <c r="P14" s="80">
        <v>0</v>
      </c>
      <c r="Q14" s="80">
        <v>0</v>
      </c>
      <c r="R14" s="81">
        <f>IFERROR(AVERAGEIFS(TBA_Matches_All[TotptsC],TBA_Matches_All[Team],$P$12,TBA_Matches_All[Defense],$M14,TBA_Matches_All[Avoid],$L14,TBA_Matches_All[Scouted],"&gt;0"),0)</f>
        <v>20.5</v>
      </c>
      <c r="T14" s="80">
        <v>0</v>
      </c>
      <c r="U14" s="80">
        <v>0</v>
      </c>
      <c r="V14" s="81">
        <f>IFERROR(AVERAGEIFS(TBA_Matches_All[TotptsC],TBA_Matches_All[Team],$T$12,TBA_Matches_All[Defense],$M14,TBA_Matches_All[Avoid],$L14,TBA_Matches_All[Scouted],"&gt;0"),0)</f>
        <v>8.0400000000000009</v>
      </c>
      <c r="AC14" t="str">
        <f t="shared" si="2"/>
        <v/>
      </c>
      <c r="AD14" t="str">
        <f>IF($AC14="","",SUMIFS(TBA_Matches_All[TotNotesT],TBA_Matches_All[Team],AD$2,TBA_Matches_All[teammatch],$AC14))</f>
        <v/>
      </c>
      <c r="AE14" t="str">
        <f>IF($AC14="","",SUMIFS(TBA_Matches_All[TotNotesT],TBA_Matches_All[Team],AE$2,TBA_Matches_All[teammatch],$AC14))</f>
        <v/>
      </c>
      <c r="AF14" t="str">
        <f>IF($AC14="","",SUMIFS(TBA_Matches_All[TotNotesT],TBA_Matches_All[Team],AF$2,TBA_Matches_All[teammatch],$AC14))</f>
        <v/>
      </c>
      <c r="AH14" t="str">
        <f t="shared" si="1"/>
        <v/>
      </c>
      <c r="AI14" t="str">
        <f>IF($AH14="","",SUMIFS(TBA_Matches_All[stageptsT],TBA_Matches_All[Team],AI$2,TBA_Matches_All[teammatch],$AH14))</f>
        <v/>
      </c>
      <c r="AJ14" t="str">
        <f>IF($AH14="","",SUMIFS(TBA_Matches_All[stageptsT],TBA_Matches_All[Team],AJ$2,TBA_Matches_All[teammatch],$AH14))</f>
        <v/>
      </c>
      <c r="AK14" t="str">
        <f>IF($AH14="","",SUMIFS(TBA_Matches_All[stageptsT],TBA_Matches_All[Team],AK$2,TBA_Matches_All[teammatch],$AH14))</f>
        <v/>
      </c>
    </row>
    <row r="15" spans="1:37" x14ac:dyDescent="0.3">
      <c r="F15" s="74" t="s">
        <v>171</v>
      </c>
      <c r="G15" s="76">
        <f>COUNTIFS(Dyno_EndMatch[Team],$F$11,Dyno_EndMatch[Strategy],$F15,Dyno_EndMatch[RobotSta],"Amp")</f>
        <v>0</v>
      </c>
      <c r="H15" s="76">
        <f>COUNTIFS(Dyno_EndMatch[Team],$F$11,Dyno_EndMatch[Strategy],$F15,Dyno_EndMatch[RobotSta],"SubW")</f>
        <v>0</v>
      </c>
      <c r="I15" s="76">
        <f>COUNTIFS(Dyno_EndMatch[Team],$F$11,Dyno_EndMatch[Strategy],$F15,Dyno_EndMatch[RobotSta],"Podm")</f>
        <v>0</v>
      </c>
      <c r="J15" s="76">
        <f>COUNTIFS(Dyno_EndMatch[Team],$F$11,Dyno_EndMatch[Strategy],$F15,Dyno_EndMatch[RobotSta],"OppS")</f>
        <v>0</v>
      </c>
      <c r="L15" s="80">
        <v>0</v>
      </c>
      <c r="M15" s="80">
        <v>1</v>
      </c>
      <c r="N15" s="81">
        <f>IFERROR(AVERAGEIFS(TBA_Matches_All[TotptsC],TBA_Matches_All[Team],$L$12,TBA_Matches_All[Defense],$M15,TBA_Matches_All[Avoid],$L15,TBA_Matches_All[Scouted],"&gt;0"),0)</f>
        <v>35.384615384615387</v>
      </c>
      <c r="P15" s="80">
        <v>0</v>
      </c>
      <c r="Q15" s="80">
        <v>1</v>
      </c>
      <c r="R15" s="81">
        <f>IFERROR(AVERAGEIFS(TBA_Matches_All[TotptsC],TBA_Matches_All[Team],$P$12,TBA_Matches_All[Defense],$M15,TBA_Matches_All[Avoid],$L15,TBA_Matches_All[Scouted],"&gt;0"),0)</f>
        <v>12.8</v>
      </c>
      <c r="T15" s="80">
        <v>0</v>
      </c>
      <c r="U15" s="80">
        <v>1</v>
      </c>
      <c r="V15" s="81">
        <f>IFERROR(AVERAGEIFS(TBA_Matches_All[TotptsC],TBA_Matches_All[Team],$T$12,TBA_Matches_All[Defense],$M15,TBA_Matches_All[Avoid],$L15,TBA_Matches_All[Scouted],"&gt;0"),0)</f>
        <v>0</v>
      </c>
      <c r="AC15" t="str">
        <f t="shared" si="2"/>
        <v/>
      </c>
      <c r="AD15" t="str">
        <f>IF($AC15="","",SUMIFS(TBA_Matches_All[TotNotesT],TBA_Matches_All[Team],AD$2,TBA_Matches_All[teammatch],$AC15))</f>
        <v/>
      </c>
      <c r="AE15" t="str">
        <f>IF($AC15="","",SUMIFS(TBA_Matches_All[TotNotesT],TBA_Matches_All[Team],AE$2,TBA_Matches_All[teammatch],$AC15))</f>
        <v/>
      </c>
      <c r="AF15" t="str">
        <f>IF($AC15="","",SUMIFS(TBA_Matches_All[TotNotesT],TBA_Matches_All[Team],AF$2,TBA_Matches_All[teammatch],$AC15))</f>
        <v/>
      </c>
      <c r="AH15" t="str">
        <f t="shared" si="1"/>
        <v/>
      </c>
      <c r="AI15" t="str">
        <f>IF($AH15="","",SUMIFS(TBA_Matches_All[stageptsT],TBA_Matches_All[Team],AI$2,TBA_Matches_All[teammatch],$AH15))</f>
        <v/>
      </c>
      <c r="AJ15" t="str">
        <f>IF($AH15="","",SUMIFS(TBA_Matches_All[stageptsT],TBA_Matches_All[Team],AJ$2,TBA_Matches_All[teammatch],$AH15))</f>
        <v/>
      </c>
      <c r="AK15" t="str">
        <f>IF($AH15="","",SUMIFS(TBA_Matches_All[stageptsT],TBA_Matches_All[Team],AK$2,TBA_Matches_All[teammatch],$AH15))</f>
        <v/>
      </c>
    </row>
    <row r="16" spans="1:37" x14ac:dyDescent="0.3">
      <c r="A16" s="175" t="s">
        <v>172</v>
      </c>
      <c r="B16" s="175"/>
      <c r="C16" s="175"/>
      <c r="F16" s="74" t="s">
        <v>173</v>
      </c>
      <c r="G16" s="76">
        <f>COUNTIFS(Dyno_EndMatch[Team],$F$11,Dyno_EndMatch[Strategy],$F16,Dyno_EndMatch[RobotSta],"Amp")</f>
        <v>0</v>
      </c>
      <c r="H16" s="76">
        <f>COUNTIFS(Dyno_EndMatch[Team],$F$11,Dyno_EndMatch[Strategy],$F16,Dyno_EndMatch[RobotSta],"SubW")</f>
        <v>0</v>
      </c>
      <c r="I16" s="76">
        <f>COUNTIFS(Dyno_EndMatch[Team],$F$11,Dyno_EndMatch[Strategy],$F16,Dyno_EndMatch[RobotSta],"Podm")</f>
        <v>0</v>
      </c>
      <c r="J16" s="76">
        <f>COUNTIFS(Dyno_EndMatch[Team],$F$11,Dyno_EndMatch[Strategy],$F16,Dyno_EndMatch[RobotSta],"OppS")</f>
        <v>0</v>
      </c>
      <c r="L16" s="80">
        <v>0</v>
      </c>
      <c r="M16" s="80">
        <v>2</v>
      </c>
      <c r="N16" s="81">
        <f>IFERROR(AVERAGEIFS(TBA_Matches_All[TotptsC],TBA_Matches_All[Team],$L$12,TBA_Matches_All[Defense],$M16,TBA_Matches_All[Avoid],$L16,TBA_Matches_All[Scouted],"&gt;0"),0)</f>
        <v>0</v>
      </c>
      <c r="P16" s="80">
        <v>0</v>
      </c>
      <c r="Q16" s="80">
        <v>2</v>
      </c>
      <c r="R16" s="81">
        <f>IFERROR(AVERAGEIFS(TBA_Matches_All[TotptsC],TBA_Matches_All[Team],$P$12,TBA_Matches_All[Defense],$M16,TBA_Matches_All[Avoid],$L16,TBA_Matches_All[Scouted],"&gt;0"),0)</f>
        <v>0</v>
      </c>
      <c r="T16" s="80">
        <v>0</v>
      </c>
      <c r="U16" s="80">
        <v>2</v>
      </c>
      <c r="V16" s="81">
        <f>IFERROR(AVERAGEIFS(TBA_Matches_All[TotptsC],TBA_Matches_All[Team],$T$12,TBA_Matches_All[Defense],$M16,TBA_Matches_All[Avoid],$L16,TBA_Matches_All[Scouted],"&gt;0"),0)</f>
        <v>6</v>
      </c>
      <c r="AC16" t="str">
        <f t="shared" si="2"/>
        <v/>
      </c>
      <c r="AD16" t="str">
        <f>IF($AC16="","",SUMIFS(TBA_Matches_All[TotNotesT],TBA_Matches_All[Team],AD$2,TBA_Matches_All[teammatch],$AC16))</f>
        <v/>
      </c>
      <c r="AE16" t="str">
        <f>IF($AC16="","",SUMIFS(TBA_Matches_All[TotNotesT],TBA_Matches_All[Team],AE$2,TBA_Matches_All[teammatch],$AC16))</f>
        <v/>
      </c>
      <c r="AF16" t="str">
        <f>IF($AC16="","",SUMIFS(TBA_Matches_All[TotNotesT],TBA_Matches_All[Team],AF$2,TBA_Matches_All[teammatch],$AC16))</f>
        <v/>
      </c>
      <c r="AH16" t="str">
        <f t="shared" si="1"/>
        <v/>
      </c>
      <c r="AI16" t="str">
        <f>IF($AH16="","",SUMIFS(TBA_Matches_All[stageptsT],TBA_Matches_All[Team],AI$2,TBA_Matches_All[teammatch],$AH16))</f>
        <v/>
      </c>
      <c r="AJ16" t="str">
        <f>IF($AH16="","",SUMIFS(TBA_Matches_All[stageptsT],TBA_Matches_All[Team],AJ$2,TBA_Matches_All[teammatch],$AH16))</f>
        <v/>
      </c>
      <c r="AK16" t="str">
        <f>IF($AH16="","",SUMIFS(TBA_Matches_All[stageptsT],TBA_Matches_All[Team],AK$2,TBA_Matches_All[teammatch],$AH16))</f>
        <v/>
      </c>
    </row>
    <row r="17" spans="1:37" x14ac:dyDescent="0.3">
      <c r="A17" t="s">
        <v>141</v>
      </c>
      <c r="B17" t="s">
        <v>100</v>
      </c>
      <c r="C17" t="s">
        <v>155</v>
      </c>
      <c r="F17" s="74" t="s">
        <v>174</v>
      </c>
      <c r="G17" s="76">
        <f>COUNTIFS(Dyno_EndMatch[Team],$F$11,Dyno_EndMatch[Strategy],$F17,Dyno_EndMatch[RobotSta],"Amp")</f>
        <v>7</v>
      </c>
      <c r="H17" s="76">
        <f>COUNTIFS(Dyno_EndMatch[Team],$F$11,Dyno_EndMatch[Strategy],$F17,Dyno_EndMatch[RobotSta],"SubW")</f>
        <v>0</v>
      </c>
      <c r="I17" s="76">
        <f>COUNTIFS(Dyno_EndMatch[Team],$F$11,Dyno_EndMatch[Strategy],$F17,Dyno_EndMatch[RobotSta],"Podm")</f>
        <v>0</v>
      </c>
      <c r="J17" s="76">
        <f>COUNTIFS(Dyno_EndMatch[Team],$F$11,Dyno_EndMatch[Strategy],$F17,Dyno_EndMatch[RobotSta],"OppS")</f>
        <v>0</v>
      </c>
      <c r="L17" s="80">
        <v>0</v>
      </c>
      <c r="M17" s="80">
        <v>3</v>
      </c>
      <c r="N17" s="81">
        <f>IFERROR(AVERAGEIFS(TBA_Matches_All[TotptsC],TBA_Matches_All[Team],$L$12,TBA_Matches_All[Defense],$M17,TBA_Matches_All[Avoid],$L17,TBA_Matches_All[Scouted],"&gt;0"),0)</f>
        <v>0</v>
      </c>
      <c r="P17" s="80">
        <v>0</v>
      </c>
      <c r="Q17" s="80">
        <v>3</v>
      </c>
      <c r="R17" s="81">
        <f>IFERROR(AVERAGEIFS(TBA_Matches_All[TotptsC],TBA_Matches_All[Team],$P$12,TBA_Matches_All[Defense],$M17,TBA_Matches_All[Avoid],$L17,TBA_Matches_All[Scouted],"&gt;0"),0)</f>
        <v>6</v>
      </c>
      <c r="T17" s="80">
        <v>0</v>
      </c>
      <c r="U17" s="80">
        <v>3</v>
      </c>
      <c r="V17" s="81">
        <f>IFERROR(AVERAGEIFS(TBA_Matches_All[TotptsC],TBA_Matches_All[Team],$T$12,TBA_Matches_All[Defense],$M17,TBA_Matches_All[Avoid],$L17,TBA_Matches_All[Scouted],"&gt;0"),0)</f>
        <v>0</v>
      </c>
      <c r="AC17" t="str">
        <f t="shared" si="2"/>
        <v/>
      </c>
      <c r="AD17" t="str">
        <f>IF($AC17="","",SUMIFS(TBA_Matches_All[TotNotesT],TBA_Matches_All[Team],AD$2,TBA_Matches_All[teammatch],$AC17))</f>
        <v/>
      </c>
      <c r="AE17" t="str">
        <f>IF($AC17="","",SUMIFS(TBA_Matches_All[TotNotesT],TBA_Matches_All[Team],AE$2,TBA_Matches_All[teammatch],$AC17))</f>
        <v/>
      </c>
      <c r="AF17" t="str">
        <f>IF($AC17="","",SUMIFS(TBA_Matches_All[TotNotesT],TBA_Matches_All[Team],AF$2,TBA_Matches_All[teammatch],$AC17))</f>
        <v/>
      </c>
      <c r="AH17" t="str">
        <f t="shared" si="1"/>
        <v/>
      </c>
      <c r="AI17" t="str">
        <f>IF($AH17="","",SUMIFS(TBA_Matches_All[stageptsT],TBA_Matches_All[Team],AI$2,TBA_Matches_All[teammatch],$AH17))</f>
        <v/>
      </c>
      <c r="AJ17" t="str">
        <f>IF($AH17="","",SUMIFS(TBA_Matches_All[stageptsT],TBA_Matches_All[Team],AJ$2,TBA_Matches_All[teammatch],$AH17))</f>
        <v/>
      </c>
      <c r="AK17" t="str">
        <f>IF($AH17="","",SUMIFS(TBA_Matches_All[stageptsT],TBA_Matches_All[Team],AK$2,TBA_Matches_All[teammatch],$AH17))</f>
        <v/>
      </c>
    </row>
    <row r="18" spans="1:37" x14ac:dyDescent="0.3">
      <c r="A18" t="str">
        <f>_Red3</f>
        <v>frc2791</v>
      </c>
      <c r="B18" s="74">
        <f>IFERROR(AVERAGEIFS(TBA_Matches_All[AptsT],TBA_Matches_All[Team],$A18,TBA_Matches_All[Scouted],"&gt;0"),0)</f>
        <v>5.833333333333333</v>
      </c>
      <c r="C18" s="74"/>
      <c r="F18" s="74" t="s">
        <v>175</v>
      </c>
      <c r="G18" s="76">
        <f>COUNTIFS(Dyno_EndMatch[Team],$F$11,Dyno_EndMatch[Strategy],$F18,Dyno_EndMatch[RobotSta],"Amp")</f>
        <v>0</v>
      </c>
      <c r="H18" s="76">
        <f>COUNTIFS(Dyno_EndMatch[Team],$F$11,Dyno_EndMatch[Strategy],$F18,Dyno_EndMatch[RobotSta],"SubW")</f>
        <v>0</v>
      </c>
      <c r="I18" s="76">
        <f>COUNTIFS(Dyno_EndMatch[Team],$F$11,Dyno_EndMatch[Strategy],$F18,Dyno_EndMatch[RobotSta],"Podm")</f>
        <v>0</v>
      </c>
      <c r="J18" s="76">
        <f>COUNTIFS(Dyno_EndMatch[Team],$F$11,Dyno_EndMatch[Strategy],$F18,Dyno_EndMatch[RobotSta],"OppS")</f>
        <v>0</v>
      </c>
      <c r="L18" s="80">
        <v>1</v>
      </c>
      <c r="M18" s="80">
        <v>0</v>
      </c>
      <c r="N18" s="81">
        <f>IFERROR(AVERAGEIFS(TBA_Matches_All[TotptsC],TBA_Matches_All[Team],$L$12,TBA_Matches_All[Defense],$M18,TBA_Matches_All[Avoid],$L18,TBA_Matches_All[Scouted],"&gt;0"),0)</f>
        <v>46.5</v>
      </c>
      <c r="P18" s="80">
        <v>1</v>
      </c>
      <c r="Q18" s="80">
        <v>0</v>
      </c>
      <c r="R18" s="81">
        <f>IFERROR(AVERAGEIFS(TBA_Matches_All[TotptsC],TBA_Matches_All[Team],$P$12,TBA_Matches_All[Defense],$M18,TBA_Matches_All[Avoid],$L18,TBA_Matches_All[Scouted],"&gt;0"),0)</f>
        <v>27.5</v>
      </c>
      <c r="T18" s="80">
        <v>1</v>
      </c>
      <c r="U18" s="80">
        <v>0</v>
      </c>
      <c r="V18" s="81">
        <f>IFERROR(AVERAGEIFS(TBA_Matches_All[TotptsC],TBA_Matches_All[Team],$T$12,TBA_Matches_All[Defense],$M18,TBA_Matches_All[Avoid],$L18,TBA_Matches_All[Scouted],"&gt;0"),0)</f>
        <v>0</v>
      </c>
      <c r="AC18" t="str">
        <f t="shared" si="2"/>
        <v/>
      </c>
      <c r="AD18" t="str">
        <f>IF($AC18="","",SUMIFS(TBA_Matches_All[TotNotesT],TBA_Matches_All[Team],AD$2,TBA_Matches_All[teammatch],$AC18))</f>
        <v/>
      </c>
      <c r="AE18" t="str">
        <f>IF($AC18="","",SUMIFS(TBA_Matches_All[TotNotesT],TBA_Matches_All[Team],AE$2,TBA_Matches_All[teammatch],$AC18))</f>
        <v/>
      </c>
      <c r="AF18" t="str">
        <f>IF($AC18="","",SUMIFS(TBA_Matches_All[TotNotesT],TBA_Matches_All[Team],AF$2,TBA_Matches_All[teammatch],$AC18))</f>
        <v/>
      </c>
      <c r="AH18" t="str">
        <f t="shared" si="1"/>
        <v/>
      </c>
      <c r="AI18" t="str">
        <f>IF($AH18="","",SUMIFS(TBA_Matches_All[stageptsT],TBA_Matches_All[Team],AI$2,TBA_Matches_All[teammatch],$AH18))</f>
        <v/>
      </c>
      <c r="AJ18" t="str">
        <f>IF($AH18="","",SUMIFS(TBA_Matches_All[stageptsT],TBA_Matches_All[Team],AJ$2,TBA_Matches_All[teammatch],$AH18))</f>
        <v/>
      </c>
      <c r="AK18" t="str">
        <f>IF($AH18="","",SUMIFS(TBA_Matches_All[stageptsT],TBA_Matches_All[Team],AK$2,TBA_Matches_All[teammatch],$AH18))</f>
        <v/>
      </c>
    </row>
    <row r="19" spans="1:37" x14ac:dyDescent="0.3">
      <c r="A19" t="str">
        <f>_Red2</f>
        <v>frc5016</v>
      </c>
      <c r="B19" s="74">
        <f>IFERROR(AVERAGEIFS(TBA_Matches_All[AptsT],TBA_Matches_All[Team],$A19,TBA_Matches_All[Scouted],"&gt;0"),0)</f>
        <v>3.6666666666666665</v>
      </c>
      <c r="C19" s="74"/>
      <c r="L19" s="80">
        <v>1</v>
      </c>
      <c r="M19" s="80">
        <v>1</v>
      </c>
      <c r="N19" s="81">
        <f>IFERROR(AVERAGEIFS(TBA_Matches_All[TotptsC],TBA_Matches_All[Team],$L$12,TBA_Matches_All[Defense],$M19,TBA_Matches_All[Avoid],$L19,TBA_Matches_All[Scouted],"&gt;0"),0)</f>
        <v>0</v>
      </c>
      <c r="P19" s="80">
        <v>1</v>
      </c>
      <c r="Q19" s="80">
        <v>1</v>
      </c>
      <c r="R19" s="81">
        <f>IFERROR(AVERAGEIFS(TBA_Matches_All[TotptsC],TBA_Matches_All[Team],$P$12,TBA_Matches_All[Defense],$M19,TBA_Matches_All[Avoid],$L19,TBA_Matches_All[Scouted],"&gt;0"),0)</f>
        <v>0</v>
      </c>
      <c r="T19" s="80">
        <v>1</v>
      </c>
      <c r="U19" s="80">
        <v>1</v>
      </c>
      <c r="V19" s="81">
        <f>IFERROR(AVERAGEIFS(TBA_Matches_All[TotptsC],TBA_Matches_All[Team],$T$12,TBA_Matches_All[Defense],$M19,TBA_Matches_All[Avoid],$L19,TBA_Matches_All[Scouted],"&gt;0"),0)</f>
        <v>0</v>
      </c>
      <c r="AC19" t="str">
        <f t="shared" si="2"/>
        <v/>
      </c>
      <c r="AD19" t="str">
        <f>IF($AC19="","",SUMIFS(TBA_Matches_All[TotNotesT],TBA_Matches_All[Team],AD$2,TBA_Matches_All[teammatch],$AC19))</f>
        <v/>
      </c>
      <c r="AE19" t="str">
        <f>IF($AC19="","",SUMIFS(TBA_Matches_All[TotNotesT],TBA_Matches_All[Team],AE$2,TBA_Matches_All[teammatch],$AC19))</f>
        <v/>
      </c>
      <c r="AF19" t="str">
        <f>IF($AC19="","",SUMIFS(TBA_Matches_All[TotNotesT],TBA_Matches_All[Team],AF$2,TBA_Matches_All[teammatch],$AC19))</f>
        <v/>
      </c>
      <c r="AH19" t="str">
        <f t="shared" si="1"/>
        <v/>
      </c>
      <c r="AI19" t="str">
        <f>IF($AH19="","",SUMIFS(TBA_Matches_All[stageptsT],TBA_Matches_All[Team],AI$2,TBA_Matches_All[teammatch],$AH19))</f>
        <v/>
      </c>
      <c r="AJ19" t="str">
        <f>IF($AH19="","",SUMIFS(TBA_Matches_All[stageptsT],TBA_Matches_All[Team],AJ$2,TBA_Matches_All[teammatch],$AH19))</f>
        <v/>
      </c>
      <c r="AK19" t="str">
        <f>IF($AH19="","",SUMIFS(TBA_Matches_All[stageptsT],TBA_Matches_All[Team],AK$2,TBA_Matches_All[teammatch],$AH19))</f>
        <v/>
      </c>
    </row>
    <row r="20" spans="1:37" x14ac:dyDescent="0.3">
      <c r="A20" t="str">
        <f>_Red1</f>
        <v>frc1591</v>
      </c>
      <c r="B20" s="74">
        <f>IFERROR(AVERAGEIFS(TBA_Matches_All[AptsT],TBA_Matches_All[Team],$A20,TBA_Matches_All[Scouted],"&gt;0"),0)</f>
        <v>17.428571428571427</v>
      </c>
      <c r="C20" s="74"/>
      <c r="L20" s="80">
        <v>1</v>
      </c>
      <c r="M20" s="80">
        <v>2</v>
      </c>
      <c r="N20" s="81">
        <f>IFERROR(AVERAGEIFS(TBA_Matches_All[TotptsC],TBA_Matches_All[Team],$L$12,TBA_Matches_All[Defense],$M20,TBA_Matches_All[Avoid],$L20,TBA_Matches_All[Scouted],"&gt;0"),0)</f>
        <v>0</v>
      </c>
      <c r="P20" s="80">
        <v>1</v>
      </c>
      <c r="Q20" s="80">
        <v>2</v>
      </c>
      <c r="R20" s="81">
        <f>IFERROR(AVERAGEIFS(TBA_Matches_All[TotptsC],TBA_Matches_All[Team],$P$12,TBA_Matches_All[Defense],$M20,TBA_Matches_All[Avoid],$L20,TBA_Matches_All[Scouted],"&gt;0"),0)</f>
        <v>3</v>
      </c>
      <c r="T20" s="80">
        <v>1</v>
      </c>
      <c r="U20" s="80">
        <v>2</v>
      </c>
      <c r="V20" s="81">
        <f>IFERROR(AVERAGEIFS(TBA_Matches_All[TotptsC],TBA_Matches_All[Team],$T$12,TBA_Matches_All[Defense],$M20,TBA_Matches_All[Avoid],$L20,TBA_Matches_All[Scouted],"&gt;0"),0)</f>
        <v>0</v>
      </c>
    </row>
    <row r="21" spans="1:37" x14ac:dyDescent="0.3">
      <c r="A21" t="str">
        <f>_Blue1</f>
        <v>frc5993</v>
      </c>
      <c r="B21" s="74"/>
      <c r="C21" s="74">
        <f>IFERROR(AVERAGEIFS(TBA_Matches_All[AptsT],TBA_Matches_All[Team],$A21,TBA_Matches_All[Scouted],"&gt;0"),0)</f>
        <v>2.8333333333333335</v>
      </c>
      <c r="F21" s="74" t="str">
        <f>IF(Alliance="red",_Red2,_Blue2)</f>
        <v>frc1559</v>
      </c>
      <c r="G21" s="188" t="s">
        <v>176</v>
      </c>
      <c r="H21" s="188"/>
      <c r="I21" s="188"/>
      <c r="J21" s="188"/>
      <c r="L21" s="80">
        <v>1</v>
      </c>
      <c r="M21" s="80">
        <v>3</v>
      </c>
      <c r="N21" s="81">
        <f>IFERROR(AVERAGEIFS(TBA_Matches_All[TotptsC],TBA_Matches_All[Team],$L$12,TBA_Matches_All[Defense],$M21,TBA_Matches_All[Avoid],$L21,TBA_Matches_All[Scouted],"&gt;0"),0)</f>
        <v>0</v>
      </c>
      <c r="P21" s="80">
        <v>1</v>
      </c>
      <c r="Q21" s="80">
        <v>3</v>
      </c>
      <c r="R21" s="81">
        <f>IFERROR(AVERAGEIFS(TBA_Matches_All[TotptsC],TBA_Matches_All[Team],$P$12,TBA_Matches_All[Defense],$M21,TBA_Matches_All[Avoid],$L21,TBA_Matches_All[Scouted],"&gt;0"),0)</f>
        <v>0</v>
      </c>
      <c r="T21" s="80">
        <v>1</v>
      </c>
      <c r="U21" s="80">
        <v>3</v>
      </c>
      <c r="V21" s="81">
        <f>IFERROR(AVERAGEIFS(TBA_Matches_All[TotptsC],TBA_Matches_All[Team],$T$12,TBA_Matches_All[Defense],$M21,TBA_Matches_All[Avoid],$L21,TBA_Matches_All[Scouted],"&gt;0"),0)</f>
        <v>0</v>
      </c>
    </row>
    <row r="22" spans="1:37" x14ac:dyDescent="0.3">
      <c r="A22" t="str">
        <f>_Blue2</f>
        <v>frc1559</v>
      </c>
      <c r="B22" s="74"/>
      <c r="C22" s="74">
        <f>IFERROR(AVERAGEIFS(TBA_Matches_All[AptsT],TBA_Matches_All[Team],$A22,TBA_Matches_All[Scouted],"&gt;0"),0)</f>
        <v>2.1666666666666665</v>
      </c>
      <c r="F22" s="74" t="s">
        <v>163</v>
      </c>
      <c r="G22" s="74" t="s">
        <v>105</v>
      </c>
      <c r="H22" s="74" t="s">
        <v>164</v>
      </c>
      <c r="I22" s="74" t="s">
        <v>165</v>
      </c>
      <c r="J22" s="74" t="s">
        <v>166</v>
      </c>
      <c r="L22" s="80">
        <v>2</v>
      </c>
      <c r="M22" s="80">
        <v>0</v>
      </c>
      <c r="N22" s="81">
        <f>IFERROR(AVERAGEIFS(TBA_Matches_All[TotptsC],TBA_Matches_All[Team],$L$12,TBA_Matches_All[Defense],$M22,TBA_Matches_All[Avoid],$L22,TBA_Matches_All[Scouted],"&gt;0"),0)</f>
        <v>0</v>
      </c>
      <c r="P22" s="80">
        <v>2</v>
      </c>
      <c r="Q22" s="80">
        <v>0</v>
      </c>
      <c r="R22" s="81">
        <f>IFERROR(AVERAGEIFS(TBA_Matches_All[TotptsC],TBA_Matches_All[Team],$P$12,TBA_Matches_All[Defense],$M22,TBA_Matches_All[Avoid],$L22,TBA_Matches_All[Scouted],"&gt;0"),0)</f>
        <v>17.75</v>
      </c>
      <c r="T22" s="80">
        <v>2</v>
      </c>
      <c r="U22" s="80">
        <v>0</v>
      </c>
      <c r="V22" s="81">
        <f>IFERROR(AVERAGEIFS(TBA_Matches_All[TotptsC],TBA_Matches_All[Team],$T$12,TBA_Matches_All[Defense],$M22,TBA_Matches_All[Avoid],$L22,TBA_Matches_All[Scouted],"&gt;0"),0)</f>
        <v>0</v>
      </c>
    </row>
    <row r="23" spans="1:37" x14ac:dyDescent="0.3">
      <c r="A23" t="str">
        <f>_Blue3</f>
        <v>frc3173</v>
      </c>
      <c r="B23" s="74"/>
      <c r="C23" s="74">
        <f>IFERROR(AVERAGEIFS(TBA_Matches_All[AptsT],TBA_Matches_All[Team],$A23,TBA_Matches_All[Scouted],"&gt;0"),0)</f>
        <v>19.600000000000001</v>
      </c>
      <c r="F23" s="74" t="s">
        <v>167</v>
      </c>
      <c r="G23" s="76">
        <f>COUNTIFS(Dyno_EndMatch[Team],$F$21,Dyno_EndMatch[Strategy],$F23,Dyno_EndMatch[RobotSta],"Amp")</f>
        <v>2</v>
      </c>
      <c r="H23" s="76">
        <f>COUNTIFS(Dyno_EndMatch[Team],$F$21,Dyno_EndMatch[Strategy],$F23,Dyno_EndMatch[RobotSta],"SubW")</f>
        <v>0</v>
      </c>
      <c r="I23" s="76">
        <f>COUNTIFS(Dyno_EndMatch[Team],$F$21,Dyno_EndMatch[Strategy],$F23,Dyno_EndMatch[RobotSta],"Podm")</f>
        <v>0</v>
      </c>
      <c r="J23" s="76">
        <f>COUNTIFS(Dyno_EndMatch[Team],$F$21,Dyno_EndMatch[Strategy],$F23,Dyno_EndMatch[RobotSta],"OppS")</f>
        <v>0</v>
      </c>
      <c r="L23" s="80">
        <v>2</v>
      </c>
      <c r="M23" s="80">
        <v>1</v>
      </c>
      <c r="N23" s="81">
        <f>IFERROR(AVERAGEIFS(TBA_Matches_All[TotptsC],TBA_Matches_All[Team],$L$12,TBA_Matches_All[Defense],$M23,TBA_Matches_All[Avoid],$L23,TBA_Matches_All[Scouted],"&gt;0"),0)</f>
        <v>0</v>
      </c>
      <c r="P23" s="80">
        <v>2</v>
      </c>
      <c r="Q23" s="80">
        <v>1</v>
      </c>
      <c r="R23" s="81">
        <f>IFERROR(AVERAGEIFS(TBA_Matches_All[TotptsC],TBA_Matches_All[Team],$P$12,TBA_Matches_All[Defense],$M23,TBA_Matches_All[Avoid],$L23,TBA_Matches_All[Scouted],"&gt;0"),0)</f>
        <v>0</v>
      </c>
      <c r="T23" s="80">
        <v>2</v>
      </c>
      <c r="U23" s="80">
        <v>1</v>
      </c>
      <c r="V23" s="81">
        <f>IFERROR(AVERAGEIFS(TBA_Matches_All[TotptsC],TBA_Matches_All[Team],$T$12,TBA_Matches_All[Defense],$M23,TBA_Matches_All[Avoid],$L23,TBA_Matches_All[Scouted],"&gt;0"),0)</f>
        <v>0</v>
      </c>
    </row>
    <row r="24" spans="1:37" x14ac:dyDescent="0.3">
      <c r="F24" s="74" t="s">
        <v>170</v>
      </c>
      <c r="G24" s="76">
        <f>COUNTIFS(Dyno_EndMatch[Team],$F$21,Dyno_EndMatch[Strategy],$F24,Dyno_EndMatch[RobotSta],"Amp")</f>
        <v>0</v>
      </c>
      <c r="H24" s="76">
        <f>COUNTIFS(Dyno_EndMatch[Team],$F$21,Dyno_EndMatch[Strategy],$F24,Dyno_EndMatch[RobotSta],"SubW")</f>
        <v>0</v>
      </c>
      <c r="I24" s="76">
        <f>COUNTIFS(Dyno_EndMatch[Team],$F$21,Dyno_EndMatch[Strategy],$F24,Dyno_EndMatch[RobotSta],"Podm")</f>
        <v>0</v>
      </c>
      <c r="J24" s="76">
        <f>COUNTIFS(Dyno_EndMatch[Team],$F$21,Dyno_EndMatch[Strategy],$F24,Dyno_EndMatch[RobotSta],"OppS")</f>
        <v>1</v>
      </c>
      <c r="L24" s="80">
        <v>2</v>
      </c>
      <c r="M24" s="80">
        <v>2</v>
      </c>
      <c r="N24" s="81">
        <f>IFERROR(AVERAGEIFS(TBA_Matches_All[TotptsC],TBA_Matches_All[Team],$L$12,TBA_Matches_All[Defense],$M24,TBA_Matches_All[Avoid],$L24,TBA_Matches_All[Scouted],"&gt;0"),0)</f>
        <v>0</v>
      </c>
      <c r="P24" s="80">
        <v>2</v>
      </c>
      <c r="Q24" s="80">
        <v>2</v>
      </c>
      <c r="R24" s="81">
        <f>IFERROR(AVERAGEIFS(TBA_Matches_All[TotptsC],TBA_Matches_All[Team],$P$12,TBA_Matches_All[Defense],$M24,TBA_Matches_All[Avoid],$L24,TBA_Matches_All[Scouted],"&gt;0"),0)</f>
        <v>0</v>
      </c>
      <c r="T24" s="80">
        <v>2</v>
      </c>
      <c r="U24" s="80">
        <v>2</v>
      </c>
      <c r="V24" s="81">
        <f>IFERROR(AVERAGEIFS(TBA_Matches_All[TotptsC],TBA_Matches_All[Team],$T$12,TBA_Matches_All[Defense],$M24,TBA_Matches_All[Avoid],$L24,TBA_Matches_All[Scouted],"&gt;0"),0)</f>
        <v>0</v>
      </c>
    </row>
    <row r="25" spans="1:37" x14ac:dyDescent="0.3">
      <c r="F25" s="74" t="s">
        <v>171</v>
      </c>
      <c r="G25" s="76">
        <f>COUNTIFS(Dyno_EndMatch[Team],$F$21,Dyno_EndMatch[Strategy],$F25,Dyno_EndMatch[RobotSta],"Amp")</f>
        <v>0</v>
      </c>
      <c r="H25" s="76">
        <f>COUNTIFS(Dyno_EndMatch[Team],$F$21,Dyno_EndMatch[Strategy],$F25,Dyno_EndMatch[RobotSta],"SubW")</f>
        <v>0</v>
      </c>
      <c r="I25" s="76">
        <f>COUNTIFS(Dyno_EndMatch[Team],$F$21,Dyno_EndMatch[Strategy],$F25,Dyno_EndMatch[RobotSta],"Podm")</f>
        <v>0</v>
      </c>
      <c r="J25" s="76">
        <f>COUNTIFS(Dyno_EndMatch[Team],$F$21,Dyno_EndMatch[Strategy],$F25,Dyno_EndMatch[RobotSta],"OppS")</f>
        <v>0</v>
      </c>
      <c r="L25" s="80">
        <v>2</v>
      </c>
      <c r="M25" s="80">
        <v>3</v>
      </c>
      <c r="N25" s="81">
        <f>IFERROR(AVERAGEIFS(TBA_Matches_All[TotptsC],TBA_Matches_All[Team],$L$12,TBA_Matches_All[Defense],$M25,TBA_Matches_All[Avoid],$L25,TBA_Matches_All[Scouted],"&gt;0"),0)</f>
        <v>0</v>
      </c>
      <c r="P25" s="80">
        <v>2</v>
      </c>
      <c r="Q25" s="80">
        <v>3</v>
      </c>
      <c r="R25" s="81">
        <f>IFERROR(AVERAGEIFS(TBA_Matches_All[TotptsC],TBA_Matches_All[Team],$P$12,TBA_Matches_All[Defense],$M25,TBA_Matches_All[Avoid],$L25,TBA_Matches_All[Scouted],"&gt;0"),0)</f>
        <v>0</v>
      </c>
      <c r="T25" s="80">
        <v>2</v>
      </c>
      <c r="U25" s="80">
        <v>3</v>
      </c>
      <c r="V25" s="81">
        <f>IFERROR(AVERAGEIFS(TBA_Matches_All[TotptsC],TBA_Matches_All[Team],$T$12,TBA_Matches_All[Defense],$M25,TBA_Matches_All[Avoid],$L25,TBA_Matches_All[Scouted],"&gt;0"),0)</f>
        <v>0</v>
      </c>
    </row>
    <row r="26" spans="1:37" x14ac:dyDescent="0.3">
      <c r="A26" s="175" t="s">
        <v>177</v>
      </c>
      <c r="B26" s="175"/>
      <c r="C26" s="175"/>
      <c r="F26" s="74" t="s">
        <v>173</v>
      </c>
      <c r="G26" s="76">
        <f>COUNTIFS(Dyno_EndMatch[Team],$F$21,Dyno_EndMatch[Strategy],$F26,Dyno_EndMatch[RobotSta],"Amp")</f>
        <v>1</v>
      </c>
      <c r="H26" s="76">
        <f>COUNTIFS(Dyno_EndMatch[Team],$F$21,Dyno_EndMatch[Strategy],$F26,Dyno_EndMatch[RobotSta],"SubW")</f>
        <v>0</v>
      </c>
      <c r="I26" s="76">
        <f>COUNTIFS(Dyno_EndMatch[Team],$F$21,Dyno_EndMatch[Strategy],$F26,Dyno_EndMatch[RobotSta],"Podm")</f>
        <v>0</v>
      </c>
      <c r="J26" s="76">
        <f>COUNTIFS(Dyno_EndMatch[Team],$F$21,Dyno_EndMatch[Strategy],$F26,Dyno_EndMatch[RobotSta],"OppS")</f>
        <v>0</v>
      </c>
      <c r="L26" s="80">
        <v>3</v>
      </c>
      <c r="M26" s="80">
        <v>0</v>
      </c>
      <c r="N26" s="81">
        <f>IFERROR(AVERAGEIFS(TBA_Matches_All[TotptsC],TBA_Matches_All[Team],$L$12,TBA_Matches_All[Defense],$M26,TBA_Matches_All[Avoid],$L26,TBA_Matches_All[Scouted],"&gt;0"),0)</f>
        <v>44.875</v>
      </c>
      <c r="P26" s="80">
        <v>3</v>
      </c>
      <c r="Q26" s="80">
        <v>0</v>
      </c>
      <c r="R26" s="81">
        <f>IFERROR(AVERAGEIFS(TBA_Matches_All[TotptsC],TBA_Matches_All[Team],$P$12,TBA_Matches_All[Defense],$M26,TBA_Matches_All[Avoid],$L26,TBA_Matches_All[Scouted],"&gt;0"),0)</f>
        <v>0</v>
      </c>
      <c r="T26" s="80">
        <v>3</v>
      </c>
      <c r="U26" s="80">
        <v>0</v>
      </c>
      <c r="V26" s="81">
        <f>IFERROR(AVERAGEIFS(TBA_Matches_All[TotptsC],TBA_Matches_All[Team],$T$12,TBA_Matches_All[Defense],$M26,TBA_Matches_All[Avoid],$L26,TBA_Matches_All[Scouted],"&gt;0"),0)</f>
        <v>0</v>
      </c>
    </row>
    <row r="27" spans="1:37" x14ac:dyDescent="0.3">
      <c r="A27" t="s">
        <v>141</v>
      </c>
      <c r="B27" t="s">
        <v>100</v>
      </c>
      <c r="C27" t="s">
        <v>155</v>
      </c>
      <c r="F27" s="74" t="s">
        <v>174</v>
      </c>
      <c r="G27" s="76">
        <f>COUNTIFS(Dyno_EndMatch[Team],$F$21,Dyno_EndMatch[Strategy],$F27,Dyno_EndMatch[RobotSta],"Amp")</f>
        <v>2</v>
      </c>
      <c r="H27" s="76">
        <f>COUNTIFS(Dyno_EndMatch[Team],$F$21,Dyno_EndMatch[Strategy],$F27,Dyno_EndMatch[RobotSta],"SubW")</f>
        <v>0</v>
      </c>
      <c r="I27" s="76">
        <f>COUNTIFS(Dyno_EndMatch[Team],$F$21,Dyno_EndMatch[Strategy],$F27,Dyno_EndMatch[RobotSta],"Podm")</f>
        <v>1</v>
      </c>
      <c r="J27" s="76">
        <f>COUNTIFS(Dyno_EndMatch[Team],$F$21,Dyno_EndMatch[Strategy],$F27,Dyno_EndMatch[RobotSta],"OppS")</f>
        <v>1</v>
      </c>
      <c r="L27" s="80">
        <v>3</v>
      </c>
      <c r="M27" s="80">
        <v>1</v>
      </c>
      <c r="N27" s="81">
        <f>IFERROR(AVERAGEIFS(TBA_Matches_All[TotptsC],TBA_Matches_All[Team],$L$12,TBA_Matches_All[Defense],$M27,TBA_Matches_All[Avoid],$L27,TBA_Matches_All[Scouted],"&gt;0"),0)</f>
        <v>0</v>
      </c>
      <c r="P27" s="80">
        <v>3</v>
      </c>
      <c r="Q27" s="80">
        <v>1</v>
      </c>
      <c r="R27" s="81">
        <f>IFERROR(AVERAGEIFS(TBA_Matches_All[TotptsC],TBA_Matches_All[Team],$P$12,TBA_Matches_All[Defense],$M27,TBA_Matches_All[Avoid],$L27,TBA_Matches_All[Scouted],"&gt;0"),0)</f>
        <v>0</v>
      </c>
      <c r="T27" s="80">
        <v>3</v>
      </c>
      <c r="U27" s="80">
        <v>1</v>
      </c>
      <c r="V27" s="81">
        <f>IFERROR(AVERAGEIFS(TBA_Matches_All[TotptsC],TBA_Matches_All[Team],$T$12,TBA_Matches_All[Defense],$M27,TBA_Matches_All[Avoid],$L27,TBA_Matches_All[Scouted],"&gt;0"),0)</f>
        <v>0</v>
      </c>
    </row>
    <row r="28" spans="1:37" x14ac:dyDescent="0.3">
      <c r="A28" t="str">
        <f>_Red3</f>
        <v>frc2791</v>
      </c>
      <c r="B28" s="74">
        <f>SUM(B8-B18-B38)</f>
        <v>9.8000000000000007</v>
      </c>
      <c r="C28" s="74"/>
      <c r="F28" s="74" t="s">
        <v>175</v>
      </c>
      <c r="G28" s="76">
        <f>COUNTIFS(Dyno_EndMatch[Team],$F$21,Dyno_EndMatch[Strategy],$F28,Dyno_EndMatch[RobotSta],"Amp")</f>
        <v>0</v>
      </c>
      <c r="H28" s="76">
        <f>COUNTIFS(Dyno_EndMatch[Team],$F$21,Dyno_EndMatch[Strategy],$F28,Dyno_EndMatch[RobotSta],"SubW")</f>
        <v>0</v>
      </c>
      <c r="I28" s="76">
        <f>COUNTIFS(Dyno_EndMatch[Team],$F$21,Dyno_EndMatch[Strategy],$F28,Dyno_EndMatch[RobotSta],"Podm")</f>
        <v>0</v>
      </c>
      <c r="J28" s="76">
        <f>COUNTIFS(Dyno_EndMatch[Team],$F$21,Dyno_EndMatch[Strategy],$F28,Dyno_EndMatch[RobotSta],"OppS")</f>
        <v>0</v>
      </c>
      <c r="L28" s="80">
        <v>3</v>
      </c>
      <c r="M28" s="80">
        <v>2</v>
      </c>
      <c r="N28" s="81">
        <f>IFERROR(AVERAGEIFS(TBA_Matches_All[TotptsC],TBA_Matches_All[Team],$L$12,TBA_Matches_All[Defense],$M28,TBA_Matches_All[Avoid],$L28,TBA_Matches_All[Scouted],"&gt;0"),0)</f>
        <v>0</v>
      </c>
      <c r="P28" s="80">
        <v>3</v>
      </c>
      <c r="Q28" s="80">
        <v>2</v>
      </c>
      <c r="R28" s="81">
        <f>IFERROR(AVERAGEIFS(TBA_Matches_All[TotptsC],TBA_Matches_All[Team],$P$12,TBA_Matches_All[Defense],$M28,TBA_Matches_All[Avoid],$L28,TBA_Matches_All[Scouted],"&gt;0"),0)</f>
        <v>0</v>
      </c>
      <c r="T28" s="80">
        <v>3</v>
      </c>
      <c r="U28" s="80">
        <v>2</v>
      </c>
      <c r="V28" s="81">
        <f>IFERROR(AVERAGEIFS(TBA_Matches_All[TotptsC],TBA_Matches_All[Team],$T$12,TBA_Matches_All[Defense],$M28,TBA_Matches_All[Avoid],$L28,TBA_Matches_All[Scouted],"&gt;0"),0)</f>
        <v>0</v>
      </c>
    </row>
    <row r="29" spans="1:37" x14ac:dyDescent="0.3">
      <c r="A29" t="str">
        <f>_Red2</f>
        <v>frc5016</v>
      </c>
      <c r="B29" s="74">
        <f>SUM(B9-B19-B39)</f>
        <v>8.7055555555555575</v>
      </c>
      <c r="C29" s="74"/>
      <c r="L29" s="80">
        <v>3</v>
      </c>
      <c r="M29" s="80">
        <v>3</v>
      </c>
      <c r="N29" s="81">
        <f>IFERROR(AVERAGEIFS(TBA_Matches_All[TotptsC],TBA_Matches_All[Team],$L$12,TBA_Matches_All[Defense],$M29,TBA_Matches_All[Avoid],$L29,TBA_Matches_All[Scouted],"&gt;0"),0)</f>
        <v>0</v>
      </c>
      <c r="P29" s="80">
        <v>3</v>
      </c>
      <c r="Q29" s="80">
        <v>3</v>
      </c>
      <c r="R29" s="81">
        <f>IFERROR(AVERAGEIFS(TBA_Matches_All[TotptsC],TBA_Matches_All[Team],$P$12,TBA_Matches_All[Defense],$M29,TBA_Matches_All[Avoid],$L29,TBA_Matches_All[Scouted],"&gt;0"),0)</f>
        <v>0</v>
      </c>
      <c r="T29" s="80">
        <v>3</v>
      </c>
      <c r="U29" s="80">
        <v>3</v>
      </c>
      <c r="V29" s="81">
        <f>IFERROR(AVERAGEIFS(TBA_Matches_All[TotptsC],TBA_Matches_All[Team],$T$12,TBA_Matches_All[Defense],$M29,TBA_Matches_All[Avoid],$L29,TBA_Matches_All[Scouted],"&gt;0"),0)</f>
        <v>0</v>
      </c>
    </row>
    <row r="30" spans="1:37" x14ac:dyDescent="0.3">
      <c r="A30" t="str">
        <f>_Red1</f>
        <v>frc1591</v>
      </c>
      <c r="B30" s="74">
        <f>SUM(B10-B20-B40)</f>
        <v>20.467261904761905</v>
      </c>
      <c r="C30" s="74"/>
      <c r="L30" s="93">
        <v>5</v>
      </c>
      <c r="M30" s="93">
        <v>5</v>
      </c>
      <c r="N30" s="92">
        <f>L11</f>
        <v>46.5</v>
      </c>
      <c r="P30" s="93">
        <v>5</v>
      </c>
      <c r="Q30" s="93">
        <v>5</v>
      </c>
      <c r="R30" s="92">
        <f>L11</f>
        <v>46.5</v>
      </c>
      <c r="T30" s="93">
        <v>5</v>
      </c>
      <c r="U30" s="93">
        <v>5</v>
      </c>
      <c r="V30" s="92">
        <f>L11</f>
        <v>46.5</v>
      </c>
    </row>
    <row r="31" spans="1:37" x14ac:dyDescent="0.3">
      <c r="A31" t="str">
        <f>_Blue1</f>
        <v>frc5993</v>
      </c>
      <c r="B31" s="74"/>
      <c r="C31" s="74">
        <f>SUM(C11-C21-C41)</f>
        <v>3.5333333333333341</v>
      </c>
      <c r="F31" s="74" t="str">
        <f>IF(Alliance="red",_Red3,_Blue1)</f>
        <v>frc5993</v>
      </c>
      <c r="G31" s="188" t="s">
        <v>178</v>
      </c>
      <c r="H31" s="188"/>
      <c r="I31" s="188"/>
      <c r="J31" s="188"/>
    </row>
    <row r="32" spans="1:37" x14ac:dyDescent="0.3">
      <c r="A32" t="str">
        <f>_Blue2</f>
        <v>frc1559</v>
      </c>
      <c r="B32" s="74"/>
      <c r="C32" s="74">
        <f t="shared" ref="C32:C33" si="4">SUM(C12-C22-C42)</f>
        <v>9.2583333333333346</v>
      </c>
      <c r="F32" s="74" t="s">
        <v>163</v>
      </c>
      <c r="G32" s="74" t="s">
        <v>105</v>
      </c>
      <c r="H32" s="74" t="s">
        <v>164</v>
      </c>
      <c r="I32" s="74" t="s">
        <v>165</v>
      </c>
      <c r="J32" s="74" t="s">
        <v>166</v>
      </c>
    </row>
    <row r="33" spans="1:10" x14ac:dyDescent="0.3">
      <c r="A33" t="str">
        <f>_Blue3</f>
        <v>frc3173</v>
      </c>
      <c r="B33" s="74"/>
      <c r="C33" s="74">
        <f t="shared" si="4"/>
        <v>20.123351648351647</v>
      </c>
      <c r="F33" s="74" t="s">
        <v>167</v>
      </c>
      <c r="G33" s="76">
        <f>COUNTIFS(Dyno_EndMatch[Team],$F$31,Dyno_EndMatch[Strategy],$F33,Dyno_EndMatch[RobotSta],"Amp")</f>
        <v>2</v>
      </c>
      <c r="H33" s="76">
        <f>COUNTIFS(Dyno_EndMatch[Team],$F$31,Dyno_EndMatch[Strategy],$F33,Dyno_EndMatch[RobotSta],"SubW")</f>
        <v>0</v>
      </c>
      <c r="I33" s="76">
        <f>COUNTIFS(Dyno_EndMatch[Team],$F$31,Dyno_EndMatch[Strategy],$F33,Dyno_EndMatch[RobotSta],"Podm")</f>
        <v>0</v>
      </c>
      <c r="J33" s="76">
        <f>COUNTIFS(Dyno_EndMatch[Team],$F$31,Dyno_EndMatch[Strategy],$F33,Dyno_EndMatch[RobotSta],"OppS")</f>
        <v>0</v>
      </c>
    </row>
    <row r="34" spans="1:10" x14ac:dyDescent="0.3">
      <c r="F34" s="74" t="s">
        <v>170</v>
      </c>
      <c r="G34" s="76">
        <f>COUNTIFS(Dyno_EndMatch[Team],$F$31,Dyno_EndMatch[Strategy],$F34,Dyno_EndMatch[RobotSta],"Amp")</f>
        <v>0</v>
      </c>
      <c r="H34" s="76">
        <f>COUNTIFS(Dyno_EndMatch[Team],$F$31,Dyno_EndMatch[Strategy],$F34,Dyno_EndMatch[RobotSta],"SubW")</f>
        <v>0</v>
      </c>
      <c r="I34" s="76">
        <f>COUNTIFS(Dyno_EndMatch[Team],$F$31,Dyno_EndMatch[Strategy],$F34,Dyno_EndMatch[RobotSta],"Podm")</f>
        <v>1</v>
      </c>
      <c r="J34" s="76">
        <f>COUNTIFS(Dyno_EndMatch[Team],$F$31,Dyno_EndMatch[Strategy],$F34,Dyno_EndMatch[RobotSta],"OppS")</f>
        <v>0</v>
      </c>
    </row>
    <row r="35" spans="1:10" x14ac:dyDescent="0.3">
      <c r="F35" s="74" t="s">
        <v>171</v>
      </c>
      <c r="G35" s="76">
        <f>COUNTIFS(Dyno_EndMatch[Team],$F$31,Dyno_EndMatch[Strategy],$F35,Dyno_EndMatch[RobotSta],"Amp")</f>
        <v>0</v>
      </c>
      <c r="H35" s="76">
        <f>COUNTIFS(Dyno_EndMatch[Team],$F$31,Dyno_EndMatch[Strategy],$F35,Dyno_EndMatch[RobotSta],"SubW")</f>
        <v>0</v>
      </c>
      <c r="I35" s="76">
        <f>COUNTIFS(Dyno_EndMatch[Team],$F$31,Dyno_EndMatch[Strategy],$F35,Dyno_EndMatch[RobotSta],"Podm")</f>
        <v>0</v>
      </c>
      <c r="J35" s="76">
        <f>COUNTIFS(Dyno_EndMatch[Team],$F$31,Dyno_EndMatch[Strategy],$F35,Dyno_EndMatch[RobotSta],"OppS")</f>
        <v>0</v>
      </c>
    </row>
    <row r="36" spans="1:10" x14ac:dyDescent="0.3">
      <c r="A36" s="175" t="s">
        <v>179</v>
      </c>
      <c r="B36" s="175"/>
      <c r="C36" s="175"/>
      <c r="F36" s="74" t="s">
        <v>173</v>
      </c>
      <c r="G36" s="76">
        <f>COUNTIFS(Dyno_EndMatch[Team],$F$31,Dyno_EndMatch[Strategy],$F36,Dyno_EndMatch[RobotSta],"Amp")</f>
        <v>0</v>
      </c>
      <c r="H36" s="76">
        <f>COUNTIFS(Dyno_EndMatch[Team],$F$31,Dyno_EndMatch[Strategy],$F36,Dyno_EndMatch[RobotSta],"SubW")</f>
        <v>0</v>
      </c>
      <c r="I36" s="76">
        <f>COUNTIFS(Dyno_EndMatch[Team],$F$31,Dyno_EndMatch[Strategy],$F36,Dyno_EndMatch[RobotSta],"Podm")</f>
        <v>0</v>
      </c>
      <c r="J36" s="76">
        <f>COUNTIFS(Dyno_EndMatch[Team],$F$31,Dyno_EndMatch[Strategy],$F36,Dyno_EndMatch[RobotSta],"OppS")</f>
        <v>0</v>
      </c>
    </row>
    <row r="37" spans="1:10" x14ac:dyDescent="0.3">
      <c r="A37" t="s">
        <v>141</v>
      </c>
      <c r="B37" t="s">
        <v>100</v>
      </c>
      <c r="C37" t="s">
        <v>155</v>
      </c>
      <c r="F37" s="74" t="s">
        <v>174</v>
      </c>
      <c r="G37" s="76">
        <f>COUNTIFS(Dyno_EndMatch[Team],$F$31,Dyno_EndMatch[Strategy],$F37,Dyno_EndMatch[RobotSta],"Amp")</f>
        <v>2</v>
      </c>
      <c r="H37" s="76">
        <f>COUNTIFS(Dyno_EndMatch[Team],$F$31,Dyno_EndMatch[Strategy],$F37,Dyno_EndMatch[RobotSta],"SubW")</f>
        <v>1</v>
      </c>
      <c r="I37" s="76">
        <f>COUNTIFS(Dyno_EndMatch[Team],$F$31,Dyno_EndMatch[Strategy],$F37,Dyno_EndMatch[RobotSta],"Podm")</f>
        <v>2</v>
      </c>
      <c r="J37" s="76">
        <f>COUNTIFS(Dyno_EndMatch[Team],$F$31,Dyno_EndMatch[Strategy],$F37,Dyno_EndMatch[RobotSta],"OppS")</f>
        <v>0</v>
      </c>
    </row>
    <row r="38" spans="1:10" x14ac:dyDescent="0.3">
      <c r="A38" t="str">
        <f>_Red1</f>
        <v>frc1591</v>
      </c>
      <c r="B38" s="74">
        <f>IFERROR(AVERAGEIFS(TBA_Matches_All[stageptsT],TBA_Matches_All[Team],$A38,TBA_Matches_All[Scouted],"&gt;0"),0)</f>
        <v>3</v>
      </c>
      <c r="C38" s="74"/>
      <c r="F38" s="74" t="s">
        <v>175</v>
      </c>
      <c r="G38" s="76">
        <f>COUNTIFS(Dyno_EndMatch[Team],$F$31,Dyno_EndMatch[Strategy],$F38,Dyno_EndMatch[RobotSta],"Amp")</f>
        <v>0</v>
      </c>
      <c r="H38" s="76">
        <f>COUNTIFS(Dyno_EndMatch[Team],$F$31,Dyno_EndMatch[Strategy],$F38,Dyno_EndMatch[RobotSta],"SubW")</f>
        <v>0</v>
      </c>
      <c r="I38" s="76">
        <f>COUNTIFS(Dyno_EndMatch[Team],$F$31,Dyno_EndMatch[Strategy],$F38,Dyno_EndMatch[RobotSta],"Podm")</f>
        <v>0</v>
      </c>
      <c r="J38" s="76">
        <f>COUNTIFS(Dyno_EndMatch[Team],$F$31,Dyno_EndMatch[Strategy],$F38,Dyno_EndMatch[RobotSta],"OppS")</f>
        <v>0</v>
      </c>
    </row>
    <row r="39" spans="1:10" x14ac:dyDescent="0.3">
      <c r="A39" t="str">
        <f>_Red2</f>
        <v>frc5016</v>
      </c>
      <c r="B39" s="74">
        <f>IFERROR(AVERAGEIFS(TBA_Matches_All[stageptsT],TBA_Matches_All[Team],$A39,TBA_Matches_All[Scouted],"&gt;0"),0)</f>
        <v>2.6666666666666665</v>
      </c>
      <c r="C39" s="74"/>
    </row>
    <row r="40" spans="1:10" x14ac:dyDescent="0.3">
      <c r="A40" t="str">
        <f>_Red3</f>
        <v>frc2791</v>
      </c>
      <c r="B40" s="74">
        <f>IFERROR(AVERAGEIFS(TBA_Matches_All[stageptsT],TBA_Matches_All[Team],$A40,TBA_Matches_All[Scouted],"&gt;0"),0)</f>
        <v>3.1666666666666665</v>
      </c>
      <c r="C40" s="74"/>
    </row>
    <row r="41" spans="1:10" x14ac:dyDescent="0.3">
      <c r="A41" t="str">
        <f>_Blue1</f>
        <v>frc5993</v>
      </c>
      <c r="B41" s="74"/>
      <c r="C41" s="74">
        <f>IFERROR(AVERAGEIFS(TBA_Matches_All[stageptsT],TBA_Matches_All[Team],$A41,TBA_Matches_All[Scouted],"&gt;0"),0)</f>
        <v>1.3333333333333333</v>
      </c>
    </row>
    <row r="42" spans="1:10" x14ac:dyDescent="0.3">
      <c r="A42" t="str">
        <f>_Blue2</f>
        <v>frc1559</v>
      </c>
      <c r="B42" s="74"/>
      <c r="C42" s="74">
        <f>IFERROR(AVERAGEIFS(TBA_Matches_All[stageptsT],TBA_Matches_All[Team],$A42,TBA_Matches_All[Scouted],"&gt;0"),0)</f>
        <v>3.1666666666666665</v>
      </c>
    </row>
    <row r="43" spans="1:10" x14ac:dyDescent="0.3">
      <c r="A43" t="str">
        <f>_Blue3</f>
        <v>frc3173</v>
      </c>
      <c r="B43" s="74"/>
      <c r="C43" s="74">
        <f>IFERROR(AVERAGEIFS(TBA_Matches_All[stageptsT],TBA_Matches_All[Team],$A43,TBA_Matches_All[Scouted],"&gt;0"),0)</f>
        <v>0.8</v>
      </c>
    </row>
  </sheetData>
  <mergeCells count="17">
    <mergeCell ref="K1:P1"/>
    <mergeCell ref="G11:J11"/>
    <mergeCell ref="G21:J21"/>
    <mergeCell ref="G31:J31"/>
    <mergeCell ref="M11:N12"/>
    <mergeCell ref="L10:N10"/>
    <mergeCell ref="A6:C6"/>
    <mergeCell ref="A16:C16"/>
    <mergeCell ref="A26:C26"/>
    <mergeCell ref="A36:C36"/>
    <mergeCell ref="F1:I1"/>
    <mergeCell ref="AC1:AF1"/>
    <mergeCell ref="AH1:AK1"/>
    <mergeCell ref="Q11:R12"/>
    <mergeCell ref="U11:V12"/>
    <mergeCell ref="R1:U1"/>
    <mergeCell ref="W1:AA1"/>
  </mergeCells>
  <pageMargins left="0.7" right="0.7" top="0.75" bottom="0.75" header="0.3" footer="0.3"/>
  <ignoredErrors>
    <ignoredError sqref="M14 M15:M29 Q14:Q29 U14:U29 M30:N30 Q30:V30" calculatedColumn="1"/>
  </ignoredErrors>
  <tableParts count="16">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D6AA3-2C54-4DF9-B840-D14337C83B33}">
  <sheetPr codeName="Sheet7">
    <tabColor rgb="FFC9A4E4"/>
  </sheetPr>
  <dimension ref="A1:Z67"/>
  <sheetViews>
    <sheetView workbookViewId="0">
      <selection activeCell="E35" sqref="E35"/>
    </sheetView>
  </sheetViews>
  <sheetFormatPr defaultRowHeight="14.4" x14ac:dyDescent="0.3"/>
  <cols>
    <col min="7" max="7" width="12.109375" bestFit="1" customWidth="1"/>
    <col min="10" max="10" width="9.88671875" customWidth="1"/>
    <col min="11" max="13" width="10.44140625" customWidth="1"/>
    <col min="14" max="14" width="10.6640625" customWidth="1"/>
    <col min="15" max="15" width="11.33203125" customWidth="1"/>
    <col min="16" max="19" width="10.44140625" customWidth="1"/>
    <col min="20" max="26" width="11.44140625" customWidth="1"/>
  </cols>
  <sheetData>
    <row r="1" spans="1:26" x14ac:dyDescent="0.3">
      <c r="A1" s="175" t="s">
        <v>180</v>
      </c>
      <c r="B1" s="175"/>
      <c r="C1" s="175"/>
      <c r="D1" s="175"/>
      <c r="E1" s="175"/>
      <c r="F1" s="175"/>
      <c r="G1" s="175"/>
      <c r="H1" s="175"/>
      <c r="J1" s="175" t="s">
        <v>181</v>
      </c>
      <c r="K1" s="175"/>
      <c r="L1" s="175"/>
      <c r="M1" s="175"/>
      <c r="N1" s="175"/>
    </row>
    <row r="2" spans="1:26" x14ac:dyDescent="0.3">
      <c r="A2" t="s">
        <v>141</v>
      </c>
      <c r="B2" s="74" t="s">
        <v>101</v>
      </c>
      <c r="C2" t="s">
        <v>152</v>
      </c>
      <c r="D2" t="s">
        <v>153</v>
      </c>
      <c r="E2" t="s">
        <v>182</v>
      </c>
      <c r="F2" t="s">
        <v>183</v>
      </c>
      <c r="G2" t="s">
        <v>184</v>
      </c>
      <c r="H2" t="s">
        <v>185</v>
      </c>
      <c r="J2" t="s">
        <v>141</v>
      </c>
      <c r="K2" s="74" t="s">
        <v>101</v>
      </c>
      <c r="L2" s="74" t="s">
        <v>102</v>
      </c>
      <c r="M2" s="74" t="s">
        <v>103</v>
      </c>
      <c r="N2" s="74" t="s">
        <v>104</v>
      </c>
    </row>
    <row r="3" spans="1:26" x14ac:dyDescent="0.3">
      <c r="A3" t="str">
        <f>IF(AllianceA="Red",_Red1, _Blue3)</f>
        <v>frc1591</v>
      </c>
      <c r="B3" s="74">
        <f>IFERROR(AVERAGEIFS(TBA_Matches_All[AampT],TBA_Matches_All[Team],$A3,TBA_Matches_All[Scouted],"&gt;0"),0)</f>
        <v>0</v>
      </c>
      <c r="C3" s="74">
        <f>IFERROR(AVERAGEIFS(TBA_Matches_All[AspkrT],TBA_Matches_All[Team],$A3,TBA_Matches_All[Scouted],"&gt;0"),0)</f>
        <v>3.1428571428571428</v>
      </c>
      <c r="D3" s="74">
        <f>IFERROR(AVERAGEIFS(TBA_Matches_All[AtrapT],TBA_Matches_All[Team],$A3,TBA_Matches_All[Scouted],"&gt;0"),0)</f>
        <v>0</v>
      </c>
      <c r="E3" s="74">
        <f>IFERROR(SUM(SUMIFS(Dyno_Data[DelMiss],Dyno_Data[Team],$A3,Dyno_Data[RecordType],"Activities",Dyno_Data[Mode],"Auto")/COUNTIF(Dyno_EndMatch[Team],$A3)),0)</f>
        <v>0.1111111111111111</v>
      </c>
      <c r="F3" s="74">
        <f>SUM(Auto_Delivs[[#This Row],[Amp]],Auto_Delivs[[#This Row],[Speaker]],Auto_Delivs[[#This Row],[Trap]],Auto_Delivs[[#This Row],[Miss]])</f>
        <v>3.253968253968254</v>
      </c>
      <c r="G3" s="74">
        <f>Auto_Delivs[[#This Row],[Norm]]-Auto_Delivs[[#This Row],[Total Att]]</f>
        <v>0</v>
      </c>
      <c r="H3" s="74">
        <f>MAX(Auto_Delivs[Total Att])</f>
        <v>3.253968253968254</v>
      </c>
      <c r="J3" t="str">
        <f>IF(AllianceA="Red",_Red3,_Blue1)</f>
        <v>frc2791</v>
      </c>
      <c r="K3" s="74" cm="1">
        <f t="array" aca="1" ref="K3" ca="1">SUM(IFERROR(AVERAGEIFS(TBA_Matches_All[AampT],TBA_Matches_All[Team],$J3,TBA_Matches_All[RobotSet],"Amp"),0),IFERROR(AVERAGEIFS(TBA_Matches_All[AspkrT],TBA_Matches_All[Team],$J3,TBA_Matches_All[RobotSet],"Amp"),0),IFERROR(averagifs(TBA_Matches_All[AtrapT],TBA_Matches_All[Team],$J3,TBA_Matches_All[RobotSet],"Amp"),0))</f>
        <v>1.5</v>
      </c>
      <c r="L3" s="74" cm="1">
        <f t="array" aca="1" ref="L3" ca="1">SUM(IFERROR(AVERAGEIFS(TBA_Matches_All[AampT],TBA_Matches_All[Team],$J3,TBA_Matches_All[RobotSet],"SubW"),0),IFERROR(AVERAGEIFS(TBA_Matches_All[AspkrT],TBA_Matches_All[Team],$J3,TBA_Matches_All[RobotSet],"SubW"),0),IFERROR(averagifs(TBA_Matches_All[AtrapT],TBA_Matches_All[Team],$J3,TBA_Matches_All[RobotSet],"SubW"),0))</f>
        <v>1</v>
      </c>
      <c r="M3" s="74" cm="1">
        <f t="array" aca="1" ref="M3" ca="1">SUM(IFERROR(AVERAGEIFS(TBA_Matches_All[AampT],TBA_Matches_All[Team],$J3,TBA_Matches_All[RobotSet],"Podm"),0),IFERROR(AVERAGEIFS(TBA_Matches_All[AspkrT],TBA_Matches_All[Team],$J3,TBA_Matches_All[RobotSet],"Podm"),0),IFERROR(averagifs(TBA_Matches_All[AtrapT],TBA_Matches_All[Team],$J3,TBA_Matches_All[RobotSet],"Podm"),0))</f>
        <v>0.33333333333333331</v>
      </c>
      <c r="N3" s="74" cm="1">
        <f t="array" aca="1" ref="N3" ca="1">SUM(IFERROR(AVERAGEIFS(TBA_Matches_All[AampT],TBA_Matches_All[Team],$J3,TBA_Matches_All[RobotSet],"OppS"),0),IFERROR(AVERAGEIFS(TBA_Matches_All[AspkrT],TBA_Matches_All[Team],$J3,TBA_Matches_All[RobotSet],"OppS"),0),IFERROR(averagifs(TBA_Matches_All[AtrapT],TBA_Matches_All[Team],$J3,TBA_Matches_All[RobotSet],"OppS"),0))</f>
        <v>0</v>
      </c>
    </row>
    <row r="4" spans="1:26" x14ac:dyDescent="0.3">
      <c r="A4" t="str">
        <f>IF(AllianceA="Red",_Red2, _Blue2)</f>
        <v>frc5016</v>
      </c>
      <c r="B4" s="74">
        <f>IFERROR(AVERAGEIFS(TBA_Matches_All[AampT],TBA_Matches_All[Team],$A4,TBA_Matches_All[Scouted],"&gt;0"),0)</f>
        <v>0</v>
      </c>
      <c r="C4" s="74">
        <f>IFERROR(AVERAGEIFS(TBA_Matches_All[AspkrT],TBA_Matches_All[Team],$A4,TBA_Matches_All[Scouted],"&gt;0"),0)</f>
        <v>0.66666666666666663</v>
      </c>
      <c r="D4" s="74">
        <f>IFERROR(AVERAGEIFS(TBA_Matches_All[AtrapT],TBA_Matches_All[Team],$A4,TBA_Matches_All[Scouted],"&gt;0"),0)</f>
        <v>0</v>
      </c>
      <c r="E4" s="74">
        <f>IFERROR(SUM(SUMIFS(Dyno_Data[DelMiss],Dyno_Data[Team],$A4,Dyno_Data[RecordType],"Activities",Dyno_Data[Mode],"Auto")/COUNTIF(Dyno_EndMatch[Team],$A4)),0)</f>
        <v>0.25</v>
      </c>
      <c r="F4" s="74">
        <f>SUM(Auto_Delivs[[#This Row],[Amp]],Auto_Delivs[[#This Row],[Speaker]],Auto_Delivs[[#This Row],[Trap]],Auto_Delivs[[#This Row],[Miss]])</f>
        <v>0.91666666666666663</v>
      </c>
      <c r="G4" s="74">
        <f>Auto_Delivs[[#This Row],[Norm]]-Auto_Delivs[[#This Row],[Total Att]]</f>
        <v>2.3373015873015874</v>
      </c>
      <c r="H4" s="74">
        <f>MAX(Auto_Delivs[Total Att])</f>
        <v>3.253968253968254</v>
      </c>
      <c r="J4" t="str">
        <f>IF(AllianceA="Red",_Red2,_Blue2)</f>
        <v>frc5016</v>
      </c>
      <c r="K4" s="74" cm="1">
        <f t="array" aca="1" ref="K4" ca="1">SUM(IFERROR(AVERAGEIFS(TBA_Matches_All[AampT],TBA_Matches_All[Team],$J4,TBA_Matches_All[RobotSet],"Amp"),0),IFERROR(AVERAGEIFS(TBA_Matches_All[AspkrT],TBA_Matches_All[Team],$J4,TBA_Matches_All[RobotSet],"Amp"),0),IFERROR(averagifs(TBA_Matches_All[AtrapT],TBA_Matches_All[Team],$J4,TBA_Matches_All[RobotSet],"Amp"),0))</f>
        <v>1</v>
      </c>
      <c r="L4" s="74" cm="1">
        <f t="array" aca="1" ref="L4" ca="1">SUM(IFERROR(AVERAGEIFS(TBA_Matches_All[AampT],TBA_Matches_All[Team],$J4,TBA_Matches_All[RobotSet],"SubW"),0),IFERROR(AVERAGEIFS(TBA_Matches_All[AspkrT],TBA_Matches_All[Team],$J4,TBA_Matches_All[RobotSet],"SubW"),0),IFERROR(averagifs(TBA_Matches_All[AtrapT],TBA_Matches_All[Team],$J4,TBA_Matches_All[RobotSet],"SubW"),0))</f>
        <v>1</v>
      </c>
      <c r="M4" s="74" cm="1">
        <f t="array" aca="1" ref="M4" ca="1">SUM(IFERROR(AVERAGEIFS(TBA_Matches_All[AampT],TBA_Matches_All[Team],$J4,TBA_Matches_All[RobotSet],"Podm"),0),IFERROR(AVERAGEIFS(TBA_Matches_All[AspkrT],TBA_Matches_All[Team],$J4,TBA_Matches_All[RobotSet],"Podm"),0),IFERROR(averagifs(TBA_Matches_All[AtrapT],TBA_Matches_All[Team],$J4,TBA_Matches_All[RobotSet],"Podm"),0))</f>
        <v>0</v>
      </c>
      <c r="N4" s="74" cm="1">
        <f t="array" aca="1" ref="N4" ca="1">SUM(IFERROR(AVERAGEIFS(TBA_Matches_All[AampT],TBA_Matches_All[Team],$J4,TBA_Matches_All[RobotSet],"OppS"),0),IFERROR(AVERAGEIFS(TBA_Matches_All[AspkrT],TBA_Matches_All[Team],$J4,TBA_Matches_All[RobotSet],"OppS"),0),IFERROR(averagifs(TBA_Matches_All[AtrapT],TBA_Matches_All[Team],$J4,TBA_Matches_All[RobotSet],"OppS"),0))</f>
        <v>0</v>
      </c>
    </row>
    <row r="5" spans="1:26" x14ac:dyDescent="0.3">
      <c r="A5" t="str">
        <f>IF(AllianceA="Red",_Red3, _Blue1)</f>
        <v>frc2791</v>
      </c>
      <c r="B5" s="74">
        <f>IFERROR(AVERAGEIFS(TBA_Matches_All[AampT],TBA_Matches_All[Team],$A5,TBA_Matches_All[Scouted],"&gt;0"),0)</f>
        <v>0</v>
      </c>
      <c r="C5" s="74">
        <f>IFERROR(AVERAGEIFS(TBA_Matches_All[AspkrT],TBA_Matches_All[Team],$A5,TBA_Matches_All[Scouted],"&gt;0"),0)</f>
        <v>0.83333333333333337</v>
      </c>
      <c r="D5" s="74">
        <f>IFERROR(AVERAGEIFS(TBA_Matches_All[AtrapT],TBA_Matches_All[Team],$A5,TBA_Matches_All[Scouted],"&gt;0"),0)</f>
        <v>0</v>
      </c>
      <c r="E5" s="74">
        <f>IFERROR(SUM(SUMIFS(Dyno_Data[DelMiss],Dyno_Data[Team],$A5,Dyno_Data[RecordType],"Activities",Dyno_Data[Mode],"Auto")/COUNTIF(Dyno_EndMatch[Team],$A5)),0)</f>
        <v>0.42857142857142855</v>
      </c>
      <c r="F5" s="74">
        <f>SUM(Auto_Delivs[[#This Row],[Amp]],Auto_Delivs[[#This Row],[Speaker]],Auto_Delivs[[#This Row],[Trap]],Auto_Delivs[[#This Row],[Miss]])</f>
        <v>1.2619047619047619</v>
      </c>
      <c r="G5" s="74">
        <f>Auto_Delivs[[#This Row],[Norm]]-Auto_Delivs[[#This Row],[Total Att]]</f>
        <v>1.9920634920634921</v>
      </c>
      <c r="H5" s="74">
        <f>MAX(Auto_Delivs[Total Att])</f>
        <v>3.253968253968254</v>
      </c>
      <c r="J5" t="str">
        <f>IF(AllianceA="Red",_Red1,_Blue3)</f>
        <v>frc1591</v>
      </c>
      <c r="K5" s="74" cm="1">
        <f t="array" aca="1" ref="K5" ca="1">SUM(IFERROR(AVERAGEIFS(TBA_Matches_All[AampT],TBA_Matches_All[Team],$J5,TBA_Matches_All[RobotSet],"Amp"),0),IFERROR(AVERAGEIFS(TBA_Matches_All[AspkrT],TBA_Matches_All[Team],$J5,TBA_Matches_All[RobotSet],"Amp"),0),IFERROR(averagifs(TBA_Matches_All[AtrapT],TBA_Matches_All[Team],$J5,TBA_Matches_All[RobotSet],"Amp"),0))</f>
        <v>0</v>
      </c>
      <c r="L5" s="74" cm="1">
        <f t="array" aca="1" ref="L5" ca="1">SUM(IFERROR(AVERAGEIFS(TBA_Matches_All[AampT],TBA_Matches_All[Team],$J5,TBA_Matches_All[RobotSet],"SubW"),0),IFERROR(AVERAGEIFS(TBA_Matches_All[AspkrT],TBA_Matches_All[Team],$J5,TBA_Matches_All[RobotSet],"SubW"),0),IFERROR(averagifs(TBA_Matches_All[AtrapT],TBA_Matches_All[Team],$J5,TBA_Matches_All[RobotSet],"SubW"),0))</f>
        <v>3.3333333333333335</v>
      </c>
      <c r="M5" s="74" cm="1">
        <f t="array" aca="1" ref="M5" ca="1">SUM(IFERROR(AVERAGEIFS(TBA_Matches_All[AampT],TBA_Matches_All[Team],$J5,TBA_Matches_All[RobotSet],"Podm"),0),IFERROR(AVERAGEIFS(TBA_Matches_All[AspkrT],TBA_Matches_All[Team],$J5,TBA_Matches_All[RobotSet],"Podm"),0),IFERROR(averagifs(TBA_Matches_All[AtrapT],TBA_Matches_All[Team],$J5,TBA_Matches_All[RobotSet],"Podm"),0))</f>
        <v>2</v>
      </c>
      <c r="N5" s="74" cm="1">
        <f t="array" aca="1" ref="N5" ca="1">SUM(IFERROR(AVERAGEIFS(TBA_Matches_All[AampT],TBA_Matches_All[Team],$J5,TBA_Matches_All[RobotSet],"OppS"),0),IFERROR(AVERAGEIFS(TBA_Matches_All[AspkrT],TBA_Matches_All[Team],$J5,TBA_Matches_All[RobotSet],"OppS"),0),IFERROR(averagifs(TBA_Matches_All[AtrapT],TBA_Matches_All[Team],$J5,TBA_Matches_All[RobotSet],"OppS"),0))</f>
        <v>0</v>
      </c>
    </row>
    <row r="7" spans="1:26" ht="15" thickBot="1" x14ac:dyDescent="0.35">
      <c r="J7" s="5"/>
    </row>
    <row r="8" spans="1:26" ht="15" thickTop="1" x14ac:dyDescent="0.3">
      <c r="A8" s="95" t="str">
        <f>IF(AllianceA="Red",_Red3,_Blue1)</f>
        <v>frc2791</v>
      </c>
      <c r="B8" s="185" t="s">
        <v>186</v>
      </c>
      <c r="C8" s="185"/>
      <c r="D8" s="185"/>
      <c r="E8" s="185"/>
      <c r="F8" s="185"/>
      <c r="G8" s="186"/>
      <c r="J8" s="184" t="s">
        <v>187</v>
      </c>
      <c r="K8" s="185"/>
      <c r="L8" s="185"/>
      <c r="M8" s="185"/>
      <c r="N8" s="185"/>
      <c r="O8" s="185"/>
      <c r="P8" s="185"/>
      <c r="Q8" s="185"/>
      <c r="R8" s="185"/>
      <c r="S8" s="185"/>
      <c r="T8" s="185"/>
      <c r="U8" s="185"/>
      <c r="V8" s="185"/>
      <c r="W8" s="185"/>
      <c r="X8" s="185"/>
      <c r="Y8" s="185"/>
      <c r="Z8" s="186"/>
    </row>
    <row r="9" spans="1:26" x14ac:dyDescent="0.3">
      <c r="A9" s="84" t="s">
        <v>188</v>
      </c>
      <c r="B9" t="s">
        <v>189</v>
      </c>
      <c r="C9" t="s">
        <v>190</v>
      </c>
      <c r="D9" t="s">
        <v>191</v>
      </c>
      <c r="E9" t="s">
        <v>192</v>
      </c>
      <c r="F9" t="s">
        <v>193</v>
      </c>
      <c r="G9" s="85" t="s">
        <v>194</v>
      </c>
      <c r="J9" s="84" t="str">
        <f>IF(AllianceA="Red",_Red3,_Blue1)</f>
        <v>frc2791</v>
      </c>
      <c r="K9">
        <f>IF(1&lt;=_xlfn.MAXIFS(TBA_Matches_All[teammatch],TBA_Matches_All[Team],$J9),1,"")</f>
        <v>1</v>
      </c>
      <c r="L9">
        <f>IF(2&lt;=_xlfn.MAXIFS(TBA_Matches_All[teammatch],TBA_Matches_All[Team],$J9),2,"")</f>
        <v>2</v>
      </c>
      <c r="M9">
        <f>IF(3&lt;=_xlfn.MAXIFS(TBA_Matches_All[teammatch],TBA_Matches_All[Team],$J9),3,"")</f>
        <v>3</v>
      </c>
      <c r="N9">
        <f>IF(4&lt;=_xlfn.MAXIFS(TBA_Matches_All[teammatch],TBA_Matches_All[Team],$J9),4,"")</f>
        <v>4</v>
      </c>
      <c r="O9">
        <f>IF(5&lt;=_xlfn.MAXIFS(TBA_Matches_All[teammatch],TBA_Matches_All[Team],$J9),5,"")</f>
        <v>5</v>
      </c>
      <c r="P9">
        <f>IF(6&lt;=_xlfn.MAXIFS(TBA_Matches_All[teammatch],TBA_Matches_All[Team],$J9),6,"")</f>
        <v>6</v>
      </c>
      <c r="Q9">
        <f>IF(7&lt;=_xlfn.MAXIFS(TBA_Matches_All[teammatch],TBA_Matches_All[Team],$J9),7,"")</f>
        <v>7</v>
      </c>
      <c r="R9" t="str">
        <f>IF(8&lt;=_xlfn.MAXIFS(TBA_Matches_All[teammatch],TBA_Matches_All[Team],$J9),8,"")</f>
        <v/>
      </c>
      <c r="S9" t="str">
        <f>IF(9&lt;=_xlfn.MAXIFS(TBA_Matches_All[teammatch],TBA_Matches_All[Team],$J9),9,"")</f>
        <v/>
      </c>
      <c r="T9" t="str">
        <f>IF(10&lt;=_xlfn.MAXIFS(TBA_Matches_All[teammatch],TBA_Matches_All[Team],$J9),10,"")</f>
        <v/>
      </c>
      <c r="U9" t="str">
        <f>IF(11&lt;=_xlfn.MAXIFS(TBA_Matches_All[teammatch],TBA_Matches_All[Team],$J9),11,"")</f>
        <v/>
      </c>
      <c r="V9" t="str">
        <f>IF(12&lt;=_xlfn.MAXIFS(TBA_Matches_All[teammatch],TBA_Matches_All[Team],$J9),12,"")</f>
        <v/>
      </c>
      <c r="W9" t="str">
        <f>IF(13&lt;=_xlfn.MAXIFS(TBA_Matches_All[teammatch],TBA_Matches_All[Team],$J9),13,"")</f>
        <v/>
      </c>
      <c r="X9" t="str">
        <f>IF(14&lt;=_xlfn.MAXIFS(TBA_Matches_All[teammatch],TBA_Matches_All[Team],$J9),14,"")</f>
        <v/>
      </c>
      <c r="Y9" t="str">
        <f>IF(15&lt;=_xlfn.MAXIFS(TBA_Matches_All[teammatch],TBA_Matches_All[Team],$J9),15,"")</f>
        <v/>
      </c>
      <c r="Z9" s="85" t="str">
        <f>IF(16&lt;=_xlfn.MAXIFS(TBA_Matches_All[teammatch],TBA_Matches_All[Team],$J9),16,"")</f>
        <v/>
      </c>
    </row>
    <row r="10" spans="1:26" ht="15" thickBot="1" x14ac:dyDescent="0.35">
      <c r="A10" s="84" t="s">
        <v>195</v>
      </c>
      <c r="B10">
        <v>25</v>
      </c>
      <c r="C10" s="96">
        <f>SUM((E11-E10)/(E12-E10))*50-C11</f>
        <v>-1.5</v>
      </c>
      <c r="D10" s="97">
        <f>SUM(B13:B15)-D12</f>
        <v>93.166666666666671</v>
      </c>
      <c r="E10" s="107">
        <f>MIN(TBA_Rankings[aveAampT])</f>
        <v>0</v>
      </c>
      <c r="F10" s="107">
        <f>MIN(TBA_Rankings[aveAspkrT])</f>
        <v>0</v>
      </c>
      <c r="G10" s="98" t="s">
        <v>196</v>
      </c>
      <c r="J10" s="84"/>
      <c r="K10" s="114" t="str">
        <f>IFERROR(_xlfn.CONCAT(K$11," (",LEFT(_xlfn.XLOOKUP(MID($J$9,4,5)+K$11/100,TBA_Matches_All[teammat],TBA_Matches_All[RobotSet],"",0,1),1),")"),"")</f>
        <v>7 (A)</v>
      </c>
      <c r="L10" s="114" t="str">
        <f>IFERROR(_xlfn.CONCAT(L11," (",LEFT(_xlfn.XLOOKUP(MID($J$9,4,5)+L$11/100,TBA_Matches_All[teammat],TBA_Matches_All[RobotSet],"",0,1),1),")"),"")</f>
        <v>14 (A)</v>
      </c>
      <c r="M10" s="114" t="str">
        <f>IFERROR(_xlfn.CONCAT(M11," (",LEFT(_xlfn.XLOOKUP(MID($J$9,4,5)+M$11/100,TBA_Matches_All[teammat],TBA_Matches_All[RobotSet],"",0,1),1),")"),"")</f>
        <v>19 (S)</v>
      </c>
      <c r="N10" s="114" t="str">
        <f>IFERROR(_xlfn.CONCAT(N11," (",LEFT(_xlfn.XLOOKUP(MID($J$9,4,5)+N$11/100,TBA_Matches_All[teammat],TBA_Matches_All[RobotSet],"",0,1),1),")"),"")</f>
        <v>29 (_)</v>
      </c>
      <c r="O10" s="114" t="str">
        <f>IFERROR(_xlfn.CONCAT(O11," (",LEFT(_xlfn.XLOOKUP(MID($J$9,4,5)+O$11/100,TBA_Matches_All[teammat],TBA_Matches_All[RobotSet],"",0,1),1),")"),"")</f>
        <v>40 (P)</v>
      </c>
      <c r="P10" s="114" t="str">
        <f>IFERROR(_xlfn.CONCAT(P11," (",LEFT(_xlfn.XLOOKUP(MID($J$9,4,5)+P$11/100,TBA_Matches_All[teammat],TBA_Matches_All[RobotSet],"",0,1),1),")"),"")</f>
        <v>51 (P)</v>
      </c>
      <c r="Q10" s="114" t="str">
        <f>IFERROR(_xlfn.CONCAT(Q11," (",LEFT(_xlfn.XLOOKUP(MID($J$9,4,5)+Q$11/100,TBA_Matches_All[teammat],TBA_Matches_All[RobotSet],"",0,1),1),")"),"")</f>
        <v>56 (P)</v>
      </c>
      <c r="R10" s="114" t="str">
        <f>IFERROR(_xlfn.CONCAT(R11," (",LEFT(_xlfn.XLOOKUP(MID($J$9,4,5)+R$11/100,TBA_Matches_All[teammat],TBA_Matches_All[RobotSet],"",0,1),1),")"),"")</f>
        <v/>
      </c>
      <c r="S10" s="114" t="str">
        <f>IFERROR(_xlfn.CONCAT(S11," (",LEFT(_xlfn.XLOOKUP(MID($J$9,4,5)+S$11/100,TBA_Matches_All[teammat],TBA_Matches_All[RobotSet],"",0,1),1),")"),"")</f>
        <v/>
      </c>
      <c r="T10" s="114" t="str">
        <f>IFERROR(_xlfn.CONCAT(T11," (",LEFT(_xlfn.XLOOKUP(MID($J$9,4,5)+T$11/100,TBA_Matches_All[teammat],TBA_Matches_All[RobotSet],"",0,1),1),")"),"")</f>
        <v/>
      </c>
      <c r="U10" s="114" t="str">
        <f>IFERROR(_xlfn.CONCAT(U11," (",LEFT(_xlfn.XLOOKUP(MID($J$9,4,5)+U$11/100,TBA_Matches_All[teammat],TBA_Matches_All[RobotSet],"",0,1),1),")"),"")</f>
        <v/>
      </c>
      <c r="V10" s="114" t="str">
        <f>IFERROR(_xlfn.CONCAT(V11," (",LEFT(_xlfn.XLOOKUP(MID($J$9,4,5)+V$11/100,TBA_Matches_All[teammat],TBA_Matches_All[RobotSet],"",0,1),1),")"),"")</f>
        <v/>
      </c>
      <c r="W10" s="114" t="str">
        <f>IFERROR(_xlfn.CONCAT(W11," (",LEFT(_xlfn.XLOOKUP(MID($J$9,4,5)+W$11/100,TBA_Matches_All[teammat],TBA_Matches_All[RobotSet],"",0,1),1),")"),"")</f>
        <v/>
      </c>
      <c r="X10" s="114" t="str">
        <f>IFERROR(_xlfn.CONCAT(X11," (",LEFT(_xlfn.XLOOKUP(MID($J$9,4,5)+X$11/100,TBA_Matches_All[teammat],TBA_Matches_All[RobotSet],"",0,1),1),")"),"")</f>
        <v/>
      </c>
      <c r="Y10" s="114" t="str">
        <f>IFERROR(_xlfn.CONCAT(Y11," (",LEFT(_xlfn.XLOOKUP(MID($J$9,4,5)+Y$11/100,TBA_Matches_All[teammat],TBA_Matches_All[RobotSet],"",0,1),1),")"),"")</f>
        <v/>
      </c>
      <c r="Z10" s="115" t="str">
        <f>IFERROR(_xlfn.CONCAT(Z11," (",LEFT(_xlfn.XLOOKUP(MID($J$9,4,5)+Z$11/100,TBA_Matches_All[teammat],TBA_Matches_All[RobotSet],"",0,1),1),")"),"")</f>
        <v/>
      </c>
    </row>
    <row r="11" spans="1:26" ht="15" thickBot="1" x14ac:dyDescent="0.35">
      <c r="A11" s="84" t="s">
        <v>197</v>
      </c>
      <c r="B11">
        <v>50</v>
      </c>
      <c r="C11" s="4">
        <v>1.5</v>
      </c>
      <c r="D11" s="4">
        <v>1.5</v>
      </c>
      <c r="E11" s="108">
        <f>SUMIF(TBA_Rankings[Team],$A$8,TBA_Rankings[aveAampT])</f>
        <v>0</v>
      </c>
      <c r="F11" s="108">
        <f>SUMIF(TBA_Rankings[Team],$A$8,TBA_Rankings[aveAspkrT])</f>
        <v>0.83333333333333337</v>
      </c>
      <c r="G11" s="99" t="s">
        <v>198</v>
      </c>
      <c r="J11" s="84"/>
      <c r="K11">
        <f>IF(K9&lt;=_xlfn.MAXIFS(TBA_Matches_All[teammatch],TBA_Matches_All[Team],$J9),SUMIFS(TBA_Matches_All[Match_Number],TBA_Matches_All[Team],$J9,TBA_Matches_All[teammatch],K9),"")</f>
        <v>7</v>
      </c>
      <c r="L11">
        <f>IF(L9&lt;=_xlfn.MAXIFS(TBA_Matches_All[teammatch],TBA_Matches_All[Team],$J9),SUMIFS(TBA_Matches_All[Match_Number],TBA_Matches_All[Team],$J9,TBA_Matches_All[teammatch],L9),"")</f>
        <v>14</v>
      </c>
      <c r="M11">
        <f>IF(M9&lt;=_xlfn.MAXIFS(TBA_Matches_All[teammatch],TBA_Matches_All[Team],$J9),SUMIFS(TBA_Matches_All[Match_Number],TBA_Matches_All[Team],$J9,TBA_Matches_All[teammatch],M9),"")</f>
        <v>19</v>
      </c>
      <c r="N11">
        <f>IF(N9&lt;=_xlfn.MAXIFS(TBA_Matches_All[teammatch],TBA_Matches_All[Team],$J9),SUMIFS(TBA_Matches_All[Match_Number],TBA_Matches_All[Team],$J9,TBA_Matches_All[teammatch],N9),"")</f>
        <v>29</v>
      </c>
      <c r="O11">
        <f>IF(O9&lt;=_xlfn.MAXIFS(TBA_Matches_All[teammatch],TBA_Matches_All[Team],$J9),SUMIFS(TBA_Matches_All[Match_Number],TBA_Matches_All[Team],$J9,TBA_Matches_All[teammatch],O9),"")</f>
        <v>40</v>
      </c>
      <c r="P11">
        <f>IF(P9&lt;=_xlfn.MAXIFS(TBA_Matches_All[teammatch],TBA_Matches_All[Team],$J9),SUMIFS(TBA_Matches_All[Match_Number],TBA_Matches_All[Team],$J9,TBA_Matches_All[teammatch],P9),"")</f>
        <v>51</v>
      </c>
      <c r="Q11">
        <f>IF(Q9&lt;=_xlfn.MAXIFS(TBA_Matches_All[teammatch],TBA_Matches_All[Team],$J9),SUMIFS(TBA_Matches_All[Match_Number],TBA_Matches_All[Team],$J9,TBA_Matches_All[teammatch],Q9),"")</f>
        <v>56</v>
      </c>
      <c r="R11" t="str">
        <f>IF(R9&lt;=_xlfn.MAXIFS(TBA_Matches_All[teammatch],TBA_Matches_All[Team],$J9),SUMIFS(TBA_Matches_All[Match_Number],TBA_Matches_All[Team],$J9,TBA_Matches_All[teammatch],R9),"")</f>
        <v/>
      </c>
      <c r="S11" t="str">
        <f>IF(S9&lt;=_xlfn.MAXIFS(TBA_Matches_All[teammatch],TBA_Matches_All[Team],$J9),SUMIFS(TBA_Matches_All[Match_Number],TBA_Matches_All[Team],$J9,TBA_Matches_All[teammatch],S9),"")</f>
        <v/>
      </c>
      <c r="T11" t="str">
        <f>IF(T9&lt;=_xlfn.MAXIFS(TBA_Matches_All[teammatch],TBA_Matches_All[Team],$J9),SUMIFS(TBA_Matches_All[Match_Number],TBA_Matches_All[Team],$J9,TBA_Matches_All[teammatch],T9),"")</f>
        <v/>
      </c>
      <c r="U11" t="str">
        <f>IF(U9&lt;=_xlfn.MAXIFS(TBA_Matches_All[teammatch],TBA_Matches_All[Team],$J9),SUMIFS(TBA_Matches_All[Match_Number],TBA_Matches_All[Team],$J9,TBA_Matches_All[teammatch],U9),"")</f>
        <v/>
      </c>
      <c r="V11" t="str">
        <f>IF(V9&lt;=_xlfn.MAXIFS(TBA_Matches_All[teammatch],TBA_Matches_All[Team],$J9),SUMIFS(TBA_Matches_All[Match_Number],TBA_Matches_All[Team],$J9,TBA_Matches_All[teammatch],V9),"")</f>
        <v/>
      </c>
      <c r="W11" t="str">
        <f>IF(W9&lt;=_xlfn.MAXIFS(TBA_Matches_All[teammatch],TBA_Matches_All[Team],$J9),SUMIFS(TBA_Matches_All[Match_Number],TBA_Matches_All[Team],$J9,TBA_Matches_All[teammatch],W9),"")</f>
        <v/>
      </c>
      <c r="X11" t="str">
        <f>IF(X9&lt;=_xlfn.MAXIFS(TBA_Matches_All[teammatch],TBA_Matches_All[Team],$J9),SUMIFS(TBA_Matches_All[Match_Number],TBA_Matches_All[Team],$J9,TBA_Matches_All[teammatch],X9),"")</f>
        <v/>
      </c>
      <c r="Y11" t="str">
        <f>IF(Y9&lt;=_xlfn.MAXIFS(TBA_Matches_All[teammatch],TBA_Matches_All[Team],$J9),SUMIFS(TBA_Matches_All[Match_Number],TBA_Matches_All[Team],$J9,TBA_Matches_All[teammatch],Y9),"")</f>
        <v/>
      </c>
      <c r="Z11" s="85" t="str">
        <f>IF(Z9&lt;=_xlfn.MAXIFS(TBA_Matches_All[teammatch],TBA_Matches_All[Team],$J9),SUMIFS(TBA_Matches_All[Match_Number],TBA_Matches_All[Team],$J9,TBA_Matches_All[teammatch],Z9),"")</f>
        <v/>
      </c>
    </row>
    <row r="12" spans="1:26" x14ac:dyDescent="0.3">
      <c r="A12" s="84" t="s">
        <v>199</v>
      </c>
      <c r="B12">
        <v>25</v>
      </c>
      <c r="C12" s="97">
        <f>SUM(B10:B12)-SUM(C10:C11)</f>
        <v>100</v>
      </c>
      <c r="D12" s="96">
        <f>SUM((F11-F10)/(F12-F10))*50-D11</f>
        <v>6.8333333333333339</v>
      </c>
      <c r="E12" s="109">
        <f>MAX(TBA_Rankings[aveAampT])</f>
        <v>0.2</v>
      </c>
      <c r="F12" s="109">
        <f>MAX(TBA_Rankings[aveAspkrT])</f>
        <v>5</v>
      </c>
      <c r="G12" s="100" t="s">
        <v>200</v>
      </c>
      <c r="J12" t="s">
        <v>201</v>
      </c>
      <c r="K12" t="s">
        <v>202</v>
      </c>
      <c r="L12" t="s">
        <v>203</v>
      </c>
      <c r="M12" t="s">
        <v>204</v>
      </c>
      <c r="N12" t="s">
        <v>205</v>
      </c>
      <c r="O12" t="s">
        <v>206</v>
      </c>
      <c r="P12" t="s">
        <v>207</v>
      </c>
      <c r="Q12" t="s">
        <v>208</v>
      </c>
      <c r="R12" t="s">
        <v>209</v>
      </c>
      <c r="S12" t="s">
        <v>210</v>
      </c>
      <c r="T12" t="s">
        <v>211</v>
      </c>
      <c r="U12" t="s">
        <v>212</v>
      </c>
      <c r="V12" t="s">
        <v>213</v>
      </c>
      <c r="W12" t="s">
        <v>214</v>
      </c>
      <c r="X12" t="s">
        <v>215</v>
      </c>
      <c r="Y12" t="s">
        <v>216</v>
      </c>
      <c r="Z12" t="s">
        <v>217</v>
      </c>
    </row>
    <row r="13" spans="1:26" ht="15" thickBot="1" x14ac:dyDescent="0.35">
      <c r="A13" s="84" t="s">
        <v>218</v>
      </c>
      <c r="B13">
        <v>25</v>
      </c>
      <c r="G13" s="101" t="s">
        <v>219</v>
      </c>
      <c r="J13">
        <v>1</v>
      </c>
      <c r="K13">
        <f>IFERROR(SUM((SUMIFS(Dyno_Data[AcqCenter],Dyno_Data[Team],$J$9, Dyno_Data[Match],K$11,Dyno_Data[TimeCenter],CenterTime_Amp[[#This Row],[Seconds]])+K$11/100)*SUMIFS(Dyno_Data[AcqDis],Dyno_Data[Team],$J$9, Dyno_Data[Match],K$11,Dyno_Data[TimeCenter],CenterTime_Amp[[#This Row],[Seconds]])),"")</f>
        <v>0</v>
      </c>
      <c r="L13">
        <f>IFERROR(SUM((SUMIFS(Dyno_Data[AcqCenter],Dyno_Data[Team],$J$9, Dyno_Data[Match],L$11,Dyno_Data[TimeCenter],CenterTime_Amp[[#This Row],[Seconds]])+L$11/100)*SUMIFS(Dyno_Data[AcqDis],Dyno_Data[Team],$J$9, Dyno_Data[Match],L$11,Dyno_Data[TimeCenter],CenterTime_Amp[[#This Row],[Seconds]])),"")</f>
        <v>0</v>
      </c>
      <c r="M13">
        <f>IFERROR(SUM((SUMIFS(Dyno_Data[AcqCenter],Dyno_Data[Team],$J$9, Dyno_Data[Match],M$11,Dyno_Data[TimeCenter],CenterTime_Amp[[#This Row],[Seconds]])+M$11/100)*SUMIFS(Dyno_Data[AcqDis],Dyno_Data[Team],$J$9, Dyno_Data[Match],M$11,Dyno_Data[TimeCenter],CenterTime_Amp[[#This Row],[Seconds]])),"")</f>
        <v>0</v>
      </c>
      <c r="N13">
        <f>IFERROR(SUM((SUMIFS(Dyno_Data[AcqCenter],Dyno_Data[Team],$J$9, Dyno_Data[Match],N$11,Dyno_Data[TimeCenter],CenterTime_Amp[[#This Row],[Seconds]])+N$11/100)*SUMIFS(Dyno_Data[AcqDis],Dyno_Data[Team],$J$9, Dyno_Data[Match],N$11,Dyno_Data[TimeCenter],CenterTime_Amp[[#This Row],[Seconds]])),"")</f>
        <v>0</v>
      </c>
      <c r="O13">
        <f>IFERROR(SUM((SUMIFS(Dyno_Data[AcqCenter],Dyno_Data[Team],$J$9, Dyno_Data[Match],O$11,Dyno_Data[TimeCenter],CenterTime_Amp[[#This Row],[Seconds]])+O$11/100)*SUMIFS(Dyno_Data[AcqDis],Dyno_Data[Team],$J$9, Dyno_Data[Match],O$11,Dyno_Data[TimeCenter],CenterTime_Amp[[#This Row],[Seconds]])),"")</f>
        <v>0</v>
      </c>
      <c r="P13">
        <f>IFERROR(SUM((SUMIFS(Dyno_Data[AcqCenter],Dyno_Data[Team],$J$9, Dyno_Data[Match],P$11,Dyno_Data[TimeCenter],CenterTime_Amp[[#This Row],[Seconds]])+P$11/100)*SUMIFS(Dyno_Data[AcqDis],Dyno_Data[Team],$J$9, Dyno_Data[Match],P$11,Dyno_Data[TimeCenter],CenterTime_Amp[[#This Row],[Seconds]])),"")</f>
        <v>0</v>
      </c>
      <c r="Q13">
        <f>IFERROR(SUM((SUMIFS(Dyno_Data[AcqCenter],Dyno_Data[Team],$J$9, Dyno_Data[Match],Q$11,Dyno_Data[TimeCenter],CenterTime_Amp[[#This Row],[Seconds]])+Q$11/100)*SUMIFS(Dyno_Data[AcqDis],Dyno_Data[Team],$J$9, Dyno_Data[Match],Q$11,Dyno_Data[TimeCenter],CenterTime_Amp[[#This Row],[Seconds]])),"")</f>
        <v>0</v>
      </c>
      <c r="R13" t="str">
        <f>IFERROR(SUM((SUMIFS(Dyno_Data[AcqCenter],Dyno_Data[Team],$J$9, Dyno_Data[Match],R$11,Dyno_Data[TimeCenter],CenterTime_Amp[[#This Row],[Seconds]])+R$11/100)*SUMIFS(Dyno_Data[AcqDis],Dyno_Data[Team],$J$9, Dyno_Data[Match],R$11,Dyno_Data[TimeCenter],CenterTime_Amp[[#This Row],[Seconds]])),"")</f>
        <v/>
      </c>
      <c r="S13" t="str">
        <f>IFERROR(SUM((SUMIFS(Dyno_Data[AcqCenter],Dyno_Data[Team],$J$9, Dyno_Data[Match],S$11,Dyno_Data[TimeCenter],CenterTime_Amp[[#This Row],[Seconds]])+S$11/100)*SUMIFS(Dyno_Data[AcqDis],Dyno_Data[Team],$J$9, Dyno_Data[Match],S$11,Dyno_Data[TimeCenter],CenterTime_Amp[[#This Row],[Seconds]])),"")</f>
        <v/>
      </c>
      <c r="T13" t="str">
        <f>IFERROR(SUM((SUMIFS(Dyno_Data[AcqCenter],Dyno_Data[Team],$J$9, Dyno_Data[Match],T$11,Dyno_Data[TimeCenter],CenterTime_Amp[[#This Row],[Seconds]])+T$11/100)*SUMIFS(Dyno_Data[AcqDis],Dyno_Data[Team],$J$9, Dyno_Data[Match],T$11,Dyno_Data[TimeCenter],CenterTime_Amp[[#This Row],[Seconds]])),"")</f>
        <v/>
      </c>
      <c r="U13" t="str">
        <f>IFERROR(SUM((SUMIFS(Dyno_Data[AcqCenter],Dyno_Data[Team],$J$9, Dyno_Data[Match],U$11,Dyno_Data[TimeCenter],CenterTime_Amp[[#This Row],[Seconds]])+U$11/100)*SUMIFS(Dyno_Data[AcqDis],Dyno_Data[Team],$J$9, Dyno_Data[Match],U$11,Dyno_Data[TimeCenter],CenterTime_Amp[[#This Row],[Seconds]])),"")</f>
        <v/>
      </c>
      <c r="V13" t="str">
        <f>IFERROR(SUM((SUMIFS(Dyno_Data[AcqCenter],Dyno_Data[Team],$J$9, Dyno_Data[Match],V$11,Dyno_Data[TimeCenter],CenterTime_Amp[[#This Row],[Seconds]])+V$11/100)*SUMIFS(Dyno_Data[AcqDis],Dyno_Data[Team],$J$9, Dyno_Data[Match],V$11,Dyno_Data[TimeCenter],CenterTime_Amp[[#This Row],[Seconds]])),"")</f>
        <v/>
      </c>
      <c r="W13" t="str">
        <f>IFERROR(SUM((SUMIFS(Dyno_Data[AcqCenter],Dyno_Data[Team],$J$9, Dyno_Data[Match],W$11,Dyno_Data[TimeCenter],CenterTime_Amp[[#This Row],[Seconds]])+W$11/100)*SUMIFS(Dyno_Data[AcqDis],Dyno_Data[Team],$J$9, Dyno_Data[Match],W$11,Dyno_Data[TimeCenter],CenterTime_Amp[[#This Row],[Seconds]])),"")</f>
        <v/>
      </c>
      <c r="X13" t="str">
        <f>IFERROR(SUM((SUMIFS(Dyno_Data[AcqCenter],Dyno_Data[Team],$J$9, Dyno_Data[Match],X$11,Dyno_Data[TimeCenter],CenterTime_Amp[[#This Row],[Seconds]])+X$11/100)*SUMIFS(Dyno_Data[AcqDis],Dyno_Data[Team],$J$9, Dyno_Data[Match],X$11,Dyno_Data[TimeCenter],CenterTime_Amp[[#This Row],[Seconds]])),"")</f>
        <v/>
      </c>
      <c r="Y13" t="str">
        <f>IFERROR(SUM((SUMIFS(Dyno_Data[AcqCenter],Dyno_Data[Team],$J$9, Dyno_Data[Match],Y$11,Dyno_Data[TimeCenter],CenterTime_Amp[[#This Row],[Seconds]])+Y$11/100)*SUMIFS(Dyno_Data[AcqDis],Dyno_Data[Team],$J$9, Dyno_Data[Match],Y$11,Dyno_Data[TimeCenter],CenterTime_Amp[[#This Row],[Seconds]])),"")</f>
        <v/>
      </c>
      <c r="Z13" t="str">
        <f>IFERROR(SUM((SUMIFS(Dyno_Data[AcqCenter],Dyno_Data[Team],$J$9, Dyno_Data[Match],Z$11,Dyno_Data[TimeCenter],CenterTime_Amp[[#This Row],[Seconds]])+Z$11/100)*SUMIFS(Dyno_Data[AcqDis],Dyno_Data[Team],$J$9, Dyno_Data[Match],Z$11,Dyno_Data[TimeCenter],CenterTime_Amp[[#This Row],[Seconds]])),"")</f>
        <v/>
      </c>
    </row>
    <row r="14" spans="1:26" ht="15" thickBot="1" x14ac:dyDescent="0.35">
      <c r="A14" s="84" t="s">
        <v>220</v>
      </c>
      <c r="B14">
        <v>50</v>
      </c>
      <c r="C14" t="str">
        <f>_xlfn.CONCAT("Amp: ",ROUND(E11,2))</f>
        <v>Amp: 0</v>
      </c>
      <c r="D14" t="str">
        <f>_xlfn.CONCAT("Spkr: ",ROUND(F11,2))</f>
        <v>Spkr: 0.83</v>
      </c>
      <c r="E14" s="104" t="str">
        <f>IF(SUMIF(TBA_Matches_All[Team],$A$8,TBA_Matches_All[AtrapT])=0,"",_xlfn.CONCAT("Trap: ",SUMIF(TBA_Matches_All[Team],$A$8,TBA_Matches_All[AtrapT]),"/",COUNTIF(Dyno_EndMatch[Team],$A$8)))</f>
        <v/>
      </c>
      <c r="G14" s="104" t="s">
        <v>221</v>
      </c>
      <c r="J14">
        <v>2</v>
      </c>
      <c r="K14">
        <f>IFERROR(SUM((SUMIFS(Dyno_Data[AcqCenter],Dyno_Data[Team],$J$9, Dyno_Data[Match],K$11,Dyno_Data[TimeCenter],CenterTime_Amp[[#This Row],[Seconds]])+K$11/100)*SUMIFS(Dyno_Data[AcqDis],Dyno_Data[Team],$J$9, Dyno_Data[Match],K$11,Dyno_Data[TimeCenter],CenterTime_Amp[[#This Row],[Seconds]])),"")</f>
        <v>0</v>
      </c>
      <c r="L14">
        <f>IFERROR(SUM((SUMIFS(Dyno_Data[AcqCenter],Dyno_Data[Team],$J$9, Dyno_Data[Match],L$11,Dyno_Data[TimeCenter],CenterTime_Amp[[#This Row],[Seconds]])+L$11/100)*SUMIFS(Dyno_Data[AcqDis],Dyno_Data[Team],$J$9, Dyno_Data[Match],L$11,Dyno_Data[TimeCenter],CenterTime_Amp[[#This Row],[Seconds]])),"")</f>
        <v>0</v>
      </c>
      <c r="M14">
        <f>IFERROR(SUM((SUMIFS(Dyno_Data[AcqCenter],Dyno_Data[Team],$J$9, Dyno_Data[Match],M$11,Dyno_Data[TimeCenter],CenterTime_Amp[[#This Row],[Seconds]])+M$11/100)*SUMIFS(Dyno_Data[AcqDis],Dyno_Data[Team],$J$9, Dyno_Data[Match],M$11,Dyno_Data[TimeCenter],CenterTime_Amp[[#This Row],[Seconds]])),"")</f>
        <v>0</v>
      </c>
      <c r="N14">
        <f>IFERROR(SUM((SUMIFS(Dyno_Data[AcqCenter],Dyno_Data[Team],$J$9, Dyno_Data[Match],N$11,Dyno_Data[TimeCenter],CenterTime_Amp[[#This Row],[Seconds]])+N$11/100)*SUMIFS(Dyno_Data[AcqDis],Dyno_Data[Team],$J$9, Dyno_Data[Match],N$11,Dyno_Data[TimeCenter],CenterTime_Amp[[#This Row],[Seconds]])),"")</f>
        <v>0</v>
      </c>
      <c r="O14">
        <f>IFERROR(SUM((SUMIFS(Dyno_Data[AcqCenter],Dyno_Data[Team],$J$9, Dyno_Data[Match],O$11,Dyno_Data[TimeCenter],CenterTime_Amp[[#This Row],[Seconds]])+O$11/100)*SUMIFS(Dyno_Data[AcqDis],Dyno_Data[Team],$J$9, Dyno_Data[Match],O$11,Dyno_Data[TimeCenter],CenterTime_Amp[[#This Row],[Seconds]])),"")</f>
        <v>0</v>
      </c>
      <c r="P14">
        <f>IFERROR(SUM((SUMIFS(Dyno_Data[AcqCenter],Dyno_Data[Team],$J$9, Dyno_Data[Match],P$11,Dyno_Data[TimeCenter],CenterTime_Amp[[#This Row],[Seconds]])+P$11/100)*SUMIFS(Dyno_Data[AcqDis],Dyno_Data[Team],$J$9, Dyno_Data[Match],P$11,Dyno_Data[TimeCenter],CenterTime_Amp[[#This Row],[Seconds]])),"")</f>
        <v>0</v>
      </c>
      <c r="Q14">
        <f>IFERROR(SUM((SUMIFS(Dyno_Data[AcqCenter],Dyno_Data[Team],$J$9, Dyno_Data[Match],Q$11,Dyno_Data[TimeCenter],CenterTime_Amp[[#This Row],[Seconds]])+Q$11/100)*SUMIFS(Dyno_Data[AcqDis],Dyno_Data[Team],$J$9, Dyno_Data[Match],Q$11,Dyno_Data[TimeCenter],CenterTime_Amp[[#This Row],[Seconds]])),"")</f>
        <v>0</v>
      </c>
      <c r="R14" t="str">
        <f>IFERROR(SUM((SUMIFS(Dyno_Data[AcqCenter],Dyno_Data[Team],$J$9, Dyno_Data[Match],R$11,Dyno_Data[TimeCenter],CenterTime_Amp[[#This Row],[Seconds]])+R$11/100)*SUMIFS(Dyno_Data[AcqDis],Dyno_Data[Team],$J$9, Dyno_Data[Match],R$11,Dyno_Data[TimeCenter],CenterTime_Amp[[#This Row],[Seconds]])),"")</f>
        <v/>
      </c>
      <c r="S14" t="str">
        <f>IFERROR(SUM((SUMIFS(Dyno_Data[AcqCenter],Dyno_Data[Team],$J$9, Dyno_Data[Match],S$11,Dyno_Data[TimeCenter],CenterTime_Amp[[#This Row],[Seconds]])+S$11/100)*SUMIFS(Dyno_Data[AcqDis],Dyno_Data[Team],$J$9, Dyno_Data[Match],S$11,Dyno_Data[TimeCenter],CenterTime_Amp[[#This Row],[Seconds]])),"")</f>
        <v/>
      </c>
      <c r="T14" t="str">
        <f>IFERROR(SUM((SUMIFS(Dyno_Data[AcqCenter],Dyno_Data[Team],$J$9, Dyno_Data[Match],T$11,Dyno_Data[TimeCenter],CenterTime_Amp[[#This Row],[Seconds]])+T$11/100)*SUMIFS(Dyno_Data[AcqDis],Dyno_Data[Team],$J$9, Dyno_Data[Match],T$11,Dyno_Data[TimeCenter],CenterTime_Amp[[#This Row],[Seconds]])),"")</f>
        <v/>
      </c>
      <c r="U14" t="str">
        <f>IFERROR(SUM((SUMIFS(Dyno_Data[AcqCenter],Dyno_Data[Team],$J$9, Dyno_Data[Match],U$11,Dyno_Data[TimeCenter],CenterTime_Amp[[#This Row],[Seconds]])+U$11/100)*SUMIFS(Dyno_Data[AcqDis],Dyno_Data[Team],$J$9, Dyno_Data[Match],U$11,Dyno_Data[TimeCenter],CenterTime_Amp[[#This Row],[Seconds]])),"")</f>
        <v/>
      </c>
      <c r="V14" t="str">
        <f>IFERROR(SUM((SUMIFS(Dyno_Data[AcqCenter],Dyno_Data[Team],$J$9, Dyno_Data[Match],V$11,Dyno_Data[TimeCenter],CenterTime_Amp[[#This Row],[Seconds]])+V$11/100)*SUMIFS(Dyno_Data[AcqDis],Dyno_Data[Team],$J$9, Dyno_Data[Match],V$11,Dyno_Data[TimeCenter],CenterTime_Amp[[#This Row],[Seconds]])),"")</f>
        <v/>
      </c>
      <c r="W14" t="str">
        <f>IFERROR(SUM((SUMIFS(Dyno_Data[AcqCenter],Dyno_Data[Team],$J$9, Dyno_Data[Match],W$11,Dyno_Data[TimeCenter],CenterTime_Amp[[#This Row],[Seconds]])+W$11/100)*SUMIFS(Dyno_Data[AcqDis],Dyno_Data[Team],$J$9, Dyno_Data[Match],W$11,Dyno_Data[TimeCenter],CenterTime_Amp[[#This Row],[Seconds]])),"")</f>
        <v/>
      </c>
      <c r="X14" t="str">
        <f>IFERROR(SUM((SUMIFS(Dyno_Data[AcqCenter],Dyno_Data[Team],$J$9, Dyno_Data[Match],X$11,Dyno_Data[TimeCenter],CenterTime_Amp[[#This Row],[Seconds]])+X$11/100)*SUMIFS(Dyno_Data[AcqDis],Dyno_Data[Team],$J$9, Dyno_Data[Match],X$11,Dyno_Data[TimeCenter],CenterTime_Amp[[#This Row],[Seconds]])),"")</f>
        <v/>
      </c>
      <c r="Y14" t="str">
        <f>IFERROR(SUM((SUMIFS(Dyno_Data[AcqCenter],Dyno_Data[Team],$J$9, Dyno_Data[Match],Y$11,Dyno_Data[TimeCenter],CenterTime_Amp[[#This Row],[Seconds]])+Y$11/100)*SUMIFS(Dyno_Data[AcqDis],Dyno_Data[Team],$J$9, Dyno_Data[Match],Y$11,Dyno_Data[TimeCenter],CenterTime_Amp[[#This Row],[Seconds]])),"")</f>
        <v/>
      </c>
      <c r="Z14" t="str">
        <f>IFERROR(SUM((SUMIFS(Dyno_Data[AcqCenter],Dyno_Data[Team],$J$9, Dyno_Data[Match],Z$11,Dyno_Data[TimeCenter],CenterTime_Amp[[#This Row],[Seconds]])+Z$11/100)*SUMIFS(Dyno_Data[AcqDis],Dyno_Data[Team],$J$9, Dyno_Data[Match],Z$11,Dyno_Data[TimeCenter],CenterTime_Amp[[#This Row],[Seconds]])),"")</f>
        <v/>
      </c>
    </row>
    <row r="15" spans="1:26" ht="15" thickBot="1" x14ac:dyDescent="0.35">
      <c r="A15" s="86" t="s">
        <v>222</v>
      </c>
      <c r="B15" s="87">
        <v>25</v>
      </c>
      <c r="C15" s="87"/>
      <c r="D15" s="87"/>
      <c r="E15" s="87"/>
      <c r="F15" s="87"/>
      <c r="G15" s="102" t="s">
        <v>223</v>
      </c>
      <c r="J15">
        <v>3</v>
      </c>
      <c r="K15">
        <f>IFERROR(SUM((SUMIFS(Dyno_Data[AcqCenter],Dyno_Data[Team],$J$9, Dyno_Data[Match],K$11,Dyno_Data[TimeCenter],CenterTime_Amp[[#This Row],[Seconds]])+K$11/100)*SUMIFS(Dyno_Data[AcqDis],Dyno_Data[Team],$J$9, Dyno_Data[Match],K$11,Dyno_Data[TimeCenter],CenterTime_Amp[[#This Row],[Seconds]])),"")</f>
        <v>0</v>
      </c>
      <c r="L15">
        <f>IFERROR(SUM((SUMIFS(Dyno_Data[AcqCenter],Dyno_Data[Team],$J$9, Dyno_Data[Match],L$11,Dyno_Data[TimeCenter],CenterTime_Amp[[#This Row],[Seconds]])+L$11/100)*SUMIFS(Dyno_Data[AcqDis],Dyno_Data[Team],$J$9, Dyno_Data[Match],L$11,Dyno_Data[TimeCenter],CenterTime_Amp[[#This Row],[Seconds]])),"")</f>
        <v>0</v>
      </c>
      <c r="M15">
        <f>IFERROR(SUM((SUMIFS(Dyno_Data[AcqCenter],Dyno_Data[Team],$J$9, Dyno_Data[Match],M$11,Dyno_Data[TimeCenter],CenterTime_Amp[[#This Row],[Seconds]])+M$11/100)*SUMIFS(Dyno_Data[AcqDis],Dyno_Data[Team],$J$9, Dyno_Data[Match],M$11,Dyno_Data[TimeCenter],CenterTime_Amp[[#This Row],[Seconds]])),"")</f>
        <v>0</v>
      </c>
      <c r="N15">
        <f>IFERROR(SUM((SUMIFS(Dyno_Data[AcqCenter],Dyno_Data[Team],$J$9, Dyno_Data[Match],N$11,Dyno_Data[TimeCenter],CenterTime_Amp[[#This Row],[Seconds]])+N$11/100)*SUMIFS(Dyno_Data[AcqDis],Dyno_Data[Team],$J$9, Dyno_Data[Match],N$11,Dyno_Data[TimeCenter],CenterTime_Amp[[#This Row],[Seconds]])),"")</f>
        <v>0</v>
      </c>
      <c r="O15">
        <f>IFERROR(SUM((SUMIFS(Dyno_Data[AcqCenter],Dyno_Data[Team],$J$9, Dyno_Data[Match],O$11,Dyno_Data[TimeCenter],CenterTime_Amp[[#This Row],[Seconds]])+O$11/100)*SUMIFS(Dyno_Data[AcqDis],Dyno_Data[Team],$J$9, Dyno_Data[Match],O$11,Dyno_Data[TimeCenter],CenterTime_Amp[[#This Row],[Seconds]])),"")</f>
        <v>0</v>
      </c>
      <c r="P15">
        <f>IFERROR(SUM((SUMIFS(Dyno_Data[AcqCenter],Dyno_Data[Team],$J$9, Dyno_Data[Match],P$11,Dyno_Data[TimeCenter],CenterTime_Amp[[#This Row],[Seconds]])+P$11/100)*SUMIFS(Dyno_Data[AcqDis],Dyno_Data[Team],$J$9, Dyno_Data[Match],P$11,Dyno_Data[TimeCenter],CenterTime_Amp[[#This Row],[Seconds]])),"")</f>
        <v>0</v>
      </c>
      <c r="Q15">
        <f>IFERROR(SUM((SUMIFS(Dyno_Data[AcqCenter],Dyno_Data[Team],$J$9, Dyno_Data[Match],Q$11,Dyno_Data[TimeCenter],CenterTime_Amp[[#This Row],[Seconds]])+Q$11/100)*SUMIFS(Dyno_Data[AcqDis],Dyno_Data[Team],$J$9, Dyno_Data[Match],Q$11,Dyno_Data[TimeCenter],CenterTime_Amp[[#This Row],[Seconds]])),"")</f>
        <v>0</v>
      </c>
      <c r="R15" t="str">
        <f>IFERROR(SUM((SUMIFS(Dyno_Data[AcqCenter],Dyno_Data[Team],$J$9, Dyno_Data[Match],R$11,Dyno_Data[TimeCenter],CenterTime_Amp[[#This Row],[Seconds]])+R$11/100)*SUMIFS(Dyno_Data[AcqDis],Dyno_Data[Team],$J$9, Dyno_Data[Match],R$11,Dyno_Data[TimeCenter],CenterTime_Amp[[#This Row],[Seconds]])),"")</f>
        <v/>
      </c>
      <c r="S15" t="str">
        <f>IFERROR(SUM((SUMIFS(Dyno_Data[AcqCenter],Dyno_Data[Team],$J$9, Dyno_Data[Match],S$11,Dyno_Data[TimeCenter],CenterTime_Amp[[#This Row],[Seconds]])+S$11/100)*SUMIFS(Dyno_Data[AcqDis],Dyno_Data[Team],$J$9, Dyno_Data[Match],S$11,Dyno_Data[TimeCenter],CenterTime_Amp[[#This Row],[Seconds]])),"")</f>
        <v/>
      </c>
      <c r="T15" t="str">
        <f>IFERROR(SUM((SUMIFS(Dyno_Data[AcqCenter],Dyno_Data[Team],$J$9, Dyno_Data[Match],T$11,Dyno_Data[TimeCenter],CenterTime_Amp[[#This Row],[Seconds]])+T$11/100)*SUMIFS(Dyno_Data[AcqDis],Dyno_Data[Team],$J$9, Dyno_Data[Match],T$11,Dyno_Data[TimeCenter],CenterTime_Amp[[#This Row],[Seconds]])),"")</f>
        <v/>
      </c>
      <c r="U15" t="str">
        <f>IFERROR(SUM((SUMIFS(Dyno_Data[AcqCenter],Dyno_Data[Team],$J$9, Dyno_Data[Match],U$11,Dyno_Data[TimeCenter],CenterTime_Amp[[#This Row],[Seconds]])+U$11/100)*SUMIFS(Dyno_Data[AcqDis],Dyno_Data[Team],$J$9, Dyno_Data[Match],U$11,Dyno_Data[TimeCenter],CenterTime_Amp[[#This Row],[Seconds]])),"")</f>
        <v/>
      </c>
      <c r="V15" t="str">
        <f>IFERROR(SUM((SUMIFS(Dyno_Data[AcqCenter],Dyno_Data[Team],$J$9, Dyno_Data[Match],V$11,Dyno_Data[TimeCenter],CenterTime_Amp[[#This Row],[Seconds]])+V$11/100)*SUMIFS(Dyno_Data[AcqDis],Dyno_Data[Team],$J$9, Dyno_Data[Match],V$11,Dyno_Data[TimeCenter],CenterTime_Amp[[#This Row],[Seconds]])),"")</f>
        <v/>
      </c>
      <c r="W15" t="str">
        <f>IFERROR(SUM((SUMIFS(Dyno_Data[AcqCenter],Dyno_Data[Team],$J$9, Dyno_Data[Match],W$11,Dyno_Data[TimeCenter],CenterTime_Amp[[#This Row],[Seconds]])+W$11/100)*SUMIFS(Dyno_Data[AcqDis],Dyno_Data[Team],$J$9, Dyno_Data[Match],W$11,Dyno_Data[TimeCenter],CenterTime_Amp[[#This Row],[Seconds]])),"")</f>
        <v/>
      </c>
      <c r="X15" t="str">
        <f>IFERROR(SUM((SUMIFS(Dyno_Data[AcqCenter],Dyno_Data[Team],$J$9, Dyno_Data[Match],X$11,Dyno_Data[TimeCenter],CenterTime_Amp[[#This Row],[Seconds]])+X$11/100)*SUMIFS(Dyno_Data[AcqDis],Dyno_Data[Team],$J$9, Dyno_Data[Match],X$11,Dyno_Data[TimeCenter],CenterTime_Amp[[#This Row],[Seconds]])),"")</f>
        <v/>
      </c>
      <c r="Y15" t="str">
        <f>IFERROR(SUM((SUMIFS(Dyno_Data[AcqCenter],Dyno_Data[Team],$J$9, Dyno_Data[Match],Y$11,Dyno_Data[TimeCenter],CenterTime_Amp[[#This Row],[Seconds]])+Y$11/100)*SUMIFS(Dyno_Data[AcqDis],Dyno_Data[Team],$J$9, Dyno_Data[Match],Y$11,Dyno_Data[TimeCenter],CenterTime_Amp[[#This Row],[Seconds]])),"")</f>
        <v/>
      </c>
      <c r="Z15" t="str">
        <f>IFERROR(SUM((SUMIFS(Dyno_Data[AcqCenter],Dyno_Data[Team],$J$9, Dyno_Data[Match],Z$11,Dyno_Data[TimeCenter],CenterTime_Amp[[#This Row],[Seconds]])+Z$11/100)*SUMIFS(Dyno_Data[AcqDis],Dyno_Data[Team],$J$9, Dyno_Data[Match],Z$11,Dyno_Data[TimeCenter],CenterTime_Amp[[#This Row],[Seconds]])),"")</f>
        <v/>
      </c>
    </row>
    <row r="16" spans="1:26" ht="15" thickTop="1" x14ac:dyDescent="0.3">
      <c r="J16">
        <v>4</v>
      </c>
      <c r="K16">
        <f>IFERROR(SUM((SUMIFS(Dyno_Data[AcqCenter],Dyno_Data[Team],$J$9, Dyno_Data[Match],K$11,Dyno_Data[TimeCenter],CenterTime_Amp[[#This Row],[Seconds]])+K$11/100)*SUMIFS(Dyno_Data[AcqDis],Dyno_Data[Team],$J$9, Dyno_Data[Match],K$11,Dyno_Data[TimeCenter],CenterTime_Amp[[#This Row],[Seconds]])),"")</f>
        <v>0</v>
      </c>
      <c r="L16">
        <f>IFERROR(SUM((SUMIFS(Dyno_Data[AcqCenter],Dyno_Data[Team],$J$9, Dyno_Data[Match],L$11,Dyno_Data[TimeCenter],CenterTime_Amp[[#This Row],[Seconds]])+L$11/100)*SUMIFS(Dyno_Data[AcqDis],Dyno_Data[Team],$J$9, Dyno_Data[Match],L$11,Dyno_Data[TimeCenter],CenterTime_Amp[[#This Row],[Seconds]])),"")</f>
        <v>0</v>
      </c>
      <c r="M16">
        <f>IFERROR(SUM((SUMIFS(Dyno_Data[AcqCenter],Dyno_Data[Team],$J$9, Dyno_Data[Match],M$11,Dyno_Data[TimeCenter],CenterTime_Amp[[#This Row],[Seconds]])+M$11/100)*SUMIFS(Dyno_Data[AcqDis],Dyno_Data[Team],$J$9, Dyno_Data[Match],M$11,Dyno_Data[TimeCenter],CenterTime_Amp[[#This Row],[Seconds]])),"")</f>
        <v>0</v>
      </c>
      <c r="N16">
        <f>IFERROR(SUM((SUMIFS(Dyno_Data[AcqCenter],Dyno_Data[Team],$J$9, Dyno_Data[Match],N$11,Dyno_Data[TimeCenter],CenterTime_Amp[[#This Row],[Seconds]])+N$11/100)*SUMIFS(Dyno_Data[AcqDis],Dyno_Data[Team],$J$9, Dyno_Data[Match],N$11,Dyno_Data[TimeCenter],CenterTime_Amp[[#This Row],[Seconds]])),"")</f>
        <v>0</v>
      </c>
      <c r="O16">
        <f>IFERROR(SUM((SUMIFS(Dyno_Data[AcqCenter],Dyno_Data[Team],$J$9, Dyno_Data[Match],O$11,Dyno_Data[TimeCenter],CenterTime_Amp[[#This Row],[Seconds]])+O$11/100)*SUMIFS(Dyno_Data[AcqDis],Dyno_Data[Team],$J$9, Dyno_Data[Match],O$11,Dyno_Data[TimeCenter],CenterTime_Amp[[#This Row],[Seconds]])),"")</f>
        <v>0</v>
      </c>
      <c r="P16">
        <f>IFERROR(SUM((SUMIFS(Dyno_Data[AcqCenter],Dyno_Data[Team],$J$9, Dyno_Data[Match],P$11,Dyno_Data[TimeCenter],CenterTime_Amp[[#This Row],[Seconds]])+P$11/100)*SUMIFS(Dyno_Data[AcqDis],Dyno_Data[Team],$J$9, Dyno_Data[Match],P$11,Dyno_Data[TimeCenter],CenterTime_Amp[[#This Row],[Seconds]])),"")</f>
        <v>0</v>
      </c>
      <c r="Q16">
        <f>IFERROR(SUM((SUMIFS(Dyno_Data[AcqCenter],Dyno_Data[Team],$J$9, Dyno_Data[Match],Q$11,Dyno_Data[TimeCenter],CenterTime_Amp[[#This Row],[Seconds]])+Q$11/100)*SUMIFS(Dyno_Data[AcqDis],Dyno_Data[Team],$J$9, Dyno_Data[Match],Q$11,Dyno_Data[TimeCenter],CenterTime_Amp[[#This Row],[Seconds]])),"")</f>
        <v>0</v>
      </c>
      <c r="R16" t="str">
        <f>IFERROR(SUM((SUMIFS(Dyno_Data[AcqCenter],Dyno_Data[Team],$J$9, Dyno_Data[Match],R$11,Dyno_Data[TimeCenter],CenterTime_Amp[[#This Row],[Seconds]])+R$11/100)*SUMIFS(Dyno_Data[AcqDis],Dyno_Data[Team],$J$9, Dyno_Data[Match],R$11,Dyno_Data[TimeCenter],CenterTime_Amp[[#This Row],[Seconds]])),"")</f>
        <v/>
      </c>
      <c r="S16" t="str">
        <f>IFERROR(SUM((SUMIFS(Dyno_Data[AcqCenter],Dyno_Data[Team],$J$9, Dyno_Data[Match],S$11,Dyno_Data[TimeCenter],CenterTime_Amp[[#This Row],[Seconds]])+S$11/100)*SUMIFS(Dyno_Data[AcqDis],Dyno_Data[Team],$J$9, Dyno_Data[Match],S$11,Dyno_Data[TimeCenter],CenterTime_Amp[[#This Row],[Seconds]])),"")</f>
        <v/>
      </c>
      <c r="T16" t="str">
        <f>IFERROR(SUM((SUMIFS(Dyno_Data[AcqCenter],Dyno_Data[Team],$J$9, Dyno_Data[Match],T$11,Dyno_Data[TimeCenter],CenterTime_Amp[[#This Row],[Seconds]])+T$11/100)*SUMIFS(Dyno_Data[AcqDis],Dyno_Data[Team],$J$9, Dyno_Data[Match],T$11,Dyno_Data[TimeCenter],CenterTime_Amp[[#This Row],[Seconds]])),"")</f>
        <v/>
      </c>
      <c r="U16" t="str">
        <f>IFERROR(SUM((SUMIFS(Dyno_Data[AcqCenter],Dyno_Data[Team],$J$9, Dyno_Data[Match],U$11,Dyno_Data[TimeCenter],CenterTime_Amp[[#This Row],[Seconds]])+U$11/100)*SUMIFS(Dyno_Data[AcqDis],Dyno_Data[Team],$J$9, Dyno_Data[Match],U$11,Dyno_Data[TimeCenter],CenterTime_Amp[[#This Row],[Seconds]])),"")</f>
        <v/>
      </c>
      <c r="V16" t="str">
        <f>IFERROR(SUM((SUMIFS(Dyno_Data[AcqCenter],Dyno_Data[Team],$J$9, Dyno_Data[Match],V$11,Dyno_Data[TimeCenter],CenterTime_Amp[[#This Row],[Seconds]])+V$11/100)*SUMIFS(Dyno_Data[AcqDis],Dyno_Data[Team],$J$9, Dyno_Data[Match],V$11,Dyno_Data[TimeCenter],CenterTime_Amp[[#This Row],[Seconds]])),"")</f>
        <v/>
      </c>
      <c r="W16" t="str">
        <f>IFERROR(SUM((SUMIFS(Dyno_Data[AcqCenter],Dyno_Data[Team],$J$9, Dyno_Data[Match],W$11,Dyno_Data[TimeCenter],CenterTime_Amp[[#This Row],[Seconds]])+W$11/100)*SUMIFS(Dyno_Data[AcqDis],Dyno_Data[Team],$J$9, Dyno_Data[Match],W$11,Dyno_Data[TimeCenter],CenterTime_Amp[[#This Row],[Seconds]])),"")</f>
        <v/>
      </c>
      <c r="X16" t="str">
        <f>IFERROR(SUM((SUMIFS(Dyno_Data[AcqCenter],Dyno_Data[Team],$J$9, Dyno_Data[Match],X$11,Dyno_Data[TimeCenter],CenterTime_Amp[[#This Row],[Seconds]])+X$11/100)*SUMIFS(Dyno_Data[AcqDis],Dyno_Data[Team],$J$9, Dyno_Data[Match],X$11,Dyno_Data[TimeCenter],CenterTime_Amp[[#This Row],[Seconds]])),"")</f>
        <v/>
      </c>
      <c r="Y16" t="str">
        <f>IFERROR(SUM((SUMIFS(Dyno_Data[AcqCenter],Dyno_Data[Team],$J$9, Dyno_Data[Match],Y$11,Dyno_Data[TimeCenter],CenterTime_Amp[[#This Row],[Seconds]])+Y$11/100)*SUMIFS(Dyno_Data[AcqDis],Dyno_Data[Team],$J$9, Dyno_Data[Match],Y$11,Dyno_Data[TimeCenter],CenterTime_Amp[[#This Row],[Seconds]])),"")</f>
        <v/>
      </c>
      <c r="Z16" t="str">
        <f>IFERROR(SUM((SUMIFS(Dyno_Data[AcqCenter],Dyno_Data[Team],$J$9, Dyno_Data[Match],Z$11,Dyno_Data[TimeCenter],CenterTime_Amp[[#This Row],[Seconds]])+Z$11/100)*SUMIFS(Dyno_Data[AcqDis],Dyno_Data[Team],$J$9, Dyno_Data[Match],Z$11,Dyno_Data[TimeCenter],CenterTime_Amp[[#This Row],[Seconds]])),"")</f>
        <v/>
      </c>
    </row>
    <row r="17" spans="1:26" ht="15" thickBot="1" x14ac:dyDescent="0.35">
      <c r="J17">
        <v>5</v>
      </c>
      <c r="K17">
        <f>IFERROR(SUM((SUMIFS(Dyno_Data[AcqCenter],Dyno_Data[Team],$J$9, Dyno_Data[Match],K$11,Dyno_Data[TimeCenter],CenterTime_Amp[[#This Row],[Seconds]])+K$11/100)*SUMIFS(Dyno_Data[AcqDis],Dyno_Data[Team],$J$9, Dyno_Data[Match],K$11,Dyno_Data[TimeCenter],CenterTime_Amp[[#This Row],[Seconds]])),"")</f>
        <v>0</v>
      </c>
      <c r="L17">
        <f>IFERROR(SUM((SUMIFS(Dyno_Data[AcqCenter],Dyno_Data[Team],$J$9, Dyno_Data[Match],L$11,Dyno_Data[TimeCenter],CenterTime_Amp[[#This Row],[Seconds]])+L$11/100)*SUMIFS(Dyno_Data[AcqDis],Dyno_Data[Team],$J$9, Dyno_Data[Match],L$11,Dyno_Data[TimeCenter],CenterTime_Amp[[#This Row],[Seconds]])),"")</f>
        <v>0</v>
      </c>
      <c r="M17">
        <f>IFERROR(SUM((SUMIFS(Dyno_Data[AcqCenter],Dyno_Data[Team],$J$9, Dyno_Data[Match],M$11,Dyno_Data[TimeCenter],CenterTime_Amp[[#This Row],[Seconds]])+M$11/100)*SUMIFS(Dyno_Data[AcqDis],Dyno_Data[Team],$J$9, Dyno_Data[Match],M$11,Dyno_Data[TimeCenter],CenterTime_Amp[[#This Row],[Seconds]])),"")</f>
        <v>0</v>
      </c>
      <c r="N17">
        <f>IFERROR(SUM((SUMIFS(Dyno_Data[AcqCenter],Dyno_Data[Team],$J$9, Dyno_Data[Match],N$11,Dyno_Data[TimeCenter],CenterTime_Amp[[#This Row],[Seconds]])+N$11/100)*SUMIFS(Dyno_Data[AcqDis],Dyno_Data[Team],$J$9, Dyno_Data[Match],N$11,Dyno_Data[TimeCenter],CenterTime_Amp[[#This Row],[Seconds]])),"")</f>
        <v>0</v>
      </c>
      <c r="O17">
        <f>IFERROR(SUM((SUMIFS(Dyno_Data[AcqCenter],Dyno_Data[Team],$J$9, Dyno_Data[Match],O$11,Dyno_Data[TimeCenter],CenterTime_Amp[[#This Row],[Seconds]])+O$11/100)*SUMIFS(Dyno_Data[AcqDis],Dyno_Data[Team],$J$9, Dyno_Data[Match],O$11,Dyno_Data[TimeCenter],CenterTime_Amp[[#This Row],[Seconds]])),"")</f>
        <v>0</v>
      </c>
      <c r="P17">
        <f>IFERROR(SUM((SUMIFS(Dyno_Data[AcqCenter],Dyno_Data[Team],$J$9, Dyno_Data[Match],P$11,Dyno_Data[TimeCenter],CenterTime_Amp[[#This Row],[Seconds]])+P$11/100)*SUMIFS(Dyno_Data[AcqDis],Dyno_Data[Team],$J$9, Dyno_Data[Match],P$11,Dyno_Data[TimeCenter],CenterTime_Amp[[#This Row],[Seconds]])),"")</f>
        <v>0</v>
      </c>
      <c r="Q17">
        <f>IFERROR(SUM((SUMIFS(Dyno_Data[AcqCenter],Dyno_Data[Team],$J$9, Dyno_Data[Match],Q$11,Dyno_Data[TimeCenter],CenterTime_Amp[[#This Row],[Seconds]])+Q$11/100)*SUMIFS(Dyno_Data[AcqDis],Dyno_Data[Team],$J$9, Dyno_Data[Match],Q$11,Dyno_Data[TimeCenter],CenterTime_Amp[[#This Row],[Seconds]])),"")</f>
        <v>0</v>
      </c>
      <c r="R17" t="str">
        <f>IFERROR(SUM((SUMIFS(Dyno_Data[AcqCenter],Dyno_Data[Team],$J$9, Dyno_Data[Match],R$11,Dyno_Data[TimeCenter],CenterTime_Amp[[#This Row],[Seconds]])+R$11/100)*SUMIFS(Dyno_Data[AcqDis],Dyno_Data[Team],$J$9, Dyno_Data[Match],R$11,Dyno_Data[TimeCenter],CenterTime_Amp[[#This Row],[Seconds]])),"")</f>
        <v/>
      </c>
      <c r="S17" t="str">
        <f>IFERROR(SUM((SUMIFS(Dyno_Data[AcqCenter],Dyno_Data[Team],$J$9, Dyno_Data[Match],S$11,Dyno_Data[TimeCenter],CenterTime_Amp[[#This Row],[Seconds]])+S$11/100)*SUMIFS(Dyno_Data[AcqDis],Dyno_Data[Team],$J$9, Dyno_Data[Match],S$11,Dyno_Data[TimeCenter],CenterTime_Amp[[#This Row],[Seconds]])),"")</f>
        <v/>
      </c>
      <c r="T17" t="str">
        <f>IFERROR(SUM((SUMIFS(Dyno_Data[AcqCenter],Dyno_Data[Team],$J$9, Dyno_Data[Match],T$11,Dyno_Data[TimeCenter],CenterTime_Amp[[#This Row],[Seconds]])+T$11/100)*SUMIFS(Dyno_Data[AcqDis],Dyno_Data[Team],$J$9, Dyno_Data[Match],T$11,Dyno_Data[TimeCenter],CenterTime_Amp[[#This Row],[Seconds]])),"")</f>
        <v/>
      </c>
      <c r="U17" t="str">
        <f>IFERROR(SUM((SUMIFS(Dyno_Data[AcqCenter],Dyno_Data[Team],$J$9, Dyno_Data[Match],U$11,Dyno_Data[TimeCenter],CenterTime_Amp[[#This Row],[Seconds]])+U$11/100)*SUMIFS(Dyno_Data[AcqDis],Dyno_Data[Team],$J$9, Dyno_Data[Match],U$11,Dyno_Data[TimeCenter],CenterTime_Amp[[#This Row],[Seconds]])),"")</f>
        <v/>
      </c>
      <c r="V17" t="str">
        <f>IFERROR(SUM((SUMIFS(Dyno_Data[AcqCenter],Dyno_Data[Team],$J$9, Dyno_Data[Match],V$11,Dyno_Data[TimeCenter],CenterTime_Amp[[#This Row],[Seconds]])+V$11/100)*SUMIFS(Dyno_Data[AcqDis],Dyno_Data[Team],$J$9, Dyno_Data[Match],V$11,Dyno_Data[TimeCenter],CenterTime_Amp[[#This Row],[Seconds]])),"")</f>
        <v/>
      </c>
      <c r="W17" t="str">
        <f>IFERROR(SUM((SUMIFS(Dyno_Data[AcqCenter],Dyno_Data[Team],$J$9, Dyno_Data[Match],W$11,Dyno_Data[TimeCenter],CenterTime_Amp[[#This Row],[Seconds]])+W$11/100)*SUMIFS(Dyno_Data[AcqDis],Dyno_Data[Team],$J$9, Dyno_Data[Match],W$11,Dyno_Data[TimeCenter],CenterTime_Amp[[#This Row],[Seconds]])),"")</f>
        <v/>
      </c>
      <c r="X17" t="str">
        <f>IFERROR(SUM((SUMIFS(Dyno_Data[AcqCenter],Dyno_Data[Team],$J$9, Dyno_Data[Match],X$11,Dyno_Data[TimeCenter],CenterTime_Amp[[#This Row],[Seconds]])+X$11/100)*SUMIFS(Dyno_Data[AcqDis],Dyno_Data[Team],$J$9, Dyno_Data[Match],X$11,Dyno_Data[TimeCenter],CenterTime_Amp[[#This Row],[Seconds]])),"")</f>
        <v/>
      </c>
      <c r="Y17" t="str">
        <f>IFERROR(SUM((SUMIFS(Dyno_Data[AcqCenter],Dyno_Data[Team],$J$9, Dyno_Data[Match],Y$11,Dyno_Data[TimeCenter],CenterTime_Amp[[#This Row],[Seconds]])+Y$11/100)*SUMIFS(Dyno_Data[AcqDis],Dyno_Data[Team],$J$9, Dyno_Data[Match],Y$11,Dyno_Data[TimeCenter],CenterTime_Amp[[#This Row],[Seconds]])),"")</f>
        <v/>
      </c>
      <c r="Z17" t="str">
        <f>IFERROR(SUM((SUMIFS(Dyno_Data[AcqCenter],Dyno_Data[Team],$J$9, Dyno_Data[Match],Z$11,Dyno_Data[TimeCenter],CenterTime_Amp[[#This Row],[Seconds]])+Z$11/100)*SUMIFS(Dyno_Data[AcqDis],Dyno_Data[Team],$J$9, Dyno_Data[Match],Z$11,Dyno_Data[TimeCenter],CenterTime_Amp[[#This Row],[Seconds]])),"")</f>
        <v/>
      </c>
    </row>
    <row r="18" spans="1:26" ht="15" thickTop="1" x14ac:dyDescent="0.3">
      <c r="A18" s="95" t="str">
        <f>IF(AllianceA="Red",_Red2,_Blue2)</f>
        <v>frc5016</v>
      </c>
      <c r="B18" s="185" t="s">
        <v>224</v>
      </c>
      <c r="C18" s="185"/>
      <c r="D18" s="185"/>
      <c r="E18" s="185"/>
      <c r="F18" s="185"/>
      <c r="G18" s="186"/>
      <c r="J18">
        <v>6</v>
      </c>
      <c r="K18">
        <f>IFERROR(SUM((SUMIFS(Dyno_Data[AcqCenter],Dyno_Data[Team],$J$9, Dyno_Data[Match],K$11,Dyno_Data[TimeCenter],CenterTime_Amp[[#This Row],[Seconds]])+K$11/100)*SUMIFS(Dyno_Data[AcqDis],Dyno_Data[Team],$J$9, Dyno_Data[Match],K$11,Dyno_Data[TimeCenter],CenterTime_Amp[[#This Row],[Seconds]])),"")</f>
        <v>0</v>
      </c>
      <c r="L18">
        <f>IFERROR(SUM((SUMIFS(Dyno_Data[AcqCenter],Dyno_Data[Team],$J$9, Dyno_Data[Match],L$11,Dyno_Data[TimeCenter],CenterTime_Amp[[#This Row],[Seconds]])+L$11/100)*SUMIFS(Dyno_Data[AcqDis],Dyno_Data[Team],$J$9, Dyno_Data[Match],L$11,Dyno_Data[TimeCenter],CenterTime_Amp[[#This Row],[Seconds]])),"")</f>
        <v>0</v>
      </c>
      <c r="M18">
        <f>IFERROR(SUM((SUMIFS(Dyno_Data[AcqCenter],Dyno_Data[Team],$J$9, Dyno_Data[Match],M$11,Dyno_Data[TimeCenter],CenterTime_Amp[[#This Row],[Seconds]])+M$11/100)*SUMIFS(Dyno_Data[AcqDis],Dyno_Data[Team],$J$9, Dyno_Data[Match],M$11,Dyno_Data[TimeCenter],CenterTime_Amp[[#This Row],[Seconds]])),"")</f>
        <v>0</v>
      </c>
      <c r="N18">
        <f>IFERROR(SUM((SUMIFS(Dyno_Data[AcqCenter],Dyno_Data[Team],$J$9, Dyno_Data[Match],N$11,Dyno_Data[TimeCenter],CenterTime_Amp[[#This Row],[Seconds]])+N$11/100)*SUMIFS(Dyno_Data[AcqDis],Dyno_Data[Team],$J$9, Dyno_Data[Match],N$11,Dyno_Data[TimeCenter],CenterTime_Amp[[#This Row],[Seconds]])),"")</f>
        <v>0</v>
      </c>
      <c r="O18">
        <f>IFERROR(SUM((SUMIFS(Dyno_Data[AcqCenter],Dyno_Data[Team],$J$9, Dyno_Data[Match],O$11,Dyno_Data[TimeCenter],CenterTime_Amp[[#This Row],[Seconds]])+O$11/100)*SUMIFS(Dyno_Data[AcqDis],Dyno_Data[Team],$J$9, Dyno_Data[Match],O$11,Dyno_Data[TimeCenter],CenterTime_Amp[[#This Row],[Seconds]])),"")</f>
        <v>0</v>
      </c>
      <c r="P18">
        <f>IFERROR(SUM((SUMIFS(Dyno_Data[AcqCenter],Dyno_Data[Team],$J$9, Dyno_Data[Match],P$11,Dyno_Data[TimeCenter],CenterTime_Amp[[#This Row],[Seconds]])+P$11/100)*SUMIFS(Dyno_Data[AcqDis],Dyno_Data[Team],$J$9, Dyno_Data[Match],P$11,Dyno_Data[TimeCenter],CenterTime_Amp[[#This Row],[Seconds]])),"")</f>
        <v>0</v>
      </c>
      <c r="Q18">
        <f>IFERROR(SUM((SUMIFS(Dyno_Data[AcqCenter],Dyno_Data[Team],$J$9, Dyno_Data[Match],Q$11,Dyno_Data[TimeCenter],CenterTime_Amp[[#This Row],[Seconds]])+Q$11/100)*SUMIFS(Dyno_Data[AcqDis],Dyno_Data[Team],$J$9, Dyno_Data[Match],Q$11,Dyno_Data[TimeCenter],CenterTime_Amp[[#This Row],[Seconds]])),"")</f>
        <v>0</v>
      </c>
      <c r="R18" t="str">
        <f>IFERROR(SUM((SUMIFS(Dyno_Data[AcqCenter],Dyno_Data[Team],$J$9, Dyno_Data[Match],R$11,Dyno_Data[TimeCenter],CenterTime_Amp[[#This Row],[Seconds]])+R$11/100)*SUMIFS(Dyno_Data[AcqDis],Dyno_Data[Team],$J$9, Dyno_Data[Match],R$11,Dyno_Data[TimeCenter],CenterTime_Amp[[#This Row],[Seconds]])),"")</f>
        <v/>
      </c>
      <c r="S18" t="str">
        <f>IFERROR(SUM((SUMIFS(Dyno_Data[AcqCenter],Dyno_Data[Team],$J$9, Dyno_Data[Match],S$11,Dyno_Data[TimeCenter],CenterTime_Amp[[#This Row],[Seconds]])+S$11/100)*SUMIFS(Dyno_Data[AcqDis],Dyno_Data[Team],$J$9, Dyno_Data[Match],S$11,Dyno_Data[TimeCenter],CenterTime_Amp[[#This Row],[Seconds]])),"")</f>
        <v/>
      </c>
      <c r="T18" t="str">
        <f>IFERROR(SUM((SUMIFS(Dyno_Data[AcqCenter],Dyno_Data[Team],$J$9, Dyno_Data[Match],T$11,Dyno_Data[TimeCenter],CenterTime_Amp[[#This Row],[Seconds]])+T$11/100)*SUMIFS(Dyno_Data[AcqDis],Dyno_Data[Team],$J$9, Dyno_Data[Match],T$11,Dyno_Data[TimeCenter],CenterTime_Amp[[#This Row],[Seconds]])),"")</f>
        <v/>
      </c>
      <c r="U18" t="str">
        <f>IFERROR(SUM((SUMIFS(Dyno_Data[AcqCenter],Dyno_Data[Team],$J$9, Dyno_Data[Match],U$11,Dyno_Data[TimeCenter],CenterTime_Amp[[#This Row],[Seconds]])+U$11/100)*SUMIFS(Dyno_Data[AcqDis],Dyno_Data[Team],$J$9, Dyno_Data[Match],U$11,Dyno_Data[TimeCenter],CenterTime_Amp[[#This Row],[Seconds]])),"")</f>
        <v/>
      </c>
      <c r="V18" t="str">
        <f>IFERROR(SUM((SUMIFS(Dyno_Data[AcqCenter],Dyno_Data[Team],$J$9, Dyno_Data[Match],V$11,Dyno_Data[TimeCenter],CenterTime_Amp[[#This Row],[Seconds]])+V$11/100)*SUMIFS(Dyno_Data[AcqDis],Dyno_Data[Team],$J$9, Dyno_Data[Match],V$11,Dyno_Data[TimeCenter],CenterTime_Amp[[#This Row],[Seconds]])),"")</f>
        <v/>
      </c>
      <c r="W18" t="str">
        <f>IFERROR(SUM((SUMIFS(Dyno_Data[AcqCenter],Dyno_Data[Team],$J$9, Dyno_Data[Match],W$11,Dyno_Data[TimeCenter],CenterTime_Amp[[#This Row],[Seconds]])+W$11/100)*SUMIFS(Dyno_Data[AcqDis],Dyno_Data[Team],$J$9, Dyno_Data[Match],W$11,Dyno_Data[TimeCenter],CenterTime_Amp[[#This Row],[Seconds]])),"")</f>
        <v/>
      </c>
      <c r="X18" t="str">
        <f>IFERROR(SUM((SUMIFS(Dyno_Data[AcqCenter],Dyno_Data[Team],$J$9, Dyno_Data[Match],X$11,Dyno_Data[TimeCenter],CenterTime_Amp[[#This Row],[Seconds]])+X$11/100)*SUMIFS(Dyno_Data[AcqDis],Dyno_Data[Team],$J$9, Dyno_Data[Match],X$11,Dyno_Data[TimeCenter],CenterTime_Amp[[#This Row],[Seconds]])),"")</f>
        <v/>
      </c>
      <c r="Y18" t="str">
        <f>IFERROR(SUM((SUMIFS(Dyno_Data[AcqCenter],Dyno_Data[Team],$J$9, Dyno_Data[Match],Y$11,Dyno_Data[TimeCenter],CenterTime_Amp[[#This Row],[Seconds]])+Y$11/100)*SUMIFS(Dyno_Data[AcqDis],Dyno_Data[Team],$J$9, Dyno_Data[Match],Y$11,Dyno_Data[TimeCenter],CenterTime_Amp[[#This Row],[Seconds]])),"")</f>
        <v/>
      </c>
      <c r="Z18" t="str">
        <f>IFERROR(SUM((SUMIFS(Dyno_Data[AcqCenter],Dyno_Data[Team],$J$9, Dyno_Data[Match],Z$11,Dyno_Data[TimeCenter],CenterTime_Amp[[#This Row],[Seconds]])+Z$11/100)*SUMIFS(Dyno_Data[AcqDis],Dyno_Data[Team],$J$9, Dyno_Data[Match],Z$11,Dyno_Data[TimeCenter],CenterTime_Amp[[#This Row],[Seconds]])),"")</f>
        <v/>
      </c>
    </row>
    <row r="19" spans="1:26" x14ac:dyDescent="0.3">
      <c r="A19" s="84" t="s">
        <v>188</v>
      </c>
      <c r="B19" t="s">
        <v>189</v>
      </c>
      <c r="C19" t="s">
        <v>190</v>
      </c>
      <c r="D19" t="s">
        <v>191</v>
      </c>
      <c r="E19" t="s">
        <v>192</v>
      </c>
      <c r="F19" t="s">
        <v>193</v>
      </c>
      <c r="G19" s="85" t="s">
        <v>194</v>
      </c>
      <c r="J19">
        <v>7</v>
      </c>
      <c r="K19">
        <f>IFERROR(SUM((SUMIFS(Dyno_Data[AcqCenter],Dyno_Data[Team],$J$9, Dyno_Data[Match],K$11,Dyno_Data[TimeCenter],CenterTime_Amp[[#This Row],[Seconds]])+K$11/100)*SUMIFS(Dyno_Data[AcqDis],Dyno_Data[Team],$J$9, Dyno_Data[Match],K$11,Dyno_Data[TimeCenter],CenterTime_Amp[[#This Row],[Seconds]])),"")</f>
        <v>0</v>
      </c>
      <c r="L19">
        <f>IFERROR(SUM((SUMIFS(Dyno_Data[AcqCenter],Dyno_Data[Team],$J$9, Dyno_Data[Match],L$11,Dyno_Data[TimeCenter],CenterTime_Amp[[#This Row],[Seconds]])+L$11/100)*SUMIFS(Dyno_Data[AcqDis],Dyno_Data[Team],$J$9, Dyno_Data[Match],L$11,Dyno_Data[TimeCenter],CenterTime_Amp[[#This Row],[Seconds]])),"")</f>
        <v>0</v>
      </c>
      <c r="M19">
        <f>IFERROR(SUM((SUMIFS(Dyno_Data[AcqCenter],Dyno_Data[Team],$J$9, Dyno_Data[Match],M$11,Dyno_Data[TimeCenter],CenterTime_Amp[[#This Row],[Seconds]])+M$11/100)*SUMIFS(Dyno_Data[AcqDis],Dyno_Data[Team],$J$9, Dyno_Data[Match],M$11,Dyno_Data[TimeCenter],CenterTime_Amp[[#This Row],[Seconds]])),"")</f>
        <v>0</v>
      </c>
      <c r="N19">
        <f>IFERROR(SUM((SUMIFS(Dyno_Data[AcqCenter],Dyno_Data[Team],$J$9, Dyno_Data[Match],N$11,Dyno_Data[TimeCenter],CenterTime_Amp[[#This Row],[Seconds]])+N$11/100)*SUMIFS(Dyno_Data[AcqDis],Dyno_Data[Team],$J$9, Dyno_Data[Match],N$11,Dyno_Data[TimeCenter],CenterTime_Amp[[#This Row],[Seconds]])),"")</f>
        <v>0</v>
      </c>
      <c r="O19">
        <f>IFERROR(SUM((SUMIFS(Dyno_Data[AcqCenter],Dyno_Data[Team],$J$9, Dyno_Data[Match],O$11,Dyno_Data[TimeCenter],CenterTime_Amp[[#This Row],[Seconds]])+O$11/100)*SUMIFS(Dyno_Data[AcqDis],Dyno_Data[Team],$J$9, Dyno_Data[Match],O$11,Dyno_Data[TimeCenter],CenterTime_Amp[[#This Row],[Seconds]])),"")</f>
        <v>0</v>
      </c>
      <c r="P19">
        <f>IFERROR(SUM((SUMIFS(Dyno_Data[AcqCenter],Dyno_Data[Team],$J$9, Dyno_Data[Match],P$11,Dyno_Data[TimeCenter],CenterTime_Amp[[#This Row],[Seconds]])+P$11/100)*SUMIFS(Dyno_Data[AcqDis],Dyno_Data[Team],$J$9, Dyno_Data[Match],P$11,Dyno_Data[TimeCenter],CenterTime_Amp[[#This Row],[Seconds]])),"")</f>
        <v>-2.5099999999999998</v>
      </c>
      <c r="Q19">
        <f>IFERROR(SUM((SUMIFS(Dyno_Data[AcqCenter],Dyno_Data[Team],$J$9, Dyno_Data[Match],Q$11,Dyno_Data[TimeCenter],CenterTime_Amp[[#This Row],[Seconds]])+Q$11/100)*SUMIFS(Dyno_Data[AcqDis],Dyno_Data[Team],$J$9, Dyno_Data[Match],Q$11,Dyno_Data[TimeCenter],CenterTime_Amp[[#This Row],[Seconds]])),"")</f>
        <v>-2.56</v>
      </c>
      <c r="R19" t="str">
        <f>IFERROR(SUM((SUMIFS(Dyno_Data[AcqCenter],Dyno_Data[Team],$J$9, Dyno_Data[Match],R$11,Dyno_Data[TimeCenter],CenterTime_Amp[[#This Row],[Seconds]])+R$11/100)*SUMIFS(Dyno_Data[AcqDis],Dyno_Data[Team],$J$9, Dyno_Data[Match],R$11,Dyno_Data[TimeCenter],CenterTime_Amp[[#This Row],[Seconds]])),"")</f>
        <v/>
      </c>
      <c r="S19" t="str">
        <f>IFERROR(SUM((SUMIFS(Dyno_Data[AcqCenter],Dyno_Data[Team],$J$9, Dyno_Data[Match],S$11,Dyno_Data[TimeCenter],CenterTime_Amp[[#This Row],[Seconds]])+S$11/100)*SUMIFS(Dyno_Data[AcqDis],Dyno_Data[Team],$J$9, Dyno_Data[Match],S$11,Dyno_Data[TimeCenter],CenterTime_Amp[[#This Row],[Seconds]])),"")</f>
        <v/>
      </c>
      <c r="T19" t="str">
        <f>IFERROR(SUM((SUMIFS(Dyno_Data[AcqCenter],Dyno_Data[Team],$J$9, Dyno_Data[Match],T$11,Dyno_Data[TimeCenter],CenterTime_Amp[[#This Row],[Seconds]])+T$11/100)*SUMIFS(Dyno_Data[AcqDis],Dyno_Data[Team],$J$9, Dyno_Data[Match],T$11,Dyno_Data[TimeCenter],CenterTime_Amp[[#This Row],[Seconds]])),"")</f>
        <v/>
      </c>
      <c r="U19" t="str">
        <f>IFERROR(SUM((SUMIFS(Dyno_Data[AcqCenter],Dyno_Data[Team],$J$9, Dyno_Data[Match],U$11,Dyno_Data[TimeCenter],CenterTime_Amp[[#This Row],[Seconds]])+U$11/100)*SUMIFS(Dyno_Data[AcqDis],Dyno_Data[Team],$J$9, Dyno_Data[Match],U$11,Dyno_Data[TimeCenter],CenterTime_Amp[[#This Row],[Seconds]])),"")</f>
        <v/>
      </c>
      <c r="V19" t="str">
        <f>IFERROR(SUM((SUMIFS(Dyno_Data[AcqCenter],Dyno_Data[Team],$J$9, Dyno_Data[Match],V$11,Dyno_Data[TimeCenter],CenterTime_Amp[[#This Row],[Seconds]])+V$11/100)*SUMIFS(Dyno_Data[AcqDis],Dyno_Data[Team],$J$9, Dyno_Data[Match],V$11,Dyno_Data[TimeCenter],CenterTime_Amp[[#This Row],[Seconds]])),"")</f>
        <v/>
      </c>
      <c r="W19" t="str">
        <f>IFERROR(SUM((SUMIFS(Dyno_Data[AcqCenter],Dyno_Data[Team],$J$9, Dyno_Data[Match],W$11,Dyno_Data[TimeCenter],CenterTime_Amp[[#This Row],[Seconds]])+W$11/100)*SUMIFS(Dyno_Data[AcqDis],Dyno_Data[Team],$J$9, Dyno_Data[Match],W$11,Dyno_Data[TimeCenter],CenterTime_Amp[[#This Row],[Seconds]])),"")</f>
        <v/>
      </c>
      <c r="X19" t="str">
        <f>IFERROR(SUM((SUMIFS(Dyno_Data[AcqCenter],Dyno_Data[Team],$J$9, Dyno_Data[Match],X$11,Dyno_Data[TimeCenter],CenterTime_Amp[[#This Row],[Seconds]])+X$11/100)*SUMIFS(Dyno_Data[AcqDis],Dyno_Data[Team],$J$9, Dyno_Data[Match],X$11,Dyno_Data[TimeCenter],CenterTime_Amp[[#This Row],[Seconds]])),"")</f>
        <v/>
      </c>
      <c r="Y19" t="str">
        <f>IFERROR(SUM((SUMIFS(Dyno_Data[AcqCenter],Dyno_Data[Team],$J$9, Dyno_Data[Match],Y$11,Dyno_Data[TimeCenter],CenterTime_Amp[[#This Row],[Seconds]])+Y$11/100)*SUMIFS(Dyno_Data[AcqDis],Dyno_Data[Team],$J$9, Dyno_Data[Match],Y$11,Dyno_Data[TimeCenter],CenterTime_Amp[[#This Row],[Seconds]])),"")</f>
        <v/>
      </c>
      <c r="Z19" t="str">
        <f>IFERROR(SUM((SUMIFS(Dyno_Data[AcqCenter],Dyno_Data[Team],$J$9, Dyno_Data[Match],Z$11,Dyno_Data[TimeCenter],CenterTime_Amp[[#This Row],[Seconds]])+Z$11/100)*SUMIFS(Dyno_Data[AcqDis],Dyno_Data[Team],$J$9, Dyno_Data[Match],Z$11,Dyno_Data[TimeCenter],CenterTime_Amp[[#This Row],[Seconds]])),"")</f>
        <v/>
      </c>
    </row>
    <row r="20" spans="1:26" ht="15" thickBot="1" x14ac:dyDescent="0.35">
      <c r="A20" s="84" t="s">
        <v>195</v>
      </c>
      <c r="B20">
        <v>25</v>
      </c>
      <c r="C20" s="96">
        <f>SUM((E21-E20)/(E22-E20))*50-C21</f>
        <v>-1.5</v>
      </c>
      <c r="D20" s="97">
        <f>SUM(B23:B25)-D22</f>
        <v>94.833333333333329</v>
      </c>
      <c r="E20" s="107">
        <f>MIN(TBA_Rankings[aveAampT])</f>
        <v>0</v>
      </c>
      <c r="F20" s="107">
        <f>MIN(TBA_Rankings[aveAspkrT])</f>
        <v>0</v>
      </c>
      <c r="G20" s="98" t="s">
        <v>196</v>
      </c>
      <c r="J20">
        <v>8</v>
      </c>
      <c r="K20">
        <f>IFERROR(SUM((SUMIFS(Dyno_Data[AcqCenter],Dyno_Data[Team],$J$9, Dyno_Data[Match],K$11,Dyno_Data[TimeCenter],CenterTime_Amp[[#This Row],[Seconds]])+K$11/100)*SUMIFS(Dyno_Data[AcqDis],Dyno_Data[Team],$J$9, Dyno_Data[Match],K$11,Dyno_Data[TimeCenter],CenterTime_Amp[[#This Row],[Seconds]])),"")</f>
        <v>0</v>
      </c>
      <c r="L20">
        <f>IFERROR(SUM((SUMIFS(Dyno_Data[AcqCenter],Dyno_Data[Team],$J$9, Dyno_Data[Match],L$11,Dyno_Data[TimeCenter],CenterTime_Amp[[#This Row],[Seconds]])+L$11/100)*SUMIFS(Dyno_Data[AcqDis],Dyno_Data[Team],$J$9, Dyno_Data[Match],L$11,Dyno_Data[TimeCenter],CenterTime_Amp[[#This Row],[Seconds]])),"")</f>
        <v>0</v>
      </c>
      <c r="M20">
        <f>IFERROR(SUM((SUMIFS(Dyno_Data[AcqCenter],Dyno_Data[Team],$J$9, Dyno_Data[Match],M$11,Dyno_Data[TimeCenter],CenterTime_Amp[[#This Row],[Seconds]])+M$11/100)*SUMIFS(Dyno_Data[AcqDis],Dyno_Data[Team],$J$9, Dyno_Data[Match],M$11,Dyno_Data[TimeCenter],CenterTime_Amp[[#This Row],[Seconds]])),"")</f>
        <v>0</v>
      </c>
      <c r="N20">
        <f>IFERROR(SUM((SUMIFS(Dyno_Data[AcqCenter],Dyno_Data[Team],$J$9, Dyno_Data[Match],N$11,Dyno_Data[TimeCenter],CenterTime_Amp[[#This Row],[Seconds]])+N$11/100)*SUMIFS(Dyno_Data[AcqDis],Dyno_Data[Team],$J$9, Dyno_Data[Match],N$11,Dyno_Data[TimeCenter],CenterTime_Amp[[#This Row],[Seconds]])),"")</f>
        <v>0</v>
      </c>
      <c r="O20">
        <f>IFERROR(SUM((SUMIFS(Dyno_Data[AcqCenter],Dyno_Data[Team],$J$9, Dyno_Data[Match],O$11,Dyno_Data[TimeCenter],CenterTime_Amp[[#This Row],[Seconds]])+O$11/100)*SUMIFS(Dyno_Data[AcqDis],Dyno_Data[Team],$J$9, Dyno_Data[Match],O$11,Dyno_Data[TimeCenter],CenterTime_Amp[[#This Row],[Seconds]])),"")</f>
        <v>0</v>
      </c>
      <c r="P20">
        <f>IFERROR(SUM((SUMIFS(Dyno_Data[AcqCenter],Dyno_Data[Team],$J$9, Dyno_Data[Match],P$11,Dyno_Data[TimeCenter],CenterTime_Amp[[#This Row],[Seconds]])+P$11/100)*SUMIFS(Dyno_Data[AcqDis],Dyno_Data[Team],$J$9, Dyno_Data[Match],P$11,Dyno_Data[TimeCenter],CenterTime_Amp[[#This Row],[Seconds]])),"")</f>
        <v>0</v>
      </c>
      <c r="Q20">
        <f>IFERROR(SUM((SUMIFS(Dyno_Data[AcqCenter],Dyno_Data[Team],$J$9, Dyno_Data[Match],Q$11,Dyno_Data[TimeCenter],CenterTime_Amp[[#This Row],[Seconds]])+Q$11/100)*SUMIFS(Dyno_Data[AcqDis],Dyno_Data[Team],$J$9, Dyno_Data[Match],Q$11,Dyno_Data[TimeCenter],CenterTime_Amp[[#This Row],[Seconds]])),"")</f>
        <v>0</v>
      </c>
      <c r="R20" t="str">
        <f>IFERROR(SUM((SUMIFS(Dyno_Data[AcqCenter],Dyno_Data[Team],$J$9, Dyno_Data[Match],R$11,Dyno_Data[TimeCenter],CenterTime_Amp[[#This Row],[Seconds]])+R$11/100)*SUMIFS(Dyno_Data[AcqDis],Dyno_Data[Team],$J$9, Dyno_Data[Match],R$11,Dyno_Data[TimeCenter],CenterTime_Amp[[#This Row],[Seconds]])),"")</f>
        <v/>
      </c>
      <c r="S20" t="str">
        <f>IFERROR(SUM((SUMIFS(Dyno_Data[AcqCenter],Dyno_Data[Team],$J$9, Dyno_Data[Match],S$11,Dyno_Data[TimeCenter],CenterTime_Amp[[#This Row],[Seconds]])+S$11/100)*SUMIFS(Dyno_Data[AcqDis],Dyno_Data[Team],$J$9, Dyno_Data[Match],S$11,Dyno_Data[TimeCenter],CenterTime_Amp[[#This Row],[Seconds]])),"")</f>
        <v/>
      </c>
      <c r="T20" t="str">
        <f>IFERROR(SUM((SUMIFS(Dyno_Data[AcqCenter],Dyno_Data[Team],$J$9, Dyno_Data[Match],T$11,Dyno_Data[TimeCenter],CenterTime_Amp[[#This Row],[Seconds]])+T$11/100)*SUMIFS(Dyno_Data[AcqDis],Dyno_Data[Team],$J$9, Dyno_Data[Match],T$11,Dyno_Data[TimeCenter],CenterTime_Amp[[#This Row],[Seconds]])),"")</f>
        <v/>
      </c>
      <c r="U20" t="str">
        <f>IFERROR(SUM((SUMIFS(Dyno_Data[AcqCenter],Dyno_Data[Team],$J$9, Dyno_Data[Match],U$11,Dyno_Data[TimeCenter],CenterTime_Amp[[#This Row],[Seconds]])+U$11/100)*SUMIFS(Dyno_Data[AcqDis],Dyno_Data[Team],$J$9, Dyno_Data[Match],U$11,Dyno_Data[TimeCenter],CenterTime_Amp[[#This Row],[Seconds]])),"")</f>
        <v/>
      </c>
      <c r="V20" t="str">
        <f>IFERROR(SUM((SUMIFS(Dyno_Data[AcqCenter],Dyno_Data[Team],$J$9, Dyno_Data[Match],V$11,Dyno_Data[TimeCenter],CenterTime_Amp[[#This Row],[Seconds]])+V$11/100)*SUMIFS(Dyno_Data[AcqDis],Dyno_Data[Team],$J$9, Dyno_Data[Match],V$11,Dyno_Data[TimeCenter],CenterTime_Amp[[#This Row],[Seconds]])),"")</f>
        <v/>
      </c>
      <c r="W20" t="str">
        <f>IFERROR(SUM((SUMIFS(Dyno_Data[AcqCenter],Dyno_Data[Team],$J$9, Dyno_Data[Match],W$11,Dyno_Data[TimeCenter],CenterTime_Amp[[#This Row],[Seconds]])+W$11/100)*SUMIFS(Dyno_Data[AcqDis],Dyno_Data[Team],$J$9, Dyno_Data[Match],W$11,Dyno_Data[TimeCenter],CenterTime_Amp[[#This Row],[Seconds]])),"")</f>
        <v/>
      </c>
      <c r="X20" t="str">
        <f>IFERROR(SUM((SUMIFS(Dyno_Data[AcqCenter],Dyno_Data[Team],$J$9, Dyno_Data[Match],X$11,Dyno_Data[TimeCenter],CenterTime_Amp[[#This Row],[Seconds]])+X$11/100)*SUMIFS(Dyno_Data[AcqDis],Dyno_Data[Team],$J$9, Dyno_Data[Match],X$11,Dyno_Data[TimeCenter],CenterTime_Amp[[#This Row],[Seconds]])),"")</f>
        <v/>
      </c>
      <c r="Y20" t="str">
        <f>IFERROR(SUM((SUMIFS(Dyno_Data[AcqCenter],Dyno_Data[Team],$J$9, Dyno_Data[Match],Y$11,Dyno_Data[TimeCenter],CenterTime_Amp[[#This Row],[Seconds]])+Y$11/100)*SUMIFS(Dyno_Data[AcqDis],Dyno_Data[Team],$J$9, Dyno_Data[Match],Y$11,Dyno_Data[TimeCenter],CenterTime_Amp[[#This Row],[Seconds]])),"")</f>
        <v/>
      </c>
      <c r="Z20" t="str">
        <f>IFERROR(SUM((SUMIFS(Dyno_Data[AcqCenter],Dyno_Data[Team],$J$9, Dyno_Data[Match],Z$11,Dyno_Data[TimeCenter],CenterTime_Amp[[#This Row],[Seconds]])+Z$11/100)*SUMIFS(Dyno_Data[AcqDis],Dyno_Data[Team],$J$9, Dyno_Data[Match],Z$11,Dyno_Data[TimeCenter],CenterTime_Amp[[#This Row],[Seconds]])),"")</f>
        <v/>
      </c>
    </row>
    <row r="21" spans="1:26" ht="15" thickBot="1" x14ac:dyDescent="0.35">
      <c r="A21" s="84" t="s">
        <v>197</v>
      </c>
      <c r="B21">
        <v>50</v>
      </c>
      <c r="C21" s="4">
        <v>1.5</v>
      </c>
      <c r="D21" s="4">
        <v>1.5</v>
      </c>
      <c r="E21" s="108">
        <f>SUMIF(TBA_Rankings[Team],$A$18,TBA_Rankings[aveAampT])</f>
        <v>0</v>
      </c>
      <c r="F21" s="108">
        <f>SUMIF(TBA_Rankings[Team],$A$18,TBA_Rankings[aveAspkrT])</f>
        <v>0.66666666666666663</v>
      </c>
      <c r="G21" s="99" t="s">
        <v>198</v>
      </c>
      <c r="J21">
        <v>9</v>
      </c>
      <c r="K21">
        <f>IFERROR(SUM((SUMIFS(Dyno_Data[AcqCenter],Dyno_Data[Team],$J$9, Dyno_Data[Match],K$11,Dyno_Data[TimeCenter],CenterTime_Amp[[#This Row],[Seconds]])+K$11/100)*SUMIFS(Dyno_Data[AcqDis],Dyno_Data[Team],$J$9, Dyno_Data[Match],K$11,Dyno_Data[TimeCenter],CenterTime_Amp[[#This Row],[Seconds]])),"")</f>
        <v>0</v>
      </c>
      <c r="L21">
        <f>IFERROR(SUM((SUMIFS(Dyno_Data[AcqCenter],Dyno_Data[Team],$J$9, Dyno_Data[Match],L$11,Dyno_Data[TimeCenter],CenterTime_Amp[[#This Row],[Seconds]])+L$11/100)*SUMIFS(Dyno_Data[AcqDis],Dyno_Data[Team],$J$9, Dyno_Data[Match],L$11,Dyno_Data[TimeCenter],CenterTime_Amp[[#This Row],[Seconds]])),"")</f>
        <v>0</v>
      </c>
      <c r="M21">
        <f>IFERROR(SUM((SUMIFS(Dyno_Data[AcqCenter],Dyno_Data[Team],$J$9, Dyno_Data[Match],M$11,Dyno_Data[TimeCenter],CenterTime_Amp[[#This Row],[Seconds]])+M$11/100)*SUMIFS(Dyno_Data[AcqDis],Dyno_Data[Team],$J$9, Dyno_Data[Match],M$11,Dyno_Data[TimeCenter],CenterTime_Amp[[#This Row],[Seconds]])),"")</f>
        <v>0</v>
      </c>
      <c r="N21">
        <f>IFERROR(SUM((SUMIFS(Dyno_Data[AcqCenter],Dyno_Data[Team],$J$9, Dyno_Data[Match],N$11,Dyno_Data[TimeCenter],CenterTime_Amp[[#This Row],[Seconds]])+N$11/100)*SUMIFS(Dyno_Data[AcqDis],Dyno_Data[Team],$J$9, Dyno_Data[Match],N$11,Dyno_Data[TimeCenter],CenterTime_Amp[[#This Row],[Seconds]])),"")</f>
        <v>0</v>
      </c>
      <c r="O21">
        <f>IFERROR(SUM((SUMIFS(Dyno_Data[AcqCenter],Dyno_Data[Team],$J$9, Dyno_Data[Match],O$11,Dyno_Data[TimeCenter],CenterTime_Amp[[#This Row],[Seconds]])+O$11/100)*SUMIFS(Dyno_Data[AcqDis],Dyno_Data[Team],$J$9, Dyno_Data[Match],O$11,Dyno_Data[TimeCenter],CenterTime_Amp[[#This Row],[Seconds]])),"")</f>
        <v>0</v>
      </c>
      <c r="P21">
        <f>IFERROR(SUM((SUMIFS(Dyno_Data[AcqCenter],Dyno_Data[Team],$J$9, Dyno_Data[Match],P$11,Dyno_Data[TimeCenter],CenterTime_Amp[[#This Row],[Seconds]])+P$11/100)*SUMIFS(Dyno_Data[AcqDis],Dyno_Data[Team],$J$9, Dyno_Data[Match],P$11,Dyno_Data[TimeCenter],CenterTime_Amp[[#This Row],[Seconds]])),"")</f>
        <v>0</v>
      </c>
      <c r="Q21">
        <f>IFERROR(SUM((SUMIFS(Dyno_Data[AcqCenter],Dyno_Data[Team],$J$9, Dyno_Data[Match],Q$11,Dyno_Data[TimeCenter],CenterTime_Amp[[#This Row],[Seconds]])+Q$11/100)*SUMIFS(Dyno_Data[AcqDis],Dyno_Data[Team],$J$9, Dyno_Data[Match],Q$11,Dyno_Data[TimeCenter],CenterTime_Amp[[#This Row],[Seconds]])),"")</f>
        <v>0</v>
      </c>
      <c r="R21" t="str">
        <f>IFERROR(SUM((SUMIFS(Dyno_Data[AcqCenter],Dyno_Data[Team],$J$9, Dyno_Data[Match],R$11,Dyno_Data[TimeCenter],CenterTime_Amp[[#This Row],[Seconds]])+R$11/100)*SUMIFS(Dyno_Data[AcqDis],Dyno_Data[Team],$J$9, Dyno_Data[Match],R$11,Dyno_Data[TimeCenter],CenterTime_Amp[[#This Row],[Seconds]])),"")</f>
        <v/>
      </c>
      <c r="S21" t="str">
        <f>IFERROR(SUM((SUMIFS(Dyno_Data[AcqCenter],Dyno_Data[Team],$J$9, Dyno_Data[Match],S$11,Dyno_Data[TimeCenter],CenterTime_Amp[[#This Row],[Seconds]])+S$11/100)*SUMIFS(Dyno_Data[AcqDis],Dyno_Data[Team],$J$9, Dyno_Data[Match],S$11,Dyno_Data[TimeCenter],CenterTime_Amp[[#This Row],[Seconds]])),"")</f>
        <v/>
      </c>
      <c r="T21" t="str">
        <f>IFERROR(SUM((SUMIFS(Dyno_Data[AcqCenter],Dyno_Data[Team],$J$9, Dyno_Data[Match],T$11,Dyno_Data[TimeCenter],CenterTime_Amp[[#This Row],[Seconds]])+T$11/100)*SUMIFS(Dyno_Data[AcqDis],Dyno_Data[Team],$J$9, Dyno_Data[Match],T$11,Dyno_Data[TimeCenter],CenterTime_Amp[[#This Row],[Seconds]])),"")</f>
        <v/>
      </c>
      <c r="U21" t="str">
        <f>IFERROR(SUM((SUMIFS(Dyno_Data[AcqCenter],Dyno_Data[Team],$J$9, Dyno_Data[Match],U$11,Dyno_Data[TimeCenter],CenterTime_Amp[[#This Row],[Seconds]])+U$11/100)*SUMIFS(Dyno_Data[AcqDis],Dyno_Data[Team],$J$9, Dyno_Data[Match],U$11,Dyno_Data[TimeCenter],CenterTime_Amp[[#This Row],[Seconds]])),"")</f>
        <v/>
      </c>
      <c r="V21" t="str">
        <f>IFERROR(SUM((SUMIFS(Dyno_Data[AcqCenter],Dyno_Data[Team],$J$9, Dyno_Data[Match],V$11,Dyno_Data[TimeCenter],CenterTime_Amp[[#This Row],[Seconds]])+V$11/100)*SUMIFS(Dyno_Data[AcqDis],Dyno_Data[Team],$J$9, Dyno_Data[Match],V$11,Dyno_Data[TimeCenter],CenterTime_Amp[[#This Row],[Seconds]])),"")</f>
        <v/>
      </c>
      <c r="W21" t="str">
        <f>IFERROR(SUM((SUMIFS(Dyno_Data[AcqCenter],Dyno_Data[Team],$J$9, Dyno_Data[Match],W$11,Dyno_Data[TimeCenter],CenterTime_Amp[[#This Row],[Seconds]])+W$11/100)*SUMIFS(Dyno_Data[AcqDis],Dyno_Data[Team],$J$9, Dyno_Data[Match],W$11,Dyno_Data[TimeCenter],CenterTime_Amp[[#This Row],[Seconds]])),"")</f>
        <v/>
      </c>
      <c r="X21" t="str">
        <f>IFERROR(SUM((SUMIFS(Dyno_Data[AcqCenter],Dyno_Data[Team],$J$9, Dyno_Data[Match],X$11,Dyno_Data[TimeCenter],CenterTime_Amp[[#This Row],[Seconds]])+X$11/100)*SUMIFS(Dyno_Data[AcqDis],Dyno_Data[Team],$J$9, Dyno_Data[Match],X$11,Dyno_Data[TimeCenter],CenterTime_Amp[[#This Row],[Seconds]])),"")</f>
        <v/>
      </c>
      <c r="Y21" t="str">
        <f>IFERROR(SUM((SUMIFS(Dyno_Data[AcqCenter],Dyno_Data[Team],$J$9, Dyno_Data[Match],Y$11,Dyno_Data[TimeCenter],CenterTime_Amp[[#This Row],[Seconds]])+Y$11/100)*SUMIFS(Dyno_Data[AcqDis],Dyno_Data[Team],$J$9, Dyno_Data[Match],Y$11,Dyno_Data[TimeCenter],CenterTime_Amp[[#This Row],[Seconds]])),"")</f>
        <v/>
      </c>
      <c r="Z21" t="str">
        <f>IFERROR(SUM((SUMIFS(Dyno_Data[AcqCenter],Dyno_Data[Team],$J$9, Dyno_Data[Match],Z$11,Dyno_Data[TimeCenter],CenterTime_Amp[[#This Row],[Seconds]])+Z$11/100)*SUMIFS(Dyno_Data[AcqDis],Dyno_Data[Team],$J$9, Dyno_Data[Match],Z$11,Dyno_Data[TimeCenter],CenterTime_Amp[[#This Row],[Seconds]])),"")</f>
        <v/>
      </c>
    </row>
    <row r="22" spans="1:26" x14ac:dyDescent="0.3">
      <c r="A22" s="84" t="s">
        <v>199</v>
      </c>
      <c r="B22">
        <v>25</v>
      </c>
      <c r="C22" s="97">
        <f>SUM(B20:B22)-SUM(C20:C21)</f>
        <v>100</v>
      </c>
      <c r="D22" s="96">
        <f>SUM((F21-F20)/(F22-F20))*50-D21</f>
        <v>5.166666666666667</v>
      </c>
      <c r="E22" s="109">
        <f>MAX(TBA_Rankings[aveAampT])</f>
        <v>0.2</v>
      </c>
      <c r="F22" s="109">
        <f>MAX(TBA_Rankings[aveAspkrT])</f>
        <v>5</v>
      </c>
      <c r="G22" s="100" t="s">
        <v>200</v>
      </c>
      <c r="J22">
        <v>10</v>
      </c>
      <c r="K22">
        <f>IFERROR(SUM((SUMIFS(Dyno_Data[AcqCenter],Dyno_Data[Team],$J$9, Dyno_Data[Match],K$11,Dyno_Data[TimeCenter],CenterTime_Amp[[#This Row],[Seconds]])+K$11/100)*SUMIFS(Dyno_Data[AcqDis],Dyno_Data[Team],$J$9, Dyno_Data[Match],K$11,Dyno_Data[TimeCenter],CenterTime_Amp[[#This Row],[Seconds]])),"")</f>
        <v>0</v>
      </c>
      <c r="L22">
        <f>IFERROR(SUM((SUMIFS(Dyno_Data[AcqCenter],Dyno_Data[Team],$J$9, Dyno_Data[Match],L$11,Dyno_Data[TimeCenter],CenterTime_Amp[[#This Row],[Seconds]])+L$11/100)*SUMIFS(Dyno_Data[AcqDis],Dyno_Data[Team],$J$9, Dyno_Data[Match],L$11,Dyno_Data[TimeCenter],CenterTime_Amp[[#This Row],[Seconds]])),"")</f>
        <v>0</v>
      </c>
      <c r="M22">
        <f>IFERROR(SUM((SUMIFS(Dyno_Data[AcqCenter],Dyno_Data[Team],$J$9, Dyno_Data[Match],M$11,Dyno_Data[TimeCenter],CenterTime_Amp[[#This Row],[Seconds]])+M$11/100)*SUMIFS(Dyno_Data[AcqDis],Dyno_Data[Team],$J$9, Dyno_Data[Match],M$11,Dyno_Data[TimeCenter],CenterTime_Amp[[#This Row],[Seconds]])),"")</f>
        <v>3.19</v>
      </c>
      <c r="N22">
        <f>IFERROR(SUM((SUMIFS(Dyno_Data[AcqCenter],Dyno_Data[Team],$J$9, Dyno_Data[Match],N$11,Dyno_Data[TimeCenter],CenterTime_Amp[[#This Row],[Seconds]])+N$11/100)*SUMIFS(Dyno_Data[AcqDis],Dyno_Data[Team],$J$9, Dyno_Data[Match],N$11,Dyno_Data[TimeCenter],CenterTime_Amp[[#This Row],[Seconds]])),"")</f>
        <v>0</v>
      </c>
      <c r="O22">
        <f>IFERROR(SUM((SUMIFS(Dyno_Data[AcqCenter],Dyno_Data[Team],$J$9, Dyno_Data[Match],O$11,Dyno_Data[TimeCenter],CenterTime_Amp[[#This Row],[Seconds]])+O$11/100)*SUMIFS(Dyno_Data[AcqDis],Dyno_Data[Team],$J$9, Dyno_Data[Match],O$11,Dyno_Data[TimeCenter],CenterTime_Amp[[#This Row],[Seconds]])),"")</f>
        <v>0</v>
      </c>
      <c r="P22">
        <f>IFERROR(SUM((SUMIFS(Dyno_Data[AcqCenter],Dyno_Data[Team],$J$9, Dyno_Data[Match],P$11,Dyno_Data[TimeCenter],CenterTime_Amp[[#This Row],[Seconds]])+P$11/100)*SUMIFS(Dyno_Data[AcqDis],Dyno_Data[Team],$J$9, Dyno_Data[Match],P$11,Dyno_Data[TimeCenter],CenterTime_Amp[[#This Row],[Seconds]])),"")</f>
        <v>0</v>
      </c>
      <c r="Q22">
        <f>IFERROR(SUM((SUMIFS(Dyno_Data[AcqCenter],Dyno_Data[Team],$J$9, Dyno_Data[Match],Q$11,Dyno_Data[TimeCenter],CenterTime_Amp[[#This Row],[Seconds]])+Q$11/100)*SUMIFS(Dyno_Data[AcqDis],Dyno_Data[Team],$J$9, Dyno_Data[Match],Q$11,Dyno_Data[TimeCenter],CenterTime_Amp[[#This Row],[Seconds]])),"")</f>
        <v>0</v>
      </c>
      <c r="R22" t="str">
        <f>IFERROR(SUM((SUMIFS(Dyno_Data[AcqCenter],Dyno_Data[Team],$J$9, Dyno_Data[Match],R$11,Dyno_Data[TimeCenter],CenterTime_Amp[[#This Row],[Seconds]])+R$11/100)*SUMIFS(Dyno_Data[AcqDis],Dyno_Data[Team],$J$9, Dyno_Data[Match],R$11,Dyno_Data[TimeCenter],CenterTime_Amp[[#This Row],[Seconds]])),"")</f>
        <v/>
      </c>
      <c r="S22" t="str">
        <f>IFERROR(SUM((SUMIFS(Dyno_Data[AcqCenter],Dyno_Data[Team],$J$9, Dyno_Data[Match],S$11,Dyno_Data[TimeCenter],CenterTime_Amp[[#This Row],[Seconds]])+S$11/100)*SUMIFS(Dyno_Data[AcqDis],Dyno_Data[Team],$J$9, Dyno_Data[Match],S$11,Dyno_Data[TimeCenter],CenterTime_Amp[[#This Row],[Seconds]])),"")</f>
        <v/>
      </c>
      <c r="T22" t="str">
        <f>IFERROR(SUM((SUMIFS(Dyno_Data[AcqCenter],Dyno_Data[Team],$J$9, Dyno_Data[Match],T$11,Dyno_Data[TimeCenter],CenterTime_Amp[[#This Row],[Seconds]])+T$11/100)*SUMIFS(Dyno_Data[AcqDis],Dyno_Data[Team],$J$9, Dyno_Data[Match],T$11,Dyno_Data[TimeCenter],CenterTime_Amp[[#This Row],[Seconds]])),"")</f>
        <v/>
      </c>
      <c r="U22" t="str">
        <f>IFERROR(SUM((SUMIFS(Dyno_Data[AcqCenter],Dyno_Data[Team],$J$9, Dyno_Data[Match],U$11,Dyno_Data[TimeCenter],CenterTime_Amp[[#This Row],[Seconds]])+U$11/100)*SUMIFS(Dyno_Data[AcqDis],Dyno_Data[Team],$J$9, Dyno_Data[Match],U$11,Dyno_Data[TimeCenter],CenterTime_Amp[[#This Row],[Seconds]])),"")</f>
        <v/>
      </c>
      <c r="V22" t="str">
        <f>IFERROR(SUM((SUMIFS(Dyno_Data[AcqCenter],Dyno_Data[Team],$J$9, Dyno_Data[Match],V$11,Dyno_Data[TimeCenter],CenterTime_Amp[[#This Row],[Seconds]])+V$11/100)*SUMIFS(Dyno_Data[AcqDis],Dyno_Data[Team],$J$9, Dyno_Data[Match],V$11,Dyno_Data[TimeCenter],CenterTime_Amp[[#This Row],[Seconds]])),"")</f>
        <v/>
      </c>
      <c r="W22" t="str">
        <f>IFERROR(SUM((SUMIFS(Dyno_Data[AcqCenter],Dyno_Data[Team],$J$9, Dyno_Data[Match],W$11,Dyno_Data[TimeCenter],CenterTime_Amp[[#This Row],[Seconds]])+W$11/100)*SUMIFS(Dyno_Data[AcqDis],Dyno_Data[Team],$J$9, Dyno_Data[Match],W$11,Dyno_Data[TimeCenter],CenterTime_Amp[[#This Row],[Seconds]])),"")</f>
        <v/>
      </c>
      <c r="X22" t="str">
        <f>IFERROR(SUM((SUMIFS(Dyno_Data[AcqCenter],Dyno_Data[Team],$J$9, Dyno_Data[Match],X$11,Dyno_Data[TimeCenter],CenterTime_Amp[[#This Row],[Seconds]])+X$11/100)*SUMIFS(Dyno_Data[AcqDis],Dyno_Data[Team],$J$9, Dyno_Data[Match],X$11,Dyno_Data[TimeCenter],CenterTime_Amp[[#This Row],[Seconds]])),"")</f>
        <v/>
      </c>
      <c r="Y22" t="str">
        <f>IFERROR(SUM((SUMIFS(Dyno_Data[AcqCenter],Dyno_Data[Team],$J$9, Dyno_Data[Match],Y$11,Dyno_Data[TimeCenter],CenterTime_Amp[[#This Row],[Seconds]])+Y$11/100)*SUMIFS(Dyno_Data[AcqDis],Dyno_Data[Team],$J$9, Dyno_Data[Match],Y$11,Dyno_Data[TimeCenter],CenterTime_Amp[[#This Row],[Seconds]])),"")</f>
        <v/>
      </c>
      <c r="Z22" t="str">
        <f>IFERROR(SUM((SUMIFS(Dyno_Data[AcqCenter],Dyno_Data[Team],$J$9, Dyno_Data[Match],Z$11,Dyno_Data[TimeCenter],CenterTime_Amp[[#This Row],[Seconds]])+Z$11/100)*SUMIFS(Dyno_Data[AcqDis],Dyno_Data[Team],$J$9, Dyno_Data[Match],Z$11,Dyno_Data[TimeCenter],CenterTime_Amp[[#This Row],[Seconds]])),"")</f>
        <v/>
      </c>
    </row>
    <row r="23" spans="1:26" ht="15" thickBot="1" x14ac:dyDescent="0.35">
      <c r="A23" s="84" t="s">
        <v>218</v>
      </c>
      <c r="B23">
        <v>25</v>
      </c>
      <c r="G23" s="101" t="s">
        <v>219</v>
      </c>
      <c r="J23">
        <v>11</v>
      </c>
      <c r="K23">
        <f>IFERROR(SUM((SUMIFS(Dyno_Data[AcqCenter],Dyno_Data[Team],$J$9, Dyno_Data[Match],K$11,Dyno_Data[TimeCenter],CenterTime_Amp[[#This Row],[Seconds]])+K$11/100)*SUMIFS(Dyno_Data[AcqDis],Dyno_Data[Team],$J$9, Dyno_Data[Match],K$11,Dyno_Data[TimeCenter],CenterTime_Amp[[#This Row],[Seconds]])),"")</f>
        <v>0</v>
      </c>
      <c r="L23">
        <f>IFERROR(SUM((SUMIFS(Dyno_Data[AcqCenter],Dyno_Data[Team],$J$9, Dyno_Data[Match],L$11,Dyno_Data[TimeCenter],CenterTime_Amp[[#This Row],[Seconds]])+L$11/100)*SUMIFS(Dyno_Data[AcqDis],Dyno_Data[Team],$J$9, Dyno_Data[Match],L$11,Dyno_Data[TimeCenter],CenterTime_Amp[[#This Row],[Seconds]])),"")</f>
        <v>0</v>
      </c>
      <c r="M23">
        <f>IFERROR(SUM((SUMIFS(Dyno_Data[AcqCenter],Dyno_Data[Team],$J$9, Dyno_Data[Match],M$11,Dyno_Data[TimeCenter],CenterTime_Amp[[#This Row],[Seconds]])+M$11/100)*SUMIFS(Dyno_Data[AcqDis],Dyno_Data[Team],$J$9, Dyno_Data[Match],M$11,Dyno_Data[TimeCenter],CenterTime_Amp[[#This Row],[Seconds]])),"")</f>
        <v>0</v>
      </c>
      <c r="N23">
        <f>IFERROR(SUM((SUMIFS(Dyno_Data[AcqCenter],Dyno_Data[Team],$J$9, Dyno_Data[Match],N$11,Dyno_Data[TimeCenter],CenterTime_Amp[[#This Row],[Seconds]])+N$11/100)*SUMIFS(Dyno_Data[AcqDis],Dyno_Data[Team],$J$9, Dyno_Data[Match],N$11,Dyno_Data[TimeCenter],CenterTime_Amp[[#This Row],[Seconds]])),"")</f>
        <v>0</v>
      </c>
      <c r="O23">
        <f>IFERROR(SUM((SUMIFS(Dyno_Data[AcqCenter],Dyno_Data[Team],$J$9, Dyno_Data[Match],O$11,Dyno_Data[TimeCenter],CenterTime_Amp[[#This Row],[Seconds]])+O$11/100)*SUMIFS(Dyno_Data[AcqDis],Dyno_Data[Team],$J$9, Dyno_Data[Match],O$11,Dyno_Data[TimeCenter],CenterTime_Amp[[#This Row],[Seconds]])),"")</f>
        <v>2.4</v>
      </c>
      <c r="P23">
        <f>IFERROR(SUM((SUMIFS(Dyno_Data[AcqCenter],Dyno_Data[Team],$J$9, Dyno_Data[Match],P$11,Dyno_Data[TimeCenter],CenterTime_Amp[[#This Row],[Seconds]])+P$11/100)*SUMIFS(Dyno_Data[AcqDis],Dyno_Data[Team],$J$9, Dyno_Data[Match],P$11,Dyno_Data[TimeCenter],CenterTime_Amp[[#This Row],[Seconds]])),"")</f>
        <v>0</v>
      </c>
      <c r="Q23">
        <f>IFERROR(SUM((SUMIFS(Dyno_Data[AcqCenter],Dyno_Data[Team],$J$9, Dyno_Data[Match],Q$11,Dyno_Data[TimeCenter],CenterTime_Amp[[#This Row],[Seconds]])+Q$11/100)*SUMIFS(Dyno_Data[AcqDis],Dyno_Data[Team],$J$9, Dyno_Data[Match],Q$11,Dyno_Data[TimeCenter],CenterTime_Amp[[#This Row],[Seconds]])),"")</f>
        <v>0</v>
      </c>
      <c r="R23" t="str">
        <f>IFERROR(SUM((SUMIFS(Dyno_Data[AcqCenter],Dyno_Data[Team],$J$9, Dyno_Data[Match],R$11,Dyno_Data[TimeCenter],CenterTime_Amp[[#This Row],[Seconds]])+R$11/100)*SUMIFS(Dyno_Data[AcqDis],Dyno_Data[Team],$J$9, Dyno_Data[Match],R$11,Dyno_Data[TimeCenter],CenterTime_Amp[[#This Row],[Seconds]])),"")</f>
        <v/>
      </c>
      <c r="S23" t="str">
        <f>IFERROR(SUM((SUMIFS(Dyno_Data[AcqCenter],Dyno_Data[Team],$J$9, Dyno_Data[Match],S$11,Dyno_Data[TimeCenter],CenterTime_Amp[[#This Row],[Seconds]])+S$11/100)*SUMIFS(Dyno_Data[AcqDis],Dyno_Data[Team],$J$9, Dyno_Data[Match],S$11,Dyno_Data[TimeCenter],CenterTime_Amp[[#This Row],[Seconds]])),"")</f>
        <v/>
      </c>
      <c r="T23" t="str">
        <f>IFERROR(SUM((SUMIFS(Dyno_Data[AcqCenter],Dyno_Data[Team],$J$9, Dyno_Data[Match],T$11,Dyno_Data[TimeCenter],CenterTime_Amp[[#This Row],[Seconds]])+T$11/100)*SUMIFS(Dyno_Data[AcqDis],Dyno_Data[Team],$J$9, Dyno_Data[Match],T$11,Dyno_Data[TimeCenter],CenterTime_Amp[[#This Row],[Seconds]])),"")</f>
        <v/>
      </c>
      <c r="U23" t="str">
        <f>IFERROR(SUM((SUMIFS(Dyno_Data[AcqCenter],Dyno_Data[Team],$J$9, Dyno_Data[Match],U$11,Dyno_Data[TimeCenter],CenterTime_Amp[[#This Row],[Seconds]])+U$11/100)*SUMIFS(Dyno_Data[AcqDis],Dyno_Data[Team],$J$9, Dyno_Data[Match],U$11,Dyno_Data[TimeCenter],CenterTime_Amp[[#This Row],[Seconds]])),"")</f>
        <v/>
      </c>
      <c r="V23" t="str">
        <f>IFERROR(SUM((SUMIFS(Dyno_Data[AcqCenter],Dyno_Data[Team],$J$9, Dyno_Data[Match],V$11,Dyno_Data[TimeCenter],CenterTime_Amp[[#This Row],[Seconds]])+V$11/100)*SUMIFS(Dyno_Data[AcqDis],Dyno_Data[Team],$J$9, Dyno_Data[Match],V$11,Dyno_Data[TimeCenter],CenterTime_Amp[[#This Row],[Seconds]])),"")</f>
        <v/>
      </c>
      <c r="W23" t="str">
        <f>IFERROR(SUM((SUMIFS(Dyno_Data[AcqCenter],Dyno_Data[Team],$J$9, Dyno_Data[Match],W$11,Dyno_Data[TimeCenter],CenterTime_Amp[[#This Row],[Seconds]])+W$11/100)*SUMIFS(Dyno_Data[AcqDis],Dyno_Data[Team],$J$9, Dyno_Data[Match],W$11,Dyno_Data[TimeCenter],CenterTime_Amp[[#This Row],[Seconds]])),"")</f>
        <v/>
      </c>
      <c r="X23" t="str">
        <f>IFERROR(SUM((SUMIFS(Dyno_Data[AcqCenter],Dyno_Data[Team],$J$9, Dyno_Data[Match],X$11,Dyno_Data[TimeCenter],CenterTime_Amp[[#This Row],[Seconds]])+X$11/100)*SUMIFS(Dyno_Data[AcqDis],Dyno_Data[Team],$J$9, Dyno_Data[Match],X$11,Dyno_Data[TimeCenter],CenterTime_Amp[[#This Row],[Seconds]])),"")</f>
        <v/>
      </c>
      <c r="Y23" t="str">
        <f>IFERROR(SUM((SUMIFS(Dyno_Data[AcqCenter],Dyno_Data[Team],$J$9, Dyno_Data[Match],Y$11,Dyno_Data[TimeCenter],CenterTime_Amp[[#This Row],[Seconds]])+Y$11/100)*SUMIFS(Dyno_Data[AcqDis],Dyno_Data[Team],$J$9, Dyno_Data[Match],Y$11,Dyno_Data[TimeCenter],CenterTime_Amp[[#This Row],[Seconds]])),"")</f>
        <v/>
      </c>
      <c r="Z23" t="str">
        <f>IFERROR(SUM((SUMIFS(Dyno_Data[AcqCenter],Dyno_Data[Team],$J$9, Dyno_Data[Match],Z$11,Dyno_Data[TimeCenter],CenterTime_Amp[[#This Row],[Seconds]])+Z$11/100)*SUMIFS(Dyno_Data[AcqDis],Dyno_Data[Team],$J$9, Dyno_Data[Match],Z$11,Dyno_Data[TimeCenter],CenterTime_Amp[[#This Row],[Seconds]])),"")</f>
        <v/>
      </c>
    </row>
    <row r="24" spans="1:26" ht="15" thickBot="1" x14ac:dyDescent="0.35">
      <c r="A24" s="84" t="s">
        <v>220</v>
      </c>
      <c r="B24">
        <v>50</v>
      </c>
      <c r="C24" t="str">
        <f>_xlfn.CONCAT("Amp: ",ROUND(E21,2))</f>
        <v>Amp: 0</v>
      </c>
      <c r="D24" t="str">
        <f>_xlfn.CONCAT("Spkr: ",ROUND(F21,2))</f>
        <v>Spkr: 0.67</v>
      </c>
      <c r="E24" s="104" t="str">
        <f>IF(SUMIF(TBA_Matches_All[Team],$A$18,TBA_Matches_All[AtrapT])=0,"",_xlfn.CONCAT("Trap: ",SUMIF(TBA_Matches_All[Team],$A$18,TBA_Matches_All[AtrapT]),"/",COUNTIF(Dyno_EndMatch[Team],$A$18)))</f>
        <v/>
      </c>
      <c r="G24" s="104" t="s">
        <v>221</v>
      </c>
      <c r="J24">
        <v>12</v>
      </c>
      <c r="K24">
        <f>IFERROR(SUM((SUMIFS(Dyno_Data[AcqCenter],Dyno_Data[Team],$J$9, Dyno_Data[Match],K$11,Dyno_Data[TimeCenter],CenterTime_Amp[[#This Row],[Seconds]])+K$11/100)*SUMIFS(Dyno_Data[AcqDis],Dyno_Data[Team],$J$9, Dyno_Data[Match],K$11,Dyno_Data[TimeCenter],CenterTime_Amp[[#This Row],[Seconds]])),"")</f>
        <v>0</v>
      </c>
      <c r="L24">
        <f>IFERROR(SUM((SUMIFS(Dyno_Data[AcqCenter],Dyno_Data[Team],$J$9, Dyno_Data[Match],L$11,Dyno_Data[TimeCenter],CenterTime_Amp[[#This Row],[Seconds]])+L$11/100)*SUMIFS(Dyno_Data[AcqDis],Dyno_Data[Team],$J$9, Dyno_Data[Match],L$11,Dyno_Data[TimeCenter],CenterTime_Amp[[#This Row],[Seconds]])),"")</f>
        <v>0</v>
      </c>
      <c r="M24">
        <f>IFERROR(SUM((SUMIFS(Dyno_Data[AcqCenter],Dyno_Data[Team],$J$9, Dyno_Data[Match],M$11,Dyno_Data[TimeCenter],CenterTime_Amp[[#This Row],[Seconds]])+M$11/100)*SUMIFS(Dyno_Data[AcqDis],Dyno_Data[Team],$J$9, Dyno_Data[Match],M$11,Dyno_Data[TimeCenter],CenterTime_Amp[[#This Row],[Seconds]])),"")</f>
        <v>0</v>
      </c>
      <c r="N24">
        <f>IFERROR(SUM((SUMIFS(Dyno_Data[AcqCenter],Dyno_Data[Team],$J$9, Dyno_Data[Match],N$11,Dyno_Data[TimeCenter],CenterTime_Amp[[#This Row],[Seconds]])+N$11/100)*SUMIFS(Dyno_Data[AcqDis],Dyno_Data[Team],$J$9, Dyno_Data[Match],N$11,Dyno_Data[TimeCenter],CenterTime_Amp[[#This Row],[Seconds]])),"")</f>
        <v>0</v>
      </c>
      <c r="O24">
        <f>IFERROR(SUM((SUMIFS(Dyno_Data[AcqCenter],Dyno_Data[Team],$J$9, Dyno_Data[Match],O$11,Dyno_Data[TimeCenter],CenterTime_Amp[[#This Row],[Seconds]])+O$11/100)*SUMIFS(Dyno_Data[AcqDis],Dyno_Data[Team],$J$9, Dyno_Data[Match],O$11,Dyno_Data[TimeCenter],CenterTime_Amp[[#This Row],[Seconds]])),"")</f>
        <v>0</v>
      </c>
      <c r="P24">
        <f>IFERROR(SUM((SUMIFS(Dyno_Data[AcqCenter],Dyno_Data[Team],$J$9, Dyno_Data[Match],P$11,Dyno_Data[TimeCenter],CenterTime_Amp[[#This Row],[Seconds]])+P$11/100)*SUMIFS(Dyno_Data[AcqDis],Dyno_Data[Team],$J$9, Dyno_Data[Match],P$11,Dyno_Data[TimeCenter],CenterTime_Amp[[#This Row],[Seconds]])),"")</f>
        <v>0</v>
      </c>
      <c r="Q24">
        <f>IFERROR(SUM((SUMIFS(Dyno_Data[AcqCenter],Dyno_Data[Team],$J$9, Dyno_Data[Match],Q$11,Dyno_Data[TimeCenter],CenterTime_Amp[[#This Row],[Seconds]])+Q$11/100)*SUMIFS(Dyno_Data[AcqDis],Dyno_Data[Team],$J$9, Dyno_Data[Match],Q$11,Dyno_Data[TimeCenter],CenterTime_Amp[[#This Row],[Seconds]])),"")</f>
        <v>0</v>
      </c>
      <c r="R24" t="str">
        <f>IFERROR(SUM((SUMIFS(Dyno_Data[AcqCenter],Dyno_Data[Team],$J$9, Dyno_Data[Match],R$11,Dyno_Data[TimeCenter],CenterTime_Amp[[#This Row],[Seconds]])+R$11/100)*SUMIFS(Dyno_Data[AcqDis],Dyno_Data[Team],$J$9, Dyno_Data[Match],R$11,Dyno_Data[TimeCenter],CenterTime_Amp[[#This Row],[Seconds]])),"")</f>
        <v/>
      </c>
      <c r="S24" t="str">
        <f>IFERROR(SUM((SUMIFS(Dyno_Data[AcqCenter],Dyno_Data[Team],$J$9, Dyno_Data[Match],S$11,Dyno_Data[TimeCenter],CenterTime_Amp[[#This Row],[Seconds]])+S$11/100)*SUMIFS(Dyno_Data[AcqDis],Dyno_Data[Team],$J$9, Dyno_Data[Match],S$11,Dyno_Data[TimeCenter],CenterTime_Amp[[#This Row],[Seconds]])),"")</f>
        <v/>
      </c>
      <c r="T24" t="str">
        <f>IFERROR(SUM((SUMIFS(Dyno_Data[AcqCenter],Dyno_Data[Team],$J$9, Dyno_Data[Match],T$11,Dyno_Data[TimeCenter],CenterTime_Amp[[#This Row],[Seconds]])+T$11/100)*SUMIFS(Dyno_Data[AcqDis],Dyno_Data[Team],$J$9, Dyno_Data[Match],T$11,Dyno_Data[TimeCenter],CenterTime_Amp[[#This Row],[Seconds]])),"")</f>
        <v/>
      </c>
      <c r="U24" t="str">
        <f>IFERROR(SUM((SUMIFS(Dyno_Data[AcqCenter],Dyno_Data[Team],$J$9, Dyno_Data[Match],U$11,Dyno_Data[TimeCenter],CenterTime_Amp[[#This Row],[Seconds]])+U$11/100)*SUMIFS(Dyno_Data[AcqDis],Dyno_Data[Team],$J$9, Dyno_Data[Match],U$11,Dyno_Data[TimeCenter],CenterTime_Amp[[#This Row],[Seconds]])),"")</f>
        <v/>
      </c>
      <c r="V24" t="str">
        <f>IFERROR(SUM((SUMIFS(Dyno_Data[AcqCenter],Dyno_Data[Team],$J$9, Dyno_Data[Match],V$11,Dyno_Data[TimeCenter],CenterTime_Amp[[#This Row],[Seconds]])+V$11/100)*SUMIFS(Dyno_Data[AcqDis],Dyno_Data[Team],$J$9, Dyno_Data[Match],V$11,Dyno_Data[TimeCenter],CenterTime_Amp[[#This Row],[Seconds]])),"")</f>
        <v/>
      </c>
      <c r="W24" t="str">
        <f>IFERROR(SUM((SUMIFS(Dyno_Data[AcqCenter],Dyno_Data[Team],$J$9, Dyno_Data[Match],W$11,Dyno_Data[TimeCenter],CenterTime_Amp[[#This Row],[Seconds]])+W$11/100)*SUMIFS(Dyno_Data[AcqDis],Dyno_Data[Team],$J$9, Dyno_Data[Match],W$11,Dyno_Data[TimeCenter],CenterTime_Amp[[#This Row],[Seconds]])),"")</f>
        <v/>
      </c>
      <c r="X24" t="str">
        <f>IFERROR(SUM((SUMIFS(Dyno_Data[AcqCenter],Dyno_Data[Team],$J$9, Dyno_Data[Match],X$11,Dyno_Data[TimeCenter],CenterTime_Amp[[#This Row],[Seconds]])+X$11/100)*SUMIFS(Dyno_Data[AcqDis],Dyno_Data[Team],$J$9, Dyno_Data[Match],X$11,Dyno_Data[TimeCenter],CenterTime_Amp[[#This Row],[Seconds]])),"")</f>
        <v/>
      </c>
      <c r="Y24" t="str">
        <f>IFERROR(SUM((SUMIFS(Dyno_Data[AcqCenter],Dyno_Data[Team],$J$9, Dyno_Data[Match],Y$11,Dyno_Data[TimeCenter],CenterTime_Amp[[#This Row],[Seconds]])+Y$11/100)*SUMIFS(Dyno_Data[AcqDis],Dyno_Data[Team],$J$9, Dyno_Data[Match],Y$11,Dyno_Data[TimeCenter],CenterTime_Amp[[#This Row],[Seconds]])),"")</f>
        <v/>
      </c>
      <c r="Z24" t="str">
        <f>IFERROR(SUM((SUMIFS(Dyno_Data[AcqCenter],Dyno_Data[Team],$J$9, Dyno_Data[Match],Z$11,Dyno_Data[TimeCenter],CenterTime_Amp[[#This Row],[Seconds]])+Z$11/100)*SUMIFS(Dyno_Data[AcqDis],Dyno_Data[Team],$J$9, Dyno_Data[Match],Z$11,Dyno_Data[TimeCenter],CenterTime_Amp[[#This Row],[Seconds]])),"")</f>
        <v/>
      </c>
    </row>
    <row r="25" spans="1:26" ht="15" thickBot="1" x14ac:dyDescent="0.35">
      <c r="A25" s="86" t="s">
        <v>222</v>
      </c>
      <c r="B25" s="87">
        <v>25</v>
      </c>
      <c r="C25" s="87"/>
      <c r="D25" s="87"/>
      <c r="E25" s="87"/>
      <c r="F25" s="87"/>
      <c r="G25" s="102" t="s">
        <v>223</v>
      </c>
      <c r="J25">
        <v>13</v>
      </c>
      <c r="K25">
        <f>IFERROR(SUM((SUMIFS(Dyno_Data[AcqCenter],Dyno_Data[Team],$J$9, Dyno_Data[Match],K$11,Dyno_Data[TimeCenter],CenterTime_Amp[[#This Row],[Seconds]])+K$11/100)*SUMIFS(Dyno_Data[AcqDis],Dyno_Data[Team],$J$9, Dyno_Data[Match],K$11,Dyno_Data[TimeCenter],CenterTime_Amp[[#This Row],[Seconds]])),"")</f>
        <v>0</v>
      </c>
      <c r="L25">
        <f>IFERROR(SUM((SUMIFS(Dyno_Data[AcqCenter],Dyno_Data[Team],$J$9, Dyno_Data[Match],L$11,Dyno_Data[TimeCenter],CenterTime_Amp[[#This Row],[Seconds]])+L$11/100)*SUMIFS(Dyno_Data[AcqDis],Dyno_Data[Team],$J$9, Dyno_Data[Match],L$11,Dyno_Data[TimeCenter],CenterTime_Amp[[#This Row],[Seconds]])),"")</f>
        <v>0</v>
      </c>
      <c r="M25">
        <f>IFERROR(SUM((SUMIFS(Dyno_Data[AcqCenter],Dyno_Data[Team],$J$9, Dyno_Data[Match],M$11,Dyno_Data[TimeCenter],CenterTime_Amp[[#This Row],[Seconds]])+M$11/100)*SUMIFS(Dyno_Data[AcqDis],Dyno_Data[Team],$J$9, Dyno_Data[Match],M$11,Dyno_Data[TimeCenter],CenterTime_Amp[[#This Row],[Seconds]])),"")</f>
        <v>0</v>
      </c>
      <c r="N25">
        <f>IFERROR(SUM((SUMIFS(Dyno_Data[AcqCenter],Dyno_Data[Team],$J$9, Dyno_Data[Match],N$11,Dyno_Data[TimeCenter],CenterTime_Amp[[#This Row],[Seconds]])+N$11/100)*SUMIFS(Dyno_Data[AcqDis],Dyno_Data[Team],$J$9, Dyno_Data[Match],N$11,Dyno_Data[TimeCenter],CenterTime_Amp[[#This Row],[Seconds]])),"")</f>
        <v>0</v>
      </c>
      <c r="O25">
        <f>IFERROR(SUM((SUMIFS(Dyno_Data[AcqCenter],Dyno_Data[Team],$J$9, Dyno_Data[Match],O$11,Dyno_Data[TimeCenter],CenterTime_Amp[[#This Row],[Seconds]])+O$11/100)*SUMIFS(Dyno_Data[AcqDis],Dyno_Data[Team],$J$9, Dyno_Data[Match],O$11,Dyno_Data[TimeCenter],CenterTime_Amp[[#This Row],[Seconds]])),"")</f>
        <v>0</v>
      </c>
      <c r="P25">
        <f>IFERROR(SUM((SUMIFS(Dyno_Data[AcqCenter],Dyno_Data[Team],$J$9, Dyno_Data[Match],P$11,Dyno_Data[TimeCenter],CenterTime_Amp[[#This Row],[Seconds]])+P$11/100)*SUMIFS(Dyno_Data[AcqDis],Dyno_Data[Team],$J$9, Dyno_Data[Match],P$11,Dyno_Data[TimeCenter],CenterTime_Amp[[#This Row],[Seconds]])),"")</f>
        <v>0</v>
      </c>
      <c r="Q25">
        <f>IFERROR(SUM((SUMIFS(Dyno_Data[AcqCenter],Dyno_Data[Team],$J$9, Dyno_Data[Match],Q$11,Dyno_Data[TimeCenter],CenterTime_Amp[[#This Row],[Seconds]])+Q$11/100)*SUMIFS(Dyno_Data[AcqDis],Dyno_Data[Team],$J$9, Dyno_Data[Match],Q$11,Dyno_Data[TimeCenter],CenterTime_Amp[[#This Row],[Seconds]])),"")</f>
        <v>0</v>
      </c>
      <c r="R25" t="str">
        <f>IFERROR(SUM((SUMIFS(Dyno_Data[AcqCenter],Dyno_Data[Team],$J$9, Dyno_Data[Match],R$11,Dyno_Data[TimeCenter],CenterTime_Amp[[#This Row],[Seconds]])+R$11/100)*SUMIFS(Dyno_Data[AcqDis],Dyno_Data[Team],$J$9, Dyno_Data[Match],R$11,Dyno_Data[TimeCenter],CenterTime_Amp[[#This Row],[Seconds]])),"")</f>
        <v/>
      </c>
      <c r="S25" t="str">
        <f>IFERROR(SUM((SUMIFS(Dyno_Data[AcqCenter],Dyno_Data[Team],$J$9, Dyno_Data[Match],S$11,Dyno_Data[TimeCenter],CenterTime_Amp[[#This Row],[Seconds]])+S$11/100)*SUMIFS(Dyno_Data[AcqDis],Dyno_Data[Team],$J$9, Dyno_Data[Match],S$11,Dyno_Data[TimeCenter],CenterTime_Amp[[#This Row],[Seconds]])),"")</f>
        <v/>
      </c>
      <c r="T25" t="str">
        <f>IFERROR(SUM((SUMIFS(Dyno_Data[AcqCenter],Dyno_Data[Team],$J$9, Dyno_Data[Match],T$11,Dyno_Data[TimeCenter],CenterTime_Amp[[#This Row],[Seconds]])+T$11/100)*SUMIFS(Dyno_Data[AcqDis],Dyno_Data[Team],$J$9, Dyno_Data[Match],T$11,Dyno_Data[TimeCenter],CenterTime_Amp[[#This Row],[Seconds]])),"")</f>
        <v/>
      </c>
      <c r="U25" t="str">
        <f>IFERROR(SUM((SUMIFS(Dyno_Data[AcqCenter],Dyno_Data[Team],$J$9, Dyno_Data[Match],U$11,Dyno_Data[TimeCenter],CenterTime_Amp[[#This Row],[Seconds]])+U$11/100)*SUMIFS(Dyno_Data[AcqDis],Dyno_Data[Team],$J$9, Dyno_Data[Match],U$11,Dyno_Data[TimeCenter],CenterTime_Amp[[#This Row],[Seconds]])),"")</f>
        <v/>
      </c>
      <c r="V25" t="str">
        <f>IFERROR(SUM((SUMIFS(Dyno_Data[AcqCenter],Dyno_Data[Team],$J$9, Dyno_Data[Match],V$11,Dyno_Data[TimeCenter],CenterTime_Amp[[#This Row],[Seconds]])+V$11/100)*SUMIFS(Dyno_Data[AcqDis],Dyno_Data[Team],$J$9, Dyno_Data[Match],V$11,Dyno_Data[TimeCenter],CenterTime_Amp[[#This Row],[Seconds]])),"")</f>
        <v/>
      </c>
      <c r="W25" t="str">
        <f>IFERROR(SUM((SUMIFS(Dyno_Data[AcqCenter],Dyno_Data[Team],$J$9, Dyno_Data[Match],W$11,Dyno_Data[TimeCenter],CenterTime_Amp[[#This Row],[Seconds]])+W$11/100)*SUMIFS(Dyno_Data[AcqDis],Dyno_Data[Team],$J$9, Dyno_Data[Match],W$11,Dyno_Data[TimeCenter],CenterTime_Amp[[#This Row],[Seconds]])),"")</f>
        <v/>
      </c>
      <c r="X25" t="str">
        <f>IFERROR(SUM((SUMIFS(Dyno_Data[AcqCenter],Dyno_Data[Team],$J$9, Dyno_Data[Match],X$11,Dyno_Data[TimeCenter],CenterTime_Amp[[#This Row],[Seconds]])+X$11/100)*SUMIFS(Dyno_Data[AcqDis],Dyno_Data[Team],$J$9, Dyno_Data[Match],X$11,Dyno_Data[TimeCenter],CenterTime_Amp[[#This Row],[Seconds]])),"")</f>
        <v/>
      </c>
      <c r="Y25" t="str">
        <f>IFERROR(SUM((SUMIFS(Dyno_Data[AcqCenter],Dyno_Data[Team],$J$9, Dyno_Data[Match],Y$11,Dyno_Data[TimeCenter],CenterTime_Amp[[#This Row],[Seconds]])+Y$11/100)*SUMIFS(Dyno_Data[AcqDis],Dyno_Data[Team],$J$9, Dyno_Data[Match],Y$11,Dyno_Data[TimeCenter],CenterTime_Amp[[#This Row],[Seconds]])),"")</f>
        <v/>
      </c>
      <c r="Z25" t="str">
        <f>IFERROR(SUM((SUMIFS(Dyno_Data[AcqCenter],Dyno_Data[Team],$J$9, Dyno_Data[Match],Z$11,Dyno_Data[TimeCenter],CenterTime_Amp[[#This Row],[Seconds]])+Z$11/100)*SUMIFS(Dyno_Data[AcqDis],Dyno_Data[Team],$J$9, Dyno_Data[Match],Z$11,Dyno_Data[TimeCenter],CenterTime_Amp[[#This Row],[Seconds]])),"")</f>
        <v/>
      </c>
    </row>
    <row r="26" spans="1:26" ht="15" thickTop="1" x14ac:dyDescent="0.3">
      <c r="J26">
        <v>14</v>
      </c>
      <c r="K26">
        <f>IFERROR(SUM((SUMIFS(Dyno_Data[AcqCenter],Dyno_Data[Team],$J$9, Dyno_Data[Match],K$11,Dyno_Data[TimeCenter],CenterTime_Amp[[#This Row],[Seconds]])+K$11/100)*SUMIFS(Dyno_Data[AcqDis],Dyno_Data[Team],$J$9, Dyno_Data[Match],K$11,Dyno_Data[TimeCenter],CenterTime_Amp[[#This Row],[Seconds]])),"")</f>
        <v>0</v>
      </c>
      <c r="L26">
        <f>IFERROR(SUM((SUMIFS(Dyno_Data[AcqCenter],Dyno_Data[Team],$J$9, Dyno_Data[Match],L$11,Dyno_Data[TimeCenter],CenterTime_Amp[[#This Row],[Seconds]])+L$11/100)*SUMIFS(Dyno_Data[AcqDis],Dyno_Data[Team],$J$9, Dyno_Data[Match],L$11,Dyno_Data[TimeCenter],CenterTime_Amp[[#This Row],[Seconds]])),"")</f>
        <v>0</v>
      </c>
      <c r="M26">
        <f>IFERROR(SUM((SUMIFS(Dyno_Data[AcqCenter],Dyno_Data[Team],$J$9, Dyno_Data[Match],M$11,Dyno_Data[TimeCenter],CenterTime_Amp[[#This Row],[Seconds]])+M$11/100)*SUMIFS(Dyno_Data[AcqDis],Dyno_Data[Team],$J$9, Dyno_Data[Match],M$11,Dyno_Data[TimeCenter],CenterTime_Amp[[#This Row],[Seconds]])),"")</f>
        <v>0</v>
      </c>
      <c r="N26">
        <f>IFERROR(SUM((SUMIFS(Dyno_Data[AcqCenter],Dyno_Data[Team],$J$9, Dyno_Data[Match],N$11,Dyno_Data[TimeCenter],CenterTime_Amp[[#This Row],[Seconds]])+N$11/100)*SUMIFS(Dyno_Data[AcqDis],Dyno_Data[Team],$J$9, Dyno_Data[Match],N$11,Dyno_Data[TimeCenter],CenterTime_Amp[[#This Row],[Seconds]])),"")</f>
        <v>0</v>
      </c>
      <c r="O26">
        <f>IFERROR(SUM((SUMIFS(Dyno_Data[AcqCenter],Dyno_Data[Team],$J$9, Dyno_Data[Match],O$11,Dyno_Data[TimeCenter],CenterTime_Amp[[#This Row],[Seconds]])+O$11/100)*SUMIFS(Dyno_Data[AcqDis],Dyno_Data[Team],$J$9, Dyno_Data[Match],O$11,Dyno_Data[TimeCenter],CenterTime_Amp[[#This Row],[Seconds]])),"")</f>
        <v>0</v>
      </c>
      <c r="P26">
        <f>IFERROR(SUM((SUMIFS(Dyno_Data[AcqCenter],Dyno_Data[Team],$J$9, Dyno_Data[Match],P$11,Dyno_Data[TimeCenter],CenterTime_Amp[[#This Row],[Seconds]])+P$11/100)*SUMIFS(Dyno_Data[AcqDis],Dyno_Data[Team],$J$9, Dyno_Data[Match],P$11,Dyno_Data[TimeCenter],CenterTime_Amp[[#This Row],[Seconds]])),"")</f>
        <v>0</v>
      </c>
      <c r="Q26">
        <f>IFERROR(SUM((SUMIFS(Dyno_Data[AcqCenter],Dyno_Data[Team],$J$9, Dyno_Data[Match],Q$11,Dyno_Data[TimeCenter],CenterTime_Amp[[#This Row],[Seconds]])+Q$11/100)*SUMIFS(Dyno_Data[AcqDis],Dyno_Data[Team],$J$9, Dyno_Data[Match],Q$11,Dyno_Data[TimeCenter],CenterTime_Amp[[#This Row],[Seconds]])),"")</f>
        <v>0</v>
      </c>
      <c r="R26" t="str">
        <f>IFERROR(SUM((SUMIFS(Dyno_Data[AcqCenter],Dyno_Data[Team],$J$9, Dyno_Data[Match],R$11,Dyno_Data[TimeCenter],CenterTime_Amp[[#This Row],[Seconds]])+R$11/100)*SUMIFS(Dyno_Data[AcqDis],Dyno_Data[Team],$J$9, Dyno_Data[Match],R$11,Dyno_Data[TimeCenter],CenterTime_Amp[[#This Row],[Seconds]])),"")</f>
        <v/>
      </c>
      <c r="S26" t="str">
        <f>IFERROR(SUM((SUMIFS(Dyno_Data[AcqCenter],Dyno_Data[Team],$J$9, Dyno_Data[Match],S$11,Dyno_Data[TimeCenter],CenterTime_Amp[[#This Row],[Seconds]])+S$11/100)*SUMIFS(Dyno_Data[AcqDis],Dyno_Data[Team],$J$9, Dyno_Data[Match],S$11,Dyno_Data[TimeCenter],CenterTime_Amp[[#This Row],[Seconds]])),"")</f>
        <v/>
      </c>
      <c r="T26" t="str">
        <f>IFERROR(SUM((SUMIFS(Dyno_Data[AcqCenter],Dyno_Data[Team],$J$9, Dyno_Data[Match],T$11,Dyno_Data[TimeCenter],CenterTime_Amp[[#This Row],[Seconds]])+T$11/100)*SUMIFS(Dyno_Data[AcqDis],Dyno_Data[Team],$J$9, Dyno_Data[Match],T$11,Dyno_Data[TimeCenter],CenterTime_Amp[[#This Row],[Seconds]])),"")</f>
        <v/>
      </c>
      <c r="U26" t="str">
        <f>IFERROR(SUM((SUMIFS(Dyno_Data[AcqCenter],Dyno_Data[Team],$J$9, Dyno_Data[Match],U$11,Dyno_Data[TimeCenter],CenterTime_Amp[[#This Row],[Seconds]])+U$11/100)*SUMIFS(Dyno_Data[AcqDis],Dyno_Data[Team],$J$9, Dyno_Data[Match],U$11,Dyno_Data[TimeCenter],CenterTime_Amp[[#This Row],[Seconds]])),"")</f>
        <v/>
      </c>
      <c r="V26" t="str">
        <f>IFERROR(SUM((SUMIFS(Dyno_Data[AcqCenter],Dyno_Data[Team],$J$9, Dyno_Data[Match],V$11,Dyno_Data[TimeCenter],CenterTime_Amp[[#This Row],[Seconds]])+V$11/100)*SUMIFS(Dyno_Data[AcqDis],Dyno_Data[Team],$J$9, Dyno_Data[Match],V$11,Dyno_Data[TimeCenter],CenterTime_Amp[[#This Row],[Seconds]])),"")</f>
        <v/>
      </c>
      <c r="W26" t="str">
        <f>IFERROR(SUM((SUMIFS(Dyno_Data[AcqCenter],Dyno_Data[Team],$J$9, Dyno_Data[Match],W$11,Dyno_Data[TimeCenter],CenterTime_Amp[[#This Row],[Seconds]])+W$11/100)*SUMIFS(Dyno_Data[AcqDis],Dyno_Data[Team],$J$9, Dyno_Data[Match],W$11,Dyno_Data[TimeCenter],CenterTime_Amp[[#This Row],[Seconds]])),"")</f>
        <v/>
      </c>
      <c r="X26" t="str">
        <f>IFERROR(SUM((SUMIFS(Dyno_Data[AcqCenter],Dyno_Data[Team],$J$9, Dyno_Data[Match],X$11,Dyno_Data[TimeCenter],CenterTime_Amp[[#This Row],[Seconds]])+X$11/100)*SUMIFS(Dyno_Data[AcqDis],Dyno_Data[Team],$J$9, Dyno_Data[Match],X$11,Dyno_Data[TimeCenter],CenterTime_Amp[[#This Row],[Seconds]])),"")</f>
        <v/>
      </c>
      <c r="Y26" t="str">
        <f>IFERROR(SUM((SUMIFS(Dyno_Data[AcqCenter],Dyno_Data[Team],$J$9, Dyno_Data[Match],Y$11,Dyno_Data[TimeCenter],CenterTime_Amp[[#This Row],[Seconds]])+Y$11/100)*SUMIFS(Dyno_Data[AcqDis],Dyno_Data[Team],$J$9, Dyno_Data[Match],Y$11,Dyno_Data[TimeCenter],CenterTime_Amp[[#This Row],[Seconds]])),"")</f>
        <v/>
      </c>
      <c r="Z26" t="str">
        <f>IFERROR(SUM((SUMIFS(Dyno_Data[AcqCenter],Dyno_Data[Team],$J$9, Dyno_Data[Match],Z$11,Dyno_Data[TimeCenter],CenterTime_Amp[[#This Row],[Seconds]])+Z$11/100)*SUMIFS(Dyno_Data[AcqDis],Dyno_Data[Team],$J$9, Dyno_Data[Match],Z$11,Dyno_Data[TimeCenter],CenterTime_Amp[[#This Row],[Seconds]])),"")</f>
        <v/>
      </c>
    </row>
    <row r="27" spans="1:26" ht="15" thickBot="1" x14ac:dyDescent="0.35">
      <c r="J27">
        <v>15</v>
      </c>
      <c r="K27">
        <f>IFERROR(SUM((SUMIFS(Dyno_Data[AcqCenter],Dyno_Data[Team],$J$9, Dyno_Data[Match],K$11,Dyno_Data[TimeCenter],CenterTime_Amp[[#This Row],[Seconds]])+K$11/100)*SUMIFS(Dyno_Data[AcqDis],Dyno_Data[Team],$J$9, Dyno_Data[Match],K$11,Dyno_Data[TimeCenter],CenterTime_Amp[[#This Row],[Seconds]])),"")</f>
        <v>-4.07</v>
      </c>
      <c r="L27">
        <f>IFERROR(SUM((SUMIFS(Dyno_Data[AcqCenter],Dyno_Data[Team],$J$9, Dyno_Data[Match],L$11,Dyno_Data[TimeCenter],CenterTime_Amp[[#This Row],[Seconds]])+L$11/100)*SUMIFS(Dyno_Data[AcqDis],Dyno_Data[Team],$J$9, Dyno_Data[Match],L$11,Dyno_Data[TimeCenter],CenterTime_Amp[[#This Row],[Seconds]])),"")</f>
        <v>0</v>
      </c>
      <c r="M27">
        <f>IFERROR(SUM((SUMIFS(Dyno_Data[AcqCenter],Dyno_Data[Team],$J$9, Dyno_Data[Match],M$11,Dyno_Data[TimeCenter],CenterTime_Amp[[#This Row],[Seconds]])+M$11/100)*SUMIFS(Dyno_Data[AcqDis],Dyno_Data[Team],$J$9, Dyno_Data[Match],M$11,Dyno_Data[TimeCenter],CenterTime_Amp[[#This Row],[Seconds]])),"")</f>
        <v>0</v>
      </c>
      <c r="N27">
        <f>IFERROR(SUM((SUMIFS(Dyno_Data[AcqCenter],Dyno_Data[Team],$J$9, Dyno_Data[Match],N$11,Dyno_Data[TimeCenter],CenterTime_Amp[[#This Row],[Seconds]])+N$11/100)*SUMIFS(Dyno_Data[AcqDis],Dyno_Data[Team],$J$9, Dyno_Data[Match],N$11,Dyno_Data[TimeCenter],CenterTime_Amp[[#This Row],[Seconds]])),"")</f>
        <v>0</v>
      </c>
      <c r="O27">
        <f>IFERROR(SUM((SUMIFS(Dyno_Data[AcqCenter],Dyno_Data[Team],$J$9, Dyno_Data[Match],O$11,Dyno_Data[TimeCenter],CenterTime_Amp[[#This Row],[Seconds]])+O$11/100)*SUMIFS(Dyno_Data[AcqDis],Dyno_Data[Team],$J$9, Dyno_Data[Match],O$11,Dyno_Data[TimeCenter],CenterTime_Amp[[#This Row],[Seconds]])),"")</f>
        <v>0</v>
      </c>
      <c r="P27">
        <f>IFERROR(SUM((SUMIFS(Dyno_Data[AcqCenter],Dyno_Data[Team],$J$9, Dyno_Data[Match],P$11,Dyno_Data[TimeCenter],CenterTime_Amp[[#This Row],[Seconds]])+P$11/100)*SUMIFS(Dyno_Data[AcqDis],Dyno_Data[Team],$J$9, Dyno_Data[Match],P$11,Dyno_Data[TimeCenter],CenterTime_Amp[[#This Row],[Seconds]])),"")</f>
        <v>0</v>
      </c>
      <c r="Q27">
        <f>IFERROR(SUM((SUMIFS(Dyno_Data[AcqCenter],Dyno_Data[Team],$J$9, Dyno_Data[Match],Q$11,Dyno_Data[TimeCenter],CenterTime_Amp[[#This Row],[Seconds]])+Q$11/100)*SUMIFS(Dyno_Data[AcqDis],Dyno_Data[Team],$J$9, Dyno_Data[Match],Q$11,Dyno_Data[TimeCenter],CenterTime_Amp[[#This Row],[Seconds]])),"")</f>
        <v>0</v>
      </c>
      <c r="R27" t="str">
        <f>IFERROR(SUM((SUMIFS(Dyno_Data[AcqCenter],Dyno_Data[Team],$J$9, Dyno_Data[Match],R$11,Dyno_Data[TimeCenter],CenterTime_Amp[[#This Row],[Seconds]])+R$11/100)*SUMIFS(Dyno_Data[AcqDis],Dyno_Data[Team],$J$9, Dyno_Data[Match],R$11,Dyno_Data[TimeCenter],CenterTime_Amp[[#This Row],[Seconds]])),"")</f>
        <v/>
      </c>
      <c r="S27" t="str">
        <f>IFERROR(SUM((SUMIFS(Dyno_Data[AcqCenter],Dyno_Data[Team],$J$9, Dyno_Data[Match],S$11,Dyno_Data[TimeCenter],CenterTime_Amp[[#This Row],[Seconds]])+S$11/100)*SUMIFS(Dyno_Data[AcqDis],Dyno_Data[Team],$J$9, Dyno_Data[Match],S$11,Dyno_Data[TimeCenter],CenterTime_Amp[[#This Row],[Seconds]])),"")</f>
        <v/>
      </c>
      <c r="T27" t="str">
        <f>IFERROR(SUM((SUMIFS(Dyno_Data[AcqCenter],Dyno_Data[Team],$J$9, Dyno_Data[Match],T$11,Dyno_Data[TimeCenter],CenterTime_Amp[[#This Row],[Seconds]])+T$11/100)*SUMIFS(Dyno_Data[AcqDis],Dyno_Data[Team],$J$9, Dyno_Data[Match],T$11,Dyno_Data[TimeCenter],CenterTime_Amp[[#This Row],[Seconds]])),"")</f>
        <v/>
      </c>
      <c r="U27" t="str">
        <f>IFERROR(SUM((SUMIFS(Dyno_Data[AcqCenter],Dyno_Data[Team],$J$9, Dyno_Data[Match],U$11,Dyno_Data[TimeCenter],CenterTime_Amp[[#This Row],[Seconds]])+U$11/100)*SUMIFS(Dyno_Data[AcqDis],Dyno_Data[Team],$J$9, Dyno_Data[Match],U$11,Dyno_Data[TimeCenter],CenterTime_Amp[[#This Row],[Seconds]])),"")</f>
        <v/>
      </c>
      <c r="V27" t="str">
        <f>IFERROR(SUM((SUMIFS(Dyno_Data[AcqCenter],Dyno_Data[Team],$J$9, Dyno_Data[Match],V$11,Dyno_Data[TimeCenter],CenterTime_Amp[[#This Row],[Seconds]])+V$11/100)*SUMIFS(Dyno_Data[AcqDis],Dyno_Data[Team],$J$9, Dyno_Data[Match],V$11,Dyno_Data[TimeCenter],CenterTime_Amp[[#This Row],[Seconds]])),"")</f>
        <v/>
      </c>
      <c r="W27" t="str">
        <f>IFERROR(SUM((SUMIFS(Dyno_Data[AcqCenter],Dyno_Data[Team],$J$9, Dyno_Data[Match],W$11,Dyno_Data[TimeCenter],CenterTime_Amp[[#This Row],[Seconds]])+W$11/100)*SUMIFS(Dyno_Data[AcqDis],Dyno_Data[Team],$J$9, Dyno_Data[Match],W$11,Dyno_Data[TimeCenter],CenterTime_Amp[[#This Row],[Seconds]])),"")</f>
        <v/>
      </c>
      <c r="X27" t="str">
        <f>IFERROR(SUM((SUMIFS(Dyno_Data[AcqCenter],Dyno_Data[Team],$J$9, Dyno_Data[Match],X$11,Dyno_Data[TimeCenter],CenterTime_Amp[[#This Row],[Seconds]])+X$11/100)*SUMIFS(Dyno_Data[AcqDis],Dyno_Data[Team],$J$9, Dyno_Data[Match],X$11,Dyno_Data[TimeCenter],CenterTime_Amp[[#This Row],[Seconds]])),"")</f>
        <v/>
      </c>
      <c r="Y27" t="str">
        <f>IFERROR(SUM((SUMIFS(Dyno_Data[AcqCenter],Dyno_Data[Team],$J$9, Dyno_Data[Match],Y$11,Dyno_Data[TimeCenter],CenterTime_Amp[[#This Row],[Seconds]])+Y$11/100)*SUMIFS(Dyno_Data[AcqDis],Dyno_Data[Team],$J$9, Dyno_Data[Match],Y$11,Dyno_Data[TimeCenter],CenterTime_Amp[[#This Row],[Seconds]])),"")</f>
        <v/>
      </c>
      <c r="Z27" t="str">
        <f>IFERROR(SUM((SUMIFS(Dyno_Data[AcqCenter],Dyno_Data[Team],$J$9, Dyno_Data[Match],Z$11,Dyno_Data[TimeCenter],CenterTime_Amp[[#This Row],[Seconds]])+Z$11/100)*SUMIFS(Dyno_Data[AcqDis],Dyno_Data[Team],$J$9, Dyno_Data[Match],Z$11,Dyno_Data[TimeCenter],CenterTime_Amp[[#This Row],[Seconds]])),"")</f>
        <v/>
      </c>
    </row>
    <row r="28" spans="1:26" ht="15" thickTop="1" x14ac:dyDescent="0.3">
      <c r="A28" s="95" t="str">
        <f>IF(AllianceA="Red",_Red1,_Blue3)</f>
        <v>frc1591</v>
      </c>
      <c r="B28" s="185" t="s">
        <v>225</v>
      </c>
      <c r="C28" s="185"/>
      <c r="D28" s="185"/>
      <c r="E28" s="185"/>
      <c r="F28" s="185"/>
      <c r="G28" s="186"/>
      <c r="J28" s="184" t="s">
        <v>226</v>
      </c>
      <c r="K28" s="185"/>
      <c r="L28" s="185"/>
      <c r="M28" s="185"/>
      <c r="N28" s="185"/>
      <c r="O28" s="185"/>
      <c r="P28" s="185"/>
      <c r="Q28" s="185"/>
      <c r="R28" s="185"/>
      <c r="S28" s="185"/>
      <c r="T28" s="185"/>
      <c r="U28" s="185"/>
      <c r="V28" s="185"/>
      <c r="W28" s="185"/>
      <c r="X28" s="185"/>
      <c r="Y28" s="185"/>
      <c r="Z28" s="186"/>
    </row>
    <row r="29" spans="1:26" x14ac:dyDescent="0.3">
      <c r="A29" s="84" t="s">
        <v>188</v>
      </c>
      <c r="B29" t="s">
        <v>189</v>
      </c>
      <c r="C29" t="s">
        <v>190</v>
      </c>
      <c r="D29" t="s">
        <v>191</v>
      </c>
      <c r="E29" t="s">
        <v>192</v>
      </c>
      <c r="F29" t="s">
        <v>193</v>
      </c>
      <c r="G29" s="85" t="s">
        <v>194</v>
      </c>
      <c r="J29" s="84" t="str">
        <f>IF(AllianceA="Red",_Red2,_Blue2)</f>
        <v>frc5016</v>
      </c>
      <c r="K29">
        <f>IF(1&lt;=_xlfn.MAXIFS(TBA_Matches_All[teammatch],TBA_Matches_All[Team],$J29),1,"")</f>
        <v>1</v>
      </c>
      <c r="L29">
        <f>IF(2&lt;=_xlfn.MAXIFS(TBA_Matches_All[teammatch],TBA_Matches_All[Team],$J29),2,"")</f>
        <v>2</v>
      </c>
      <c r="M29">
        <f>IF(3&lt;=_xlfn.MAXIFS(TBA_Matches_All[teammatch],TBA_Matches_All[Team],$J29),3,"")</f>
        <v>3</v>
      </c>
      <c r="N29">
        <f>IF(4&lt;=_xlfn.MAXIFS(TBA_Matches_All[teammatch],TBA_Matches_All[Team],$J29),4,"")</f>
        <v>4</v>
      </c>
      <c r="O29">
        <f>IF(5&lt;=_xlfn.MAXIFS(TBA_Matches_All[teammatch],TBA_Matches_All[Team],$J29),5,"")</f>
        <v>5</v>
      </c>
      <c r="P29">
        <f>IF(6&lt;=_xlfn.MAXIFS(TBA_Matches_All[teammatch],TBA_Matches_All[Team],$J29),6,"")</f>
        <v>6</v>
      </c>
      <c r="Q29">
        <f>IF(7&lt;=_xlfn.MAXIFS(TBA_Matches_All[teammatch],TBA_Matches_All[Team],$J29),7,"")</f>
        <v>7</v>
      </c>
      <c r="R29" t="str">
        <f>IF(8&lt;=_xlfn.MAXIFS(TBA_Matches_All[teammatch],TBA_Matches_All[Team],$J29),8,"")</f>
        <v/>
      </c>
      <c r="S29" t="str">
        <f>IF(9&lt;=_xlfn.MAXIFS(TBA_Matches_All[teammatch],TBA_Matches_All[Team],$J29),9,"")</f>
        <v/>
      </c>
      <c r="T29" t="str">
        <f>IF(10&lt;=_xlfn.MAXIFS(TBA_Matches_All[teammatch],TBA_Matches_All[Team],$J29),10,"")</f>
        <v/>
      </c>
      <c r="U29" t="str">
        <f>IF(11&lt;=_xlfn.MAXIFS(TBA_Matches_All[teammatch],TBA_Matches_All[Team],$J29),11,"")</f>
        <v/>
      </c>
      <c r="V29" t="str">
        <f>IF(12&lt;=_xlfn.MAXIFS(TBA_Matches_All[teammatch],TBA_Matches_All[Team],$J29),12,"")</f>
        <v/>
      </c>
      <c r="W29" t="str">
        <f>IF(13&lt;=_xlfn.MAXIFS(TBA_Matches_All[teammatch],TBA_Matches_All[Team],$J29),13,"")</f>
        <v/>
      </c>
      <c r="X29" t="str">
        <f>IF(14&lt;=_xlfn.MAXIFS(TBA_Matches_All[teammatch],TBA_Matches_All[Team],$J29),14,"")</f>
        <v/>
      </c>
      <c r="Y29" t="str">
        <f>IF(15&lt;=_xlfn.MAXIFS(TBA_Matches_All[teammatch],TBA_Matches_All[Team],$J29),15,"")</f>
        <v/>
      </c>
      <c r="Z29" s="85" t="str">
        <f>IF(16&lt;=_xlfn.MAXIFS(TBA_Matches_All[teammatch],TBA_Matches_All[Team],$J29),16,"")</f>
        <v/>
      </c>
    </row>
    <row r="30" spans="1:26" ht="15" thickBot="1" x14ac:dyDescent="0.35">
      <c r="A30" s="84" t="s">
        <v>195</v>
      </c>
      <c r="B30">
        <v>25</v>
      </c>
      <c r="C30" s="96">
        <f>SUM((E31-E30)/(E32-E30))*50-C31</f>
        <v>-1.5</v>
      </c>
      <c r="D30" s="97">
        <f>SUM(B33:B35)-D32</f>
        <v>70.071428571428569</v>
      </c>
      <c r="E30" s="107">
        <f>MIN(TBA_Rankings[aveAampT])</f>
        <v>0</v>
      </c>
      <c r="F30" s="107">
        <f>MIN(TBA_Rankings[aveAspkrT])</f>
        <v>0</v>
      </c>
      <c r="G30" s="98" t="s">
        <v>196</v>
      </c>
      <c r="J30" s="84"/>
      <c r="K30" s="114" t="str">
        <f>IFERROR(_xlfn.CONCAT(K31," (",LEFT(_xlfn.XLOOKUP(MID($J$29,4,5)+K$31/100,TBA_Matches_All[teammat],TBA_Matches_All[RobotSet],"",0,1),1),")"),"")</f>
        <v>3 (P)</v>
      </c>
      <c r="L30" s="114" t="str">
        <f>IFERROR(_xlfn.CONCAT(L31," (",LEFT(_xlfn.XLOOKUP(MID($J$29,4,5)+L$31/100,TBA_Matches_All[teammat],TBA_Matches_All[RobotSet],"",0,1),1),")"),"")</f>
        <v>10 (A)</v>
      </c>
      <c r="M30" s="114" t="str">
        <f>IFERROR(_xlfn.CONCAT(M31," (",LEFT(_xlfn.XLOOKUP(MID($J$29,4,5)+M$31/100,TBA_Matches_All[teammat],TBA_Matches_All[RobotSet],"",0,1),1),")"),"")</f>
        <v>20 (A)</v>
      </c>
      <c r="N30" s="114" t="str">
        <f>IFERROR(_xlfn.CONCAT(N31," (",LEFT(_xlfn.XLOOKUP(MID($J$29,4,5)+N$31/100,TBA_Matches_All[teammat],TBA_Matches_All[RobotSet],"",0,1),1),")"),"")</f>
        <v>27 (_)</v>
      </c>
      <c r="O30" s="114" t="str">
        <f>IFERROR(_xlfn.CONCAT(O31," (",LEFT(_xlfn.XLOOKUP(MID($J$29,4,5)+O$31/100,TBA_Matches_All[teammat],TBA_Matches_All[RobotSet],"",0,1),1),")"),"")</f>
        <v>41 (S)</v>
      </c>
      <c r="P30" s="114" t="str">
        <f>IFERROR(_xlfn.CONCAT(P31," (",LEFT(_xlfn.XLOOKUP(MID($J$29,4,5)+P$31/100,TBA_Matches_All[teammat],TBA_Matches_All[RobotSet],"",0,1),1),")"),"")</f>
        <v>46 (P)</v>
      </c>
      <c r="Q30" s="114" t="str">
        <f>IFERROR(_xlfn.CONCAT(Q31," (",LEFT(_xlfn.XLOOKUP(MID($J$29,4,5)+Q$31/100,TBA_Matches_All[teammat],TBA_Matches_All[RobotSet],"",0,1),1),")"),"")</f>
        <v>56 (A)</v>
      </c>
      <c r="R30" s="114" t="str">
        <f>IFERROR(_xlfn.CONCAT(R31," (",LEFT(_xlfn.XLOOKUP(MID($J$29,4,5)+R$31/100,TBA_Matches_All[teammat],TBA_Matches_All[RobotSet],"",0,1),1),")"),"")</f>
        <v/>
      </c>
      <c r="S30" s="114" t="str">
        <f>IFERROR(_xlfn.CONCAT(S31," (",LEFT(_xlfn.XLOOKUP(MID($J$29,4,5)+S$31/100,TBA_Matches_All[teammat],TBA_Matches_All[RobotSet],"",0,1),1),")"),"")</f>
        <v/>
      </c>
      <c r="T30" s="114" t="str">
        <f>IFERROR(_xlfn.CONCAT(T31," (",LEFT(_xlfn.XLOOKUP(MID($J$29,4,5)+T$31/100,TBA_Matches_All[teammat],TBA_Matches_All[RobotSet],"",0,1),1),")"),"")</f>
        <v/>
      </c>
      <c r="U30" s="114" t="str">
        <f>IFERROR(_xlfn.CONCAT(U31," (",LEFT(_xlfn.XLOOKUP(MID($J$29,4,5)+U$31/100,TBA_Matches_All[teammat],TBA_Matches_All[RobotSet],"",0,1),1),")"),"")</f>
        <v/>
      </c>
      <c r="V30" s="114" t="str">
        <f>IFERROR(_xlfn.CONCAT(V31," (",LEFT(_xlfn.XLOOKUP(MID($J$29,4,5)+V$31/100,TBA_Matches_All[teammat],TBA_Matches_All[RobotSet],"",0,1),1),")"),"")</f>
        <v/>
      </c>
      <c r="W30" s="114" t="str">
        <f>IFERROR(_xlfn.CONCAT(W31," (",LEFT(_xlfn.XLOOKUP(MID($J$29,4,5)+W$31/100,TBA_Matches_All[teammat],TBA_Matches_All[RobotSet],"",0,1),1),")"),"")</f>
        <v/>
      </c>
      <c r="X30" s="114" t="str">
        <f>IFERROR(_xlfn.CONCAT(X31," (",LEFT(_xlfn.XLOOKUP(MID($J$29,4,5)+X$31/100,TBA_Matches_All[teammat],TBA_Matches_All[RobotSet],"",0,1),1),")"),"")</f>
        <v/>
      </c>
      <c r="Y30" s="114" t="str">
        <f>IFERROR(_xlfn.CONCAT(Y31," (",LEFT(_xlfn.XLOOKUP(MID($J$29,4,5)+Y$31/100,TBA_Matches_All[teammat],TBA_Matches_All[RobotSet],"",0,1),1),")"),"")</f>
        <v/>
      </c>
      <c r="Z30" s="115" t="str">
        <f>IFERROR(_xlfn.CONCAT(Z31," (",LEFT(_xlfn.XLOOKUP(MID($J$29,4,5)+Z$31/100,TBA_Matches_All[teammat],TBA_Matches_All[RobotSet],"",0,1),1),")"),"")</f>
        <v/>
      </c>
    </row>
    <row r="31" spans="1:26" ht="15" thickBot="1" x14ac:dyDescent="0.35">
      <c r="A31" s="84" t="s">
        <v>197</v>
      </c>
      <c r="B31">
        <v>50</v>
      </c>
      <c r="C31" s="4">
        <v>1.5</v>
      </c>
      <c r="D31" s="4">
        <v>1.5</v>
      </c>
      <c r="E31" s="108">
        <f>SUMIF(TBA_Rankings[Team],$A$28,TBA_Rankings[aveAampT])</f>
        <v>0</v>
      </c>
      <c r="F31" s="108">
        <f>SUMIF(TBA_Rankings[Team],$A$28,TBA_Rankings[aveAspkrT])</f>
        <v>3.1428571428571428</v>
      </c>
      <c r="G31" s="99" t="s">
        <v>198</v>
      </c>
      <c r="J31" s="84"/>
      <c r="K31">
        <f>IF(K29&lt;=_xlfn.MAXIFS(TBA_Matches_All[teammatch],TBA_Matches_All[Team],$J29),SUMIFS(TBA_Matches_All[Match_Number],TBA_Matches_All[Team],$J29,TBA_Matches_All[teammatch],K29),"")</f>
        <v>3</v>
      </c>
      <c r="L31">
        <f>IF(L29&lt;=_xlfn.MAXIFS(TBA_Matches_All[teammatch],TBA_Matches_All[Team],$J29),SUMIFS(TBA_Matches_All[Match_Number],TBA_Matches_All[Team],$J29,TBA_Matches_All[teammatch],L29),"")</f>
        <v>10</v>
      </c>
      <c r="M31">
        <f>IF(M29&lt;=_xlfn.MAXIFS(TBA_Matches_All[teammatch],TBA_Matches_All[Team],$J29),SUMIFS(TBA_Matches_All[Match_Number],TBA_Matches_All[Team],$J29,TBA_Matches_All[teammatch],M29),"")</f>
        <v>20</v>
      </c>
      <c r="N31">
        <f>IF(N29&lt;=_xlfn.MAXIFS(TBA_Matches_All[teammatch],TBA_Matches_All[Team],$J29),SUMIFS(TBA_Matches_All[Match_Number],TBA_Matches_All[Team],$J29,TBA_Matches_All[teammatch],N29),"")</f>
        <v>27</v>
      </c>
      <c r="O31">
        <f>IF(O29&lt;=_xlfn.MAXIFS(TBA_Matches_All[teammatch],TBA_Matches_All[Team],$J29),SUMIFS(TBA_Matches_All[Match_Number],TBA_Matches_All[Team],$J29,TBA_Matches_All[teammatch],O29),"")</f>
        <v>41</v>
      </c>
      <c r="P31">
        <f>IF(P29&lt;=_xlfn.MAXIFS(TBA_Matches_All[teammatch],TBA_Matches_All[Team],$J29),SUMIFS(TBA_Matches_All[Match_Number],TBA_Matches_All[Team],$J29,TBA_Matches_All[teammatch],P29),"")</f>
        <v>46</v>
      </c>
      <c r="Q31">
        <f>IF(Q29&lt;=_xlfn.MAXIFS(TBA_Matches_All[teammatch],TBA_Matches_All[Team],$J29),SUMIFS(TBA_Matches_All[Match_Number],TBA_Matches_All[Team],$J29,TBA_Matches_All[teammatch],Q29),"")</f>
        <v>56</v>
      </c>
      <c r="R31" t="str">
        <f>IF(R29&lt;=_xlfn.MAXIFS(TBA_Matches_All[teammatch],TBA_Matches_All[Team],$J29),SUMIFS(TBA_Matches_All[Match_Number],TBA_Matches_All[Team],$J29,TBA_Matches_All[teammatch],R29),"")</f>
        <v/>
      </c>
      <c r="S31" t="str">
        <f>IF(S29&lt;=_xlfn.MAXIFS(TBA_Matches_All[teammatch],TBA_Matches_All[Team],$J29),SUMIFS(TBA_Matches_All[Match_Number],TBA_Matches_All[Team],$J29,TBA_Matches_All[teammatch],S29),"")</f>
        <v/>
      </c>
      <c r="T31" t="str">
        <f>IF(T29&lt;=_xlfn.MAXIFS(TBA_Matches_All[teammatch],TBA_Matches_All[Team],$J29),SUMIFS(TBA_Matches_All[Match_Number],TBA_Matches_All[Team],$J29,TBA_Matches_All[teammatch],T29),"")</f>
        <v/>
      </c>
      <c r="U31" t="str">
        <f>IF(U29&lt;=_xlfn.MAXIFS(TBA_Matches_All[teammatch],TBA_Matches_All[Team],$J29),SUMIFS(TBA_Matches_All[Match_Number],TBA_Matches_All[Team],$J29,TBA_Matches_All[teammatch],U29),"")</f>
        <v/>
      </c>
      <c r="V31" t="str">
        <f>IF(V29&lt;=_xlfn.MAXIFS(TBA_Matches_All[teammatch],TBA_Matches_All[Team],$J29),SUMIFS(TBA_Matches_All[Match_Number],TBA_Matches_All[Team],$J29,TBA_Matches_All[teammatch],V29),"")</f>
        <v/>
      </c>
      <c r="W31" t="str">
        <f>IF(W29&lt;=_xlfn.MAXIFS(TBA_Matches_All[teammatch],TBA_Matches_All[Team],$J29),SUMIFS(TBA_Matches_All[Match_Number],TBA_Matches_All[Team],$J29,TBA_Matches_All[teammatch],W29),"")</f>
        <v/>
      </c>
      <c r="X31" t="str">
        <f>IF(X29&lt;=_xlfn.MAXIFS(TBA_Matches_All[teammatch],TBA_Matches_All[Team],$J29),SUMIFS(TBA_Matches_All[Match_Number],TBA_Matches_All[Team],$J29,TBA_Matches_All[teammatch],X29),"")</f>
        <v/>
      </c>
      <c r="Y31" t="str">
        <f>IF(Y29&lt;=_xlfn.MAXIFS(TBA_Matches_All[teammatch],TBA_Matches_All[Team],$J29),SUMIFS(TBA_Matches_All[Match_Number],TBA_Matches_All[Team],$J29,TBA_Matches_All[teammatch],Y29),"")</f>
        <v/>
      </c>
      <c r="Z31" s="85" t="str">
        <f>IF(Z29&lt;=_xlfn.MAXIFS(TBA_Matches_All[teammatch],TBA_Matches_All[Team],$J29),SUMIFS(TBA_Matches_All[Match_Number],TBA_Matches_All[Team],$J29,TBA_Matches_All[teammatch],Z29),"")</f>
        <v/>
      </c>
    </row>
    <row r="32" spans="1:26" x14ac:dyDescent="0.3">
      <c r="A32" s="84" t="s">
        <v>199</v>
      </c>
      <c r="B32">
        <v>25</v>
      </c>
      <c r="C32" s="97">
        <f>SUM(B30:B32)-SUM(C30:C31)</f>
        <v>100</v>
      </c>
      <c r="D32" s="96">
        <f>SUM((F31-F30)/(F32-F30))*50-D31</f>
        <v>29.928571428571427</v>
      </c>
      <c r="E32" s="109">
        <f>MAX(TBA_Rankings[aveAampT])</f>
        <v>0.2</v>
      </c>
      <c r="F32" s="109">
        <f>MAX(TBA_Rankings[aveAspkrT])</f>
        <v>5</v>
      </c>
      <c r="G32" s="100" t="s">
        <v>200</v>
      </c>
      <c r="J32" t="s">
        <v>201</v>
      </c>
      <c r="K32" t="s">
        <v>202</v>
      </c>
      <c r="L32" t="s">
        <v>203</v>
      </c>
      <c r="M32" t="s">
        <v>204</v>
      </c>
      <c r="N32" t="s">
        <v>205</v>
      </c>
      <c r="O32" t="s">
        <v>206</v>
      </c>
      <c r="P32" t="s">
        <v>207</v>
      </c>
      <c r="Q32" t="s">
        <v>208</v>
      </c>
      <c r="R32" t="s">
        <v>209</v>
      </c>
      <c r="S32" t="s">
        <v>210</v>
      </c>
      <c r="T32" t="s">
        <v>211</v>
      </c>
      <c r="U32" t="s">
        <v>212</v>
      </c>
      <c r="V32" t="s">
        <v>213</v>
      </c>
      <c r="W32" t="s">
        <v>214</v>
      </c>
      <c r="X32" t="s">
        <v>215</v>
      </c>
      <c r="Y32" t="s">
        <v>216</v>
      </c>
      <c r="Z32" t="s">
        <v>217</v>
      </c>
    </row>
    <row r="33" spans="1:26" ht="15" thickBot="1" x14ac:dyDescent="0.35">
      <c r="A33" s="84" t="s">
        <v>218</v>
      </c>
      <c r="B33">
        <v>25</v>
      </c>
      <c r="G33" s="101" t="s">
        <v>219</v>
      </c>
      <c r="J33">
        <v>1</v>
      </c>
      <c r="K33">
        <f>IFERROR(SUM((SUMIFS(Dyno_Data[AcqCenter],Dyno_Data[Team],$J$29, Dyno_Data[Match],K$31,Dyno_Data[TimeCenter],CenterTime_Center[[#This Row],[Seconds]])+K$31/100)*SUMIFS(Dyno_Data[AcqDis],Dyno_Data[Team],$J$29, Dyno_Data[Match],K$31,Dyno_Data[TimeCenter],CenterTime_Center[[#This Row],[Seconds]])),"")</f>
        <v>0</v>
      </c>
      <c r="L33">
        <f>IFERROR(SUM((SUMIFS(Dyno_Data[AcqCenter],Dyno_Data[Team],$J$29, Dyno_Data[Match],L$31,Dyno_Data[TimeCenter],CenterTime_Center[[#This Row],[Seconds]])+L$31/100)*SUMIFS(Dyno_Data[AcqDis],Dyno_Data[Team],$J$29, Dyno_Data[Match],L$31,Dyno_Data[TimeCenter],CenterTime_Center[[#This Row],[Seconds]])),"")</f>
        <v>0</v>
      </c>
      <c r="M33">
        <f>IFERROR(SUM((SUMIFS(Dyno_Data[AcqCenter],Dyno_Data[Team],$J$29, Dyno_Data[Match],M$31,Dyno_Data[TimeCenter],CenterTime_Center[[#This Row],[Seconds]])+M$31/100)*SUMIFS(Dyno_Data[AcqDis],Dyno_Data[Team],$J$29, Dyno_Data[Match],M$31,Dyno_Data[TimeCenter],CenterTime_Center[[#This Row],[Seconds]])),"")</f>
        <v>0</v>
      </c>
      <c r="N33">
        <f>IFERROR(SUM((SUMIFS(Dyno_Data[AcqCenter],Dyno_Data[Team],$J$29, Dyno_Data[Match],N$31,Dyno_Data[TimeCenter],CenterTime_Center[[#This Row],[Seconds]])+N$31/100)*SUMIFS(Dyno_Data[AcqDis],Dyno_Data[Team],$J$29, Dyno_Data[Match],N$31,Dyno_Data[TimeCenter],CenterTime_Center[[#This Row],[Seconds]])),"")</f>
        <v>0</v>
      </c>
      <c r="O33">
        <f>IFERROR(SUM((SUMIFS(Dyno_Data[AcqCenter],Dyno_Data[Team],$J$29, Dyno_Data[Match],O$31,Dyno_Data[TimeCenter],CenterTime_Center[[#This Row],[Seconds]])+O$31/100)*SUMIFS(Dyno_Data[AcqDis],Dyno_Data[Team],$J$29, Dyno_Data[Match],O$31,Dyno_Data[TimeCenter],CenterTime_Center[[#This Row],[Seconds]])),"")</f>
        <v>0</v>
      </c>
      <c r="P33">
        <f>IFERROR(SUM((SUMIFS(Dyno_Data[AcqCenter],Dyno_Data[Team],$J$29, Dyno_Data[Match],P$31,Dyno_Data[TimeCenter],CenterTime_Center[[#This Row],[Seconds]])+P$31/100)*SUMIFS(Dyno_Data[AcqDis],Dyno_Data[Team],$J$29, Dyno_Data[Match],P$31,Dyno_Data[TimeCenter],CenterTime_Center[[#This Row],[Seconds]])),"")</f>
        <v>0</v>
      </c>
      <c r="Q33">
        <f>IFERROR(SUM((SUMIFS(Dyno_Data[AcqCenter],Dyno_Data[Team],$J$29, Dyno_Data[Match],Q$31,Dyno_Data[TimeCenter],CenterTime_Center[[#This Row],[Seconds]])+Q$31/100)*SUMIFS(Dyno_Data[AcqDis],Dyno_Data[Team],$J$29, Dyno_Data[Match],Q$31,Dyno_Data[TimeCenter],CenterTime_Center[[#This Row],[Seconds]])),"")</f>
        <v>0</v>
      </c>
      <c r="R33" t="str">
        <f>IFERROR(SUM((SUMIFS(Dyno_Data[AcqCenter],Dyno_Data[Team],$J$29, Dyno_Data[Match],R$31,Dyno_Data[TimeCenter],CenterTime_Center[[#This Row],[Seconds]])+R$31/100)*SUMIFS(Dyno_Data[AcqDis],Dyno_Data[Team],$J$29, Dyno_Data[Match],R$31,Dyno_Data[TimeCenter],CenterTime_Center[[#This Row],[Seconds]])),"")</f>
        <v/>
      </c>
      <c r="S33" t="str">
        <f>IFERROR(SUM((SUMIFS(Dyno_Data[AcqCenter],Dyno_Data[Team],$J$29, Dyno_Data[Match],S$31,Dyno_Data[TimeCenter],CenterTime_Center[[#This Row],[Seconds]])+S$31/100)*SUMIFS(Dyno_Data[AcqDis],Dyno_Data[Team],$J$29, Dyno_Data[Match],S$31,Dyno_Data[TimeCenter],CenterTime_Center[[#This Row],[Seconds]])),"")</f>
        <v/>
      </c>
      <c r="T33" t="str">
        <f>IFERROR(SUM((SUMIFS(Dyno_Data[AcqCenter],Dyno_Data[Team],$J$29, Dyno_Data[Match],T$31,Dyno_Data[TimeCenter],CenterTime_Center[[#This Row],[Seconds]])+T$31/100)*SUMIFS(Dyno_Data[AcqDis],Dyno_Data[Team],$J$29, Dyno_Data[Match],T$31,Dyno_Data[TimeCenter],CenterTime_Center[[#This Row],[Seconds]])),"")</f>
        <v/>
      </c>
      <c r="U33" t="str">
        <f>IFERROR(SUM((SUMIFS(Dyno_Data[AcqCenter],Dyno_Data[Team],$J$29, Dyno_Data[Match],U$31,Dyno_Data[TimeCenter],CenterTime_Center[[#This Row],[Seconds]])+U$31/100)*SUMIFS(Dyno_Data[AcqDis],Dyno_Data[Team],$J$29, Dyno_Data[Match],U$31,Dyno_Data[TimeCenter],CenterTime_Center[[#This Row],[Seconds]])),"")</f>
        <v/>
      </c>
      <c r="V33" t="str">
        <f>IFERROR(SUM((SUMIFS(Dyno_Data[AcqCenter],Dyno_Data[Team],$J$29, Dyno_Data[Match],V$31,Dyno_Data[TimeCenter],CenterTime_Center[[#This Row],[Seconds]])+V$31/100)*SUMIFS(Dyno_Data[AcqDis],Dyno_Data[Team],$J$29, Dyno_Data[Match],V$31,Dyno_Data[TimeCenter],CenterTime_Center[[#This Row],[Seconds]])),"")</f>
        <v/>
      </c>
      <c r="W33" t="str">
        <f>IFERROR(SUM((SUMIFS(Dyno_Data[AcqCenter],Dyno_Data[Team],$J$29, Dyno_Data[Match],W$31,Dyno_Data[TimeCenter],CenterTime_Center[[#This Row],[Seconds]])+W$31/100)*SUMIFS(Dyno_Data[AcqDis],Dyno_Data[Team],$J$29, Dyno_Data[Match],W$31,Dyno_Data[TimeCenter],CenterTime_Center[[#This Row],[Seconds]])),"")</f>
        <v/>
      </c>
      <c r="X33" t="str">
        <f>IFERROR(SUM((SUMIFS(Dyno_Data[AcqCenter],Dyno_Data[Team],$J$29, Dyno_Data[Match],X$31,Dyno_Data[TimeCenter],CenterTime_Center[[#This Row],[Seconds]])+X$31/100)*SUMIFS(Dyno_Data[AcqDis],Dyno_Data[Team],$J$29, Dyno_Data[Match],X$31,Dyno_Data[TimeCenter],CenterTime_Center[[#This Row],[Seconds]])),"")</f>
        <v/>
      </c>
      <c r="Y33" t="str">
        <f>IFERROR(SUM((SUMIFS(Dyno_Data[AcqCenter],Dyno_Data[Team],$J$29, Dyno_Data[Match],Y$31,Dyno_Data[TimeCenter],CenterTime_Center[[#This Row],[Seconds]])+Y$31/100)*SUMIFS(Dyno_Data[AcqDis],Dyno_Data[Team],$J$29, Dyno_Data[Match],Y$31,Dyno_Data[TimeCenter],CenterTime_Center[[#This Row],[Seconds]])),"")</f>
        <v/>
      </c>
      <c r="Z33" t="str">
        <f>IFERROR(SUM((SUMIFS(Dyno_Data[AcqCenter],Dyno_Data[Team],$J$29, Dyno_Data[Match],Z$31,Dyno_Data[TimeCenter],CenterTime_Center[[#This Row],[Seconds]])+Z$31/100)*SUMIFS(Dyno_Data[AcqDis],Dyno_Data[Team],$J$29, Dyno_Data[Match],Z$31,Dyno_Data[TimeCenter],CenterTime_Center[[#This Row],[Seconds]])),"")</f>
        <v/>
      </c>
    </row>
    <row r="34" spans="1:26" ht="15" thickBot="1" x14ac:dyDescent="0.35">
      <c r="A34" s="84" t="s">
        <v>220</v>
      </c>
      <c r="B34">
        <v>50</v>
      </c>
      <c r="C34" t="str">
        <f>_xlfn.CONCAT("Amp: ",ROUND(E31,2))</f>
        <v>Amp: 0</v>
      </c>
      <c r="D34" t="str">
        <f>_xlfn.CONCAT("Spkr: ",ROUND(F31,2))</f>
        <v>Spkr: 3.14</v>
      </c>
      <c r="E34" s="104" t="str">
        <f>IF(SUMIF(TBA_Matches_All[Team],$A$28,TBA_Matches_All[AtrapT])=0,"",_xlfn.CONCAT("Trap: ",SUMIF(TBA_Matches_All[Team],$A$28,TBA_Matches_All[AtrapT]),"/",COUNTIF(Dyno_EndMatch[Team],$A$28)))</f>
        <v/>
      </c>
      <c r="G34" s="104" t="s">
        <v>221</v>
      </c>
      <c r="J34">
        <v>2</v>
      </c>
      <c r="K34">
        <f>IFERROR(SUM((SUMIFS(Dyno_Data[AcqCenter],Dyno_Data[Team],$J$29, Dyno_Data[Match],K$31,Dyno_Data[TimeCenter],CenterTime_Center[[#This Row],[Seconds]])+K$31/100)*SUMIFS(Dyno_Data[AcqDis],Dyno_Data[Team],$J$29, Dyno_Data[Match],K$31,Dyno_Data[TimeCenter],CenterTime_Center[[#This Row],[Seconds]])),"")</f>
        <v>0</v>
      </c>
      <c r="L34">
        <f>IFERROR(SUM((SUMIFS(Dyno_Data[AcqCenter],Dyno_Data[Team],$J$29, Dyno_Data[Match],L$31,Dyno_Data[TimeCenter],CenterTime_Center[[#This Row],[Seconds]])+L$31/100)*SUMIFS(Dyno_Data[AcqDis],Dyno_Data[Team],$J$29, Dyno_Data[Match],L$31,Dyno_Data[TimeCenter],CenterTime_Center[[#This Row],[Seconds]])),"")</f>
        <v>0</v>
      </c>
      <c r="M34">
        <f>IFERROR(SUM((SUMIFS(Dyno_Data[AcqCenter],Dyno_Data[Team],$J$29, Dyno_Data[Match],M$31,Dyno_Data[TimeCenter],CenterTime_Center[[#This Row],[Seconds]])+M$31/100)*SUMIFS(Dyno_Data[AcqDis],Dyno_Data[Team],$J$29, Dyno_Data[Match],M$31,Dyno_Data[TimeCenter],CenterTime_Center[[#This Row],[Seconds]])),"")</f>
        <v>0</v>
      </c>
      <c r="N34">
        <f>IFERROR(SUM((SUMIFS(Dyno_Data[AcqCenter],Dyno_Data[Team],$J$29, Dyno_Data[Match],N$31,Dyno_Data[TimeCenter],CenterTime_Center[[#This Row],[Seconds]])+N$31/100)*SUMIFS(Dyno_Data[AcqDis],Dyno_Data[Team],$J$29, Dyno_Data[Match],N$31,Dyno_Data[TimeCenter],CenterTime_Center[[#This Row],[Seconds]])),"")</f>
        <v>0</v>
      </c>
      <c r="O34">
        <f>IFERROR(SUM((SUMIFS(Dyno_Data[AcqCenter],Dyno_Data[Team],$J$29, Dyno_Data[Match],O$31,Dyno_Data[TimeCenter],CenterTime_Center[[#This Row],[Seconds]])+O$31/100)*SUMIFS(Dyno_Data[AcqDis],Dyno_Data[Team],$J$29, Dyno_Data[Match],O$31,Dyno_Data[TimeCenter],CenterTime_Center[[#This Row],[Seconds]])),"")</f>
        <v>0</v>
      </c>
      <c r="P34">
        <f>IFERROR(SUM((SUMIFS(Dyno_Data[AcqCenter],Dyno_Data[Team],$J$29, Dyno_Data[Match],P$31,Dyno_Data[TimeCenter],CenterTime_Center[[#This Row],[Seconds]])+P$31/100)*SUMIFS(Dyno_Data[AcqDis],Dyno_Data[Team],$J$29, Dyno_Data[Match],P$31,Dyno_Data[TimeCenter],CenterTime_Center[[#This Row],[Seconds]])),"")</f>
        <v>0</v>
      </c>
      <c r="Q34">
        <f>IFERROR(SUM((SUMIFS(Dyno_Data[AcqCenter],Dyno_Data[Team],$J$29, Dyno_Data[Match],Q$31,Dyno_Data[TimeCenter],CenterTime_Center[[#This Row],[Seconds]])+Q$31/100)*SUMIFS(Dyno_Data[AcqDis],Dyno_Data[Team],$J$29, Dyno_Data[Match],Q$31,Dyno_Data[TimeCenter],CenterTime_Center[[#This Row],[Seconds]])),"")</f>
        <v>0</v>
      </c>
      <c r="R34" t="str">
        <f>IFERROR(SUM((SUMIFS(Dyno_Data[AcqCenter],Dyno_Data[Team],$J$29, Dyno_Data[Match],R$31,Dyno_Data[TimeCenter],CenterTime_Center[[#This Row],[Seconds]])+R$31/100)*SUMIFS(Dyno_Data[AcqDis],Dyno_Data[Team],$J$29, Dyno_Data[Match],R$31,Dyno_Data[TimeCenter],CenterTime_Center[[#This Row],[Seconds]])),"")</f>
        <v/>
      </c>
      <c r="S34" t="str">
        <f>IFERROR(SUM((SUMIFS(Dyno_Data[AcqCenter],Dyno_Data[Team],$J$29, Dyno_Data[Match],S$31,Dyno_Data[TimeCenter],CenterTime_Center[[#This Row],[Seconds]])+S$31/100)*SUMIFS(Dyno_Data[AcqDis],Dyno_Data[Team],$J$29, Dyno_Data[Match],S$31,Dyno_Data[TimeCenter],CenterTime_Center[[#This Row],[Seconds]])),"")</f>
        <v/>
      </c>
      <c r="T34" t="str">
        <f>IFERROR(SUM((SUMIFS(Dyno_Data[AcqCenter],Dyno_Data[Team],$J$29, Dyno_Data[Match],T$31,Dyno_Data[TimeCenter],CenterTime_Center[[#This Row],[Seconds]])+T$31/100)*SUMIFS(Dyno_Data[AcqDis],Dyno_Data[Team],$J$29, Dyno_Data[Match],T$31,Dyno_Data[TimeCenter],CenterTime_Center[[#This Row],[Seconds]])),"")</f>
        <v/>
      </c>
      <c r="U34" t="str">
        <f>IFERROR(SUM((SUMIFS(Dyno_Data[AcqCenter],Dyno_Data[Team],$J$29, Dyno_Data[Match],U$31,Dyno_Data[TimeCenter],CenterTime_Center[[#This Row],[Seconds]])+U$31/100)*SUMIFS(Dyno_Data[AcqDis],Dyno_Data[Team],$J$29, Dyno_Data[Match],U$31,Dyno_Data[TimeCenter],CenterTime_Center[[#This Row],[Seconds]])),"")</f>
        <v/>
      </c>
      <c r="V34" t="str">
        <f>IFERROR(SUM((SUMIFS(Dyno_Data[AcqCenter],Dyno_Data[Team],$J$29, Dyno_Data[Match],V$31,Dyno_Data[TimeCenter],CenterTime_Center[[#This Row],[Seconds]])+V$31/100)*SUMIFS(Dyno_Data[AcqDis],Dyno_Data[Team],$J$29, Dyno_Data[Match],V$31,Dyno_Data[TimeCenter],CenterTime_Center[[#This Row],[Seconds]])),"")</f>
        <v/>
      </c>
      <c r="W34" t="str">
        <f>IFERROR(SUM((SUMIFS(Dyno_Data[AcqCenter],Dyno_Data[Team],$J$29, Dyno_Data[Match],W$31,Dyno_Data[TimeCenter],CenterTime_Center[[#This Row],[Seconds]])+W$31/100)*SUMIFS(Dyno_Data[AcqDis],Dyno_Data[Team],$J$29, Dyno_Data[Match],W$31,Dyno_Data[TimeCenter],CenterTime_Center[[#This Row],[Seconds]])),"")</f>
        <v/>
      </c>
      <c r="X34" t="str">
        <f>IFERROR(SUM((SUMIFS(Dyno_Data[AcqCenter],Dyno_Data[Team],$J$29, Dyno_Data[Match],X$31,Dyno_Data[TimeCenter],CenterTime_Center[[#This Row],[Seconds]])+X$31/100)*SUMIFS(Dyno_Data[AcqDis],Dyno_Data[Team],$J$29, Dyno_Data[Match],X$31,Dyno_Data[TimeCenter],CenterTime_Center[[#This Row],[Seconds]])),"")</f>
        <v/>
      </c>
      <c r="Y34" t="str">
        <f>IFERROR(SUM((SUMIFS(Dyno_Data[AcqCenter],Dyno_Data[Team],$J$29, Dyno_Data[Match],Y$31,Dyno_Data[TimeCenter],CenterTime_Center[[#This Row],[Seconds]])+Y$31/100)*SUMIFS(Dyno_Data[AcqDis],Dyno_Data[Team],$J$29, Dyno_Data[Match],Y$31,Dyno_Data[TimeCenter],CenterTime_Center[[#This Row],[Seconds]])),"")</f>
        <v/>
      </c>
      <c r="Z34" t="str">
        <f>IFERROR(SUM((SUMIFS(Dyno_Data[AcqCenter],Dyno_Data[Team],$J$29, Dyno_Data[Match],Z$31,Dyno_Data[TimeCenter],CenterTime_Center[[#This Row],[Seconds]])+Z$31/100)*SUMIFS(Dyno_Data[AcqDis],Dyno_Data[Team],$J$29, Dyno_Data[Match],Z$31,Dyno_Data[TimeCenter],CenterTime_Center[[#This Row],[Seconds]])),"")</f>
        <v/>
      </c>
    </row>
    <row r="35" spans="1:26" ht="15" thickBot="1" x14ac:dyDescent="0.35">
      <c r="A35" s="86" t="s">
        <v>222</v>
      </c>
      <c r="B35" s="87">
        <v>25</v>
      </c>
      <c r="C35" s="87"/>
      <c r="D35" s="87"/>
      <c r="E35" s="87"/>
      <c r="F35" s="87"/>
      <c r="G35" s="102" t="s">
        <v>223</v>
      </c>
      <c r="J35">
        <v>3</v>
      </c>
      <c r="K35">
        <f>IFERROR(SUM((SUMIFS(Dyno_Data[AcqCenter],Dyno_Data[Team],$J$29, Dyno_Data[Match],K$31,Dyno_Data[TimeCenter],CenterTime_Center[[#This Row],[Seconds]])+K$31/100)*SUMIFS(Dyno_Data[AcqDis],Dyno_Data[Team],$J$29, Dyno_Data[Match],K$31,Dyno_Data[TimeCenter],CenterTime_Center[[#This Row],[Seconds]])),"")</f>
        <v>0</v>
      </c>
      <c r="L35">
        <f>IFERROR(SUM((SUMIFS(Dyno_Data[AcqCenter],Dyno_Data[Team],$J$29, Dyno_Data[Match],L$31,Dyno_Data[TimeCenter],CenterTime_Center[[#This Row],[Seconds]])+L$31/100)*SUMIFS(Dyno_Data[AcqDis],Dyno_Data[Team],$J$29, Dyno_Data[Match],L$31,Dyno_Data[TimeCenter],CenterTime_Center[[#This Row],[Seconds]])),"")</f>
        <v>0</v>
      </c>
      <c r="M35">
        <f>IFERROR(SUM((SUMIFS(Dyno_Data[AcqCenter],Dyno_Data[Team],$J$29, Dyno_Data[Match],M$31,Dyno_Data[TimeCenter],CenterTime_Center[[#This Row],[Seconds]])+M$31/100)*SUMIFS(Dyno_Data[AcqDis],Dyno_Data[Team],$J$29, Dyno_Data[Match],M$31,Dyno_Data[TimeCenter],CenterTime_Center[[#This Row],[Seconds]])),"")</f>
        <v>0</v>
      </c>
      <c r="N35">
        <f>IFERROR(SUM((SUMIFS(Dyno_Data[AcqCenter],Dyno_Data[Team],$J$29, Dyno_Data[Match],N$31,Dyno_Data[TimeCenter],CenterTime_Center[[#This Row],[Seconds]])+N$31/100)*SUMIFS(Dyno_Data[AcqDis],Dyno_Data[Team],$J$29, Dyno_Data[Match],N$31,Dyno_Data[TimeCenter],CenterTime_Center[[#This Row],[Seconds]])),"")</f>
        <v>0</v>
      </c>
      <c r="O35">
        <f>IFERROR(SUM((SUMIFS(Dyno_Data[AcqCenter],Dyno_Data[Team],$J$29, Dyno_Data[Match],O$31,Dyno_Data[TimeCenter],CenterTime_Center[[#This Row],[Seconds]])+O$31/100)*SUMIFS(Dyno_Data[AcqDis],Dyno_Data[Team],$J$29, Dyno_Data[Match],O$31,Dyno_Data[TimeCenter],CenterTime_Center[[#This Row],[Seconds]])),"")</f>
        <v>0</v>
      </c>
      <c r="P35">
        <f>IFERROR(SUM((SUMIFS(Dyno_Data[AcqCenter],Dyno_Data[Team],$J$29, Dyno_Data[Match],P$31,Dyno_Data[TimeCenter],CenterTime_Center[[#This Row],[Seconds]])+P$31/100)*SUMIFS(Dyno_Data[AcqDis],Dyno_Data[Team],$J$29, Dyno_Data[Match],P$31,Dyno_Data[TimeCenter],CenterTime_Center[[#This Row],[Seconds]])),"")</f>
        <v>0</v>
      </c>
      <c r="Q35">
        <f>IFERROR(SUM((SUMIFS(Dyno_Data[AcqCenter],Dyno_Data[Team],$J$29, Dyno_Data[Match],Q$31,Dyno_Data[TimeCenter],CenterTime_Center[[#This Row],[Seconds]])+Q$31/100)*SUMIFS(Dyno_Data[AcqDis],Dyno_Data[Team],$J$29, Dyno_Data[Match],Q$31,Dyno_Data[TimeCenter],CenterTime_Center[[#This Row],[Seconds]])),"")</f>
        <v>0</v>
      </c>
      <c r="R35" t="str">
        <f>IFERROR(SUM((SUMIFS(Dyno_Data[AcqCenter],Dyno_Data[Team],$J$29, Dyno_Data[Match],R$31,Dyno_Data[TimeCenter],CenterTime_Center[[#This Row],[Seconds]])+R$31/100)*SUMIFS(Dyno_Data[AcqDis],Dyno_Data[Team],$J$29, Dyno_Data[Match],R$31,Dyno_Data[TimeCenter],CenterTime_Center[[#This Row],[Seconds]])),"")</f>
        <v/>
      </c>
      <c r="S35" t="str">
        <f>IFERROR(SUM((SUMIFS(Dyno_Data[AcqCenter],Dyno_Data[Team],$J$29, Dyno_Data[Match],S$31,Dyno_Data[TimeCenter],CenterTime_Center[[#This Row],[Seconds]])+S$31/100)*SUMIFS(Dyno_Data[AcqDis],Dyno_Data[Team],$J$29, Dyno_Data[Match],S$31,Dyno_Data[TimeCenter],CenterTime_Center[[#This Row],[Seconds]])),"")</f>
        <v/>
      </c>
      <c r="T35" t="str">
        <f>IFERROR(SUM((SUMIFS(Dyno_Data[AcqCenter],Dyno_Data[Team],$J$29, Dyno_Data[Match],T$31,Dyno_Data[TimeCenter],CenterTime_Center[[#This Row],[Seconds]])+T$31/100)*SUMIFS(Dyno_Data[AcqDis],Dyno_Data[Team],$J$29, Dyno_Data[Match],T$31,Dyno_Data[TimeCenter],CenterTime_Center[[#This Row],[Seconds]])),"")</f>
        <v/>
      </c>
      <c r="U35" t="str">
        <f>IFERROR(SUM((SUMIFS(Dyno_Data[AcqCenter],Dyno_Data[Team],$J$29, Dyno_Data[Match],U$31,Dyno_Data[TimeCenter],CenterTime_Center[[#This Row],[Seconds]])+U$31/100)*SUMIFS(Dyno_Data[AcqDis],Dyno_Data[Team],$J$29, Dyno_Data[Match],U$31,Dyno_Data[TimeCenter],CenterTime_Center[[#This Row],[Seconds]])),"")</f>
        <v/>
      </c>
      <c r="V35" t="str">
        <f>IFERROR(SUM((SUMIFS(Dyno_Data[AcqCenter],Dyno_Data[Team],$J$29, Dyno_Data[Match],V$31,Dyno_Data[TimeCenter],CenterTime_Center[[#This Row],[Seconds]])+V$31/100)*SUMIFS(Dyno_Data[AcqDis],Dyno_Data[Team],$J$29, Dyno_Data[Match],V$31,Dyno_Data[TimeCenter],CenterTime_Center[[#This Row],[Seconds]])),"")</f>
        <v/>
      </c>
      <c r="W35" t="str">
        <f>IFERROR(SUM((SUMIFS(Dyno_Data[AcqCenter],Dyno_Data[Team],$J$29, Dyno_Data[Match],W$31,Dyno_Data[TimeCenter],CenterTime_Center[[#This Row],[Seconds]])+W$31/100)*SUMIFS(Dyno_Data[AcqDis],Dyno_Data[Team],$J$29, Dyno_Data[Match],W$31,Dyno_Data[TimeCenter],CenterTime_Center[[#This Row],[Seconds]])),"")</f>
        <v/>
      </c>
      <c r="X35" t="str">
        <f>IFERROR(SUM((SUMIFS(Dyno_Data[AcqCenter],Dyno_Data[Team],$J$29, Dyno_Data[Match],X$31,Dyno_Data[TimeCenter],CenterTime_Center[[#This Row],[Seconds]])+X$31/100)*SUMIFS(Dyno_Data[AcqDis],Dyno_Data[Team],$J$29, Dyno_Data[Match],X$31,Dyno_Data[TimeCenter],CenterTime_Center[[#This Row],[Seconds]])),"")</f>
        <v/>
      </c>
      <c r="Y35" t="str">
        <f>IFERROR(SUM((SUMIFS(Dyno_Data[AcqCenter],Dyno_Data[Team],$J$29, Dyno_Data[Match],Y$31,Dyno_Data[TimeCenter],CenterTime_Center[[#This Row],[Seconds]])+Y$31/100)*SUMIFS(Dyno_Data[AcqDis],Dyno_Data[Team],$J$29, Dyno_Data[Match],Y$31,Dyno_Data[TimeCenter],CenterTime_Center[[#This Row],[Seconds]])),"")</f>
        <v/>
      </c>
      <c r="Z35" t="str">
        <f>IFERROR(SUM((SUMIFS(Dyno_Data[AcqCenter],Dyno_Data[Team],$J$29, Dyno_Data[Match],Z$31,Dyno_Data[TimeCenter],CenterTime_Center[[#This Row],[Seconds]])+Z$31/100)*SUMIFS(Dyno_Data[AcqDis],Dyno_Data[Team],$J$29, Dyno_Data[Match],Z$31,Dyno_Data[TimeCenter],CenterTime_Center[[#This Row],[Seconds]])),"")</f>
        <v/>
      </c>
    </row>
    <row r="36" spans="1:26" ht="15" thickTop="1" x14ac:dyDescent="0.3">
      <c r="J36">
        <v>4</v>
      </c>
      <c r="K36">
        <f>IFERROR(SUM((SUMIFS(Dyno_Data[AcqCenter],Dyno_Data[Team],$J$29, Dyno_Data[Match],K$31,Dyno_Data[TimeCenter],CenterTime_Center[[#This Row],[Seconds]])+K$31/100)*SUMIFS(Dyno_Data[AcqDis],Dyno_Data[Team],$J$29, Dyno_Data[Match],K$31,Dyno_Data[TimeCenter],CenterTime_Center[[#This Row],[Seconds]])),"")</f>
        <v>0</v>
      </c>
      <c r="L36">
        <f>IFERROR(SUM((SUMIFS(Dyno_Data[AcqCenter],Dyno_Data[Team],$J$29, Dyno_Data[Match],L$31,Dyno_Data[TimeCenter],CenterTime_Center[[#This Row],[Seconds]])+L$31/100)*SUMIFS(Dyno_Data[AcqDis],Dyno_Data[Team],$J$29, Dyno_Data[Match],L$31,Dyno_Data[TimeCenter],CenterTime_Center[[#This Row],[Seconds]])),"")</f>
        <v>0</v>
      </c>
      <c r="M36">
        <f>IFERROR(SUM((SUMIFS(Dyno_Data[AcqCenter],Dyno_Data[Team],$J$29, Dyno_Data[Match],M$31,Dyno_Data[TimeCenter],CenterTime_Center[[#This Row],[Seconds]])+M$31/100)*SUMIFS(Dyno_Data[AcqDis],Dyno_Data[Team],$J$29, Dyno_Data[Match],M$31,Dyno_Data[TimeCenter],CenterTime_Center[[#This Row],[Seconds]])),"")</f>
        <v>0</v>
      </c>
      <c r="N36">
        <f>IFERROR(SUM((SUMIFS(Dyno_Data[AcqCenter],Dyno_Data[Team],$J$29, Dyno_Data[Match],N$31,Dyno_Data[TimeCenter],CenterTime_Center[[#This Row],[Seconds]])+N$31/100)*SUMIFS(Dyno_Data[AcqDis],Dyno_Data[Team],$J$29, Dyno_Data[Match],N$31,Dyno_Data[TimeCenter],CenterTime_Center[[#This Row],[Seconds]])),"")</f>
        <v>0</v>
      </c>
      <c r="O36">
        <f>IFERROR(SUM((SUMIFS(Dyno_Data[AcqCenter],Dyno_Data[Team],$J$29, Dyno_Data[Match],O$31,Dyno_Data[TimeCenter],CenterTime_Center[[#This Row],[Seconds]])+O$31/100)*SUMIFS(Dyno_Data[AcqDis],Dyno_Data[Team],$J$29, Dyno_Data[Match],O$31,Dyno_Data[TimeCenter],CenterTime_Center[[#This Row],[Seconds]])),"")</f>
        <v>0</v>
      </c>
      <c r="P36">
        <f>IFERROR(SUM((SUMIFS(Dyno_Data[AcqCenter],Dyno_Data[Team],$J$29, Dyno_Data[Match],P$31,Dyno_Data[TimeCenter],CenterTime_Center[[#This Row],[Seconds]])+P$31/100)*SUMIFS(Dyno_Data[AcqDis],Dyno_Data[Team],$J$29, Dyno_Data[Match],P$31,Dyno_Data[TimeCenter],CenterTime_Center[[#This Row],[Seconds]])),"")</f>
        <v>0</v>
      </c>
      <c r="Q36">
        <f>IFERROR(SUM((SUMIFS(Dyno_Data[AcqCenter],Dyno_Data[Team],$J$29, Dyno_Data[Match],Q$31,Dyno_Data[TimeCenter],CenterTime_Center[[#This Row],[Seconds]])+Q$31/100)*SUMIFS(Dyno_Data[AcqDis],Dyno_Data[Team],$J$29, Dyno_Data[Match],Q$31,Dyno_Data[TimeCenter],CenterTime_Center[[#This Row],[Seconds]])),"")</f>
        <v>0</v>
      </c>
      <c r="R36" t="str">
        <f>IFERROR(SUM((SUMIFS(Dyno_Data[AcqCenter],Dyno_Data[Team],$J$29, Dyno_Data[Match],R$31,Dyno_Data[TimeCenter],CenterTime_Center[[#This Row],[Seconds]])+R$31/100)*SUMIFS(Dyno_Data[AcqDis],Dyno_Data[Team],$J$29, Dyno_Data[Match],R$31,Dyno_Data[TimeCenter],CenterTime_Center[[#This Row],[Seconds]])),"")</f>
        <v/>
      </c>
      <c r="S36" t="str">
        <f>IFERROR(SUM((SUMIFS(Dyno_Data[AcqCenter],Dyno_Data[Team],$J$29, Dyno_Data[Match],S$31,Dyno_Data[TimeCenter],CenterTime_Center[[#This Row],[Seconds]])+S$31/100)*SUMIFS(Dyno_Data[AcqDis],Dyno_Data[Team],$J$29, Dyno_Data[Match],S$31,Dyno_Data[TimeCenter],CenterTime_Center[[#This Row],[Seconds]])),"")</f>
        <v/>
      </c>
      <c r="T36" t="str">
        <f>IFERROR(SUM((SUMIFS(Dyno_Data[AcqCenter],Dyno_Data[Team],$J$29, Dyno_Data[Match],T$31,Dyno_Data[TimeCenter],CenterTime_Center[[#This Row],[Seconds]])+T$31/100)*SUMIFS(Dyno_Data[AcqDis],Dyno_Data[Team],$J$29, Dyno_Data[Match],T$31,Dyno_Data[TimeCenter],CenterTime_Center[[#This Row],[Seconds]])),"")</f>
        <v/>
      </c>
      <c r="U36" t="str">
        <f>IFERROR(SUM((SUMIFS(Dyno_Data[AcqCenter],Dyno_Data[Team],$J$29, Dyno_Data[Match],U$31,Dyno_Data[TimeCenter],CenterTime_Center[[#This Row],[Seconds]])+U$31/100)*SUMIFS(Dyno_Data[AcqDis],Dyno_Data[Team],$J$29, Dyno_Data[Match],U$31,Dyno_Data[TimeCenter],CenterTime_Center[[#This Row],[Seconds]])),"")</f>
        <v/>
      </c>
      <c r="V36" t="str">
        <f>IFERROR(SUM((SUMIFS(Dyno_Data[AcqCenter],Dyno_Data[Team],$J$29, Dyno_Data[Match],V$31,Dyno_Data[TimeCenter],CenterTime_Center[[#This Row],[Seconds]])+V$31/100)*SUMIFS(Dyno_Data[AcqDis],Dyno_Data[Team],$J$29, Dyno_Data[Match],V$31,Dyno_Data[TimeCenter],CenterTime_Center[[#This Row],[Seconds]])),"")</f>
        <v/>
      </c>
      <c r="W36" t="str">
        <f>IFERROR(SUM((SUMIFS(Dyno_Data[AcqCenter],Dyno_Data[Team],$J$29, Dyno_Data[Match],W$31,Dyno_Data[TimeCenter],CenterTime_Center[[#This Row],[Seconds]])+W$31/100)*SUMIFS(Dyno_Data[AcqDis],Dyno_Data[Team],$J$29, Dyno_Data[Match],W$31,Dyno_Data[TimeCenter],CenterTime_Center[[#This Row],[Seconds]])),"")</f>
        <v/>
      </c>
      <c r="X36" t="str">
        <f>IFERROR(SUM((SUMIFS(Dyno_Data[AcqCenter],Dyno_Data[Team],$J$29, Dyno_Data[Match],X$31,Dyno_Data[TimeCenter],CenterTime_Center[[#This Row],[Seconds]])+X$31/100)*SUMIFS(Dyno_Data[AcqDis],Dyno_Data[Team],$J$29, Dyno_Data[Match],X$31,Dyno_Data[TimeCenter],CenterTime_Center[[#This Row],[Seconds]])),"")</f>
        <v/>
      </c>
      <c r="Y36" t="str">
        <f>IFERROR(SUM((SUMIFS(Dyno_Data[AcqCenter],Dyno_Data[Team],$J$29, Dyno_Data[Match],Y$31,Dyno_Data[TimeCenter],CenterTime_Center[[#This Row],[Seconds]])+Y$31/100)*SUMIFS(Dyno_Data[AcqDis],Dyno_Data[Team],$J$29, Dyno_Data[Match],Y$31,Dyno_Data[TimeCenter],CenterTime_Center[[#This Row],[Seconds]])),"")</f>
        <v/>
      </c>
      <c r="Z36" t="str">
        <f>IFERROR(SUM((SUMIFS(Dyno_Data[AcqCenter],Dyno_Data[Team],$J$29, Dyno_Data[Match],Z$31,Dyno_Data[TimeCenter],CenterTime_Center[[#This Row],[Seconds]])+Z$31/100)*SUMIFS(Dyno_Data[AcqDis],Dyno_Data[Team],$J$29, Dyno_Data[Match],Z$31,Dyno_Data[TimeCenter],CenterTime_Center[[#This Row],[Seconds]])),"")</f>
        <v/>
      </c>
    </row>
    <row r="37" spans="1:26" x14ac:dyDescent="0.3">
      <c r="J37">
        <v>5</v>
      </c>
      <c r="K37">
        <f>IFERROR(SUM((SUMIFS(Dyno_Data[AcqCenter],Dyno_Data[Team],$J$29, Dyno_Data[Match],K$31,Dyno_Data[TimeCenter],CenterTime_Center[[#This Row],[Seconds]])+K$31/100)*SUMIFS(Dyno_Data[AcqDis],Dyno_Data[Team],$J$29, Dyno_Data[Match],K$31,Dyno_Data[TimeCenter],CenterTime_Center[[#This Row],[Seconds]])),"")</f>
        <v>0</v>
      </c>
      <c r="L37">
        <f>IFERROR(SUM((SUMIFS(Dyno_Data[AcqCenter],Dyno_Data[Team],$J$29, Dyno_Data[Match],L$31,Dyno_Data[TimeCenter],CenterTime_Center[[#This Row],[Seconds]])+L$31/100)*SUMIFS(Dyno_Data[AcqDis],Dyno_Data[Team],$J$29, Dyno_Data[Match],L$31,Dyno_Data[TimeCenter],CenterTime_Center[[#This Row],[Seconds]])),"")</f>
        <v>0</v>
      </c>
      <c r="M37">
        <f>IFERROR(SUM((SUMIFS(Dyno_Data[AcqCenter],Dyno_Data[Team],$J$29, Dyno_Data[Match],M$31,Dyno_Data[TimeCenter],CenterTime_Center[[#This Row],[Seconds]])+M$31/100)*SUMIFS(Dyno_Data[AcqDis],Dyno_Data[Team],$J$29, Dyno_Data[Match],M$31,Dyno_Data[TimeCenter],CenterTime_Center[[#This Row],[Seconds]])),"")</f>
        <v>0</v>
      </c>
      <c r="N37">
        <f>IFERROR(SUM((SUMIFS(Dyno_Data[AcqCenter],Dyno_Data[Team],$J$29, Dyno_Data[Match],N$31,Dyno_Data[TimeCenter],CenterTime_Center[[#This Row],[Seconds]])+N$31/100)*SUMIFS(Dyno_Data[AcqDis],Dyno_Data[Team],$J$29, Dyno_Data[Match],N$31,Dyno_Data[TimeCenter],CenterTime_Center[[#This Row],[Seconds]])),"")</f>
        <v>0</v>
      </c>
      <c r="O37">
        <f>IFERROR(SUM((SUMIFS(Dyno_Data[AcqCenter],Dyno_Data[Team],$J$29, Dyno_Data[Match],O$31,Dyno_Data[TimeCenter],CenterTime_Center[[#This Row],[Seconds]])+O$31/100)*SUMIFS(Dyno_Data[AcqDis],Dyno_Data[Team],$J$29, Dyno_Data[Match],O$31,Dyno_Data[TimeCenter],CenterTime_Center[[#This Row],[Seconds]])),"")</f>
        <v>0</v>
      </c>
      <c r="P37">
        <f>IFERROR(SUM((SUMIFS(Dyno_Data[AcqCenter],Dyno_Data[Team],$J$29, Dyno_Data[Match],P$31,Dyno_Data[TimeCenter],CenterTime_Center[[#This Row],[Seconds]])+P$31/100)*SUMIFS(Dyno_Data[AcqDis],Dyno_Data[Team],$J$29, Dyno_Data[Match],P$31,Dyno_Data[TimeCenter],CenterTime_Center[[#This Row],[Seconds]])),"")</f>
        <v>0</v>
      </c>
      <c r="Q37">
        <f>IFERROR(SUM((SUMIFS(Dyno_Data[AcqCenter],Dyno_Data[Team],$J$29, Dyno_Data[Match],Q$31,Dyno_Data[TimeCenter],CenterTime_Center[[#This Row],[Seconds]])+Q$31/100)*SUMIFS(Dyno_Data[AcqDis],Dyno_Data[Team],$J$29, Dyno_Data[Match],Q$31,Dyno_Data[TimeCenter],CenterTime_Center[[#This Row],[Seconds]])),"")</f>
        <v>0</v>
      </c>
      <c r="R37" t="str">
        <f>IFERROR(SUM((SUMIFS(Dyno_Data[AcqCenter],Dyno_Data[Team],$J$29, Dyno_Data[Match],R$31,Dyno_Data[TimeCenter],CenterTime_Center[[#This Row],[Seconds]])+R$31/100)*SUMIFS(Dyno_Data[AcqDis],Dyno_Data[Team],$J$29, Dyno_Data[Match],R$31,Dyno_Data[TimeCenter],CenterTime_Center[[#This Row],[Seconds]])),"")</f>
        <v/>
      </c>
      <c r="S37" t="str">
        <f>IFERROR(SUM((SUMIFS(Dyno_Data[AcqCenter],Dyno_Data[Team],$J$29, Dyno_Data[Match],S$31,Dyno_Data[TimeCenter],CenterTime_Center[[#This Row],[Seconds]])+S$31/100)*SUMIFS(Dyno_Data[AcqDis],Dyno_Data[Team],$J$29, Dyno_Data[Match],S$31,Dyno_Data[TimeCenter],CenterTime_Center[[#This Row],[Seconds]])),"")</f>
        <v/>
      </c>
      <c r="T37" t="str">
        <f>IFERROR(SUM((SUMIFS(Dyno_Data[AcqCenter],Dyno_Data[Team],$J$29, Dyno_Data[Match],T$31,Dyno_Data[TimeCenter],CenterTime_Center[[#This Row],[Seconds]])+T$31/100)*SUMIFS(Dyno_Data[AcqDis],Dyno_Data[Team],$J$29, Dyno_Data[Match],T$31,Dyno_Data[TimeCenter],CenterTime_Center[[#This Row],[Seconds]])),"")</f>
        <v/>
      </c>
      <c r="U37" t="str">
        <f>IFERROR(SUM((SUMIFS(Dyno_Data[AcqCenter],Dyno_Data[Team],$J$29, Dyno_Data[Match],U$31,Dyno_Data[TimeCenter],CenterTime_Center[[#This Row],[Seconds]])+U$31/100)*SUMIFS(Dyno_Data[AcqDis],Dyno_Data[Team],$J$29, Dyno_Data[Match],U$31,Dyno_Data[TimeCenter],CenterTime_Center[[#This Row],[Seconds]])),"")</f>
        <v/>
      </c>
      <c r="V37" t="str">
        <f>IFERROR(SUM((SUMIFS(Dyno_Data[AcqCenter],Dyno_Data[Team],$J$29, Dyno_Data[Match],V$31,Dyno_Data[TimeCenter],CenterTime_Center[[#This Row],[Seconds]])+V$31/100)*SUMIFS(Dyno_Data[AcqDis],Dyno_Data[Team],$J$29, Dyno_Data[Match],V$31,Dyno_Data[TimeCenter],CenterTime_Center[[#This Row],[Seconds]])),"")</f>
        <v/>
      </c>
      <c r="W37" t="str">
        <f>IFERROR(SUM((SUMIFS(Dyno_Data[AcqCenter],Dyno_Data[Team],$J$29, Dyno_Data[Match],W$31,Dyno_Data[TimeCenter],CenterTime_Center[[#This Row],[Seconds]])+W$31/100)*SUMIFS(Dyno_Data[AcqDis],Dyno_Data[Team],$J$29, Dyno_Data[Match],W$31,Dyno_Data[TimeCenter],CenterTime_Center[[#This Row],[Seconds]])),"")</f>
        <v/>
      </c>
      <c r="X37" t="str">
        <f>IFERROR(SUM((SUMIFS(Dyno_Data[AcqCenter],Dyno_Data[Team],$J$29, Dyno_Data[Match],X$31,Dyno_Data[TimeCenter],CenterTime_Center[[#This Row],[Seconds]])+X$31/100)*SUMIFS(Dyno_Data[AcqDis],Dyno_Data[Team],$J$29, Dyno_Data[Match],X$31,Dyno_Data[TimeCenter],CenterTime_Center[[#This Row],[Seconds]])),"")</f>
        <v/>
      </c>
      <c r="Y37" t="str">
        <f>IFERROR(SUM((SUMIFS(Dyno_Data[AcqCenter],Dyno_Data[Team],$J$29, Dyno_Data[Match],Y$31,Dyno_Data[TimeCenter],CenterTime_Center[[#This Row],[Seconds]])+Y$31/100)*SUMIFS(Dyno_Data[AcqDis],Dyno_Data[Team],$J$29, Dyno_Data[Match],Y$31,Dyno_Data[TimeCenter],CenterTime_Center[[#This Row],[Seconds]])),"")</f>
        <v/>
      </c>
      <c r="Z37" t="str">
        <f>IFERROR(SUM((SUMIFS(Dyno_Data[AcqCenter],Dyno_Data[Team],$J$29, Dyno_Data[Match],Z$31,Dyno_Data[TimeCenter],CenterTime_Center[[#This Row],[Seconds]])+Z$31/100)*SUMIFS(Dyno_Data[AcqDis],Dyno_Data[Team],$J$29, Dyno_Data[Match],Z$31,Dyno_Data[TimeCenter],CenterTime_Center[[#This Row],[Seconds]])),"")</f>
        <v/>
      </c>
    </row>
    <row r="38" spans="1:26" x14ac:dyDescent="0.3">
      <c r="J38">
        <v>6</v>
      </c>
      <c r="K38">
        <f>IFERROR(SUM((SUMIFS(Dyno_Data[AcqCenter],Dyno_Data[Team],$J$29, Dyno_Data[Match],K$31,Dyno_Data[TimeCenter],CenterTime_Center[[#This Row],[Seconds]])+K$31/100)*SUMIFS(Dyno_Data[AcqDis],Dyno_Data[Team],$J$29, Dyno_Data[Match],K$31,Dyno_Data[TimeCenter],CenterTime_Center[[#This Row],[Seconds]])),"")</f>
        <v>0</v>
      </c>
      <c r="L38">
        <f>IFERROR(SUM((SUMIFS(Dyno_Data[AcqCenter],Dyno_Data[Team],$J$29, Dyno_Data[Match],L$31,Dyno_Data[TimeCenter],CenterTime_Center[[#This Row],[Seconds]])+L$31/100)*SUMIFS(Dyno_Data[AcqDis],Dyno_Data[Team],$J$29, Dyno_Data[Match],L$31,Dyno_Data[TimeCenter],CenterTime_Center[[#This Row],[Seconds]])),"")</f>
        <v>0</v>
      </c>
      <c r="M38">
        <f>IFERROR(SUM((SUMIFS(Dyno_Data[AcqCenter],Dyno_Data[Team],$J$29, Dyno_Data[Match],M$31,Dyno_Data[TimeCenter],CenterTime_Center[[#This Row],[Seconds]])+M$31/100)*SUMIFS(Dyno_Data[AcqDis],Dyno_Data[Team],$J$29, Dyno_Data[Match],M$31,Dyno_Data[TimeCenter],CenterTime_Center[[#This Row],[Seconds]])),"")</f>
        <v>0</v>
      </c>
      <c r="N38">
        <f>IFERROR(SUM((SUMIFS(Dyno_Data[AcqCenter],Dyno_Data[Team],$J$29, Dyno_Data[Match],N$31,Dyno_Data[TimeCenter],CenterTime_Center[[#This Row],[Seconds]])+N$31/100)*SUMIFS(Dyno_Data[AcqDis],Dyno_Data[Team],$J$29, Dyno_Data[Match],N$31,Dyno_Data[TimeCenter],CenterTime_Center[[#This Row],[Seconds]])),"")</f>
        <v>0</v>
      </c>
      <c r="O38">
        <f>IFERROR(SUM((SUMIFS(Dyno_Data[AcqCenter],Dyno_Data[Team],$J$29, Dyno_Data[Match],O$31,Dyno_Data[TimeCenter],CenterTime_Center[[#This Row],[Seconds]])+O$31/100)*SUMIFS(Dyno_Data[AcqDis],Dyno_Data[Team],$J$29, Dyno_Data[Match],O$31,Dyno_Data[TimeCenter],CenterTime_Center[[#This Row],[Seconds]])),"")</f>
        <v>0</v>
      </c>
      <c r="P38">
        <f>IFERROR(SUM((SUMIFS(Dyno_Data[AcqCenter],Dyno_Data[Team],$J$29, Dyno_Data[Match],P$31,Dyno_Data[TimeCenter],CenterTime_Center[[#This Row],[Seconds]])+P$31/100)*SUMIFS(Dyno_Data[AcqDis],Dyno_Data[Team],$J$29, Dyno_Data[Match],P$31,Dyno_Data[TimeCenter],CenterTime_Center[[#This Row],[Seconds]])),"")</f>
        <v>0</v>
      </c>
      <c r="Q38">
        <f>IFERROR(SUM((SUMIFS(Dyno_Data[AcqCenter],Dyno_Data[Team],$J$29, Dyno_Data[Match],Q$31,Dyno_Data[TimeCenter],CenterTime_Center[[#This Row],[Seconds]])+Q$31/100)*SUMIFS(Dyno_Data[AcqDis],Dyno_Data[Team],$J$29, Dyno_Data[Match],Q$31,Dyno_Data[TimeCenter],CenterTime_Center[[#This Row],[Seconds]])),"")</f>
        <v>0</v>
      </c>
      <c r="R38" t="str">
        <f>IFERROR(SUM((SUMIFS(Dyno_Data[AcqCenter],Dyno_Data[Team],$J$29, Dyno_Data[Match],R$31,Dyno_Data[TimeCenter],CenterTime_Center[[#This Row],[Seconds]])+R$31/100)*SUMIFS(Dyno_Data[AcqDis],Dyno_Data[Team],$J$29, Dyno_Data[Match],R$31,Dyno_Data[TimeCenter],CenterTime_Center[[#This Row],[Seconds]])),"")</f>
        <v/>
      </c>
      <c r="S38" t="str">
        <f>IFERROR(SUM((SUMIFS(Dyno_Data[AcqCenter],Dyno_Data[Team],$J$29, Dyno_Data[Match],S$31,Dyno_Data[TimeCenter],CenterTime_Center[[#This Row],[Seconds]])+S$31/100)*SUMIFS(Dyno_Data[AcqDis],Dyno_Data[Team],$J$29, Dyno_Data[Match],S$31,Dyno_Data[TimeCenter],CenterTime_Center[[#This Row],[Seconds]])),"")</f>
        <v/>
      </c>
      <c r="T38" t="str">
        <f>IFERROR(SUM((SUMIFS(Dyno_Data[AcqCenter],Dyno_Data[Team],$J$29, Dyno_Data[Match],T$31,Dyno_Data[TimeCenter],CenterTime_Center[[#This Row],[Seconds]])+T$31/100)*SUMIFS(Dyno_Data[AcqDis],Dyno_Data[Team],$J$29, Dyno_Data[Match],T$31,Dyno_Data[TimeCenter],CenterTime_Center[[#This Row],[Seconds]])),"")</f>
        <v/>
      </c>
      <c r="U38" t="str">
        <f>IFERROR(SUM((SUMIFS(Dyno_Data[AcqCenter],Dyno_Data[Team],$J$29, Dyno_Data[Match],U$31,Dyno_Data[TimeCenter],CenterTime_Center[[#This Row],[Seconds]])+U$31/100)*SUMIFS(Dyno_Data[AcqDis],Dyno_Data[Team],$J$29, Dyno_Data[Match],U$31,Dyno_Data[TimeCenter],CenterTime_Center[[#This Row],[Seconds]])),"")</f>
        <v/>
      </c>
      <c r="V38" t="str">
        <f>IFERROR(SUM((SUMIFS(Dyno_Data[AcqCenter],Dyno_Data[Team],$J$29, Dyno_Data[Match],V$31,Dyno_Data[TimeCenter],CenterTime_Center[[#This Row],[Seconds]])+V$31/100)*SUMIFS(Dyno_Data[AcqDis],Dyno_Data[Team],$J$29, Dyno_Data[Match],V$31,Dyno_Data[TimeCenter],CenterTime_Center[[#This Row],[Seconds]])),"")</f>
        <v/>
      </c>
      <c r="W38" t="str">
        <f>IFERROR(SUM((SUMIFS(Dyno_Data[AcqCenter],Dyno_Data[Team],$J$29, Dyno_Data[Match],W$31,Dyno_Data[TimeCenter],CenterTime_Center[[#This Row],[Seconds]])+W$31/100)*SUMIFS(Dyno_Data[AcqDis],Dyno_Data[Team],$J$29, Dyno_Data[Match],W$31,Dyno_Data[TimeCenter],CenterTime_Center[[#This Row],[Seconds]])),"")</f>
        <v/>
      </c>
      <c r="X38" t="str">
        <f>IFERROR(SUM((SUMIFS(Dyno_Data[AcqCenter],Dyno_Data[Team],$J$29, Dyno_Data[Match],X$31,Dyno_Data[TimeCenter],CenterTime_Center[[#This Row],[Seconds]])+X$31/100)*SUMIFS(Dyno_Data[AcqDis],Dyno_Data[Team],$J$29, Dyno_Data[Match],X$31,Dyno_Data[TimeCenter],CenterTime_Center[[#This Row],[Seconds]])),"")</f>
        <v/>
      </c>
      <c r="Y38" t="str">
        <f>IFERROR(SUM((SUMIFS(Dyno_Data[AcqCenter],Dyno_Data[Team],$J$29, Dyno_Data[Match],Y$31,Dyno_Data[TimeCenter],CenterTime_Center[[#This Row],[Seconds]])+Y$31/100)*SUMIFS(Dyno_Data[AcqDis],Dyno_Data[Team],$J$29, Dyno_Data[Match],Y$31,Dyno_Data[TimeCenter],CenterTime_Center[[#This Row],[Seconds]])),"")</f>
        <v/>
      </c>
      <c r="Z38" t="str">
        <f>IFERROR(SUM((SUMIFS(Dyno_Data[AcqCenter],Dyno_Data[Team],$J$29, Dyno_Data[Match],Z$31,Dyno_Data[TimeCenter],CenterTime_Center[[#This Row],[Seconds]])+Z$31/100)*SUMIFS(Dyno_Data[AcqDis],Dyno_Data[Team],$J$29, Dyno_Data[Match],Z$31,Dyno_Data[TimeCenter],CenterTime_Center[[#This Row],[Seconds]])),"")</f>
        <v/>
      </c>
    </row>
    <row r="39" spans="1:26" x14ac:dyDescent="0.3">
      <c r="J39">
        <v>7</v>
      </c>
      <c r="K39">
        <f>IFERROR(SUM((SUMIFS(Dyno_Data[AcqCenter],Dyno_Data[Team],$J$29, Dyno_Data[Match],K$31,Dyno_Data[TimeCenter],CenterTime_Center[[#This Row],[Seconds]])+K$31/100)*SUMIFS(Dyno_Data[AcqDis],Dyno_Data[Team],$J$29, Dyno_Data[Match],K$31,Dyno_Data[TimeCenter],CenterTime_Center[[#This Row],[Seconds]])),"")</f>
        <v>0</v>
      </c>
      <c r="L39">
        <f>IFERROR(SUM((SUMIFS(Dyno_Data[AcqCenter],Dyno_Data[Team],$J$29, Dyno_Data[Match],L$31,Dyno_Data[TimeCenter],CenterTime_Center[[#This Row],[Seconds]])+L$31/100)*SUMIFS(Dyno_Data[AcqDis],Dyno_Data[Team],$J$29, Dyno_Data[Match],L$31,Dyno_Data[TimeCenter],CenterTime_Center[[#This Row],[Seconds]])),"")</f>
        <v>0</v>
      </c>
      <c r="M39">
        <f>IFERROR(SUM((SUMIFS(Dyno_Data[AcqCenter],Dyno_Data[Team],$J$29, Dyno_Data[Match],M$31,Dyno_Data[TimeCenter],CenterTime_Center[[#This Row],[Seconds]])+M$31/100)*SUMIFS(Dyno_Data[AcqDis],Dyno_Data[Team],$J$29, Dyno_Data[Match],M$31,Dyno_Data[TimeCenter],CenterTime_Center[[#This Row],[Seconds]])),"")</f>
        <v>0</v>
      </c>
      <c r="N39">
        <f>IFERROR(SUM((SUMIFS(Dyno_Data[AcqCenter],Dyno_Data[Team],$J$29, Dyno_Data[Match],N$31,Dyno_Data[TimeCenter],CenterTime_Center[[#This Row],[Seconds]])+N$31/100)*SUMIFS(Dyno_Data[AcqDis],Dyno_Data[Team],$J$29, Dyno_Data[Match],N$31,Dyno_Data[TimeCenter],CenterTime_Center[[#This Row],[Seconds]])),"")</f>
        <v>0</v>
      </c>
      <c r="O39">
        <f>IFERROR(SUM((SUMIFS(Dyno_Data[AcqCenter],Dyno_Data[Team],$J$29, Dyno_Data[Match],O$31,Dyno_Data[TimeCenter],CenterTime_Center[[#This Row],[Seconds]])+O$31/100)*SUMIFS(Dyno_Data[AcqDis],Dyno_Data[Team],$J$29, Dyno_Data[Match],O$31,Dyno_Data[TimeCenter],CenterTime_Center[[#This Row],[Seconds]])),"")</f>
        <v>0</v>
      </c>
      <c r="P39">
        <f>IFERROR(SUM((SUMIFS(Dyno_Data[AcqCenter],Dyno_Data[Team],$J$29, Dyno_Data[Match],P$31,Dyno_Data[TimeCenter],CenterTime_Center[[#This Row],[Seconds]])+P$31/100)*SUMIFS(Dyno_Data[AcqDis],Dyno_Data[Team],$J$29, Dyno_Data[Match],P$31,Dyno_Data[TimeCenter],CenterTime_Center[[#This Row],[Seconds]])),"")</f>
        <v>0</v>
      </c>
      <c r="Q39">
        <f>IFERROR(SUM((SUMIFS(Dyno_Data[AcqCenter],Dyno_Data[Team],$J$29, Dyno_Data[Match],Q$31,Dyno_Data[TimeCenter],CenterTime_Center[[#This Row],[Seconds]])+Q$31/100)*SUMIFS(Dyno_Data[AcqDis],Dyno_Data[Team],$J$29, Dyno_Data[Match],Q$31,Dyno_Data[TimeCenter],CenterTime_Center[[#This Row],[Seconds]])),"")</f>
        <v>0</v>
      </c>
      <c r="R39" t="str">
        <f>IFERROR(SUM((SUMIFS(Dyno_Data[AcqCenter],Dyno_Data[Team],$J$29, Dyno_Data[Match],R$31,Dyno_Data[TimeCenter],CenterTime_Center[[#This Row],[Seconds]])+R$31/100)*SUMIFS(Dyno_Data[AcqDis],Dyno_Data[Team],$J$29, Dyno_Data[Match],R$31,Dyno_Data[TimeCenter],CenterTime_Center[[#This Row],[Seconds]])),"")</f>
        <v/>
      </c>
      <c r="S39" t="str">
        <f>IFERROR(SUM((SUMIFS(Dyno_Data[AcqCenter],Dyno_Data[Team],$J$29, Dyno_Data[Match],S$31,Dyno_Data[TimeCenter],CenterTime_Center[[#This Row],[Seconds]])+S$31/100)*SUMIFS(Dyno_Data[AcqDis],Dyno_Data[Team],$J$29, Dyno_Data[Match],S$31,Dyno_Data[TimeCenter],CenterTime_Center[[#This Row],[Seconds]])),"")</f>
        <v/>
      </c>
      <c r="T39" t="str">
        <f>IFERROR(SUM((SUMIFS(Dyno_Data[AcqCenter],Dyno_Data[Team],$J$29, Dyno_Data[Match],T$31,Dyno_Data[TimeCenter],CenterTime_Center[[#This Row],[Seconds]])+T$31/100)*SUMIFS(Dyno_Data[AcqDis],Dyno_Data[Team],$J$29, Dyno_Data[Match],T$31,Dyno_Data[TimeCenter],CenterTime_Center[[#This Row],[Seconds]])),"")</f>
        <v/>
      </c>
      <c r="U39" t="str">
        <f>IFERROR(SUM((SUMIFS(Dyno_Data[AcqCenter],Dyno_Data[Team],$J$29, Dyno_Data[Match],U$31,Dyno_Data[TimeCenter],CenterTime_Center[[#This Row],[Seconds]])+U$31/100)*SUMIFS(Dyno_Data[AcqDis],Dyno_Data[Team],$J$29, Dyno_Data[Match],U$31,Dyno_Data[TimeCenter],CenterTime_Center[[#This Row],[Seconds]])),"")</f>
        <v/>
      </c>
      <c r="V39" t="str">
        <f>IFERROR(SUM((SUMIFS(Dyno_Data[AcqCenter],Dyno_Data[Team],$J$29, Dyno_Data[Match],V$31,Dyno_Data[TimeCenter],CenterTime_Center[[#This Row],[Seconds]])+V$31/100)*SUMIFS(Dyno_Data[AcqDis],Dyno_Data[Team],$J$29, Dyno_Data[Match],V$31,Dyno_Data[TimeCenter],CenterTime_Center[[#This Row],[Seconds]])),"")</f>
        <v/>
      </c>
      <c r="W39" t="str">
        <f>IFERROR(SUM((SUMIFS(Dyno_Data[AcqCenter],Dyno_Data[Team],$J$29, Dyno_Data[Match],W$31,Dyno_Data[TimeCenter],CenterTime_Center[[#This Row],[Seconds]])+W$31/100)*SUMIFS(Dyno_Data[AcqDis],Dyno_Data[Team],$J$29, Dyno_Data[Match],W$31,Dyno_Data[TimeCenter],CenterTime_Center[[#This Row],[Seconds]])),"")</f>
        <v/>
      </c>
      <c r="X39" t="str">
        <f>IFERROR(SUM((SUMIFS(Dyno_Data[AcqCenter],Dyno_Data[Team],$J$29, Dyno_Data[Match],X$31,Dyno_Data[TimeCenter],CenterTime_Center[[#This Row],[Seconds]])+X$31/100)*SUMIFS(Dyno_Data[AcqDis],Dyno_Data[Team],$J$29, Dyno_Data[Match],X$31,Dyno_Data[TimeCenter],CenterTime_Center[[#This Row],[Seconds]])),"")</f>
        <v/>
      </c>
      <c r="Y39" t="str">
        <f>IFERROR(SUM((SUMIFS(Dyno_Data[AcqCenter],Dyno_Data[Team],$J$29, Dyno_Data[Match],Y$31,Dyno_Data[TimeCenter],CenterTime_Center[[#This Row],[Seconds]])+Y$31/100)*SUMIFS(Dyno_Data[AcqDis],Dyno_Data[Team],$J$29, Dyno_Data[Match],Y$31,Dyno_Data[TimeCenter],CenterTime_Center[[#This Row],[Seconds]])),"")</f>
        <v/>
      </c>
      <c r="Z39" t="str">
        <f>IFERROR(SUM((SUMIFS(Dyno_Data[AcqCenter],Dyno_Data[Team],$J$29, Dyno_Data[Match],Z$31,Dyno_Data[TimeCenter],CenterTime_Center[[#This Row],[Seconds]])+Z$31/100)*SUMIFS(Dyno_Data[AcqDis],Dyno_Data[Team],$J$29, Dyno_Data[Match],Z$31,Dyno_Data[TimeCenter],CenterTime_Center[[#This Row],[Seconds]])),"")</f>
        <v/>
      </c>
    </row>
    <row r="40" spans="1:26" x14ac:dyDescent="0.3">
      <c r="J40">
        <v>8</v>
      </c>
      <c r="K40">
        <f>IFERROR(SUM((SUMIFS(Dyno_Data[AcqCenter],Dyno_Data[Team],$J$29, Dyno_Data[Match],K$31,Dyno_Data[TimeCenter],CenterTime_Center[[#This Row],[Seconds]])+K$31/100)*SUMIFS(Dyno_Data[AcqDis],Dyno_Data[Team],$J$29, Dyno_Data[Match],K$31,Dyno_Data[TimeCenter],CenterTime_Center[[#This Row],[Seconds]])),"")</f>
        <v>0</v>
      </c>
      <c r="L40">
        <f>IFERROR(SUM((SUMIFS(Dyno_Data[AcqCenter],Dyno_Data[Team],$J$29, Dyno_Data[Match],L$31,Dyno_Data[TimeCenter],CenterTime_Center[[#This Row],[Seconds]])+L$31/100)*SUMIFS(Dyno_Data[AcqDis],Dyno_Data[Team],$J$29, Dyno_Data[Match],L$31,Dyno_Data[TimeCenter],CenterTime_Center[[#This Row],[Seconds]])),"")</f>
        <v>0</v>
      </c>
      <c r="M40">
        <f>IFERROR(SUM((SUMIFS(Dyno_Data[AcqCenter],Dyno_Data[Team],$J$29, Dyno_Data[Match],M$31,Dyno_Data[TimeCenter],CenterTime_Center[[#This Row],[Seconds]])+M$31/100)*SUMIFS(Dyno_Data[AcqDis],Dyno_Data[Team],$J$29, Dyno_Data[Match],M$31,Dyno_Data[TimeCenter],CenterTime_Center[[#This Row],[Seconds]])),"")</f>
        <v>0</v>
      </c>
      <c r="N40">
        <f>IFERROR(SUM((SUMIFS(Dyno_Data[AcqCenter],Dyno_Data[Team],$J$29, Dyno_Data[Match],N$31,Dyno_Data[TimeCenter],CenterTime_Center[[#This Row],[Seconds]])+N$31/100)*SUMIFS(Dyno_Data[AcqDis],Dyno_Data[Team],$J$29, Dyno_Data[Match],N$31,Dyno_Data[TimeCenter],CenterTime_Center[[#This Row],[Seconds]])),"")</f>
        <v>0</v>
      </c>
      <c r="O40">
        <f>IFERROR(SUM((SUMIFS(Dyno_Data[AcqCenter],Dyno_Data[Team],$J$29, Dyno_Data[Match],O$31,Dyno_Data[TimeCenter],CenterTime_Center[[#This Row],[Seconds]])+O$31/100)*SUMIFS(Dyno_Data[AcqDis],Dyno_Data[Team],$J$29, Dyno_Data[Match],O$31,Dyno_Data[TimeCenter],CenterTime_Center[[#This Row],[Seconds]])),"")</f>
        <v>0</v>
      </c>
      <c r="P40">
        <f>IFERROR(SUM((SUMIFS(Dyno_Data[AcqCenter],Dyno_Data[Team],$J$29, Dyno_Data[Match],P$31,Dyno_Data[TimeCenter],CenterTime_Center[[#This Row],[Seconds]])+P$31/100)*SUMIFS(Dyno_Data[AcqDis],Dyno_Data[Team],$J$29, Dyno_Data[Match],P$31,Dyno_Data[TimeCenter],CenterTime_Center[[#This Row],[Seconds]])),"")</f>
        <v>0</v>
      </c>
      <c r="Q40">
        <f>IFERROR(SUM((SUMIFS(Dyno_Data[AcqCenter],Dyno_Data[Team],$J$29, Dyno_Data[Match],Q$31,Dyno_Data[TimeCenter],CenterTime_Center[[#This Row],[Seconds]])+Q$31/100)*SUMIFS(Dyno_Data[AcqDis],Dyno_Data[Team],$J$29, Dyno_Data[Match],Q$31,Dyno_Data[TimeCenter],CenterTime_Center[[#This Row],[Seconds]])),"")</f>
        <v>0</v>
      </c>
      <c r="R40" t="str">
        <f>IFERROR(SUM((SUMIFS(Dyno_Data[AcqCenter],Dyno_Data[Team],$J$29, Dyno_Data[Match],R$31,Dyno_Data[TimeCenter],CenterTime_Center[[#This Row],[Seconds]])+R$31/100)*SUMIFS(Dyno_Data[AcqDis],Dyno_Data[Team],$J$29, Dyno_Data[Match],R$31,Dyno_Data[TimeCenter],CenterTime_Center[[#This Row],[Seconds]])),"")</f>
        <v/>
      </c>
      <c r="S40" t="str">
        <f>IFERROR(SUM((SUMIFS(Dyno_Data[AcqCenter],Dyno_Data[Team],$J$29, Dyno_Data[Match],S$31,Dyno_Data[TimeCenter],CenterTime_Center[[#This Row],[Seconds]])+S$31/100)*SUMIFS(Dyno_Data[AcqDis],Dyno_Data[Team],$J$29, Dyno_Data[Match],S$31,Dyno_Data[TimeCenter],CenterTime_Center[[#This Row],[Seconds]])),"")</f>
        <v/>
      </c>
      <c r="T40" t="str">
        <f>IFERROR(SUM((SUMIFS(Dyno_Data[AcqCenter],Dyno_Data[Team],$J$29, Dyno_Data[Match],T$31,Dyno_Data[TimeCenter],CenterTime_Center[[#This Row],[Seconds]])+T$31/100)*SUMIFS(Dyno_Data[AcqDis],Dyno_Data[Team],$J$29, Dyno_Data[Match],T$31,Dyno_Data[TimeCenter],CenterTime_Center[[#This Row],[Seconds]])),"")</f>
        <v/>
      </c>
      <c r="U40" t="str">
        <f>IFERROR(SUM((SUMIFS(Dyno_Data[AcqCenter],Dyno_Data[Team],$J$29, Dyno_Data[Match],U$31,Dyno_Data[TimeCenter],CenterTime_Center[[#This Row],[Seconds]])+U$31/100)*SUMIFS(Dyno_Data[AcqDis],Dyno_Data[Team],$J$29, Dyno_Data[Match],U$31,Dyno_Data[TimeCenter],CenterTime_Center[[#This Row],[Seconds]])),"")</f>
        <v/>
      </c>
      <c r="V40" t="str">
        <f>IFERROR(SUM((SUMIFS(Dyno_Data[AcqCenter],Dyno_Data[Team],$J$29, Dyno_Data[Match],V$31,Dyno_Data[TimeCenter],CenterTime_Center[[#This Row],[Seconds]])+V$31/100)*SUMIFS(Dyno_Data[AcqDis],Dyno_Data[Team],$J$29, Dyno_Data[Match],V$31,Dyno_Data[TimeCenter],CenterTime_Center[[#This Row],[Seconds]])),"")</f>
        <v/>
      </c>
      <c r="W40" t="str">
        <f>IFERROR(SUM((SUMIFS(Dyno_Data[AcqCenter],Dyno_Data[Team],$J$29, Dyno_Data[Match],W$31,Dyno_Data[TimeCenter],CenterTime_Center[[#This Row],[Seconds]])+W$31/100)*SUMIFS(Dyno_Data[AcqDis],Dyno_Data[Team],$J$29, Dyno_Data[Match],W$31,Dyno_Data[TimeCenter],CenterTime_Center[[#This Row],[Seconds]])),"")</f>
        <v/>
      </c>
      <c r="X40" t="str">
        <f>IFERROR(SUM((SUMIFS(Dyno_Data[AcqCenter],Dyno_Data[Team],$J$29, Dyno_Data[Match],X$31,Dyno_Data[TimeCenter],CenterTime_Center[[#This Row],[Seconds]])+X$31/100)*SUMIFS(Dyno_Data[AcqDis],Dyno_Data[Team],$J$29, Dyno_Data[Match],X$31,Dyno_Data[TimeCenter],CenterTime_Center[[#This Row],[Seconds]])),"")</f>
        <v/>
      </c>
      <c r="Y40" t="str">
        <f>IFERROR(SUM((SUMIFS(Dyno_Data[AcqCenter],Dyno_Data[Team],$J$29, Dyno_Data[Match],Y$31,Dyno_Data[TimeCenter],CenterTime_Center[[#This Row],[Seconds]])+Y$31/100)*SUMIFS(Dyno_Data[AcqDis],Dyno_Data[Team],$J$29, Dyno_Data[Match],Y$31,Dyno_Data[TimeCenter],CenterTime_Center[[#This Row],[Seconds]])),"")</f>
        <v/>
      </c>
      <c r="Z40" t="str">
        <f>IFERROR(SUM((SUMIFS(Dyno_Data[AcqCenter],Dyno_Data[Team],$J$29, Dyno_Data[Match],Z$31,Dyno_Data[TimeCenter],CenterTime_Center[[#This Row],[Seconds]])+Z$31/100)*SUMIFS(Dyno_Data[AcqDis],Dyno_Data[Team],$J$29, Dyno_Data[Match],Z$31,Dyno_Data[TimeCenter],CenterTime_Center[[#This Row],[Seconds]])),"")</f>
        <v/>
      </c>
    </row>
    <row r="41" spans="1:26" x14ac:dyDescent="0.3">
      <c r="J41">
        <v>9</v>
      </c>
      <c r="K41">
        <f>IFERROR(SUM((SUMIFS(Dyno_Data[AcqCenter],Dyno_Data[Team],$J$29, Dyno_Data[Match],K$31,Dyno_Data[TimeCenter],CenterTime_Center[[#This Row],[Seconds]])+K$31/100)*SUMIFS(Dyno_Data[AcqDis],Dyno_Data[Team],$J$29, Dyno_Data[Match],K$31,Dyno_Data[TimeCenter],CenterTime_Center[[#This Row],[Seconds]])),"")</f>
        <v>0</v>
      </c>
      <c r="L41">
        <f>IFERROR(SUM((SUMIFS(Dyno_Data[AcqCenter],Dyno_Data[Team],$J$29, Dyno_Data[Match],L$31,Dyno_Data[TimeCenter],CenterTime_Center[[#This Row],[Seconds]])+L$31/100)*SUMIFS(Dyno_Data[AcqDis],Dyno_Data[Team],$J$29, Dyno_Data[Match],L$31,Dyno_Data[TimeCenter],CenterTime_Center[[#This Row],[Seconds]])),"")</f>
        <v>0</v>
      </c>
      <c r="M41">
        <f>IFERROR(SUM((SUMIFS(Dyno_Data[AcqCenter],Dyno_Data[Team],$J$29, Dyno_Data[Match],M$31,Dyno_Data[TimeCenter],CenterTime_Center[[#This Row],[Seconds]])+M$31/100)*SUMIFS(Dyno_Data[AcqDis],Dyno_Data[Team],$J$29, Dyno_Data[Match],M$31,Dyno_Data[TimeCenter],CenterTime_Center[[#This Row],[Seconds]])),"")</f>
        <v>0</v>
      </c>
      <c r="N41">
        <f>IFERROR(SUM((SUMIFS(Dyno_Data[AcqCenter],Dyno_Data[Team],$J$29, Dyno_Data[Match],N$31,Dyno_Data[TimeCenter],CenterTime_Center[[#This Row],[Seconds]])+N$31/100)*SUMIFS(Dyno_Data[AcqDis],Dyno_Data[Team],$J$29, Dyno_Data[Match],N$31,Dyno_Data[TimeCenter],CenterTime_Center[[#This Row],[Seconds]])),"")</f>
        <v>0</v>
      </c>
      <c r="O41">
        <f>IFERROR(SUM((SUMIFS(Dyno_Data[AcqCenter],Dyno_Data[Team],$J$29, Dyno_Data[Match],O$31,Dyno_Data[TimeCenter],CenterTime_Center[[#This Row],[Seconds]])+O$31/100)*SUMIFS(Dyno_Data[AcqDis],Dyno_Data[Team],$J$29, Dyno_Data[Match],O$31,Dyno_Data[TimeCenter],CenterTime_Center[[#This Row],[Seconds]])),"")</f>
        <v>0</v>
      </c>
      <c r="P41">
        <f>IFERROR(SUM((SUMIFS(Dyno_Data[AcqCenter],Dyno_Data[Team],$J$29, Dyno_Data[Match],P$31,Dyno_Data[TimeCenter],CenterTime_Center[[#This Row],[Seconds]])+P$31/100)*SUMIFS(Dyno_Data[AcqDis],Dyno_Data[Team],$J$29, Dyno_Data[Match],P$31,Dyno_Data[TimeCenter],CenterTime_Center[[#This Row],[Seconds]])),"")</f>
        <v>0</v>
      </c>
      <c r="Q41">
        <f>IFERROR(SUM((SUMIFS(Dyno_Data[AcqCenter],Dyno_Data[Team],$J$29, Dyno_Data[Match],Q$31,Dyno_Data[TimeCenter],CenterTime_Center[[#This Row],[Seconds]])+Q$31/100)*SUMIFS(Dyno_Data[AcqDis],Dyno_Data[Team],$J$29, Dyno_Data[Match],Q$31,Dyno_Data[TimeCenter],CenterTime_Center[[#This Row],[Seconds]])),"")</f>
        <v>0</v>
      </c>
      <c r="R41" t="str">
        <f>IFERROR(SUM((SUMIFS(Dyno_Data[AcqCenter],Dyno_Data[Team],$J$29, Dyno_Data[Match],R$31,Dyno_Data[TimeCenter],CenterTime_Center[[#This Row],[Seconds]])+R$31/100)*SUMIFS(Dyno_Data[AcqDis],Dyno_Data[Team],$J$29, Dyno_Data[Match],R$31,Dyno_Data[TimeCenter],CenterTime_Center[[#This Row],[Seconds]])),"")</f>
        <v/>
      </c>
      <c r="S41" t="str">
        <f>IFERROR(SUM((SUMIFS(Dyno_Data[AcqCenter],Dyno_Data[Team],$J$29, Dyno_Data[Match],S$31,Dyno_Data[TimeCenter],CenterTime_Center[[#This Row],[Seconds]])+S$31/100)*SUMIFS(Dyno_Data[AcqDis],Dyno_Data[Team],$J$29, Dyno_Data[Match],S$31,Dyno_Data[TimeCenter],CenterTime_Center[[#This Row],[Seconds]])),"")</f>
        <v/>
      </c>
      <c r="T41" t="str">
        <f>IFERROR(SUM((SUMIFS(Dyno_Data[AcqCenter],Dyno_Data[Team],$J$29, Dyno_Data[Match],T$31,Dyno_Data[TimeCenter],CenterTime_Center[[#This Row],[Seconds]])+T$31/100)*SUMIFS(Dyno_Data[AcqDis],Dyno_Data[Team],$J$29, Dyno_Data[Match],T$31,Dyno_Data[TimeCenter],CenterTime_Center[[#This Row],[Seconds]])),"")</f>
        <v/>
      </c>
      <c r="U41" t="str">
        <f>IFERROR(SUM((SUMIFS(Dyno_Data[AcqCenter],Dyno_Data[Team],$J$29, Dyno_Data[Match],U$31,Dyno_Data[TimeCenter],CenterTime_Center[[#This Row],[Seconds]])+U$31/100)*SUMIFS(Dyno_Data[AcqDis],Dyno_Data[Team],$J$29, Dyno_Data[Match],U$31,Dyno_Data[TimeCenter],CenterTime_Center[[#This Row],[Seconds]])),"")</f>
        <v/>
      </c>
      <c r="V41" t="str">
        <f>IFERROR(SUM((SUMIFS(Dyno_Data[AcqCenter],Dyno_Data[Team],$J$29, Dyno_Data[Match],V$31,Dyno_Data[TimeCenter],CenterTime_Center[[#This Row],[Seconds]])+V$31/100)*SUMIFS(Dyno_Data[AcqDis],Dyno_Data[Team],$J$29, Dyno_Data[Match],V$31,Dyno_Data[TimeCenter],CenterTime_Center[[#This Row],[Seconds]])),"")</f>
        <v/>
      </c>
      <c r="W41" t="str">
        <f>IFERROR(SUM((SUMIFS(Dyno_Data[AcqCenter],Dyno_Data[Team],$J$29, Dyno_Data[Match],W$31,Dyno_Data[TimeCenter],CenterTime_Center[[#This Row],[Seconds]])+W$31/100)*SUMIFS(Dyno_Data[AcqDis],Dyno_Data[Team],$J$29, Dyno_Data[Match],W$31,Dyno_Data[TimeCenter],CenterTime_Center[[#This Row],[Seconds]])),"")</f>
        <v/>
      </c>
      <c r="X41" t="str">
        <f>IFERROR(SUM((SUMIFS(Dyno_Data[AcqCenter],Dyno_Data[Team],$J$29, Dyno_Data[Match],X$31,Dyno_Data[TimeCenter],CenterTime_Center[[#This Row],[Seconds]])+X$31/100)*SUMIFS(Dyno_Data[AcqDis],Dyno_Data[Team],$J$29, Dyno_Data[Match],X$31,Dyno_Data[TimeCenter],CenterTime_Center[[#This Row],[Seconds]])),"")</f>
        <v/>
      </c>
      <c r="Y41" t="str">
        <f>IFERROR(SUM((SUMIFS(Dyno_Data[AcqCenter],Dyno_Data[Team],$J$29, Dyno_Data[Match],Y$31,Dyno_Data[TimeCenter],CenterTime_Center[[#This Row],[Seconds]])+Y$31/100)*SUMIFS(Dyno_Data[AcqDis],Dyno_Data[Team],$J$29, Dyno_Data[Match],Y$31,Dyno_Data[TimeCenter],CenterTime_Center[[#This Row],[Seconds]])),"")</f>
        <v/>
      </c>
      <c r="Z41" t="str">
        <f>IFERROR(SUM((SUMIFS(Dyno_Data[AcqCenter],Dyno_Data[Team],$J$29, Dyno_Data[Match],Z$31,Dyno_Data[TimeCenter],CenterTime_Center[[#This Row],[Seconds]])+Z$31/100)*SUMIFS(Dyno_Data[AcqDis],Dyno_Data[Team],$J$29, Dyno_Data[Match],Z$31,Dyno_Data[TimeCenter],CenterTime_Center[[#This Row],[Seconds]])),"")</f>
        <v/>
      </c>
    </row>
    <row r="42" spans="1:26" x14ac:dyDescent="0.3">
      <c r="J42">
        <v>10</v>
      </c>
      <c r="K42">
        <f>IFERROR(SUM((SUMIFS(Dyno_Data[AcqCenter],Dyno_Data[Team],$J$29, Dyno_Data[Match],K$31,Dyno_Data[TimeCenter],CenterTime_Center[[#This Row],[Seconds]])+K$31/100)*SUMIFS(Dyno_Data[AcqDis],Dyno_Data[Team],$J$29, Dyno_Data[Match],K$31,Dyno_Data[TimeCenter],CenterTime_Center[[#This Row],[Seconds]])),"")</f>
        <v>0</v>
      </c>
      <c r="L42">
        <f>IFERROR(SUM((SUMIFS(Dyno_Data[AcqCenter],Dyno_Data[Team],$J$29, Dyno_Data[Match],L$31,Dyno_Data[TimeCenter],CenterTime_Center[[#This Row],[Seconds]])+L$31/100)*SUMIFS(Dyno_Data[AcqDis],Dyno_Data[Team],$J$29, Dyno_Data[Match],L$31,Dyno_Data[TimeCenter],CenterTime_Center[[#This Row],[Seconds]])),"")</f>
        <v>0</v>
      </c>
      <c r="M42">
        <f>IFERROR(SUM((SUMIFS(Dyno_Data[AcqCenter],Dyno_Data[Team],$J$29, Dyno_Data[Match],M$31,Dyno_Data[TimeCenter],CenterTime_Center[[#This Row],[Seconds]])+M$31/100)*SUMIFS(Dyno_Data[AcqDis],Dyno_Data[Team],$J$29, Dyno_Data[Match],M$31,Dyno_Data[TimeCenter],CenterTime_Center[[#This Row],[Seconds]])),"")</f>
        <v>0</v>
      </c>
      <c r="N42">
        <f>IFERROR(SUM((SUMIFS(Dyno_Data[AcqCenter],Dyno_Data[Team],$J$29, Dyno_Data[Match],N$31,Dyno_Data[TimeCenter],CenterTime_Center[[#This Row],[Seconds]])+N$31/100)*SUMIFS(Dyno_Data[AcqDis],Dyno_Data[Team],$J$29, Dyno_Data[Match],N$31,Dyno_Data[TimeCenter],CenterTime_Center[[#This Row],[Seconds]])),"")</f>
        <v>0</v>
      </c>
      <c r="O42">
        <f>IFERROR(SUM((SUMIFS(Dyno_Data[AcqCenter],Dyno_Data[Team],$J$29, Dyno_Data[Match],O$31,Dyno_Data[TimeCenter],CenterTime_Center[[#This Row],[Seconds]])+O$31/100)*SUMIFS(Dyno_Data[AcqDis],Dyno_Data[Team],$J$29, Dyno_Data[Match],O$31,Dyno_Data[TimeCenter],CenterTime_Center[[#This Row],[Seconds]])),"")</f>
        <v>0</v>
      </c>
      <c r="P42">
        <f>IFERROR(SUM((SUMIFS(Dyno_Data[AcqCenter],Dyno_Data[Team],$J$29, Dyno_Data[Match],P$31,Dyno_Data[TimeCenter],CenterTime_Center[[#This Row],[Seconds]])+P$31/100)*SUMIFS(Dyno_Data[AcqDis],Dyno_Data[Team],$J$29, Dyno_Data[Match],P$31,Dyno_Data[TimeCenter],CenterTime_Center[[#This Row],[Seconds]])),"")</f>
        <v>0</v>
      </c>
      <c r="Q42">
        <f>IFERROR(SUM((SUMIFS(Dyno_Data[AcqCenter],Dyno_Data[Team],$J$29, Dyno_Data[Match],Q$31,Dyno_Data[TimeCenter],CenterTime_Center[[#This Row],[Seconds]])+Q$31/100)*SUMIFS(Dyno_Data[AcqDis],Dyno_Data[Team],$J$29, Dyno_Data[Match],Q$31,Dyno_Data[TimeCenter],CenterTime_Center[[#This Row],[Seconds]])),"")</f>
        <v>0</v>
      </c>
      <c r="R42" t="str">
        <f>IFERROR(SUM((SUMIFS(Dyno_Data[AcqCenter],Dyno_Data[Team],$J$29, Dyno_Data[Match],R$31,Dyno_Data[TimeCenter],CenterTime_Center[[#This Row],[Seconds]])+R$31/100)*SUMIFS(Dyno_Data[AcqDis],Dyno_Data[Team],$J$29, Dyno_Data[Match],R$31,Dyno_Data[TimeCenter],CenterTime_Center[[#This Row],[Seconds]])),"")</f>
        <v/>
      </c>
      <c r="S42" t="str">
        <f>IFERROR(SUM((SUMIFS(Dyno_Data[AcqCenter],Dyno_Data[Team],$J$29, Dyno_Data[Match],S$31,Dyno_Data[TimeCenter],CenterTime_Center[[#This Row],[Seconds]])+S$31/100)*SUMIFS(Dyno_Data[AcqDis],Dyno_Data[Team],$J$29, Dyno_Data[Match],S$31,Dyno_Data[TimeCenter],CenterTime_Center[[#This Row],[Seconds]])),"")</f>
        <v/>
      </c>
      <c r="T42" t="str">
        <f>IFERROR(SUM((SUMIFS(Dyno_Data[AcqCenter],Dyno_Data[Team],$J$29, Dyno_Data[Match],T$31,Dyno_Data[TimeCenter],CenterTime_Center[[#This Row],[Seconds]])+T$31/100)*SUMIFS(Dyno_Data[AcqDis],Dyno_Data[Team],$J$29, Dyno_Data[Match],T$31,Dyno_Data[TimeCenter],CenterTime_Center[[#This Row],[Seconds]])),"")</f>
        <v/>
      </c>
      <c r="U42" t="str">
        <f>IFERROR(SUM((SUMIFS(Dyno_Data[AcqCenter],Dyno_Data[Team],$J$29, Dyno_Data[Match],U$31,Dyno_Data[TimeCenter],CenterTime_Center[[#This Row],[Seconds]])+U$31/100)*SUMIFS(Dyno_Data[AcqDis],Dyno_Data[Team],$J$29, Dyno_Data[Match],U$31,Dyno_Data[TimeCenter],CenterTime_Center[[#This Row],[Seconds]])),"")</f>
        <v/>
      </c>
      <c r="V42" t="str">
        <f>IFERROR(SUM((SUMIFS(Dyno_Data[AcqCenter],Dyno_Data[Team],$J$29, Dyno_Data[Match],V$31,Dyno_Data[TimeCenter],CenterTime_Center[[#This Row],[Seconds]])+V$31/100)*SUMIFS(Dyno_Data[AcqDis],Dyno_Data[Team],$J$29, Dyno_Data[Match],V$31,Dyno_Data[TimeCenter],CenterTime_Center[[#This Row],[Seconds]])),"")</f>
        <v/>
      </c>
      <c r="W42" t="str">
        <f>IFERROR(SUM((SUMIFS(Dyno_Data[AcqCenter],Dyno_Data[Team],$J$29, Dyno_Data[Match],W$31,Dyno_Data[TimeCenter],CenterTime_Center[[#This Row],[Seconds]])+W$31/100)*SUMIFS(Dyno_Data[AcqDis],Dyno_Data[Team],$J$29, Dyno_Data[Match],W$31,Dyno_Data[TimeCenter],CenterTime_Center[[#This Row],[Seconds]])),"")</f>
        <v/>
      </c>
      <c r="X42" t="str">
        <f>IFERROR(SUM((SUMIFS(Dyno_Data[AcqCenter],Dyno_Data[Team],$J$29, Dyno_Data[Match],X$31,Dyno_Data[TimeCenter],CenterTime_Center[[#This Row],[Seconds]])+X$31/100)*SUMIFS(Dyno_Data[AcqDis],Dyno_Data[Team],$J$29, Dyno_Data[Match],X$31,Dyno_Data[TimeCenter],CenterTime_Center[[#This Row],[Seconds]])),"")</f>
        <v/>
      </c>
      <c r="Y42" t="str">
        <f>IFERROR(SUM((SUMIFS(Dyno_Data[AcqCenter],Dyno_Data[Team],$J$29, Dyno_Data[Match],Y$31,Dyno_Data[TimeCenter],CenterTime_Center[[#This Row],[Seconds]])+Y$31/100)*SUMIFS(Dyno_Data[AcqDis],Dyno_Data[Team],$J$29, Dyno_Data[Match],Y$31,Dyno_Data[TimeCenter],CenterTime_Center[[#This Row],[Seconds]])),"")</f>
        <v/>
      </c>
      <c r="Z42" t="str">
        <f>IFERROR(SUM((SUMIFS(Dyno_Data[AcqCenter],Dyno_Data[Team],$J$29, Dyno_Data[Match],Z$31,Dyno_Data[TimeCenter],CenterTime_Center[[#This Row],[Seconds]])+Z$31/100)*SUMIFS(Dyno_Data[AcqDis],Dyno_Data[Team],$J$29, Dyno_Data[Match],Z$31,Dyno_Data[TimeCenter],CenterTime_Center[[#This Row],[Seconds]])),"")</f>
        <v/>
      </c>
    </row>
    <row r="43" spans="1:26" x14ac:dyDescent="0.3">
      <c r="J43">
        <v>11</v>
      </c>
      <c r="K43">
        <f>IFERROR(SUM((SUMIFS(Dyno_Data[AcqCenter],Dyno_Data[Team],$J$29, Dyno_Data[Match],K$31,Dyno_Data[TimeCenter],CenterTime_Center[[#This Row],[Seconds]])+K$31/100)*SUMIFS(Dyno_Data[AcqDis],Dyno_Data[Team],$J$29, Dyno_Data[Match],K$31,Dyno_Data[TimeCenter],CenterTime_Center[[#This Row],[Seconds]])),"")</f>
        <v>0</v>
      </c>
      <c r="L43">
        <f>IFERROR(SUM((SUMIFS(Dyno_Data[AcqCenter],Dyno_Data[Team],$J$29, Dyno_Data[Match],L$31,Dyno_Data[TimeCenter],CenterTime_Center[[#This Row],[Seconds]])+L$31/100)*SUMIFS(Dyno_Data[AcqDis],Dyno_Data[Team],$J$29, Dyno_Data[Match],L$31,Dyno_Data[TimeCenter],CenterTime_Center[[#This Row],[Seconds]])),"")</f>
        <v>0</v>
      </c>
      <c r="M43">
        <f>IFERROR(SUM((SUMIFS(Dyno_Data[AcqCenter],Dyno_Data[Team],$J$29, Dyno_Data[Match],M$31,Dyno_Data[TimeCenter],CenterTime_Center[[#This Row],[Seconds]])+M$31/100)*SUMIFS(Dyno_Data[AcqDis],Dyno_Data[Team],$J$29, Dyno_Data[Match],M$31,Dyno_Data[TimeCenter],CenterTime_Center[[#This Row],[Seconds]])),"")</f>
        <v>0</v>
      </c>
      <c r="N43">
        <f>IFERROR(SUM((SUMIFS(Dyno_Data[AcqCenter],Dyno_Data[Team],$J$29, Dyno_Data[Match],N$31,Dyno_Data[TimeCenter],CenterTime_Center[[#This Row],[Seconds]])+N$31/100)*SUMIFS(Dyno_Data[AcqDis],Dyno_Data[Team],$J$29, Dyno_Data[Match],N$31,Dyno_Data[TimeCenter],CenterTime_Center[[#This Row],[Seconds]])),"")</f>
        <v>0</v>
      </c>
      <c r="O43">
        <f>IFERROR(SUM((SUMIFS(Dyno_Data[AcqCenter],Dyno_Data[Team],$J$29, Dyno_Data[Match],O$31,Dyno_Data[TimeCenter],CenterTime_Center[[#This Row],[Seconds]])+O$31/100)*SUMIFS(Dyno_Data[AcqDis],Dyno_Data[Team],$J$29, Dyno_Data[Match],O$31,Dyno_Data[TimeCenter],CenterTime_Center[[#This Row],[Seconds]])),"")</f>
        <v>0</v>
      </c>
      <c r="P43">
        <f>IFERROR(SUM((SUMIFS(Dyno_Data[AcqCenter],Dyno_Data[Team],$J$29, Dyno_Data[Match],P$31,Dyno_Data[TimeCenter],CenterTime_Center[[#This Row],[Seconds]])+P$31/100)*SUMIFS(Dyno_Data[AcqDis],Dyno_Data[Team],$J$29, Dyno_Data[Match],P$31,Dyno_Data[TimeCenter],CenterTime_Center[[#This Row],[Seconds]])),"")</f>
        <v>0</v>
      </c>
      <c r="Q43">
        <f>IFERROR(SUM((SUMIFS(Dyno_Data[AcqCenter],Dyno_Data[Team],$J$29, Dyno_Data[Match],Q$31,Dyno_Data[TimeCenter],CenterTime_Center[[#This Row],[Seconds]])+Q$31/100)*SUMIFS(Dyno_Data[AcqDis],Dyno_Data[Team],$J$29, Dyno_Data[Match],Q$31,Dyno_Data[TimeCenter],CenterTime_Center[[#This Row],[Seconds]])),"")</f>
        <v>0</v>
      </c>
      <c r="R43" t="str">
        <f>IFERROR(SUM((SUMIFS(Dyno_Data[AcqCenter],Dyno_Data[Team],$J$29, Dyno_Data[Match],R$31,Dyno_Data[TimeCenter],CenterTime_Center[[#This Row],[Seconds]])+R$31/100)*SUMIFS(Dyno_Data[AcqDis],Dyno_Data[Team],$J$29, Dyno_Data[Match],R$31,Dyno_Data[TimeCenter],CenterTime_Center[[#This Row],[Seconds]])),"")</f>
        <v/>
      </c>
      <c r="S43" t="str">
        <f>IFERROR(SUM((SUMIFS(Dyno_Data[AcqCenter],Dyno_Data[Team],$J$29, Dyno_Data[Match],S$31,Dyno_Data[TimeCenter],CenterTime_Center[[#This Row],[Seconds]])+S$31/100)*SUMIFS(Dyno_Data[AcqDis],Dyno_Data[Team],$J$29, Dyno_Data[Match],S$31,Dyno_Data[TimeCenter],CenterTime_Center[[#This Row],[Seconds]])),"")</f>
        <v/>
      </c>
      <c r="T43" t="str">
        <f>IFERROR(SUM((SUMIFS(Dyno_Data[AcqCenter],Dyno_Data[Team],$J$29, Dyno_Data[Match],T$31,Dyno_Data[TimeCenter],CenterTime_Center[[#This Row],[Seconds]])+T$31/100)*SUMIFS(Dyno_Data[AcqDis],Dyno_Data[Team],$J$29, Dyno_Data[Match],T$31,Dyno_Data[TimeCenter],CenterTime_Center[[#This Row],[Seconds]])),"")</f>
        <v/>
      </c>
      <c r="U43" t="str">
        <f>IFERROR(SUM((SUMIFS(Dyno_Data[AcqCenter],Dyno_Data[Team],$J$29, Dyno_Data[Match],U$31,Dyno_Data[TimeCenter],CenterTime_Center[[#This Row],[Seconds]])+U$31/100)*SUMIFS(Dyno_Data[AcqDis],Dyno_Data[Team],$J$29, Dyno_Data[Match],U$31,Dyno_Data[TimeCenter],CenterTime_Center[[#This Row],[Seconds]])),"")</f>
        <v/>
      </c>
      <c r="V43" t="str">
        <f>IFERROR(SUM((SUMIFS(Dyno_Data[AcqCenter],Dyno_Data[Team],$J$29, Dyno_Data[Match],V$31,Dyno_Data[TimeCenter],CenterTime_Center[[#This Row],[Seconds]])+V$31/100)*SUMIFS(Dyno_Data[AcqDis],Dyno_Data[Team],$J$29, Dyno_Data[Match],V$31,Dyno_Data[TimeCenter],CenterTime_Center[[#This Row],[Seconds]])),"")</f>
        <v/>
      </c>
      <c r="W43" t="str">
        <f>IFERROR(SUM((SUMIFS(Dyno_Data[AcqCenter],Dyno_Data[Team],$J$29, Dyno_Data[Match],W$31,Dyno_Data[TimeCenter],CenterTime_Center[[#This Row],[Seconds]])+W$31/100)*SUMIFS(Dyno_Data[AcqDis],Dyno_Data[Team],$J$29, Dyno_Data[Match],W$31,Dyno_Data[TimeCenter],CenterTime_Center[[#This Row],[Seconds]])),"")</f>
        <v/>
      </c>
      <c r="X43" t="str">
        <f>IFERROR(SUM((SUMIFS(Dyno_Data[AcqCenter],Dyno_Data[Team],$J$29, Dyno_Data[Match],X$31,Dyno_Data[TimeCenter],CenterTime_Center[[#This Row],[Seconds]])+X$31/100)*SUMIFS(Dyno_Data[AcqDis],Dyno_Data[Team],$J$29, Dyno_Data[Match],X$31,Dyno_Data[TimeCenter],CenterTime_Center[[#This Row],[Seconds]])),"")</f>
        <v/>
      </c>
      <c r="Y43" t="str">
        <f>IFERROR(SUM((SUMIFS(Dyno_Data[AcqCenter],Dyno_Data[Team],$J$29, Dyno_Data[Match],Y$31,Dyno_Data[TimeCenter],CenterTime_Center[[#This Row],[Seconds]])+Y$31/100)*SUMIFS(Dyno_Data[AcqDis],Dyno_Data[Team],$J$29, Dyno_Data[Match],Y$31,Dyno_Data[TimeCenter],CenterTime_Center[[#This Row],[Seconds]])),"")</f>
        <v/>
      </c>
      <c r="Z43" t="str">
        <f>IFERROR(SUM((SUMIFS(Dyno_Data[AcqCenter],Dyno_Data[Team],$J$29, Dyno_Data[Match],Z$31,Dyno_Data[TimeCenter],CenterTime_Center[[#This Row],[Seconds]])+Z$31/100)*SUMIFS(Dyno_Data[AcqDis],Dyno_Data[Team],$J$29, Dyno_Data[Match],Z$31,Dyno_Data[TimeCenter],CenterTime_Center[[#This Row],[Seconds]])),"")</f>
        <v/>
      </c>
    </row>
    <row r="44" spans="1:26" x14ac:dyDescent="0.3">
      <c r="J44">
        <v>12</v>
      </c>
      <c r="K44">
        <f>IFERROR(SUM((SUMIFS(Dyno_Data[AcqCenter],Dyno_Data[Team],$J$29, Dyno_Data[Match],K$31,Dyno_Data[TimeCenter],CenterTime_Center[[#This Row],[Seconds]])+K$31/100)*SUMIFS(Dyno_Data[AcqDis],Dyno_Data[Team],$J$29, Dyno_Data[Match],K$31,Dyno_Data[TimeCenter],CenterTime_Center[[#This Row],[Seconds]])),"")</f>
        <v>0</v>
      </c>
      <c r="L44">
        <f>IFERROR(SUM((SUMIFS(Dyno_Data[AcqCenter],Dyno_Data[Team],$J$29, Dyno_Data[Match],L$31,Dyno_Data[TimeCenter],CenterTime_Center[[#This Row],[Seconds]])+L$31/100)*SUMIFS(Dyno_Data[AcqDis],Dyno_Data[Team],$J$29, Dyno_Data[Match],L$31,Dyno_Data[TimeCenter],CenterTime_Center[[#This Row],[Seconds]])),"")</f>
        <v>0</v>
      </c>
      <c r="M44">
        <f>IFERROR(SUM((SUMIFS(Dyno_Data[AcqCenter],Dyno_Data[Team],$J$29, Dyno_Data[Match],M$31,Dyno_Data[TimeCenter],CenterTime_Center[[#This Row],[Seconds]])+M$31/100)*SUMIFS(Dyno_Data[AcqDis],Dyno_Data[Team],$J$29, Dyno_Data[Match],M$31,Dyno_Data[TimeCenter],CenterTime_Center[[#This Row],[Seconds]])),"")</f>
        <v>0</v>
      </c>
      <c r="N44">
        <f>IFERROR(SUM((SUMIFS(Dyno_Data[AcqCenter],Dyno_Data[Team],$J$29, Dyno_Data[Match],N$31,Dyno_Data[TimeCenter],CenterTime_Center[[#This Row],[Seconds]])+N$31/100)*SUMIFS(Dyno_Data[AcqDis],Dyno_Data[Team],$J$29, Dyno_Data[Match],N$31,Dyno_Data[TimeCenter],CenterTime_Center[[#This Row],[Seconds]])),"")</f>
        <v>0</v>
      </c>
      <c r="O44">
        <f>IFERROR(SUM((SUMIFS(Dyno_Data[AcqCenter],Dyno_Data[Team],$J$29, Dyno_Data[Match],O$31,Dyno_Data[TimeCenter],CenterTime_Center[[#This Row],[Seconds]])+O$31/100)*SUMIFS(Dyno_Data[AcqDis],Dyno_Data[Team],$J$29, Dyno_Data[Match],O$31,Dyno_Data[TimeCenter],CenterTime_Center[[#This Row],[Seconds]])),"")</f>
        <v>0</v>
      </c>
      <c r="P44">
        <f>IFERROR(SUM((SUMIFS(Dyno_Data[AcqCenter],Dyno_Data[Team],$J$29, Dyno_Data[Match],P$31,Dyno_Data[TimeCenter],CenterTime_Center[[#This Row],[Seconds]])+P$31/100)*SUMIFS(Dyno_Data[AcqDis],Dyno_Data[Team],$J$29, Dyno_Data[Match],P$31,Dyno_Data[TimeCenter],CenterTime_Center[[#This Row],[Seconds]])),"")</f>
        <v>0</v>
      </c>
      <c r="Q44">
        <f>IFERROR(SUM((SUMIFS(Dyno_Data[AcqCenter],Dyno_Data[Team],$J$29, Dyno_Data[Match],Q$31,Dyno_Data[TimeCenter],CenterTime_Center[[#This Row],[Seconds]])+Q$31/100)*SUMIFS(Dyno_Data[AcqDis],Dyno_Data[Team],$J$29, Dyno_Data[Match],Q$31,Dyno_Data[TimeCenter],CenterTime_Center[[#This Row],[Seconds]])),"")</f>
        <v>0</v>
      </c>
      <c r="R44" t="str">
        <f>IFERROR(SUM((SUMIFS(Dyno_Data[AcqCenter],Dyno_Data[Team],$J$29, Dyno_Data[Match],R$31,Dyno_Data[TimeCenter],CenterTime_Center[[#This Row],[Seconds]])+R$31/100)*SUMIFS(Dyno_Data[AcqDis],Dyno_Data[Team],$J$29, Dyno_Data[Match],R$31,Dyno_Data[TimeCenter],CenterTime_Center[[#This Row],[Seconds]])),"")</f>
        <v/>
      </c>
      <c r="S44" t="str">
        <f>IFERROR(SUM((SUMIFS(Dyno_Data[AcqCenter],Dyno_Data[Team],$J$29, Dyno_Data[Match],S$31,Dyno_Data[TimeCenter],CenterTime_Center[[#This Row],[Seconds]])+S$31/100)*SUMIFS(Dyno_Data[AcqDis],Dyno_Data[Team],$J$29, Dyno_Data[Match],S$31,Dyno_Data[TimeCenter],CenterTime_Center[[#This Row],[Seconds]])),"")</f>
        <v/>
      </c>
      <c r="T44" t="str">
        <f>IFERROR(SUM((SUMIFS(Dyno_Data[AcqCenter],Dyno_Data[Team],$J$29, Dyno_Data[Match],T$31,Dyno_Data[TimeCenter],CenterTime_Center[[#This Row],[Seconds]])+T$31/100)*SUMIFS(Dyno_Data[AcqDis],Dyno_Data[Team],$J$29, Dyno_Data[Match],T$31,Dyno_Data[TimeCenter],CenterTime_Center[[#This Row],[Seconds]])),"")</f>
        <v/>
      </c>
      <c r="U44" t="str">
        <f>IFERROR(SUM((SUMIFS(Dyno_Data[AcqCenter],Dyno_Data[Team],$J$29, Dyno_Data[Match],U$31,Dyno_Data[TimeCenter],CenterTime_Center[[#This Row],[Seconds]])+U$31/100)*SUMIFS(Dyno_Data[AcqDis],Dyno_Data[Team],$J$29, Dyno_Data[Match],U$31,Dyno_Data[TimeCenter],CenterTime_Center[[#This Row],[Seconds]])),"")</f>
        <v/>
      </c>
      <c r="V44" t="str">
        <f>IFERROR(SUM((SUMIFS(Dyno_Data[AcqCenter],Dyno_Data[Team],$J$29, Dyno_Data[Match],V$31,Dyno_Data[TimeCenter],CenterTime_Center[[#This Row],[Seconds]])+V$31/100)*SUMIFS(Dyno_Data[AcqDis],Dyno_Data[Team],$J$29, Dyno_Data[Match],V$31,Dyno_Data[TimeCenter],CenterTime_Center[[#This Row],[Seconds]])),"")</f>
        <v/>
      </c>
      <c r="W44" t="str">
        <f>IFERROR(SUM((SUMIFS(Dyno_Data[AcqCenter],Dyno_Data[Team],$J$29, Dyno_Data[Match],W$31,Dyno_Data[TimeCenter],CenterTime_Center[[#This Row],[Seconds]])+W$31/100)*SUMIFS(Dyno_Data[AcqDis],Dyno_Data[Team],$J$29, Dyno_Data[Match],W$31,Dyno_Data[TimeCenter],CenterTime_Center[[#This Row],[Seconds]])),"")</f>
        <v/>
      </c>
      <c r="X44" t="str">
        <f>IFERROR(SUM((SUMIFS(Dyno_Data[AcqCenter],Dyno_Data[Team],$J$29, Dyno_Data[Match],X$31,Dyno_Data[TimeCenter],CenterTime_Center[[#This Row],[Seconds]])+X$31/100)*SUMIFS(Dyno_Data[AcqDis],Dyno_Data[Team],$J$29, Dyno_Data[Match],X$31,Dyno_Data[TimeCenter],CenterTime_Center[[#This Row],[Seconds]])),"")</f>
        <v/>
      </c>
      <c r="Y44" t="str">
        <f>IFERROR(SUM((SUMIFS(Dyno_Data[AcqCenter],Dyno_Data[Team],$J$29, Dyno_Data[Match],Y$31,Dyno_Data[TimeCenter],CenterTime_Center[[#This Row],[Seconds]])+Y$31/100)*SUMIFS(Dyno_Data[AcqDis],Dyno_Data[Team],$J$29, Dyno_Data[Match],Y$31,Dyno_Data[TimeCenter],CenterTime_Center[[#This Row],[Seconds]])),"")</f>
        <v/>
      </c>
      <c r="Z44" t="str">
        <f>IFERROR(SUM((SUMIFS(Dyno_Data[AcqCenter],Dyno_Data[Team],$J$29, Dyno_Data[Match],Z$31,Dyno_Data[TimeCenter],CenterTime_Center[[#This Row],[Seconds]])+Z$31/100)*SUMIFS(Dyno_Data[AcqDis],Dyno_Data[Team],$J$29, Dyno_Data[Match],Z$31,Dyno_Data[TimeCenter],CenterTime_Center[[#This Row],[Seconds]])),"")</f>
        <v/>
      </c>
    </row>
    <row r="45" spans="1:26" x14ac:dyDescent="0.3">
      <c r="J45">
        <v>13</v>
      </c>
      <c r="K45">
        <f>IFERROR(SUM((SUMIFS(Dyno_Data[AcqCenter],Dyno_Data[Team],$J$29, Dyno_Data[Match],K$31,Dyno_Data[TimeCenter],CenterTime_Center[[#This Row],[Seconds]])+K$31/100)*SUMIFS(Dyno_Data[AcqDis],Dyno_Data[Team],$J$29, Dyno_Data[Match],K$31,Dyno_Data[TimeCenter],CenterTime_Center[[#This Row],[Seconds]])),"")</f>
        <v>0</v>
      </c>
      <c r="L45">
        <f>IFERROR(SUM((SUMIFS(Dyno_Data[AcqCenter],Dyno_Data[Team],$J$29, Dyno_Data[Match],L$31,Dyno_Data[TimeCenter],CenterTime_Center[[#This Row],[Seconds]])+L$31/100)*SUMIFS(Dyno_Data[AcqDis],Dyno_Data[Team],$J$29, Dyno_Data[Match],L$31,Dyno_Data[TimeCenter],CenterTime_Center[[#This Row],[Seconds]])),"")</f>
        <v>0</v>
      </c>
      <c r="M45">
        <f>IFERROR(SUM((SUMIFS(Dyno_Data[AcqCenter],Dyno_Data[Team],$J$29, Dyno_Data[Match],M$31,Dyno_Data[TimeCenter],CenterTime_Center[[#This Row],[Seconds]])+M$31/100)*SUMIFS(Dyno_Data[AcqDis],Dyno_Data[Team],$J$29, Dyno_Data[Match],M$31,Dyno_Data[TimeCenter],CenterTime_Center[[#This Row],[Seconds]])),"")</f>
        <v>0</v>
      </c>
      <c r="N45">
        <f>IFERROR(SUM((SUMIFS(Dyno_Data[AcqCenter],Dyno_Data[Team],$J$29, Dyno_Data[Match],N$31,Dyno_Data[TimeCenter],CenterTime_Center[[#This Row],[Seconds]])+N$31/100)*SUMIFS(Dyno_Data[AcqDis],Dyno_Data[Team],$J$29, Dyno_Data[Match],N$31,Dyno_Data[TimeCenter],CenterTime_Center[[#This Row],[Seconds]])),"")</f>
        <v>0</v>
      </c>
      <c r="O45">
        <f>IFERROR(SUM((SUMIFS(Dyno_Data[AcqCenter],Dyno_Data[Team],$J$29, Dyno_Data[Match],O$31,Dyno_Data[TimeCenter],CenterTime_Center[[#This Row],[Seconds]])+O$31/100)*SUMIFS(Dyno_Data[AcqDis],Dyno_Data[Team],$J$29, Dyno_Data[Match],O$31,Dyno_Data[TimeCenter],CenterTime_Center[[#This Row],[Seconds]])),"")</f>
        <v>0</v>
      </c>
      <c r="P45">
        <f>IFERROR(SUM((SUMIFS(Dyno_Data[AcqCenter],Dyno_Data[Team],$J$29, Dyno_Data[Match],P$31,Dyno_Data[TimeCenter],CenterTime_Center[[#This Row],[Seconds]])+P$31/100)*SUMIFS(Dyno_Data[AcqDis],Dyno_Data[Team],$J$29, Dyno_Data[Match],P$31,Dyno_Data[TimeCenter],CenterTime_Center[[#This Row],[Seconds]])),"")</f>
        <v>0</v>
      </c>
      <c r="Q45">
        <f>IFERROR(SUM((SUMIFS(Dyno_Data[AcqCenter],Dyno_Data[Team],$J$29, Dyno_Data[Match],Q$31,Dyno_Data[TimeCenter],CenterTime_Center[[#This Row],[Seconds]])+Q$31/100)*SUMIFS(Dyno_Data[AcqDis],Dyno_Data[Team],$J$29, Dyno_Data[Match],Q$31,Dyno_Data[TimeCenter],CenterTime_Center[[#This Row],[Seconds]])),"")</f>
        <v>0</v>
      </c>
      <c r="R45" t="str">
        <f>IFERROR(SUM((SUMIFS(Dyno_Data[AcqCenter],Dyno_Data[Team],$J$29, Dyno_Data[Match],R$31,Dyno_Data[TimeCenter],CenterTime_Center[[#This Row],[Seconds]])+R$31/100)*SUMIFS(Dyno_Data[AcqDis],Dyno_Data[Team],$J$29, Dyno_Data[Match],R$31,Dyno_Data[TimeCenter],CenterTime_Center[[#This Row],[Seconds]])),"")</f>
        <v/>
      </c>
      <c r="S45" t="str">
        <f>IFERROR(SUM((SUMIFS(Dyno_Data[AcqCenter],Dyno_Data[Team],$J$29, Dyno_Data[Match],S$31,Dyno_Data[TimeCenter],CenterTime_Center[[#This Row],[Seconds]])+S$31/100)*SUMIFS(Dyno_Data[AcqDis],Dyno_Data[Team],$J$29, Dyno_Data[Match],S$31,Dyno_Data[TimeCenter],CenterTime_Center[[#This Row],[Seconds]])),"")</f>
        <v/>
      </c>
      <c r="T45" t="str">
        <f>IFERROR(SUM((SUMIFS(Dyno_Data[AcqCenter],Dyno_Data[Team],$J$29, Dyno_Data[Match],T$31,Dyno_Data[TimeCenter],CenterTime_Center[[#This Row],[Seconds]])+T$31/100)*SUMIFS(Dyno_Data[AcqDis],Dyno_Data[Team],$J$29, Dyno_Data[Match],T$31,Dyno_Data[TimeCenter],CenterTime_Center[[#This Row],[Seconds]])),"")</f>
        <v/>
      </c>
      <c r="U45" t="str">
        <f>IFERROR(SUM((SUMIFS(Dyno_Data[AcqCenter],Dyno_Data[Team],$J$29, Dyno_Data[Match],U$31,Dyno_Data[TimeCenter],CenterTime_Center[[#This Row],[Seconds]])+U$31/100)*SUMIFS(Dyno_Data[AcqDis],Dyno_Data[Team],$J$29, Dyno_Data[Match],U$31,Dyno_Data[TimeCenter],CenterTime_Center[[#This Row],[Seconds]])),"")</f>
        <v/>
      </c>
      <c r="V45" t="str">
        <f>IFERROR(SUM((SUMIFS(Dyno_Data[AcqCenter],Dyno_Data[Team],$J$29, Dyno_Data[Match],V$31,Dyno_Data[TimeCenter],CenterTime_Center[[#This Row],[Seconds]])+V$31/100)*SUMIFS(Dyno_Data[AcqDis],Dyno_Data[Team],$J$29, Dyno_Data[Match],V$31,Dyno_Data[TimeCenter],CenterTime_Center[[#This Row],[Seconds]])),"")</f>
        <v/>
      </c>
      <c r="W45" t="str">
        <f>IFERROR(SUM((SUMIFS(Dyno_Data[AcqCenter],Dyno_Data[Team],$J$29, Dyno_Data[Match],W$31,Dyno_Data[TimeCenter],CenterTime_Center[[#This Row],[Seconds]])+W$31/100)*SUMIFS(Dyno_Data[AcqDis],Dyno_Data[Team],$J$29, Dyno_Data[Match],W$31,Dyno_Data[TimeCenter],CenterTime_Center[[#This Row],[Seconds]])),"")</f>
        <v/>
      </c>
      <c r="X45" t="str">
        <f>IFERROR(SUM((SUMIFS(Dyno_Data[AcqCenter],Dyno_Data[Team],$J$29, Dyno_Data[Match],X$31,Dyno_Data[TimeCenter],CenterTime_Center[[#This Row],[Seconds]])+X$31/100)*SUMIFS(Dyno_Data[AcqDis],Dyno_Data[Team],$J$29, Dyno_Data[Match],X$31,Dyno_Data[TimeCenter],CenterTime_Center[[#This Row],[Seconds]])),"")</f>
        <v/>
      </c>
      <c r="Y45" t="str">
        <f>IFERROR(SUM((SUMIFS(Dyno_Data[AcqCenter],Dyno_Data[Team],$J$29, Dyno_Data[Match],Y$31,Dyno_Data[TimeCenter],CenterTime_Center[[#This Row],[Seconds]])+Y$31/100)*SUMIFS(Dyno_Data[AcqDis],Dyno_Data[Team],$J$29, Dyno_Data[Match],Y$31,Dyno_Data[TimeCenter],CenterTime_Center[[#This Row],[Seconds]])),"")</f>
        <v/>
      </c>
      <c r="Z45" t="str">
        <f>IFERROR(SUM((SUMIFS(Dyno_Data[AcqCenter],Dyno_Data[Team],$J$29, Dyno_Data[Match],Z$31,Dyno_Data[TimeCenter],CenterTime_Center[[#This Row],[Seconds]])+Z$31/100)*SUMIFS(Dyno_Data[AcqDis],Dyno_Data[Team],$J$29, Dyno_Data[Match],Z$31,Dyno_Data[TimeCenter],CenterTime_Center[[#This Row],[Seconds]])),"")</f>
        <v/>
      </c>
    </row>
    <row r="46" spans="1:26" x14ac:dyDescent="0.3">
      <c r="J46">
        <v>14</v>
      </c>
      <c r="K46">
        <f>IFERROR(SUM((SUMIFS(Dyno_Data[AcqCenter],Dyno_Data[Team],$J$29, Dyno_Data[Match],K$31,Dyno_Data[TimeCenter],CenterTime_Center[[#This Row],[Seconds]])+K$31/100)*SUMIFS(Dyno_Data[AcqDis],Dyno_Data[Team],$J$29, Dyno_Data[Match],K$31,Dyno_Data[TimeCenter],CenterTime_Center[[#This Row],[Seconds]])),"")</f>
        <v>0</v>
      </c>
      <c r="L46">
        <f>IFERROR(SUM((SUMIFS(Dyno_Data[AcqCenter],Dyno_Data[Team],$J$29, Dyno_Data[Match],L$31,Dyno_Data[TimeCenter],CenterTime_Center[[#This Row],[Seconds]])+L$31/100)*SUMIFS(Dyno_Data[AcqDis],Dyno_Data[Team],$J$29, Dyno_Data[Match],L$31,Dyno_Data[TimeCenter],CenterTime_Center[[#This Row],[Seconds]])),"")</f>
        <v>0</v>
      </c>
      <c r="M46">
        <f>IFERROR(SUM((SUMIFS(Dyno_Data[AcqCenter],Dyno_Data[Team],$J$29, Dyno_Data[Match],M$31,Dyno_Data[TimeCenter],CenterTime_Center[[#This Row],[Seconds]])+M$31/100)*SUMIFS(Dyno_Data[AcqDis],Dyno_Data[Team],$J$29, Dyno_Data[Match],M$31,Dyno_Data[TimeCenter],CenterTime_Center[[#This Row],[Seconds]])),"")</f>
        <v>0</v>
      </c>
      <c r="N46">
        <f>IFERROR(SUM((SUMIFS(Dyno_Data[AcqCenter],Dyno_Data[Team],$J$29, Dyno_Data[Match],N$31,Dyno_Data[TimeCenter],CenterTime_Center[[#This Row],[Seconds]])+N$31/100)*SUMIFS(Dyno_Data[AcqDis],Dyno_Data[Team],$J$29, Dyno_Data[Match],N$31,Dyno_Data[TimeCenter],CenterTime_Center[[#This Row],[Seconds]])),"")</f>
        <v>0</v>
      </c>
      <c r="O46">
        <f>IFERROR(SUM((SUMIFS(Dyno_Data[AcqCenter],Dyno_Data[Team],$J$29, Dyno_Data[Match],O$31,Dyno_Data[TimeCenter],CenterTime_Center[[#This Row],[Seconds]])+O$31/100)*SUMIFS(Dyno_Data[AcqDis],Dyno_Data[Team],$J$29, Dyno_Data[Match],O$31,Dyno_Data[TimeCenter],CenterTime_Center[[#This Row],[Seconds]])),"")</f>
        <v>0</v>
      </c>
      <c r="P46">
        <f>IFERROR(SUM((SUMIFS(Dyno_Data[AcqCenter],Dyno_Data[Team],$J$29, Dyno_Data[Match],P$31,Dyno_Data[TimeCenter],CenterTime_Center[[#This Row],[Seconds]])+P$31/100)*SUMIFS(Dyno_Data[AcqDis],Dyno_Data[Team],$J$29, Dyno_Data[Match],P$31,Dyno_Data[TimeCenter],CenterTime_Center[[#This Row],[Seconds]])),"")</f>
        <v>0</v>
      </c>
      <c r="Q46">
        <f>IFERROR(SUM((SUMIFS(Dyno_Data[AcqCenter],Dyno_Data[Team],$J$29, Dyno_Data[Match],Q$31,Dyno_Data[TimeCenter],CenterTime_Center[[#This Row],[Seconds]])+Q$31/100)*SUMIFS(Dyno_Data[AcqDis],Dyno_Data[Team],$J$29, Dyno_Data[Match],Q$31,Dyno_Data[TimeCenter],CenterTime_Center[[#This Row],[Seconds]])),"")</f>
        <v>0</v>
      </c>
      <c r="R46" t="str">
        <f>IFERROR(SUM((SUMIFS(Dyno_Data[AcqCenter],Dyno_Data[Team],$J$29, Dyno_Data[Match],R$31,Dyno_Data[TimeCenter],CenterTime_Center[[#This Row],[Seconds]])+R$31/100)*SUMIFS(Dyno_Data[AcqDis],Dyno_Data[Team],$J$29, Dyno_Data[Match],R$31,Dyno_Data[TimeCenter],CenterTime_Center[[#This Row],[Seconds]])),"")</f>
        <v/>
      </c>
      <c r="S46" t="str">
        <f>IFERROR(SUM((SUMIFS(Dyno_Data[AcqCenter],Dyno_Data[Team],$J$29, Dyno_Data[Match],S$31,Dyno_Data[TimeCenter],CenterTime_Center[[#This Row],[Seconds]])+S$31/100)*SUMIFS(Dyno_Data[AcqDis],Dyno_Data[Team],$J$29, Dyno_Data[Match],S$31,Dyno_Data[TimeCenter],CenterTime_Center[[#This Row],[Seconds]])),"")</f>
        <v/>
      </c>
      <c r="T46" t="str">
        <f>IFERROR(SUM((SUMIFS(Dyno_Data[AcqCenter],Dyno_Data[Team],$J$29, Dyno_Data[Match],T$31,Dyno_Data[TimeCenter],CenterTime_Center[[#This Row],[Seconds]])+T$31/100)*SUMIFS(Dyno_Data[AcqDis],Dyno_Data[Team],$J$29, Dyno_Data[Match],T$31,Dyno_Data[TimeCenter],CenterTime_Center[[#This Row],[Seconds]])),"")</f>
        <v/>
      </c>
      <c r="U46" t="str">
        <f>IFERROR(SUM((SUMIFS(Dyno_Data[AcqCenter],Dyno_Data[Team],$J$29, Dyno_Data[Match],U$31,Dyno_Data[TimeCenter],CenterTime_Center[[#This Row],[Seconds]])+U$31/100)*SUMIFS(Dyno_Data[AcqDis],Dyno_Data[Team],$J$29, Dyno_Data[Match],U$31,Dyno_Data[TimeCenter],CenterTime_Center[[#This Row],[Seconds]])),"")</f>
        <v/>
      </c>
      <c r="V46" t="str">
        <f>IFERROR(SUM((SUMIFS(Dyno_Data[AcqCenter],Dyno_Data[Team],$J$29, Dyno_Data[Match],V$31,Dyno_Data[TimeCenter],CenterTime_Center[[#This Row],[Seconds]])+V$31/100)*SUMIFS(Dyno_Data[AcqDis],Dyno_Data[Team],$J$29, Dyno_Data[Match],V$31,Dyno_Data[TimeCenter],CenterTime_Center[[#This Row],[Seconds]])),"")</f>
        <v/>
      </c>
      <c r="W46" t="str">
        <f>IFERROR(SUM((SUMIFS(Dyno_Data[AcqCenter],Dyno_Data[Team],$J$29, Dyno_Data[Match],W$31,Dyno_Data[TimeCenter],CenterTime_Center[[#This Row],[Seconds]])+W$31/100)*SUMIFS(Dyno_Data[AcqDis],Dyno_Data[Team],$J$29, Dyno_Data[Match],W$31,Dyno_Data[TimeCenter],CenterTime_Center[[#This Row],[Seconds]])),"")</f>
        <v/>
      </c>
      <c r="X46" t="str">
        <f>IFERROR(SUM((SUMIFS(Dyno_Data[AcqCenter],Dyno_Data[Team],$J$29, Dyno_Data[Match],X$31,Dyno_Data[TimeCenter],CenterTime_Center[[#This Row],[Seconds]])+X$31/100)*SUMIFS(Dyno_Data[AcqDis],Dyno_Data[Team],$J$29, Dyno_Data[Match],X$31,Dyno_Data[TimeCenter],CenterTime_Center[[#This Row],[Seconds]])),"")</f>
        <v/>
      </c>
      <c r="Y46" t="str">
        <f>IFERROR(SUM((SUMIFS(Dyno_Data[AcqCenter],Dyno_Data[Team],$J$29, Dyno_Data[Match],Y$31,Dyno_Data[TimeCenter],CenterTime_Center[[#This Row],[Seconds]])+Y$31/100)*SUMIFS(Dyno_Data[AcqDis],Dyno_Data[Team],$J$29, Dyno_Data[Match],Y$31,Dyno_Data[TimeCenter],CenterTime_Center[[#This Row],[Seconds]])),"")</f>
        <v/>
      </c>
      <c r="Z46" t="str">
        <f>IFERROR(SUM((SUMIFS(Dyno_Data[AcqCenter],Dyno_Data[Team],$J$29, Dyno_Data[Match],Z$31,Dyno_Data[TimeCenter],CenterTime_Center[[#This Row],[Seconds]])+Z$31/100)*SUMIFS(Dyno_Data[AcqDis],Dyno_Data[Team],$J$29, Dyno_Data[Match],Z$31,Dyno_Data[TimeCenter],CenterTime_Center[[#This Row],[Seconds]])),"")</f>
        <v/>
      </c>
    </row>
    <row r="47" spans="1:26" ht="15" thickBot="1" x14ac:dyDescent="0.35">
      <c r="J47">
        <v>15</v>
      </c>
      <c r="K47">
        <f>IFERROR(SUM((SUMIFS(Dyno_Data[AcqCenter],Dyno_Data[Team],$J$29, Dyno_Data[Match],K$31,Dyno_Data[TimeCenter],CenterTime_Center[[#This Row],[Seconds]])+K$31/100)*SUMIFS(Dyno_Data[AcqDis],Dyno_Data[Team],$J$29, Dyno_Data[Match],K$31,Dyno_Data[TimeCenter],CenterTime_Center[[#This Row],[Seconds]])),"")</f>
        <v>0</v>
      </c>
      <c r="L47">
        <f>IFERROR(SUM((SUMIFS(Dyno_Data[AcqCenter],Dyno_Data[Team],$J$29, Dyno_Data[Match],L$31,Dyno_Data[TimeCenter],CenterTime_Center[[#This Row],[Seconds]])+L$31/100)*SUMIFS(Dyno_Data[AcqDis],Dyno_Data[Team],$J$29, Dyno_Data[Match],L$31,Dyno_Data[TimeCenter],CenterTime_Center[[#This Row],[Seconds]])),"")</f>
        <v>0</v>
      </c>
      <c r="M47">
        <f>IFERROR(SUM((SUMIFS(Dyno_Data[AcqCenter],Dyno_Data[Team],$J$29, Dyno_Data[Match],M$31,Dyno_Data[TimeCenter],CenterTime_Center[[#This Row],[Seconds]])+M$31/100)*SUMIFS(Dyno_Data[AcqDis],Dyno_Data[Team],$J$29, Dyno_Data[Match],M$31,Dyno_Data[TimeCenter],CenterTime_Center[[#This Row],[Seconds]])),"")</f>
        <v>0</v>
      </c>
      <c r="N47">
        <f>IFERROR(SUM((SUMIFS(Dyno_Data[AcqCenter],Dyno_Data[Team],$J$29, Dyno_Data[Match],N$31,Dyno_Data[TimeCenter],CenterTime_Center[[#This Row],[Seconds]])+N$31/100)*SUMIFS(Dyno_Data[AcqDis],Dyno_Data[Team],$J$29, Dyno_Data[Match],N$31,Dyno_Data[TimeCenter],CenterTime_Center[[#This Row],[Seconds]])),"")</f>
        <v>0</v>
      </c>
      <c r="O47">
        <f>IFERROR(SUM((SUMIFS(Dyno_Data[AcqCenter],Dyno_Data[Team],$J$29, Dyno_Data[Match],O$31,Dyno_Data[TimeCenter],CenterTime_Center[[#This Row],[Seconds]])+O$31/100)*SUMIFS(Dyno_Data[AcqDis],Dyno_Data[Team],$J$29, Dyno_Data[Match],O$31,Dyno_Data[TimeCenter],CenterTime_Center[[#This Row],[Seconds]])),"")</f>
        <v>0</v>
      </c>
      <c r="P47">
        <f>IFERROR(SUM((SUMIFS(Dyno_Data[AcqCenter],Dyno_Data[Team],$J$29, Dyno_Data[Match],P$31,Dyno_Data[TimeCenter],CenterTime_Center[[#This Row],[Seconds]])+P$31/100)*SUMIFS(Dyno_Data[AcqDis],Dyno_Data[Team],$J$29, Dyno_Data[Match],P$31,Dyno_Data[TimeCenter],CenterTime_Center[[#This Row],[Seconds]])),"")</f>
        <v>0</v>
      </c>
      <c r="Q47">
        <f>IFERROR(SUM((SUMIFS(Dyno_Data[AcqCenter],Dyno_Data[Team],$J$29, Dyno_Data[Match],Q$31,Dyno_Data[TimeCenter],CenterTime_Center[[#This Row],[Seconds]])+Q$31/100)*SUMIFS(Dyno_Data[AcqDis],Dyno_Data[Team],$J$29, Dyno_Data[Match],Q$31,Dyno_Data[TimeCenter],CenterTime_Center[[#This Row],[Seconds]])),"")</f>
        <v>0</v>
      </c>
      <c r="R47" t="str">
        <f>IFERROR(SUM((SUMIFS(Dyno_Data[AcqCenter],Dyno_Data[Team],$J$29, Dyno_Data[Match],R$31,Dyno_Data[TimeCenter],CenterTime_Center[[#This Row],[Seconds]])+R$31/100)*SUMIFS(Dyno_Data[AcqDis],Dyno_Data[Team],$J$29, Dyno_Data[Match],R$31,Dyno_Data[TimeCenter],CenterTime_Center[[#This Row],[Seconds]])),"")</f>
        <v/>
      </c>
      <c r="S47" t="str">
        <f>IFERROR(SUM((SUMIFS(Dyno_Data[AcqCenter],Dyno_Data[Team],$J$29, Dyno_Data[Match],S$31,Dyno_Data[TimeCenter],CenterTime_Center[[#This Row],[Seconds]])+S$31/100)*SUMIFS(Dyno_Data[AcqDis],Dyno_Data[Team],$J$29, Dyno_Data[Match],S$31,Dyno_Data[TimeCenter],CenterTime_Center[[#This Row],[Seconds]])),"")</f>
        <v/>
      </c>
      <c r="T47" t="str">
        <f>IFERROR(SUM((SUMIFS(Dyno_Data[AcqCenter],Dyno_Data[Team],$J$29, Dyno_Data[Match],T$31,Dyno_Data[TimeCenter],CenterTime_Center[[#This Row],[Seconds]])+T$31/100)*SUMIFS(Dyno_Data[AcqDis],Dyno_Data[Team],$J$29, Dyno_Data[Match],T$31,Dyno_Data[TimeCenter],CenterTime_Center[[#This Row],[Seconds]])),"")</f>
        <v/>
      </c>
      <c r="U47" t="str">
        <f>IFERROR(SUM((SUMIFS(Dyno_Data[AcqCenter],Dyno_Data[Team],$J$29, Dyno_Data[Match],U$31,Dyno_Data[TimeCenter],CenterTime_Center[[#This Row],[Seconds]])+U$31/100)*SUMIFS(Dyno_Data[AcqDis],Dyno_Data[Team],$J$29, Dyno_Data[Match],U$31,Dyno_Data[TimeCenter],CenterTime_Center[[#This Row],[Seconds]])),"")</f>
        <v/>
      </c>
      <c r="V47" t="str">
        <f>IFERROR(SUM((SUMIFS(Dyno_Data[AcqCenter],Dyno_Data[Team],$J$29, Dyno_Data[Match],V$31,Dyno_Data[TimeCenter],CenterTime_Center[[#This Row],[Seconds]])+V$31/100)*SUMIFS(Dyno_Data[AcqDis],Dyno_Data[Team],$J$29, Dyno_Data[Match],V$31,Dyno_Data[TimeCenter],CenterTime_Center[[#This Row],[Seconds]])),"")</f>
        <v/>
      </c>
      <c r="W47" t="str">
        <f>IFERROR(SUM((SUMIFS(Dyno_Data[AcqCenter],Dyno_Data[Team],$J$29, Dyno_Data[Match],W$31,Dyno_Data[TimeCenter],CenterTime_Center[[#This Row],[Seconds]])+W$31/100)*SUMIFS(Dyno_Data[AcqDis],Dyno_Data[Team],$J$29, Dyno_Data[Match],W$31,Dyno_Data[TimeCenter],CenterTime_Center[[#This Row],[Seconds]])),"")</f>
        <v/>
      </c>
      <c r="X47" t="str">
        <f>IFERROR(SUM((SUMIFS(Dyno_Data[AcqCenter],Dyno_Data[Team],$J$29, Dyno_Data[Match],X$31,Dyno_Data[TimeCenter],CenterTime_Center[[#This Row],[Seconds]])+X$31/100)*SUMIFS(Dyno_Data[AcqDis],Dyno_Data[Team],$J$29, Dyno_Data[Match],X$31,Dyno_Data[TimeCenter],CenterTime_Center[[#This Row],[Seconds]])),"")</f>
        <v/>
      </c>
      <c r="Y47" t="str">
        <f>IFERROR(SUM((SUMIFS(Dyno_Data[AcqCenter],Dyno_Data[Team],$J$29, Dyno_Data[Match],Y$31,Dyno_Data[TimeCenter],CenterTime_Center[[#This Row],[Seconds]])+Y$31/100)*SUMIFS(Dyno_Data[AcqDis],Dyno_Data[Team],$J$29, Dyno_Data[Match],Y$31,Dyno_Data[TimeCenter],CenterTime_Center[[#This Row],[Seconds]])),"")</f>
        <v/>
      </c>
      <c r="Z47" t="str">
        <f>IFERROR(SUM((SUMIFS(Dyno_Data[AcqCenter],Dyno_Data[Team],$J$29, Dyno_Data[Match],Z$31,Dyno_Data[TimeCenter],CenterTime_Center[[#This Row],[Seconds]])+Z$31/100)*SUMIFS(Dyno_Data[AcqDis],Dyno_Data[Team],$J$29, Dyno_Data[Match],Z$31,Dyno_Data[TimeCenter],CenterTime_Center[[#This Row],[Seconds]])),"")</f>
        <v/>
      </c>
    </row>
    <row r="48" spans="1:26" ht="15" thickTop="1" x14ac:dyDescent="0.3">
      <c r="J48" s="184" t="s">
        <v>227</v>
      </c>
      <c r="K48" s="185"/>
      <c r="L48" s="185"/>
      <c r="M48" s="185"/>
      <c r="N48" s="185"/>
      <c r="O48" s="185"/>
      <c r="P48" s="185"/>
      <c r="Q48" s="185"/>
      <c r="R48" s="185"/>
      <c r="S48" s="185"/>
      <c r="T48" s="185"/>
      <c r="U48" s="185"/>
      <c r="V48" s="185"/>
      <c r="W48" s="185"/>
      <c r="X48" s="185"/>
      <c r="Y48" s="185"/>
      <c r="Z48" s="186"/>
    </row>
    <row r="49" spans="10:26" x14ac:dyDescent="0.3">
      <c r="J49" s="84" t="str">
        <f>IF(AllianceA="Red",_Red1,_Blue3)</f>
        <v>frc1591</v>
      </c>
      <c r="K49">
        <f>IF(1&lt;=_xlfn.MAXIFS(TBA_Matches_All[teammatch],TBA_Matches_All[Team],$J49),1,"")</f>
        <v>1</v>
      </c>
      <c r="L49">
        <f>IF(2&lt;=_xlfn.MAXIFS(TBA_Matches_All[teammatch],TBA_Matches_All[Team],$J49),2,"")</f>
        <v>2</v>
      </c>
      <c r="M49">
        <f>IF(3&lt;=_xlfn.MAXIFS(TBA_Matches_All[teammatch],TBA_Matches_All[Team],$J49),3,"")</f>
        <v>3</v>
      </c>
      <c r="N49">
        <f>IF(4&lt;=_xlfn.MAXIFS(TBA_Matches_All[teammatch],TBA_Matches_All[Team],$J49),4,"")</f>
        <v>4</v>
      </c>
      <c r="O49">
        <f>IF(5&lt;=_xlfn.MAXIFS(TBA_Matches_All[teammatch],TBA_Matches_All[Team],$J49),5,"")</f>
        <v>5</v>
      </c>
      <c r="P49">
        <f>IF(6&lt;=_xlfn.MAXIFS(TBA_Matches_All[teammatch],TBA_Matches_All[Team],$J49),6,"")</f>
        <v>6</v>
      </c>
      <c r="Q49">
        <f>IF(7&lt;=_xlfn.MAXIFS(TBA_Matches_All[teammatch],TBA_Matches_All[Team],$J49),7,"")</f>
        <v>7</v>
      </c>
      <c r="R49" t="str">
        <f>IF(8&lt;=_xlfn.MAXIFS(TBA_Matches_All[teammatch],TBA_Matches_All[Team],$J49),8,"")</f>
        <v/>
      </c>
      <c r="S49" t="str">
        <f>IF(9&lt;=_xlfn.MAXIFS(TBA_Matches_All[teammatch],TBA_Matches_All[Team],$J49),9,"")</f>
        <v/>
      </c>
      <c r="T49" t="str">
        <f>IF(10&lt;=_xlfn.MAXIFS(TBA_Matches_All[teammatch],TBA_Matches_All[Team],$J49),10,"")</f>
        <v/>
      </c>
      <c r="U49" t="str">
        <f>IF(11&lt;=_xlfn.MAXIFS(TBA_Matches_All[teammatch],TBA_Matches_All[Team],$J49),11,"")</f>
        <v/>
      </c>
      <c r="V49" t="str">
        <f>IF(12&lt;=_xlfn.MAXIFS(TBA_Matches_All[teammatch],TBA_Matches_All[Team],$J49),12,"")</f>
        <v/>
      </c>
      <c r="W49" t="str">
        <f>IF(13&lt;=_xlfn.MAXIFS(TBA_Matches_All[teammatch],TBA_Matches_All[Team],$J49),13,"")</f>
        <v/>
      </c>
      <c r="X49" t="str">
        <f>IF(14&lt;=_xlfn.MAXIFS(TBA_Matches_All[teammatch],TBA_Matches_All[Team],$J49),14,"")</f>
        <v/>
      </c>
      <c r="Y49" t="str">
        <f>IF(15&lt;=_xlfn.MAXIFS(TBA_Matches_All[teammatch],TBA_Matches_All[Team],$J49),15,"")</f>
        <v/>
      </c>
      <c r="Z49" s="85" t="str">
        <f>IF(16&lt;=_xlfn.MAXIFS(TBA_Matches_All[teammatch],TBA_Matches_All[Team],$J49),16,"")</f>
        <v/>
      </c>
    </row>
    <row r="50" spans="10:26" x14ac:dyDescent="0.3">
      <c r="J50" s="84"/>
      <c r="K50" s="114" t="str">
        <f>IFERROR(_xlfn.CONCAT(K51," (",LEFT(_xlfn.XLOOKUP(MID($J$49,4,5)+K$51/100,TBA_Matches_All[teammat],TBA_Matches_All[RobotSet],"",0,1),1),")"),"")</f>
        <v>2 (S)</v>
      </c>
      <c r="L50" s="114" t="str">
        <f>IFERROR(_xlfn.CONCAT(L51," (",LEFT(_xlfn.XLOOKUP(MID($J$49,4,5)+L$51/100,TBA_Matches_All[teammat],TBA_Matches_All[RobotSet],"",0,1),1),")"),"")</f>
        <v>15 (S)</v>
      </c>
      <c r="M50" s="114" t="str">
        <f>IFERROR(_xlfn.CONCAT(M51," (",LEFT(_xlfn.XLOOKUP(MID($J$49,4,5)+M$51/100,TBA_Matches_All[teammat],TBA_Matches_All[RobotSet],"",0,1),1),")"),"")</f>
        <v>21 (S)</v>
      </c>
      <c r="N50" s="114" t="str">
        <f>IFERROR(_xlfn.CONCAT(N51," (",LEFT(_xlfn.XLOOKUP(MID($J$49,4,5)+N$51/100,TBA_Matches_All[teammat],TBA_Matches_All[RobotSet],"",0,1),1),")"),"")</f>
        <v>31 (P)</v>
      </c>
      <c r="O50" s="114" t="str">
        <f>IFERROR(_xlfn.CONCAT(O51," (",LEFT(_xlfn.XLOOKUP(MID($J$49,4,5)+O$51/100,TBA_Matches_All[teammat],TBA_Matches_All[RobotSet],"",0,1),1),")"),"")</f>
        <v>37 (S)</v>
      </c>
      <c r="P50" s="114" t="str">
        <f>IFERROR(_xlfn.CONCAT(P51," (",LEFT(_xlfn.XLOOKUP(MID($J$49,4,5)+P$51/100,TBA_Matches_All[teammat],TBA_Matches_All[RobotSet],"",0,1),1),")"),"")</f>
        <v>44 (S)</v>
      </c>
      <c r="Q50" s="114" t="str">
        <f>IFERROR(_xlfn.CONCAT(Q51," (",LEFT(_xlfn.XLOOKUP(MID($J$49,4,5)+Q$51/100,TBA_Matches_All[teammat],TBA_Matches_All[RobotSet],"",0,1),1),")"),"")</f>
        <v>56 (S)</v>
      </c>
      <c r="R50" s="114" t="str">
        <f>IFERROR(_xlfn.CONCAT(R51," (",LEFT(_xlfn.XLOOKUP(MID($J$49,4,5)+R$51/100,TBA_Matches_All[teammat],TBA_Matches_All[RobotSet],"",0,1),1),")"),"")</f>
        <v/>
      </c>
      <c r="S50" s="114" t="str">
        <f>IFERROR(_xlfn.CONCAT(S51," (",LEFT(_xlfn.XLOOKUP(MID($J$49,4,5)+S$51/100,TBA_Matches_All[teammat],TBA_Matches_All[RobotSet],"",0,1),1),")"),"")</f>
        <v/>
      </c>
      <c r="T50" s="114" t="str">
        <f>IFERROR(_xlfn.CONCAT(T51," (",LEFT(_xlfn.XLOOKUP(MID($J$49,4,5)+T$51/100,TBA_Matches_All[teammat],TBA_Matches_All[RobotSet],"",0,1),1),")"),"")</f>
        <v/>
      </c>
      <c r="U50" s="114" t="str">
        <f>IFERROR(_xlfn.CONCAT(U51," (",LEFT(_xlfn.XLOOKUP(MID($J$49,4,5)+U$51/100,TBA_Matches_All[teammat],TBA_Matches_All[RobotSet],"",0,1),1),")"),"")</f>
        <v/>
      </c>
      <c r="V50" s="114" t="str">
        <f>IFERROR(_xlfn.CONCAT(V51," (",LEFT(_xlfn.XLOOKUP(MID($J$49,4,5)+V$51/100,TBA_Matches_All[teammat],TBA_Matches_All[RobotSet],"",0,1),1),")"),"")</f>
        <v/>
      </c>
      <c r="W50" s="114" t="str">
        <f>IFERROR(_xlfn.CONCAT(W51," (",LEFT(_xlfn.XLOOKUP(MID($J$49,4,5)+W$51/100,TBA_Matches_All[teammat],TBA_Matches_All[RobotSet],"",0,1),1),")"),"")</f>
        <v/>
      </c>
      <c r="X50" s="114" t="str">
        <f>IFERROR(_xlfn.CONCAT(X51," (",LEFT(_xlfn.XLOOKUP(MID($J$49,4,5)+X$51/100,TBA_Matches_All[teammat],TBA_Matches_All[RobotSet],"",0,1),1),")"),"")</f>
        <v/>
      </c>
      <c r="Y50" s="114" t="str">
        <f>IFERROR(_xlfn.CONCAT(Y51," (",LEFT(_xlfn.XLOOKUP(MID($J$49,4,5)+Y$51/100,TBA_Matches_All[teammat],TBA_Matches_All[RobotSet],"",0,1),1),")"),"")</f>
        <v/>
      </c>
      <c r="Z50" s="115" t="str">
        <f>IFERROR(_xlfn.CONCAT(Z51," (",LEFT(_xlfn.XLOOKUP(MID($J$49,4,5)+Z$51/100,TBA_Matches_All[teammat],TBA_Matches_All[RobotSet],"",0,1),1),")"),"")</f>
        <v/>
      </c>
    </row>
    <row r="51" spans="10:26" x14ac:dyDescent="0.3">
      <c r="J51" s="84"/>
      <c r="K51">
        <f>IF(K49&lt;=_xlfn.MAXIFS(TBA_Matches_All[teammatch],TBA_Matches_All[Team],$J49),SUMIFS(TBA_Matches_All[Match_Number],TBA_Matches_All[Team],$J49,TBA_Matches_All[teammatch],K49),"")</f>
        <v>2</v>
      </c>
      <c r="L51">
        <f>IF(L49&lt;=_xlfn.MAXIFS(TBA_Matches_All[teammatch],TBA_Matches_All[Team],$J49),SUMIFS(TBA_Matches_All[Match_Number],TBA_Matches_All[Team],$J49,TBA_Matches_All[teammatch],L49),"")</f>
        <v>15</v>
      </c>
      <c r="M51">
        <f>IF(M49&lt;=_xlfn.MAXIFS(TBA_Matches_All[teammatch],TBA_Matches_All[Team],$J49),SUMIFS(TBA_Matches_All[Match_Number],TBA_Matches_All[Team],$J49,TBA_Matches_All[teammatch],M49),"")</f>
        <v>21</v>
      </c>
      <c r="N51">
        <f>IF(N49&lt;=_xlfn.MAXIFS(TBA_Matches_All[teammatch],TBA_Matches_All[Team],$J49),SUMIFS(TBA_Matches_All[Match_Number],TBA_Matches_All[Team],$J49,TBA_Matches_All[teammatch],N49),"")</f>
        <v>31</v>
      </c>
      <c r="O51">
        <f>IF(O49&lt;=_xlfn.MAXIFS(TBA_Matches_All[teammatch],TBA_Matches_All[Team],$J49),SUMIFS(TBA_Matches_All[Match_Number],TBA_Matches_All[Team],$J49,TBA_Matches_All[teammatch],O49),"")</f>
        <v>37</v>
      </c>
      <c r="P51">
        <f>IF(P49&lt;=_xlfn.MAXIFS(TBA_Matches_All[teammatch],TBA_Matches_All[Team],$J49),SUMIFS(TBA_Matches_All[Match_Number],TBA_Matches_All[Team],$J49,TBA_Matches_All[teammatch],P49),"")</f>
        <v>44</v>
      </c>
      <c r="Q51">
        <f>IF(Q49&lt;=_xlfn.MAXIFS(TBA_Matches_All[teammatch],TBA_Matches_All[Team],$J49),SUMIFS(TBA_Matches_All[Match_Number],TBA_Matches_All[Team],$J49,TBA_Matches_All[teammatch],Q49),"")</f>
        <v>56</v>
      </c>
      <c r="R51" t="str">
        <f>IF(R49&lt;=_xlfn.MAXIFS(TBA_Matches_All[teammatch],TBA_Matches_All[Team],$J49),SUMIFS(TBA_Matches_All[Match_Number],TBA_Matches_All[Team],$J49,TBA_Matches_All[teammatch],R49),"")</f>
        <v/>
      </c>
      <c r="S51" t="str">
        <f>IF(S49&lt;=_xlfn.MAXIFS(TBA_Matches_All[teammatch],TBA_Matches_All[Team],$J49),SUMIFS(TBA_Matches_All[Match_Number],TBA_Matches_All[Team],$J49,TBA_Matches_All[teammatch],S49),"")</f>
        <v/>
      </c>
      <c r="T51" t="str">
        <f>IF(T49&lt;=_xlfn.MAXIFS(TBA_Matches_All[teammatch],TBA_Matches_All[Team],$J49),SUMIFS(TBA_Matches_All[Match_Number],TBA_Matches_All[Team],$J49,TBA_Matches_All[teammatch],T49),"")</f>
        <v/>
      </c>
      <c r="U51" t="str">
        <f>IF(U49&lt;=_xlfn.MAXIFS(TBA_Matches_All[teammatch],TBA_Matches_All[Team],$J49),SUMIFS(TBA_Matches_All[Match_Number],TBA_Matches_All[Team],$J49,TBA_Matches_All[teammatch],U49),"")</f>
        <v/>
      </c>
      <c r="V51" t="str">
        <f>IF(V49&lt;=_xlfn.MAXIFS(TBA_Matches_All[teammatch],TBA_Matches_All[Team],$J49),SUMIFS(TBA_Matches_All[Match_Number],TBA_Matches_All[Team],$J49,TBA_Matches_All[teammatch],V49),"")</f>
        <v/>
      </c>
      <c r="W51" t="str">
        <f>IF(W49&lt;=_xlfn.MAXIFS(TBA_Matches_All[teammatch],TBA_Matches_All[Team],$J49),SUMIFS(TBA_Matches_All[Match_Number],TBA_Matches_All[Team],$J49,TBA_Matches_All[teammatch],W49),"")</f>
        <v/>
      </c>
      <c r="X51" t="str">
        <f>IF(X49&lt;=_xlfn.MAXIFS(TBA_Matches_All[teammatch],TBA_Matches_All[Team],$J49),SUMIFS(TBA_Matches_All[Match_Number],TBA_Matches_All[Team],$J49,TBA_Matches_All[teammatch],X49),"")</f>
        <v/>
      </c>
      <c r="Y51" t="str">
        <f>IF(Y49&lt;=_xlfn.MAXIFS(TBA_Matches_All[teammatch],TBA_Matches_All[Team],$J49),SUMIFS(TBA_Matches_All[Match_Number],TBA_Matches_All[Team],$J49,TBA_Matches_All[teammatch],Y49),"")</f>
        <v/>
      </c>
      <c r="Z51" s="85" t="str">
        <f>IF(Z49&lt;=_xlfn.MAXIFS(TBA_Matches_All[teammatch],TBA_Matches_All[Team],$J49),SUMIFS(TBA_Matches_All[Match_Number],TBA_Matches_All[Team],$J49,TBA_Matches_All[teammatch],Z49),"")</f>
        <v/>
      </c>
    </row>
    <row r="52" spans="10:26" x14ac:dyDescent="0.3">
      <c r="J52" t="s">
        <v>201</v>
      </c>
      <c r="K52" t="s">
        <v>202</v>
      </c>
      <c r="L52" t="s">
        <v>203</v>
      </c>
      <c r="M52" t="s">
        <v>204</v>
      </c>
      <c r="N52" t="s">
        <v>205</v>
      </c>
      <c r="O52" t="s">
        <v>206</v>
      </c>
      <c r="P52" t="s">
        <v>207</v>
      </c>
      <c r="Q52" t="s">
        <v>208</v>
      </c>
      <c r="R52" t="s">
        <v>209</v>
      </c>
      <c r="S52" t="s">
        <v>210</v>
      </c>
      <c r="T52" t="s">
        <v>211</v>
      </c>
      <c r="U52" t="s">
        <v>212</v>
      </c>
      <c r="V52" t="s">
        <v>213</v>
      </c>
      <c r="W52" t="s">
        <v>214</v>
      </c>
      <c r="X52" t="s">
        <v>215</v>
      </c>
      <c r="Y52" t="s">
        <v>216</v>
      </c>
      <c r="Z52" t="s">
        <v>217</v>
      </c>
    </row>
    <row r="53" spans="10:26" x14ac:dyDescent="0.3">
      <c r="J53">
        <v>1</v>
      </c>
      <c r="K53">
        <f>IFERROR(SUM((SUMIFS(Dyno_Data[AcqCenter],Dyno_Data[Team],$J$49, Dyno_Data[Match],K$51,Dyno_Data[TimeCenter],CenterTime_Source[[#This Row],[Seconds]])+K$51/100)*SUMIFS(Dyno_Data[AcqDis],Dyno_Data[Team],$J$49, Dyno_Data[Match],K$51,Dyno_Data[TimeCenter],CenterTime_Source[[#This Row],[Seconds]])),"")</f>
        <v>0</v>
      </c>
      <c r="L53">
        <f>IFERROR(SUM((SUMIFS(Dyno_Data[AcqCenter],Dyno_Data[Team],$J$49, Dyno_Data[Match],L$51,Dyno_Data[TimeCenter],CenterTime_Source[[#This Row],[Seconds]])+L$51/100)*SUMIFS(Dyno_Data[AcqDis],Dyno_Data[Team],$J$49, Dyno_Data[Match],L$51,Dyno_Data[TimeCenter],CenterTime_Source[[#This Row],[Seconds]])),"")</f>
        <v>0</v>
      </c>
      <c r="M53">
        <f>IFERROR(SUM((SUMIFS(Dyno_Data[AcqCenter],Dyno_Data[Team],$J$49, Dyno_Data[Match],M$51,Dyno_Data[TimeCenter],CenterTime_Source[[#This Row],[Seconds]])+M$51/100)*SUMIFS(Dyno_Data[AcqDis],Dyno_Data[Team],$J$49, Dyno_Data[Match],M$51,Dyno_Data[TimeCenter],CenterTime_Source[[#This Row],[Seconds]])),"")</f>
        <v>0</v>
      </c>
      <c r="N53">
        <f>IFERROR(SUM((SUMIFS(Dyno_Data[AcqCenter],Dyno_Data[Team],$J$49, Dyno_Data[Match],N$51,Dyno_Data[TimeCenter],CenterTime_Source[[#This Row],[Seconds]])+N$51/100)*SUMIFS(Dyno_Data[AcqDis],Dyno_Data[Team],$J$49, Dyno_Data[Match],N$51,Dyno_Data[TimeCenter],CenterTime_Source[[#This Row],[Seconds]])),"")</f>
        <v>0</v>
      </c>
      <c r="O53">
        <f>IFERROR(SUM((SUMIFS(Dyno_Data[AcqCenter],Dyno_Data[Team],$J$49, Dyno_Data[Match],O$51,Dyno_Data[TimeCenter],CenterTime_Source[[#This Row],[Seconds]])+O$51/100)*SUMIFS(Dyno_Data[AcqDis],Dyno_Data[Team],$J$49, Dyno_Data[Match],O$51,Dyno_Data[TimeCenter],CenterTime_Source[[#This Row],[Seconds]])),"")</f>
        <v>0</v>
      </c>
      <c r="P53">
        <f>IFERROR(SUM((SUMIFS(Dyno_Data[AcqCenter],Dyno_Data[Team],$J$49, Dyno_Data[Match],P$51,Dyno_Data[TimeCenter],CenterTime_Source[[#This Row],[Seconds]])+P$51/100)*SUMIFS(Dyno_Data[AcqDis],Dyno_Data[Team],$J$49, Dyno_Data[Match],P$51,Dyno_Data[TimeCenter],CenterTime_Source[[#This Row],[Seconds]])),"")</f>
        <v>0</v>
      </c>
      <c r="Q53">
        <f>IFERROR(SUM((SUMIFS(Dyno_Data[AcqCenter],Dyno_Data[Team],$J$49, Dyno_Data[Match],Q$51,Dyno_Data[TimeCenter],CenterTime_Source[[#This Row],[Seconds]])+Q$51/100)*SUMIFS(Dyno_Data[AcqDis],Dyno_Data[Team],$J$49, Dyno_Data[Match],Q$51,Dyno_Data[TimeCenter],CenterTime_Source[[#This Row],[Seconds]])),"")</f>
        <v>0</v>
      </c>
      <c r="R53" t="str">
        <f>IFERROR(SUM((SUMIFS(Dyno_Data[AcqCenter],Dyno_Data[Team],$J$49, Dyno_Data[Match],R$51,Dyno_Data[TimeCenter],CenterTime_Source[[#This Row],[Seconds]])+R$51/100)*SUMIFS(Dyno_Data[AcqDis],Dyno_Data[Team],$J$49, Dyno_Data[Match],R$51,Dyno_Data[TimeCenter],CenterTime_Source[[#This Row],[Seconds]])),"")</f>
        <v/>
      </c>
      <c r="S53" t="str">
        <f>IFERROR(SUM((SUMIFS(Dyno_Data[AcqCenter],Dyno_Data[Team],$J$49, Dyno_Data[Match],S$51,Dyno_Data[TimeCenter],CenterTime_Source[[#This Row],[Seconds]])+S$51/100)*SUMIFS(Dyno_Data[AcqDis],Dyno_Data[Team],$J$49, Dyno_Data[Match],S$51,Dyno_Data[TimeCenter],CenterTime_Source[[#This Row],[Seconds]])),"")</f>
        <v/>
      </c>
      <c r="T53" t="str">
        <f>IFERROR(SUM((SUMIFS(Dyno_Data[AcqCenter],Dyno_Data[Team],$J$49, Dyno_Data[Match],T$51,Dyno_Data[TimeCenter],CenterTime_Source[[#This Row],[Seconds]])+T$51/100)*SUMIFS(Dyno_Data[AcqDis],Dyno_Data[Team],$J$49, Dyno_Data[Match],T$51,Dyno_Data[TimeCenter],CenterTime_Source[[#This Row],[Seconds]])),"")</f>
        <v/>
      </c>
      <c r="U53" t="str">
        <f>IFERROR(SUM((SUMIFS(Dyno_Data[AcqCenter],Dyno_Data[Team],$J$49, Dyno_Data[Match],U$51,Dyno_Data[TimeCenter],CenterTime_Source[[#This Row],[Seconds]])+U$51/100)*SUMIFS(Dyno_Data[AcqDis],Dyno_Data[Team],$J$49, Dyno_Data[Match],U$51,Dyno_Data[TimeCenter],CenterTime_Source[[#This Row],[Seconds]])),"")</f>
        <v/>
      </c>
      <c r="V53" t="str">
        <f>IFERROR(SUM((SUMIFS(Dyno_Data[AcqCenter],Dyno_Data[Team],$J$49, Dyno_Data[Match],V$51,Dyno_Data[TimeCenter],CenterTime_Source[[#This Row],[Seconds]])+V$51/100)*SUMIFS(Dyno_Data[AcqDis],Dyno_Data[Team],$J$49, Dyno_Data[Match],V$51,Dyno_Data[TimeCenter],CenterTime_Source[[#This Row],[Seconds]])),"")</f>
        <v/>
      </c>
      <c r="W53" t="str">
        <f>IFERROR(SUM((SUMIFS(Dyno_Data[AcqCenter],Dyno_Data[Team],$J$49, Dyno_Data[Match],W$51,Dyno_Data[TimeCenter],CenterTime_Source[[#This Row],[Seconds]])+W$51/100)*SUMIFS(Dyno_Data[AcqDis],Dyno_Data[Team],$J$49, Dyno_Data[Match],W$51,Dyno_Data[TimeCenter],CenterTime_Source[[#This Row],[Seconds]])),"")</f>
        <v/>
      </c>
      <c r="X53" t="str">
        <f>IFERROR(SUM((SUMIFS(Dyno_Data[AcqCenter],Dyno_Data[Team],$J$49, Dyno_Data[Match],X$51,Dyno_Data[TimeCenter],CenterTime_Source[[#This Row],[Seconds]])+X$51/100)*SUMIFS(Dyno_Data[AcqDis],Dyno_Data[Team],$J$49, Dyno_Data[Match],X$51,Dyno_Data[TimeCenter],CenterTime_Source[[#This Row],[Seconds]])),"")</f>
        <v/>
      </c>
      <c r="Y53" t="str">
        <f>IFERROR(SUM((SUMIFS(Dyno_Data[AcqCenter],Dyno_Data[Team],$J$49, Dyno_Data[Match],Y$51,Dyno_Data[TimeCenter],CenterTime_Source[[#This Row],[Seconds]])+Y$51/100)*SUMIFS(Dyno_Data[AcqDis],Dyno_Data[Team],$J$49, Dyno_Data[Match],Y$51,Dyno_Data[TimeCenter],CenterTime_Source[[#This Row],[Seconds]])),"")</f>
        <v/>
      </c>
      <c r="Z53" t="str">
        <f>IFERROR(SUM((SUMIFS(Dyno_Data[AcqCenter],Dyno_Data[Team],$J$49, Dyno_Data[Match],Z$51,Dyno_Data[TimeCenter],CenterTime_Source[[#This Row],[Seconds]])+Z$51/100)*SUMIFS(Dyno_Data[AcqDis],Dyno_Data[Team],$J$49, Dyno_Data[Match],Z$51,Dyno_Data[TimeCenter],CenterTime_Source[[#This Row],[Seconds]])),"")</f>
        <v/>
      </c>
    </row>
    <row r="54" spans="10:26" x14ac:dyDescent="0.3">
      <c r="J54">
        <v>2</v>
      </c>
      <c r="K54">
        <f>IFERROR(SUM((SUMIFS(Dyno_Data[AcqCenter],Dyno_Data[Team],$J$49, Dyno_Data[Match],K$51,Dyno_Data[TimeCenter],CenterTime_Source[[#This Row],[Seconds]])+K$51/100)*SUMIFS(Dyno_Data[AcqDis],Dyno_Data[Team],$J$49, Dyno_Data[Match],K$51,Dyno_Data[TimeCenter],CenterTime_Source[[#This Row],[Seconds]])),"")</f>
        <v>0</v>
      </c>
      <c r="L54">
        <f>IFERROR(SUM((SUMIFS(Dyno_Data[AcqCenter],Dyno_Data[Team],$J$49, Dyno_Data[Match],L$51,Dyno_Data[TimeCenter],CenterTime_Source[[#This Row],[Seconds]])+L$51/100)*SUMIFS(Dyno_Data[AcqDis],Dyno_Data[Team],$J$49, Dyno_Data[Match],L$51,Dyno_Data[TimeCenter],CenterTime_Source[[#This Row],[Seconds]])),"")</f>
        <v>0</v>
      </c>
      <c r="M54">
        <f>IFERROR(SUM((SUMIFS(Dyno_Data[AcqCenter],Dyno_Data[Team],$J$49, Dyno_Data[Match],M$51,Dyno_Data[TimeCenter],CenterTime_Source[[#This Row],[Seconds]])+M$51/100)*SUMIFS(Dyno_Data[AcqDis],Dyno_Data[Team],$J$49, Dyno_Data[Match],M$51,Dyno_Data[TimeCenter],CenterTime_Source[[#This Row],[Seconds]])),"")</f>
        <v>0</v>
      </c>
      <c r="N54">
        <f>IFERROR(SUM((SUMIFS(Dyno_Data[AcqCenter],Dyno_Data[Team],$J$49, Dyno_Data[Match],N$51,Dyno_Data[TimeCenter],CenterTime_Source[[#This Row],[Seconds]])+N$51/100)*SUMIFS(Dyno_Data[AcqDis],Dyno_Data[Team],$J$49, Dyno_Data[Match],N$51,Dyno_Data[TimeCenter],CenterTime_Source[[#This Row],[Seconds]])),"")</f>
        <v>0</v>
      </c>
      <c r="O54">
        <f>IFERROR(SUM((SUMIFS(Dyno_Data[AcqCenter],Dyno_Data[Team],$J$49, Dyno_Data[Match],O$51,Dyno_Data[TimeCenter],CenterTime_Source[[#This Row],[Seconds]])+O$51/100)*SUMIFS(Dyno_Data[AcqDis],Dyno_Data[Team],$J$49, Dyno_Data[Match],O$51,Dyno_Data[TimeCenter],CenterTime_Source[[#This Row],[Seconds]])),"")</f>
        <v>0</v>
      </c>
      <c r="P54">
        <f>IFERROR(SUM((SUMIFS(Dyno_Data[AcqCenter],Dyno_Data[Team],$J$49, Dyno_Data[Match],P$51,Dyno_Data[TimeCenter],CenterTime_Source[[#This Row],[Seconds]])+P$51/100)*SUMIFS(Dyno_Data[AcqDis],Dyno_Data[Team],$J$49, Dyno_Data[Match],P$51,Dyno_Data[TimeCenter],CenterTime_Source[[#This Row],[Seconds]])),"")</f>
        <v>0</v>
      </c>
      <c r="Q54">
        <f>IFERROR(SUM((SUMIFS(Dyno_Data[AcqCenter],Dyno_Data[Team],$J$49, Dyno_Data[Match],Q$51,Dyno_Data[TimeCenter],CenterTime_Source[[#This Row],[Seconds]])+Q$51/100)*SUMIFS(Dyno_Data[AcqDis],Dyno_Data[Team],$J$49, Dyno_Data[Match],Q$51,Dyno_Data[TimeCenter],CenterTime_Source[[#This Row],[Seconds]])),"")</f>
        <v>0</v>
      </c>
      <c r="R54" t="str">
        <f>IFERROR(SUM((SUMIFS(Dyno_Data[AcqCenter],Dyno_Data[Team],$J$49, Dyno_Data[Match],R$51,Dyno_Data[TimeCenter],CenterTime_Source[[#This Row],[Seconds]])+R$51/100)*SUMIFS(Dyno_Data[AcqDis],Dyno_Data[Team],$J$49, Dyno_Data[Match],R$51,Dyno_Data[TimeCenter],CenterTime_Source[[#This Row],[Seconds]])),"")</f>
        <v/>
      </c>
      <c r="S54" t="str">
        <f>IFERROR(SUM((SUMIFS(Dyno_Data[AcqCenter],Dyno_Data[Team],$J$49, Dyno_Data[Match],S$51,Dyno_Data[TimeCenter],CenterTime_Source[[#This Row],[Seconds]])+S$51/100)*SUMIFS(Dyno_Data[AcqDis],Dyno_Data[Team],$J$49, Dyno_Data[Match],S$51,Dyno_Data[TimeCenter],CenterTime_Source[[#This Row],[Seconds]])),"")</f>
        <v/>
      </c>
      <c r="T54" t="str">
        <f>IFERROR(SUM((SUMIFS(Dyno_Data[AcqCenter],Dyno_Data[Team],$J$49, Dyno_Data[Match],T$51,Dyno_Data[TimeCenter],CenterTime_Source[[#This Row],[Seconds]])+T$51/100)*SUMIFS(Dyno_Data[AcqDis],Dyno_Data[Team],$J$49, Dyno_Data[Match],T$51,Dyno_Data[TimeCenter],CenterTime_Source[[#This Row],[Seconds]])),"")</f>
        <v/>
      </c>
      <c r="U54" t="str">
        <f>IFERROR(SUM((SUMIFS(Dyno_Data[AcqCenter],Dyno_Data[Team],$J$49, Dyno_Data[Match],U$51,Dyno_Data[TimeCenter],CenterTime_Source[[#This Row],[Seconds]])+U$51/100)*SUMIFS(Dyno_Data[AcqDis],Dyno_Data[Team],$J$49, Dyno_Data[Match],U$51,Dyno_Data[TimeCenter],CenterTime_Source[[#This Row],[Seconds]])),"")</f>
        <v/>
      </c>
      <c r="V54" t="str">
        <f>IFERROR(SUM((SUMIFS(Dyno_Data[AcqCenter],Dyno_Data[Team],$J$49, Dyno_Data[Match],V$51,Dyno_Data[TimeCenter],CenterTime_Source[[#This Row],[Seconds]])+V$51/100)*SUMIFS(Dyno_Data[AcqDis],Dyno_Data[Team],$J$49, Dyno_Data[Match],V$51,Dyno_Data[TimeCenter],CenterTime_Source[[#This Row],[Seconds]])),"")</f>
        <v/>
      </c>
      <c r="W54" t="str">
        <f>IFERROR(SUM((SUMIFS(Dyno_Data[AcqCenter],Dyno_Data[Team],$J$49, Dyno_Data[Match],W$51,Dyno_Data[TimeCenter],CenterTime_Source[[#This Row],[Seconds]])+W$51/100)*SUMIFS(Dyno_Data[AcqDis],Dyno_Data[Team],$J$49, Dyno_Data[Match],W$51,Dyno_Data[TimeCenter],CenterTime_Source[[#This Row],[Seconds]])),"")</f>
        <v/>
      </c>
      <c r="X54" t="str">
        <f>IFERROR(SUM((SUMIFS(Dyno_Data[AcqCenter],Dyno_Data[Team],$J$49, Dyno_Data[Match],X$51,Dyno_Data[TimeCenter],CenterTime_Source[[#This Row],[Seconds]])+X$51/100)*SUMIFS(Dyno_Data[AcqDis],Dyno_Data[Team],$J$49, Dyno_Data[Match],X$51,Dyno_Data[TimeCenter],CenterTime_Source[[#This Row],[Seconds]])),"")</f>
        <v/>
      </c>
      <c r="Y54" t="str">
        <f>IFERROR(SUM((SUMIFS(Dyno_Data[AcqCenter],Dyno_Data[Team],$J$49, Dyno_Data[Match],Y$51,Dyno_Data[TimeCenter],CenterTime_Source[[#This Row],[Seconds]])+Y$51/100)*SUMIFS(Dyno_Data[AcqDis],Dyno_Data[Team],$J$49, Dyno_Data[Match],Y$51,Dyno_Data[TimeCenter],CenterTime_Source[[#This Row],[Seconds]])),"")</f>
        <v/>
      </c>
      <c r="Z54" t="str">
        <f>IFERROR(SUM((SUMIFS(Dyno_Data[AcqCenter],Dyno_Data[Team],$J$49, Dyno_Data[Match],Z$51,Dyno_Data[TimeCenter],CenterTime_Source[[#This Row],[Seconds]])+Z$51/100)*SUMIFS(Dyno_Data[AcqDis],Dyno_Data[Team],$J$49, Dyno_Data[Match],Z$51,Dyno_Data[TimeCenter],CenterTime_Source[[#This Row],[Seconds]])),"")</f>
        <v/>
      </c>
    </row>
    <row r="55" spans="10:26" x14ac:dyDescent="0.3">
      <c r="J55">
        <v>3</v>
      </c>
      <c r="K55">
        <f>IFERROR(SUM((SUMIFS(Dyno_Data[AcqCenter],Dyno_Data[Team],$J$49, Dyno_Data[Match],K$51,Dyno_Data[TimeCenter],CenterTime_Source[[#This Row],[Seconds]])+K$51/100)*SUMIFS(Dyno_Data[AcqDis],Dyno_Data[Team],$J$49, Dyno_Data[Match],K$51,Dyno_Data[TimeCenter],CenterTime_Source[[#This Row],[Seconds]])),"")</f>
        <v>0</v>
      </c>
      <c r="L55">
        <f>IFERROR(SUM((SUMIFS(Dyno_Data[AcqCenter],Dyno_Data[Team],$J$49, Dyno_Data[Match],L$51,Dyno_Data[TimeCenter],CenterTime_Source[[#This Row],[Seconds]])+L$51/100)*SUMIFS(Dyno_Data[AcqDis],Dyno_Data[Team],$J$49, Dyno_Data[Match],L$51,Dyno_Data[TimeCenter],CenterTime_Source[[#This Row],[Seconds]])),"")</f>
        <v>0</v>
      </c>
      <c r="M55">
        <f>IFERROR(SUM((SUMIFS(Dyno_Data[AcqCenter],Dyno_Data[Team],$J$49, Dyno_Data[Match],M$51,Dyno_Data[TimeCenter],CenterTime_Source[[#This Row],[Seconds]])+M$51/100)*SUMIFS(Dyno_Data[AcqDis],Dyno_Data[Team],$J$49, Dyno_Data[Match],M$51,Dyno_Data[TimeCenter],CenterTime_Source[[#This Row],[Seconds]])),"")</f>
        <v>0</v>
      </c>
      <c r="N55">
        <f>IFERROR(SUM((SUMIFS(Dyno_Data[AcqCenter],Dyno_Data[Team],$J$49, Dyno_Data[Match],N$51,Dyno_Data[TimeCenter],CenterTime_Source[[#This Row],[Seconds]])+N$51/100)*SUMIFS(Dyno_Data[AcqDis],Dyno_Data[Team],$J$49, Dyno_Data[Match],N$51,Dyno_Data[TimeCenter],CenterTime_Source[[#This Row],[Seconds]])),"")</f>
        <v>3.31</v>
      </c>
      <c r="O55">
        <f>IFERROR(SUM((SUMIFS(Dyno_Data[AcqCenter],Dyno_Data[Team],$J$49, Dyno_Data[Match],O$51,Dyno_Data[TimeCenter],CenterTime_Source[[#This Row],[Seconds]])+O$51/100)*SUMIFS(Dyno_Data[AcqDis],Dyno_Data[Team],$J$49, Dyno_Data[Match],O$51,Dyno_Data[TimeCenter],CenterTime_Source[[#This Row],[Seconds]])),"")</f>
        <v>0</v>
      </c>
      <c r="P55">
        <f>IFERROR(SUM((SUMIFS(Dyno_Data[AcqCenter],Dyno_Data[Team],$J$49, Dyno_Data[Match],P$51,Dyno_Data[TimeCenter],CenterTime_Source[[#This Row],[Seconds]])+P$51/100)*SUMIFS(Dyno_Data[AcqDis],Dyno_Data[Team],$J$49, Dyno_Data[Match],P$51,Dyno_Data[TimeCenter],CenterTime_Source[[#This Row],[Seconds]])),"")</f>
        <v>0</v>
      </c>
      <c r="Q55">
        <f>IFERROR(SUM((SUMIFS(Dyno_Data[AcqCenter],Dyno_Data[Team],$J$49, Dyno_Data[Match],Q$51,Dyno_Data[TimeCenter],CenterTime_Source[[#This Row],[Seconds]])+Q$51/100)*SUMIFS(Dyno_Data[AcqDis],Dyno_Data[Team],$J$49, Dyno_Data[Match],Q$51,Dyno_Data[TimeCenter],CenterTime_Source[[#This Row],[Seconds]])),"")</f>
        <v>0</v>
      </c>
      <c r="R55" t="str">
        <f>IFERROR(SUM((SUMIFS(Dyno_Data[AcqCenter],Dyno_Data[Team],$J$49, Dyno_Data[Match],R$51,Dyno_Data[TimeCenter],CenterTime_Source[[#This Row],[Seconds]])+R$51/100)*SUMIFS(Dyno_Data[AcqDis],Dyno_Data[Team],$J$49, Dyno_Data[Match],R$51,Dyno_Data[TimeCenter],CenterTime_Source[[#This Row],[Seconds]])),"")</f>
        <v/>
      </c>
      <c r="S55" t="str">
        <f>IFERROR(SUM((SUMIFS(Dyno_Data[AcqCenter],Dyno_Data[Team],$J$49, Dyno_Data[Match],S$51,Dyno_Data[TimeCenter],CenterTime_Source[[#This Row],[Seconds]])+S$51/100)*SUMIFS(Dyno_Data[AcqDis],Dyno_Data[Team],$J$49, Dyno_Data[Match],S$51,Dyno_Data[TimeCenter],CenterTime_Source[[#This Row],[Seconds]])),"")</f>
        <v/>
      </c>
      <c r="T55" t="str">
        <f>IFERROR(SUM((SUMIFS(Dyno_Data[AcqCenter],Dyno_Data[Team],$J$49, Dyno_Data[Match],T$51,Dyno_Data[TimeCenter],CenterTime_Source[[#This Row],[Seconds]])+T$51/100)*SUMIFS(Dyno_Data[AcqDis],Dyno_Data[Team],$J$49, Dyno_Data[Match],T$51,Dyno_Data[TimeCenter],CenterTime_Source[[#This Row],[Seconds]])),"")</f>
        <v/>
      </c>
      <c r="U55" t="str">
        <f>IFERROR(SUM((SUMIFS(Dyno_Data[AcqCenter],Dyno_Data[Team],$J$49, Dyno_Data[Match],U$51,Dyno_Data[TimeCenter],CenterTime_Source[[#This Row],[Seconds]])+U$51/100)*SUMIFS(Dyno_Data[AcqDis],Dyno_Data[Team],$J$49, Dyno_Data[Match],U$51,Dyno_Data[TimeCenter],CenterTime_Source[[#This Row],[Seconds]])),"")</f>
        <v/>
      </c>
      <c r="V55" t="str">
        <f>IFERROR(SUM((SUMIFS(Dyno_Data[AcqCenter],Dyno_Data[Team],$J$49, Dyno_Data[Match],V$51,Dyno_Data[TimeCenter],CenterTime_Source[[#This Row],[Seconds]])+V$51/100)*SUMIFS(Dyno_Data[AcqDis],Dyno_Data[Team],$J$49, Dyno_Data[Match],V$51,Dyno_Data[TimeCenter],CenterTime_Source[[#This Row],[Seconds]])),"")</f>
        <v/>
      </c>
      <c r="W55" t="str">
        <f>IFERROR(SUM((SUMIFS(Dyno_Data[AcqCenter],Dyno_Data[Team],$J$49, Dyno_Data[Match],W$51,Dyno_Data[TimeCenter],CenterTime_Source[[#This Row],[Seconds]])+W$51/100)*SUMIFS(Dyno_Data[AcqDis],Dyno_Data[Team],$J$49, Dyno_Data[Match],W$51,Dyno_Data[TimeCenter],CenterTime_Source[[#This Row],[Seconds]])),"")</f>
        <v/>
      </c>
      <c r="X55" t="str">
        <f>IFERROR(SUM((SUMIFS(Dyno_Data[AcqCenter],Dyno_Data[Team],$J$49, Dyno_Data[Match],X$51,Dyno_Data[TimeCenter],CenterTime_Source[[#This Row],[Seconds]])+X$51/100)*SUMIFS(Dyno_Data[AcqDis],Dyno_Data[Team],$J$49, Dyno_Data[Match],X$51,Dyno_Data[TimeCenter],CenterTime_Source[[#This Row],[Seconds]])),"")</f>
        <v/>
      </c>
      <c r="Y55" t="str">
        <f>IFERROR(SUM((SUMIFS(Dyno_Data[AcqCenter],Dyno_Data[Team],$J$49, Dyno_Data[Match],Y$51,Dyno_Data[TimeCenter],CenterTime_Source[[#This Row],[Seconds]])+Y$51/100)*SUMIFS(Dyno_Data[AcqDis],Dyno_Data[Team],$J$49, Dyno_Data[Match],Y$51,Dyno_Data[TimeCenter],CenterTime_Source[[#This Row],[Seconds]])),"")</f>
        <v/>
      </c>
      <c r="Z55" t="str">
        <f>IFERROR(SUM((SUMIFS(Dyno_Data[AcqCenter],Dyno_Data[Team],$J$49, Dyno_Data[Match],Z$51,Dyno_Data[TimeCenter],CenterTime_Source[[#This Row],[Seconds]])+Z$51/100)*SUMIFS(Dyno_Data[AcqDis],Dyno_Data[Team],$J$49, Dyno_Data[Match],Z$51,Dyno_Data[TimeCenter],CenterTime_Source[[#This Row],[Seconds]])),"")</f>
        <v/>
      </c>
    </row>
    <row r="56" spans="10:26" x14ac:dyDescent="0.3">
      <c r="J56">
        <v>4</v>
      </c>
      <c r="K56">
        <f>IFERROR(SUM((SUMIFS(Dyno_Data[AcqCenter],Dyno_Data[Team],$J$49, Dyno_Data[Match],K$51,Dyno_Data[TimeCenter],CenterTime_Source[[#This Row],[Seconds]])+K$51/100)*SUMIFS(Dyno_Data[AcqDis],Dyno_Data[Team],$J$49, Dyno_Data[Match],K$51,Dyno_Data[TimeCenter],CenterTime_Source[[#This Row],[Seconds]])),"")</f>
        <v>0</v>
      </c>
      <c r="L56">
        <f>IFERROR(SUM((SUMIFS(Dyno_Data[AcqCenter],Dyno_Data[Team],$J$49, Dyno_Data[Match],L$51,Dyno_Data[TimeCenter],CenterTime_Source[[#This Row],[Seconds]])+L$51/100)*SUMIFS(Dyno_Data[AcqDis],Dyno_Data[Team],$J$49, Dyno_Data[Match],L$51,Dyno_Data[TimeCenter],CenterTime_Source[[#This Row],[Seconds]])),"")</f>
        <v>0</v>
      </c>
      <c r="M56">
        <f>IFERROR(SUM((SUMIFS(Dyno_Data[AcqCenter],Dyno_Data[Team],$J$49, Dyno_Data[Match],M$51,Dyno_Data[TimeCenter],CenterTime_Source[[#This Row],[Seconds]])+M$51/100)*SUMIFS(Dyno_Data[AcqDis],Dyno_Data[Team],$J$49, Dyno_Data[Match],M$51,Dyno_Data[TimeCenter],CenterTime_Source[[#This Row],[Seconds]])),"")</f>
        <v>0</v>
      </c>
      <c r="N56">
        <f>IFERROR(SUM((SUMIFS(Dyno_Data[AcqCenter],Dyno_Data[Team],$J$49, Dyno_Data[Match],N$51,Dyno_Data[TimeCenter],CenterTime_Source[[#This Row],[Seconds]])+N$51/100)*SUMIFS(Dyno_Data[AcqDis],Dyno_Data[Team],$J$49, Dyno_Data[Match],N$51,Dyno_Data[TimeCenter],CenterTime_Source[[#This Row],[Seconds]])),"")</f>
        <v>0</v>
      </c>
      <c r="O56">
        <f>IFERROR(SUM((SUMIFS(Dyno_Data[AcqCenter],Dyno_Data[Team],$J$49, Dyno_Data[Match],O$51,Dyno_Data[TimeCenter],CenterTime_Source[[#This Row],[Seconds]])+O$51/100)*SUMIFS(Dyno_Data[AcqDis],Dyno_Data[Team],$J$49, Dyno_Data[Match],O$51,Dyno_Data[TimeCenter],CenterTime_Source[[#This Row],[Seconds]])),"")</f>
        <v>0</v>
      </c>
      <c r="P56">
        <f>IFERROR(SUM((SUMIFS(Dyno_Data[AcqCenter],Dyno_Data[Team],$J$49, Dyno_Data[Match],P$51,Dyno_Data[TimeCenter],CenterTime_Source[[#This Row],[Seconds]])+P$51/100)*SUMIFS(Dyno_Data[AcqDis],Dyno_Data[Team],$J$49, Dyno_Data[Match],P$51,Dyno_Data[TimeCenter],CenterTime_Source[[#This Row],[Seconds]])),"")</f>
        <v>0</v>
      </c>
      <c r="Q56">
        <f>IFERROR(SUM((SUMIFS(Dyno_Data[AcqCenter],Dyno_Data[Team],$J$49, Dyno_Data[Match],Q$51,Dyno_Data[TimeCenter],CenterTime_Source[[#This Row],[Seconds]])+Q$51/100)*SUMIFS(Dyno_Data[AcqDis],Dyno_Data[Team],$J$49, Dyno_Data[Match],Q$51,Dyno_Data[TimeCenter],CenterTime_Source[[#This Row],[Seconds]])),"")</f>
        <v>0</v>
      </c>
      <c r="R56" t="str">
        <f>IFERROR(SUM((SUMIFS(Dyno_Data[AcqCenter],Dyno_Data[Team],$J$49, Dyno_Data[Match],R$51,Dyno_Data[TimeCenter],CenterTime_Source[[#This Row],[Seconds]])+R$51/100)*SUMIFS(Dyno_Data[AcqDis],Dyno_Data[Team],$J$49, Dyno_Data[Match],R$51,Dyno_Data[TimeCenter],CenterTime_Source[[#This Row],[Seconds]])),"")</f>
        <v/>
      </c>
      <c r="S56" t="str">
        <f>IFERROR(SUM((SUMIFS(Dyno_Data[AcqCenter],Dyno_Data[Team],$J$49, Dyno_Data[Match],S$51,Dyno_Data[TimeCenter],CenterTime_Source[[#This Row],[Seconds]])+S$51/100)*SUMIFS(Dyno_Data[AcqDis],Dyno_Data[Team],$J$49, Dyno_Data[Match],S$51,Dyno_Data[TimeCenter],CenterTime_Source[[#This Row],[Seconds]])),"")</f>
        <v/>
      </c>
      <c r="T56" t="str">
        <f>IFERROR(SUM((SUMIFS(Dyno_Data[AcqCenter],Dyno_Data[Team],$J$49, Dyno_Data[Match],T$51,Dyno_Data[TimeCenter],CenterTime_Source[[#This Row],[Seconds]])+T$51/100)*SUMIFS(Dyno_Data[AcqDis],Dyno_Data[Team],$J$49, Dyno_Data[Match],T$51,Dyno_Data[TimeCenter],CenterTime_Source[[#This Row],[Seconds]])),"")</f>
        <v/>
      </c>
      <c r="U56" t="str">
        <f>IFERROR(SUM((SUMIFS(Dyno_Data[AcqCenter],Dyno_Data[Team],$J$49, Dyno_Data[Match],U$51,Dyno_Data[TimeCenter],CenterTime_Source[[#This Row],[Seconds]])+U$51/100)*SUMIFS(Dyno_Data[AcqDis],Dyno_Data[Team],$J$49, Dyno_Data[Match],U$51,Dyno_Data[TimeCenter],CenterTime_Source[[#This Row],[Seconds]])),"")</f>
        <v/>
      </c>
      <c r="V56" t="str">
        <f>IFERROR(SUM((SUMIFS(Dyno_Data[AcqCenter],Dyno_Data[Team],$J$49, Dyno_Data[Match],V$51,Dyno_Data[TimeCenter],CenterTime_Source[[#This Row],[Seconds]])+V$51/100)*SUMIFS(Dyno_Data[AcqDis],Dyno_Data[Team],$J$49, Dyno_Data[Match],V$51,Dyno_Data[TimeCenter],CenterTime_Source[[#This Row],[Seconds]])),"")</f>
        <v/>
      </c>
      <c r="W56" t="str">
        <f>IFERROR(SUM((SUMIFS(Dyno_Data[AcqCenter],Dyno_Data[Team],$J$49, Dyno_Data[Match],W$51,Dyno_Data[TimeCenter],CenterTime_Source[[#This Row],[Seconds]])+W$51/100)*SUMIFS(Dyno_Data[AcqDis],Dyno_Data[Team],$J$49, Dyno_Data[Match],W$51,Dyno_Data[TimeCenter],CenterTime_Source[[#This Row],[Seconds]])),"")</f>
        <v/>
      </c>
      <c r="X56" t="str">
        <f>IFERROR(SUM((SUMIFS(Dyno_Data[AcqCenter],Dyno_Data[Team],$J$49, Dyno_Data[Match],X$51,Dyno_Data[TimeCenter],CenterTime_Source[[#This Row],[Seconds]])+X$51/100)*SUMIFS(Dyno_Data[AcqDis],Dyno_Data[Team],$J$49, Dyno_Data[Match],X$51,Dyno_Data[TimeCenter],CenterTime_Source[[#This Row],[Seconds]])),"")</f>
        <v/>
      </c>
      <c r="Y56" t="str">
        <f>IFERROR(SUM((SUMIFS(Dyno_Data[AcqCenter],Dyno_Data[Team],$J$49, Dyno_Data[Match],Y$51,Dyno_Data[TimeCenter],CenterTime_Source[[#This Row],[Seconds]])+Y$51/100)*SUMIFS(Dyno_Data[AcqDis],Dyno_Data[Team],$J$49, Dyno_Data[Match],Y$51,Dyno_Data[TimeCenter],CenterTime_Source[[#This Row],[Seconds]])),"")</f>
        <v/>
      </c>
      <c r="Z56" t="str">
        <f>IFERROR(SUM((SUMIFS(Dyno_Data[AcqCenter],Dyno_Data[Team],$J$49, Dyno_Data[Match],Z$51,Dyno_Data[TimeCenter],CenterTime_Source[[#This Row],[Seconds]])+Z$51/100)*SUMIFS(Dyno_Data[AcqDis],Dyno_Data[Team],$J$49, Dyno_Data[Match],Z$51,Dyno_Data[TimeCenter],CenterTime_Source[[#This Row],[Seconds]])),"")</f>
        <v/>
      </c>
    </row>
    <row r="57" spans="10:26" x14ac:dyDescent="0.3">
      <c r="J57">
        <v>5</v>
      </c>
      <c r="K57">
        <f>IFERROR(SUM((SUMIFS(Dyno_Data[AcqCenter],Dyno_Data[Team],$J$49, Dyno_Data[Match],K$51,Dyno_Data[TimeCenter],CenterTime_Source[[#This Row],[Seconds]])+K$51/100)*SUMIFS(Dyno_Data[AcqDis],Dyno_Data[Team],$J$49, Dyno_Data[Match],K$51,Dyno_Data[TimeCenter],CenterTime_Source[[#This Row],[Seconds]])),"")</f>
        <v>0</v>
      </c>
      <c r="L57">
        <f>IFERROR(SUM((SUMIFS(Dyno_Data[AcqCenter],Dyno_Data[Team],$J$49, Dyno_Data[Match],L$51,Dyno_Data[TimeCenter],CenterTime_Source[[#This Row],[Seconds]])+L$51/100)*SUMIFS(Dyno_Data[AcqDis],Dyno_Data[Team],$J$49, Dyno_Data[Match],L$51,Dyno_Data[TimeCenter],CenterTime_Source[[#This Row],[Seconds]])),"")</f>
        <v>0</v>
      </c>
      <c r="M57">
        <f>IFERROR(SUM((SUMIFS(Dyno_Data[AcqCenter],Dyno_Data[Team],$J$49, Dyno_Data[Match],M$51,Dyno_Data[TimeCenter],CenterTime_Source[[#This Row],[Seconds]])+M$51/100)*SUMIFS(Dyno_Data[AcqDis],Dyno_Data[Team],$J$49, Dyno_Data[Match],M$51,Dyno_Data[TimeCenter],CenterTime_Source[[#This Row],[Seconds]])),"")</f>
        <v>0</v>
      </c>
      <c r="N57">
        <f>IFERROR(SUM((SUMIFS(Dyno_Data[AcqCenter],Dyno_Data[Team],$J$49, Dyno_Data[Match],N$51,Dyno_Data[TimeCenter],CenterTime_Source[[#This Row],[Seconds]])+N$51/100)*SUMIFS(Dyno_Data[AcqDis],Dyno_Data[Team],$J$49, Dyno_Data[Match],N$51,Dyno_Data[TimeCenter],CenterTime_Source[[#This Row],[Seconds]])),"")</f>
        <v>0</v>
      </c>
      <c r="O57">
        <f>IFERROR(SUM((SUMIFS(Dyno_Data[AcqCenter],Dyno_Data[Team],$J$49, Dyno_Data[Match],O$51,Dyno_Data[TimeCenter],CenterTime_Source[[#This Row],[Seconds]])+O$51/100)*SUMIFS(Dyno_Data[AcqDis],Dyno_Data[Team],$J$49, Dyno_Data[Match],O$51,Dyno_Data[TimeCenter],CenterTime_Source[[#This Row],[Seconds]])),"")</f>
        <v>0</v>
      </c>
      <c r="P57">
        <f>IFERROR(SUM((SUMIFS(Dyno_Data[AcqCenter],Dyno_Data[Team],$J$49, Dyno_Data[Match],P$51,Dyno_Data[TimeCenter],CenterTime_Source[[#This Row],[Seconds]])+P$51/100)*SUMIFS(Dyno_Data[AcqDis],Dyno_Data[Team],$J$49, Dyno_Data[Match],P$51,Dyno_Data[TimeCenter],CenterTime_Source[[#This Row],[Seconds]])),"")</f>
        <v>0</v>
      </c>
      <c r="Q57">
        <f>IFERROR(SUM((SUMIFS(Dyno_Data[AcqCenter],Dyno_Data[Team],$J$49, Dyno_Data[Match],Q$51,Dyno_Data[TimeCenter],CenterTime_Source[[#This Row],[Seconds]])+Q$51/100)*SUMIFS(Dyno_Data[AcqDis],Dyno_Data[Team],$J$49, Dyno_Data[Match],Q$51,Dyno_Data[TimeCenter],CenterTime_Source[[#This Row],[Seconds]])),"")</f>
        <v>0</v>
      </c>
      <c r="R57" t="str">
        <f>IFERROR(SUM((SUMIFS(Dyno_Data[AcqCenter],Dyno_Data[Team],$J$49, Dyno_Data[Match],R$51,Dyno_Data[TimeCenter],CenterTime_Source[[#This Row],[Seconds]])+R$51/100)*SUMIFS(Dyno_Data[AcqDis],Dyno_Data[Team],$J$49, Dyno_Data[Match],R$51,Dyno_Data[TimeCenter],CenterTime_Source[[#This Row],[Seconds]])),"")</f>
        <v/>
      </c>
      <c r="S57" t="str">
        <f>IFERROR(SUM((SUMIFS(Dyno_Data[AcqCenter],Dyno_Data[Team],$J$49, Dyno_Data[Match],S$51,Dyno_Data[TimeCenter],CenterTime_Source[[#This Row],[Seconds]])+S$51/100)*SUMIFS(Dyno_Data[AcqDis],Dyno_Data[Team],$J$49, Dyno_Data[Match],S$51,Dyno_Data[TimeCenter],CenterTime_Source[[#This Row],[Seconds]])),"")</f>
        <v/>
      </c>
      <c r="T57" t="str">
        <f>IFERROR(SUM((SUMIFS(Dyno_Data[AcqCenter],Dyno_Data[Team],$J$49, Dyno_Data[Match],T$51,Dyno_Data[TimeCenter],CenterTime_Source[[#This Row],[Seconds]])+T$51/100)*SUMIFS(Dyno_Data[AcqDis],Dyno_Data[Team],$J$49, Dyno_Data[Match],T$51,Dyno_Data[TimeCenter],CenterTime_Source[[#This Row],[Seconds]])),"")</f>
        <v/>
      </c>
      <c r="U57" t="str">
        <f>IFERROR(SUM((SUMIFS(Dyno_Data[AcqCenter],Dyno_Data[Team],$J$49, Dyno_Data[Match],U$51,Dyno_Data[TimeCenter],CenterTime_Source[[#This Row],[Seconds]])+U$51/100)*SUMIFS(Dyno_Data[AcqDis],Dyno_Data[Team],$J$49, Dyno_Data[Match],U$51,Dyno_Data[TimeCenter],CenterTime_Source[[#This Row],[Seconds]])),"")</f>
        <v/>
      </c>
      <c r="V57" t="str">
        <f>IFERROR(SUM((SUMIFS(Dyno_Data[AcqCenter],Dyno_Data[Team],$J$49, Dyno_Data[Match],V$51,Dyno_Data[TimeCenter],CenterTime_Source[[#This Row],[Seconds]])+V$51/100)*SUMIFS(Dyno_Data[AcqDis],Dyno_Data[Team],$J$49, Dyno_Data[Match],V$51,Dyno_Data[TimeCenter],CenterTime_Source[[#This Row],[Seconds]])),"")</f>
        <v/>
      </c>
      <c r="W57" t="str">
        <f>IFERROR(SUM((SUMIFS(Dyno_Data[AcqCenter],Dyno_Data[Team],$J$49, Dyno_Data[Match],W$51,Dyno_Data[TimeCenter],CenterTime_Source[[#This Row],[Seconds]])+W$51/100)*SUMIFS(Dyno_Data[AcqDis],Dyno_Data[Team],$J$49, Dyno_Data[Match],W$51,Dyno_Data[TimeCenter],CenterTime_Source[[#This Row],[Seconds]])),"")</f>
        <v/>
      </c>
      <c r="X57" t="str">
        <f>IFERROR(SUM((SUMIFS(Dyno_Data[AcqCenter],Dyno_Data[Team],$J$49, Dyno_Data[Match],X$51,Dyno_Data[TimeCenter],CenterTime_Source[[#This Row],[Seconds]])+X$51/100)*SUMIFS(Dyno_Data[AcqDis],Dyno_Data[Team],$J$49, Dyno_Data[Match],X$51,Dyno_Data[TimeCenter],CenterTime_Source[[#This Row],[Seconds]])),"")</f>
        <v/>
      </c>
      <c r="Y57" t="str">
        <f>IFERROR(SUM((SUMIFS(Dyno_Data[AcqCenter],Dyno_Data[Team],$J$49, Dyno_Data[Match],Y$51,Dyno_Data[TimeCenter],CenterTime_Source[[#This Row],[Seconds]])+Y$51/100)*SUMIFS(Dyno_Data[AcqDis],Dyno_Data[Team],$J$49, Dyno_Data[Match],Y$51,Dyno_Data[TimeCenter],CenterTime_Source[[#This Row],[Seconds]])),"")</f>
        <v/>
      </c>
      <c r="Z57" t="str">
        <f>IFERROR(SUM((SUMIFS(Dyno_Data[AcqCenter],Dyno_Data[Team],$J$49, Dyno_Data[Match],Z$51,Dyno_Data[TimeCenter],CenterTime_Source[[#This Row],[Seconds]])+Z$51/100)*SUMIFS(Dyno_Data[AcqDis],Dyno_Data[Team],$J$49, Dyno_Data[Match],Z$51,Dyno_Data[TimeCenter],CenterTime_Source[[#This Row],[Seconds]])),"")</f>
        <v/>
      </c>
    </row>
    <row r="58" spans="10:26" x14ac:dyDescent="0.3">
      <c r="J58">
        <v>6</v>
      </c>
      <c r="K58">
        <f>IFERROR(SUM((SUMIFS(Dyno_Data[AcqCenter],Dyno_Data[Team],$J$49, Dyno_Data[Match],K$51,Dyno_Data[TimeCenter],CenterTime_Source[[#This Row],[Seconds]])+K$51/100)*SUMIFS(Dyno_Data[AcqDis],Dyno_Data[Team],$J$49, Dyno_Data[Match],K$51,Dyno_Data[TimeCenter],CenterTime_Source[[#This Row],[Seconds]])),"")</f>
        <v>0</v>
      </c>
      <c r="L58">
        <f>IFERROR(SUM((SUMIFS(Dyno_Data[AcqCenter],Dyno_Data[Team],$J$49, Dyno_Data[Match],L$51,Dyno_Data[TimeCenter],CenterTime_Source[[#This Row],[Seconds]])+L$51/100)*SUMIFS(Dyno_Data[AcqDis],Dyno_Data[Team],$J$49, Dyno_Data[Match],L$51,Dyno_Data[TimeCenter],CenterTime_Source[[#This Row],[Seconds]])),"")</f>
        <v>0</v>
      </c>
      <c r="M58">
        <f>IFERROR(SUM((SUMIFS(Dyno_Data[AcqCenter],Dyno_Data[Team],$J$49, Dyno_Data[Match],M$51,Dyno_Data[TimeCenter],CenterTime_Source[[#This Row],[Seconds]])+M$51/100)*SUMIFS(Dyno_Data[AcqDis],Dyno_Data[Team],$J$49, Dyno_Data[Match],M$51,Dyno_Data[TimeCenter],CenterTime_Source[[#This Row],[Seconds]])),"")</f>
        <v>0</v>
      </c>
      <c r="N58">
        <f>IFERROR(SUM((SUMIFS(Dyno_Data[AcqCenter],Dyno_Data[Team],$J$49, Dyno_Data[Match],N$51,Dyno_Data[TimeCenter],CenterTime_Source[[#This Row],[Seconds]])+N$51/100)*SUMIFS(Dyno_Data[AcqDis],Dyno_Data[Team],$J$49, Dyno_Data[Match],N$51,Dyno_Data[TimeCenter],CenterTime_Source[[#This Row],[Seconds]])),"")</f>
        <v>0</v>
      </c>
      <c r="O58">
        <f>IFERROR(SUM((SUMIFS(Dyno_Data[AcqCenter],Dyno_Data[Team],$J$49, Dyno_Data[Match],O$51,Dyno_Data[TimeCenter],CenterTime_Source[[#This Row],[Seconds]])+O$51/100)*SUMIFS(Dyno_Data[AcqDis],Dyno_Data[Team],$J$49, Dyno_Data[Match],O$51,Dyno_Data[TimeCenter],CenterTime_Source[[#This Row],[Seconds]])),"")</f>
        <v>0</v>
      </c>
      <c r="P58">
        <f>IFERROR(SUM((SUMIFS(Dyno_Data[AcqCenter],Dyno_Data[Team],$J$49, Dyno_Data[Match],P$51,Dyno_Data[TimeCenter],CenterTime_Source[[#This Row],[Seconds]])+P$51/100)*SUMIFS(Dyno_Data[AcqDis],Dyno_Data[Team],$J$49, Dyno_Data[Match],P$51,Dyno_Data[TimeCenter],CenterTime_Source[[#This Row],[Seconds]])),"")</f>
        <v>0</v>
      </c>
      <c r="Q58">
        <f>IFERROR(SUM((SUMIFS(Dyno_Data[AcqCenter],Dyno_Data[Team],$J$49, Dyno_Data[Match],Q$51,Dyno_Data[TimeCenter],CenterTime_Source[[#This Row],[Seconds]])+Q$51/100)*SUMIFS(Dyno_Data[AcqDis],Dyno_Data[Team],$J$49, Dyno_Data[Match],Q$51,Dyno_Data[TimeCenter],CenterTime_Source[[#This Row],[Seconds]])),"")</f>
        <v>0</v>
      </c>
      <c r="R58" t="str">
        <f>IFERROR(SUM((SUMIFS(Dyno_Data[AcqCenter],Dyno_Data[Team],$J$49, Dyno_Data[Match],R$51,Dyno_Data[TimeCenter],CenterTime_Source[[#This Row],[Seconds]])+R$51/100)*SUMIFS(Dyno_Data[AcqDis],Dyno_Data[Team],$J$49, Dyno_Data[Match],R$51,Dyno_Data[TimeCenter],CenterTime_Source[[#This Row],[Seconds]])),"")</f>
        <v/>
      </c>
      <c r="S58" t="str">
        <f>IFERROR(SUM((SUMIFS(Dyno_Data[AcqCenter],Dyno_Data[Team],$J$49, Dyno_Data[Match],S$51,Dyno_Data[TimeCenter],CenterTime_Source[[#This Row],[Seconds]])+S$51/100)*SUMIFS(Dyno_Data[AcqDis],Dyno_Data[Team],$J$49, Dyno_Data[Match],S$51,Dyno_Data[TimeCenter],CenterTime_Source[[#This Row],[Seconds]])),"")</f>
        <v/>
      </c>
      <c r="T58" t="str">
        <f>IFERROR(SUM((SUMIFS(Dyno_Data[AcqCenter],Dyno_Data[Team],$J$49, Dyno_Data[Match],T$51,Dyno_Data[TimeCenter],CenterTime_Source[[#This Row],[Seconds]])+T$51/100)*SUMIFS(Dyno_Data[AcqDis],Dyno_Data[Team],$J$49, Dyno_Data[Match],T$51,Dyno_Data[TimeCenter],CenterTime_Source[[#This Row],[Seconds]])),"")</f>
        <v/>
      </c>
      <c r="U58" t="str">
        <f>IFERROR(SUM((SUMIFS(Dyno_Data[AcqCenter],Dyno_Data[Team],$J$49, Dyno_Data[Match],U$51,Dyno_Data[TimeCenter],CenterTime_Source[[#This Row],[Seconds]])+U$51/100)*SUMIFS(Dyno_Data[AcqDis],Dyno_Data[Team],$J$49, Dyno_Data[Match],U$51,Dyno_Data[TimeCenter],CenterTime_Source[[#This Row],[Seconds]])),"")</f>
        <v/>
      </c>
      <c r="V58" t="str">
        <f>IFERROR(SUM((SUMIFS(Dyno_Data[AcqCenter],Dyno_Data[Team],$J$49, Dyno_Data[Match],V$51,Dyno_Data[TimeCenter],CenterTime_Source[[#This Row],[Seconds]])+V$51/100)*SUMIFS(Dyno_Data[AcqDis],Dyno_Data[Team],$J$49, Dyno_Data[Match],V$51,Dyno_Data[TimeCenter],CenterTime_Source[[#This Row],[Seconds]])),"")</f>
        <v/>
      </c>
      <c r="W58" t="str">
        <f>IFERROR(SUM((SUMIFS(Dyno_Data[AcqCenter],Dyno_Data[Team],$J$49, Dyno_Data[Match],W$51,Dyno_Data[TimeCenter],CenterTime_Source[[#This Row],[Seconds]])+W$51/100)*SUMIFS(Dyno_Data[AcqDis],Dyno_Data[Team],$J$49, Dyno_Data[Match],W$51,Dyno_Data[TimeCenter],CenterTime_Source[[#This Row],[Seconds]])),"")</f>
        <v/>
      </c>
      <c r="X58" t="str">
        <f>IFERROR(SUM((SUMIFS(Dyno_Data[AcqCenter],Dyno_Data[Team],$J$49, Dyno_Data[Match],X$51,Dyno_Data[TimeCenter],CenterTime_Source[[#This Row],[Seconds]])+X$51/100)*SUMIFS(Dyno_Data[AcqDis],Dyno_Data[Team],$J$49, Dyno_Data[Match],X$51,Dyno_Data[TimeCenter],CenterTime_Source[[#This Row],[Seconds]])),"")</f>
        <v/>
      </c>
      <c r="Y58" t="str">
        <f>IFERROR(SUM((SUMIFS(Dyno_Data[AcqCenter],Dyno_Data[Team],$J$49, Dyno_Data[Match],Y$51,Dyno_Data[TimeCenter],CenterTime_Source[[#This Row],[Seconds]])+Y$51/100)*SUMIFS(Dyno_Data[AcqDis],Dyno_Data[Team],$J$49, Dyno_Data[Match],Y$51,Dyno_Data[TimeCenter],CenterTime_Source[[#This Row],[Seconds]])),"")</f>
        <v/>
      </c>
      <c r="Z58" t="str">
        <f>IFERROR(SUM((SUMIFS(Dyno_Data[AcqCenter],Dyno_Data[Team],$J$49, Dyno_Data[Match],Z$51,Dyno_Data[TimeCenter],CenterTime_Source[[#This Row],[Seconds]])+Z$51/100)*SUMIFS(Dyno_Data[AcqDis],Dyno_Data[Team],$J$49, Dyno_Data[Match],Z$51,Dyno_Data[TimeCenter],CenterTime_Source[[#This Row],[Seconds]])),"")</f>
        <v/>
      </c>
    </row>
    <row r="59" spans="10:26" x14ac:dyDescent="0.3">
      <c r="J59">
        <v>7</v>
      </c>
      <c r="K59">
        <f>IFERROR(SUM((SUMIFS(Dyno_Data[AcqCenter],Dyno_Data[Team],$J$49, Dyno_Data[Match],K$51,Dyno_Data[TimeCenter],CenterTime_Source[[#This Row],[Seconds]])+K$51/100)*SUMIFS(Dyno_Data[AcqDis],Dyno_Data[Team],$J$49, Dyno_Data[Match],K$51,Dyno_Data[TimeCenter],CenterTime_Source[[#This Row],[Seconds]])),"")</f>
        <v>0</v>
      </c>
      <c r="L59">
        <f>IFERROR(SUM((SUMIFS(Dyno_Data[AcqCenter],Dyno_Data[Team],$J$49, Dyno_Data[Match],L$51,Dyno_Data[TimeCenter],CenterTime_Source[[#This Row],[Seconds]])+L$51/100)*SUMIFS(Dyno_Data[AcqDis],Dyno_Data[Team],$J$49, Dyno_Data[Match],L$51,Dyno_Data[TimeCenter],CenterTime_Source[[#This Row],[Seconds]])),"")</f>
        <v>0</v>
      </c>
      <c r="M59">
        <f>IFERROR(SUM((SUMIFS(Dyno_Data[AcqCenter],Dyno_Data[Team],$J$49, Dyno_Data[Match],M$51,Dyno_Data[TimeCenter],CenterTime_Source[[#This Row],[Seconds]])+M$51/100)*SUMIFS(Dyno_Data[AcqDis],Dyno_Data[Team],$J$49, Dyno_Data[Match],M$51,Dyno_Data[TimeCenter],CenterTime_Source[[#This Row],[Seconds]])),"")</f>
        <v>0</v>
      </c>
      <c r="N59">
        <f>IFERROR(SUM((SUMIFS(Dyno_Data[AcqCenter],Dyno_Data[Team],$J$49, Dyno_Data[Match],N$51,Dyno_Data[TimeCenter],CenterTime_Source[[#This Row],[Seconds]])+N$51/100)*SUMIFS(Dyno_Data[AcqDis],Dyno_Data[Team],$J$49, Dyno_Data[Match],N$51,Dyno_Data[TimeCenter],CenterTime_Source[[#This Row],[Seconds]])),"")</f>
        <v>0</v>
      </c>
      <c r="O59">
        <f>IFERROR(SUM((SUMIFS(Dyno_Data[AcqCenter],Dyno_Data[Team],$J$49, Dyno_Data[Match],O$51,Dyno_Data[TimeCenter],CenterTime_Source[[#This Row],[Seconds]])+O$51/100)*SUMIFS(Dyno_Data[AcqDis],Dyno_Data[Team],$J$49, Dyno_Data[Match],O$51,Dyno_Data[TimeCenter],CenterTime_Source[[#This Row],[Seconds]])),"")</f>
        <v>3.37</v>
      </c>
      <c r="P59">
        <f>IFERROR(SUM((SUMIFS(Dyno_Data[AcqCenter],Dyno_Data[Team],$J$49, Dyno_Data[Match],P$51,Dyno_Data[TimeCenter],CenterTime_Source[[#This Row],[Seconds]])+P$51/100)*SUMIFS(Dyno_Data[AcqDis],Dyno_Data[Team],$J$49, Dyno_Data[Match],P$51,Dyno_Data[TimeCenter],CenterTime_Source[[#This Row],[Seconds]])),"")</f>
        <v>0</v>
      </c>
      <c r="Q59">
        <f>IFERROR(SUM((SUMIFS(Dyno_Data[AcqCenter],Dyno_Data[Team],$J$49, Dyno_Data[Match],Q$51,Dyno_Data[TimeCenter],CenterTime_Source[[#This Row],[Seconds]])+Q$51/100)*SUMIFS(Dyno_Data[AcqDis],Dyno_Data[Team],$J$49, Dyno_Data[Match],Q$51,Dyno_Data[TimeCenter],CenterTime_Source[[#This Row],[Seconds]])),"")</f>
        <v>0</v>
      </c>
      <c r="R59" t="str">
        <f>IFERROR(SUM((SUMIFS(Dyno_Data[AcqCenter],Dyno_Data[Team],$J$49, Dyno_Data[Match],R$51,Dyno_Data[TimeCenter],CenterTime_Source[[#This Row],[Seconds]])+R$51/100)*SUMIFS(Dyno_Data[AcqDis],Dyno_Data[Team],$J$49, Dyno_Data[Match],R$51,Dyno_Data[TimeCenter],CenterTime_Source[[#This Row],[Seconds]])),"")</f>
        <v/>
      </c>
      <c r="S59" t="str">
        <f>IFERROR(SUM((SUMIFS(Dyno_Data[AcqCenter],Dyno_Data[Team],$J$49, Dyno_Data[Match],S$51,Dyno_Data[TimeCenter],CenterTime_Source[[#This Row],[Seconds]])+S$51/100)*SUMIFS(Dyno_Data[AcqDis],Dyno_Data[Team],$J$49, Dyno_Data[Match],S$51,Dyno_Data[TimeCenter],CenterTime_Source[[#This Row],[Seconds]])),"")</f>
        <v/>
      </c>
      <c r="T59" t="str">
        <f>IFERROR(SUM((SUMIFS(Dyno_Data[AcqCenter],Dyno_Data[Team],$J$49, Dyno_Data[Match],T$51,Dyno_Data[TimeCenter],CenterTime_Source[[#This Row],[Seconds]])+T$51/100)*SUMIFS(Dyno_Data[AcqDis],Dyno_Data[Team],$J$49, Dyno_Data[Match],T$51,Dyno_Data[TimeCenter],CenterTime_Source[[#This Row],[Seconds]])),"")</f>
        <v/>
      </c>
      <c r="U59" t="str">
        <f>IFERROR(SUM((SUMIFS(Dyno_Data[AcqCenter],Dyno_Data[Team],$J$49, Dyno_Data[Match],U$51,Dyno_Data[TimeCenter],CenterTime_Source[[#This Row],[Seconds]])+U$51/100)*SUMIFS(Dyno_Data[AcqDis],Dyno_Data[Team],$J$49, Dyno_Data[Match],U$51,Dyno_Data[TimeCenter],CenterTime_Source[[#This Row],[Seconds]])),"")</f>
        <v/>
      </c>
      <c r="V59" t="str">
        <f>IFERROR(SUM((SUMIFS(Dyno_Data[AcqCenter],Dyno_Data[Team],$J$49, Dyno_Data[Match],V$51,Dyno_Data[TimeCenter],CenterTime_Source[[#This Row],[Seconds]])+V$51/100)*SUMIFS(Dyno_Data[AcqDis],Dyno_Data[Team],$J$49, Dyno_Data[Match],V$51,Dyno_Data[TimeCenter],CenterTime_Source[[#This Row],[Seconds]])),"")</f>
        <v/>
      </c>
      <c r="W59" t="str">
        <f>IFERROR(SUM((SUMIFS(Dyno_Data[AcqCenter],Dyno_Data[Team],$J$49, Dyno_Data[Match],W$51,Dyno_Data[TimeCenter],CenterTime_Source[[#This Row],[Seconds]])+W$51/100)*SUMIFS(Dyno_Data[AcqDis],Dyno_Data[Team],$J$49, Dyno_Data[Match],W$51,Dyno_Data[TimeCenter],CenterTime_Source[[#This Row],[Seconds]])),"")</f>
        <v/>
      </c>
      <c r="X59" t="str">
        <f>IFERROR(SUM((SUMIFS(Dyno_Data[AcqCenter],Dyno_Data[Team],$J$49, Dyno_Data[Match],X$51,Dyno_Data[TimeCenter],CenterTime_Source[[#This Row],[Seconds]])+X$51/100)*SUMIFS(Dyno_Data[AcqDis],Dyno_Data[Team],$J$49, Dyno_Data[Match],X$51,Dyno_Data[TimeCenter],CenterTime_Source[[#This Row],[Seconds]])),"")</f>
        <v/>
      </c>
      <c r="Y59" t="str">
        <f>IFERROR(SUM((SUMIFS(Dyno_Data[AcqCenter],Dyno_Data[Team],$J$49, Dyno_Data[Match],Y$51,Dyno_Data[TimeCenter],CenterTime_Source[[#This Row],[Seconds]])+Y$51/100)*SUMIFS(Dyno_Data[AcqDis],Dyno_Data[Team],$J$49, Dyno_Data[Match],Y$51,Dyno_Data[TimeCenter],CenterTime_Source[[#This Row],[Seconds]])),"")</f>
        <v/>
      </c>
      <c r="Z59" t="str">
        <f>IFERROR(SUM((SUMIFS(Dyno_Data[AcqCenter],Dyno_Data[Team],$J$49, Dyno_Data[Match],Z$51,Dyno_Data[TimeCenter],CenterTime_Source[[#This Row],[Seconds]])+Z$51/100)*SUMIFS(Dyno_Data[AcqDis],Dyno_Data[Team],$J$49, Dyno_Data[Match],Z$51,Dyno_Data[TimeCenter],CenterTime_Source[[#This Row],[Seconds]])),"")</f>
        <v/>
      </c>
    </row>
    <row r="60" spans="10:26" x14ac:dyDescent="0.3">
      <c r="J60">
        <v>8</v>
      </c>
      <c r="K60">
        <f>IFERROR(SUM((SUMIFS(Dyno_Data[AcqCenter],Dyno_Data[Team],$J$49, Dyno_Data[Match],K$51,Dyno_Data[TimeCenter],CenterTime_Source[[#This Row],[Seconds]])+K$51/100)*SUMIFS(Dyno_Data[AcqDis],Dyno_Data[Team],$J$49, Dyno_Data[Match],K$51,Dyno_Data[TimeCenter],CenterTime_Source[[#This Row],[Seconds]])),"")</f>
        <v>0</v>
      </c>
      <c r="L60">
        <f>IFERROR(SUM((SUMIFS(Dyno_Data[AcqCenter],Dyno_Data[Team],$J$49, Dyno_Data[Match],L$51,Dyno_Data[TimeCenter],CenterTime_Source[[#This Row],[Seconds]])+L$51/100)*SUMIFS(Dyno_Data[AcqDis],Dyno_Data[Team],$J$49, Dyno_Data[Match],L$51,Dyno_Data[TimeCenter],CenterTime_Source[[#This Row],[Seconds]])),"")</f>
        <v>0</v>
      </c>
      <c r="M60">
        <f>IFERROR(SUM((SUMIFS(Dyno_Data[AcqCenter],Dyno_Data[Team],$J$49, Dyno_Data[Match],M$51,Dyno_Data[TimeCenter],CenterTime_Source[[#This Row],[Seconds]])+M$51/100)*SUMIFS(Dyno_Data[AcqDis],Dyno_Data[Team],$J$49, Dyno_Data[Match],M$51,Dyno_Data[TimeCenter],CenterTime_Source[[#This Row],[Seconds]])),"")</f>
        <v>0</v>
      </c>
      <c r="N60">
        <f>IFERROR(SUM((SUMIFS(Dyno_Data[AcqCenter],Dyno_Data[Team],$J$49, Dyno_Data[Match],N$51,Dyno_Data[TimeCenter],CenterTime_Source[[#This Row],[Seconds]])+N$51/100)*SUMIFS(Dyno_Data[AcqDis],Dyno_Data[Team],$J$49, Dyno_Data[Match],N$51,Dyno_Data[TimeCenter],CenterTime_Source[[#This Row],[Seconds]])),"")</f>
        <v>0</v>
      </c>
      <c r="O60">
        <f>IFERROR(SUM((SUMIFS(Dyno_Data[AcqCenter],Dyno_Data[Team],$J$49, Dyno_Data[Match],O$51,Dyno_Data[TimeCenter],CenterTime_Source[[#This Row],[Seconds]])+O$51/100)*SUMIFS(Dyno_Data[AcqDis],Dyno_Data[Team],$J$49, Dyno_Data[Match],O$51,Dyno_Data[TimeCenter],CenterTime_Source[[#This Row],[Seconds]])),"")</f>
        <v>0</v>
      </c>
      <c r="P60">
        <f>IFERROR(SUM((SUMIFS(Dyno_Data[AcqCenter],Dyno_Data[Team],$J$49, Dyno_Data[Match],P$51,Dyno_Data[TimeCenter],CenterTime_Source[[#This Row],[Seconds]])+P$51/100)*SUMIFS(Dyno_Data[AcqDis],Dyno_Data[Team],$J$49, Dyno_Data[Match],P$51,Dyno_Data[TimeCenter],CenterTime_Source[[#This Row],[Seconds]])),"")</f>
        <v>0</v>
      </c>
      <c r="Q60">
        <f>IFERROR(SUM((SUMIFS(Dyno_Data[AcqCenter],Dyno_Data[Team],$J$49, Dyno_Data[Match],Q$51,Dyno_Data[TimeCenter],CenterTime_Source[[#This Row],[Seconds]])+Q$51/100)*SUMIFS(Dyno_Data[AcqDis],Dyno_Data[Team],$J$49, Dyno_Data[Match],Q$51,Dyno_Data[TimeCenter],CenterTime_Source[[#This Row],[Seconds]])),"")</f>
        <v>0</v>
      </c>
      <c r="R60" t="str">
        <f>IFERROR(SUM((SUMIFS(Dyno_Data[AcqCenter],Dyno_Data[Team],$J$49, Dyno_Data[Match],R$51,Dyno_Data[TimeCenter],CenterTime_Source[[#This Row],[Seconds]])+R$51/100)*SUMIFS(Dyno_Data[AcqDis],Dyno_Data[Team],$J$49, Dyno_Data[Match],R$51,Dyno_Data[TimeCenter],CenterTime_Source[[#This Row],[Seconds]])),"")</f>
        <v/>
      </c>
      <c r="S60" t="str">
        <f>IFERROR(SUM((SUMIFS(Dyno_Data[AcqCenter],Dyno_Data[Team],$J$49, Dyno_Data[Match],S$51,Dyno_Data[TimeCenter],CenterTime_Source[[#This Row],[Seconds]])+S$51/100)*SUMIFS(Dyno_Data[AcqDis],Dyno_Data[Team],$J$49, Dyno_Data[Match],S$51,Dyno_Data[TimeCenter],CenterTime_Source[[#This Row],[Seconds]])),"")</f>
        <v/>
      </c>
      <c r="T60" t="str">
        <f>IFERROR(SUM((SUMIFS(Dyno_Data[AcqCenter],Dyno_Data[Team],$J$49, Dyno_Data[Match],T$51,Dyno_Data[TimeCenter],CenterTime_Source[[#This Row],[Seconds]])+T$51/100)*SUMIFS(Dyno_Data[AcqDis],Dyno_Data[Team],$J$49, Dyno_Data[Match],T$51,Dyno_Data[TimeCenter],CenterTime_Source[[#This Row],[Seconds]])),"")</f>
        <v/>
      </c>
      <c r="U60" t="str">
        <f>IFERROR(SUM((SUMIFS(Dyno_Data[AcqCenter],Dyno_Data[Team],$J$49, Dyno_Data[Match],U$51,Dyno_Data[TimeCenter],CenterTime_Source[[#This Row],[Seconds]])+U$51/100)*SUMIFS(Dyno_Data[AcqDis],Dyno_Data[Team],$J$49, Dyno_Data[Match],U$51,Dyno_Data[TimeCenter],CenterTime_Source[[#This Row],[Seconds]])),"")</f>
        <v/>
      </c>
      <c r="V60" t="str">
        <f>IFERROR(SUM((SUMIFS(Dyno_Data[AcqCenter],Dyno_Data[Team],$J$49, Dyno_Data[Match],V$51,Dyno_Data[TimeCenter],CenterTime_Source[[#This Row],[Seconds]])+V$51/100)*SUMIFS(Dyno_Data[AcqDis],Dyno_Data[Team],$J$49, Dyno_Data[Match],V$51,Dyno_Data[TimeCenter],CenterTime_Source[[#This Row],[Seconds]])),"")</f>
        <v/>
      </c>
      <c r="W60" t="str">
        <f>IFERROR(SUM((SUMIFS(Dyno_Data[AcqCenter],Dyno_Data[Team],$J$49, Dyno_Data[Match],W$51,Dyno_Data[TimeCenter],CenterTime_Source[[#This Row],[Seconds]])+W$51/100)*SUMIFS(Dyno_Data[AcqDis],Dyno_Data[Team],$J$49, Dyno_Data[Match],W$51,Dyno_Data[TimeCenter],CenterTime_Source[[#This Row],[Seconds]])),"")</f>
        <v/>
      </c>
      <c r="X60" t="str">
        <f>IFERROR(SUM((SUMIFS(Dyno_Data[AcqCenter],Dyno_Data[Team],$J$49, Dyno_Data[Match],X$51,Dyno_Data[TimeCenter],CenterTime_Source[[#This Row],[Seconds]])+X$51/100)*SUMIFS(Dyno_Data[AcqDis],Dyno_Data[Team],$J$49, Dyno_Data[Match],X$51,Dyno_Data[TimeCenter],CenterTime_Source[[#This Row],[Seconds]])),"")</f>
        <v/>
      </c>
      <c r="Y60" t="str">
        <f>IFERROR(SUM((SUMIFS(Dyno_Data[AcqCenter],Dyno_Data[Team],$J$49, Dyno_Data[Match],Y$51,Dyno_Data[TimeCenter],CenterTime_Source[[#This Row],[Seconds]])+Y$51/100)*SUMIFS(Dyno_Data[AcqDis],Dyno_Data[Team],$J$49, Dyno_Data[Match],Y$51,Dyno_Data[TimeCenter],CenterTime_Source[[#This Row],[Seconds]])),"")</f>
        <v/>
      </c>
      <c r="Z60" t="str">
        <f>IFERROR(SUM((SUMIFS(Dyno_Data[AcqCenter],Dyno_Data[Team],$J$49, Dyno_Data[Match],Z$51,Dyno_Data[TimeCenter],CenterTime_Source[[#This Row],[Seconds]])+Z$51/100)*SUMIFS(Dyno_Data[AcqDis],Dyno_Data[Team],$J$49, Dyno_Data[Match],Z$51,Dyno_Data[TimeCenter],CenterTime_Source[[#This Row],[Seconds]])),"")</f>
        <v/>
      </c>
    </row>
    <row r="61" spans="10:26" x14ac:dyDescent="0.3">
      <c r="J61">
        <v>9</v>
      </c>
      <c r="K61">
        <f>IFERROR(SUM((SUMIFS(Dyno_Data[AcqCenter],Dyno_Data[Team],$J$49, Dyno_Data[Match],K$51,Dyno_Data[TimeCenter],CenterTime_Source[[#This Row],[Seconds]])+K$51/100)*SUMIFS(Dyno_Data[AcqDis],Dyno_Data[Team],$J$49, Dyno_Data[Match],K$51,Dyno_Data[TimeCenter],CenterTime_Source[[#This Row],[Seconds]])),"")</f>
        <v>5.0199999999999996</v>
      </c>
      <c r="L61">
        <f>IFERROR(SUM((SUMIFS(Dyno_Data[AcqCenter],Dyno_Data[Team],$J$49, Dyno_Data[Match],L$51,Dyno_Data[TimeCenter],CenterTime_Source[[#This Row],[Seconds]])+L$51/100)*SUMIFS(Dyno_Data[AcqDis],Dyno_Data[Team],$J$49, Dyno_Data[Match],L$51,Dyno_Data[TimeCenter],CenterTime_Source[[#This Row],[Seconds]])),"")</f>
        <v>0</v>
      </c>
      <c r="M61">
        <f>IFERROR(SUM((SUMIFS(Dyno_Data[AcqCenter],Dyno_Data[Team],$J$49, Dyno_Data[Match],M$51,Dyno_Data[TimeCenter],CenterTime_Source[[#This Row],[Seconds]])+M$51/100)*SUMIFS(Dyno_Data[AcqDis],Dyno_Data[Team],$J$49, Dyno_Data[Match],M$51,Dyno_Data[TimeCenter],CenterTime_Source[[#This Row],[Seconds]])),"")</f>
        <v>5.21</v>
      </c>
      <c r="N61">
        <f>IFERROR(SUM((SUMIFS(Dyno_Data[AcqCenter],Dyno_Data[Team],$J$49, Dyno_Data[Match],N$51,Dyno_Data[TimeCenter],CenterTime_Source[[#This Row],[Seconds]])+N$51/100)*SUMIFS(Dyno_Data[AcqDis],Dyno_Data[Team],$J$49, Dyno_Data[Match],N$51,Dyno_Data[TimeCenter],CenterTime_Source[[#This Row],[Seconds]])),"")</f>
        <v>0</v>
      </c>
      <c r="O61">
        <f>IFERROR(SUM((SUMIFS(Dyno_Data[AcqCenter],Dyno_Data[Team],$J$49, Dyno_Data[Match],O$51,Dyno_Data[TimeCenter],CenterTime_Source[[#This Row],[Seconds]])+O$51/100)*SUMIFS(Dyno_Data[AcqDis],Dyno_Data[Team],$J$49, Dyno_Data[Match],O$51,Dyno_Data[TimeCenter],CenterTime_Source[[#This Row],[Seconds]])),"")</f>
        <v>5.37</v>
      </c>
      <c r="P61">
        <f>IFERROR(SUM((SUMIFS(Dyno_Data[AcqCenter],Dyno_Data[Team],$J$49, Dyno_Data[Match],P$51,Dyno_Data[TimeCenter],CenterTime_Source[[#This Row],[Seconds]])+P$51/100)*SUMIFS(Dyno_Data[AcqDis],Dyno_Data[Team],$J$49, Dyno_Data[Match],P$51,Dyno_Data[TimeCenter],CenterTime_Source[[#This Row],[Seconds]])),"")</f>
        <v>0</v>
      </c>
      <c r="Q61">
        <f>IFERROR(SUM((SUMIFS(Dyno_Data[AcqCenter],Dyno_Data[Team],$J$49, Dyno_Data[Match],Q$51,Dyno_Data[TimeCenter],CenterTime_Source[[#This Row],[Seconds]])+Q$51/100)*SUMIFS(Dyno_Data[AcqDis],Dyno_Data[Team],$J$49, Dyno_Data[Match],Q$51,Dyno_Data[TimeCenter],CenterTime_Source[[#This Row],[Seconds]])),"")</f>
        <v>-5.5600000000000005</v>
      </c>
      <c r="R61" t="str">
        <f>IFERROR(SUM((SUMIFS(Dyno_Data[AcqCenter],Dyno_Data[Team],$J$49, Dyno_Data[Match],R$51,Dyno_Data[TimeCenter],CenterTime_Source[[#This Row],[Seconds]])+R$51/100)*SUMIFS(Dyno_Data[AcqDis],Dyno_Data[Team],$J$49, Dyno_Data[Match],R$51,Dyno_Data[TimeCenter],CenterTime_Source[[#This Row],[Seconds]])),"")</f>
        <v/>
      </c>
      <c r="S61" t="str">
        <f>IFERROR(SUM((SUMIFS(Dyno_Data[AcqCenter],Dyno_Data[Team],$J$49, Dyno_Data[Match],S$51,Dyno_Data[TimeCenter],CenterTime_Source[[#This Row],[Seconds]])+S$51/100)*SUMIFS(Dyno_Data[AcqDis],Dyno_Data[Team],$J$49, Dyno_Data[Match],S$51,Dyno_Data[TimeCenter],CenterTime_Source[[#This Row],[Seconds]])),"")</f>
        <v/>
      </c>
      <c r="T61" t="str">
        <f>IFERROR(SUM((SUMIFS(Dyno_Data[AcqCenter],Dyno_Data[Team],$J$49, Dyno_Data[Match],T$51,Dyno_Data[TimeCenter],CenterTime_Source[[#This Row],[Seconds]])+T$51/100)*SUMIFS(Dyno_Data[AcqDis],Dyno_Data[Team],$J$49, Dyno_Data[Match],T$51,Dyno_Data[TimeCenter],CenterTime_Source[[#This Row],[Seconds]])),"")</f>
        <v/>
      </c>
      <c r="U61" t="str">
        <f>IFERROR(SUM((SUMIFS(Dyno_Data[AcqCenter],Dyno_Data[Team],$J$49, Dyno_Data[Match],U$51,Dyno_Data[TimeCenter],CenterTime_Source[[#This Row],[Seconds]])+U$51/100)*SUMIFS(Dyno_Data[AcqDis],Dyno_Data[Team],$J$49, Dyno_Data[Match],U$51,Dyno_Data[TimeCenter],CenterTime_Source[[#This Row],[Seconds]])),"")</f>
        <v/>
      </c>
      <c r="V61" t="str">
        <f>IFERROR(SUM((SUMIFS(Dyno_Data[AcqCenter],Dyno_Data[Team],$J$49, Dyno_Data[Match],V$51,Dyno_Data[TimeCenter],CenterTime_Source[[#This Row],[Seconds]])+V$51/100)*SUMIFS(Dyno_Data[AcqDis],Dyno_Data[Team],$J$49, Dyno_Data[Match],V$51,Dyno_Data[TimeCenter],CenterTime_Source[[#This Row],[Seconds]])),"")</f>
        <v/>
      </c>
      <c r="W61" t="str">
        <f>IFERROR(SUM((SUMIFS(Dyno_Data[AcqCenter],Dyno_Data[Team],$J$49, Dyno_Data[Match],W$51,Dyno_Data[TimeCenter],CenterTime_Source[[#This Row],[Seconds]])+W$51/100)*SUMIFS(Dyno_Data[AcqDis],Dyno_Data[Team],$J$49, Dyno_Data[Match],W$51,Dyno_Data[TimeCenter],CenterTime_Source[[#This Row],[Seconds]])),"")</f>
        <v/>
      </c>
      <c r="X61" t="str">
        <f>IFERROR(SUM((SUMIFS(Dyno_Data[AcqCenter],Dyno_Data[Team],$J$49, Dyno_Data[Match],X$51,Dyno_Data[TimeCenter],CenterTime_Source[[#This Row],[Seconds]])+X$51/100)*SUMIFS(Dyno_Data[AcqDis],Dyno_Data[Team],$J$49, Dyno_Data[Match],X$51,Dyno_Data[TimeCenter],CenterTime_Source[[#This Row],[Seconds]])),"")</f>
        <v/>
      </c>
      <c r="Y61" t="str">
        <f>IFERROR(SUM((SUMIFS(Dyno_Data[AcqCenter],Dyno_Data[Team],$J$49, Dyno_Data[Match],Y$51,Dyno_Data[TimeCenter],CenterTime_Source[[#This Row],[Seconds]])+Y$51/100)*SUMIFS(Dyno_Data[AcqDis],Dyno_Data[Team],$J$49, Dyno_Data[Match],Y$51,Dyno_Data[TimeCenter],CenterTime_Source[[#This Row],[Seconds]])),"")</f>
        <v/>
      </c>
      <c r="Z61" t="str">
        <f>IFERROR(SUM((SUMIFS(Dyno_Data[AcqCenter],Dyno_Data[Team],$J$49, Dyno_Data[Match],Z$51,Dyno_Data[TimeCenter],CenterTime_Source[[#This Row],[Seconds]])+Z$51/100)*SUMIFS(Dyno_Data[AcqDis],Dyno_Data[Team],$J$49, Dyno_Data[Match],Z$51,Dyno_Data[TimeCenter],CenterTime_Source[[#This Row],[Seconds]])),"")</f>
        <v/>
      </c>
    </row>
    <row r="62" spans="10:26" x14ac:dyDescent="0.3">
      <c r="J62">
        <v>10</v>
      </c>
      <c r="K62">
        <f>IFERROR(SUM((SUMIFS(Dyno_Data[AcqCenter],Dyno_Data[Team],$J$49, Dyno_Data[Match],K$51,Dyno_Data[TimeCenter],CenterTime_Source[[#This Row],[Seconds]])+K$51/100)*SUMIFS(Dyno_Data[AcqDis],Dyno_Data[Team],$J$49, Dyno_Data[Match],K$51,Dyno_Data[TimeCenter],CenterTime_Source[[#This Row],[Seconds]])),"")</f>
        <v>0</v>
      </c>
      <c r="L62">
        <f>IFERROR(SUM((SUMIFS(Dyno_Data[AcqCenter],Dyno_Data[Team],$J$49, Dyno_Data[Match],L$51,Dyno_Data[TimeCenter],CenterTime_Source[[#This Row],[Seconds]])+L$51/100)*SUMIFS(Dyno_Data[AcqDis],Dyno_Data[Team],$J$49, Dyno_Data[Match],L$51,Dyno_Data[TimeCenter],CenterTime_Source[[#This Row],[Seconds]])),"")</f>
        <v>5.15</v>
      </c>
      <c r="M62">
        <f>IFERROR(SUM((SUMIFS(Dyno_Data[AcqCenter],Dyno_Data[Team],$J$49, Dyno_Data[Match],M$51,Dyno_Data[TimeCenter],CenterTime_Source[[#This Row],[Seconds]])+M$51/100)*SUMIFS(Dyno_Data[AcqDis],Dyno_Data[Team],$J$49, Dyno_Data[Match],M$51,Dyno_Data[TimeCenter],CenterTime_Source[[#This Row],[Seconds]])),"")</f>
        <v>0</v>
      </c>
      <c r="N62">
        <f>IFERROR(SUM((SUMIFS(Dyno_Data[AcqCenter],Dyno_Data[Team],$J$49, Dyno_Data[Match],N$51,Dyno_Data[TimeCenter],CenterTime_Source[[#This Row],[Seconds]])+N$51/100)*SUMIFS(Dyno_Data[AcqDis],Dyno_Data[Team],$J$49, Dyno_Data[Match],N$51,Dyno_Data[TimeCenter],CenterTime_Source[[#This Row],[Seconds]])),"")</f>
        <v>0</v>
      </c>
      <c r="O62">
        <f>IFERROR(SUM((SUMIFS(Dyno_Data[AcqCenter],Dyno_Data[Team],$J$49, Dyno_Data[Match],O$51,Dyno_Data[TimeCenter],CenterTime_Source[[#This Row],[Seconds]])+O$51/100)*SUMIFS(Dyno_Data[AcqDis],Dyno_Data[Team],$J$49, Dyno_Data[Match],O$51,Dyno_Data[TimeCenter],CenterTime_Source[[#This Row],[Seconds]])),"")</f>
        <v>0</v>
      </c>
      <c r="P62">
        <f>IFERROR(SUM((SUMIFS(Dyno_Data[AcqCenter],Dyno_Data[Team],$J$49, Dyno_Data[Match],P$51,Dyno_Data[TimeCenter],CenterTime_Source[[#This Row],[Seconds]])+P$51/100)*SUMIFS(Dyno_Data[AcqDis],Dyno_Data[Team],$J$49, Dyno_Data[Match],P$51,Dyno_Data[TimeCenter],CenterTime_Source[[#This Row],[Seconds]])),"")</f>
        <v>0</v>
      </c>
      <c r="Q62">
        <f>IFERROR(SUM((SUMIFS(Dyno_Data[AcqCenter],Dyno_Data[Team],$J$49, Dyno_Data[Match],Q$51,Dyno_Data[TimeCenter],CenterTime_Source[[#This Row],[Seconds]])+Q$51/100)*SUMIFS(Dyno_Data[AcqDis],Dyno_Data[Team],$J$49, Dyno_Data[Match],Q$51,Dyno_Data[TimeCenter],CenterTime_Source[[#This Row],[Seconds]])),"")</f>
        <v>0</v>
      </c>
      <c r="R62" t="str">
        <f>IFERROR(SUM((SUMIFS(Dyno_Data[AcqCenter],Dyno_Data[Team],$J$49, Dyno_Data[Match],R$51,Dyno_Data[TimeCenter],CenterTime_Source[[#This Row],[Seconds]])+R$51/100)*SUMIFS(Dyno_Data[AcqDis],Dyno_Data[Team],$J$49, Dyno_Data[Match],R$51,Dyno_Data[TimeCenter],CenterTime_Source[[#This Row],[Seconds]])),"")</f>
        <v/>
      </c>
      <c r="S62" t="str">
        <f>IFERROR(SUM((SUMIFS(Dyno_Data[AcqCenter],Dyno_Data[Team],$J$49, Dyno_Data[Match],S$51,Dyno_Data[TimeCenter],CenterTime_Source[[#This Row],[Seconds]])+S$51/100)*SUMIFS(Dyno_Data[AcqDis],Dyno_Data[Team],$J$49, Dyno_Data[Match],S$51,Dyno_Data[TimeCenter],CenterTime_Source[[#This Row],[Seconds]])),"")</f>
        <v/>
      </c>
      <c r="T62" t="str">
        <f>IFERROR(SUM((SUMIFS(Dyno_Data[AcqCenter],Dyno_Data[Team],$J$49, Dyno_Data[Match],T$51,Dyno_Data[TimeCenter],CenterTime_Source[[#This Row],[Seconds]])+T$51/100)*SUMIFS(Dyno_Data[AcqDis],Dyno_Data[Team],$J$49, Dyno_Data[Match],T$51,Dyno_Data[TimeCenter],CenterTime_Source[[#This Row],[Seconds]])),"")</f>
        <v/>
      </c>
      <c r="U62" t="str">
        <f>IFERROR(SUM((SUMIFS(Dyno_Data[AcqCenter],Dyno_Data[Team],$J$49, Dyno_Data[Match],U$51,Dyno_Data[TimeCenter],CenterTime_Source[[#This Row],[Seconds]])+U$51/100)*SUMIFS(Dyno_Data[AcqDis],Dyno_Data[Team],$J$49, Dyno_Data[Match],U$51,Dyno_Data[TimeCenter],CenterTime_Source[[#This Row],[Seconds]])),"")</f>
        <v/>
      </c>
      <c r="V62" t="str">
        <f>IFERROR(SUM((SUMIFS(Dyno_Data[AcqCenter],Dyno_Data[Team],$J$49, Dyno_Data[Match],V$51,Dyno_Data[TimeCenter],CenterTime_Source[[#This Row],[Seconds]])+V$51/100)*SUMIFS(Dyno_Data[AcqDis],Dyno_Data[Team],$J$49, Dyno_Data[Match],V$51,Dyno_Data[TimeCenter],CenterTime_Source[[#This Row],[Seconds]])),"")</f>
        <v/>
      </c>
      <c r="W62" t="str">
        <f>IFERROR(SUM((SUMIFS(Dyno_Data[AcqCenter],Dyno_Data[Team],$J$49, Dyno_Data[Match],W$51,Dyno_Data[TimeCenter],CenterTime_Source[[#This Row],[Seconds]])+W$51/100)*SUMIFS(Dyno_Data[AcqDis],Dyno_Data[Team],$J$49, Dyno_Data[Match],W$51,Dyno_Data[TimeCenter],CenterTime_Source[[#This Row],[Seconds]])),"")</f>
        <v/>
      </c>
      <c r="X62" t="str">
        <f>IFERROR(SUM((SUMIFS(Dyno_Data[AcqCenter],Dyno_Data[Team],$J$49, Dyno_Data[Match],X$51,Dyno_Data[TimeCenter],CenterTime_Source[[#This Row],[Seconds]])+X$51/100)*SUMIFS(Dyno_Data[AcqDis],Dyno_Data[Team],$J$49, Dyno_Data[Match],X$51,Dyno_Data[TimeCenter],CenterTime_Source[[#This Row],[Seconds]])),"")</f>
        <v/>
      </c>
      <c r="Y62" t="str">
        <f>IFERROR(SUM((SUMIFS(Dyno_Data[AcqCenter],Dyno_Data[Team],$J$49, Dyno_Data[Match],Y$51,Dyno_Data[TimeCenter],CenterTime_Source[[#This Row],[Seconds]])+Y$51/100)*SUMIFS(Dyno_Data[AcqDis],Dyno_Data[Team],$J$49, Dyno_Data[Match],Y$51,Dyno_Data[TimeCenter],CenterTime_Source[[#This Row],[Seconds]])),"")</f>
        <v/>
      </c>
      <c r="Z62" t="str">
        <f>IFERROR(SUM((SUMIFS(Dyno_Data[AcqCenter],Dyno_Data[Team],$J$49, Dyno_Data[Match],Z$51,Dyno_Data[TimeCenter],CenterTime_Source[[#This Row],[Seconds]])+Z$51/100)*SUMIFS(Dyno_Data[AcqDis],Dyno_Data[Team],$J$49, Dyno_Data[Match],Z$51,Dyno_Data[TimeCenter],CenterTime_Source[[#This Row],[Seconds]])),"")</f>
        <v/>
      </c>
    </row>
    <row r="63" spans="10:26" x14ac:dyDescent="0.3">
      <c r="J63">
        <v>11</v>
      </c>
      <c r="K63">
        <f>IFERROR(SUM((SUMIFS(Dyno_Data[AcqCenter],Dyno_Data[Team],$J$49, Dyno_Data[Match],K$51,Dyno_Data[TimeCenter],CenterTime_Source[[#This Row],[Seconds]])+K$51/100)*SUMIFS(Dyno_Data[AcqDis],Dyno_Data[Team],$J$49, Dyno_Data[Match],K$51,Dyno_Data[TimeCenter],CenterTime_Source[[#This Row],[Seconds]])),"")</f>
        <v>0</v>
      </c>
      <c r="L63">
        <f>IFERROR(SUM((SUMIFS(Dyno_Data[AcqCenter],Dyno_Data[Team],$J$49, Dyno_Data[Match],L$51,Dyno_Data[TimeCenter],CenterTime_Source[[#This Row],[Seconds]])+L$51/100)*SUMIFS(Dyno_Data[AcqDis],Dyno_Data[Team],$J$49, Dyno_Data[Match],L$51,Dyno_Data[TimeCenter],CenterTime_Source[[#This Row],[Seconds]])),"")</f>
        <v>0</v>
      </c>
      <c r="M63">
        <f>IFERROR(SUM((SUMIFS(Dyno_Data[AcqCenter],Dyno_Data[Team],$J$49, Dyno_Data[Match],M$51,Dyno_Data[TimeCenter],CenterTime_Source[[#This Row],[Seconds]])+M$51/100)*SUMIFS(Dyno_Data[AcqDis],Dyno_Data[Team],$J$49, Dyno_Data[Match],M$51,Dyno_Data[TimeCenter],CenterTime_Source[[#This Row],[Seconds]])),"")</f>
        <v>0</v>
      </c>
      <c r="N63">
        <f>IFERROR(SUM((SUMIFS(Dyno_Data[AcqCenter],Dyno_Data[Team],$J$49, Dyno_Data[Match],N$51,Dyno_Data[TimeCenter],CenterTime_Source[[#This Row],[Seconds]])+N$51/100)*SUMIFS(Dyno_Data[AcqDis],Dyno_Data[Team],$J$49, Dyno_Data[Match],N$51,Dyno_Data[TimeCenter],CenterTime_Source[[#This Row],[Seconds]])),"")</f>
        <v>0</v>
      </c>
      <c r="O63">
        <f>IFERROR(SUM((SUMIFS(Dyno_Data[AcqCenter],Dyno_Data[Team],$J$49, Dyno_Data[Match],O$51,Dyno_Data[TimeCenter],CenterTime_Source[[#This Row],[Seconds]])+O$51/100)*SUMIFS(Dyno_Data[AcqDis],Dyno_Data[Team],$J$49, Dyno_Data[Match],O$51,Dyno_Data[TimeCenter],CenterTime_Source[[#This Row],[Seconds]])),"")</f>
        <v>0</v>
      </c>
      <c r="P63">
        <f>IFERROR(SUM((SUMIFS(Dyno_Data[AcqCenter],Dyno_Data[Team],$J$49, Dyno_Data[Match],P$51,Dyno_Data[TimeCenter],CenterTime_Source[[#This Row],[Seconds]])+P$51/100)*SUMIFS(Dyno_Data[AcqDis],Dyno_Data[Team],$J$49, Dyno_Data[Match],P$51,Dyno_Data[TimeCenter],CenterTime_Source[[#This Row],[Seconds]])),"")</f>
        <v>0</v>
      </c>
      <c r="Q63">
        <f>IFERROR(SUM((SUMIFS(Dyno_Data[AcqCenter],Dyno_Data[Team],$J$49, Dyno_Data[Match],Q$51,Dyno_Data[TimeCenter],CenterTime_Source[[#This Row],[Seconds]])+Q$51/100)*SUMIFS(Dyno_Data[AcqDis],Dyno_Data[Team],$J$49, Dyno_Data[Match],Q$51,Dyno_Data[TimeCenter],CenterTime_Source[[#This Row],[Seconds]])),"")</f>
        <v>0</v>
      </c>
      <c r="R63" t="str">
        <f>IFERROR(SUM((SUMIFS(Dyno_Data[AcqCenter],Dyno_Data[Team],$J$49, Dyno_Data[Match],R$51,Dyno_Data[TimeCenter],CenterTime_Source[[#This Row],[Seconds]])+R$51/100)*SUMIFS(Dyno_Data[AcqDis],Dyno_Data[Team],$J$49, Dyno_Data[Match],R$51,Dyno_Data[TimeCenter],CenterTime_Source[[#This Row],[Seconds]])),"")</f>
        <v/>
      </c>
      <c r="S63" t="str">
        <f>IFERROR(SUM((SUMIFS(Dyno_Data[AcqCenter],Dyno_Data[Team],$J$49, Dyno_Data[Match],S$51,Dyno_Data[TimeCenter],CenterTime_Source[[#This Row],[Seconds]])+S$51/100)*SUMIFS(Dyno_Data[AcqDis],Dyno_Data[Team],$J$49, Dyno_Data[Match],S$51,Dyno_Data[TimeCenter],CenterTime_Source[[#This Row],[Seconds]])),"")</f>
        <v/>
      </c>
      <c r="T63" t="str">
        <f>IFERROR(SUM((SUMIFS(Dyno_Data[AcqCenter],Dyno_Data[Team],$J$49, Dyno_Data[Match],T$51,Dyno_Data[TimeCenter],CenterTime_Source[[#This Row],[Seconds]])+T$51/100)*SUMIFS(Dyno_Data[AcqDis],Dyno_Data[Team],$J$49, Dyno_Data[Match],T$51,Dyno_Data[TimeCenter],CenterTime_Source[[#This Row],[Seconds]])),"")</f>
        <v/>
      </c>
      <c r="U63" t="str">
        <f>IFERROR(SUM((SUMIFS(Dyno_Data[AcqCenter],Dyno_Data[Team],$J$49, Dyno_Data[Match],U$51,Dyno_Data[TimeCenter],CenterTime_Source[[#This Row],[Seconds]])+U$51/100)*SUMIFS(Dyno_Data[AcqDis],Dyno_Data[Team],$J$49, Dyno_Data[Match],U$51,Dyno_Data[TimeCenter],CenterTime_Source[[#This Row],[Seconds]])),"")</f>
        <v/>
      </c>
      <c r="V63" t="str">
        <f>IFERROR(SUM((SUMIFS(Dyno_Data[AcqCenter],Dyno_Data[Team],$J$49, Dyno_Data[Match],V$51,Dyno_Data[TimeCenter],CenterTime_Source[[#This Row],[Seconds]])+V$51/100)*SUMIFS(Dyno_Data[AcqDis],Dyno_Data[Team],$J$49, Dyno_Data[Match],V$51,Dyno_Data[TimeCenter],CenterTime_Source[[#This Row],[Seconds]])),"")</f>
        <v/>
      </c>
      <c r="W63" t="str">
        <f>IFERROR(SUM((SUMIFS(Dyno_Data[AcqCenter],Dyno_Data[Team],$J$49, Dyno_Data[Match],W$51,Dyno_Data[TimeCenter],CenterTime_Source[[#This Row],[Seconds]])+W$51/100)*SUMIFS(Dyno_Data[AcqDis],Dyno_Data[Team],$J$49, Dyno_Data[Match],W$51,Dyno_Data[TimeCenter],CenterTime_Source[[#This Row],[Seconds]])),"")</f>
        <v/>
      </c>
      <c r="X63" t="str">
        <f>IFERROR(SUM((SUMIFS(Dyno_Data[AcqCenter],Dyno_Data[Team],$J$49, Dyno_Data[Match],X$51,Dyno_Data[TimeCenter],CenterTime_Source[[#This Row],[Seconds]])+X$51/100)*SUMIFS(Dyno_Data[AcqDis],Dyno_Data[Team],$J$49, Dyno_Data[Match],X$51,Dyno_Data[TimeCenter],CenterTime_Source[[#This Row],[Seconds]])),"")</f>
        <v/>
      </c>
      <c r="Y63" t="str">
        <f>IFERROR(SUM((SUMIFS(Dyno_Data[AcqCenter],Dyno_Data[Team],$J$49, Dyno_Data[Match],Y$51,Dyno_Data[TimeCenter],CenterTime_Source[[#This Row],[Seconds]])+Y$51/100)*SUMIFS(Dyno_Data[AcqDis],Dyno_Data[Team],$J$49, Dyno_Data[Match],Y$51,Dyno_Data[TimeCenter],CenterTime_Source[[#This Row],[Seconds]])),"")</f>
        <v/>
      </c>
      <c r="Z63" t="str">
        <f>IFERROR(SUM((SUMIFS(Dyno_Data[AcqCenter],Dyno_Data[Team],$J$49, Dyno_Data[Match],Z$51,Dyno_Data[TimeCenter],CenterTime_Source[[#This Row],[Seconds]])+Z$51/100)*SUMIFS(Dyno_Data[AcqDis],Dyno_Data[Team],$J$49, Dyno_Data[Match],Z$51,Dyno_Data[TimeCenter],CenterTime_Source[[#This Row],[Seconds]])),"")</f>
        <v/>
      </c>
    </row>
    <row r="64" spans="10:26" x14ac:dyDescent="0.3">
      <c r="J64">
        <v>12</v>
      </c>
      <c r="K64">
        <f>IFERROR(SUM((SUMIFS(Dyno_Data[AcqCenter],Dyno_Data[Team],$J$49, Dyno_Data[Match],K$51,Dyno_Data[TimeCenter],CenterTime_Source[[#This Row],[Seconds]])+K$51/100)*SUMIFS(Dyno_Data[AcqDis],Dyno_Data[Team],$J$49, Dyno_Data[Match],K$51,Dyno_Data[TimeCenter],CenterTime_Source[[#This Row],[Seconds]])),"")</f>
        <v>0</v>
      </c>
      <c r="L64">
        <f>IFERROR(SUM((SUMIFS(Dyno_Data[AcqCenter],Dyno_Data[Team],$J$49, Dyno_Data[Match],L$51,Dyno_Data[TimeCenter],CenterTime_Source[[#This Row],[Seconds]])+L$51/100)*SUMIFS(Dyno_Data[AcqDis],Dyno_Data[Team],$J$49, Dyno_Data[Match],L$51,Dyno_Data[TimeCenter],CenterTime_Source[[#This Row],[Seconds]])),"")</f>
        <v>0</v>
      </c>
      <c r="M64">
        <f>IFERROR(SUM((SUMIFS(Dyno_Data[AcqCenter],Dyno_Data[Team],$J$49, Dyno_Data[Match],M$51,Dyno_Data[TimeCenter],CenterTime_Source[[#This Row],[Seconds]])+M$51/100)*SUMIFS(Dyno_Data[AcqDis],Dyno_Data[Team],$J$49, Dyno_Data[Match],M$51,Dyno_Data[TimeCenter],CenterTime_Source[[#This Row],[Seconds]])),"")</f>
        <v>0</v>
      </c>
      <c r="N64">
        <f>IFERROR(SUM((SUMIFS(Dyno_Data[AcqCenter],Dyno_Data[Team],$J$49, Dyno_Data[Match],N$51,Dyno_Data[TimeCenter],CenterTime_Source[[#This Row],[Seconds]])+N$51/100)*SUMIFS(Dyno_Data[AcqDis],Dyno_Data[Team],$J$49, Dyno_Data[Match],N$51,Dyno_Data[TimeCenter],CenterTime_Source[[#This Row],[Seconds]])),"")</f>
        <v>0</v>
      </c>
      <c r="O64">
        <f>IFERROR(SUM((SUMIFS(Dyno_Data[AcqCenter],Dyno_Data[Team],$J$49, Dyno_Data[Match],O$51,Dyno_Data[TimeCenter],CenterTime_Source[[#This Row],[Seconds]])+O$51/100)*SUMIFS(Dyno_Data[AcqDis],Dyno_Data[Team],$J$49, Dyno_Data[Match],O$51,Dyno_Data[TimeCenter],CenterTime_Source[[#This Row],[Seconds]])),"")</f>
        <v>0</v>
      </c>
      <c r="P64">
        <f>IFERROR(SUM((SUMIFS(Dyno_Data[AcqCenter],Dyno_Data[Team],$J$49, Dyno_Data[Match],P$51,Dyno_Data[TimeCenter],CenterTime_Source[[#This Row],[Seconds]])+P$51/100)*SUMIFS(Dyno_Data[AcqDis],Dyno_Data[Team],$J$49, Dyno_Data[Match],P$51,Dyno_Data[TimeCenter],CenterTime_Source[[#This Row],[Seconds]])),"")</f>
        <v>0</v>
      </c>
      <c r="Q64">
        <f>IFERROR(SUM((SUMIFS(Dyno_Data[AcqCenter],Dyno_Data[Team],$J$49, Dyno_Data[Match],Q$51,Dyno_Data[TimeCenter],CenterTime_Source[[#This Row],[Seconds]])+Q$51/100)*SUMIFS(Dyno_Data[AcqDis],Dyno_Data[Team],$J$49, Dyno_Data[Match],Q$51,Dyno_Data[TimeCenter],CenterTime_Source[[#This Row],[Seconds]])),"")</f>
        <v>0</v>
      </c>
      <c r="R64" t="str">
        <f>IFERROR(SUM((SUMIFS(Dyno_Data[AcqCenter],Dyno_Data[Team],$J$49, Dyno_Data[Match],R$51,Dyno_Data[TimeCenter],CenterTime_Source[[#This Row],[Seconds]])+R$51/100)*SUMIFS(Dyno_Data[AcqDis],Dyno_Data[Team],$J$49, Dyno_Data[Match],R$51,Dyno_Data[TimeCenter],CenterTime_Source[[#This Row],[Seconds]])),"")</f>
        <v/>
      </c>
      <c r="S64" t="str">
        <f>IFERROR(SUM((SUMIFS(Dyno_Data[AcqCenter],Dyno_Data[Team],$J$49, Dyno_Data[Match],S$51,Dyno_Data[TimeCenter],CenterTime_Source[[#This Row],[Seconds]])+S$51/100)*SUMIFS(Dyno_Data[AcqDis],Dyno_Data[Team],$J$49, Dyno_Data[Match],S$51,Dyno_Data[TimeCenter],CenterTime_Source[[#This Row],[Seconds]])),"")</f>
        <v/>
      </c>
      <c r="T64" t="str">
        <f>IFERROR(SUM((SUMIFS(Dyno_Data[AcqCenter],Dyno_Data[Team],$J$49, Dyno_Data[Match],T$51,Dyno_Data[TimeCenter],CenterTime_Source[[#This Row],[Seconds]])+T$51/100)*SUMIFS(Dyno_Data[AcqDis],Dyno_Data[Team],$J$49, Dyno_Data[Match],T$51,Dyno_Data[TimeCenter],CenterTime_Source[[#This Row],[Seconds]])),"")</f>
        <v/>
      </c>
      <c r="U64" t="str">
        <f>IFERROR(SUM((SUMIFS(Dyno_Data[AcqCenter],Dyno_Data[Team],$J$49, Dyno_Data[Match],U$51,Dyno_Data[TimeCenter],CenterTime_Source[[#This Row],[Seconds]])+U$51/100)*SUMIFS(Dyno_Data[AcqDis],Dyno_Data[Team],$J$49, Dyno_Data[Match],U$51,Dyno_Data[TimeCenter],CenterTime_Source[[#This Row],[Seconds]])),"")</f>
        <v/>
      </c>
      <c r="V64" t="str">
        <f>IFERROR(SUM((SUMIFS(Dyno_Data[AcqCenter],Dyno_Data[Team],$J$49, Dyno_Data[Match],V$51,Dyno_Data[TimeCenter],CenterTime_Source[[#This Row],[Seconds]])+V$51/100)*SUMIFS(Dyno_Data[AcqDis],Dyno_Data[Team],$J$49, Dyno_Data[Match],V$51,Dyno_Data[TimeCenter],CenterTime_Source[[#This Row],[Seconds]])),"")</f>
        <v/>
      </c>
      <c r="W64" t="str">
        <f>IFERROR(SUM((SUMIFS(Dyno_Data[AcqCenter],Dyno_Data[Team],$J$49, Dyno_Data[Match],W$51,Dyno_Data[TimeCenter],CenterTime_Source[[#This Row],[Seconds]])+W$51/100)*SUMIFS(Dyno_Data[AcqDis],Dyno_Data[Team],$J$49, Dyno_Data[Match],W$51,Dyno_Data[TimeCenter],CenterTime_Source[[#This Row],[Seconds]])),"")</f>
        <v/>
      </c>
      <c r="X64" t="str">
        <f>IFERROR(SUM((SUMIFS(Dyno_Data[AcqCenter],Dyno_Data[Team],$J$49, Dyno_Data[Match],X$51,Dyno_Data[TimeCenter],CenterTime_Source[[#This Row],[Seconds]])+X$51/100)*SUMIFS(Dyno_Data[AcqDis],Dyno_Data[Team],$J$49, Dyno_Data[Match],X$51,Dyno_Data[TimeCenter],CenterTime_Source[[#This Row],[Seconds]])),"")</f>
        <v/>
      </c>
      <c r="Y64" t="str">
        <f>IFERROR(SUM((SUMIFS(Dyno_Data[AcqCenter],Dyno_Data[Team],$J$49, Dyno_Data[Match],Y$51,Dyno_Data[TimeCenter],CenterTime_Source[[#This Row],[Seconds]])+Y$51/100)*SUMIFS(Dyno_Data[AcqDis],Dyno_Data[Team],$J$49, Dyno_Data[Match],Y$51,Dyno_Data[TimeCenter],CenterTime_Source[[#This Row],[Seconds]])),"")</f>
        <v/>
      </c>
      <c r="Z64" t="str">
        <f>IFERROR(SUM((SUMIFS(Dyno_Data[AcqCenter],Dyno_Data[Team],$J$49, Dyno_Data[Match],Z$51,Dyno_Data[TimeCenter],CenterTime_Source[[#This Row],[Seconds]])+Z$51/100)*SUMIFS(Dyno_Data[AcqDis],Dyno_Data[Team],$J$49, Dyno_Data[Match],Z$51,Dyno_Data[TimeCenter],CenterTime_Source[[#This Row],[Seconds]])),"")</f>
        <v/>
      </c>
    </row>
    <row r="65" spans="10:26" x14ac:dyDescent="0.3">
      <c r="J65">
        <v>13</v>
      </c>
      <c r="K65">
        <f>IFERROR(SUM((SUMIFS(Dyno_Data[AcqCenter],Dyno_Data[Team],$J$49, Dyno_Data[Match],K$51,Dyno_Data[TimeCenter],CenterTime_Source[[#This Row],[Seconds]])+K$51/100)*SUMIFS(Dyno_Data[AcqDis],Dyno_Data[Team],$J$49, Dyno_Data[Match],K$51,Dyno_Data[TimeCenter],CenterTime_Source[[#This Row],[Seconds]])),"")</f>
        <v>0</v>
      </c>
      <c r="L65">
        <f>IFERROR(SUM((SUMIFS(Dyno_Data[AcqCenter],Dyno_Data[Team],$J$49, Dyno_Data[Match],L$51,Dyno_Data[TimeCenter],CenterTime_Source[[#This Row],[Seconds]])+L$51/100)*SUMIFS(Dyno_Data[AcqDis],Dyno_Data[Team],$J$49, Dyno_Data[Match],L$51,Dyno_Data[TimeCenter],CenterTime_Source[[#This Row],[Seconds]])),"")</f>
        <v>0</v>
      </c>
      <c r="M65">
        <f>IFERROR(SUM((SUMIFS(Dyno_Data[AcqCenter],Dyno_Data[Team],$J$49, Dyno_Data[Match],M$51,Dyno_Data[TimeCenter],CenterTime_Source[[#This Row],[Seconds]])+M$51/100)*SUMIFS(Dyno_Data[AcqDis],Dyno_Data[Team],$J$49, Dyno_Data[Match],M$51,Dyno_Data[TimeCenter],CenterTime_Source[[#This Row],[Seconds]])),"")</f>
        <v>0</v>
      </c>
      <c r="N65">
        <f>IFERROR(SUM((SUMIFS(Dyno_Data[AcqCenter],Dyno_Data[Team],$J$49, Dyno_Data[Match],N$51,Dyno_Data[TimeCenter],CenterTime_Source[[#This Row],[Seconds]])+N$51/100)*SUMIFS(Dyno_Data[AcqDis],Dyno_Data[Team],$J$49, Dyno_Data[Match],N$51,Dyno_Data[TimeCenter],CenterTime_Source[[#This Row],[Seconds]])),"")</f>
        <v>0</v>
      </c>
      <c r="O65">
        <f>IFERROR(SUM((SUMIFS(Dyno_Data[AcqCenter],Dyno_Data[Team],$J$49, Dyno_Data[Match],O$51,Dyno_Data[TimeCenter],CenterTime_Source[[#This Row],[Seconds]])+O$51/100)*SUMIFS(Dyno_Data[AcqDis],Dyno_Data[Team],$J$49, Dyno_Data[Match],O$51,Dyno_Data[TimeCenter],CenterTime_Source[[#This Row],[Seconds]])),"")</f>
        <v>0</v>
      </c>
      <c r="P65">
        <f>IFERROR(SUM((SUMIFS(Dyno_Data[AcqCenter],Dyno_Data[Team],$J$49, Dyno_Data[Match],P$51,Dyno_Data[TimeCenter],CenterTime_Source[[#This Row],[Seconds]])+P$51/100)*SUMIFS(Dyno_Data[AcqDis],Dyno_Data[Team],$J$49, Dyno_Data[Match],P$51,Dyno_Data[TimeCenter],CenterTime_Source[[#This Row],[Seconds]])),"")</f>
        <v>4.4400000000000004</v>
      </c>
      <c r="Q65">
        <f>IFERROR(SUM((SUMIFS(Dyno_Data[AcqCenter],Dyno_Data[Team],$J$49, Dyno_Data[Match],Q$51,Dyno_Data[TimeCenter],CenterTime_Source[[#This Row],[Seconds]])+Q$51/100)*SUMIFS(Dyno_Data[AcqDis],Dyno_Data[Team],$J$49, Dyno_Data[Match],Q$51,Dyno_Data[TimeCenter],CenterTime_Source[[#This Row],[Seconds]])),"")</f>
        <v>0</v>
      </c>
      <c r="R65" t="str">
        <f>IFERROR(SUM((SUMIFS(Dyno_Data[AcqCenter],Dyno_Data[Team],$J$49, Dyno_Data[Match],R$51,Dyno_Data[TimeCenter],CenterTime_Source[[#This Row],[Seconds]])+R$51/100)*SUMIFS(Dyno_Data[AcqDis],Dyno_Data[Team],$J$49, Dyno_Data[Match],R$51,Dyno_Data[TimeCenter],CenterTime_Source[[#This Row],[Seconds]])),"")</f>
        <v/>
      </c>
      <c r="S65" t="str">
        <f>IFERROR(SUM((SUMIFS(Dyno_Data[AcqCenter],Dyno_Data[Team],$J$49, Dyno_Data[Match],S$51,Dyno_Data[TimeCenter],CenterTime_Source[[#This Row],[Seconds]])+S$51/100)*SUMIFS(Dyno_Data[AcqDis],Dyno_Data[Team],$J$49, Dyno_Data[Match],S$51,Dyno_Data[TimeCenter],CenterTime_Source[[#This Row],[Seconds]])),"")</f>
        <v/>
      </c>
      <c r="T65" t="str">
        <f>IFERROR(SUM((SUMIFS(Dyno_Data[AcqCenter],Dyno_Data[Team],$J$49, Dyno_Data[Match],T$51,Dyno_Data[TimeCenter],CenterTime_Source[[#This Row],[Seconds]])+T$51/100)*SUMIFS(Dyno_Data[AcqDis],Dyno_Data[Team],$J$49, Dyno_Data[Match],T$51,Dyno_Data[TimeCenter],CenterTime_Source[[#This Row],[Seconds]])),"")</f>
        <v/>
      </c>
      <c r="U65" t="str">
        <f>IFERROR(SUM((SUMIFS(Dyno_Data[AcqCenter],Dyno_Data[Team],$J$49, Dyno_Data[Match],U$51,Dyno_Data[TimeCenter],CenterTime_Source[[#This Row],[Seconds]])+U$51/100)*SUMIFS(Dyno_Data[AcqDis],Dyno_Data[Team],$J$49, Dyno_Data[Match],U$51,Dyno_Data[TimeCenter],CenterTime_Source[[#This Row],[Seconds]])),"")</f>
        <v/>
      </c>
      <c r="V65" t="str">
        <f>IFERROR(SUM((SUMIFS(Dyno_Data[AcqCenter],Dyno_Data[Team],$J$49, Dyno_Data[Match],V$51,Dyno_Data[TimeCenter],CenterTime_Source[[#This Row],[Seconds]])+V$51/100)*SUMIFS(Dyno_Data[AcqDis],Dyno_Data[Team],$J$49, Dyno_Data[Match],V$51,Dyno_Data[TimeCenter],CenterTime_Source[[#This Row],[Seconds]])),"")</f>
        <v/>
      </c>
      <c r="W65" t="str">
        <f>IFERROR(SUM((SUMIFS(Dyno_Data[AcqCenter],Dyno_Data[Team],$J$49, Dyno_Data[Match],W$51,Dyno_Data[TimeCenter],CenterTime_Source[[#This Row],[Seconds]])+W$51/100)*SUMIFS(Dyno_Data[AcqDis],Dyno_Data[Team],$J$49, Dyno_Data[Match],W$51,Dyno_Data[TimeCenter],CenterTime_Source[[#This Row],[Seconds]])),"")</f>
        <v/>
      </c>
      <c r="X65" t="str">
        <f>IFERROR(SUM((SUMIFS(Dyno_Data[AcqCenter],Dyno_Data[Team],$J$49, Dyno_Data[Match],X$51,Dyno_Data[TimeCenter],CenterTime_Source[[#This Row],[Seconds]])+X$51/100)*SUMIFS(Dyno_Data[AcqDis],Dyno_Data[Team],$J$49, Dyno_Data[Match],X$51,Dyno_Data[TimeCenter],CenterTime_Source[[#This Row],[Seconds]])),"")</f>
        <v/>
      </c>
      <c r="Y65" t="str">
        <f>IFERROR(SUM((SUMIFS(Dyno_Data[AcqCenter],Dyno_Data[Team],$J$49, Dyno_Data[Match],Y$51,Dyno_Data[TimeCenter],CenterTime_Source[[#This Row],[Seconds]])+Y$51/100)*SUMIFS(Dyno_Data[AcqDis],Dyno_Data[Team],$J$49, Dyno_Data[Match],Y$51,Dyno_Data[TimeCenter],CenterTime_Source[[#This Row],[Seconds]])),"")</f>
        <v/>
      </c>
      <c r="Z65" t="str">
        <f>IFERROR(SUM((SUMIFS(Dyno_Data[AcqCenter],Dyno_Data[Team],$J$49, Dyno_Data[Match],Z$51,Dyno_Data[TimeCenter],CenterTime_Source[[#This Row],[Seconds]])+Z$51/100)*SUMIFS(Dyno_Data[AcqDis],Dyno_Data[Team],$J$49, Dyno_Data[Match],Z$51,Dyno_Data[TimeCenter],CenterTime_Source[[#This Row],[Seconds]])),"")</f>
        <v/>
      </c>
    </row>
    <row r="66" spans="10:26" x14ac:dyDescent="0.3">
      <c r="J66">
        <v>14</v>
      </c>
      <c r="K66">
        <f>IFERROR(SUM((SUMIFS(Dyno_Data[AcqCenter],Dyno_Data[Team],$J$49, Dyno_Data[Match],K$51,Dyno_Data[TimeCenter],CenterTime_Source[[#This Row],[Seconds]])+K$51/100)*SUMIFS(Dyno_Data[AcqDis],Dyno_Data[Team],$J$49, Dyno_Data[Match],K$51,Dyno_Data[TimeCenter],CenterTime_Source[[#This Row],[Seconds]])),"")</f>
        <v>0</v>
      </c>
      <c r="L66">
        <f>IFERROR(SUM((SUMIFS(Dyno_Data[AcqCenter],Dyno_Data[Team],$J$49, Dyno_Data[Match],L$51,Dyno_Data[TimeCenter],CenterTime_Source[[#This Row],[Seconds]])+L$51/100)*SUMIFS(Dyno_Data[AcqDis],Dyno_Data[Team],$J$49, Dyno_Data[Match],L$51,Dyno_Data[TimeCenter],CenterTime_Source[[#This Row],[Seconds]])),"")</f>
        <v>0</v>
      </c>
      <c r="M66">
        <f>IFERROR(SUM((SUMIFS(Dyno_Data[AcqCenter],Dyno_Data[Team],$J$49, Dyno_Data[Match],M$51,Dyno_Data[TimeCenter],CenterTime_Source[[#This Row],[Seconds]])+M$51/100)*SUMIFS(Dyno_Data[AcqDis],Dyno_Data[Team],$J$49, Dyno_Data[Match],M$51,Dyno_Data[TimeCenter],CenterTime_Source[[#This Row],[Seconds]])),"")</f>
        <v>0</v>
      </c>
      <c r="N66">
        <f>IFERROR(SUM((SUMIFS(Dyno_Data[AcqCenter],Dyno_Data[Team],$J$49, Dyno_Data[Match],N$51,Dyno_Data[TimeCenter],CenterTime_Source[[#This Row],[Seconds]])+N$51/100)*SUMIFS(Dyno_Data[AcqDis],Dyno_Data[Team],$J$49, Dyno_Data[Match],N$51,Dyno_Data[TimeCenter],CenterTime_Source[[#This Row],[Seconds]])),"")</f>
        <v>0</v>
      </c>
      <c r="O66">
        <f>IFERROR(SUM((SUMIFS(Dyno_Data[AcqCenter],Dyno_Data[Team],$J$49, Dyno_Data[Match],O$51,Dyno_Data[TimeCenter],CenterTime_Source[[#This Row],[Seconds]])+O$51/100)*SUMIFS(Dyno_Data[AcqDis],Dyno_Data[Team],$J$49, Dyno_Data[Match],O$51,Dyno_Data[TimeCenter],CenterTime_Source[[#This Row],[Seconds]])),"")</f>
        <v>4.37</v>
      </c>
      <c r="P66">
        <f>IFERROR(SUM((SUMIFS(Dyno_Data[AcqCenter],Dyno_Data[Team],$J$49, Dyno_Data[Match],P$51,Dyno_Data[TimeCenter],CenterTime_Source[[#This Row],[Seconds]])+P$51/100)*SUMIFS(Dyno_Data[AcqDis],Dyno_Data[Team],$J$49, Dyno_Data[Match],P$51,Dyno_Data[TimeCenter],CenterTime_Source[[#This Row],[Seconds]])),"")</f>
        <v>0</v>
      </c>
      <c r="Q66">
        <f>IFERROR(SUM((SUMIFS(Dyno_Data[AcqCenter],Dyno_Data[Team],$J$49, Dyno_Data[Match],Q$51,Dyno_Data[TimeCenter],CenterTime_Source[[#This Row],[Seconds]])+Q$51/100)*SUMIFS(Dyno_Data[AcqDis],Dyno_Data[Team],$J$49, Dyno_Data[Match],Q$51,Dyno_Data[TimeCenter],CenterTime_Source[[#This Row],[Seconds]])),"")</f>
        <v>0</v>
      </c>
      <c r="R66" t="str">
        <f>IFERROR(SUM((SUMIFS(Dyno_Data[AcqCenter],Dyno_Data[Team],$J$49, Dyno_Data[Match],R$51,Dyno_Data[TimeCenter],CenterTime_Source[[#This Row],[Seconds]])+R$51/100)*SUMIFS(Dyno_Data[AcqDis],Dyno_Data[Team],$J$49, Dyno_Data[Match],R$51,Dyno_Data[TimeCenter],CenterTime_Source[[#This Row],[Seconds]])),"")</f>
        <v/>
      </c>
      <c r="S66" t="str">
        <f>IFERROR(SUM((SUMIFS(Dyno_Data[AcqCenter],Dyno_Data[Team],$J$49, Dyno_Data[Match],S$51,Dyno_Data[TimeCenter],CenterTime_Source[[#This Row],[Seconds]])+S$51/100)*SUMIFS(Dyno_Data[AcqDis],Dyno_Data[Team],$J$49, Dyno_Data[Match],S$51,Dyno_Data[TimeCenter],CenterTime_Source[[#This Row],[Seconds]])),"")</f>
        <v/>
      </c>
      <c r="T66" t="str">
        <f>IFERROR(SUM((SUMIFS(Dyno_Data[AcqCenter],Dyno_Data[Team],$J$49, Dyno_Data[Match],T$51,Dyno_Data[TimeCenter],CenterTime_Source[[#This Row],[Seconds]])+T$51/100)*SUMIFS(Dyno_Data[AcqDis],Dyno_Data[Team],$J$49, Dyno_Data[Match],T$51,Dyno_Data[TimeCenter],CenterTime_Source[[#This Row],[Seconds]])),"")</f>
        <v/>
      </c>
      <c r="U66" t="str">
        <f>IFERROR(SUM((SUMIFS(Dyno_Data[AcqCenter],Dyno_Data[Team],$J$49, Dyno_Data[Match],U$51,Dyno_Data[TimeCenter],CenterTime_Source[[#This Row],[Seconds]])+U$51/100)*SUMIFS(Dyno_Data[AcqDis],Dyno_Data[Team],$J$49, Dyno_Data[Match],U$51,Dyno_Data[TimeCenter],CenterTime_Source[[#This Row],[Seconds]])),"")</f>
        <v/>
      </c>
      <c r="V66" t="str">
        <f>IFERROR(SUM((SUMIFS(Dyno_Data[AcqCenter],Dyno_Data[Team],$J$49, Dyno_Data[Match],V$51,Dyno_Data[TimeCenter],CenterTime_Source[[#This Row],[Seconds]])+V$51/100)*SUMIFS(Dyno_Data[AcqDis],Dyno_Data[Team],$J$49, Dyno_Data[Match],V$51,Dyno_Data[TimeCenter],CenterTime_Source[[#This Row],[Seconds]])),"")</f>
        <v/>
      </c>
      <c r="W66" t="str">
        <f>IFERROR(SUM((SUMIFS(Dyno_Data[AcqCenter],Dyno_Data[Team],$J$49, Dyno_Data[Match],W$51,Dyno_Data[TimeCenter],CenterTime_Source[[#This Row],[Seconds]])+W$51/100)*SUMIFS(Dyno_Data[AcqDis],Dyno_Data[Team],$J$49, Dyno_Data[Match],W$51,Dyno_Data[TimeCenter],CenterTime_Source[[#This Row],[Seconds]])),"")</f>
        <v/>
      </c>
      <c r="X66" t="str">
        <f>IFERROR(SUM((SUMIFS(Dyno_Data[AcqCenter],Dyno_Data[Team],$J$49, Dyno_Data[Match],X$51,Dyno_Data[TimeCenter],CenterTime_Source[[#This Row],[Seconds]])+X$51/100)*SUMIFS(Dyno_Data[AcqDis],Dyno_Data[Team],$J$49, Dyno_Data[Match],X$51,Dyno_Data[TimeCenter],CenterTime_Source[[#This Row],[Seconds]])),"")</f>
        <v/>
      </c>
      <c r="Y66" t="str">
        <f>IFERROR(SUM((SUMIFS(Dyno_Data[AcqCenter],Dyno_Data[Team],$J$49, Dyno_Data[Match],Y$51,Dyno_Data[TimeCenter],CenterTime_Source[[#This Row],[Seconds]])+Y$51/100)*SUMIFS(Dyno_Data[AcqDis],Dyno_Data[Team],$J$49, Dyno_Data[Match],Y$51,Dyno_Data[TimeCenter],CenterTime_Source[[#This Row],[Seconds]])),"")</f>
        <v/>
      </c>
      <c r="Z66" t="str">
        <f>IFERROR(SUM((SUMIFS(Dyno_Data[AcqCenter],Dyno_Data[Team],$J$49, Dyno_Data[Match],Z$51,Dyno_Data[TimeCenter],CenterTime_Source[[#This Row],[Seconds]])+Z$51/100)*SUMIFS(Dyno_Data[AcqDis],Dyno_Data[Team],$J$49, Dyno_Data[Match],Z$51,Dyno_Data[TimeCenter],CenterTime_Source[[#This Row],[Seconds]])),"")</f>
        <v/>
      </c>
    </row>
    <row r="67" spans="10:26" x14ac:dyDescent="0.3">
      <c r="J67">
        <v>15</v>
      </c>
      <c r="K67">
        <f>IFERROR(SUM((SUMIFS(Dyno_Data[AcqCenter],Dyno_Data[Team],$J$49, Dyno_Data[Match],K$51,Dyno_Data[TimeCenter],CenterTime_Source[[#This Row],[Seconds]])+K$51/100)*SUMIFS(Dyno_Data[AcqDis],Dyno_Data[Team],$J$49, Dyno_Data[Match],K$51,Dyno_Data[TimeCenter],CenterTime_Source[[#This Row],[Seconds]])),"")</f>
        <v>0</v>
      </c>
      <c r="L67">
        <f>IFERROR(SUM((SUMIFS(Dyno_Data[AcqCenter],Dyno_Data[Team],$J$49, Dyno_Data[Match],L$51,Dyno_Data[TimeCenter],CenterTime_Source[[#This Row],[Seconds]])+L$51/100)*SUMIFS(Dyno_Data[AcqDis],Dyno_Data[Team],$J$49, Dyno_Data[Match],L$51,Dyno_Data[TimeCenter],CenterTime_Source[[#This Row],[Seconds]])),"")</f>
        <v>0</v>
      </c>
      <c r="M67">
        <f>IFERROR(SUM((SUMIFS(Dyno_Data[AcqCenter],Dyno_Data[Team],$J$49, Dyno_Data[Match],M$51,Dyno_Data[TimeCenter],CenterTime_Source[[#This Row],[Seconds]])+M$51/100)*SUMIFS(Dyno_Data[AcqDis],Dyno_Data[Team],$J$49, Dyno_Data[Match],M$51,Dyno_Data[TimeCenter],CenterTime_Source[[#This Row],[Seconds]])),"")</f>
        <v>3.21</v>
      </c>
      <c r="N67">
        <f>IFERROR(SUM((SUMIFS(Dyno_Data[AcqCenter],Dyno_Data[Team],$J$49, Dyno_Data[Match],N$51,Dyno_Data[TimeCenter],CenterTime_Source[[#This Row],[Seconds]])+N$51/100)*SUMIFS(Dyno_Data[AcqDis],Dyno_Data[Team],$J$49, Dyno_Data[Match],N$51,Dyno_Data[TimeCenter],CenterTime_Source[[#This Row],[Seconds]])),"")</f>
        <v>0</v>
      </c>
      <c r="O67">
        <f>IFERROR(SUM((SUMIFS(Dyno_Data[AcqCenter],Dyno_Data[Team],$J$49, Dyno_Data[Match],O$51,Dyno_Data[TimeCenter],CenterTime_Source[[#This Row],[Seconds]])+O$51/100)*SUMIFS(Dyno_Data[AcqDis],Dyno_Data[Team],$J$49, Dyno_Data[Match],O$51,Dyno_Data[TimeCenter],CenterTime_Source[[#This Row],[Seconds]])),"")</f>
        <v>0</v>
      </c>
      <c r="P67">
        <f>IFERROR(SUM((SUMIFS(Dyno_Data[AcqCenter],Dyno_Data[Team],$J$49, Dyno_Data[Match],P$51,Dyno_Data[TimeCenter],CenterTime_Source[[#This Row],[Seconds]])+P$51/100)*SUMIFS(Dyno_Data[AcqDis],Dyno_Data[Team],$J$49, Dyno_Data[Match],P$51,Dyno_Data[TimeCenter],CenterTime_Source[[#This Row],[Seconds]])),"")</f>
        <v>0</v>
      </c>
      <c r="Q67">
        <f>IFERROR(SUM((SUMIFS(Dyno_Data[AcqCenter],Dyno_Data[Team],$J$49, Dyno_Data[Match],Q$51,Dyno_Data[TimeCenter],CenterTime_Source[[#This Row],[Seconds]])+Q$51/100)*SUMIFS(Dyno_Data[AcqDis],Dyno_Data[Team],$J$49, Dyno_Data[Match],Q$51,Dyno_Data[TimeCenter],CenterTime_Source[[#This Row],[Seconds]])),"")</f>
        <v>4.5600000000000005</v>
      </c>
      <c r="R67" t="str">
        <f>IFERROR(SUM((SUMIFS(Dyno_Data[AcqCenter],Dyno_Data[Team],$J$49, Dyno_Data[Match],R$51,Dyno_Data[TimeCenter],CenterTime_Source[[#This Row],[Seconds]])+R$51/100)*SUMIFS(Dyno_Data[AcqDis],Dyno_Data[Team],$J$49, Dyno_Data[Match],R$51,Dyno_Data[TimeCenter],CenterTime_Source[[#This Row],[Seconds]])),"")</f>
        <v/>
      </c>
      <c r="S67" t="str">
        <f>IFERROR(SUM((SUMIFS(Dyno_Data[AcqCenter],Dyno_Data[Team],$J$49, Dyno_Data[Match],S$51,Dyno_Data[TimeCenter],CenterTime_Source[[#This Row],[Seconds]])+S$51/100)*SUMIFS(Dyno_Data[AcqDis],Dyno_Data[Team],$J$49, Dyno_Data[Match],S$51,Dyno_Data[TimeCenter],CenterTime_Source[[#This Row],[Seconds]])),"")</f>
        <v/>
      </c>
      <c r="T67" t="str">
        <f>IFERROR(SUM((SUMIFS(Dyno_Data[AcqCenter],Dyno_Data[Team],$J$49, Dyno_Data[Match],T$51,Dyno_Data[TimeCenter],CenterTime_Source[[#This Row],[Seconds]])+T$51/100)*SUMIFS(Dyno_Data[AcqDis],Dyno_Data[Team],$J$49, Dyno_Data[Match],T$51,Dyno_Data[TimeCenter],CenterTime_Source[[#This Row],[Seconds]])),"")</f>
        <v/>
      </c>
      <c r="U67" t="str">
        <f>IFERROR(SUM((SUMIFS(Dyno_Data[AcqCenter],Dyno_Data[Team],$J$49, Dyno_Data[Match],U$51,Dyno_Data[TimeCenter],CenterTime_Source[[#This Row],[Seconds]])+U$51/100)*SUMIFS(Dyno_Data[AcqDis],Dyno_Data[Team],$J$49, Dyno_Data[Match],U$51,Dyno_Data[TimeCenter],CenterTime_Source[[#This Row],[Seconds]])),"")</f>
        <v/>
      </c>
      <c r="V67" t="str">
        <f>IFERROR(SUM((SUMIFS(Dyno_Data[AcqCenter],Dyno_Data[Team],$J$49, Dyno_Data[Match],V$51,Dyno_Data[TimeCenter],CenterTime_Source[[#This Row],[Seconds]])+V$51/100)*SUMIFS(Dyno_Data[AcqDis],Dyno_Data[Team],$J$49, Dyno_Data[Match],V$51,Dyno_Data[TimeCenter],CenterTime_Source[[#This Row],[Seconds]])),"")</f>
        <v/>
      </c>
      <c r="W67" t="str">
        <f>IFERROR(SUM((SUMIFS(Dyno_Data[AcqCenter],Dyno_Data[Team],$J$49, Dyno_Data[Match],W$51,Dyno_Data[TimeCenter],CenterTime_Source[[#This Row],[Seconds]])+W$51/100)*SUMIFS(Dyno_Data[AcqDis],Dyno_Data[Team],$J$49, Dyno_Data[Match],W$51,Dyno_Data[TimeCenter],CenterTime_Source[[#This Row],[Seconds]])),"")</f>
        <v/>
      </c>
      <c r="X67" t="str">
        <f>IFERROR(SUM((SUMIFS(Dyno_Data[AcqCenter],Dyno_Data[Team],$J$49, Dyno_Data[Match],X$51,Dyno_Data[TimeCenter],CenterTime_Source[[#This Row],[Seconds]])+X$51/100)*SUMIFS(Dyno_Data[AcqDis],Dyno_Data[Team],$J$49, Dyno_Data[Match],X$51,Dyno_Data[TimeCenter],CenterTime_Source[[#This Row],[Seconds]])),"")</f>
        <v/>
      </c>
      <c r="Y67" t="str">
        <f>IFERROR(SUM((SUMIFS(Dyno_Data[AcqCenter],Dyno_Data[Team],$J$49, Dyno_Data[Match],Y$51,Dyno_Data[TimeCenter],CenterTime_Source[[#This Row],[Seconds]])+Y$51/100)*SUMIFS(Dyno_Data[AcqDis],Dyno_Data[Team],$J$49, Dyno_Data[Match],Y$51,Dyno_Data[TimeCenter],CenterTime_Source[[#This Row],[Seconds]])),"")</f>
        <v/>
      </c>
      <c r="Z67" t="str">
        <f>IFERROR(SUM((SUMIFS(Dyno_Data[AcqCenter],Dyno_Data[Team],$J$49, Dyno_Data[Match],Z$51,Dyno_Data[TimeCenter],CenterTime_Source[[#This Row],[Seconds]])+Z$51/100)*SUMIFS(Dyno_Data[AcqDis],Dyno_Data[Team],$J$49, Dyno_Data[Match],Z$51,Dyno_Data[TimeCenter],CenterTime_Source[[#This Row],[Seconds]])),"")</f>
        <v/>
      </c>
    </row>
  </sheetData>
  <mergeCells count="8">
    <mergeCell ref="J48:Z48"/>
    <mergeCell ref="J1:N1"/>
    <mergeCell ref="A1:H1"/>
    <mergeCell ref="B8:G8"/>
    <mergeCell ref="B18:G18"/>
    <mergeCell ref="B28:G28"/>
    <mergeCell ref="J8:Z8"/>
    <mergeCell ref="J28:Z28"/>
  </mergeCells>
  <pageMargins left="0.7" right="0.7" top="0.75" bottom="0.75" header="0.3" footer="0.3"/>
  <tableParts count="5">
    <tablePart r:id="rId1"/>
    <tablePart r:id="rId2"/>
    <tablePart r:id="rId3"/>
    <tablePart r:id="rId4"/>
    <tablePart r:id="rId5"/>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A6CAB-0DB7-4E2B-8C44-2E041217876E}">
  <sheetPr codeName="Sheet8">
    <tabColor rgb="FFC9A4E4"/>
  </sheetPr>
  <dimension ref="A1:R36"/>
  <sheetViews>
    <sheetView topLeftCell="A12" workbookViewId="0">
      <selection activeCell="E34" sqref="E34"/>
    </sheetView>
  </sheetViews>
  <sheetFormatPr defaultRowHeight="14.4" x14ac:dyDescent="0.3"/>
  <cols>
    <col min="7" max="7" width="12.109375" bestFit="1" customWidth="1"/>
    <col min="10" max="10" width="9.88671875" customWidth="1"/>
    <col min="11" max="11" width="12.109375" customWidth="1"/>
    <col min="12" max="13" width="10.44140625" customWidth="1"/>
    <col min="14" max="14" width="10.6640625" customWidth="1"/>
    <col min="15" max="15" width="11.33203125" customWidth="1"/>
    <col min="16" max="17" width="10.44140625" style="74" customWidth="1"/>
    <col min="18" max="19" width="10.44140625" customWidth="1"/>
    <col min="20" max="26" width="11.44140625" customWidth="1"/>
  </cols>
  <sheetData>
    <row r="1" spans="1:18" ht="15" thickTop="1" x14ac:dyDescent="0.3">
      <c r="A1" s="175" t="s">
        <v>228</v>
      </c>
      <c r="B1" s="175"/>
      <c r="C1" s="175"/>
      <c r="D1" s="175"/>
      <c r="E1" s="175"/>
      <c r="F1" s="175"/>
      <c r="G1" s="175"/>
      <c r="H1" s="175"/>
      <c r="J1" s="184" t="s">
        <v>229</v>
      </c>
      <c r="K1" s="185"/>
      <c r="L1" s="185"/>
      <c r="M1" s="186"/>
      <c r="N1" s="1"/>
      <c r="P1" s="184" t="s">
        <v>230</v>
      </c>
      <c r="Q1" s="185"/>
      <c r="R1" s="186"/>
    </row>
    <row r="2" spans="1:18" x14ac:dyDescent="0.3">
      <c r="A2" t="s">
        <v>141</v>
      </c>
      <c r="B2" s="74" t="s">
        <v>101</v>
      </c>
      <c r="C2" t="s">
        <v>152</v>
      </c>
      <c r="D2" t="s">
        <v>153</v>
      </c>
      <c r="E2" t="s">
        <v>182</v>
      </c>
      <c r="F2" t="s">
        <v>183</v>
      </c>
      <c r="G2" t="s">
        <v>184</v>
      </c>
      <c r="H2" t="s">
        <v>185</v>
      </c>
      <c r="J2" s="84" t="s">
        <v>141</v>
      </c>
      <c r="K2" s="74" t="s">
        <v>101</v>
      </c>
      <c r="L2" s="74" t="s">
        <v>157</v>
      </c>
      <c r="M2" s="119" t="s">
        <v>104</v>
      </c>
      <c r="N2" s="74"/>
      <c r="P2" s="84" t="s">
        <v>231</v>
      </c>
      <c r="Q2" s="74" t="s">
        <v>232</v>
      </c>
      <c r="R2" s="119" t="s">
        <v>233</v>
      </c>
    </row>
    <row r="3" spans="1:18" x14ac:dyDescent="0.3">
      <c r="A3" t="str">
        <f>IF(AllianceT="Red",_Red1, _Blue3)</f>
        <v>frc1591</v>
      </c>
      <c r="B3" s="74">
        <f>IFERROR(AVERAGEIFS(TBA_Matches_All[TampT],TBA_Matches_All[Team],$A3,TBA_Matches_All[Scouted],"&gt;0"),0)</f>
        <v>1.1428571428571428</v>
      </c>
      <c r="C3" s="74">
        <f>IFERROR(AVERAGEIFS(TBA_Matches_All[TspkrT],TBA_Matches_All[Team],$A3,TBA_Matches_All[Scouted],"&gt;0"),0)</f>
        <v>9.1428571428571423</v>
      </c>
      <c r="D3" s="74">
        <f>IFERROR(AVERAGEIFS(TBA_Matches_All[TtrapT],TBA_Matches_All[Team],$A3,TBA_Matches_All[Scouted],"&gt;0"),0)</f>
        <v>0</v>
      </c>
      <c r="E3" s="74">
        <f>IFERROR(SUM(SUMIFS(Dyno_Data[DelMiss],Dyno_Data[Team],$A3,Dyno_Data[RecordType],"Activities",Dyno_Data[Mode],"Teleop")/COUNTIF(Dyno_EndMatch[Team],$A3)),0)</f>
        <v>0.1111111111111111</v>
      </c>
      <c r="F3" s="74">
        <f>SUM(Teleop_Delivs[[#This Row],[Amp]],Teleop_Delivs[[#This Row],[Speaker]],Teleop_Delivs[[#This Row],[Trap]],Teleop_Delivs[[#This Row],[Miss]])</f>
        <v>10.396825396825395</v>
      </c>
      <c r="G3" s="74">
        <f>Teleop_Delivs[[#This Row],[Norm]]-Teleop_Delivs[[#This Row],[Total Att]]</f>
        <v>0</v>
      </c>
      <c r="H3" s="74">
        <f>MAX(Teleop_Delivs[Total Att])</f>
        <v>10.396825396825395</v>
      </c>
      <c r="J3" s="84" t="str">
        <f>IF(AllianceT="Red",_Red3,_Blue1)</f>
        <v>frc2791</v>
      </c>
      <c r="K3" s="74" cm="1">
        <f t="array" aca="1" ref="K3" ca="1">SUM(IFERROR(AVERAGEIFS(TBA_Matches_All[TampT],TBA_Matches_All[Team],$J3,TBA_Matches_All[View],"A",TBA_Matches_All[Scouted],"&gt;0"),0),IFERROR(AVERAGEIFS(TBA_Matches_All[TspkrT],TBA_Matches_All[Team],$J3,TBA_Matches_All[View],"A",TBA_Matches_All[Scouted],"&gt;0"),0),IFERROR(averagifs(TBA_Matches_All[TtrapT],TBA_Matches_All[Team],$J3,TBA_Matches_All[View],"A",TBA_Matches_All[Scouted],"&gt;0"),0))</f>
        <v>5</v>
      </c>
      <c r="L3" s="74" cm="1">
        <f t="array" aca="1" ref="L3" ca="1">SUM(IFERROR(AVERAGEIFS(TBA_Matches_All[TampT],TBA_Matches_All[Team],$J3,TBA_Matches_All[View],"C",TBA_Matches_All[Scouted],"&gt;0"),0),IFERROR(AVERAGEIFS(TBA_Matches_All[TspkrT],TBA_Matches_All[Team],$J3,TBA_Matches_All[View],"C",TBA_Matches_All[Scouted],"&gt;0"),0),IFERROR(averagifs(TBA_Matches_All[TtrapT],TBA_Matches_All[Team],$J3,TBA_Matches_All[View],"C",TBA_Matches_All[Scouted],"&gt;0"),0))</f>
        <v>7.5</v>
      </c>
      <c r="M3" s="119" cm="1">
        <f t="array" aca="1" ref="M3" ca="1">SUM(IFERROR(AVERAGEIFS(TBA_Matches_All[TampT],TBA_Matches_All[Team],$J3,TBA_Matches_All[View],"S",TBA_Matches_All[Scouted],"&gt;0"),0),IFERROR(AVERAGEIFS(TBA_Matches_All[TspkrT],TBA_Matches_All[Team],$J3,TBA_Matches_All[View],"S",TBA_Matches_All[Scouted],"&gt;0"),0),IFERROR(averagifs(TBA_Matches_All[TtrapT],TBA_Matches_All[Team],$J3,TBA_Matches_All[View],"S",TBA_Matches_All[Scouted],"&gt;0"),0))</f>
        <v>0</v>
      </c>
      <c r="N3" s="74"/>
      <c r="P3" s="84" t="str">
        <f>Teleop_StaPts[[#This Row],[Team]]</f>
        <v>frc2791</v>
      </c>
      <c r="Q3" s="74">
        <f ca="1">Teleop_StaPts[[#This Row],[Amp]]</f>
        <v>5</v>
      </c>
      <c r="R3" s="119">
        <f>IFERROR(AVERAGEIFS(TBA_Rankings[avenotesT],TBA_Rankings[Team],P3),0)</f>
        <v>5.833333333333333</v>
      </c>
    </row>
    <row r="4" spans="1:18" x14ac:dyDescent="0.3">
      <c r="A4" t="str">
        <f>IF(AllianceT="Red",_Red2, _Blue2)</f>
        <v>frc5016</v>
      </c>
      <c r="B4" s="74">
        <f>IFERROR(AVERAGEIFS(TBA_Matches_All[TampT],TBA_Matches_All[Team],$A4,TBA_Matches_All[Scouted],"&gt;0"),0)</f>
        <v>0.33333333333333331</v>
      </c>
      <c r="C4" s="74">
        <f>IFERROR(AVERAGEIFS(TBA_Matches_All[TspkrT],TBA_Matches_All[Team],$A4,TBA_Matches_All[Scouted],"&gt;0"),0)</f>
        <v>3.3333333333333335</v>
      </c>
      <c r="D4" s="74">
        <f>IFERROR(AVERAGEIFS(TBA_Matches_All[TtrapT],TBA_Matches_All[Team],$A4,TBA_Matches_All[Scouted],"&gt;0"),0)</f>
        <v>0</v>
      </c>
      <c r="E4" s="74">
        <f>IFERROR(SUM(SUMIFS(Dyno_Data[DelMiss],Dyno_Data[Team],$A4,Dyno_Data[RecordType],"Activities",Dyno_Data[Mode],"Teleop")/COUNTIF(Dyno_EndMatch[Team],$A4)),0)</f>
        <v>1.375</v>
      </c>
      <c r="F4" s="74">
        <f>SUM(Teleop_Delivs[[#This Row],[Amp]],Teleop_Delivs[[#This Row],[Speaker]],Teleop_Delivs[[#This Row],[Trap]],Teleop_Delivs[[#This Row],[Miss]])</f>
        <v>5.041666666666667</v>
      </c>
      <c r="G4" s="74">
        <f>Teleop_Delivs[[#This Row],[Norm]]-Teleop_Delivs[[#This Row],[Total Att]]</f>
        <v>5.3551587301587285</v>
      </c>
      <c r="H4" s="74">
        <f>MAX(Teleop_Delivs[Total Att])</f>
        <v>10.396825396825395</v>
      </c>
      <c r="J4" s="84" t="str">
        <f>IF(AllianceT="Red",_Red2,_Blue2)</f>
        <v>frc5016</v>
      </c>
      <c r="K4" s="74" cm="1">
        <f t="array" aca="1" ref="K4" ca="1">SUM(IFERROR(AVERAGEIFS(TBA_Matches_All[TampT],TBA_Matches_All[Team],$J4,TBA_Matches_All[View],"A",TBA_Matches_All[Scouted],"&gt;0"),0),IFERROR(AVERAGEIFS(TBA_Matches_All[TspkrT],TBA_Matches_All[Team],$J4,TBA_Matches_All[View],"A",TBA_Matches_All[Scouted],"&gt;0"),0),IFERROR(averagifs(TBA_Matches_All[TtrapT],TBA_Matches_All[Team],$J4,TBA_Matches_All[View],"A",TBA_Matches_All[Scouted],"&gt;0"),0))</f>
        <v>5</v>
      </c>
      <c r="L4" s="74" cm="1">
        <f t="array" aca="1" ref="L4" ca="1">SUM(IFERROR(AVERAGEIFS(TBA_Matches_All[TampT],TBA_Matches_All[Team],$J4,TBA_Matches_All[View],"C",TBA_Matches_All[Scouted],"&gt;0"),0),IFERROR(AVERAGEIFS(TBA_Matches_All[TspkrT],TBA_Matches_All[Team],$J4,TBA_Matches_All[View],"C",TBA_Matches_All[Scouted],"&gt;0"),0),IFERROR(averagifs(TBA_Matches_All[TtrapT],TBA_Matches_All[Team],$J4,TBA_Matches_All[View],"C",TBA_Matches_All[Scouted],"&gt;0"),0))</f>
        <v>4.5</v>
      </c>
      <c r="M4" s="119" cm="1">
        <f t="array" aca="1" ref="M4" ca="1">SUM(IFERROR(AVERAGEIFS(TBA_Matches_All[TampT],TBA_Matches_All[Team],$J4,TBA_Matches_All[View],"S",TBA_Matches_All[Scouted],"&gt;0"),0),IFERROR(AVERAGEIFS(TBA_Matches_All[TspkrT],TBA_Matches_All[Team],$J4,TBA_Matches_All[View],"S",TBA_Matches_All[Scouted],"&gt;0"),0),IFERROR(averagifs(TBA_Matches_All[TtrapT],TBA_Matches_All[Team],$J4,TBA_Matches_All[View],"S",TBA_Matches_All[Scouted],"&gt;0"),0))</f>
        <v>2.6666666666666665</v>
      </c>
      <c r="N4" s="74"/>
      <c r="P4" s="84" t="str">
        <f>Teleop_StaPts[[#This Row],[Team]]</f>
        <v>frc5016</v>
      </c>
      <c r="Q4" s="74">
        <f ca="1">Teleop_StaPts[[#This Row],[Center]]</f>
        <v>4.5</v>
      </c>
      <c r="R4" s="119">
        <f>IFERROR(AVERAGEIFS(TBA_Rankings[avenotesT],TBA_Rankings[Team],P4),0)</f>
        <v>4.333333333333333</v>
      </c>
    </row>
    <row r="5" spans="1:18" ht="15" thickBot="1" x14ac:dyDescent="0.35">
      <c r="A5" t="str">
        <f>IF(AllianceT="Red",_Red3, _Blue1)</f>
        <v>frc2791</v>
      </c>
      <c r="B5" s="74">
        <f>IFERROR(AVERAGEIFS(TBA_Matches_All[TampT],TBA_Matches_All[Team],$A5,TBA_Matches_All[Scouted],"&gt;0"),0)</f>
        <v>1.1666666666666667</v>
      </c>
      <c r="C5" s="74">
        <f>IFERROR(AVERAGEIFS(TBA_Matches_All[TspkrT],TBA_Matches_All[Team],$A5,TBA_Matches_All[Scouted],"&gt;0"),0)</f>
        <v>3.8333333333333335</v>
      </c>
      <c r="D5" s="74">
        <f>IFERROR(AVERAGEIFS(TBA_Matches_All[TtrapT],TBA_Matches_All[Team],$A5,TBA_Matches_All[Scouted],"&gt;0"),0)</f>
        <v>0</v>
      </c>
      <c r="E5" s="74">
        <f>IFERROR(SUM(SUMIFS(Dyno_Data[DelMiss],Dyno_Data[Team],$A5,Dyno_Data[RecordType],"Activities",Dyno_Data[Mode],"Teleop")/COUNTIF(Dyno_EndMatch[Team],$A5)),0)</f>
        <v>0.7142857142857143</v>
      </c>
      <c r="F5" s="74">
        <f>SUM(Teleop_Delivs[[#This Row],[Amp]],Teleop_Delivs[[#This Row],[Speaker]],Teleop_Delivs[[#This Row],[Trap]],Teleop_Delivs[[#This Row],[Miss]])</f>
        <v>5.7142857142857144</v>
      </c>
      <c r="G5" s="74">
        <f>Teleop_Delivs[[#This Row],[Norm]]-Teleop_Delivs[[#This Row],[Total Att]]</f>
        <v>4.682539682539681</v>
      </c>
      <c r="H5" s="74">
        <f>MAX(Teleop_Delivs[Total Att])</f>
        <v>10.396825396825395</v>
      </c>
      <c r="J5" s="86" t="str">
        <f>IF(AllianceT="Red",_Red1,_Blue3)</f>
        <v>frc1591</v>
      </c>
      <c r="K5" s="120" cm="1">
        <f t="array" aca="1" ref="K5" ca="1">SUM(IFERROR(AVERAGEIFS(TBA_Matches_All[TampT],TBA_Matches_All[Team],$J5,TBA_Matches_All[View],"A",TBA_Matches_All[Scouted],"&gt;0"),0),IFERROR(AVERAGEIFS(TBA_Matches_All[TspkrT],TBA_Matches_All[Team],$J5,TBA_Matches_All[View],"A",TBA_Matches_All[Scouted],"&gt;0"),0),IFERROR(averagifs(TBA_Matches_All[TtrapT],TBA_Matches_All[Team],$J5,TBA_Matches_All[View],"A",TBA_Matches_All[Scouted],"&gt;0"),0))</f>
        <v>11</v>
      </c>
      <c r="L5" s="120" cm="1">
        <f t="array" aca="1" ref="L5" ca="1">SUM(IFERROR(AVERAGEIFS(TBA_Matches_All[TampT],TBA_Matches_All[Team],$J5,TBA_Matches_All[View],"C",TBA_Matches_All[Scouted],"&gt;0"),0),IFERROR(AVERAGEIFS(TBA_Matches_All[TspkrT],TBA_Matches_All[Team],$J5,TBA_Matches_All[View],"C",TBA_Matches_All[Scouted],"&gt;0"),0),IFERROR(averagifs(TBA_Matches_All[TtrapT],TBA_Matches_All[Team],$J5,TBA_Matches_All[View],"C",TBA_Matches_All[Scouted],"&gt;0"),0))</f>
        <v>11</v>
      </c>
      <c r="M5" s="121" cm="1">
        <f t="array" aca="1" ref="M5" ca="1">SUM(IFERROR(AVERAGEIFS(TBA_Matches_All[TampT],TBA_Matches_All[Team],$J5,TBA_Matches_All[View],"S",TBA_Matches_All[Scouted],"&gt;0"),0),IFERROR(AVERAGEIFS(TBA_Matches_All[TspkrT],TBA_Matches_All[Team],$J5,TBA_Matches_All[View],"S",TBA_Matches_All[Scouted],"&gt;0"),0),IFERROR(averagifs(TBA_Matches_All[TtrapT],TBA_Matches_All[Team],$J5,TBA_Matches_All[View],"S",TBA_Matches_All[Scouted],"&gt;0"),0))</f>
        <v>9.3333333333333339</v>
      </c>
      <c r="N5" s="74"/>
      <c r="P5" s="84" t="str">
        <f>Teleop_StaPts[[#This Row],[Team]]</f>
        <v>frc1591</v>
      </c>
      <c r="Q5" s="74">
        <f ca="1">Teleop_StaPts[[#This Row],[Source]]</f>
        <v>9.3333333333333339</v>
      </c>
      <c r="R5" s="119">
        <f>IFERROR(AVERAGEIFS(TBA_Rankings[avenotesT],TBA_Rankings[Team],P5),0)</f>
        <v>13.428571428571429</v>
      </c>
    </row>
    <row r="6" spans="1:18" ht="15.6" thickTop="1" thickBot="1" x14ac:dyDescent="0.35">
      <c r="P6" s="86" t="s">
        <v>154</v>
      </c>
      <c r="Q6" s="120">
        <f ca="1">SUM(Q3:Q5)</f>
        <v>18.833333333333336</v>
      </c>
      <c r="R6" s="121">
        <f>SUM(R3:R5)</f>
        <v>23.595238095238095</v>
      </c>
    </row>
    <row r="7" spans="1:18" ht="15.6" thickTop="1" thickBot="1" x14ac:dyDescent="0.35">
      <c r="P7"/>
      <c r="R7" s="74"/>
    </row>
    <row r="8" spans="1:18" ht="15" thickTop="1" x14ac:dyDescent="0.3">
      <c r="A8" s="95" t="str">
        <f>IF(AllianceT="Red",_Red3,_Blue1)</f>
        <v>frc2791</v>
      </c>
      <c r="B8" s="185" t="s">
        <v>234</v>
      </c>
      <c r="C8" s="185"/>
      <c r="D8" s="185"/>
      <c r="E8" s="185"/>
      <c r="F8" s="185"/>
      <c r="G8" s="186"/>
      <c r="J8" s="184" t="s">
        <v>235</v>
      </c>
      <c r="K8" s="185"/>
      <c r="L8" s="185"/>
      <c r="M8" s="185"/>
      <c r="N8" s="186"/>
    </row>
    <row r="9" spans="1:18" x14ac:dyDescent="0.3">
      <c r="A9" s="84" t="s">
        <v>188</v>
      </c>
      <c r="B9" t="s">
        <v>189</v>
      </c>
      <c r="C9" t="s">
        <v>190</v>
      </c>
      <c r="D9" t="s">
        <v>191</v>
      </c>
      <c r="E9" t="s">
        <v>192</v>
      </c>
      <c r="F9" t="s">
        <v>193</v>
      </c>
      <c r="G9" s="85" t="s">
        <v>194</v>
      </c>
      <c r="J9" s="84" t="str">
        <f>IF(AllianceT="Red",_Red3,_Blue1)</f>
        <v>frc2791</v>
      </c>
      <c r="N9" s="85"/>
    </row>
    <row r="10" spans="1:18" ht="15" thickBot="1" x14ac:dyDescent="0.35">
      <c r="A10" s="84" t="s">
        <v>195</v>
      </c>
      <c r="B10">
        <v>25</v>
      </c>
      <c r="C10" s="96">
        <f>SUM((E11-E10)/(E12-E10))*50-C11</f>
        <v>9.717948717948719</v>
      </c>
      <c r="D10" s="97">
        <f>SUM(B13:B15)-D12</f>
        <v>80.536458333333329</v>
      </c>
      <c r="E10" s="107">
        <f>MIN(TBA_Rankings[aveTampT])</f>
        <v>0</v>
      </c>
      <c r="F10" s="107">
        <f>MIN(TBA_Rankings[aveTspkrT])</f>
        <v>0</v>
      </c>
      <c r="G10" s="98" t="s">
        <v>196</v>
      </c>
      <c r="J10" s="84" t="s">
        <v>236</v>
      </c>
      <c r="K10" t="s">
        <v>237</v>
      </c>
      <c r="L10" s="122" t="s">
        <v>238</v>
      </c>
      <c r="M10" t="s">
        <v>239</v>
      </c>
      <c r="N10" s="85" t="s">
        <v>154</v>
      </c>
    </row>
    <row r="11" spans="1:18" ht="15" thickBot="1" x14ac:dyDescent="0.35">
      <c r="A11" s="84" t="s">
        <v>197</v>
      </c>
      <c r="B11">
        <v>50</v>
      </c>
      <c r="C11" s="4">
        <v>1.5</v>
      </c>
      <c r="D11" s="4">
        <v>1.5</v>
      </c>
      <c r="E11" s="108">
        <f>SUMIF(TBA_Rankings[Team],$A$8,TBA_Rankings[aveTampT])</f>
        <v>1.1666666666666667</v>
      </c>
      <c r="F11" s="108">
        <f>SUMIF(TBA_Rankings[Team],$A$8,TBA_Rankings[aveTspkrT])</f>
        <v>3.8333333333333335</v>
      </c>
      <c r="G11" s="99" t="s">
        <v>198</v>
      </c>
      <c r="J11" s="84" t="s">
        <v>240</v>
      </c>
      <c r="K11">
        <f>IFERROR(COUNTIFS(Dyno_Data[Team],$J$9,Dyno_Data[DelDest],"Spkr",Dyno_Data[DelOrig],Spkr_Amp[[#This Row],[Origin]]),0)</f>
        <v>22</v>
      </c>
      <c r="L11" s="122">
        <f>IFERROR(SUM(Spkr_Amp[[#This Row],[Quantity]]/(Spkr_Amp[[#This Row],[Total]])),0)</f>
        <v>0.91666666666666663</v>
      </c>
      <c r="M11">
        <f>IFERROR(COUNTIFS(Dyno_Data[Team],$J$9,Dyno_Data[DelDest],"Spkr",Dyno_Data[DelOrig],Spkr_Amp[[#This Row],[Origin]],Dyno_Data[DelMiss],1),0)</f>
        <v>2</v>
      </c>
      <c r="N11" s="85">
        <f>Spkr_Amp[[#This Row],[Quantity]]+Spkr_Amp[[#This Row],[Misses]]</f>
        <v>24</v>
      </c>
    </row>
    <row r="12" spans="1:18" x14ac:dyDescent="0.3">
      <c r="A12" s="84" t="s">
        <v>199</v>
      </c>
      <c r="B12">
        <v>25</v>
      </c>
      <c r="C12" s="97">
        <f>SUM(B10:B12)-SUM(C10:C11)</f>
        <v>88.782051282051285</v>
      </c>
      <c r="D12" s="96">
        <f>SUM((F11-F10)/(F12-F10))*50-D11</f>
        <v>19.463541666666668</v>
      </c>
      <c r="E12" s="109">
        <f>MAX(TBA_Rankings[aveTampT])</f>
        <v>5.2</v>
      </c>
      <c r="F12" s="109">
        <f>MAX(TBA_Rankings[aveTspkrT])</f>
        <v>9.1428571428571423</v>
      </c>
      <c r="G12" s="100" t="s">
        <v>200</v>
      </c>
      <c r="J12" s="84" t="s">
        <v>241</v>
      </c>
      <c r="K12">
        <f>IFERROR(COUNTIFS(Dyno_Data[Team],$J$9,Dyno_Data[DelDest],"Spkr",Dyno_Data[DelOrig],Spkr_Amp[[#This Row],[Origin]]),0)</f>
        <v>27</v>
      </c>
      <c r="L12" s="122">
        <f>IFERROR(SUM(Spkr_Amp[[#This Row],[Quantity]]/(Spkr_Amp[[#This Row],[Total]])),0)</f>
        <v>0.87096774193548387</v>
      </c>
      <c r="M12">
        <f>IFERROR(COUNTIFS(Dyno_Data[Team],$J$9,Dyno_Data[DelDest],"Spkr",Dyno_Data[DelOrig],Spkr_Amp[[#This Row],[Origin]],Dyno_Data[DelMiss],1),0)</f>
        <v>4</v>
      </c>
      <c r="N12" s="85">
        <f>Spkr_Amp[[#This Row],[Quantity]]+Spkr_Amp[[#This Row],[Misses]]</f>
        <v>31</v>
      </c>
    </row>
    <row r="13" spans="1:18" ht="15" thickBot="1" x14ac:dyDescent="0.35">
      <c r="A13" s="84" t="s">
        <v>218</v>
      </c>
      <c r="B13">
        <v>25</v>
      </c>
      <c r="G13" s="101" t="s">
        <v>219</v>
      </c>
      <c r="J13" s="86" t="s">
        <v>242</v>
      </c>
      <c r="K13" s="87">
        <f>IFERROR(COUNTIFS(Dyno_Data[Team],$J$9,Dyno_Data[DelDest],"Spkr",Dyno_Data[DelOrig],Spkr_Amp[[#This Row],[Origin]]),0)</f>
        <v>0</v>
      </c>
      <c r="L13" s="123">
        <f>IFERROR(SUM(Spkr_Amp[[#This Row],[Quantity]]/(Spkr_Amp[[#This Row],[Total]])),0)</f>
        <v>0</v>
      </c>
      <c r="M13" s="87">
        <f>IFERROR(COUNTIFS(Dyno_Data[Team],$J$9,Dyno_Data[DelDest],"Spkr",Dyno_Data[DelOrig],Spkr_Amp[[#This Row],[Origin]],Dyno_Data[DelMiss],1),0)</f>
        <v>0</v>
      </c>
      <c r="N13" s="116">
        <f>Spkr_Amp[[#This Row],[Quantity]]+Spkr_Amp[[#This Row],[Misses]]</f>
        <v>0</v>
      </c>
    </row>
    <row r="14" spans="1:18" ht="15.6" thickTop="1" thickBot="1" x14ac:dyDescent="0.35">
      <c r="A14" s="84" t="s">
        <v>220</v>
      </c>
      <c r="B14">
        <v>50</v>
      </c>
      <c r="C14" t="str">
        <f>_xlfn.CONCAT("Amp: ",ROUND(E11,2))</f>
        <v>Amp: 1.17</v>
      </c>
      <c r="D14" t="str">
        <f>_xlfn.CONCAT("Spkr: ",ROUND(F11,2))</f>
        <v>Spkr: 3.83</v>
      </c>
      <c r="E14" s="104" t="str">
        <f>_xlfn.CONCAT("Trap: ",SUMIF(TBA_Matches_All[Team],$A$8,TBA_Matches_All[TtrapT]),"/",COUNTIF(Dyno_EndMatch[Team],$A$8))</f>
        <v>Trap: 0/7</v>
      </c>
      <c r="G14" s="104" t="s">
        <v>221</v>
      </c>
    </row>
    <row r="15" spans="1:18" ht="15" thickBot="1" x14ac:dyDescent="0.35">
      <c r="A15" s="86" t="s">
        <v>222</v>
      </c>
      <c r="B15" s="87">
        <v>25</v>
      </c>
      <c r="C15" s="87"/>
      <c r="D15" s="87"/>
      <c r="E15" s="87"/>
      <c r="F15" s="87"/>
      <c r="G15" s="102" t="s">
        <v>223</v>
      </c>
      <c r="J15" s="132" t="str">
        <f>_xlfn.CONCAT("Amp Accuracy: ",TEXT(IFERROR(AVERAGEIFS(TBA_Matches_All[ampShtP],TBA_Matches_All[Team],J9),0),"0.00%"))</f>
        <v>Amp Accuracy: 35.71%</v>
      </c>
    </row>
    <row r="16" spans="1:18" ht="15" thickTop="1" x14ac:dyDescent="0.3"/>
    <row r="17" spans="1:14" ht="15" thickBot="1" x14ac:dyDescent="0.35"/>
    <row r="18" spans="1:14" ht="15" thickTop="1" x14ac:dyDescent="0.3">
      <c r="A18" s="95" t="str">
        <f>IF(AllianceT="Red",_Red2,_Blue2)</f>
        <v>frc5016</v>
      </c>
      <c r="B18" s="185" t="s">
        <v>243</v>
      </c>
      <c r="C18" s="185"/>
      <c r="D18" s="185"/>
      <c r="E18" s="185"/>
      <c r="F18" s="185"/>
      <c r="G18" s="186"/>
      <c r="J18" s="184" t="s">
        <v>244</v>
      </c>
      <c r="K18" s="185"/>
      <c r="L18" s="185"/>
      <c r="M18" s="185"/>
      <c r="N18" s="186"/>
    </row>
    <row r="19" spans="1:14" x14ac:dyDescent="0.3">
      <c r="A19" s="84" t="s">
        <v>188</v>
      </c>
      <c r="B19" t="s">
        <v>189</v>
      </c>
      <c r="C19" t="s">
        <v>190</v>
      </c>
      <c r="D19" t="s">
        <v>191</v>
      </c>
      <c r="E19" t="s">
        <v>192</v>
      </c>
      <c r="F19" t="s">
        <v>193</v>
      </c>
      <c r="G19" s="85" t="s">
        <v>194</v>
      </c>
      <c r="J19" s="84" t="str">
        <f>IF(AllianceT="Red",_Red2,_Blue2)</f>
        <v>frc5016</v>
      </c>
      <c r="N19" s="85"/>
    </row>
    <row r="20" spans="1:14" ht="15" thickBot="1" x14ac:dyDescent="0.35">
      <c r="A20" s="84" t="s">
        <v>195</v>
      </c>
      <c r="B20">
        <v>25</v>
      </c>
      <c r="C20" s="96">
        <f>SUM((E21-E20)/(E22-E20))*50-C21</f>
        <v>1.7051282051282048</v>
      </c>
      <c r="D20" s="97">
        <f>SUM(B23:B25)-D22</f>
        <v>83.270833333333329</v>
      </c>
      <c r="E20" s="107">
        <f>MIN(TBA_Rankings[aveTampT])</f>
        <v>0</v>
      </c>
      <c r="F20" s="107">
        <f>MIN(TBA_Rankings[aveTspkrT])</f>
        <v>0</v>
      </c>
      <c r="G20" s="98" t="s">
        <v>196</v>
      </c>
      <c r="J20" s="84" t="s">
        <v>236</v>
      </c>
      <c r="K20" t="s">
        <v>237</v>
      </c>
      <c r="L20" s="122" t="s">
        <v>238</v>
      </c>
      <c r="M20" t="s">
        <v>239</v>
      </c>
      <c r="N20" s="85" t="s">
        <v>154</v>
      </c>
    </row>
    <row r="21" spans="1:14" ht="15" thickBot="1" x14ac:dyDescent="0.35">
      <c r="A21" s="84" t="s">
        <v>197</v>
      </c>
      <c r="B21">
        <v>50</v>
      </c>
      <c r="C21" s="4">
        <v>1.5</v>
      </c>
      <c r="D21" s="4">
        <v>1.5</v>
      </c>
      <c r="E21" s="108">
        <f>SUMIF(TBA_Rankings[Team],$A$18,TBA_Rankings[aveTampT])</f>
        <v>0.33333333333333331</v>
      </c>
      <c r="F21" s="108">
        <f>SUMIF(TBA_Rankings[Team],$A$18,TBA_Rankings[aveTspkrT])</f>
        <v>3.3333333333333335</v>
      </c>
      <c r="G21" s="99" t="s">
        <v>198</v>
      </c>
      <c r="J21" s="84" t="s">
        <v>240</v>
      </c>
      <c r="K21">
        <f>IFERROR(COUNTIFS(Dyno_Data[Team],$J$19,Dyno_Data[DelDest],"Spkr",Dyno_Data[DelOrig],Spkr_Center[[#This Row],[Origin]]),0)</f>
        <v>22</v>
      </c>
      <c r="L21" s="122">
        <f>IFERROR(SUM(Spkr_Center[[#This Row],[Quantity]]/(Spkr_Center[[#This Row],[Total]])),0)</f>
        <v>0.7857142857142857</v>
      </c>
      <c r="M21">
        <f>IFERROR(COUNTIFS(Dyno_Data[Team],$J$19,Dyno_Data[DelDest],"Spkr",Dyno_Data[DelOrig],Spkr_Center[[#This Row],[Origin]],Dyno_Data[DelMiss],1),0)</f>
        <v>6</v>
      </c>
      <c r="N21" s="85">
        <f>Spkr_Center[[#This Row],[Quantity]]+Spkr_Center[[#This Row],[Misses]]</f>
        <v>28</v>
      </c>
    </row>
    <row r="22" spans="1:14" x14ac:dyDescent="0.3">
      <c r="A22" s="84" t="s">
        <v>199</v>
      </c>
      <c r="B22">
        <v>25</v>
      </c>
      <c r="C22" s="97">
        <f>SUM(B20:B22)-SUM(C20:C21)</f>
        <v>96.794871794871796</v>
      </c>
      <c r="D22" s="96">
        <f>SUM((F21-F20)/(F22-F20))*50-D21</f>
        <v>16.729166666666668</v>
      </c>
      <c r="E22" s="109">
        <f>MAX(TBA_Rankings[aveTampT])</f>
        <v>5.2</v>
      </c>
      <c r="F22" s="109">
        <f>MAX(TBA_Rankings[aveTspkrT])</f>
        <v>9.1428571428571423</v>
      </c>
      <c r="G22" s="100" t="s">
        <v>200</v>
      </c>
      <c r="J22" s="84" t="s">
        <v>241</v>
      </c>
      <c r="K22">
        <f>IFERROR(COUNTIFS(Dyno_Data[Team],$J$19,Dyno_Data[DelDest],"Spkr",Dyno_Data[DelOrig],Spkr_Center[[#This Row],[Origin]]),0)</f>
        <v>17</v>
      </c>
      <c r="L22" s="122">
        <f>IFERROR(SUM(Spkr_Center[[#This Row],[Quantity]]/(Spkr_Center[[#This Row],[Total]])),0)</f>
        <v>0.80952380952380953</v>
      </c>
      <c r="M22">
        <f>IFERROR(COUNTIFS(Dyno_Data[Team],$J$19,Dyno_Data[DelDest],"Spkr",Dyno_Data[DelOrig],Spkr_Center[[#This Row],[Origin]],Dyno_Data[DelMiss],1),0)</f>
        <v>4</v>
      </c>
      <c r="N22" s="85">
        <f>Spkr_Center[[#This Row],[Quantity]]+Spkr_Center[[#This Row],[Misses]]</f>
        <v>21</v>
      </c>
    </row>
    <row r="23" spans="1:14" ht="15" thickBot="1" x14ac:dyDescent="0.35">
      <c r="A23" s="84" t="s">
        <v>218</v>
      </c>
      <c r="B23">
        <v>25</v>
      </c>
      <c r="G23" s="101" t="s">
        <v>219</v>
      </c>
      <c r="J23" s="86" t="s">
        <v>242</v>
      </c>
      <c r="K23" s="87">
        <f>IFERROR(COUNTIFS(Dyno_Data[Team],$J$19,Dyno_Data[DelDest],"Spkr",Dyno_Data[DelOrig],Spkr_Center[[#This Row],[Origin]]),0)</f>
        <v>2</v>
      </c>
      <c r="L23" s="123">
        <f>IFERROR(SUM(Spkr_Center[[#This Row],[Quantity]]/(Spkr_Center[[#This Row],[Total]])),0)</f>
        <v>1</v>
      </c>
      <c r="M23" s="87">
        <f>IFERROR(COUNTIFS(Dyno_Data[Team],$J$19,Dyno_Data[DelDest],"Spkr",Dyno_Data[DelOrig],Spkr_Center[[#This Row],[Origin]],Dyno_Data[DelMiss],1),0)</f>
        <v>0</v>
      </c>
      <c r="N23" s="116">
        <f>Spkr_Center[[#This Row],[Quantity]]+Spkr_Center[[#This Row],[Misses]]</f>
        <v>2</v>
      </c>
    </row>
    <row r="24" spans="1:14" ht="15.6" thickTop="1" thickBot="1" x14ac:dyDescent="0.35">
      <c r="A24" s="84" t="s">
        <v>220</v>
      </c>
      <c r="B24">
        <v>50</v>
      </c>
      <c r="C24" t="str">
        <f>_xlfn.CONCAT("Amp: ",ROUND(E21,2))</f>
        <v>Amp: 0.33</v>
      </c>
      <c r="D24" t="str">
        <f>_xlfn.CONCAT("Spkr: ",ROUND(F21,2))</f>
        <v>Spkr: 3.33</v>
      </c>
      <c r="E24" s="104" t="str">
        <f>_xlfn.CONCAT("Trap: ",SUMIF(TBA_Matches_All[Team],$A$18,TBA_Matches_All[TtrapT]),"/",COUNTIF(Dyno_EndMatch[Team],$A$18))</f>
        <v>Trap: 0/8</v>
      </c>
      <c r="G24" s="104" t="s">
        <v>221</v>
      </c>
    </row>
    <row r="25" spans="1:14" ht="15" thickBot="1" x14ac:dyDescent="0.35">
      <c r="A25" s="86" t="s">
        <v>222</v>
      </c>
      <c r="B25" s="87">
        <v>25</v>
      </c>
      <c r="C25" s="87"/>
      <c r="D25" s="87"/>
      <c r="E25" s="87"/>
      <c r="F25" s="87"/>
      <c r="G25" s="102" t="s">
        <v>223</v>
      </c>
      <c r="J25" s="132" t="str">
        <f>_xlfn.CONCAT("Amp Accuracy: ",TEXT(IFERROR(AVERAGEIFS(TBA_Matches_All[ampShtP],TBA_Matches_All[Team],J19),0),"0.00%"))</f>
        <v>Amp Accuracy: 28.57%</v>
      </c>
      <c r="L25" s="60"/>
    </row>
    <row r="26" spans="1:14" ht="15" thickTop="1" x14ac:dyDescent="0.3"/>
    <row r="27" spans="1:14" ht="15" thickBot="1" x14ac:dyDescent="0.35"/>
    <row r="28" spans="1:14" ht="15" thickTop="1" x14ac:dyDescent="0.3">
      <c r="A28" s="95" t="str">
        <f>IF(AllianceT="Red",_Red1,_Blue3)</f>
        <v>frc1591</v>
      </c>
      <c r="B28" s="185" t="s">
        <v>245</v>
      </c>
      <c r="C28" s="185"/>
      <c r="D28" s="185"/>
      <c r="E28" s="185"/>
      <c r="F28" s="185"/>
      <c r="G28" s="186"/>
      <c r="J28" s="184" t="s">
        <v>246</v>
      </c>
      <c r="K28" s="185"/>
      <c r="L28" s="185"/>
      <c r="M28" s="185"/>
      <c r="N28" s="186"/>
    </row>
    <row r="29" spans="1:14" x14ac:dyDescent="0.3">
      <c r="A29" s="84" t="s">
        <v>188</v>
      </c>
      <c r="B29" t="s">
        <v>189</v>
      </c>
      <c r="C29" t="s">
        <v>190</v>
      </c>
      <c r="D29" t="s">
        <v>191</v>
      </c>
      <c r="E29" t="s">
        <v>192</v>
      </c>
      <c r="F29" t="s">
        <v>193</v>
      </c>
      <c r="G29" s="85" t="s">
        <v>194</v>
      </c>
      <c r="J29" s="84" t="str">
        <f>IF(AllianceT="Red",_Red1,_Blue3)</f>
        <v>frc1591</v>
      </c>
      <c r="N29" s="85"/>
    </row>
    <row r="30" spans="1:14" ht="15" thickBot="1" x14ac:dyDescent="0.35">
      <c r="A30" s="84" t="s">
        <v>195</v>
      </c>
      <c r="B30">
        <v>25</v>
      </c>
      <c r="C30" s="96">
        <f>SUM((E31-E30)/(E32-E30))*50-C31</f>
        <v>9.4890109890109873</v>
      </c>
      <c r="D30" s="97">
        <f>SUM(B33:B35)-D32</f>
        <v>51.5</v>
      </c>
      <c r="E30" s="107">
        <f>MIN(TBA_Rankings[aveTampT])</f>
        <v>0</v>
      </c>
      <c r="F30" s="107">
        <f>MIN(TBA_Rankings[aveTspkrT])</f>
        <v>0</v>
      </c>
      <c r="G30" s="98" t="s">
        <v>196</v>
      </c>
      <c r="J30" s="84" t="s">
        <v>236</v>
      </c>
      <c r="K30" t="s">
        <v>237</v>
      </c>
      <c r="L30" s="122" t="s">
        <v>238</v>
      </c>
      <c r="M30" t="s">
        <v>239</v>
      </c>
      <c r="N30" s="85" t="s">
        <v>154</v>
      </c>
    </row>
    <row r="31" spans="1:14" ht="15" thickBot="1" x14ac:dyDescent="0.35">
      <c r="A31" s="84" t="s">
        <v>197</v>
      </c>
      <c r="B31">
        <v>50</v>
      </c>
      <c r="C31" s="4">
        <v>1.5</v>
      </c>
      <c r="D31" s="4">
        <v>1.5</v>
      </c>
      <c r="E31" s="108">
        <f>SUMIF(TBA_Rankings[Team],$A$28,TBA_Rankings[aveTampT])</f>
        <v>1.1428571428571428</v>
      </c>
      <c r="F31" s="108">
        <f>SUMIF(TBA_Rankings[Team],$A$28,TBA_Rankings[aveTspkrT])</f>
        <v>9.1428571428571423</v>
      </c>
      <c r="G31" s="99" t="s">
        <v>198</v>
      </c>
      <c r="J31" s="84" t="s">
        <v>240</v>
      </c>
      <c r="K31">
        <f>IFERROR(COUNTIFS(Dyno_Data[Team],$J$29,Dyno_Data[DelDest],"Spkr",Dyno_Data[DelOrig],Spkr_Source[[#This Row],[Origin]]),0)</f>
        <v>20</v>
      </c>
      <c r="L31" s="122">
        <f>IFERROR(SUM(Spkr_Source[[#This Row],[Quantity]]/(Spkr_Source[[#This Row],[Total]])),0)</f>
        <v>0.95238095238095233</v>
      </c>
      <c r="M31">
        <f>IFERROR(COUNTIFS(Dyno_Data[Team],$J$29,Dyno_Data[DelDest],"Spkr",Dyno_Data[DelOrig],Spkr_Source[[#This Row],[Origin]],Dyno_Data[DelMiss],1),0)</f>
        <v>1</v>
      </c>
      <c r="N31" s="85">
        <f>Spkr_Source[[#This Row],[Quantity]]+Spkr_Source[[#This Row],[Misses]]</f>
        <v>21</v>
      </c>
    </row>
    <row r="32" spans="1:14" x14ac:dyDescent="0.3">
      <c r="A32" s="84" t="s">
        <v>199</v>
      </c>
      <c r="B32">
        <v>25</v>
      </c>
      <c r="C32" s="97">
        <f>SUM(B30:B32)-SUM(C30:C31)</f>
        <v>89.010989010989007</v>
      </c>
      <c r="D32" s="96">
        <f>SUM((F31-F30)/(F32-F30))*50-D31</f>
        <v>48.5</v>
      </c>
      <c r="E32" s="109">
        <f>MAX(TBA_Rankings[aveTampT])</f>
        <v>5.2</v>
      </c>
      <c r="F32" s="109">
        <f>MAX(TBA_Rankings[aveTspkrT])</f>
        <v>9.1428571428571423</v>
      </c>
      <c r="G32" s="100" t="s">
        <v>200</v>
      </c>
      <c r="J32" s="84" t="s">
        <v>241</v>
      </c>
      <c r="K32">
        <f>IFERROR(COUNTIFS(Dyno_Data[Team],$J$29,Dyno_Data[DelDest],"Spkr",Dyno_Data[DelOrig],Spkr_Source[[#This Row],[Origin]]),0)</f>
        <v>95</v>
      </c>
      <c r="L32" s="122">
        <f>IFERROR(SUM(Spkr_Source[[#This Row],[Quantity]]/(Spkr_Source[[#This Row],[Total]])),0)</f>
        <v>0.98958333333333337</v>
      </c>
      <c r="M32">
        <f>IFERROR(COUNTIFS(Dyno_Data[Team],$J$29,Dyno_Data[DelDest],"Spkr",Dyno_Data[DelOrig],Spkr_Source[[#This Row],[Origin]],Dyno_Data[DelMiss],1),0)</f>
        <v>1</v>
      </c>
      <c r="N32" s="85">
        <f>Spkr_Source[[#This Row],[Quantity]]+Spkr_Source[[#This Row],[Misses]]</f>
        <v>96</v>
      </c>
    </row>
    <row r="33" spans="1:14" ht="15" thickBot="1" x14ac:dyDescent="0.35">
      <c r="A33" s="84" t="s">
        <v>218</v>
      </c>
      <c r="B33">
        <v>25</v>
      </c>
      <c r="G33" s="101" t="s">
        <v>219</v>
      </c>
      <c r="J33" s="86" t="s">
        <v>242</v>
      </c>
      <c r="K33" s="87">
        <f>IFERROR(COUNTIFS(Dyno_Data[Team],$J$29,Dyno_Data[DelDest],"Spkr",Dyno_Data[DelOrig],Spkr_Source[[#This Row],[Origin]]),0)</f>
        <v>1</v>
      </c>
      <c r="L33" s="123">
        <f>IFERROR(SUM(Spkr_Source[[#This Row],[Quantity]]/(Spkr_Source[[#This Row],[Total]])),0)</f>
        <v>1</v>
      </c>
      <c r="M33" s="87">
        <f>IFERROR(COUNTIFS(Dyno_Data[Team],$J$29,Dyno_Data[DelDest],"Spkr",Dyno_Data[DelOrig],Spkr_Source[[#This Row],[Origin]],Dyno_Data[DelMiss],1),0)</f>
        <v>0</v>
      </c>
      <c r="N33" s="116">
        <f>Spkr_Source[[#This Row],[Quantity]]+Spkr_Source[[#This Row],[Misses]]</f>
        <v>1</v>
      </c>
    </row>
    <row r="34" spans="1:14" ht="15.6" thickTop="1" thickBot="1" x14ac:dyDescent="0.35">
      <c r="A34" s="84" t="s">
        <v>220</v>
      </c>
      <c r="B34">
        <v>50</v>
      </c>
      <c r="C34" t="str">
        <f>_xlfn.CONCAT("Amp: ",ROUND(E31,2))</f>
        <v>Amp: 1.14</v>
      </c>
      <c r="D34" t="str">
        <f>_xlfn.CONCAT("Spkr: ",ROUND(F31,2))</f>
        <v>Spkr: 9.14</v>
      </c>
      <c r="E34" s="104" t="str">
        <f>_xlfn.CONCAT("Trap: ",SUMIF(TBA_Matches_All[Team],$A$28,TBA_Matches_All[TtrapT]),"/",COUNTIF(Dyno_EndMatch[Team],$A$28))</f>
        <v>Trap: 0/9</v>
      </c>
      <c r="G34" s="104" t="s">
        <v>221</v>
      </c>
    </row>
    <row r="35" spans="1:14" ht="15" thickBot="1" x14ac:dyDescent="0.35">
      <c r="A35" s="86" t="s">
        <v>222</v>
      </c>
      <c r="B35" s="87">
        <v>25</v>
      </c>
      <c r="C35" s="87"/>
      <c r="D35" s="87"/>
      <c r="E35" s="87"/>
      <c r="F35" s="87"/>
      <c r="G35" s="102" t="s">
        <v>223</v>
      </c>
      <c r="J35" s="132" t="str">
        <f>_xlfn.CONCAT("Amp Accuracy: ",TEXT(IFERROR(AVERAGEIFS(TBA_Matches_All[ampShtP],TBA_Matches_All[Team],J29),0),"0.00%"))</f>
        <v>Amp Accuracy: 71.43%</v>
      </c>
      <c r="L35" s="60"/>
    </row>
    <row r="36" spans="1:14" ht="15" thickTop="1" x14ac:dyDescent="0.3"/>
  </sheetData>
  <mergeCells count="9">
    <mergeCell ref="A1:H1"/>
    <mergeCell ref="B8:G8"/>
    <mergeCell ref="B18:G18"/>
    <mergeCell ref="B28:G28"/>
    <mergeCell ref="P1:R1"/>
    <mergeCell ref="J1:M1"/>
    <mergeCell ref="J8:N8"/>
    <mergeCell ref="J18:N18"/>
    <mergeCell ref="J28:N28"/>
  </mergeCells>
  <pageMargins left="0.7" right="0.7" top="0.75" bottom="0.75" header="0.3" footer="0.3"/>
  <ignoredErrors>
    <ignoredError sqref="K11:K13" calculatedColumn="1"/>
  </ignoredErrors>
  <tableParts count="5">
    <tablePart r:id="rId1"/>
    <tablePart r:id="rId2"/>
    <tablePart r:id="rId3"/>
    <tablePart r:id="rId4"/>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BA096-00F1-4034-893C-663D30AEACB6}">
  <sheetPr codeName="Sheet9">
    <tabColor rgb="FFC9A4E4"/>
  </sheetPr>
  <dimension ref="A1:AA36"/>
  <sheetViews>
    <sheetView topLeftCell="L1" workbookViewId="0">
      <selection activeCell="Y1" sqref="Y1"/>
    </sheetView>
  </sheetViews>
  <sheetFormatPr defaultRowHeight="14.4" x14ac:dyDescent="0.3"/>
  <cols>
    <col min="6" max="7" width="12.109375" bestFit="1" customWidth="1"/>
    <col min="10" max="10" width="10.5546875" bestFit="1" customWidth="1"/>
    <col min="11" max="13" width="10.44140625" customWidth="1"/>
    <col min="14" max="14" width="10.6640625" customWidth="1"/>
    <col min="15" max="16" width="12.6640625" customWidth="1"/>
    <col min="17" max="27" width="12.6640625" style="76" customWidth="1"/>
  </cols>
  <sheetData>
    <row r="1" spans="1:27" x14ac:dyDescent="0.3">
      <c r="A1" s="175" t="s">
        <v>247</v>
      </c>
      <c r="B1" s="175"/>
      <c r="C1" s="175"/>
      <c r="O1" t="s">
        <v>99</v>
      </c>
      <c r="P1" t="s">
        <v>141</v>
      </c>
      <c r="Q1" s="76" t="s">
        <v>248</v>
      </c>
      <c r="R1" s="76" t="s">
        <v>249</v>
      </c>
      <c r="S1" s="76" t="s">
        <v>250</v>
      </c>
      <c r="T1" s="76" t="s">
        <v>251</v>
      </c>
      <c r="U1" s="76" t="s">
        <v>252</v>
      </c>
      <c r="V1" s="76" t="s">
        <v>253</v>
      </c>
      <c r="W1" s="76" t="s">
        <v>254</v>
      </c>
      <c r="X1" s="76" t="s">
        <v>255</v>
      </c>
      <c r="Y1" s="76" t="s">
        <v>256</v>
      </c>
      <c r="Z1" s="76" t="s">
        <v>257</v>
      </c>
      <c r="AA1" s="76" t="s">
        <v>258</v>
      </c>
    </row>
    <row r="2" spans="1:27" x14ac:dyDescent="0.3">
      <c r="A2" t="s">
        <v>141</v>
      </c>
      <c r="B2" s="74" t="s">
        <v>259</v>
      </c>
      <c r="C2" s="74" t="s">
        <v>260</v>
      </c>
      <c r="O2" t="s">
        <v>100</v>
      </c>
      <c r="P2" t="str">
        <f>_Red1</f>
        <v>frc1591</v>
      </c>
      <c r="Q2" s="76">
        <f>COUNTIFS(Dyno_Data[Team],Alliances30[[#This Row],[Team]],Dyno_Data[RecordType],"Match_Event",Dyno_Data[match_event],Q$1)</f>
        <v>1</v>
      </c>
      <c r="R2" s="76">
        <f>COUNTIFS(Dyno_Data[Team],Alliances30[[#This Row],[Team]],Dyno_Data[RecordType],"Match_Event",Dyno_Data[match_event],R$1)</f>
        <v>0</v>
      </c>
      <c r="S2" s="76">
        <f>COUNTIFS(Dyno_Data[Team],Alliances30[[#This Row],[Team]],Dyno_Data[RecordType],"Match_Event",Dyno_Data[match_event],S$1)</f>
        <v>0</v>
      </c>
      <c r="T2" s="76">
        <f>COUNTIFS(Dyno_Data[Team],Alliances30[[#This Row],[Team]],Dyno_Data[RecordType],"Match_Event",Dyno_Data[match_event],T$1)</f>
        <v>0</v>
      </c>
      <c r="U2" s="76">
        <f>COUNTIFS(Dyno_Data[Team],Alliances30[[#This Row],[Team]],Dyno_Data[RecordType],"Match_Event",Dyno_Data[match_event],U$1)</f>
        <v>0</v>
      </c>
      <c r="V2" s="76">
        <f>COUNTIFS(Dyno_Data[Team],Alliances30[[#This Row],[Team]],Dyno_Data[RecordType],"Match_Event",Dyno_Data[match_event],V$1)</f>
        <v>0</v>
      </c>
      <c r="W2" s="76">
        <f>COUNTIFS(Dyno_Data[Team],Alliances30[[#This Row],[Team]],Dyno_Data[RecordType],"Match_Event",Dyno_Data[match_event],W$1)</f>
        <v>0</v>
      </c>
      <c r="X2" s="76">
        <f>COUNTIFS(Dyno_Data[Team],Alliances30[[#This Row],[Team]],Dyno_Data[RecordType],"Match_Event",Dyno_Data[match_event],X$1)</f>
        <v>0</v>
      </c>
      <c r="Y2" s="76">
        <f>COUNTIFS(Dyno_Data[Team],Alliances30[[#This Row],[Team]],Dyno_Data[RecordType],"Match_Event",Dyno_Data[match_event],Y$1)</f>
        <v>0</v>
      </c>
      <c r="Z2" s="76">
        <f>COUNTIFS(Dyno_Data[Team],Alliances30[[#This Row],[Team]],Dyno_Data[RecordType],"Match_Event",Dyno_Data[match_event],Z$1)</f>
        <v>0</v>
      </c>
      <c r="AA2" s="76">
        <f>COUNTIFS(Dyno_Data[Team],Alliances30[[#This Row],[Team]],Dyno_Data[RecordType],"Match_Event",Dyno_Data[match_event],AA$1)</f>
        <v>0</v>
      </c>
    </row>
    <row r="3" spans="1:27" x14ac:dyDescent="0.3">
      <c r="A3" t="str">
        <f>IF(AllianceShow="Red",_Red3,_Blue1)</f>
        <v>frc2791</v>
      </c>
      <c r="B3" s="76">
        <f>SUMIFS(TBA_Matches_All[Harmony],TBA_Matches_All[Team],$A3)</f>
        <v>3</v>
      </c>
      <c r="C3" s="76">
        <f>SUMIFS(TBA_Matches_All[Spotlit],TBA_Matches_All[Team],$A3)</f>
        <v>0</v>
      </c>
      <c r="O3" t="s">
        <v>100</v>
      </c>
      <c r="P3" t="str">
        <f>_Red2</f>
        <v>frc5016</v>
      </c>
      <c r="Q3" s="76">
        <f>COUNTIFS(Dyno_Data[Team],Alliances30[[#This Row],[Team]],Dyno_Data[RecordType],"Match_Event",Dyno_Data[match_event],Q$1)</f>
        <v>0</v>
      </c>
      <c r="R3" s="76">
        <f>COUNTIFS(Dyno_Data[Team],Alliances30[[#This Row],[Team]],Dyno_Data[RecordType],"Match_Event",Dyno_Data[match_event],R$1)</f>
        <v>0</v>
      </c>
      <c r="S3" s="76">
        <f>COUNTIFS(Dyno_Data[Team],Alliances30[[#This Row],[Team]],Dyno_Data[RecordType],"Match_Event",Dyno_Data[match_event],S$1)</f>
        <v>0</v>
      </c>
      <c r="T3" s="76">
        <f>COUNTIFS(Dyno_Data[Team],Alliances30[[#This Row],[Team]],Dyno_Data[RecordType],"Match_Event",Dyno_Data[match_event],T$1)</f>
        <v>0</v>
      </c>
      <c r="U3" s="76">
        <f>COUNTIFS(Dyno_Data[Team],Alliances30[[#This Row],[Team]],Dyno_Data[RecordType],"Match_Event",Dyno_Data[match_event],U$1)</f>
        <v>0</v>
      </c>
      <c r="V3" s="76">
        <f>COUNTIFS(Dyno_Data[Team],Alliances30[[#This Row],[Team]],Dyno_Data[RecordType],"Match_Event",Dyno_Data[match_event],V$1)</f>
        <v>0</v>
      </c>
      <c r="W3" s="76">
        <f>COUNTIFS(Dyno_Data[Team],Alliances30[[#This Row],[Team]],Dyno_Data[RecordType],"Match_Event",Dyno_Data[match_event],W$1)</f>
        <v>0</v>
      </c>
      <c r="X3" s="76">
        <f>COUNTIFS(Dyno_Data[Team],Alliances30[[#This Row],[Team]],Dyno_Data[RecordType],"Match_Event",Dyno_Data[match_event],X$1)</f>
        <v>0</v>
      </c>
      <c r="Y3" s="76">
        <f>COUNTIFS(Dyno_Data[Team],Alliances30[[#This Row],[Team]],Dyno_Data[RecordType],"Match_Event",Dyno_Data[match_event],Y$1)</f>
        <v>0</v>
      </c>
      <c r="Z3" s="76">
        <f>COUNTIFS(Dyno_Data[Team],Alliances30[[#This Row],[Team]],Dyno_Data[RecordType],"Match_Event",Dyno_Data[match_event],Z$1)</f>
        <v>0</v>
      </c>
      <c r="AA3" s="76">
        <f>COUNTIFS(Dyno_Data[Team],Alliances30[[#This Row],[Team]],Dyno_Data[RecordType],"Match_Event",Dyno_Data[match_event],AA$1)</f>
        <v>0</v>
      </c>
    </row>
    <row r="4" spans="1:27" x14ac:dyDescent="0.3">
      <c r="A4" t="str">
        <f>IF(AllianceShow="Red",_Red2,_Blue2)</f>
        <v>frc5016</v>
      </c>
      <c r="B4" s="76">
        <f>SUMIFS(TBA_Matches_All[Harmony],TBA_Matches_All[Team],$A4)</f>
        <v>0</v>
      </c>
      <c r="C4" s="76">
        <f>SUMIFS(TBA_Matches_All[Spotlit],TBA_Matches_All[Team],$A4)</f>
        <v>0</v>
      </c>
      <c r="O4" t="s">
        <v>100</v>
      </c>
      <c r="P4" t="str">
        <f>_Red3</f>
        <v>frc2791</v>
      </c>
      <c r="Q4" s="76">
        <f>COUNTIFS(Dyno_Data[Team],Alliances30[[#This Row],[Team]],Dyno_Data[RecordType],"Match_Event",Dyno_Data[match_event],Q$1)</f>
        <v>1</v>
      </c>
      <c r="R4" s="76">
        <f>COUNTIFS(Dyno_Data[Team],Alliances30[[#This Row],[Team]],Dyno_Data[RecordType],"Match_Event",Dyno_Data[match_event],R$1)</f>
        <v>0</v>
      </c>
      <c r="S4" s="76">
        <f>COUNTIFS(Dyno_Data[Team],Alliances30[[#This Row],[Team]],Dyno_Data[RecordType],"Match_Event",Dyno_Data[match_event],S$1)</f>
        <v>0</v>
      </c>
      <c r="T4" s="76">
        <f>COUNTIFS(Dyno_Data[Team],Alliances30[[#This Row],[Team]],Dyno_Data[RecordType],"Match_Event",Dyno_Data[match_event],T$1)</f>
        <v>0</v>
      </c>
      <c r="U4" s="76">
        <f>COUNTIFS(Dyno_Data[Team],Alliances30[[#This Row],[Team]],Dyno_Data[RecordType],"Match_Event",Dyno_Data[match_event],U$1)</f>
        <v>0</v>
      </c>
      <c r="V4" s="76">
        <f>COUNTIFS(Dyno_Data[Team],Alliances30[[#This Row],[Team]],Dyno_Data[RecordType],"Match_Event",Dyno_Data[match_event],V$1)</f>
        <v>0</v>
      </c>
      <c r="W4" s="76">
        <f>COUNTIFS(Dyno_Data[Team],Alliances30[[#This Row],[Team]],Dyno_Data[RecordType],"Match_Event",Dyno_Data[match_event],W$1)</f>
        <v>1</v>
      </c>
      <c r="X4" s="76">
        <f>COUNTIFS(Dyno_Data[Team],Alliances30[[#This Row],[Team]],Dyno_Data[RecordType],"Match_Event",Dyno_Data[match_event],X$1)</f>
        <v>0</v>
      </c>
      <c r="Y4" s="76">
        <f>COUNTIFS(Dyno_Data[Team],Alliances30[[#This Row],[Team]],Dyno_Data[RecordType],"Match_Event",Dyno_Data[match_event],Y$1)</f>
        <v>0</v>
      </c>
      <c r="Z4" s="76">
        <f>COUNTIFS(Dyno_Data[Team],Alliances30[[#This Row],[Team]],Dyno_Data[RecordType],"Match_Event",Dyno_Data[match_event],Z$1)</f>
        <v>0</v>
      </c>
      <c r="AA4" s="76">
        <f>COUNTIFS(Dyno_Data[Team],Alliances30[[#This Row],[Team]],Dyno_Data[RecordType],"Match_Event",Dyno_Data[match_event],AA$1)</f>
        <v>0</v>
      </c>
    </row>
    <row r="5" spans="1:27" x14ac:dyDescent="0.3">
      <c r="A5" t="str">
        <f>IF(AllianceShow="Red",_Red1,_Blue3)</f>
        <v>frc1591</v>
      </c>
      <c r="B5" s="76">
        <f>SUMIFS(TBA_Matches_All[Harmony],TBA_Matches_All[Team],$A5)</f>
        <v>1</v>
      </c>
      <c r="C5" s="76">
        <f>SUMIFS(TBA_Matches_All[Spotlit],TBA_Matches_All[Team],$A5)</f>
        <v>1</v>
      </c>
      <c r="O5" t="s">
        <v>155</v>
      </c>
      <c r="P5" t="str">
        <f>_Blue1</f>
        <v>frc5993</v>
      </c>
      <c r="Q5" s="76">
        <f>COUNTIFS(Dyno_Data[Team],Alliances30[[#This Row],[Team]],Dyno_Data[RecordType],"Match_Event",Dyno_Data[match_event],Q$1)</f>
        <v>0</v>
      </c>
      <c r="R5" s="76">
        <f>COUNTIFS(Dyno_Data[Team],Alliances30[[#This Row],[Team]],Dyno_Data[RecordType],"Match_Event",Dyno_Data[match_event],R$1)</f>
        <v>3</v>
      </c>
      <c r="S5" s="76">
        <f>COUNTIFS(Dyno_Data[Team],Alliances30[[#This Row],[Team]],Dyno_Data[RecordType],"Match_Event",Dyno_Data[match_event],S$1)</f>
        <v>0</v>
      </c>
      <c r="T5" s="76">
        <f>COUNTIFS(Dyno_Data[Team],Alliances30[[#This Row],[Team]],Dyno_Data[RecordType],"Match_Event",Dyno_Data[match_event],T$1)</f>
        <v>1</v>
      </c>
      <c r="U5" s="76">
        <f>COUNTIFS(Dyno_Data[Team],Alliances30[[#This Row],[Team]],Dyno_Data[RecordType],"Match_Event",Dyno_Data[match_event],U$1)</f>
        <v>0</v>
      </c>
      <c r="V5" s="76">
        <f>COUNTIFS(Dyno_Data[Team],Alliances30[[#This Row],[Team]],Dyno_Data[RecordType],"Match_Event",Dyno_Data[match_event],V$1)</f>
        <v>0</v>
      </c>
      <c r="W5" s="76">
        <f>COUNTIFS(Dyno_Data[Team],Alliances30[[#This Row],[Team]],Dyno_Data[RecordType],"Match_Event",Dyno_Data[match_event],W$1)</f>
        <v>0</v>
      </c>
      <c r="X5" s="76">
        <f>COUNTIFS(Dyno_Data[Team],Alliances30[[#This Row],[Team]],Dyno_Data[RecordType],"Match_Event",Dyno_Data[match_event],X$1)</f>
        <v>0</v>
      </c>
      <c r="Y5" s="76">
        <f>COUNTIFS(Dyno_Data[Team],Alliances30[[#This Row],[Team]],Dyno_Data[RecordType],"Match_Event",Dyno_Data[match_event],Y$1)</f>
        <v>0</v>
      </c>
      <c r="Z5" s="76">
        <f>COUNTIFS(Dyno_Data[Team],Alliances30[[#This Row],[Team]],Dyno_Data[RecordType],"Match_Event",Dyno_Data[match_event],Z$1)</f>
        <v>0</v>
      </c>
      <c r="AA5" s="76">
        <f>COUNTIFS(Dyno_Data[Team],Alliances30[[#This Row],[Team]],Dyno_Data[RecordType],"Match_Event",Dyno_Data[match_event],AA$1)</f>
        <v>0</v>
      </c>
    </row>
    <row r="6" spans="1:27" x14ac:dyDescent="0.3">
      <c r="O6" t="s">
        <v>155</v>
      </c>
      <c r="P6" t="str">
        <f>_Blue2</f>
        <v>frc1559</v>
      </c>
      <c r="Q6" s="76">
        <f>COUNTIFS(Dyno_Data[Team],Alliances30[[#This Row],[Team]],Dyno_Data[RecordType],"Match_Event",Dyno_Data[match_event],Q$1)</f>
        <v>0</v>
      </c>
      <c r="R6" s="76">
        <f>COUNTIFS(Dyno_Data[Team],Alliances30[[#This Row],[Team]],Dyno_Data[RecordType],"Match_Event",Dyno_Data[match_event],R$1)</f>
        <v>1</v>
      </c>
      <c r="S6" s="76">
        <f>COUNTIFS(Dyno_Data[Team],Alliances30[[#This Row],[Team]],Dyno_Data[RecordType],"Match_Event",Dyno_Data[match_event],S$1)</f>
        <v>0</v>
      </c>
      <c r="T6" s="76">
        <f>COUNTIFS(Dyno_Data[Team],Alliances30[[#This Row],[Team]],Dyno_Data[RecordType],"Match_Event",Dyno_Data[match_event],T$1)</f>
        <v>0</v>
      </c>
      <c r="U6" s="76">
        <f>COUNTIFS(Dyno_Data[Team],Alliances30[[#This Row],[Team]],Dyno_Data[RecordType],"Match_Event",Dyno_Data[match_event],U$1)</f>
        <v>0</v>
      </c>
      <c r="V6" s="76">
        <f>COUNTIFS(Dyno_Data[Team],Alliances30[[#This Row],[Team]],Dyno_Data[RecordType],"Match_Event",Dyno_Data[match_event],V$1)</f>
        <v>0</v>
      </c>
      <c r="W6" s="76">
        <f>COUNTIFS(Dyno_Data[Team],Alliances30[[#This Row],[Team]],Dyno_Data[RecordType],"Match_Event",Dyno_Data[match_event],W$1)</f>
        <v>0</v>
      </c>
      <c r="X6" s="76">
        <f>COUNTIFS(Dyno_Data[Team],Alliances30[[#This Row],[Team]],Dyno_Data[RecordType],"Match_Event",Dyno_Data[match_event],X$1)</f>
        <v>0</v>
      </c>
      <c r="Y6" s="76">
        <f>COUNTIFS(Dyno_Data[Team],Alliances30[[#This Row],[Team]],Dyno_Data[RecordType],"Match_Event",Dyno_Data[match_event],Y$1)</f>
        <v>0</v>
      </c>
      <c r="Z6" s="76">
        <f>COUNTIFS(Dyno_Data[Team],Alliances30[[#This Row],[Team]],Dyno_Data[RecordType],"Match_Event",Dyno_Data[match_event],Z$1)</f>
        <v>0</v>
      </c>
      <c r="AA6" s="76">
        <f>COUNTIFS(Dyno_Data[Team],Alliances30[[#This Row],[Team]],Dyno_Data[RecordType],"Match_Event",Dyno_Data[match_event],AA$1)</f>
        <v>1</v>
      </c>
    </row>
    <row r="7" spans="1:27" ht="15" thickBot="1" x14ac:dyDescent="0.35">
      <c r="O7" t="s">
        <v>155</v>
      </c>
      <c r="P7" t="str">
        <f>+_Blue3</f>
        <v>frc3173</v>
      </c>
      <c r="Q7" s="76">
        <f>COUNTIFS(Dyno_Data[Team],Alliances30[[#This Row],[Team]],Dyno_Data[RecordType],"Match_Event",Dyno_Data[match_event],Q$1)</f>
        <v>0</v>
      </c>
      <c r="R7" s="76">
        <f>COUNTIFS(Dyno_Data[Team],Alliances30[[#This Row],[Team]],Dyno_Data[RecordType],"Match_Event",Dyno_Data[match_event],R$1)</f>
        <v>0</v>
      </c>
      <c r="S7" s="76">
        <f>COUNTIFS(Dyno_Data[Team],Alliances30[[#This Row],[Team]],Dyno_Data[RecordType],"Match_Event",Dyno_Data[match_event],S$1)</f>
        <v>0</v>
      </c>
      <c r="T7" s="76">
        <f>COUNTIFS(Dyno_Data[Team],Alliances30[[#This Row],[Team]],Dyno_Data[RecordType],"Match_Event",Dyno_Data[match_event],T$1)</f>
        <v>0</v>
      </c>
      <c r="U7" s="76">
        <f>COUNTIFS(Dyno_Data[Team],Alliances30[[#This Row],[Team]],Dyno_Data[RecordType],"Match_Event",Dyno_Data[match_event],U$1)</f>
        <v>0</v>
      </c>
      <c r="V7" s="76">
        <f>COUNTIFS(Dyno_Data[Team],Alliances30[[#This Row],[Team]],Dyno_Data[RecordType],"Match_Event",Dyno_Data[match_event],V$1)</f>
        <v>0</v>
      </c>
      <c r="W7" s="76">
        <f>COUNTIFS(Dyno_Data[Team],Alliances30[[#This Row],[Team]],Dyno_Data[RecordType],"Match_Event",Dyno_Data[match_event],W$1)</f>
        <v>0</v>
      </c>
      <c r="X7" s="76">
        <f>COUNTIFS(Dyno_Data[Team],Alliances30[[#This Row],[Team]],Dyno_Data[RecordType],"Match_Event",Dyno_Data[match_event],X$1)</f>
        <v>0</v>
      </c>
      <c r="Y7" s="76">
        <f>COUNTIFS(Dyno_Data[Team],Alliances30[[#This Row],[Team]],Dyno_Data[RecordType],"Match_Event",Dyno_Data[match_event],Y$1)</f>
        <v>0</v>
      </c>
      <c r="Z7" s="76">
        <f>COUNTIFS(Dyno_Data[Team],Alliances30[[#This Row],[Team]],Dyno_Data[RecordType],"Match_Event",Dyno_Data[match_event],Z$1)</f>
        <v>0</v>
      </c>
      <c r="AA7" s="76">
        <f>COUNTIFS(Dyno_Data[Team],Alliances30[[#This Row],[Team]],Dyno_Data[RecordType],"Match_Event",Dyno_Data[match_event],AA$1)</f>
        <v>0</v>
      </c>
    </row>
    <row r="8" spans="1:27" ht="15" thickTop="1" x14ac:dyDescent="0.3">
      <c r="A8" s="95" t="str">
        <f>IF(AllianceShow="Red",_Red3,_Blue1)</f>
        <v>frc2791</v>
      </c>
      <c r="B8" s="185" t="s">
        <v>261</v>
      </c>
      <c r="C8" s="185"/>
      <c r="D8" s="185"/>
      <c r="E8" s="186"/>
      <c r="G8" s="95" t="str">
        <f>IF(AllianceShow="Red",_Red3,_Blue1)</f>
        <v>frc2791</v>
      </c>
      <c r="H8" s="133" t="s">
        <v>262</v>
      </c>
      <c r="I8" s="133"/>
      <c r="J8" s="134"/>
      <c r="K8" s="95"/>
      <c r="L8" s="133"/>
      <c r="M8" s="134"/>
    </row>
    <row r="9" spans="1:27" x14ac:dyDescent="0.3">
      <c r="A9" s="84" t="s">
        <v>188</v>
      </c>
      <c r="B9" t="s">
        <v>263</v>
      </c>
      <c r="C9" t="s">
        <v>263</v>
      </c>
      <c r="D9" t="s">
        <v>264</v>
      </c>
      <c r="E9" s="85"/>
      <c r="G9" s="84" t="s">
        <v>265</v>
      </c>
      <c r="H9" t="s">
        <v>263</v>
      </c>
      <c r="I9" t="s">
        <v>264</v>
      </c>
      <c r="J9" s="85" t="s">
        <v>266</v>
      </c>
      <c r="K9" s="142" t="s">
        <v>267</v>
      </c>
      <c r="L9" s="114" t="s">
        <v>268</v>
      </c>
      <c r="M9" s="115" t="s">
        <v>265</v>
      </c>
    </row>
    <row r="10" spans="1:27" x14ac:dyDescent="0.3">
      <c r="A10" s="84" t="s">
        <v>264</v>
      </c>
      <c r="B10" s="131">
        <f>IF(AND(D10&gt;C10,C10&gt;0),0,D10)</f>
        <v>3.0160380999999998</v>
      </c>
      <c r="C10" s="127">
        <f>_xlfn.MINIFS(Dyno_EndMatch[ClimbT],Dyno_EndMatch[Team],A$8,Dyno_EndMatch[StageAtt],1)</f>
        <v>3.1108807000000001</v>
      </c>
      <c r="D10" s="127">
        <f>_xlfn.MAXIFS(Dyno_EndMatch[ClimbT],Dyno_EndMatch[Team],A$8,Dyno_EndMatch[StageAtt],-1)</f>
        <v>3.0160380999999998</v>
      </c>
      <c r="E10" s="85" t="s">
        <v>269</v>
      </c>
      <c r="G10" s="84" t="s">
        <v>270</v>
      </c>
      <c r="H10">
        <f>SUM(COUNTIFS(TBA_Matches_All[Team],$G$8,TBA_Matches_All[stageAtt],1,TBA_Matches_All[stageLoc],"L",TBA_Matches_All[Station],"Blue1A"),COUNTIFS(TBA_Matches_All[Team],$G$8,TBA_Matches_All[stageAtt],1,TBA_Matches_All[stageLoc],"L",TBA_Matches_All[Station],"Red1S"),COUNTIFS(TBA_Matches_All[Team],$G$8,TBA_Matches_All[stageAtt],1,TBA_Matches_All[stageLoc],"R",TBA_Matches_All[Station],"Blue3S"),COUNTIFS(TBA_Matches_All[Team],$G$8,TBA_Matches_All[stageAtt],1,TBA_Matches_All[stageLoc],"R",TBA_Matches_All[Station],"Red3A"),COUNTIFS(TBA_Matches_All[Team],$G$8,TBA_Matches_All[stageAtt],1,TBA_Matches_All[stageLoc],"&lt;&gt;C",TBA_Matches_All[Station],"Blue2C"),COUNTIFS(TBA_Matches_All[Team],$G$8,TBA_Matches_All[stageAtt],1,TBA_Matches_All[stageLoc],"&lt;&gt;C",TBA_Matches_All[Station],"Red2C"))</f>
        <v>4</v>
      </c>
      <c r="I10">
        <f>SUM(COUNTIFS(TBA_Matches_All[Team],$G$8,TBA_Matches_All[stageAtt],-1,TBA_Matches_All[stageLoc],"L",TBA_Matches_All[Station],"Blue1A"),COUNTIFS(TBA_Matches_All[Team],$G$8,TBA_Matches_All[stageAtt],-1,TBA_Matches_All[stageLoc],"L",TBA_Matches_All[Station],"Red1S"),COUNTIFS(TBA_Matches_All[Team],$G$8,TBA_Matches_All[stageAtt],-1,TBA_Matches_All[stageLoc],"R",TBA_Matches_All[Station],"Blue3S"),COUNTIFS(TBA_Matches_All[Team],$G$8,TBA_Matches_All[stageAtt],-1,TBA_Matches_All[stageLoc],"R",TBA_Matches_All[Station],"Red3A"),COUNTIFS(TBA_Matches_All[Team],$G$8,TBA_Matches_All[stageAtt],-1,TBA_Matches_All[stageLoc],"&lt;&gt;C",TBA_Matches_All[Station],"Blue2C"),COUNTIFS(TBA_Matches_All[Team],$G$8,TBA_Matches_All[stageAtt],-1,TBA_Matches_All[stageLoc],"&lt;&gt;C",TBA_Matches_All[Station],"Red2C"))</f>
        <v>0</v>
      </c>
      <c r="J10" s="85">
        <f>SUM(COUNTIFS(TBA_Matches_All[Team],$G$8,TBA_Matches_All[stageAtt],0,TBA_Matches_All[stageLoc],"L",TBA_Matches_All[Station],"Blue1A"),COUNTIFS(TBA_Matches_All[Team],$G$8,TBA_Matches_All[stageAtt],0,TBA_Matches_All[stageLoc],"L",TBA_Matches_All[Station],"Red1S"),COUNTIFS(TBA_Matches_All[Team],$G$8,TBA_Matches_All[stageAtt],0,TBA_Matches_All[stageLoc],"R",TBA_Matches_All[Station],"Blue3S"),COUNTIFS(TBA_Matches_All[Team],$G$8,TBA_Matches_All[stageAtt],0,TBA_Matches_All[stageLoc],"R",TBA_Matches_All[Station],"Red3A"),COUNTIFS(TBA_Matches_All[Team],$G$8,TBA_Matches_All[stageAtt],0,TBA_Matches_All[stageLoc],"&lt;&gt;C",TBA_Matches_All[Station],"Blue2C"),COUNTIFS(TBA_Matches_All[Team],$G$8,TBA_Matches_All[stageAtt],0,TBA_Matches_All[stageLoc],"&lt;&gt;C",TBA_Matches_All[Station],"Red2C"))</f>
        <v>0</v>
      </c>
      <c r="K10" s="142" t="str">
        <f>IF(AllianceShow="Red", _xlfn.CONCAT(H12,"S / ",I12,"F"),_xlfn.CONCAT(H10,"S / ",I10,"F"))</f>
        <v>0S / 0F</v>
      </c>
      <c r="L10" s="114" t="s">
        <v>271</v>
      </c>
      <c r="M10" s="115" t="str">
        <f>IF(AllianceShow="Red","FAR","NEAR")</f>
        <v>FAR</v>
      </c>
    </row>
    <row r="11" spans="1:27" x14ac:dyDescent="0.3">
      <c r="A11" s="84" t="s">
        <v>263</v>
      </c>
      <c r="B11" s="130">
        <f>IF(C10=0,0,C10-B10)</f>
        <v>9.4842600000000221E-2</v>
      </c>
      <c r="C11" s="128">
        <f>IFERROR(AVERAGEIFS(Dyno_EndMatch[ClimbT],Dyno_EndMatch[Team],A$8,Dyno_EndMatch[StageAtt],1),0)</f>
        <v>12.230837316666667</v>
      </c>
      <c r="D11" s="128">
        <f>IFERROR(AVERAGEIFS(Dyno_EndMatch[ClimbT],Dyno_EndMatch[Team],A$8,Dyno_EndMatch[StageAtt],-1),0)</f>
        <v>3.0160380999999998</v>
      </c>
      <c r="E11" s="85" t="s">
        <v>272</v>
      </c>
      <c r="G11" s="84" t="s">
        <v>157</v>
      </c>
      <c r="H11">
        <f>COUNTIFS(TBA_Matches_All[Team],$G$8,TBA_Matches_All[stageAtt],1,TBA_Matches_All[stageLoc],"C")</f>
        <v>1</v>
      </c>
      <c r="I11">
        <f>COUNTIFS(TBA_Matches_All[Team],$G$8,TBA_Matches_All[stageAtt],-1,TBA_Matches_All[stageLoc],"C")</f>
        <v>0</v>
      </c>
      <c r="J11" s="85">
        <f>COUNTIFS(TBA_Matches_All[Team],$G$8,TBA_Matches_All[stageAtt],0,TBA_Matches_All[stageLoc],"C")</f>
        <v>0</v>
      </c>
      <c r="K11" s="142" t="str">
        <f>_xlfn.CONCAT(H11,"S / ",I11,"F")</f>
        <v>1S / 0F</v>
      </c>
      <c r="L11" s="114" t="s">
        <v>157</v>
      </c>
      <c r="M11" s="115" t="s">
        <v>273</v>
      </c>
    </row>
    <row r="12" spans="1:27" ht="15" thickBot="1" x14ac:dyDescent="0.35">
      <c r="A12" s="84" t="s">
        <v>200</v>
      </c>
      <c r="B12" s="129">
        <f>SUM(60-SUM(B10:B11))</f>
        <v>56.889119299999997</v>
      </c>
      <c r="C12" s="124">
        <f>MAX(TBA_Rankings[aveAampT])</f>
        <v>0.2</v>
      </c>
      <c r="D12" s="124">
        <f>MAX(TBA_Rankings[aveAspkrT])</f>
        <v>5</v>
      </c>
      <c r="E12" s="85"/>
      <c r="G12" s="86" t="s">
        <v>274</v>
      </c>
      <c r="H12" s="87">
        <f>SUM(COUNTIFS(TBA_Matches_All[Team],$G$8,TBA_Matches_All[stageAtt],1,TBA_Matches_All[stageLoc],"R",TBA_Matches_All[Station],"Blue1A"),COUNTIFS(TBA_Matches_All[Team],$G$8,TBA_Matches_All[stageAtt],1,TBA_Matches_All[stageLoc],"R",TBA_Matches_All[Station],"Red1S"),COUNTIFS(TBA_Matches_All[Team],$G$8,TBA_Matches_All[stageAtt],1,TBA_Matches_All[stageLoc],"L",TBA_Matches_All[Station],"Blue3S"),COUNTIFS(TBA_Matches_All[Team],$G$8,TBA_Matches_All[stageAtt],1,TBA_Matches_All[stageLoc],"L",TBA_Matches_All[Station],"Red3A"))</f>
        <v>0</v>
      </c>
      <c r="I12" s="87">
        <f>SUM(COUNTIFS(TBA_Matches_All[Team],$G$8,TBA_Matches_All[stageAtt],-1,TBA_Matches_All[stageLoc],"R",TBA_Matches_All[Station],"Blue1A"),COUNTIFS(TBA_Matches_All[Team],$G$8,TBA_Matches_All[stageAtt],-1,TBA_Matches_All[stageLoc],"R",TBA_Matches_All[Station],"Red1S"),COUNTIFS(TBA_Matches_All[Team],$G$8,TBA_Matches_All[stageAtt],-1,TBA_Matches_All[stageLoc],"L",TBA_Matches_All[Station],"Blue3S"),COUNTIFS(TBA_Matches_All[Team],$G$8,TBA_Matches_All[stageAtt],-1,TBA_Matches_All[stageLoc],"L",TBA_Matches_All[Station],"Red3A"))</f>
        <v>0</v>
      </c>
      <c r="J12" s="116">
        <f>SUM(COUNTIFS(TBA_Matches_All[Team],$G$8,TBA_Matches_All[stageAtt],0,TBA_Matches_All[stageLoc],"R",TBA_Matches_All[Station],"Blue1A"),COUNTIFS(TBA_Matches_All[Team],$G$8,TBA_Matches_All[stageAtt],0,TBA_Matches_All[stageLoc],"R",TBA_Matches_All[Station],"Red1S"),COUNTIFS(TBA_Matches_All[Team],$G$8,TBA_Matches_All[stageAtt],0,TBA_Matches_All[stageLoc],"L",TBA_Matches_All[Station],"Blue3S"),COUNTIFS(TBA_Matches_All[Team],$G$8,TBA_Matches_All[stageAtt],0,TBA_Matches_All[stageLoc],"L",TBA_Matches_All[Station],"Red3A"))</f>
        <v>0</v>
      </c>
      <c r="K12" s="143" t="str">
        <f>IF(AllianceShow="Red", _xlfn.CONCAT(H10,"S / ",I10,"F"),_xlfn.CONCAT(H12,"S / ",I12,"F"))</f>
        <v>4S / 0F</v>
      </c>
      <c r="L12" s="144" t="s">
        <v>275</v>
      </c>
      <c r="M12" s="141" t="str">
        <f>IF(AllianceShow="Red","NEAR","FAR")</f>
        <v>NEAR</v>
      </c>
    </row>
    <row r="13" spans="1:27" ht="15" thickTop="1" x14ac:dyDescent="0.3">
      <c r="A13" s="84"/>
      <c r="E13" s="125"/>
    </row>
    <row r="14" spans="1:27" x14ac:dyDescent="0.3">
      <c r="A14" s="84" t="str">
        <f>_xlfn.CONCAT("Success: ",ROUND(C11,2))</f>
        <v>Success: 12.23</v>
      </c>
      <c r="E14" s="85"/>
    </row>
    <row r="15" spans="1:27" ht="15" thickBot="1" x14ac:dyDescent="0.35">
      <c r="A15" s="86"/>
      <c r="B15" s="87"/>
      <c r="C15" s="87"/>
      <c r="D15" s="87"/>
      <c r="E15" s="126"/>
    </row>
    <row r="16" spans="1:27" ht="15" thickTop="1" x14ac:dyDescent="0.3"/>
    <row r="17" spans="1:13" ht="15" thickBot="1" x14ac:dyDescent="0.35"/>
    <row r="18" spans="1:13" ht="15" thickTop="1" x14ac:dyDescent="0.3">
      <c r="A18" s="95" t="str">
        <f>IF(AllianceShow="Red",_Red2,_Blue2)</f>
        <v>frc5016</v>
      </c>
      <c r="B18" s="185" t="s">
        <v>276</v>
      </c>
      <c r="C18" s="185"/>
      <c r="D18" s="185"/>
      <c r="E18" s="186"/>
      <c r="G18" s="95" t="str">
        <f>IF(AllianceShow="Red",_Red2,_Blue2)</f>
        <v>frc5016</v>
      </c>
      <c r="H18" s="133" t="s">
        <v>277</v>
      </c>
      <c r="I18" s="133"/>
      <c r="J18" s="134"/>
      <c r="K18" s="95"/>
      <c r="L18" s="133"/>
      <c r="M18" s="134"/>
    </row>
    <row r="19" spans="1:13" x14ac:dyDescent="0.3">
      <c r="A19" s="84" t="s">
        <v>188</v>
      </c>
      <c r="B19" t="s">
        <v>263</v>
      </c>
      <c r="C19" t="s">
        <v>263</v>
      </c>
      <c r="D19" t="s">
        <v>264</v>
      </c>
      <c r="E19" s="85"/>
      <c r="G19" s="84" t="s">
        <v>265</v>
      </c>
      <c r="H19" t="s">
        <v>263</v>
      </c>
      <c r="I19" t="s">
        <v>264</v>
      </c>
      <c r="J19" s="85" t="s">
        <v>266</v>
      </c>
      <c r="K19" s="142" t="s">
        <v>267</v>
      </c>
      <c r="L19" s="114" t="s">
        <v>268</v>
      </c>
      <c r="M19" s="115" t="s">
        <v>265</v>
      </c>
    </row>
    <row r="20" spans="1:13" x14ac:dyDescent="0.3">
      <c r="A20" s="84" t="s">
        <v>264</v>
      </c>
      <c r="B20" s="131">
        <f>IF(AND(D20&gt;C20,C20&gt;0),0,D20)</f>
        <v>0</v>
      </c>
      <c r="C20" s="127">
        <f>_xlfn.MINIFS(Dyno_EndMatch[ClimbT],Dyno_EndMatch[Team],A$18,Dyno_EndMatch[StageAtt],1)</f>
        <v>1.6282983</v>
      </c>
      <c r="D20" s="127">
        <f>_xlfn.MAXIFS(Dyno_EndMatch[ClimbT],Dyno_EndMatch[Team],A$18,Dyno_EndMatch[StageAtt],-1)</f>
        <v>5.8433741999999995</v>
      </c>
      <c r="E20" s="85" t="s">
        <v>269</v>
      </c>
      <c r="G20" s="84" t="s">
        <v>270</v>
      </c>
      <c r="H20">
        <f>SUM(COUNTIFS(TBA_Matches_All[Team],$G$18,TBA_Matches_All[stageAtt],1,TBA_Matches_All[stageLoc],"L",TBA_Matches_All[Station],"Blue1A"),COUNTIFS(TBA_Matches_All[Team],$G$18,TBA_Matches_All[stageAtt],1,TBA_Matches_All[stageLoc],"L",TBA_Matches_All[Station],"Red1S"),COUNTIFS(TBA_Matches_All[Team],$G$18,TBA_Matches_All[stageAtt],1,TBA_Matches_All[stageLoc],"R",TBA_Matches_All[Station],"Blue3S"),COUNTIFS(TBA_Matches_All[Team],$G$18,TBA_Matches_All[stageAtt],1,TBA_Matches_All[stageLoc],"R",TBA_Matches_All[Station],"Red3A"),COUNTIFS(TBA_Matches_All[Team],$G$18,TBA_Matches_All[stageAtt],1,TBA_Matches_All[stageLoc],"&lt;&gt;C",TBA_Matches_All[Station],"Blue2C"),COUNTIFS(TBA_Matches_All[Team],$G$18,TBA_Matches_All[stageAtt],1,TBA_Matches_All[stageLoc],"&lt;&gt;C",TBA_Matches_All[Station],"Red2C"))</f>
        <v>4</v>
      </c>
      <c r="I20">
        <f>SUM(COUNTIFS(TBA_Matches_All[Team],$G$18,TBA_Matches_All[stageAtt],-1,TBA_Matches_All[stageLoc],"L",TBA_Matches_All[Station],"Blue1A"),COUNTIFS(TBA_Matches_All[Team],$G$18,TBA_Matches_All[stageAtt],-1,TBA_Matches_All[stageLoc],"L",TBA_Matches_All[Station],"Red1S"),COUNTIFS(TBA_Matches_All[Team],$G$18,TBA_Matches_All[stageAtt],-1,TBA_Matches_All[stageLoc],"R",TBA_Matches_All[Station],"Blue3S"),COUNTIFS(TBA_Matches_All[Team],$G$18,TBA_Matches_All[stageAtt],-1,TBA_Matches_All[stageLoc],"R",TBA_Matches_All[Station],"Red3A"),COUNTIFS(TBA_Matches_All[Team],$G$18,TBA_Matches_All[stageAtt],-1,TBA_Matches_All[stageLoc],"&lt;&gt;C",TBA_Matches_All[Station],"Blue2C"),COUNTIFS(TBA_Matches_All[Team],$G$18,TBA_Matches_All[stageAtt],-1,TBA_Matches_All[stageLoc],"&lt;&gt;C",TBA_Matches_All[Station],"Red2C"))</f>
        <v>0</v>
      </c>
      <c r="J20" s="85">
        <f>SUM(COUNTIFS(TBA_Matches_All[Team],$G$18,TBA_Matches_All[stageAtt],0,TBA_Matches_All[stageLoc],"L",TBA_Matches_All[Station],"Blue1A"),COUNTIFS(TBA_Matches_All[Team],$G$18,TBA_Matches_All[stageAtt],0,TBA_Matches_All[stageLoc],"L",TBA_Matches_All[Station],"Red1S"),COUNTIFS(TBA_Matches_All[Team],$G$18,TBA_Matches_All[stageAtt],0,TBA_Matches_All[stageLoc],"R",TBA_Matches_All[Station],"Blue3S"),COUNTIFS(TBA_Matches_All[Team],$G$18,TBA_Matches_All[stageAtt],0,TBA_Matches_All[stageLoc],"R",TBA_Matches_All[Station],"Red3A"),COUNTIFS(TBA_Matches_All[Team],$G$18,TBA_Matches_All[stageAtt],0,TBA_Matches_All[stageLoc],"&lt;&gt;C",TBA_Matches_All[Station],"Blue2C"),COUNTIFS(TBA_Matches_All[Team],$G$18,TBA_Matches_All[stageAtt],0,TBA_Matches_All[stageLoc],"&lt;&gt;C",TBA_Matches_All[Station],"Red2C"))</f>
        <v>0</v>
      </c>
      <c r="K20" s="142" t="str">
        <f>IF(AllianceShow="Red", _xlfn.CONCAT(H22,"S / ",I22,"F"),_xlfn.CONCAT(H20,"S / ",I20,"F"))</f>
        <v>1S / 0F</v>
      </c>
      <c r="L20" s="114" t="s">
        <v>271</v>
      </c>
      <c r="M20" s="115" t="str">
        <f>IF(AllianceShow="Red","FAR","NEAR")</f>
        <v>FAR</v>
      </c>
    </row>
    <row r="21" spans="1:13" x14ac:dyDescent="0.3">
      <c r="A21" s="84" t="s">
        <v>263</v>
      </c>
      <c r="B21" s="130">
        <f>IF(C20=0,0,C20-B20)</f>
        <v>1.6282983</v>
      </c>
      <c r="C21" s="128">
        <f>IFERROR(AVERAGEIFS(Dyno_EndMatch[ClimbT],Dyno_EndMatch[Team],A$18,Dyno_EndMatch[StageAtt],1),0)</f>
        <v>4.7920797999999989</v>
      </c>
      <c r="D21" s="128">
        <f>IFERROR(AVERAGEIFS(Dyno_EndMatch[ClimbT],Dyno_EndMatch[Team],A$18,Dyno_EndMatch[StageAtt],-1),0)</f>
        <v>5.1375552500000001</v>
      </c>
      <c r="E21" s="85" t="s">
        <v>272</v>
      </c>
      <c r="G21" s="84" t="s">
        <v>157</v>
      </c>
      <c r="H21">
        <f>COUNTIFS(TBA_Matches_All[Team],$G$18,TBA_Matches_All[stageAtt],1,TBA_Matches_All[stageLoc],"C")</f>
        <v>0</v>
      </c>
      <c r="I21">
        <f>COUNTIFS(TBA_Matches_All[Team],$G$18,TBA_Matches_All[stageAtt],-1,TBA_Matches_All[stageLoc],"C")</f>
        <v>0</v>
      </c>
      <c r="J21" s="85">
        <f>COUNTIFS(TBA_Matches_All[Team],$G$18,TBA_Matches_All[stageAtt],0,TBA_Matches_All[stageLoc],"C")</f>
        <v>0</v>
      </c>
      <c r="K21" s="142" t="str">
        <f>_xlfn.CONCAT(H21,"S / ",I21,"F")</f>
        <v>0S / 0F</v>
      </c>
      <c r="L21" s="114" t="s">
        <v>157</v>
      </c>
      <c r="M21" s="115" t="s">
        <v>273</v>
      </c>
    </row>
    <row r="22" spans="1:13" ht="15" thickBot="1" x14ac:dyDescent="0.35">
      <c r="A22" s="84" t="s">
        <v>200</v>
      </c>
      <c r="B22" s="129">
        <f>SUM(60-SUM(B20:B21))</f>
        <v>58.371701700000003</v>
      </c>
      <c r="C22" s="124">
        <f>MAX(TBA_Rankings[aveAampT])</f>
        <v>0.2</v>
      </c>
      <c r="D22" s="124">
        <f>MAX(TBA_Rankings[aveAspkrT])</f>
        <v>5</v>
      </c>
      <c r="E22" s="85"/>
      <c r="G22" s="86" t="s">
        <v>274</v>
      </c>
      <c r="H22" s="87">
        <f>SUM(COUNTIFS(TBA_Matches_All[Team],$G$18,TBA_Matches_All[stageAtt],1,TBA_Matches_All[stageLoc],"R",TBA_Matches_All[Station],"Blue1A"),COUNTIFS(TBA_Matches_All[Team],$G$18,TBA_Matches_All[stageAtt],1,TBA_Matches_All[stageLoc],"R",TBA_Matches_All[Station],"Red1S"),COUNTIFS(TBA_Matches_All[Team],$G$18,TBA_Matches_All[stageAtt],1,TBA_Matches_All[stageLoc],"L",TBA_Matches_All[Station],"Blue3S"),COUNTIFS(TBA_Matches_All[Team],$G$18,TBA_Matches_All[stageAtt],1,TBA_Matches_All[stageLoc],"L",TBA_Matches_All[Station],"Red3A"))</f>
        <v>1</v>
      </c>
      <c r="I22" s="87">
        <f>SUM(COUNTIFS(TBA_Matches_All[Team],$G$18,TBA_Matches_All[stageAtt],-1,TBA_Matches_All[stageLoc],"R",TBA_Matches_All[Station],"Blue1A"),COUNTIFS(TBA_Matches_All[Team],$G$18,TBA_Matches_All[stageAtt],-1,TBA_Matches_All[stageLoc],"R",TBA_Matches_All[Station],"Red1S"),COUNTIFS(TBA_Matches_All[Team],$G$18,TBA_Matches_All[stageAtt],-1,TBA_Matches_All[stageLoc],"L",TBA_Matches_All[Station],"Blue3S"),COUNTIFS(TBA_Matches_All[Team],$G$18,TBA_Matches_All[stageAtt],-1,TBA_Matches_All[stageLoc],"L",TBA_Matches_All[Station],"Red3A"))</f>
        <v>0</v>
      </c>
      <c r="J22" s="116">
        <f>SUM(COUNTIFS(TBA_Matches_All[Team],$G$18,TBA_Matches_All[stageAtt],0,TBA_Matches_All[stageLoc],"R",TBA_Matches_All[Station],"Blue1A"),COUNTIFS(TBA_Matches_All[Team],$G$18,TBA_Matches_All[stageAtt],0,TBA_Matches_All[stageLoc],"R",TBA_Matches_All[Station],"Red1S"),COUNTIFS(TBA_Matches_All[Team],$G$18,TBA_Matches_All[stageAtt],0,TBA_Matches_All[stageLoc],"L",TBA_Matches_All[Station],"Blue3S"),COUNTIFS(TBA_Matches_All[Team],$G$18,TBA_Matches_All[stageAtt],0,TBA_Matches_All[stageLoc],"L",TBA_Matches_All[Station],"Red3A"))</f>
        <v>0</v>
      </c>
      <c r="K22" s="143" t="str">
        <f>IF(AllianceShow="Red", _xlfn.CONCAT(H20,"S / ",I20,"F"),_xlfn.CONCAT(H22,"S / ",I22,"F"))</f>
        <v>4S / 0F</v>
      </c>
      <c r="L22" s="144" t="s">
        <v>275</v>
      </c>
      <c r="M22" s="141" t="str">
        <f>IF(AllianceShow="Red","NEAR","FAR")</f>
        <v>NEAR</v>
      </c>
    </row>
    <row r="23" spans="1:13" ht="15" thickTop="1" x14ac:dyDescent="0.3">
      <c r="A23" s="84"/>
      <c r="E23" s="125"/>
    </row>
    <row r="24" spans="1:13" x14ac:dyDescent="0.3">
      <c r="A24" s="84" t="str">
        <f>_xlfn.CONCAT("Success: ",ROUND(C21,2))</f>
        <v>Success: 4.79</v>
      </c>
      <c r="E24" s="85"/>
    </row>
    <row r="25" spans="1:13" ht="15" thickBot="1" x14ac:dyDescent="0.35">
      <c r="A25" s="86"/>
      <c r="B25" s="87"/>
      <c r="C25" s="87"/>
      <c r="D25" s="87"/>
      <c r="E25" s="126"/>
    </row>
    <row r="26" spans="1:13" ht="15" thickTop="1" x14ac:dyDescent="0.3"/>
    <row r="27" spans="1:13" ht="15" thickBot="1" x14ac:dyDescent="0.35"/>
    <row r="28" spans="1:13" ht="15" thickTop="1" x14ac:dyDescent="0.3">
      <c r="A28" s="95" t="str">
        <f>IF(AllianceShow="Red",_Red1,_Blue3)</f>
        <v>frc1591</v>
      </c>
      <c r="B28" s="185" t="s">
        <v>278</v>
      </c>
      <c r="C28" s="185"/>
      <c r="D28" s="185"/>
      <c r="E28" s="186"/>
      <c r="G28" s="95" t="str">
        <f>IF(AllianceShow="Red",_Red1,_Blue3)</f>
        <v>frc1591</v>
      </c>
      <c r="H28" s="133" t="s">
        <v>279</v>
      </c>
      <c r="I28" s="133"/>
      <c r="J28" s="134"/>
      <c r="K28" s="95"/>
      <c r="L28" s="133"/>
      <c r="M28" s="134"/>
    </row>
    <row r="29" spans="1:13" x14ac:dyDescent="0.3">
      <c r="A29" s="84" t="s">
        <v>188</v>
      </c>
      <c r="B29" t="s">
        <v>263</v>
      </c>
      <c r="C29" t="s">
        <v>263</v>
      </c>
      <c r="D29" t="s">
        <v>264</v>
      </c>
      <c r="E29" s="85"/>
      <c r="G29" s="84" t="s">
        <v>265</v>
      </c>
      <c r="H29" t="s">
        <v>263</v>
      </c>
      <c r="I29" t="s">
        <v>264</v>
      </c>
      <c r="J29" s="85" t="s">
        <v>266</v>
      </c>
      <c r="K29" s="142" t="s">
        <v>267</v>
      </c>
      <c r="L29" s="114" t="s">
        <v>268</v>
      </c>
      <c r="M29" s="115" t="s">
        <v>265</v>
      </c>
    </row>
    <row r="30" spans="1:13" x14ac:dyDescent="0.3">
      <c r="A30" s="84" t="s">
        <v>264</v>
      </c>
      <c r="B30" s="131">
        <f>IF(AND(D30&gt;C30,C30&gt;0),0,D30)</f>
        <v>0</v>
      </c>
      <c r="C30" s="127">
        <f>_xlfn.MINIFS(Dyno_EndMatch[ClimbT],Dyno_EndMatch[Team],A$28,Dyno_EndMatch[StageAtt],1)</f>
        <v>2.0227572</v>
      </c>
      <c r="D30" s="127">
        <f>_xlfn.MAXIFS(Dyno_EndMatch[ClimbT],Dyno_EndMatch[Team],A$28,Dyno_EndMatch[StageAtt],-1)</f>
        <v>0</v>
      </c>
      <c r="E30" s="85" t="s">
        <v>269</v>
      </c>
      <c r="G30" s="84" t="s">
        <v>270</v>
      </c>
      <c r="H30">
        <f>SUM(COUNTIFS(TBA_Matches_All[Team],$G$28,TBA_Matches_All[stageAtt],1,TBA_Matches_All[stageLoc],"L",TBA_Matches_All[Station],"Blue1A"),COUNTIFS(TBA_Matches_All[Team],$G$28,TBA_Matches_All[stageAtt],1,TBA_Matches_All[stageLoc],"L",TBA_Matches_All[Station],"Red1S"),COUNTIFS(TBA_Matches_All[Team],$G$28,TBA_Matches_All[stageAtt],1,TBA_Matches_All[stageLoc],"R",TBA_Matches_All[Station],"Blue3S"),COUNTIFS(TBA_Matches_All[Team],$G$28,TBA_Matches_All[stageAtt],1,TBA_Matches_All[stageLoc],"R",TBA_Matches_All[Station],"Red3A"),COUNTIFS(TBA_Matches_All[Team],$G$28,TBA_Matches_All[stageAtt],1,TBA_Matches_All[stageLoc],"&lt;&gt;C",TBA_Matches_All[Station],"Blue2C"),COUNTIFS(TBA_Matches_All[Team],$G$28,TBA_Matches_All[stageAtt],1,TBA_Matches_All[stageLoc],"&lt;&gt;C",TBA_Matches_All[Station],"Red2C"))</f>
        <v>4</v>
      </c>
      <c r="I30">
        <f>SUM(COUNTIFS(TBA_Matches_All[Team],$G$28,TBA_Matches_All[stageAtt],-1,TBA_Matches_All[stageLoc],"L",TBA_Matches_All[Station],"Blue1A"),COUNTIFS(TBA_Matches_All[Team],$G$28,TBA_Matches_All[stageAtt],-1,TBA_Matches_All[stageLoc],"L",TBA_Matches_All[Station],"Red1S"),COUNTIFS(TBA_Matches_All[Team],$G$28,TBA_Matches_All[stageAtt],-1,TBA_Matches_All[stageLoc],"R",TBA_Matches_All[Station],"Blue3S"),COUNTIFS(TBA_Matches_All[Team],$G$28,TBA_Matches_All[stageAtt],-1,TBA_Matches_All[stageLoc],"R",TBA_Matches_All[Station],"Red3A"),COUNTIFS(TBA_Matches_All[Team],$G$28,TBA_Matches_All[stageAtt],-1,TBA_Matches_All[stageLoc],"&lt;&gt;C",TBA_Matches_All[Station],"Blue2C"),COUNTIFS(TBA_Matches_All[Team],$G$28,TBA_Matches_All[stageAtt],-1,TBA_Matches_All[stageLoc],"&lt;&gt;C",TBA_Matches_All[Station],"Red2C"))</f>
        <v>0</v>
      </c>
      <c r="J30" s="85">
        <f>SUM(COUNTIFS(TBA_Matches_All[Team],$G$28,TBA_Matches_All[stageAtt],0,TBA_Matches_All[stageLoc],"L",TBA_Matches_All[Station],"Blue1A"),COUNTIFS(TBA_Matches_All[Team],$G$28,TBA_Matches_All[stageAtt],0,TBA_Matches_All[stageLoc],"L",TBA_Matches_All[Station],"Red1S"),COUNTIFS(TBA_Matches_All[Team],$G$28,TBA_Matches_All[stageAtt],0,TBA_Matches_All[stageLoc],"R",TBA_Matches_All[Station],"Blue3S"),COUNTIFS(TBA_Matches_All[Team],$G$28,TBA_Matches_All[stageAtt],0,TBA_Matches_All[stageLoc],"R",TBA_Matches_All[Station],"Red3A"),COUNTIFS(TBA_Matches_All[Team],$G$28,TBA_Matches_All[stageAtt],0,TBA_Matches_All[stageLoc],"&lt;&gt;C",TBA_Matches_All[Station],"Blue2C"),COUNTIFS(TBA_Matches_All[Team],$G$28,TBA_Matches_All[stageAtt],0,TBA_Matches_All[stageLoc],"&lt;&gt;C",TBA_Matches_All[Station],"Red2C"))</f>
        <v>0</v>
      </c>
      <c r="K30" s="142" t="str">
        <f>IF(AllianceShow="Red", _xlfn.CONCAT(H30,"S / ",I30,"F"),_xlfn.CONCAT(H32,"S / ",I32,"F"))</f>
        <v>4S / 0F</v>
      </c>
      <c r="L30" s="114" t="s">
        <v>271</v>
      </c>
      <c r="M30" s="115" t="str">
        <f>IF(AllianceShow="Red","NEAR","FAR")</f>
        <v>NEAR</v>
      </c>
    </row>
    <row r="31" spans="1:13" x14ac:dyDescent="0.3">
      <c r="A31" s="84" t="s">
        <v>263</v>
      </c>
      <c r="B31" s="130">
        <f>IF(C30=0,0,C30-B30)</f>
        <v>2.0227572</v>
      </c>
      <c r="C31" s="128">
        <f>IFERROR(AVERAGEIFS(Dyno_EndMatch[ClimbT],Dyno_EndMatch[Team],A$28,Dyno_EndMatch[StageAtt],1),0)</f>
        <v>7.6355106624999998</v>
      </c>
      <c r="D31" s="128">
        <f>IFERROR(AVERAGEIFS(Dyno_EndMatch[ClimbT],Dyno_EndMatch[Team],A$28,Dyno_EndMatch[StageAtt],-1),0)</f>
        <v>0</v>
      </c>
      <c r="E31" s="85" t="s">
        <v>272</v>
      </c>
      <c r="G31" s="84" t="s">
        <v>157</v>
      </c>
      <c r="H31">
        <f>COUNTIFS(TBA_Matches_All[Team],$G$28,TBA_Matches_All[stageAtt],1,TBA_Matches_All[stageLoc],"C")</f>
        <v>0</v>
      </c>
      <c r="I31">
        <f>COUNTIFS(TBA_Matches_All[Team],$G$28,TBA_Matches_All[stageAtt],-1,TBA_Matches_All[stageLoc],"C")</f>
        <v>0</v>
      </c>
      <c r="J31" s="85">
        <f>COUNTIFS(TBA_Matches_All[Team],$G$28,TBA_Matches_All[stageAtt],0,TBA_Matches_All[stageLoc],"C")</f>
        <v>0</v>
      </c>
      <c r="K31" s="142" t="str">
        <f>_xlfn.CONCAT(H31,"S / ",I31,"F")</f>
        <v>0S / 0F</v>
      </c>
      <c r="L31" s="114" t="s">
        <v>157</v>
      </c>
      <c r="M31" s="115" t="s">
        <v>273</v>
      </c>
    </row>
    <row r="32" spans="1:13" ht="15" thickBot="1" x14ac:dyDescent="0.35">
      <c r="A32" s="84" t="s">
        <v>200</v>
      </c>
      <c r="B32" s="129">
        <f>SUM(60-SUM(B30:B31))</f>
        <v>57.977242799999999</v>
      </c>
      <c r="C32" s="124">
        <f>MAX(TBA_Rankings[aveAampT])</f>
        <v>0.2</v>
      </c>
      <c r="D32" s="124">
        <f>MAX(TBA_Rankings[aveAspkrT])</f>
        <v>5</v>
      </c>
      <c r="E32" s="85"/>
      <c r="G32" s="86" t="s">
        <v>274</v>
      </c>
      <c r="H32" s="87">
        <f>SUM(COUNTIFS(TBA_Matches_All[Team],$G$28,TBA_Matches_All[stageAtt],1,TBA_Matches_All[stageLoc],"R",TBA_Matches_All[Station],"Blue1A"),COUNTIFS(TBA_Matches_All[Team],$G$28,TBA_Matches_All[stageAtt],1,TBA_Matches_All[stageLoc],"R",TBA_Matches_All[Station],"Red1S"),COUNTIFS(TBA_Matches_All[Team],$G$28,TBA_Matches_All[stageAtt],1,TBA_Matches_All[stageLoc],"L",TBA_Matches_All[Station],"Blue3S"),COUNTIFS(TBA_Matches_All[Team],$G$28,TBA_Matches_All[stageAtt],1,TBA_Matches_All[stageLoc],"L",TBA_Matches_All[Station],"Red3A"))</f>
        <v>2</v>
      </c>
      <c r="I32" s="87">
        <f>SUM(COUNTIFS(TBA_Matches_All[Team],$G$28,TBA_Matches_All[stageAtt],-1,TBA_Matches_All[stageLoc],"R",TBA_Matches_All[Station],"Blue1A"),COUNTIFS(TBA_Matches_All[Team],$G$28,TBA_Matches_All[stageAtt],-1,TBA_Matches_All[stageLoc],"R",TBA_Matches_All[Station],"Red1S"),COUNTIFS(TBA_Matches_All[Team],$G$28,TBA_Matches_All[stageAtt],-1,TBA_Matches_All[stageLoc],"L",TBA_Matches_All[Station],"Blue3S"),COUNTIFS(TBA_Matches_All[Team],$G$28,TBA_Matches_All[stageAtt],-1,TBA_Matches_All[stageLoc],"L",TBA_Matches_All[Station],"Red3A"))</f>
        <v>0</v>
      </c>
      <c r="J32" s="116">
        <f>SUM(COUNTIFS(TBA_Matches_All[Team],$G$28,TBA_Matches_All[stageAtt],0,TBA_Matches_All[stageLoc],"R",TBA_Matches_All[Station],"Blue1A"),COUNTIFS(TBA_Matches_All[Team],$G$28,TBA_Matches_All[stageAtt],0,TBA_Matches_All[stageLoc],"R",TBA_Matches_All[Station],"Red1S"),COUNTIFS(TBA_Matches_All[Team],$G$28,TBA_Matches_All[stageAtt],0,TBA_Matches_All[stageLoc],"L",TBA_Matches_All[Station],"Blue3S"),COUNTIFS(TBA_Matches_All[Team],$G$28,TBA_Matches_All[stageAtt],0,TBA_Matches_All[stageLoc],"L",TBA_Matches_All[Station],"Red3A"))</f>
        <v>0</v>
      </c>
      <c r="K32" s="143" t="str">
        <f>IF(AllianceShow="Red", _xlfn.CONCAT(H32,"S / ",I32,"F"),_xlfn.CONCAT(H30,"S / ",I30,"F"))</f>
        <v>2S / 0F</v>
      </c>
      <c r="L32" s="144" t="s">
        <v>275</v>
      </c>
      <c r="M32" s="141" t="str">
        <f>IF(AllianceShow="Red","FAR","NEAR")</f>
        <v>FAR</v>
      </c>
    </row>
    <row r="33" spans="1:5" ht="15" thickTop="1" x14ac:dyDescent="0.3">
      <c r="A33" s="84"/>
      <c r="E33" s="125"/>
    </row>
    <row r="34" spans="1:5" x14ac:dyDescent="0.3">
      <c r="A34" s="84" t="str">
        <f>_xlfn.CONCAT("Success: ",ROUND(C31,2))</f>
        <v>Success: 7.64</v>
      </c>
      <c r="E34" s="85"/>
    </row>
    <row r="35" spans="1:5" ht="15" thickBot="1" x14ac:dyDescent="0.35">
      <c r="A35" s="86"/>
      <c r="B35" s="87"/>
      <c r="C35" s="87"/>
      <c r="D35" s="87"/>
      <c r="E35" s="126"/>
    </row>
    <row r="36" spans="1:5" ht="15" thickTop="1" x14ac:dyDescent="0.3"/>
  </sheetData>
  <mergeCells count="4">
    <mergeCell ref="B8:E8"/>
    <mergeCell ref="B18:E18"/>
    <mergeCell ref="B28:E28"/>
    <mergeCell ref="A1:C1"/>
  </mergeCells>
  <pageMargins left="0.7" right="0.7" top="0.75" bottom="0.75" header="0.3" footer="0.3"/>
  <tableParts count="2">
    <tablePart r:id="rId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08550-C573-4A5E-A360-1595CDD7CB44}">
  <sheetPr codeName="Sheet10">
    <tabColor rgb="FF00B0F0"/>
  </sheetPr>
  <dimension ref="A1:AK4379"/>
  <sheetViews>
    <sheetView workbookViewId="0">
      <selection activeCell="H948" sqref="H948"/>
    </sheetView>
  </sheetViews>
  <sheetFormatPr defaultRowHeight="14.4" x14ac:dyDescent="0.3"/>
  <cols>
    <col min="1" max="1" width="5" bestFit="1" customWidth="1"/>
    <col min="2" max="2" width="8.21875" bestFit="1" customWidth="1"/>
    <col min="3" max="3" width="8.6640625" bestFit="1" customWidth="1"/>
    <col min="4" max="4" width="18.5546875" style="105" bestFit="1" customWidth="1"/>
    <col min="5" max="5" width="13.21875" bestFit="1" customWidth="1"/>
    <col min="6" max="6" width="9.109375" bestFit="1" customWidth="1"/>
    <col min="7" max="7" width="8.109375" bestFit="1" customWidth="1"/>
    <col min="8" max="8" width="9.33203125" bestFit="1" customWidth="1"/>
    <col min="9" max="9" width="12" bestFit="1" customWidth="1"/>
    <col min="10" max="10" width="8.88671875" bestFit="1" customWidth="1"/>
    <col min="11" max="12" width="9.44140625" bestFit="1" customWidth="1"/>
    <col min="13" max="13" width="9.5546875" bestFit="1" customWidth="1"/>
    <col min="14" max="14" width="9.6640625" bestFit="1" customWidth="1"/>
    <col min="15" max="15" width="10.21875" bestFit="1" customWidth="1"/>
    <col min="16" max="16" width="11" bestFit="1" customWidth="1"/>
    <col min="17" max="17" width="9.5546875" bestFit="1" customWidth="1"/>
    <col min="18" max="18" width="11.21875" bestFit="1" customWidth="1"/>
    <col min="19" max="19" width="10.44140625" bestFit="1" customWidth="1"/>
    <col min="20" max="20" width="10.77734375" bestFit="1" customWidth="1"/>
    <col min="21" max="21" width="11" bestFit="1" customWidth="1"/>
    <col min="22" max="22" width="8.6640625" bestFit="1" customWidth="1"/>
    <col min="23" max="23" width="11" bestFit="1" customWidth="1"/>
    <col min="24" max="26" width="12" bestFit="1" customWidth="1"/>
    <col min="27" max="27" width="10" bestFit="1" customWidth="1"/>
    <col min="28" max="28" width="12.109375" bestFit="1" customWidth="1"/>
    <col min="29" max="29" width="10.21875" bestFit="1" customWidth="1"/>
    <col min="30" max="30" width="7.109375" bestFit="1" customWidth="1"/>
    <col min="31" max="31" width="14.6640625" bestFit="1" customWidth="1"/>
    <col min="32" max="32" width="13.77734375" bestFit="1" customWidth="1"/>
    <col min="33" max="33" width="14.33203125" bestFit="1" customWidth="1"/>
    <col min="34" max="34" width="10.88671875" bestFit="1" customWidth="1"/>
    <col min="35" max="35" width="12.88671875" style="76" bestFit="1" customWidth="1"/>
    <col min="36" max="36" width="10.88671875" bestFit="1" customWidth="1"/>
    <col min="37" max="37" width="17.5546875" bestFit="1" customWidth="1"/>
  </cols>
  <sheetData>
    <row r="1" spans="1:37" x14ac:dyDescent="0.3">
      <c r="A1" t="s">
        <v>280</v>
      </c>
      <c r="B1" t="s">
        <v>141</v>
      </c>
      <c r="C1" t="s">
        <v>156</v>
      </c>
      <c r="D1" s="105" t="s">
        <v>281</v>
      </c>
      <c r="E1" t="s">
        <v>282</v>
      </c>
      <c r="F1" t="s">
        <v>283</v>
      </c>
      <c r="G1" t="s">
        <v>284</v>
      </c>
      <c r="H1" t="s">
        <v>285</v>
      </c>
      <c r="I1" t="s">
        <v>286</v>
      </c>
      <c r="J1" t="s">
        <v>287</v>
      </c>
      <c r="K1" t="s">
        <v>288</v>
      </c>
      <c r="L1" t="s">
        <v>289</v>
      </c>
      <c r="M1" t="s">
        <v>290</v>
      </c>
      <c r="N1" t="s">
        <v>291</v>
      </c>
      <c r="O1" t="s">
        <v>292</v>
      </c>
      <c r="P1" t="s">
        <v>293</v>
      </c>
      <c r="Q1" t="s">
        <v>149</v>
      </c>
      <c r="R1" t="s">
        <v>294</v>
      </c>
      <c r="S1" t="s">
        <v>295</v>
      </c>
      <c r="T1" t="s">
        <v>296</v>
      </c>
      <c r="U1" t="s">
        <v>259</v>
      </c>
      <c r="V1" t="s">
        <v>260</v>
      </c>
      <c r="W1" t="s">
        <v>297</v>
      </c>
      <c r="X1" t="s">
        <v>298</v>
      </c>
      <c r="Y1" t="s">
        <v>299</v>
      </c>
      <c r="Z1" t="s">
        <v>300</v>
      </c>
      <c r="AA1" t="s">
        <v>170</v>
      </c>
      <c r="AB1" t="s">
        <v>301</v>
      </c>
      <c r="AC1" t="s">
        <v>302</v>
      </c>
      <c r="AD1" t="s">
        <v>150</v>
      </c>
      <c r="AE1" t="s">
        <v>303</v>
      </c>
      <c r="AF1" t="s">
        <v>304</v>
      </c>
      <c r="AG1" t="s">
        <v>305</v>
      </c>
      <c r="AH1" t="s">
        <v>306</v>
      </c>
      <c r="AI1" s="76" t="s">
        <v>307</v>
      </c>
    </row>
    <row r="2" spans="1:37" x14ac:dyDescent="0.3">
      <c r="A2">
        <v>8</v>
      </c>
      <c r="B2" t="s">
        <v>1280</v>
      </c>
      <c r="C2">
        <v>1</v>
      </c>
      <c r="D2" s="105">
        <v>45373.378050196756</v>
      </c>
      <c r="E2" t="s">
        <v>308</v>
      </c>
      <c r="F2" t="s">
        <v>309</v>
      </c>
      <c r="G2">
        <v>0</v>
      </c>
      <c r="H2" t="s">
        <v>310</v>
      </c>
      <c r="I2">
        <v>0</v>
      </c>
      <c r="J2">
        <v>0</v>
      </c>
      <c r="K2">
        <v>0</v>
      </c>
      <c r="L2" t="s">
        <v>310</v>
      </c>
      <c r="M2" t="s">
        <v>310</v>
      </c>
      <c r="N2">
        <v>0</v>
      </c>
      <c r="O2" t="s">
        <v>319</v>
      </c>
      <c r="P2" t="s">
        <v>310</v>
      </c>
      <c r="Q2" t="s">
        <v>310</v>
      </c>
      <c r="R2" t="s">
        <v>310</v>
      </c>
      <c r="S2">
        <v>9</v>
      </c>
      <c r="T2" t="s">
        <v>310</v>
      </c>
      <c r="U2">
        <v>9</v>
      </c>
      <c r="V2">
        <v>9</v>
      </c>
      <c r="W2">
        <v>0</v>
      </c>
      <c r="X2">
        <v>0</v>
      </c>
      <c r="Y2">
        <v>0</v>
      </c>
      <c r="Z2">
        <v>0</v>
      </c>
      <c r="AA2">
        <v>9</v>
      </c>
      <c r="AB2">
        <v>9</v>
      </c>
      <c r="AC2" t="s">
        <v>310</v>
      </c>
      <c r="AD2">
        <v>9</v>
      </c>
      <c r="AE2" t="s">
        <v>1387</v>
      </c>
      <c r="AF2">
        <v>1000</v>
      </c>
      <c r="AG2" t="s">
        <v>310</v>
      </c>
      <c r="AH2">
        <f>SUM((MID(Dyno_Data[[#This Row],[Team]],4,5))+(Dyno_Data[[#This Row],[Match]]/100))</f>
        <v>1559.01</v>
      </c>
      <c r="AI2" s="76">
        <f>ROUND(SUM(IF(Dyno_Data[[#This Row],[AcqCenter]]&gt;0,Dyno_Data[[#This Row],[Time]]-SUMIFS(Dyno_Data[Time],Dyno_Data[Team],Dyno_Data[[#This Row],[Team]],Dyno_Data[RecordType],"StartMatch",Dyno_Data[Match],Dyno_Data[[#This Row],[Match]]),0)*86400),0)</f>
        <v>0</v>
      </c>
    </row>
    <row r="3" spans="1:37" x14ac:dyDescent="0.3">
      <c r="A3">
        <v>10</v>
      </c>
      <c r="B3" t="s">
        <v>1278</v>
      </c>
      <c r="C3">
        <v>1</v>
      </c>
      <c r="D3" s="105">
        <v>45373.378055243054</v>
      </c>
      <c r="E3" t="s">
        <v>308</v>
      </c>
      <c r="F3" t="s">
        <v>309</v>
      </c>
      <c r="G3">
        <v>0</v>
      </c>
      <c r="H3" t="s">
        <v>310</v>
      </c>
      <c r="I3">
        <v>0</v>
      </c>
      <c r="J3">
        <v>0</v>
      </c>
      <c r="K3">
        <v>0</v>
      </c>
      <c r="L3" t="s">
        <v>310</v>
      </c>
      <c r="M3" t="s">
        <v>310</v>
      </c>
      <c r="N3">
        <v>0</v>
      </c>
      <c r="O3" t="s">
        <v>311</v>
      </c>
      <c r="P3" t="s">
        <v>310</v>
      </c>
      <c r="Q3" t="s">
        <v>310</v>
      </c>
      <c r="R3" t="s">
        <v>310</v>
      </c>
      <c r="S3">
        <v>9</v>
      </c>
      <c r="T3" t="s">
        <v>310</v>
      </c>
      <c r="U3">
        <v>9</v>
      </c>
      <c r="V3">
        <v>9</v>
      </c>
      <c r="W3">
        <v>0</v>
      </c>
      <c r="X3">
        <v>0</v>
      </c>
      <c r="Y3">
        <v>0</v>
      </c>
      <c r="Z3">
        <v>0</v>
      </c>
      <c r="AA3">
        <v>9</v>
      </c>
      <c r="AB3">
        <v>9</v>
      </c>
      <c r="AC3" t="s">
        <v>310</v>
      </c>
      <c r="AD3">
        <v>9</v>
      </c>
      <c r="AE3" t="s">
        <v>1388</v>
      </c>
      <c r="AF3">
        <v>0</v>
      </c>
      <c r="AG3" t="s">
        <v>310</v>
      </c>
      <c r="AH3">
        <f>SUM((MID(Dyno_Data[[#This Row],[Team]],4,5))+(Dyno_Data[[#This Row],[Match]]/100))</f>
        <v>3951.01</v>
      </c>
      <c r="AI3" s="76">
        <f>ROUND(SUM(IF(Dyno_Data[[#This Row],[AcqCenter]]&gt;0,Dyno_Data[[#This Row],[Time]]-SUMIFS(Dyno_Data[Time],Dyno_Data[Team],Dyno_Data[[#This Row],[Team]],Dyno_Data[RecordType],"StartMatch",Dyno_Data[Match],Dyno_Data[[#This Row],[Match]]),0)*86400),0)</f>
        <v>0</v>
      </c>
    </row>
    <row r="4" spans="1:37" x14ac:dyDescent="0.3">
      <c r="A4">
        <v>12</v>
      </c>
      <c r="B4" t="s">
        <v>1276</v>
      </c>
      <c r="C4">
        <v>1</v>
      </c>
      <c r="D4" s="105">
        <v>45373.378056631947</v>
      </c>
      <c r="E4" t="s">
        <v>308</v>
      </c>
      <c r="F4" t="s">
        <v>309</v>
      </c>
      <c r="G4">
        <v>0</v>
      </c>
      <c r="H4" t="s">
        <v>310</v>
      </c>
      <c r="I4">
        <v>0</v>
      </c>
      <c r="J4">
        <v>0</v>
      </c>
      <c r="K4">
        <v>0</v>
      </c>
      <c r="L4" t="s">
        <v>310</v>
      </c>
      <c r="M4" t="s">
        <v>310</v>
      </c>
      <c r="N4">
        <v>0</v>
      </c>
      <c r="O4" t="s">
        <v>1389</v>
      </c>
      <c r="P4" t="s">
        <v>310</v>
      </c>
      <c r="Q4" t="s">
        <v>310</v>
      </c>
      <c r="R4" t="s">
        <v>310</v>
      </c>
      <c r="S4">
        <v>9</v>
      </c>
      <c r="T4" t="s">
        <v>310</v>
      </c>
      <c r="U4">
        <v>9</v>
      </c>
      <c r="V4">
        <v>9</v>
      </c>
      <c r="W4">
        <v>0</v>
      </c>
      <c r="X4">
        <v>0</v>
      </c>
      <c r="Y4">
        <v>0</v>
      </c>
      <c r="Z4">
        <v>0</v>
      </c>
      <c r="AA4">
        <v>9</v>
      </c>
      <c r="AB4">
        <v>9</v>
      </c>
      <c r="AC4" t="s">
        <v>310</v>
      </c>
      <c r="AD4">
        <v>9</v>
      </c>
      <c r="AE4" t="s">
        <v>1390</v>
      </c>
      <c r="AF4">
        <v>0</v>
      </c>
      <c r="AG4" t="s">
        <v>310</v>
      </c>
      <c r="AH4">
        <f>SUM((MID(Dyno_Data[[#This Row],[Team]],4,5))+(Dyno_Data[[#This Row],[Match]]/100))</f>
        <v>229.01</v>
      </c>
      <c r="AI4" s="76">
        <f>ROUND(SUM(IF(Dyno_Data[[#This Row],[AcqCenter]]&gt;0,Dyno_Data[[#This Row],[Time]]-SUMIFS(Dyno_Data[Time],Dyno_Data[Team],Dyno_Data[[#This Row],[Team]],Dyno_Data[RecordType],"StartMatch",Dyno_Data[Match],Dyno_Data[[#This Row],[Match]]),0)*86400),0)</f>
        <v>0</v>
      </c>
      <c r="AK4" s="106"/>
    </row>
    <row r="5" spans="1:37" x14ac:dyDescent="0.3">
      <c r="A5">
        <v>14</v>
      </c>
      <c r="B5" t="s">
        <v>1279</v>
      </c>
      <c r="C5">
        <v>1</v>
      </c>
      <c r="D5" s="105">
        <v>45373.378059571762</v>
      </c>
      <c r="E5" t="s">
        <v>308</v>
      </c>
      <c r="F5" t="s">
        <v>309</v>
      </c>
      <c r="G5">
        <v>0</v>
      </c>
      <c r="H5" t="s">
        <v>310</v>
      </c>
      <c r="I5">
        <v>0</v>
      </c>
      <c r="J5">
        <v>0</v>
      </c>
      <c r="K5">
        <v>0</v>
      </c>
      <c r="L5" t="s">
        <v>310</v>
      </c>
      <c r="M5" t="s">
        <v>310</v>
      </c>
      <c r="N5">
        <v>0</v>
      </c>
      <c r="O5" t="s">
        <v>1391</v>
      </c>
      <c r="P5" t="s">
        <v>310</v>
      </c>
      <c r="Q5" t="s">
        <v>310</v>
      </c>
      <c r="R5" t="s">
        <v>310</v>
      </c>
      <c r="S5">
        <v>9</v>
      </c>
      <c r="T5" t="s">
        <v>310</v>
      </c>
      <c r="U5">
        <v>9</v>
      </c>
      <c r="V5">
        <v>9</v>
      </c>
      <c r="W5">
        <v>0</v>
      </c>
      <c r="X5">
        <v>0</v>
      </c>
      <c r="Y5">
        <v>0</v>
      </c>
      <c r="Z5">
        <v>0</v>
      </c>
      <c r="AA5">
        <v>9</v>
      </c>
      <c r="AB5">
        <v>9</v>
      </c>
      <c r="AC5" t="s">
        <v>310</v>
      </c>
      <c r="AD5">
        <v>9</v>
      </c>
      <c r="AE5" t="s">
        <v>1392</v>
      </c>
      <c r="AF5">
        <v>0</v>
      </c>
      <c r="AG5" t="s">
        <v>310</v>
      </c>
      <c r="AH5">
        <f>SUM((MID(Dyno_Data[[#This Row],[Team]],4,5))+(Dyno_Data[[#This Row],[Match]]/100))</f>
        <v>5149.01</v>
      </c>
      <c r="AI5" s="76">
        <f>ROUND(SUM(IF(Dyno_Data[[#This Row],[AcqCenter]]&gt;0,Dyno_Data[[#This Row],[Time]]-SUMIFS(Dyno_Data[Time],Dyno_Data[Team],Dyno_Data[[#This Row],[Team]],Dyno_Data[RecordType],"StartMatch",Dyno_Data[Match],Dyno_Data[[#This Row],[Match]]),0)*86400),0)</f>
        <v>0</v>
      </c>
    </row>
    <row r="6" spans="1:37" x14ac:dyDescent="0.3">
      <c r="A6">
        <v>16</v>
      </c>
      <c r="B6" t="s">
        <v>1275</v>
      </c>
      <c r="C6">
        <v>1</v>
      </c>
      <c r="D6" s="105">
        <v>45373.378062418982</v>
      </c>
      <c r="E6" t="s">
        <v>308</v>
      </c>
      <c r="F6" t="s">
        <v>309</v>
      </c>
      <c r="G6">
        <v>0</v>
      </c>
      <c r="H6" t="s">
        <v>310</v>
      </c>
      <c r="I6">
        <v>0</v>
      </c>
      <c r="J6">
        <v>0</v>
      </c>
      <c r="K6">
        <v>0</v>
      </c>
      <c r="L6" t="s">
        <v>310</v>
      </c>
      <c r="M6" t="s">
        <v>310</v>
      </c>
      <c r="N6">
        <v>0</v>
      </c>
      <c r="O6" t="s">
        <v>1393</v>
      </c>
      <c r="P6" t="s">
        <v>310</v>
      </c>
      <c r="Q6" t="s">
        <v>310</v>
      </c>
      <c r="R6" t="s">
        <v>310</v>
      </c>
      <c r="S6">
        <v>9</v>
      </c>
      <c r="T6" t="s">
        <v>310</v>
      </c>
      <c r="U6">
        <v>9</v>
      </c>
      <c r="V6">
        <v>9</v>
      </c>
      <c r="W6">
        <v>0</v>
      </c>
      <c r="X6">
        <v>0</v>
      </c>
      <c r="Y6">
        <v>0</v>
      </c>
      <c r="Z6">
        <v>0</v>
      </c>
      <c r="AA6">
        <v>9</v>
      </c>
      <c r="AB6">
        <v>9</v>
      </c>
      <c r="AC6" t="s">
        <v>310</v>
      </c>
      <c r="AD6">
        <v>9</v>
      </c>
      <c r="AE6" t="s">
        <v>1394</v>
      </c>
      <c r="AF6">
        <v>0</v>
      </c>
      <c r="AG6" t="s">
        <v>310</v>
      </c>
      <c r="AH6">
        <f>SUM((MID(Dyno_Data[[#This Row],[Team]],4,5))+(Dyno_Data[[#This Row],[Match]]/100))</f>
        <v>1880.01</v>
      </c>
      <c r="AI6" s="76">
        <f>ROUND(SUM(IF(Dyno_Data[[#This Row],[AcqCenter]]&gt;0,Dyno_Data[[#This Row],[Time]]-SUMIFS(Dyno_Data[Time],Dyno_Data[Team],Dyno_Data[[#This Row],[Team]],Dyno_Data[RecordType],"StartMatch",Dyno_Data[Match],Dyno_Data[[#This Row],[Match]]),0)*86400),0)</f>
        <v>0</v>
      </c>
    </row>
    <row r="7" spans="1:37" x14ac:dyDescent="0.3">
      <c r="A7">
        <v>18</v>
      </c>
      <c r="B7" t="s">
        <v>1277</v>
      </c>
      <c r="C7">
        <v>1</v>
      </c>
      <c r="D7" s="105">
        <v>45373.37807071759</v>
      </c>
      <c r="E7" t="s">
        <v>308</v>
      </c>
      <c r="F7" t="s">
        <v>309</v>
      </c>
      <c r="G7">
        <v>0</v>
      </c>
      <c r="H7" t="s">
        <v>310</v>
      </c>
      <c r="I7">
        <v>0</v>
      </c>
      <c r="J7">
        <v>0</v>
      </c>
      <c r="K7">
        <v>0</v>
      </c>
      <c r="L7" t="s">
        <v>310</v>
      </c>
      <c r="M7" t="s">
        <v>310</v>
      </c>
      <c r="N7">
        <v>0</v>
      </c>
      <c r="O7" t="s">
        <v>1395</v>
      </c>
      <c r="P7" t="s">
        <v>310</v>
      </c>
      <c r="Q7" t="s">
        <v>310</v>
      </c>
      <c r="R7" t="s">
        <v>310</v>
      </c>
      <c r="S7">
        <v>9</v>
      </c>
      <c r="T7" t="s">
        <v>310</v>
      </c>
      <c r="U7">
        <v>9</v>
      </c>
      <c r="V7">
        <v>9</v>
      </c>
      <c r="W7">
        <v>0</v>
      </c>
      <c r="X7">
        <v>0</v>
      </c>
      <c r="Y7">
        <v>0</v>
      </c>
      <c r="Z7">
        <v>0</v>
      </c>
      <c r="AA7">
        <v>9</v>
      </c>
      <c r="AB7">
        <v>9</v>
      </c>
      <c r="AC7" t="s">
        <v>310</v>
      </c>
      <c r="AD7">
        <v>9</v>
      </c>
      <c r="AE7" t="s">
        <v>1396</v>
      </c>
      <c r="AF7">
        <v>20000000</v>
      </c>
      <c r="AG7" t="s">
        <v>310</v>
      </c>
      <c r="AH7">
        <f>SUM((MID(Dyno_Data[[#This Row],[Team]],4,5))+(Dyno_Data[[#This Row],[Match]]/100))</f>
        <v>3360.01</v>
      </c>
      <c r="AI7" s="76">
        <f>ROUND(SUM(IF(Dyno_Data[[#This Row],[AcqCenter]]&gt;0,Dyno_Data[[#This Row],[Time]]-SUMIFS(Dyno_Data[Time],Dyno_Data[Team],Dyno_Data[[#This Row],[Team]],Dyno_Data[RecordType],"StartMatch",Dyno_Data[Match],Dyno_Data[[#This Row],[Match]]),0)*86400),0)</f>
        <v>0</v>
      </c>
    </row>
    <row r="8" spans="1:37" x14ac:dyDescent="0.3">
      <c r="A8">
        <v>1</v>
      </c>
      <c r="B8" t="s">
        <v>1275</v>
      </c>
      <c r="C8">
        <v>1</v>
      </c>
      <c r="D8" s="105">
        <v>45373.378081863426</v>
      </c>
      <c r="E8" t="s">
        <v>312</v>
      </c>
      <c r="F8" t="s">
        <v>309</v>
      </c>
      <c r="G8">
        <v>0</v>
      </c>
      <c r="H8" t="s">
        <v>1397</v>
      </c>
      <c r="I8">
        <v>0</v>
      </c>
      <c r="J8">
        <v>0</v>
      </c>
      <c r="K8">
        <v>0</v>
      </c>
      <c r="L8" t="s">
        <v>241</v>
      </c>
      <c r="M8" t="s">
        <v>1398</v>
      </c>
      <c r="N8">
        <v>0</v>
      </c>
      <c r="O8" t="s">
        <v>1393</v>
      </c>
      <c r="P8" t="s">
        <v>310</v>
      </c>
      <c r="Q8" t="s">
        <v>310</v>
      </c>
      <c r="R8" t="s">
        <v>310</v>
      </c>
      <c r="S8">
        <v>9</v>
      </c>
      <c r="T8" t="s">
        <v>310</v>
      </c>
      <c r="U8">
        <v>9</v>
      </c>
      <c r="V8">
        <v>9</v>
      </c>
      <c r="W8">
        <v>0</v>
      </c>
      <c r="X8">
        <v>0</v>
      </c>
      <c r="Y8">
        <v>0</v>
      </c>
      <c r="Z8">
        <v>0</v>
      </c>
      <c r="AA8">
        <v>9</v>
      </c>
      <c r="AB8">
        <v>9</v>
      </c>
      <c r="AC8" t="s">
        <v>310</v>
      </c>
      <c r="AD8">
        <v>9</v>
      </c>
      <c r="AE8" t="s">
        <v>1394</v>
      </c>
      <c r="AF8">
        <v>0</v>
      </c>
      <c r="AG8" t="s">
        <v>310</v>
      </c>
      <c r="AH8">
        <f>SUM((MID(Dyno_Data[[#This Row],[Team]],4,5))+(Dyno_Data[[#This Row],[Match]]/100))</f>
        <v>1880.01</v>
      </c>
      <c r="AI8" s="76">
        <f>ROUND(SUM(IF(Dyno_Data[[#This Row],[AcqCenter]]&gt;0,Dyno_Data[[#This Row],[Time]]-SUMIFS(Dyno_Data[Time],Dyno_Data[Team],Dyno_Data[[#This Row],[Team]],Dyno_Data[RecordType],"StartMatch",Dyno_Data[Match],Dyno_Data[[#This Row],[Match]]),0)*86400),0)</f>
        <v>0</v>
      </c>
    </row>
    <row r="9" spans="1:37" x14ac:dyDescent="0.3">
      <c r="A9">
        <v>2</v>
      </c>
      <c r="B9" t="s">
        <v>1280</v>
      </c>
      <c r="C9">
        <v>1</v>
      </c>
      <c r="D9" s="105">
        <v>45373.378091238425</v>
      </c>
      <c r="E9" t="s">
        <v>312</v>
      </c>
      <c r="F9" t="s">
        <v>309</v>
      </c>
      <c r="G9">
        <v>0</v>
      </c>
      <c r="H9" t="s">
        <v>1397</v>
      </c>
      <c r="I9">
        <v>0</v>
      </c>
      <c r="J9">
        <v>0</v>
      </c>
      <c r="K9">
        <v>0</v>
      </c>
      <c r="L9" t="s">
        <v>241</v>
      </c>
      <c r="M9" t="s">
        <v>1398</v>
      </c>
      <c r="N9">
        <v>1</v>
      </c>
      <c r="O9" t="s">
        <v>319</v>
      </c>
      <c r="P9" t="s">
        <v>310</v>
      </c>
      <c r="Q9" t="s">
        <v>310</v>
      </c>
      <c r="R9" t="s">
        <v>310</v>
      </c>
      <c r="S9">
        <v>9</v>
      </c>
      <c r="T9" t="s">
        <v>310</v>
      </c>
      <c r="U9">
        <v>9</v>
      </c>
      <c r="V9">
        <v>9</v>
      </c>
      <c r="W9">
        <v>0</v>
      </c>
      <c r="X9">
        <v>0</v>
      </c>
      <c r="Y9">
        <v>0</v>
      </c>
      <c r="Z9">
        <v>0</v>
      </c>
      <c r="AA9">
        <v>9</v>
      </c>
      <c r="AB9">
        <v>9</v>
      </c>
      <c r="AC9" t="s">
        <v>310</v>
      </c>
      <c r="AD9">
        <v>9</v>
      </c>
      <c r="AE9" t="s">
        <v>1387</v>
      </c>
      <c r="AF9">
        <v>0</v>
      </c>
      <c r="AG9" t="s">
        <v>310</v>
      </c>
      <c r="AH9">
        <f>SUM((MID(Dyno_Data[[#This Row],[Team]],4,5))+(Dyno_Data[[#This Row],[Match]]/100))</f>
        <v>1559.01</v>
      </c>
      <c r="AI9" s="76">
        <f>ROUND(SUM(IF(Dyno_Data[[#This Row],[AcqCenter]]&gt;0,Dyno_Data[[#This Row],[Time]]-SUMIFS(Dyno_Data[Time],Dyno_Data[Team],Dyno_Data[[#This Row],[Team]],Dyno_Data[RecordType],"StartMatch",Dyno_Data[Match],Dyno_Data[[#This Row],[Match]]),0)*86400),0)</f>
        <v>0</v>
      </c>
    </row>
    <row r="10" spans="1:37" x14ac:dyDescent="0.3">
      <c r="A10">
        <v>3</v>
      </c>
      <c r="B10" t="s">
        <v>1277</v>
      </c>
      <c r="C10">
        <v>1</v>
      </c>
      <c r="D10" s="105">
        <v>45373.378096377317</v>
      </c>
      <c r="E10" t="s">
        <v>312</v>
      </c>
      <c r="F10" t="s">
        <v>309</v>
      </c>
      <c r="G10">
        <v>0</v>
      </c>
      <c r="H10" t="s">
        <v>1397</v>
      </c>
      <c r="I10">
        <v>0</v>
      </c>
      <c r="J10">
        <v>0</v>
      </c>
      <c r="K10">
        <v>0</v>
      </c>
      <c r="L10" t="s">
        <v>240</v>
      </c>
      <c r="M10" t="s">
        <v>1398</v>
      </c>
      <c r="N10">
        <v>0</v>
      </c>
      <c r="O10" t="s">
        <v>1395</v>
      </c>
      <c r="P10" t="s">
        <v>310</v>
      </c>
      <c r="Q10" t="s">
        <v>310</v>
      </c>
      <c r="R10" t="s">
        <v>310</v>
      </c>
      <c r="S10">
        <v>9</v>
      </c>
      <c r="T10" t="s">
        <v>310</v>
      </c>
      <c r="U10">
        <v>9</v>
      </c>
      <c r="V10">
        <v>9</v>
      </c>
      <c r="W10">
        <v>0</v>
      </c>
      <c r="X10">
        <v>0</v>
      </c>
      <c r="Y10">
        <v>0</v>
      </c>
      <c r="Z10">
        <v>0</v>
      </c>
      <c r="AA10">
        <v>9</v>
      </c>
      <c r="AB10">
        <v>9</v>
      </c>
      <c r="AC10" t="s">
        <v>310</v>
      </c>
      <c r="AD10">
        <v>9</v>
      </c>
      <c r="AE10" t="s">
        <v>1396</v>
      </c>
      <c r="AF10">
        <v>0</v>
      </c>
      <c r="AG10" t="s">
        <v>310</v>
      </c>
      <c r="AH10">
        <f>SUM((MID(Dyno_Data[[#This Row],[Team]],4,5))+(Dyno_Data[[#This Row],[Match]]/100))</f>
        <v>3360.01</v>
      </c>
      <c r="AI10" s="76">
        <f>ROUND(SUM(IF(Dyno_Data[[#This Row],[AcqCenter]]&gt;0,Dyno_Data[[#This Row],[Time]]-SUMIFS(Dyno_Data[Time],Dyno_Data[Team],Dyno_Data[[#This Row],[Team]],Dyno_Data[RecordType],"StartMatch",Dyno_Data[Match],Dyno_Data[[#This Row],[Match]]),0)*86400),0)</f>
        <v>0</v>
      </c>
    </row>
    <row r="11" spans="1:37" x14ac:dyDescent="0.3">
      <c r="A11">
        <v>4</v>
      </c>
      <c r="B11" t="s">
        <v>1278</v>
      </c>
      <c r="C11">
        <v>1</v>
      </c>
      <c r="D11" s="105">
        <v>45373.37810721065</v>
      </c>
      <c r="E11" t="s">
        <v>312</v>
      </c>
      <c r="F11" t="s">
        <v>309</v>
      </c>
      <c r="G11">
        <v>0</v>
      </c>
      <c r="H11" t="s">
        <v>1397</v>
      </c>
      <c r="I11">
        <v>0</v>
      </c>
      <c r="J11">
        <v>0</v>
      </c>
      <c r="K11">
        <v>0</v>
      </c>
      <c r="L11" t="s">
        <v>240</v>
      </c>
      <c r="M11" t="s">
        <v>1398</v>
      </c>
      <c r="N11">
        <v>0</v>
      </c>
      <c r="O11" t="s">
        <v>311</v>
      </c>
      <c r="P11" t="s">
        <v>310</v>
      </c>
      <c r="Q11" t="s">
        <v>310</v>
      </c>
      <c r="R11" t="s">
        <v>310</v>
      </c>
      <c r="S11">
        <v>9</v>
      </c>
      <c r="T11" t="s">
        <v>310</v>
      </c>
      <c r="U11">
        <v>9</v>
      </c>
      <c r="V11">
        <v>9</v>
      </c>
      <c r="W11">
        <v>0</v>
      </c>
      <c r="X11">
        <v>0</v>
      </c>
      <c r="Y11">
        <v>0</v>
      </c>
      <c r="Z11">
        <v>0</v>
      </c>
      <c r="AA11">
        <v>9</v>
      </c>
      <c r="AB11">
        <v>9</v>
      </c>
      <c r="AC11" t="s">
        <v>310</v>
      </c>
      <c r="AD11">
        <v>9</v>
      </c>
      <c r="AE11" t="s">
        <v>1388</v>
      </c>
      <c r="AF11">
        <v>0</v>
      </c>
      <c r="AG11" t="s">
        <v>310</v>
      </c>
      <c r="AH11">
        <f>SUM((MID(Dyno_Data[[#This Row],[Team]],4,5))+(Dyno_Data[[#This Row],[Match]]/100))</f>
        <v>3951.01</v>
      </c>
      <c r="AI11" s="76">
        <f>ROUND(SUM(IF(Dyno_Data[[#This Row],[AcqCenter]]&gt;0,Dyno_Data[[#This Row],[Time]]-SUMIFS(Dyno_Data[Time],Dyno_Data[Team],Dyno_Data[[#This Row],[Team]],Dyno_Data[RecordType],"StartMatch",Dyno_Data[Match],Dyno_Data[[#This Row],[Match]]),0)*86400),0)</f>
        <v>0</v>
      </c>
    </row>
    <row r="12" spans="1:37" x14ac:dyDescent="0.3">
      <c r="A12">
        <v>5</v>
      </c>
      <c r="B12" t="s">
        <v>1277</v>
      </c>
      <c r="C12">
        <v>1</v>
      </c>
      <c r="D12" s="105">
        <v>45373.378150543984</v>
      </c>
      <c r="E12" t="s">
        <v>312</v>
      </c>
      <c r="F12" t="s">
        <v>309</v>
      </c>
      <c r="G12">
        <v>0</v>
      </c>
      <c r="H12" t="s">
        <v>315</v>
      </c>
      <c r="I12">
        <v>0</v>
      </c>
      <c r="J12">
        <v>0</v>
      </c>
      <c r="K12">
        <v>0</v>
      </c>
      <c r="L12" t="s">
        <v>240</v>
      </c>
      <c r="M12" t="s">
        <v>1398</v>
      </c>
      <c r="N12">
        <v>0</v>
      </c>
      <c r="O12" t="s">
        <v>1395</v>
      </c>
      <c r="P12" t="s">
        <v>310</v>
      </c>
      <c r="Q12" t="s">
        <v>310</v>
      </c>
      <c r="R12" t="s">
        <v>310</v>
      </c>
      <c r="S12">
        <v>9</v>
      </c>
      <c r="T12" t="s">
        <v>310</v>
      </c>
      <c r="U12">
        <v>9</v>
      </c>
      <c r="V12">
        <v>9</v>
      </c>
      <c r="W12">
        <v>0</v>
      </c>
      <c r="X12">
        <v>0</v>
      </c>
      <c r="Y12">
        <v>0</v>
      </c>
      <c r="Z12">
        <v>0</v>
      </c>
      <c r="AA12">
        <v>9</v>
      </c>
      <c r="AB12">
        <v>9</v>
      </c>
      <c r="AC12" t="s">
        <v>310</v>
      </c>
      <c r="AD12">
        <v>9</v>
      </c>
      <c r="AE12" t="s">
        <v>1396</v>
      </c>
      <c r="AF12">
        <v>10000000</v>
      </c>
      <c r="AG12" t="s">
        <v>310</v>
      </c>
      <c r="AH12">
        <f>SUM((MID(Dyno_Data[[#This Row],[Team]],4,5))+(Dyno_Data[[#This Row],[Match]]/100))</f>
        <v>3360.01</v>
      </c>
      <c r="AI12" s="76">
        <f>ROUND(SUM(IF(Dyno_Data[[#This Row],[AcqCenter]]&gt;0,Dyno_Data[[#This Row],[Time]]-SUMIFS(Dyno_Data[Time],Dyno_Data[Team],Dyno_Data[[#This Row],[Team]],Dyno_Data[RecordType],"StartMatch",Dyno_Data[Match],Dyno_Data[[#This Row],[Match]]),0)*86400),0)</f>
        <v>0</v>
      </c>
    </row>
    <row r="13" spans="1:37" x14ac:dyDescent="0.3">
      <c r="A13">
        <v>6</v>
      </c>
      <c r="B13" t="s">
        <v>1277</v>
      </c>
      <c r="C13">
        <v>1</v>
      </c>
      <c r="D13" s="105">
        <v>45373.378200578707</v>
      </c>
      <c r="E13" t="s">
        <v>312</v>
      </c>
      <c r="F13" t="s">
        <v>309</v>
      </c>
      <c r="G13">
        <v>0</v>
      </c>
      <c r="H13" t="s">
        <v>315</v>
      </c>
      <c r="I13">
        <v>0</v>
      </c>
      <c r="J13">
        <v>0</v>
      </c>
      <c r="K13">
        <v>0</v>
      </c>
      <c r="L13" t="s">
        <v>240</v>
      </c>
      <c r="M13" t="s">
        <v>1398</v>
      </c>
      <c r="N13">
        <v>0</v>
      </c>
      <c r="O13" t="s">
        <v>1395</v>
      </c>
      <c r="P13" t="s">
        <v>310</v>
      </c>
      <c r="Q13" t="s">
        <v>310</v>
      </c>
      <c r="R13" t="s">
        <v>310</v>
      </c>
      <c r="S13">
        <v>9</v>
      </c>
      <c r="T13" t="s">
        <v>310</v>
      </c>
      <c r="U13">
        <v>9</v>
      </c>
      <c r="V13">
        <v>9</v>
      </c>
      <c r="W13">
        <v>0</v>
      </c>
      <c r="X13">
        <v>0</v>
      </c>
      <c r="Y13">
        <v>0</v>
      </c>
      <c r="Z13">
        <v>0</v>
      </c>
      <c r="AA13">
        <v>9</v>
      </c>
      <c r="AB13">
        <v>9</v>
      </c>
      <c r="AC13" t="s">
        <v>310</v>
      </c>
      <c r="AD13">
        <v>9</v>
      </c>
      <c r="AE13" t="s">
        <v>1396</v>
      </c>
      <c r="AF13">
        <v>20000000</v>
      </c>
      <c r="AG13" t="s">
        <v>310</v>
      </c>
      <c r="AH13">
        <f>SUM((MID(Dyno_Data[[#This Row],[Team]],4,5))+(Dyno_Data[[#This Row],[Match]]/100))</f>
        <v>3360.01</v>
      </c>
      <c r="AI13" s="76">
        <f>ROUND(SUM(IF(Dyno_Data[[#This Row],[AcqCenter]]&gt;0,Dyno_Data[[#This Row],[Time]]-SUMIFS(Dyno_Data[Time],Dyno_Data[Team],Dyno_Data[[#This Row],[Team]],Dyno_Data[RecordType],"StartMatch",Dyno_Data[Match],Dyno_Data[[#This Row],[Match]]),0)*86400),0)</f>
        <v>0</v>
      </c>
    </row>
    <row r="14" spans="1:37" x14ac:dyDescent="0.3">
      <c r="A14">
        <v>7</v>
      </c>
      <c r="B14" t="s">
        <v>1280</v>
      </c>
      <c r="C14">
        <v>1</v>
      </c>
      <c r="D14" s="105">
        <v>45373.378208680559</v>
      </c>
      <c r="E14" t="s">
        <v>312</v>
      </c>
      <c r="F14" t="s">
        <v>309</v>
      </c>
      <c r="G14">
        <v>0</v>
      </c>
      <c r="H14" t="s">
        <v>143</v>
      </c>
      <c r="I14">
        <v>5</v>
      </c>
      <c r="J14">
        <v>-1</v>
      </c>
      <c r="K14">
        <v>0</v>
      </c>
      <c r="L14" t="s">
        <v>310</v>
      </c>
      <c r="M14" t="s">
        <v>310</v>
      </c>
      <c r="N14">
        <v>0</v>
      </c>
      <c r="O14" t="s">
        <v>319</v>
      </c>
      <c r="P14" t="s">
        <v>310</v>
      </c>
      <c r="Q14" t="s">
        <v>310</v>
      </c>
      <c r="R14" t="s">
        <v>310</v>
      </c>
      <c r="S14">
        <v>9</v>
      </c>
      <c r="T14" t="s">
        <v>310</v>
      </c>
      <c r="U14">
        <v>9</v>
      </c>
      <c r="V14">
        <v>9</v>
      </c>
      <c r="W14">
        <v>0</v>
      </c>
      <c r="X14">
        <v>0</v>
      </c>
      <c r="Y14">
        <v>0</v>
      </c>
      <c r="Z14">
        <v>0</v>
      </c>
      <c r="AA14">
        <v>9</v>
      </c>
      <c r="AB14">
        <v>9</v>
      </c>
      <c r="AC14" t="s">
        <v>310</v>
      </c>
      <c r="AD14">
        <v>9</v>
      </c>
      <c r="AE14" t="s">
        <v>1387</v>
      </c>
      <c r="AF14">
        <v>1000</v>
      </c>
      <c r="AG14" t="s">
        <v>310</v>
      </c>
      <c r="AH14">
        <f>SUM((MID(Dyno_Data[[#This Row],[Team]],4,5))+(Dyno_Data[[#This Row],[Match]]/100))</f>
        <v>1559.01</v>
      </c>
      <c r="AI14" s="76">
        <f>ROUND(SUM(IF(Dyno_Data[[#This Row],[AcqCenter]]&gt;0,Dyno_Data[[#This Row],[Time]]-SUMIFS(Dyno_Data[Time],Dyno_Data[Team],Dyno_Data[[#This Row],[Team]],Dyno_Data[RecordType],"StartMatch",Dyno_Data[Match],Dyno_Data[[#This Row],[Match]]),0)*86400),0)</f>
        <v>14</v>
      </c>
    </row>
    <row r="15" spans="1:37" x14ac:dyDescent="0.3">
      <c r="A15">
        <v>9</v>
      </c>
      <c r="B15" t="s">
        <v>1280</v>
      </c>
      <c r="C15">
        <v>1</v>
      </c>
      <c r="D15" s="105">
        <v>45373.378258530094</v>
      </c>
      <c r="E15" t="s">
        <v>314</v>
      </c>
      <c r="F15" t="s">
        <v>309</v>
      </c>
      <c r="G15">
        <v>1</v>
      </c>
      <c r="H15" t="s">
        <v>310</v>
      </c>
      <c r="I15">
        <v>0</v>
      </c>
      <c r="J15">
        <v>0</v>
      </c>
      <c r="K15">
        <v>0</v>
      </c>
      <c r="L15" t="s">
        <v>310</v>
      </c>
      <c r="M15" t="s">
        <v>310</v>
      </c>
      <c r="N15">
        <v>0</v>
      </c>
      <c r="O15" t="s">
        <v>319</v>
      </c>
      <c r="P15" t="s">
        <v>101</v>
      </c>
      <c r="Q15" t="s">
        <v>1399</v>
      </c>
      <c r="R15" t="s">
        <v>310</v>
      </c>
      <c r="S15">
        <v>9</v>
      </c>
      <c r="T15" t="s">
        <v>310</v>
      </c>
      <c r="U15">
        <v>9</v>
      </c>
      <c r="V15">
        <v>9</v>
      </c>
      <c r="W15">
        <v>0</v>
      </c>
      <c r="X15">
        <v>0</v>
      </c>
      <c r="Y15">
        <v>0</v>
      </c>
      <c r="Z15">
        <v>0</v>
      </c>
      <c r="AA15">
        <v>9</v>
      </c>
      <c r="AB15">
        <v>9</v>
      </c>
      <c r="AC15" t="s">
        <v>310</v>
      </c>
      <c r="AD15">
        <v>9</v>
      </c>
      <c r="AE15" t="s">
        <v>1387</v>
      </c>
      <c r="AF15">
        <v>1000</v>
      </c>
      <c r="AG15" t="s">
        <v>310</v>
      </c>
      <c r="AH15">
        <f>SUM((MID(Dyno_Data[[#This Row],[Team]],4,5))+(Dyno_Data[[#This Row],[Match]]/100))</f>
        <v>1559.01</v>
      </c>
      <c r="AI15" s="76">
        <f>ROUND(SUM(IF(Dyno_Data[[#This Row],[AcqCenter]]&gt;0,Dyno_Data[[#This Row],[Time]]-SUMIFS(Dyno_Data[Time],Dyno_Data[Team],Dyno_Data[[#This Row],[Team]],Dyno_Data[RecordType],"StartMatch",Dyno_Data[Match],Dyno_Data[[#This Row],[Match]]),0)*86400),0)</f>
        <v>0</v>
      </c>
    </row>
    <row r="16" spans="1:37" x14ac:dyDescent="0.3">
      <c r="A16">
        <v>11</v>
      </c>
      <c r="B16" t="s">
        <v>1278</v>
      </c>
      <c r="C16">
        <v>1</v>
      </c>
      <c r="D16" s="105">
        <v>45373.378263576386</v>
      </c>
      <c r="E16" t="s">
        <v>314</v>
      </c>
      <c r="F16" t="s">
        <v>309</v>
      </c>
      <c r="G16">
        <v>1</v>
      </c>
      <c r="H16" t="s">
        <v>310</v>
      </c>
      <c r="I16">
        <v>0</v>
      </c>
      <c r="J16">
        <v>0</v>
      </c>
      <c r="K16">
        <v>0</v>
      </c>
      <c r="L16" t="s">
        <v>310</v>
      </c>
      <c r="M16" t="s">
        <v>310</v>
      </c>
      <c r="N16">
        <v>0</v>
      </c>
      <c r="O16" t="s">
        <v>311</v>
      </c>
      <c r="P16" t="s">
        <v>240</v>
      </c>
      <c r="Q16" t="s">
        <v>1400</v>
      </c>
      <c r="R16" t="s">
        <v>310</v>
      </c>
      <c r="S16">
        <v>9</v>
      </c>
      <c r="T16" t="s">
        <v>310</v>
      </c>
      <c r="U16">
        <v>9</v>
      </c>
      <c r="V16">
        <v>9</v>
      </c>
      <c r="W16">
        <v>0</v>
      </c>
      <c r="X16">
        <v>0</v>
      </c>
      <c r="Y16">
        <v>0</v>
      </c>
      <c r="Z16">
        <v>0</v>
      </c>
      <c r="AA16">
        <v>9</v>
      </c>
      <c r="AB16">
        <v>9</v>
      </c>
      <c r="AC16" t="s">
        <v>310</v>
      </c>
      <c r="AD16">
        <v>9</v>
      </c>
      <c r="AE16" t="s">
        <v>1388</v>
      </c>
      <c r="AF16">
        <v>0</v>
      </c>
      <c r="AG16" t="s">
        <v>310</v>
      </c>
      <c r="AH16">
        <f>SUM((MID(Dyno_Data[[#This Row],[Team]],4,5))+(Dyno_Data[[#This Row],[Match]]/100))</f>
        <v>3951.01</v>
      </c>
      <c r="AI16" s="76">
        <f>ROUND(SUM(IF(Dyno_Data[[#This Row],[AcqCenter]]&gt;0,Dyno_Data[[#This Row],[Time]]-SUMIFS(Dyno_Data[Time],Dyno_Data[Team],Dyno_Data[[#This Row],[Team]],Dyno_Data[RecordType],"StartMatch",Dyno_Data[Match],Dyno_Data[[#This Row],[Match]]),0)*86400),0)</f>
        <v>0</v>
      </c>
    </row>
    <row r="17" spans="1:35" x14ac:dyDescent="0.3">
      <c r="A17">
        <v>13</v>
      </c>
      <c r="B17" t="s">
        <v>1276</v>
      </c>
      <c r="C17">
        <v>1</v>
      </c>
      <c r="D17" s="105">
        <v>45373.378264965279</v>
      </c>
      <c r="E17" t="s">
        <v>314</v>
      </c>
      <c r="F17" t="s">
        <v>309</v>
      </c>
      <c r="G17">
        <v>0</v>
      </c>
      <c r="H17" t="s">
        <v>310</v>
      </c>
      <c r="I17">
        <v>0</v>
      </c>
      <c r="J17">
        <v>0</v>
      </c>
      <c r="K17">
        <v>0</v>
      </c>
      <c r="L17" t="s">
        <v>310</v>
      </c>
      <c r="M17" t="s">
        <v>310</v>
      </c>
      <c r="N17">
        <v>0</v>
      </c>
      <c r="O17" t="s">
        <v>1389</v>
      </c>
      <c r="P17" t="s">
        <v>320</v>
      </c>
      <c r="Q17" t="s">
        <v>1400</v>
      </c>
      <c r="R17" t="s">
        <v>310</v>
      </c>
      <c r="S17">
        <v>9</v>
      </c>
      <c r="T17" t="s">
        <v>310</v>
      </c>
      <c r="U17">
        <v>9</v>
      </c>
      <c r="V17">
        <v>9</v>
      </c>
      <c r="W17">
        <v>0</v>
      </c>
      <c r="X17">
        <v>0</v>
      </c>
      <c r="Y17">
        <v>0</v>
      </c>
      <c r="Z17">
        <v>0</v>
      </c>
      <c r="AA17">
        <v>9</v>
      </c>
      <c r="AB17">
        <v>9</v>
      </c>
      <c r="AC17" t="s">
        <v>310</v>
      </c>
      <c r="AD17">
        <v>9</v>
      </c>
      <c r="AE17" t="s">
        <v>1390</v>
      </c>
      <c r="AF17">
        <v>0</v>
      </c>
      <c r="AG17" t="s">
        <v>310</v>
      </c>
      <c r="AH17">
        <f>SUM((MID(Dyno_Data[[#This Row],[Team]],4,5))+(Dyno_Data[[#This Row],[Match]]/100))</f>
        <v>229.01</v>
      </c>
      <c r="AI17" s="76">
        <f>ROUND(SUM(IF(Dyno_Data[[#This Row],[AcqCenter]]&gt;0,Dyno_Data[[#This Row],[Time]]-SUMIFS(Dyno_Data[Time],Dyno_Data[Team],Dyno_Data[[#This Row],[Team]],Dyno_Data[RecordType],"StartMatch",Dyno_Data[Match],Dyno_Data[[#This Row],[Match]]),0)*86400),0)</f>
        <v>0</v>
      </c>
    </row>
    <row r="18" spans="1:35" x14ac:dyDescent="0.3">
      <c r="A18">
        <v>15</v>
      </c>
      <c r="B18" t="s">
        <v>1279</v>
      </c>
      <c r="C18">
        <v>1</v>
      </c>
      <c r="D18" s="105">
        <v>45373.378267905093</v>
      </c>
      <c r="E18" t="s">
        <v>314</v>
      </c>
      <c r="F18" t="s">
        <v>309</v>
      </c>
      <c r="G18">
        <v>1</v>
      </c>
      <c r="H18" t="s">
        <v>310</v>
      </c>
      <c r="I18">
        <v>0</v>
      </c>
      <c r="J18">
        <v>0</v>
      </c>
      <c r="K18">
        <v>0</v>
      </c>
      <c r="L18" t="s">
        <v>310</v>
      </c>
      <c r="M18" t="s">
        <v>310</v>
      </c>
      <c r="N18">
        <v>0</v>
      </c>
      <c r="O18" t="s">
        <v>1391</v>
      </c>
      <c r="P18" t="s">
        <v>320</v>
      </c>
      <c r="Q18" t="s">
        <v>1400</v>
      </c>
      <c r="R18" t="s">
        <v>310</v>
      </c>
      <c r="S18">
        <v>9</v>
      </c>
      <c r="T18" t="s">
        <v>310</v>
      </c>
      <c r="U18">
        <v>9</v>
      </c>
      <c r="V18">
        <v>9</v>
      </c>
      <c r="W18">
        <v>0</v>
      </c>
      <c r="X18">
        <v>0</v>
      </c>
      <c r="Y18">
        <v>0</v>
      </c>
      <c r="Z18">
        <v>0</v>
      </c>
      <c r="AA18">
        <v>9</v>
      </c>
      <c r="AB18">
        <v>9</v>
      </c>
      <c r="AC18" t="s">
        <v>310</v>
      </c>
      <c r="AD18">
        <v>9</v>
      </c>
      <c r="AE18" t="s">
        <v>1392</v>
      </c>
      <c r="AF18">
        <v>0</v>
      </c>
      <c r="AG18" t="s">
        <v>310</v>
      </c>
      <c r="AH18">
        <f>SUM((MID(Dyno_Data[[#This Row],[Team]],4,5))+(Dyno_Data[[#This Row],[Match]]/100))</f>
        <v>5149.01</v>
      </c>
      <c r="AI18" s="76">
        <f>ROUND(SUM(IF(Dyno_Data[[#This Row],[AcqCenter]]&gt;0,Dyno_Data[[#This Row],[Time]]-SUMIFS(Dyno_Data[Time],Dyno_Data[Team],Dyno_Data[[#This Row],[Team]],Dyno_Data[RecordType],"StartMatch",Dyno_Data[Match],Dyno_Data[[#This Row],[Match]]),0)*86400),0)</f>
        <v>0</v>
      </c>
    </row>
    <row r="19" spans="1:35" x14ac:dyDescent="0.3">
      <c r="A19">
        <v>17</v>
      </c>
      <c r="B19" t="s">
        <v>1275</v>
      </c>
      <c r="C19">
        <v>1</v>
      </c>
      <c r="D19" s="105">
        <v>45373.378270752313</v>
      </c>
      <c r="E19" t="s">
        <v>314</v>
      </c>
      <c r="F19" t="s">
        <v>309</v>
      </c>
      <c r="G19">
        <v>0</v>
      </c>
      <c r="H19" t="s">
        <v>310</v>
      </c>
      <c r="I19">
        <v>0</v>
      </c>
      <c r="J19">
        <v>0</v>
      </c>
      <c r="K19">
        <v>0</v>
      </c>
      <c r="L19" t="s">
        <v>310</v>
      </c>
      <c r="M19" t="s">
        <v>310</v>
      </c>
      <c r="N19">
        <v>0</v>
      </c>
      <c r="O19" t="s">
        <v>1393</v>
      </c>
      <c r="P19" t="s">
        <v>1401</v>
      </c>
      <c r="Q19" t="s">
        <v>1400</v>
      </c>
      <c r="R19" t="s">
        <v>310</v>
      </c>
      <c r="S19">
        <v>9</v>
      </c>
      <c r="T19" t="s">
        <v>310</v>
      </c>
      <c r="U19">
        <v>9</v>
      </c>
      <c r="V19">
        <v>9</v>
      </c>
      <c r="W19">
        <v>0</v>
      </c>
      <c r="X19">
        <v>0</v>
      </c>
      <c r="Y19">
        <v>0</v>
      </c>
      <c r="Z19">
        <v>0</v>
      </c>
      <c r="AA19">
        <v>9</v>
      </c>
      <c r="AB19">
        <v>9</v>
      </c>
      <c r="AC19" t="s">
        <v>310</v>
      </c>
      <c r="AD19">
        <v>9</v>
      </c>
      <c r="AE19" t="s">
        <v>1394</v>
      </c>
      <c r="AF19">
        <v>0</v>
      </c>
      <c r="AG19" t="s">
        <v>310</v>
      </c>
      <c r="AH19">
        <f>SUM((MID(Dyno_Data[[#This Row],[Team]],4,5))+(Dyno_Data[[#This Row],[Match]]/100))</f>
        <v>1880.01</v>
      </c>
      <c r="AI19" s="76">
        <f>ROUND(SUM(IF(Dyno_Data[[#This Row],[AcqCenter]]&gt;0,Dyno_Data[[#This Row],[Time]]-SUMIFS(Dyno_Data[Time],Dyno_Data[Team],Dyno_Data[[#This Row],[Team]],Dyno_Data[RecordType],"StartMatch",Dyno_Data[Match],Dyno_Data[[#This Row],[Match]]),0)*86400),0)</f>
        <v>0</v>
      </c>
    </row>
    <row r="20" spans="1:35" x14ac:dyDescent="0.3">
      <c r="A20">
        <v>19</v>
      </c>
      <c r="B20" t="s">
        <v>1277</v>
      </c>
      <c r="C20">
        <v>1</v>
      </c>
      <c r="D20" s="105">
        <v>45373.378279050929</v>
      </c>
      <c r="E20" t="s">
        <v>314</v>
      </c>
      <c r="F20" t="s">
        <v>309</v>
      </c>
      <c r="G20">
        <v>1</v>
      </c>
      <c r="H20" t="s">
        <v>310</v>
      </c>
      <c r="I20">
        <v>0</v>
      </c>
      <c r="J20">
        <v>0</v>
      </c>
      <c r="K20">
        <v>0</v>
      </c>
      <c r="L20" t="s">
        <v>310</v>
      </c>
      <c r="M20" t="s">
        <v>310</v>
      </c>
      <c r="N20">
        <v>0</v>
      </c>
      <c r="O20" t="s">
        <v>1395</v>
      </c>
      <c r="P20" t="s">
        <v>240</v>
      </c>
      <c r="Q20" t="s">
        <v>1399</v>
      </c>
      <c r="R20" t="s">
        <v>310</v>
      </c>
      <c r="S20">
        <v>9</v>
      </c>
      <c r="T20" t="s">
        <v>310</v>
      </c>
      <c r="U20">
        <v>9</v>
      </c>
      <c r="V20">
        <v>9</v>
      </c>
      <c r="W20">
        <v>0</v>
      </c>
      <c r="X20">
        <v>0</v>
      </c>
      <c r="Y20">
        <v>0</v>
      </c>
      <c r="Z20">
        <v>0</v>
      </c>
      <c r="AA20">
        <v>9</v>
      </c>
      <c r="AB20">
        <v>9</v>
      </c>
      <c r="AC20" t="s">
        <v>310</v>
      </c>
      <c r="AD20">
        <v>9</v>
      </c>
      <c r="AE20" t="s">
        <v>1396</v>
      </c>
      <c r="AF20">
        <v>20000000</v>
      </c>
      <c r="AG20" t="s">
        <v>310</v>
      </c>
      <c r="AH20">
        <f>SUM((MID(Dyno_Data[[#This Row],[Team]],4,5))+(Dyno_Data[[#This Row],[Match]]/100))</f>
        <v>3360.01</v>
      </c>
      <c r="AI20" s="76">
        <f>ROUND(SUM(IF(Dyno_Data[[#This Row],[AcqCenter]]&gt;0,Dyno_Data[[#This Row],[Time]]-SUMIFS(Dyno_Data[Time],Dyno_Data[Team],Dyno_Data[[#This Row],[Team]],Dyno_Data[RecordType],"StartMatch",Dyno_Data[Match],Dyno_Data[[#This Row],[Match]]),0)*86400),0)</f>
        <v>0</v>
      </c>
    </row>
    <row r="21" spans="1:35" x14ac:dyDescent="0.3">
      <c r="A21">
        <v>20</v>
      </c>
      <c r="B21" t="s">
        <v>1278</v>
      </c>
      <c r="C21">
        <v>1</v>
      </c>
      <c r="D21" s="105">
        <v>45373.378299189812</v>
      </c>
      <c r="E21" t="s">
        <v>312</v>
      </c>
      <c r="F21" t="s">
        <v>1402</v>
      </c>
      <c r="G21">
        <v>0</v>
      </c>
      <c r="H21" t="s">
        <v>315</v>
      </c>
      <c r="I21">
        <v>0</v>
      </c>
      <c r="J21">
        <v>0</v>
      </c>
      <c r="K21">
        <v>0</v>
      </c>
      <c r="L21" t="s">
        <v>240</v>
      </c>
      <c r="M21" t="s">
        <v>1398</v>
      </c>
      <c r="N21">
        <v>1</v>
      </c>
      <c r="O21" t="s">
        <v>311</v>
      </c>
      <c r="P21" t="s">
        <v>310</v>
      </c>
      <c r="Q21" t="s">
        <v>310</v>
      </c>
      <c r="R21" t="s">
        <v>310</v>
      </c>
      <c r="S21">
        <v>9</v>
      </c>
      <c r="T21" t="s">
        <v>310</v>
      </c>
      <c r="U21">
        <v>9</v>
      </c>
      <c r="V21">
        <v>9</v>
      </c>
      <c r="W21">
        <v>0</v>
      </c>
      <c r="X21">
        <v>0</v>
      </c>
      <c r="Y21">
        <v>0</v>
      </c>
      <c r="Z21">
        <v>0</v>
      </c>
      <c r="AA21">
        <v>9</v>
      </c>
      <c r="AB21">
        <v>9</v>
      </c>
      <c r="AC21" t="s">
        <v>310</v>
      </c>
      <c r="AD21">
        <v>9</v>
      </c>
      <c r="AE21" t="s">
        <v>1388</v>
      </c>
      <c r="AF21">
        <v>10000000</v>
      </c>
      <c r="AG21" t="s">
        <v>310</v>
      </c>
      <c r="AH21">
        <f>SUM((MID(Dyno_Data[[#This Row],[Team]],4,5))+(Dyno_Data[[#This Row],[Match]]/100))</f>
        <v>3951.01</v>
      </c>
      <c r="AI21" s="76">
        <f>ROUND(SUM(IF(Dyno_Data[[#This Row],[AcqCenter]]&gt;0,Dyno_Data[[#This Row],[Time]]-SUMIFS(Dyno_Data[Time],Dyno_Data[Team],Dyno_Data[[#This Row],[Team]],Dyno_Data[RecordType],"StartMatch",Dyno_Data[Match],Dyno_Data[[#This Row],[Match]]),0)*86400),0)</f>
        <v>0</v>
      </c>
    </row>
    <row r="22" spans="1:35" x14ac:dyDescent="0.3">
      <c r="A22">
        <v>21</v>
      </c>
      <c r="B22" t="s">
        <v>1280</v>
      </c>
      <c r="C22">
        <v>1</v>
      </c>
      <c r="D22" s="105">
        <v>45373.378300775461</v>
      </c>
      <c r="E22" t="s">
        <v>312</v>
      </c>
      <c r="F22" t="s">
        <v>1402</v>
      </c>
      <c r="G22">
        <v>0</v>
      </c>
      <c r="H22" t="s">
        <v>143</v>
      </c>
      <c r="I22">
        <v>0</v>
      </c>
      <c r="J22">
        <v>0</v>
      </c>
      <c r="K22">
        <v>0</v>
      </c>
      <c r="L22" t="s">
        <v>241</v>
      </c>
      <c r="M22" t="s">
        <v>1398</v>
      </c>
      <c r="N22">
        <v>0</v>
      </c>
      <c r="O22" t="s">
        <v>319</v>
      </c>
      <c r="P22" t="s">
        <v>310</v>
      </c>
      <c r="Q22" t="s">
        <v>310</v>
      </c>
      <c r="R22" t="s">
        <v>310</v>
      </c>
      <c r="S22">
        <v>9</v>
      </c>
      <c r="T22" t="s">
        <v>310</v>
      </c>
      <c r="U22">
        <v>9</v>
      </c>
      <c r="V22">
        <v>9</v>
      </c>
      <c r="W22">
        <v>0</v>
      </c>
      <c r="X22">
        <v>0</v>
      </c>
      <c r="Y22">
        <v>0</v>
      </c>
      <c r="Z22">
        <v>0</v>
      </c>
      <c r="AA22">
        <v>9</v>
      </c>
      <c r="AB22">
        <v>9</v>
      </c>
      <c r="AC22" t="s">
        <v>310</v>
      </c>
      <c r="AD22">
        <v>9</v>
      </c>
      <c r="AE22" t="s">
        <v>1387</v>
      </c>
      <c r="AF22">
        <v>1000</v>
      </c>
      <c r="AG22" t="s">
        <v>310</v>
      </c>
      <c r="AH22">
        <f>SUM((MID(Dyno_Data[[#This Row],[Team]],4,5))+(Dyno_Data[[#This Row],[Match]]/100))</f>
        <v>1559.01</v>
      </c>
      <c r="AI22" s="76">
        <f>ROUND(SUM(IF(Dyno_Data[[#This Row],[AcqCenter]]&gt;0,Dyno_Data[[#This Row],[Time]]-SUMIFS(Dyno_Data[Time],Dyno_Data[Team],Dyno_Data[[#This Row],[Team]],Dyno_Data[RecordType],"StartMatch",Dyno_Data[Match],Dyno_Data[[#This Row],[Match]]),0)*86400),0)</f>
        <v>0</v>
      </c>
    </row>
    <row r="23" spans="1:35" x14ac:dyDescent="0.3">
      <c r="A23">
        <v>22</v>
      </c>
      <c r="B23" t="s">
        <v>1280</v>
      </c>
      <c r="C23">
        <v>1</v>
      </c>
      <c r="D23" s="105">
        <v>45373.378371874998</v>
      </c>
      <c r="E23" t="s">
        <v>312</v>
      </c>
      <c r="F23" t="s">
        <v>1402</v>
      </c>
      <c r="G23">
        <v>0</v>
      </c>
      <c r="H23" t="s">
        <v>315</v>
      </c>
      <c r="I23">
        <v>0</v>
      </c>
      <c r="J23">
        <v>0</v>
      </c>
      <c r="K23">
        <v>0</v>
      </c>
      <c r="L23" t="s">
        <v>241</v>
      </c>
      <c r="M23" t="s">
        <v>1398</v>
      </c>
      <c r="N23">
        <v>1</v>
      </c>
      <c r="O23" t="s">
        <v>319</v>
      </c>
      <c r="P23" t="s">
        <v>310</v>
      </c>
      <c r="Q23" t="s">
        <v>310</v>
      </c>
      <c r="R23" t="s">
        <v>310</v>
      </c>
      <c r="S23">
        <v>9</v>
      </c>
      <c r="T23" t="s">
        <v>310</v>
      </c>
      <c r="U23">
        <v>9</v>
      </c>
      <c r="V23">
        <v>9</v>
      </c>
      <c r="W23">
        <v>0</v>
      </c>
      <c r="X23">
        <v>0</v>
      </c>
      <c r="Y23">
        <v>0</v>
      </c>
      <c r="Z23">
        <v>0</v>
      </c>
      <c r="AA23">
        <v>9</v>
      </c>
      <c r="AB23">
        <v>9</v>
      </c>
      <c r="AC23" t="s">
        <v>310</v>
      </c>
      <c r="AD23">
        <v>9</v>
      </c>
      <c r="AE23" t="s">
        <v>1387</v>
      </c>
      <c r="AF23">
        <v>10001000</v>
      </c>
      <c r="AG23" t="s">
        <v>310</v>
      </c>
      <c r="AH23">
        <f>SUM((MID(Dyno_Data[[#This Row],[Team]],4,5))+(Dyno_Data[[#This Row],[Match]]/100))</f>
        <v>1559.01</v>
      </c>
      <c r="AI23" s="76">
        <f>ROUND(SUM(IF(Dyno_Data[[#This Row],[AcqCenter]]&gt;0,Dyno_Data[[#This Row],[Time]]-SUMIFS(Dyno_Data[Time],Dyno_Data[Team],Dyno_Data[[#This Row],[Team]],Dyno_Data[RecordType],"StartMatch",Dyno_Data[Match],Dyno_Data[[#This Row],[Match]]),0)*86400),0)</f>
        <v>0</v>
      </c>
    </row>
    <row r="24" spans="1:35" x14ac:dyDescent="0.3">
      <c r="A24">
        <v>23</v>
      </c>
      <c r="B24" t="s">
        <v>1277</v>
      </c>
      <c r="C24">
        <v>1</v>
      </c>
      <c r="D24" s="105">
        <v>45373.3784246875</v>
      </c>
      <c r="E24" t="s">
        <v>312</v>
      </c>
      <c r="F24" t="s">
        <v>1402</v>
      </c>
      <c r="G24">
        <v>0</v>
      </c>
      <c r="H24" t="s">
        <v>315</v>
      </c>
      <c r="I24">
        <v>0</v>
      </c>
      <c r="J24">
        <v>0</v>
      </c>
      <c r="K24">
        <v>0</v>
      </c>
      <c r="L24" t="s">
        <v>241</v>
      </c>
      <c r="M24" t="s">
        <v>101</v>
      </c>
      <c r="N24">
        <v>0</v>
      </c>
      <c r="O24" t="s">
        <v>1395</v>
      </c>
      <c r="P24" t="s">
        <v>310</v>
      </c>
      <c r="Q24" t="s">
        <v>310</v>
      </c>
      <c r="R24" t="s">
        <v>310</v>
      </c>
      <c r="S24">
        <v>9</v>
      </c>
      <c r="T24" t="s">
        <v>310</v>
      </c>
      <c r="U24">
        <v>9</v>
      </c>
      <c r="V24">
        <v>9</v>
      </c>
      <c r="W24">
        <v>0</v>
      </c>
      <c r="X24">
        <v>0</v>
      </c>
      <c r="Y24">
        <v>0</v>
      </c>
      <c r="Z24">
        <v>0</v>
      </c>
      <c r="AA24">
        <v>9</v>
      </c>
      <c r="AB24">
        <v>9</v>
      </c>
      <c r="AC24" t="s">
        <v>310</v>
      </c>
      <c r="AD24">
        <v>9</v>
      </c>
      <c r="AE24" t="s">
        <v>1396</v>
      </c>
      <c r="AF24">
        <v>30000000</v>
      </c>
      <c r="AG24" t="s">
        <v>310</v>
      </c>
      <c r="AH24">
        <f>SUM((MID(Dyno_Data[[#This Row],[Team]],4,5))+(Dyno_Data[[#This Row],[Match]]/100))</f>
        <v>3360.01</v>
      </c>
      <c r="AI24" s="76">
        <f>ROUND(SUM(IF(Dyno_Data[[#This Row],[AcqCenter]]&gt;0,Dyno_Data[[#This Row],[Time]]-SUMIFS(Dyno_Data[Time],Dyno_Data[Team],Dyno_Data[[#This Row],[Team]],Dyno_Data[RecordType],"StartMatch",Dyno_Data[Match],Dyno_Data[[#This Row],[Match]]),0)*86400),0)</f>
        <v>0</v>
      </c>
    </row>
    <row r="25" spans="1:35" x14ac:dyDescent="0.3">
      <c r="A25">
        <v>24</v>
      </c>
      <c r="B25" t="s">
        <v>1280</v>
      </c>
      <c r="C25">
        <v>1</v>
      </c>
      <c r="D25" s="105">
        <v>45373.378426122683</v>
      </c>
      <c r="E25" t="s">
        <v>312</v>
      </c>
      <c r="F25" t="s">
        <v>1402</v>
      </c>
      <c r="G25">
        <v>0</v>
      </c>
      <c r="H25" t="s">
        <v>315</v>
      </c>
      <c r="I25">
        <v>0</v>
      </c>
      <c r="J25">
        <v>0</v>
      </c>
      <c r="K25">
        <v>0</v>
      </c>
      <c r="L25" t="s">
        <v>241</v>
      </c>
      <c r="M25" t="s">
        <v>1398</v>
      </c>
      <c r="N25">
        <v>0</v>
      </c>
      <c r="O25" t="s">
        <v>319</v>
      </c>
      <c r="P25" t="s">
        <v>310</v>
      </c>
      <c r="Q25" t="s">
        <v>310</v>
      </c>
      <c r="R25" t="s">
        <v>310</v>
      </c>
      <c r="S25">
        <v>9</v>
      </c>
      <c r="T25" t="s">
        <v>310</v>
      </c>
      <c r="U25">
        <v>9</v>
      </c>
      <c r="V25">
        <v>9</v>
      </c>
      <c r="W25">
        <v>0</v>
      </c>
      <c r="X25">
        <v>0</v>
      </c>
      <c r="Y25">
        <v>0</v>
      </c>
      <c r="Z25">
        <v>0</v>
      </c>
      <c r="AA25">
        <v>9</v>
      </c>
      <c r="AB25">
        <v>9</v>
      </c>
      <c r="AC25" t="s">
        <v>310</v>
      </c>
      <c r="AD25">
        <v>9</v>
      </c>
      <c r="AE25" t="s">
        <v>1387</v>
      </c>
      <c r="AF25">
        <v>20001000</v>
      </c>
      <c r="AG25" t="s">
        <v>310</v>
      </c>
      <c r="AH25">
        <f>SUM((MID(Dyno_Data[[#This Row],[Team]],4,5))+(Dyno_Data[[#This Row],[Match]]/100))</f>
        <v>1559.01</v>
      </c>
      <c r="AI25" s="76">
        <f>ROUND(SUM(IF(Dyno_Data[[#This Row],[AcqCenter]]&gt;0,Dyno_Data[[#This Row],[Time]]-SUMIFS(Dyno_Data[Time],Dyno_Data[Team],Dyno_Data[[#This Row],[Team]],Dyno_Data[RecordType],"StartMatch",Dyno_Data[Match],Dyno_Data[[#This Row],[Match]]),0)*86400),0)</f>
        <v>0</v>
      </c>
    </row>
    <row r="26" spans="1:35" x14ac:dyDescent="0.3">
      <c r="A26">
        <v>25</v>
      </c>
      <c r="B26" t="s">
        <v>1278</v>
      </c>
      <c r="C26">
        <v>1</v>
      </c>
      <c r="D26" s="105">
        <v>45373.378463738423</v>
      </c>
      <c r="E26" t="s">
        <v>312</v>
      </c>
      <c r="F26" t="s">
        <v>1402</v>
      </c>
      <c r="G26">
        <v>0</v>
      </c>
      <c r="H26" t="s">
        <v>315</v>
      </c>
      <c r="I26">
        <v>0</v>
      </c>
      <c r="J26">
        <v>0</v>
      </c>
      <c r="K26">
        <v>0</v>
      </c>
      <c r="L26" t="s">
        <v>241</v>
      </c>
      <c r="M26" t="s">
        <v>101</v>
      </c>
      <c r="N26">
        <v>0</v>
      </c>
      <c r="O26" t="s">
        <v>311</v>
      </c>
      <c r="P26" t="s">
        <v>310</v>
      </c>
      <c r="Q26" t="s">
        <v>310</v>
      </c>
      <c r="R26" t="s">
        <v>310</v>
      </c>
      <c r="S26">
        <v>9</v>
      </c>
      <c r="T26" t="s">
        <v>310</v>
      </c>
      <c r="U26">
        <v>9</v>
      </c>
      <c r="V26">
        <v>9</v>
      </c>
      <c r="W26">
        <v>0</v>
      </c>
      <c r="X26">
        <v>0</v>
      </c>
      <c r="Y26">
        <v>0</v>
      </c>
      <c r="Z26">
        <v>0</v>
      </c>
      <c r="AA26">
        <v>9</v>
      </c>
      <c r="AB26">
        <v>9</v>
      </c>
      <c r="AC26" t="s">
        <v>310</v>
      </c>
      <c r="AD26">
        <v>9</v>
      </c>
      <c r="AE26" t="s">
        <v>1388</v>
      </c>
      <c r="AF26">
        <v>20000000</v>
      </c>
      <c r="AG26" t="s">
        <v>310</v>
      </c>
      <c r="AH26">
        <f>SUM((MID(Dyno_Data[[#This Row],[Team]],4,5))+(Dyno_Data[[#This Row],[Match]]/100))</f>
        <v>3951.01</v>
      </c>
      <c r="AI26" s="76">
        <f>ROUND(SUM(IF(Dyno_Data[[#This Row],[AcqCenter]]&gt;0,Dyno_Data[[#This Row],[Time]]-SUMIFS(Dyno_Data[Time],Dyno_Data[Team],Dyno_Data[[#This Row],[Team]],Dyno_Data[RecordType],"StartMatch",Dyno_Data[Match],Dyno_Data[[#This Row],[Match]]),0)*86400),0)</f>
        <v>0</v>
      </c>
    </row>
    <row r="27" spans="1:35" x14ac:dyDescent="0.3">
      <c r="A27">
        <v>26</v>
      </c>
      <c r="B27" t="s">
        <v>1277</v>
      </c>
      <c r="C27">
        <v>1</v>
      </c>
      <c r="D27" s="105">
        <v>45373.378506597219</v>
      </c>
      <c r="E27" t="s">
        <v>312</v>
      </c>
      <c r="F27" t="s">
        <v>1402</v>
      </c>
      <c r="G27">
        <v>0</v>
      </c>
      <c r="H27" t="s">
        <v>315</v>
      </c>
      <c r="I27">
        <v>0</v>
      </c>
      <c r="J27">
        <v>0</v>
      </c>
      <c r="K27">
        <v>0</v>
      </c>
      <c r="L27" t="s">
        <v>241</v>
      </c>
      <c r="M27" t="s">
        <v>101</v>
      </c>
      <c r="N27">
        <v>0</v>
      </c>
      <c r="O27" t="s">
        <v>1395</v>
      </c>
      <c r="P27" t="s">
        <v>310</v>
      </c>
      <c r="Q27" t="s">
        <v>310</v>
      </c>
      <c r="R27" t="s">
        <v>310</v>
      </c>
      <c r="S27">
        <v>9</v>
      </c>
      <c r="T27" t="s">
        <v>310</v>
      </c>
      <c r="U27">
        <v>9</v>
      </c>
      <c r="V27">
        <v>9</v>
      </c>
      <c r="W27">
        <v>0</v>
      </c>
      <c r="X27">
        <v>0</v>
      </c>
      <c r="Y27">
        <v>0</v>
      </c>
      <c r="Z27">
        <v>0</v>
      </c>
      <c r="AA27">
        <v>9</v>
      </c>
      <c r="AB27">
        <v>9</v>
      </c>
      <c r="AC27" t="s">
        <v>310</v>
      </c>
      <c r="AD27">
        <v>9</v>
      </c>
      <c r="AE27" t="s">
        <v>1396</v>
      </c>
      <c r="AF27">
        <v>40000000</v>
      </c>
      <c r="AG27" t="s">
        <v>310</v>
      </c>
      <c r="AH27">
        <f>SUM((MID(Dyno_Data[[#This Row],[Team]],4,5))+(Dyno_Data[[#This Row],[Match]]/100))</f>
        <v>3360.01</v>
      </c>
      <c r="AI27" s="76">
        <f>ROUND(SUM(IF(Dyno_Data[[#This Row],[AcqCenter]]&gt;0,Dyno_Data[[#This Row],[Time]]-SUMIFS(Dyno_Data[Time],Dyno_Data[Team],Dyno_Data[[#This Row],[Team]],Dyno_Data[RecordType],"StartMatch",Dyno_Data[Match],Dyno_Data[[#This Row],[Match]]),0)*86400),0)</f>
        <v>0</v>
      </c>
    </row>
    <row r="28" spans="1:35" x14ac:dyDescent="0.3">
      <c r="A28">
        <v>27</v>
      </c>
      <c r="B28" t="s">
        <v>1280</v>
      </c>
      <c r="C28">
        <v>1</v>
      </c>
      <c r="D28" s="105">
        <v>45373.378547418979</v>
      </c>
      <c r="E28" t="s">
        <v>312</v>
      </c>
      <c r="F28" t="s">
        <v>1402</v>
      </c>
      <c r="G28">
        <v>0</v>
      </c>
      <c r="H28" t="s">
        <v>315</v>
      </c>
      <c r="I28">
        <v>0</v>
      </c>
      <c r="J28">
        <v>0</v>
      </c>
      <c r="K28">
        <v>0</v>
      </c>
      <c r="L28" t="s">
        <v>241</v>
      </c>
      <c r="M28" t="s">
        <v>1398</v>
      </c>
      <c r="N28">
        <v>1</v>
      </c>
      <c r="O28" t="s">
        <v>319</v>
      </c>
      <c r="P28" t="s">
        <v>310</v>
      </c>
      <c r="Q28" t="s">
        <v>310</v>
      </c>
      <c r="R28" t="s">
        <v>310</v>
      </c>
      <c r="S28">
        <v>9</v>
      </c>
      <c r="T28" t="s">
        <v>310</v>
      </c>
      <c r="U28">
        <v>9</v>
      </c>
      <c r="V28">
        <v>9</v>
      </c>
      <c r="W28">
        <v>0</v>
      </c>
      <c r="X28">
        <v>0</v>
      </c>
      <c r="Y28">
        <v>0</v>
      </c>
      <c r="Z28">
        <v>0</v>
      </c>
      <c r="AA28">
        <v>9</v>
      </c>
      <c r="AB28">
        <v>9</v>
      </c>
      <c r="AC28" t="s">
        <v>310</v>
      </c>
      <c r="AD28">
        <v>9</v>
      </c>
      <c r="AE28" t="s">
        <v>1387</v>
      </c>
      <c r="AF28">
        <v>30001000</v>
      </c>
      <c r="AG28" t="s">
        <v>310</v>
      </c>
      <c r="AH28">
        <f>SUM((MID(Dyno_Data[[#This Row],[Team]],4,5))+(Dyno_Data[[#This Row],[Match]]/100))</f>
        <v>1559.01</v>
      </c>
      <c r="AI28" s="76">
        <f>ROUND(SUM(IF(Dyno_Data[[#This Row],[AcqCenter]]&gt;0,Dyno_Data[[#This Row],[Time]]-SUMIFS(Dyno_Data[Time],Dyno_Data[Team],Dyno_Data[[#This Row],[Team]],Dyno_Data[RecordType],"StartMatch",Dyno_Data[Match],Dyno_Data[[#This Row],[Match]]),0)*86400),0)</f>
        <v>0</v>
      </c>
    </row>
    <row r="29" spans="1:35" x14ac:dyDescent="0.3">
      <c r="A29">
        <v>28</v>
      </c>
      <c r="B29" t="s">
        <v>1278</v>
      </c>
      <c r="C29">
        <v>1</v>
      </c>
      <c r="D29" s="105">
        <v>45373.378574768518</v>
      </c>
      <c r="E29" t="s">
        <v>312</v>
      </c>
      <c r="F29" t="s">
        <v>1402</v>
      </c>
      <c r="G29">
        <v>0</v>
      </c>
      <c r="H29" t="s">
        <v>315</v>
      </c>
      <c r="I29">
        <v>0</v>
      </c>
      <c r="J29">
        <v>0</v>
      </c>
      <c r="K29">
        <v>0</v>
      </c>
      <c r="L29" t="s">
        <v>241</v>
      </c>
      <c r="M29" t="s">
        <v>101</v>
      </c>
      <c r="N29">
        <v>0</v>
      </c>
      <c r="O29" t="s">
        <v>311</v>
      </c>
      <c r="P29" t="s">
        <v>310</v>
      </c>
      <c r="Q29" t="s">
        <v>310</v>
      </c>
      <c r="R29" t="s">
        <v>310</v>
      </c>
      <c r="S29">
        <v>9</v>
      </c>
      <c r="T29" t="s">
        <v>310</v>
      </c>
      <c r="U29">
        <v>9</v>
      </c>
      <c r="V29">
        <v>9</v>
      </c>
      <c r="W29">
        <v>0</v>
      </c>
      <c r="X29">
        <v>0</v>
      </c>
      <c r="Y29">
        <v>0</v>
      </c>
      <c r="Z29">
        <v>0</v>
      </c>
      <c r="AA29">
        <v>9</v>
      </c>
      <c r="AB29">
        <v>9</v>
      </c>
      <c r="AC29" t="s">
        <v>310</v>
      </c>
      <c r="AD29">
        <v>9</v>
      </c>
      <c r="AE29" t="s">
        <v>1388</v>
      </c>
      <c r="AF29">
        <v>30000000</v>
      </c>
      <c r="AG29" t="s">
        <v>310</v>
      </c>
      <c r="AH29">
        <f>SUM((MID(Dyno_Data[[#This Row],[Team]],4,5))+(Dyno_Data[[#This Row],[Match]]/100))</f>
        <v>3951.01</v>
      </c>
      <c r="AI29" s="76">
        <f>ROUND(SUM(IF(Dyno_Data[[#This Row],[AcqCenter]]&gt;0,Dyno_Data[[#This Row],[Time]]-SUMIFS(Dyno_Data[Time],Dyno_Data[Team],Dyno_Data[[#This Row],[Team]],Dyno_Data[RecordType],"StartMatch",Dyno_Data[Match],Dyno_Data[[#This Row],[Match]]),0)*86400),0)</f>
        <v>0</v>
      </c>
    </row>
    <row r="30" spans="1:35" x14ac:dyDescent="0.3">
      <c r="A30">
        <v>29</v>
      </c>
      <c r="B30" t="s">
        <v>1275</v>
      </c>
      <c r="C30">
        <v>1</v>
      </c>
      <c r="D30" s="105">
        <v>45373.378579942131</v>
      </c>
      <c r="E30" t="s">
        <v>312</v>
      </c>
      <c r="F30" t="s">
        <v>1402</v>
      </c>
      <c r="G30">
        <v>0</v>
      </c>
      <c r="H30" t="s">
        <v>315</v>
      </c>
      <c r="I30">
        <v>0</v>
      </c>
      <c r="J30">
        <v>0</v>
      </c>
      <c r="K30">
        <v>0</v>
      </c>
      <c r="L30" t="s">
        <v>240</v>
      </c>
      <c r="M30" t="s">
        <v>1398</v>
      </c>
      <c r="N30">
        <v>1</v>
      </c>
      <c r="O30" t="s">
        <v>1393</v>
      </c>
      <c r="P30" t="s">
        <v>310</v>
      </c>
      <c r="Q30" t="s">
        <v>310</v>
      </c>
      <c r="R30" t="s">
        <v>310</v>
      </c>
      <c r="S30">
        <v>9</v>
      </c>
      <c r="T30" t="s">
        <v>310</v>
      </c>
      <c r="U30">
        <v>9</v>
      </c>
      <c r="V30">
        <v>9</v>
      </c>
      <c r="W30">
        <v>0</v>
      </c>
      <c r="X30">
        <v>0</v>
      </c>
      <c r="Y30">
        <v>0</v>
      </c>
      <c r="Z30">
        <v>0</v>
      </c>
      <c r="AA30">
        <v>9</v>
      </c>
      <c r="AB30">
        <v>9</v>
      </c>
      <c r="AC30" t="s">
        <v>310</v>
      </c>
      <c r="AD30">
        <v>9</v>
      </c>
      <c r="AE30" t="s">
        <v>1394</v>
      </c>
      <c r="AF30">
        <v>10000000</v>
      </c>
      <c r="AG30" t="s">
        <v>310</v>
      </c>
      <c r="AH30">
        <f>SUM((MID(Dyno_Data[[#This Row],[Team]],4,5))+(Dyno_Data[[#This Row],[Match]]/100))</f>
        <v>1880.01</v>
      </c>
      <c r="AI30" s="76">
        <f>ROUND(SUM(IF(Dyno_Data[[#This Row],[AcqCenter]]&gt;0,Dyno_Data[[#This Row],[Time]]-SUMIFS(Dyno_Data[Time],Dyno_Data[Team],Dyno_Data[[#This Row],[Team]],Dyno_Data[RecordType],"StartMatch",Dyno_Data[Match],Dyno_Data[[#This Row],[Match]]),0)*86400),0)</f>
        <v>0</v>
      </c>
    </row>
    <row r="31" spans="1:35" x14ac:dyDescent="0.3">
      <c r="A31">
        <v>30</v>
      </c>
      <c r="B31" t="s">
        <v>1280</v>
      </c>
      <c r="C31">
        <v>1</v>
      </c>
      <c r="D31" s="105">
        <v>45373.378635567133</v>
      </c>
      <c r="E31" t="s">
        <v>312</v>
      </c>
      <c r="F31" t="s">
        <v>1402</v>
      </c>
      <c r="G31">
        <v>0</v>
      </c>
      <c r="H31" t="s">
        <v>315</v>
      </c>
      <c r="I31">
        <v>0</v>
      </c>
      <c r="J31">
        <v>0</v>
      </c>
      <c r="K31">
        <v>0</v>
      </c>
      <c r="L31" t="s">
        <v>241</v>
      </c>
      <c r="M31" t="s">
        <v>1398</v>
      </c>
      <c r="N31">
        <v>0</v>
      </c>
      <c r="O31" t="s">
        <v>319</v>
      </c>
      <c r="P31" t="s">
        <v>310</v>
      </c>
      <c r="Q31" t="s">
        <v>310</v>
      </c>
      <c r="R31" t="s">
        <v>310</v>
      </c>
      <c r="S31">
        <v>9</v>
      </c>
      <c r="T31" t="s">
        <v>310</v>
      </c>
      <c r="U31">
        <v>9</v>
      </c>
      <c r="V31">
        <v>9</v>
      </c>
      <c r="W31">
        <v>0</v>
      </c>
      <c r="X31">
        <v>0</v>
      </c>
      <c r="Y31">
        <v>0</v>
      </c>
      <c r="Z31">
        <v>0</v>
      </c>
      <c r="AA31">
        <v>9</v>
      </c>
      <c r="AB31">
        <v>9</v>
      </c>
      <c r="AC31" t="s">
        <v>310</v>
      </c>
      <c r="AD31">
        <v>9</v>
      </c>
      <c r="AE31" t="s">
        <v>1387</v>
      </c>
      <c r="AF31">
        <v>40001000</v>
      </c>
      <c r="AG31" t="s">
        <v>310</v>
      </c>
      <c r="AH31">
        <f>SUM((MID(Dyno_Data[[#This Row],[Team]],4,5))+(Dyno_Data[[#This Row],[Match]]/100))</f>
        <v>1559.01</v>
      </c>
      <c r="AI31" s="76">
        <f>ROUND(SUM(IF(Dyno_Data[[#This Row],[AcqCenter]]&gt;0,Dyno_Data[[#This Row],[Time]]-SUMIFS(Dyno_Data[Time],Dyno_Data[Team],Dyno_Data[[#This Row],[Team]],Dyno_Data[RecordType],"StartMatch",Dyno_Data[Match],Dyno_Data[[#This Row],[Match]]),0)*86400),0)</f>
        <v>0</v>
      </c>
    </row>
    <row r="32" spans="1:35" x14ac:dyDescent="0.3">
      <c r="A32">
        <v>31</v>
      </c>
      <c r="B32" t="s">
        <v>1277</v>
      </c>
      <c r="C32">
        <v>1</v>
      </c>
      <c r="D32" s="105">
        <v>45373.378695798609</v>
      </c>
      <c r="E32" t="s">
        <v>312</v>
      </c>
      <c r="F32" t="s">
        <v>1402</v>
      </c>
      <c r="G32">
        <v>0</v>
      </c>
      <c r="H32" t="s">
        <v>315</v>
      </c>
      <c r="I32">
        <v>0</v>
      </c>
      <c r="J32">
        <v>0</v>
      </c>
      <c r="K32">
        <v>0</v>
      </c>
      <c r="L32" t="s">
        <v>241</v>
      </c>
      <c r="M32" t="s">
        <v>101</v>
      </c>
      <c r="N32">
        <v>0</v>
      </c>
      <c r="O32" t="s">
        <v>1395</v>
      </c>
      <c r="P32" t="s">
        <v>310</v>
      </c>
      <c r="Q32" t="s">
        <v>310</v>
      </c>
      <c r="R32" t="s">
        <v>310</v>
      </c>
      <c r="S32">
        <v>9</v>
      </c>
      <c r="T32" t="s">
        <v>310</v>
      </c>
      <c r="U32">
        <v>9</v>
      </c>
      <c r="V32">
        <v>9</v>
      </c>
      <c r="W32">
        <v>0</v>
      </c>
      <c r="X32">
        <v>0</v>
      </c>
      <c r="Y32">
        <v>0</v>
      </c>
      <c r="Z32">
        <v>0</v>
      </c>
      <c r="AA32">
        <v>9</v>
      </c>
      <c r="AB32">
        <v>9</v>
      </c>
      <c r="AC32" t="s">
        <v>310</v>
      </c>
      <c r="AD32">
        <v>9</v>
      </c>
      <c r="AE32" t="s">
        <v>1396</v>
      </c>
      <c r="AF32">
        <v>50000000</v>
      </c>
      <c r="AG32" t="s">
        <v>310</v>
      </c>
      <c r="AH32">
        <f>SUM((MID(Dyno_Data[[#This Row],[Team]],4,5))+(Dyno_Data[[#This Row],[Match]]/100))</f>
        <v>3360.01</v>
      </c>
      <c r="AI32" s="76">
        <f>ROUND(SUM(IF(Dyno_Data[[#This Row],[AcqCenter]]&gt;0,Dyno_Data[[#This Row],[Time]]-SUMIFS(Dyno_Data[Time],Dyno_Data[Team],Dyno_Data[[#This Row],[Team]],Dyno_Data[RecordType],"StartMatch",Dyno_Data[Match],Dyno_Data[[#This Row],[Match]]),0)*86400),0)</f>
        <v>0</v>
      </c>
    </row>
    <row r="33" spans="1:35" x14ac:dyDescent="0.3">
      <c r="A33">
        <v>32</v>
      </c>
      <c r="B33" t="s">
        <v>1276</v>
      </c>
      <c r="C33">
        <v>1</v>
      </c>
      <c r="D33" s="105">
        <v>45373.378700810186</v>
      </c>
      <c r="E33" t="s">
        <v>1403</v>
      </c>
      <c r="F33" t="s">
        <v>1402</v>
      </c>
      <c r="G33">
        <v>0</v>
      </c>
      <c r="H33" t="s">
        <v>310</v>
      </c>
      <c r="I33">
        <v>0</v>
      </c>
      <c r="J33">
        <v>0</v>
      </c>
      <c r="K33">
        <v>0</v>
      </c>
      <c r="L33" t="s">
        <v>310</v>
      </c>
      <c r="M33" t="s">
        <v>310</v>
      </c>
      <c r="N33">
        <v>0</v>
      </c>
      <c r="O33" t="s">
        <v>1389</v>
      </c>
      <c r="P33" t="s">
        <v>310</v>
      </c>
      <c r="Q33" t="s">
        <v>310</v>
      </c>
      <c r="R33" t="s">
        <v>310</v>
      </c>
      <c r="S33">
        <v>9</v>
      </c>
      <c r="T33" t="s">
        <v>310</v>
      </c>
      <c r="U33">
        <v>9</v>
      </c>
      <c r="V33">
        <v>9</v>
      </c>
      <c r="W33">
        <v>0</v>
      </c>
      <c r="X33">
        <v>0</v>
      </c>
      <c r="Y33">
        <v>0</v>
      </c>
      <c r="Z33">
        <v>0</v>
      </c>
      <c r="AA33">
        <v>9</v>
      </c>
      <c r="AB33">
        <v>9</v>
      </c>
      <c r="AC33" t="s">
        <v>310</v>
      </c>
      <c r="AD33">
        <v>9</v>
      </c>
      <c r="AE33" t="s">
        <v>1390</v>
      </c>
      <c r="AF33">
        <v>50000000</v>
      </c>
      <c r="AG33" t="s">
        <v>249</v>
      </c>
      <c r="AH33">
        <f>SUM((MID(Dyno_Data[[#This Row],[Team]],4,5))+(Dyno_Data[[#This Row],[Match]]/100))</f>
        <v>229.01</v>
      </c>
      <c r="AI33" s="76">
        <f>ROUND(SUM(IF(Dyno_Data[[#This Row],[AcqCenter]]&gt;0,Dyno_Data[[#This Row],[Time]]-SUMIFS(Dyno_Data[Time],Dyno_Data[Team],Dyno_Data[[#This Row],[Team]],Dyno_Data[RecordType],"StartMatch",Dyno_Data[Match],Dyno_Data[[#This Row],[Match]]),0)*86400),0)</f>
        <v>0</v>
      </c>
    </row>
    <row r="34" spans="1:35" x14ac:dyDescent="0.3">
      <c r="A34">
        <v>33</v>
      </c>
      <c r="B34" t="s">
        <v>1277</v>
      </c>
      <c r="C34">
        <v>1</v>
      </c>
      <c r="D34" s="105">
        <v>45373.37875520833</v>
      </c>
      <c r="E34" t="s">
        <v>312</v>
      </c>
      <c r="F34" t="s">
        <v>1402</v>
      </c>
      <c r="G34">
        <v>0</v>
      </c>
      <c r="H34" t="s">
        <v>315</v>
      </c>
      <c r="I34">
        <v>0</v>
      </c>
      <c r="J34">
        <v>0</v>
      </c>
      <c r="K34">
        <v>0</v>
      </c>
      <c r="L34" t="s">
        <v>240</v>
      </c>
      <c r="M34" t="s">
        <v>1398</v>
      </c>
      <c r="N34">
        <v>0</v>
      </c>
      <c r="O34" t="s">
        <v>1395</v>
      </c>
      <c r="P34" t="s">
        <v>310</v>
      </c>
      <c r="Q34" t="s">
        <v>310</v>
      </c>
      <c r="R34" t="s">
        <v>310</v>
      </c>
      <c r="S34">
        <v>9</v>
      </c>
      <c r="T34" t="s">
        <v>310</v>
      </c>
      <c r="U34">
        <v>9</v>
      </c>
      <c r="V34">
        <v>9</v>
      </c>
      <c r="W34">
        <v>0</v>
      </c>
      <c r="X34">
        <v>0</v>
      </c>
      <c r="Y34">
        <v>0</v>
      </c>
      <c r="Z34">
        <v>0</v>
      </c>
      <c r="AA34">
        <v>9</v>
      </c>
      <c r="AB34">
        <v>9</v>
      </c>
      <c r="AC34" t="s">
        <v>310</v>
      </c>
      <c r="AD34">
        <v>9</v>
      </c>
      <c r="AE34" t="s">
        <v>1396</v>
      </c>
      <c r="AF34">
        <v>60000000</v>
      </c>
      <c r="AG34" t="s">
        <v>310</v>
      </c>
      <c r="AH34">
        <f>SUM((MID(Dyno_Data[[#This Row],[Team]],4,5))+(Dyno_Data[[#This Row],[Match]]/100))</f>
        <v>3360.01</v>
      </c>
      <c r="AI34" s="76">
        <f>ROUND(SUM(IF(Dyno_Data[[#This Row],[AcqCenter]]&gt;0,Dyno_Data[[#This Row],[Time]]-SUMIFS(Dyno_Data[Time],Dyno_Data[Team],Dyno_Data[[#This Row],[Team]],Dyno_Data[RecordType],"StartMatch",Dyno_Data[Match],Dyno_Data[[#This Row],[Match]]),0)*86400),0)</f>
        <v>0</v>
      </c>
    </row>
    <row r="35" spans="1:35" x14ac:dyDescent="0.3">
      <c r="A35">
        <v>34</v>
      </c>
      <c r="B35" t="s">
        <v>1278</v>
      </c>
      <c r="C35">
        <v>1</v>
      </c>
      <c r="D35" s="105">
        <v>45373.378812303243</v>
      </c>
      <c r="E35" t="s">
        <v>312</v>
      </c>
      <c r="F35" t="s">
        <v>1402</v>
      </c>
      <c r="G35">
        <v>0</v>
      </c>
      <c r="H35" t="s">
        <v>315</v>
      </c>
      <c r="I35">
        <v>0</v>
      </c>
      <c r="J35">
        <v>0</v>
      </c>
      <c r="K35">
        <v>0</v>
      </c>
      <c r="L35" t="s">
        <v>241</v>
      </c>
      <c r="M35" t="s">
        <v>101</v>
      </c>
      <c r="N35">
        <v>0</v>
      </c>
      <c r="O35" t="s">
        <v>311</v>
      </c>
      <c r="P35" t="s">
        <v>310</v>
      </c>
      <c r="Q35" t="s">
        <v>310</v>
      </c>
      <c r="R35" t="s">
        <v>310</v>
      </c>
      <c r="S35">
        <v>9</v>
      </c>
      <c r="T35" t="s">
        <v>310</v>
      </c>
      <c r="U35">
        <v>9</v>
      </c>
      <c r="V35">
        <v>9</v>
      </c>
      <c r="W35">
        <v>0</v>
      </c>
      <c r="X35">
        <v>0</v>
      </c>
      <c r="Y35">
        <v>0</v>
      </c>
      <c r="Z35">
        <v>0</v>
      </c>
      <c r="AA35">
        <v>9</v>
      </c>
      <c r="AB35">
        <v>9</v>
      </c>
      <c r="AC35" t="s">
        <v>310</v>
      </c>
      <c r="AD35">
        <v>9</v>
      </c>
      <c r="AE35" t="s">
        <v>1388</v>
      </c>
      <c r="AF35">
        <v>40000000</v>
      </c>
      <c r="AG35" t="s">
        <v>310</v>
      </c>
      <c r="AH35">
        <f>SUM((MID(Dyno_Data[[#This Row],[Team]],4,5))+(Dyno_Data[[#This Row],[Match]]/100))</f>
        <v>3951.01</v>
      </c>
      <c r="AI35" s="76">
        <f>ROUND(SUM(IF(Dyno_Data[[#This Row],[AcqCenter]]&gt;0,Dyno_Data[[#This Row],[Time]]-SUMIFS(Dyno_Data[Time],Dyno_Data[Team],Dyno_Data[[#This Row],[Team]],Dyno_Data[RecordType],"StartMatch",Dyno_Data[Match],Dyno_Data[[#This Row],[Match]]),0)*86400),0)</f>
        <v>0</v>
      </c>
    </row>
    <row r="36" spans="1:35" x14ac:dyDescent="0.3">
      <c r="A36">
        <v>35</v>
      </c>
      <c r="B36" t="s">
        <v>1277</v>
      </c>
      <c r="C36">
        <v>1</v>
      </c>
      <c r="D36" s="105">
        <v>45373.378835648145</v>
      </c>
      <c r="E36" t="s">
        <v>312</v>
      </c>
      <c r="F36" t="s">
        <v>1402</v>
      </c>
      <c r="G36">
        <v>0</v>
      </c>
      <c r="H36" t="s">
        <v>315</v>
      </c>
      <c r="I36">
        <v>0</v>
      </c>
      <c r="J36">
        <v>0</v>
      </c>
      <c r="K36">
        <v>0</v>
      </c>
      <c r="L36" t="s">
        <v>240</v>
      </c>
      <c r="M36" t="s">
        <v>1398</v>
      </c>
      <c r="N36">
        <v>0</v>
      </c>
      <c r="O36" t="s">
        <v>1395</v>
      </c>
      <c r="P36" t="s">
        <v>310</v>
      </c>
      <c r="Q36" t="s">
        <v>310</v>
      </c>
      <c r="R36" t="s">
        <v>310</v>
      </c>
      <c r="S36">
        <v>9</v>
      </c>
      <c r="T36" t="s">
        <v>310</v>
      </c>
      <c r="U36">
        <v>9</v>
      </c>
      <c r="V36">
        <v>9</v>
      </c>
      <c r="W36">
        <v>0</v>
      </c>
      <c r="X36">
        <v>0</v>
      </c>
      <c r="Y36">
        <v>0</v>
      </c>
      <c r="Z36">
        <v>0</v>
      </c>
      <c r="AA36">
        <v>9</v>
      </c>
      <c r="AB36">
        <v>9</v>
      </c>
      <c r="AC36" t="s">
        <v>310</v>
      </c>
      <c r="AD36">
        <v>9</v>
      </c>
      <c r="AE36" t="s">
        <v>1396</v>
      </c>
      <c r="AF36">
        <v>70000000</v>
      </c>
      <c r="AG36" t="s">
        <v>310</v>
      </c>
      <c r="AH36">
        <f>SUM((MID(Dyno_Data[[#This Row],[Team]],4,5))+(Dyno_Data[[#This Row],[Match]]/100))</f>
        <v>3360.01</v>
      </c>
      <c r="AI36" s="76">
        <f>ROUND(SUM(IF(Dyno_Data[[#This Row],[AcqCenter]]&gt;0,Dyno_Data[[#This Row],[Time]]-SUMIFS(Dyno_Data[Time],Dyno_Data[Team],Dyno_Data[[#This Row],[Team]],Dyno_Data[RecordType],"StartMatch",Dyno_Data[Match],Dyno_Data[[#This Row],[Match]]),0)*86400),0)</f>
        <v>0</v>
      </c>
    </row>
    <row r="37" spans="1:35" x14ac:dyDescent="0.3">
      <c r="A37">
        <v>36</v>
      </c>
      <c r="B37" t="s">
        <v>1275</v>
      </c>
      <c r="C37">
        <v>1</v>
      </c>
      <c r="D37" s="105">
        <v>45373.378890624997</v>
      </c>
      <c r="E37" t="s">
        <v>312</v>
      </c>
      <c r="F37" t="s">
        <v>1402</v>
      </c>
      <c r="G37">
        <v>0</v>
      </c>
      <c r="H37" t="s">
        <v>315</v>
      </c>
      <c r="I37">
        <v>0</v>
      </c>
      <c r="J37">
        <v>0</v>
      </c>
      <c r="K37">
        <v>0</v>
      </c>
      <c r="L37" t="s">
        <v>241</v>
      </c>
      <c r="M37" t="s">
        <v>1398</v>
      </c>
      <c r="N37">
        <v>0</v>
      </c>
      <c r="O37" t="s">
        <v>1393</v>
      </c>
      <c r="P37" t="s">
        <v>310</v>
      </c>
      <c r="Q37" t="s">
        <v>310</v>
      </c>
      <c r="R37" t="s">
        <v>310</v>
      </c>
      <c r="S37">
        <v>9</v>
      </c>
      <c r="T37" t="s">
        <v>310</v>
      </c>
      <c r="U37">
        <v>9</v>
      </c>
      <c r="V37">
        <v>9</v>
      </c>
      <c r="W37">
        <v>0</v>
      </c>
      <c r="X37">
        <v>0</v>
      </c>
      <c r="Y37">
        <v>0</v>
      </c>
      <c r="Z37">
        <v>0</v>
      </c>
      <c r="AA37">
        <v>9</v>
      </c>
      <c r="AB37">
        <v>9</v>
      </c>
      <c r="AC37" t="s">
        <v>310</v>
      </c>
      <c r="AD37">
        <v>9</v>
      </c>
      <c r="AE37" t="s">
        <v>1394</v>
      </c>
      <c r="AF37">
        <v>20000000</v>
      </c>
      <c r="AG37" t="s">
        <v>310</v>
      </c>
      <c r="AH37">
        <f>SUM((MID(Dyno_Data[[#This Row],[Team]],4,5))+(Dyno_Data[[#This Row],[Match]]/100))</f>
        <v>1880.01</v>
      </c>
      <c r="AI37" s="76">
        <f>ROUND(SUM(IF(Dyno_Data[[#This Row],[AcqCenter]]&gt;0,Dyno_Data[[#This Row],[Time]]-SUMIFS(Dyno_Data[Time],Dyno_Data[Team],Dyno_Data[[#This Row],[Team]],Dyno_Data[RecordType],"StartMatch",Dyno_Data[Match],Dyno_Data[[#This Row],[Match]]),0)*86400),0)</f>
        <v>0</v>
      </c>
    </row>
    <row r="38" spans="1:35" x14ac:dyDescent="0.3">
      <c r="A38">
        <v>37</v>
      </c>
      <c r="B38" t="s">
        <v>1277</v>
      </c>
      <c r="C38">
        <v>1</v>
      </c>
      <c r="D38" s="105">
        <v>45373.379118946759</v>
      </c>
      <c r="E38" t="s">
        <v>312</v>
      </c>
      <c r="F38" t="s">
        <v>1402</v>
      </c>
      <c r="G38">
        <v>0</v>
      </c>
      <c r="H38" t="s">
        <v>315</v>
      </c>
      <c r="I38">
        <v>0</v>
      </c>
      <c r="J38">
        <v>0</v>
      </c>
      <c r="K38">
        <v>0</v>
      </c>
      <c r="L38" t="s">
        <v>241</v>
      </c>
      <c r="M38" t="s">
        <v>101</v>
      </c>
      <c r="N38">
        <v>0</v>
      </c>
      <c r="O38" t="s">
        <v>1395</v>
      </c>
      <c r="P38" t="s">
        <v>310</v>
      </c>
      <c r="Q38" t="s">
        <v>310</v>
      </c>
      <c r="R38" t="s">
        <v>310</v>
      </c>
      <c r="S38">
        <v>9</v>
      </c>
      <c r="T38" t="s">
        <v>310</v>
      </c>
      <c r="U38">
        <v>9</v>
      </c>
      <c r="V38">
        <v>9</v>
      </c>
      <c r="W38">
        <v>0</v>
      </c>
      <c r="X38">
        <v>0</v>
      </c>
      <c r="Y38">
        <v>0</v>
      </c>
      <c r="Z38">
        <v>0</v>
      </c>
      <c r="AA38">
        <v>9</v>
      </c>
      <c r="AB38">
        <v>9</v>
      </c>
      <c r="AC38" t="s">
        <v>310</v>
      </c>
      <c r="AD38">
        <v>9</v>
      </c>
      <c r="AE38" t="s">
        <v>1396</v>
      </c>
      <c r="AF38">
        <v>80000000</v>
      </c>
      <c r="AG38" t="s">
        <v>310</v>
      </c>
      <c r="AH38">
        <f>SUM((MID(Dyno_Data[[#This Row],[Team]],4,5))+(Dyno_Data[[#This Row],[Match]]/100))</f>
        <v>3360.01</v>
      </c>
      <c r="AI38" s="76">
        <f>ROUND(SUM(IF(Dyno_Data[[#This Row],[AcqCenter]]&gt;0,Dyno_Data[[#This Row],[Time]]-SUMIFS(Dyno_Data[Time],Dyno_Data[Team],Dyno_Data[[#This Row],[Team]],Dyno_Data[RecordType],"StartMatch",Dyno_Data[Match],Dyno_Data[[#This Row],[Match]]),0)*86400),0)</f>
        <v>0</v>
      </c>
    </row>
    <row r="39" spans="1:35" x14ac:dyDescent="0.3">
      <c r="A39">
        <v>38</v>
      </c>
      <c r="B39" t="s">
        <v>1278</v>
      </c>
      <c r="C39">
        <v>1</v>
      </c>
      <c r="D39" s="105">
        <v>45373.379123344908</v>
      </c>
      <c r="E39" t="s">
        <v>312</v>
      </c>
      <c r="F39" t="s">
        <v>1402</v>
      </c>
      <c r="G39">
        <v>0</v>
      </c>
      <c r="H39" t="s">
        <v>315</v>
      </c>
      <c r="I39">
        <v>0</v>
      </c>
      <c r="J39">
        <v>0</v>
      </c>
      <c r="K39">
        <v>0</v>
      </c>
      <c r="L39" t="s">
        <v>241</v>
      </c>
      <c r="M39" t="s">
        <v>101</v>
      </c>
      <c r="N39">
        <v>0</v>
      </c>
      <c r="O39" t="s">
        <v>311</v>
      </c>
      <c r="P39" t="s">
        <v>310</v>
      </c>
      <c r="Q39" t="s">
        <v>310</v>
      </c>
      <c r="R39" t="s">
        <v>310</v>
      </c>
      <c r="S39">
        <v>9</v>
      </c>
      <c r="T39" t="s">
        <v>310</v>
      </c>
      <c r="U39">
        <v>9</v>
      </c>
      <c r="V39">
        <v>9</v>
      </c>
      <c r="W39">
        <v>0</v>
      </c>
      <c r="X39">
        <v>0</v>
      </c>
      <c r="Y39">
        <v>0</v>
      </c>
      <c r="Z39">
        <v>0</v>
      </c>
      <c r="AA39">
        <v>9</v>
      </c>
      <c r="AB39">
        <v>9</v>
      </c>
      <c r="AC39" t="s">
        <v>310</v>
      </c>
      <c r="AD39">
        <v>9</v>
      </c>
      <c r="AE39" t="s">
        <v>1388</v>
      </c>
      <c r="AF39">
        <v>50000000</v>
      </c>
      <c r="AG39" t="s">
        <v>310</v>
      </c>
      <c r="AH39">
        <f>SUM((MID(Dyno_Data[[#This Row],[Team]],4,5))+(Dyno_Data[[#This Row],[Match]]/100))</f>
        <v>3951.01</v>
      </c>
      <c r="AI39" s="76">
        <f>ROUND(SUM(IF(Dyno_Data[[#This Row],[AcqCenter]]&gt;0,Dyno_Data[[#This Row],[Time]]-SUMIFS(Dyno_Data[Time],Dyno_Data[Team],Dyno_Data[[#This Row],[Team]],Dyno_Data[RecordType],"StartMatch",Dyno_Data[Match],Dyno_Data[[#This Row],[Match]]),0)*86400),0)</f>
        <v>0</v>
      </c>
    </row>
    <row r="40" spans="1:35" x14ac:dyDescent="0.3">
      <c r="A40">
        <v>39</v>
      </c>
      <c r="B40" t="s">
        <v>1275</v>
      </c>
      <c r="C40">
        <v>1</v>
      </c>
      <c r="D40" s="105">
        <v>45373.379171030094</v>
      </c>
      <c r="E40" t="s">
        <v>312</v>
      </c>
      <c r="F40" t="s">
        <v>1402</v>
      </c>
      <c r="G40">
        <v>0</v>
      </c>
      <c r="H40" t="s">
        <v>315</v>
      </c>
      <c r="I40">
        <v>0</v>
      </c>
      <c r="J40">
        <v>0</v>
      </c>
      <c r="K40">
        <v>0</v>
      </c>
      <c r="L40" t="s">
        <v>240</v>
      </c>
      <c r="M40" t="s">
        <v>1398</v>
      </c>
      <c r="N40">
        <v>1</v>
      </c>
      <c r="O40" t="s">
        <v>1393</v>
      </c>
      <c r="P40" t="s">
        <v>310</v>
      </c>
      <c r="Q40" t="s">
        <v>310</v>
      </c>
      <c r="R40" t="s">
        <v>310</v>
      </c>
      <c r="S40">
        <v>9</v>
      </c>
      <c r="T40" t="s">
        <v>310</v>
      </c>
      <c r="U40">
        <v>9</v>
      </c>
      <c r="V40">
        <v>9</v>
      </c>
      <c r="W40">
        <v>0</v>
      </c>
      <c r="X40">
        <v>0</v>
      </c>
      <c r="Y40">
        <v>0</v>
      </c>
      <c r="Z40">
        <v>0</v>
      </c>
      <c r="AA40">
        <v>9</v>
      </c>
      <c r="AB40">
        <v>9</v>
      </c>
      <c r="AC40" t="s">
        <v>310</v>
      </c>
      <c r="AD40">
        <v>9</v>
      </c>
      <c r="AE40" t="s">
        <v>1394</v>
      </c>
      <c r="AF40">
        <v>30000000</v>
      </c>
      <c r="AG40" t="s">
        <v>310</v>
      </c>
      <c r="AH40">
        <f>SUM((MID(Dyno_Data[[#This Row],[Team]],4,5))+(Dyno_Data[[#This Row],[Match]]/100))</f>
        <v>1880.01</v>
      </c>
      <c r="AI40" s="76">
        <f>ROUND(SUM(IF(Dyno_Data[[#This Row],[AcqCenter]]&gt;0,Dyno_Data[[#This Row],[Time]]-SUMIFS(Dyno_Data[Time],Dyno_Data[Team],Dyno_Data[[#This Row],[Team]],Dyno_Data[RecordType],"StartMatch",Dyno_Data[Match],Dyno_Data[[#This Row],[Match]]),0)*86400),0)</f>
        <v>0</v>
      </c>
    </row>
    <row r="41" spans="1:35" x14ac:dyDescent="0.3">
      <c r="A41">
        <v>40</v>
      </c>
      <c r="B41" t="s">
        <v>1277</v>
      </c>
      <c r="C41">
        <v>1</v>
      </c>
      <c r="D41" s="105">
        <v>45373.379376770834</v>
      </c>
      <c r="E41" t="s">
        <v>312</v>
      </c>
      <c r="F41" t="s">
        <v>1402</v>
      </c>
      <c r="G41">
        <v>0</v>
      </c>
      <c r="H41" t="s">
        <v>315</v>
      </c>
      <c r="I41">
        <v>0</v>
      </c>
      <c r="J41">
        <v>0</v>
      </c>
      <c r="K41">
        <v>0</v>
      </c>
      <c r="L41" t="s">
        <v>241</v>
      </c>
      <c r="M41" t="s">
        <v>101</v>
      </c>
      <c r="N41">
        <v>0</v>
      </c>
      <c r="O41" t="s">
        <v>1395</v>
      </c>
      <c r="P41" t="s">
        <v>310</v>
      </c>
      <c r="Q41" t="s">
        <v>310</v>
      </c>
      <c r="R41" t="s">
        <v>310</v>
      </c>
      <c r="S41">
        <v>9</v>
      </c>
      <c r="T41" t="s">
        <v>310</v>
      </c>
      <c r="U41">
        <v>9</v>
      </c>
      <c r="V41">
        <v>9</v>
      </c>
      <c r="W41">
        <v>0</v>
      </c>
      <c r="X41">
        <v>0</v>
      </c>
      <c r="Y41">
        <v>0</v>
      </c>
      <c r="Z41">
        <v>0</v>
      </c>
      <c r="AA41">
        <v>9</v>
      </c>
      <c r="AB41">
        <v>9</v>
      </c>
      <c r="AC41" t="s">
        <v>310</v>
      </c>
      <c r="AD41">
        <v>9</v>
      </c>
      <c r="AE41" t="s">
        <v>1396</v>
      </c>
      <c r="AF41">
        <v>90000000</v>
      </c>
      <c r="AG41" t="s">
        <v>310</v>
      </c>
      <c r="AH41">
        <f>SUM((MID(Dyno_Data[[#This Row],[Team]],4,5))+(Dyno_Data[[#This Row],[Match]]/100))</f>
        <v>3360.01</v>
      </c>
      <c r="AI41" s="76">
        <f>ROUND(SUM(IF(Dyno_Data[[#This Row],[AcqCenter]]&gt;0,Dyno_Data[[#This Row],[Time]]-SUMIFS(Dyno_Data[Time],Dyno_Data[Team],Dyno_Data[[#This Row],[Team]],Dyno_Data[RecordType],"StartMatch",Dyno_Data[Match],Dyno_Data[[#This Row],[Match]]),0)*86400),0)</f>
        <v>0</v>
      </c>
    </row>
    <row r="42" spans="1:35" x14ac:dyDescent="0.3">
      <c r="A42">
        <v>41</v>
      </c>
      <c r="B42" t="s">
        <v>1278</v>
      </c>
      <c r="C42">
        <v>1</v>
      </c>
      <c r="D42" s="105">
        <v>45373.379430983798</v>
      </c>
      <c r="E42" t="s">
        <v>312</v>
      </c>
      <c r="F42" t="s">
        <v>1402</v>
      </c>
      <c r="G42">
        <v>0</v>
      </c>
      <c r="H42" t="s">
        <v>315</v>
      </c>
      <c r="I42">
        <v>0</v>
      </c>
      <c r="J42">
        <v>0</v>
      </c>
      <c r="K42">
        <v>0</v>
      </c>
      <c r="L42" t="s">
        <v>240</v>
      </c>
      <c r="M42" t="s">
        <v>1398</v>
      </c>
      <c r="N42">
        <v>0</v>
      </c>
      <c r="O42" t="s">
        <v>311</v>
      </c>
      <c r="P42" t="s">
        <v>310</v>
      </c>
      <c r="Q42" t="s">
        <v>310</v>
      </c>
      <c r="R42" t="s">
        <v>310</v>
      </c>
      <c r="S42">
        <v>9</v>
      </c>
      <c r="T42" t="s">
        <v>310</v>
      </c>
      <c r="U42">
        <v>9</v>
      </c>
      <c r="V42">
        <v>9</v>
      </c>
      <c r="W42">
        <v>0</v>
      </c>
      <c r="X42">
        <v>0</v>
      </c>
      <c r="Y42">
        <v>0</v>
      </c>
      <c r="Z42">
        <v>0</v>
      </c>
      <c r="AA42">
        <v>9</v>
      </c>
      <c r="AB42">
        <v>9</v>
      </c>
      <c r="AC42" t="s">
        <v>310</v>
      </c>
      <c r="AD42">
        <v>9</v>
      </c>
      <c r="AE42" t="s">
        <v>1388</v>
      </c>
      <c r="AF42">
        <v>60000000</v>
      </c>
      <c r="AG42" t="s">
        <v>310</v>
      </c>
      <c r="AH42">
        <f>SUM((MID(Dyno_Data[[#This Row],[Team]],4,5))+(Dyno_Data[[#This Row],[Match]]/100))</f>
        <v>3951.01</v>
      </c>
      <c r="AI42" s="76">
        <f>ROUND(SUM(IF(Dyno_Data[[#This Row],[AcqCenter]]&gt;0,Dyno_Data[[#This Row],[Time]]-SUMIFS(Dyno_Data[Time],Dyno_Data[Team],Dyno_Data[[#This Row],[Team]],Dyno_Data[RecordType],"StartMatch",Dyno_Data[Match],Dyno_Data[[#This Row],[Match]]),0)*86400),0)</f>
        <v>0</v>
      </c>
    </row>
    <row r="43" spans="1:35" x14ac:dyDescent="0.3">
      <c r="A43">
        <v>42</v>
      </c>
      <c r="B43" t="s">
        <v>1275</v>
      </c>
      <c r="C43">
        <v>1</v>
      </c>
      <c r="D43" s="105">
        <v>45373.379504050929</v>
      </c>
      <c r="E43" t="s">
        <v>312</v>
      </c>
      <c r="F43" t="s">
        <v>1402</v>
      </c>
      <c r="G43">
        <v>0</v>
      </c>
      <c r="H43" t="s">
        <v>315</v>
      </c>
      <c r="I43">
        <v>0</v>
      </c>
      <c r="J43">
        <v>0</v>
      </c>
      <c r="K43">
        <v>0</v>
      </c>
      <c r="L43" t="s">
        <v>241</v>
      </c>
      <c r="M43" t="s">
        <v>101</v>
      </c>
      <c r="N43">
        <v>0</v>
      </c>
      <c r="O43" t="s">
        <v>1393</v>
      </c>
      <c r="P43" t="s">
        <v>310</v>
      </c>
      <c r="Q43" t="s">
        <v>310</v>
      </c>
      <c r="R43" t="s">
        <v>310</v>
      </c>
      <c r="S43">
        <v>9</v>
      </c>
      <c r="T43" t="s">
        <v>310</v>
      </c>
      <c r="U43">
        <v>9</v>
      </c>
      <c r="V43">
        <v>9</v>
      </c>
      <c r="W43">
        <v>0</v>
      </c>
      <c r="X43">
        <v>0</v>
      </c>
      <c r="Y43">
        <v>0</v>
      </c>
      <c r="Z43">
        <v>0</v>
      </c>
      <c r="AA43">
        <v>9</v>
      </c>
      <c r="AB43">
        <v>9</v>
      </c>
      <c r="AC43" t="s">
        <v>310</v>
      </c>
      <c r="AD43">
        <v>9</v>
      </c>
      <c r="AE43" t="s">
        <v>1394</v>
      </c>
      <c r="AF43">
        <v>40000000</v>
      </c>
      <c r="AG43" t="s">
        <v>310</v>
      </c>
      <c r="AH43">
        <f>SUM((MID(Dyno_Data[[#This Row],[Team]],4,5))+(Dyno_Data[[#This Row],[Match]]/100))</f>
        <v>1880.01</v>
      </c>
      <c r="AI43" s="76">
        <f>ROUND(SUM(IF(Dyno_Data[[#This Row],[AcqCenter]]&gt;0,Dyno_Data[[#This Row],[Time]]-SUMIFS(Dyno_Data[Time],Dyno_Data[Team],Dyno_Data[[#This Row],[Team]],Dyno_Data[RecordType],"StartMatch",Dyno_Data[Match],Dyno_Data[[#This Row],[Match]]),0)*86400),0)</f>
        <v>0</v>
      </c>
    </row>
    <row r="44" spans="1:35" x14ac:dyDescent="0.3">
      <c r="A44">
        <v>43</v>
      </c>
      <c r="B44" t="s">
        <v>1278</v>
      </c>
      <c r="C44">
        <v>1</v>
      </c>
      <c r="D44" s="105">
        <v>45373.379585034723</v>
      </c>
      <c r="E44" t="s">
        <v>312</v>
      </c>
      <c r="F44" t="s">
        <v>1402</v>
      </c>
      <c r="G44">
        <v>0</v>
      </c>
      <c r="H44" t="s">
        <v>315</v>
      </c>
      <c r="I44">
        <v>0</v>
      </c>
      <c r="J44">
        <v>0</v>
      </c>
      <c r="K44">
        <v>0</v>
      </c>
      <c r="L44" t="s">
        <v>240</v>
      </c>
      <c r="M44" t="s">
        <v>1398</v>
      </c>
      <c r="N44">
        <v>0</v>
      </c>
      <c r="O44" t="s">
        <v>311</v>
      </c>
      <c r="P44" t="s">
        <v>310</v>
      </c>
      <c r="Q44" t="s">
        <v>310</v>
      </c>
      <c r="R44" t="s">
        <v>310</v>
      </c>
      <c r="S44">
        <v>9</v>
      </c>
      <c r="T44" t="s">
        <v>310</v>
      </c>
      <c r="U44">
        <v>9</v>
      </c>
      <c r="V44">
        <v>9</v>
      </c>
      <c r="W44">
        <v>0</v>
      </c>
      <c r="X44">
        <v>0</v>
      </c>
      <c r="Y44">
        <v>0</v>
      </c>
      <c r="Z44">
        <v>0</v>
      </c>
      <c r="AA44">
        <v>9</v>
      </c>
      <c r="AB44">
        <v>9</v>
      </c>
      <c r="AC44" t="s">
        <v>310</v>
      </c>
      <c r="AD44">
        <v>9</v>
      </c>
      <c r="AE44" t="s">
        <v>1388</v>
      </c>
      <c r="AF44">
        <v>70000000</v>
      </c>
      <c r="AG44" t="s">
        <v>310</v>
      </c>
      <c r="AH44">
        <f>SUM((MID(Dyno_Data[[#This Row],[Team]],4,5))+(Dyno_Data[[#This Row],[Match]]/100))</f>
        <v>3951.01</v>
      </c>
      <c r="AI44" s="76">
        <f>ROUND(SUM(IF(Dyno_Data[[#This Row],[AcqCenter]]&gt;0,Dyno_Data[[#This Row],[Time]]-SUMIFS(Dyno_Data[Time],Dyno_Data[Team],Dyno_Data[[#This Row],[Team]],Dyno_Data[RecordType],"StartMatch",Dyno_Data[Match],Dyno_Data[[#This Row],[Match]]),0)*86400),0)</f>
        <v>0</v>
      </c>
    </row>
    <row r="45" spans="1:35" x14ac:dyDescent="0.3">
      <c r="A45">
        <v>44</v>
      </c>
      <c r="B45" t="s">
        <v>1280</v>
      </c>
      <c r="C45">
        <v>1</v>
      </c>
      <c r="D45" s="105">
        <v>45373.379904166664</v>
      </c>
      <c r="E45" t="s">
        <v>1403</v>
      </c>
      <c r="F45" t="s">
        <v>317</v>
      </c>
      <c r="G45">
        <v>0</v>
      </c>
      <c r="H45" t="s">
        <v>310</v>
      </c>
      <c r="I45">
        <v>0</v>
      </c>
      <c r="J45">
        <v>0</v>
      </c>
      <c r="K45">
        <v>0</v>
      </c>
      <c r="L45" t="s">
        <v>310</v>
      </c>
      <c r="M45" t="s">
        <v>310</v>
      </c>
      <c r="N45">
        <v>0</v>
      </c>
      <c r="O45" t="s">
        <v>319</v>
      </c>
      <c r="P45" t="s">
        <v>310</v>
      </c>
      <c r="Q45" t="s">
        <v>310</v>
      </c>
      <c r="R45" t="s">
        <v>310</v>
      </c>
      <c r="S45">
        <v>9</v>
      </c>
      <c r="T45" t="s">
        <v>310</v>
      </c>
      <c r="U45">
        <v>9</v>
      </c>
      <c r="V45">
        <v>9</v>
      </c>
      <c r="W45">
        <v>0</v>
      </c>
      <c r="X45">
        <v>0</v>
      </c>
      <c r="Y45">
        <v>0</v>
      </c>
      <c r="Z45">
        <v>0</v>
      </c>
      <c r="AA45">
        <v>9</v>
      </c>
      <c r="AB45">
        <v>9</v>
      </c>
      <c r="AC45" t="s">
        <v>310</v>
      </c>
      <c r="AD45">
        <v>9</v>
      </c>
      <c r="AE45" t="s">
        <v>1387</v>
      </c>
      <c r="AF45">
        <v>70000000</v>
      </c>
      <c r="AG45" t="s">
        <v>258</v>
      </c>
      <c r="AH45">
        <f>SUM((MID(Dyno_Data[[#This Row],[Team]],4,5))+(Dyno_Data[[#This Row],[Match]]/100))</f>
        <v>1559.01</v>
      </c>
      <c r="AI45" s="76">
        <f>ROUND(SUM(IF(Dyno_Data[[#This Row],[AcqCenter]]&gt;0,Dyno_Data[[#This Row],[Time]]-SUMIFS(Dyno_Data[Time],Dyno_Data[Team],Dyno_Data[[#This Row],[Team]],Dyno_Data[RecordType],"StartMatch",Dyno_Data[Match],Dyno_Data[[#This Row],[Match]]),0)*86400),0)</f>
        <v>0</v>
      </c>
    </row>
    <row r="46" spans="1:35" x14ac:dyDescent="0.3">
      <c r="A46">
        <v>45</v>
      </c>
      <c r="B46" t="s">
        <v>1278</v>
      </c>
      <c r="C46">
        <v>1</v>
      </c>
      <c r="D46" s="105">
        <v>45373.380978240741</v>
      </c>
      <c r="E46" t="s">
        <v>316</v>
      </c>
      <c r="F46" t="s">
        <v>317</v>
      </c>
      <c r="G46">
        <v>1</v>
      </c>
      <c r="H46" t="s">
        <v>310</v>
      </c>
      <c r="I46">
        <v>0</v>
      </c>
      <c r="J46">
        <v>0</v>
      </c>
      <c r="K46">
        <v>0</v>
      </c>
      <c r="L46" t="s">
        <v>310</v>
      </c>
      <c r="M46" t="s">
        <v>310</v>
      </c>
      <c r="N46">
        <v>0</v>
      </c>
      <c r="O46" t="s">
        <v>311</v>
      </c>
      <c r="P46" t="s">
        <v>240</v>
      </c>
      <c r="Q46" t="s">
        <v>1400</v>
      </c>
      <c r="R46" t="s">
        <v>1404</v>
      </c>
      <c r="S46">
        <v>-1</v>
      </c>
      <c r="T46" t="s">
        <v>105</v>
      </c>
      <c r="U46">
        <v>9</v>
      </c>
      <c r="V46">
        <v>9</v>
      </c>
      <c r="W46">
        <v>18.307869799999999</v>
      </c>
      <c r="X46">
        <v>0.49857969999999996</v>
      </c>
      <c r="Y46">
        <v>36.336576199999996</v>
      </c>
      <c r="Z46">
        <v>80.4045962</v>
      </c>
      <c r="AA46">
        <v>0</v>
      </c>
      <c r="AB46">
        <v>0</v>
      </c>
      <c r="AC46" t="s">
        <v>173</v>
      </c>
      <c r="AD46">
        <v>9</v>
      </c>
      <c r="AE46" t="s">
        <v>1388</v>
      </c>
      <c r="AF46">
        <v>70000000</v>
      </c>
      <c r="AG46" t="s">
        <v>310</v>
      </c>
      <c r="AH46">
        <f>SUM((MID(Dyno_Data[[#This Row],[Team]],4,5))+(Dyno_Data[[#This Row],[Match]]/100))</f>
        <v>3951.01</v>
      </c>
      <c r="AI46" s="76">
        <f>ROUND(SUM(IF(Dyno_Data[[#This Row],[AcqCenter]]&gt;0,Dyno_Data[[#This Row],[Time]]-SUMIFS(Dyno_Data[Time],Dyno_Data[Team],Dyno_Data[[#This Row],[Team]],Dyno_Data[RecordType],"StartMatch",Dyno_Data[Match],Dyno_Data[[#This Row],[Match]]),0)*86400),0)</f>
        <v>0</v>
      </c>
    </row>
    <row r="47" spans="1:35" x14ac:dyDescent="0.3">
      <c r="A47">
        <v>46</v>
      </c>
      <c r="B47" t="s">
        <v>1279</v>
      </c>
      <c r="C47">
        <v>1</v>
      </c>
      <c r="D47" s="105">
        <v>45373.380978356479</v>
      </c>
      <c r="E47" t="s">
        <v>316</v>
      </c>
      <c r="F47" t="s">
        <v>317</v>
      </c>
      <c r="G47">
        <v>1</v>
      </c>
      <c r="H47" t="s">
        <v>310</v>
      </c>
      <c r="I47">
        <v>0</v>
      </c>
      <c r="J47">
        <v>0</v>
      </c>
      <c r="K47">
        <v>0</v>
      </c>
      <c r="L47" t="s">
        <v>310</v>
      </c>
      <c r="M47" t="s">
        <v>310</v>
      </c>
      <c r="N47">
        <v>0</v>
      </c>
      <c r="O47" t="s">
        <v>1391</v>
      </c>
      <c r="P47" t="s">
        <v>320</v>
      </c>
      <c r="Q47" t="s">
        <v>1400</v>
      </c>
      <c r="R47" t="s">
        <v>321</v>
      </c>
      <c r="S47">
        <v>0</v>
      </c>
      <c r="T47" t="s">
        <v>105</v>
      </c>
      <c r="U47">
        <v>9</v>
      </c>
      <c r="V47">
        <v>9</v>
      </c>
      <c r="W47">
        <v>0</v>
      </c>
      <c r="X47">
        <v>0</v>
      </c>
      <c r="Y47">
        <v>43.168610799999996</v>
      </c>
      <c r="Z47">
        <v>92.502711300000001</v>
      </c>
      <c r="AA47">
        <v>3</v>
      </c>
      <c r="AB47">
        <v>0</v>
      </c>
      <c r="AC47" t="s">
        <v>170</v>
      </c>
      <c r="AD47">
        <v>9</v>
      </c>
      <c r="AE47" t="s">
        <v>1392</v>
      </c>
      <c r="AF47">
        <v>0</v>
      </c>
      <c r="AG47" t="s">
        <v>310</v>
      </c>
      <c r="AH47">
        <f>SUM((MID(Dyno_Data[[#This Row],[Team]],4,5))+(Dyno_Data[[#This Row],[Match]]/100))</f>
        <v>5149.01</v>
      </c>
      <c r="AI47" s="76">
        <f>ROUND(SUM(IF(Dyno_Data[[#This Row],[AcqCenter]]&gt;0,Dyno_Data[[#This Row],[Time]]-SUMIFS(Dyno_Data[Time],Dyno_Data[Team],Dyno_Data[[#This Row],[Team]],Dyno_Data[RecordType],"StartMatch",Dyno_Data[Match],Dyno_Data[[#This Row],[Match]]),0)*86400),0)</f>
        <v>0</v>
      </c>
    </row>
    <row r="48" spans="1:35" x14ac:dyDescent="0.3">
      <c r="A48">
        <v>47</v>
      </c>
      <c r="B48" t="s">
        <v>1280</v>
      </c>
      <c r="C48">
        <v>1</v>
      </c>
      <c r="D48" s="105">
        <v>45373.380978472225</v>
      </c>
      <c r="E48" t="s">
        <v>316</v>
      </c>
      <c r="F48" t="s">
        <v>317</v>
      </c>
      <c r="G48">
        <v>1</v>
      </c>
      <c r="H48" t="s">
        <v>310</v>
      </c>
      <c r="I48">
        <v>0</v>
      </c>
      <c r="J48">
        <v>0</v>
      </c>
      <c r="K48">
        <v>0</v>
      </c>
      <c r="L48" t="s">
        <v>310</v>
      </c>
      <c r="M48" t="s">
        <v>310</v>
      </c>
      <c r="N48">
        <v>0</v>
      </c>
      <c r="O48" t="s">
        <v>319</v>
      </c>
      <c r="P48" t="s">
        <v>101</v>
      </c>
      <c r="Q48" t="s">
        <v>1399</v>
      </c>
      <c r="R48" t="s">
        <v>1405</v>
      </c>
      <c r="S48">
        <v>1</v>
      </c>
      <c r="T48" t="s">
        <v>1406</v>
      </c>
      <c r="U48">
        <v>0</v>
      </c>
      <c r="V48">
        <v>0</v>
      </c>
      <c r="W48">
        <v>6.5699774999999994</v>
      </c>
      <c r="X48">
        <v>20.387862200000001</v>
      </c>
      <c r="Y48">
        <v>27.5385873</v>
      </c>
      <c r="Z48">
        <v>71.426788299999998</v>
      </c>
      <c r="AA48">
        <v>1</v>
      </c>
      <c r="AB48">
        <v>0</v>
      </c>
      <c r="AC48" t="s">
        <v>173</v>
      </c>
      <c r="AD48">
        <v>0</v>
      </c>
      <c r="AE48" t="s">
        <v>1387</v>
      </c>
      <c r="AF48">
        <v>40001000</v>
      </c>
      <c r="AG48" t="s">
        <v>310</v>
      </c>
      <c r="AH48">
        <f>SUM((MID(Dyno_Data[[#This Row],[Team]],4,5))+(Dyno_Data[[#This Row],[Match]]/100))</f>
        <v>1559.01</v>
      </c>
      <c r="AI48" s="76">
        <f>ROUND(SUM(IF(Dyno_Data[[#This Row],[AcqCenter]]&gt;0,Dyno_Data[[#This Row],[Time]]-SUMIFS(Dyno_Data[Time],Dyno_Data[Team],Dyno_Data[[#This Row],[Team]],Dyno_Data[RecordType],"StartMatch",Dyno_Data[Match],Dyno_Data[[#This Row],[Match]]),0)*86400),0)</f>
        <v>0</v>
      </c>
    </row>
    <row r="49" spans="1:35" x14ac:dyDescent="0.3">
      <c r="A49">
        <v>48</v>
      </c>
      <c r="B49" t="s">
        <v>1275</v>
      </c>
      <c r="C49">
        <v>1</v>
      </c>
      <c r="D49" s="105">
        <v>45373.380979050926</v>
      </c>
      <c r="E49" t="s">
        <v>316</v>
      </c>
      <c r="F49" t="s">
        <v>317</v>
      </c>
      <c r="G49">
        <v>0</v>
      </c>
      <c r="H49" t="s">
        <v>310</v>
      </c>
      <c r="I49">
        <v>0</v>
      </c>
      <c r="J49">
        <v>0</v>
      </c>
      <c r="K49">
        <v>0</v>
      </c>
      <c r="L49" t="s">
        <v>310</v>
      </c>
      <c r="M49" t="s">
        <v>310</v>
      </c>
      <c r="N49">
        <v>0</v>
      </c>
      <c r="O49" t="s">
        <v>1393</v>
      </c>
      <c r="P49" t="s">
        <v>1401</v>
      </c>
      <c r="Q49" t="s">
        <v>1400</v>
      </c>
      <c r="R49" t="s">
        <v>1404</v>
      </c>
      <c r="S49">
        <v>0</v>
      </c>
      <c r="T49" t="s">
        <v>105</v>
      </c>
      <c r="U49">
        <v>9</v>
      </c>
      <c r="V49">
        <v>9</v>
      </c>
      <c r="W49">
        <v>0</v>
      </c>
      <c r="X49">
        <v>52.859586</v>
      </c>
      <c r="Y49">
        <v>34.683600399999996</v>
      </c>
      <c r="Z49">
        <v>48.523251500000001</v>
      </c>
      <c r="AA49">
        <v>0</v>
      </c>
      <c r="AB49">
        <v>2</v>
      </c>
      <c r="AC49" t="s">
        <v>174</v>
      </c>
      <c r="AD49">
        <v>9</v>
      </c>
      <c r="AE49" t="s">
        <v>1394</v>
      </c>
      <c r="AF49">
        <v>40000000</v>
      </c>
      <c r="AG49" t="s">
        <v>310</v>
      </c>
      <c r="AH49">
        <f>SUM((MID(Dyno_Data[[#This Row],[Team]],4,5))+(Dyno_Data[[#This Row],[Match]]/100))</f>
        <v>1880.01</v>
      </c>
      <c r="AI49" s="76">
        <f>ROUND(SUM(IF(Dyno_Data[[#This Row],[AcqCenter]]&gt;0,Dyno_Data[[#This Row],[Time]]-SUMIFS(Dyno_Data[Time],Dyno_Data[Team],Dyno_Data[[#This Row],[Team]],Dyno_Data[RecordType],"StartMatch",Dyno_Data[Match],Dyno_Data[[#This Row],[Match]]),0)*86400),0)</f>
        <v>0</v>
      </c>
    </row>
    <row r="50" spans="1:35" x14ac:dyDescent="0.3">
      <c r="A50">
        <v>49</v>
      </c>
      <c r="B50" t="s">
        <v>1276</v>
      </c>
      <c r="C50">
        <v>1</v>
      </c>
      <c r="D50" s="105">
        <v>45373.380979131944</v>
      </c>
      <c r="E50" t="s">
        <v>316</v>
      </c>
      <c r="F50" t="s">
        <v>317</v>
      </c>
      <c r="G50">
        <v>0</v>
      </c>
      <c r="H50" t="s">
        <v>310</v>
      </c>
      <c r="I50">
        <v>0</v>
      </c>
      <c r="J50">
        <v>0</v>
      </c>
      <c r="K50">
        <v>0</v>
      </c>
      <c r="L50" t="s">
        <v>310</v>
      </c>
      <c r="M50" t="s">
        <v>310</v>
      </c>
      <c r="N50">
        <v>0</v>
      </c>
      <c r="O50" t="s">
        <v>1389</v>
      </c>
      <c r="P50" t="s">
        <v>320</v>
      </c>
      <c r="Q50" t="s">
        <v>1400</v>
      </c>
      <c r="R50" t="s">
        <v>321</v>
      </c>
      <c r="S50">
        <v>0</v>
      </c>
      <c r="T50" t="s">
        <v>105</v>
      </c>
      <c r="U50">
        <v>9</v>
      </c>
      <c r="V50">
        <v>9</v>
      </c>
      <c r="W50">
        <v>0</v>
      </c>
      <c r="X50">
        <v>0</v>
      </c>
      <c r="Y50">
        <v>0</v>
      </c>
      <c r="Z50">
        <v>140.87144480000001</v>
      </c>
      <c r="AA50">
        <v>0</v>
      </c>
      <c r="AB50">
        <v>0</v>
      </c>
      <c r="AC50" t="s">
        <v>167</v>
      </c>
      <c r="AD50">
        <v>9</v>
      </c>
      <c r="AE50" t="s">
        <v>1390</v>
      </c>
      <c r="AF50">
        <v>0</v>
      </c>
      <c r="AG50" t="s">
        <v>310</v>
      </c>
      <c r="AH50">
        <f>SUM((MID(Dyno_Data[[#This Row],[Team]],4,5))+(Dyno_Data[[#This Row],[Match]]/100))</f>
        <v>229.01</v>
      </c>
      <c r="AI50" s="76">
        <f>ROUND(SUM(IF(Dyno_Data[[#This Row],[AcqCenter]]&gt;0,Dyno_Data[[#This Row],[Time]]-SUMIFS(Dyno_Data[Time],Dyno_Data[Team],Dyno_Data[[#This Row],[Team]],Dyno_Data[RecordType],"StartMatch",Dyno_Data[Match],Dyno_Data[[#This Row],[Match]]),0)*86400),0)</f>
        <v>0</v>
      </c>
    </row>
    <row r="51" spans="1:35" x14ac:dyDescent="0.3">
      <c r="A51">
        <v>50</v>
      </c>
      <c r="B51" t="s">
        <v>1277</v>
      </c>
      <c r="C51">
        <v>1</v>
      </c>
      <c r="D51" s="105">
        <v>45373.380979247682</v>
      </c>
      <c r="E51" t="s">
        <v>316</v>
      </c>
      <c r="F51" t="s">
        <v>317</v>
      </c>
      <c r="G51">
        <v>1</v>
      </c>
      <c r="H51" t="s">
        <v>310</v>
      </c>
      <c r="I51">
        <v>0</v>
      </c>
      <c r="J51">
        <v>0</v>
      </c>
      <c r="K51">
        <v>0</v>
      </c>
      <c r="L51" t="s">
        <v>310</v>
      </c>
      <c r="M51" t="s">
        <v>310</v>
      </c>
      <c r="N51">
        <v>0</v>
      </c>
      <c r="O51" t="s">
        <v>1395</v>
      </c>
      <c r="P51" t="s">
        <v>240</v>
      </c>
      <c r="Q51" t="s">
        <v>1399</v>
      </c>
      <c r="R51" t="s">
        <v>1404</v>
      </c>
      <c r="S51">
        <v>-1</v>
      </c>
      <c r="T51" t="s">
        <v>105</v>
      </c>
      <c r="U51">
        <v>9</v>
      </c>
      <c r="V51">
        <v>9</v>
      </c>
      <c r="W51">
        <v>4.0140547</v>
      </c>
      <c r="X51">
        <v>29.347347199999998</v>
      </c>
      <c r="Y51">
        <v>24.940870499999999</v>
      </c>
      <c r="Z51">
        <v>72.106753099999992</v>
      </c>
      <c r="AA51">
        <v>0</v>
      </c>
      <c r="AB51">
        <v>0</v>
      </c>
      <c r="AC51" t="s">
        <v>174</v>
      </c>
      <c r="AD51">
        <v>0</v>
      </c>
      <c r="AE51" t="s">
        <v>1396</v>
      </c>
      <c r="AF51">
        <v>90000000</v>
      </c>
      <c r="AG51" t="s">
        <v>310</v>
      </c>
      <c r="AH51">
        <f>SUM((MID(Dyno_Data[[#This Row],[Team]],4,5))+(Dyno_Data[[#This Row],[Match]]/100))</f>
        <v>3360.01</v>
      </c>
      <c r="AI51" s="76">
        <f>ROUND(SUM(IF(Dyno_Data[[#This Row],[AcqCenter]]&gt;0,Dyno_Data[[#This Row],[Time]]-SUMIFS(Dyno_Data[Time],Dyno_Data[Team],Dyno_Data[[#This Row],[Team]],Dyno_Data[RecordType],"StartMatch",Dyno_Data[Match],Dyno_Data[[#This Row],[Match]]),0)*86400),0)</f>
        <v>0</v>
      </c>
    </row>
    <row r="52" spans="1:35" x14ac:dyDescent="0.3">
      <c r="A52">
        <v>62</v>
      </c>
      <c r="B52" t="s">
        <v>1284</v>
      </c>
      <c r="C52">
        <v>2</v>
      </c>
      <c r="D52" s="105">
        <v>45373.383819525465</v>
      </c>
      <c r="E52" t="s">
        <v>308</v>
      </c>
      <c r="F52" t="s">
        <v>309</v>
      </c>
      <c r="G52">
        <v>0</v>
      </c>
      <c r="H52" t="s">
        <v>310</v>
      </c>
      <c r="I52">
        <v>0</v>
      </c>
      <c r="J52">
        <v>0</v>
      </c>
      <c r="K52">
        <v>0</v>
      </c>
      <c r="L52" t="s">
        <v>310</v>
      </c>
      <c r="M52" t="s">
        <v>310</v>
      </c>
      <c r="N52">
        <v>0</v>
      </c>
      <c r="O52" t="s">
        <v>311</v>
      </c>
      <c r="P52" t="s">
        <v>310</v>
      </c>
      <c r="Q52" t="s">
        <v>310</v>
      </c>
      <c r="R52" t="s">
        <v>310</v>
      </c>
      <c r="S52">
        <v>9</v>
      </c>
      <c r="T52" t="s">
        <v>310</v>
      </c>
      <c r="U52">
        <v>9</v>
      </c>
      <c r="V52">
        <v>9</v>
      </c>
      <c r="W52">
        <v>0</v>
      </c>
      <c r="X52">
        <v>0</v>
      </c>
      <c r="Y52">
        <v>0</v>
      </c>
      <c r="Z52">
        <v>0</v>
      </c>
      <c r="AA52">
        <v>9</v>
      </c>
      <c r="AB52">
        <v>9</v>
      </c>
      <c r="AC52" t="s">
        <v>310</v>
      </c>
      <c r="AD52">
        <v>9</v>
      </c>
      <c r="AE52" t="s">
        <v>1387</v>
      </c>
      <c r="AF52">
        <v>0</v>
      </c>
      <c r="AG52" t="s">
        <v>310</v>
      </c>
      <c r="AH52">
        <f>SUM((MID(Dyno_Data[[#This Row],[Team]],4,5))+(Dyno_Data[[#This Row],[Match]]/100))</f>
        <v>5590.02</v>
      </c>
      <c r="AI52" s="76">
        <f>ROUND(SUM(IF(Dyno_Data[[#This Row],[AcqCenter]]&gt;0,Dyno_Data[[#This Row],[Time]]-SUMIFS(Dyno_Data[Time],Dyno_Data[Team],Dyno_Data[[#This Row],[Team]],Dyno_Data[RecordType],"StartMatch",Dyno_Data[Match],Dyno_Data[[#This Row],[Match]]),0)*86400),0)</f>
        <v>0</v>
      </c>
    </row>
    <row r="53" spans="1:35" x14ac:dyDescent="0.3">
      <c r="A53">
        <v>64</v>
      </c>
      <c r="B53" t="s">
        <v>1285</v>
      </c>
      <c r="C53">
        <v>2</v>
      </c>
      <c r="D53" s="105">
        <v>45373.383823113429</v>
      </c>
      <c r="E53" t="s">
        <v>308</v>
      </c>
      <c r="F53" t="s">
        <v>309</v>
      </c>
      <c r="G53">
        <v>0</v>
      </c>
      <c r="H53" t="s">
        <v>310</v>
      </c>
      <c r="I53">
        <v>0</v>
      </c>
      <c r="J53">
        <v>0</v>
      </c>
      <c r="K53">
        <v>0</v>
      </c>
      <c r="L53" t="s">
        <v>310</v>
      </c>
      <c r="M53" t="s">
        <v>310</v>
      </c>
      <c r="N53">
        <v>0</v>
      </c>
      <c r="O53" t="s">
        <v>1391</v>
      </c>
      <c r="P53" t="s">
        <v>310</v>
      </c>
      <c r="Q53" t="s">
        <v>310</v>
      </c>
      <c r="R53" t="s">
        <v>310</v>
      </c>
      <c r="S53">
        <v>9</v>
      </c>
      <c r="T53" t="s">
        <v>310</v>
      </c>
      <c r="U53">
        <v>9</v>
      </c>
      <c r="V53">
        <v>9</v>
      </c>
      <c r="W53">
        <v>0</v>
      </c>
      <c r="X53">
        <v>0</v>
      </c>
      <c r="Y53">
        <v>0</v>
      </c>
      <c r="Z53">
        <v>0</v>
      </c>
      <c r="AA53">
        <v>9</v>
      </c>
      <c r="AB53">
        <v>9</v>
      </c>
      <c r="AC53" t="s">
        <v>310</v>
      </c>
      <c r="AD53">
        <v>9</v>
      </c>
      <c r="AE53" t="s">
        <v>1392</v>
      </c>
      <c r="AF53">
        <v>0</v>
      </c>
      <c r="AG53" t="s">
        <v>310</v>
      </c>
      <c r="AH53">
        <f>SUM((MID(Dyno_Data[[#This Row],[Team]],4,5))+(Dyno_Data[[#This Row],[Match]]/100))</f>
        <v>5993.02</v>
      </c>
      <c r="AI53" s="76">
        <f>ROUND(SUM(IF(Dyno_Data[[#This Row],[AcqCenter]]&gt;0,Dyno_Data[[#This Row],[Time]]-SUMIFS(Dyno_Data[Time],Dyno_Data[Team],Dyno_Data[[#This Row],[Team]],Dyno_Data[RecordType],"StartMatch",Dyno_Data[Match],Dyno_Data[[#This Row],[Match]]),0)*86400),0)</f>
        <v>0</v>
      </c>
    </row>
    <row r="54" spans="1:35" x14ac:dyDescent="0.3">
      <c r="A54">
        <v>66</v>
      </c>
      <c r="B54" t="s">
        <v>1283</v>
      </c>
      <c r="C54">
        <v>2</v>
      </c>
      <c r="D54" s="105">
        <v>45373.383823842596</v>
      </c>
      <c r="E54" t="s">
        <v>308</v>
      </c>
      <c r="F54" t="s">
        <v>309</v>
      </c>
      <c r="G54">
        <v>0</v>
      </c>
      <c r="H54" t="s">
        <v>310</v>
      </c>
      <c r="I54">
        <v>0</v>
      </c>
      <c r="J54">
        <v>0</v>
      </c>
      <c r="K54">
        <v>0</v>
      </c>
      <c r="L54" t="s">
        <v>310</v>
      </c>
      <c r="M54" t="s">
        <v>310</v>
      </c>
      <c r="N54">
        <v>0</v>
      </c>
      <c r="O54" t="s">
        <v>1395</v>
      </c>
      <c r="P54" t="s">
        <v>310</v>
      </c>
      <c r="Q54" t="s">
        <v>310</v>
      </c>
      <c r="R54" t="s">
        <v>310</v>
      </c>
      <c r="S54">
        <v>9</v>
      </c>
      <c r="T54" t="s">
        <v>310</v>
      </c>
      <c r="U54">
        <v>9</v>
      </c>
      <c r="V54">
        <v>9</v>
      </c>
      <c r="W54">
        <v>0</v>
      </c>
      <c r="X54">
        <v>0</v>
      </c>
      <c r="Y54">
        <v>0</v>
      </c>
      <c r="Z54">
        <v>0</v>
      </c>
      <c r="AA54">
        <v>9</v>
      </c>
      <c r="AB54">
        <v>9</v>
      </c>
      <c r="AC54" t="s">
        <v>310</v>
      </c>
      <c r="AD54">
        <v>9</v>
      </c>
      <c r="AE54" t="s">
        <v>1396</v>
      </c>
      <c r="AF54">
        <v>0</v>
      </c>
      <c r="AG54" t="s">
        <v>310</v>
      </c>
      <c r="AH54">
        <f>SUM((MID(Dyno_Data[[#This Row],[Team]],4,5))+(Dyno_Data[[#This Row],[Match]]/100))</f>
        <v>1601.02</v>
      </c>
      <c r="AI54" s="76">
        <f>ROUND(SUM(IF(Dyno_Data[[#This Row],[AcqCenter]]&gt;0,Dyno_Data[[#This Row],[Time]]-SUMIFS(Dyno_Data[Time],Dyno_Data[Team],Dyno_Data[[#This Row],[Team]],Dyno_Data[RecordType],"StartMatch",Dyno_Data[Match],Dyno_Data[[#This Row],[Match]]),0)*86400),0)</f>
        <v>0</v>
      </c>
    </row>
    <row r="55" spans="1:35" x14ac:dyDescent="0.3">
      <c r="A55">
        <v>68</v>
      </c>
      <c r="B55" t="s">
        <v>370</v>
      </c>
      <c r="C55">
        <v>2</v>
      </c>
      <c r="D55" s="105">
        <v>45373.383824537035</v>
      </c>
      <c r="E55" t="s">
        <v>308</v>
      </c>
      <c r="F55" t="s">
        <v>309</v>
      </c>
      <c r="G55">
        <v>0</v>
      </c>
      <c r="H55" t="s">
        <v>310</v>
      </c>
      <c r="I55">
        <v>0</v>
      </c>
      <c r="J55">
        <v>0</v>
      </c>
      <c r="K55">
        <v>0</v>
      </c>
      <c r="L55" t="s">
        <v>310</v>
      </c>
      <c r="M55" t="s">
        <v>310</v>
      </c>
      <c r="N55">
        <v>0</v>
      </c>
      <c r="O55" t="s">
        <v>1393</v>
      </c>
      <c r="P55" t="s">
        <v>310</v>
      </c>
      <c r="Q55" t="s">
        <v>310</v>
      </c>
      <c r="R55" t="s">
        <v>310</v>
      </c>
      <c r="S55">
        <v>9</v>
      </c>
      <c r="T55" t="s">
        <v>310</v>
      </c>
      <c r="U55">
        <v>9</v>
      </c>
      <c r="V55">
        <v>9</v>
      </c>
      <c r="W55">
        <v>0</v>
      </c>
      <c r="X55">
        <v>0</v>
      </c>
      <c r="Y55">
        <v>0</v>
      </c>
      <c r="Z55">
        <v>0</v>
      </c>
      <c r="AA55">
        <v>9</v>
      </c>
      <c r="AB55">
        <v>9</v>
      </c>
      <c r="AC55" t="s">
        <v>310</v>
      </c>
      <c r="AD55">
        <v>9</v>
      </c>
      <c r="AE55" t="s">
        <v>1394</v>
      </c>
      <c r="AF55">
        <v>0</v>
      </c>
      <c r="AG55" t="s">
        <v>310</v>
      </c>
      <c r="AH55">
        <f>SUM((MID(Dyno_Data[[#This Row],[Team]],4,5))+(Dyno_Data[[#This Row],[Match]]/100))</f>
        <v>6911.02</v>
      </c>
      <c r="AI55" s="76">
        <f>ROUND(SUM(IF(Dyno_Data[[#This Row],[AcqCenter]]&gt;0,Dyno_Data[[#This Row],[Time]]-SUMIFS(Dyno_Data[Time],Dyno_Data[Team],Dyno_Data[[#This Row],[Team]],Dyno_Data[RecordType],"StartMatch",Dyno_Data[Match],Dyno_Data[[#This Row],[Match]]),0)*86400),0)</f>
        <v>0</v>
      </c>
    </row>
    <row r="56" spans="1:35" x14ac:dyDescent="0.3">
      <c r="A56">
        <v>70</v>
      </c>
      <c r="B56" t="s">
        <v>1282</v>
      </c>
      <c r="C56">
        <v>2</v>
      </c>
      <c r="D56" s="105">
        <v>45373.383828854166</v>
      </c>
      <c r="E56" t="s">
        <v>308</v>
      </c>
      <c r="F56" t="s">
        <v>309</v>
      </c>
      <c r="G56">
        <v>0</v>
      </c>
      <c r="H56" t="s">
        <v>310</v>
      </c>
      <c r="I56">
        <v>0</v>
      </c>
      <c r="J56">
        <v>0</v>
      </c>
      <c r="K56">
        <v>0</v>
      </c>
      <c r="L56" t="s">
        <v>310</v>
      </c>
      <c r="M56" t="s">
        <v>310</v>
      </c>
      <c r="N56">
        <v>0</v>
      </c>
      <c r="O56" t="s">
        <v>1389</v>
      </c>
      <c r="P56" t="s">
        <v>310</v>
      </c>
      <c r="Q56" t="s">
        <v>310</v>
      </c>
      <c r="R56" t="s">
        <v>310</v>
      </c>
      <c r="S56">
        <v>9</v>
      </c>
      <c r="T56" t="s">
        <v>310</v>
      </c>
      <c r="U56">
        <v>9</v>
      </c>
      <c r="V56">
        <v>9</v>
      </c>
      <c r="W56">
        <v>0</v>
      </c>
      <c r="X56">
        <v>0</v>
      </c>
      <c r="Y56">
        <v>0</v>
      </c>
      <c r="Z56">
        <v>0</v>
      </c>
      <c r="AA56">
        <v>9</v>
      </c>
      <c r="AB56">
        <v>9</v>
      </c>
      <c r="AC56" t="s">
        <v>310</v>
      </c>
      <c r="AD56">
        <v>9</v>
      </c>
      <c r="AE56" t="s">
        <v>1390</v>
      </c>
      <c r="AF56">
        <v>0</v>
      </c>
      <c r="AG56" t="s">
        <v>310</v>
      </c>
      <c r="AH56">
        <f>SUM((MID(Dyno_Data[[#This Row],[Team]],4,5))+(Dyno_Data[[#This Row],[Match]]/100))</f>
        <v>333.02</v>
      </c>
      <c r="AI56" s="76">
        <f>ROUND(SUM(IF(Dyno_Data[[#This Row],[AcqCenter]]&gt;0,Dyno_Data[[#This Row],[Time]]-SUMIFS(Dyno_Data[Time],Dyno_Data[Team],Dyno_Data[[#This Row],[Team]],Dyno_Data[RecordType],"StartMatch",Dyno_Data[Match],Dyno_Data[[#This Row],[Match]]),0)*86400),0)</f>
        <v>0</v>
      </c>
    </row>
    <row r="57" spans="1:35" x14ac:dyDescent="0.3">
      <c r="A57">
        <v>72</v>
      </c>
      <c r="B57" t="s">
        <v>1286</v>
      </c>
      <c r="C57">
        <v>2</v>
      </c>
      <c r="D57" s="105">
        <v>45373.383829745369</v>
      </c>
      <c r="E57" t="s">
        <v>308</v>
      </c>
      <c r="F57" t="s">
        <v>309</v>
      </c>
      <c r="G57">
        <v>0</v>
      </c>
      <c r="H57" t="s">
        <v>310</v>
      </c>
      <c r="I57">
        <v>0</v>
      </c>
      <c r="J57">
        <v>0</v>
      </c>
      <c r="K57">
        <v>0</v>
      </c>
      <c r="L57" t="s">
        <v>310</v>
      </c>
      <c r="M57" t="s">
        <v>310</v>
      </c>
      <c r="N57">
        <v>0</v>
      </c>
      <c r="O57" t="s">
        <v>319</v>
      </c>
      <c r="P57" t="s">
        <v>310</v>
      </c>
      <c r="Q57" t="s">
        <v>310</v>
      </c>
      <c r="R57" t="s">
        <v>310</v>
      </c>
      <c r="S57">
        <v>9</v>
      </c>
      <c r="T57" t="s">
        <v>310</v>
      </c>
      <c r="U57">
        <v>9</v>
      </c>
      <c r="V57">
        <v>9</v>
      </c>
      <c r="W57">
        <v>0</v>
      </c>
      <c r="X57">
        <v>0</v>
      </c>
      <c r="Y57">
        <v>0</v>
      </c>
      <c r="Z57">
        <v>0</v>
      </c>
      <c r="AA57">
        <v>9</v>
      </c>
      <c r="AB57">
        <v>9</v>
      </c>
      <c r="AC57" t="s">
        <v>310</v>
      </c>
      <c r="AD57">
        <v>9</v>
      </c>
      <c r="AE57" t="s">
        <v>1388</v>
      </c>
      <c r="AF57">
        <v>30002000</v>
      </c>
      <c r="AG57" t="s">
        <v>310</v>
      </c>
      <c r="AH57">
        <f>SUM((MID(Dyno_Data[[#This Row],[Team]],4,5))+(Dyno_Data[[#This Row],[Match]]/100))</f>
        <v>1591.02</v>
      </c>
      <c r="AI57" s="76">
        <f>ROUND(SUM(IF(Dyno_Data[[#This Row],[AcqCenter]]&gt;0,Dyno_Data[[#This Row],[Time]]-SUMIFS(Dyno_Data[Time],Dyno_Data[Team],Dyno_Data[[#This Row],[Team]],Dyno_Data[RecordType],"StartMatch",Dyno_Data[Match],Dyno_Data[[#This Row],[Match]]),0)*86400),0)</f>
        <v>0</v>
      </c>
    </row>
    <row r="58" spans="1:35" x14ac:dyDescent="0.3">
      <c r="A58">
        <v>51</v>
      </c>
      <c r="B58" t="s">
        <v>1286</v>
      </c>
      <c r="C58">
        <v>2</v>
      </c>
      <c r="D58" s="105">
        <v>45373.383833761574</v>
      </c>
      <c r="E58" t="s">
        <v>312</v>
      </c>
      <c r="F58" t="s">
        <v>309</v>
      </c>
      <c r="G58">
        <v>0</v>
      </c>
      <c r="H58" t="s">
        <v>1397</v>
      </c>
      <c r="I58">
        <v>0</v>
      </c>
      <c r="J58">
        <v>0</v>
      </c>
      <c r="K58">
        <v>0</v>
      </c>
      <c r="L58" t="s">
        <v>240</v>
      </c>
      <c r="M58" t="s">
        <v>1398</v>
      </c>
      <c r="N58">
        <v>0</v>
      </c>
      <c r="O58" t="s">
        <v>319</v>
      </c>
      <c r="P58" t="s">
        <v>310</v>
      </c>
      <c r="Q58" t="s">
        <v>310</v>
      </c>
      <c r="R58" t="s">
        <v>310</v>
      </c>
      <c r="S58">
        <v>9</v>
      </c>
      <c r="T58" t="s">
        <v>310</v>
      </c>
      <c r="U58">
        <v>9</v>
      </c>
      <c r="V58">
        <v>9</v>
      </c>
      <c r="W58">
        <v>0</v>
      </c>
      <c r="X58">
        <v>0</v>
      </c>
      <c r="Y58">
        <v>0</v>
      </c>
      <c r="Z58">
        <v>0</v>
      </c>
      <c r="AA58">
        <v>9</v>
      </c>
      <c r="AB58">
        <v>9</v>
      </c>
      <c r="AC58" t="s">
        <v>310</v>
      </c>
      <c r="AD58">
        <v>9</v>
      </c>
      <c r="AE58" t="s">
        <v>1388</v>
      </c>
      <c r="AF58">
        <v>0</v>
      </c>
      <c r="AG58" t="s">
        <v>310</v>
      </c>
      <c r="AH58">
        <f>SUM((MID(Dyno_Data[[#This Row],[Team]],4,5))+(Dyno_Data[[#This Row],[Match]]/100))</f>
        <v>1591.02</v>
      </c>
      <c r="AI58" s="76">
        <f>ROUND(SUM(IF(Dyno_Data[[#This Row],[AcqCenter]]&gt;0,Dyno_Data[[#This Row],[Time]]-SUMIFS(Dyno_Data[Time],Dyno_Data[Team],Dyno_Data[[#This Row],[Team]],Dyno_Data[RecordType],"StartMatch",Dyno_Data[Match],Dyno_Data[[#This Row],[Match]]),0)*86400),0)</f>
        <v>0</v>
      </c>
    </row>
    <row r="59" spans="1:35" x14ac:dyDescent="0.3">
      <c r="A59">
        <v>52</v>
      </c>
      <c r="B59" t="s">
        <v>1285</v>
      </c>
      <c r="C59">
        <v>2</v>
      </c>
      <c r="D59" s="105">
        <v>45373.383859872687</v>
      </c>
      <c r="E59" t="s">
        <v>312</v>
      </c>
      <c r="F59" t="s">
        <v>309</v>
      </c>
      <c r="G59">
        <v>0</v>
      </c>
      <c r="H59" t="s">
        <v>1397</v>
      </c>
      <c r="I59">
        <v>0</v>
      </c>
      <c r="J59">
        <v>0</v>
      </c>
      <c r="K59">
        <v>0</v>
      </c>
      <c r="L59" t="s">
        <v>241</v>
      </c>
      <c r="M59" t="s">
        <v>1398</v>
      </c>
      <c r="N59">
        <v>0</v>
      </c>
      <c r="O59" t="s">
        <v>1391</v>
      </c>
      <c r="P59" t="s">
        <v>310</v>
      </c>
      <c r="Q59" t="s">
        <v>310</v>
      </c>
      <c r="R59" t="s">
        <v>310</v>
      </c>
      <c r="S59">
        <v>9</v>
      </c>
      <c r="T59" t="s">
        <v>310</v>
      </c>
      <c r="U59">
        <v>9</v>
      </c>
      <c r="V59">
        <v>9</v>
      </c>
      <c r="W59">
        <v>0</v>
      </c>
      <c r="X59">
        <v>0</v>
      </c>
      <c r="Y59">
        <v>0</v>
      </c>
      <c r="Z59">
        <v>0</v>
      </c>
      <c r="AA59">
        <v>9</v>
      </c>
      <c r="AB59">
        <v>9</v>
      </c>
      <c r="AC59" t="s">
        <v>310</v>
      </c>
      <c r="AD59">
        <v>9</v>
      </c>
      <c r="AE59" t="s">
        <v>1392</v>
      </c>
      <c r="AF59">
        <v>0</v>
      </c>
      <c r="AG59" t="s">
        <v>310</v>
      </c>
      <c r="AH59">
        <f>SUM((MID(Dyno_Data[[#This Row],[Team]],4,5))+(Dyno_Data[[#This Row],[Match]]/100))</f>
        <v>5993.02</v>
      </c>
      <c r="AI59" s="76">
        <f>ROUND(SUM(IF(Dyno_Data[[#This Row],[AcqCenter]]&gt;0,Dyno_Data[[#This Row],[Time]]-SUMIFS(Dyno_Data[Time],Dyno_Data[Team],Dyno_Data[[#This Row],[Team]],Dyno_Data[RecordType],"StartMatch",Dyno_Data[Match],Dyno_Data[[#This Row],[Match]]),0)*86400),0)</f>
        <v>0</v>
      </c>
    </row>
    <row r="60" spans="1:35" x14ac:dyDescent="0.3">
      <c r="A60">
        <v>53</v>
      </c>
      <c r="B60" t="s">
        <v>1286</v>
      </c>
      <c r="C60">
        <v>2</v>
      </c>
      <c r="D60" s="105">
        <v>45373.383862766204</v>
      </c>
      <c r="E60" t="s">
        <v>312</v>
      </c>
      <c r="F60" t="s">
        <v>309</v>
      </c>
      <c r="G60">
        <v>0</v>
      </c>
      <c r="H60" t="s">
        <v>315</v>
      </c>
      <c r="I60">
        <v>0</v>
      </c>
      <c r="J60">
        <v>0</v>
      </c>
      <c r="K60">
        <v>0</v>
      </c>
      <c r="L60" t="s">
        <v>241</v>
      </c>
      <c r="M60" t="s">
        <v>1398</v>
      </c>
      <c r="N60">
        <v>0</v>
      </c>
      <c r="O60" t="s">
        <v>319</v>
      </c>
      <c r="P60" t="s">
        <v>310</v>
      </c>
      <c r="Q60" t="s">
        <v>310</v>
      </c>
      <c r="R60" t="s">
        <v>310</v>
      </c>
      <c r="S60">
        <v>9</v>
      </c>
      <c r="T60" t="s">
        <v>310</v>
      </c>
      <c r="U60">
        <v>9</v>
      </c>
      <c r="V60">
        <v>9</v>
      </c>
      <c r="W60">
        <v>0</v>
      </c>
      <c r="X60">
        <v>0</v>
      </c>
      <c r="Y60">
        <v>0</v>
      </c>
      <c r="Z60">
        <v>0</v>
      </c>
      <c r="AA60">
        <v>9</v>
      </c>
      <c r="AB60">
        <v>9</v>
      </c>
      <c r="AC60" t="s">
        <v>310</v>
      </c>
      <c r="AD60">
        <v>9</v>
      </c>
      <c r="AE60" t="s">
        <v>1388</v>
      </c>
      <c r="AF60">
        <v>10000000</v>
      </c>
      <c r="AG60" t="s">
        <v>310</v>
      </c>
      <c r="AH60">
        <f>SUM((MID(Dyno_Data[[#This Row],[Team]],4,5))+(Dyno_Data[[#This Row],[Match]]/100))</f>
        <v>1591.02</v>
      </c>
      <c r="AI60" s="76">
        <f>ROUND(SUM(IF(Dyno_Data[[#This Row],[AcqCenter]]&gt;0,Dyno_Data[[#This Row],[Time]]-SUMIFS(Dyno_Data[Time],Dyno_Data[Team],Dyno_Data[[#This Row],[Team]],Dyno_Data[RecordType],"StartMatch",Dyno_Data[Match],Dyno_Data[[#This Row],[Match]]),0)*86400),0)</f>
        <v>0</v>
      </c>
    </row>
    <row r="61" spans="1:35" x14ac:dyDescent="0.3">
      <c r="A61">
        <v>54</v>
      </c>
      <c r="B61" t="s">
        <v>370</v>
      </c>
      <c r="C61">
        <v>2</v>
      </c>
      <c r="D61" s="105">
        <v>45373.383878703702</v>
      </c>
      <c r="E61" t="s">
        <v>312</v>
      </c>
      <c r="F61" t="s">
        <v>309</v>
      </c>
      <c r="G61">
        <v>0</v>
      </c>
      <c r="H61" t="s">
        <v>1397</v>
      </c>
      <c r="I61">
        <v>0</v>
      </c>
      <c r="J61">
        <v>0</v>
      </c>
      <c r="K61">
        <v>0</v>
      </c>
      <c r="L61" t="s">
        <v>241</v>
      </c>
      <c r="M61" t="s">
        <v>1398</v>
      </c>
      <c r="N61">
        <v>1</v>
      </c>
      <c r="O61" t="s">
        <v>1393</v>
      </c>
      <c r="P61" t="s">
        <v>310</v>
      </c>
      <c r="Q61" t="s">
        <v>310</v>
      </c>
      <c r="R61" t="s">
        <v>310</v>
      </c>
      <c r="S61">
        <v>9</v>
      </c>
      <c r="T61" t="s">
        <v>310</v>
      </c>
      <c r="U61">
        <v>9</v>
      </c>
      <c r="V61">
        <v>9</v>
      </c>
      <c r="W61">
        <v>0</v>
      </c>
      <c r="X61">
        <v>0</v>
      </c>
      <c r="Y61">
        <v>0</v>
      </c>
      <c r="Z61">
        <v>0</v>
      </c>
      <c r="AA61">
        <v>9</v>
      </c>
      <c r="AB61">
        <v>9</v>
      </c>
      <c r="AC61" t="s">
        <v>310</v>
      </c>
      <c r="AD61">
        <v>9</v>
      </c>
      <c r="AE61" t="s">
        <v>1394</v>
      </c>
      <c r="AF61">
        <v>0</v>
      </c>
      <c r="AG61" t="s">
        <v>310</v>
      </c>
      <c r="AH61">
        <f>SUM((MID(Dyno_Data[[#This Row],[Team]],4,5))+(Dyno_Data[[#This Row],[Match]]/100))</f>
        <v>6911.02</v>
      </c>
      <c r="AI61" s="76">
        <f>ROUND(SUM(IF(Dyno_Data[[#This Row],[AcqCenter]]&gt;0,Dyno_Data[[#This Row],[Time]]-SUMIFS(Dyno_Data[Time],Dyno_Data[Team],Dyno_Data[[#This Row],[Team]],Dyno_Data[RecordType],"StartMatch",Dyno_Data[Match],Dyno_Data[[#This Row],[Match]]),0)*86400),0)</f>
        <v>0</v>
      </c>
    </row>
    <row r="62" spans="1:35" x14ac:dyDescent="0.3">
      <c r="A62">
        <v>55</v>
      </c>
      <c r="B62" t="s">
        <v>1286</v>
      </c>
      <c r="C62">
        <v>2</v>
      </c>
      <c r="D62" s="105">
        <v>45373.38389675926</v>
      </c>
      <c r="E62" t="s">
        <v>312</v>
      </c>
      <c r="F62" t="s">
        <v>309</v>
      </c>
      <c r="G62">
        <v>0</v>
      </c>
      <c r="H62" t="s">
        <v>315</v>
      </c>
      <c r="I62">
        <v>0</v>
      </c>
      <c r="J62">
        <v>0</v>
      </c>
      <c r="K62">
        <v>0</v>
      </c>
      <c r="L62" t="s">
        <v>241</v>
      </c>
      <c r="M62" t="s">
        <v>1398</v>
      </c>
      <c r="N62">
        <v>0</v>
      </c>
      <c r="O62" t="s">
        <v>319</v>
      </c>
      <c r="P62" t="s">
        <v>310</v>
      </c>
      <c r="Q62" t="s">
        <v>310</v>
      </c>
      <c r="R62" t="s">
        <v>310</v>
      </c>
      <c r="S62">
        <v>9</v>
      </c>
      <c r="T62" t="s">
        <v>310</v>
      </c>
      <c r="U62">
        <v>9</v>
      </c>
      <c r="V62">
        <v>9</v>
      </c>
      <c r="W62">
        <v>0</v>
      </c>
      <c r="X62">
        <v>0</v>
      </c>
      <c r="Y62">
        <v>0</v>
      </c>
      <c r="Z62">
        <v>0</v>
      </c>
      <c r="AA62">
        <v>9</v>
      </c>
      <c r="AB62">
        <v>9</v>
      </c>
      <c r="AC62" t="s">
        <v>310</v>
      </c>
      <c r="AD62">
        <v>9</v>
      </c>
      <c r="AE62" t="s">
        <v>1388</v>
      </c>
      <c r="AF62">
        <v>20000000</v>
      </c>
      <c r="AG62" t="s">
        <v>310</v>
      </c>
      <c r="AH62">
        <f>SUM((MID(Dyno_Data[[#This Row],[Team]],4,5))+(Dyno_Data[[#This Row],[Match]]/100))</f>
        <v>1591.02</v>
      </c>
      <c r="AI62" s="76">
        <f>ROUND(SUM(IF(Dyno_Data[[#This Row],[AcqCenter]]&gt;0,Dyno_Data[[#This Row],[Time]]-SUMIFS(Dyno_Data[Time],Dyno_Data[Team],Dyno_Data[[#This Row],[Team]],Dyno_Data[RecordType],"StartMatch",Dyno_Data[Match],Dyno_Data[[#This Row],[Match]]),0)*86400),0)</f>
        <v>0</v>
      </c>
    </row>
    <row r="63" spans="1:35" x14ac:dyDescent="0.3">
      <c r="A63">
        <v>56</v>
      </c>
      <c r="B63" t="s">
        <v>1282</v>
      </c>
      <c r="C63">
        <v>2</v>
      </c>
      <c r="D63" s="105">
        <v>45373.383898877313</v>
      </c>
      <c r="E63" t="s">
        <v>312</v>
      </c>
      <c r="F63" t="s">
        <v>309</v>
      </c>
      <c r="G63">
        <v>0</v>
      </c>
      <c r="H63" t="s">
        <v>1397</v>
      </c>
      <c r="I63">
        <v>0</v>
      </c>
      <c r="J63">
        <v>0</v>
      </c>
      <c r="K63">
        <v>0</v>
      </c>
      <c r="L63" t="s">
        <v>240</v>
      </c>
      <c r="M63" t="s">
        <v>1398</v>
      </c>
      <c r="N63">
        <v>0</v>
      </c>
      <c r="O63" t="s">
        <v>1389</v>
      </c>
      <c r="P63" t="s">
        <v>310</v>
      </c>
      <c r="Q63" t="s">
        <v>310</v>
      </c>
      <c r="R63" t="s">
        <v>310</v>
      </c>
      <c r="S63">
        <v>9</v>
      </c>
      <c r="T63" t="s">
        <v>310</v>
      </c>
      <c r="U63">
        <v>9</v>
      </c>
      <c r="V63">
        <v>9</v>
      </c>
      <c r="W63">
        <v>0</v>
      </c>
      <c r="X63">
        <v>0</v>
      </c>
      <c r="Y63">
        <v>0</v>
      </c>
      <c r="Z63">
        <v>0</v>
      </c>
      <c r="AA63">
        <v>9</v>
      </c>
      <c r="AB63">
        <v>9</v>
      </c>
      <c r="AC63" t="s">
        <v>310</v>
      </c>
      <c r="AD63">
        <v>9</v>
      </c>
      <c r="AE63" t="s">
        <v>1390</v>
      </c>
      <c r="AF63">
        <v>0</v>
      </c>
      <c r="AG63" t="s">
        <v>310</v>
      </c>
      <c r="AH63">
        <f>SUM((MID(Dyno_Data[[#This Row],[Team]],4,5))+(Dyno_Data[[#This Row],[Match]]/100))</f>
        <v>333.02</v>
      </c>
      <c r="AI63" s="76">
        <f>ROUND(SUM(IF(Dyno_Data[[#This Row],[AcqCenter]]&gt;0,Dyno_Data[[#This Row],[Time]]-SUMIFS(Dyno_Data[Time],Dyno_Data[Team],Dyno_Data[[#This Row],[Team]],Dyno_Data[RecordType],"StartMatch",Dyno_Data[Match],Dyno_Data[[#This Row],[Match]]),0)*86400),0)</f>
        <v>0</v>
      </c>
    </row>
    <row r="64" spans="1:35" x14ac:dyDescent="0.3">
      <c r="A64">
        <v>57</v>
      </c>
      <c r="B64" t="s">
        <v>1286</v>
      </c>
      <c r="C64">
        <v>2</v>
      </c>
      <c r="D64" s="105">
        <v>45373.383906828705</v>
      </c>
      <c r="E64" t="s">
        <v>312</v>
      </c>
      <c r="F64" t="s">
        <v>309</v>
      </c>
      <c r="G64">
        <v>0</v>
      </c>
      <c r="H64" t="s">
        <v>315</v>
      </c>
      <c r="I64">
        <v>0</v>
      </c>
      <c r="J64">
        <v>0</v>
      </c>
      <c r="K64">
        <v>0</v>
      </c>
      <c r="L64" t="s">
        <v>241</v>
      </c>
      <c r="M64" t="s">
        <v>1398</v>
      </c>
      <c r="N64">
        <v>0</v>
      </c>
      <c r="O64" t="s">
        <v>319</v>
      </c>
      <c r="P64" t="s">
        <v>310</v>
      </c>
      <c r="Q64" t="s">
        <v>310</v>
      </c>
      <c r="R64" t="s">
        <v>310</v>
      </c>
      <c r="S64">
        <v>9</v>
      </c>
      <c r="T64" t="s">
        <v>310</v>
      </c>
      <c r="U64">
        <v>9</v>
      </c>
      <c r="V64">
        <v>9</v>
      </c>
      <c r="W64">
        <v>0</v>
      </c>
      <c r="X64">
        <v>0</v>
      </c>
      <c r="Y64">
        <v>0</v>
      </c>
      <c r="Z64">
        <v>0</v>
      </c>
      <c r="AA64">
        <v>9</v>
      </c>
      <c r="AB64">
        <v>9</v>
      </c>
      <c r="AC64" t="s">
        <v>310</v>
      </c>
      <c r="AD64">
        <v>9</v>
      </c>
      <c r="AE64" t="s">
        <v>1388</v>
      </c>
      <c r="AF64">
        <v>30000000</v>
      </c>
      <c r="AG64" t="s">
        <v>310</v>
      </c>
      <c r="AH64">
        <f>SUM((MID(Dyno_Data[[#This Row],[Team]],4,5))+(Dyno_Data[[#This Row],[Match]]/100))</f>
        <v>1591.02</v>
      </c>
      <c r="AI64" s="76">
        <f>ROUND(SUM(IF(Dyno_Data[[#This Row],[AcqCenter]]&gt;0,Dyno_Data[[#This Row],[Time]]-SUMIFS(Dyno_Data[Time],Dyno_Data[Team],Dyno_Data[[#This Row],[Team]],Dyno_Data[RecordType],"StartMatch",Dyno_Data[Match],Dyno_Data[[#This Row],[Match]]),0)*86400),0)</f>
        <v>0</v>
      </c>
    </row>
    <row r="65" spans="1:35" x14ac:dyDescent="0.3">
      <c r="A65">
        <v>58</v>
      </c>
      <c r="B65" t="s">
        <v>1286</v>
      </c>
      <c r="C65">
        <v>2</v>
      </c>
      <c r="D65" s="105">
        <v>45373.383930173608</v>
      </c>
      <c r="E65" t="s">
        <v>312</v>
      </c>
      <c r="F65" t="s">
        <v>309</v>
      </c>
      <c r="G65">
        <v>0</v>
      </c>
      <c r="H65" t="s">
        <v>143</v>
      </c>
      <c r="I65">
        <v>5</v>
      </c>
      <c r="J65">
        <v>1</v>
      </c>
      <c r="K65">
        <v>0</v>
      </c>
      <c r="L65" t="s">
        <v>310</v>
      </c>
      <c r="M65" t="s">
        <v>310</v>
      </c>
      <c r="N65">
        <v>0</v>
      </c>
      <c r="O65" t="s">
        <v>319</v>
      </c>
      <c r="P65" t="s">
        <v>310</v>
      </c>
      <c r="Q65" t="s">
        <v>310</v>
      </c>
      <c r="R65" t="s">
        <v>310</v>
      </c>
      <c r="S65">
        <v>9</v>
      </c>
      <c r="T65" t="s">
        <v>310</v>
      </c>
      <c r="U65">
        <v>9</v>
      </c>
      <c r="V65">
        <v>9</v>
      </c>
      <c r="W65">
        <v>0</v>
      </c>
      <c r="X65">
        <v>0</v>
      </c>
      <c r="Y65">
        <v>0</v>
      </c>
      <c r="Z65">
        <v>0</v>
      </c>
      <c r="AA65">
        <v>9</v>
      </c>
      <c r="AB65">
        <v>9</v>
      </c>
      <c r="AC65" t="s">
        <v>310</v>
      </c>
      <c r="AD65">
        <v>9</v>
      </c>
      <c r="AE65" t="s">
        <v>1388</v>
      </c>
      <c r="AF65">
        <v>30001000</v>
      </c>
      <c r="AG65" t="s">
        <v>310</v>
      </c>
      <c r="AH65">
        <f>SUM((MID(Dyno_Data[[#This Row],[Team]],4,5))+(Dyno_Data[[#This Row],[Match]]/100))</f>
        <v>1591.02</v>
      </c>
      <c r="AI65" s="76">
        <f>ROUND(SUM(IF(Dyno_Data[[#This Row],[AcqCenter]]&gt;0,Dyno_Data[[#This Row],[Time]]-SUMIFS(Dyno_Data[Time],Dyno_Data[Team],Dyno_Data[[#This Row],[Team]],Dyno_Data[RecordType],"StartMatch",Dyno_Data[Match],Dyno_Data[[#This Row],[Match]]),0)*86400),0)</f>
        <v>9</v>
      </c>
    </row>
    <row r="66" spans="1:35" x14ac:dyDescent="0.3">
      <c r="A66">
        <v>59</v>
      </c>
      <c r="B66" t="s">
        <v>1284</v>
      </c>
      <c r="C66">
        <v>2</v>
      </c>
      <c r="D66" s="105">
        <v>45373.383948229166</v>
      </c>
      <c r="E66" t="s">
        <v>1403</v>
      </c>
      <c r="F66" t="s">
        <v>309</v>
      </c>
      <c r="G66">
        <v>0</v>
      </c>
      <c r="H66" t="s">
        <v>310</v>
      </c>
      <c r="I66">
        <v>0</v>
      </c>
      <c r="J66">
        <v>0</v>
      </c>
      <c r="K66">
        <v>0</v>
      </c>
      <c r="L66" t="s">
        <v>310</v>
      </c>
      <c r="M66" t="s">
        <v>310</v>
      </c>
      <c r="N66">
        <v>0</v>
      </c>
      <c r="O66" t="s">
        <v>311</v>
      </c>
      <c r="P66" t="s">
        <v>310</v>
      </c>
      <c r="Q66" t="s">
        <v>310</v>
      </c>
      <c r="R66" t="s">
        <v>310</v>
      </c>
      <c r="S66">
        <v>9</v>
      </c>
      <c r="T66" t="s">
        <v>310</v>
      </c>
      <c r="U66">
        <v>9</v>
      </c>
      <c r="V66">
        <v>9</v>
      </c>
      <c r="W66">
        <v>0</v>
      </c>
      <c r="X66">
        <v>0</v>
      </c>
      <c r="Y66">
        <v>0</v>
      </c>
      <c r="Z66">
        <v>0</v>
      </c>
      <c r="AA66">
        <v>9</v>
      </c>
      <c r="AB66">
        <v>9</v>
      </c>
      <c r="AC66" t="s">
        <v>310</v>
      </c>
      <c r="AD66">
        <v>9</v>
      </c>
      <c r="AE66" t="s">
        <v>1387</v>
      </c>
      <c r="AF66">
        <v>30001000</v>
      </c>
      <c r="AG66" t="s">
        <v>250</v>
      </c>
      <c r="AH66">
        <f>SUM((MID(Dyno_Data[[#This Row],[Team]],4,5))+(Dyno_Data[[#This Row],[Match]]/100))</f>
        <v>5590.02</v>
      </c>
      <c r="AI66" s="76">
        <f>ROUND(SUM(IF(Dyno_Data[[#This Row],[AcqCenter]]&gt;0,Dyno_Data[[#This Row],[Time]]-SUMIFS(Dyno_Data[Time],Dyno_Data[Team],Dyno_Data[[#This Row],[Team]],Dyno_Data[RecordType],"StartMatch",Dyno_Data[Match],Dyno_Data[[#This Row],[Match]]),0)*86400),0)</f>
        <v>0</v>
      </c>
    </row>
    <row r="67" spans="1:35" x14ac:dyDescent="0.3">
      <c r="A67">
        <v>60</v>
      </c>
      <c r="B67" t="s">
        <v>1286</v>
      </c>
      <c r="C67">
        <v>2</v>
      </c>
      <c r="D67" s="105">
        <v>45373.383975810182</v>
      </c>
      <c r="E67" t="s">
        <v>312</v>
      </c>
      <c r="F67" t="s">
        <v>309</v>
      </c>
      <c r="G67">
        <v>0</v>
      </c>
      <c r="H67" t="s">
        <v>143</v>
      </c>
      <c r="I67">
        <v>0</v>
      </c>
      <c r="J67">
        <v>0</v>
      </c>
      <c r="K67">
        <v>0</v>
      </c>
      <c r="L67" t="s">
        <v>241</v>
      </c>
      <c r="M67" t="s">
        <v>1398</v>
      </c>
      <c r="N67">
        <v>0</v>
      </c>
      <c r="O67" t="s">
        <v>319</v>
      </c>
      <c r="P67" t="s">
        <v>310</v>
      </c>
      <c r="Q67" t="s">
        <v>310</v>
      </c>
      <c r="R67" t="s">
        <v>310</v>
      </c>
      <c r="S67">
        <v>9</v>
      </c>
      <c r="T67" t="s">
        <v>310</v>
      </c>
      <c r="U67">
        <v>9</v>
      </c>
      <c r="V67">
        <v>9</v>
      </c>
      <c r="W67">
        <v>0</v>
      </c>
      <c r="X67">
        <v>0</v>
      </c>
      <c r="Y67">
        <v>0</v>
      </c>
      <c r="Z67">
        <v>0</v>
      </c>
      <c r="AA67">
        <v>9</v>
      </c>
      <c r="AB67">
        <v>9</v>
      </c>
      <c r="AC67" t="s">
        <v>310</v>
      </c>
      <c r="AD67">
        <v>9</v>
      </c>
      <c r="AE67" t="s">
        <v>1388</v>
      </c>
      <c r="AF67">
        <v>30001000</v>
      </c>
      <c r="AG67" t="s">
        <v>310</v>
      </c>
      <c r="AH67">
        <f>SUM((MID(Dyno_Data[[#This Row],[Team]],4,5))+(Dyno_Data[[#This Row],[Match]]/100))</f>
        <v>1591.02</v>
      </c>
      <c r="AI67" s="76">
        <f>ROUND(SUM(IF(Dyno_Data[[#This Row],[AcqCenter]]&gt;0,Dyno_Data[[#This Row],[Time]]-SUMIFS(Dyno_Data[Time],Dyno_Data[Team],Dyno_Data[[#This Row],[Team]],Dyno_Data[RecordType],"StartMatch",Dyno_Data[Match],Dyno_Data[[#This Row],[Match]]),0)*86400),0)</f>
        <v>0</v>
      </c>
    </row>
    <row r="68" spans="1:35" x14ac:dyDescent="0.3">
      <c r="A68">
        <v>61</v>
      </c>
      <c r="B68" t="s">
        <v>1286</v>
      </c>
      <c r="C68">
        <v>2</v>
      </c>
      <c r="D68" s="105">
        <v>45373.384016238429</v>
      </c>
      <c r="E68" t="s">
        <v>312</v>
      </c>
      <c r="F68" t="s">
        <v>309</v>
      </c>
      <c r="G68">
        <v>0</v>
      </c>
      <c r="H68" t="s">
        <v>143</v>
      </c>
      <c r="I68">
        <v>4</v>
      </c>
      <c r="J68">
        <v>1</v>
      </c>
      <c r="K68">
        <v>0</v>
      </c>
      <c r="L68" t="s">
        <v>310</v>
      </c>
      <c r="M68" t="s">
        <v>310</v>
      </c>
      <c r="N68">
        <v>0</v>
      </c>
      <c r="O68" t="s">
        <v>319</v>
      </c>
      <c r="P68" t="s">
        <v>310</v>
      </c>
      <c r="Q68" t="s">
        <v>310</v>
      </c>
      <c r="R68" t="s">
        <v>310</v>
      </c>
      <c r="S68">
        <v>9</v>
      </c>
      <c r="T68" t="s">
        <v>310</v>
      </c>
      <c r="U68">
        <v>9</v>
      </c>
      <c r="V68">
        <v>9</v>
      </c>
      <c r="W68">
        <v>0</v>
      </c>
      <c r="X68">
        <v>0</v>
      </c>
      <c r="Y68">
        <v>0</v>
      </c>
      <c r="Z68">
        <v>0</v>
      </c>
      <c r="AA68">
        <v>9</v>
      </c>
      <c r="AB68">
        <v>9</v>
      </c>
      <c r="AC68" t="s">
        <v>310</v>
      </c>
      <c r="AD68">
        <v>9</v>
      </c>
      <c r="AE68" t="s">
        <v>1388</v>
      </c>
      <c r="AF68">
        <v>30002000</v>
      </c>
      <c r="AG68" t="s">
        <v>310</v>
      </c>
      <c r="AH68">
        <f>SUM((MID(Dyno_Data[[#This Row],[Team]],4,5))+(Dyno_Data[[#This Row],[Match]]/100))</f>
        <v>1591.02</v>
      </c>
      <c r="AI68" s="76">
        <f>ROUND(SUM(IF(Dyno_Data[[#This Row],[AcqCenter]]&gt;0,Dyno_Data[[#This Row],[Time]]-SUMIFS(Dyno_Data[Time],Dyno_Data[Team],Dyno_Data[[#This Row],[Team]],Dyno_Data[RecordType],"StartMatch",Dyno_Data[Match],Dyno_Data[[#This Row],[Match]]),0)*86400),0)</f>
        <v>16</v>
      </c>
    </row>
    <row r="69" spans="1:35" x14ac:dyDescent="0.3">
      <c r="A69">
        <v>63</v>
      </c>
      <c r="B69" t="s">
        <v>1284</v>
      </c>
      <c r="C69">
        <v>2</v>
      </c>
      <c r="D69" s="105">
        <v>45373.384027858796</v>
      </c>
      <c r="E69" t="s">
        <v>314</v>
      </c>
      <c r="F69" t="s">
        <v>309</v>
      </c>
      <c r="G69">
        <v>1</v>
      </c>
      <c r="H69" t="s">
        <v>310</v>
      </c>
      <c r="I69">
        <v>0</v>
      </c>
      <c r="J69">
        <v>0</v>
      </c>
      <c r="K69">
        <v>0</v>
      </c>
      <c r="L69" t="s">
        <v>310</v>
      </c>
      <c r="M69" t="s">
        <v>310</v>
      </c>
      <c r="N69">
        <v>0</v>
      </c>
      <c r="O69" t="s">
        <v>311</v>
      </c>
      <c r="P69" t="s">
        <v>320</v>
      </c>
      <c r="Q69" t="s">
        <v>1399</v>
      </c>
      <c r="R69" t="s">
        <v>310</v>
      </c>
      <c r="S69">
        <v>9</v>
      </c>
      <c r="T69" t="s">
        <v>310</v>
      </c>
      <c r="U69">
        <v>9</v>
      </c>
      <c r="V69">
        <v>9</v>
      </c>
      <c r="W69">
        <v>0</v>
      </c>
      <c r="X69">
        <v>0</v>
      </c>
      <c r="Y69">
        <v>0</v>
      </c>
      <c r="Z69">
        <v>0</v>
      </c>
      <c r="AA69">
        <v>9</v>
      </c>
      <c r="AB69">
        <v>9</v>
      </c>
      <c r="AC69" t="s">
        <v>310</v>
      </c>
      <c r="AD69">
        <v>9</v>
      </c>
      <c r="AE69" t="s">
        <v>1387</v>
      </c>
      <c r="AF69">
        <v>0</v>
      </c>
      <c r="AG69" t="s">
        <v>310</v>
      </c>
      <c r="AH69">
        <f>SUM((MID(Dyno_Data[[#This Row],[Team]],4,5))+(Dyno_Data[[#This Row],[Match]]/100))</f>
        <v>5590.02</v>
      </c>
      <c r="AI69" s="76">
        <f>ROUND(SUM(IF(Dyno_Data[[#This Row],[AcqCenter]]&gt;0,Dyno_Data[[#This Row],[Time]]-SUMIFS(Dyno_Data[Time],Dyno_Data[Team],Dyno_Data[[#This Row],[Team]],Dyno_Data[RecordType],"StartMatch",Dyno_Data[Match],Dyno_Data[[#This Row],[Match]]),0)*86400),0)</f>
        <v>0</v>
      </c>
    </row>
    <row r="70" spans="1:35" x14ac:dyDescent="0.3">
      <c r="A70">
        <v>65</v>
      </c>
      <c r="B70" t="s">
        <v>1285</v>
      </c>
      <c r="C70">
        <v>2</v>
      </c>
      <c r="D70" s="105">
        <v>45373.38403144676</v>
      </c>
      <c r="E70" t="s">
        <v>314</v>
      </c>
      <c r="F70" t="s">
        <v>309</v>
      </c>
      <c r="G70">
        <v>0</v>
      </c>
      <c r="H70" t="s">
        <v>310</v>
      </c>
      <c r="I70">
        <v>0</v>
      </c>
      <c r="J70">
        <v>0</v>
      </c>
      <c r="K70">
        <v>0</v>
      </c>
      <c r="L70" t="s">
        <v>310</v>
      </c>
      <c r="M70" t="s">
        <v>310</v>
      </c>
      <c r="N70">
        <v>0</v>
      </c>
      <c r="O70" t="s">
        <v>1391</v>
      </c>
      <c r="P70" t="s">
        <v>101</v>
      </c>
      <c r="Q70" t="s">
        <v>1400</v>
      </c>
      <c r="R70" t="s">
        <v>310</v>
      </c>
      <c r="S70">
        <v>9</v>
      </c>
      <c r="T70" t="s">
        <v>310</v>
      </c>
      <c r="U70">
        <v>9</v>
      </c>
      <c r="V70">
        <v>9</v>
      </c>
      <c r="W70">
        <v>0</v>
      </c>
      <c r="X70">
        <v>0</v>
      </c>
      <c r="Y70">
        <v>0</v>
      </c>
      <c r="Z70">
        <v>0</v>
      </c>
      <c r="AA70">
        <v>9</v>
      </c>
      <c r="AB70">
        <v>9</v>
      </c>
      <c r="AC70" t="s">
        <v>310</v>
      </c>
      <c r="AD70">
        <v>9</v>
      </c>
      <c r="AE70" t="s">
        <v>1392</v>
      </c>
      <c r="AF70">
        <v>0</v>
      </c>
      <c r="AG70" t="s">
        <v>310</v>
      </c>
      <c r="AH70">
        <f>SUM((MID(Dyno_Data[[#This Row],[Team]],4,5))+(Dyno_Data[[#This Row],[Match]]/100))</f>
        <v>5993.02</v>
      </c>
      <c r="AI70" s="76">
        <f>ROUND(SUM(IF(Dyno_Data[[#This Row],[AcqCenter]]&gt;0,Dyno_Data[[#This Row],[Time]]-SUMIFS(Dyno_Data[Time],Dyno_Data[Team],Dyno_Data[[#This Row],[Team]],Dyno_Data[RecordType],"StartMatch",Dyno_Data[Match],Dyno_Data[[#This Row],[Match]]),0)*86400),0)</f>
        <v>0</v>
      </c>
    </row>
    <row r="71" spans="1:35" x14ac:dyDescent="0.3">
      <c r="A71">
        <v>67</v>
      </c>
      <c r="B71" t="s">
        <v>1283</v>
      </c>
      <c r="C71">
        <v>2</v>
      </c>
      <c r="D71" s="105">
        <v>45373.384032175927</v>
      </c>
      <c r="E71" t="s">
        <v>314</v>
      </c>
      <c r="F71" t="s">
        <v>309</v>
      </c>
      <c r="G71">
        <v>1</v>
      </c>
      <c r="H71" t="s">
        <v>310</v>
      </c>
      <c r="I71">
        <v>0</v>
      </c>
      <c r="J71">
        <v>0</v>
      </c>
      <c r="K71">
        <v>0</v>
      </c>
      <c r="L71" t="s">
        <v>310</v>
      </c>
      <c r="M71" t="s">
        <v>310</v>
      </c>
      <c r="N71">
        <v>0</v>
      </c>
      <c r="O71" t="s">
        <v>1395</v>
      </c>
      <c r="P71" t="s">
        <v>320</v>
      </c>
      <c r="Q71" t="s">
        <v>1400</v>
      </c>
      <c r="R71" t="s">
        <v>310</v>
      </c>
      <c r="S71">
        <v>9</v>
      </c>
      <c r="T71" t="s">
        <v>310</v>
      </c>
      <c r="U71">
        <v>9</v>
      </c>
      <c r="V71">
        <v>9</v>
      </c>
      <c r="W71">
        <v>0</v>
      </c>
      <c r="X71">
        <v>0</v>
      </c>
      <c r="Y71">
        <v>0</v>
      </c>
      <c r="Z71">
        <v>0</v>
      </c>
      <c r="AA71">
        <v>9</v>
      </c>
      <c r="AB71">
        <v>9</v>
      </c>
      <c r="AC71" t="s">
        <v>310</v>
      </c>
      <c r="AD71">
        <v>9</v>
      </c>
      <c r="AE71" t="s">
        <v>1396</v>
      </c>
      <c r="AF71">
        <v>0</v>
      </c>
      <c r="AG71" t="s">
        <v>310</v>
      </c>
      <c r="AH71">
        <f>SUM((MID(Dyno_Data[[#This Row],[Team]],4,5))+(Dyno_Data[[#This Row],[Match]]/100))</f>
        <v>1601.02</v>
      </c>
      <c r="AI71" s="76">
        <f>ROUND(SUM(IF(Dyno_Data[[#This Row],[AcqCenter]]&gt;0,Dyno_Data[[#This Row],[Time]]-SUMIFS(Dyno_Data[Time],Dyno_Data[Team],Dyno_Data[[#This Row],[Team]],Dyno_Data[RecordType],"StartMatch",Dyno_Data[Match],Dyno_Data[[#This Row],[Match]]),0)*86400),0)</f>
        <v>0</v>
      </c>
    </row>
    <row r="72" spans="1:35" x14ac:dyDescent="0.3">
      <c r="A72">
        <v>69</v>
      </c>
      <c r="B72" t="s">
        <v>370</v>
      </c>
      <c r="C72">
        <v>2</v>
      </c>
      <c r="D72" s="105">
        <v>45373.384032870374</v>
      </c>
      <c r="E72" t="s">
        <v>314</v>
      </c>
      <c r="F72" t="s">
        <v>309</v>
      </c>
      <c r="G72">
        <v>1</v>
      </c>
      <c r="H72" t="s">
        <v>310</v>
      </c>
      <c r="I72">
        <v>0</v>
      </c>
      <c r="J72">
        <v>0</v>
      </c>
      <c r="K72">
        <v>0</v>
      </c>
      <c r="L72" t="s">
        <v>310</v>
      </c>
      <c r="M72" t="s">
        <v>310</v>
      </c>
      <c r="N72">
        <v>0</v>
      </c>
      <c r="O72" t="s">
        <v>1393</v>
      </c>
      <c r="P72" t="s">
        <v>101</v>
      </c>
      <c r="Q72" t="s">
        <v>1399</v>
      </c>
      <c r="R72" t="s">
        <v>310</v>
      </c>
      <c r="S72">
        <v>9</v>
      </c>
      <c r="T72" t="s">
        <v>310</v>
      </c>
      <c r="U72">
        <v>9</v>
      </c>
      <c r="V72">
        <v>9</v>
      </c>
      <c r="W72">
        <v>0</v>
      </c>
      <c r="X72">
        <v>0</v>
      </c>
      <c r="Y72">
        <v>0</v>
      </c>
      <c r="Z72">
        <v>0</v>
      </c>
      <c r="AA72">
        <v>9</v>
      </c>
      <c r="AB72">
        <v>9</v>
      </c>
      <c r="AC72" t="s">
        <v>310</v>
      </c>
      <c r="AD72">
        <v>9</v>
      </c>
      <c r="AE72" t="s">
        <v>1394</v>
      </c>
      <c r="AF72">
        <v>0</v>
      </c>
      <c r="AG72" t="s">
        <v>310</v>
      </c>
      <c r="AH72">
        <f>SUM((MID(Dyno_Data[[#This Row],[Team]],4,5))+(Dyno_Data[[#This Row],[Match]]/100))</f>
        <v>6911.02</v>
      </c>
      <c r="AI72" s="76">
        <f>ROUND(SUM(IF(Dyno_Data[[#This Row],[AcqCenter]]&gt;0,Dyno_Data[[#This Row],[Time]]-SUMIFS(Dyno_Data[Time],Dyno_Data[Team],Dyno_Data[[#This Row],[Team]],Dyno_Data[RecordType],"StartMatch",Dyno_Data[Match],Dyno_Data[[#This Row],[Match]]),0)*86400),0)</f>
        <v>0</v>
      </c>
    </row>
    <row r="73" spans="1:35" x14ac:dyDescent="0.3">
      <c r="A73">
        <v>71</v>
      </c>
      <c r="B73" t="s">
        <v>1282</v>
      </c>
      <c r="C73">
        <v>2</v>
      </c>
      <c r="D73" s="105">
        <v>45373.384037187498</v>
      </c>
      <c r="E73" t="s">
        <v>314</v>
      </c>
      <c r="F73" t="s">
        <v>309</v>
      </c>
      <c r="G73">
        <v>1</v>
      </c>
      <c r="H73" t="s">
        <v>310</v>
      </c>
      <c r="I73">
        <v>0</v>
      </c>
      <c r="J73">
        <v>0</v>
      </c>
      <c r="K73">
        <v>0</v>
      </c>
      <c r="L73" t="s">
        <v>310</v>
      </c>
      <c r="M73" t="s">
        <v>310</v>
      </c>
      <c r="N73">
        <v>0</v>
      </c>
      <c r="O73" t="s">
        <v>1389</v>
      </c>
      <c r="P73" t="s">
        <v>240</v>
      </c>
      <c r="Q73" t="s">
        <v>1400</v>
      </c>
      <c r="R73" t="s">
        <v>310</v>
      </c>
      <c r="S73">
        <v>9</v>
      </c>
      <c r="T73" t="s">
        <v>310</v>
      </c>
      <c r="U73">
        <v>9</v>
      </c>
      <c r="V73">
        <v>9</v>
      </c>
      <c r="W73">
        <v>0</v>
      </c>
      <c r="X73">
        <v>0</v>
      </c>
      <c r="Y73">
        <v>0</v>
      </c>
      <c r="Z73">
        <v>0</v>
      </c>
      <c r="AA73">
        <v>9</v>
      </c>
      <c r="AB73">
        <v>9</v>
      </c>
      <c r="AC73" t="s">
        <v>310</v>
      </c>
      <c r="AD73">
        <v>9</v>
      </c>
      <c r="AE73" t="s">
        <v>1390</v>
      </c>
      <c r="AF73">
        <v>0</v>
      </c>
      <c r="AG73" t="s">
        <v>310</v>
      </c>
      <c r="AH73">
        <f>SUM((MID(Dyno_Data[[#This Row],[Team]],4,5))+(Dyno_Data[[#This Row],[Match]]/100))</f>
        <v>333.02</v>
      </c>
      <c r="AI73" s="76">
        <f>ROUND(SUM(IF(Dyno_Data[[#This Row],[AcqCenter]]&gt;0,Dyno_Data[[#This Row],[Time]]-SUMIFS(Dyno_Data[Time],Dyno_Data[Team],Dyno_Data[[#This Row],[Team]],Dyno_Data[RecordType],"StartMatch",Dyno_Data[Match],Dyno_Data[[#This Row],[Match]]),0)*86400),0)</f>
        <v>0</v>
      </c>
    </row>
    <row r="74" spans="1:35" x14ac:dyDescent="0.3">
      <c r="A74">
        <v>73</v>
      </c>
      <c r="B74" t="s">
        <v>1286</v>
      </c>
      <c r="C74">
        <v>2</v>
      </c>
      <c r="D74" s="105">
        <v>45373.384038078701</v>
      </c>
      <c r="E74" t="s">
        <v>314</v>
      </c>
      <c r="F74" t="s">
        <v>309</v>
      </c>
      <c r="G74">
        <v>0</v>
      </c>
      <c r="H74" t="s">
        <v>310</v>
      </c>
      <c r="I74">
        <v>0</v>
      </c>
      <c r="J74">
        <v>0</v>
      </c>
      <c r="K74">
        <v>0</v>
      </c>
      <c r="L74" t="s">
        <v>310</v>
      </c>
      <c r="M74" t="s">
        <v>310</v>
      </c>
      <c r="N74">
        <v>0</v>
      </c>
      <c r="O74" t="s">
        <v>319</v>
      </c>
      <c r="P74" t="s">
        <v>240</v>
      </c>
      <c r="Q74" t="s">
        <v>1400</v>
      </c>
      <c r="R74" t="s">
        <v>310</v>
      </c>
      <c r="S74">
        <v>9</v>
      </c>
      <c r="T74" t="s">
        <v>310</v>
      </c>
      <c r="U74">
        <v>9</v>
      </c>
      <c r="V74">
        <v>9</v>
      </c>
      <c r="W74">
        <v>0</v>
      </c>
      <c r="X74">
        <v>0</v>
      </c>
      <c r="Y74">
        <v>0</v>
      </c>
      <c r="Z74">
        <v>0</v>
      </c>
      <c r="AA74">
        <v>9</v>
      </c>
      <c r="AB74">
        <v>9</v>
      </c>
      <c r="AC74" t="s">
        <v>310</v>
      </c>
      <c r="AD74">
        <v>9</v>
      </c>
      <c r="AE74" t="s">
        <v>1388</v>
      </c>
      <c r="AF74">
        <v>30002000</v>
      </c>
      <c r="AG74" t="s">
        <v>310</v>
      </c>
      <c r="AH74">
        <f>SUM((MID(Dyno_Data[[#This Row],[Team]],4,5))+(Dyno_Data[[#This Row],[Match]]/100))</f>
        <v>1591.02</v>
      </c>
      <c r="AI74" s="76">
        <f>ROUND(SUM(IF(Dyno_Data[[#This Row],[AcqCenter]]&gt;0,Dyno_Data[[#This Row],[Time]]-SUMIFS(Dyno_Data[Time],Dyno_Data[Team],Dyno_Data[[#This Row],[Team]],Dyno_Data[RecordType],"StartMatch",Dyno_Data[Match],Dyno_Data[[#This Row],[Match]]),0)*86400),0)</f>
        <v>0</v>
      </c>
    </row>
    <row r="75" spans="1:35" x14ac:dyDescent="0.3">
      <c r="A75">
        <v>74</v>
      </c>
      <c r="B75" t="s">
        <v>1286</v>
      </c>
      <c r="C75">
        <v>2</v>
      </c>
      <c r="D75" s="105">
        <v>45373.384089270832</v>
      </c>
      <c r="E75" t="s">
        <v>312</v>
      </c>
      <c r="F75" t="s">
        <v>1402</v>
      </c>
      <c r="G75">
        <v>0</v>
      </c>
      <c r="H75" t="s">
        <v>143</v>
      </c>
      <c r="I75">
        <v>0</v>
      </c>
      <c r="J75">
        <v>0</v>
      </c>
      <c r="K75">
        <v>0</v>
      </c>
      <c r="L75" t="s">
        <v>241</v>
      </c>
      <c r="M75" t="s">
        <v>101</v>
      </c>
      <c r="N75">
        <v>0</v>
      </c>
      <c r="O75" t="s">
        <v>319</v>
      </c>
      <c r="P75" t="s">
        <v>310</v>
      </c>
      <c r="Q75" t="s">
        <v>310</v>
      </c>
      <c r="R75" t="s">
        <v>310</v>
      </c>
      <c r="S75">
        <v>9</v>
      </c>
      <c r="T75" t="s">
        <v>310</v>
      </c>
      <c r="U75">
        <v>9</v>
      </c>
      <c r="V75">
        <v>9</v>
      </c>
      <c r="W75">
        <v>0</v>
      </c>
      <c r="X75">
        <v>0</v>
      </c>
      <c r="Y75">
        <v>0</v>
      </c>
      <c r="Z75">
        <v>0</v>
      </c>
      <c r="AA75">
        <v>9</v>
      </c>
      <c r="AB75">
        <v>9</v>
      </c>
      <c r="AC75" t="s">
        <v>310</v>
      </c>
      <c r="AD75">
        <v>9</v>
      </c>
      <c r="AE75" t="s">
        <v>1388</v>
      </c>
      <c r="AF75">
        <v>30002000</v>
      </c>
      <c r="AG75" t="s">
        <v>310</v>
      </c>
      <c r="AH75">
        <f>SUM((MID(Dyno_Data[[#This Row],[Team]],4,5))+(Dyno_Data[[#This Row],[Match]]/100))</f>
        <v>1591.02</v>
      </c>
      <c r="AI75" s="76">
        <f>ROUND(SUM(IF(Dyno_Data[[#This Row],[AcqCenter]]&gt;0,Dyno_Data[[#This Row],[Time]]-SUMIFS(Dyno_Data[Time],Dyno_Data[Team],Dyno_Data[[#This Row],[Team]],Dyno_Data[RecordType],"StartMatch",Dyno_Data[Match],Dyno_Data[[#This Row],[Match]]),0)*86400),0)</f>
        <v>0</v>
      </c>
    </row>
    <row r="76" spans="1:35" x14ac:dyDescent="0.3">
      <c r="A76">
        <v>75</v>
      </c>
      <c r="B76" t="s">
        <v>1284</v>
      </c>
      <c r="C76">
        <v>2</v>
      </c>
      <c r="D76" s="105">
        <v>45373.38411979167</v>
      </c>
      <c r="E76" t="s">
        <v>312</v>
      </c>
      <c r="F76" t="s">
        <v>1402</v>
      </c>
      <c r="G76">
        <v>0</v>
      </c>
      <c r="H76" t="s">
        <v>1397</v>
      </c>
      <c r="I76">
        <v>0</v>
      </c>
      <c r="J76">
        <v>0</v>
      </c>
      <c r="K76">
        <v>0</v>
      </c>
      <c r="L76" t="s">
        <v>241</v>
      </c>
      <c r="M76" t="s">
        <v>1398</v>
      </c>
      <c r="N76">
        <v>0</v>
      </c>
      <c r="O76" t="s">
        <v>311</v>
      </c>
      <c r="P76" t="s">
        <v>310</v>
      </c>
      <c r="Q76" t="s">
        <v>310</v>
      </c>
      <c r="R76" t="s">
        <v>310</v>
      </c>
      <c r="S76">
        <v>9</v>
      </c>
      <c r="T76" t="s">
        <v>310</v>
      </c>
      <c r="U76">
        <v>9</v>
      </c>
      <c r="V76">
        <v>9</v>
      </c>
      <c r="W76">
        <v>0</v>
      </c>
      <c r="X76">
        <v>0</v>
      </c>
      <c r="Y76">
        <v>0</v>
      </c>
      <c r="Z76">
        <v>0</v>
      </c>
      <c r="AA76">
        <v>9</v>
      </c>
      <c r="AB76">
        <v>9</v>
      </c>
      <c r="AC76" t="s">
        <v>310</v>
      </c>
      <c r="AD76">
        <v>9</v>
      </c>
      <c r="AE76" t="s">
        <v>1387</v>
      </c>
      <c r="AF76">
        <v>0</v>
      </c>
      <c r="AG76" t="s">
        <v>310</v>
      </c>
      <c r="AH76">
        <f>SUM((MID(Dyno_Data[[#This Row],[Team]],4,5))+(Dyno_Data[[#This Row],[Match]]/100))</f>
        <v>5590.02</v>
      </c>
      <c r="AI76" s="76">
        <f>ROUND(SUM(IF(Dyno_Data[[#This Row],[AcqCenter]]&gt;0,Dyno_Data[[#This Row],[Time]]-SUMIFS(Dyno_Data[Time],Dyno_Data[Team],Dyno_Data[[#This Row],[Team]],Dyno_Data[RecordType],"StartMatch",Dyno_Data[Match],Dyno_Data[[#This Row],[Match]]),0)*86400),0)</f>
        <v>0</v>
      </c>
    </row>
    <row r="77" spans="1:35" x14ac:dyDescent="0.3">
      <c r="A77">
        <v>76</v>
      </c>
      <c r="B77" t="s">
        <v>370</v>
      </c>
      <c r="C77">
        <v>2</v>
      </c>
      <c r="D77" s="105">
        <v>45373.384149502315</v>
      </c>
      <c r="E77" t="s">
        <v>312</v>
      </c>
      <c r="F77" t="s">
        <v>1402</v>
      </c>
      <c r="G77">
        <v>0</v>
      </c>
      <c r="H77" t="s">
        <v>315</v>
      </c>
      <c r="I77">
        <v>0</v>
      </c>
      <c r="J77">
        <v>0</v>
      </c>
      <c r="K77">
        <v>0</v>
      </c>
      <c r="L77" t="s">
        <v>240</v>
      </c>
      <c r="M77" t="s">
        <v>1398</v>
      </c>
      <c r="N77">
        <v>0</v>
      </c>
      <c r="O77" t="s">
        <v>1393</v>
      </c>
      <c r="P77" t="s">
        <v>310</v>
      </c>
      <c r="Q77" t="s">
        <v>310</v>
      </c>
      <c r="R77" t="s">
        <v>310</v>
      </c>
      <c r="S77">
        <v>9</v>
      </c>
      <c r="T77" t="s">
        <v>310</v>
      </c>
      <c r="U77">
        <v>9</v>
      </c>
      <c r="V77">
        <v>9</v>
      </c>
      <c r="W77">
        <v>0</v>
      </c>
      <c r="X77">
        <v>0</v>
      </c>
      <c r="Y77">
        <v>0</v>
      </c>
      <c r="Z77">
        <v>0</v>
      </c>
      <c r="AA77">
        <v>9</v>
      </c>
      <c r="AB77">
        <v>9</v>
      </c>
      <c r="AC77" t="s">
        <v>310</v>
      </c>
      <c r="AD77">
        <v>9</v>
      </c>
      <c r="AE77" t="s">
        <v>1394</v>
      </c>
      <c r="AF77">
        <v>10000000</v>
      </c>
      <c r="AG77" t="s">
        <v>310</v>
      </c>
      <c r="AH77">
        <f>SUM((MID(Dyno_Data[[#This Row],[Team]],4,5))+(Dyno_Data[[#This Row],[Match]]/100))</f>
        <v>6911.02</v>
      </c>
      <c r="AI77" s="76">
        <f>ROUND(SUM(IF(Dyno_Data[[#This Row],[AcqCenter]]&gt;0,Dyno_Data[[#This Row],[Time]]-SUMIFS(Dyno_Data[Time],Dyno_Data[Team],Dyno_Data[[#This Row],[Team]],Dyno_Data[RecordType],"StartMatch",Dyno_Data[Match],Dyno_Data[[#This Row],[Match]]),0)*86400),0)</f>
        <v>0</v>
      </c>
    </row>
    <row r="78" spans="1:35" x14ac:dyDescent="0.3">
      <c r="A78">
        <v>77</v>
      </c>
      <c r="B78" t="s">
        <v>1286</v>
      </c>
      <c r="C78">
        <v>2</v>
      </c>
      <c r="D78" s="105">
        <v>45373.38416253472</v>
      </c>
      <c r="E78" t="s">
        <v>312</v>
      </c>
      <c r="F78" t="s">
        <v>1402</v>
      </c>
      <c r="G78">
        <v>0</v>
      </c>
      <c r="H78" t="s">
        <v>315</v>
      </c>
      <c r="I78">
        <v>0</v>
      </c>
      <c r="J78">
        <v>0</v>
      </c>
      <c r="K78">
        <v>0</v>
      </c>
      <c r="L78" t="s">
        <v>241</v>
      </c>
      <c r="M78" t="s">
        <v>1398</v>
      </c>
      <c r="N78">
        <v>0</v>
      </c>
      <c r="O78" t="s">
        <v>319</v>
      </c>
      <c r="P78" t="s">
        <v>310</v>
      </c>
      <c r="Q78" t="s">
        <v>310</v>
      </c>
      <c r="R78" t="s">
        <v>310</v>
      </c>
      <c r="S78">
        <v>9</v>
      </c>
      <c r="T78" t="s">
        <v>310</v>
      </c>
      <c r="U78">
        <v>9</v>
      </c>
      <c r="V78">
        <v>9</v>
      </c>
      <c r="W78">
        <v>0</v>
      </c>
      <c r="X78">
        <v>0</v>
      </c>
      <c r="Y78">
        <v>0</v>
      </c>
      <c r="Z78">
        <v>0</v>
      </c>
      <c r="AA78">
        <v>9</v>
      </c>
      <c r="AB78">
        <v>9</v>
      </c>
      <c r="AC78" t="s">
        <v>310</v>
      </c>
      <c r="AD78">
        <v>9</v>
      </c>
      <c r="AE78" t="s">
        <v>1388</v>
      </c>
      <c r="AF78">
        <v>40002000</v>
      </c>
      <c r="AG78" t="s">
        <v>310</v>
      </c>
      <c r="AH78">
        <f>SUM((MID(Dyno_Data[[#This Row],[Team]],4,5))+(Dyno_Data[[#This Row],[Match]]/100))</f>
        <v>1591.02</v>
      </c>
      <c r="AI78" s="76">
        <f>ROUND(SUM(IF(Dyno_Data[[#This Row],[AcqCenter]]&gt;0,Dyno_Data[[#This Row],[Time]]-SUMIFS(Dyno_Data[Time],Dyno_Data[Team],Dyno_Data[[#This Row],[Team]],Dyno_Data[RecordType],"StartMatch",Dyno_Data[Match],Dyno_Data[[#This Row],[Match]]),0)*86400),0)</f>
        <v>0</v>
      </c>
    </row>
    <row r="79" spans="1:35" x14ac:dyDescent="0.3">
      <c r="A79">
        <v>78</v>
      </c>
      <c r="B79" t="s">
        <v>1282</v>
      </c>
      <c r="C79">
        <v>2</v>
      </c>
      <c r="D79" s="105">
        <v>45373.384208368057</v>
      </c>
      <c r="E79" t="s">
        <v>312</v>
      </c>
      <c r="F79" t="s">
        <v>1402</v>
      </c>
      <c r="G79">
        <v>0</v>
      </c>
      <c r="H79" t="s">
        <v>315</v>
      </c>
      <c r="I79">
        <v>0</v>
      </c>
      <c r="J79">
        <v>0</v>
      </c>
      <c r="K79">
        <v>0</v>
      </c>
      <c r="L79" t="s">
        <v>241</v>
      </c>
      <c r="M79" t="s">
        <v>101</v>
      </c>
      <c r="N79">
        <v>0</v>
      </c>
      <c r="O79" t="s">
        <v>1389</v>
      </c>
      <c r="P79" t="s">
        <v>310</v>
      </c>
      <c r="Q79" t="s">
        <v>310</v>
      </c>
      <c r="R79" t="s">
        <v>310</v>
      </c>
      <c r="S79">
        <v>9</v>
      </c>
      <c r="T79" t="s">
        <v>310</v>
      </c>
      <c r="U79">
        <v>9</v>
      </c>
      <c r="V79">
        <v>9</v>
      </c>
      <c r="W79">
        <v>0</v>
      </c>
      <c r="X79">
        <v>0</v>
      </c>
      <c r="Y79">
        <v>0</v>
      </c>
      <c r="Z79">
        <v>0</v>
      </c>
      <c r="AA79">
        <v>9</v>
      </c>
      <c r="AB79">
        <v>9</v>
      </c>
      <c r="AC79" t="s">
        <v>310</v>
      </c>
      <c r="AD79">
        <v>9</v>
      </c>
      <c r="AE79" t="s">
        <v>1390</v>
      </c>
      <c r="AF79">
        <v>10000000</v>
      </c>
      <c r="AG79" t="s">
        <v>310</v>
      </c>
      <c r="AH79">
        <f>SUM((MID(Dyno_Data[[#This Row],[Team]],4,5))+(Dyno_Data[[#This Row],[Match]]/100))</f>
        <v>333.02</v>
      </c>
      <c r="AI79" s="76">
        <f>ROUND(SUM(IF(Dyno_Data[[#This Row],[AcqCenter]]&gt;0,Dyno_Data[[#This Row],[Time]]-SUMIFS(Dyno_Data[Time],Dyno_Data[Team],Dyno_Data[[#This Row],[Team]],Dyno_Data[RecordType],"StartMatch",Dyno_Data[Match],Dyno_Data[[#This Row],[Match]]),0)*86400),0)</f>
        <v>0</v>
      </c>
    </row>
    <row r="80" spans="1:35" x14ac:dyDescent="0.3">
      <c r="A80">
        <v>79</v>
      </c>
      <c r="B80" t="s">
        <v>1284</v>
      </c>
      <c r="C80">
        <v>2</v>
      </c>
      <c r="D80" s="105">
        <v>45373.384222881941</v>
      </c>
      <c r="E80" t="s">
        <v>312</v>
      </c>
      <c r="F80" t="s">
        <v>1402</v>
      </c>
      <c r="G80">
        <v>0</v>
      </c>
      <c r="H80" t="s">
        <v>315</v>
      </c>
      <c r="I80">
        <v>0</v>
      </c>
      <c r="J80">
        <v>0</v>
      </c>
      <c r="K80">
        <v>0</v>
      </c>
      <c r="L80" t="s">
        <v>240</v>
      </c>
      <c r="M80" t="s">
        <v>1398</v>
      </c>
      <c r="N80">
        <v>0</v>
      </c>
      <c r="O80" t="s">
        <v>311</v>
      </c>
      <c r="P80" t="s">
        <v>310</v>
      </c>
      <c r="Q80" t="s">
        <v>310</v>
      </c>
      <c r="R80" t="s">
        <v>310</v>
      </c>
      <c r="S80">
        <v>9</v>
      </c>
      <c r="T80" t="s">
        <v>310</v>
      </c>
      <c r="U80">
        <v>9</v>
      </c>
      <c r="V80">
        <v>9</v>
      </c>
      <c r="W80">
        <v>0</v>
      </c>
      <c r="X80">
        <v>0</v>
      </c>
      <c r="Y80">
        <v>0</v>
      </c>
      <c r="Z80">
        <v>0</v>
      </c>
      <c r="AA80">
        <v>9</v>
      </c>
      <c r="AB80">
        <v>9</v>
      </c>
      <c r="AC80" t="s">
        <v>310</v>
      </c>
      <c r="AD80">
        <v>9</v>
      </c>
      <c r="AE80" t="s">
        <v>1387</v>
      </c>
      <c r="AF80">
        <v>10000000</v>
      </c>
      <c r="AG80" t="s">
        <v>310</v>
      </c>
      <c r="AH80">
        <f>SUM((MID(Dyno_Data[[#This Row],[Team]],4,5))+(Dyno_Data[[#This Row],[Match]]/100))</f>
        <v>5590.02</v>
      </c>
      <c r="AI80" s="76">
        <f>ROUND(SUM(IF(Dyno_Data[[#This Row],[AcqCenter]]&gt;0,Dyno_Data[[#This Row],[Time]]-SUMIFS(Dyno_Data[Time],Dyno_Data[Team],Dyno_Data[[#This Row],[Team]],Dyno_Data[RecordType],"StartMatch",Dyno_Data[Match],Dyno_Data[[#This Row],[Match]]),0)*86400),0)</f>
        <v>0</v>
      </c>
    </row>
    <row r="81" spans="1:35" x14ac:dyDescent="0.3">
      <c r="A81">
        <v>80</v>
      </c>
      <c r="B81" t="s">
        <v>1286</v>
      </c>
      <c r="C81">
        <v>2</v>
      </c>
      <c r="D81" s="105">
        <v>45373.384307523149</v>
      </c>
      <c r="E81" t="s">
        <v>312</v>
      </c>
      <c r="F81" t="s">
        <v>1402</v>
      </c>
      <c r="G81">
        <v>0</v>
      </c>
      <c r="H81" t="s">
        <v>315</v>
      </c>
      <c r="I81">
        <v>0</v>
      </c>
      <c r="J81">
        <v>0</v>
      </c>
      <c r="K81">
        <v>0</v>
      </c>
      <c r="L81" t="s">
        <v>241</v>
      </c>
      <c r="M81" t="s">
        <v>1398</v>
      </c>
      <c r="N81">
        <v>0</v>
      </c>
      <c r="O81" t="s">
        <v>319</v>
      </c>
      <c r="P81" t="s">
        <v>310</v>
      </c>
      <c r="Q81" t="s">
        <v>310</v>
      </c>
      <c r="R81" t="s">
        <v>310</v>
      </c>
      <c r="S81">
        <v>9</v>
      </c>
      <c r="T81" t="s">
        <v>310</v>
      </c>
      <c r="U81">
        <v>9</v>
      </c>
      <c r="V81">
        <v>9</v>
      </c>
      <c r="W81">
        <v>0</v>
      </c>
      <c r="X81">
        <v>0</v>
      </c>
      <c r="Y81">
        <v>0</v>
      </c>
      <c r="Z81">
        <v>0</v>
      </c>
      <c r="AA81">
        <v>9</v>
      </c>
      <c r="AB81">
        <v>9</v>
      </c>
      <c r="AC81" t="s">
        <v>310</v>
      </c>
      <c r="AD81">
        <v>9</v>
      </c>
      <c r="AE81" t="s">
        <v>1388</v>
      </c>
      <c r="AF81">
        <v>50002000</v>
      </c>
      <c r="AG81" t="s">
        <v>310</v>
      </c>
      <c r="AH81">
        <f>SUM((MID(Dyno_Data[[#This Row],[Team]],4,5))+(Dyno_Data[[#This Row],[Match]]/100))</f>
        <v>1591.02</v>
      </c>
      <c r="AI81" s="76">
        <f>ROUND(SUM(IF(Dyno_Data[[#This Row],[AcqCenter]]&gt;0,Dyno_Data[[#This Row],[Time]]-SUMIFS(Dyno_Data[Time],Dyno_Data[Team],Dyno_Data[[#This Row],[Team]],Dyno_Data[RecordType],"StartMatch",Dyno_Data[Match],Dyno_Data[[#This Row],[Match]]),0)*86400),0)</f>
        <v>0</v>
      </c>
    </row>
    <row r="82" spans="1:35" x14ac:dyDescent="0.3">
      <c r="A82">
        <v>81</v>
      </c>
      <c r="B82" t="s">
        <v>1283</v>
      </c>
      <c r="C82">
        <v>2</v>
      </c>
      <c r="D82" s="105">
        <v>45373.384315393516</v>
      </c>
      <c r="E82" t="s">
        <v>312</v>
      </c>
      <c r="F82" t="s">
        <v>1402</v>
      </c>
      <c r="G82">
        <v>0</v>
      </c>
      <c r="H82" t="s">
        <v>1397</v>
      </c>
      <c r="I82">
        <v>0</v>
      </c>
      <c r="J82">
        <v>0</v>
      </c>
      <c r="K82">
        <v>0</v>
      </c>
      <c r="L82" t="s">
        <v>241</v>
      </c>
      <c r="M82" t="s">
        <v>1398</v>
      </c>
      <c r="N82">
        <v>1</v>
      </c>
      <c r="O82" t="s">
        <v>1395</v>
      </c>
      <c r="P82" t="s">
        <v>310</v>
      </c>
      <c r="Q82" t="s">
        <v>310</v>
      </c>
      <c r="R82" t="s">
        <v>310</v>
      </c>
      <c r="S82">
        <v>9</v>
      </c>
      <c r="T82" t="s">
        <v>310</v>
      </c>
      <c r="U82">
        <v>9</v>
      </c>
      <c r="V82">
        <v>9</v>
      </c>
      <c r="W82">
        <v>0</v>
      </c>
      <c r="X82">
        <v>0</v>
      </c>
      <c r="Y82">
        <v>0</v>
      </c>
      <c r="Z82">
        <v>0</v>
      </c>
      <c r="AA82">
        <v>9</v>
      </c>
      <c r="AB82">
        <v>9</v>
      </c>
      <c r="AC82" t="s">
        <v>310</v>
      </c>
      <c r="AD82">
        <v>9</v>
      </c>
      <c r="AE82" t="s">
        <v>1396</v>
      </c>
      <c r="AF82">
        <v>0</v>
      </c>
      <c r="AG82" t="s">
        <v>310</v>
      </c>
      <c r="AH82">
        <f>SUM((MID(Dyno_Data[[#This Row],[Team]],4,5))+(Dyno_Data[[#This Row],[Match]]/100))</f>
        <v>1601.02</v>
      </c>
      <c r="AI82" s="76">
        <f>ROUND(SUM(IF(Dyno_Data[[#This Row],[AcqCenter]]&gt;0,Dyno_Data[[#This Row],[Time]]-SUMIFS(Dyno_Data[Time],Dyno_Data[Team],Dyno_Data[[#This Row],[Team]],Dyno_Data[RecordType],"StartMatch",Dyno_Data[Match],Dyno_Data[[#This Row],[Match]]),0)*86400),0)</f>
        <v>0</v>
      </c>
    </row>
    <row r="83" spans="1:35" x14ac:dyDescent="0.3">
      <c r="A83">
        <v>82</v>
      </c>
      <c r="B83" t="s">
        <v>1285</v>
      </c>
      <c r="C83">
        <v>2</v>
      </c>
      <c r="D83" s="105">
        <v>45373.384334872688</v>
      </c>
      <c r="E83" t="s">
        <v>312</v>
      </c>
      <c r="F83" t="s">
        <v>1402</v>
      </c>
      <c r="G83">
        <v>0</v>
      </c>
      <c r="H83" t="s">
        <v>315</v>
      </c>
      <c r="I83">
        <v>0</v>
      </c>
      <c r="J83">
        <v>0</v>
      </c>
      <c r="K83">
        <v>0</v>
      </c>
      <c r="L83" t="s">
        <v>240</v>
      </c>
      <c r="M83" t="s">
        <v>1398</v>
      </c>
      <c r="N83">
        <v>1</v>
      </c>
      <c r="O83" t="s">
        <v>1391</v>
      </c>
      <c r="P83" t="s">
        <v>310</v>
      </c>
      <c r="Q83" t="s">
        <v>310</v>
      </c>
      <c r="R83" t="s">
        <v>310</v>
      </c>
      <c r="S83">
        <v>9</v>
      </c>
      <c r="T83" t="s">
        <v>310</v>
      </c>
      <c r="U83">
        <v>9</v>
      </c>
      <c r="V83">
        <v>9</v>
      </c>
      <c r="W83">
        <v>0</v>
      </c>
      <c r="X83">
        <v>0</v>
      </c>
      <c r="Y83">
        <v>0</v>
      </c>
      <c r="Z83">
        <v>0</v>
      </c>
      <c r="AA83">
        <v>9</v>
      </c>
      <c r="AB83">
        <v>9</v>
      </c>
      <c r="AC83" t="s">
        <v>310</v>
      </c>
      <c r="AD83">
        <v>9</v>
      </c>
      <c r="AE83" t="s">
        <v>1392</v>
      </c>
      <c r="AF83">
        <v>10000000</v>
      </c>
      <c r="AG83" t="s">
        <v>310</v>
      </c>
      <c r="AH83">
        <f>SUM((MID(Dyno_Data[[#This Row],[Team]],4,5))+(Dyno_Data[[#This Row],[Match]]/100))</f>
        <v>5993.02</v>
      </c>
      <c r="AI83" s="76">
        <f>ROUND(SUM(IF(Dyno_Data[[#This Row],[AcqCenter]]&gt;0,Dyno_Data[[#This Row],[Time]]-SUMIFS(Dyno_Data[Time],Dyno_Data[Team],Dyno_Data[[#This Row],[Team]],Dyno_Data[RecordType],"StartMatch",Dyno_Data[Match],Dyno_Data[[#This Row],[Match]]),0)*86400),0)</f>
        <v>0</v>
      </c>
    </row>
    <row r="84" spans="1:35" x14ac:dyDescent="0.3">
      <c r="A84">
        <v>83</v>
      </c>
      <c r="B84" t="s">
        <v>1284</v>
      </c>
      <c r="C84">
        <v>2</v>
      </c>
      <c r="D84" s="105">
        <v>45373.384447025463</v>
      </c>
      <c r="E84" t="s">
        <v>312</v>
      </c>
      <c r="F84" t="s">
        <v>1402</v>
      </c>
      <c r="G84">
        <v>0</v>
      </c>
      <c r="H84" t="s">
        <v>315</v>
      </c>
      <c r="I84">
        <v>0</v>
      </c>
      <c r="J84">
        <v>0</v>
      </c>
      <c r="K84">
        <v>0</v>
      </c>
      <c r="L84" t="s">
        <v>241</v>
      </c>
      <c r="M84" t="s">
        <v>1398</v>
      </c>
      <c r="N84">
        <v>1</v>
      </c>
      <c r="O84" t="s">
        <v>311</v>
      </c>
      <c r="P84" t="s">
        <v>310</v>
      </c>
      <c r="Q84" t="s">
        <v>310</v>
      </c>
      <c r="R84" t="s">
        <v>310</v>
      </c>
      <c r="S84">
        <v>9</v>
      </c>
      <c r="T84" t="s">
        <v>310</v>
      </c>
      <c r="U84">
        <v>9</v>
      </c>
      <c r="V84">
        <v>9</v>
      </c>
      <c r="W84">
        <v>0</v>
      </c>
      <c r="X84">
        <v>0</v>
      </c>
      <c r="Y84">
        <v>0</v>
      </c>
      <c r="Z84">
        <v>0</v>
      </c>
      <c r="AA84">
        <v>9</v>
      </c>
      <c r="AB84">
        <v>9</v>
      </c>
      <c r="AC84" t="s">
        <v>310</v>
      </c>
      <c r="AD84">
        <v>9</v>
      </c>
      <c r="AE84" t="s">
        <v>1387</v>
      </c>
      <c r="AF84">
        <v>20000000</v>
      </c>
      <c r="AG84" t="s">
        <v>310</v>
      </c>
      <c r="AH84">
        <f>SUM((MID(Dyno_Data[[#This Row],[Team]],4,5))+(Dyno_Data[[#This Row],[Match]]/100))</f>
        <v>5590.02</v>
      </c>
      <c r="AI84" s="76">
        <f>ROUND(SUM(IF(Dyno_Data[[#This Row],[AcqCenter]]&gt;0,Dyno_Data[[#This Row],[Time]]-SUMIFS(Dyno_Data[Time],Dyno_Data[Team],Dyno_Data[[#This Row],[Team]],Dyno_Data[RecordType],"StartMatch",Dyno_Data[Match],Dyno_Data[[#This Row],[Match]]),0)*86400),0)</f>
        <v>0</v>
      </c>
    </row>
    <row r="85" spans="1:35" x14ac:dyDescent="0.3">
      <c r="A85">
        <v>84</v>
      </c>
      <c r="B85" t="s">
        <v>1286</v>
      </c>
      <c r="C85">
        <v>2</v>
      </c>
      <c r="D85" s="105">
        <v>45373.38445135417</v>
      </c>
      <c r="E85" t="s">
        <v>312</v>
      </c>
      <c r="F85" t="s">
        <v>1402</v>
      </c>
      <c r="G85">
        <v>0</v>
      </c>
      <c r="H85" t="s">
        <v>315</v>
      </c>
      <c r="I85">
        <v>0</v>
      </c>
      <c r="J85">
        <v>0</v>
      </c>
      <c r="K85">
        <v>0</v>
      </c>
      <c r="L85" t="s">
        <v>241</v>
      </c>
      <c r="M85" t="s">
        <v>1398</v>
      </c>
      <c r="N85">
        <v>0</v>
      </c>
      <c r="O85" t="s">
        <v>319</v>
      </c>
      <c r="P85" t="s">
        <v>310</v>
      </c>
      <c r="Q85" t="s">
        <v>310</v>
      </c>
      <c r="R85" t="s">
        <v>310</v>
      </c>
      <c r="S85">
        <v>9</v>
      </c>
      <c r="T85" t="s">
        <v>310</v>
      </c>
      <c r="U85">
        <v>9</v>
      </c>
      <c r="V85">
        <v>9</v>
      </c>
      <c r="W85">
        <v>0</v>
      </c>
      <c r="X85">
        <v>0</v>
      </c>
      <c r="Y85">
        <v>0</v>
      </c>
      <c r="Z85">
        <v>0</v>
      </c>
      <c r="AA85">
        <v>9</v>
      </c>
      <c r="AB85">
        <v>9</v>
      </c>
      <c r="AC85" t="s">
        <v>310</v>
      </c>
      <c r="AD85">
        <v>9</v>
      </c>
      <c r="AE85" t="s">
        <v>1388</v>
      </c>
      <c r="AF85">
        <v>60002000</v>
      </c>
      <c r="AG85" t="s">
        <v>310</v>
      </c>
      <c r="AH85">
        <f>SUM((MID(Dyno_Data[[#This Row],[Team]],4,5))+(Dyno_Data[[#This Row],[Match]]/100))</f>
        <v>1591.02</v>
      </c>
      <c r="AI85" s="76">
        <f>ROUND(SUM(IF(Dyno_Data[[#This Row],[AcqCenter]]&gt;0,Dyno_Data[[#This Row],[Time]]-SUMIFS(Dyno_Data[Time],Dyno_Data[Team],Dyno_Data[[#This Row],[Team]],Dyno_Data[RecordType],"StartMatch",Dyno_Data[Match],Dyno_Data[[#This Row],[Match]]),0)*86400),0)</f>
        <v>0</v>
      </c>
    </row>
    <row r="86" spans="1:35" x14ac:dyDescent="0.3">
      <c r="A86">
        <v>85</v>
      </c>
      <c r="B86" t="s">
        <v>1286</v>
      </c>
      <c r="C86">
        <v>2</v>
      </c>
      <c r="D86" s="105">
        <v>45373.384498344909</v>
      </c>
      <c r="E86" t="s">
        <v>312</v>
      </c>
      <c r="F86" t="s">
        <v>1402</v>
      </c>
      <c r="G86">
        <v>0</v>
      </c>
      <c r="H86" t="s">
        <v>315</v>
      </c>
      <c r="I86">
        <v>0</v>
      </c>
      <c r="J86">
        <v>0</v>
      </c>
      <c r="K86">
        <v>0</v>
      </c>
      <c r="L86" t="s">
        <v>241</v>
      </c>
      <c r="M86" t="s">
        <v>1398</v>
      </c>
      <c r="N86">
        <v>0</v>
      </c>
      <c r="O86" t="s">
        <v>319</v>
      </c>
      <c r="P86" t="s">
        <v>310</v>
      </c>
      <c r="Q86" t="s">
        <v>310</v>
      </c>
      <c r="R86" t="s">
        <v>310</v>
      </c>
      <c r="S86">
        <v>9</v>
      </c>
      <c r="T86" t="s">
        <v>310</v>
      </c>
      <c r="U86">
        <v>9</v>
      </c>
      <c r="V86">
        <v>9</v>
      </c>
      <c r="W86">
        <v>0</v>
      </c>
      <c r="X86">
        <v>0</v>
      </c>
      <c r="Y86">
        <v>0</v>
      </c>
      <c r="Z86">
        <v>0</v>
      </c>
      <c r="AA86">
        <v>9</v>
      </c>
      <c r="AB86">
        <v>9</v>
      </c>
      <c r="AC86" t="s">
        <v>310</v>
      </c>
      <c r="AD86">
        <v>9</v>
      </c>
      <c r="AE86" t="s">
        <v>1388</v>
      </c>
      <c r="AF86">
        <v>70002000</v>
      </c>
      <c r="AG86" t="s">
        <v>310</v>
      </c>
      <c r="AH86">
        <f>SUM((MID(Dyno_Data[[#This Row],[Team]],4,5))+(Dyno_Data[[#This Row],[Match]]/100))</f>
        <v>1591.02</v>
      </c>
      <c r="AI86" s="76">
        <f>ROUND(SUM(IF(Dyno_Data[[#This Row],[AcqCenter]]&gt;0,Dyno_Data[[#This Row],[Time]]-SUMIFS(Dyno_Data[Time],Dyno_Data[Team],Dyno_Data[[#This Row],[Team]],Dyno_Data[RecordType],"StartMatch",Dyno_Data[Match],Dyno_Data[[#This Row],[Match]]),0)*86400),0)</f>
        <v>0</v>
      </c>
    </row>
    <row r="87" spans="1:35" x14ac:dyDescent="0.3">
      <c r="A87">
        <v>86</v>
      </c>
      <c r="B87" t="s">
        <v>1286</v>
      </c>
      <c r="C87">
        <v>2</v>
      </c>
      <c r="D87" s="105">
        <v>45373.38454259259</v>
      </c>
      <c r="E87" t="s">
        <v>312</v>
      </c>
      <c r="F87" t="s">
        <v>1402</v>
      </c>
      <c r="G87">
        <v>0</v>
      </c>
      <c r="H87" t="s">
        <v>315</v>
      </c>
      <c r="I87">
        <v>0</v>
      </c>
      <c r="J87">
        <v>0</v>
      </c>
      <c r="K87">
        <v>0</v>
      </c>
      <c r="L87" t="s">
        <v>241</v>
      </c>
      <c r="M87" t="s">
        <v>1398</v>
      </c>
      <c r="N87">
        <v>0</v>
      </c>
      <c r="O87" t="s">
        <v>319</v>
      </c>
      <c r="P87" t="s">
        <v>310</v>
      </c>
      <c r="Q87" t="s">
        <v>310</v>
      </c>
      <c r="R87" t="s">
        <v>310</v>
      </c>
      <c r="S87">
        <v>9</v>
      </c>
      <c r="T87" t="s">
        <v>310</v>
      </c>
      <c r="U87">
        <v>9</v>
      </c>
      <c r="V87">
        <v>9</v>
      </c>
      <c r="W87">
        <v>0</v>
      </c>
      <c r="X87">
        <v>0</v>
      </c>
      <c r="Y87">
        <v>0</v>
      </c>
      <c r="Z87">
        <v>0</v>
      </c>
      <c r="AA87">
        <v>9</v>
      </c>
      <c r="AB87">
        <v>9</v>
      </c>
      <c r="AC87" t="s">
        <v>310</v>
      </c>
      <c r="AD87">
        <v>9</v>
      </c>
      <c r="AE87" t="s">
        <v>1388</v>
      </c>
      <c r="AF87">
        <v>80002000</v>
      </c>
      <c r="AG87" t="s">
        <v>310</v>
      </c>
      <c r="AH87">
        <f>SUM((MID(Dyno_Data[[#This Row],[Team]],4,5))+(Dyno_Data[[#This Row],[Match]]/100))</f>
        <v>1591.02</v>
      </c>
      <c r="AI87" s="76">
        <f>ROUND(SUM(IF(Dyno_Data[[#This Row],[AcqCenter]]&gt;0,Dyno_Data[[#This Row],[Time]]-SUMIFS(Dyno_Data[Time],Dyno_Data[Team],Dyno_Data[[#This Row],[Team]],Dyno_Data[RecordType],"StartMatch",Dyno_Data[Match],Dyno_Data[[#This Row],[Match]]),0)*86400),0)</f>
        <v>0</v>
      </c>
    </row>
    <row r="88" spans="1:35" x14ac:dyDescent="0.3">
      <c r="A88">
        <v>87</v>
      </c>
      <c r="B88" t="s">
        <v>370</v>
      </c>
      <c r="C88">
        <v>2</v>
      </c>
      <c r="D88" s="105">
        <v>45373.384583831015</v>
      </c>
      <c r="E88" t="s">
        <v>312</v>
      </c>
      <c r="F88" t="s">
        <v>1402</v>
      </c>
      <c r="G88">
        <v>0</v>
      </c>
      <c r="H88" t="s">
        <v>315</v>
      </c>
      <c r="I88">
        <v>0</v>
      </c>
      <c r="J88">
        <v>0</v>
      </c>
      <c r="K88">
        <v>0</v>
      </c>
      <c r="L88" t="s">
        <v>240</v>
      </c>
      <c r="M88" t="s">
        <v>1398</v>
      </c>
      <c r="N88">
        <v>0</v>
      </c>
      <c r="O88" t="s">
        <v>1393</v>
      </c>
      <c r="P88" t="s">
        <v>310</v>
      </c>
      <c r="Q88" t="s">
        <v>310</v>
      </c>
      <c r="R88" t="s">
        <v>310</v>
      </c>
      <c r="S88">
        <v>9</v>
      </c>
      <c r="T88" t="s">
        <v>310</v>
      </c>
      <c r="U88">
        <v>9</v>
      </c>
      <c r="V88">
        <v>9</v>
      </c>
      <c r="W88">
        <v>0</v>
      </c>
      <c r="X88">
        <v>0</v>
      </c>
      <c r="Y88">
        <v>0</v>
      </c>
      <c r="Z88">
        <v>0</v>
      </c>
      <c r="AA88">
        <v>9</v>
      </c>
      <c r="AB88">
        <v>9</v>
      </c>
      <c r="AC88" t="s">
        <v>310</v>
      </c>
      <c r="AD88">
        <v>9</v>
      </c>
      <c r="AE88" t="s">
        <v>1394</v>
      </c>
      <c r="AF88">
        <v>20000000</v>
      </c>
      <c r="AG88" t="s">
        <v>310</v>
      </c>
      <c r="AH88">
        <f>SUM((MID(Dyno_Data[[#This Row],[Team]],4,5))+(Dyno_Data[[#This Row],[Match]]/100))</f>
        <v>6911.02</v>
      </c>
      <c r="AI88" s="76">
        <f>ROUND(SUM(IF(Dyno_Data[[#This Row],[AcqCenter]]&gt;0,Dyno_Data[[#This Row],[Time]]-SUMIFS(Dyno_Data[Time],Dyno_Data[Team],Dyno_Data[[#This Row],[Team]],Dyno_Data[RecordType],"StartMatch",Dyno_Data[Match],Dyno_Data[[#This Row],[Match]]),0)*86400),0)</f>
        <v>0</v>
      </c>
    </row>
    <row r="89" spans="1:35" x14ac:dyDescent="0.3">
      <c r="A89">
        <v>88</v>
      </c>
      <c r="B89" t="s">
        <v>1282</v>
      </c>
      <c r="C89">
        <v>2</v>
      </c>
      <c r="D89" s="105">
        <v>45373.384657523151</v>
      </c>
      <c r="E89" t="s">
        <v>312</v>
      </c>
      <c r="F89" t="s">
        <v>1402</v>
      </c>
      <c r="G89">
        <v>0</v>
      </c>
      <c r="H89" t="s">
        <v>315</v>
      </c>
      <c r="I89">
        <v>0</v>
      </c>
      <c r="J89">
        <v>0</v>
      </c>
      <c r="K89">
        <v>0</v>
      </c>
      <c r="L89" t="s">
        <v>241</v>
      </c>
      <c r="M89" t="s">
        <v>101</v>
      </c>
      <c r="N89">
        <v>1</v>
      </c>
      <c r="O89" t="s">
        <v>1389</v>
      </c>
      <c r="P89" t="s">
        <v>310</v>
      </c>
      <c r="Q89" t="s">
        <v>310</v>
      </c>
      <c r="R89" t="s">
        <v>310</v>
      </c>
      <c r="S89">
        <v>9</v>
      </c>
      <c r="T89" t="s">
        <v>310</v>
      </c>
      <c r="U89">
        <v>9</v>
      </c>
      <c r="V89">
        <v>9</v>
      </c>
      <c r="W89">
        <v>0</v>
      </c>
      <c r="X89">
        <v>0</v>
      </c>
      <c r="Y89">
        <v>0</v>
      </c>
      <c r="Z89">
        <v>0</v>
      </c>
      <c r="AA89">
        <v>9</v>
      </c>
      <c r="AB89">
        <v>9</v>
      </c>
      <c r="AC89" t="s">
        <v>310</v>
      </c>
      <c r="AD89">
        <v>9</v>
      </c>
      <c r="AE89" t="s">
        <v>1390</v>
      </c>
      <c r="AF89">
        <v>20000000</v>
      </c>
      <c r="AG89" t="s">
        <v>310</v>
      </c>
      <c r="AH89">
        <f>SUM((MID(Dyno_Data[[#This Row],[Team]],4,5))+(Dyno_Data[[#This Row],[Match]]/100))</f>
        <v>333.02</v>
      </c>
      <c r="AI89" s="76">
        <f>ROUND(SUM(IF(Dyno_Data[[#This Row],[AcqCenter]]&gt;0,Dyno_Data[[#This Row],[Time]]-SUMIFS(Dyno_Data[Time],Dyno_Data[Team],Dyno_Data[[#This Row],[Team]],Dyno_Data[RecordType],"StartMatch",Dyno_Data[Match],Dyno_Data[[#This Row],[Match]]),0)*86400),0)</f>
        <v>0</v>
      </c>
    </row>
    <row r="90" spans="1:35" x14ac:dyDescent="0.3">
      <c r="A90">
        <v>89</v>
      </c>
      <c r="B90" t="s">
        <v>370</v>
      </c>
      <c r="C90">
        <v>2</v>
      </c>
      <c r="D90" s="105">
        <v>45373.384673460649</v>
      </c>
      <c r="E90" t="s">
        <v>312</v>
      </c>
      <c r="F90" t="s">
        <v>1402</v>
      </c>
      <c r="G90">
        <v>0</v>
      </c>
      <c r="H90" t="s">
        <v>315</v>
      </c>
      <c r="I90">
        <v>0</v>
      </c>
      <c r="J90">
        <v>0</v>
      </c>
      <c r="K90">
        <v>0</v>
      </c>
      <c r="L90" t="s">
        <v>240</v>
      </c>
      <c r="M90" t="s">
        <v>1398</v>
      </c>
      <c r="N90">
        <v>0</v>
      </c>
      <c r="O90" t="s">
        <v>1393</v>
      </c>
      <c r="P90" t="s">
        <v>310</v>
      </c>
      <c r="Q90" t="s">
        <v>310</v>
      </c>
      <c r="R90" t="s">
        <v>310</v>
      </c>
      <c r="S90">
        <v>9</v>
      </c>
      <c r="T90" t="s">
        <v>310</v>
      </c>
      <c r="U90">
        <v>9</v>
      </c>
      <c r="V90">
        <v>9</v>
      </c>
      <c r="W90">
        <v>0</v>
      </c>
      <c r="X90">
        <v>0</v>
      </c>
      <c r="Y90">
        <v>0</v>
      </c>
      <c r="Z90">
        <v>0</v>
      </c>
      <c r="AA90">
        <v>9</v>
      </c>
      <c r="AB90">
        <v>9</v>
      </c>
      <c r="AC90" t="s">
        <v>310</v>
      </c>
      <c r="AD90">
        <v>9</v>
      </c>
      <c r="AE90" t="s">
        <v>1394</v>
      </c>
      <c r="AF90">
        <v>30000000</v>
      </c>
      <c r="AG90" t="s">
        <v>310</v>
      </c>
      <c r="AH90">
        <f>SUM((MID(Dyno_Data[[#This Row],[Team]],4,5))+(Dyno_Data[[#This Row],[Match]]/100))</f>
        <v>6911.02</v>
      </c>
      <c r="AI90" s="76">
        <f>ROUND(SUM(IF(Dyno_Data[[#This Row],[AcqCenter]]&gt;0,Dyno_Data[[#This Row],[Time]]-SUMIFS(Dyno_Data[Time],Dyno_Data[Team],Dyno_Data[[#This Row],[Team]],Dyno_Data[RecordType],"StartMatch",Dyno_Data[Match],Dyno_Data[[#This Row],[Match]]),0)*86400),0)</f>
        <v>0</v>
      </c>
    </row>
    <row r="91" spans="1:35" x14ac:dyDescent="0.3">
      <c r="A91">
        <v>90</v>
      </c>
      <c r="B91" t="s">
        <v>1286</v>
      </c>
      <c r="C91">
        <v>2</v>
      </c>
      <c r="D91" s="105">
        <v>45373.384677164351</v>
      </c>
      <c r="E91" t="s">
        <v>312</v>
      </c>
      <c r="F91" t="s">
        <v>1402</v>
      </c>
      <c r="G91">
        <v>0</v>
      </c>
      <c r="H91" t="s">
        <v>315</v>
      </c>
      <c r="I91">
        <v>0</v>
      </c>
      <c r="J91">
        <v>0</v>
      </c>
      <c r="K91">
        <v>0</v>
      </c>
      <c r="L91" t="s">
        <v>241</v>
      </c>
      <c r="M91" t="s">
        <v>1398</v>
      </c>
      <c r="N91">
        <v>0</v>
      </c>
      <c r="O91" t="s">
        <v>319</v>
      </c>
      <c r="P91" t="s">
        <v>310</v>
      </c>
      <c r="Q91" t="s">
        <v>310</v>
      </c>
      <c r="R91" t="s">
        <v>310</v>
      </c>
      <c r="S91">
        <v>9</v>
      </c>
      <c r="T91" t="s">
        <v>310</v>
      </c>
      <c r="U91">
        <v>9</v>
      </c>
      <c r="V91">
        <v>9</v>
      </c>
      <c r="W91">
        <v>0</v>
      </c>
      <c r="X91">
        <v>0</v>
      </c>
      <c r="Y91">
        <v>0</v>
      </c>
      <c r="Z91">
        <v>0</v>
      </c>
      <c r="AA91">
        <v>9</v>
      </c>
      <c r="AB91">
        <v>9</v>
      </c>
      <c r="AC91" t="s">
        <v>310</v>
      </c>
      <c r="AD91">
        <v>9</v>
      </c>
      <c r="AE91" t="s">
        <v>1388</v>
      </c>
      <c r="AF91">
        <v>90002000</v>
      </c>
      <c r="AG91" t="s">
        <v>310</v>
      </c>
      <c r="AH91">
        <f>SUM((MID(Dyno_Data[[#This Row],[Team]],4,5))+(Dyno_Data[[#This Row],[Match]]/100))</f>
        <v>1591.02</v>
      </c>
      <c r="AI91" s="76">
        <f>ROUND(SUM(IF(Dyno_Data[[#This Row],[AcqCenter]]&gt;0,Dyno_Data[[#This Row],[Time]]-SUMIFS(Dyno_Data[Time],Dyno_Data[Team],Dyno_Data[[#This Row],[Team]],Dyno_Data[RecordType],"StartMatch",Dyno_Data[Match],Dyno_Data[[#This Row],[Match]]),0)*86400),0)</f>
        <v>0</v>
      </c>
    </row>
    <row r="92" spans="1:35" x14ac:dyDescent="0.3">
      <c r="A92">
        <v>91</v>
      </c>
      <c r="B92" t="s">
        <v>370</v>
      </c>
      <c r="C92">
        <v>2</v>
      </c>
      <c r="D92" s="105">
        <v>45373.384799884261</v>
      </c>
      <c r="E92" t="s">
        <v>312</v>
      </c>
      <c r="F92" t="s">
        <v>1402</v>
      </c>
      <c r="G92">
        <v>0</v>
      </c>
      <c r="H92" t="s">
        <v>315</v>
      </c>
      <c r="I92">
        <v>0</v>
      </c>
      <c r="J92">
        <v>0</v>
      </c>
      <c r="K92">
        <v>0</v>
      </c>
      <c r="L92" t="s">
        <v>240</v>
      </c>
      <c r="M92" t="s">
        <v>1398</v>
      </c>
      <c r="N92">
        <v>1</v>
      </c>
      <c r="O92" t="s">
        <v>1393</v>
      </c>
      <c r="P92" t="s">
        <v>310</v>
      </c>
      <c r="Q92" t="s">
        <v>310</v>
      </c>
      <c r="R92" t="s">
        <v>310</v>
      </c>
      <c r="S92">
        <v>9</v>
      </c>
      <c r="T92" t="s">
        <v>310</v>
      </c>
      <c r="U92">
        <v>9</v>
      </c>
      <c r="V92">
        <v>9</v>
      </c>
      <c r="W92">
        <v>0</v>
      </c>
      <c r="X92">
        <v>0</v>
      </c>
      <c r="Y92">
        <v>0</v>
      </c>
      <c r="Z92">
        <v>0</v>
      </c>
      <c r="AA92">
        <v>9</v>
      </c>
      <c r="AB92">
        <v>9</v>
      </c>
      <c r="AC92" t="s">
        <v>310</v>
      </c>
      <c r="AD92">
        <v>9</v>
      </c>
      <c r="AE92" t="s">
        <v>1394</v>
      </c>
      <c r="AF92">
        <v>40000000</v>
      </c>
      <c r="AG92" t="s">
        <v>310</v>
      </c>
      <c r="AH92">
        <f>SUM((MID(Dyno_Data[[#This Row],[Team]],4,5))+(Dyno_Data[[#This Row],[Match]]/100))</f>
        <v>6911.02</v>
      </c>
      <c r="AI92" s="76">
        <f>ROUND(SUM(IF(Dyno_Data[[#This Row],[AcqCenter]]&gt;0,Dyno_Data[[#This Row],[Time]]-SUMIFS(Dyno_Data[Time],Dyno_Data[Team],Dyno_Data[[#This Row],[Team]],Dyno_Data[RecordType],"StartMatch",Dyno_Data[Match],Dyno_Data[[#This Row],[Match]]),0)*86400),0)</f>
        <v>0</v>
      </c>
    </row>
    <row r="93" spans="1:35" x14ac:dyDescent="0.3">
      <c r="A93">
        <v>92</v>
      </c>
      <c r="B93" t="s">
        <v>1282</v>
      </c>
      <c r="C93">
        <v>2</v>
      </c>
      <c r="D93" s="105">
        <v>45373.384821643522</v>
      </c>
      <c r="E93" t="s">
        <v>312</v>
      </c>
      <c r="F93" t="s">
        <v>1402</v>
      </c>
      <c r="G93">
        <v>0</v>
      </c>
      <c r="H93" t="s">
        <v>315</v>
      </c>
      <c r="I93">
        <v>0</v>
      </c>
      <c r="J93">
        <v>0</v>
      </c>
      <c r="K93">
        <v>0</v>
      </c>
      <c r="L93" t="s">
        <v>241</v>
      </c>
      <c r="M93" t="s">
        <v>101</v>
      </c>
      <c r="N93">
        <v>0</v>
      </c>
      <c r="O93" t="s">
        <v>1389</v>
      </c>
      <c r="P93" t="s">
        <v>310</v>
      </c>
      <c r="Q93" t="s">
        <v>310</v>
      </c>
      <c r="R93" t="s">
        <v>310</v>
      </c>
      <c r="S93">
        <v>9</v>
      </c>
      <c r="T93" t="s">
        <v>310</v>
      </c>
      <c r="U93">
        <v>9</v>
      </c>
      <c r="V93">
        <v>9</v>
      </c>
      <c r="W93">
        <v>0</v>
      </c>
      <c r="X93">
        <v>0</v>
      </c>
      <c r="Y93">
        <v>0</v>
      </c>
      <c r="Z93">
        <v>0</v>
      </c>
      <c r="AA93">
        <v>9</v>
      </c>
      <c r="AB93">
        <v>9</v>
      </c>
      <c r="AC93" t="s">
        <v>310</v>
      </c>
      <c r="AD93">
        <v>9</v>
      </c>
      <c r="AE93" t="s">
        <v>1390</v>
      </c>
      <c r="AF93">
        <v>30000000</v>
      </c>
      <c r="AG93" t="s">
        <v>310</v>
      </c>
      <c r="AH93">
        <f>SUM((MID(Dyno_Data[[#This Row],[Team]],4,5))+(Dyno_Data[[#This Row],[Match]]/100))</f>
        <v>333.02</v>
      </c>
      <c r="AI93" s="76">
        <f>ROUND(SUM(IF(Dyno_Data[[#This Row],[AcqCenter]]&gt;0,Dyno_Data[[#This Row],[Time]]-SUMIFS(Dyno_Data[Time],Dyno_Data[Team],Dyno_Data[[#This Row],[Team]],Dyno_Data[RecordType],"StartMatch",Dyno_Data[Match],Dyno_Data[[#This Row],[Match]]),0)*86400),0)</f>
        <v>0</v>
      </c>
    </row>
    <row r="94" spans="1:35" x14ac:dyDescent="0.3">
      <c r="A94">
        <v>93</v>
      </c>
      <c r="B94" t="s">
        <v>1286</v>
      </c>
      <c r="C94">
        <v>2</v>
      </c>
      <c r="D94" s="105">
        <v>45373.384826655092</v>
      </c>
      <c r="E94" t="s">
        <v>312</v>
      </c>
      <c r="F94" t="s">
        <v>1402</v>
      </c>
      <c r="G94">
        <v>0</v>
      </c>
      <c r="H94" t="s">
        <v>315</v>
      </c>
      <c r="I94">
        <v>0</v>
      </c>
      <c r="J94">
        <v>0</v>
      </c>
      <c r="K94">
        <v>0</v>
      </c>
      <c r="L94" t="s">
        <v>241</v>
      </c>
      <c r="M94" t="s">
        <v>1398</v>
      </c>
      <c r="N94">
        <v>0</v>
      </c>
      <c r="O94" t="s">
        <v>319</v>
      </c>
      <c r="P94" t="s">
        <v>310</v>
      </c>
      <c r="Q94" t="s">
        <v>310</v>
      </c>
      <c r="R94" t="s">
        <v>310</v>
      </c>
      <c r="S94">
        <v>9</v>
      </c>
      <c r="T94" t="s">
        <v>310</v>
      </c>
      <c r="U94">
        <v>9</v>
      </c>
      <c r="V94">
        <v>9</v>
      </c>
      <c r="W94">
        <v>0</v>
      </c>
      <c r="X94">
        <v>0</v>
      </c>
      <c r="Y94">
        <v>0</v>
      </c>
      <c r="Z94">
        <v>0</v>
      </c>
      <c r="AA94">
        <v>9</v>
      </c>
      <c r="AB94">
        <v>9</v>
      </c>
      <c r="AC94" t="s">
        <v>310</v>
      </c>
      <c r="AD94">
        <v>9</v>
      </c>
      <c r="AE94" t="s">
        <v>1388</v>
      </c>
      <c r="AF94">
        <v>100002000</v>
      </c>
      <c r="AG94" t="s">
        <v>310</v>
      </c>
      <c r="AH94">
        <f>SUM((MID(Dyno_Data[[#This Row],[Team]],4,5))+(Dyno_Data[[#This Row],[Match]]/100))</f>
        <v>1591.02</v>
      </c>
      <c r="AI94" s="76">
        <f>ROUND(SUM(IF(Dyno_Data[[#This Row],[AcqCenter]]&gt;0,Dyno_Data[[#This Row],[Time]]-SUMIFS(Dyno_Data[Time],Dyno_Data[Team],Dyno_Data[[#This Row],[Team]],Dyno_Data[RecordType],"StartMatch",Dyno_Data[Match],Dyno_Data[[#This Row],[Match]]),0)*86400),0)</f>
        <v>0</v>
      </c>
    </row>
    <row r="95" spans="1:35" x14ac:dyDescent="0.3">
      <c r="A95">
        <v>94</v>
      </c>
      <c r="B95" t="s">
        <v>1286</v>
      </c>
      <c r="C95">
        <v>2</v>
      </c>
      <c r="D95" s="105">
        <v>45373.384964004632</v>
      </c>
      <c r="E95" t="s">
        <v>312</v>
      </c>
      <c r="F95" t="s">
        <v>1402</v>
      </c>
      <c r="G95">
        <v>0</v>
      </c>
      <c r="H95" t="s">
        <v>315</v>
      </c>
      <c r="I95">
        <v>0</v>
      </c>
      <c r="J95">
        <v>0</v>
      </c>
      <c r="K95">
        <v>0</v>
      </c>
      <c r="L95" t="s">
        <v>241</v>
      </c>
      <c r="M95" t="s">
        <v>241</v>
      </c>
      <c r="N95">
        <v>0</v>
      </c>
      <c r="O95" t="s">
        <v>319</v>
      </c>
      <c r="P95" t="s">
        <v>310</v>
      </c>
      <c r="Q95" t="s">
        <v>310</v>
      </c>
      <c r="R95" t="s">
        <v>310</v>
      </c>
      <c r="S95">
        <v>9</v>
      </c>
      <c r="T95" t="s">
        <v>310</v>
      </c>
      <c r="U95">
        <v>9</v>
      </c>
      <c r="V95">
        <v>9</v>
      </c>
      <c r="W95">
        <v>0</v>
      </c>
      <c r="X95">
        <v>0</v>
      </c>
      <c r="Y95">
        <v>0</v>
      </c>
      <c r="Z95">
        <v>0</v>
      </c>
      <c r="AA95">
        <v>9</v>
      </c>
      <c r="AB95">
        <v>9</v>
      </c>
      <c r="AC95" t="s">
        <v>310</v>
      </c>
      <c r="AD95">
        <v>9</v>
      </c>
      <c r="AE95" t="s">
        <v>1388</v>
      </c>
      <c r="AF95">
        <v>110002000</v>
      </c>
      <c r="AG95" t="s">
        <v>310</v>
      </c>
      <c r="AH95">
        <f>SUM((MID(Dyno_Data[[#This Row],[Team]],4,5))+(Dyno_Data[[#This Row],[Match]]/100))</f>
        <v>1591.02</v>
      </c>
      <c r="AI95" s="76">
        <f>ROUND(SUM(IF(Dyno_Data[[#This Row],[AcqCenter]]&gt;0,Dyno_Data[[#This Row],[Time]]-SUMIFS(Dyno_Data[Time],Dyno_Data[Team],Dyno_Data[[#This Row],[Team]],Dyno_Data[RecordType],"StartMatch",Dyno_Data[Match],Dyno_Data[[#This Row],[Match]]),0)*86400),0)</f>
        <v>0</v>
      </c>
    </row>
    <row r="96" spans="1:35" x14ac:dyDescent="0.3">
      <c r="A96">
        <v>95</v>
      </c>
      <c r="B96" t="s">
        <v>1284</v>
      </c>
      <c r="C96">
        <v>2</v>
      </c>
      <c r="D96" s="105">
        <v>45373.38503996528</v>
      </c>
      <c r="E96" t="s">
        <v>312</v>
      </c>
      <c r="F96" t="s">
        <v>1402</v>
      </c>
      <c r="G96">
        <v>0</v>
      </c>
      <c r="H96" t="s">
        <v>315</v>
      </c>
      <c r="I96">
        <v>0</v>
      </c>
      <c r="J96">
        <v>0</v>
      </c>
      <c r="K96">
        <v>0</v>
      </c>
      <c r="L96" t="s">
        <v>240</v>
      </c>
      <c r="M96" t="s">
        <v>1398</v>
      </c>
      <c r="N96">
        <v>0</v>
      </c>
      <c r="O96" t="s">
        <v>311</v>
      </c>
      <c r="P96" t="s">
        <v>310</v>
      </c>
      <c r="Q96" t="s">
        <v>310</v>
      </c>
      <c r="R96" t="s">
        <v>310</v>
      </c>
      <c r="S96">
        <v>9</v>
      </c>
      <c r="T96" t="s">
        <v>310</v>
      </c>
      <c r="U96">
        <v>9</v>
      </c>
      <c r="V96">
        <v>9</v>
      </c>
      <c r="W96">
        <v>0</v>
      </c>
      <c r="X96">
        <v>0</v>
      </c>
      <c r="Y96">
        <v>0</v>
      </c>
      <c r="Z96">
        <v>0</v>
      </c>
      <c r="AA96">
        <v>9</v>
      </c>
      <c r="AB96">
        <v>9</v>
      </c>
      <c r="AC96" t="s">
        <v>310</v>
      </c>
      <c r="AD96">
        <v>9</v>
      </c>
      <c r="AE96" t="s">
        <v>1387</v>
      </c>
      <c r="AF96">
        <v>30000000</v>
      </c>
      <c r="AG96" t="s">
        <v>310</v>
      </c>
      <c r="AH96">
        <f>SUM((MID(Dyno_Data[[#This Row],[Team]],4,5))+(Dyno_Data[[#This Row],[Match]]/100))</f>
        <v>5590.02</v>
      </c>
      <c r="AI96" s="76">
        <f>ROUND(SUM(IF(Dyno_Data[[#This Row],[AcqCenter]]&gt;0,Dyno_Data[[#This Row],[Time]]-SUMIFS(Dyno_Data[Time],Dyno_Data[Team],Dyno_Data[[#This Row],[Team]],Dyno_Data[RecordType],"StartMatch",Dyno_Data[Match],Dyno_Data[[#This Row],[Match]]),0)*86400),0)</f>
        <v>0</v>
      </c>
    </row>
    <row r="97" spans="1:35" x14ac:dyDescent="0.3">
      <c r="A97">
        <v>96</v>
      </c>
      <c r="B97" t="s">
        <v>370</v>
      </c>
      <c r="C97">
        <v>2</v>
      </c>
      <c r="D97" s="105">
        <v>45373.385049386576</v>
      </c>
      <c r="E97" t="s">
        <v>312</v>
      </c>
      <c r="F97" t="s">
        <v>1402</v>
      </c>
      <c r="G97">
        <v>0</v>
      </c>
      <c r="H97" t="s">
        <v>315</v>
      </c>
      <c r="I97">
        <v>0</v>
      </c>
      <c r="J97">
        <v>0</v>
      </c>
      <c r="K97">
        <v>0</v>
      </c>
      <c r="L97" t="s">
        <v>241</v>
      </c>
      <c r="M97" t="s">
        <v>1398</v>
      </c>
      <c r="N97">
        <v>1</v>
      </c>
      <c r="O97" t="s">
        <v>1393</v>
      </c>
      <c r="P97" t="s">
        <v>310</v>
      </c>
      <c r="Q97" t="s">
        <v>310</v>
      </c>
      <c r="R97" t="s">
        <v>310</v>
      </c>
      <c r="S97">
        <v>9</v>
      </c>
      <c r="T97" t="s">
        <v>310</v>
      </c>
      <c r="U97">
        <v>9</v>
      </c>
      <c r="V97">
        <v>9</v>
      </c>
      <c r="W97">
        <v>0</v>
      </c>
      <c r="X97">
        <v>0</v>
      </c>
      <c r="Y97">
        <v>0</v>
      </c>
      <c r="Z97">
        <v>0</v>
      </c>
      <c r="AA97">
        <v>9</v>
      </c>
      <c r="AB97">
        <v>9</v>
      </c>
      <c r="AC97" t="s">
        <v>310</v>
      </c>
      <c r="AD97">
        <v>9</v>
      </c>
      <c r="AE97" t="s">
        <v>1394</v>
      </c>
      <c r="AF97">
        <v>50000000</v>
      </c>
      <c r="AG97" t="s">
        <v>310</v>
      </c>
      <c r="AH97">
        <f>SUM((MID(Dyno_Data[[#This Row],[Team]],4,5))+(Dyno_Data[[#This Row],[Match]]/100))</f>
        <v>6911.02</v>
      </c>
      <c r="AI97" s="76">
        <f>ROUND(SUM(IF(Dyno_Data[[#This Row],[AcqCenter]]&gt;0,Dyno_Data[[#This Row],[Time]]-SUMIFS(Dyno_Data[Time],Dyno_Data[Team],Dyno_Data[[#This Row],[Team]],Dyno_Data[RecordType],"StartMatch",Dyno_Data[Match],Dyno_Data[[#This Row],[Match]]),0)*86400),0)</f>
        <v>0</v>
      </c>
    </row>
    <row r="98" spans="1:35" x14ac:dyDescent="0.3">
      <c r="A98">
        <v>97</v>
      </c>
      <c r="B98" t="s">
        <v>1286</v>
      </c>
      <c r="C98">
        <v>2</v>
      </c>
      <c r="D98" s="105">
        <v>45373.385074733793</v>
      </c>
      <c r="E98" t="s">
        <v>312</v>
      </c>
      <c r="F98" t="s">
        <v>1402</v>
      </c>
      <c r="G98">
        <v>0</v>
      </c>
      <c r="H98" t="s">
        <v>315</v>
      </c>
      <c r="I98">
        <v>0</v>
      </c>
      <c r="J98">
        <v>0</v>
      </c>
      <c r="K98">
        <v>0</v>
      </c>
      <c r="L98" t="s">
        <v>241</v>
      </c>
      <c r="M98" t="s">
        <v>1398</v>
      </c>
      <c r="N98">
        <v>0</v>
      </c>
      <c r="O98" t="s">
        <v>319</v>
      </c>
      <c r="P98" t="s">
        <v>310</v>
      </c>
      <c r="Q98" t="s">
        <v>310</v>
      </c>
      <c r="R98" t="s">
        <v>310</v>
      </c>
      <c r="S98">
        <v>9</v>
      </c>
      <c r="T98" t="s">
        <v>310</v>
      </c>
      <c r="U98">
        <v>9</v>
      </c>
      <c r="V98">
        <v>9</v>
      </c>
      <c r="W98">
        <v>0</v>
      </c>
      <c r="X98">
        <v>0</v>
      </c>
      <c r="Y98">
        <v>0</v>
      </c>
      <c r="Z98">
        <v>0</v>
      </c>
      <c r="AA98">
        <v>9</v>
      </c>
      <c r="AB98">
        <v>9</v>
      </c>
      <c r="AC98" t="s">
        <v>310</v>
      </c>
      <c r="AD98">
        <v>9</v>
      </c>
      <c r="AE98" t="s">
        <v>1388</v>
      </c>
      <c r="AF98">
        <v>120002000</v>
      </c>
      <c r="AG98" t="s">
        <v>310</v>
      </c>
      <c r="AH98">
        <f>SUM((MID(Dyno_Data[[#This Row],[Team]],4,5))+(Dyno_Data[[#This Row],[Match]]/100))</f>
        <v>1591.02</v>
      </c>
      <c r="AI98" s="76">
        <f>ROUND(SUM(IF(Dyno_Data[[#This Row],[AcqCenter]]&gt;0,Dyno_Data[[#This Row],[Time]]-SUMIFS(Dyno_Data[Time],Dyno_Data[Team],Dyno_Data[[#This Row],[Team]],Dyno_Data[RecordType],"StartMatch",Dyno_Data[Match],Dyno_Data[[#This Row],[Match]]),0)*86400),0)</f>
        <v>0</v>
      </c>
    </row>
    <row r="99" spans="1:35" x14ac:dyDescent="0.3">
      <c r="A99">
        <v>98</v>
      </c>
      <c r="B99" t="s">
        <v>1285</v>
      </c>
      <c r="C99">
        <v>2</v>
      </c>
      <c r="D99" s="105">
        <v>45373.385087118055</v>
      </c>
      <c r="E99" t="s">
        <v>1403</v>
      </c>
      <c r="F99" t="s">
        <v>1402</v>
      </c>
      <c r="G99">
        <v>0</v>
      </c>
      <c r="H99" t="s">
        <v>310</v>
      </c>
      <c r="I99">
        <v>0</v>
      </c>
      <c r="J99">
        <v>0</v>
      </c>
      <c r="K99">
        <v>0</v>
      </c>
      <c r="L99" t="s">
        <v>310</v>
      </c>
      <c r="M99" t="s">
        <v>310</v>
      </c>
      <c r="N99">
        <v>0</v>
      </c>
      <c r="O99" t="s">
        <v>1391</v>
      </c>
      <c r="P99" t="s">
        <v>310</v>
      </c>
      <c r="Q99" t="s">
        <v>310</v>
      </c>
      <c r="R99" t="s">
        <v>310</v>
      </c>
      <c r="S99">
        <v>9</v>
      </c>
      <c r="T99" t="s">
        <v>310</v>
      </c>
      <c r="U99">
        <v>9</v>
      </c>
      <c r="V99">
        <v>9</v>
      </c>
      <c r="W99">
        <v>0</v>
      </c>
      <c r="X99">
        <v>0</v>
      </c>
      <c r="Y99">
        <v>0</v>
      </c>
      <c r="Z99">
        <v>0</v>
      </c>
      <c r="AA99">
        <v>9</v>
      </c>
      <c r="AB99">
        <v>9</v>
      </c>
      <c r="AC99" t="s">
        <v>310</v>
      </c>
      <c r="AD99">
        <v>9</v>
      </c>
      <c r="AE99" t="s">
        <v>1392</v>
      </c>
      <c r="AF99">
        <v>120002000</v>
      </c>
      <c r="AG99" t="s">
        <v>251</v>
      </c>
      <c r="AH99">
        <f>SUM((MID(Dyno_Data[[#This Row],[Team]],4,5))+(Dyno_Data[[#This Row],[Match]]/100))</f>
        <v>5993.02</v>
      </c>
      <c r="AI99" s="76">
        <f>ROUND(SUM(IF(Dyno_Data[[#This Row],[AcqCenter]]&gt;0,Dyno_Data[[#This Row],[Time]]-SUMIFS(Dyno_Data[Time],Dyno_Data[Team],Dyno_Data[[#This Row],[Team]],Dyno_Data[RecordType],"StartMatch",Dyno_Data[Match],Dyno_Data[[#This Row],[Match]]),0)*86400),0)</f>
        <v>0</v>
      </c>
    </row>
    <row r="100" spans="1:35" x14ac:dyDescent="0.3">
      <c r="A100">
        <v>99</v>
      </c>
      <c r="B100" t="s">
        <v>1282</v>
      </c>
      <c r="C100">
        <v>2</v>
      </c>
      <c r="D100" s="105">
        <v>45373.385121840278</v>
      </c>
      <c r="E100" t="s">
        <v>312</v>
      </c>
      <c r="F100" t="s">
        <v>1402</v>
      </c>
      <c r="G100">
        <v>0</v>
      </c>
      <c r="H100" t="s">
        <v>315</v>
      </c>
      <c r="I100">
        <v>0</v>
      </c>
      <c r="J100">
        <v>0</v>
      </c>
      <c r="K100">
        <v>0</v>
      </c>
      <c r="L100" t="s">
        <v>241</v>
      </c>
      <c r="M100" t="s">
        <v>101</v>
      </c>
      <c r="N100">
        <v>0</v>
      </c>
      <c r="O100" t="s">
        <v>1389</v>
      </c>
      <c r="P100" t="s">
        <v>310</v>
      </c>
      <c r="Q100" t="s">
        <v>310</v>
      </c>
      <c r="R100" t="s">
        <v>310</v>
      </c>
      <c r="S100">
        <v>9</v>
      </c>
      <c r="T100" t="s">
        <v>310</v>
      </c>
      <c r="U100">
        <v>9</v>
      </c>
      <c r="V100">
        <v>9</v>
      </c>
      <c r="W100">
        <v>0</v>
      </c>
      <c r="X100">
        <v>0</v>
      </c>
      <c r="Y100">
        <v>0</v>
      </c>
      <c r="Z100">
        <v>0</v>
      </c>
      <c r="AA100">
        <v>9</v>
      </c>
      <c r="AB100">
        <v>9</v>
      </c>
      <c r="AC100" t="s">
        <v>310</v>
      </c>
      <c r="AD100">
        <v>9</v>
      </c>
      <c r="AE100" t="s">
        <v>1390</v>
      </c>
      <c r="AF100">
        <v>40000000</v>
      </c>
      <c r="AG100" t="s">
        <v>310</v>
      </c>
      <c r="AH100">
        <f>SUM((MID(Dyno_Data[[#This Row],[Team]],4,5))+(Dyno_Data[[#This Row],[Match]]/100))</f>
        <v>333.02</v>
      </c>
      <c r="AI100" s="76">
        <f>ROUND(SUM(IF(Dyno_Data[[#This Row],[AcqCenter]]&gt;0,Dyno_Data[[#This Row],[Time]]-SUMIFS(Dyno_Data[Time],Dyno_Data[Team],Dyno_Data[[#This Row],[Team]],Dyno_Data[RecordType],"StartMatch",Dyno_Data[Match],Dyno_Data[[#This Row],[Match]]),0)*86400),0)</f>
        <v>0</v>
      </c>
    </row>
    <row r="101" spans="1:35" x14ac:dyDescent="0.3">
      <c r="A101">
        <v>100</v>
      </c>
      <c r="B101" t="s">
        <v>370</v>
      </c>
      <c r="C101">
        <v>2</v>
      </c>
      <c r="D101" s="105">
        <v>45373.385212928239</v>
      </c>
      <c r="E101" t="s">
        <v>312</v>
      </c>
      <c r="F101" t="s">
        <v>1402</v>
      </c>
      <c r="G101">
        <v>0</v>
      </c>
      <c r="H101" t="s">
        <v>315</v>
      </c>
      <c r="I101">
        <v>0</v>
      </c>
      <c r="J101">
        <v>0</v>
      </c>
      <c r="K101">
        <v>0</v>
      </c>
      <c r="L101" t="s">
        <v>240</v>
      </c>
      <c r="M101" t="s">
        <v>1398</v>
      </c>
      <c r="N101">
        <v>0</v>
      </c>
      <c r="O101" t="s">
        <v>1393</v>
      </c>
      <c r="P101" t="s">
        <v>310</v>
      </c>
      <c r="Q101" t="s">
        <v>310</v>
      </c>
      <c r="R101" t="s">
        <v>310</v>
      </c>
      <c r="S101">
        <v>9</v>
      </c>
      <c r="T101" t="s">
        <v>310</v>
      </c>
      <c r="U101">
        <v>9</v>
      </c>
      <c r="V101">
        <v>9</v>
      </c>
      <c r="W101">
        <v>0</v>
      </c>
      <c r="X101">
        <v>0</v>
      </c>
      <c r="Y101">
        <v>0</v>
      </c>
      <c r="Z101">
        <v>0</v>
      </c>
      <c r="AA101">
        <v>9</v>
      </c>
      <c r="AB101">
        <v>9</v>
      </c>
      <c r="AC101" t="s">
        <v>310</v>
      </c>
      <c r="AD101">
        <v>9</v>
      </c>
      <c r="AE101" t="s">
        <v>1394</v>
      </c>
      <c r="AF101">
        <v>60000000</v>
      </c>
      <c r="AG101" t="s">
        <v>310</v>
      </c>
      <c r="AH101">
        <f>SUM((MID(Dyno_Data[[#This Row],[Team]],4,5))+(Dyno_Data[[#This Row],[Match]]/100))</f>
        <v>6911.02</v>
      </c>
      <c r="AI101" s="76">
        <f>ROUND(SUM(IF(Dyno_Data[[#This Row],[AcqCenter]]&gt;0,Dyno_Data[[#This Row],[Time]]-SUMIFS(Dyno_Data[Time],Dyno_Data[Team],Dyno_Data[[#This Row],[Team]],Dyno_Data[RecordType],"StartMatch",Dyno_Data[Match],Dyno_Data[[#This Row],[Match]]),0)*86400),0)</f>
        <v>0</v>
      </c>
    </row>
    <row r="102" spans="1:35" x14ac:dyDescent="0.3">
      <c r="A102">
        <v>101</v>
      </c>
      <c r="B102" t="s">
        <v>1286</v>
      </c>
      <c r="C102">
        <v>2</v>
      </c>
      <c r="D102" s="105">
        <v>45373.385254895831</v>
      </c>
      <c r="E102" t="s">
        <v>312</v>
      </c>
      <c r="F102" t="s">
        <v>1402</v>
      </c>
      <c r="G102">
        <v>0</v>
      </c>
      <c r="H102" t="s">
        <v>315</v>
      </c>
      <c r="I102">
        <v>0</v>
      </c>
      <c r="J102">
        <v>0</v>
      </c>
      <c r="K102">
        <v>0</v>
      </c>
      <c r="L102" t="s">
        <v>241</v>
      </c>
      <c r="M102" t="s">
        <v>1398</v>
      </c>
      <c r="N102">
        <v>0</v>
      </c>
      <c r="O102" t="s">
        <v>319</v>
      </c>
      <c r="P102" t="s">
        <v>310</v>
      </c>
      <c r="Q102" t="s">
        <v>310</v>
      </c>
      <c r="R102" t="s">
        <v>310</v>
      </c>
      <c r="S102">
        <v>9</v>
      </c>
      <c r="T102" t="s">
        <v>310</v>
      </c>
      <c r="U102">
        <v>9</v>
      </c>
      <c r="V102">
        <v>9</v>
      </c>
      <c r="W102">
        <v>0</v>
      </c>
      <c r="X102">
        <v>0</v>
      </c>
      <c r="Y102">
        <v>0</v>
      </c>
      <c r="Z102">
        <v>0</v>
      </c>
      <c r="AA102">
        <v>9</v>
      </c>
      <c r="AB102">
        <v>9</v>
      </c>
      <c r="AC102" t="s">
        <v>310</v>
      </c>
      <c r="AD102">
        <v>9</v>
      </c>
      <c r="AE102" t="s">
        <v>1388</v>
      </c>
      <c r="AF102">
        <v>130002000</v>
      </c>
      <c r="AG102" t="s">
        <v>310</v>
      </c>
      <c r="AH102">
        <f>SUM((MID(Dyno_Data[[#This Row],[Team]],4,5))+(Dyno_Data[[#This Row],[Match]]/100))</f>
        <v>1591.02</v>
      </c>
      <c r="AI102" s="76">
        <f>ROUND(SUM(IF(Dyno_Data[[#This Row],[AcqCenter]]&gt;0,Dyno_Data[[#This Row],[Time]]-SUMIFS(Dyno_Data[Time],Dyno_Data[Team],Dyno_Data[[#This Row],[Team]],Dyno_Data[RecordType],"StartMatch",Dyno_Data[Match],Dyno_Data[[#This Row],[Match]]),0)*86400),0)</f>
        <v>0</v>
      </c>
    </row>
    <row r="103" spans="1:35" x14ac:dyDescent="0.3">
      <c r="A103">
        <v>102</v>
      </c>
      <c r="B103" t="s">
        <v>1286</v>
      </c>
      <c r="C103">
        <v>2</v>
      </c>
      <c r="D103" s="105">
        <v>45373.385405092595</v>
      </c>
      <c r="E103" t="s">
        <v>1403</v>
      </c>
      <c r="F103" t="s">
        <v>1402</v>
      </c>
      <c r="G103">
        <v>0</v>
      </c>
      <c r="H103" t="s">
        <v>310</v>
      </c>
      <c r="I103">
        <v>0</v>
      </c>
      <c r="J103">
        <v>0</v>
      </c>
      <c r="K103">
        <v>0</v>
      </c>
      <c r="L103" t="s">
        <v>310</v>
      </c>
      <c r="M103" t="s">
        <v>310</v>
      </c>
      <c r="N103">
        <v>0</v>
      </c>
      <c r="O103" t="s">
        <v>319</v>
      </c>
      <c r="P103" t="s">
        <v>310</v>
      </c>
      <c r="Q103" t="s">
        <v>310</v>
      </c>
      <c r="R103" t="s">
        <v>310</v>
      </c>
      <c r="S103">
        <v>9</v>
      </c>
      <c r="T103" t="s">
        <v>310</v>
      </c>
      <c r="U103">
        <v>9</v>
      </c>
      <c r="V103">
        <v>9</v>
      </c>
      <c r="W103">
        <v>0</v>
      </c>
      <c r="X103">
        <v>0</v>
      </c>
      <c r="Y103">
        <v>0</v>
      </c>
      <c r="Z103">
        <v>0</v>
      </c>
      <c r="AA103">
        <v>9</v>
      </c>
      <c r="AB103">
        <v>9</v>
      </c>
      <c r="AC103" t="s">
        <v>310</v>
      </c>
      <c r="AD103">
        <v>9</v>
      </c>
      <c r="AE103" t="s">
        <v>1388</v>
      </c>
      <c r="AF103">
        <v>130002000</v>
      </c>
      <c r="AG103" t="s">
        <v>248</v>
      </c>
      <c r="AH103">
        <f>SUM((MID(Dyno_Data[[#This Row],[Team]],4,5))+(Dyno_Data[[#This Row],[Match]]/100))</f>
        <v>1591.02</v>
      </c>
      <c r="AI103" s="76">
        <f>ROUND(SUM(IF(Dyno_Data[[#This Row],[AcqCenter]]&gt;0,Dyno_Data[[#This Row],[Time]]-SUMIFS(Dyno_Data[Time],Dyno_Data[Team],Dyno_Data[[#This Row],[Team]],Dyno_Data[RecordType],"StartMatch",Dyno_Data[Match],Dyno_Data[[#This Row],[Match]]),0)*86400),0)</f>
        <v>0</v>
      </c>
    </row>
    <row r="104" spans="1:35" x14ac:dyDescent="0.3">
      <c r="A104">
        <v>103</v>
      </c>
      <c r="B104" t="s">
        <v>1286</v>
      </c>
      <c r="C104">
        <v>2</v>
      </c>
      <c r="D104" s="105">
        <v>45373.385446493055</v>
      </c>
      <c r="E104" t="s">
        <v>312</v>
      </c>
      <c r="F104" t="s">
        <v>1402</v>
      </c>
      <c r="G104">
        <v>0</v>
      </c>
      <c r="H104" t="s">
        <v>315</v>
      </c>
      <c r="I104">
        <v>0</v>
      </c>
      <c r="J104">
        <v>0</v>
      </c>
      <c r="K104">
        <v>0</v>
      </c>
      <c r="L104" t="s">
        <v>241</v>
      </c>
      <c r="M104" t="s">
        <v>1398</v>
      </c>
      <c r="N104">
        <v>0</v>
      </c>
      <c r="O104" t="s">
        <v>319</v>
      </c>
      <c r="P104" t="s">
        <v>310</v>
      </c>
      <c r="Q104" t="s">
        <v>310</v>
      </c>
      <c r="R104" t="s">
        <v>310</v>
      </c>
      <c r="S104">
        <v>9</v>
      </c>
      <c r="T104" t="s">
        <v>310</v>
      </c>
      <c r="U104">
        <v>9</v>
      </c>
      <c r="V104">
        <v>9</v>
      </c>
      <c r="W104">
        <v>0</v>
      </c>
      <c r="X104">
        <v>0</v>
      </c>
      <c r="Y104">
        <v>0</v>
      </c>
      <c r="Z104">
        <v>0</v>
      </c>
      <c r="AA104">
        <v>9</v>
      </c>
      <c r="AB104">
        <v>9</v>
      </c>
      <c r="AC104" t="s">
        <v>310</v>
      </c>
      <c r="AD104">
        <v>9</v>
      </c>
      <c r="AE104" t="s">
        <v>1388</v>
      </c>
      <c r="AF104">
        <v>140002000</v>
      </c>
      <c r="AG104" t="s">
        <v>310</v>
      </c>
      <c r="AH104">
        <f>SUM((MID(Dyno_Data[[#This Row],[Team]],4,5))+(Dyno_Data[[#This Row],[Match]]/100))</f>
        <v>1591.02</v>
      </c>
      <c r="AI104" s="76">
        <f>ROUND(SUM(IF(Dyno_Data[[#This Row],[AcqCenter]]&gt;0,Dyno_Data[[#This Row],[Time]]-SUMIFS(Dyno_Data[Time],Dyno_Data[Team],Dyno_Data[[#This Row],[Team]],Dyno_Data[RecordType],"StartMatch",Dyno_Data[Match],Dyno_Data[[#This Row],[Match]]),0)*86400),0)</f>
        <v>0</v>
      </c>
    </row>
    <row r="105" spans="1:35" x14ac:dyDescent="0.3">
      <c r="A105">
        <v>104</v>
      </c>
      <c r="B105" t="s">
        <v>1284</v>
      </c>
      <c r="C105">
        <v>2</v>
      </c>
      <c r="D105" s="105">
        <v>45373.387731400464</v>
      </c>
      <c r="E105" t="s">
        <v>316</v>
      </c>
      <c r="F105" t="s">
        <v>317</v>
      </c>
      <c r="G105">
        <v>1</v>
      </c>
      <c r="H105" t="s">
        <v>310</v>
      </c>
      <c r="I105">
        <v>0</v>
      </c>
      <c r="J105">
        <v>0</v>
      </c>
      <c r="K105">
        <v>0</v>
      </c>
      <c r="L105" t="s">
        <v>310</v>
      </c>
      <c r="M105" t="s">
        <v>310</v>
      </c>
      <c r="N105">
        <v>0</v>
      </c>
      <c r="O105" t="s">
        <v>311</v>
      </c>
      <c r="P105" t="s">
        <v>320</v>
      </c>
      <c r="Q105" t="s">
        <v>1399</v>
      </c>
      <c r="R105" t="s">
        <v>1404</v>
      </c>
      <c r="S105">
        <v>-1</v>
      </c>
      <c r="T105" t="s">
        <v>105</v>
      </c>
      <c r="U105">
        <v>9</v>
      </c>
      <c r="V105">
        <v>9</v>
      </c>
      <c r="W105">
        <v>21.019356999999999</v>
      </c>
      <c r="X105">
        <v>22.375529199999999</v>
      </c>
      <c r="Y105">
        <v>20.453565699999999</v>
      </c>
      <c r="Z105">
        <v>70.90055199999999</v>
      </c>
      <c r="AA105">
        <v>0</v>
      </c>
      <c r="AB105">
        <v>1</v>
      </c>
      <c r="AC105" t="s">
        <v>174</v>
      </c>
      <c r="AD105">
        <v>0</v>
      </c>
      <c r="AE105" t="s">
        <v>1387</v>
      </c>
      <c r="AF105">
        <v>30000000</v>
      </c>
      <c r="AG105" t="s">
        <v>310</v>
      </c>
      <c r="AH105">
        <f>SUM((MID(Dyno_Data[[#This Row],[Team]],4,5))+(Dyno_Data[[#This Row],[Match]]/100))</f>
        <v>5590.02</v>
      </c>
      <c r="AI105" s="76">
        <f>ROUND(SUM(IF(Dyno_Data[[#This Row],[AcqCenter]]&gt;0,Dyno_Data[[#This Row],[Time]]-SUMIFS(Dyno_Data[Time],Dyno_Data[Team],Dyno_Data[[#This Row],[Team]],Dyno_Data[RecordType],"StartMatch",Dyno_Data[Match],Dyno_Data[[#This Row],[Match]]),0)*86400),0)</f>
        <v>0</v>
      </c>
    </row>
    <row r="106" spans="1:35" x14ac:dyDescent="0.3">
      <c r="A106">
        <v>105</v>
      </c>
      <c r="B106" t="s">
        <v>1285</v>
      </c>
      <c r="C106">
        <v>2</v>
      </c>
      <c r="D106" s="105">
        <v>45373.387731516203</v>
      </c>
      <c r="E106" t="s">
        <v>316</v>
      </c>
      <c r="F106" t="s">
        <v>317</v>
      </c>
      <c r="G106">
        <v>0</v>
      </c>
      <c r="H106" t="s">
        <v>310</v>
      </c>
      <c r="I106">
        <v>0</v>
      </c>
      <c r="J106">
        <v>0</v>
      </c>
      <c r="K106">
        <v>0</v>
      </c>
      <c r="L106" t="s">
        <v>310</v>
      </c>
      <c r="M106" t="s">
        <v>310</v>
      </c>
      <c r="N106">
        <v>0</v>
      </c>
      <c r="O106" t="s">
        <v>1391</v>
      </c>
      <c r="P106" t="s">
        <v>101</v>
      </c>
      <c r="Q106" t="s">
        <v>1400</v>
      </c>
      <c r="R106" t="s">
        <v>1404</v>
      </c>
      <c r="S106">
        <v>0</v>
      </c>
      <c r="T106" t="s">
        <v>105</v>
      </c>
      <c r="U106">
        <v>9</v>
      </c>
      <c r="V106">
        <v>9</v>
      </c>
      <c r="W106">
        <v>0</v>
      </c>
      <c r="X106">
        <v>20.613431299999998</v>
      </c>
      <c r="Y106">
        <v>28.055058899999999</v>
      </c>
      <c r="Z106">
        <v>69.830497699999995</v>
      </c>
      <c r="AA106">
        <v>2</v>
      </c>
      <c r="AB106">
        <v>0</v>
      </c>
      <c r="AC106" t="s">
        <v>174</v>
      </c>
      <c r="AD106">
        <v>9</v>
      </c>
      <c r="AE106" t="s">
        <v>1392</v>
      </c>
      <c r="AF106">
        <v>10000000</v>
      </c>
      <c r="AG106" t="s">
        <v>310</v>
      </c>
      <c r="AH106">
        <f>SUM((MID(Dyno_Data[[#This Row],[Team]],4,5))+(Dyno_Data[[#This Row],[Match]]/100))</f>
        <v>5993.02</v>
      </c>
      <c r="AI106" s="76">
        <f>ROUND(SUM(IF(Dyno_Data[[#This Row],[AcqCenter]]&gt;0,Dyno_Data[[#This Row],[Time]]-SUMIFS(Dyno_Data[Time],Dyno_Data[Team],Dyno_Data[[#This Row],[Team]],Dyno_Data[RecordType],"StartMatch",Dyno_Data[Match],Dyno_Data[[#This Row],[Match]]),0)*86400),0)</f>
        <v>0</v>
      </c>
    </row>
    <row r="107" spans="1:35" x14ac:dyDescent="0.3">
      <c r="A107">
        <v>106</v>
      </c>
      <c r="B107" t="s">
        <v>1286</v>
      </c>
      <c r="C107">
        <v>2</v>
      </c>
      <c r="D107" s="105">
        <v>45373.387731631941</v>
      </c>
      <c r="E107" t="s">
        <v>316</v>
      </c>
      <c r="F107" t="s">
        <v>317</v>
      </c>
      <c r="G107">
        <v>0</v>
      </c>
      <c r="H107" t="s">
        <v>310</v>
      </c>
      <c r="I107">
        <v>0</v>
      </c>
      <c r="J107">
        <v>0</v>
      </c>
      <c r="K107">
        <v>0</v>
      </c>
      <c r="L107" t="s">
        <v>310</v>
      </c>
      <c r="M107" t="s">
        <v>310</v>
      </c>
      <c r="N107">
        <v>0</v>
      </c>
      <c r="O107" t="s">
        <v>319</v>
      </c>
      <c r="P107" t="s">
        <v>240</v>
      </c>
      <c r="Q107" t="s">
        <v>1400</v>
      </c>
      <c r="R107" t="s">
        <v>1405</v>
      </c>
      <c r="S107">
        <v>1</v>
      </c>
      <c r="T107" t="s">
        <v>1407</v>
      </c>
      <c r="U107">
        <v>0</v>
      </c>
      <c r="V107">
        <v>0</v>
      </c>
      <c r="W107">
        <v>5.6873421999999998</v>
      </c>
      <c r="X107">
        <v>53.702413199999995</v>
      </c>
      <c r="Y107">
        <v>25.271260999999999</v>
      </c>
      <c r="Z107">
        <v>43.282450900000001</v>
      </c>
      <c r="AA107">
        <v>0</v>
      </c>
      <c r="AB107">
        <v>1</v>
      </c>
      <c r="AC107" t="s">
        <v>174</v>
      </c>
      <c r="AD107">
        <v>9</v>
      </c>
      <c r="AE107" t="s">
        <v>1388</v>
      </c>
      <c r="AF107">
        <v>140002000</v>
      </c>
      <c r="AG107" t="s">
        <v>310</v>
      </c>
      <c r="AH107">
        <f>SUM((MID(Dyno_Data[[#This Row],[Team]],4,5))+(Dyno_Data[[#This Row],[Match]]/100))</f>
        <v>1591.02</v>
      </c>
      <c r="AI107" s="76">
        <f>ROUND(SUM(IF(Dyno_Data[[#This Row],[AcqCenter]]&gt;0,Dyno_Data[[#This Row],[Time]]-SUMIFS(Dyno_Data[Time],Dyno_Data[Team],Dyno_Data[[#This Row],[Team]],Dyno_Data[RecordType],"StartMatch",Dyno_Data[Match],Dyno_Data[[#This Row],[Match]]),0)*86400),0)</f>
        <v>0</v>
      </c>
    </row>
    <row r="108" spans="1:35" x14ac:dyDescent="0.3">
      <c r="A108">
        <v>107</v>
      </c>
      <c r="B108" t="s">
        <v>370</v>
      </c>
      <c r="C108">
        <v>2</v>
      </c>
      <c r="D108" s="105">
        <v>45373.387731712966</v>
      </c>
      <c r="E108" t="s">
        <v>316</v>
      </c>
      <c r="F108" t="s">
        <v>317</v>
      </c>
      <c r="G108">
        <v>1</v>
      </c>
      <c r="H108" t="s">
        <v>310</v>
      </c>
      <c r="I108">
        <v>0</v>
      </c>
      <c r="J108">
        <v>0</v>
      </c>
      <c r="K108">
        <v>0</v>
      </c>
      <c r="L108" t="s">
        <v>310</v>
      </c>
      <c r="M108" t="s">
        <v>310</v>
      </c>
      <c r="N108">
        <v>0</v>
      </c>
      <c r="O108" t="s">
        <v>1393</v>
      </c>
      <c r="P108" t="s">
        <v>101</v>
      </c>
      <c r="Q108" t="s">
        <v>1399</v>
      </c>
      <c r="R108" t="s">
        <v>1405</v>
      </c>
      <c r="S108">
        <v>1</v>
      </c>
      <c r="T108" t="s">
        <v>1407</v>
      </c>
      <c r="U108">
        <v>0</v>
      </c>
      <c r="V108">
        <v>0</v>
      </c>
      <c r="W108">
        <v>25.557519199999998</v>
      </c>
      <c r="X108">
        <v>28.176390899999998</v>
      </c>
      <c r="Y108">
        <v>11.8496066</v>
      </c>
      <c r="Z108">
        <v>65.619132100000002</v>
      </c>
      <c r="AA108">
        <v>0</v>
      </c>
      <c r="AB108">
        <v>0</v>
      </c>
      <c r="AC108" t="s">
        <v>174</v>
      </c>
      <c r="AD108">
        <v>0</v>
      </c>
      <c r="AE108" t="s">
        <v>1394</v>
      </c>
      <c r="AF108">
        <v>60000000</v>
      </c>
      <c r="AG108" t="s">
        <v>310</v>
      </c>
      <c r="AH108">
        <f>SUM((MID(Dyno_Data[[#This Row],[Team]],4,5))+(Dyno_Data[[#This Row],[Match]]/100))</f>
        <v>6911.02</v>
      </c>
      <c r="AI108" s="76">
        <f>ROUND(SUM(IF(Dyno_Data[[#This Row],[AcqCenter]]&gt;0,Dyno_Data[[#This Row],[Time]]-SUMIFS(Dyno_Data[Time],Dyno_Data[Team],Dyno_Data[[#This Row],[Team]],Dyno_Data[RecordType],"StartMatch",Dyno_Data[Match],Dyno_Data[[#This Row],[Match]]),0)*86400),0)</f>
        <v>0</v>
      </c>
    </row>
    <row r="109" spans="1:35" x14ac:dyDescent="0.3">
      <c r="A109">
        <v>108</v>
      </c>
      <c r="B109" t="s">
        <v>1282</v>
      </c>
      <c r="C109">
        <v>2</v>
      </c>
      <c r="D109" s="105">
        <v>45373.387731828705</v>
      </c>
      <c r="E109" t="s">
        <v>316</v>
      </c>
      <c r="F109" t="s">
        <v>317</v>
      </c>
      <c r="G109">
        <v>1</v>
      </c>
      <c r="H109" t="s">
        <v>310</v>
      </c>
      <c r="I109">
        <v>0</v>
      </c>
      <c r="J109">
        <v>0</v>
      </c>
      <c r="K109">
        <v>0</v>
      </c>
      <c r="L109" t="s">
        <v>310</v>
      </c>
      <c r="M109" t="s">
        <v>310</v>
      </c>
      <c r="N109">
        <v>0</v>
      </c>
      <c r="O109" t="s">
        <v>1389</v>
      </c>
      <c r="P109" t="s">
        <v>240</v>
      </c>
      <c r="Q109" t="s">
        <v>1400</v>
      </c>
      <c r="R109" t="s">
        <v>1404</v>
      </c>
      <c r="S109">
        <v>-1</v>
      </c>
      <c r="T109" t="s">
        <v>105</v>
      </c>
      <c r="U109">
        <v>9</v>
      </c>
      <c r="V109">
        <v>9</v>
      </c>
      <c r="W109">
        <v>8.6303912</v>
      </c>
      <c r="X109">
        <v>28.062553299999998</v>
      </c>
      <c r="Y109">
        <v>14.8247354</v>
      </c>
      <c r="Z109">
        <v>79.524485499999997</v>
      </c>
      <c r="AA109">
        <v>0</v>
      </c>
      <c r="AB109">
        <v>3</v>
      </c>
      <c r="AC109" t="s">
        <v>174</v>
      </c>
      <c r="AD109">
        <v>9</v>
      </c>
      <c r="AE109" t="s">
        <v>1390</v>
      </c>
      <c r="AF109">
        <v>40000000</v>
      </c>
      <c r="AG109" t="s">
        <v>310</v>
      </c>
      <c r="AH109">
        <f>SUM((MID(Dyno_Data[[#This Row],[Team]],4,5))+(Dyno_Data[[#This Row],[Match]]/100))</f>
        <v>333.02</v>
      </c>
      <c r="AI109" s="76">
        <f>ROUND(SUM(IF(Dyno_Data[[#This Row],[AcqCenter]]&gt;0,Dyno_Data[[#This Row],[Time]]-SUMIFS(Dyno_Data[Time],Dyno_Data[Team],Dyno_Data[[#This Row],[Team]],Dyno_Data[RecordType],"StartMatch",Dyno_Data[Match],Dyno_Data[[#This Row],[Match]]),0)*86400),0)</f>
        <v>0</v>
      </c>
    </row>
    <row r="110" spans="1:35" x14ac:dyDescent="0.3">
      <c r="A110">
        <v>109</v>
      </c>
      <c r="B110" t="s">
        <v>1283</v>
      </c>
      <c r="C110">
        <v>2</v>
      </c>
      <c r="D110" s="105">
        <v>45373.387731944444</v>
      </c>
      <c r="E110" t="s">
        <v>316</v>
      </c>
      <c r="F110" t="s">
        <v>317</v>
      </c>
      <c r="G110">
        <v>1</v>
      </c>
      <c r="H110" t="s">
        <v>310</v>
      </c>
      <c r="I110">
        <v>0</v>
      </c>
      <c r="J110">
        <v>0</v>
      </c>
      <c r="K110">
        <v>0</v>
      </c>
      <c r="L110" t="s">
        <v>310</v>
      </c>
      <c r="M110" t="s">
        <v>310</v>
      </c>
      <c r="N110">
        <v>0</v>
      </c>
      <c r="O110" t="s">
        <v>1395</v>
      </c>
      <c r="P110" t="s">
        <v>320</v>
      </c>
      <c r="Q110" t="s">
        <v>1400</v>
      </c>
      <c r="R110" t="s">
        <v>1405</v>
      </c>
      <c r="S110">
        <v>1</v>
      </c>
      <c r="T110" t="s">
        <v>1406</v>
      </c>
      <c r="U110">
        <v>0</v>
      </c>
      <c r="V110">
        <v>0</v>
      </c>
      <c r="W110">
        <v>8.0199509999999989</v>
      </c>
      <c r="X110">
        <v>2.7660054999999999</v>
      </c>
      <c r="Y110">
        <v>13.939384199999999</v>
      </c>
      <c r="Z110">
        <v>98.710551899999999</v>
      </c>
      <c r="AA110">
        <v>2</v>
      </c>
      <c r="AB110">
        <v>0</v>
      </c>
      <c r="AC110" t="s">
        <v>170</v>
      </c>
      <c r="AD110">
        <v>9</v>
      </c>
      <c r="AE110" t="s">
        <v>1396</v>
      </c>
      <c r="AF110">
        <v>0</v>
      </c>
      <c r="AG110" t="s">
        <v>310</v>
      </c>
      <c r="AH110">
        <f>SUM((MID(Dyno_Data[[#This Row],[Team]],4,5))+(Dyno_Data[[#This Row],[Match]]/100))</f>
        <v>1601.02</v>
      </c>
      <c r="AI110" s="76">
        <f>ROUND(SUM(IF(Dyno_Data[[#This Row],[AcqCenter]]&gt;0,Dyno_Data[[#This Row],[Time]]-SUMIFS(Dyno_Data[Time],Dyno_Data[Team],Dyno_Data[[#This Row],[Team]],Dyno_Data[RecordType],"StartMatch",Dyno_Data[Match],Dyno_Data[[#This Row],[Match]]),0)*86400),0)</f>
        <v>0</v>
      </c>
    </row>
    <row r="111" spans="1:35" x14ac:dyDescent="0.3">
      <c r="A111">
        <v>118</v>
      </c>
      <c r="B111" t="s">
        <v>1292</v>
      </c>
      <c r="C111">
        <v>3</v>
      </c>
      <c r="D111" s="105">
        <v>45373.389554629626</v>
      </c>
      <c r="E111" t="s">
        <v>308</v>
      </c>
      <c r="F111" t="s">
        <v>309</v>
      </c>
      <c r="G111">
        <v>0</v>
      </c>
      <c r="H111" t="s">
        <v>310</v>
      </c>
      <c r="I111">
        <v>0</v>
      </c>
      <c r="J111">
        <v>0</v>
      </c>
      <c r="K111">
        <v>0</v>
      </c>
      <c r="L111" t="s">
        <v>310</v>
      </c>
      <c r="M111" t="s">
        <v>310</v>
      </c>
      <c r="N111">
        <v>0</v>
      </c>
      <c r="O111" t="s">
        <v>319</v>
      </c>
      <c r="P111" t="s">
        <v>310</v>
      </c>
      <c r="Q111" t="s">
        <v>310</v>
      </c>
      <c r="R111" t="s">
        <v>310</v>
      </c>
      <c r="S111">
        <v>9</v>
      </c>
      <c r="T111" t="s">
        <v>310</v>
      </c>
      <c r="U111">
        <v>9</v>
      </c>
      <c r="V111">
        <v>9</v>
      </c>
      <c r="W111">
        <v>0</v>
      </c>
      <c r="X111">
        <v>0</v>
      </c>
      <c r="Y111">
        <v>0</v>
      </c>
      <c r="Z111">
        <v>0</v>
      </c>
      <c r="AA111">
        <v>9</v>
      </c>
      <c r="AB111">
        <v>9</v>
      </c>
      <c r="AC111" t="s">
        <v>310</v>
      </c>
      <c r="AD111">
        <v>9</v>
      </c>
      <c r="AE111" t="s">
        <v>1388</v>
      </c>
      <c r="AF111">
        <v>0</v>
      </c>
      <c r="AG111" t="s">
        <v>310</v>
      </c>
      <c r="AH111">
        <f>SUM((MID(Dyno_Data[[#This Row],[Team]],4,5))+(Dyno_Data[[#This Row],[Match]]/100))</f>
        <v>7030.03</v>
      </c>
      <c r="AI111" s="76">
        <f>ROUND(SUM(IF(Dyno_Data[[#This Row],[AcqCenter]]&gt;0,Dyno_Data[[#This Row],[Time]]-SUMIFS(Dyno_Data[Time],Dyno_Data[Team],Dyno_Data[[#This Row],[Team]],Dyno_Data[RecordType],"StartMatch",Dyno_Data[Match],Dyno_Data[[#This Row],[Match]]),0)*86400),0)</f>
        <v>0</v>
      </c>
    </row>
    <row r="112" spans="1:35" x14ac:dyDescent="0.3">
      <c r="A112">
        <v>120</v>
      </c>
      <c r="B112" t="s">
        <v>367</v>
      </c>
      <c r="C112">
        <v>3</v>
      </c>
      <c r="D112" s="105">
        <v>45373.389555324073</v>
      </c>
      <c r="E112" t="s">
        <v>308</v>
      </c>
      <c r="F112" t="s">
        <v>309</v>
      </c>
      <c r="G112">
        <v>0</v>
      </c>
      <c r="H112" t="s">
        <v>310</v>
      </c>
      <c r="I112">
        <v>0</v>
      </c>
      <c r="J112">
        <v>0</v>
      </c>
      <c r="K112">
        <v>0</v>
      </c>
      <c r="L112" t="s">
        <v>310</v>
      </c>
      <c r="M112" t="s">
        <v>310</v>
      </c>
      <c r="N112">
        <v>0</v>
      </c>
      <c r="O112" t="s">
        <v>311</v>
      </c>
      <c r="P112" t="s">
        <v>310</v>
      </c>
      <c r="Q112" t="s">
        <v>310</v>
      </c>
      <c r="R112" t="s">
        <v>310</v>
      </c>
      <c r="S112">
        <v>9</v>
      </c>
      <c r="T112" t="s">
        <v>310</v>
      </c>
      <c r="U112">
        <v>9</v>
      </c>
      <c r="V112">
        <v>9</v>
      </c>
      <c r="W112">
        <v>0</v>
      </c>
      <c r="X112">
        <v>0</v>
      </c>
      <c r="Y112">
        <v>0</v>
      </c>
      <c r="Z112">
        <v>0</v>
      </c>
      <c r="AA112">
        <v>9</v>
      </c>
      <c r="AB112">
        <v>9</v>
      </c>
      <c r="AC112" t="s">
        <v>310</v>
      </c>
      <c r="AD112">
        <v>9</v>
      </c>
      <c r="AE112" t="s">
        <v>1387</v>
      </c>
      <c r="AF112">
        <v>0</v>
      </c>
      <c r="AG112" t="s">
        <v>310</v>
      </c>
      <c r="AH112">
        <f>SUM((MID(Dyno_Data[[#This Row],[Team]],4,5))+(Dyno_Data[[#This Row],[Match]]/100))</f>
        <v>5016.03</v>
      </c>
      <c r="AI112" s="76">
        <f>ROUND(SUM(IF(Dyno_Data[[#This Row],[AcqCenter]]&gt;0,Dyno_Data[[#This Row],[Time]]-SUMIFS(Dyno_Data[Time],Dyno_Data[Team],Dyno_Data[[#This Row],[Team]],Dyno_Data[RecordType],"StartMatch",Dyno_Data[Match],Dyno_Data[[#This Row],[Match]]),0)*86400),0)</f>
        <v>0</v>
      </c>
    </row>
    <row r="113" spans="1:35" x14ac:dyDescent="0.3">
      <c r="A113">
        <v>122</v>
      </c>
      <c r="B113" t="s">
        <v>1291</v>
      </c>
      <c r="C113">
        <v>3</v>
      </c>
      <c r="D113" s="105">
        <v>45373.38955605324</v>
      </c>
      <c r="E113" t="s">
        <v>308</v>
      </c>
      <c r="F113" t="s">
        <v>309</v>
      </c>
      <c r="G113">
        <v>0</v>
      </c>
      <c r="H113" t="s">
        <v>310</v>
      </c>
      <c r="I113">
        <v>0</v>
      </c>
      <c r="J113">
        <v>0</v>
      </c>
      <c r="K113">
        <v>0</v>
      </c>
      <c r="L113" t="s">
        <v>310</v>
      </c>
      <c r="M113" t="s">
        <v>310</v>
      </c>
      <c r="N113">
        <v>0</v>
      </c>
      <c r="O113" t="s">
        <v>1391</v>
      </c>
      <c r="P113" t="s">
        <v>310</v>
      </c>
      <c r="Q113" t="s">
        <v>310</v>
      </c>
      <c r="R113" t="s">
        <v>310</v>
      </c>
      <c r="S113">
        <v>9</v>
      </c>
      <c r="T113" t="s">
        <v>310</v>
      </c>
      <c r="U113">
        <v>9</v>
      </c>
      <c r="V113">
        <v>9</v>
      </c>
      <c r="W113">
        <v>0</v>
      </c>
      <c r="X113">
        <v>0</v>
      </c>
      <c r="Y113">
        <v>0</v>
      </c>
      <c r="Z113">
        <v>0</v>
      </c>
      <c r="AA113">
        <v>9</v>
      </c>
      <c r="AB113">
        <v>9</v>
      </c>
      <c r="AC113" t="s">
        <v>310</v>
      </c>
      <c r="AD113">
        <v>9</v>
      </c>
      <c r="AE113" t="s">
        <v>1392</v>
      </c>
      <c r="AF113">
        <v>10000000</v>
      </c>
      <c r="AG113" t="s">
        <v>310</v>
      </c>
      <c r="AH113">
        <f>SUM((MID(Dyno_Data[[#This Row],[Team]],4,5))+(Dyno_Data[[#This Row],[Match]]/100))</f>
        <v>1493.03</v>
      </c>
      <c r="AI113" s="76">
        <f>ROUND(SUM(IF(Dyno_Data[[#This Row],[AcqCenter]]&gt;0,Dyno_Data[[#This Row],[Time]]-SUMIFS(Dyno_Data[Time],Dyno_Data[Team],Dyno_Data[[#This Row],[Team]],Dyno_Data[RecordType],"StartMatch",Dyno_Data[Match],Dyno_Data[[#This Row],[Match]]),0)*86400),0)</f>
        <v>0</v>
      </c>
    </row>
    <row r="114" spans="1:35" x14ac:dyDescent="0.3">
      <c r="A114">
        <v>124</v>
      </c>
      <c r="B114" t="s">
        <v>1289</v>
      </c>
      <c r="C114">
        <v>3</v>
      </c>
      <c r="D114" s="105">
        <v>45373.389557488423</v>
      </c>
      <c r="E114" t="s">
        <v>308</v>
      </c>
      <c r="F114" t="s">
        <v>309</v>
      </c>
      <c r="G114">
        <v>0</v>
      </c>
      <c r="H114" t="s">
        <v>310</v>
      </c>
      <c r="I114">
        <v>0</v>
      </c>
      <c r="J114">
        <v>0</v>
      </c>
      <c r="K114">
        <v>0</v>
      </c>
      <c r="L114" t="s">
        <v>310</v>
      </c>
      <c r="M114" t="s">
        <v>310</v>
      </c>
      <c r="N114">
        <v>0</v>
      </c>
      <c r="O114" t="s">
        <v>1389</v>
      </c>
      <c r="P114" t="s">
        <v>310</v>
      </c>
      <c r="Q114" t="s">
        <v>310</v>
      </c>
      <c r="R114" t="s">
        <v>310</v>
      </c>
      <c r="S114">
        <v>9</v>
      </c>
      <c r="T114" t="s">
        <v>310</v>
      </c>
      <c r="U114">
        <v>9</v>
      </c>
      <c r="V114">
        <v>9</v>
      </c>
      <c r="W114">
        <v>0</v>
      </c>
      <c r="X114">
        <v>0</v>
      </c>
      <c r="Y114">
        <v>0</v>
      </c>
      <c r="Z114">
        <v>0</v>
      </c>
      <c r="AA114">
        <v>9</v>
      </c>
      <c r="AB114">
        <v>9</v>
      </c>
      <c r="AC114" t="s">
        <v>310</v>
      </c>
      <c r="AD114">
        <v>9</v>
      </c>
      <c r="AE114" t="s">
        <v>1390</v>
      </c>
      <c r="AF114">
        <v>0</v>
      </c>
      <c r="AG114" t="s">
        <v>310</v>
      </c>
      <c r="AH114">
        <f>SUM((MID(Dyno_Data[[#This Row],[Team]],4,5))+(Dyno_Data[[#This Row],[Match]]/100))</f>
        <v>6648.03</v>
      </c>
      <c r="AI114" s="76">
        <f>ROUND(SUM(IF(Dyno_Data[[#This Row],[AcqCenter]]&gt;0,Dyno_Data[[#This Row],[Time]]-SUMIFS(Dyno_Data[Time],Dyno_Data[Team],Dyno_Data[[#This Row],[Team]],Dyno_Data[RecordType],"StartMatch",Dyno_Data[Match],Dyno_Data[[#This Row],[Match]]),0)*86400),0)</f>
        <v>0</v>
      </c>
    </row>
    <row r="115" spans="1:35" x14ac:dyDescent="0.3">
      <c r="A115">
        <v>126</v>
      </c>
      <c r="B115" t="s">
        <v>1290</v>
      </c>
      <c r="C115">
        <v>3</v>
      </c>
      <c r="D115" s="105">
        <v>45373.389558946757</v>
      </c>
      <c r="E115" t="s">
        <v>308</v>
      </c>
      <c r="F115" t="s">
        <v>309</v>
      </c>
      <c r="G115">
        <v>0</v>
      </c>
      <c r="H115" t="s">
        <v>310</v>
      </c>
      <c r="I115">
        <v>0</v>
      </c>
      <c r="J115">
        <v>0</v>
      </c>
      <c r="K115">
        <v>0</v>
      </c>
      <c r="L115" t="s">
        <v>310</v>
      </c>
      <c r="M115" t="s">
        <v>310</v>
      </c>
      <c r="N115">
        <v>0</v>
      </c>
      <c r="O115" t="s">
        <v>1395</v>
      </c>
      <c r="P115" t="s">
        <v>310</v>
      </c>
      <c r="Q115" t="s">
        <v>310</v>
      </c>
      <c r="R115" t="s">
        <v>310</v>
      </c>
      <c r="S115">
        <v>9</v>
      </c>
      <c r="T115" t="s">
        <v>310</v>
      </c>
      <c r="U115">
        <v>9</v>
      </c>
      <c r="V115">
        <v>9</v>
      </c>
      <c r="W115">
        <v>0</v>
      </c>
      <c r="X115">
        <v>0</v>
      </c>
      <c r="Y115">
        <v>0</v>
      </c>
      <c r="Z115">
        <v>0</v>
      </c>
      <c r="AA115">
        <v>9</v>
      </c>
      <c r="AB115">
        <v>9</v>
      </c>
      <c r="AC115" t="s">
        <v>310</v>
      </c>
      <c r="AD115">
        <v>9</v>
      </c>
      <c r="AE115" t="s">
        <v>1396</v>
      </c>
      <c r="AF115">
        <v>10000000</v>
      </c>
      <c r="AG115" t="s">
        <v>310</v>
      </c>
      <c r="AH115">
        <f>SUM((MID(Dyno_Data[[#This Row],[Team]],4,5))+(Dyno_Data[[#This Row],[Match]]/100))</f>
        <v>5881.03</v>
      </c>
      <c r="AI115" s="76">
        <f>ROUND(SUM(IF(Dyno_Data[[#This Row],[AcqCenter]]&gt;0,Dyno_Data[[#This Row],[Time]]-SUMIFS(Dyno_Data[Time],Dyno_Data[Team],Dyno_Data[[#This Row],[Team]],Dyno_Data[RecordType],"StartMatch",Dyno_Data[Match],Dyno_Data[[#This Row],[Match]]),0)*86400),0)</f>
        <v>0</v>
      </c>
    </row>
    <row r="116" spans="1:35" x14ac:dyDescent="0.3">
      <c r="A116">
        <v>128</v>
      </c>
      <c r="B116" t="s">
        <v>1288</v>
      </c>
      <c r="C116">
        <v>3</v>
      </c>
      <c r="D116" s="105">
        <v>45373.389561805554</v>
      </c>
      <c r="E116" t="s">
        <v>308</v>
      </c>
      <c r="F116" t="s">
        <v>309</v>
      </c>
      <c r="G116">
        <v>0</v>
      </c>
      <c r="H116" t="s">
        <v>310</v>
      </c>
      <c r="I116">
        <v>0</v>
      </c>
      <c r="J116">
        <v>0</v>
      </c>
      <c r="K116">
        <v>0</v>
      </c>
      <c r="L116" t="s">
        <v>310</v>
      </c>
      <c r="M116" t="s">
        <v>310</v>
      </c>
      <c r="N116">
        <v>0</v>
      </c>
      <c r="O116" t="s">
        <v>1393</v>
      </c>
      <c r="P116" t="s">
        <v>310</v>
      </c>
      <c r="Q116" t="s">
        <v>310</v>
      </c>
      <c r="R116" t="s">
        <v>310</v>
      </c>
      <c r="S116">
        <v>9</v>
      </c>
      <c r="T116" t="s">
        <v>310</v>
      </c>
      <c r="U116">
        <v>9</v>
      </c>
      <c r="V116">
        <v>9</v>
      </c>
      <c r="W116">
        <v>0</v>
      </c>
      <c r="X116">
        <v>0</v>
      </c>
      <c r="Y116">
        <v>0</v>
      </c>
      <c r="Z116">
        <v>0</v>
      </c>
      <c r="AA116">
        <v>9</v>
      </c>
      <c r="AB116">
        <v>9</v>
      </c>
      <c r="AC116" t="s">
        <v>310</v>
      </c>
      <c r="AD116">
        <v>9</v>
      </c>
      <c r="AE116" t="s">
        <v>1394</v>
      </c>
      <c r="AF116">
        <v>0</v>
      </c>
      <c r="AG116" t="s">
        <v>310</v>
      </c>
      <c r="AH116">
        <f>SUM((MID(Dyno_Data[[#This Row],[Team]],4,5))+(Dyno_Data[[#This Row],[Match]]/100))</f>
        <v>3181.03</v>
      </c>
      <c r="AI116" s="76">
        <f>ROUND(SUM(IF(Dyno_Data[[#This Row],[AcqCenter]]&gt;0,Dyno_Data[[#This Row],[Time]]-SUMIFS(Dyno_Data[Time],Dyno_Data[Team],Dyno_Data[[#This Row],[Team]],Dyno_Data[RecordType],"StartMatch",Dyno_Data[Match],Dyno_Data[[#This Row],[Match]]),0)*86400),0)</f>
        <v>0</v>
      </c>
    </row>
    <row r="117" spans="1:35" x14ac:dyDescent="0.3">
      <c r="A117">
        <v>110</v>
      </c>
      <c r="B117" t="s">
        <v>1291</v>
      </c>
      <c r="C117">
        <v>3</v>
      </c>
      <c r="D117" s="105">
        <v>45373.389567094906</v>
      </c>
      <c r="E117" t="s">
        <v>312</v>
      </c>
      <c r="F117" t="s">
        <v>309</v>
      </c>
      <c r="G117">
        <v>0</v>
      </c>
      <c r="H117" t="s">
        <v>1397</v>
      </c>
      <c r="I117">
        <v>0</v>
      </c>
      <c r="J117">
        <v>0</v>
      </c>
      <c r="K117">
        <v>0</v>
      </c>
      <c r="L117" t="s">
        <v>241</v>
      </c>
      <c r="M117" t="s">
        <v>1398</v>
      </c>
      <c r="N117">
        <v>0</v>
      </c>
      <c r="O117" t="s">
        <v>1391</v>
      </c>
      <c r="P117" t="s">
        <v>310</v>
      </c>
      <c r="Q117" t="s">
        <v>310</v>
      </c>
      <c r="R117" t="s">
        <v>310</v>
      </c>
      <c r="S117">
        <v>9</v>
      </c>
      <c r="T117" t="s">
        <v>310</v>
      </c>
      <c r="U117">
        <v>9</v>
      </c>
      <c r="V117">
        <v>9</v>
      </c>
      <c r="W117">
        <v>0</v>
      </c>
      <c r="X117">
        <v>0</v>
      </c>
      <c r="Y117">
        <v>0</v>
      </c>
      <c r="Z117">
        <v>0</v>
      </c>
      <c r="AA117">
        <v>9</v>
      </c>
      <c r="AB117">
        <v>9</v>
      </c>
      <c r="AC117" t="s">
        <v>310</v>
      </c>
      <c r="AD117">
        <v>9</v>
      </c>
      <c r="AE117" t="s">
        <v>1392</v>
      </c>
      <c r="AF117">
        <v>0</v>
      </c>
      <c r="AG117" t="s">
        <v>310</v>
      </c>
      <c r="AH117">
        <f>SUM((MID(Dyno_Data[[#This Row],[Team]],4,5))+(Dyno_Data[[#This Row],[Match]]/100))</f>
        <v>1493.03</v>
      </c>
      <c r="AI117" s="76">
        <f>ROUND(SUM(IF(Dyno_Data[[#This Row],[AcqCenter]]&gt;0,Dyno_Data[[#This Row],[Time]]-SUMIFS(Dyno_Data[Time],Dyno_Data[Team],Dyno_Data[[#This Row],[Team]],Dyno_Data[RecordType],"StartMatch",Dyno_Data[Match],Dyno_Data[[#This Row],[Match]]),0)*86400),0)</f>
        <v>0</v>
      </c>
    </row>
    <row r="118" spans="1:35" x14ac:dyDescent="0.3">
      <c r="A118">
        <v>111</v>
      </c>
      <c r="B118" t="s">
        <v>1288</v>
      </c>
      <c r="C118">
        <v>3</v>
      </c>
      <c r="D118" s="105">
        <v>45373.389579479168</v>
      </c>
      <c r="E118" t="s">
        <v>312</v>
      </c>
      <c r="F118" t="s">
        <v>309</v>
      </c>
      <c r="G118">
        <v>0</v>
      </c>
      <c r="H118" t="s">
        <v>1397</v>
      </c>
      <c r="I118">
        <v>0</v>
      </c>
      <c r="J118">
        <v>0</v>
      </c>
      <c r="K118">
        <v>0</v>
      </c>
      <c r="L118" t="s">
        <v>241</v>
      </c>
      <c r="M118" t="s">
        <v>1398</v>
      </c>
      <c r="N118">
        <v>0</v>
      </c>
      <c r="O118" t="s">
        <v>1393</v>
      </c>
      <c r="P118" t="s">
        <v>310</v>
      </c>
      <c r="Q118" t="s">
        <v>310</v>
      </c>
      <c r="R118" t="s">
        <v>310</v>
      </c>
      <c r="S118">
        <v>9</v>
      </c>
      <c r="T118" t="s">
        <v>310</v>
      </c>
      <c r="U118">
        <v>9</v>
      </c>
      <c r="V118">
        <v>9</v>
      </c>
      <c r="W118">
        <v>0</v>
      </c>
      <c r="X118">
        <v>0</v>
      </c>
      <c r="Y118">
        <v>0</v>
      </c>
      <c r="Z118">
        <v>0</v>
      </c>
      <c r="AA118">
        <v>9</v>
      </c>
      <c r="AB118">
        <v>9</v>
      </c>
      <c r="AC118" t="s">
        <v>310</v>
      </c>
      <c r="AD118">
        <v>9</v>
      </c>
      <c r="AE118" t="s">
        <v>1394</v>
      </c>
      <c r="AF118">
        <v>0</v>
      </c>
      <c r="AG118" t="s">
        <v>310</v>
      </c>
      <c r="AH118">
        <f>SUM((MID(Dyno_Data[[#This Row],[Team]],4,5))+(Dyno_Data[[#This Row],[Match]]/100))</f>
        <v>3181.03</v>
      </c>
      <c r="AI118" s="76">
        <f>ROUND(SUM(IF(Dyno_Data[[#This Row],[AcqCenter]]&gt;0,Dyno_Data[[#This Row],[Time]]-SUMIFS(Dyno_Data[Time],Dyno_Data[Team],Dyno_Data[[#This Row],[Team]],Dyno_Data[RecordType],"StartMatch",Dyno_Data[Match],Dyno_Data[[#This Row],[Match]]),0)*86400),0)</f>
        <v>0</v>
      </c>
    </row>
    <row r="119" spans="1:35" x14ac:dyDescent="0.3">
      <c r="A119">
        <v>112</v>
      </c>
      <c r="B119" t="s">
        <v>1289</v>
      </c>
      <c r="C119">
        <v>3</v>
      </c>
      <c r="D119" s="105">
        <v>45373.389604745367</v>
      </c>
      <c r="E119" t="s">
        <v>312</v>
      </c>
      <c r="F119" t="s">
        <v>309</v>
      </c>
      <c r="G119">
        <v>0</v>
      </c>
      <c r="H119" t="s">
        <v>1397</v>
      </c>
      <c r="I119">
        <v>0</v>
      </c>
      <c r="J119">
        <v>0</v>
      </c>
      <c r="K119">
        <v>0</v>
      </c>
      <c r="L119" t="s">
        <v>241</v>
      </c>
      <c r="M119" t="s">
        <v>1398</v>
      </c>
      <c r="N119">
        <v>1</v>
      </c>
      <c r="O119" t="s">
        <v>1389</v>
      </c>
      <c r="P119" t="s">
        <v>310</v>
      </c>
      <c r="Q119" t="s">
        <v>310</v>
      </c>
      <c r="R119" t="s">
        <v>310</v>
      </c>
      <c r="S119">
        <v>9</v>
      </c>
      <c r="T119" t="s">
        <v>310</v>
      </c>
      <c r="U119">
        <v>9</v>
      </c>
      <c r="V119">
        <v>9</v>
      </c>
      <c r="W119">
        <v>0</v>
      </c>
      <c r="X119">
        <v>0</v>
      </c>
      <c r="Y119">
        <v>0</v>
      </c>
      <c r="Z119">
        <v>0</v>
      </c>
      <c r="AA119">
        <v>9</v>
      </c>
      <c r="AB119">
        <v>9</v>
      </c>
      <c r="AC119" t="s">
        <v>310</v>
      </c>
      <c r="AD119">
        <v>9</v>
      </c>
      <c r="AE119" t="s">
        <v>1390</v>
      </c>
      <c r="AF119">
        <v>0</v>
      </c>
      <c r="AG119" t="s">
        <v>310</v>
      </c>
      <c r="AH119">
        <f>SUM((MID(Dyno_Data[[#This Row],[Team]],4,5))+(Dyno_Data[[#This Row],[Match]]/100))</f>
        <v>6648.03</v>
      </c>
      <c r="AI119" s="76">
        <f>ROUND(SUM(IF(Dyno_Data[[#This Row],[AcqCenter]]&gt;0,Dyno_Data[[#This Row],[Time]]-SUMIFS(Dyno_Data[Time],Dyno_Data[Team],Dyno_Data[[#This Row],[Team]],Dyno_Data[RecordType],"StartMatch",Dyno_Data[Match],Dyno_Data[[#This Row],[Match]]),0)*86400),0)</f>
        <v>0</v>
      </c>
    </row>
    <row r="120" spans="1:35" x14ac:dyDescent="0.3">
      <c r="A120">
        <v>113</v>
      </c>
      <c r="B120" t="s">
        <v>367</v>
      </c>
      <c r="C120">
        <v>3</v>
      </c>
      <c r="D120" s="105">
        <v>45373.389611689818</v>
      </c>
      <c r="E120" t="s">
        <v>312</v>
      </c>
      <c r="F120" t="s">
        <v>309</v>
      </c>
      <c r="G120">
        <v>0</v>
      </c>
      <c r="H120" t="s">
        <v>1397</v>
      </c>
      <c r="I120">
        <v>0</v>
      </c>
      <c r="J120">
        <v>0</v>
      </c>
      <c r="K120">
        <v>0</v>
      </c>
      <c r="L120" t="s">
        <v>240</v>
      </c>
      <c r="M120" t="s">
        <v>1398</v>
      </c>
      <c r="N120">
        <v>1</v>
      </c>
      <c r="O120" t="s">
        <v>311</v>
      </c>
      <c r="P120" t="s">
        <v>310</v>
      </c>
      <c r="Q120" t="s">
        <v>310</v>
      </c>
      <c r="R120" t="s">
        <v>310</v>
      </c>
      <c r="S120">
        <v>9</v>
      </c>
      <c r="T120" t="s">
        <v>310</v>
      </c>
      <c r="U120">
        <v>9</v>
      </c>
      <c r="V120">
        <v>9</v>
      </c>
      <c r="W120">
        <v>0</v>
      </c>
      <c r="X120">
        <v>0</v>
      </c>
      <c r="Y120">
        <v>0</v>
      </c>
      <c r="Z120">
        <v>0</v>
      </c>
      <c r="AA120">
        <v>9</v>
      </c>
      <c r="AB120">
        <v>9</v>
      </c>
      <c r="AC120" t="s">
        <v>310</v>
      </c>
      <c r="AD120">
        <v>9</v>
      </c>
      <c r="AE120" t="s">
        <v>1387</v>
      </c>
      <c r="AF120">
        <v>0</v>
      </c>
      <c r="AG120" t="s">
        <v>310</v>
      </c>
      <c r="AH120">
        <f>SUM((MID(Dyno_Data[[#This Row],[Team]],4,5))+(Dyno_Data[[#This Row],[Match]]/100))</f>
        <v>5016.03</v>
      </c>
      <c r="AI120" s="76">
        <f>ROUND(SUM(IF(Dyno_Data[[#This Row],[AcqCenter]]&gt;0,Dyno_Data[[#This Row],[Time]]-SUMIFS(Dyno_Data[Time],Dyno_Data[Team],Dyno_Data[[#This Row],[Team]],Dyno_Data[RecordType],"StartMatch",Dyno_Data[Match],Dyno_Data[[#This Row],[Match]]),0)*86400),0)</f>
        <v>0</v>
      </c>
    </row>
    <row r="121" spans="1:35" x14ac:dyDescent="0.3">
      <c r="A121">
        <v>114</v>
      </c>
      <c r="B121" t="s">
        <v>1290</v>
      </c>
      <c r="C121">
        <v>3</v>
      </c>
      <c r="D121" s="105">
        <v>45373.389616747685</v>
      </c>
      <c r="E121" t="s">
        <v>312</v>
      </c>
      <c r="F121" t="s">
        <v>309</v>
      </c>
      <c r="G121">
        <v>0</v>
      </c>
      <c r="H121" t="s">
        <v>1397</v>
      </c>
      <c r="I121">
        <v>0</v>
      </c>
      <c r="J121">
        <v>0</v>
      </c>
      <c r="K121">
        <v>0</v>
      </c>
      <c r="L121" t="s">
        <v>241</v>
      </c>
      <c r="M121" t="s">
        <v>1398</v>
      </c>
      <c r="N121">
        <v>0</v>
      </c>
      <c r="O121" t="s">
        <v>1395</v>
      </c>
      <c r="P121" t="s">
        <v>310</v>
      </c>
      <c r="Q121" t="s">
        <v>310</v>
      </c>
      <c r="R121" t="s">
        <v>310</v>
      </c>
      <c r="S121">
        <v>9</v>
      </c>
      <c r="T121" t="s">
        <v>310</v>
      </c>
      <c r="U121">
        <v>9</v>
      </c>
      <c r="V121">
        <v>9</v>
      </c>
      <c r="W121">
        <v>0</v>
      </c>
      <c r="X121">
        <v>0</v>
      </c>
      <c r="Y121">
        <v>0</v>
      </c>
      <c r="Z121">
        <v>0</v>
      </c>
      <c r="AA121">
        <v>9</v>
      </c>
      <c r="AB121">
        <v>9</v>
      </c>
      <c r="AC121" t="s">
        <v>310</v>
      </c>
      <c r="AD121">
        <v>9</v>
      </c>
      <c r="AE121" t="s">
        <v>1396</v>
      </c>
      <c r="AF121">
        <v>0</v>
      </c>
      <c r="AG121" t="s">
        <v>310</v>
      </c>
      <c r="AH121">
        <f>SUM((MID(Dyno_Data[[#This Row],[Team]],4,5))+(Dyno_Data[[#This Row],[Match]]/100))</f>
        <v>5881.03</v>
      </c>
      <c r="AI121" s="76">
        <f>ROUND(SUM(IF(Dyno_Data[[#This Row],[AcqCenter]]&gt;0,Dyno_Data[[#This Row],[Time]]-SUMIFS(Dyno_Data[Time],Dyno_Data[Team],Dyno_Data[[#This Row],[Team]],Dyno_Data[RecordType],"StartMatch",Dyno_Data[Match],Dyno_Data[[#This Row],[Match]]),0)*86400),0)</f>
        <v>0</v>
      </c>
    </row>
    <row r="122" spans="1:35" x14ac:dyDescent="0.3">
      <c r="A122">
        <v>115</v>
      </c>
      <c r="B122" t="s">
        <v>1291</v>
      </c>
      <c r="C122">
        <v>3</v>
      </c>
      <c r="D122" s="105">
        <v>45373.389621064816</v>
      </c>
      <c r="E122" t="s">
        <v>312</v>
      </c>
      <c r="F122" t="s">
        <v>309</v>
      </c>
      <c r="G122">
        <v>0</v>
      </c>
      <c r="H122" t="s">
        <v>315</v>
      </c>
      <c r="I122">
        <v>0</v>
      </c>
      <c r="J122">
        <v>0</v>
      </c>
      <c r="K122">
        <v>0</v>
      </c>
      <c r="L122" t="s">
        <v>240</v>
      </c>
      <c r="M122" t="s">
        <v>1398</v>
      </c>
      <c r="N122">
        <v>1</v>
      </c>
      <c r="O122" t="s">
        <v>1391</v>
      </c>
      <c r="P122" t="s">
        <v>310</v>
      </c>
      <c r="Q122" t="s">
        <v>310</v>
      </c>
      <c r="R122" t="s">
        <v>310</v>
      </c>
      <c r="S122">
        <v>9</v>
      </c>
      <c r="T122" t="s">
        <v>310</v>
      </c>
      <c r="U122">
        <v>9</v>
      </c>
      <c r="V122">
        <v>9</v>
      </c>
      <c r="W122">
        <v>0</v>
      </c>
      <c r="X122">
        <v>0</v>
      </c>
      <c r="Y122">
        <v>0</v>
      </c>
      <c r="Z122">
        <v>0</v>
      </c>
      <c r="AA122">
        <v>9</v>
      </c>
      <c r="AB122">
        <v>9</v>
      </c>
      <c r="AC122" t="s">
        <v>310</v>
      </c>
      <c r="AD122">
        <v>9</v>
      </c>
      <c r="AE122" t="s">
        <v>1392</v>
      </c>
      <c r="AF122">
        <v>10000000</v>
      </c>
      <c r="AG122" t="s">
        <v>310</v>
      </c>
      <c r="AH122">
        <f>SUM((MID(Dyno_Data[[#This Row],[Team]],4,5))+(Dyno_Data[[#This Row],[Match]]/100))</f>
        <v>1493.03</v>
      </c>
      <c r="AI122" s="76">
        <f>ROUND(SUM(IF(Dyno_Data[[#This Row],[AcqCenter]]&gt;0,Dyno_Data[[#This Row],[Time]]-SUMIFS(Dyno_Data[Time],Dyno_Data[Team],Dyno_Data[[#This Row],[Team]],Dyno_Data[RecordType],"StartMatch",Dyno_Data[Match],Dyno_Data[[#This Row],[Match]]),0)*86400),0)</f>
        <v>0</v>
      </c>
    </row>
    <row r="123" spans="1:35" x14ac:dyDescent="0.3">
      <c r="A123">
        <v>116</v>
      </c>
      <c r="B123" t="s">
        <v>1290</v>
      </c>
      <c r="C123">
        <v>3</v>
      </c>
      <c r="D123" s="105">
        <v>45373.389651423611</v>
      </c>
      <c r="E123" t="s">
        <v>312</v>
      </c>
      <c r="F123" t="s">
        <v>309</v>
      </c>
      <c r="G123">
        <v>0</v>
      </c>
      <c r="H123" t="s">
        <v>315</v>
      </c>
      <c r="I123">
        <v>0</v>
      </c>
      <c r="J123">
        <v>0</v>
      </c>
      <c r="K123">
        <v>0</v>
      </c>
      <c r="L123" t="s">
        <v>241</v>
      </c>
      <c r="M123" t="s">
        <v>1398</v>
      </c>
      <c r="N123">
        <v>0</v>
      </c>
      <c r="O123" t="s">
        <v>1395</v>
      </c>
      <c r="P123" t="s">
        <v>310</v>
      </c>
      <c r="Q123" t="s">
        <v>310</v>
      </c>
      <c r="R123" t="s">
        <v>310</v>
      </c>
      <c r="S123">
        <v>9</v>
      </c>
      <c r="T123" t="s">
        <v>310</v>
      </c>
      <c r="U123">
        <v>9</v>
      </c>
      <c r="V123">
        <v>9</v>
      </c>
      <c r="W123">
        <v>0</v>
      </c>
      <c r="X123">
        <v>0</v>
      </c>
      <c r="Y123">
        <v>0</v>
      </c>
      <c r="Z123">
        <v>0</v>
      </c>
      <c r="AA123">
        <v>9</v>
      </c>
      <c r="AB123">
        <v>9</v>
      </c>
      <c r="AC123" t="s">
        <v>310</v>
      </c>
      <c r="AD123">
        <v>9</v>
      </c>
      <c r="AE123" t="s">
        <v>1396</v>
      </c>
      <c r="AF123">
        <v>10000000</v>
      </c>
      <c r="AG123" t="s">
        <v>310</v>
      </c>
      <c r="AH123">
        <f>SUM((MID(Dyno_Data[[#This Row],[Team]],4,5))+(Dyno_Data[[#This Row],[Match]]/100))</f>
        <v>5881.03</v>
      </c>
      <c r="AI123" s="76">
        <f>ROUND(SUM(IF(Dyno_Data[[#This Row],[AcqCenter]]&gt;0,Dyno_Data[[#This Row],[Time]]-SUMIFS(Dyno_Data[Time],Dyno_Data[Team],Dyno_Data[[#This Row],[Team]],Dyno_Data[RecordType],"StartMatch",Dyno_Data[Match],Dyno_Data[[#This Row],[Match]]),0)*86400),0)</f>
        <v>0</v>
      </c>
    </row>
    <row r="124" spans="1:35" x14ac:dyDescent="0.3">
      <c r="A124">
        <v>117</v>
      </c>
      <c r="B124" t="s">
        <v>1288</v>
      </c>
      <c r="C124">
        <v>3</v>
      </c>
      <c r="D124" s="105">
        <v>45373.389674571757</v>
      </c>
      <c r="E124" t="s">
        <v>312</v>
      </c>
      <c r="F124" t="s">
        <v>309</v>
      </c>
      <c r="G124">
        <v>0</v>
      </c>
      <c r="H124" t="s">
        <v>143</v>
      </c>
      <c r="I124">
        <v>2</v>
      </c>
      <c r="J124">
        <v>-1</v>
      </c>
      <c r="K124">
        <v>0</v>
      </c>
      <c r="L124" t="s">
        <v>310</v>
      </c>
      <c r="M124" t="s">
        <v>310</v>
      </c>
      <c r="N124">
        <v>0</v>
      </c>
      <c r="O124" t="s">
        <v>1393</v>
      </c>
      <c r="P124" t="s">
        <v>310</v>
      </c>
      <c r="Q124" t="s">
        <v>310</v>
      </c>
      <c r="R124" t="s">
        <v>310</v>
      </c>
      <c r="S124">
        <v>9</v>
      </c>
      <c r="T124" t="s">
        <v>310</v>
      </c>
      <c r="U124">
        <v>9</v>
      </c>
      <c r="V124">
        <v>9</v>
      </c>
      <c r="W124">
        <v>0</v>
      </c>
      <c r="X124">
        <v>0</v>
      </c>
      <c r="Y124">
        <v>0</v>
      </c>
      <c r="Z124">
        <v>0</v>
      </c>
      <c r="AA124">
        <v>9</v>
      </c>
      <c r="AB124">
        <v>9</v>
      </c>
      <c r="AC124" t="s">
        <v>310</v>
      </c>
      <c r="AD124">
        <v>9</v>
      </c>
      <c r="AE124" t="s">
        <v>1394</v>
      </c>
      <c r="AF124">
        <v>0</v>
      </c>
      <c r="AG124" t="s">
        <v>310</v>
      </c>
      <c r="AH124">
        <f>SUM((MID(Dyno_Data[[#This Row],[Team]],4,5))+(Dyno_Data[[#This Row],[Match]]/100))</f>
        <v>3181.03</v>
      </c>
      <c r="AI124" s="76">
        <f>ROUND(SUM(IF(Dyno_Data[[#This Row],[AcqCenter]]&gt;0,Dyno_Data[[#This Row],[Time]]-SUMIFS(Dyno_Data[Time],Dyno_Data[Team],Dyno_Data[[#This Row],[Team]],Dyno_Data[RecordType],"StartMatch",Dyno_Data[Match],Dyno_Data[[#This Row],[Match]]),0)*86400),0)</f>
        <v>10</v>
      </c>
    </row>
    <row r="125" spans="1:35" x14ac:dyDescent="0.3">
      <c r="A125">
        <v>119</v>
      </c>
      <c r="B125" t="s">
        <v>1292</v>
      </c>
      <c r="C125">
        <v>3</v>
      </c>
      <c r="D125" s="105">
        <v>45373.389762962965</v>
      </c>
      <c r="E125" t="s">
        <v>314</v>
      </c>
      <c r="F125" t="s">
        <v>309</v>
      </c>
      <c r="G125">
        <v>0</v>
      </c>
      <c r="H125" t="s">
        <v>310</v>
      </c>
      <c r="I125">
        <v>0</v>
      </c>
      <c r="J125">
        <v>0</v>
      </c>
      <c r="K125">
        <v>0</v>
      </c>
      <c r="L125" t="s">
        <v>310</v>
      </c>
      <c r="M125" t="s">
        <v>310</v>
      </c>
      <c r="N125">
        <v>0</v>
      </c>
      <c r="O125" t="s">
        <v>319</v>
      </c>
      <c r="P125" t="s">
        <v>320</v>
      </c>
      <c r="Q125" t="s">
        <v>1400</v>
      </c>
      <c r="R125" t="s">
        <v>310</v>
      </c>
      <c r="S125">
        <v>9</v>
      </c>
      <c r="T125" t="s">
        <v>310</v>
      </c>
      <c r="U125">
        <v>9</v>
      </c>
      <c r="V125">
        <v>9</v>
      </c>
      <c r="W125">
        <v>0</v>
      </c>
      <c r="X125">
        <v>0</v>
      </c>
      <c r="Y125">
        <v>0</v>
      </c>
      <c r="Z125">
        <v>0</v>
      </c>
      <c r="AA125">
        <v>9</v>
      </c>
      <c r="AB125">
        <v>9</v>
      </c>
      <c r="AC125" t="s">
        <v>310</v>
      </c>
      <c r="AD125">
        <v>9</v>
      </c>
      <c r="AE125" t="s">
        <v>1388</v>
      </c>
      <c r="AF125">
        <v>0</v>
      </c>
      <c r="AG125" t="s">
        <v>310</v>
      </c>
      <c r="AH125">
        <f>SUM((MID(Dyno_Data[[#This Row],[Team]],4,5))+(Dyno_Data[[#This Row],[Match]]/100))</f>
        <v>7030.03</v>
      </c>
      <c r="AI125" s="76">
        <f>ROUND(SUM(IF(Dyno_Data[[#This Row],[AcqCenter]]&gt;0,Dyno_Data[[#This Row],[Time]]-SUMIFS(Dyno_Data[Time],Dyno_Data[Team],Dyno_Data[[#This Row],[Team]],Dyno_Data[RecordType],"StartMatch",Dyno_Data[Match],Dyno_Data[[#This Row],[Match]]),0)*86400),0)</f>
        <v>0</v>
      </c>
    </row>
    <row r="126" spans="1:35" x14ac:dyDescent="0.3">
      <c r="A126">
        <v>121</v>
      </c>
      <c r="B126" t="s">
        <v>367</v>
      </c>
      <c r="C126">
        <v>3</v>
      </c>
      <c r="D126" s="105">
        <v>45373.389763657404</v>
      </c>
      <c r="E126" t="s">
        <v>314</v>
      </c>
      <c r="F126" t="s">
        <v>309</v>
      </c>
      <c r="G126">
        <v>0</v>
      </c>
      <c r="H126" t="s">
        <v>310</v>
      </c>
      <c r="I126">
        <v>0</v>
      </c>
      <c r="J126">
        <v>0</v>
      </c>
      <c r="K126">
        <v>0</v>
      </c>
      <c r="L126" t="s">
        <v>310</v>
      </c>
      <c r="M126" t="s">
        <v>310</v>
      </c>
      <c r="N126">
        <v>0</v>
      </c>
      <c r="O126" t="s">
        <v>311</v>
      </c>
      <c r="P126" t="s">
        <v>1401</v>
      </c>
      <c r="Q126" t="s">
        <v>1399</v>
      </c>
      <c r="R126" t="s">
        <v>310</v>
      </c>
      <c r="S126">
        <v>9</v>
      </c>
      <c r="T126" t="s">
        <v>310</v>
      </c>
      <c r="U126">
        <v>9</v>
      </c>
      <c r="V126">
        <v>9</v>
      </c>
      <c r="W126">
        <v>0</v>
      </c>
      <c r="X126">
        <v>0</v>
      </c>
      <c r="Y126">
        <v>0</v>
      </c>
      <c r="Z126">
        <v>0</v>
      </c>
      <c r="AA126">
        <v>9</v>
      </c>
      <c r="AB126">
        <v>9</v>
      </c>
      <c r="AC126" t="s">
        <v>310</v>
      </c>
      <c r="AD126">
        <v>9</v>
      </c>
      <c r="AE126" t="s">
        <v>1387</v>
      </c>
      <c r="AF126">
        <v>0</v>
      </c>
      <c r="AG126" t="s">
        <v>310</v>
      </c>
      <c r="AH126">
        <f>SUM((MID(Dyno_Data[[#This Row],[Team]],4,5))+(Dyno_Data[[#This Row],[Match]]/100))</f>
        <v>5016.03</v>
      </c>
      <c r="AI126" s="76">
        <f>ROUND(SUM(IF(Dyno_Data[[#This Row],[AcqCenter]]&gt;0,Dyno_Data[[#This Row],[Time]]-SUMIFS(Dyno_Data[Time],Dyno_Data[Team],Dyno_Data[[#This Row],[Team]],Dyno_Data[RecordType],"StartMatch",Dyno_Data[Match],Dyno_Data[[#This Row],[Match]]),0)*86400),0)</f>
        <v>0</v>
      </c>
    </row>
    <row r="127" spans="1:35" x14ac:dyDescent="0.3">
      <c r="A127">
        <v>123</v>
      </c>
      <c r="B127" t="s">
        <v>1291</v>
      </c>
      <c r="C127">
        <v>3</v>
      </c>
      <c r="D127" s="105">
        <v>45373.389764386571</v>
      </c>
      <c r="E127" t="s">
        <v>314</v>
      </c>
      <c r="F127" t="s">
        <v>309</v>
      </c>
      <c r="G127">
        <v>1</v>
      </c>
      <c r="H127" t="s">
        <v>310</v>
      </c>
      <c r="I127">
        <v>0</v>
      </c>
      <c r="J127">
        <v>0</v>
      </c>
      <c r="K127">
        <v>0</v>
      </c>
      <c r="L127" t="s">
        <v>310</v>
      </c>
      <c r="M127" t="s">
        <v>310</v>
      </c>
      <c r="N127">
        <v>0</v>
      </c>
      <c r="O127" t="s">
        <v>1391</v>
      </c>
      <c r="P127" t="s">
        <v>240</v>
      </c>
      <c r="Q127" t="s">
        <v>1400</v>
      </c>
      <c r="R127" t="s">
        <v>310</v>
      </c>
      <c r="S127">
        <v>9</v>
      </c>
      <c r="T127" t="s">
        <v>310</v>
      </c>
      <c r="U127">
        <v>9</v>
      </c>
      <c r="V127">
        <v>9</v>
      </c>
      <c r="W127">
        <v>0</v>
      </c>
      <c r="X127">
        <v>0</v>
      </c>
      <c r="Y127">
        <v>0</v>
      </c>
      <c r="Z127">
        <v>0</v>
      </c>
      <c r="AA127">
        <v>9</v>
      </c>
      <c r="AB127">
        <v>9</v>
      </c>
      <c r="AC127" t="s">
        <v>310</v>
      </c>
      <c r="AD127">
        <v>9</v>
      </c>
      <c r="AE127" t="s">
        <v>1392</v>
      </c>
      <c r="AF127">
        <v>10000000</v>
      </c>
      <c r="AG127" t="s">
        <v>310</v>
      </c>
      <c r="AH127">
        <f>SUM((MID(Dyno_Data[[#This Row],[Team]],4,5))+(Dyno_Data[[#This Row],[Match]]/100))</f>
        <v>1493.03</v>
      </c>
      <c r="AI127" s="76">
        <f>ROUND(SUM(IF(Dyno_Data[[#This Row],[AcqCenter]]&gt;0,Dyno_Data[[#This Row],[Time]]-SUMIFS(Dyno_Data[Time],Dyno_Data[Team],Dyno_Data[[#This Row],[Team]],Dyno_Data[RecordType],"StartMatch",Dyno_Data[Match],Dyno_Data[[#This Row],[Match]]),0)*86400),0)</f>
        <v>0</v>
      </c>
    </row>
    <row r="128" spans="1:35" x14ac:dyDescent="0.3">
      <c r="A128">
        <v>125</v>
      </c>
      <c r="B128" t="s">
        <v>1289</v>
      </c>
      <c r="C128">
        <v>3</v>
      </c>
      <c r="D128" s="105">
        <v>45373.389765821761</v>
      </c>
      <c r="E128" t="s">
        <v>314</v>
      </c>
      <c r="F128" t="s">
        <v>309</v>
      </c>
      <c r="G128">
        <v>0</v>
      </c>
      <c r="H128" t="s">
        <v>310</v>
      </c>
      <c r="I128">
        <v>0</v>
      </c>
      <c r="J128">
        <v>0</v>
      </c>
      <c r="K128">
        <v>0</v>
      </c>
      <c r="L128" t="s">
        <v>310</v>
      </c>
      <c r="M128" t="s">
        <v>310</v>
      </c>
      <c r="N128">
        <v>0</v>
      </c>
      <c r="O128" t="s">
        <v>1389</v>
      </c>
      <c r="P128" t="s">
        <v>101</v>
      </c>
      <c r="Q128" t="s">
        <v>1400</v>
      </c>
      <c r="R128" t="s">
        <v>310</v>
      </c>
      <c r="S128">
        <v>9</v>
      </c>
      <c r="T128" t="s">
        <v>310</v>
      </c>
      <c r="U128">
        <v>9</v>
      </c>
      <c r="V128">
        <v>9</v>
      </c>
      <c r="W128">
        <v>0</v>
      </c>
      <c r="X128">
        <v>0</v>
      </c>
      <c r="Y128">
        <v>0</v>
      </c>
      <c r="Z128">
        <v>0</v>
      </c>
      <c r="AA128">
        <v>9</v>
      </c>
      <c r="AB128">
        <v>9</v>
      </c>
      <c r="AC128" t="s">
        <v>310</v>
      </c>
      <c r="AD128">
        <v>9</v>
      </c>
      <c r="AE128" t="s">
        <v>1390</v>
      </c>
      <c r="AF128">
        <v>0</v>
      </c>
      <c r="AG128" t="s">
        <v>310</v>
      </c>
      <c r="AH128">
        <f>SUM((MID(Dyno_Data[[#This Row],[Team]],4,5))+(Dyno_Data[[#This Row],[Match]]/100))</f>
        <v>6648.03</v>
      </c>
      <c r="AI128" s="76">
        <f>ROUND(SUM(IF(Dyno_Data[[#This Row],[AcqCenter]]&gt;0,Dyno_Data[[#This Row],[Time]]-SUMIFS(Dyno_Data[Time],Dyno_Data[Team],Dyno_Data[[#This Row],[Team]],Dyno_Data[RecordType],"StartMatch",Dyno_Data[Match],Dyno_Data[[#This Row],[Match]]),0)*86400),0)</f>
        <v>0</v>
      </c>
    </row>
    <row r="129" spans="1:35" x14ac:dyDescent="0.3">
      <c r="A129">
        <v>127</v>
      </c>
      <c r="B129" t="s">
        <v>1290</v>
      </c>
      <c r="C129">
        <v>3</v>
      </c>
      <c r="D129" s="105">
        <v>45373.389767280096</v>
      </c>
      <c r="E129" t="s">
        <v>314</v>
      </c>
      <c r="F129" t="s">
        <v>309</v>
      </c>
      <c r="G129">
        <v>1</v>
      </c>
      <c r="H129" t="s">
        <v>310</v>
      </c>
      <c r="I129">
        <v>0</v>
      </c>
      <c r="J129">
        <v>0</v>
      </c>
      <c r="K129">
        <v>0</v>
      </c>
      <c r="L129" t="s">
        <v>310</v>
      </c>
      <c r="M129" t="s">
        <v>310</v>
      </c>
      <c r="N129">
        <v>0</v>
      </c>
      <c r="O129" t="s">
        <v>1395</v>
      </c>
      <c r="P129" t="s">
        <v>240</v>
      </c>
      <c r="Q129" t="s">
        <v>1400</v>
      </c>
      <c r="R129" t="s">
        <v>310</v>
      </c>
      <c r="S129">
        <v>9</v>
      </c>
      <c r="T129" t="s">
        <v>310</v>
      </c>
      <c r="U129">
        <v>9</v>
      </c>
      <c r="V129">
        <v>9</v>
      </c>
      <c r="W129">
        <v>0</v>
      </c>
      <c r="X129">
        <v>0</v>
      </c>
      <c r="Y129">
        <v>0</v>
      </c>
      <c r="Z129">
        <v>0</v>
      </c>
      <c r="AA129">
        <v>9</v>
      </c>
      <c r="AB129">
        <v>9</v>
      </c>
      <c r="AC129" t="s">
        <v>310</v>
      </c>
      <c r="AD129">
        <v>9</v>
      </c>
      <c r="AE129" t="s">
        <v>1396</v>
      </c>
      <c r="AF129">
        <v>10000000</v>
      </c>
      <c r="AG129" t="s">
        <v>310</v>
      </c>
      <c r="AH129">
        <f>SUM((MID(Dyno_Data[[#This Row],[Team]],4,5))+(Dyno_Data[[#This Row],[Match]]/100))</f>
        <v>5881.03</v>
      </c>
      <c r="AI129" s="76">
        <f>ROUND(SUM(IF(Dyno_Data[[#This Row],[AcqCenter]]&gt;0,Dyno_Data[[#This Row],[Time]]-SUMIFS(Dyno_Data[Time],Dyno_Data[Team],Dyno_Data[[#This Row],[Team]],Dyno_Data[RecordType],"StartMatch",Dyno_Data[Match],Dyno_Data[[#This Row],[Match]]),0)*86400),0)</f>
        <v>0</v>
      </c>
    </row>
    <row r="130" spans="1:35" x14ac:dyDescent="0.3">
      <c r="A130">
        <v>129</v>
      </c>
      <c r="B130" t="s">
        <v>1288</v>
      </c>
      <c r="C130">
        <v>3</v>
      </c>
      <c r="D130" s="105">
        <v>45373.389770138892</v>
      </c>
      <c r="E130" t="s">
        <v>314</v>
      </c>
      <c r="F130" t="s">
        <v>309</v>
      </c>
      <c r="G130">
        <v>1</v>
      </c>
      <c r="H130" t="s">
        <v>310</v>
      </c>
      <c r="I130">
        <v>0</v>
      </c>
      <c r="J130">
        <v>0</v>
      </c>
      <c r="K130">
        <v>0</v>
      </c>
      <c r="L130" t="s">
        <v>310</v>
      </c>
      <c r="M130" t="s">
        <v>310</v>
      </c>
      <c r="N130">
        <v>0</v>
      </c>
      <c r="O130" t="s">
        <v>1393</v>
      </c>
      <c r="P130" t="s">
        <v>1401</v>
      </c>
      <c r="Q130" t="s">
        <v>1399</v>
      </c>
      <c r="R130" t="s">
        <v>310</v>
      </c>
      <c r="S130">
        <v>9</v>
      </c>
      <c r="T130" t="s">
        <v>310</v>
      </c>
      <c r="U130">
        <v>9</v>
      </c>
      <c r="V130">
        <v>9</v>
      </c>
      <c r="W130">
        <v>0</v>
      </c>
      <c r="X130">
        <v>0</v>
      </c>
      <c r="Y130">
        <v>0</v>
      </c>
      <c r="Z130">
        <v>0</v>
      </c>
      <c r="AA130">
        <v>9</v>
      </c>
      <c r="AB130">
        <v>9</v>
      </c>
      <c r="AC130" t="s">
        <v>310</v>
      </c>
      <c r="AD130">
        <v>9</v>
      </c>
      <c r="AE130" t="s">
        <v>1394</v>
      </c>
      <c r="AF130">
        <v>0</v>
      </c>
      <c r="AG130" t="s">
        <v>310</v>
      </c>
      <c r="AH130">
        <f>SUM((MID(Dyno_Data[[#This Row],[Team]],4,5))+(Dyno_Data[[#This Row],[Match]]/100))</f>
        <v>3181.03</v>
      </c>
      <c r="AI130" s="76">
        <f>ROUND(SUM(IF(Dyno_Data[[#This Row],[AcqCenter]]&gt;0,Dyno_Data[[#This Row],[Time]]-SUMIFS(Dyno_Data[Time],Dyno_Data[Team],Dyno_Data[[#This Row],[Team]],Dyno_Data[RecordType],"StartMatch",Dyno_Data[Match],Dyno_Data[[#This Row],[Match]]),0)*86400),0)</f>
        <v>0</v>
      </c>
    </row>
    <row r="131" spans="1:35" x14ac:dyDescent="0.3">
      <c r="A131">
        <v>130</v>
      </c>
      <c r="B131" t="s">
        <v>1291</v>
      </c>
      <c r="C131">
        <v>3</v>
      </c>
      <c r="D131" s="105">
        <v>45373.389873611108</v>
      </c>
      <c r="E131" t="s">
        <v>312</v>
      </c>
      <c r="F131" t="s">
        <v>1402</v>
      </c>
      <c r="G131">
        <v>0</v>
      </c>
      <c r="H131" t="s">
        <v>315</v>
      </c>
      <c r="I131">
        <v>0</v>
      </c>
      <c r="J131">
        <v>0</v>
      </c>
      <c r="K131">
        <v>0</v>
      </c>
      <c r="L131" t="s">
        <v>241</v>
      </c>
      <c r="M131" t="s">
        <v>101</v>
      </c>
      <c r="N131">
        <v>0</v>
      </c>
      <c r="O131" t="s">
        <v>1391</v>
      </c>
      <c r="P131" t="s">
        <v>310</v>
      </c>
      <c r="Q131" t="s">
        <v>310</v>
      </c>
      <c r="R131" t="s">
        <v>310</v>
      </c>
      <c r="S131">
        <v>9</v>
      </c>
      <c r="T131" t="s">
        <v>310</v>
      </c>
      <c r="U131">
        <v>9</v>
      </c>
      <c r="V131">
        <v>9</v>
      </c>
      <c r="W131">
        <v>0</v>
      </c>
      <c r="X131">
        <v>0</v>
      </c>
      <c r="Y131">
        <v>0</v>
      </c>
      <c r="Z131">
        <v>0</v>
      </c>
      <c r="AA131">
        <v>9</v>
      </c>
      <c r="AB131">
        <v>9</v>
      </c>
      <c r="AC131" t="s">
        <v>310</v>
      </c>
      <c r="AD131">
        <v>9</v>
      </c>
      <c r="AE131" t="s">
        <v>1392</v>
      </c>
      <c r="AF131">
        <v>20000000</v>
      </c>
      <c r="AG131" t="s">
        <v>310</v>
      </c>
      <c r="AH131">
        <f>SUM((MID(Dyno_Data[[#This Row],[Team]],4,5))+(Dyno_Data[[#This Row],[Match]]/100))</f>
        <v>1493.03</v>
      </c>
      <c r="AI131" s="76">
        <f>ROUND(SUM(IF(Dyno_Data[[#This Row],[AcqCenter]]&gt;0,Dyno_Data[[#This Row],[Time]]-SUMIFS(Dyno_Data[Time],Dyno_Data[Team],Dyno_Data[[#This Row],[Team]],Dyno_Data[RecordType],"StartMatch",Dyno_Data[Match],Dyno_Data[[#This Row],[Match]]),0)*86400),0)</f>
        <v>0</v>
      </c>
    </row>
    <row r="132" spans="1:35" x14ac:dyDescent="0.3">
      <c r="A132">
        <v>131</v>
      </c>
      <c r="B132" t="s">
        <v>1292</v>
      </c>
      <c r="C132">
        <v>3</v>
      </c>
      <c r="D132" s="105">
        <v>45373.38993607639</v>
      </c>
      <c r="E132" t="s">
        <v>312</v>
      </c>
      <c r="F132" t="s">
        <v>1402</v>
      </c>
      <c r="G132">
        <v>0</v>
      </c>
      <c r="H132" t="s">
        <v>1397</v>
      </c>
      <c r="I132">
        <v>0</v>
      </c>
      <c r="J132">
        <v>0</v>
      </c>
      <c r="K132">
        <v>0</v>
      </c>
      <c r="L132" t="s">
        <v>240</v>
      </c>
      <c r="M132" t="s">
        <v>1398</v>
      </c>
      <c r="N132">
        <v>1</v>
      </c>
      <c r="O132" t="s">
        <v>319</v>
      </c>
      <c r="P132" t="s">
        <v>310</v>
      </c>
      <c r="Q132" t="s">
        <v>310</v>
      </c>
      <c r="R132" t="s">
        <v>310</v>
      </c>
      <c r="S132">
        <v>9</v>
      </c>
      <c r="T132" t="s">
        <v>310</v>
      </c>
      <c r="U132">
        <v>9</v>
      </c>
      <c r="V132">
        <v>9</v>
      </c>
      <c r="W132">
        <v>0</v>
      </c>
      <c r="X132">
        <v>0</v>
      </c>
      <c r="Y132">
        <v>0</v>
      </c>
      <c r="Z132">
        <v>0</v>
      </c>
      <c r="AA132">
        <v>9</v>
      </c>
      <c r="AB132">
        <v>9</v>
      </c>
      <c r="AC132" t="s">
        <v>310</v>
      </c>
      <c r="AD132">
        <v>9</v>
      </c>
      <c r="AE132" t="s">
        <v>1388</v>
      </c>
      <c r="AF132">
        <v>0</v>
      </c>
      <c r="AG132" t="s">
        <v>310</v>
      </c>
      <c r="AH132">
        <f>SUM((MID(Dyno_Data[[#This Row],[Team]],4,5))+(Dyno_Data[[#This Row],[Match]]/100))</f>
        <v>7030.03</v>
      </c>
      <c r="AI132" s="76">
        <f>ROUND(SUM(IF(Dyno_Data[[#This Row],[AcqCenter]]&gt;0,Dyno_Data[[#This Row],[Time]]-SUMIFS(Dyno_Data[Time],Dyno_Data[Team],Dyno_Data[[#This Row],[Team]],Dyno_Data[RecordType],"StartMatch",Dyno_Data[Match],Dyno_Data[[#This Row],[Match]]),0)*86400),0)</f>
        <v>0</v>
      </c>
    </row>
    <row r="133" spans="1:35" x14ac:dyDescent="0.3">
      <c r="A133">
        <v>132</v>
      </c>
      <c r="B133" t="s">
        <v>1291</v>
      </c>
      <c r="C133">
        <v>3</v>
      </c>
      <c r="D133" s="105">
        <v>45373.389951273151</v>
      </c>
      <c r="E133" t="s">
        <v>312</v>
      </c>
      <c r="F133" t="s">
        <v>1402</v>
      </c>
      <c r="G133">
        <v>0</v>
      </c>
      <c r="H133" t="s">
        <v>315</v>
      </c>
      <c r="I133">
        <v>0</v>
      </c>
      <c r="J133">
        <v>0</v>
      </c>
      <c r="K133">
        <v>0</v>
      </c>
      <c r="L133" t="s">
        <v>241</v>
      </c>
      <c r="M133" t="s">
        <v>101</v>
      </c>
      <c r="N133">
        <v>0</v>
      </c>
      <c r="O133" t="s">
        <v>1391</v>
      </c>
      <c r="P133" t="s">
        <v>310</v>
      </c>
      <c r="Q133" t="s">
        <v>310</v>
      </c>
      <c r="R133" t="s">
        <v>310</v>
      </c>
      <c r="S133">
        <v>9</v>
      </c>
      <c r="T133" t="s">
        <v>310</v>
      </c>
      <c r="U133">
        <v>9</v>
      </c>
      <c r="V133">
        <v>9</v>
      </c>
      <c r="W133">
        <v>0</v>
      </c>
      <c r="X133">
        <v>0</v>
      </c>
      <c r="Y133">
        <v>0</v>
      </c>
      <c r="Z133">
        <v>0</v>
      </c>
      <c r="AA133">
        <v>9</v>
      </c>
      <c r="AB133">
        <v>9</v>
      </c>
      <c r="AC133" t="s">
        <v>310</v>
      </c>
      <c r="AD133">
        <v>9</v>
      </c>
      <c r="AE133" t="s">
        <v>1392</v>
      </c>
      <c r="AF133">
        <v>30000000</v>
      </c>
      <c r="AG133" t="s">
        <v>310</v>
      </c>
      <c r="AH133">
        <f>SUM((MID(Dyno_Data[[#This Row],[Team]],4,5))+(Dyno_Data[[#This Row],[Match]]/100))</f>
        <v>1493.03</v>
      </c>
      <c r="AI133" s="76">
        <f>ROUND(SUM(IF(Dyno_Data[[#This Row],[AcqCenter]]&gt;0,Dyno_Data[[#This Row],[Time]]-SUMIFS(Dyno_Data[Time],Dyno_Data[Team],Dyno_Data[[#This Row],[Team]],Dyno_Data[RecordType],"StartMatch",Dyno_Data[Match],Dyno_Data[[#This Row],[Match]]),0)*86400),0)</f>
        <v>0</v>
      </c>
    </row>
    <row r="134" spans="1:35" x14ac:dyDescent="0.3">
      <c r="A134">
        <v>133</v>
      </c>
      <c r="B134" t="s">
        <v>1290</v>
      </c>
      <c r="C134">
        <v>3</v>
      </c>
      <c r="D134" s="105">
        <v>45373.39001354167</v>
      </c>
      <c r="E134" t="s">
        <v>312</v>
      </c>
      <c r="F134" t="s">
        <v>1402</v>
      </c>
      <c r="G134">
        <v>0</v>
      </c>
      <c r="H134" t="s">
        <v>315</v>
      </c>
      <c r="I134">
        <v>0</v>
      </c>
      <c r="J134">
        <v>0</v>
      </c>
      <c r="K134">
        <v>0</v>
      </c>
      <c r="L134" t="s">
        <v>240</v>
      </c>
      <c r="M134" t="s">
        <v>1398</v>
      </c>
      <c r="N134">
        <v>0</v>
      </c>
      <c r="O134" t="s">
        <v>1395</v>
      </c>
      <c r="P134" t="s">
        <v>310</v>
      </c>
      <c r="Q134" t="s">
        <v>310</v>
      </c>
      <c r="R134" t="s">
        <v>310</v>
      </c>
      <c r="S134">
        <v>9</v>
      </c>
      <c r="T134" t="s">
        <v>310</v>
      </c>
      <c r="U134">
        <v>9</v>
      </c>
      <c r="V134">
        <v>9</v>
      </c>
      <c r="W134">
        <v>0</v>
      </c>
      <c r="X134">
        <v>0</v>
      </c>
      <c r="Y134">
        <v>0</v>
      </c>
      <c r="Z134">
        <v>0</v>
      </c>
      <c r="AA134">
        <v>9</v>
      </c>
      <c r="AB134">
        <v>9</v>
      </c>
      <c r="AC134" t="s">
        <v>310</v>
      </c>
      <c r="AD134">
        <v>9</v>
      </c>
      <c r="AE134" t="s">
        <v>1396</v>
      </c>
      <c r="AF134">
        <v>20000000</v>
      </c>
      <c r="AG134" t="s">
        <v>310</v>
      </c>
      <c r="AH134">
        <f>SUM((MID(Dyno_Data[[#This Row],[Team]],4,5))+(Dyno_Data[[#This Row],[Match]]/100))</f>
        <v>5881.03</v>
      </c>
      <c r="AI134" s="76">
        <f>ROUND(SUM(IF(Dyno_Data[[#This Row],[AcqCenter]]&gt;0,Dyno_Data[[#This Row],[Time]]-SUMIFS(Dyno_Data[Time],Dyno_Data[Team],Dyno_Data[[#This Row],[Team]],Dyno_Data[RecordType],"StartMatch",Dyno_Data[Match],Dyno_Data[[#This Row],[Match]]),0)*86400),0)</f>
        <v>0</v>
      </c>
    </row>
    <row r="135" spans="1:35" x14ac:dyDescent="0.3">
      <c r="A135">
        <v>134</v>
      </c>
      <c r="B135" t="s">
        <v>367</v>
      </c>
      <c r="C135">
        <v>3</v>
      </c>
      <c r="D135" s="105">
        <v>45373.390022106483</v>
      </c>
      <c r="E135" t="s">
        <v>312</v>
      </c>
      <c r="F135" t="s">
        <v>1402</v>
      </c>
      <c r="G135">
        <v>0</v>
      </c>
      <c r="H135" t="s">
        <v>315</v>
      </c>
      <c r="I135">
        <v>0</v>
      </c>
      <c r="J135">
        <v>0</v>
      </c>
      <c r="K135">
        <v>0</v>
      </c>
      <c r="L135" t="s">
        <v>240</v>
      </c>
      <c r="M135" t="s">
        <v>1398</v>
      </c>
      <c r="N135">
        <v>0</v>
      </c>
      <c r="O135" t="s">
        <v>311</v>
      </c>
      <c r="P135" t="s">
        <v>310</v>
      </c>
      <c r="Q135" t="s">
        <v>310</v>
      </c>
      <c r="R135" t="s">
        <v>310</v>
      </c>
      <c r="S135">
        <v>9</v>
      </c>
      <c r="T135" t="s">
        <v>310</v>
      </c>
      <c r="U135">
        <v>9</v>
      </c>
      <c r="V135">
        <v>9</v>
      </c>
      <c r="W135">
        <v>0</v>
      </c>
      <c r="X135">
        <v>0</v>
      </c>
      <c r="Y135">
        <v>0</v>
      </c>
      <c r="Z135">
        <v>0</v>
      </c>
      <c r="AA135">
        <v>9</v>
      </c>
      <c r="AB135">
        <v>9</v>
      </c>
      <c r="AC135" t="s">
        <v>310</v>
      </c>
      <c r="AD135">
        <v>9</v>
      </c>
      <c r="AE135" t="s">
        <v>1387</v>
      </c>
      <c r="AF135">
        <v>10000000</v>
      </c>
      <c r="AG135" t="s">
        <v>310</v>
      </c>
      <c r="AH135">
        <f>SUM((MID(Dyno_Data[[#This Row],[Team]],4,5))+(Dyno_Data[[#This Row],[Match]]/100))</f>
        <v>5016.03</v>
      </c>
      <c r="AI135" s="76">
        <f>ROUND(SUM(IF(Dyno_Data[[#This Row],[AcqCenter]]&gt;0,Dyno_Data[[#This Row],[Time]]-SUMIFS(Dyno_Data[Time],Dyno_Data[Team],Dyno_Data[[#This Row],[Team]],Dyno_Data[RecordType],"StartMatch",Dyno_Data[Match],Dyno_Data[[#This Row],[Match]]),0)*86400),0)</f>
        <v>0</v>
      </c>
    </row>
    <row r="136" spans="1:35" x14ac:dyDescent="0.3">
      <c r="A136">
        <v>135</v>
      </c>
      <c r="B136" t="s">
        <v>1291</v>
      </c>
      <c r="C136">
        <v>3</v>
      </c>
      <c r="D136" s="105">
        <v>45373.390071412039</v>
      </c>
      <c r="E136" t="s">
        <v>312</v>
      </c>
      <c r="F136" t="s">
        <v>1402</v>
      </c>
      <c r="G136">
        <v>0</v>
      </c>
      <c r="H136" t="s">
        <v>315</v>
      </c>
      <c r="I136">
        <v>0</v>
      </c>
      <c r="J136">
        <v>0</v>
      </c>
      <c r="K136">
        <v>0</v>
      </c>
      <c r="L136" t="s">
        <v>241</v>
      </c>
      <c r="M136" t="s">
        <v>101</v>
      </c>
      <c r="N136">
        <v>0</v>
      </c>
      <c r="O136" t="s">
        <v>1391</v>
      </c>
      <c r="P136" t="s">
        <v>310</v>
      </c>
      <c r="Q136" t="s">
        <v>310</v>
      </c>
      <c r="R136" t="s">
        <v>310</v>
      </c>
      <c r="S136">
        <v>9</v>
      </c>
      <c r="T136" t="s">
        <v>310</v>
      </c>
      <c r="U136">
        <v>9</v>
      </c>
      <c r="V136">
        <v>9</v>
      </c>
      <c r="W136">
        <v>0</v>
      </c>
      <c r="X136">
        <v>0</v>
      </c>
      <c r="Y136">
        <v>0</v>
      </c>
      <c r="Z136">
        <v>0</v>
      </c>
      <c r="AA136">
        <v>9</v>
      </c>
      <c r="AB136">
        <v>9</v>
      </c>
      <c r="AC136" t="s">
        <v>310</v>
      </c>
      <c r="AD136">
        <v>9</v>
      </c>
      <c r="AE136" t="s">
        <v>1392</v>
      </c>
      <c r="AF136">
        <v>40000000</v>
      </c>
      <c r="AG136" t="s">
        <v>310</v>
      </c>
      <c r="AH136">
        <f>SUM((MID(Dyno_Data[[#This Row],[Team]],4,5))+(Dyno_Data[[#This Row],[Match]]/100))</f>
        <v>1493.03</v>
      </c>
      <c r="AI136" s="76">
        <f>ROUND(SUM(IF(Dyno_Data[[#This Row],[AcqCenter]]&gt;0,Dyno_Data[[#This Row],[Time]]-SUMIFS(Dyno_Data[Time],Dyno_Data[Team],Dyno_Data[[#This Row],[Team]],Dyno_Data[RecordType],"StartMatch",Dyno_Data[Match],Dyno_Data[[#This Row],[Match]]),0)*86400),0)</f>
        <v>0</v>
      </c>
    </row>
    <row r="137" spans="1:35" x14ac:dyDescent="0.3">
      <c r="A137">
        <v>136</v>
      </c>
      <c r="B137" t="s">
        <v>1291</v>
      </c>
      <c r="C137">
        <v>3</v>
      </c>
      <c r="D137" s="105">
        <v>45373.390218402776</v>
      </c>
      <c r="E137" t="s">
        <v>312</v>
      </c>
      <c r="F137" t="s">
        <v>1402</v>
      </c>
      <c r="G137">
        <v>0</v>
      </c>
      <c r="H137" t="s">
        <v>315</v>
      </c>
      <c r="I137">
        <v>0</v>
      </c>
      <c r="J137">
        <v>0</v>
      </c>
      <c r="K137">
        <v>0</v>
      </c>
      <c r="L137" t="s">
        <v>240</v>
      </c>
      <c r="M137" t="s">
        <v>1398</v>
      </c>
      <c r="N137">
        <v>0</v>
      </c>
      <c r="O137" t="s">
        <v>1391</v>
      </c>
      <c r="P137" t="s">
        <v>310</v>
      </c>
      <c r="Q137" t="s">
        <v>310</v>
      </c>
      <c r="R137" t="s">
        <v>310</v>
      </c>
      <c r="S137">
        <v>9</v>
      </c>
      <c r="T137" t="s">
        <v>310</v>
      </c>
      <c r="U137">
        <v>9</v>
      </c>
      <c r="V137">
        <v>9</v>
      </c>
      <c r="W137">
        <v>0</v>
      </c>
      <c r="X137">
        <v>0</v>
      </c>
      <c r="Y137">
        <v>0</v>
      </c>
      <c r="Z137">
        <v>0</v>
      </c>
      <c r="AA137">
        <v>9</v>
      </c>
      <c r="AB137">
        <v>9</v>
      </c>
      <c r="AC137" t="s">
        <v>310</v>
      </c>
      <c r="AD137">
        <v>9</v>
      </c>
      <c r="AE137" t="s">
        <v>1392</v>
      </c>
      <c r="AF137">
        <v>50000000</v>
      </c>
      <c r="AG137" t="s">
        <v>310</v>
      </c>
      <c r="AH137">
        <f>SUM((MID(Dyno_Data[[#This Row],[Team]],4,5))+(Dyno_Data[[#This Row],[Match]]/100))</f>
        <v>1493.03</v>
      </c>
      <c r="AI137" s="76">
        <f>ROUND(SUM(IF(Dyno_Data[[#This Row],[AcqCenter]]&gt;0,Dyno_Data[[#This Row],[Time]]-SUMIFS(Dyno_Data[Time],Dyno_Data[Team],Dyno_Data[[#This Row],[Team]],Dyno_Data[RecordType],"StartMatch",Dyno_Data[Match],Dyno_Data[[#This Row],[Match]]),0)*86400),0)</f>
        <v>0</v>
      </c>
    </row>
    <row r="138" spans="1:35" x14ac:dyDescent="0.3">
      <c r="A138">
        <v>137</v>
      </c>
      <c r="B138" t="s">
        <v>367</v>
      </c>
      <c r="C138">
        <v>3</v>
      </c>
      <c r="D138" s="105">
        <v>45373.390232060185</v>
      </c>
      <c r="E138" t="s">
        <v>312</v>
      </c>
      <c r="F138" t="s">
        <v>1402</v>
      </c>
      <c r="G138">
        <v>0</v>
      </c>
      <c r="H138" t="s">
        <v>315</v>
      </c>
      <c r="I138">
        <v>0</v>
      </c>
      <c r="J138">
        <v>0</v>
      </c>
      <c r="K138">
        <v>0</v>
      </c>
      <c r="L138" t="s">
        <v>241</v>
      </c>
      <c r="M138" t="s">
        <v>1398</v>
      </c>
      <c r="N138">
        <v>1</v>
      </c>
      <c r="O138" t="s">
        <v>311</v>
      </c>
      <c r="P138" t="s">
        <v>310</v>
      </c>
      <c r="Q138" t="s">
        <v>310</v>
      </c>
      <c r="R138" t="s">
        <v>310</v>
      </c>
      <c r="S138">
        <v>9</v>
      </c>
      <c r="T138" t="s">
        <v>310</v>
      </c>
      <c r="U138">
        <v>9</v>
      </c>
      <c r="V138">
        <v>9</v>
      </c>
      <c r="W138">
        <v>0</v>
      </c>
      <c r="X138">
        <v>0</v>
      </c>
      <c r="Y138">
        <v>0</v>
      </c>
      <c r="Z138">
        <v>0</v>
      </c>
      <c r="AA138">
        <v>9</v>
      </c>
      <c r="AB138">
        <v>9</v>
      </c>
      <c r="AC138" t="s">
        <v>310</v>
      </c>
      <c r="AD138">
        <v>9</v>
      </c>
      <c r="AE138" t="s">
        <v>1387</v>
      </c>
      <c r="AF138">
        <v>20000000</v>
      </c>
      <c r="AG138" t="s">
        <v>310</v>
      </c>
      <c r="AH138">
        <f>SUM((MID(Dyno_Data[[#This Row],[Team]],4,5))+(Dyno_Data[[#This Row],[Match]]/100))</f>
        <v>5016.03</v>
      </c>
      <c r="AI138" s="76">
        <f>ROUND(SUM(IF(Dyno_Data[[#This Row],[AcqCenter]]&gt;0,Dyno_Data[[#This Row],[Time]]-SUMIFS(Dyno_Data[Time],Dyno_Data[Team],Dyno_Data[[#This Row],[Team]],Dyno_Data[RecordType],"StartMatch",Dyno_Data[Match],Dyno_Data[[#This Row],[Match]]),0)*86400),0)</f>
        <v>0</v>
      </c>
    </row>
    <row r="139" spans="1:35" x14ac:dyDescent="0.3">
      <c r="A139">
        <v>138</v>
      </c>
      <c r="B139" t="s">
        <v>367</v>
      </c>
      <c r="C139">
        <v>3</v>
      </c>
      <c r="D139" s="105">
        <v>45373.390367476852</v>
      </c>
      <c r="E139" t="s">
        <v>312</v>
      </c>
      <c r="F139" t="s">
        <v>1402</v>
      </c>
      <c r="G139">
        <v>0</v>
      </c>
      <c r="H139" t="s">
        <v>315</v>
      </c>
      <c r="I139">
        <v>0</v>
      </c>
      <c r="J139">
        <v>0</v>
      </c>
      <c r="K139">
        <v>0</v>
      </c>
      <c r="L139" t="s">
        <v>240</v>
      </c>
      <c r="M139" t="s">
        <v>1398</v>
      </c>
      <c r="N139">
        <v>0</v>
      </c>
      <c r="O139" t="s">
        <v>311</v>
      </c>
      <c r="P139" t="s">
        <v>310</v>
      </c>
      <c r="Q139" t="s">
        <v>310</v>
      </c>
      <c r="R139" t="s">
        <v>310</v>
      </c>
      <c r="S139">
        <v>9</v>
      </c>
      <c r="T139" t="s">
        <v>310</v>
      </c>
      <c r="U139">
        <v>9</v>
      </c>
      <c r="V139">
        <v>9</v>
      </c>
      <c r="W139">
        <v>0</v>
      </c>
      <c r="X139">
        <v>0</v>
      </c>
      <c r="Y139">
        <v>0</v>
      </c>
      <c r="Z139">
        <v>0</v>
      </c>
      <c r="AA139">
        <v>9</v>
      </c>
      <c r="AB139">
        <v>9</v>
      </c>
      <c r="AC139" t="s">
        <v>310</v>
      </c>
      <c r="AD139">
        <v>9</v>
      </c>
      <c r="AE139" t="s">
        <v>1387</v>
      </c>
      <c r="AF139">
        <v>30000000</v>
      </c>
      <c r="AG139" t="s">
        <v>310</v>
      </c>
      <c r="AH139">
        <f>SUM((MID(Dyno_Data[[#This Row],[Team]],4,5))+(Dyno_Data[[#This Row],[Match]]/100))</f>
        <v>5016.03</v>
      </c>
      <c r="AI139" s="76">
        <f>ROUND(SUM(IF(Dyno_Data[[#This Row],[AcqCenter]]&gt;0,Dyno_Data[[#This Row],[Time]]-SUMIFS(Dyno_Data[Time],Dyno_Data[Team],Dyno_Data[[#This Row],[Team]],Dyno_Data[RecordType],"StartMatch",Dyno_Data[Match],Dyno_Data[[#This Row],[Match]]),0)*86400),0)</f>
        <v>0</v>
      </c>
    </row>
    <row r="140" spans="1:35" x14ac:dyDescent="0.3">
      <c r="A140">
        <v>139</v>
      </c>
      <c r="B140" t="s">
        <v>1290</v>
      </c>
      <c r="C140">
        <v>3</v>
      </c>
      <c r="D140" s="105">
        <v>45373.390368946762</v>
      </c>
      <c r="E140" t="s">
        <v>312</v>
      </c>
      <c r="F140" t="s">
        <v>1402</v>
      </c>
      <c r="G140">
        <v>0</v>
      </c>
      <c r="H140" t="s">
        <v>315</v>
      </c>
      <c r="I140">
        <v>0</v>
      </c>
      <c r="J140">
        <v>0</v>
      </c>
      <c r="K140">
        <v>0</v>
      </c>
      <c r="L140" t="s">
        <v>240</v>
      </c>
      <c r="M140" t="s">
        <v>1398</v>
      </c>
      <c r="N140">
        <v>1</v>
      </c>
      <c r="O140" t="s">
        <v>1395</v>
      </c>
      <c r="P140" t="s">
        <v>310</v>
      </c>
      <c r="Q140" t="s">
        <v>310</v>
      </c>
      <c r="R140" t="s">
        <v>310</v>
      </c>
      <c r="S140">
        <v>9</v>
      </c>
      <c r="T140" t="s">
        <v>310</v>
      </c>
      <c r="U140">
        <v>9</v>
      </c>
      <c r="V140">
        <v>9</v>
      </c>
      <c r="W140">
        <v>0</v>
      </c>
      <c r="X140">
        <v>0</v>
      </c>
      <c r="Y140">
        <v>0</v>
      </c>
      <c r="Z140">
        <v>0</v>
      </c>
      <c r="AA140">
        <v>9</v>
      </c>
      <c r="AB140">
        <v>9</v>
      </c>
      <c r="AC140" t="s">
        <v>310</v>
      </c>
      <c r="AD140">
        <v>9</v>
      </c>
      <c r="AE140" t="s">
        <v>1396</v>
      </c>
      <c r="AF140">
        <v>30000000</v>
      </c>
      <c r="AG140" t="s">
        <v>310</v>
      </c>
      <c r="AH140">
        <f>SUM((MID(Dyno_Data[[#This Row],[Team]],4,5))+(Dyno_Data[[#This Row],[Match]]/100))</f>
        <v>5881.03</v>
      </c>
      <c r="AI140" s="76">
        <f>ROUND(SUM(IF(Dyno_Data[[#This Row],[AcqCenter]]&gt;0,Dyno_Data[[#This Row],[Time]]-SUMIFS(Dyno_Data[Time],Dyno_Data[Team],Dyno_Data[[#This Row],[Team]],Dyno_Data[RecordType],"StartMatch",Dyno_Data[Match],Dyno_Data[[#This Row],[Match]]),0)*86400),0)</f>
        <v>0</v>
      </c>
    </row>
    <row r="141" spans="1:35" x14ac:dyDescent="0.3">
      <c r="A141">
        <v>140</v>
      </c>
      <c r="B141" t="s">
        <v>1291</v>
      </c>
      <c r="C141">
        <v>3</v>
      </c>
      <c r="D141" s="105">
        <v>45373.390431863423</v>
      </c>
      <c r="E141" t="s">
        <v>312</v>
      </c>
      <c r="F141" t="s">
        <v>1402</v>
      </c>
      <c r="G141">
        <v>0</v>
      </c>
      <c r="H141" t="s">
        <v>315</v>
      </c>
      <c r="I141">
        <v>0</v>
      </c>
      <c r="J141">
        <v>0</v>
      </c>
      <c r="K141">
        <v>0</v>
      </c>
      <c r="L141" t="s">
        <v>240</v>
      </c>
      <c r="M141" t="s">
        <v>1398</v>
      </c>
      <c r="N141">
        <v>0</v>
      </c>
      <c r="O141" t="s">
        <v>1391</v>
      </c>
      <c r="P141" t="s">
        <v>310</v>
      </c>
      <c r="Q141" t="s">
        <v>310</v>
      </c>
      <c r="R141" t="s">
        <v>310</v>
      </c>
      <c r="S141">
        <v>9</v>
      </c>
      <c r="T141" t="s">
        <v>310</v>
      </c>
      <c r="U141">
        <v>9</v>
      </c>
      <c r="V141">
        <v>9</v>
      </c>
      <c r="W141">
        <v>0</v>
      </c>
      <c r="X141">
        <v>0</v>
      </c>
      <c r="Y141">
        <v>0</v>
      </c>
      <c r="Z141">
        <v>0</v>
      </c>
      <c r="AA141">
        <v>9</v>
      </c>
      <c r="AB141">
        <v>9</v>
      </c>
      <c r="AC141" t="s">
        <v>310</v>
      </c>
      <c r="AD141">
        <v>9</v>
      </c>
      <c r="AE141" t="s">
        <v>1392</v>
      </c>
      <c r="AF141">
        <v>60000000</v>
      </c>
      <c r="AG141" t="s">
        <v>310</v>
      </c>
      <c r="AH141">
        <f>SUM((MID(Dyno_Data[[#This Row],[Team]],4,5))+(Dyno_Data[[#This Row],[Match]]/100))</f>
        <v>1493.03</v>
      </c>
      <c r="AI141" s="76">
        <f>ROUND(SUM(IF(Dyno_Data[[#This Row],[AcqCenter]]&gt;0,Dyno_Data[[#This Row],[Time]]-SUMIFS(Dyno_Data[Time],Dyno_Data[Team],Dyno_Data[[#This Row],[Team]],Dyno_Data[RecordType],"StartMatch",Dyno_Data[Match],Dyno_Data[[#This Row],[Match]]),0)*86400),0)</f>
        <v>0</v>
      </c>
    </row>
    <row r="142" spans="1:35" x14ac:dyDescent="0.3">
      <c r="A142">
        <v>141</v>
      </c>
      <c r="B142" t="s">
        <v>1290</v>
      </c>
      <c r="C142">
        <v>3</v>
      </c>
      <c r="D142" s="105">
        <v>45373.390452118052</v>
      </c>
      <c r="E142" t="s">
        <v>312</v>
      </c>
      <c r="F142" t="s">
        <v>1402</v>
      </c>
      <c r="G142">
        <v>0</v>
      </c>
      <c r="H142" t="s">
        <v>315</v>
      </c>
      <c r="I142">
        <v>0</v>
      </c>
      <c r="J142">
        <v>0</v>
      </c>
      <c r="K142">
        <v>0</v>
      </c>
      <c r="L142" t="s">
        <v>240</v>
      </c>
      <c r="M142" t="s">
        <v>1398</v>
      </c>
      <c r="N142">
        <v>1</v>
      </c>
      <c r="O142" t="s">
        <v>1395</v>
      </c>
      <c r="P142" t="s">
        <v>310</v>
      </c>
      <c r="Q142" t="s">
        <v>310</v>
      </c>
      <c r="R142" t="s">
        <v>310</v>
      </c>
      <c r="S142">
        <v>9</v>
      </c>
      <c r="T142" t="s">
        <v>310</v>
      </c>
      <c r="U142">
        <v>9</v>
      </c>
      <c r="V142">
        <v>9</v>
      </c>
      <c r="W142">
        <v>0</v>
      </c>
      <c r="X142">
        <v>0</v>
      </c>
      <c r="Y142">
        <v>0</v>
      </c>
      <c r="Z142">
        <v>0</v>
      </c>
      <c r="AA142">
        <v>9</v>
      </c>
      <c r="AB142">
        <v>9</v>
      </c>
      <c r="AC142" t="s">
        <v>310</v>
      </c>
      <c r="AD142">
        <v>9</v>
      </c>
      <c r="AE142" t="s">
        <v>1396</v>
      </c>
      <c r="AF142">
        <v>40000000</v>
      </c>
      <c r="AG142" t="s">
        <v>310</v>
      </c>
      <c r="AH142">
        <f>SUM((MID(Dyno_Data[[#This Row],[Team]],4,5))+(Dyno_Data[[#This Row],[Match]]/100))</f>
        <v>5881.03</v>
      </c>
      <c r="AI142" s="76">
        <f>ROUND(SUM(IF(Dyno_Data[[#This Row],[AcqCenter]]&gt;0,Dyno_Data[[#This Row],[Time]]-SUMIFS(Dyno_Data[Time],Dyno_Data[Team],Dyno_Data[[#This Row],[Team]],Dyno_Data[RecordType],"StartMatch",Dyno_Data[Match],Dyno_Data[[#This Row],[Match]]),0)*86400),0)</f>
        <v>0</v>
      </c>
    </row>
    <row r="143" spans="1:35" x14ac:dyDescent="0.3">
      <c r="A143">
        <v>142</v>
      </c>
      <c r="B143" t="s">
        <v>1290</v>
      </c>
      <c r="C143">
        <v>3</v>
      </c>
      <c r="D143" s="105">
        <v>45373.390519363427</v>
      </c>
      <c r="E143" t="s">
        <v>312</v>
      </c>
      <c r="F143" t="s">
        <v>1402</v>
      </c>
      <c r="G143">
        <v>0</v>
      </c>
      <c r="H143" t="s">
        <v>315</v>
      </c>
      <c r="I143">
        <v>0</v>
      </c>
      <c r="J143">
        <v>0</v>
      </c>
      <c r="K143">
        <v>0</v>
      </c>
      <c r="L143" t="s">
        <v>240</v>
      </c>
      <c r="M143" t="s">
        <v>1398</v>
      </c>
      <c r="N143">
        <v>1</v>
      </c>
      <c r="O143" t="s">
        <v>1395</v>
      </c>
      <c r="P143" t="s">
        <v>310</v>
      </c>
      <c r="Q143" t="s">
        <v>310</v>
      </c>
      <c r="R143" t="s">
        <v>310</v>
      </c>
      <c r="S143">
        <v>9</v>
      </c>
      <c r="T143" t="s">
        <v>310</v>
      </c>
      <c r="U143">
        <v>9</v>
      </c>
      <c r="V143">
        <v>9</v>
      </c>
      <c r="W143">
        <v>0</v>
      </c>
      <c r="X143">
        <v>0</v>
      </c>
      <c r="Y143">
        <v>0</v>
      </c>
      <c r="Z143">
        <v>0</v>
      </c>
      <c r="AA143">
        <v>9</v>
      </c>
      <c r="AB143">
        <v>9</v>
      </c>
      <c r="AC143" t="s">
        <v>310</v>
      </c>
      <c r="AD143">
        <v>9</v>
      </c>
      <c r="AE143" t="s">
        <v>1396</v>
      </c>
      <c r="AF143">
        <v>50000000</v>
      </c>
      <c r="AG143" t="s">
        <v>310</v>
      </c>
      <c r="AH143">
        <f>SUM((MID(Dyno_Data[[#This Row],[Team]],4,5))+(Dyno_Data[[#This Row],[Match]]/100))</f>
        <v>5881.03</v>
      </c>
      <c r="AI143" s="76">
        <f>ROUND(SUM(IF(Dyno_Data[[#This Row],[AcqCenter]]&gt;0,Dyno_Data[[#This Row],[Time]]-SUMIFS(Dyno_Data[Time],Dyno_Data[Team],Dyno_Data[[#This Row],[Team]],Dyno_Data[RecordType],"StartMatch",Dyno_Data[Match],Dyno_Data[[#This Row],[Match]]),0)*86400),0)</f>
        <v>0</v>
      </c>
    </row>
    <row r="144" spans="1:35" x14ac:dyDescent="0.3">
      <c r="A144">
        <v>143</v>
      </c>
      <c r="B144" t="s">
        <v>1291</v>
      </c>
      <c r="C144">
        <v>3</v>
      </c>
      <c r="D144" s="105">
        <v>45373.390626539353</v>
      </c>
      <c r="E144" t="s">
        <v>312</v>
      </c>
      <c r="F144" t="s">
        <v>1402</v>
      </c>
      <c r="G144">
        <v>0</v>
      </c>
      <c r="H144" t="s">
        <v>315</v>
      </c>
      <c r="I144">
        <v>0</v>
      </c>
      <c r="J144">
        <v>0</v>
      </c>
      <c r="K144">
        <v>0</v>
      </c>
      <c r="L144" t="s">
        <v>240</v>
      </c>
      <c r="M144" t="s">
        <v>1398</v>
      </c>
      <c r="N144">
        <v>0</v>
      </c>
      <c r="O144" t="s">
        <v>1391</v>
      </c>
      <c r="P144" t="s">
        <v>310</v>
      </c>
      <c r="Q144" t="s">
        <v>310</v>
      </c>
      <c r="R144" t="s">
        <v>310</v>
      </c>
      <c r="S144">
        <v>9</v>
      </c>
      <c r="T144" t="s">
        <v>310</v>
      </c>
      <c r="U144">
        <v>9</v>
      </c>
      <c r="V144">
        <v>9</v>
      </c>
      <c r="W144">
        <v>0</v>
      </c>
      <c r="X144">
        <v>0</v>
      </c>
      <c r="Y144">
        <v>0</v>
      </c>
      <c r="Z144">
        <v>0</v>
      </c>
      <c r="AA144">
        <v>9</v>
      </c>
      <c r="AB144">
        <v>9</v>
      </c>
      <c r="AC144" t="s">
        <v>310</v>
      </c>
      <c r="AD144">
        <v>9</v>
      </c>
      <c r="AE144" t="s">
        <v>1392</v>
      </c>
      <c r="AF144">
        <v>70000000</v>
      </c>
      <c r="AG144" t="s">
        <v>310</v>
      </c>
      <c r="AH144">
        <f>SUM((MID(Dyno_Data[[#This Row],[Team]],4,5))+(Dyno_Data[[#This Row],[Match]]/100))</f>
        <v>1493.03</v>
      </c>
      <c r="AI144" s="76">
        <f>ROUND(SUM(IF(Dyno_Data[[#This Row],[AcqCenter]]&gt;0,Dyno_Data[[#This Row],[Time]]-SUMIFS(Dyno_Data[Time],Dyno_Data[Team],Dyno_Data[[#This Row],[Team]],Dyno_Data[RecordType],"StartMatch",Dyno_Data[Match],Dyno_Data[[#This Row],[Match]]),0)*86400),0)</f>
        <v>0</v>
      </c>
    </row>
    <row r="145" spans="1:35" x14ac:dyDescent="0.3">
      <c r="A145">
        <v>144</v>
      </c>
      <c r="B145" t="s">
        <v>1290</v>
      </c>
      <c r="C145">
        <v>3</v>
      </c>
      <c r="D145" s="105">
        <v>45373.390638773148</v>
      </c>
      <c r="E145" t="s">
        <v>312</v>
      </c>
      <c r="F145" t="s">
        <v>1402</v>
      </c>
      <c r="G145">
        <v>0</v>
      </c>
      <c r="H145" t="s">
        <v>315</v>
      </c>
      <c r="I145">
        <v>0</v>
      </c>
      <c r="J145">
        <v>0</v>
      </c>
      <c r="K145">
        <v>0</v>
      </c>
      <c r="L145" t="s">
        <v>240</v>
      </c>
      <c r="M145" t="s">
        <v>1398</v>
      </c>
      <c r="N145">
        <v>1</v>
      </c>
      <c r="O145" t="s">
        <v>1395</v>
      </c>
      <c r="P145" t="s">
        <v>310</v>
      </c>
      <c r="Q145" t="s">
        <v>310</v>
      </c>
      <c r="R145" t="s">
        <v>310</v>
      </c>
      <c r="S145">
        <v>9</v>
      </c>
      <c r="T145" t="s">
        <v>310</v>
      </c>
      <c r="U145">
        <v>9</v>
      </c>
      <c r="V145">
        <v>9</v>
      </c>
      <c r="W145">
        <v>0</v>
      </c>
      <c r="X145">
        <v>0</v>
      </c>
      <c r="Y145">
        <v>0</v>
      </c>
      <c r="Z145">
        <v>0</v>
      </c>
      <c r="AA145">
        <v>9</v>
      </c>
      <c r="AB145">
        <v>9</v>
      </c>
      <c r="AC145" t="s">
        <v>310</v>
      </c>
      <c r="AD145">
        <v>9</v>
      </c>
      <c r="AE145" t="s">
        <v>1396</v>
      </c>
      <c r="AF145">
        <v>60000000</v>
      </c>
      <c r="AG145" t="s">
        <v>310</v>
      </c>
      <c r="AH145">
        <f>SUM((MID(Dyno_Data[[#This Row],[Team]],4,5))+(Dyno_Data[[#This Row],[Match]]/100))</f>
        <v>5881.03</v>
      </c>
      <c r="AI145" s="76">
        <f>ROUND(SUM(IF(Dyno_Data[[#This Row],[AcqCenter]]&gt;0,Dyno_Data[[#This Row],[Time]]-SUMIFS(Dyno_Data[Time],Dyno_Data[Team],Dyno_Data[[#This Row],[Team]],Dyno_Data[RecordType],"StartMatch",Dyno_Data[Match],Dyno_Data[[#This Row],[Match]]),0)*86400),0)</f>
        <v>0</v>
      </c>
    </row>
    <row r="146" spans="1:35" x14ac:dyDescent="0.3">
      <c r="A146">
        <v>145</v>
      </c>
      <c r="B146" t="s">
        <v>1290</v>
      </c>
      <c r="C146">
        <v>3</v>
      </c>
      <c r="D146" s="105">
        <v>45373.390727777776</v>
      </c>
      <c r="E146" t="s">
        <v>312</v>
      </c>
      <c r="F146" t="s">
        <v>1402</v>
      </c>
      <c r="G146">
        <v>0</v>
      </c>
      <c r="H146" t="s">
        <v>315</v>
      </c>
      <c r="I146">
        <v>0</v>
      </c>
      <c r="J146">
        <v>0</v>
      </c>
      <c r="K146">
        <v>0</v>
      </c>
      <c r="L146" t="s">
        <v>240</v>
      </c>
      <c r="M146" t="s">
        <v>1398</v>
      </c>
      <c r="N146">
        <v>1</v>
      </c>
      <c r="O146" t="s">
        <v>1395</v>
      </c>
      <c r="P146" t="s">
        <v>310</v>
      </c>
      <c r="Q146" t="s">
        <v>310</v>
      </c>
      <c r="R146" t="s">
        <v>310</v>
      </c>
      <c r="S146">
        <v>9</v>
      </c>
      <c r="T146" t="s">
        <v>310</v>
      </c>
      <c r="U146">
        <v>9</v>
      </c>
      <c r="V146">
        <v>9</v>
      </c>
      <c r="W146">
        <v>0</v>
      </c>
      <c r="X146">
        <v>0</v>
      </c>
      <c r="Y146">
        <v>0</v>
      </c>
      <c r="Z146">
        <v>0</v>
      </c>
      <c r="AA146">
        <v>9</v>
      </c>
      <c r="AB146">
        <v>9</v>
      </c>
      <c r="AC146" t="s">
        <v>310</v>
      </c>
      <c r="AD146">
        <v>9</v>
      </c>
      <c r="AE146" t="s">
        <v>1396</v>
      </c>
      <c r="AF146">
        <v>70000000</v>
      </c>
      <c r="AG146" t="s">
        <v>310</v>
      </c>
      <c r="AH146">
        <f>SUM((MID(Dyno_Data[[#This Row],[Team]],4,5))+(Dyno_Data[[#This Row],[Match]]/100))</f>
        <v>5881.03</v>
      </c>
      <c r="AI146" s="76">
        <f>ROUND(SUM(IF(Dyno_Data[[#This Row],[AcqCenter]]&gt;0,Dyno_Data[[#This Row],[Time]]-SUMIFS(Dyno_Data[Time],Dyno_Data[Team],Dyno_Data[[#This Row],[Team]],Dyno_Data[RecordType],"StartMatch",Dyno_Data[Match],Dyno_Data[[#This Row],[Match]]),0)*86400),0)</f>
        <v>0</v>
      </c>
    </row>
    <row r="147" spans="1:35" x14ac:dyDescent="0.3">
      <c r="A147">
        <v>146</v>
      </c>
      <c r="B147" t="s">
        <v>1291</v>
      </c>
      <c r="C147">
        <v>3</v>
      </c>
      <c r="D147" s="105">
        <v>45373.390808912038</v>
      </c>
      <c r="E147" t="s">
        <v>312</v>
      </c>
      <c r="F147" t="s">
        <v>1402</v>
      </c>
      <c r="G147">
        <v>0</v>
      </c>
      <c r="H147" t="s">
        <v>315</v>
      </c>
      <c r="I147">
        <v>0</v>
      </c>
      <c r="J147">
        <v>0</v>
      </c>
      <c r="K147">
        <v>0</v>
      </c>
      <c r="L147" t="s">
        <v>240</v>
      </c>
      <c r="M147" t="s">
        <v>1398</v>
      </c>
      <c r="N147">
        <v>0</v>
      </c>
      <c r="O147" t="s">
        <v>1391</v>
      </c>
      <c r="P147" t="s">
        <v>310</v>
      </c>
      <c r="Q147" t="s">
        <v>310</v>
      </c>
      <c r="R147" t="s">
        <v>310</v>
      </c>
      <c r="S147">
        <v>9</v>
      </c>
      <c r="T147" t="s">
        <v>310</v>
      </c>
      <c r="U147">
        <v>9</v>
      </c>
      <c r="V147">
        <v>9</v>
      </c>
      <c r="W147">
        <v>0</v>
      </c>
      <c r="X147">
        <v>0</v>
      </c>
      <c r="Y147">
        <v>0</v>
      </c>
      <c r="Z147">
        <v>0</v>
      </c>
      <c r="AA147">
        <v>9</v>
      </c>
      <c r="AB147">
        <v>9</v>
      </c>
      <c r="AC147" t="s">
        <v>310</v>
      </c>
      <c r="AD147">
        <v>9</v>
      </c>
      <c r="AE147" t="s">
        <v>1392</v>
      </c>
      <c r="AF147">
        <v>80000000</v>
      </c>
      <c r="AG147" t="s">
        <v>310</v>
      </c>
      <c r="AH147">
        <f>SUM((MID(Dyno_Data[[#This Row],[Team]],4,5))+(Dyno_Data[[#This Row],[Match]]/100))</f>
        <v>1493.03</v>
      </c>
      <c r="AI147" s="76">
        <f>ROUND(SUM(IF(Dyno_Data[[#This Row],[AcqCenter]]&gt;0,Dyno_Data[[#This Row],[Time]]-SUMIFS(Dyno_Data[Time],Dyno_Data[Team],Dyno_Data[[#This Row],[Team]],Dyno_Data[RecordType],"StartMatch",Dyno_Data[Match],Dyno_Data[[#This Row],[Match]]),0)*86400),0)</f>
        <v>0</v>
      </c>
    </row>
    <row r="148" spans="1:35" x14ac:dyDescent="0.3">
      <c r="A148">
        <v>147</v>
      </c>
      <c r="B148" t="s">
        <v>1290</v>
      </c>
      <c r="C148">
        <v>3</v>
      </c>
      <c r="D148" s="105">
        <v>45373.39083989583</v>
      </c>
      <c r="E148" t="s">
        <v>312</v>
      </c>
      <c r="F148" t="s">
        <v>1402</v>
      </c>
      <c r="G148">
        <v>0</v>
      </c>
      <c r="H148" t="s">
        <v>315</v>
      </c>
      <c r="I148">
        <v>0</v>
      </c>
      <c r="J148">
        <v>0</v>
      </c>
      <c r="K148">
        <v>0</v>
      </c>
      <c r="L148" t="s">
        <v>240</v>
      </c>
      <c r="M148" t="s">
        <v>1398</v>
      </c>
      <c r="N148">
        <v>1</v>
      </c>
      <c r="O148" t="s">
        <v>1395</v>
      </c>
      <c r="P148" t="s">
        <v>310</v>
      </c>
      <c r="Q148" t="s">
        <v>310</v>
      </c>
      <c r="R148" t="s">
        <v>310</v>
      </c>
      <c r="S148">
        <v>9</v>
      </c>
      <c r="T148" t="s">
        <v>310</v>
      </c>
      <c r="U148">
        <v>9</v>
      </c>
      <c r="V148">
        <v>9</v>
      </c>
      <c r="W148">
        <v>0</v>
      </c>
      <c r="X148">
        <v>0</v>
      </c>
      <c r="Y148">
        <v>0</v>
      </c>
      <c r="Z148">
        <v>0</v>
      </c>
      <c r="AA148">
        <v>9</v>
      </c>
      <c r="AB148">
        <v>9</v>
      </c>
      <c r="AC148" t="s">
        <v>310</v>
      </c>
      <c r="AD148">
        <v>9</v>
      </c>
      <c r="AE148" t="s">
        <v>1396</v>
      </c>
      <c r="AF148">
        <v>80000000</v>
      </c>
      <c r="AG148" t="s">
        <v>310</v>
      </c>
      <c r="AH148">
        <f>SUM((MID(Dyno_Data[[#This Row],[Team]],4,5))+(Dyno_Data[[#This Row],[Match]]/100))</f>
        <v>5881.03</v>
      </c>
      <c r="AI148" s="76">
        <f>ROUND(SUM(IF(Dyno_Data[[#This Row],[AcqCenter]]&gt;0,Dyno_Data[[#This Row],[Time]]-SUMIFS(Dyno_Data[Time],Dyno_Data[Team],Dyno_Data[[#This Row],[Team]],Dyno_Data[RecordType],"StartMatch",Dyno_Data[Match],Dyno_Data[[#This Row],[Match]]),0)*86400),0)</f>
        <v>0</v>
      </c>
    </row>
    <row r="149" spans="1:35" x14ac:dyDescent="0.3">
      <c r="A149">
        <v>148</v>
      </c>
      <c r="B149" t="s">
        <v>367</v>
      </c>
      <c r="C149">
        <v>3</v>
      </c>
      <c r="D149" s="105">
        <v>45373.390905324071</v>
      </c>
      <c r="E149" t="s">
        <v>312</v>
      </c>
      <c r="F149" t="s">
        <v>1402</v>
      </c>
      <c r="G149">
        <v>0</v>
      </c>
      <c r="H149" t="s">
        <v>315</v>
      </c>
      <c r="I149">
        <v>0</v>
      </c>
      <c r="J149">
        <v>0</v>
      </c>
      <c r="K149">
        <v>0</v>
      </c>
      <c r="L149" t="s">
        <v>240</v>
      </c>
      <c r="M149" t="s">
        <v>1398</v>
      </c>
      <c r="N149">
        <v>0</v>
      </c>
      <c r="O149" t="s">
        <v>311</v>
      </c>
      <c r="P149" t="s">
        <v>310</v>
      </c>
      <c r="Q149" t="s">
        <v>310</v>
      </c>
      <c r="R149" t="s">
        <v>310</v>
      </c>
      <c r="S149">
        <v>9</v>
      </c>
      <c r="T149" t="s">
        <v>310</v>
      </c>
      <c r="U149">
        <v>9</v>
      </c>
      <c r="V149">
        <v>9</v>
      </c>
      <c r="W149">
        <v>0</v>
      </c>
      <c r="X149">
        <v>0</v>
      </c>
      <c r="Y149">
        <v>0</v>
      </c>
      <c r="Z149">
        <v>0</v>
      </c>
      <c r="AA149">
        <v>9</v>
      </c>
      <c r="AB149">
        <v>9</v>
      </c>
      <c r="AC149" t="s">
        <v>310</v>
      </c>
      <c r="AD149">
        <v>9</v>
      </c>
      <c r="AE149" t="s">
        <v>1387</v>
      </c>
      <c r="AF149">
        <v>40000000</v>
      </c>
      <c r="AG149" t="s">
        <v>310</v>
      </c>
      <c r="AH149">
        <f>SUM((MID(Dyno_Data[[#This Row],[Team]],4,5))+(Dyno_Data[[#This Row],[Match]]/100))</f>
        <v>5016.03</v>
      </c>
      <c r="AI149" s="76">
        <f>ROUND(SUM(IF(Dyno_Data[[#This Row],[AcqCenter]]&gt;0,Dyno_Data[[#This Row],[Time]]-SUMIFS(Dyno_Data[Time],Dyno_Data[Team],Dyno_Data[[#This Row],[Team]],Dyno_Data[RecordType],"StartMatch",Dyno_Data[Match],Dyno_Data[[#This Row],[Match]]),0)*86400),0)</f>
        <v>0</v>
      </c>
    </row>
    <row r="150" spans="1:35" x14ac:dyDescent="0.3">
      <c r="A150">
        <v>149</v>
      </c>
      <c r="B150" t="s">
        <v>1291</v>
      </c>
      <c r="C150">
        <v>3</v>
      </c>
      <c r="D150" s="105">
        <v>45373.390972650464</v>
      </c>
      <c r="E150" t="s">
        <v>312</v>
      </c>
      <c r="F150" t="s">
        <v>1402</v>
      </c>
      <c r="G150">
        <v>0</v>
      </c>
      <c r="H150" t="s">
        <v>315</v>
      </c>
      <c r="I150">
        <v>0</v>
      </c>
      <c r="J150">
        <v>0</v>
      </c>
      <c r="K150">
        <v>0</v>
      </c>
      <c r="L150" t="s">
        <v>240</v>
      </c>
      <c r="M150" t="s">
        <v>1398</v>
      </c>
      <c r="N150">
        <v>0</v>
      </c>
      <c r="O150" t="s">
        <v>1391</v>
      </c>
      <c r="P150" t="s">
        <v>310</v>
      </c>
      <c r="Q150" t="s">
        <v>310</v>
      </c>
      <c r="R150" t="s">
        <v>310</v>
      </c>
      <c r="S150">
        <v>9</v>
      </c>
      <c r="T150" t="s">
        <v>310</v>
      </c>
      <c r="U150">
        <v>9</v>
      </c>
      <c r="V150">
        <v>9</v>
      </c>
      <c r="W150">
        <v>0</v>
      </c>
      <c r="X150">
        <v>0</v>
      </c>
      <c r="Y150">
        <v>0</v>
      </c>
      <c r="Z150">
        <v>0</v>
      </c>
      <c r="AA150">
        <v>9</v>
      </c>
      <c r="AB150">
        <v>9</v>
      </c>
      <c r="AC150" t="s">
        <v>310</v>
      </c>
      <c r="AD150">
        <v>9</v>
      </c>
      <c r="AE150" t="s">
        <v>1392</v>
      </c>
      <c r="AF150">
        <v>90000000</v>
      </c>
      <c r="AG150" t="s">
        <v>310</v>
      </c>
      <c r="AH150">
        <f>SUM((MID(Dyno_Data[[#This Row],[Team]],4,5))+(Dyno_Data[[#This Row],[Match]]/100))</f>
        <v>1493.03</v>
      </c>
      <c r="AI150" s="76">
        <f>ROUND(SUM(IF(Dyno_Data[[#This Row],[AcqCenter]]&gt;0,Dyno_Data[[#This Row],[Time]]-SUMIFS(Dyno_Data[Time],Dyno_Data[Team],Dyno_Data[[#This Row],[Team]],Dyno_Data[RecordType],"StartMatch",Dyno_Data[Match],Dyno_Data[[#This Row],[Match]]),0)*86400),0)</f>
        <v>0</v>
      </c>
    </row>
    <row r="151" spans="1:35" x14ac:dyDescent="0.3">
      <c r="A151">
        <v>150</v>
      </c>
      <c r="B151" t="s">
        <v>1290</v>
      </c>
      <c r="C151">
        <v>3</v>
      </c>
      <c r="D151" s="105">
        <v>45373.391064814816</v>
      </c>
      <c r="E151" t="s">
        <v>312</v>
      </c>
      <c r="F151" t="s">
        <v>1402</v>
      </c>
      <c r="G151">
        <v>0</v>
      </c>
      <c r="H151" t="s">
        <v>315</v>
      </c>
      <c r="I151">
        <v>0</v>
      </c>
      <c r="J151">
        <v>0</v>
      </c>
      <c r="K151">
        <v>0</v>
      </c>
      <c r="L151" t="s">
        <v>240</v>
      </c>
      <c r="M151" t="s">
        <v>1398</v>
      </c>
      <c r="N151">
        <v>0</v>
      </c>
      <c r="O151" t="s">
        <v>1395</v>
      </c>
      <c r="P151" t="s">
        <v>310</v>
      </c>
      <c r="Q151" t="s">
        <v>310</v>
      </c>
      <c r="R151" t="s">
        <v>310</v>
      </c>
      <c r="S151">
        <v>9</v>
      </c>
      <c r="T151" t="s">
        <v>310</v>
      </c>
      <c r="U151">
        <v>9</v>
      </c>
      <c r="V151">
        <v>9</v>
      </c>
      <c r="W151">
        <v>0</v>
      </c>
      <c r="X151">
        <v>0</v>
      </c>
      <c r="Y151">
        <v>0</v>
      </c>
      <c r="Z151">
        <v>0</v>
      </c>
      <c r="AA151">
        <v>9</v>
      </c>
      <c r="AB151">
        <v>9</v>
      </c>
      <c r="AC151" t="s">
        <v>310</v>
      </c>
      <c r="AD151">
        <v>9</v>
      </c>
      <c r="AE151" t="s">
        <v>1396</v>
      </c>
      <c r="AF151">
        <v>90000000</v>
      </c>
      <c r="AG151" t="s">
        <v>310</v>
      </c>
      <c r="AH151">
        <f>SUM((MID(Dyno_Data[[#This Row],[Team]],4,5))+(Dyno_Data[[#This Row],[Match]]/100))</f>
        <v>5881.03</v>
      </c>
      <c r="AI151" s="76">
        <f>ROUND(SUM(IF(Dyno_Data[[#This Row],[AcqCenter]]&gt;0,Dyno_Data[[#This Row],[Time]]-SUMIFS(Dyno_Data[Time],Dyno_Data[Team],Dyno_Data[[#This Row],[Team]],Dyno_Data[RecordType],"StartMatch",Dyno_Data[Match],Dyno_Data[[#This Row],[Match]]),0)*86400),0)</f>
        <v>0</v>
      </c>
    </row>
    <row r="152" spans="1:35" x14ac:dyDescent="0.3">
      <c r="A152">
        <v>151</v>
      </c>
      <c r="B152" t="s">
        <v>1290</v>
      </c>
      <c r="C152">
        <v>3</v>
      </c>
      <c r="D152" s="105">
        <v>45373.391152199074</v>
      </c>
      <c r="E152" t="s">
        <v>312</v>
      </c>
      <c r="F152" t="s">
        <v>1402</v>
      </c>
      <c r="G152">
        <v>0</v>
      </c>
      <c r="H152" t="s">
        <v>315</v>
      </c>
      <c r="I152">
        <v>0</v>
      </c>
      <c r="J152">
        <v>0</v>
      </c>
      <c r="K152">
        <v>0</v>
      </c>
      <c r="L152" t="s">
        <v>241</v>
      </c>
      <c r="M152" t="s">
        <v>1398</v>
      </c>
      <c r="N152">
        <v>1</v>
      </c>
      <c r="O152" t="s">
        <v>1395</v>
      </c>
      <c r="P152" t="s">
        <v>310</v>
      </c>
      <c r="Q152" t="s">
        <v>310</v>
      </c>
      <c r="R152" t="s">
        <v>310</v>
      </c>
      <c r="S152">
        <v>9</v>
      </c>
      <c r="T152" t="s">
        <v>310</v>
      </c>
      <c r="U152">
        <v>9</v>
      </c>
      <c r="V152">
        <v>9</v>
      </c>
      <c r="W152">
        <v>0</v>
      </c>
      <c r="X152">
        <v>0</v>
      </c>
      <c r="Y152">
        <v>0</v>
      </c>
      <c r="Z152">
        <v>0</v>
      </c>
      <c r="AA152">
        <v>9</v>
      </c>
      <c r="AB152">
        <v>9</v>
      </c>
      <c r="AC152" t="s">
        <v>310</v>
      </c>
      <c r="AD152">
        <v>9</v>
      </c>
      <c r="AE152" t="s">
        <v>1396</v>
      </c>
      <c r="AF152">
        <v>100000000</v>
      </c>
      <c r="AG152" t="s">
        <v>310</v>
      </c>
      <c r="AH152">
        <f>SUM((MID(Dyno_Data[[#This Row],[Team]],4,5))+(Dyno_Data[[#This Row],[Match]]/100))</f>
        <v>5881.03</v>
      </c>
      <c r="AI152" s="76">
        <f>ROUND(SUM(IF(Dyno_Data[[#This Row],[AcqCenter]]&gt;0,Dyno_Data[[#This Row],[Time]]-SUMIFS(Dyno_Data[Time],Dyno_Data[Team],Dyno_Data[[#This Row],[Team]],Dyno_Data[RecordType],"StartMatch",Dyno_Data[Match],Dyno_Data[[#This Row],[Match]]),0)*86400),0)</f>
        <v>0</v>
      </c>
    </row>
    <row r="153" spans="1:35" x14ac:dyDescent="0.3">
      <c r="A153">
        <v>152</v>
      </c>
      <c r="B153" t="s">
        <v>1291</v>
      </c>
      <c r="C153">
        <v>3</v>
      </c>
      <c r="D153" s="105">
        <v>45373.391240543984</v>
      </c>
      <c r="E153" t="s">
        <v>312</v>
      </c>
      <c r="F153" t="s">
        <v>1402</v>
      </c>
      <c r="G153">
        <v>0</v>
      </c>
      <c r="H153" t="s">
        <v>315</v>
      </c>
      <c r="I153">
        <v>0</v>
      </c>
      <c r="J153">
        <v>0</v>
      </c>
      <c r="K153">
        <v>0</v>
      </c>
      <c r="L153" t="s">
        <v>240</v>
      </c>
      <c r="M153" t="s">
        <v>1398</v>
      </c>
      <c r="N153">
        <v>0</v>
      </c>
      <c r="O153" t="s">
        <v>1391</v>
      </c>
      <c r="P153" t="s">
        <v>310</v>
      </c>
      <c r="Q153" t="s">
        <v>310</v>
      </c>
      <c r="R153" t="s">
        <v>310</v>
      </c>
      <c r="S153">
        <v>9</v>
      </c>
      <c r="T153" t="s">
        <v>310</v>
      </c>
      <c r="U153">
        <v>9</v>
      </c>
      <c r="V153">
        <v>9</v>
      </c>
      <c r="W153">
        <v>0</v>
      </c>
      <c r="X153">
        <v>0</v>
      </c>
      <c r="Y153">
        <v>0</v>
      </c>
      <c r="Z153">
        <v>0</v>
      </c>
      <c r="AA153">
        <v>9</v>
      </c>
      <c r="AB153">
        <v>9</v>
      </c>
      <c r="AC153" t="s">
        <v>310</v>
      </c>
      <c r="AD153">
        <v>9</v>
      </c>
      <c r="AE153" t="s">
        <v>1392</v>
      </c>
      <c r="AF153">
        <v>100000000</v>
      </c>
      <c r="AG153" t="s">
        <v>310</v>
      </c>
      <c r="AH153">
        <f>SUM((MID(Dyno_Data[[#This Row],[Team]],4,5))+(Dyno_Data[[#This Row],[Match]]/100))</f>
        <v>1493.03</v>
      </c>
      <c r="AI153" s="76">
        <f>ROUND(SUM(IF(Dyno_Data[[#This Row],[AcqCenter]]&gt;0,Dyno_Data[[#This Row],[Time]]-SUMIFS(Dyno_Data[Time],Dyno_Data[Team],Dyno_Data[[#This Row],[Team]],Dyno_Data[RecordType],"StartMatch",Dyno_Data[Match],Dyno_Data[[#This Row],[Match]]),0)*86400),0)</f>
        <v>0</v>
      </c>
    </row>
    <row r="154" spans="1:35" x14ac:dyDescent="0.3">
      <c r="A154">
        <v>153</v>
      </c>
      <c r="B154" t="s">
        <v>1291</v>
      </c>
      <c r="C154">
        <v>3</v>
      </c>
      <c r="D154" s="105">
        <v>45373.391327395831</v>
      </c>
      <c r="E154" t="s">
        <v>312</v>
      </c>
      <c r="F154" t="s">
        <v>1402</v>
      </c>
      <c r="G154">
        <v>0</v>
      </c>
      <c r="H154" t="s">
        <v>315</v>
      </c>
      <c r="I154">
        <v>0</v>
      </c>
      <c r="J154">
        <v>0</v>
      </c>
      <c r="K154">
        <v>0</v>
      </c>
      <c r="L154" t="s">
        <v>240</v>
      </c>
      <c r="M154" t="s">
        <v>1398</v>
      </c>
      <c r="N154">
        <v>0</v>
      </c>
      <c r="O154" t="s">
        <v>1391</v>
      </c>
      <c r="P154" t="s">
        <v>310</v>
      </c>
      <c r="Q154" t="s">
        <v>310</v>
      </c>
      <c r="R154" t="s">
        <v>310</v>
      </c>
      <c r="S154">
        <v>9</v>
      </c>
      <c r="T154" t="s">
        <v>310</v>
      </c>
      <c r="U154">
        <v>9</v>
      </c>
      <c r="V154">
        <v>9</v>
      </c>
      <c r="W154">
        <v>0</v>
      </c>
      <c r="X154">
        <v>0</v>
      </c>
      <c r="Y154">
        <v>0</v>
      </c>
      <c r="Z154">
        <v>0</v>
      </c>
      <c r="AA154">
        <v>9</v>
      </c>
      <c r="AB154">
        <v>9</v>
      </c>
      <c r="AC154" t="s">
        <v>310</v>
      </c>
      <c r="AD154">
        <v>9</v>
      </c>
      <c r="AE154" t="s">
        <v>1392</v>
      </c>
      <c r="AF154">
        <v>110000000</v>
      </c>
      <c r="AG154" t="s">
        <v>310</v>
      </c>
      <c r="AH154">
        <f>SUM((MID(Dyno_Data[[#This Row],[Team]],4,5))+(Dyno_Data[[#This Row],[Match]]/100))</f>
        <v>1493.03</v>
      </c>
      <c r="AI154" s="76">
        <f>ROUND(SUM(IF(Dyno_Data[[#This Row],[AcqCenter]]&gt;0,Dyno_Data[[#This Row],[Time]]-SUMIFS(Dyno_Data[Time],Dyno_Data[Team],Dyno_Data[[#This Row],[Team]],Dyno_Data[RecordType],"StartMatch",Dyno_Data[Match],Dyno_Data[[#This Row],[Match]]),0)*86400),0)</f>
        <v>0</v>
      </c>
    </row>
    <row r="155" spans="1:35" x14ac:dyDescent="0.3">
      <c r="A155">
        <v>154</v>
      </c>
      <c r="B155" t="s">
        <v>367</v>
      </c>
      <c r="C155">
        <v>3</v>
      </c>
      <c r="D155" s="105">
        <v>45373.393835844909</v>
      </c>
      <c r="E155" t="s">
        <v>316</v>
      </c>
      <c r="F155" t="s">
        <v>317</v>
      </c>
      <c r="G155">
        <v>0</v>
      </c>
      <c r="H155" t="s">
        <v>310</v>
      </c>
      <c r="I155">
        <v>0</v>
      </c>
      <c r="J155">
        <v>0</v>
      </c>
      <c r="K155">
        <v>0</v>
      </c>
      <c r="L155" t="s">
        <v>310</v>
      </c>
      <c r="M155" t="s">
        <v>310</v>
      </c>
      <c r="N155">
        <v>0</v>
      </c>
      <c r="O155" t="s">
        <v>311</v>
      </c>
      <c r="P155" t="s">
        <v>1401</v>
      </c>
      <c r="Q155" t="s">
        <v>1399</v>
      </c>
      <c r="R155" t="s">
        <v>1404</v>
      </c>
      <c r="S155">
        <v>-1</v>
      </c>
      <c r="T155" t="s">
        <v>105</v>
      </c>
      <c r="U155">
        <v>9</v>
      </c>
      <c r="V155">
        <v>9</v>
      </c>
      <c r="W155">
        <v>4.4317362999999999</v>
      </c>
      <c r="X155">
        <v>5.1306761999999999</v>
      </c>
      <c r="Y155">
        <v>17.003465899999998</v>
      </c>
      <c r="Z155">
        <v>107.5259056</v>
      </c>
      <c r="AA155">
        <v>0</v>
      </c>
      <c r="AB155">
        <v>2</v>
      </c>
      <c r="AC155" t="s">
        <v>173</v>
      </c>
      <c r="AD155">
        <v>0</v>
      </c>
      <c r="AE155" t="s">
        <v>1387</v>
      </c>
      <c r="AF155">
        <v>40000000</v>
      </c>
      <c r="AG155" t="s">
        <v>310</v>
      </c>
      <c r="AH155">
        <f>SUM((MID(Dyno_Data[[#This Row],[Team]],4,5))+(Dyno_Data[[#This Row],[Match]]/100))</f>
        <v>5016.03</v>
      </c>
      <c r="AI155" s="76">
        <f>ROUND(SUM(IF(Dyno_Data[[#This Row],[AcqCenter]]&gt;0,Dyno_Data[[#This Row],[Time]]-SUMIFS(Dyno_Data[Time],Dyno_Data[Team],Dyno_Data[[#This Row],[Team]],Dyno_Data[RecordType],"StartMatch",Dyno_Data[Match],Dyno_Data[[#This Row],[Match]]),0)*86400),0)</f>
        <v>0</v>
      </c>
    </row>
    <row r="156" spans="1:35" x14ac:dyDescent="0.3">
      <c r="A156">
        <v>155</v>
      </c>
      <c r="B156" t="s">
        <v>1291</v>
      </c>
      <c r="C156">
        <v>3</v>
      </c>
      <c r="D156" s="105">
        <v>45373.39383591435</v>
      </c>
      <c r="E156" t="s">
        <v>316</v>
      </c>
      <c r="F156" t="s">
        <v>317</v>
      </c>
      <c r="G156">
        <v>1</v>
      </c>
      <c r="H156" t="s">
        <v>310</v>
      </c>
      <c r="I156">
        <v>0</v>
      </c>
      <c r="J156">
        <v>0</v>
      </c>
      <c r="K156">
        <v>0</v>
      </c>
      <c r="L156" t="s">
        <v>310</v>
      </c>
      <c r="M156" t="s">
        <v>310</v>
      </c>
      <c r="N156">
        <v>0</v>
      </c>
      <c r="O156" t="s">
        <v>1391</v>
      </c>
      <c r="P156" t="s">
        <v>240</v>
      </c>
      <c r="Q156" t="s">
        <v>1400</v>
      </c>
      <c r="R156" t="s">
        <v>321</v>
      </c>
      <c r="S156">
        <v>0</v>
      </c>
      <c r="T156" t="s">
        <v>105</v>
      </c>
      <c r="U156">
        <v>9</v>
      </c>
      <c r="V156">
        <v>9</v>
      </c>
      <c r="W156">
        <v>0</v>
      </c>
      <c r="X156">
        <v>34.465783000000002</v>
      </c>
      <c r="Y156">
        <v>25.783023799999999</v>
      </c>
      <c r="Z156">
        <v>75.970381599999996</v>
      </c>
      <c r="AA156">
        <v>0</v>
      </c>
      <c r="AB156">
        <v>3</v>
      </c>
      <c r="AC156" t="s">
        <v>174</v>
      </c>
      <c r="AD156">
        <v>9</v>
      </c>
      <c r="AE156" t="s">
        <v>1392</v>
      </c>
      <c r="AF156">
        <v>110000000</v>
      </c>
      <c r="AG156" t="s">
        <v>310</v>
      </c>
      <c r="AH156">
        <f>SUM((MID(Dyno_Data[[#This Row],[Team]],4,5))+(Dyno_Data[[#This Row],[Match]]/100))</f>
        <v>1493.03</v>
      </c>
      <c r="AI156" s="76">
        <f>ROUND(SUM(IF(Dyno_Data[[#This Row],[AcqCenter]]&gt;0,Dyno_Data[[#This Row],[Time]]-SUMIFS(Dyno_Data[Time],Dyno_Data[Team],Dyno_Data[[#This Row],[Team]],Dyno_Data[RecordType],"StartMatch",Dyno_Data[Match],Dyno_Data[[#This Row],[Match]]),0)*86400),0)</f>
        <v>0</v>
      </c>
    </row>
    <row r="157" spans="1:35" x14ac:dyDescent="0.3">
      <c r="A157">
        <v>156</v>
      </c>
      <c r="B157" t="s">
        <v>1292</v>
      </c>
      <c r="C157">
        <v>3</v>
      </c>
      <c r="D157" s="105">
        <v>45373.393836030089</v>
      </c>
      <c r="E157" t="s">
        <v>316</v>
      </c>
      <c r="F157" t="s">
        <v>317</v>
      </c>
      <c r="G157">
        <v>0</v>
      </c>
      <c r="H157" t="s">
        <v>310</v>
      </c>
      <c r="I157">
        <v>0</v>
      </c>
      <c r="J157">
        <v>0</v>
      </c>
      <c r="K157">
        <v>0</v>
      </c>
      <c r="L157" t="s">
        <v>310</v>
      </c>
      <c r="M157" t="s">
        <v>310</v>
      </c>
      <c r="N157">
        <v>0</v>
      </c>
      <c r="O157" t="s">
        <v>319</v>
      </c>
      <c r="P157" t="s">
        <v>320</v>
      </c>
      <c r="Q157" t="s">
        <v>1400</v>
      </c>
      <c r="R157" t="s">
        <v>1404</v>
      </c>
      <c r="S157">
        <v>0</v>
      </c>
      <c r="T157" t="s">
        <v>105</v>
      </c>
      <c r="U157">
        <v>9</v>
      </c>
      <c r="V157">
        <v>9</v>
      </c>
      <c r="W157">
        <v>0</v>
      </c>
      <c r="X157">
        <v>99.389546599999989</v>
      </c>
      <c r="Y157">
        <v>14.691406899999999</v>
      </c>
      <c r="Z157">
        <v>21.509546699999998</v>
      </c>
      <c r="AA157">
        <v>3</v>
      </c>
      <c r="AB157">
        <v>0</v>
      </c>
      <c r="AC157" t="s">
        <v>170</v>
      </c>
      <c r="AD157">
        <v>9</v>
      </c>
      <c r="AE157" t="s">
        <v>1388</v>
      </c>
      <c r="AF157">
        <v>0</v>
      </c>
      <c r="AG157" t="s">
        <v>310</v>
      </c>
      <c r="AH157">
        <f>SUM((MID(Dyno_Data[[#This Row],[Team]],4,5))+(Dyno_Data[[#This Row],[Match]]/100))</f>
        <v>7030.03</v>
      </c>
      <c r="AI157" s="76">
        <f>ROUND(SUM(IF(Dyno_Data[[#This Row],[AcqCenter]]&gt;0,Dyno_Data[[#This Row],[Time]]-SUMIFS(Dyno_Data[Time],Dyno_Data[Team],Dyno_Data[[#This Row],[Team]],Dyno_Data[RecordType],"StartMatch",Dyno_Data[Match],Dyno_Data[[#This Row],[Match]]),0)*86400),0)</f>
        <v>0</v>
      </c>
    </row>
    <row r="158" spans="1:35" x14ac:dyDescent="0.3">
      <c r="A158">
        <v>157</v>
      </c>
      <c r="B158" t="s">
        <v>1288</v>
      </c>
      <c r="C158">
        <v>3</v>
      </c>
      <c r="D158" s="105">
        <v>45373.393836111114</v>
      </c>
      <c r="E158" t="s">
        <v>316</v>
      </c>
      <c r="F158" t="s">
        <v>317</v>
      </c>
      <c r="G158">
        <v>1</v>
      </c>
      <c r="H158" t="s">
        <v>310</v>
      </c>
      <c r="I158">
        <v>0</v>
      </c>
      <c r="J158">
        <v>0</v>
      </c>
      <c r="K158">
        <v>0</v>
      </c>
      <c r="L158" t="s">
        <v>310</v>
      </c>
      <c r="M158" t="s">
        <v>310</v>
      </c>
      <c r="N158">
        <v>0</v>
      </c>
      <c r="O158" t="s">
        <v>1393</v>
      </c>
      <c r="P158" t="s">
        <v>1401</v>
      </c>
      <c r="Q158" t="s">
        <v>1399</v>
      </c>
      <c r="R158" t="s">
        <v>1404</v>
      </c>
      <c r="S158">
        <v>0</v>
      </c>
      <c r="T158" t="s">
        <v>105</v>
      </c>
      <c r="U158">
        <v>9</v>
      </c>
      <c r="V158">
        <v>9</v>
      </c>
      <c r="W158">
        <v>0</v>
      </c>
      <c r="X158">
        <v>19.903942499999999</v>
      </c>
      <c r="Y158">
        <v>42.064437099999999</v>
      </c>
      <c r="Z158">
        <v>74.183383499999991</v>
      </c>
      <c r="AA158">
        <v>3</v>
      </c>
      <c r="AB158">
        <v>0</v>
      </c>
      <c r="AC158" t="s">
        <v>1408</v>
      </c>
      <c r="AD158">
        <v>0</v>
      </c>
      <c r="AE158" t="s">
        <v>1394</v>
      </c>
      <c r="AF158">
        <v>0</v>
      </c>
      <c r="AG158" t="s">
        <v>310</v>
      </c>
      <c r="AH158">
        <f>SUM((MID(Dyno_Data[[#This Row],[Team]],4,5))+(Dyno_Data[[#This Row],[Match]]/100))</f>
        <v>3181.03</v>
      </c>
      <c r="AI158" s="76">
        <f>ROUND(SUM(IF(Dyno_Data[[#This Row],[AcqCenter]]&gt;0,Dyno_Data[[#This Row],[Time]]-SUMIFS(Dyno_Data[Time],Dyno_Data[Team],Dyno_Data[[#This Row],[Team]],Dyno_Data[RecordType],"StartMatch",Dyno_Data[Match],Dyno_Data[[#This Row],[Match]]),0)*86400),0)</f>
        <v>0</v>
      </c>
    </row>
    <row r="159" spans="1:35" x14ac:dyDescent="0.3">
      <c r="A159">
        <v>158</v>
      </c>
      <c r="B159" t="s">
        <v>1289</v>
      </c>
      <c r="C159">
        <v>3</v>
      </c>
      <c r="D159" s="105">
        <v>45373.393836226853</v>
      </c>
      <c r="E159" t="s">
        <v>316</v>
      </c>
      <c r="F159" t="s">
        <v>317</v>
      </c>
      <c r="G159">
        <v>0</v>
      </c>
      <c r="H159" t="s">
        <v>310</v>
      </c>
      <c r="I159">
        <v>0</v>
      </c>
      <c r="J159">
        <v>0</v>
      </c>
      <c r="K159">
        <v>0</v>
      </c>
      <c r="L159" t="s">
        <v>310</v>
      </c>
      <c r="M159" t="s">
        <v>310</v>
      </c>
      <c r="N159">
        <v>0</v>
      </c>
      <c r="O159" t="s">
        <v>1389</v>
      </c>
      <c r="P159" t="s">
        <v>101</v>
      </c>
      <c r="Q159" t="s">
        <v>1400</v>
      </c>
      <c r="R159" t="s">
        <v>1405</v>
      </c>
      <c r="S159">
        <v>1</v>
      </c>
      <c r="T159" t="s">
        <v>1409</v>
      </c>
      <c r="U159">
        <v>0</v>
      </c>
      <c r="V159">
        <v>0</v>
      </c>
      <c r="W159">
        <v>8.4993935</v>
      </c>
      <c r="X159">
        <v>64.351288400000001</v>
      </c>
      <c r="Y159">
        <v>22.8048754</v>
      </c>
      <c r="Z159">
        <v>39.821249699999996</v>
      </c>
      <c r="AA159">
        <v>0</v>
      </c>
      <c r="AB159">
        <v>3</v>
      </c>
      <c r="AC159" t="s">
        <v>167</v>
      </c>
      <c r="AD159">
        <v>9</v>
      </c>
      <c r="AE159" t="s">
        <v>1390</v>
      </c>
      <c r="AF159">
        <v>0</v>
      </c>
      <c r="AG159" t="s">
        <v>310</v>
      </c>
      <c r="AH159">
        <f>SUM((MID(Dyno_Data[[#This Row],[Team]],4,5))+(Dyno_Data[[#This Row],[Match]]/100))</f>
        <v>6648.03</v>
      </c>
      <c r="AI159" s="76">
        <f>ROUND(SUM(IF(Dyno_Data[[#This Row],[AcqCenter]]&gt;0,Dyno_Data[[#This Row],[Time]]-SUMIFS(Dyno_Data[Time],Dyno_Data[Team],Dyno_Data[[#This Row],[Team]],Dyno_Data[RecordType],"StartMatch",Dyno_Data[Match],Dyno_Data[[#This Row],[Match]]),0)*86400),0)</f>
        <v>0</v>
      </c>
    </row>
    <row r="160" spans="1:35" x14ac:dyDescent="0.3">
      <c r="A160">
        <v>159</v>
      </c>
      <c r="B160" t="s">
        <v>1290</v>
      </c>
      <c r="C160">
        <v>3</v>
      </c>
      <c r="D160" s="105">
        <v>45373.393836342591</v>
      </c>
      <c r="E160" t="s">
        <v>316</v>
      </c>
      <c r="F160" t="s">
        <v>317</v>
      </c>
      <c r="G160">
        <v>1</v>
      </c>
      <c r="H160" t="s">
        <v>310</v>
      </c>
      <c r="I160">
        <v>0</v>
      </c>
      <c r="J160">
        <v>0</v>
      </c>
      <c r="K160">
        <v>0</v>
      </c>
      <c r="L160" t="s">
        <v>310</v>
      </c>
      <c r="M160" t="s">
        <v>310</v>
      </c>
      <c r="N160">
        <v>0</v>
      </c>
      <c r="O160" t="s">
        <v>1395</v>
      </c>
      <c r="P160" t="s">
        <v>240</v>
      </c>
      <c r="Q160" t="s">
        <v>1400</v>
      </c>
      <c r="R160" t="s">
        <v>1405</v>
      </c>
      <c r="S160">
        <v>1</v>
      </c>
      <c r="T160" t="s">
        <v>1406</v>
      </c>
      <c r="U160">
        <v>0</v>
      </c>
      <c r="V160">
        <v>0</v>
      </c>
      <c r="W160">
        <v>7.5733914999999996</v>
      </c>
      <c r="X160">
        <v>20.273266899999999</v>
      </c>
      <c r="Y160">
        <v>12.838145899999999</v>
      </c>
      <c r="Z160">
        <v>94.418419499999999</v>
      </c>
      <c r="AA160">
        <v>0</v>
      </c>
      <c r="AB160">
        <v>0</v>
      </c>
      <c r="AC160" t="s">
        <v>173</v>
      </c>
      <c r="AD160">
        <v>9</v>
      </c>
      <c r="AE160" t="s">
        <v>1396</v>
      </c>
      <c r="AF160">
        <v>100000000</v>
      </c>
      <c r="AG160" t="s">
        <v>310</v>
      </c>
      <c r="AH160">
        <f>SUM((MID(Dyno_Data[[#This Row],[Team]],4,5))+(Dyno_Data[[#This Row],[Match]]/100))</f>
        <v>5881.03</v>
      </c>
      <c r="AI160" s="76">
        <f>ROUND(SUM(IF(Dyno_Data[[#This Row],[AcqCenter]]&gt;0,Dyno_Data[[#This Row],[Time]]-SUMIFS(Dyno_Data[Time],Dyno_Data[Team],Dyno_Data[[#This Row],[Team]],Dyno_Data[RecordType],"StartMatch",Dyno_Data[Match],Dyno_Data[[#This Row],[Match]]),0)*86400),0)</f>
        <v>0</v>
      </c>
    </row>
    <row r="161" spans="1:35" x14ac:dyDescent="0.3">
      <c r="A161">
        <v>174</v>
      </c>
      <c r="B161" t="s">
        <v>360</v>
      </c>
      <c r="C161">
        <v>4</v>
      </c>
      <c r="D161" s="105">
        <v>45373.395532175928</v>
      </c>
      <c r="E161" t="s">
        <v>308</v>
      </c>
      <c r="F161" t="s">
        <v>309</v>
      </c>
      <c r="G161">
        <v>0</v>
      </c>
      <c r="H161" t="s">
        <v>310</v>
      </c>
      <c r="I161">
        <v>0</v>
      </c>
      <c r="J161">
        <v>0</v>
      </c>
      <c r="K161">
        <v>0</v>
      </c>
      <c r="L161" t="s">
        <v>310</v>
      </c>
      <c r="M161" t="s">
        <v>310</v>
      </c>
      <c r="N161">
        <v>0</v>
      </c>
      <c r="O161" t="s">
        <v>1391</v>
      </c>
      <c r="P161" t="s">
        <v>310</v>
      </c>
      <c r="Q161" t="s">
        <v>310</v>
      </c>
      <c r="R161" t="s">
        <v>310</v>
      </c>
      <c r="S161">
        <v>9</v>
      </c>
      <c r="T161" t="s">
        <v>310</v>
      </c>
      <c r="U161">
        <v>9</v>
      </c>
      <c r="V161">
        <v>9</v>
      </c>
      <c r="W161">
        <v>0</v>
      </c>
      <c r="X161">
        <v>0</v>
      </c>
      <c r="Y161">
        <v>0</v>
      </c>
      <c r="Z161">
        <v>0</v>
      </c>
      <c r="AA161">
        <v>9</v>
      </c>
      <c r="AB161">
        <v>9</v>
      </c>
      <c r="AC161" t="s">
        <v>310</v>
      </c>
      <c r="AD161">
        <v>9</v>
      </c>
      <c r="AE161" t="s">
        <v>1388</v>
      </c>
      <c r="AF161">
        <v>30002000</v>
      </c>
      <c r="AG161" t="s">
        <v>310</v>
      </c>
      <c r="AH161">
        <f>SUM((MID(Dyno_Data[[#This Row],[Team]],4,5))+(Dyno_Data[[#This Row],[Match]]/100))</f>
        <v>1796.04</v>
      </c>
      <c r="AI161" s="76">
        <f>ROUND(SUM(IF(Dyno_Data[[#This Row],[AcqCenter]]&gt;0,Dyno_Data[[#This Row],[Time]]-SUMIFS(Dyno_Data[Time],Dyno_Data[Team],Dyno_Data[[#This Row],[Team]],Dyno_Data[RecordType],"StartMatch",Dyno_Data[Match],Dyno_Data[[#This Row],[Match]]),0)*86400),0)</f>
        <v>0</v>
      </c>
    </row>
    <row r="162" spans="1:35" x14ac:dyDescent="0.3">
      <c r="A162">
        <v>176</v>
      </c>
      <c r="B162" t="s">
        <v>1297</v>
      </c>
      <c r="C162">
        <v>4</v>
      </c>
      <c r="D162" s="105">
        <v>45373.395533645831</v>
      </c>
      <c r="E162" t="s">
        <v>308</v>
      </c>
      <c r="F162" t="s">
        <v>309</v>
      </c>
      <c r="G162">
        <v>0</v>
      </c>
      <c r="H162" t="s">
        <v>310</v>
      </c>
      <c r="I162">
        <v>0</v>
      </c>
      <c r="J162">
        <v>0</v>
      </c>
      <c r="K162">
        <v>0</v>
      </c>
      <c r="L162" t="s">
        <v>310</v>
      </c>
      <c r="M162" t="s">
        <v>310</v>
      </c>
      <c r="N162">
        <v>0</v>
      </c>
      <c r="O162" t="s">
        <v>311</v>
      </c>
      <c r="P162" t="s">
        <v>310</v>
      </c>
      <c r="Q162" t="s">
        <v>310</v>
      </c>
      <c r="R162" t="s">
        <v>310</v>
      </c>
      <c r="S162">
        <v>9</v>
      </c>
      <c r="T162" t="s">
        <v>310</v>
      </c>
      <c r="U162">
        <v>9</v>
      </c>
      <c r="V162">
        <v>9</v>
      </c>
      <c r="W162">
        <v>0</v>
      </c>
      <c r="X162">
        <v>0</v>
      </c>
      <c r="Y162">
        <v>0</v>
      </c>
      <c r="Z162">
        <v>0</v>
      </c>
      <c r="AA162">
        <v>9</v>
      </c>
      <c r="AB162">
        <v>9</v>
      </c>
      <c r="AC162" t="s">
        <v>310</v>
      </c>
      <c r="AD162">
        <v>9</v>
      </c>
      <c r="AE162" t="s">
        <v>1387</v>
      </c>
      <c r="AF162">
        <v>0</v>
      </c>
      <c r="AG162" t="s">
        <v>310</v>
      </c>
      <c r="AH162">
        <f>SUM((MID(Dyno_Data[[#This Row],[Team]],4,5))+(Dyno_Data[[#This Row],[Match]]/100))</f>
        <v>9750.0400000000009</v>
      </c>
      <c r="AI162" s="76">
        <f>ROUND(SUM(IF(Dyno_Data[[#This Row],[AcqCenter]]&gt;0,Dyno_Data[[#This Row],[Time]]-SUMIFS(Dyno_Data[Time],Dyno_Data[Team],Dyno_Data[[#This Row],[Team]],Dyno_Data[RecordType],"StartMatch",Dyno_Data[Match],Dyno_Data[[#This Row],[Match]]),0)*86400),0)</f>
        <v>0</v>
      </c>
    </row>
    <row r="163" spans="1:35" x14ac:dyDescent="0.3">
      <c r="A163">
        <v>178</v>
      </c>
      <c r="B163" t="s">
        <v>1294</v>
      </c>
      <c r="C163">
        <v>4</v>
      </c>
      <c r="D163" s="105">
        <v>45373.395534340278</v>
      </c>
      <c r="E163" t="s">
        <v>308</v>
      </c>
      <c r="F163" t="s">
        <v>309</v>
      </c>
      <c r="G163">
        <v>0</v>
      </c>
      <c r="H163" t="s">
        <v>310</v>
      </c>
      <c r="I163">
        <v>0</v>
      </c>
      <c r="J163">
        <v>0</v>
      </c>
      <c r="K163">
        <v>0</v>
      </c>
      <c r="L163" t="s">
        <v>310</v>
      </c>
      <c r="M163" t="s">
        <v>310</v>
      </c>
      <c r="N163">
        <v>0</v>
      </c>
      <c r="O163" t="s">
        <v>1393</v>
      </c>
      <c r="P163" t="s">
        <v>310</v>
      </c>
      <c r="Q163" t="s">
        <v>310</v>
      </c>
      <c r="R163" t="s">
        <v>310</v>
      </c>
      <c r="S163">
        <v>9</v>
      </c>
      <c r="T163" t="s">
        <v>310</v>
      </c>
      <c r="U163">
        <v>9</v>
      </c>
      <c r="V163">
        <v>9</v>
      </c>
      <c r="W163">
        <v>0</v>
      </c>
      <c r="X163">
        <v>0</v>
      </c>
      <c r="Y163">
        <v>0</v>
      </c>
      <c r="Z163">
        <v>0</v>
      </c>
      <c r="AA163">
        <v>9</v>
      </c>
      <c r="AB163">
        <v>9</v>
      </c>
      <c r="AC163" t="s">
        <v>310</v>
      </c>
      <c r="AD163">
        <v>9</v>
      </c>
      <c r="AE163" t="s">
        <v>1390</v>
      </c>
      <c r="AF163">
        <v>0</v>
      </c>
      <c r="AG163" t="s">
        <v>310</v>
      </c>
      <c r="AH163">
        <f>SUM((MID(Dyno_Data[[#This Row],[Team]],4,5))+(Dyno_Data[[#This Row],[Match]]/100))</f>
        <v>9076.0400000000009</v>
      </c>
      <c r="AI163" s="76">
        <f>ROUND(SUM(IF(Dyno_Data[[#This Row],[AcqCenter]]&gt;0,Dyno_Data[[#This Row],[Time]]-SUMIFS(Dyno_Data[Time],Dyno_Data[Team],Dyno_Data[[#This Row],[Team]],Dyno_Data[RecordType],"StartMatch",Dyno_Data[Match],Dyno_Data[[#This Row],[Match]]),0)*86400),0)</f>
        <v>0</v>
      </c>
    </row>
    <row r="164" spans="1:35" x14ac:dyDescent="0.3">
      <c r="A164">
        <v>180</v>
      </c>
      <c r="B164" t="s">
        <v>1298</v>
      </c>
      <c r="C164">
        <v>4</v>
      </c>
      <c r="D164" s="105">
        <v>45373.395535069445</v>
      </c>
      <c r="E164" t="s">
        <v>308</v>
      </c>
      <c r="F164" t="s">
        <v>309</v>
      </c>
      <c r="G164">
        <v>0</v>
      </c>
      <c r="H164" t="s">
        <v>310</v>
      </c>
      <c r="I164">
        <v>0</v>
      </c>
      <c r="J164">
        <v>0</v>
      </c>
      <c r="K164">
        <v>0</v>
      </c>
      <c r="L164" t="s">
        <v>310</v>
      </c>
      <c r="M164" t="s">
        <v>310</v>
      </c>
      <c r="N164">
        <v>0</v>
      </c>
      <c r="O164" t="s">
        <v>319</v>
      </c>
      <c r="P164" t="s">
        <v>310</v>
      </c>
      <c r="Q164" t="s">
        <v>310</v>
      </c>
      <c r="R164" t="s">
        <v>310</v>
      </c>
      <c r="S164">
        <v>9</v>
      </c>
      <c r="T164" t="s">
        <v>310</v>
      </c>
      <c r="U164">
        <v>9</v>
      </c>
      <c r="V164">
        <v>9</v>
      </c>
      <c r="W164">
        <v>0</v>
      </c>
      <c r="X164">
        <v>0</v>
      </c>
      <c r="Y164">
        <v>0</v>
      </c>
      <c r="Z164">
        <v>0</v>
      </c>
      <c r="AA164">
        <v>9</v>
      </c>
      <c r="AB164">
        <v>9</v>
      </c>
      <c r="AC164" t="s">
        <v>310</v>
      </c>
      <c r="AD164">
        <v>9</v>
      </c>
      <c r="AE164" t="s">
        <v>1392</v>
      </c>
      <c r="AF164">
        <v>0</v>
      </c>
      <c r="AG164" t="s">
        <v>310</v>
      </c>
      <c r="AH164">
        <f>SUM((MID(Dyno_Data[[#This Row],[Team]],4,5))+(Dyno_Data[[#This Row],[Match]]/100))</f>
        <v>9624.0400000000009</v>
      </c>
      <c r="AI164" s="76">
        <f>ROUND(SUM(IF(Dyno_Data[[#This Row],[AcqCenter]]&gt;0,Dyno_Data[[#This Row],[Time]]-SUMIFS(Dyno_Data[Time],Dyno_Data[Team],Dyno_Data[[#This Row],[Team]],Dyno_Data[RecordType],"StartMatch",Dyno_Data[Match],Dyno_Data[[#This Row],[Match]]),0)*86400),0)</f>
        <v>0</v>
      </c>
    </row>
    <row r="165" spans="1:35" x14ac:dyDescent="0.3">
      <c r="A165">
        <v>182</v>
      </c>
      <c r="B165" t="s">
        <v>1295</v>
      </c>
      <c r="C165">
        <v>4</v>
      </c>
      <c r="D165" s="105">
        <v>45373.395539351855</v>
      </c>
      <c r="E165" t="s">
        <v>308</v>
      </c>
      <c r="F165" t="s">
        <v>309</v>
      </c>
      <c r="G165">
        <v>0</v>
      </c>
      <c r="H165" t="s">
        <v>310</v>
      </c>
      <c r="I165">
        <v>0</v>
      </c>
      <c r="J165">
        <v>0</v>
      </c>
      <c r="K165">
        <v>0</v>
      </c>
      <c r="L165" t="s">
        <v>310</v>
      </c>
      <c r="M165" t="s">
        <v>310</v>
      </c>
      <c r="N165">
        <v>0</v>
      </c>
      <c r="O165" t="s">
        <v>1389</v>
      </c>
      <c r="P165" t="s">
        <v>310</v>
      </c>
      <c r="Q165" t="s">
        <v>310</v>
      </c>
      <c r="R165" t="s">
        <v>310</v>
      </c>
      <c r="S165">
        <v>9</v>
      </c>
      <c r="T165" t="s">
        <v>310</v>
      </c>
      <c r="U165">
        <v>9</v>
      </c>
      <c r="V165">
        <v>9</v>
      </c>
      <c r="W165">
        <v>0</v>
      </c>
      <c r="X165">
        <v>0</v>
      </c>
      <c r="Y165">
        <v>0</v>
      </c>
      <c r="Z165">
        <v>0</v>
      </c>
      <c r="AA165">
        <v>9</v>
      </c>
      <c r="AB165">
        <v>9</v>
      </c>
      <c r="AC165" t="s">
        <v>310</v>
      </c>
      <c r="AD165">
        <v>9</v>
      </c>
      <c r="AE165" t="s">
        <v>1394</v>
      </c>
      <c r="AF165">
        <v>0</v>
      </c>
      <c r="AG165" t="s">
        <v>310</v>
      </c>
      <c r="AH165">
        <f>SUM((MID(Dyno_Data[[#This Row],[Team]],4,5))+(Dyno_Data[[#This Row],[Match]]/100))</f>
        <v>6300.04</v>
      </c>
      <c r="AI165" s="76">
        <f>ROUND(SUM(IF(Dyno_Data[[#This Row],[AcqCenter]]&gt;0,Dyno_Data[[#This Row],[Time]]-SUMIFS(Dyno_Data[Time],Dyno_Data[Team],Dyno_Data[[#This Row],[Team]],Dyno_Data[RecordType],"StartMatch",Dyno_Data[Match],Dyno_Data[[#This Row],[Match]]),0)*86400),0)</f>
        <v>0</v>
      </c>
    </row>
    <row r="166" spans="1:35" x14ac:dyDescent="0.3">
      <c r="A166">
        <v>160</v>
      </c>
      <c r="B166" t="s">
        <v>360</v>
      </c>
      <c r="C166">
        <v>4</v>
      </c>
      <c r="D166" s="105">
        <v>45373.395543368053</v>
      </c>
      <c r="E166" t="s">
        <v>312</v>
      </c>
      <c r="F166" t="s">
        <v>309</v>
      </c>
      <c r="G166">
        <v>0</v>
      </c>
      <c r="H166" t="s">
        <v>1397</v>
      </c>
      <c r="I166">
        <v>0</v>
      </c>
      <c r="J166">
        <v>0</v>
      </c>
      <c r="K166">
        <v>0</v>
      </c>
      <c r="L166" t="s">
        <v>240</v>
      </c>
      <c r="M166" t="s">
        <v>1398</v>
      </c>
      <c r="N166">
        <v>0</v>
      </c>
      <c r="O166" t="s">
        <v>1391</v>
      </c>
      <c r="P166" t="s">
        <v>310</v>
      </c>
      <c r="Q166" t="s">
        <v>310</v>
      </c>
      <c r="R166" t="s">
        <v>310</v>
      </c>
      <c r="S166">
        <v>9</v>
      </c>
      <c r="T166" t="s">
        <v>310</v>
      </c>
      <c r="U166">
        <v>9</v>
      </c>
      <c r="V166">
        <v>9</v>
      </c>
      <c r="W166">
        <v>0</v>
      </c>
      <c r="X166">
        <v>0</v>
      </c>
      <c r="Y166">
        <v>0</v>
      </c>
      <c r="Z166">
        <v>0</v>
      </c>
      <c r="AA166">
        <v>9</v>
      </c>
      <c r="AB166">
        <v>9</v>
      </c>
      <c r="AC166" t="s">
        <v>310</v>
      </c>
      <c r="AD166">
        <v>9</v>
      </c>
      <c r="AE166" t="s">
        <v>1388</v>
      </c>
      <c r="AF166">
        <v>0</v>
      </c>
      <c r="AG166" t="s">
        <v>310</v>
      </c>
      <c r="AH166">
        <f>SUM((MID(Dyno_Data[[#This Row],[Team]],4,5))+(Dyno_Data[[#This Row],[Match]]/100))</f>
        <v>1796.04</v>
      </c>
      <c r="AI166" s="76">
        <f>ROUND(SUM(IF(Dyno_Data[[#This Row],[AcqCenter]]&gt;0,Dyno_Data[[#This Row],[Time]]-SUMIFS(Dyno_Data[Time],Dyno_Data[Team],Dyno_Data[[#This Row],[Team]],Dyno_Data[RecordType],"StartMatch",Dyno_Data[Match],Dyno_Data[[#This Row],[Match]]),0)*86400),0)</f>
        <v>0</v>
      </c>
    </row>
    <row r="167" spans="1:35" x14ac:dyDescent="0.3">
      <c r="A167">
        <v>161</v>
      </c>
      <c r="B167" t="s">
        <v>1294</v>
      </c>
      <c r="C167">
        <v>4</v>
      </c>
      <c r="D167" s="105">
        <v>45373.395551354166</v>
      </c>
      <c r="E167" t="s">
        <v>312</v>
      </c>
      <c r="F167" t="s">
        <v>309</v>
      </c>
      <c r="G167">
        <v>0</v>
      </c>
      <c r="H167" t="s">
        <v>1397</v>
      </c>
      <c r="I167">
        <v>0</v>
      </c>
      <c r="J167">
        <v>0</v>
      </c>
      <c r="K167">
        <v>0</v>
      </c>
      <c r="L167" t="s">
        <v>241</v>
      </c>
      <c r="M167" t="s">
        <v>1398</v>
      </c>
      <c r="N167">
        <v>0</v>
      </c>
      <c r="O167" t="s">
        <v>1393</v>
      </c>
      <c r="P167" t="s">
        <v>310</v>
      </c>
      <c r="Q167" t="s">
        <v>310</v>
      </c>
      <c r="R167" t="s">
        <v>310</v>
      </c>
      <c r="S167">
        <v>9</v>
      </c>
      <c r="T167" t="s">
        <v>310</v>
      </c>
      <c r="U167">
        <v>9</v>
      </c>
      <c r="V167">
        <v>9</v>
      </c>
      <c r="W167">
        <v>0</v>
      </c>
      <c r="X167">
        <v>0</v>
      </c>
      <c r="Y167">
        <v>0</v>
      </c>
      <c r="Z167">
        <v>0</v>
      </c>
      <c r="AA167">
        <v>9</v>
      </c>
      <c r="AB167">
        <v>9</v>
      </c>
      <c r="AC167" t="s">
        <v>310</v>
      </c>
      <c r="AD167">
        <v>9</v>
      </c>
      <c r="AE167" t="s">
        <v>1390</v>
      </c>
      <c r="AF167">
        <v>0</v>
      </c>
      <c r="AG167" t="s">
        <v>310</v>
      </c>
      <c r="AH167">
        <f>SUM((MID(Dyno_Data[[#This Row],[Team]],4,5))+(Dyno_Data[[#This Row],[Match]]/100))</f>
        <v>9076.0400000000009</v>
      </c>
      <c r="AI167" s="76">
        <f>ROUND(SUM(IF(Dyno_Data[[#This Row],[AcqCenter]]&gt;0,Dyno_Data[[#This Row],[Time]]-SUMIFS(Dyno_Data[Time],Dyno_Data[Team],Dyno_Data[[#This Row],[Team]],Dyno_Data[RecordType],"StartMatch",Dyno_Data[Match],Dyno_Data[[#This Row],[Match]]),0)*86400),0)</f>
        <v>0</v>
      </c>
    </row>
    <row r="168" spans="1:35" x14ac:dyDescent="0.3">
      <c r="A168">
        <v>162</v>
      </c>
      <c r="B168" t="s">
        <v>1295</v>
      </c>
      <c r="C168">
        <v>4</v>
      </c>
      <c r="D168" s="105">
        <v>45373.395551504633</v>
      </c>
      <c r="E168" t="s">
        <v>312</v>
      </c>
      <c r="F168" t="s">
        <v>309</v>
      </c>
      <c r="G168">
        <v>0</v>
      </c>
      <c r="H168" t="s">
        <v>1397</v>
      </c>
      <c r="I168">
        <v>0</v>
      </c>
      <c r="J168">
        <v>0</v>
      </c>
      <c r="K168">
        <v>0</v>
      </c>
      <c r="L168" t="s">
        <v>241</v>
      </c>
      <c r="M168" t="s">
        <v>1398</v>
      </c>
      <c r="N168">
        <v>0</v>
      </c>
      <c r="O168" t="s">
        <v>1389</v>
      </c>
      <c r="P168" t="s">
        <v>310</v>
      </c>
      <c r="Q168" t="s">
        <v>310</v>
      </c>
      <c r="R168" t="s">
        <v>310</v>
      </c>
      <c r="S168">
        <v>9</v>
      </c>
      <c r="T168" t="s">
        <v>310</v>
      </c>
      <c r="U168">
        <v>9</v>
      </c>
      <c r="V168">
        <v>9</v>
      </c>
      <c r="W168">
        <v>0</v>
      </c>
      <c r="X168">
        <v>0</v>
      </c>
      <c r="Y168">
        <v>0</v>
      </c>
      <c r="Z168">
        <v>0</v>
      </c>
      <c r="AA168">
        <v>9</v>
      </c>
      <c r="AB168">
        <v>9</v>
      </c>
      <c r="AC168" t="s">
        <v>310</v>
      </c>
      <c r="AD168">
        <v>9</v>
      </c>
      <c r="AE168" t="s">
        <v>1394</v>
      </c>
      <c r="AF168">
        <v>0</v>
      </c>
      <c r="AG168" t="s">
        <v>310</v>
      </c>
      <c r="AH168">
        <f>SUM((MID(Dyno_Data[[#This Row],[Team]],4,5))+(Dyno_Data[[#This Row],[Match]]/100))</f>
        <v>6300.04</v>
      </c>
      <c r="AI168" s="76">
        <f>ROUND(SUM(IF(Dyno_Data[[#This Row],[AcqCenter]]&gt;0,Dyno_Data[[#This Row],[Time]]-SUMIFS(Dyno_Data[Time],Dyno_Data[Team],Dyno_Data[[#This Row],[Team]],Dyno_Data[RecordType],"StartMatch",Dyno_Data[Match],Dyno_Data[[#This Row],[Match]]),0)*86400),0)</f>
        <v>0</v>
      </c>
    </row>
    <row r="169" spans="1:35" x14ac:dyDescent="0.3">
      <c r="A169">
        <v>184</v>
      </c>
      <c r="B169" t="s">
        <v>1296</v>
      </c>
      <c r="C169">
        <v>4</v>
      </c>
      <c r="D169" s="105">
        <v>45373.39555390046</v>
      </c>
      <c r="E169" t="s">
        <v>308</v>
      </c>
      <c r="F169" t="s">
        <v>309</v>
      </c>
      <c r="G169">
        <v>0</v>
      </c>
      <c r="H169" t="s">
        <v>310</v>
      </c>
      <c r="I169">
        <v>0</v>
      </c>
      <c r="J169">
        <v>0</v>
      </c>
      <c r="K169">
        <v>0</v>
      </c>
      <c r="L169" t="s">
        <v>310</v>
      </c>
      <c r="M169" t="s">
        <v>310</v>
      </c>
      <c r="N169">
        <v>0</v>
      </c>
      <c r="O169" t="s">
        <v>1395</v>
      </c>
      <c r="P169" t="s">
        <v>310</v>
      </c>
      <c r="Q169" t="s">
        <v>310</v>
      </c>
      <c r="R169" t="s">
        <v>310</v>
      </c>
      <c r="S169">
        <v>9</v>
      </c>
      <c r="T169" t="s">
        <v>310</v>
      </c>
      <c r="U169">
        <v>9</v>
      </c>
      <c r="V169">
        <v>9</v>
      </c>
      <c r="W169">
        <v>0</v>
      </c>
      <c r="X169">
        <v>0</v>
      </c>
      <c r="Y169">
        <v>0</v>
      </c>
      <c r="Z169">
        <v>0</v>
      </c>
      <c r="AA169">
        <v>9</v>
      </c>
      <c r="AB169">
        <v>9</v>
      </c>
      <c r="AC169" t="s">
        <v>310</v>
      </c>
      <c r="AD169">
        <v>9</v>
      </c>
      <c r="AE169" t="s">
        <v>1396</v>
      </c>
      <c r="AF169">
        <v>0</v>
      </c>
      <c r="AG169" t="s">
        <v>310</v>
      </c>
      <c r="AH169">
        <f>SUM((MID(Dyno_Data[[#This Row],[Team]],4,5))+(Dyno_Data[[#This Row],[Match]]/100))</f>
        <v>3003.04</v>
      </c>
      <c r="AI169" s="76">
        <f>ROUND(SUM(IF(Dyno_Data[[#This Row],[AcqCenter]]&gt;0,Dyno_Data[[#This Row],[Time]]-SUMIFS(Dyno_Data[Time],Dyno_Data[Team],Dyno_Data[[#This Row],[Team]],Dyno_Data[RecordType],"StartMatch",Dyno_Data[Match],Dyno_Data[[#This Row],[Match]]),0)*86400),0)</f>
        <v>0</v>
      </c>
    </row>
    <row r="170" spans="1:35" x14ac:dyDescent="0.3">
      <c r="A170">
        <v>163</v>
      </c>
      <c r="B170" t="s">
        <v>1298</v>
      </c>
      <c r="C170">
        <v>4</v>
      </c>
      <c r="D170" s="105">
        <v>45373.39555778935</v>
      </c>
      <c r="E170" t="s">
        <v>312</v>
      </c>
      <c r="F170" t="s">
        <v>309</v>
      </c>
      <c r="G170">
        <v>0</v>
      </c>
      <c r="H170" t="s">
        <v>1397</v>
      </c>
      <c r="I170">
        <v>0</v>
      </c>
      <c r="J170">
        <v>0</v>
      </c>
      <c r="K170">
        <v>0</v>
      </c>
      <c r="L170" t="s">
        <v>240</v>
      </c>
      <c r="M170" t="s">
        <v>1398</v>
      </c>
      <c r="N170">
        <v>0</v>
      </c>
      <c r="O170" t="s">
        <v>319</v>
      </c>
      <c r="P170" t="s">
        <v>310</v>
      </c>
      <c r="Q170" t="s">
        <v>310</v>
      </c>
      <c r="R170" t="s">
        <v>310</v>
      </c>
      <c r="S170">
        <v>9</v>
      </c>
      <c r="T170" t="s">
        <v>310</v>
      </c>
      <c r="U170">
        <v>9</v>
      </c>
      <c r="V170">
        <v>9</v>
      </c>
      <c r="W170">
        <v>0</v>
      </c>
      <c r="X170">
        <v>0</v>
      </c>
      <c r="Y170">
        <v>0</v>
      </c>
      <c r="Z170">
        <v>0</v>
      </c>
      <c r="AA170">
        <v>9</v>
      </c>
      <c r="AB170">
        <v>9</v>
      </c>
      <c r="AC170" t="s">
        <v>310</v>
      </c>
      <c r="AD170">
        <v>9</v>
      </c>
      <c r="AE170" t="s">
        <v>1392</v>
      </c>
      <c r="AF170">
        <v>0</v>
      </c>
      <c r="AG170" t="s">
        <v>310</v>
      </c>
      <c r="AH170">
        <f>SUM((MID(Dyno_Data[[#This Row],[Team]],4,5))+(Dyno_Data[[#This Row],[Match]]/100))</f>
        <v>9624.0400000000009</v>
      </c>
      <c r="AI170" s="76">
        <f>ROUND(SUM(IF(Dyno_Data[[#This Row],[AcqCenter]]&gt;0,Dyno_Data[[#This Row],[Time]]-SUMIFS(Dyno_Data[Time],Dyno_Data[Team],Dyno_Data[[#This Row],[Team]],Dyno_Data[RecordType],"StartMatch",Dyno_Data[Match],Dyno_Data[[#This Row],[Match]]),0)*86400),0)</f>
        <v>0</v>
      </c>
    </row>
    <row r="171" spans="1:35" x14ac:dyDescent="0.3">
      <c r="A171">
        <v>164</v>
      </c>
      <c r="B171" t="s">
        <v>360</v>
      </c>
      <c r="C171">
        <v>4</v>
      </c>
      <c r="D171" s="105">
        <v>45373.395564236111</v>
      </c>
      <c r="E171" t="s">
        <v>312</v>
      </c>
      <c r="F171" t="s">
        <v>309</v>
      </c>
      <c r="G171">
        <v>0</v>
      </c>
      <c r="H171" t="s">
        <v>315</v>
      </c>
      <c r="I171">
        <v>0</v>
      </c>
      <c r="J171">
        <v>0</v>
      </c>
      <c r="K171">
        <v>0</v>
      </c>
      <c r="L171" t="s">
        <v>240</v>
      </c>
      <c r="M171" t="s">
        <v>1398</v>
      </c>
      <c r="N171">
        <v>0</v>
      </c>
      <c r="O171" t="s">
        <v>1391</v>
      </c>
      <c r="P171" t="s">
        <v>310</v>
      </c>
      <c r="Q171" t="s">
        <v>310</v>
      </c>
      <c r="R171" t="s">
        <v>310</v>
      </c>
      <c r="S171">
        <v>9</v>
      </c>
      <c r="T171" t="s">
        <v>310</v>
      </c>
      <c r="U171">
        <v>9</v>
      </c>
      <c r="V171">
        <v>9</v>
      </c>
      <c r="W171">
        <v>0</v>
      </c>
      <c r="X171">
        <v>0</v>
      </c>
      <c r="Y171">
        <v>0</v>
      </c>
      <c r="Z171">
        <v>0</v>
      </c>
      <c r="AA171">
        <v>9</v>
      </c>
      <c r="AB171">
        <v>9</v>
      </c>
      <c r="AC171" t="s">
        <v>310</v>
      </c>
      <c r="AD171">
        <v>9</v>
      </c>
      <c r="AE171" t="s">
        <v>1388</v>
      </c>
      <c r="AF171">
        <v>10000000</v>
      </c>
      <c r="AG171" t="s">
        <v>310</v>
      </c>
      <c r="AH171">
        <f>SUM((MID(Dyno_Data[[#This Row],[Team]],4,5))+(Dyno_Data[[#This Row],[Match]]/100))</f>
        <v>1796.04</v>
      </c>
      <c r="AI171" s="76">
        <f>ROUND(SUM(IF(Dyno_Data[[#This Row],[AcqCenter]]&gt;0,Dyno_Data[[#This Row],[Time]]-SUMIFS(Dyno_Data[Time],Dyno_Data[Team],Dyno_Data[[#This Row],[Team]],Dyno_Data[RecordType],"StartMatch",Dyno_Data[Match],Dyno_Data[[#This Row],[Match]]),0)*86400),0)</f>
        <v>0</v>
      </c>
    </row>
    <row r="172" spans="1:35" x14ac:dyDescent="0.3">
      <c r="A172">
        <v>165</v>
      </c>
      <c r="B172" t="s">
        <v>360</v>
      </c>
      <c r="C172">
        <v>4</v>
      </c>
      <c r="D172" s="105">
        <v>45373.395582372686</v>
      </c>
      <c r="E172" t="s">
        <v>312</v>
      </c>
      <c r="F172" t="s">
        <v>309</v>
      </c>
      <c r="G172">
        <v>0</v>
      </c>
      <c r="H172" t="s">
        <v>315</v>
      </c>
      <c r="I172">
        <v>0</v>
      </c>
      <c r="J172">
        <v>0</v>
      </c>
      <c r="K172">
        <v>0</v>
      </c>
      <c r="L172" t="s">
        <v>241</v>
      </c>
      <c r="M172" t="s">
        <v>1398</v>
      </c>
      <c r="N172">
        <v>0</v>
      </c>
      <c r="O172" t="s">
        <v>1391</v>
      </c>
      <c r="P172" t="s">
        <v>310</v>
      </c>
      <c r="Q172" t="s">
        <v>310</v>
      </c>
      <c r="R172" t="s">
        <v>310</v>
      </c>
      <c r="S172">
        <v>9</v>
      </c>
      <c r="T172" t="s">
        <v>310</v>
      </c>
      <c r="U172">
        <v>9</v>
      </c>
      <c r="V172">
        <v>9</v>
      </c>
      <c r="W172">
        <v>0</v>
      </c>
      <c r="X172">
        <v>0</v>
      </c>
      <c r="Y172">
        <v>0</v>
      </c>
      <c r="Z172">
        <v>0</v>
      </c>
      <c r="AA172">
        <v>9</v>
      </c>
      <c r="AB172">
        <v>9</v>
      </c>
      <c r="AC172" t="s">
        <v>310</v>
      </c>
      <c r="AD172">
        <v>9</v>
      </c>
      <c r="AE172" t="s">
        <v>1388</v>
      </c>
      <c r="AF172">
        <v>20000000</v>
      </c>
      <c r="AG172" t="s">
        <v>310</v>
      </c>
      <c r="AH172">
        <f>SUM((MID(Dyno_Data[[#This Row],[Team]],4,5))+(Dyno_Data[[#This Row],[Match]]/100))</f>
        <v>1796.04</v>
      </c>
      <c r="AI172" s="76">
        <f>ROUND(SUM(IF(Dyno_Data[[#This Row],[AcqCenter]]&gt;0,Dyno_Data[[#This Row],[Time]]-SUMIFS(Dyno_Data[Time],Dyno_Data[Team],Dyno_Data[[#This Row],[Team]],Dyno_Data[RecordType],"StartMatch",Dyno_Data[Match],Dyno_Data[[#This Row],[Match]]),0)*86400),0)</f>
        <v>0</v>
      </c>
    </row>
    <row r="173" spans="1:35" x14ac:dyDescent="0.3">
      <c r="A173">
        <v>166</v>
      </c>
      <c r="B173" t="s">
        <v>1295</v>
      </c>
      <c r="C173">
        <v>4</v>
      </c>
      <c r="D173" s="105">
        <v>45373.395589548614</v>
      </c>
      <c r="E173" t="s">
        <v>312</v>
      </c>
      <c r="F173" t="s">
        <v>309</v>
      </c>
      <c r="G173">
        <v>0</v>
      </c>
      <c r="H173" t="s">
        <v>143</v>
      </c>
      <c r="I173">
        <v>2</v>
      </c>
      <c r="J173">
        <v>-1</v>
      </c>
      <c r="K173">
        <v>0</v>
      </c>
      <c r="L173" t="s">
        <v>310</v>
      </c>
      <c r="M173" t="s">
        <v>310</v>
      </c>
      <c r="N173">
        <v>0</v>
      </c>
      <c r="O173" t="s">
        <v>1389</v>
      </c>
      <c r="P173" t="s">
        <v>310</v>
      </c>
      <c r="Q173" t="s">
        <v>310</v>
      </c>
      <c r="R173" t="s">
        <v>310</v>
      </c>
      <c r="S173">
        <v>9</v>
      </c>
      <c r="T173" t="s">
        <v>310</v>
      </c>
      <c r="U173">
        <v>9</v>
      </c>
      <c r="V173">
        <v>9</v>
      </c>
      <c r="W173">
        <v>0</v>
      </c>
      <c r="X173">
        <v>0</v>
      </c>
      <c r="Y173">
        <v>0</v>
      </c>
      <c r="Z173">
        <v>0</v>
      </c>
      <c r="AA173">
        <v>9</v>
      </c>
      <c r="AB173">
        <v>9</v>
      </c>
      <c r="AC173" t="s">
        <v>310</v>
      </c>
      <c r="AD173">
        <v>9</v>
      </c>
      <c r="AE173" t="s">
        <v>1394</v>
      </c>
      <c r="AF173">
        <v>0</v>
      </c>
      <c r="AG173" t="s">
        <v>310</v>
      </c>
      <c r="AH173">
        <f>SUM((MID(Dyno_Data[[#This Row],[Team]],4,5))+(Dyno_Data[[#This Row],[Match]]/100))</f>
        <v>6300.04</v>
      </c>
      <c r="AI173" s="76">
        <f>ROUND(SUM(IF(Dyno_Data[[#This Row],[AcqCenter]]&gt;0,Dyno_Data[[#This Row],[Time]]-SUMIFS(Dyno_Data[Time],Dyno_Data[Team],Dyno_Data[[#This Row],[Team]],Dyno_Data[RecordType],"StartMatch",Dyno_Data[Match],Dyno_Data[[#This Row],[Match]]),0)*86400),0)</f>
        <v>4</v>
      </c>
    </row>
    <row r="174" spans="1:35" x14ac:dyDescent="0.3">
      <c r="A174">
        <v>167</v>
      </c>
      <c r="B174" t="s">
        <v>360</v>
      </c>
      <c r="C174">
        <v>4</v>
      </c>
      <c r="D174" s="105">
        <v>45373.395601932869</v>
      </c>
      <c r="E174" t="s">
        <v>312</v>
      </c>
      <c r="F174" t="s">
        <v>309</v>
      </c>
      <c r="G174">
        <v>0</v>
      </c>
      <c r="H174" t="s">
        <v>315</v>
      </c>
      <c r="I174">
        <v>0</v>
      </c>
      <c r="J174">
        <v>0</v>
      </c>
      <c r="K174">
        <v>0</v>
      </c>
      <c r="L174" t="s">
        <v>241</v>
      </c>
      <c r="M174" t="s">
        <v>1398</v>
      </c>
      <c r="N174">
        <v>0</v>
      </c>
      <c r="O174" t="s">
        <v>1391</v>
      </c>
      <c r="P174" t="s">
        <v>310</v>
      </c>
      <c r="Q174" t="s">
        <v>310</v>
      </c>
      <c r="R174" t="s">
        <v>310</v>
      </c>
      <c r="S174">
        <v>9</v>
      </c>
      <c r="T174" t="s">
        <v>310</v>
      </c>
      <c r="U174">
        <v>9</v>
      </c>
      <c r="V174">
        <v>9</v>
      </c>
      <c r="W174">
        <v>0</v>
      </c>
      <c r="X174">
        <v>0</v>
      </c>
      <c r="Y174">
        <v>0</v>
      </c>
      <c r="Z174">
        <v>0</v>
      </c>
      <c r="AA174">
        <v>9</v>
      </c>
      <c r="AB174">
        <v>9</v>
      </c>
      <c r="AC174" t="s">
        <v>310</v>
      </c>
      <c r="AD174">
        <v>9</v>
      </c>
      <c r="AE174" t="s">
        <v>1388</v>
      </c>
      <c r="AF174">
        <v>30000000</v>
      </c>
      <c r="AG174" t="s">
        <v>310</v>
      </c>
      <c r="AH174">
        <f>SUM((MID(Dyno_Data[[#This Row],[Team]],4,5))+(Dyno_Data[[#This Row],[Match]]/100))</f>
        <v>1796.04</v>
      </c>
      <c r="AI174" s="76">
        <f>ROUND(SUM(IF(Dyno_Data[[#This Row],[AcqCenter]]&gt;0,Dyno_Data[[#This Row],[Time]]-SUMIFS(Dyno_Data[Time],Dyno_Data[Team],Dyno_Data[[#This Row],[Team]],Dyno_Data[RecordType],"StartMatch",Dyno_Data[Match],Dyno_Data[[#This Row],[Match]]),0)*86400),0)</f>
        <v>0</v>
      </c>
    </row>
    <row r="175" spans="1:35" x14ac:dyDescent="0.3">
      <c r="A175">
        <v>168</v>
      </c>
      <c r="B175" t="s">
        <v>360</v>
      </c>
      <c r="C175">
        <v>4</v>
      </c>
      <c r="D175" s="105">
        <v>45373.395620023148</v>
      </c>
      <c r="E175" t="s">
        <v>312</v>
      </c>
      <c r="F175" t="s">
        <v>309</v>
      </c>
      <c r="G175">
        <v>0</v>
      </c>
      <c r="H175" t="s">
        <v>143</v>
      </c>
      <c r="I175">
        <v>5</v>
      </c>
      <c r="J175">
        <v>1</v>
      </c>
      <c r="K175">
        <v>0</v>
      </c>
      <c r="L175" t="s">
        <v>310</v>
      </c>
      <c r="M175" t="s">
        <v>310</v>
      </c>
      <c r="N175">
        <v>0</v>
      </c>
      <c r="O175" t="s">
        <v>1391</v>
      </c>
      <c r="P175" t="s">
        <v>310</v>
      </c>
      <c r="Q175" t="s">
        <v>310</v>
      </c>
      <c r="R175" t="s">
        <v>310</v>
      </c>
      <c r="S175">
        <v>9</v>
      </c>
      <c r="T175" t="s">
        <v>310</v>
      </c>
      <c r="U175">
        <v>9</v>
      </c>
      <c r="V175">
        <v>9</v>
      </c>
      <c r="W175">
        <v>0</v>
      </c>
      <c r="X175">
        <v>0</v>
      </c>
      <c r="Y175">
        <v>0</v>
      </c>
      <c r="Z175">
        <v>0</v>
      </c>
      <c r="AA175">
        <v>9</v>
      </c>
      <c r="AB175">
        <v>9</v>
      </c>
      <c r="AC175" t="s">
        <v>310</v>
      </c>
      <c r="AD175">
        <v>9</v>
      </c>
      <c r="AE175" t="s">
        <v>1388</v>
      </c>
      <c r="AF175">
        <v>30001000</v>
      </c>
      <c r="AG175" t="s">
        <v>310</v>
      </c>
      <c r="AH175">
        <f>SUM((MID(Dyno_Data[[#This Row],[Team]],4,5))+(Dyno_Data[[#This Row],[Match]]/100))</f>
        <v>1796.04</v>
      </c>
      <c r="AI175" s="76">
        <f>ROUND(SUM(IF(Dyno_Data[[#This Row],[AcqCenter]]&gt;0,Dyno_Data[[#This Row],[Time]]-SUMIFS(Dyno_Data[Time],Dyno_Data[Team],Dyno_Data[[#This Row],[Team]],Dyno_Data[RecordType],"StartMatch",Dyno_Data[Match],Dyno_Data[[#This Row],[Match]]),0)*86400),0)</f>
        <v>8</v>
      </c>
    </row>
    <row r="176" spans="1:35" x14ac:dyDescent="0.3">
      <c r="A176">
        <v>169</v>
      </c>
      <c r="B176" t="s">
        <v>360</v>
      </c>
      <c r="C176">
        <v>4</v>
      </c>
      <c r="D176" s="105">
        <v>45373.395646180557</v>
      </c>
      <c r="E176" t="s">
        <v>312</v>
      </c>
      <c r="F176" t="s">
        <v>309</v>
      </c>
      <c r="G176">
        <v>0</v>
      </c>
      <c r="H176" t="s">
        <v>143</v>
      </c>
      <c r="I176">
        <v>0</v>
      </c>
      <c r="J176">
        <v>0</v>
      </c>
      <c r="K176">
        <v>0</v>
      </c>
      <c r="L176" t="s">
        <v>241</v>
      </c>
      <c r="M176" t="s">
        <v>1398</v>
      </c>
      <c r="N176">
        <v>0</v>
      </c>
      <c r="O176" t="s">
        <v>1391</v>
      </c>
      <c r="P176" t="s">
        <v>310</v>
      </c>
      <c r="Q176" t="s">
        <v>310</v>
      </c>
      <c r="R176" t="s">
        <v>310</v>
      </c>
      <c r="S176">
        <v>9</v>
      </c>
      <c r="T176" t="s">
        <v>310</v>
      </c>
      <c r="U176">
        <v>9</v>
      </c>
      <c r="V176">
        <v>9</v>
      </c>
      <c r="W176">
        <v>0</v>
      </c>
      <c r="X176">
        <v>0</v>
      </c>
      <c r="Y176">
        <v>0</v>
      </c>
      <c r="Z176">
        <v>0</v>
      </c>
      <c r="AA176">
        <v>9</v>
      </c>
      <c r="AB176">
        <v>9</v>
      </c>
      <c r="AC176" t="s">
        <v>310</v>
      </c>
      <c r="AD176">
        <v>9</v>
      </c>
      <c r="AE176" t="s">
        <v>1388</v>
      </c>
      <c r="AF176">
        <v>30001000</v>
      </c>
      <c r="AG176" t="s">
        <v>310</v>
      </c>
      <c r="AH176">
        <f>SUM((MID(Dyno_Data[[#This Row],[Team]],4,5))+(Dyno_Data[[#This Row],[Match]]/100))</f>
        <v>1796.04</v>
      </c>
      <c r="AI176" s="76">
        <f>ROUND(SUM(IF(Dyno_Data[[#This Row],[AcqCenter]]&gt;0,Dyno_Data[[#This Row],[Time]]-SUMIFS(Dyno_Data[Time],Dyno_Data[Team],Dyno_Data[[#This Row],[Team]],Dyno_Data[RecordType],"StartMatch",Dyno_Data[Match],Dyno_Data[[#This Row],[Match]]),0)*86400),0)</f>
        <v>0</v>
      </c>
    </row>
    <row r="177" spans="1:37" x14ac:dyDescent="0.3">
      <c r="A177">
        <v>170</v>
      </c>
      <c r="B177" t="s">
        <v>360</v>
      </c>
      <c r="C177">
        <v>4</v>
      </c>
      <c r="D177" s="105">
        <v>45373.395659293979</v>
      </c>
      <c r="E177" t="s">
        <v>312</v>
      </c>
      <c r="F177" t="s">
        <v>309</v>
      </c>
      <c r="G177">
        <v>0</v>
      </c>
      <c r="H177" t="s">
        <v>143</v>
      </c>
      <c r="I177">
        <v>3</v>
      </c>
      <c r="J177">
        <v>1</v>
      </c>
      <c r="K177">
        <v>0</v>
      </c>
      <c r="L177" t="s">
        <v>310</v>
      </c>
      <c r="M177" t="s">
        <v>310</v>
      </c>
      <c r="N177">
        <v>0</v>
      </c>
      <c r="O177" t="s">
        <v>1391</v>
      </c>
      <c r="P177" t="s">
        <v>310</v>
      </c>
      <c r="Q177" t="s">
        <v>310</v>
      </c>
      <c r="R177" t="s">
        <v>310</v>
      </c>
      <c r="S177">
        <v>9</v>
      </c>
      <c r="T177" t="s">
        <v>310</v>
      </c>
      <c r="U177">
        <v>9</v>
      </c>
      <c r="V177">
        <v>9</v>
      </c>
      <c r="W177">
        <v>0</v>
      </c>
      <c r="X177">
        <v>0</v>
      </c>
      <c r="Y177">
        <v>0</v>
      </c>
      <c r="Z177">
        <v>0</v>
      </c>
      <c r="AA177">
        <v>9</v>
      </c>
      <c r="AB177">
        <v>9</v>
      </c>
      <c r="AC177" t="s">
        <v>310</v>
      </c>
      <c r="AD177">
        <v>9</v>
      </c>
      <c r="AE177" t="s">
        <v>1388</v>
      </c>
      <c r="AF177">
        <v>30002000</v>
      </c>
      <c r="AG177" t="s">
        <v>310</v>
      </c>
      <c r="AH177">
        <f>SUM((MID(Dyno_Data[[#This Row],[Team]],4,5))+(Dyno_Data[[#This Row],[Match]]/100))</f>
        <v>1796.04</v>
      </c>
      <c r="AI177" s="76">
        <f>ROUND(SUM(IF(Dyno_Data[[#This Row],[AcqCenter]]&gt;0,Dyno_Data[[#This Row],[Time]]-SUMIFS(Dyno_Data[Time],Dyno_Data[Team],Dyno_Data[[#This Row],[Team]],Dyno_Data[RecordType],"StartMatch",Dyno_Data[Match],Dyno_Data[[#This Row],[Match]]),0)*86400),0)</f>
        <v>11</v>
      </c>
    </row>
    <row r="178" spans="1:37" x14ac:dyDescent="0.3">
      <c r="A178">
        <v>171</v>
      </c>
      <c r="B178" t="s">
        <v>360</v>
      </c>
      <c r="C178">
        <v>4</v>
      </c>
      <c r="D178" s="105">
        <v>45373.395678738423</v>
      </c>
      <c r="E178" t="s">
        <v>312</v>
      </c>
      <c r="F178" t="s">
        <v>309</v>
      </c>
      <c r="G178">
        <v>0</v>
      </c>
      <c r="H178" t="s">
        <v>143</v>
      </c>
      <c r="I178">
        <v>0</v>
      </c>
      <c r="J178">
        <v>0</v>
      </c>
      <c r="K178">
        <v>0</v>
      </c>
      <c r="L178" t="s">
        <v>241</v>
      </c>
      <c r="M178" t="s">
        <v>1398</v>
      </c>
      <c r="N178">
        <v>0</v>
      </c>
      <c r="O178" t="s">
        <v>1391</v>
      </c>
      <c r="P178" t="s">
        <v>310</v>
      </c>
      <c r="Q178" t="s">
        <v>310</v>
      </c>
      <c r="R178" t="s">
        <v>310</v>
      </c>
      <c r="S178">
        <v>9</v>
      </c>
      <c r="T178" t="s">
        <v>310</v>
      </c>
      <c r="U178">
        <v>9</v>
      </c>
      <c r="V178">
        <v>9</v>
      </c>
      <c r="W178">
        <v>0</v>
      </c>
      <c r="X178">
        <v>0</v>
      </c>
      <c r="Y178">
        <v>0</v>
      </c>
      <c r="Z178">
        <v>0</v>
      </c>
      <c r="AA178">
        <v>9</v>
      </c>
      <c r="AB178">
        <v>9</v>
      </c>
      <c r="AC178" t="s">
        <v>310</v>
      </c>
      <c r="AD178">
        <v>9</v>
      </c>
      <c r="AE178" t="s">
        <v>1388</v>
      </c>
      <c r="AF178">
        <v>30002000</v>
      </c>
      <c r="AG178" t="s">
        <v>310</v>
      </c>
      <c r="AH178">
        <f>SUM((MID(Dyno_Data[[#This Row],[Team]],4,5))+(Dyno_Data[[#This Row],[Match]]/100))</f>
        <v>1796.04</v>
      </c>
      <c r="AI178" s="76">
        <f>ROUND(SUM(IF(Dyno_Data[[#This Row],[AcqCenter]]&gt;0,Dyno_Data[[#This Row],[Time]]-SUMIFS(Dyno_Data[Time],Dyno_Data[Team],Dyno_Data[[#This Row],[Team]],Dyno_Data[RecordType],"StartMatch",Dyno_Data[Match],Dyno_Data[[#This Row],[Match]]),0)*86400),0)</f>
        <v>0</v>
      </c>
    </row>
    <row r="179" spans="1:37" x14ac:dyDescent="0.3">
      <c r="A179">
        <v>172</v>
      </c>
      <c r="B179" t="s">
        <v>1295</v>
      </c>
      <c r="C179">
        <v>4</v>
      </c>
      <c r="D179" s="105">
        <v>45373.395694675928</v>
      </c>
      <c r="E179" t="s">
        <v>312</v>
      </c>
      <c r="F179" t="s">
        <v>309</v>
      </c>
      <c r="G179">
        <v>0</v>
      </c>
      <c r="H179" t="s">
        <v>143</v>
      </c>
      <c r="I179">
        <v>3</v>
      </c>
      <c r="J179">
        <v>-1</v>
      </c>
      <c r="K179">
        <v>0</v>
      </c>
      <c r="L179" t="s">
        <v>310</v>
      </c>
      <c r="M179" t="s">
        <v>310</v>
      </c>
      <c r="N179">
        <v>0</v>
      </c>
      <c r="O179" t="s">
        <v>1389</v>
      </c>
      <c r="P179" t="s">
        <v>310</v>
      </c>
      <c r="Q179" t="s">
        <v>310</v>
      </c>
      <c r="R179" t="s">
        <v>310</v>
      </c>
      <c r="S179">
        <v>9</v>
      </c>
      <c r="T179" t="s">
        <v>310</v>
      </c>
      <c r="U179">
        <v>9</v>
      </c>
      <c r="V179">
        <v>9</v>
      </c>
      <c r="W179">
        <v>0</v>
      </c>
      <c r="X179">
        <v>0</v>
      </c>
      <c r="Y179">
        <v>0</v>
      </c>
      <c r="Z179">
        <v>0</v>
      </c>
      <c r="AA179">
        <v>9</v>
      </c>
      <c r="AB179">
        <v>9</v>
      </c>
      <c r="AC179" t="s">
        <v>310</v>
      </c>
      <c r="AD179">
        <v>9</v>
      </c>
      <c r="AE179" t="s">
        <v>1394</v>
      </c>
      <c r="AF179">
        <v>0</v>
      </c>
      <c r="AG179" t="s">
        <v>310</v>
      </c>
      <c r="AH179">
        <f>SUM((MID(Dyno_Data[[#This Row],[Team]],4,5))+(Dyno_Data[[#This Row],[Match]]/100))</f>
        <v>6300.04</v>
      </c>
      <c r="AI179" s="76">
        <f>ROUND(SUM(IF(Dyno_Data[[#This Row],[AcqCenter]]&gt;0,Dyno_Data[[#This Row],[Time]]-SUMIFS(Dyno_Data[Time],Dyno_Data[Team],Dyno_Data[[#This Row],[Team]],Dyno_Data[RecordType],"StartMatch",Dyno_Data[Match],Dyno_Data[[#This Row],[Match]]),0)*86400),0)</f>
        <v>13</v>
      </c>
    </row>
    <row r="180" spans="1:37" x14ac:dyDescent="0.3">
      <c r="A180">
        <v>173</v>
      </c>
      <c r="B180" t="s">
        <v>1296</v>
      </c>
      <c r="C180">
        <v>4</v>
      </c>
      <c r="D180" s="105">
        <v>45373.39571207176</v>
      </c>
      <c r="E180" t="s">
        <v>312</v>
      </c>
      <c r="F180" t="s">
        <v>309</v>
      </c>
      <c r="G180">
        <v>0</v>
      </c>
      <c r="H180" t="s">
        <v>1397</v>
      </c>
      <c r="I180">
        <v>0</v>
      </c>
      <c r="J180">
        <v>0</v>
      </c>
      <c r="K180">
        <v>0</v>
      </c>
      <c r="L180" t="s">
        <v>240</v>
      </c>
      <c r="M180" t="s">
        <v>1398</v>
      </c>
      <c r="N180">
        <v>0</v>
      </c>
      <c r="O180" t="s">
        <v>1395</v>
      </c>
      <c r="P180" t="s">
        <v>310</v>
      </c>
      <c r="Q180" t="s">
        <v>310</v>
      </c>
      <c r="R180" t="s">
        <v>310</v>
      </c>
      <c r="S180">
        <v>9</v>
      </c>
      <c r="T180" t="s">
        <v>310</v>
      </c>
      <c r="U180">
        <v>9</v>
      </c>
      <c r="V180">
        <v>9</v>
      </c>
      <c r="W180">
        <v>0</v>
      </c>
      <c r="X180">
        <v>0</v>
      </c>
      <c r="Y180">
        <v>0</v>
      </c>
      <c r="Z180">
        <v>0</v>
      </c>
      <c r="AA180">
        <v>9</v>
      </c>
      <c r="AB180">
        <v>9</v>
      </c>
      <c r="AC180" t="s">
        <v>310</v>
      </c>
      <c r="AD180">
        <v>9</v>
      </c>
      <c r="AE180" t="s">
        <v>1396</v>
      </c>
      <c r="AF180">
        <v>0</v>
      </c>
      <c r="AG180" t="s">
        <v>310</v>
      </c>
      <c r="AH180">
        <f>SUM((MID(Dyno_Data[[#This Row],[Team]],4,5))+(Dyno_Data[[#This Row],[Match]]/100))</f>
        <v>3003.04</v>
      </c>
      <c r="AI180" s="76">
        <f>ROUND(SUM(IF(Dyno_Data[[#This Row],[AcqCenter]]&gt;0,Dyno_Data[[#This Row],[Time]]-SUMIFS(Dyno_Data[Time],Dyno_Data[Team],Dyno_Data[[#This Row],[Team]],Dyno_Data[RecordType],"StartMatch",Dyno_Data[Match],Dyno_Data[[#This Row],[Match]]),0)*86400),0)</f>
        <v>0</v>
      </c>
    </row>
    <row r="181" spans="1:37" x14ac:dyDescent="0.3">
      <c r="A181">
        <v>175</v>
      </c>
      <c r="B181" t="s">
        <v>360</v>
      </c>
      <c r="C181">
        <v>4</v>
      </c>
      <c r="D181" s="105">
        <v>45373.395740509259</v>
      </c>
      <c r="E181" t="s">
        <v>314</v>
      </c>
      <c r="F181" t="s">
        <v>309</v>
      </c>
      <c r="G181">
        <v>1</v>
      </c>
      <c r="H181" t="s">
        <v>310</v>
      </c>
      <c r="I181">
        <v>0</v>
      </c>
      <c r="J181">
        <v>0</v>
      </c>
      <c r="K181">
        <v>0</v>
      </c>
      <c r="L181" t="s">
        <v>310</v>
      </c>
      <c r="M181" t="s">
        <v>310</v>
      </c>
      <c r="N181">
        <v>0</v>
      </c>
      <c r="O181" t="s">
        <v>1391</v>
      </c>
      <c r="P181" t="s">
        <v>240</v>
      </c>
      <c r="Q181" t="s">
        <v>1399</v>
      </c>
      <c r="R181" t="s">
        <v>310</v>
      </c>
      <c r="S181">
        <v>9</v>
      </c>
      <c r="T181" t="s">
        <v>310</v>
      </c>
      <c r="U181">
        <v>9</v>
      </c>
      <c r="V181">
        <v>9</v>
      </c>
      <c r="W181">
        <v>0</v>
      </c>
      <c r="X181">
        <v>0</v>
      </c>
      <c r="Y181">
        <v>0</v>
      </c>
      <c r="Z181">
        <v>0</v>
      </c>
      <c r="AA181">
        <v>9</v>
      </c>
      <c r="AB181">
        <v>9</v>
      </c>
      <c r="AC181" t="s">
        <v>310</v>
      </c>
      <c r="AD181">
        <v>9</v>
      </c>
      <c r="AE181" t="s">
        <v>1388</v>
      </c>
      <c r="AF181">
        <v>30002000</v>
      </c>
      <c r="AG181" t="s">
        <v>310</v>
      </c>
      <c r="AH181">
        <f>SUM((MID(Dyno_Data[[#This Row],[Team]],4,5))+(Dyno_Data[[#This Row],[Match]]/100))</f>
        <v>1796.04</v>
      </c>
      <c r="AI181" s="76">
        <f>ROUND(SUM(IF(Dyno_Data[[#This Row],[AcqCenter]]&gt;0,Dyno_Data[[#This Row],[Time]]-SUMIFS(Dyno_Data[Time],Dyno_Data[Team],Dyno_Data[[#This Row],[Team]],Dyno_Data[RecordType],"StartMatch",Dyno_Data[Match],Dyno_Data[[#This Row],[Match]]),0)*86400),0)</f>
        <v>0</v>
      </c>
    </row>
    <row r="182" spans="1:37" x14ac:dyDescent="0.3">
      <c r="A182">
        <v>177</v>
      </c>
      <c r="B182" t="s">
        <v>1297</v>
      </c>
      <c r="C182">
        <v>4</v>
      </c>
      <c r="D182" s="105">
        <v>45373.39574197917</v>
      </c>
      <c r="E182" t="s">
        <v>314</v>
      </c>
      <c r="F182" t="s">
        <v>309</v>
      </c>
      <c r="G182">
        <v>0</v>
      </c>
      <c r="H182" t="s">
        <v>310</v>
      </c>
      <c r="I182">
        <v>0</v>
      </c>
      <c r="J182">
        <v>0</v>
      </c>
      <c r="K182">
        <v>0</v>
      </c>
      <c r="L182" t="s">
        <v>310</v>
      </c>
      <c r="M182" t="s">
        <v>310</v>
      </c>
      <c r="N182">
        <v>0</v>
      </c>
      <c r="O182" t="s">
        <v>311</v>
      </c>
      <c r="P182" t="s">
        <v>101</v>
      </c>
      <c r="Q182" t="s">
        <v>1400</v>
      </c>
      <c r="R182" t="s">
        <v>310</v>
      </c>
      <c r="S182">
        <v>9</v>
      </c>
      <c r="T182" t="s">
        <v>310</v>
      </c>
      <c r="U182">
        <v>9</v>
      </c>
      <c r="V182">
        <v>9</v>
      </c>
      <c r="W182">
        <v>0</v>
      </c>
      <c r="X182">
        <v>0</v>
      </c>
      <c r="Y182">
        <v>0</v>
      </c>
      <c r="Z182">
        <v>0</v>
      </c>
      <c r="AA182">
        <v>9</v>
      </c>
      <c r="AB182">
        <v>9</v>
      </c>
      <c r="AC182" t="s">
        <v>310</v>
      </c>
      <c r="AD182">
        <v>9</v>
      </c>
      <c r="AE182" t="s">
        <v>1387</v>
      </c>
      <c r="AF182">
        <v>0</v>
      </c>
      <c r="AG182" t="s">
        <v>310</v>
      </c>
      <c r="AH182">
        <f>SUM((MID(Dyno_Data[[#This Row],[Team]],4,5))+(Dyno_Data[[#This Row],[Match]]/100))</f>
        <v>9750.0400000000009</v>
      </c>
      <c r="AI182" s="76">
        <f>ROUND(SUM(IF(Dyno_Data[[#This Row],[AcqCenter]]&gt;0,Dyno_Data[[#This Row],[Time]]-SUMIFS(Dyno_Data[Time],Dyno_Data[Team],Dyno_Data[[#This Row],[Team]],Dyno_Data[RecordType],"StartMatch",Dyno_Data[Match],Dyno_Data[[#This Row],[Match]]),0)*86400),0)</f>
        <v>0</v>
      </c>
    </row>
    <row r="183" spans="1:37" x14ac:dyDescent="0.3">
      <c r="A183">
        <v>179</v>
      </c>
      <c r="B183" t="s">
        <v>1294</v>
      </c>
      <c r="C183">
        <v>4</v>
      </c>
      <c r="D183" s="105">
        <v>45373.395742673609</v>
      </c>
      <c r="E183" t="s">
        <v>314</v>
      </c>
      <c r="F183" t="s">
        <v>309</v>
      </c>
      <c r="G183">
        <v>1</v>
      </c>
      <c r="H183" t="s">
        <v>310</v>
      </c>
      <c r="I183">
        <v>0</v>
      </c>
      <c r="J183">
        <v>0</v>
      </c>
      <c r="K183">
        <v>0</v>
      </c>
      <c r="L183" t="s">
        <v>310</v>
      </c>
      <c r="M183" t="s">
        <v>310</v>
      </c>
      <c r="N183">
        <v>0</v>
      </c>
      <c r="O183" t="s">
        <v>1393</v>
      </c>
      <c r="P183" t="s">
        <v>101</v>
      </c>
      <c r="Q183" t="s">
        <v>1400</v>
      </c>
      <c r="R183" t="s">
        <v>310</v>
      </c>
      <c r="S183">
        <v>9</v>
      </c>
      <c r="T183" t="s">
        <v>310</v>
      </c>
      <c r="U183">
        <v>9</v>
      </c>
      <c r="V183">
        <v>9</v>
      </c>
      <c r="W183">
        <v>0</v>
      </c>
      <c r="X183">
        <v>0</v>
      </c>
      <c r="Y183">
        <v>0</v>
      </c>
      <c r="Z183">
        <v>0</v>
      </c>
      <c r="AA183">
        <v>9</v>
      </c>
      <c r="AB183">
        <v>9</v>
      </c>
      <c r="AC183" t="s">
        <v>310</v>
      </c>
      <c r="AD183">
        <v>9</v>
      </c>
      <c r="AE183" t="s">
        <v>1390</v>
      </c>
      <c r="AF183">
        <v>0</v>
      </c>
      <c r="AG183" t="s">
        <v>310</v>
      </c>
      <c r="AH183">
        <f>SUM((MID(Dyno_Data[[#This Row],[Team]],4,5))+(Dyno_Data[[#This Row],[Match]]/100))</f>
        <v>9076.0400000000009</v>
      </c>
      <c r="AI183" s="76">
        <f>ROUND(SUM(IF(Dyno_Data[[#This Row],[AcqCenter]]&gt;0,Dyno_Data[[#This Row],[Time]]-SUMIFS(Dyno_Data[Time],Dyno_Data[Team],Dyno_Data[[#This Row],[Team]],Dyno_Data[RecordType],"StartMatch",Dyno_Data[Match],Dyno_Data[[#This Row],[Match]]),0)*86400),0)</f>
        <v>0</v>
      </c>
    </row>
    <row r="184" spans="1:37" x14ac:dyDescent="0.3">
      <c r="A184">
        <v>181</v>
      </c>
      <c r="B184" t="s">
        <v>1298</v>
      </c>
      <c r="C184">
        <v>4</v>
      </c>
      <c r="D184" s="105">
        <v>45373.395743402776</v>
      </c>
      <c r="E184" t="s">
        <v>314</v>
      </c>
      <c r="F184" t="s">
        <v>309</v>
      </c>
      <c r="G184">
        <v>0</v>
      </c>
      <c r="H184" t="s">
        <v>310</v>
      </c>
      <c r="I184">
        <v>0</v>
      </c>
      <c r="J184">
        <v>0</v>
      </c>
      <c r="K184">
        <v>0</v>
      </c>
      <c r="L184" t="s">
        <v>310</v>
      </c>
      <c r="M184" t="s">
        <v>310</v>
      </c>
      <c r="N184">
        <v>0</v>
      </c>
      <c r="O184" t="s">
        <v>319</v>
      </c>
      <c r="P184" t="s">
        <v>1401</v>
      </c>
      <c r="Q184" t="s">
        <v>1400</v>
      </c>
      <c r="R184" t="s">
        <v>310</v>
      </c>
      <c r="S184">
        <v>9</v>
      </c>
      <c r="T184" t="s">
        <v>310</v>
      </c>
      <c r="U184">
        <v>9</v>
      </c>
      <c r="V184">
        <v>9</v>
      </c>
      <c r="W184">
        <v>0</v>
      </c>
      <c r="X184">
        <v>0</v>
      </c>
      <c r="Y184">
        <v>0</v>
      </c>
      <c r="Z184">
        <v>0</v>
      </c>
      <c r="AA184">
        <v>9</v>
      </c>
      <c r="AB184">
        <v>9</v>
      </c>
      <c r="AC184" t="s">
        <v>310</v>
      </c>
      <c r="AD184">
        <v>9</v>
      </c>
      <c r="AE184" t="s">
        <v>1392</v>
      </c>
      <c r="AF184">
        <v>0</v>
      </c>
      <c r="AG184" t="s">
        <v>310</v>
      </c>
      <c r="AH184">
        <f>SUM((MID(Dyno_Data[[#This Row],[Team]],4,5))+(Dyno_Data[[#This Row],[Match]]/100))</f>
        <v>9624.0400000000009</v>
      </c>
      <c r="AI184" s="76">
        <f>ROUND(SUM(IF(Dyno_Data[[#This Row],[AcqCenter]]&gt;0,Dyno_Data[[#This Row],[Time]]-SUMIFS(Dyno_Data[Time],Dyno_Data[Team],Dyno_Data[[#This Row],[Team]],Dyno_Data[RecordType],"StartMatch",Dyno_Data[Match],Dyno_Data[[#This Row],[Match]]),0)*86400),0)</f>
        <v>0</v>
      </c>
    </row>
    <row r="185" spans="1:37" x14ac:dyDescent="0.3">
      <c r="A185">
        <v>183</v>
      </c>
      <c r="B185" t="s">
        <v>1295</v>
      </c>
      <c r="C185">
        <v>4</v>
      </c>
      <c r="D185" s="105">
        <v>45373.395747685187</v>
      </c>
      <c r="E185" t="s">
        <v>314</v>
      </c>
      <c r="F185" t="s">
        <v>309</v>
      </c>
      <c r="G185">
        <v>1</v>
      </c>
      <c r="H185" t="s">
        <v>310</v>
      </c>
      <c r="I185">
        <v>0</v>
      </c>
      <c r="J185">
        <v>0</v>
      </c>
      <c r="K185">
        <v>0</v>
      </c>
      <c r="L185" t="s">
        <v>310</v>
      </c>
      <c r="M185" t="s">
        <v>310</v>
      </c>
      <c r="N185">
        <v>0</v>
      </c>
      <c r="O185" t="s">
        <v>1389</v>
      </c>
      <c r="P185" t="s">
        <v>1401</v>
      </c>
      <c r="Q185" t="s">
        <v>1400</v>
      </c>
      <c r="R185" t="s">
        <v>310</v>
      </c>
      <c r="S185">
        <v>9</v>
      </c>
      <c r="T185" t="s">
        <v>310</v>
      </c>
      <c r="U185">
        <v>9</v>
      </c>
      <c r="V185">
        <v>9</v>
      </c>
      <c r="W185">
        <v>0</v>
      </c>
      <c r="X185">
        <v>0</v>
      </c>
      <c r="Y185">
        <v>0</v>
      </c>
      <c r="Z185">
        <v>0</v>
      </c>
      <c r="AA185">
        <v>9</v>
      </c>
      <c r="AB185">
        <v>9</v>
      </c>
      <c r="AC185" t="s">
        <v>310</v>
      </c>
      <c r="AD185">
        <v>9</v>
      </c>
      <c r="AE185" t="s">
        <v>1394</v>
      </c>
      <c r="AF185">
        <v>0</v>
      </c>
      <c r="AG185" t="s">
        <v>310</v>
      </c>
      <c r="AH185">
        <f>SUM((MID(Dyno_Data[[#This Row],[Team]],4,5))+(Dyno_Data[[#This Row],[Match]]/100))</f>
        <v>6300.04</v>
      </c>
      <c r="AI185" s="76">
        <f>ROUND(SUM(IF(Dyno_Data[[#This Row],[AcqCenter]]&gt;0,Dyno_Data[[#This Row],[Time]]-SUMIFS(Dyno_Data[Time],Dyno_Data[Team],Dyno_Data[[#This Row],[Team]],Dyno_Data[RecordType],"StartMatch",Dyno_Data[Match],Dyno_Data[[#This Row],[Match]]),0)*86400),0)</f>
        <v>0</v>
      </c>
    </row>
    <row r="186" spans="1:37" x14ac:dyDescent="0.3">
      <c r="A186">
        <v>185</v>
      </c>
      <c r="B186" t="s">
        <v>1296</v>
      </c>
      <c r="C186">
        <v>4</v>
      </c>
      <c r="D186" s="105">
        <v>45373.395762233798</v>
      </c>
      <c r="E186" t="s">
        <v>314</v>
      </c>
      <c r="F186" t="s">
        <v>309</v>
      </c>
      <c r="G186">
        <v>0</v>
      </c>
      <c r="H186" t="s">
        <v>310</v>
      </c>
      <c r="I186">
        <v>0</v>
      </c>
      <c r="J186">
        <v>0</v>
      </c>
      <c r="K186">
        <v>0</v>
      </c>
      <c r="L186" t="s">
        <v>310</v>
      </c>
      <c r="M186" t="s">
        <v>310</v>
      </c>
      <c r="N186">
        <v>0</v>
      </c>
      <c r="O186" t="s">
        <v>1395</v>
      </c>
      <c r="P186" t="s">
        <v>240</v>
      </c>
      <c r="Q186" t="s">
        <v>1399</v>
      </c>
      <c r="R186" t="s">
        <v>310</v>
      </c>
      <c r="S186">
        <v>9</v>
      </c>
      <c r="T186" t="s">
        <v>310</v>
      </c>
      <c r="U186">
        <v>9</v>
      </c>
      <c r="V186">
        <v>9</v>
      </c>
      <c r="W186">
        <v>0</v>
      </c>
      <c r="X186">
        <v>0</v>
      </c>
      <c r="Y186">
        <v>0</v>
      </c>
      <c r="Z186">
        <v>0</v>
      </c>
      <c r="AA186">
        <v>9</v>
      </c>
      <c r="AB186">
        <v>9</v>
      </c>
      <c r="AC186" t="s">
        <v>310</v>
      </c>
      <c r="AD186">
        <v>9</v>
      </c>
      <c r="AE186" t="s">
        <v>1396</v>
      </c>
      <c r="AF186">
        <v>0</v>
      </c>
      <c r="AG186" t="s">
        <v>310</v>
      </c>
      <c r="AH186">
        <f>SUM((MID(Dyno_Data[[#This Row],[Team]],4,5))+(Dyno_Data[[#This Row],[Match]]/100))</f>
        <v>3003.04</v>
      </c>
      <c r="AI186" s="76">
        <f>ROUND(SUM(IF(Dyno_Data[[#This Row],[AcqCenter]]&gt;0,Dyno_Data[[#This Row],[Time]]-SUMIFS(Dyno_Data[Time],Dyno_Data[Team],Dyno_Data[[#This Row],[Team]],Dyno_Data[RecordType],"StartMatch",Dyno_Data[Match],Dyno_Data[[#This Row],[Match]]),0)*86400),0)</f>
        <v>0</v>
      </c>
    </row>
    <row r="187" spans="1:37" x14ac:dyDescent="0.3">
      <c r="A187">
        <v>186</v>
      </c>
      <c r="B187" t="s">
        <v>360</v>
      </c>
      <c r="C187">
        <v>4</v>
      </c>
      <c r="D187" s="105">
        <v>45373.395780983796</v>
      </c>
      <c r="E187" t="s">
        <v>312</v>
      </c>
      <c r="F187" t="s">
        <v>1402</v>
      </c>
      <c r="G187">
        <v>0</v>
      </c>
      <c r="H187" t="s">
        <v>315</v>
      </c>
      <c r="I187">
        <v>0</v>
      </c>
      <c r="J187">
        <v>0</v>
      </c>
      <c r="K187">
        <v>0</v>
      </c>
      <c r="L187" t="s">
        <v>242</v>
      </c>
      <c r="M187" t="s">
        <v>241</v>
      </c>
      <c r="N187">
        <v>0</v>
      </c>
      <c r="O187" t="s">
        <v>1391</v>
      </c>
      <c r="P187" t="s">
        <v>310</v>
      </c>
      <c r="Q187" t="s">
        <v>310</v>
      </c>
      <c r="R187" t="s">
        <v>310</v>
      </c>
      <c r="S187">
        <v>9</v>
      </c>
      <c r="T187" t="s">
        <v>310</v>
      </c>
      <c r="U187">
        <v>9</v>
      </c>
      <c r="V187">
        <v>9</v>
      </c>
      <c r="W187">
        <v>0</v>
      </c>
      <c r="X187">
        <v>0</v>
      </c>
      <c r="Y187">
        <v>0</v>
      </c>
      <c r="Z187">
        <v>0</v>
      </c>
      <c r="AA187">
        <v>9</v>
      </c>
      <c r="AB187">
        <v>9</v>
      </c>
      <c r="AC187" t="s">
        <v>310</v>
      </c>
      <c r="AD187">
        <v>9</v>
      </c>
      <c r="AE187" t="s">
        <v>1388</v>
      </c>
      <c r="AF187">
        <v>40002000</v>
      </c>
      <c r="AG187" t="s">
        <v>310</v>
      </c>
      <c r="AH187">
        <f>SUM((MID(Dyno_Data[[#This Row],[Team]],4,5))+(Dyno_Data[[#This Row],[Match]]/100))</f>
        <v>1796.04</v>
      </c>
      <c r="AI187" s="76">
        <f>ROUND(SUM(IF(Dyno_Data[[#This Row],[AcqCenter]]&gt;0,Dyno_Data[[#This Row],[Time]]-SUMIFS(Dyno_Data[Time],Dyno_Data[Team],Dyno_Data[[#This Row],[Team]],Dyno_Data[RecordType],"StartMatch",Dyno_Data[Match],Dyno_Data[[#This Row],[Match]]),0)*86400),0)</f>
        <v>0</v>
      </c>
    </row>
    <row r="188" spans="1:37" x14ac:dyDescent="0.3">
      <c r="A188">
        <v>187</v>
      </c>
      <c r="B188" t="s">
        <v>360</v>
      </c>
      <c r="C188">
        <v>4</v>
      </c>
      <c r="D188" s="105">
        <v>45373.395799108795</v>
      </c>
      <c r="E188" t="s">
        <v>312</v>
      </c>
      <c r="F188" t="s">
        <v>1402</v>
      </c>
      <c r="G188">
        <v>0</v>
      </c>
      <c r="H188" t="s">
        <v>315</v>
      </c>
      <c r="I188">
        <v>0</v>
      </c>
      <c r="J188">
        <v>0</v>
      </c>
      <c r="K188">
        <v>0</v>
      </c>
      <c r="L188" t="s">
        <v>242</v>
      </c>
      <c r="M188" t="s">
        <v>241</v>
      </c>
      <c r="N188">
        <v>0</v>
      </c>
      <c r="O188" t="s">
        <v>1391</v>
      </c>
      <c r="P188" t="s">
        <v>310</v>
      </c>
      <c r="Q188" t="s">
        <v>310</v>
      </c>
      <c r="R188" t="s">
        <v>310</v>
      </c>
      <c r="S188">
        <v>9</v>
      </c>
      <c r="T188" t="s">
        <v>310</v>
      </c>
      <c r="U188">
        <v>9</v>
      </c>
      <c r="V188">
        <v>9</v>
      </c>
      <c r="W188">
        <v>0</v>
      </c>
      <c r="X188">
        <v>0</v>
      </c>
      <c r="Y188">
        <v>0</v>
      </c>
      <c r="Z188">
        <v>0</v>
      </c>
      <c r="AA188">
        <v>9</v>
      </c>
      <c r="AB188">
        <v>9</v>
      </c>
      <c r="AC188" t="s">
        <v>310</v>
      </c>
      <c r="AD188">
        <v>9</v>
      </c>
      <c r="AE188" t="s">
        <v>1388</v>
      </c>
      <c r="AF188">
        <v>50002000</v>
      </c>
      <c r="AG188" t="s">
        <v>310</v>
      </c>
      <c r="AH188">
        <f>SUM((MID(Dyno_Data[[#This Row],[Team]],4,5))+(Dyno_Data[[#This Row],[Match]]/100))</f>
        <v>1796.04</v>
      </c>
      <c r="AI188" s="76">
        <f>ROUND(SUM(IF(Dyno_Data[[#This Row],[AcqCenter]]&gt;0,Dyno_Data[[#This Row],[Time]]-SUMIFS(Dyno_Data[Time],Dyno_Data[Team],Dyno_Data[[#This Row],[Team]],Dyno_Data[RecordType],"StartMatch",Dyno_Data[Match],Dyno_Data[[#This Row],[Match]]),0)*86400),0)</f>
        <v>0</v>
      </c>
    </row>
    <row r="189" spans="1:37" x14ac:dyDescent="0.3">
      <c r="A189">
        <v>188</v>
      </c>
      <c r="B189" t="s">
        <v>1297</v>
      </c>
      <c r="C189">
        <v>4</v>
      </c>
      <c r="D189" s="105">
        <v>45373.395834490744</v>
      </c>
      <c r="E189" t="s">
        <v>312</v>
      </c>
      <c r="F189" t="s">
        <v>1402</v>
      </c>
      <c r="G189">
        <v>0</v>
      </c>
      <c r="H189" t="s">
        <v>1397</v>
      </c>
      <c r="I189">
        <v>0</v>
      </c>
      <c r="J189">
        <v>0</v>
      </c>
      <c r="K189">
        <v>0</v>
      </c>
      <c r="L189" t="s">
        <v>241</v>
      </c>
      <c r="M189" t="s">
        <v>101</v>
      </c>
      <c r="N189">
        <v>0</v>
      </c>
      <c r="O189" t="s">
        <v>311</v>
      </c>
      <c r="P189" t="s">
        <v>310</v>
      </c>
      <c r="Q189" t="s">
        <v>310</v>
      </c>
      <c r="R189" t="s">
        <v>310</v>
      </c>
      <c r="S189">
        <v>9</v>
      </c>
      <c r="T189" t="s">
        <v>310</v>
      </c>
      <c r="U189">
        <v>9</v>
      </c>
      <c r="V189">
        <v>9</v>
      </c>
      <c r="W189">
        <v>0</v>
      </c>
      <c r="X189">
        <v>0</v>
      </c>
      <c r="Y189">
        <v>0</v>
      </c>
      <c r="Z189">
        <v>0</v>
      </c>
      <c r="AA189">
        <v>9</v>
      </c>
      <c r="AB189">
        <v>9</v>
      </c>
      <c r="AC189" t="s">
        <v>310</v>
      </c>
      <c r="AD189">
        <v>9</v>
      </c>
      <c r="AE189" t="s">
        <v>1387</v>
      </c>
      <c r="AF189">
        <v>0</v>
      </c>
      <c r="AG189" t="s">
        <v>310</v>
      </c>
      <c r="AH189">
        <f>SUM((MID(Dyno_Data[[#This Row],[Team]],4,5))+(Dyno_Data[[#This Row],[Match]]/100))</f>
        <v>9750.0400000000009</v>
      </c>
      <c r="AI189" s="76">
        <f>ROUND(SUM(IF(Dyno_Data[[#This Row],[AcqCenter]]&gt;0,Dyno_Data[[#This Row],[Time]]-SUMIFS(Dyno_Data[Time],Dyno_Data[Team],Dyno_Data[[#This Row],[Team]],Dyno_Data[RecordType],"StartMatch",Dyno_Data[Match],Dyno_Data[[#This Row],[Match]]),0)*86400),0)</f>
        <v>0</v>
      </c>
    </row>
    <row r="190" spans="1:37" x14ac:dyDescent="0.3">
      <c r="A190">
        <v>189</v>
      </c>
      <c r="B190" t="s">
        <v>1295</v>
      </c>
      <c r="C190">
        <v>4</v>
      </c>
      <c r="D190" s="105">
        <v>45373.395842395832</v>
      </c>
      <c r="E190" t="s">
        <v>312</v>
      </c>
      <c r="F190" t="s">
        <v>1402</v>
      </c>
      <c r="G190">
        <v>0</v>
      </c>
      <c r="H190" t="s">
        <v>315</v>
      </c>
      <c r="I190">
        <v>0</v>
      </c>
      <c r="J190">
        <v>0</v>
      </c>
      <c r="K190">
        <v>0</v>
      </c>
      <c r="L190" t="s">
        <v>241</v>
      </c>
      <c r="M190" t="s">
        <v>101</v>
      </c>
      <c r="N190">
        <v>0</v>
      </c>
      <c r="O190" t="s">
        <v>1389</v>
      </c>
      <c r="P190" t="s">
        <v>310</v>
      </c>
      <c r="Q190" t="s">
        <v>310</v>
      </c>
      <c r="R190" t="s">
        <v>310</v>
      </c>
      <c r="S190">
        <v>9</v>
      </c>
      <c r="T190" t="s">
        <v>310</v>
      </c>
      <c r="U190">
        <v>9</v>
      </c>
      <c r="V190">
        <v>9</v>
      </c>
      <c r="W190">
        <v>0</v>
      </c>
      <c r="X190">
        <v>0</v>
      </c>
      <c r="Y190">
        <v>0</v>
      </c>
      <c r="Z190">
        <v>0</v>
      </c>
      <c r="AA190">
        <v>9</v>
      </c>
      <c r="AB190">
        <v>9</v>
      </c>
      <c r="AC190" t="s">
        <v>310</v>
      </c>
      <c r="AD190">
        <v>9</v>
      </c>
      <c r="AE190" t="s">
        <v>1394</v>
      </c>
      <c r="AF190">
        <v>10000000</v>
      </c>
      <c r="AG190" t="s">
        <v>310</v>
      </c>
      <c r="AH190">
        <f>SUM((MID(Dyno_Data[[#This Row],[Team]],4,5))+(Dyno_Data[[#This Row],[Match]]/100))</f>
        <v>6300.04</v>
      </c>
      <c r="AI190" s="76">
        <f>ROUND(SUM(IF(Dyno_Data[[#This Row],[AcqCenter]]&gt;0,Dyno_Data[[#This Row],[Time]]-SUMIFS(Dyno_Data[Time],Dyno_Data[Team],Dyno_Data[[#This Row],[Team]],Dyno_Data[RecordType],"StartMatch",Dyno_Data[Match],Dyno_Data[[#This Row],[Match]]),0)*86400),0)</f>
        <v>0</v>
      </c>
    </row>
    <row r="191" spans="1:37" x14ac:dyDescent="0.3">
      <c r="A191">
        <v>190</v>
      </c>
      <c r="B191" t="s">
        <v>360</v>
      </c>
      <c r="C191">
        <v>4</v>
      </c>
      <c r="D191" s="105">
        <v>45373.395880821758</v>
      </c>
      <c r="E191" t="s">
        <v>312</v>
      </c>
      <c r="F191" t="s">
        <v>1402</v>
      </c>
      <c r="G191">
        <v>0</v>
      </c>
      <c r="H191" t="s">
        <v>315</v>
      </c>
      <c r="I191">
        <v>0</v>
      </c>
      <c r="J191">
        <v>0</v>
      </c>
      <c r="K191">
        <v>0</v>
      </c>
      <c r="L191" t="s">
        <v>241</v>
      </c>
      <c r="M191" t="s">
        <v>241</v>
      </c>
      <c r="N191">
        <v>0</v>
      </c>
      <c r="O191" t="s">
        <v>1391</v>
      </c>
      <c r="P191" t="s">
        <v>310</v>
      </c>
      <c r="Q191" t="s">
        <v>310</v>
      </c>
      <c r="R191" t="s">
        <v>310</v>
      </c>
      <c r="S191">
        <v>9</v>
      </c>
      <c r="T191" t="s">
        <v>310</v>
      </c>
      <c r="U191">
        <v>9</v>
      </c>
      <c r="V191">
        <v>9</v>
      </c>
      <c r="W191">
        <v>0</v>
      </c>
      <c r="X191">
        <v>0</v>
      </c>
      <c r="Y191">
        <v>0</v>
      </c>
      <c r="Z191">
        <v>0</v>
      </c>
      <c r="AA191">
        <v>9</v>
      </c>
      <c r="AB191">
        <v>9</v>
      </c>
      <c r="AC191" t="s">
        <v>310</v>
      </c>
      <c r="AD191">
        <v>9</v>
      </c>
      <c r="AE191" t="s">
        <v>1388</v>
      </c>
      <c r="AF191">
        <v>60002000</v>
      </c>
      <c r="AG191" t="s">
        <v>310</v>
      </c>
      <c r="AH191">
        <f>SUM((MID(Dyno_Data[[#This Row],[Team]],4,5))+(Dyno_Data[[#This Row],[Match]]/100))</f>
        <v>1796.04</v>
      </c>
      <c r="AI191" s="76">
        <f>ROUND(SUM(IF(Dyno_Data[[#This Row],[AcqCenter]]&gt;0,Dyno_Data[[#This Row],[Time]]-SUMIFS(Dyno_Data[Time],Dyno_Data[Team],Dyno_Data[[#This Row],[Team]],Dyno_Data[RecordType],"StartMatch",Dyno_Data[Match],Dyno_Data[[#This Row],[Match]]),0)*86400),0)</f>
        <v>0</v>
      </c>
    </row>
    <row r="192" spans="1:37" x14ac:dyDescent="0.3">
      <c r="A192">
        <v>191</v>
      </c>
      <c r="B192" t="s">
        <v>1296</v>
      </c>
      <c r="C192">
        <v>4</v>
      </c>
      <c r="D192" s="105">
        <v>45373.395880902775</v>
      </c>
      <c r="E192" t="s">
        <v>312</v>
      </c>
      <c r="F192" t="s">
        <v>1402</v>
      </c>
      <c r="G192">
        <v>0</v>
      </c>
      <c r="H192" t="s">
        <v>315</v>
      </c>
      <c r="I192">
        <v>0</v>
      </c>
      <c r="J192">
        <v>0</v>
      </c>
      <c r="K192">
        <v>0</v>
      </c>
      <c r="L192" t="s">
        <v>241</v>
      </c>
      <c r="M192" t="s">
        <v>1398</v>
      </c>
      <c r="N192">
        <v>0</v>
      </c>
      <c r="O192" t="s">
        <v>1395</v>
      </c>
      <c r="P192" t="s">
        <v>310</v>
      </c>
      <c r="Q192" t="s">
        <v>310</v>
      </c>
      <c r="R192" t="s">
        <v>310</v>
      </c>
      <c r="S192">
        <v>9</v>
      </c>
      <c r="T192" t="s">
        <v>310</v>
      </c>
      <c r="U192">
        <v>9</v>
      </c>
      <c r="V192">
        <v>9</v>
      </c>
      <c r="W192">
        <v>0</v>
      </c>
      <c r="X192">
        <v>0</v>
      </c>
      <c r="Y192">
        <v>0</v>
      </c>
      <c r="Z192">
        <v>0</v>
      </c>
      <c r="AA192">
        <v>9</v>
      </c>
      <c r="AB192">
        <v>9</v>
      </c>
      <c r="AC192" t="s">
        <v>310</v>
      </c>
      <c r="AD192">
        <v>9</v>
      </c>
      <c r="AE192" t="s">
        <v>1396</v>
      </c>
      <c r="AF192">
        <v>10000000</v>
      </c>
      <c r="AG192" t="s">
        <v>310</v>
      </c>
      <c r="AH192">
        <f>SUM((MID(Dyno_Data[[#This Row],[Team]],4,5))+(Dyno_Data[[#This Row],[Match]]/100))</f>
        <v>3003.04</v>
      </c>
      <c r="AI192" s="76">
        <f>ROUND(SUM(IF(Dyno_Data[[#This Row],[AcqCenter]]&gt;0,Dyno_Data[[#This Row],[Time]]-SUMIFS(Dyno_Data[Time],Dyno_Data[Team],Dyno_Data[[#This Row],[Team]],Dyno_Data[RecordType],"StartMatch",Dyno_Data[Match],Dyno_Data[[#This Row],[Match]]),0)*86400),0)</f>
        <v>0</v>
      </c>
      <c r="AK192" s="106"/>
    </row>
    <row r="193" spans="1:35" x14ac:dyDescent="0.3">
      <c r="A193">
        <v>192</v>
      </c>
      <c r="B193" t="s">
        <v>1297</v>
      </c>
      <c r="C193">
        <v>4</v>
      </c>
      <c r="D193" s="105">
        <v>45373.395921331015</v>
      </c>
      <c r="E193" t="s">
        <v>312</v>
      </c>
      <c r="F193" t="s">
        <v>1402</v>
      </c>
      <c r="G193">
        <v>0</v>
      </c>
      <c r="H193" t="s">
        <v>315</v>
      </c>
      <c r="I193">
        <v>0</v>
      </c>
      <c r="J193">
        <v>0</v>
      </c>
      <c r="K193">
        <v>0</v>
      </c>
      <c r="L193" t="s">
        <v>241</v>
      </c>
      <c r="M193" t="s">
        <v>101</v>
      </c>
      <c r="N193">
        <v>0</v>
      </c>
      <c r="O193" t="s">
        <v>311</v>
      </c>
      <c r="P193" t="s">
        <v>310</v>
      </c>
      <c r="Q193" t="s">
        <v>310</v>
      </c>
      <c r="R193" t="s">
        <v>310</v>
      </c>
      <c r="S193">
        <v>9</v>
      </c>
      <c r="T193" t="s">
        <v>310</v>
      </c>
      <c r="U193">
        <v>9</v>
      </c>
      <c r="V193">
        <v>9</v>
      </c>
      <c r="W193">
        <v>0</v>
      </c>
      <c r="X193">
        <v>0</v>
      </c>
      <c r="Y193">
        <v>0</v>
      </c>
      <c r="Z193">
        <v>0</v>
      </c>
      <c r="AA193">
        <v>9</v>
      </c>
      <c r="AB193">
        <v>9</v>
      </c>
      <c r="AC193" t="s">
        <v>310</v>
      </c>
      <c r="AD193">
        <v>9</v>
      </c>
      <c r="AE193" t="s">
        <v>1387</v>
      </c>
      <c r="AF193">
        <v>10000000</v>
      </c>
      <c r="AG193" t="s">
        <v>310</v>
      </c>
      <c r="AH193">
        <f>SUM((MID(Dyno_Data[[#This Row],[Team]],4,5))+(Dyno_Data[[#This Row],[Match]]/100))</f>
        <v>9750.0400000000009</v>
      </c>
      <c r="AI193" s="76">
        <f>ROUND(SUM(IF(Dyno_Data[[#This Row],[AcqCenter]]&gt;0,Dyno_Data[[#This Row],[Time]]-SUMIFS(Dyno_Data[Time],Dyno_Data[Team],Dyno_Data[[#This Row],[Team]],Dyno_Data[RecordType],"StartMatch",Dyno_Data[Match],Dyno_Data[[#This Row],[Match]]),0)*86400),0)</f>
        <v>0</v>
      </c>
    </row>
    <row r="194" spans="1:35" x14ac:dyDescent="0.3">
      <c r="A194">
        <v>193</v>
      </c>
      <c r="B194" t="s">
        <v>1298</v>
      </c>
      <c r="C194">
        <v>4</v>
      </c>
      <c r="D194" s="105">
        <v>45373.395945914352</v>
      </c>
      <c r="E194" t="s">
        <v>312</v>
      </c>
      <c r="F194" t="s">
        <v>1402</v>
      </c>
      <c r="G194">
        <v>0</v>
      </c>
      <c r="H194" t="s">
        <v>315</v>
      </c>
      <c r="I194">
        <v>0</v>
      </c>
      <c r="J194">
        <v>0</v>
      </c>
      <c r="K194">
        <v>0</v>
      </c>
      <c r="L194" t="s">
        <v>240</v>
      </c>
      <c r="M194" t="s">
        <v>1398</v>
      </c>
      <c r="N194">
        <v>0</v>
      </c>
      <c r="O194" t="s">
        <v>319</v>
      </c>
      <c r="P194" t="s">
        <v>310</v>
      </c>
      <c r="Q194" t="s">
        <v>310</v>
      </c>
      <c r="R194" t="s">
        <v>310</v>
      </c>
      <c r="S194">
        <v>9</v>
      </c>
      <c r="T194" t="s">
        <v>310</v>
      </c>
      <c r="U194">
        <v>9</v>
      </c>
      <c r="V194">
        <v>9</v>
      </c>
      <c r="W194">
        <v>0</v>
      </c>
      <c r="X194">
        <v>0</v>
      </c>
      <c r="Y194">
        <v>0</v>
      </c>
      <c r="Z194">
        <v>0</v>
      </c>
      <c r="AA194">
        <v>9</v>
      </c>
      <c r="AB194">
        <v>9</v>
      </c>
      <c r="AC194" t="s">
        <v>310</v>
      </c>
      <c r="AD194">
        <v>9</v>
      </c>
      <c r="AE194" t="s">
        <v>1392</v>
      </c>
      <c r="AF194">
        <v>10000000</v>
      </c>
      <c r="AG194" t="s">
        <v>310</v>
      </c>
      <c r="AH194">
        <f>SUM((MID(Dyno_Data[[#This Row],[Team]],4,5))+(Dyno_Data[[#This Row],[Match]]/100))</f>
        <v>9624.0400000000009</v>
      </c>
      <c r="AI194" s="76">
        <f>ROUND(SUM(IF(Dyno_Data[[#This Row],[AcqCenter]]&gt;0,Dyno_Data[[#This Row],[Time]]-SUMIFS(Dyno_Data[Time],Dyno_Data[Team],Dyno_Data[[#This Row],[Team]],Dyno_Data[RecordType],"StartMatch",Dyno_Data[Match],Dyno_Data[[#This Row],[Match]]),0)*86400),0)</f>
        <v>0</v>
      </c>
    </row>
    <row r="195" spans="1:35" x14ac:dyDescent="0.3">
      <c r="A195">
        <v>194</v>
      </c>
      <c r="B195" t="s">
        <v>1295</v>
      </c>
      <c r="C195">
        <v>4</v>
      </c>
      <c r="D195" s="105">
        <v>45373.395967129632</v>
      </c>
      <c r="E195" t="s">
        <v>312</v>
      </c>
      <c r="F195" t="s">
        <v>1402</v>
      </c>
      <c r="G195">
        <v>0</v>
      </c>
      <c r="H195" t="s">
        <v>315</v>
      </c>
      <c r="I195">
        <v>0</v>
      </c>
      <c r="J195">
        <v>0</v>
      </c>
      <c r="K195">
        <v>0</v>
      </c>
      <c r="L195" t="s">
        <v>241</v>
      </c>
      <c r="M195" t="s">
        <v>101</v>
      </c>
      <c r="N195">
        <v>0</v>
      </c>
      <c r="O195" t="s">
        <v>1389</v>
      </c>
      <c r="P195" t="s">
        <v>310</v>
      </c>
      <c r="Q195" t="s">
        <v>310</v>
      </c>
      <c r="R195" t="s">
        <v>310</v>
      </c>
      <c r="S195">
        <v>9</v>
      </c>
      <c r="T195" t="s">
        <v>310</v>
      </c>
      <c r="U195">
        <v>9</v>
      </c>
      <c r="V195">
        <v>9</v>
      </c>
      <c r="W195">
        <v>0</v>
      </c>
      <c r="X195">
        <v>0</v>
      </c>
      <c r="Y195">
        <v>0</v>
      </c>
      <c r="Z195">
        <v>0</v>
      </c>
      <c r="AA195">
        <v>9</v>
      </c>
      <c r="AB195">
        <v>9</v>
      </c>
      <c r="AC195" t="s">
        <v>310</v>
      </c>
      <c r="AD195">
        <v>9</v>
      </c>
      <c r="AE195" t="s">
        <v>1394</v>
      </c>
      <c r="AF195">
        <v>20000000</v>
      </c>
      <c r="AG195" t="s">
        <v>310</v>
      </c>
      <c r="AH195">
        <f>SUM((MID(Dyno_Data[[#This Row],[Team]],4,5))+(Dyno_Data[[#This Row],[Match]]/100))</f>
        <v>6300.04</v>
      </c>
      <c r="AI195" s="76">
        <f>ROUND(SUM(IF(Dyno_Data[[#This Row],[AcqCenter]]&gt;0,Dyno_Data[[#This Row],[Time]]-SUMIFS(Dyno_Data[Time],Dyno_Data[Team],Dyno_Data[[#This Row],[Team]],Dyno_Data[RecordType],"StartMatch",Dyno_Data[Match],Dyno_Data[[#This Row],[Match]]),0)*86400),0)</f>
        <v>0</v>
      </c>
    </row>
    <row r="196" spans="1:35" x14ac:dyDescent="0.3">
      <c r="A196">
        <v>195</v>
      </c>
      <c r="B196" t="s">
        <v>360</v>
      </c>
      <c r="C196">
        <v>4</v>
      </c>
      <c r="D196" s="105">
        <v>45373.395981562498</v>
      </c>
      <c r="E196" t="s">
        <v>312</v>
      </c>
      <c r="F196" t="s">
        <v>1402</v>
      </c>
      <c r="G196">
        <v>0</v>
      </c>
      <c r="H196" t="s">
        <v>315</v>
      </c>
      <c r="I196">
        <v>0</v>
      </c>
      <c r="J196">
        <v>0</v>
      </c>
      <c r="K196">
        <v>0</v>
      </c>
      <c r="L196" t="s">
        <v>241</v>
      </c>
      <c r="M196" t="s">
        <v>241</v>
      </c>
      <c r="N196">
        <v>0</v>
      </c>
      <c r="O196" t="s">
        <v>1391</v>
      </c>
      <c r="P196" t="s">
        <v>310</v>
      </c>
      <c r="Q196" t="s">
        <v>310</v>
      </c>
      <c r="R196" t="s">
        <v>310</v>
      </c>
      <c r="S196">
        <v>9</v>
      </c>
      <c r="T196" t="s">
        <v>310</v>
      </c>
      <c r="U196">
        <v>9</v>
      </c>
      <c r="V196">
        <v>9</v>
      </c>
      <c r="W196">
        <v>0</v>
      </c>
      <c r="X196">
        <v>0</v>
      </c>
      <c r="Y196">
        <v>0</v>
      </c>
      <c r="Z196">
        <v>0</v>
      </c>
      <c r="AA196">
        <v>9</v>
      </c>
      <c r="AB196">
        <v>9</v>
      </c>
      <c r="AC196" t="s">
        <v>310</v>
      </c>
      <c r="AD196">
        <v>9</v>
      </c>
      <c r="AE196" t="s">
        <v>1388</v>
      </c>
      <c r="AF196">
        <v>70002000</v>
      </c>
      <c r="AG196" t="s">
        <v>310</v>
      </c>
      <c r="AH196">
        <f>SUM((MID(Dyno_Data[[#This Row],[Team]],4,5))+(Dyno_Data[[#This Row],[Match]]/100))</f>
        <v>1796.04</v>
      </c>
      <c r="AI196" s="76">
        <f>ROUND(SUM(IF(Dyno_Data[[#This Row],[AcqCenter]]&gt;0,Dyno_Data[[#This Row],[Time]]-SUMIFS(Dyno_Data[Time],Dyno_Data[Team],Dyno_Data[[#This Row],[Team]],Dyno_Data[RecordType],"StartMatch",Dyno_Data[Match],Dyno_Data[[#This Row],[Match]]),0)*86400),0)</f>
        <v>0</v>
      </c>
    </row>
    <row r="197" spans="1:35" x14ac:dyDescent="0.3">
      <c r="A197">
        <v>196</v>
      </c>
      <c r="B197" t="s">
        <v>1294</v>
      </c>
      <c r="C197">
        <v>4</v>
      </c>
      <c r="D197" s="105">
        <v>45373.395995949075</v>
      </c>
      <c r="E197" t="s">
        <v>312</v>
      </c>
      <c r="F197" t="s">
        <v>1402</v>
      </c>
      <c r="G197">
        <v>0</v>
      </c>
      <c r="H197" t="s">
        <v>315</v>
      </c>
      <c r="I197">
        <v>0</v>
      </c>
      <c r="J197">
        <v>0</v>
      </c>
      <c r="K197">
        <v>0</v>
      </c>
      <c r="L197" t="s">
        <v>240</v>
      </c>
      <c r="M197" t="s">
        <v>1398</v>
      </c>
      <c r="N197">
        <v>0</v>
      </c>
      <c r="O197" t="s">
        <v>1393</v>
      </c>
      <c r="P197" t="s">
        <v>310</v>
      </c>
      <c r="Q197" t="s">
        <v>310</v>
      </c>
      <c r="R197" t="s">
        <v>310</v>
      </c>
      <c r="S197">
        <v>9</v>
      </c>
      <c r="T197" t="s">
        <v>310</v>
      </c>
      <c r="U197">
        <v>9</v>
      </c>
      <c r="V197">
        <v>9</v>
      </c>
      <c r="W197">
        <v>0</v>
      </c>
      <c r="X197">
        <v>0</v>
      </c>
      <c r="Y197">
        <v>0</v>
      </c>
      <c r="Z197">
        <v>0</v>
      </c>
      <c r="AA197">
        <v>9</v>
      </c>
      <c r="AB197">
        <v>9</v>
      </c>
      <c r="AC197" t="s">
        <v>310</v>
      </c>
      <c r="AD197">
        <v>9</v>
      </c>
      <c r="AE197" t="s">
        <v>1390</v>
      </c>
      <c r="AF197">
        <v>10000000</v>
      </c>
      <c r="AG197" t="s">
        <v>310</v>
      </c>
      <c r="AH197">
        <f>SUM((MID(Dyno_Data[[#This Row],[Team]],4,5))+(Dyno_Data[[#This Row],[Match]]/100))</f>
        <v>9076.0400000000009</v>
      </c>
      <c r="AI197" s="76">
        <f>ROUND(SUM(IF(Dyno_Data[[#This Row],[AcqCenter]]&gt;0,Dyno_Data[[#This Row],[Time]]-SUMIFS(Dyno_Data[Time],Dyno_Data[Team],Dyno_Data[[#This Row],[Team]],Dyno_Data[RecordType],"StartMatch",Dyno_Data[Match],Dyno_Data[[#This Row],[Match]]),0)*86400),0)</f>
        <v>0</v>
      </c>
    </row>
    <row r="198" spans="1:35" x14ac:dyDescent="0.3">
      <c r="A198">
        <v>197</v>
      </c>
      <c r="B198" t="s">
        <v>1296</v>
      </c>
      <c r="C198">
        <v>4</v>
      </c>
      <c r="D198" s="105">
        <v>45373.396033946759</v>
      </c>
      <c r="E198" t="s">
        <v>312</v>
      </c>
      <c r="F198" t="s">
        <v>1402</v>
      </c>
      <c r="G198">
        <v>0</v>
      </c>
      <c r="H198" t="s">
        <v>315</v>
      </c>
      <c r="I198">
        <v>0</v>
      </c>
      <c r="J198">
        <v>0</v>
      </c>
      <c r="K198">
        <v>0</v>
      </c>
      <c r="L198" t="s">
        <v>242</v>
      </c>
      <c r="M198" t="s">
        <v>241</v>
      </c>
      <c r="N198">
        <v>0</v>
      </c>
      <c r="O198" t="s">
        <v>1395</v>
      </c>
      <c r="P198" t="s">
        <v>310</v>
      </c>
      <c r="Q198" t="s">
        <v>310</v>
      </c>
      <c r="R198" t="s">
        <v>310</v>
      </c>
      <c r="S198">
        <v>9</v>
      </c>
      <c r="T198" t="s">
        <v>310</v>
      </c>
      <c r="U198">
        <v>9</v>
      </c>
      <c r="V198">
        <v>9</v>
      </c>
      <c r="W198">
        <v>0</v>
      </c>
      <c r="X198">
        <v>0</v>
      </c>
      <c r="Y198">
        <v>0</v>
      </c>
      <c r="Z198">
        <v>0</v>
      </c>
      <c r="AA198">
        <v>9</v>
      </c>
      <c r="AB198">
        <v>9</v>
      </c>
      <c r="AC198" t="s">
        <v>310</v>
      </c>
      <c r="AD198">
        <v>9</v>
      </c>
      <c r="AE198" t="s">
        <v>1396</v>
      </c>
      <c r="AF198">
        <v>20000000</v>
      </c>
      <c r="AG198" t="s">
        <v>310</v>
      </c>
      <c r="AH198">
        <f>SUM((MID(Dyno_Data[[#This Row],[Team]],4,5))+(Dyno_Data[[#This Row],[Match]]/100))</f>
        <v>3003.04</v>
      </c>
      <c r="AI198" s="76">
        <f>ROUND(SUM(IF(Dyno_Data[[#This Row],[AcqCenter]]&gt;0,Dyno_Data[[#This Row],[Time]]-SUMIFS(Dyno_Data[Time],Dyno_Data[Team],Dyno_Data[[#This Row],[Team]],Dyno_Data[RecordType],"StartMatch",Dyno_Data[Match],Dyno_Data[[#This Row],[Match]]),0)*86400),0)</f>
        <v>0</v>
      </c>
    </row>
    <row r="199" spans="1:35" x14ac:dyDescent="0.3">
      <c r="A199">
        <v>198</v>
      </c>
      <c r="B199" t="s">
        <v>1297</v>
      </c>
      <c r="C199">
        <v>4</v>
      </c>
      <c r="D199" s="105">
        <v>45373.396041122687</v>
      </c>
      <c r="E199" t="s">
        <v>312</v>
      </c>
      <c r="F199" t="s">
        <v>1402</v>
      </c>
      <c r="G199">
        <v>0</v>
      </c>
      <c r="H199" t="s">
        <v>315</v>
      </c>
      <c r="I199">
        <v>0</v>
      </c>
      <c r="J199">
        <v>0</v>
      </c>
      <c r="K199">
        <v>0</v>
      </c>
      <c r="L199" t="s">
        <v>241</v>
      </c>
      <c r="M199" t="s">
        <v>101</v>
      </c>
      <c r="N199">
        <v>0</v>
      </c>
      <c r="O199" t="s">
        <v>311</v>
      </c>
      <c r="P199" t="s">
        <v>310</v>
      </c>
      <c r="Q199" t="s">
        <v>310</v>
      </c>
      <c r="R199" t="s">
        <v>310</v>
      </c>
      <c r="S199">
        <v>9</v>
      </c>
      <c r="T199" t="s">
        <v>310</v>
      </c>
      <c r="U199">
        <v>9</v>
      </c>
      <c r="V199">
        <v>9</v>
      </c>
      <c r="W199">
        <v>0</v>
      </c>
      <c r="X199">
        <v>0</v>
      </c>
      <c r="Y199">
        <v>0</v>
      </c>
      <c r="Z199">
        <v>0</v>
      </c>
      <c r="AA199">
        <v>9</v>
      </c>
      <c r="AB199">
        <v>9</v>
      </c>
      <c r="AC199" t="s">
        <v>310</v>
      </c>
      <c r="AD199">
        <v>9</v>
      </c>
      <c r="AE199" t="s">
        <v>1387</v>
      </c>
      <c r="AF199">
        <v>20000000</v>
      </c>
      <c r="AG199" t="s">
        <v>310</v>
      </c>
      <c r="AH199">
        <f>SUM((MID(Dyno_Data[[#This Row],[Team]],4,5))+(Dyno_Data[[#This Row],[Match]]/100))</f>
        <v>9750.0400000000009</v>
      </c>
      <c r="AI199" s="76">
        <f>ROUND(SUM(IF(Dyno_Data[[#This Row],[AcqCenter]]&gt;0,Dyno_Data[[#This Row],[Time]]-SUMIFS(Dyno_Data[Time],Dyno_Data[Team],Dyno_Data[[#This Row],[Team]],Dyno_Data[RecordType],"StartMatch",Dyno_Data[Match],Dyno_Data[[#This Row],[Match]]),0)*86400),0)</f>
        <v>0</v>
      </c>
    </row>
    <row r="200" spans="1:35" x14ac:dyDescent="0.3">
      <c r="A200">
        <v>199</v>
      </c>
      <c r="B200" t="s">
        <v>1298</v>
      </c>
      <c r="C200">
        <v>4</v>
      </c>
      <c r="D200" s="105">
        <v>45373.396050659721</v>
      </c>
      <c r="E200" t="s">
        <v>312</v>
      </c>
      <c r="F200" t="s">
        <v>1402</v>
      </c>
      <c r="G200">
        <v>0</v>
      </c>
      <c r="H200" t="s">
        <v>315</v>
      </c>
      <c r="I200">
        <v>0</v>
      </c>
      <c r="J200">
        <v>0</v>
      </c>
      <c r="K200">
        <v>0</v>
      </c>
      <c r="L200" t="s">
        <v>240</v>
      </c>
      <c r="M200" t="s">
        <v>1398</v>
      </c>
      <c r="N200">
        <v>0</v>
      </c>
      <c r="O200" t="s">
        <v>319</v>
      </c>
      <c r="P200" t="s">
        <v>310</v>
      </c>
      <c r="Q200" t="s">
        <v>310</v>
      </c>
      <c r="R200" t="s">
        <v>310</v>
      </c>
      <c r="S200">
        <v>9</v>
      </c>
      <c r="T200" t="s">
        <v>310</v>
      </c>
      <c r="U200">
        <v>9</v>
      </c>
      <c r="V200">
        <v>9</v>
      </c>
      <c r="W200">
        <v>0</v>
      </c>
      <c r="X200">
        <v>0</v>
      </c>
      <c r="Y200">
        <v>0</v>
      </c>
      <c r="Z200">
        <v>0</v>
      </c>
      <c r="AA200">
        <v>9</v>
      </c>
      <c r="AB200">
        <v>9</v>
      </c>
      <c r="AC200" t="s">
        <v>310</v>
      </c>
      <c r="AD200">
        <v>9</v>
      </c>
      <c r="AE200" t="s">
        <v>1392</v>
      </c>
      <c r="AF200">
        <v>20000000</v>
      </c>
      <c r="AG200" t="s">
        <v>310</v>
      </c>
      <c r="AH200">
        <f>SUM((MID(Dyno_Data[[#This Row],[Team]],4,5))+(Dyno_Data[[#This Row],[Match]]/100))</f>
        <v>9624.0400000000009</v>
      </c>
      <c r="AI200" s="76">
        <f>ROUND(SUM(IF(Dyno_Data[[#This Row],[AcqCenter]]&gt;0,Dyno_Data[[#This Row],[Time]]-SUMIFS(Dyno_Data[Time],Dyno_Data[Team],Dyno_Data[[#This Row],[Team]],Dyno_Data[RecordType],"StartMatch",Dyno_Data[Match],Dyno_Data[[#This Row],[Match]]),0)*86400),0)</f>
        <v>0</v>
      </c>
    </row>
    <row r="201" spans="1:35" x14ac:dyDescent="0.3">
      <c r="A201">
        <v>200</v>
      </c>
      <c r="B201" t="s">
        <v>360</v>
      </c>
      <c r="C201">
        <v>4</v>
      </c>
      <c r="D201" s="105">
        <v>45373.396086030094</v>
      </c>
      <c r="E201" t="s">
        <v>312</v>
      </c>
      <c r="F201" t="s">
        <v>1402</v>
      </c>
      <c r="G201">
        <v>0</v>
      </c>
      <c r="H201" t="s">
        <v>315</v>
      </c>
      <c r="I201">
        <v>0</v>
      </c>
      <c r="J201">
        <v>0</v>
      </c>
      <c r="K201">
        <v>0</v>
      </c>
      <c r="L201" t="s">
        <v>241</v>
      </c>
      <c r="M201" t="s">
        <v>1398</v>
      </c>
      <c r="N201">
        <v>0</v>
      </c>
      <c r="O201" t="s">
        <v>1391</v>
      </c>
      <c r="P201" t="s">
        <v>310</v>
      </c>
      <c r="Q201" t="s">
        <v>310</v>
      </c>
      <c r="R201" t="s">
        <v>310</v>
      </c>
      <c r="S201">
        <v>9</v>
      </c>
      <c r="T201" t="s">
        <v>310</v>
      </c>
      <c r="U201">
        <v>9</v>
      </c>
      <c r="V201">
        <v>9</v>
      </c>
      <c r="W201">
        <v>0</v>
      </c>
      <c r="X201">
        <v>0</v>
      </c>
      <c r="Y201">
        <v>0</v>
      </c>
      <c r="Z201">
        <v>0</v>
      </c>
      <c r="AA201">
        <v>9</v>
      </c>
      <c r="AB201">
        <v>9</v>
      </c>
      <c r="AC201" t="s">
        <v>310</v>
      </c>
      <c r="AD201">
        <v>9</v>
      </c>
      <c r="AE201" t="s">
        <v>1388</v>
      </c>
      <c r="AF201">
        <v>80002000</v>
      </c>
      <c r="AG201" t="s">
        <v>310</v>
      </c>
      <c r="AH201">
        <f>SUM((MID(Dyno_Data[[#This Row],[Team]],4,5))+(Dyno_Data[[#This Row],[Match]]/100))</f>
        <v>1796.04</v>
      </c>
      <c r="AI201" s="76">
        <f>ROUND(SUM(IF(Dyno_Data[[#This Row],[AcqCenter]]&gt;0,Dyno_Data[[#This Row],[Time]]-SUMIFS(Dyno_Data[Time],Dyno_Data[Team],Dyno_Data[[#This Row],[Team]],Dyno_Data[RecordType],"StartMatch",Dyno_Data[Match],Dyno_Data[[#This Row],[Match]]),0)*86400),0)</f>
        <v>0</v>
      </c>
    </row>
    <row r="202" spans="1:35" x14ac:dyDescent="0.3">
      <c r="A202">
        <v>201</v>
      </c>
      <c r="B202" t="s">
        <v>360</v>
      </c>
      <c r="C202">
        <v>4</v>
      </c>
      <c r="D202" s="105">
        <v>45373.396159027776</v>
      </c>
      <c r="E202" t="s">
        <v>312</v>
      </c>
      <c r="F202" t="s">
        <v>1402</v>
      </c>
      <c r="G202">
        <v>0</v>
      </c>
      <c r="H202" t="s">
        <v>315</v>
      </c>
      <c r="I202">
        <v>0</v>
      </c>
      <c r="J202">
        <v>0</v>
      </c>
      <c r="K202">
        <v>0</v>
      </c>
      <c r="L202" t="s">
        <v>241</v>
      </c>
      <c r="M202" t="s">
        <v>1398</v>
      </c>
      <c r="N202">
        <v>0</v>
      </c>
      <c r="O202" t="s">
        <v>1391</v>
      </c>
      <c r="P202" t="s">
        <v>310</v>
      </c>
      <c r="Q202" t="s">
        <v>310</v>
      </c>
      <c r="R202" t="s">
        <v>310</v>
      </c>
      <c r="S202">
        <v>9</v>
      </c>
      <c r="T202" t="s">
        <v>310</v>
      </c>
      <c r="U202">
        <v>9</v>
      </c>
      <c r="V202">
        <v>9</v>
      </c>
      <c r="W202">
        <v>0</v>
      </c>
      <c r="X202">
        <v>0</v>
      </c>
      <c r="Y202">
        <v>0</v>
      </c>
      <c r="Z202">
        <v>0</v>
      </c>
      <c r="AA202">
        <v>9</v>
      </c>
      <c r="AB202">
        <v>9</v>
      </c>
      <c r="AC202" t="s">
        <v>310</v>
      </c>
      <c r="AD202">
        <v>9</v>
      </c>
      <c r="AE202" t="s">
        <v>1388</v>
      </c>
      <c r="AF202">
        <v>90002000</v>
      </c>
      <c r="AG202" t="s">
        <v>310</v>
      </c>
      <c r="AH202">
        <f>SUM((MID(Dyno_Data[[#This Row],[Team]],4,5))+(Dyno_Data[[#This Row],[Match]]/100))</f>
        <v>1796.04</v>
      </c>
      <c r="AI202" s="76">
        <f>ROUND(SUM(IF(Dyno_Data[[#This Row],[AcqCenter]]&gt;0,Dyno_Data[[#This Row],[Time]]-SUMIFS(Dyno_Data[Time],Dyno_Data[Team],Dyno_Data[[#This Row],[Team]],Dyno_Data[RecordType],"StartMatch",Dyno_Data[Match],Dyno_Data[[#This Row],[Match]]),0)*86400),0)</f>
        <v>0</v>
      </c>
    </row>
    <row r="203" spans="1:35" x14ac:dyDescent="0.3">
      <c r="A203">
        <v>202</v>
      </c>
      <c r="B203" t="s">
        <v>1296</v>
      </c>
      <c r="C203">
        <v>4</v>
      </c>
      <c r="D203" s="105">
        <v>45373.396160497687</v>
      </c>
      <c r="E203" t="s">
        <v>312</v>
      </c>
      <c r="F203" t="s">
        <v>1402</v>
      </c>
      <c r="G203">
        <v>0</v>
      </c>
      <c r="H203" t="s">
        <v>315</v>
      </c>
      <c r="I203">
        <v>0</v>
      </c>
      <c r="J203">
        <v>0</v>
      </c>
      <c r="K203">
        <v>0</v>
      </c>
      <c r="L203" t="s">
        <v>241</v>
      </c>
      <c r="M203" t="s">
        <v>241</v>
      </c>
      <c r="N203">
        <v>0</v>
      </c>
      <c r="O203" t="s">
        <v>1395</v>
      </c>
      <c r="P203" t="s">
        <v>310</v>
      </c>
      <c r="Q203" t="s">
        <v>310</v>
      </c>
      <c r="R203" t="s">
        <v>310</v>
      </c>
      <c r="S203">
        <v>9</v>
      </c>
      <c r="T203" t="s">
        <v>310</v>
      </c>
      <c r="U203">
        <v>9</v>
      </c>
      <c r="V203">
        <v>9</v>
      </c>
      <c r="W203">
        <v>0</v>
      </c>
      <c r="X203">
        <v>0</v>
      </c>
      <c r="Y203">
        <v>0</v>
      </c>
      <c r="Z203">
        <v>0</v>
      </c>
      <c r="AA203">
        <v>9</v>
      </c>
      <c r="AB203">
        <v>9</v>
      </c>
      <c r="AC203" t="s">
        <v>310</v>
      </c>
      <c r="AD203">
        <v>9</v>
      </c>
      <c r="AE203" t="s">
        <v>1396</v>
      </c>
      <c r="AF203">
        <v>30000000</v>
      </c>
      <c r="AG203" t="s">
        <v>310</v>
      </c>
      <c r="AH203">
        <f>SUM((MID(Dyno_Data[[#This Row],[Team]],4,5))+(Dyno_Data[[#This Row],[Match]]/100))</f>
        <v>3003.04</v>
      </c>
      <c r="AI203" s="76">
        <f>ROUND(SUM(IF(Dyno_Data[[#This Row],[AcqCenter]]&gt;0,Dyno_Data[[#This Row],[Time]]-SUMIFS(Dyno_Data[Time],Dyno_Data[Team],Dyno_Data[[#This Row],[Team]],Dyno_Data[RecordType],"StartMatch",Dyno_Data[Match],Dyno_Data[[#This Row],[Match]]),0)*86400),0)</f>
        <v>0</v>
      </c>
    </row>
    <row r="204" spans="1:35" x14ac:dyDescent="0.3">
      <c r="A204">
        <v>203</v>
      </c>
      <c r="B204" t="s">
        <v>1297</v>
      </c>
      <c r="C204">
        <v>4</v>
      </c>
      <c r="D204" s="105">
        <v>45373.396177858798</v>
      </c>
      <c r="E204" t="s">
        <v>312</v>
      </c>
      <c r="F204" t="s">
        <v>1402</v>
      </c>
      <c r="G204">
        <v>0</v>
      </c>
      <c r="H204" t="s">
        <v>315</v>
      </c>
      <c r="I204">
        <v>0</v>
      </c>
      <c r="J204">
        <v>0</v>
      </c>
      <c r="K204">
        <v>0</v>
      </c>
      <c r="L204" t="s">
        <v>241</v>
      </c>
      <c r="M204" t="s">
        <v>101</v>
      </c>
      <c r="N204">
        <v>0</v>
      </c>
      <c r="O204" t="s">
        <v>311</v>
      </c>
      <c r="P204" t="s">
        <v>310</v>
      </c>
      <c r="Q204" t="s">
        <v>310</v>
      </c>
      <c r="R204" t="s">
        <v>310</v>
      </c>
      <c r="S204">
        <v>9</v>
      </c>
      <c r="T204" t="s">
        <v>310</v>
      </c>
      <c r="U204">
        <v>9</v>
      </c>
      <c r="V204">
        <v>9</v>
      </c>
      <c r="W204">
        <v>0</v>
      </c>
      <c r="X204">
        <v>0</v>
      </c>
      <c r="Y204">
        <v>0</v>
      </c>
      <c r="Z204">
        <v>0</v>
      </c>
      <c r="AA204">
        <v>9</v>
      </c>
      <c r="AB204">
        <v>9</v>
      </c>
      <c r="AC204" t="s">
        <v>310</v>
      </c>
      <c r="AD204">
        <v>9</v>
      </c>
      <c r="AE204" t="s">
        <v>1387</v>
      </c>
      <c r="AF204">
        <v>30000000</v>
      </c>
      <c r="AG204" t="s">
        <v>310</v>
      </c>
      <c r="AH204">
        <f>SUM((MID(Dyno_Data[[#This Row],[Team]],4,5))+(Dyno_Data[[#This Row],[Match]]/100))</f>
        <v>9750.0400000000009</v>
      </c>
      <c r="AI204" s="76">
        <f>ROUND(SUM(IF(Dyno_Data[[#This Row],[AcqCenter]]&gt;0,Dyno_Data[[#This Row],[Time]]-SUMIFS(Dyno_Data[Time],Dyno_Data[Team],Dyno_Data[[#This Row],[Team]],Dyno_Data[RecordType],"StartMatch",Dyno_Data[Match],Dyno_Data[[#This Row],[Match]]),0)*86400),0)</f>
        <v>0</v>
      </c>
    </row>
    <row r="205" spans="1:35" x14ac:dyDescent="0.3">
      <c r="A205">
        <v>204</v>
      </c>
      <c r="B205" t="s">
        <v>1295</v>
      </c>
      <c r="C205">
        <v>4</v>
      </c>
      <c r="D205" s="105">
        <v>45373.39620609954</v>
      </c>
      <c r="E205" t="s">
        <v>312</v>
      </c>
      <c r="F205" t="s">
        <v>1402</v>
      </c>
      <c r="G205">
        <v>0</v>
      </c>
      <c r="H205" t="s">
        <v>315</v>
      </c>
      <c r="I205">
        <v>0</v>
      </c>
      <c r="J205">
        <v>0</v>
      </c>
      <c r="K205">
        <v>0</v>
      </c>
      <c r="L205" t="s">
        <v>241</v>
      </c>
      <c r="M205" t="s">
        <v>1398</v>
      </c>
      <c r="N205">
        <v>1</v>
      </c>
      <c r="O205" t="s">
        <v>1389</v>
      </c>
      <c r="P205" t="s">
        <v>310</v>
      </c>
      <c r="Q205" t="s">
        <v>310</v>
      </c>
      <c r="R205" t="s">
        <v>310</v>
      </c>
      <c r="S205">
        <v>9</v>
      </c>
      <c r="T205" t="s">
        <v>310</v>
      </c>
      <c r="U205">
        <v>9</v>
      </c>
      <c r="V205">
        <v>9</v>
      </c>
      <c r="W205">
        <v>0</v>
      </c>
      <c r="X205">
        <v>0</v>
      </c>
      <c r="Y205">
        <v>0</v>
      </c>
      <c r="Z205">
        <v>0</v>
      </c>
      <c r="AA205">
        <v>9</v>
      </c>
      <c r="AB205">
        <v>9</v>
      </c>
      <c r="AC205" t="s">
        <v>310</v>
      </c>
      <c r="AD205">
        <v>9</v>
      </c>
      <c r="AE205" t="s">
        <v>1394</v>
      </c>
      <c r="AF205">
        <v>30000000</v>
      </c>
      <c r="AG205" t="s">
        <v>310</v>
      </c>
      <c r="AH205">
        <f>SUM((MID(Dyno_Data[[#This Row],[Team]],4,5))+(Dyno_Data[[#This Row],[Match]]/100))</f>
        <v>6300.04</v>
      </c>
      <c r="AI205" s="76">
        <f>ROUND(SUM(IF(Dyno_Data[[#This Row],[AcqCenter]]&gt;0,Dyno_Data[[#This Row],[Time]]-SUMIFS(Dyno_Data[Time],Dyno_Data[Team],Dyno_Data[[#This Row],[Team]],Dyno_Data[RecordType],"StartMatch",Dyno_Data[Match],Dyno_Data[[#This Row],[Match]]),0)*86400),0)</f>
        <v>0</v>
      </c>
    </row>
    <row r="206" spans="1:35" x14ac:dyDescent="0.3">
      <c r="A206">
        <v>205</v>
      </c>
      <c r="B206" t="s">
        <v>1298</v>
      </c>
      <c r="C206">
        <v>4</v>
      </c>
      <c r="D206" s="105">
        <v>45373.396268321761</v>
      </c>
      <c r="E206" t="s">
        <v>312</v>
      </c>
      <c r="F206" t="s">
        <v>1402</v>
      </c>
      <c r="G206">
        <v>0</v>
      </c>
      <c r="H206" t="s">
        <v>315</v>
      </c>
      <c r="I206">
        <v>0</v>
      </c>
      <c r="J206">
        <v>0</v>
      </c>
      <c r="K206">
        <v>0</v>
      </c>
      <c r="L206" t="s">
        <v>240</v>
      </c>
      <c r="M206" t="s">
        <v>1398</v>
      </c>
      <c r="N206">
        <v>0</v>
      </c>
      <c r="O206" t="s">
        <v>319</v>
      </c>
      <c r="P206" t="s">
        <v>310</v>
      </c>
      <c r="Q206" t="s">
        <v>310</v>
      </c>
      <c r="R206" t="s">
        <v>310</v>
      </c>
      <c r="S206">
        <v>9</v>
      </c>
      <c r="T206" t="s">
        <v>310</v>
      </c>
      <c r="U206">
        <v>9</v>
      </c>
      <c r="V206">
        <v>9</v>
      </c>
      <c r="W206">
        <v>0</v>
      </c>
      <c r="X206">
        <v>0</v>
      </c>
      <c r="Y206">
        <v>0</v>
      </c>
      <c r="Z206">
        <v>0</v>
      </c>
      <c r="AA206">
        <v>9</v>
      </c>
      <c r="AB206">
        <v>9</v>
      </c>
      <c r="AC206" t="s">
        <v>310</v>
      </c>
      <c r="AD206">
        <v>9</v>
      </c>
      <c r="AE206" t="s">
        <v>1392</v>
      </c>
      <c r="AF206">
        <v>30000000</v>
      </c>
      <c r="AG206" t="s">
        <v>310</v>
      </c>
      <c r="AH206">
        <f>SUM((MID(Dyno_Data[[#This Row],[Team]],4,5))+(Dyno_Data[[#This Row],[Match]]/100))</f>
        <v>9624.0400000000009</v>
      </c>
      <c r="AI206" s="76">
        <f>ROUND(SUM(IF(Dyno_Data[[#This Row],[AcqCenter]]&gt;0,Dyno_Data[[#This Row],[Time]]-SUMIFS(Dyno_Data[Time],Dyno_Data[Team],Dyno_Data[[#This Row],[Team]],Dyno_Data[RecordType],"StartMatch",Dyno_Data[Match],Dyno_Data[[#This Row],[Match]]),0)*86400),0)</f>
        <v>0</v>
      </c>
    </row>
    <row r="207" spans="1:35" x14ac:dyDescent="0.3">
      <c r="A207">
        <v>206</v>
      </c>
      <c r="B207" t="s">
        <v>1295</v>
      </c>
      <c r="C207">
        <v>4</v>
      </c>
      <c r="D207" s="105">
        <v>45373.396279166664</v>
      </c>
      <c r="E207" t="s">
        <v>312</v>
      </c>
      <c r="F207" t="s">
        <v>1402</v>
      </c>
      <c r="G207">
        <v>0</v>
      </c>
      <c r="H207" t="s">
        <v>315</v>
      </c>
      <c r="I207">
        <v>0</v>
      </c>
      <c r="J207">
        <v>0</v>
      </c>
      <c r="K207">
        <v>0</v>
      </c>
      <c r="L207" t="s">
        <v>241</v>
      </c>
      <c r="M207" t="s">
        <v>101</v>
      </c>
      <c r="N207">
        <v>0</v>
      </c>
      <c r="O207" t="s">
        <v>1389</v>
      </c>
      <c r="P207" t="s">
        <v>310</v>
      </c>
      <c r="Q207" t="s">
        <v>310</v>
      </c>
      <c r="R207" t="s">
        <v>310</v>
      </c>
      <c r="S207">
        <v>9</v>
      </c>
      <c r="T207" t="s">
        <v>310</v>
      </c>
      <c r="U207">
        <v>9</v>
      </c>
      <c r="V207">
        <v>9</v>
      </c>
      <c r="W207">
        <v>0</v>
      </c>
      <c r="X207">
        <v>0</v>
      </c>
      <c r="Y207">
        <v>0</v>
      </c>
      <c r="Z207">
        <v>0</v>
      </c>
      <c r="AA207">
        <v>9</v>
      </c>
      <c r="AB207">
        <v>9</v>
      </c>
      <c r="AC207" t="s">
        <v>310</v>
      </c>
      <c r="AD207">
        <v>9</v>
      </c>
      <c r="AE207" t="s">
        <v>1394</v>
      </c>
      <c r="AF207">
        <v>40000000</v>
      </c>
      <c r="AG207" t="s">
        <v>310</v>
      </c>
      <c r="AH207">
        <f>SUM((MID(Dyno_Data[[#This Row],[Team]],4,5))+(Dyno_Data[[#This Row],[Match]]/100))</f>
        <v>6300.04</v>
      </c>
      <c r="AI207" s="76">
        <f>ROUND(SUM(IF(Dyno_Data[[#This Row],[AcqCenter]]&gt;0,Dyno_Data[[#This Row],[Time]]-SUMIFS(Dyno_Data[Time],Dyno_Data[Team],Dyno_Data[[#This Row],[Team]],Dyno_Data[RecordType],"StartMatch",Dyno_Data[Match],Dyno_Data[[#This Row],[Match]]),0)*86400),0)</f>
        <v>0</v>
      </c>
    </row>
    <row r="208" spans="1:35" x14ac:dyDescent="0.3">
      <c r="A208">
        <v>207</v>
      </c>
      <c r="B208" t="s">
        <v>360</v>
      </c>
      <c r="C208">
        <v>4</v>
      </c>
      <c r="D208" s="105">
        <v>45373.396297222222</v>
      </c>
      <c r="E208" t="s">
        <v>312</v>
      </c>
      <c r="F208" t="s">
        <v>1402</v>
      </c>
      <c r="G208">
        <v>0</v>
      </c>
      <c r="H208" t="s">
        <v>315</v>
      </c>
      <c r="I208">
        <v>0</v>
      </c>
      <c r="J208">
        <v>0</v>
      </c>
      <c r="K208">
        <v>0</v>
      </c>
      <c r="L208" t="s">
        <v>241</v>
      </c>
      <c r="M208" t="s">
        <v>101</v>
      </c>
      <c r="N208">
        <v>0</v>
      </c>
      <c r="O208" t="s">
        <v>1391</v>
      </c>
      <c r="P208" t="s">
        <v>310</v>
      </c>
      <c r="Q208" t="s">
        <v>310</v>
      </c>
      <c r="R208" t="s">
        <v>310</v>
      </c>
      <c r="S208">
        <v>9</v>
      </c>
      <c r="T208" t="s">
        <v>310</v>
      </c>
      <c r="U208">
        <v>9</v>
      </c>
      <c r="V208">
        <v>9</v>
      </c>
      <c r="W208">
        <v>0</v>
      </c>
      <c r="X208">
        <v>0</v>
      </c>
      <c r="Y208">
        <v>0</v>
      </c>
      <c r="Z208">
        <v>0</v>
      </c>
      <c r="AA208">
        <v>9</v>
      </c>
      <c r="AB208">
        <v>9</v>
      </c>
      <c r="AC208" t="s">
        <v>310</v>
      </c>
      <c r="AD208">
        <v>9</v>
      </c>
      <c r="AE208" t="s">
        <v>1388</v>
      </c>
      <c r="AF208">
        <v>100002000</v>
      </c>
      <c r="AG208" t="s">
        <v>310</v>
      </c>
      <c r="AH208">
        <f>SUM((MID(Dyno_Data[[#This Row],[Team]],4,5))+(Dyno_Data[[#This Row],[Match]]/100))</f>
        <v>1796.04</v>
      </c>
      <c r="AI208" s="76">
        <f>ROUND(SUM(IF(Dyno_Data[[#This Row],[AcqCenter]]&gt;0,Dyno_Data[[#This Row],[Time]]-SUMIFS(Dyno_Data[Time],Dyno_Data[Team],Dyno_Data[[#This Row],[Team]],Dyno_Data[RecordType],"StartMatch",Dyno_Data[Match],Dyno_Data[[#This Row],[Match]]),0)*86400),0)</f>
        <v>0</v>
      </c>
    </row>
    <row r="209" spans="1:35" x14ac:dyDescent="0.3">
      <c r="A209">
        <v>208</v>
      </c>
      <c r="B209" t="s">
        <v>1296</v>
      </c>
      <c r="C209">
        <v>4</v>
      </c>
      <c r="D209" s="105">
        <v>45373.396374074073</v>
      </c>
      <c r="E209" t="s">
        <v>312</v>
      </c>
      <c r="F209" t="s">
        <v>1402</v>
      </c>
      <c r="G209">
        <v>0</v>
      </c>
      <c r="H209" t="s">
        <v>315</v>
      </c>
      <c r="I209">
        <v>0</v>
      </c>
      <c r="J209">
        <v>0</v>
      </c>
      <c r="K209">
        <v>0</v>
      </c>
      <c r="L209" t="s">
        <v>241</v>
      </c>
      <c r="M209" t="s">
        <v>1398</v>
      </c>
      <c r="N209">
        <v>1</v>
      </c>
      <c r="O209" t="s">
        <v>1395</v>
      </c>
      <c r="P209" t="s">
        <v>310</v>
      </c>
      <c r="Q209" t="s">
        <v>310</v>
      </c>
      <c r="R209" t="s">
        <v>310</v>
      </c>
      <c r="S209">
        <v>9</v>
      </c>
      <c r="T209" t="s">
        <v>310</v>
      </c>
      <c r="U209">
        <v>9</v>
      </c>
      <c r="V209">
        <v>9</v>
      </c>
      <c r="W209">
        <v>0</v>
      </c>
      <c r="X209">
        <v>0</v>
      </c>
      <c r="Y209">
        <v>0</v>
      </c>
      <c r="Z209">
        <v>0</v>
      </c>
      <c r="AA209">
        <v>9</v>
      </c>
      <c r="AB209">
        <v>9</v>
      </c>
      <c r="AC209" t="s">
        <v>310</v>
      </c>
      <c r="AD209">
        <v>9</v>
      </c>
      <c r="AE209" t="s">
        <v>1396</v>
      </c>
      <c r="AF209">
        <v>40000000</v>
      </c>
      <c r="AG209" t="s">
        <v>310</v>
      </c>
      <c r="AH209">
        <f>SUM((MID(Dyno_Data[[#This Row],[Team]],4,5))+(Dyno_Data[[#This Row],[Match]]/100))</f>
        <v>3003.04</v>
      </c>
      <c r="AI209" s="76">
        <f>ROUND(SUM(IF(Dyno_Data[[#This Row],[AcqCenter]]&gt;0,Dyno_Data[[#This Row],[Time]]-SUMIFS(Dyno_Data[Time],Dyno_Data[Team],Dyno_Data[[#This Row],[Team]],Dyno_Data[RecordType],"StartMatch",Dyno_Data[Match],Dyno_Data[[#This Row],[Match]]),0)*86400),0)</f>
        <v>0</v>
      </c>
    </row>
    <row r="210" spans="1:35" x14ac:dyDescent="0.3">
      <c r="A210">
        <v>209</v>
      </c>
      <c r="B210" t="s">
        <v>1295</v>
      </c>
      <c r="C210">
        <v>4</v>
      </c>
      <c r="D210" s="105">
        <v>45373.396377777775</v>
      </c>
      <c r="E210" t="s">
        <v>312</v>
      </c>
      <c r="F210" t="s">
        <v>1402</v>
      </c>
      <c r="G210">
        <v>0</v>
      </c>
      <c r="H210" t="s">
        <v>315</v>
      </c>
      <c r="I210">
        <v>0</v>
      </c>
      <c r="J210">
        <v>0</v>
      </c>
      <c r="K210">
        <v>0</v>
      </c>
      <c r="L210" t="s">
        <v>241</v>
      </c>
      <c r="M210" t="s">
        <v>1398</v>
      </c>
      <c r="N210">
        <v>0</v>
      </c>
      <c r="O210" t="s">
        <v>1389</v>
      </c>
      <c r="P210" t="s">
        <v>310</v>
      </c>
      <c r="Q210" t="s">
        <v>310</v>
      </c>
      <c r="R210" t="s">
        <v>310</v>
      </c>
      <c r="S210">
        <v>9</v>
      </c>
      <c r="T210" t="s">
        <v>310</v>
      </c>
      <c r="U210">
        <v>9</v>
      </c>
      <c r="V210">
        <v>9</v>
      </c>
      <c r="W210">
        <v>0</v>
      </c>
      <c r="X210">
        <v>0</v>
      </c>
      <c r="Y210">
        <v>0</v>
      </c>
      <c r="Z210">
        <v>0</v>
      </c>
      <c r="AA210">
        <v>9</v>
      </c>
      <c r="AB210">
        <v>9</v>
      </c>
      <c r="AC210" t="s">
        <v>310</v>
      </c>
      <c r="AD210">
        <v>9</v>
      </c>
      <c r="AE210" t="s">
        <v>1394</v>
      </c>
      <c r="AF210">
        <v>50000000</v>
      </c>
      <c r="AG210" t="s">
        <v>310</v>
      </c>
      <c r="AH210">
        <f>SUM((MID(Dyno_Data[[#This Row],[Team]],4,5))+(Dyno_Data[[#This Row],[Match]]/100))</f>
        <v>6300.04</v>
      </c>
      <c r="AI210" s="76">
        <f>ROUND(SUM(IF(Dyno_Data[[#This Row],[AcqCenter]]&gt;0,Dyno_Data[[#This Row],[Time]]-SUMIFS(Dyno_Data[Time],Dyno_Data[Team],Dyno_Data[[#This Row],[Team]],Dyno_Data[RecordType],"StartMatch",Dyno_Data[Match],Dyno_Data[[#This Row],[Match]]),0)*86400),0)</f>
        <v>0</v>
      </c>
    </row>
    <row r="211" spans="1:35" x14ac:dyDescent="0.3">
      <c r="A211">
        <v>210</v>
      </c>
      <c r="B211" t="s">
        <v>1297</v>
      </c>
      <c r="C211">
        <v>4</v>
      </c>
      <c r="D211" s="105">
        <v>45373.396408101849</v>
      </c>
      <c r="E211" t="s">
        <v>312</v>
      </c>
      <c r="F211" t="s">
        <v>1402</v>
      </c>
      <c r="G211">
        <v>0</v>
      </c>
      <c r="H211" t="s">
        <v>315</v>
      </c>
      <c r="I211">
        <v>0</v>
      </c>
      <c r="J211">
        <v>0</v>
      </c>
      <c r="K211">
        <v>0</v>
      </c>
      <c r="L211" t="s">
        <v>241</v>
      </c>
      <c r="M211" t="s">
        <v>101</v>
      </c>
      <c r="N211">
        <v>0</v>
      </c>
      <c r="O211" t="s">
        <v>311</v>
      </c>
      <c r="P211" t="s">
        <v>310</v>
      </c>
      <c r="Q211" t="s">
        <v>310</v>
      </c>
      <c r="R211" t="s">
        <v>310</v>
      </c>
      <c r="S211">
        <v>9</v>
      </c>
      <c r="T211" t="s">
        <v>310</v>
      </c>
      <c r="U211">
        <v>9</v>
      </c>
      <c r="V211">
        <v>9</v>
      </c>
      <c r="W211">
        <v>0</v>
      </c>
      <c r="X211">
        <v>0</v>
      </c>
      <c r="Y211">
        <v>0</v>
      </c>
      <c r="Z211">
        <v>0</v>
      </c>
      <c r="AA211">
        <v>9</v>
      </c>
      <c r="AB211">
        <v>9</v>
      </c>
      <c r="AC211" t="s">
        <v>310</v>
      </c>
      <c r="AD211">
        <v>9</v>
      </c>
      <c r="AE211" t="s">
        <v>1387</v>
      </c>
      <c r="AF211">
        <v>40000000</v>
      </c>
      <c r="AG211" t="s">
        <v>310</v>
      </c>
      <c r="AH211">
        <f>SUM((MID(Dyno_Data[[#This Row],[Team]],4,5))+(Dyno_Data[[#This Row],[Match]]/100))</f>
        <v>9750.0400000000009</v>
      </c>
      <c r="AI211" s="76">
        <f>ROUND(SUM(IF(Dyno_Data[[#This Row],[AcqCenter]]&gt;0,Dyno_Data[[#This Row],[Time]]-SUMIFS(Dyno_Data[Time],Dyno_Data[Team],Dyno_Data[[#This Row],[Team]],Dyno_Data[RecordType],"StartMatch",Dyno_Data[Match],Dyno_Data[[#This Row],[Match]]),0)*86400),0)</f>
        <v>0</v>
      </c>
    </row>
    <row r="212" spans="1:35" x14ac:dyDescent="0.3">
      <c r="A212">
        <v>211</v>
      </c>
      <c r="B212" t="s">
        <v>360</v>
      </c>
      <c r="C212">
        <v>4</v>
      </c>
      <c r="D212" s="105">
        <v>45373.396419710647</v>
      </c>
      <c r="E212" t="s">
        <v>312</v>
      </c>
      <c r="F212" t="s">
        <v>1402</v>
      </c>
      <c r="G212">
        <v>0</v>
      </c>
      <c r="H212" t="s">
        <v>315</v>
      </c>
      <c r="I212">
        <v>0</v>
      </c>
      <c r="J212">
        <v>0</v>
      </c>
      <c r="K212">
        <v>0</v>
      </c>
      <c r="L212" t="s">
        <v>241</v>
      </c>
      <c r="M212" t="s">
        <v>1398</v>
      </c>
      <c r="N212">
        <v>0</v>
      </c>
      <c r="O212" t="s">
        <v>1391</v>
      </c>
      <c r="P212" t="s">
        <v>310</v>
      </c>
      <c r="Q212" t="s">
        <v>310</v>
      </c>
      <c r="R212" t="s">
        <v>310</v>
      </c>
      <c r="S212">
        <v>9</v>
      </c>
      <c r="T212" t="s">
        <v>310</v>
      </c>
      <c r="U212">
        <v>9</v>
      </c>
      <c r="V212">
        <v>9</v>
      </c>
      <c r="W212">
        <v>0</v>
      </c>
      <c r="X212">
        <v>0</v>
      </c>
      <c r="Y212">
        <v>0</v>
      </c>
      <c r="Z212">
        <v>0</v>
      </c>
      <c r="AA212">
        <v>9</v>
      </c>
      <c r="AB212">
        <v>9</v>
      </c>
      <c r="AC212" t="s">
        <v>310</v>
      </c>
      <c r="AD212">
        <v>9</v>
      </c>
      <c r="AE212" t="s">
        <v>1388</v>
      </c>
      <c r="AF212">
        <v>110002000</v>
      </c>
      <c r="AG212" t="s">
        <v>310</v>
      </c>
      <c r="AH212">
        <f>SUM((MID(Dyno_Data[[#This Row],[Team]],4,5))+(Dyno_Data[[#This Row],[Match]]/100))</f>
        <v>1796.04</v>
      </c>
      <c r="AI212" s="76">
        <f>ROUND(SUM(IF(Dyno_Data[[#This Row],[AcqCenter]]&gt;0,Dyno_Data[[#This Row],[Time]]-SUMIFS(Dyno_Data[Time],Dyno_Data[Team],Dyno_Data[[#This Row],[Team]],Dyno_Data[RecordType],"StartMatch",Dyno_Data[Match],Dyno_Data[[#This Row],[Match]]),0)*86400),0)</f>
        <v>0</v>
      </c>
    </row>
    <row r="213" spans="1:35" x14ac:dyDescent="0.3">
      <c r="A213">
        <v>212</v>
      </c>
      <c r="B213" t="s">
        <v>1294</v>
      </c>
      <c r="C213">
        <v>4</v>
      </c>
      <c r="D213" s="105">
        <v>45373.396421840276</v>
      </c>
      <c r="E213" t="s">
        <v>312</v>
      </c>
      <c r="F213" t="s">
        <v>1402</v>
      </c>
      <c r="G213">
        <v>0</v>
      </c>
      <c r="H213" t="s">
        <v>315</v>
      </c>
      <c r="I213">
        <v>0</v>
      </c>
      <c r="J213">
        <v>0</v>
      </c>
      <c r="K213">
        <v>0</v>
      </c>
      <c r="L213" t="s">
        <v>240</v>
      </c>
      <c r="M213" t="s">
        <v>1398</v>
      </c>
      <c r="N213">
        <v>0</v>
      </c>
      <c r="O213" t="s">
        <v>1393</v>
      </c>
      <c r="P213" t="s">
        <v>310</v>
      </c>
      <c r="Q213" t="s">
        <v>310</v>
      </c>
      <c r="R213" t="s">
        <v>310</v>
      </c>
      <c r="S213">
        <v>9</v>
      </c>
      <c r="T213" t="s">
        <v>310</v>
      </c>
      <c r="U213">
        <v>9</v>
      </c>
      <c r="V213">
        <v>9</v>
      </c>
      <c r="W213">
        <v>0</v>
      </c>
      <c r="X213">
        <v>0</v>
      </c>
      <c r="Y213">
        <v>0</v>
      </c>
      <c r="Z213">
        <v>0</v>
      </c>
      <c r="AA213">
        <v>9</v>
      </c>
      <c r="AB213">
        <v>9</v>
      </c>
      <c r="AC213" t="s">
        <v>310</v>
      </c>
      <c r="AD213">
        <v>9</v>
      </c>
      <c r="AE213" t="s">
        <v>1390</v>
      </c>
      <c r="AF213">
        <v>20000000</v>
      </c>
      <c r="AG213" t="s">
        <v>310</v>
      </c>
      <c r="AH213">
        <f>SUM((MID(Dyno_Data[[#This Row],[Team]],4,5))+(Dyno_Data[[#This Row],[Match]]/100))</f>
        <v>9076.0400000000009</v>
      </c>
      <c r="AI213" s="76">
        <f>ROUND(SUM(IF(Dyno_Data[[#This Row],[AcqCenter]]&gt;0,Dyno_Data[[#This Row],[Time]]-SUMIFS(Dyno_Data[Time],Dyno_Data[Team],Dyno_Data[[#This Row],[Team]],Dyno_Data[RecordType],"StartMatch",Dyno_Data[Match],Dyno_Data[[#This Row],[Match]]),0)*86400),0)</f>
        <v>0</v>
      </c>
    </row>
    <row r="214" spans="1:35" x14ac:dyDescent="0.3">
      <c r="A214">
        <v>213</v>
      </c>
      <c r="B214" t="s">
        <v>1295</v>
      </c>
      <c r="C214">
        <v>4</v>
      </c>
      <c r="D214" s="105">
        <v>45373.396463773148</v>
      </c>
      <c r="E214" t="s">
        <v>312</v>
      </c>
      <c r="F214" t="s">
        <v>1402</v>
      </c>
      <c r="G214">
        <v>0</v>
      </c>
      <c r="H214" t="s">
        <v>315</v>
      </c>
      <c r="I214">
        <v>0</v>
      </c>
      <c r="J214">
        <v>0</v>
      </c>
      <c r="K214">
        <v>0</v>
      </c>
      <c r="L214" t="s">
        <v>241</v>
      </c>
      <c r="M214" t="s">
        <v>101</v>
      </c>
      <c r="N214">
        <v>0</v>
      </c>
      <c r="O214" t="s">
        <v>1389</v>
      </c>
      <c r="P214" t="s">
        <v>310</v>
      </c>
      <c r="Q214" t="s">
        <v>310</v>
      </c>
      <c r="R214" t="s">
        <v>310</v>
      </c>
      <c r="S214">
        <v>9</v>
      </c>
      <c r="T214" t="s">
        <v>310</v>
      </c>
      <c r="U214">
        <v>9</v>
      </c>
      <c r="V214">
        <v>9</v>
      </c>
      <c r="W214">
        <v>0</v>
      </c>
      <c r="X214">
        <v>0</v>
      </c>
      <c r="Y214">
        <v>0</v>
      </c>
      <c r="Z214">
        <v>0</v>
      </c>
      <c r="AA214">
        <v>9</v>
      </c>
      <c r="AB214">
        <v>9</v>
      </c>
      <c r="AC214" t="s">
        <v>310</v>
      </c>
      <c r="AD214">
        <v>9</v>
      </c>
      <c r="AE214" t="s">
        <v>1394</v>
      </c>
      <c r="AF214">
        <v>60000000</v>
      </c>
      <c r="AG214" t="s">
        <v>310</v>
      </c>
      <c r="AH214">
        <f>SUM((MID(Dyno_Data[[#This Row],[Team]],4,5))+(Dyno_Data[[#This Row],[Match]]/100))</f>
        <v>6300.04</v>
      </c>
      <c r="AI214" s="76">
        <f>ROUND(SUM(IF(Dyno_Data[[#This Row],[AcqCenter]]&gt;0,Dyno_Data[[#This Row],[Time]]-SUMIFS(Dyno_Data[Time],Dyno_Data[Team],Dyno_Data[[#This Row],[Team]],Dyno_Data[RecordType],"StartMatch",Dyno_Data[Match],Dyno_Data[[#This Row],[Match]]),0)*86400),0)</f>
        <v>0</v>
      </c>
    </row>
    <row r="215" spans="1:35" x14ac:dyDescent="0.3">
      <c r="A215">
        <v>214</v>
      </c>
      <c r="B215" t="s">
        <v>360</v>
      </c>
      <c r="C215">
        <v>4</v>
      </c>
      <c r="D215" s="105">
        <v>45373.396510069448</v>
      </c>
      <c r="E215" t="s">
        <v>312</v>
      </c>
      <c r="F215" t="s">
        <v>1402</v>
      </c>
      <c r="G215">
        <v>0</v>
      </c>
      <c r="H215" t="s">
        <v>315</v>
      </c>
      <c r="I215">
        <v>0</v>
      </c>
      <c r="J215">
        <v>0</v>
      </c>
      <c r="K215">
        <v>0</v>
      </c>
      <c r="L215" t="s">
        <v>241</v>
      </c>
      <c r="M215" t="s">
        <v>1398</v>
      </c>
      <c r="N215">
        <v>0</v>
      </c>
      <c r="O215" t="s">
        <v>1391</v>
      </c>
      <c r="P215" t="s">
        <v>310</v>
      </c>
      <c r="Q215" t="s">
        <v>310</v>
      </c>
      <c r="R215" t="s">
        <v>310</v>
      </c>
      <c r="S215">
        <v>9</v>
      </c>
      <c r="T215" t="s">
        <v>310</v>
      </c>
      <c r="U215">
        <v>9</v>
      </c>
      <c r="V215">
        <v>9</v>
      </c>
      <c r="W215">
        <v>0</v>
      </c>
      <c r="X215">
        <v>0</v>
      </c>
      <c r="Y215">
        <v>0</v>
      </c>
      <c r="Z215">
        <v>0</v>
      </c>
      <c r="AA215">
        <v>9</v>
      </c>
      <c r="AB215">
        <v>9</v>
      </c>
      <c r="AC215" t="s">
        <v>310</v>
      </c>
      <c r="AD215">
        <v>9</v>
      </c>
      <c r="AE215" t="s">
        <v>1388</v>
      </c>
      <c r="AF215">
        <v>120002000</v>
      </c>
      <c r="AG215" t="s">
        <v>310</v>
      </c>
      <c r="AH215">
        <f>SUM((MID(Dyno_Data[[#This Row],[Team]],4,5))+(Dyno_Data[[#This Row],[Match]]/100))</f>
        <v>1796.04</v>
      </c>
      <c r="AI215" s="76">
        <f>ROUND(SUM(IF(Dyno_Data[[#This Row],[AcqCenter]]&gt;0,Dyno_Data[[#This Row],[Time]]-SUMIFS(Dyno_Data[Time],Dyno_Data[Team],Dyno_Data[[#This Row],[Team]],Dyno_Data[RecordType],"StartMatch",Dyno_Data[Match],Dyno_Data[[#This Row],[Match]]),0)*86400),0)</f>
        <v>0</v>
      </c>
    </row>
    <row r="216" spans="1:35" x14ac:dyDescent="0.3">
      <c r="A216">
        <v>215</v>
      </c>
      <c r="B216" t="s">
        <v>1296</v>
      </c>
      <c r="C216">
        <v>4</v>
      </c>
      <c r="D216" s="105">
        <v>45373.396545601849</v>
      </c>
      <c r="E216" t="s">
        <v>312</v>
      </c>
      <c r="F216" t="s">
        <v>1402</v>
      </c>
      <c r="G216">
        <v>0</v>
      </c>
      <c r="H216" t="s">
        <v>315</v>
      </c>
      <c r="I216">
        <v>0</v>
      </c>
      <c r="J216">
        <v>0</v>
      </c>
      <c r="K216">
        <v>0</v>
      </c>
      <c r="L216" t="s">
        <v>241</v>
      </c>
      <c r="M216" t="s">
        <v>1398</v>
      </c>
      <c r="N216">
        <v>1</v>
      </c>
      <c r="O216" t="s">
        <v>1395</v>
      </c>
      <c r="P216" t="s">
        <v>310</v>
      </c>
      <c r="Q216" t="s">
        <v>310</v>
      </c>
      <c r="R216" t="s">
        <v>310</v>
      </c>
      <c r="S216">
        <v>9</v>
      </c>
      <c r="T216" t="s">
        <v>310</v>
      </c>
      <c r="U216">
        <v>9</v>
      </c>
      <c r="V216">
        <v>9</v>
      </c>
      <c r="W216">
        <v>0</v>
      </c>
      <c r="X216">
        <v>0</v>
      </c>
      <c r="Y216">
        <v>0</v>
      </c>
      <c r="Z216">
        <v>0</v>
      </c>
      <c r="AA216">
        <v>9</v>
      </c>
      <c r="AB216">
        <v>9</v>
      </c>
      <c r="AC216" t="s">
        <v>310</v>
      </c>
      <c r="AD216">
        <v>9</v>
      </c>
      <c r="AE216" t="s">
        <v>1396</v>
      </c>
      <c r="AF216">
        <v>50000000</v>
      </c>
      <c r="AG216" t="s">
        <v>310</v>
      </c>
      <c r="AH216">
        <f>SUM((MID(Dyno_Data[[#This Row],[Team]],4,5))+(Dyno_Data[[#This Row],[Match]]/100))</f>
        <v>3003.04</v>
      </c>
      <c r="AI216" s="76">
        <f>ROUND(SUM(IF(Dyno_Data[[#This Row],[AcqCenter]]&gt;0,Dyno_Data[[#This Row],[Time]]-SUMIFS(Dyno_Data[Time],Dyno_Data[Team],Dyno_Data[[#This Row],[Team]],Dyno_Data[RecordType],"StartMatch",Dyno_Data[Match],Dyno_Data[[#This Row],[Match]]),0)*86400),0)</f>
        <v>0</v>
      </c>
    </row>
    <row r="217" spans="1:35" x14ac:dyDescent="0.3">
      <c r="A217">
        <v>216</v>
      </c>
      <c r="B217" t="s">
        <v>1296</v>
      </c>
      <c r="C217">
        <v>4</v>
      </c>
      <c r="D217" s="105">
        <v>45373.39662615741</v>
      </c>
      <c r="E217" t="s">
        <v>312</v>
      </c>
      <c r="F217" t="s">
        <v>1402</v>
      </c>
      <c r="G217">
        <v>0</v>
      </c>
      <c r="H217" t="s">
        <v>315</v>
      </c>
      <c r="I217">
        <v>0</v>
      </c>
      <c r="J217">
        <v>0</v>
      </c>
      <c r="K217">
        <v>0</v>
      </c>
      <c r="L217" t="s">
        <v>241</v>
      </c>
      <c r="M217" t="s">
        <v>1398</v>
      </c>
      <c r="N217">
        <v>0</v>
      </c>
      <c r="O217" t="s">
        <v>1395</v>
      </c>
      <c r="P217" t="s">
        <v>310</v>
      </c>
      <c r="Q217" t="s">
        <v>310</v>
      </c>
      <c r="R217" t="s">
        <v>310</v>
      </c>
      <c r="S217">
        <v>9</v>
      </c>
      <c r="T217" t="s">
        <v>310</v>
      </c>
      <c r="U217">
        <v>9</v>
      </c>
      <c r="V217">
        <v>9</v>
      </c>
      <c r="W217">
        <v>0</v>
      </c>
      <c r="X217">
        <v>0</v>
      </c>
      <c r="Y217">
        <v>0</v>
      </c>
      <c r="Z217">
        <v>0</v>
      </c>
      <c r="AA217">
        <v>9</v>
      </c>
      <c r="AB217">
        <v>9</v>
      </c>
      <c r="AC217" t="s">
        <v>310</v>
      </c>
      <c r="AD217">
        <v>9</v>
      </c>
      <c r="AE217" t="s">
        <v>1396</v>
      </c>
      <c r="AF217">
        <v>60000000</v>
      </c>
      <c r="AG217" t="s">
        <v>310</v>
      </c>
      <c r="AH217">
        <f>SUM((MID(Dyno_Data[[#This Row],[Team]],4,5))+(Dyno_Data[[#This Row],[Match]]/100))</f>
        <v>3003.04</v>
      </c>
      <c r="AI217" s="76">
        <f>ROUND(SUM(IF(Dyno_Data[[#This Row],[AcqCenter]]&gt;0,Dyno_Data[[#This Row],[Time]]-SUMIFS(Dyno_Data[Time],Dyno_Data[Team],Dyno_Data[[#This Row],[Team]],Dyno_Data[RecordType],"StartMatch",Dyno_Data[Match],Dyno_Data[[#This Row],[Match]]),0)*86400),0)</f>
        <v>0</v>
      </c>
    </row>
    <row r="218" spans="1:35" x14ac:dyDescent="0.3">
      <c r="A218">
        <v>217</v>
      </c>
      <c r="B218" t="s">
        <v>360</v>
      </c>
      <c r="C218">
        <v>4</v>
      </c>
      <c r="D218" s="105">
        <v>45373.396670335649</v>
      </c>
      <c r="E218" t="s">
        <v>312</v>
      </c>
      <c r="F218" t="s">
        <v>1402</v>
      </c>
      <c r="G218">
        <v>0</v>
      </c>
      <c r="H218" t="s">
        <v>315</v>
      </c>
      <c r="I218">
        <v>0</v>
      </c>
      <c r="J218">
        <v>0</v>
      </c>
      <c r="K218">
        <v>0</v>
      </c>
      <c r="L218" t="s">
        <v>241</v>
      </c>
      <c r="M218" t="s">
        <v>1398</v>
      </c>
      <c r="N218">
        <v>0</v>
      </c>
      <c r="O218" t="s">
        <v>1391</v>
      </c>
      <c r="P218" t="s">
        <v>310</v>
      </c>
      <c r="Q218" t="s">
        <v>310</v>
      </c>
      <c r="R218" t="s">
        <v>310</v>
      </c>
      <c r="S218">
        <v>9</v>
      </c>
      <c r="T218" t="s">
        <v>310</v>
      </c>
      <c r="U218">
        <v>9</v>
      </c>
      <c r="V218">
        <v>9</v>
      </c>
      <c r="W218">
        <v>0</v>
      </c>
      <c r="X218">
        <v>0</v>
      </c>
      <c r="Y218">
        <v>0</v>
      </c>
      <c r="Z218">
        <v>0</v>
      </c>
      <c r="AA218">
        <v>9</v>
      </c>
      <c r="AB218">
        <v>9</v>
      </c>
      <c r="AC218" t="s">
        <v>310</v>
      </c>
      <c r="AD218">
        <v>9</v>
      </c>
      <c r="AE218" t="s">
        <v>1388</v>
      </c>
      <c r="AF218">
        <v>130002000</v>
      </c>
      <c r="AG218" t="s">
        <v>310</v>
      </c>
      <c r="AH218">
        <f>SUM((MID(Dyno_Data[[#This Row],[Team]],4,5))+(Dyno_Data[[#This Row],[Match]]/100))</f>
        <v>1796.04</v>
      </c>
      <c r="AI218" s="76">
        <f>ROUND(SUM(IF(Dyno_Data[[#This Row],[AcqCenter]]&gt;0,Dyno_Data[[#This Row],[Time]]-SUMIFS(Dyno_Data[Time],Dyno_Data[Team],Dyno_Data[[#This Row],[Team]],Dyno_Data[RecordType],"StartMatch",Dyno_Data[Match],Dyno_Data[[#This Row],[Match]]),0)*86400),0)</f>
        <v>0</v>
      </c>
    </row>
    <row r="219" spans="1:35" x14ac:dyDescent="0.3">
      <c r="A219">
        <v>218</v>
      </c>
      <c r="B219" t="s">
        <v>1295</v>
      </c>
      <c r="C219">
        <v>4</v>
      </c>
      <c r="D219" s="105">
        <v>45373.396783136574</v>
      </c>
      <c r="E219" t="s">
        <v>312</v>
      </c>
      <c r="F219" t="s">
        <v>1402</v>
      </c>
      <c r="G219">
        <v>0</v>
      </c>
      <c r="H219" t="s">
        <v>315</v>
      </c>
      <c r="I219">
        <v>0</v>
      </c>
      <c r="J219">
        <v>0</v>
      </c>
      <c r="K219">
        <v>0</v>
      </c>
      <c r="L219" t="s">
        <v>241</v>
      </c>
      <c r="M219" t="s">
        <v>101</v>
      </c>
      <c r="N219">
        <v>0</v>
      </c>
      <c r="O219" t="s">
        <v>1389</v>
      </c>
      <c r="P219" t="s">
        <v>310</v>
      </c>
      <c r="Q219" t="s">
        <v>310</v>
      </c>
      <c r="R219" t="s">
        <v>310</v>
      </c>
      <c r="S219">
        <v>9</v>
      </c>
      <c r="T219" t="s">
        <v>310</v>
      </c>
      <c r="U219">
        <v>9</v>
      </c>
      <c r="V219">
        <v>9</v>
      </c>
      <c r="W219">
        <v>0</v>
      </c>
      <c r="X219">
        <v>0</v>
      </c>
      <c r="Y219">
        <v>0</v>
      </c>
      <c r="Z219">
        <v>0</v>
      </c>
      <c r="AA219">
        <v>9</v>
      </c>
      <c r="AB219">
        <v>9</v>
      </c>
      <c r="AC219" t="s">
        <v>310</v>
      </c>
      <c r="AD219">
        <v>9</v>
      </c>
      <c r="AE219" t="s">
        <v>1394</v>
      </c>
      <c r="AF219">
        <v>70000000</v>
      </c>
      <c r="AG219" t="s">
        <v>310</v>
      </c>
      <c r="AH219">
        <f>SUM((MID(Dyno_Data[[#This Row],[Team]],4,5))+(Dyno_Data[[#This Row],[Match]]/100))</f>
        <v>6300.04</v>
      </c>
      <c r="AI219" s="76">
        <f>ROUND(SUM(IF(Dyno_Data[[#This Row],[AcqCenter]]&gt;0,Dyno_Data[[#This Row],[Time]]-SUMIFS(Dyno_Data[Time],Dyno_Data[Team],Dyno_Data[[#This Row],[Team]],Dyno_Data[RecordType],"StartMatch",Dyno_Data[Match],Dyno_Data[[#This Row],[Match]]),0)*86400),0)</f>
        <v>0</v>
      </c>
    </row>
    <row r="220" spans="1:35" x14ac:dyDescent="0.3">
      <c r="A220">
        <v>219</v>
      </c>
      <c r="B220" t="s">
        <v>360</v>
      </c>
      <c r="C220">
        <v>4</v>
      </c>
      <c r="D220" s="105">
        <v>45373.39680628472</v>
      </c>
      <c r="E220" t="s">
        <v>312</v>
      </c>
      <c r="F220" t="s">
        <v>1402</v>
      </c>
      <c r="G220">
        <v>0</v>
      </c>
      <c r="H220" t="s">
        <v>315</v>
      </c>
      <c r="I220">
        <v>0</v>
      </c>
      <c r="J220">
        <v>0</v>
      </c>
      <c r="K220">
        <v>0</v>
      </c>
      <c r="L220" t="s">
        <v>241</v>
      </c>
      <c r="M220" t="s">
        <v>1398</v>
      </c>
      <c r="N220">
        <v>0</v>
      </c>
      <c r="O220" t="s">
        <v>1391</v>
      </c>
      <c r="P220" t="s">
        <v>310</v>
      </c>
      <c r="Q220" t="s">
        <v>310</v>
      </c>
      <c r="R220" t="s">
        <v>310</v>
      </c>
      <c r="S220">
        <v>9</v>
      </c>
      <c r="T220" t="s">
        <v>310</v>
      </c>
      <c r="U220">
        <v>9</v>
      </c>
      <c r="V220">
        <v>9</v>
      </c>
      <c r="W220">
        <v>0</v>
      </c>
      <c r="X220">
        <v>0</v>
      </c>
      <c r="Y220">
        <v>0</v>
      </c>
      <c r="Z220">
        <v>0</v>
      </c>
      <c r="AA220">
        <v>9</v>
      </c>
      <c r="AB220">
        <v>9</v>
      </c>
      <c r="AC220" t="s">
        <v>310</v>
      </c>
      <c r="AD220">
        <v>9</v>
      </c>
      <c r="AE220" t="s">
        <v>1388</v>
      </c>
      <c r="AF220">
        <v>140002000</v>
      </c>
      <c r="AG220" t="s">
        <v>310</v>
      </c>
      <c r="AH220">
        <f>SUM((MID(Dyno_Data[[#This Row],[Team]],4,5))+(Dyno_Data[[#This Row],[Match]]/100))</f>
        <v>1796.04</v>
      </c>
      <c r="AI220" s="76">
        <f>ROUND(SUM(IF(Dyno_Data[[#This Row],[AcqCenter]]&gt;0,Dyno_Data[[#This Row],[Time]]-SUMIFS(Dyno_Data[Time],Dyno_Data[Team],Dyno_Data[[#This Row],[Team]],Dyno_Data[RecordType],"StartMatch",Dyno_Data[Match],Dyno_Data[[#This Row],[Match]]),0)*86400),0)</f>
        <v>0</v>
      </c>
    </row>
    <row r="221" spans="1:35" x14ac:dyDescent="0.3">
      <c r="A221">
        <v>220</v>
      </c>
      <c r="B221" t="s">
        <v>1295</v>
      </c>
      <c r="C221">
        <v>4</v>
      </c>
      <c r="D221" s="105">
        <v>45373.396831018516</v>
      </c>
      <c r="E221" t="s">
        <v>312</v>
      </c>
      <c r="F221" t="s">
        <v>1402</v>
      </c>
      <c r="G221">
        <v>0</v>
      </c>
      <c r="H221" t="s">
        <v>315</v>
      </c>
      <c r="I221">
        <v>0</v>
      </c>
      <c r="J221">
        <v>0</v>
      </c>
      <c r="K221">
        <v>0</v>
      </c>
      <c r="L221" t="s">
        <v>241</v>
      </c>
      <c r="M221" t="s">
        <v>1398</v>
      </c>
      <c r="N221">
        <v>0</v>
      </c>
      <c r="O221" t="s">
        <v>1389</v>
      </c>
      <c r="P221" t="s">
        <v>310</v>
      </c>
      <c r="Q221" t="s">
        <v>310</v>
      </c>
      <c r="R221" t="s">
        <v>310</v>
      </c>
      <c r="S221">
        <v>9</v>
      </c>
      <c r="T221" t="s">
        <v>310</v>
      </c>
      <c r="U221">
        <v>9</v>
      </c>
      <c r="V221">
        <v>9</v>
      </c>
      <c r="W221">
        <v>0</v>
      </c>
      <c r="X221">
        <v>0</v>
      </c>
      <c r="Y221">
        <v>0</v>
      </c>
      <c r="Z221">
        <v>0</v>
      </c>
      <c r="AA221">
        <v>9</v>
      </c>
      <c r="AB221">
        <v>9</v>
      </c>
      <c r="AC221" t="s">
        <v>310</v>
      </c>
      <c r="AD221">
        <v>9</v>
      </c>
      <c r="AE221" t="s">
        <v>1394</v>
      </c>
      <c r="AF221">
        <v>80000000</v>
      </c>
      <c r="AG221" t="s">
        <v>310</v>
      </c>
      <c r="AH221">
        <f>SUM((MID(Dyno_Data[[#This Row],[Team]],4,5))+(Dyno_Data[[#This Row],[Match]]/100))</f>
        <v>6300.04</v>
      </c>
      <c r="AI221" s="76">
        <f>ROUND(SUM(IF(Dyno_Data[[#This Row],[AcqCenter]]&gt;0,Dyno_Data[[#This Row],[Time]]-SUMIFS(Dyno_Data[Time],Dyno_Data[Team],Dyno_Data[[#This Row],[Team]],Dyno_Data[RecordType],"StartMatch",Dyno_Data[Match],Dyno_Data[[#This Row],[Match]]),0)*86400),0)</f>
        <v>0</v>
      </c>
    </row>
    <row r="222" spans="1:35" x14ac:dyDescent="0.3">
      <c r="A222">
        <v>221</v>
      </c>
      <c r="B222" t="s">
        <v>1294</v>
      </c>
      <c r="C222">
        <v>4</v>
      </c>
      <c r="D222" s="105">
        <v>45373.396836770837</v>
      </c>
      <c r="E222" t="s">
        <v>312</v>
      </c>
      <c r="F222" t="s">
        <v>1402</v>
      </c>
      <c r="G222">
        <v>0</v>
      </c>
      <c r="H222" t="s">
        <v>315</v>
      </c>
      <c r="I222">
        <v>0</v>
      </c>
      <c r="J222">
        <v>0</v>
      </c>
      <c r="K222">
        <v>0</v>
      </c>
      <c r="L222" t="s">
        <v>240</v>
      </c>
      <c r="M222" t="s">
        <v>1398</v>
      </c>
      <c r="N222">
        <v>0</v>
      </c>
      <c r="O222" t="s">
        <v>1393</v>
      </c>
      <c r="P222" t="s">
        <v>310</v>
      </c>
      <c r="Q222" t="s">
        <v>310</v>
      </c>
      <c r="R222" t="s">
        <v>310</v>
      </c>
      <c r="S222">
        <v>9</v>
      </c>
      <c r="T222" t="s">
        <v>310</v>
      </c>
      <c r="U222">
        <v>9</v>
      </c>
      <c r="V222">
        <v>9</v>
      </c>
      <c r="W222">
        <v>0</v>
      </c>
      <c r="X222">
        <v>0</v>
      </c>
      <c r="Y222">
        <v>0</v>
      </c>
      <c r="Z222">
        <v>0</v>
      </c>
      <c r="AA222">
        <v>9</v>
      </c>
      <c r="AB222">
        <v>9</v>
      </c>
      <c r="AC222" t="s">
        <v>310</v>
      </c>
      <c r="AD222">
        <v>9</v>
      </c>
      <c r="AE222" t="s">
        <v>1390</v>
      </c>
      <c r="AF222">
        <v>30000000</v>
      </c>
      <c r="AG222" t="s">
        <v>310</v>
      </c>
      <c r="AH222">
        <f>SUM((MID(Dyno_Data[[#This Row],[Team]],4,5))+(Dyno_Data[[#This Row],[Match]]/100))</f>
        <v>9076.0400000000009</v>
      </c>
      <c r="AI222" s="76">
        <f>ROUND(SUM(IF(Dyno_Data[[#This Row],[AcqCenter]]&gt;0,Dyno_Data[[#This Row],[Time]]-SUMIFS(Dyno_Data[Time],Dyno_Data[Team],Dyno_Data[[#This Row],[Team]],Dyno_Data[RecordType],"StartMatch",Dyno_Data[Match],Dyno_Data[[#This Row],[Match]]),0)*86400),0)</f>
        <v>0</v>
      </c>
    </row>
    <row r="223" spans="1:35" x14ac:dyDescent="0.3">
      <c r="A223">
        <v>222</v>
      </c>
      <c r="B223" t="s">
        <v>1298</v>
      </c>
      <c r="C223">
        <v>4</v>
      </c>
      <c r="D223" s="105">
        <v>45373.396855555555</v>
      </c>
      <c r="E223" t="s">
        <v>312</v>
      </c>
      <c r="F223" t="s">
        <v>1402</v>
      </c>
      <c r="G223">
        <v>0</v>
      </c>
      <c r="H223" t="s">
        <v>315</v>
      </c>
      <c r="I223">
        <v>0</v>
      </c>
      <c r="J223">
        <v>0</v>
      </c>
      <c r="K223">
        <v>0</v>
      </c>
      <c r="L223" t="s">
        <v>240</v>
      </c>
      <c r="M223" t="s">
        <v>1398</v>
      </c>
      <c r="N223">
        <v>0</v>
      </c>
      <c r="O223" t="s">
        <v>319</v>
      </c>
      <c r="P223" t="s">
        <v>310</v>
      </c>
      <c r="Q223" t="s">
        <v>310</v>
      </c>
      <c r="R223" t="s">
        <v>310</v>
      </c>
      <c r="S223">
        <v>9</v>
      </c>
      <c r="T223" t="s">
        <v>310</v>
      </c>
      <c r="U223">
        <v>9</v>
      </c>
      <c r="V223">
        <v>9</v>
      </c>
      <c r="W223">
        <v>0</v>
      </c>
      <c r="X223">
        <v>0</v>
      </c>
      <c r="Y223">
        <v>0</v>
      </c>
      <c r="Z223">
        <v>0</v>
      </c>
      <c r="AA223">
        <v>9</v>
      </c>
      <c r="AB223">
        <v>9</v>
      </c>
      <c r="AC223" t="s">
        <v>310</v>
      </c>
      <c r="AD223">
        <v>9</v>
      </c>
      <c r="AE223" t="s">
        <v>1392</v>
      </c>
      <c r="AF223">
        <v>40000000</v>
      </c>
      <c r="AG223" t="s">
        <v>310</v>
      </c>
      <c r="AH223">
        <f>SUM((MID(Dyno_Data[[#This Row],[Team]],4,5))+(Dyno_Data[[#This Row],[Match]]/100))</f>
        <v>9624.0400000000009</v>
      </c>
      <c r="AI223" s="76">
        <f>ROUND(SUM(IF(Dyno_Data[[#This Row],[AcqCenter]]&gt;0,Dyno_Data[[#This Row],[Time]]-SUMIFS(Dyno_Data[Time],Dyno_Data[Team],Dyno_Data[[#This Row],[Team]],Dyno_Data[RecordType],"StartMatch",Dyno_Data[Match],Dyno_Data[[#This Row],[Match]]),0)*86400),0)</f>
        <v>0</v>
      </c>
    </row>
    <row r="224" spans="1:35" x14ac:dyDescent="0.3">
      <c r="A224">
        <v>223</v>
      </c>
      <c r="B224" t="s">
        <v>1296</v>
      </c>
      <c r="C224">
        <v>4</v>
      </c>
      <c r="D224" s="105">
        <v>45373.396913460645</v>
      </c>
      <c r="E224" t="s">
        <v>312</v>
      </c>
      <c r="F224" t="s">
        <v>1402</v>
      </c>
      <c r="G224">
        <v>0</v>
      </c>
      <c r="H224" t="s">
        <v>315</v>
      </c>
      <c r="I224">
        <v>0</v>
      </c>
      <c r="J224">
        <v>0</v>
      </c>
      <c r="K224">
        <v>0</v>
      </c>
      <c r="L224" t="s">
        <v>241</v>
      </c>
      <c r="M224" t="s">
        <v>1398</v>
      </c>
      <c r="N224">
        <v>0</v>
      </c>
      <c r="O224" t="s">
        <v>1395</v>
      </c>
      <c r="P224" t="s">
        <v>310</v>
      </c>
      <c r="Q224" t="s">
        <v>310</v>
      </c>
      <c r="R224" t="s">
        <v>310</v>
      </c>
      <c r="S224">
        <v>9</v>
      </c>
      <c r="T224" t="s">
        <v>310</v>
      </c>
      <c r="U224">
        <v>9</v>
      </c>
      <c r="V224">
        <v>9</v>
      </c>
      <c r="W224">
        <v>0</v>
      </c>
      <c r="X224">
        <v>0</v>
      </c>
      <c r="Y224">
        <v>0</v>
      </c>
      <c r="Z224">
        <v>0</v>
      </c>
      <c r="AA224">
        <v>9</v>
      </c>
      <c r="AB224">
        <v>9</v>
      </c>
      <c r="AC224" t="s">
        <v>310</v>
      </c>
      <c r="AD224">
        <v>9</v>
      </c>
      <c r="AE224" t="s">
        <v>1396</v>
      </c>
      <c r="AF224">
        <v>70000000</v>
      </c>
      <c r="AG224" t="s">
        <v>310</v>
      </c>
      <c r="AH224">
        <f>SUM((MID(Dyno_Data[[#This Row],[Team]],4,5))+(Dyno_Data[[#This Row],[Match]]/100))</f>
        <v>3003.04</v>
      </c>
      <c r="AI224" s="76">
        <f>ROUND(SUM(IF(Dyno_Data[[#This Row],[AcqCenter]]&gt;0,Dyno_Data[[#This Row],[Time]]-SUMIFS(Dyno_Data[Time],Dyno_Data[Team],Dyno_Data[[#This Row],[Team]],Dyno_Data[RecordType],"StartMatch",Dyno_Data[Match],Dyno_Data[[#This Row],[Match]]),0)*86400),0)</f>
        <v>0</v>
      </c>
    </row>
    <row r="225" spans="1:35" x14ac:dyDescent="0.3">
      <c r="A225">
        <v>224</v>
      </c>
      <c r="B225" t="s">
        <v>1297</v>
      </c>
      <c r="C225">
        <v>4</v>
      </c>
      <c r="D225" s="105">
        <v>45373.396925659719</v>
      </c>
      <c r="E225" t="s">
        <v>312</v>
      </c>
      <c r="F225" t="s">
        <v>1402</v>
      </c>
      <c r="G225">
        <v>0</v>
      </c>
      <c r="H225" t="s">
        <v>315</v>
      </c>
      <c r="I225">
        <v>0</v>
      </c>
      <c r="J225">
        <v>0</v>
      </c>
      <c r="K225">
        <v>0</v>
      </c>
      <c r="L225" t="s">
        <v>241</v>
      </c>
      <c r="M225" t="s">
        <v>101</v>
      </c>
      <c r="N225">
        <v>0</v>
      </c>
      <c r="O225" t="s">
        <v>311</v>
      </c>
      <c r="P225" t="s">
        <v>310</v>
      </c>
      <c r="Q225" t="s">
        <v>310</v>
      </c>
      <c r="R225" t="s">
        <v>310</v>
      </c>
      <c r="S225">
        <v>9</v>
      </c>
      <c r="T225" t="s">
        <v>310</v>
      </c>
      <c r="U225">
        <v>9</v>
      </c>
      <c r="V225">
        <v>9</v>
      </c>
      <c r="W225">
        <v>0</v>
      </c>
      <c r="X225">
        <v>0</v>
      </c>
      <c r="Y225">
        <v>0</v>
      </c>
      <c r="Z225">
        <v>0</v>
      </c>
      <c r="AA225">
        <v>9</v>
      </c>
      <c r="AB225">
        <v>9</v>
      </c>
      <c r="AC225" t="s">
        <v>310</v>
      </c>
      <c r="AD225">
        <v>9</v>
      </c>
      <c r="AE225" t="s">
        <v>1387</v>
      </c>
      <c r="AF225">
        <v>50000000</v>
      </c>
      <c r="AG225" t="s">
        <v>310</v>
      </c>
      <c r="AH225">
        <f>SUM((MID(Dyno_Data[[#This Row],[Team]],4,5))+(Dyno_Data[[#This Row],[Match]]/100))</f>
        <v>9750.0400000000009</v>
      </c>
      <c r="AI225" s="76">
        <f>ROUND(SUM(IF(Dyno_Data[[#This Row],[AcqCenter]]&gt;0,Dyno_Data[[#This Row],[Time]]-SUMIFS(Dyno_Data[Time],Dyno_Data[Team],Dyno_Data[[#This Row],[Team]],Dyno_Data[RecordType],"StartMatch",Dyno_Data[Match],Dyno_Data[[#This Row],[Match]]),0)*86400),0)</f>
        <v>0</v>
      </c>
    </row>
    <row r="226" spans="1:35" x14ac:dyDescent="0.3">
      <c r="A226">
        <v>225</v>
      </c>
      <c r="B226" t="s">
        <v>1295</v>
      </c>
      <c r="C226">
        <v>4</v>
      </c>
      <c r="D226" s="105">
        <v>45373.396993946757</v>
      </c>
      <c r="E226" t="s">
        <v>312</v>
      </c>
      <c r="F226" t="s">
        <v>1402</v>
      </c>
      <c r="G226">
        <v>0</v>
      </c>
      <c r="H226" t="s">
        <v>315</v>
      </c>
      <c r="I226">
        <v>0</v>
      </c>
      <c r="J226">
        <v>0</v>
      </c>
      <c r="K226">
        <v>0</v>
      </c>
      <c r="L226" t="s">
        <v>241</v>
      </c>
      <c r="M226" t="s">
        <v>1398</v>
      </c>
      <c r="N226">
        <v>0</v>
      </c>
      <c r="O226" t="s">
        <v>1389</v>
      </c>
      <c r="P226" t="s">
        <v>310</v>
      </c>
      <c r="Q226" t="s">
        <v>310</v>
      </c>
      <c r="R226" t="s">
        <v>310</v>
      </c>
      <c r="S226">
        <v>9</v>
      </c>
      <c r="T226" t="s">
        <v>310</v>
      </c>
      <c r="U226">
        <v>9</v>
      </c>
      <c r="V226">
        <v>9</v>
      </c>
      <c r="W226">
        <v>0</v>
      </c>
      <c r="X226">
        <v>0</v>
      </c>
      <c r="Y226">
        <v>0</v>
      </c>
      <c r="Z226">
        <v>0</v>
      </c>
      <c r="AA226">
        <v>9</v>
      </c>
      <c r="AB226">
        <v>9</v>
      </c>
      <c r="AC226" t="s">
        <v>310</v>
      </c>
      <c r="AD226">
        <v>9</v>
      </c>
      <c r="AE226" t="s">
        <v>1394</v>
      </c>
      <c r="AF226">
        <v>90000000</v>
      </c>
      <c r="AG226" t="s">
        <v>310</v>
      </c>
      <c r="AH226">
        <f>SUM((MID(Dyno_Data[[#This Row],[Team]],4,5))+(Dyno_Data[[#This Row],[Match]]/100))</f>
        <v>6300.04</v>
      </c>
      <c r="AI226" s="76">
        <f>ROUND(SUM(IF(Dyno_Data[[#This Row],[AcqCenter]]&gt;0,Dyno_Data[[#This Row],[Time]]-SUMIFS(Dyno_Data[Time],Dyno_Data[Team],Dyno_Data[[#This Row],[Team]],Dyno_Data[RecordType],"StartMatch",Dyno_Data[Match],Dyno_Data[[#This Row],[Match]]),0)*86400),0)</f>
        <v>0</v>
      </c>
    </row>
    <row r="227" spans="1:35" x14ac:dyDescent="0.3">
      <c r="A227">
        <v>226</v>
      </c>
      <c r="B227" t="s">
        <v>360</v>
      </c>
      <c r="C227">
        <v>4</v>
      </c>
      <c r="D227" s="105">
        <v>45373.397060567127</v>
      </c>
      <c r="E227" t="s">
        <v>312</v>
      </c>
      <c r="F227" t="s">
        <v>317</v>
      </c>
      <c r="G227">
        <v>0</v>
      </c>
      <c r="H227" t="s">
        <v>315</v>
      </c>
      <c r="I227">
        <v>0</v>
      </c>
      <c r="J227">
        <v>0</v>
      </c>
      <c r="K227">
        <v>0</v>
      </c>
      <c r="L227" t="s">
        <v>1410</v>
      </c>
      <c r="M227" t="s">
        <v>153</v>
      </c>
      <c r="N227">
        <v>0</v>
      </c>
      <c r="O227" t="s">
        <v>1391</v>
      </c>
      <c r="P227" t="s">
        <v>310</v>
      </c>
      <c r="Q227" t="s">
        <v>310</v>
      </c>
      <c r="R227" t="s">
        <v>310</v>
      </c>
      <c r="S227">
        <v>9</v>
      </c>
      <c r="T227" t="s">
        <v>310</v>
      </c>
      <c r="U227">
        <v>9</v>
      </c>
      <c r="V227">
        <v>9</v>
      </c>
      <c r="W227">
        <v>0</v>
      </c>
      <c r="X227">
        <v>0</v>
      </c>
      <c r="Y227">
        <v>0</v>
      </c>
      <c r="Z227">
        <v>0</v>
      </c>
      <c r="AA227">
        <v>9</v>
      </c>
      <c r="AB227">
        <v>9</v>
      </c>
      <c r="AC227" t="s">
        <v>310</v>
      </c>
      <c r="AD227">
        <v>9</v>
      </c>
      <c r="AE227" t="s">
        <v>1388</v>
      </c>
      <c r="AF227">
        <v>150002000</v>
      </c>
      <c r="AG227" t="s">
        <v>310</v>
      </c>
      <c r="AH227">
        <f>SUM((MID(Dyno_Data[[#This Row],[Team]],4,5))+(Dyno_Data[[#This Row],[Match]]/100))</f>
        <v>1796.04</v>
      </c>
      <c r="AI227" s="76">
        <f>ROUND(SUM(IF(Dyno_Data[[#This Row],[AcqCenter]]&gt;0,Dyno_Data[[#This Row],[Time]]-SUMIFS(Dyno_Data[Time],Dyno_Data[Team],Dyno_Data[[#This Row],[Team]],Dyno_Data[RecordType],"StartMatch",Dyno_Data[Match],Dyno_Data[[#This Row],[Match]]),0)*86400),0)</f>
        <v>0</v>
      </c>
    </row>
    <row r="228" spans="1:35" x14ac:dyDescent="0.3">
      <c r="A228">
        <v>227</v>
      </c>
      <c r="B228" t="s">
        <v>1296</v>
      </c>
      <c r="C228">
        <v>4</v>
      </c>
      <c r="D228" s="105">
        <v>45373.397116238426</v>
      </c>
      <c r="E228" t="s">
        <v>312</v>
      </c>
      <c r="F228" t="s">
        <v>1402</v>
      </c>
      <c r="G228">
        <v>0</v>
      </c>
      <c r="H228" t="s">
        <v>315</v>
      </c>
      <c r="I228">
        <v>0</v>
      </c>
      <c r="J228">
        <v>0</v>
      </c>
      <c r="K228">
        <v>0</v>
      </c>
      <c r="L228" t="s">
        <v>241</v>
      </c>
      <c r="M228" t="s">
        <v>1398</v>
      </c>
      <c r="N228">
        <v>0</v>
      </c>
      <c r="O228" t="s">
        <v>1395</v>
      </c>
      <c r="P228" t="s">
        <v>310</v>
      </c>
      <c r="Q228" t="s">
        <v>310</v>
      </c>
      <c r="R228" t="s">
        <v>310</v>
      </c>
      <c r="S228">
        <v>9</v>
      </c>
      <c r="T228" t="s">
        <v>310</v>
      </c>
      <c r="U228">
        <v>9</v>
      </c>
      <c r="V228">
        <v>9</v>
      </c>
      <c r="W228">
        <v>0</v>
      </c>
      <c r="X228">
        <v>0</v>
      </c>
      <c r="Y228">
        <v>0</v>
      </c>
      <c r="Z228">
        <v>0</v>
      </c>
      <c r="AA228">
        <v>9</v>
      </c>
      <c r="AB228">
        <v>9</v>
      </c>
      <c r="AC228" t="s">
        <v>310</v>
      </c>
      <c r="AD228">
        <v>9</v>
      </c>
      <c r="AE228" t="s">
        <v>1396</v>
      </c>
      <c r="AF228">
        <v>80000000</v>
      </c>
      <c r="AG228" t="s">
        <v>310</v>
      </c>
      <c r="AH228">
        <f>SUM((MID(Dyno_Data[[#This Row],[Team]],4,5))+(Dyno_Data[[#This Row],[Match]]/100))</f>
        <v>3003.04</v>
      </c>
      <c r="AI228" s="76">
        <f>ROUND(SUM(IF(Dyno_Data[[#This Row],[AcqCenter]]&gt;0,Dyno_Data[[#This Row],[Time]]-SUMIFS(Dyno_Data[Time],Dyno_Data[Team],Dyno_Data[[#This Row],[Team]],Dyno_Data[RecordType],"StartMatch",Dyno_Data[Match],Dyno_Data[[#This Row],[Match]]),0)*86400),0)</f>
        <v>0</v>
      </c>
    </row>
    <row r="229" spans="1:35" x14ac:dyDescent="0.3">
      <c r="A229">
        <v>228</v>
      </c>
      <c r="B229" t="s">
        <v>1295</v>
      </c>
      <c r="C229">
        <v>4</v>
      </c>
      <c r="D229" s="105">
        <v>45373.397169791664</v>
      </c>
      <c r="E229" t="s">
        <v>312</v>
      </c>
      <c r="F229" t="s">
        <v>1402</v>
      </c>
      <c r="G229">
        <v>0</v>
      </c>
      <c r="H229" t="s">
        <v>315</v>
      </c>
      <c r="I229">
        <v>0</v>
      </c>
      <c r="J229">
        <v>0</v>
      </c>
      <c r="K229">
        <v>0</v>
      </c>
      <c r="L229" t="s">
        <v>241</v>
      </c>
      <c r="M229" t="s">
        <v>1398</v>
      </c>
      <c r="N229">
        <v>0</v>
      </c>
      <c r="O229" t="s">
        <v>1389</v>
      </c>
      <c r="P229" t="s">
        <v>310</v>
      </c>
      <c r="Q229" t="s">
        <v>310</v>
      </c>
      <c r="R229" t="s">
        <v>310</v>
      </c>
      <c r="S229">
        <v>9</v>
      </c>
      <c r="T229" t="s">
        <v>310</v>
      </c>
      <c r="U229">
        <v>9</v>
      </c>
      <c r="V229">
        <v>9</v>
      </c>
      <c r="W229">
        <v>0</v>
      </c>
      <c r="X229">
        <v>0</v>
      </c>
      <c r="Y229">
        <v>0</v>
      </c>
      <c r="Z229">
        <v>0</v>
      </c>
      <c r="AA229">
        <v>9</v>
      </c>
      <c r="AB229">
        <v>9</v>
      </c>
      <c r="AC229" t="s">
        <v>310</v>
      </c>
      <c r="AD229">
        <v>9</v>
      </c>
      <c r="AE229" t="s">
        <v>1394</v>
      </c>
      <c r="AF229">
        <v>100000000</v>
      </c>
      <c r="AG229" t="s">
        <v>310</v>
      </c>
      <c r="AH229">
        <f>SUM((MID(Dyno_Data[[#This Row],[Team]],4,5))+(Dyno_Data[[#This Row],[Match]]/100))</f>
        <v>6300.04</v>
      </c>
      <c r="AI229" s="76">
        <f>ROUND(SUM(IF(Dyno_Data[[#This Row],[AcqCenter]]&gt;0,Dyno_Data[[#This Row],[Time]]-SUMIFS(Dyno_Data[Time],Dyno_Data[Team],Dyno_Data[[#This Row],[Team]],Dyno_Data[RecordType],"StartMatch",Dyno_Data[Match],Dyno_Data[[#This Row],[Match]]),0)*86400),0)</f>
        <v>0</v>
      </c>
    </row>
    <row r="230" spans="1:35" x14ac:dyDescent="0.3">
      <c r="A230">
        <v>229</v>
      </c>
      <c r="B230" t="s">
        <v>1294</v>
      </c>
      <c r="C230">
        <v>4</v>
      </c>
      <c r="D230" s="105">
        <v>45373.397252083334</v>
      </c>
      <c r="E230" t="s">
        <v>1403</v>
      </c>
      <c r="F230" t="s">
        <v>1402</v>
      </c>
      <c r="G230">
        <v>0</v>
      </c>
      <c r="H230" t="s">
        <v>310</v>
      </c>
      <c r="I230">
        <v>0</v>
      </c>
      <c r="J230">
        <v>0</v>
      </c>
      <c r="K230">
        <v>0</v>
      </c>
      <c r="L230" t="s">
        <v>310</v>
      </c>
      <c r="M230" t="s">
        <v>310</v>
      </c>
      <c r="N230">
        <v>0</v>
      </c>
      <c r="O230" t="s">
        <v>1393</v>
      </c>
      <c r="P230" t="s">
        <v>310</v>
      </c>
      <c r="Q230" t="s">
        <v>310</v>
      </c>
      <c r="R230" t="s">
        <v>310</v>
      </c>
      <c r="S230">
        <v>9</v>
      </c>
      <c r="T230" t="s">
        <v>310</v>
      </c>
      <c r="U230">
        <v>9</v>
      </c>
      <c r="V230">
        <v>9</v>
      </c>
      <c r="W230">
        <v>0</v>
      </c>
      <c r="X230">
        <v>0</v>
      </c>
      <c r="Y230">
        <v>0</v>
      </c>
      <c r="Z230">
        <v>0</v>
      </c>
      <c r="AA230">
        <v>9</v>
      </c>
      <c r="AB230">
        <v>9</v>
      </c>
      <c r="AC230" t="s">
        <v>310</v>
      </c>
      <c r="AD230">
        <v>9</v>
      </c>
      <c r="AE230" t="s">
        <v>1390</v>
      </c>
      <c r="AF230">
        <v>100000000</v>
      </c>
      <c r="AG230" t="s">
        <v>249</v>
      </c>
      <c r="AH230">
        <f>SUM((MID(Dyno_Data[[#This Row],[Team]],4,5))+(Dyno_Data[[#This Row],[Match]]/100))</f>
        <v>9076.0400000000009</v>
      </c>
      <c r="AI230" s="76">
        <f>ROUND(SUM(IF(Dyno_Data[[#This Row],[AcqCenter]]&gt;0,Dyno_Data[[#This Row],[Time]]-SUMIFS(Dyno_Data[Time],Dyno_Data[Team],Dyno_Data[[#This Row],[Team]],Dyno_Data[RecordType],"StartMatch",Dyno_Data[Match],Dyno_Data[[#This Row],[Match]]),0)*86400),0)</f>
        <v>0</v>
      </c>
    </row>
    <row r="231" spans="1:35" x14ac:dyDescent="0.3">
      <c r="A231">
        <v>230</v>
      </c>
      <c r="B231" t="s">
        <v>1297</v>
      </c>
      <c r="C231">
        <v>4</v>
      </c>
      <c r="D231" s="105">
        <v>45373.397896377312</v>
      </c>
      <c r="E231" t="s">
        <v>316</v>
      </c>
      <c r="F231" t="s">
        <v>317</v>
      </c>
      <c r="G231">
        <v>0</v>
      </c>
      <c r="H231" t="s">
        <v>310</v>
      </c>
      <c r="I231">
        <v>0</v>
      </c>
      <c r="J231">
        <v>0</v>
      </c>
      <c r="K231">
        <v>0</v>
      </c>
      <c r="L231" t="s">
        <v>310</v>
      </c>
      <c r="M231" t="s">
        <v>310</v>
      </c>
      <c r="N231">
        <v>0</v>
      </c>
      <c r="O231" t="s">
        <v>311</v>
      </c>
      <c r="P231" t="s">
        <v>101</v>
      </c>
      <c r="Q231" t="s">
        <v>1400</v>
      </c>
      <c r="R231" t="s">
        <v>1404</v>
      </c>
      <c r="S231">
        <v>0</v>
      </c>
      <c r="T231" t="s">
        <v>105</v>
      </c>
      <c r="U231">
        <v>9</v>
      </c>
      <c r="V231">
        <v>9</v>
      </c>
      <c r="W231">
        <v>0</v>
      </c>
      <c r="X231">
        <v>25.7753467</v>
      </c>
      <c r="Y231">
        <v>20.119795999999997</v>
      </c>
      <c r="Z231">
        <v>88.899055500000003</v>
      </c>
      <c r="AA231">
        <v>0</v>
      </c>
      <c r="AB231">
        <v>1</v>
      </c>
      <c r="AC231" t="s">
        <v>174</v>
      </c>
      <c r="AD231">
        <v>9</v>
      </c>
      <c r="AE231" t="s">
        <v>1387</v>
      </c>
      <c r="AF231">
        <v>50000000</v>
      </c>
      <c r="AG231" t="s">
        <v>310</v>
      </c>
      <c r="AH231">
        <f>SUM((MID(Dyno_Data[[#This Row],[Team]],4,5))+(Dyno_Data[[#This Row],[Match]]/100))</f>
        <v>9750.0400000000009</v>
      </c>
      <c r="AI231" s="76">
        <f>ROUND(SUM(IF(Dyno_Data[[#This Row],[AcqCenter]]&gt;0,Dyno_Data[[#This Row],[Time]]-SUMIFS(Dyno_Data[Time],Dyno_Data[Team],Dyno_Data[[#This Row],[Team]],Dyno_Data[RecordType],"StartMatch",Dyno_Data[Match],Dyno_Data[[#This Row],[Match]]),0)*86400),0)</f>
        <v>0</v>
      </c>
    </row>
    <row r="232" spans="1:35" x14ac:dyDescent="0.3">
      <c r="A232">
        <v>231</v>
      </c>
      <c r="B232" t="s">
        <v>360</v>
      </c>
      <c r="C232">
        <v>4</v>
      </c>
      <c r="D232" s="105">
        <v>45373.397896527778</v>
      </c>
      <c r="E232" t="s">
        <v>316</v>
      </c>
      <c r="F232" t="s">
        <v>317</v>
      </c>
      <c r="G232">
        <v>1</v>
      </c>
      <c r="H232" t="s">
        <v>310</v>
      </c>
      <c r="I232">
        <v>0</v>
      </c>
      <c r="J232">
        <v>0</v>
      </c>
      <c r="K232">
        <v>0</v>
      </c>
      <c r="L232" t="s">
        <v>310</v>
      </c>
      <c r="M232" t="s">
        <v>310</v>
      </c>
      <c r="N232">
        <v>0</v>
      </c>
      <c r="O232" t="s">
        <v>1391</v>
      </c>
      <c r="P232" t="s">
        <v>240</v>
      </c>
      <c r="Q232" t="s">
        <v>1399</v>
      </c>
      <c r="R232" t="s">
        <v>1405</v>
      </c>
      <c r="S232">
        <v>1</v>
      </c>
      <c r="T232" t="s">
        <v>1407</v>
      </c>
      <c r="U232">
        <v>0</v>
      </c>
      <c r="V232">
        <v>0</v>
      </c>
      <c r="W232">
        <v>7.0168685999999996</v>
      </c>
      <c r="X232">
        <v>38.919807399999996</v>
      </c>
      <c r="Y232">
        <v>28.998249599999998</v>
      </c>
      <c r="Z232">
        <v>33.237506799999998</v>
      </c>
      <c r="AA232">
        <v>0</v>
      </c>
      <c r="AB232">
        <v>1</v>
      </c>
      <c r="AC232" t="s">
        <v>174</v>
      </c>
      <c r="AD232">
        <v>0</v>
      </c>
      <c r="AE232" t="s">
        <v>1388</v>
      </c>
      <c r="AF232">
        <v>150002000</v>
      </c>
      <c r="AG232" t="s">
        <v>310</v>
      </c>
      <c r="AH232">
        <f>SUM((MID(Dyno_Data[[#This Row],[Team]],4,5))+(Dyno_Data[[#This Row],[Match]]/100))</f>
        <v>1796.04</v>
      </c>
      <c r="AI232" s="76">
        <f>ROUND(SUM(IF(Dyno_Data[[#This Row],[AcqCenter]]&gt;0,Dyno_Data[[#This Row],[Time]]-SUMIFS(Dyno_Data[Time],Dyno_Data[Team],Dyno_Data[[#This Row],[Team]],Dyno_Data[RecordType],"StartMatch",Dyno_Data[Match],Dyno_Data[[#This Row],[Match]]),0)*86400),0)</f>
        <v>0</v>
      </c>
    </row>
    <row r="233" spans="1:35" x14ac:dyDescent="0.3">
      <c r="A233">
        <v>232</v>
      </c>
      <c r="B233" t="s">
        <v>1298</v>
      </c>
      <c r="C233">
        <v>4</v>
      </c>
      <c r="D233" s="105">
        <v>45373.397896608796</v>
      </c>
      <c r="E233" t="s">
        <v>316</v>
      </c>
      <c r="F233" t="s">
        <v>317</v>
      </c>
      <c r="G233">
        <v>0</v>
      </c>
      <c r="H233" t="s">
        <v>310</v>
      </c>
      <c r="I233">
        <v>0</v>
      </c>
      <c r="J233">
        <v>0</v>
      </c>
      <c r="K233">
        <v>0</v>
      </c>
      <c r="L233" t="s">
        <v>310</v>
      </c>
      <c r="M233" t="s">
        <v>310</v>
      </c>
      <c r="N233">
        <v>0</v>
      </c>
      <c r="O233" t="s">
        <v>319</v>
      </c>
      <c r="P233" t="s">
        <v>1401</v>
      </c>
      <c r="Q233" t="s">
        <v>1400</v>
      </c>
      <c r="R233" t="s">
        <v>1405</v>
      </c>
      <c r="S233">
        <v>1</v>
      </c>
      <c r="T233" t="s">
        <v>1406</v>
      </c>
      <c r="U233">
        <v>0</v>
      </c>
      <c r="V233">
        <v>0</v>
      </c>
      <c r="W233">
        <v>9.6401781</v>
      </c>
      <c r="X233">
        <v>43.731294699999999</v>
      </c>
      <c r="Y233">
        <v>20.115059599999999</v>
      </c>
      <c r="Z233">
        <v>44.8214793</v>
      </c>
      <c r="AA233">
        <v>0</v>
      </c>
      <c r="AB233">
        <v>0</v>
      </c>
      <c r="AC233" t="s">
        <v>174</v>
      </c>
      <c r="AD233">
        <v>9</v>
      </c>
      <c r="AE233" t="s">
        <v>1392</v>
      </c>
      <c r="AF233">
        <v>40000000</v>
      </c>
      <c r="AG233" t="s">
        <v>310</v>
      </c>
      <c r="AH233">
        <f>SUM((MID(Dyno_Data[[#This Row],[Team]],4,5))+(Dyno_Data[[#This Row],[Match]]/100))</f>
        <v>9624.0400000000009</v>
      </c>
      <c r="AI233" s="76">
        <f>ROUND(SUM(IF(Dyno_Data[[#This Row],[AcqCenter]]&gt;0,Dyno_Data[[#This Row],[Time]]-SUMIFS(Dyno_Data[Time],Dyno_Data[Team],Dyno_Data[[#This Row],[Team]],Dyno_Data[RecordType],"StartMatch",Dyno_Data[Match],Dyno_Data[[#This Row],[Match]]),0)*86400),0)</f>
        <v>0</v>
      </c>
    </row>
    <row r="234" spans="1:35" x14ac:dyDescent="0.3">
      <c r="A234">
        <v>233</v>
      </c>
      <c r="B234" t="s">
        <v>1294</v>
      </c>
      <c r="C234">
        <v>4</v>
      </c>
      <c r="D234" s="105">
        <v>45373.397896724535</v>
      </c>
      <c r="E234" t="s">
        <v>316</v>
      </c>
      <c r="F234" t="s">
        <v>317</v>
      </c>
      <c r="G234">
        <v>1</v>
      </c>
      <c r="H234" t="s">
        <v>310</v>
      </c>
      <c r="I234">
        <v>0</v>
      </c>
      <c r="J234">
        <v>0</v>
      </c>
      <c r="K234">
        <v>0</v>
      </c>
      <c r="L234" t="s">
        <v>310</v>
      </c>
      <c r="M234" t="s">
        <v>310</v>
      </c>
      <c r="N234">
        <v>0</v>
      </c>
      <c r="O234" t="s">
        <v>1393</v>
      </c>
      <c r="P234" t="s">
        <v>101</v>
      </c>
      <c r="Q234" t="s">
        <v>1400</v>
      </c>
      <c r="R234" t="s">
        <v>321</v>
      </c>
      <c r="S234">
        <v>0</v>
      </c>
      <c r="T234" t="s">
        <v>105</v>
      </c>
      <c r="U234">
        <v>9</v>
      </c>
      <c r="V234">
        <v>9</v>
      </c>
      <c r="W234">
        <v>0</v>
      </c>
      <c r="X234">
        <v>57.045837899999995</v>
      </c>
      <c r="Y234">
        <v>21.602198399999999</v>
      </c>
      <c r="Z234">
        <v>57.3871988</v>
      </c>
      <c r="AA234">
        <v>0</v>
      </c>
      <c r="AB234">
        <v>0</v>
      </c>
      <c r="AC234" t="s">
        <v>174</v>
      </c>
      <c r="AD234">
        <v>9</v>
      </c>
      <c r="AE234" t="s">
        <v>1390</v>
      </c>
      <c r="AF234">
        <v>30000000</v>
      </c>
      <c r="AG234" t="s">
        <v>310</v>
      </c>
      <c r="AH234">
        <f>SUM((MID(Dyno_Data[[#This Row],[Team]],4,5))+(Dyno_Data[[#This Row],[Match]]/100))</f>
        <v>9076.0400000000009</v>
      </c>
      <c r="AI234" s="76">
        <f>ROUND(SUM(IF(Dyno_Data[[#This Row],[AcqCenter]]&gt;0,Dyno_Data[[#This Row],[Time]]-SUMIFS(Dyno_Data[Time],Dyno_Data[Team],Dyno_Data[[#This Row],[Team]],Dyno_Data[RecordType],"StartMatch",Dyno_Data[Match],Dyno_Data[[#This Row],[Match]]),0)*86400),0)</f>
        <v>0</v>
      </c>
    </row>
    <row r="235" spans="1:35" x14ac:dyDescent="0.3">
      <c r="A235">
        <v>234</v>
      </c>
      <c r="B235" t="s">
        <v>1295</v>
      </c>
      <c r="C235">
        <v>4</v>
      </c>
      <c r="D235" s="105">
        <v>45373.397896840281</v>
      </c>
      <c r="E235" t="s">
        <v>316</v>
      </c>
      <c r="F235" t="s">
        <v>317</v>
      </c>
      <c r="G235">
        <v>1</v>
      </c>
      <c r="H235" t="s">
        <v>310</v>
      </c>
      <c r="I235">
        <v>0</v>
      </c>
      <c r="J235">
        <v>0</v>
      </c>
      <c r="K235">
        <v>0</v>
      </c>
      <c r="L235" t="s">
        <v>310</v>
      </c>
      <c r="M235" t="s">
        <v>310</v>
      </c>
      <c r="N235">
        <v>0</v>
      </c>
      <c r="O235" t="s">
        <v>1389</v>
      </c>
      <c r="P235" t="s">
        <v>1401</v>
      </c>
      <c r="Q235" t="s">
        <v>1400</v>
      </c>
      <c r="R235" t="s">
        <v>1405</v>
      </c>
      <c r="S235">
        <v>1</v>
      </c>
      <c r="T235" t="s">
        <v>1409</v>
      </c>
      <c r="U235">
        <v>0</v>
      </c>
      <c r="V235">
        <v>0</v>
      </c>
      <c r="W235">
        <v>4.9842268000000001</v>
      </c>
      <c r="X235">
        <v>27.299850199999998</v>
      </c>
      <c r="Y235">
        <v>25.313591499999998</v>
      </c>
      <c r="Z235">
        <v>73.138215399999993</v>
      </c>
      <c r="AA235">
        <v>0</v>
      </c>
      <c r="AB235">
        <v>0</v>
      </c>
      <c r="AC235" t="s">
        <v>174</v>
      </c>
      <c r="AD235">
        <v>9</v>
      </c>
      <c r="AE235" t="s">
        <v>1394</v>
      </c>
      <c r="AF235">
        <v>100000000</v>
      </c>
      <c r="AG235" t="s">
        <v>310</v>
      </c>
      <c r="AH235">
        <f>SUM((MID(Dyno_Data[[#This Row],[Team]],4,5))+(Dyno_Data[[#This Row],[Match]]/100))</f>
        <v>6300.04</v>
      </c>
      <c r="AI235" s="76">
        <f>ROUND(SUM(IF(Dyno_Data[[#This Row],[AcqCenter]]&gt;0,Dyno_Data[[#This Row],[Time]]-SUMIFS(Dyno_Data[Time],Dyno_Data[Team],Dyno_Data[[#This Row],[Team]],Dyno_Data[RecordType],"StartMatch",Dyno_Data[Match],Dyno_Data[[#This Row],[Match]]),0)*86400),0)</f>
        <v>0</v>
      </c>
    </row>
    <row r="236" spans="1:35" x14ac:dyDescent="0.3">
      <c r="A236">
        <v>235</v>
      </c>
      <c r="B236" t="s">
        <v>1296</v>
      </c>
      <c r="C236">
        <v>4</v>
      </c>
      <c r="D236" s="105">
        <v>45373.397896909722</v>
      </c>
      <c r="E236" t="s">
        <v>316</v>
      </c>
      <c r="F236" t="s">
        <v>317</v>
      </c>
      <c r="G236">
        <v>0</v>
      </c>
      <c r="H236" t="s">
        <v>310</v>
      </c>
      <c r="I236">
        <v>0</v>
      </c>
      <c r="J236">
        <v>0</v>
      </c>
      <c r="K236">
        <v>0</v>
      </c>
      <c r="L236" t="s">
        <v>310</v>
      </c>
      <c r="M236" t="s">
        <v>310</v>
      </c>
      <c r="N236">
        <v>0</v>
      </c>
      <c r="O236" t="s">
        <v>1395</v>
      </c>
      <c r="P236" t="s">
        <v>240</v>
      </c>
      <c r="Q236" t="s">
        <v>1399</v>
      </c>
      <c r="R236" t="s">
        <v>321</v>
      </c>
      <c r="S236">
        <v>0</v>
      </c>
      <c r="T236" t="s">
        <v>105</v>
      </c>
      <c r="U236">
        <v>9</v>
      </c>
      <c r="V236">
        <v>9</v>
      </c>
      <c r="W236">
        <v>0</v>
      </c>
      <c r="X236">
        <v>43.027684199999996</v>
      </c>
      <c r="Y236">
        <v>24.4024961</v>
      </c>
      <c r="Z236">
        <v>66.670164299999996</v>
      </c>
      <c r="AA236">
        <v>0</v>
      </c>
      <c r="AB236">
        <v>0</v>
      </c>
      <c r="AC236" t="s">
        <v>174</v>
      </c>
      <c r="AD236">
        <v>0</v>
      </c>
      <c r="AE236" t="s">
        <v>1396</v>
      </c>
      <c r="AF236">
        <v>80000000</v>
      </c>
      <c r="AG236" t="s">
        <v>310</v>
      </c>
      <c r="AH236">
        <f>SUM((MID(Dyno_Data[[#This Row],[Team]],4,5))+(Dyno_Data[[#This Row],[Match]]/100))</f>
        <v>3003.04</v>
      </c>
      <c r="AI236" s="76">
        <f>ROUND(SUM(IF(Dyno_Data[[#This Row],[AcqCenter]]&gt;0,Dyno_Data[[#This Row],[Time]]-SUMIFS(Dyno_Data[Time],Dyno_Data[Team],Dyno_Data[[#This Row],[Team]],Dyno_Data[RecordType],"StartMatch",Dyno_Data[Match],Dyno_Data[[#This Row],[Match]]),0)*86400),0)</f>
        <v>0</v>
      </c>
    </row>
    <row r="237" spans="1:35" x14ac:dyDescent="0.3">
      <c r="A237">
        <v>239</v>
      </c>
      <c r="B237" t="s">
        <v>362</v>
      </c>
      <c r="C237">
        <v>5</v>
      </c>
      <c r="D237" s="105">
        <v>45373.400409259259</v>
      </c>
      <c r="E237" t="s">
        <v>312</v>
      </c>
      <c r="F237" t="s">
        <v>309</v>
      </c>
      <c r="G237">
        <v>0</v>
      </c>
      <c r="H237" t="s">
        <v>143</v>
      </c>
      <c r="I237">
        <v>5</v>
      </c>
      <c r="J237">
        <v>-1</v>
      </c>
      <c r="K237">
        <v>0</v>
      </c>
      <c r="L237" t="s">
        <v>310</v>
      </c>
      <c r="M237" t="s">
        <v>310</v>
      </c>
      <c r="N237">
        <v>0</v>
      </c>
      <c r="O237" t="s">
        <v>1395</v>
      </c>
      <c r="P237" t="s">
        <v>310</v>
      </c>
      <c r="Q237" t="s">
        <v>310</v>
      </c>
      <c r="R237" t="s">
        <v>310</v>
      </c>
      <c r="S237">
        <v>9</v>
      </c>
      <c r="T237" t="s">
        <v>310</v>
      </c>
      <c r="U237">
        <v>9</v>
      </c>
      <c r="V237">
        <v>9</v>
      </c>
      <c r="W237">
        <v>0</v>
      </c>
      <c r="X237">
        <v>0</v>
      </c>
      <c r="Y237">
        <v>0</v>
      </c>
      <c r="Z237">
        <v>0</v>
      </c>
      <c r="AA237">
        <v>9</v>
      </c>
      <c r="AB237">
        <v>9</v>
      </c>
      <c r="AC237" t="s">
        <v>310</v>
      </c>
      <c r="AD237">
        <v>9</v>
      </c>
      <c r="AE237" t="s">
        <v>1396</v>
      </c>
      <c r="AF237">
        <v>1000</v>
      </c>
      <c r="AG237" t="s">
        <v>310</v>
      </c>
      <c r="AH237">
        <f>SUM((MID(Dyno_Data[[#This Row],[Team]],4,5))+(Dyno_Data[[#This Row],[Match]]/100))</f>
        <v>250.05</v>
      </c>
      <c r="AI237" s="76">
        <f>ROUND(SUM(IF(Dyno_Data[[#This Row],[AcqCenter]]&gt;0,Dyno_Data[[#This Row],[Time]]-SUMIFS(Dyno_Data[Time],Dyno_Data[Team],Dyno_Data[[#This Row],[Team]],Dyno_Data[RecordType],"StartMatch",Dyno_Data[Match],Dyno_Data[[#This Row],[Match]]),0)*86400),0)</f>
        <v>-11</v>
      </c>
    </row>
    <row r="238" spans="1:35" x14ac:dyDescent="0.3">
      <c r="A238">
        <v>250</v>
      </c>
      <c r="B238" t="s">
        <v>1303</v>
      </c>
      <c r="C238">
        <v>5</v>
      </c>
      <c r="D238" s="105">
        <v>45373.400521678239</v>
      </c>
      <c r="E238" t="s">
        <v>308</v>
      </c>
      <c r="F238" t="s">
        <v>309</v>
      </c>
      <c r="G238">
        <v>0</v>
      </c>
      <c r="H238" t="s">
        <v>310</v>
      </c>
      <c r="I238">
        <v>0</v>
      </c>
      <c r="J238">
        <v>0</v>
      </c>
      <c r="K238">
        <v>0</v>
      </c>
      <c r="L238" t="s">
        <v>310</v>
      </c>
      <c r="M238" t="s">
        <v>310</v>
      </c>
      <c r="N238">
        <v>0</v>
      </c>
      <c r="O238" t="s">
        <v>319</v>
      </c>
      <c r="P238" t="s">
        <v>310</v>
      </c>
      <c r="Q238" t="s">
        <v>310</v>
      </c>
      <c r="R238" t="s">
        <v>310</v>
      </c>
      <c r="S238">
        <v>9</v>
      </c>
      <c r="T238" t="s">
        <v>310</v>
      </c>
      <c r="U238">
        <v>9</v>
      </c>
      <c r="V238">
        <v>9</v>
      </c>
      <c r="W238">
        <v>0</v>
      </c>
      <c r="X238">
        <v>0</v>
      </c>
      <c r="Y238">
        <v>0</v>
      </c>
      <c r="Z238">
        <v>0</v>
      </c>
      <c r="AA238">
        <v>9</v>
      </c>
      <c r="AB238">
        <v>9</v>
      </c>
      <c r="AC238" t="s">
        <v>310</v>
      </c>
      <c r="AD238">
        <v>9</v>
      </c>
      <c r="AE238" t="s">
        <v>1392</v>
      </c>
      <c r="AF238">
        <v>10000000</v>
      </c>
      <c r="AG238" t="s">
        <v>310</v>
      </c>
      <c r="AH238">
        <f>SUM((MID(Dyno_Data[[#This Row],[Team]],4,5))+(Dyno_Data[[#This Row],[Match]]/100))</f>
        <v>7605.05</v>
      </c>
      <c r="AI238" s="76">
        <f>ROUND(SUM(IF(Dyno_Data[[#This Row],[AcqCenter]]&gt;0,Dyno_Data[[#This Row],[Time]]-SUMIFS(Dyno_Data[Time],Dyno_Data[Team],Dyno_Data[[#This Row],[Team]],Dyno_Data[RecordType],"StartMatch",Dyno_Data[Match],Dyno_Data[[#This Row],[Match]]),0)*86400),0)</f>
        <v>0</v>
      </c>
    </row>
    <row r="239" spans="1:35" x14ac:dyDescent="0.3">
      <c r="A239">
        <v>252</v>
      </c>
      <c r="B239" t="s">
        <v>1302</v>
      </c>
      <c r="C239">
        <v>5</v>
      </c>
      <c r="D239" s="105">
        <v>45373.400523067132</v>
      </c>
      <c r="E239" t="s">
        <v>308</v>
      </c>
      <c r="F239" t="s">
        <v>309</v>
      </c>
      <c r="G239">
        <v>0</v>
      </c>
      <c r="H239" t="s">
        <v>310</v>
      </c>
      <c r="I239">
        <v>0</v>
      </c>
      <c r="J239">
        <v>0</v>
      </c>
      <c r="K239">
        <v>0</v>
      </c>
      <c r="L239" t="s">
        <v>310</v>
      </c>
      <c r="M239" t="s">
        <v>310</v>
      </c>
      <c r="N239">
        <v>0</v>
      </c>
      <c r="O239" t="s">
        <v>1391</v>
      </c>
      <c r="P239" t="s">
        <v>310</v>
      </c>
      <c r="Q239" t="s">
        <v>310</v>
      </c>
      <c r="R239" t="s">
        <v>310</v>
      </c>
      <c r="S239">
        <v>9</v>
      </c>
      <c r="T239" t="s">
        <v>310</v>
      </c>
      <c r="U239">
        <v>9</v>
      </c>
      <c r="V239">
        <v>9</v>
      </c>
      <c r="W239">
        <v>0</v>
      </c>
      <c r="X239">
        <v>0</v>
      </c>
      <c r="Y239">
        <v>0</v>
      </c>
      <c r="Z239">
        <v>0</v>
      </c>
      <c r="AA239">
        <v>9</v>
      </c>
      <c r="AB239">
        <v>9</v>
      </c>
      <c r="AC239" t="s">
        <v>310</v>
      </c>
      <c r="AD239">
        <v>9</v>
      </c>
      <c r="AE239" t="s">
        <v>1388</v>
      </c>
      <c r="AF239">
        <v>0</v>
      </c>
      <c r="AG239" t="s">
        <v>310</v>
      </c>
      <c r="AH239">
        <f>SUM((MID(Dyno_Data[[#This Row],[Team]],4,5))+(Dyno_Data[[#This Row],[Match]]/100))</f>
        <v>2095.0500000000002</v>
      </c>
      <c r="AI239" s="76">
        <f>ROUND(SUM(IF(Dyno_Data[[#This Row],[AcqCenter]]&gt;0,Dyno_Data[[#This Row],[Time]]-SUMIFS(Dyno_Data[Time],Dyno_Data[Team],Dyno_Data[[#This Row],[Team]],Dyno_Data[RecordType],"StartMatch",Dyno_Data[Match],Dyno_Data[[#This Row],[Match]]),0)*86400),0)</f>
        <v>0</v>
      </c>
    </row>
    <row r="240" spans="1:35" x14ac:dyDescent="0.3">
      <c r="A240">
        <v>254</v>
      </c>
      <c r="B240" t="s">
        <v>1301</v>
      </c>
      <c r="C240">
        <v>5</v>
      </c>
      <c r="D240" s="105">
        <v>45373.400527349535</v>
      </c>
      <c r="E240" t="s">
        <v>308</v>
      </c>
      <c r="F240" t="s">
        <v>309</v>
      </c>
      <c r="G240">
        <v>0</v>
      </c>
      <c r="H240" t="s">
        <v>310</v>
      </c>
      <c r="I240">
        <v>0</v>
      </c>
      <c r="J240">
        <v>0</v>
      </c>
      <c r="K240">
        <v>0</v>
      </c>
      <c r="L240" t="s">
        <v>310</v>
      </c>
      <c r="M240" t="s">
        <v>310</v>
      </c>
      <c r="N240">
        <v>0</v>
      </c>
      <c r="O240" t="s">
        <v>311</v>
      </c>
      <c r="P240" t="s">
        <v>310</v>
      </c>
      <c r="Q240" t="s">
        <v>310</v>
      </c>
      <c r="R240" t="s">
        <v>310</v>
      </c>
      <c r="S240">
        <v>9</v>
      </c>
      <c r="T240" t="s">
        <v>310</v>
      </c>
      <c r="U240">
        <v>9</v>
      </c>
      <c r="V240">
        <v>9</v>
      </c>
      <c r="W240">
        <v>0</v>
      </c>
      <c r="X240">
        <v>0</v>
      </c>
      <c r="Y240">
        <v>0</v>
      </c>
      <c r="Z240">
        <v>0</v>
      </c>
      <c r="AA240">
        <v>9</v>
      </c>
      <c r="AB240">
        <v>9</v>
      </c>
      <c r="AC240" t="s">
        <v>310</v>
      </c>
      <c r="AD240">
        <v>9</v>
      </c>
      <c r="AE240" t="s">
        <v>1387</v>
      </c>
      <c r="AF240">
        <v>0</v>
      </c>
      <c r="AG240" t="s">
        <v>310</v>
      </c>
      <c r="AH240">
        <f>SUM((MID(Dyno_Data[[#This Row],[Team]],4,5))+(Dyno_Data[[#This Row],[Match]]/100))</f>
        <v>7031.05</v>
      </c>
      <c r="AI240" s="76">
        <f>ROUND(SUM(IF(Dyno_Data[[#This Row],[AcqCenter]]&gt;0,Dyno_Data[[#This Row],[Time]]-SUMIFS(Dyno_Data[Time],Dyno_Data[Team],Dyno_Data[[#This Row],[Team]],Dyno_Data[RecordType],"StartMatch",Dyno_Data[Match],Dyno_Data[[#This Row],[Match]]),0)*86400),0)</f>
        <v>0</v>
      </c>
    </row>
    <row r="241" spans="1:35" x14ac:dyDescent="0.3">
      <c r="A241">
        <v>256</v>
      </c>
      <c r="B241" t="s">
        <v>371</v>
      </c>
      <c r="C241">
        <v>5</v>
      </c>
      <c r="D241" s="105">
        <v>45373.400532523148</v>
      </c>
      <c r="E241" t="s">
        <v>308</v>
      </c>
      <c r="F241" t="s">
        <v>309</v>
      </c>
      <c r="G241">
        <v>0</v>
      </c>
      <c r="H241" t="s">
        <v>310</v>
      </c>
      <c r="I241">
        <v>0</v>
      </c>
      <c r="J241">
        <v>0</v>
      </c>
      <c r="K241">
        <v>0</v>
      </c>
      <c r="L241" t="s">
        <v>310</v>
      </c>
      <c r="M241" t="s">
        <v>310</v>
      </c>
      <c r="N241">
        <v>0</v>
      </c>
      <c r="O241" t="s">
        <v>1393</v>
      </c>
      <c r="P241" t="s">
        <v>310</v>
      </c>
      <c r="Q241" t="s">
        <v>310</v>
      </c>
      <c r="R241" t="s">
        <v>310</v>
      </c>
      <c r="S241">
        <v>9</v>
      </c>
      <c r="T241" t="s">
        <v>310</v>
      </c>
      <c r="U241">
        <v>9</v>
      </c>
      <c r="V241">
        <v>9</v>
      </c>
      <c r="W241">
        <v>0</v>
      </c>
      <c r="X241">
        <v>0</v>
      </c>
      <c r="Y241">
        <v>0</v>
      </c>
      <c r="Z241">
        <v>0</v>
      </c>
      <c r="AA241">
        <v>9</v>
      </c>
      <c r="AB241">
        <v>9</v>
      </c>
      <c r="AC241" t="s">
        <v>310</v>
      </c>
      <c r="AD241">
        <v>9</v>
      </c>
      <c r="AE241" t="s">
        <v>1390</v>
      </c>
      <c r="AF241">
        <v>0</v>
      </c>
      <c r="AG241" t="s">
        <v>310</v>
      </c>
      <c r="AH241">
        <f>SUM((MID(Dyno_Data[[#This Row],[Team]],4,5))+(Dyno_Data[[#This Row],[Match]]/100))</f>
        <v>6969.05</v>
      </c>
      <c r="AI241" s="76">
        <f>ROUND(SUM(IF(Dyno_Data[[#This Row],[AcqCenter]]&gt;0,Dyno_Data[[#This Row],[Time]]-SUMIFS(Dyno_Data[Time],Dyno_Data[Team],Dyno_Data[[#This Row],[Team]],Dyno_Data[RecordType],"StartMatch",Dyno_Data[Match],Dyno_Data[[#This Row],[Match]]),0)*86400),0)</f>
        <v>0</v>
      </c>
    </row>
    <row r="242" spans="1:35" x14ac:dyDescent="0.3">
      <c r="A242">
        <v>258</v>
      </c>
      <c r="B242" t="s">
        <v>362</v>
      </c>
      <c r="C242">
        <v>5</v>
      </c>
      <c r="D242" s="105">
        <v>45373.400535335648</v>
      </c>
      <c r="E242" t="s">
        <v>308</v>
      </c>
      <c r="F242" t="s">
        <v>309</v>
      </c>
      <c r="G242">
        <v>0</v>
      </c>
      <c r="H242" t="s">
        <v>310</v>
      </c>
      <c r="I242">
        <v>0</v>
      </c>
      <c r="J242">
        <v>0</v>
      </c>
      <c r="K242">
        <v>0</v>
      </c>
      <c r="L242" t="s">
        <v>310</v>
      </c>
      <c r="M242" t="s">
        <v>310</v>
      </c>
      <c r="N242">
        <v>0</v>
      </c>
      <c r="O242" t="s">
        <v>1395</v>
      </c>
      <c r="P242" t="s">
        <v>310</v>
      </c>
      <c r="Q242" t="s">
        <v>310</v>
      </c>
      <c r="R242" t="s">
        <v>310</v>
      </c>
      <c r="S242">
        <v>9</v>
      </c>
      <c r="T242" t="s">
        <v>310</v>
      </c>
      <c r="U242">
        <v>9</v>
      </c>
      <c r="V242">
        <v>9</v>
      </c>
      <c r="W242">
        <v>0</v>
      </c>
      <c r="X242">
        <v>0</v>
      </c>
      <c r="Y242">
        <v>0</v>
      </c>
      <c r="Z242">
        <v>0</v>
      </c>
      <c r="AA242">
        <v>9</v>
      </c>
      <c r="AB242">
        <v>9</v>
      </c>
      <c r="AC242" t="s">
        <v>310</v>
      </c>
      <c r="AD242">
        <v>9</v>
      </c>
      <c r="AE242" t="s">
        <v>1396</v>
      </c>
      <c r="AF242">
        <v>5000</v>
      </c>
      <c r="AG242" t="s">
        <v>310</v>
      </c>
      <c r="AH242">
        <f>SUM((MID(Dyno_Data[[#This Row],[Team]],4,5))+(Dyno_Data[[#This Row],[Match]]/100))</f>
        <v>250.05</v>
      </c>
      <c r="AI242" s="76">
        <f>ROUND(SUM(IF(Dyno_Data[[#This Row],[AcqCenter]]&gt;0,Dyno_Data[[#This Row],[Time]]-SUMIFS(Dyno_Data[Time],Dyno_Data[Team],Dyno_Data[[#This Row],[Team]],Dyno_Data[RecordType],"StartMatch",Dyno_Data[Match],Dyno_Data[[#This Row],[Match]]),0)*86400),0)</f>
        <v>0</v>
      </c>
    </row>
    <row r="243" spans="1:35" x14ac:dyDescent="0.3">
      <c r="A243">
        <v>260</v>
      </c>
      <c r="B243" t="s">
        <v>1300</v>
      </c>
      <c r="C243">
        <v>5</v>
      </c>
      <c r="D243" s="105">
        <v>45373.400542708332</v>
      </c>
      <c r="E243" t="s">
        <v>308</v>
      </c>
      <c r="F243" t="s">
        <v>309</v>
      </c>
      <c r="G243">
        <v>0</v>
      </c>
      <c r="H243" t="s">
        <v>310</v>
      </c>
      <c r="I243">
        <v>0</v>
      </c>
      <c r="J243">
        <v>0</v>
      </c>
      <c r="K243">
        <v>0</v>
      </c>
      <c r="L243" t="s">
        <v>310</v>
      </c>
      <c r="M243" t="s">
        <v>310</v>
      </c>
      <c r="N243">
        <v>0</v>
      </c>
      <c r="O243" t="s">
        <v>1389</v>
      </c>
      <c r="P243" t="s">
        <v>310</v>
      </c>
      <c r="Q243" t="s">
        <v>310</v>
      </c>
      <c r="R243" t="s">
        <v>310</v>
      </c>
      <c r="S243">
        <v>9</v>
      </c>
      <c r="T243" t="s">
        <v>310</v>
      </c>
      <c r="U243">
        <v>9</v>
      </c>
      <c r="V243">
        <v>9</v>
      </c>
      <c r="W243">
        <v>0</v>
      </c>
      <c r="X243">
        <v>0</v>
      </c>
      <c r="Y243">
        <v>0</v>
      </c>
      <c r="Z243">
        <v>0</v>
      </c>
      <c r="AA243">
        <v>9</v>
      </c>
      <c r="AB243">
        <v>9</v>
      </c>
      <c r="AC243" t="s">
        <v>310</v>
      </c>
      <c r="AD243">
        <v>9</v>
      </c>
      <c r="AE243" t="s">
        <v>1394</v>
      </c>
      <c r="AF243">
        <v>20000000</v>
      </c>
      <c r="AG243" t="s">
        <v>310</v>
      </c>
      <c r="AH243">
        <f>SUM((MID(Dyno_Data[[#This Row],[Team]],4,5))+(Dyno_Data[[#This Row],[Match]]/100))</f>
        <v>3044.05</v>
      </c>
      <c r="AI243" s="76">
        <f>ROUND(SUM(IF(Dyno_Data[[#This Row],[AcqCenter]]&gt;0,Dyno_Data[[#This Row],[Time]]-SUMIFS(Dyno_Data[Time],Dyno_Data[Team],Dyno_Data[[#This Row],[Team]],Dyno_Data[RecordType],"StartMatch",Dyno_Data[Match],Dyno_Data[[#This Row],[Match]]),0)*86400),0)</f>
        <v>0</v>
      </c>
    </row>
    <row r="244" spans="1:35" x14ac:dyDescent="0.3">
      <c r="A244">
        <v>236</v>
      </c>
      <c r="B244" t="s">
        <v>1300</v>
      </c>
      <c r="C244">
        <v>5</v>
      </c>
      <c r="D244" s="105">
        <v>45373.400551770836</v>
      </c>
      <c r="E244" t="s">
        <v>312</v>
      </c>
      <c r="F244" t="s">
        <v>309</v>
      </c>
      <c r="G244">
        <v>0</v>
      </c>
      <c r="H244" t="s">
        <v>1397</v>
      </c>
      <c r="I244">
        <v>0</v>
      </c>
      <c r="J244">
        <v>0</v>
      </c>
      <c r="K244">
        <v>0</v>
      </c>
      <c r="L244" t="s">
        <v>241</v>
      </c>
      <c r="M244" t="s">
        <v>1398</v>
      </c>
      <c r="N244">
        <v>0</v>
      </c>
      <c r="O244" t="s">
        <v>1389</v>
      </c>
      <c r="P244" t="s">
        <v>310</v>
      </c>
      <c r="Q244" t="s">
        <v>310</v>
      </c>
      <c r="R244" t="s">
        <v>310</v>
      </c>
      <c r="S244">
        <v>9</v>
      </c>
      <c r="T244" t="s">
        <v>310</v>
      </c>
      <c r="U244">
        <v>9</v>
      </c>
      <c r="V244">
        <v>9</v>
      </c>
      <c r="W244">
        <v>0</v>
      </c>
      <c r="X244">
        <v>0</v>
      </c>
      <c r="Y244">
        <v>0</v>
      </c>
      <c r="Z244">
        <v>0</v>
      </c>
      <c r="AA244">
        <v>9</v>
      </c>
      <c r="AB244">
        <v>9</v>
      </c>
      <c r="AC244" t="s">
        <v>310</v>
      </c>
      <c r="AD244">
        <v>9</v>
      </c>
      <c r="AE244" t="s">
        <v>1394</v>
      </c>
      <c r="AF244">
        <v>0</v>
      </c>
      <c r="AG244" t="s">
        <v>310</v>
      </c>
      <c r="AH244">
        <f>SUM((MID(Dyno_Data[[#This Row],[Team]],4,5))+(Dyno_Data[[#This Row],[Match]]/100))</f>
        <v>3044.05</v>
      </c>
      <c r="AI244" s="76">
        <f>ROUND(SUM(IF(Dyno_Data[[#This Row],[AcqCenter]]&gt;0,Dyno_Data[[#This Row],[Time]]-SUMIFS(Dyno_Data[Time],Dyno_Data[Team],Dyno_Data[[#This Row],[Team]],Dyno_Data[RecordType],"StartMatch",Dyno_Data[Match],Dyno_Data[[#This Row],[Match]]),0)*86400),0)</f>
        <v>0</v>
      </c>
    </row>
    <row r="245" spans="1:35" x14ac:dyDescent="0.3">
      <c r="A245">
        <v>237</v>
      </c>
      <c r="B245" t="s">
        <v>1303</v>
      </c>
      <c r="C245">
        <v>5</v>
      </c>
      <c r="D245" s="105">
        <v>45373.400556944442</v>
      </c>
      <c r="E245" t="s">
        <v>312</v>
      </c>
      <c r="F245" t="s">
        <v>309</v>
      </c>
      <c r="G245">
        <v>0</v>
      </c>
      <c r="H245" t="s">
        <v>1397</v>
      </c>
      <c r="I245">
        <v>0</v>
      </c>
      <c r="J245">
        <v>0</v>
      </c>
      <c r="K245">
        <v>0</v>
      </c>
      <c r="L245" t="s">
        <v>240</v>
      </c>
      <c r="M245" t="s">
        <v>1398</v>
      </c>
      <c r="N245">
        <v>0</v>
      </c>
      <c r="O245" t="s">
        <v>319</v>
      </c>
      <c r="P245" t="s">
        <v>310</v>
      </c>
      <c r="Q245" t="s">
        <v>310</v>
      </c>
      <c r="R245" t="s">
        <v>310</v>
      </c>
      <c r="S245">
        <v>9</v>
      </c>
      <c r="T245" t="s">
        <v>310</v>
      </c>
      <c r="U245">
        <v>9</v>
      </c>
      <c r="V245">
        <v>9</v>
      </c>
      <c r="W245">
        <v>0</v>
      </c>
      <c r="X245">
        <v>0</v>
      </c>
      <c r="Y245">
        <v>0</v>
      </c>
      <c r="Z245">
        <v>0</v>
      </c>
      <c r="AA245">
        <v>9</v>
      </c>
      <c r="AB245">
        <v>9</v>
      </c>
      <c r="AC245" t="s">
        <v>310</v>
      </c>
      <c r="AD245">
        <v>9</v>
      </c>
      <c r="AE245" t="s">
        <v>1392</v>
      </c>
      <c r="AF245">
        <v>0</v>
      </c>
      <c r="AG245" t="s">
        <v>310</v>
      </c>
      <c r="AH245">
        <f>SUM((MID(Dyno_Data[[#This Row],[Team]],4,5))+(Dyno_Data[[#This Row],[Match]]/100))</f>
        <v>7605.05</v>
      </c>
      <c r="AI245" s="76">
        <f>ROUND(SUM(IF(Dyno_Data[[#This Row],[AcqCenter]]&gt;0,Dyno_Data[[#This Row],[Time]]-SUMIFS(Dyno_Data[Time],Dyno_Data[Team],Dyno_Data[[#This Row],[Team]],Dyno_Data[RecordType],"StartMatch",Dyno_Data[Match],Dyno_Data[[#This Row],[Match]]),0)*86400),0)</f>
        <v>0</v>
      </c>
    </row>
    <row r="246" spans="1:35" x14ac:dyDescent="0.3">
      <c r="A246">
        <v>238</v>
      </c>
      <c r="B246" t="s">
        <v>1303</v>
      </c>
      <c r="C246">
        <v>5</v>
      </c>
      <c r="D246" s="105">
        <v>45373.400575775464</v>
      </c>
      <c r="E246" t="s">
        <v>312</v>
      </c>
      <c r="F246" t="s">
        <v>309</v>
      </c>
      <c r="G246">
        <v>0</v>
      </c>
      <c r="H246" t="s">
        <v>315</v>
      </c>
      <c r="I246">
        <v>0</v>
      </c>
      <c r="J246">
        <v>0</v>
      </c>
      <c r="K246">
        <v>0</v>
      </c>
      <c r="L246" t="s">
        <v>241</v>
      </c>
      <c r="M246" t="s">
        <v>1398</v>
      </c>
      <c r="N246">
        <v>0</v>
      </c>
      <c r="O246" t="s">
        <v>319</v>
      </c>
      <c r="P246" t="s">
        <v>310</v>
      </c>
      <c r="Q246" t="s">
        <v>310</v>
      </c>
      <c r="R246" t="s">
        <v>310</v>
      </c>
      <c r="S246">
        <v>9</v>
      </c>
      <c r="T246" t="s">
        <v>310</v>
      </c>
      <c r="U246">
        <v>9</v>
      </c>
      <c r="V246">
        <v>9</v>
      </c>
      <c r="W246">
        <v>0</v>
      </c>
      <c r="X246">
        <v>0</v>
      </c>
      <c r="Y246">
        <v>0</v>
      </c>
      <c r="Z246">
        <v>0</v>
      </c>
      <c r="AA246">
        <v>9</v>
      </c>
      <c r="AB246">
        <v>9</v>
      </c>
      <c r="AC246" t="s">
        <v>310</v>
      </c>
      <c r="AD246">
        <v>9</v>
      </c>
      <c r="AE246" t="s">
        <v>1392</v>
      </c>
      <c r="AF246">
        <v>10000000</v>
      </c>
      <c r="AG246" t="s">
        <v>310</v>
      </c>
      <c r="AH246">
        <f>SUM((MID(Dyno_Data[[#This Row],[Team]],4,5))+(Dyno_Data[[#This Row],[Match]]/100))</f>
        <v>7605.05</v>
      </c>
      <c r="AI246" s="76">
        <f>ROUND(SUM(IF(Dyno_Data[[#This Row],[AcqCenter]]&gt;0,Dyno_Data[[#This Row],[Time]]-SUMIFS(Dyno_Data[Time],Dyno_Data[Team],Dyno_Data[[#This Row],[Team]],Dyno_Data[RecordType],"StartMatch",Dyno_Data[Match],Dyno_Data[[#This Row],[Match]]),0)*86400),0)</f>
        <v>0</v>
      </c>
    </row>
    <row r="247" spans="1:35" x14ac:dyDescent="0.3">
      <c r="A247">
        <v>241</v>
      </c>
      <c r="B247" t="s">
        <v>1303</v>
      </c>
      <c r="C247">
        <v>5</v>
      </c>
      <c r="D247" s="105">
        <v>45373.400612118057</v>
      </c>
      <c r="E247" t="s">
        <v>312</v>
      </c>
      <c r="F247" t="s">
        <v>309</v>
      </c>
      <c r="G247">
        <v>0</v>
      </c>
      <c r="H247" t="s">
        <v>143</v>
      </c>
      <c r="I247">
        <v>5</v>
      </c>
      <c r="J247">
        <v>1</v>
      </c>
      <c r="K247">
        <v>0</v>
      </c>
      <c r="L247" t="s">
        <v>310</v>
      </c>
      <c r="M247" t="s">
        <v>310</v>
      </c>
      <c r="N247">
        <v>0</v>
      </c>
      <c r="O247" t="s">
        <v>319</v>
      </c>
      <c r="P247" t="s">
        <v>310</v>
      </c>
      <c r="Q247" t="s">
        <v>310</v>
      </c>
      <c r="R247" t="s">
        <v>310</v>
      </c>
      <c r="S247">
        <v>9</v>
      </c>
      <c r="T247" t="s">
        <v>310</v>
      </c>
      <c r="U247">
        <v>9</v>
      </c>
      <c r="V247">
        <v>9</v>
      </c>
      <c r="W247">
        <v>0</v>
      </c>
      <c r="X247">
        <v>0</v>
      </c>
      <c r="Y247">
        <v>0</v>
      </c>
      <c r="Z247">
        <v>0</v>
      </c>
      <c r="AA247">
        <v>9</v>
      </c>
      <c r="AB247">
        <v>9</v>
      </c>
      <c r="AC247" t="s">
        <v>310</v>
      </c>
      <c r="AD247">
        <v>9</v>
      </c>
      <c r="AE247" t="s">
        <v>1392</v>
      </c>
      <c r="AF247">
        <v>10000000</v>
      </c>
      <c r="AG247" t="s">
        <v>310</v>
      </c>
      <c r="AH247">
        <f>SUM((MID(Dyno_Data[[#This Row],[Team]],4,5))+(Dyno_Data[[#This Row],[Match]]/100))</f>
        <v>7605.05</v>
      </c>
      <c r="AI247" s="76">
        <f>ROUND(SUM(IF(Dyno_Data[[#This Row],[AcqCenter]]&gt;0,Dyno_Data[[#This Row],[Time]]-SUMIFS(Dyno_Data[Time],Dyno_Data[Team],Dyno_Data[[#This Row],[Team]],Dyno_Data[RecordType],"StartMatch",Dyno_Data[Match],Dyno_Data[[#This Row],[Match]]),0)*86400),0)</f>
        <v>8</v>
      </c>
    </row>
    <row r="248" spans="1:35" x14ac:dyDescent="0.3">
      <c r="A248">
        <v>240</v>
      </c>
      <c r="B248" t="s">
        <v>1300</v>
      </c>
      <c r="C248">
        <v>5</v>
      </c>
      <c r="D248" s="105">
        <v>45373.400613541664</v>
      </c>
      <c r="E248" t="s">
        <v>312</v>
      </c>
      <c r="F248" t="s">
        <v>309</v>
      </c>
      <c r="G248">
        <v>0</v>
      </c>
      <c r="H248" t="s">
        <v>315</v>
      </c>
      <c r="I248">
        <v>0</v>
      </c>
      <c r="J248">
        <v>0</v>
      </c>
      <c r="K248">
        <v>0</v>
      </c>
      <c r="L248" t="s">
        <v>241</v>
      </c>
      <c r="M248" t="s">
        <v>1398</v>
      </c>
      <c r="N248">
        <v>0</v>
      </c>
      <c r="O248" t="s">
        <v>1389</v>
      </c>
      <c r="P248" t="s">
        <v>310</v>
      </c>
      <c r="Q248" t="s">
        <v>310</v>
      </c>
      <c r="R248" t="s">
        <v>310</v>
      </c>
      <c r="S248">
        <v>9</v>
      </c>
      <c r="T248" t="s">
        <v>310</v>
      </c>
      <c r="U248">
        <v>9</v>
      </c>
      <c r="V248">
        <v>9</v>
      </c>
      <c r="W248">
        <v>0</v>
      </c>
      <c r="X248">
        <v>0</v>
      </c>
      <c r="Y248">
        <v>0</v>
      </c>
      <c r="Z248">
        <v>0</v>
      </c>
      <c r="AA248">
        <v>9</v>
      </c>
      <c r="AB248">
        <v>9</v>
      </c>
      <c r="AC248" t="s">
        <v>310</v>
      </c>
      <c r="AD248">
        <v>9</v>
      </c>
      <c r="AE248" t="s">
        <v>1394</v>
      </c>
      <c r="AF248">
        <v>10000000</v>
      </c>
      <c r="AG248" t="s">
        <v>310</v>
      </c>
      <c r="AH248">
        <f>SUM((MID(Dyno_Data[[#This Row],[Team]],4,5))+(Dyno_Data[[#This Row],[Match]]/100))</f>
        <v>3044.05</v>
      </c>
      <c r="AI248" s="76">
        <f>ROUND(SUM(IF(Dyno_Data[[#This Row],[AcqCenter]]&gt;0,Dyno_Data[[#This Row],[Time]]-SUMIFS(Dyno_Data[Time],Dyno_Data[Team],Dyno_Data[[#This Row],[Team]],Dyno_Data[RecordType],"StartMatch",Dyno_Data[Match],Dyno_Data[[#This Row],[Match]]),0)*86400),0)</f>
        <v>0</v>
      </c>
    </row>
    <row r="249" spans="1:35" x14ac:dyDescent="0.3">
      <c r="A249">
        <v>242</v>
      </c>
      <c r="B249" t="s">
        <v>362</v>
      </c>
      <c r="C249">
        <v>5</v>
      </c>
      <c r="D249" s="105">
        <v>45373.400622187502</v>
      </c>
      <c r="E249" t="s">
        <v>312</v>
      </c>
      <c r="F249" t="s">
        <v>309</v>
      </c>
      <c r="G249">
        <v>0</v>
      </c>
      <c r="H249" t="s">
        <v>143</v>
      </c>
      <c r="I249">
        <v>4</v>
      </c>
      <c r="J249">
        <v>-1</v>
      </c>
      <c r="K249">
        <v>0</v>
      </c>
      <c r="L249" t="s">
        <v>310</v>
      </c>
      <c r="M249" t="s">
        <v>310</v>
      </c>
      <c r="N249">
        <v>0</v>
      </c>
      <c r="O249" t="s">
        <v>1395</v>
      </c>
      <c r="P249" t="s">
        <v>310</v>
      </c>
      <c r="Q249" t="s">
        <v>310</v>
      </c>
      <c r="R249" t="s">
        <v>310</v>
      </c>
      <c r="S249">
        <v>9</v>
      </c>
      <c r="T249" t="s">
        <v>310</v>
      </c>
      <c r="U249">
        <v>9</v>
      </c>
      <c r="V249">
        <v>9</v>
      </c>
      <c r="W249">
        <v>0</v>
      </c>
      <c r="X249">
        <v>0</v>
      </c>
      <c r="Y249">
        <v>0</v>
      </c>
      <c r="Z249">
        <v>0</v>
      </c>
      <c r="AA249">
        <v>9</v>
      </c>
      <c r="AB249">
        <v>9</v>
      </c>
      <c r="AC249" t="s">
        <v>310</v>
      </c>
      <c r="AD249">
        <v>9</v>
      </c>
      <c r="AE249" t="s">
        <v>1396</v>
      </c>
      <c r="AF249">
        <v>2000</v>
      </c>
      <c r="AG249" t="s">
        <v>310</v>
      </c>
      <c r="AH249">
        <f>SUM((MID(Dyno_Data[[#This Row],[Team]],4,5))+(Dyno_Data[[#This Row],[Match]]/100))</f>
        <v>250.05</v>
      </c>
      <c r="AI249" s="76">
        <f>ROUND(SUM(IF(Dyno_Data[[#This Row],[AcqCenter]]&gt;0,Dyno_Data[[#This Row],[Time]]-SUMIFS(Dyno_Data[Time],Dyno_Data[Team],Dyno_Data[[#This Row],[Team]],Dyno_Data[RecordType],"StartMatch",Dyno_Data[Match],Dyno_Data[[#This Row],[Match]]),0)*86400),0)</f>
        <v>8</v>
      </c>
    </row>
    <row r="250" spans="1:35" x14ac:dyDescent="0.3">
      <c r="A250">
        <v>244</v>
      </c>
      <c r="B250" t="s">
        <v>362</v>
      </c>
      <c r="C250">
        <v>5</v>
      </c>
      <c r="D250" s="105">
        <v>45373.400646064816</v>
      </c>
      <c r="E250" t="s">
        <v>312</v>
      </c>
      <c r="F250" t="s">
        <v>309</v>
      </c>
      <c r="G250">
        <v>0</v>
      </c>
      <c r="H250" t="s">
        <v>143</v>
      </c>
      <c r="I250">
        <v>3</v>
      </c>
      <c r="J250">
        <v>-1</v>
      </c>
      <c r="K250">
        <v>0</v>
      </c>
      <c r="L250" t="s">
        <v>310</v>
      </c>
      <c r="M250" t="s">
        <v>310</v>
      </c>
      <c r="N250">
        <v>0</v>
      </c>
      <c r="O250" t="s">
        <v>1395</v>
      </c>
      <c r="P250" t="s">
        <v>310</v>
      </c>
      <c r="Q250" t="s">
        <v>310</v>
      </c>
      <c r="R250" t="s">
        <v>310</v>
      </c>
      <c r="S250">
        <v>9</v>
      </c>
      <c r="T250" t="s">
        <v>310</v>
      </c>
      <c r="U250">
        <v>9</v>
      </c>
      <c r="V250">
        <v>9</v>
      </c>
      <c r="W250">
        <v>0</v>
      </c>
      <c r="X250">
        <v>0</v>
      </c>
      <c r="Y250">
        <v>0</v>
      </c>
      <c r="Z250">
        <v>0</v>
      </c>
      <c r="AA250">
        <v>9</v>
      </c>
      <c r="AB250">
        <v>9</v>
      </c>
      <c r="AC250" t="s">
        <v>310</v>
      </c>
      <c r="AD250">
        <v>9</v>
      </c>
      <c r="AE250" t="s">
        <v>1396</v>
      </c>
      <c r="AF250">
        <v>3000</v>
      </c>
      <c r="AG250" t="s">
        <v>310</v>
      </c>
      <c r="AH250">
        <f>SUM((MID(Dyno_Data[[#This Row],[Team]],4,5))+(Dyno_Data[[#This Row],[Match]]/100))</f>
        <v>250.05</v>
      </c>
      <c r="AI250" s="76">
        <f>ROUND(SUM(IF(Dyno_Data[[#This Row],[AcqCenter]]&gt;0,Dyno_Data[[#This Row],[Time]]-SUMIFS(Dyno_Data[Time],Dyno_Data[Team],Dyno_Data[[#This Row],[Team]],Dyno_Data[RecordType],"StartMatch",Dyno_Data[Match],Dyno_Data[[#This Row],[Match]]),0)*86400),0)</f>
        <v>10</v>
      </c>
    </row>
    <row r="251" spans="1:35" x14ac:dyDescent="0.3">
      <c r="A251">
        <v>243</v>
      </c>
      <c r="B251" t="s">
        <v>1303</v>
      </c>
      <c r="C251">
        <v>5</v>
      </c>
      <c r="D251" s="105">
        <v>45373.400648923613</v>
      </c>
      <c r="E251" t="s">
        <v>312</v>
      </c>
      <c r="F251" t="s">
        <v>309</v>
      </c>
      <c r="G251">
        <v>0</v>
      </c>
      <c r="H251" t="s">
        <v>143</v>
      </c>
      <c r="I251">
        <v>0</v>
      </c>
      <c r="J251">
        <v>0</v>
      </c>
      <c r="K251">
        <v>0</v>
      </c>
      <c r="L251" t="s">
        <v>241</v>
      </c>
      <c r="M251" t="s">
        <v>1398</v>
      </c>
      <c r="N251">
        <v>0</v>
      </c>
      <c r="O251" t="s">
        <v>319</v>
      </c>
      <c r="P251" t="s">
        <v>310</v>
      </c>
      <c r="Q251" t="s">
        <v>310</v>
      </c>
      <c r="R251" t="s">
        <v>310</v>
      </c>
      <c r="S251">
        <v>9</v>
      </c>
      <c r="T251" t="s">
        <v>310</v>
      </c>
      <c r="U251">
        <v>9</v>
      </c>
      <c r="V251">
        <v>9</v>
      </c>
      <c r="W251">
        <v>0</v>
      </c>
      <c r="X251">
        <v>0</v>
      </c>
      <c r="Y251">
        <v>0</v>
      </c>
      <c r="Z251">
        <v>0</v>
      </c>
      <c r="AA251">
        <v>9</v>
      </c>
      <c r="AB251">
        <v>9</v>
      </c>
      <c r="AC251" t="s">
        <v>310</v>
      </c>
      <c r="AD251">
        <v>9</v>
      </c>
      <c r="AE251" t="s">
        <v>1392</v>
      </c>
      <c r="AF251">
        <v>10000000</v>
      </c>
      <c r="AG251" t="s">
        <v>310</v>
      </c>
      <c r="AH251">
        <f>SUM((MID(Dyno_Data[[#This Row],[Team]],4,5))+(Dyno_Data[[#This Row],[Match]]/100))</f>
        <v>7605.05</v>
      </c>
      <c r="AI251" s="76">
        <f>ROUND(SUM(IF(Dyno_Data[[#This Row],[AcqCenter]]&gt;0,Dyno_Data[[#This Row],[Time]]-SUMIFS(Dyno_Data[Time],Dyno_Data[Team],Dyno_Data[[#This Row],[Team]],Dyno_Data[RecordType],"StartMatch",Dyno_Data[Match],Dyno_Data[[#This Row],[Match]]),0)*86400),0)</f>
        <v>0</v>
      </c>
    </row>
    <row r="252" spans="1:35" x14ac:dyDescent="0.3">
      <c r="A252">
        <v>245</v>
      </c>
      <c r="B252" t="s">
        <v>1303</v>
      </c>
      <c r="C252">
        <v>5</v>
      </c>
      <c r="D252" s="105">
        <v>45373.400665543981</v>
      </c>
      <c r="E252" t="s">
        <v>312</v>
      </c>
      <c r="F252" t="s">
        <v>309</v>
      </c>
      <c r="G252">
        <v>0</v>
      </c>
      <c r="H252" t="s">
        <v>143</v>
      </c>
      <c r="I252">
        <v>4</v>
      </c>
      <c r="J252">
        <v>1</v>
      </c>
      <c r="K252">
        <v>0</v>
      </c>
      <c r="L252" t="s">
        <v>310</v>
      </c>
      <c r="M252" t="s">
        <v>310</v>
      </c>
      <c r="N252">
        <v>0</v>
      </c>
      <c r="O252" t="s">
        <v>319</v>
      </c>
      <c r="P252" t="s">
        <v>310</v>
      </c>
      <c r="Q252" t="s">
        <v>310</v>
      </c>
      <c r="R252" t="s">
        <v>310</v>
      </c>
      <c r="S252">
        <v>9</v>
      </c>
      <c r="T252" t="s">
        <v>310</v>
      </c>
      <c r="U252">
        <v>9</v>
      </c>
      <c r="V252">
        <v>9</v>
      </c>
      <c r="W252">
        <v>0</v>
      </c>
      <c r="X252">
        <v>0</v>
      </c>
      <c r="Y252">
        <v>0</v>
      </c>
      <c r="Z252">
        <v>0</v>
      </c>
      <c r="AA252">
        <v>9</v>
      </c>
      <c r="AB252">
        <v>9</v>
      </c>
      <c r="AC252" t="s">
        <v>310</v>
      </c>
      <c r="AD252">
        <v>9</v>
      </c>
      <c r="AE252" t="s">
        <v>1392</v>
      </c>
      <c r="AF252">
        <v>10000000</v>
      </c>
      <c r="AG252" t="s">
        <v>310</v>
      </c>
      <c r="AH252">
        <f>SUM((MID(Dyno_Data[[#This Row],[Team]],4,5))+(Dyno_Data[[#This Row],[Match]]/100))</f>
        <v>7605.05</v>
      </c>
      <c r="AI252" s="76">
        <f>ROUND(SUM(IF(Dyno_Data[[#This Row],[AcqCenter]]&gt;0,Dyno_Data[[#This Row],[Time]]-SUMIFS(Dyno_Data[Time],Dyno_Data[Team],Dyno_Data[[#This Row],[Team]],Dyno_Data[RecordType],"StartMatch",Dyno_Data[Match],Dyno_Data[[#This Row],[Match]]),0)*86400),0)</f>
        <v>12</v>
      </c>
    </row>
    <row r="253" spans="1:35" x14ac:dyDescent="0.3">
      <c r="A253">
        <v>247</v>
      </c>
      <c r="B253" t="s">
        <v>362</v>
      </c>
      <c r="C253">
        <v>5</v>
      </c>
      <c r="D253" s="105">
        <v>45373.400668437498</v>
      </c>
      <c r="E253" t="s">
        <v>312</v>
      </c>
      <c r="F253" t="s">
        <v>309</v>
      </c>
      <c r="G253">
        <v>0</v>
      </c>
      <c r="H253" t="s">
        <v>143</v>
      </c>
      <c r="I253">
        <v>2</v>
      </c>
      <c r="J253">
        <v>-1</v>
      </c>
      <c r="K253">
        <v>0</v>
      </c>
      <c r="L253" t="s">
        <v>310</v>
      </c>
      <c r="M253" t="s">
        <v>310</v>
      </c>
      <c r="N253">
        <v>0</v>
      </c>
      <c r="O253" t="s">
        <v>1395</v>
      </c>
      <c r="P253" t="s">
        <v>310</v>
      </c>
      <c r="Q253" t="s">
        <v>310</v>
      </c>
      <c r="R253" t="s">
        <v>310</v>
      </c>
      <c r="S253">
        <v>9</v>
      </c>
      <c r="T253" t="s">
        <v>310</v>
      </c>
      <c r="U253">
        <v>9</v>
      </c>
      <c r="V253">
        <v>9</v>
      </c>
      <c r="W253">
        <v>0</v>
      </c>
      <c r="X253">
        <v>0</v>
      </c>
      <c r="Y253">
        <v>0</v>
      </c>
      <c r="Z253">
        <v>0</v>
      </c>
      <c r="AA253">
        <v>9</v>
      </c>
      <c r="AB253">
        <v>9</v>
      </c>
      <c r="AC253" t="s">
        <v>310</v>
      </c>
      <c r="AD253">
        <v>9</v>
      </c>
      <c r="AE253" t="s">
        <v>1396</v>
      </c>
      <c r="AF253">
        <v>4000</v>
      </c>
      <c r="AG253" t="s">
        <v>310</v>
      </c>
      <c r="AH253">
        <f>SUM((MID(Dyno_Data[[#This Row],[Team]],4,5))+(Dyno_Data[[#This Row],[Match]]/100))</f>
        <v>250.05</v>
      </c>
      <c r="AI253" s="76">
        <f>ROUND(SUM(IF(Dyno_Data[[#This Row],[AcqCenter]]&gt;0,Dyno_Data[[#This Row],[Time]]-SUMIFS(Dyno_Data[Time],Dyno_Data[Team],Dyno_Data[[#This Row],[Team]],Dyno_Data[RecordType],"StartMatch",Dyno_Data[Match],Dyno_Data[[#This Row],[Match]]),0)*86400),0)</f>
        <v>11</v>
      </c>
    </row>
    <row r="254" spans="1:35" x14ac:dyDescent="0.3">
      <c r="A254">
        <v>246</v>
      </c>
      <c r="B254" t="s">
        <v>1300</v>
      </c>
      <c r="C254">
        <v>5</v>
      </c>
      <c r="D254" s="105">
        <v>45373.400676423611</v>
      </c>
      <c r="E254" t="s">
        <v>312</v>
      </c>
      <c r="F254" t="s">
        <v>309</v>
      </c>
      <c r="G254">
        <v>0</v>
      </c>
      <c r="H254" t="s">
        <v>315</v>
      </c>
      <c r="I254">
        <v>0</v>
      </c>
      <c r="J254">
        <v>0</v>
      </c>
      <c r="K254">
        <v>0</v>
      </c>
      <c r="L254" t="s">
        <v>241</v>
      </c>
      <c r="M254" t="s">
        <v>1398</v>
      </c>
      <c r="N254">
        <v>1</v>
      </c>
      <c r="O254" t="s">
        <v>1389</v>
      </c>
      <c r="P254" t="s">
        <v>310</v>
      </c>
      <c r="Q254" t="s">
        <v>310</v>
      </c>
      <c r="R254" t="s">
        <v>310</v>
      </c>
      <c r="S254">
        <v>9</v>
      </c>
      <c r="T254" t="s">
        <v>310</v>
      </c>
      <c r="U254">
        <v>9</v>
      </c>
      <c r="V254">
        <v>9</v>
      </c>
      <c r="W254">
        <v>0</v>
      </c>
      <c r="X254">
        <v>0</v>
      </c>
      <c r="Y254">
        <v>0</v>
      </c>
      <c r="Z254">
        <v>0</v>
      </c>
      <c r="AA254">
        <v>9</v>
      </c>
      <c r="AB254">
        <v>9</v>
      </c>
      <c r="AC254" t="s">
        <v>310</v>
      </c>
      <c r="AD254">
        <v>9</v>
      </c>
      <c r="AE254" t="s">
        <v>1394</v>
      </c>
      <c r="AF254">
        <v>20000000</v>
      </c>
      <c r="AG254" t="s">
        <v>310</v>
      </c>
      <c r="AH254">
        <f>SUM((MID(Dyno_Data[[#This Row],[Team]],4,5))+(Dyno_Data[[#This Row],[Match]]/100))</f>
        <v>3044.05</v>
      </c>
      <c r="AI254" s="76">
        <f>ROUND(SUM(IF(Dyno_Data[[#This Row],[AcqCenter]]&gt;0,Dyno_Data[[#This Row],[Time]]-SUMIFS(Dyno_Data[Time],Dyno_Data[Team],Dyno_Data[[#This Row],[Team]],Dyno_Data[RecordType],"StartMatch",Dyno_Data[Match],Dyno_Data[[#This Row],[Match]]),0)*86400),0)</f>
        <v>0</v>
      </c>
    </row>
    <row r="255" spans="1:35" x14ac:dyDescent="0.3">
      <c r="A255">
        <v>249</v>
      </c>
      <c r="B255" t="s">
        <v>362</v>
      </c>
      <c r="C255">
        <v>5</v>
      </c>
      <c r="D255" s="105">
        <v>45373.400695914352</v>
      </c>
      <c r="E255" t="s">
        <v>312</v>
      </c>
      <c r="F255" t="s">
        <v>309</v>
      </c>
      <c r="G255">
        <v>0</v>
      </c>
      <c r="H255" t="s">
        <v>143</v>
      </c>
      <c r="I255">
        <v>1</v>
      </c>
      <c r="J255">
        <v>-1</v>
      </c>
      <c r="K255">
        <v>0</v>
      </c>
      <c r="L255" t="s">
        <v>310</v>
      </c>
      <c r="M255" t="s">
        <v>310</v>
      </c>
      <c r="N255">
        <v>0</v>
      </c>
      <c r="O255" t="s">
        <v>1395</v>
      </c>
      <c r="P255" t="s">
        <v>310</v>
      </c>
      <c r="Q255" t="s">
        <v>310</v>
      </c>
      <c r="R255" t="s">
        <v>310</v>
      </c>
      <c r="S255">
        <v>9</v>
      </c>
      <c r="T255" t="s">
        <v>310</v>
      </c>
      <c r="U255">
        <v>9</v>
      </c>
      <c r="V255">
        <v>9</v>
      </c>
      <c r="W255">
        <v>0</v>
      </c>
      <c r="X255">
        <v>0</v>
      </c>
      <c r="Y255">
        <v>0</v>
      </c>
      <c r="Z255">
        <v>0</v>
      </c>
      <c r="AA255">
        <v>9</v>
      </c>
      <c r="AB255">
        <v>9</v>
      </c>
      <c r="AC255" t="s">
        <v>310</v>
      </c>
      <c r="AD255">
        <v>9</v>
      </c>
      <c r="AE255" t="s">
        <v>1396</v>
      </c>
      <c r="AF255">
        <v>5000</v>
      </c>
      <c r="AG255" t="s">
        <v>310</v>
      </c>
      <c r="AH255">
        <f>SUM((MID(Dyno_Data[[#This Row],[Team]],4,5))+(Dyno_Data[[#This Row],[Match]]/100))</f>
        <v>250.05</v>
      </c>
      <c r="AI255" s="76">
        <f>ROUND(SUM(IF(Dyno_Data[[#This Row],[AcqCenter]]&gt;0,Dyno_Data[[#This Row],[Time]]-SUMIFS(Dyno_Data[Time],Dyno_Data[Team],Dyno_Data[[#This Row],[Team]],Dyno_Data[RecordType],"StartMatch",Dyno_Data[Match],Dyno_Data[[#This Row],[Match]]),0)*86400),0)</f>
        <v>14</v>
      </c>
    </row>
    <row r="256" spans="1:35" x14ac:dyDescent="0.3">
      <c r="A256">
        <v>248</v>
      </c>
      <c r="B256" t="s">
        <v>1303</v>
      </c>
      <c r="C256">
        <v>5</v>
      </c>
      <c r="D256" s="105">
        <v>45373.40070165509</v>
      </c>
      <c r="E256" t="s">
        <v>312</v>
      </c>
      <c r="F256" t="s">
        <v>309</v>
      </c>
      <c r="G256">
        <v>0</v>
      </c>
      <c r="H256" t="s">
        <v>143</v>
      </c>
      <c r="I256">
        <v>0</v>
      </c>
      <c r="J256">
        <v>0</v>
      </c>
      <c r="K256">
        <v>0</v>
      </c>
      <c r="L256" t="s">
        <v>241</v>
      </c>
      <c r="M256" t="s">
        <v>1398</v>
      </c>
      <c r="N256">
        <v>0</v>
      </c>
      <c r="O256" t="s">
        <v>319</v>
      </c>
      <c r="P256" t="s">
        <v>310</v>
      </c>
      <c r="Q256" t="s">
        <v>310</v>
      </c>
      <c r="R256" t="s">
        <v>310</v>
      </c>
      <c r="S256">
        <v>9</v>
      </c>
      <c r="T256" t="s">
        <v>310</v>
      </c>
      <c r="U256">
        <v>9</v>
      </c>
      <c r="V256">
        <v>9</v>
      </c>
      <c r="W256">
        <v>0</v>
      </c>
      <c r="X256">
        <v>0</v>
      </c>
      <c r="Y256">
        <v>0</v>
      </c>
      <c r="Z256">
        <v>0</v>
      </c>
      <c r="AA256">
        <v>9</v>
      </c>
      <c r="AB256">
        <v>9</v>
      </c>
      <c r="AC256" t="s">
        <v>310</v>
      </c>
      <c r="AD256">
        <v>9</v>
      </c>
      <c r="AE256" t="s">
        <v>1392</v>
      </c>
      <c r="AF256">
        <v>10000000</v>
      </c>
      <c r="AG256" t="s">
        <v>310</v>
      </c>
      <c r="AH256">
        <f>SUM((MID(Dyno_Data[[#This Row],[Team]],4,5))+(Dyno_Data[[#This Row],[Match]]/100))</f>
        <v>7605.05</v>
      </c>
      <c r="AI256" s="76">
        <f>ROUND(SUM(IF(Dyno_Data[[#This Row],[AcqCenter]]&gt;0,Dyno_Data[[#This Row],[Time]]-SUMIFS(Dyno_Data[Time],Dyno_Data[Team],Dyno_Data[[#This Row],[Team]],Dyno_Data[RecordType],"StartMatch",Dyno_Data[Match],Dyno_Data[[#This Row],[Match]]),0)*86400),0)</f>
        <v>0</v>
      </c>
    </row>
    <row r="257" spans="1:35" x14ac:dyDescent="0.3">
      <c r="A257">
        <v>251</v>
      </c>
      <c r="B257" t="s">
        <v>1303</v>
      </c>
      <c r="C257">
        <v>5</v>
      </c>
      <c r="D257" s="105">
        <v>45373.400730011577</v>
      </c>
      <c r="E257" t="s">
        <v>314</v>
      </c>
      <c r="F257" t="s">
        <v>309</v>
      </c>
      <c r="G257">
        <v>1</v>
      </c>
      <c r="H257" t="s">
        <v>310</v>
      </c>
      <c r="I257">
        <v>0</v>
      </c>
      <c r="J257">
        <v>0</v>
      </c>
      <c r="K257">
        <v>0</v>
      </c>
      <c r="L257" t="s">
        <v>310</v>
      </c>
      <c r="M257" t="s">
        <v>310</v>
      </c>
      <c r="N257">
        <v>0</v>
      </c>
      <c r="O257" t="s">
        <v>319</v>
      </c>
      <c r="P257" t="s">
        <v>240</v>
      </c>
      <c r="Q257" t="s">
        <v>1400</v>
      </c>
      <c r="R257" t="s">
        <v>310</v>
      </c>
      <c r="S257">
        <v>9</v>
      </c>
      <c r="T257" t="s">
        <v>310</v>
      </c>
      <c r="U257">
        <v>9</v>
      </c>
      <c r="V257">
        <v>9</v>
      </c>
      <c r="W257">
        <v>0</v>
      </c>
      <c r="X257">
        <v>0</v>
      </c>
      <c r="Y257">
        <v>0</v>
      </c>
      <c r="Z257">
        <v>0</v>
      </c>
      <c r="AA257">
        <v>9</v>
      </c>
      <c r="AB257">
        <v>9</v>
      </c>
      <c r="AC257" t="s">
        <v>310</v>
      </c>
      <c r="AD257">
        <v>9</v>
      </c>
      <c r="AE257" t="s">
        <v>1392</v>
      </c>
      <c r="AF257">
        <v>10000000</v>
      </c>
      <c r="AG257" t="s">
        <v>310</v>
      </c>
      <c r="AH257">
        <f>SUM((MID(Dyno_Data[[#This Row],[Team]],4,5))+(Dyno_Data[[#This Row],[Match]]/100))</f>
        <v>7605.05</v>
      </c>
      <c r="AI257" s="76">
        <f>ROUND(SUM(IF(Dyno_Data[[#This Row],[AcqCenter]]&gt;0,Dyno_Data[[#This Row],[Time]]-SUMIFS(Dyno_Data[Time],Dyno_Data[Team],Dyno_Data[[#This Row],[Team]],Dyno_Data[RecordType],"StartMatch",Dyno_Data[Match],Dyno_Data[[#This Row],[Match]]),0)*86400),0)</f>
        <v>0</v>
      </c>
    </row>
    <row r="258" spans="1:35" x14ac:dyDescent="0.3">
      <c r="A258">
        <v>253</v>
      </c>
      <c r="B258" t="s">
        <v>1302</v>
      </c>
      <c r="C258">
        <v>5</v>
      </c>
      <c r="D258" s="105">
        <v>45373.400731400463</v>
      </c>
      <c r="E258" t="s">
        <v>314</v>
      </c>
      <c r="F258" t="s">
        <v>309</v>
      </c>
      <c r="G258">
        <v>1</v>
      </c>
      <c r="H258" t="s">
        <v>310</v>
      </c>
      <c r="I258">
        <v>0</v>
      </c>
      <c r="J258">
        <v>0</v>
      </c>
      <c r="K258">
        <v>0</v>
      </c>
      <c r="L258" t="s">
        <v>310</v>
      </c>
      <c r="M258" t="s">
        <v>310</v>
      </c>
      <c r="N258">
        <v>0</v>
      </c>
      <c r="O258" t="s">
        <v>1391</v>
      </c>
      <c r="P258" t="s">
        <v>320</v>
      </c>
      <c r="Q258" t="s">
        <v>1400</v>
      </c>
      <c r="R258" t="s">
        <v>310</v>
      </c>
      <c r="S258">
        <v>9</v>
      </c>
      <c r="T258" t="s">
        <v>310</v>
      </c>
      <c r="U258">
        <v>9</v>
      </c>
      <c r="V258">
        <v>9</v>
      </c>
      <c r="W258">
        <v>0</v>
      </c>
      <c r="X258">
        <v>0</v>
      </c>
      <c r="Y258">
        <v>0</v>
      </c>
      <c r="Z258">
        <v>0</v>
      </c>
      <c r="AA258">
        <v>9</v>
      </c>
      <c r="AB258">
        <v>9</v>
      </c>
      <c r="AC258" t="s">
        <v>310</v>
      </c>
      <c r="AD258">
        <v>9</v>
      </c>
      <c r="AE258" t="s">
        <v>1388</v>
      </c>
      <c r="AF258">
        <v>0</v>
      </c>
      <c r="AG258" t="s">
        <v>310</v>
      </c>
      <c r="AH258">
        <f>SUM((MID(Dyno_Data[[#This Row],[Team]],4,5))+(Dyno_Data[[#This Row],[Match]]/100))</f>
        <v>2095.0500000000002</v>
      </c>
      <c r="AI258" s="76">
        <f>ROUND(SUM(IF(Dyno_Data[[#This Row],[AcqCenter]]&gt;0,Dyno_Data[[#This Row],[Time]]-SUMIFS(Dyno_Data[Time],Dyno_Data[Team],Dyno_Data[[#This Row],[Team]],Dyno_Data[RecordType],"StartMatch",Dyno_Data[Match],Dyno_Data[[#This Row],[Match]]),0)*86400),0)</f>
        <v>0</v>
      </c>
    </row>
    <row r="259" spans="1:35" x14ac:dyDescent="0.3">
      <c r="A259">
        <v>255</v>
      </c>
      <c r="B259" t="s">
        <v>1301</v>
      </c>
      <c r="C259">
        <v>5</v>
      </c>
      <c r="D259" s="105">
        <v>45373.400735682873</v>
      </c>
      <c r="E259" t="s">
        <v>314</v>
      </c>
      <c r="F259" t="s">
        <v>309</v>
      </c>
      <c r="G259">
        <v>0</v>
      </c>
      <c r="H259" t="s">
        <v>310</v>
      </c>
      <c r="I259">
        <v>0</v>
      </c>
      <c r="J259">
        <v>0</v>
      </c>
      <c r="K259">
        <v>0</v>
      </c>
      <c r="L259" t="s">
        <v>310</v>
      </c>
      <c r="M259" t="s">
        <v>310</v>
      </c>
      <c r="N259">
        <v>0</v>
      </c>
      <c r="O259" t="s">
        <v>311</v>
      </c>
      <c r="P259" t="s">
        <v>1401</v>
      </c>
      <c r="Q259" t="s">
        <v>1399</v>
      </c>
      <c r="R259" t="s">
        <v>310</v>
      </c>
      <c r="S259">
        <v>9</v>
      </c>
      <c r="T259" t="s">
        <v>310</v>
      </c>
      <c r="U259">
        <v>9</v>
      </c>
      <c r="V259">
        <v>9</v>
      </c>
      <c r="W259">
        <v>0</v>
      </c>
      <c r="X259">
        <v>0</v>
      </c>
      <c r="Y259">
        <v>0</v>
      </c>
      <c r="Z259">
        <v>0</v>
      </c>
      <c r="AA259">
        <v>9</v>
      </c>
      <c r="AB259">
        <v>9</v>
      </c>
      <c r="AC259" t="s">
        <v>310</v>
      </c>
      <c r="AD259">
        <v>9</v>
      </c>
      <c r="AE259" t="s">
        <v>1387</v>
      </c>
      <c r="AF259">
        <v>0</v>
      </c>
      <c r="AG259" t="s">
        <v>310</v>
      </c>
      <c r="AH259">
        <f>SUM((MID(Dyno_Data[[#This Row],[Team]],4,5))+(Dyno_Data[[#This Row],[Match]]/100))</f>
        <v>7031.05</v>
      </c>
      <c r="AI259" s="76">
        <f>ROUND(SUM(IF(Dyno_Data[[#This Row],[AcqCenter]]&gt;0,Dyno_Data[[#This Row],[Time]]-SUMIFS(Dyno_Data[Time],Dyno_Data[Team],Dyno_Data[[#This Row],[Team]],Dyno_Data[RecordType],"StartMatch",Dyno_Data[Match],Dyno_Data[[#This Row],[Match]]),0)*86400),0)</f>
        <v>0</v>
      </c>
    </row>
    <row r="260" spans="1:35" x14ac:dyDescent="0.3">
      <c r="A260">
        <v>257</v>
      </c>
      <c r="B260" t="s">
        <v>371</v>
      </c>
      <c r="C260">
        <v>5</v>
      </c>
      <c r="D260" s="105">
        <v>45373.400740856479</v>
      </c>
      <c r="E260" t="s">
        <v>314</v>
      </c>
      <c r="F260" t="s">
        <v>309</v>
      </c>
      <c r="G260">
        <v>0</v>
      </c>
      <c r="H260" t="s">
        <v>310</v>
      </c>
      <c r="I260">
        <v>0</v>
      </c>
      <c r="J260">
        <v>0</v>
      </c>
      <c r="K260">
        <v>0</v>
      </c>
      <c r="L260" t="s">
        <v>310</v>
      </c>
      <c r="M260" t="s">
        <v>310</v>
      </c>
      <c r="N260">
        <v>0</v>
      </c>
      <c r="O260" t="s">
        <v>1393</v>
      </c>
      <c r="P260" t="s">
        <v>320</v>
      </c>
      <c r="Q260" t="s">
        <v>1400</v>
      </c>
      <c r="R260" t="s">
        <v>310</v>
      </c>
      <c r="S260">
        <v>9</v>
      </c>
      <c r="T260" t="s">
        <v>310</v>
      </c>
      <c r="U260">
        <v>9</v>
      </c>
      <c r="V260">
        <v>9</v>
      </c>
      <c r="W260">
        <v>0</v>
      </c>
      <c r="X260">
        <v>0</v>
      </c>
      <c r="Y260">
        <v>0</v>
      </c>
      <c r="Z260">
        <v>0</v>
      </c>
      <c r="AA260">
        <v>9</v>
      </c>
      <c r="AB260">
        <v>9</v>
      </c>
      <c r="AC260" t="s">
        <v>310</v>
      </c>
      <c r="AD260">
        <v>9</v>
      </c>
      <c r="AE260" t="s">
        <v>1390</v>
      </c>
      <c r="AF260">
        <v>0</v>
      </c>
      <c r="AG260" t="s">
        <v>310</v>
      </c>
      <c r="AH260">
        <f>SUM((MID(Dyno_Data[[#This Row],[Team]],4,5))+(Dyno_Data[[#This Row],[Match]]/100))</f>
        <v>6969.05</v>
      </c>
      <c r="AI260" s="76">
        <f>ROUND(SUM(IF(Dyno_Data[[#This Row],[AcqCenter]]&gt;0,Dyno_Data[[#This Row],[Time]]-SUMIFS(Dyno_Data[Time],Dyno_Data[Team],Dyno_Data[[#This Row],[Team]],Dyno_Data[RecordType],"StartMatch",Dyno_Data[Match],Dyno_Data[[#This Row],[Match]]),0)*86400),0)</f>
        <v>0</v>
      </c>
    </row>
    <row r="261" spans="1:35" x14ac:dyDescent="0.3">
      <c r="A261">
        <v>259</v>
      </c>
      <c r="B261" t="s">
        <v>362</v>
      </c>
      <c r="C261">
        <v>5</v>
      </c>
      <c r="D261" s="105">
        <v>45373.400743668979</v>
      </c>
      <c r="E261" t="s">
        <v>314</v>
      </c>
      <c r="F261" t="s">
        <v>309</v>
      </c>
      <c r="G261">
        <v>1</v>
      </c>
      <c r="H261" t="s">
        <v>310</v>
      </c>
      <c r="I261">
        <v>0</v>
      </c>
      <c r="J261">
        <v>0</v>
      </c>
      <c r="K261">
        <v>0</v>
      </c>
      <c r="L261" t="s">
        <v>310</v>
      </c>
      <c r="M261" t="s">
        <v>310</v>
      </c>
      <c r="N261">
        <v>0</v>
      </c>
      <c r="O261" t="s">
        <v>1395</v>
      </c>
      <c r="P261" t="s">
        <v>101</v>
      </c>
      <c r="Q261" t="s">
        <v>1399</v>
      </c>
      <c r="R261" t="s">
        <v>310</v>
      </c>
      <c r="S261">
        <v>9</v>
      </c>
      <c r="T261" t="s">
        <v>310</v>
      </c>
      <c r="U261">
        <v>9</v>
      </c>
      <c r="V261">
        <v>9</v>
      </c>
      <c r="W261">
        <v>0</v>
      </c>
      <c r="X261">
        <v>0</v>
      </c>
      <c r="Y261">
        <v>0</v>
      </c>
      <c r="Z261">
        <v>0</v>
      </c>
      <c r="AA261">
        <v>9</v>
      </c>
      <c r="AB261">
        <v>9</v>
      </c>
      <c r="AC261" t="s">
        <v>310</v>
      </c>
      <c r="AD261">
        <v>9</v>
      </c>
      <c r="AE261" t="s">
        <v>1396</v>
      </c>
      <c r="AF261">
        <v>5000</v>
      </c>
      <c r="AG261" t="s">
        <v>310</v>
      </c>
      <c r="AH261">
        <f>SUM((MID(Dyno_Data[[#This Row],[Team]],4,5))+(Dyno_Data[[#This Row],[Match]]/100))</f>
        <v>250.05</v>
      </c>
      <c r="AI261" s="76">
        <f>ROUND(SUM(IF(Dyno_Data[[#This Row],[AcqCenter]]&gt;0,Dyno_Data[[#This Row],[Time]]-SUMIFS(Dyno_Data[Time],Dyno_Data[Team],Dyno_Data[[#This Row],[Team]],Dyno_Data[RecordType],"StartMatch",Dyno_Data[Match],Dyno_Data[[#This Row],[Match]]),0)*86400),0)</f>
        <v>0</v>
      </c>
    </row>
    <row r="262" spans="1:35" x14ac:dyDescent="0.3">
      <c r="A262">
        <v>261</v>
      </c>
      <c r="B262" t="s">
        <v>1300</v>
      </c>
      <c r="C262">
        <v>5</v>
      </c>
      <c r="D262" s="105">
        <v>45373.400751041663</v>
      </c>
      <c r="E262" t="s">
        <v>314</v>
      </c>
      <c r="F262" t="s">
        <v>309</v>
      </c>
      <c r="G262">
        <v>1</v>
      </c>
      <c r="H262" t="s">
        <v>310</v>
      </c>
      <c r="I262">
        <v>0</v>
      </c>
      <c r="J262">
        <v>0</v>
      </c>
      <c r="K262">
        <v>0</v>
      </c>
      <c r="L262" t="s">
        <v>310</v>
      </c>
      <c r="M262" t="s">
        <v>310</v>
      </c>
      <c r="N262">
        <v>0</v>
      </c>
      <c r="O262" t="s">
        <v>1389</v>
      </c>
      <c r="P262" t="s">
        <v>1401</v>
      </c>
      <c r="Q262" t="s">
        <v>1400</v>
      </c>
      <c r="R262" t="s">
        <v>310</v>
      </c>
      <c r="S262">
        <v>9</v>
      </c>
      <c r="T262" t="s">
        <v>310</v>
      </c>
      <c r="U262">
        <v>9</v>
      </c>
      <c r="V262">
        <v>9</v>
      </c>
      <c r="W262">
        <v>0</v>
      </c>
      <c r="X262">
        <v>0</v>
      </c>
      <c r="Y262">
        <v>0</v>
      </c>
      <c r="Z262">
        <v>0</v>
      </c>
      <c r="AA262">
        <v>9</v>
      </c>
      <c r="AB262">
        <v>9</v>
      </c>
      <c r="AC262" t="s">
        <v>310</v>
      </c>
      <c r="AD262">
        <v>9</v>
      </c>
      <c r="AE262" t="s">
        <v>1394</v>
      </c>
      <c r="AF262">
        <v>20000000</v>
      </c>
      <c r="AG262" t="s">
        <v>310</v>
      </c>
      <c r="AH262">
        <f>SUM((MID(Dyno_Data[[#This Row],[Team]],4,5))+(Dyno_Data[[#This Row],[Match]]/100))</f>
        <v>3044.05</v>
      </c>
      <c r="AI262" s="76">
        <f>ROUND(SUM(IF(Dyno_Data[[#This Row],[AcqCenter]]&gt;0,Dyno_Data[[#This Row],[Time]]-SUMIFS(Dyno_Data[Time],Dyno_Data[Team],Dyno_Data[[#This Row],[Team]],Dyno_Data[RecordType],"StartMatch",Dyno_Data[Match],Dyno_Data[[#This Row],[Match]]),0)*86400),0)</f>
        <v>0</v>
      </c>
    </row>
    <row r="263" spans="1:35" x14ac:dyDescent="0.3">
      <c r="A263">
        <v>262</v>
      </c>
      <c r="B263" t="s">
        <v>1300</v>
      </c>
      <c r="C263">
        <v>5</v>
      </c>
      <c r="D263" s="105">
        <v>45373.400784224534</v>
      </c>
      <c r="E263" t="s">
        <v>312</v>
      </c>
      <c r="F263" t="s">
        <v>1402</v>
      </c>
      <c r="G263">
        <v>0</v>
      </c>
      <c r="H263" t="s">
        <v>315</v>
      </c>
      <c r="I263">
        <v>0</v>
      </c>
      <c r="J263">
        <v>0</v>
      </c>
      <c r="K263">
        <v>0</v>
      </c>
      <c r="L263" t="s">
        <v>241</v>
      </c>
      <c r="M263" t="s">
        <v>1398</v>
      </c>
      <c r="N263">
        <v>1</v>
      </c>
      <c r="O263" t="s">
        <v>1389</v>
      </c>
      <c r="P263" t="s">
        <v>310</v>
      </c>
      <c r="Q263" t="s">
        <v>310</v>
      </c>
      <c r="R263" t="s">
        <v>310</v>
      </c>
      <c r="S263">
        <v>9</v>
      </c>
      <c r="T263" t="s">
        <v>310</v>
      </c>
      <c r="U263">
        <v>9</v>
      </c>
      <c r="V263">
        <v>9</v>
      </c>
      <c r="W263">
        <v>0</v>
      </c>
      <c r="X263">
        <v>0</v>
      </c>
      <c r="Y263">
        <v>0</v>
      </c>
      <c r="Z263">
        <v>0</v>
      </c>
      <c r="AA263">
        <v>9</v>
      </c>
      <c r="AB263">
        <v>9</v>
      </c>
      <c r="AC263" t="s">
        <v>310</v>
      </c>
      <c r="AD263">
        <v>9</v>
      </c>
      <c r="AE263" t="s">
        <v>1394</v>
      </c>
      <c r="AF263">
        <v>30000000</v>
      </c>
      <c r="AG263" t="s">
        <v>310</v>
      </c>
      <c r="AH263">
        <f>SUM((MID(Dyno_Data[[#This Row],[Team]],4,5))+(Dyno_Data[[#This Row],[Match]]/100))</f>
        <v>3044.05</v>
      </c>
      <c r="AI263" s="76">
        <f>ROUND(SUM(IF(Dyno_Data[[#This Row],[AcqCenter]]&gt;0,Dyno_Data[[#This Row],[Time]]-SUMIFS(Dyno_Data[Time],Dyno_Data[Team],Dyno_Data[[#This Row],[Team]],Dyno_Data[RecordType],"StartMatch",Dyno_Data[Match],Dyno_Data[[#This Row],[Match]]),0)*86400),0)</f>
        <v>0</v>
      </c>
    </row>
    <row r="264" spans="1:35" x14ac:dyDescent="0.3">
      <c r="A264">
        <v>263</v>
      </c>
      <c r="B264" t="s">
        <v>1303</v>
      </c>
      <c r="C264">
        <v>5</v>
      </c>
      <c r="D264" s="105">
        <v>45373.400785682868</v>
      </c>
      <c r="E264" t="s">
        <v>312</v>
      </c>
      <c r="F264" t="s">
        <v>1402</v>
      </c>
      <c r="G264">
        <v>0</v>
      </c>
      <c r="H264" t="s">
        <v>315</v>
      </c>
      <c r="I264">
        <v>0</v>
      </c>
      <c r="J264">
        <v>0</v>
      </c>
      <c r="K264">
        <v>0</v>
      </c>
      <c r="L264" t="s">
        <v>241</v>
      </c>
      <c r="M264" t="s">
        <v>1398</v>
      </c>
      <c r="N264">
        <v>0</v>
      </c>
      <c r="O264" t="s">
        <v>319</v>
      </c>
      <c r="P264" t="s">
        <v>310</v>
      </c>
      <c r="Q264" t="s">
        <v>310</v>
      </c>
      <c r="R264" t="s">
        <v>310</v>
      </c>
      <c r="S264">
        <v>9</v>
      </c>
      <c r="T264" t="s">
        <v>310</v>
      </c>
      <c r="U264">
        <v>9</v>
      </c>
      <c r="V264">
        <v>9</v>
      </c>
      <c r="W264">
        <v>0</v>
      </c>
      <c r="X264">
        <v>0</v>
      </c>
      <c r="Y264">
        <v>0</v>
      </c>
      <c r="Z264">
        <v>0</v>
      </c>
      <c r="AA264">
        <v>9</v>
      </c>
      <c r="AB264">
        <v>9</v>
      </c>
      <c r="AC264" t="s">
        <v>310</v>
      </c>
      <c r="AD264">
        <v>9</v>
      </c>
      <c r="AE264" t="s">
        <v>1392</v>
      </c>
      <c r="AF264">
        <v>20000000</v>
      </c>
      <c r="AG264" t="s">
        <v>310</v>
      </c>
      <c r="AH264">
        <f>SUM((MID(Dyno_Data[[#This Row],[Team]],4,5))+(Dyno_Data[[#This Row],[Match]]/100))</f>
        <v>7605.05</v>
      </c>
      <c r="AI264" s="76">
        <f>ROUND(SUM(IF(Dyno_Data[[#This Row],[AcqCenter]]&gt;0,Dyno_Data[[#This Row],[Time]]-SUMIFS(Dyno_Data[Time],Dyno_Data[Team],Dyno_Data[[#This Row],[Team]],Dyno_Data[RecordType],"StartMatch",Dyno_Data[Match],Dyno_Data[[#This Row],[Match]]),0)*86400),0)</f>
        <v>0</v>
      </c>
    </row>
    <row r="265" spans="1:35" x14ac:dyDescent="0.3">
      <c r="A265">
        <v>264</v>
      </c>
      <c r="B265" t="s">
        <v>1300</v>
      </c>
      <c r="C265">
        <v>5</v>
      </c>
      <c r="D265" s="105">
        <v>45373.400848067133</v>
      </c>
      <c r="E265" t="s">
        <v>312</v>
      </c>
      <c r="F265" t="s">
        <v>1402</v>
      </c>
      <c r="G265">
        <v>0</v>
      </c>
      <c r="H265" t="s">
        <v>315</v>
      </c>
      <c r="I265">
        <v>0</v>
      </c>
      <c r="J265">
        <v>0</v>
      </c>
      <c r="K265">
        <v>0</v>
      </c>
      <c r="L265" t="s">
        <v>241</v>
      </c>
      <c r="M265" t="s">
        <v>1398</v>
      </c>
      <c r="N265">
        <v>0</v>
      </c>
      <c r="O265" t="s">
        <v>1389</v>
      </c>
      <c r="P265" t="s">
        <v>310</v>
      </c>
      <c r="Q265" t="s">
        <v>310</v>
      </c>
      <c r="R265" t="s">
        <v>310</v>
      </c>
      <c r="S265">
        <v>9</v>
      </c>
      <c r="T265" t="s">
        <v>310</v>
      </c>
      <c r="U265">
        <v>9</v>
      </c>
      <c r="V265">
        <v>9</v>
      </c>
      <c r="W265">
        <v>0</v>
      </c>
      <c r="X265">
        <v>0</v>
      </c>
      <c r="Y265">
        <v>0</v>
      </c>
      <c r="Z265">
        <v>0</v>
      </c>
      <c r="AA265">
        <v>9</v>
      </c>
      <c r="AB265">
        <v>9</v>
      </c>
      <c r="AC265" t="s">
        <v>310</v>
      </c>
      <c r="AD265">
        <v>9</v>
      </c>
      <c r="AE265" t="s">
        <v>1394</v>
      </c>
      <c r="AF265">
        <v>40000000</v>
      </c>
      <c r="AG265" t="s">
        <v>310</v>
      </c>
      <c r="AH265">
        <f>SUM((MID(Dyno_Data[[#This Row],[Team]],4,5))+(Dyno_Data[[#This Row],[Match]]/100))</f>
        <v>3044.05</v>
      </c>
      <c r="AI265" s="76">
        <f>ROUND(SUM(IF(Dyno_Data[[#This Row],[AcqCenter]]&gt;0,Dyno_Data[[#This Row],[Time]]-SUMIFS(Dyno_Data[Time],Dyno_Data[Team],Dyno_Data[[#This Row],[Team]],Dyno_Data[RecordType],"StartMatch",Dyno_Data[Match],Dyno_Data[[#This Row],[Match]]),0)*86400),0)</f>
        <v>0</v>
      </c>
    </row>
    <row r="266" spans="1:35" x14ac:dyDescent="0.3">
      <c r="A266">
        <v>265</v>
      </c>
      <c r="B266" t="s">
        <v>1302</v>
      </c>
      <c r="C266">
        <v>5</v>
      </c>
      <c r="D266" s="105">
        <v>45373.400851655089</v>
      </c>
      <c r="E266" t="s">
        <v>312</v>
      </c>
      <c r="F266" t="s">
        <v>1402</v>
      </c>
      <c r="G266">
        <v>0</v>
      </c>
      <c r="H266" t="s">
        <v>1397</v>
      </c>
      <c r="I266">
        <v>0</v>
      </c>
      <c r="J266">
        <v>0</v>
      </c>
      <c r="K266">
        <v>0</v>
      </c>
      <c r="L266" t="s">
        <v>240</v>
      </c>
      <c r="M266" t="s">
        <v>1398</v>
      </c>
      <c r="N266">
        <v>0</v>
      </c>
      <c r="O266" t="s">
        <v>1391</v>
      </c>
      <c r="P266" t="s">
        <v>310</v>
      </c>
      <c r="Q266" t="s">
        <v>310</v>
      </c>
      <c r="R266" t="s">
        <v>310</v>
      </c>
      <c r="S266">
        <v>9</v>
      </c>
      <c r="T266" t="s">
        <v>310</v>
      </c>
      <c r="U266">
        <v>9</v>
      </c>
      <c r="V266">
        <v>9</v>
      </c>
      <c r="W266">
        <v>0</v>
      </c>
      <c r="X266">
        <v>0</v>
      </c>
      <c r="Y266">
        <v>0</v>
      </c>
      <c r="Z266">
        <v>0</v>
      </c>
      <c r="AA266">
        <v>9</v>
      </c>
      <c r="AB266">
        <v>9</v>
      </c>
      <c r="AC266" t="s">
        <v>310</v>
      </c>
      <c r="AD266">
        <v>9</v>
      </c>
      <c r="AE266" t="s">
        <v>1388</v>
      </c>
      <c r="AF266">
        <v>0</v>
      </c>
      <c r="AG266" t="s">
        <v>310</v>
      </c>
      <c r="AH266">
        <f>SUM((MID(Dyno_Data[[#This Row],[Team]],4,5))+(Dyno_Data[[#This Row],[Match]]/100))</f>
        <v>2095.0500000000002</v>
      </c>
      <c r="AI266" s="76">
        <f>ROUND(SUM(IF(Dyno_Data[[#This Row],[AcqCenter]]&gt;0,Dyno_Data[[#This Row],[Time]]-SUMIFS(Dyno_Data[Time],Dyno_Data[Team],Dyno_Data[[#This Row],[Team]],Dyno_Data[RecordType],"StartMatch",Dyno_Data[Match],Dyno_Data[[#This Row],[Match]]),0)*86400),0)</f>
        <v>0</v>
      </c>
    </row>
    <row r="267" spans="1:35" x14ac:dyDescent="0.3">
      <c r="A267">
        <v>266</v>
      </c>
      <c r="B267" t="s">
        <v>362</v>
      </c>
      <c r="C267">
        <v>5</v>
      </c>
      <c r="D267" s="105">
        <v>45373.400913275465</v>
      </c>
      <c r="E267" t="s">
        <v>312</v>
      </c>
      <c r="F267" t="s">
        <v>1402</v>
      </c>
      <c r="G267">
        <v>0</v>
      </c>
      <c r="H267" t="s">
        <v>315</v>
      </c>
      <c r="I267">
        <v>0</v>
      </c>
      <c r="J267">
        <v>0</v>
      </c>
      <c r="K267">
        <v>0</v>
      </c>
      <c r="L267" t="s">
        <v>313</v>
      </c>
      <c r="M267" t="s">
        <v>242</v>
      </c>
      <c r="N267">
        <v>0</v>
      </c>
      <c r="O267" t="s">
        <v>1395</v>
      </c>
      <c r="P267" t="s">
        <v>310</v>
      </c>
      <c r="Q267" t="s">
        <v>310</v>
      </c>
      <c r="R267" t="s">
        <v>310</v>
      </c>
      <c r="S267">
        <v>9</v>
      </c>
      <c r="T267" t="s">
        <v>310</v>
      </c>
      <c r="U267">
        <v>9</v>
      </c>
      <c r="V267">
        <v>9</v>
      </c>
      <c r="W267">
        <v>0</v>
      </c>
      <c r="X267">
        <v>0</v>
      </c>
      <c r="Y267">
        <v>0</v>
      </c>
      <c r="Z267">
        <v>0</v>
      </c>
      <c r="AA267">
        <v>9</v>
      </c>
      <c r="AB267">
        <v>9</v>
      </c>
      <c r="AC267" t="s">
        <v>310</v>
      </c>
      <c r="AD267">
        <v>9</v>
      </c>
      <c r="AE267" t="s">
        <v>1396</v>
      </c>
      <c r="AF267">
        <v>10005000</v>
      </c>
      <c r="AG267" t="s">
        <v>310</v>
      </c>
      <c r="AH267">
        <f>SUM((MID(Dyno_Data[[#This Row],[Team]],4,5))+(Dyno_Data[[#This Row],[Match]]/100))</f>
        <v>250.05</v>
      </c>
      <c r="AI267" s="76">
        <f>ROUND(SUM(IF(Dyno_Data[[#This Row],[AcqCenter]]&gt;0,Dyno_Data[[#This Row],[Time]]-SUMIFS(Dyno_Data[Time],Dyno_Data[Team],Dyno_Data[[#This Row],[Team]],Dyno_Data[RecordType],"StartMatch",Dyno_Data[Match],Dyno_Data[[#This Row],[Match]]),0)*86400),0)</f>
        <v>0</v>
      </c>
    </row>
    <row r="268" spans="1:35" x14ac:dyDescent="0.3">
      <c r="A268">
        <v>267</v>
      </c>
      <c r="B268" t="s">
        <v>1300</v>
      </c>
      <c r="C268">
        <v>5</v>
      </c>
      <c r="D268" s="105">
        <v>45373.400921956018</v>
      </c>
      <c r="E268" t="s">
        <v>312</v>
      </c>
      <c r="F268" t="s">
        <v>1402</v>
      </c>
      <c r="G268">
        <v>0</v>
      </c>
      <c r="H268" t="s">
        <v>315</v>
      </c>
      <c r="I268">
        <v>0</v>
      </c>
      <c r="J268">
        <v>0</v>
      </c>
      <c r="K268">
        <v>0</v>
      </c>
      <c r="L268" t="s">
        <v>241</v>
      </c>
      <c r="M268" t="s">
        <v>1398</v>
      </c>
      <c r="N268">
        <v>0</v>
      </c>
      <c r="O268" t="s">
        <v>1389</v>
      </c>
      <c r="P268" t="s">
        <v>310</v>
      </c>
      <c r="Q268" t="s">
        <v>310</v>
      </c>
      <c r="R268" t="s">
        <v>310</v>
      </c>
      <c r="S268">
        <v>9</v>
      </c>
      <c r="T268" t="s">
        <v>310</v>
      </c>
      <c r="U268">
        <v>9</v>
      </c>
      <c r="V268">
        <v>9</v>
      </c>
      <c r="W268">
        <v>0</v>
      </c>
      <c r="X268">
        <v>0</v>
      </c>
      <c r="Y268">
        <v>0</v>
      </c>
      <c r="Z268">
        <v>0</v>
      </c>
      <c r="AA268">
        <v>9</v>
      </c>
      <c r="AB268">
        <v>9</v>
      </c>
      <c r="AC268" t="s">
        <v>310</v>
      </c>
      <c r="AD268">
        <v>9</v>
      </c>
      <c r="AE268" t="s">
        <v>1394</v>
      </c>
      <c r="AF268">
        <v>50000000</v>
      </c>
      <c r="AG268" t="s">
        <v>310</v>
      </c>
      <c r="AH268">
        <f>SUM((MID(Dyno_Data[[#This Row],[Team]],4,5))+(Dyno_Data[[#This Row],[Match]]/100))</f>
        <v>3044.05</v>
      </c>
      <c r="AI268" s="76">
        <f>ROUND(SUM(IF(Dyno_Data[[#This Row],[AcqCenter]]&gt;0,Dyno_Data[[#This Row],[Time]]-SUMIFS(Dyno_Data[Time],Dyno_Data[Team],Dyno_Data[[#This Row],[Team]],Dyno_Data[RecordType],"StartMatch",Dyno_Data[Match],Dyno_Data[[#This Row],[Match]]),0)*86400),0)</f>
        <v>0</v>
      </c>
    </row>
    <row r="269" spans="1:35" x14ac:dyDescent="0.3">
      <c r="A269">
        <v>268</v>
      </c>
      <c r="B269" t="s">
        <v>371</v>
      </c>
      <c r="C269">
        <v>5</v>
      </c>
      <c r="D269" s="105">
        <v>45373.400999537036</v>
      </c>
      <c r="E269" t="s">
        <v>1403</v>
      </c>
      <c r="F269" t="s">
        <v>1402</v>
      </c>
      <c r="G269">
        <v>0</v>
      </c>
      <c r="H269" t="s">
        <v>310</v>
      </c>
      <c r="I269">
        <v>0</v>
      </c>
      <c r="J269">
        <v>0</v>
      </c>
      <c r="K269">
        <v>0</v>
      </c>
      <c r="L269" t="s">
        <v>310</v>
      </c>
      <c r="M269" t="s">
        <v>310</v>
      </c>
      <c r="N269">
        <v>0</v>
      </c>
      <c r="O269" t="s">
        <v>1393</v>
      </c>
      <c r="P269" t="s">
        <v>310</v>
      </c>
      <c r="Q269" t="s">
        <v>310</v>
      </c>
      <c r="R269" t="s">
        <v>310</v>
      </c>
      <c r="S269">
        <v>9</v>
      </c>
      <c r="T269" t="s">
        <v>310</v>
      </c>
      <c r="U269">
        <v>9</v>
      </c>
      <c r="V269">
        <v>9</v>
      </c>
      <c r="W269">
        <v>0</v>
      </c>
      <c r="X269">
        <v>0</v>
      </c>
      <c r="Y269">
        <v>0</v>
      </c>
      <c r="Z269">
        <v>0</v>
      </c>
      <c r="AA269">
        <v>9</v>
      </c>
      <c r="AB269">
        <v>9</v>
      </c>
      <c r="AC269" t="s">
        <v>310</v>
      </c>
      <c r="AD269">
        <v>9</v>
      </c>
      <c r="AE269" t="s">
        <v>1390</v>
      </c>
      <c r="AF269">
        <v>50000000</v>
      </c>
      <c r="AG269" t="s">
        <v>249</v>
      </c>
      <c r="AH269">
        <f>SUM((MID(Dyno_Data[[#This Row],[Team]],4,5))+(Dyno_Data[[#This Row],[Match]]/100))</f>
        <v>6969.05</v>
      </c>
      <c r="AI269" s="76">
        <f>ROUND(SUM(IF(Dyno_Data[[#This Row],[AcqCenter]]&gt;0,Dyno_Data[[#This Row],[Time]]-SUMIFS(Dyno_Data[Time],Dyno_Data[Team],Dyno_Data[[#This Row],[Team]],Dyno_Data[RecordType],"StartMatch",Dyno_Data[Match],Dyno_Data[[#This Row],[Match]]),0)*86400),0)</f>
        <v>0</v>
      </c>
    </row>
    <row r="270" spans="1:35" x14ac:dyDescent="0.3">
      <c r="A270">
        <v>269</v>
      </c>
      <c r="B270" t="s">
        <v>362</v>
      </c>
      <c r="C270">
        <v>5</v>
      </c>
      <c r="D270" s="105">
        <v>45373.400999571757</v>
      </c>
      <c r="E270" t="s">
        <v>312</v>
      </c>
      <c r="F270" t="s">
        <v>1402</v>
      </c>
      <c r="G270">
        <v>0</v>
      </c>
      <c r="H270" t="s">
        <v>315</v>
      </c>
      <c r="I270">
        <v>0</v>
      </c>
      <c r="J270">
        <v>0</v>
      </c>
      <c r="K270">
        <v>0</v>
      </c>
      <c r="L270" t="s">
        <v>313</v>
      </c>
      <c r="M270" t="s">
        <v>242</v>
      </c>
      <c r="N270">
        <v>0</v>
      </c>
      <c r="O270" t="s">
        <v>1395</v>
      </c>
      <c r="P270" t="s">
        <v>310</v>
      </c>
      <c r="Q270" t="s">
        <v>310</v>
      </c>
      <c r="R270" t="s">
        <v>310</v>
      </c>
      <c r="S270">
        <v>9</v>
      </c>
      <c r="T270" t="s">
        <v>310</v>
      </c>
      <c r="U270">
        <v>9</v>
      </c>
      <c r="V270">
        <v>9</v>
      </c>
      <c r="W270">
        <v>0</v>
      </c>
      <c r="X270">
        <v>0</v>
      </c>
      <c r="Y270">
        <v>0</v>
      </c>
      <c r="Z270">
        <v>0</v>
      </c>
      <c r="AA270">
        <v>9</v>
      </c>
      <c r="AB270">
        <v>9</v>
      </c>
      <c r="AC270" t="s">
        <v>310</v>
      </c>
      <c r="AD270">
        <v>9</v>
      </c>
      <c r="AE270" t="s">
        <v>1396</v>
      </c>
      <c r="AF270">
        <v>20005000</v>
      </c>
      <c r="AG270" t="s">
        <v>310</v>
      </c>
      <c r="AH270">
        <f>SUM((MID(Dyno_Data[[#This Row],[Team]],4,5))+(Dyno_Data[[#This Row],[Match]]/100))</f>
        <v>250.05</v>
      </c>
      <c r="AI270" s="76">
        <f>ROUND(SUM(IF(Dyno_Data[[#This Row],[AcqCenter]]&gt;0,Dyno_Data[[#This Row],[Time]]-SUMIFS(Dyno_Data[Time],Dyno_Data[Team],Dyno_Data[[#This Row],[Team]],Dyno_Data[RecordType],"StartMatch",Dyno_Data[Match],Dyno_Data[[#This Row],[Match]]),0)*86400),0)</f>
        <v>0</v>
      </c>
    </row>
    <row r="271" spans="1:35" x14ac:dyDescent="0.3">
      <c r="A271">
        <v>270</v>
      </c>
      <c r="B271" t="s">
        <v>1303</v>
      </c>
      <c r="C271">
        <v>5</v>
      </c>
      <c r="D271" s="105">
        <v>45373.401014780095</v>
      </c>
      <c r="E271" t="s">
        <v>312</v>
      </c>
      <c r="F271" t="s">
        <v>1402</v>
      </c>
      <c r="G271">
        <v>0</v>
      </c>
      <c r="H271" t="s">
        <v>315</v>
      </c>
      <c r="I271">
        <v>0</v>
      </c>
      <c r="J271">
        <v>0</v>
      </c>
      <c r="K271">
        <v>0</v>
      </c>
      <c r="L271" t="s">
        <v>240</v>
      </c>
      <c r="M271" t="s">
        <v>1398</v>
      </c>
      <c r="N271">
        <v>0</v>
      </c>
      <c r="O271" t="s">
        <v>319</v>
      </c>
      <c r="P271" t="s">
        <v>310</v>
      </c>
      <c r="Q271" t="s">
        <v>310</v>
      </c>
      <c r="R271" t="s">
        <v>310</v>
      </c>
      <c r="S271">
        <v>9</v>
      </c>
      <c r="T271" t="s">
        <v>310</v>
      </c>
      <c r="U271">
        <v>9</v>
      </c>
      <c r="V271">
        <v>9</v>
      </c>
      <c r="W271">
        <v>0</v>
      </c>
      <c r="X271">
        <v>0</v>
      </c>
      <c r="Y271">
        <v>0</v>
      </c>
      <c r="Z271">
        <v>0</v>
      </c>
      <c r="AA271">
        <v>9</v>
      </c>
      <c r="AB271">
        <v>9</v>
      </c>
      <c r="AC271" t="s">
        <v>310</v>
      </c>
      <c r="AD271">
        <v>9</v>
      </c>
      <c r="AE271" t="s">
        <v>1392</v>
      </c>
      <c r="AF271">
        <v>30000000</v>
      </c>
      <c r="AG271" t="s">
        <v>310</v>
      </c>
      <c r="AH271">
        <f>SUM((MID(Dyno_Data[[#This Row],[Team]],4,5))+(Dyno_Data[[#This Row],[Match]]/100))</f>
        <v>7605.05</v>
      </c>
      <c r="AI271" s="76">
        <f>ROUND(SUM(IF(Dyno_Data[[#This Row],[AcqCenter]]&gt;0,Dyno_Data[[#This Row],[Time]]-SUMIFS(Dyno_Data[Time],Dyno_Data[Team],Dyno_Data[[#This Row],[Team]],Dyno_Data[RecordType],"StartMatch",Dyno_Data[Match],Dyno_Data[[#This Row],[Match]]),0)*86400),0)</f>
        <v>0</v>
      </c>
    </row>
    <row r="272" spans="1:35" x14ac:dyDescent="0.3">
      <c r="A272">
        <v>271</v>
      </c>
      <c r="B272" t="s">
        <v>1300</v>
      </c>
      <c r="C272">
        <v>5</v>
      </c>
      <c r="D272" s="105">
        <v>45373.401015474534</v>
      </c>
      <c r="E272" t="s">
        <v>312</v>
      </c>
      <c r="F272" t="s">
        <v>1402</v>
      </c>
      <c r="G272">
        <v>0</v>
      </c>
      <c r="H272" t="s">
        <v>315</v>
      </c>
      <c r="I272">
        <v>0</v>
      </c>
      <c r="J272">
        <v>0</v>
      </c>
      <c r="K272">
        <v>0</v>
      </c>
      <c r="L272" t="s">
        <v>241</v>
      </c>
      <c r="M272" t="s">
        <v>1398</v>
      </c>
      <c r="N272">
        <v>1</v>
      </c>
      <c r="O272" t="s">
        <v>1389</v>
      </c>
      <c r="P272" t="s">
        <v>310</v>
      </c>
      <c r="Q272" t="s">
        <v>310</v>
      </c>
      <c r="R272" t="s">
        <v>310</v>
      </c>
      <c r="S272">
        <v>9</v>
      </c>
      <c r="T272" t="s">
        <v>310</v>
      </c>
      <c r="U272">
        <v>9</v>
      </c>
      <c r="V272">
        <v>9</v>
      </c>
      <c r="W272">
        <v>0</v>
      </c>
      <c r="X272">
        <v>0</v>
      </c>
      <c r="Y272">
        <v>0</v>
      </c>
      <c r="Z272">
        <v>0</v>
      </c>
      <c r="AA272">
        <v>9</v>
      </c>
      <c r="AB272">
        <v>9</v>
      </c>
      <c r="AC272" t="s">
        <v>310</v>
      </c>
      <c r="AD272">
        <v>9</v>
      </c>
      <c r="AE272" t="s">
        <v>1394</v>
      </c>
      <c r="AF272">
        <v>60000000</v>
      </c>
      <c r="AG272" t="s">
        <v>310</v>
      </c>
      <c r="AH272">
        <f>SUM((MID(Dyno_Data[[#This Row],[Team]],4,5))+(Dyno_Data[[#This Row],[Match]]/100))</f>
        <v>3044.05</v>
      </c>
      <c r="AI272" s="76">
        <f>ROUND(SUM(IF(Dyno_Data[[#This Row],[AcqCenter]]&gt;0,Dyno_Data[[#This Row],[Time]]-SUMIFS(Dyno_Data[Time],Dyno_Data[Team],Dyno_Data[[#This Row],[Team]],Dyno_Data[RecordType],"StartMatch",Dyno_Data[Match],Dyno_Data[[#This Row],[Match]]),0)*86400),0)</f>
        <v>0</v>
      </c>
    </row>
    <row r="273" spans="1:35" x14ac:dyDescent="0.3">
      <c r="A273">
        <v>272</v>
      </c>
      <c r="B273" t="s">
        <v>1301</v>
      </c>
      <c r="C273">
        <v>5</v>
      </c>
      <c r="D273" s="105">
        <v>45373.401035879629</v>
      </c>
      <c r="E273" t="s">
        <v>312</v>
      </c>
      <c r="F273" t="s">
        <v>1402</v>
      </c>
      <c r="G273">
        <v>0</v>
      </c>
      <c r="H273" t="s">
        <v>1397</v>
      </c>
      <c r="I273">
        <v>0</v>
      </c>
      <c r="J273">
        <v>0</v>
      </c>
      <c r="K273">
        <v>0</v>
      </c>
      <c r="L273" t="s">
        <v>241</v>
      </c>
      <c r="M273" t="s">
        <v>101</v>
      </c>
      <c r="N273">
        <v>1</v>
      </c>
      <c r="O273" t="s">
        <v>311</v>
      </c>
      <c r="P273" t="s">
        <v>310</v>
      </c>
      <c r="Q273" t="s">
        <v>310</v>
      </c>
      <c r="R273" t="s">
        <v>310</v>
      </c>
      <c r="S273">
        <v>9</v>
      </c>
      <c r="T273" t="s">
        <v>310</v>
      </c>
      <c r="U273">
        <v>9</v>
      </c>
      <c r="V273">
        <v>9</v>
      </c>
      <c r="W273">
        <v>0</v>
      </c>
      <c r="X273">
        <v>0</v>
      </c>
      <c r="Y273">
        <v>0</v>
      </c>
      <c r="Z273">
        <v>0</v>
      </c>
      <c r="AA273">
        <v>9</v>
      </c>
      <c r="AB273">
        <v>9</v>
      </c>
      <c r="AC273" t="s">
        <v>310</v>
      </c>
      <c r="AD273">
        <v>9</v>
      </c>
      <c r="AE273" t="s">
        <v>1387</v>
      </c>
      <c r="AF273">
        <v>0</v>
      </c>
      <c r="AG273" t="s">
        <v>310</v>
      </c>
      <c r="AH273">
        <f>SUM((MID(Dyno_Data[[#This Row],[Team]],4,5))+(Dyno_Data[[#This Row],[Match]]/100))</f>
        <v>7031.05</v>
      </c>
      <c r="AI273" s="76">
        <f>ROUND(SUM(IF(Dyno_Data[[#This Row],[AcqCenter]]&gt;0,Dyno_Data[[#This Row],[Time]]-SUMIFS(Dyno_Data[Time],Dyno_Data[Team],Dyno_Data[[#This Row],[Team]],Dyno_Data[RecordType],"StartMatch",Dyno_Data[Match],Dyno_Data[[#This Row],[Match]]),0)*86400),0)</f>
        <v>0</v>
      </c>
    </row>
    <row r="274" spans="1:35" x14ac:dyDescent="0.3">
      <c r="A274">
        <v>273</v>
      </c>
      <c r="B274" t="s">
        <v>1300</v>
      </c>
      <c r="C274">
        <v>5</v>
      </c>
      <c r="D274" s="105">
        <v>45373.401098923612</v>
      </c>
      <c r="E274" t="s">
        <v>312</v>
      </c>
      <c r="F274" t="s">
        <v>1402</v>
      </c>
      <c r="G274">
        <v>0</v>
      </c>
      <c r="H274" t="s">
        <v>315</v>
      </c>
      <c r="I274">
        <v>0</v>
      </c>
      <c r="J274">
        <v>0</v>
      </c>
      <c r="K274">
        <v>0</v>
      </c>
      <c r="L274" t="s">
        <v>241</v>
      </c>
      <c r="M274" t="s">
        <v>1398</v>
      </c>
      <c r="N274">
        <v>1</v>
      </c>
      <c r="O274" t="s">
        <v>1389</v>
      </c>
      <c r="P274" t="s">
        <v>310</v>
      </c>
      <c r="Q274" t="s">
        <v>310</v>
      </c>
      <c r="R274" t="s">
        <v>310</v>
      </c>
      <c r="S274">
        <v>9</v>
      </c>
      <c r="T274" t="s">
        <v>310</v>
      </c>
      <c r="U274">
        <v>9</v>
      </c>
      <c r="V274">
        <v>9</v>
      </c>
      <c r="W274">
        <v>0</v>
      </c>
      <c r="X274">
        <v>0</v>
      </c>
      <c r="Y274">
        <v>0</v>
      </c>
      <c r="Z274">
        <v>0</v>
      </c>
      <c r="AA274">
        <v>9</v>
      </c>
      <c r="AB274">
        <v>9</v>
      </c>
      <c r="AC274" t="s">
        <v>310</v>
      </c>
      <c r="AD274">
        <v>9</v>
      </c>
      <c r="AE274" t="s">
        <v>1394</v>
      </c>
      <c r="AF274">
        <v>70000000</v>
      </c>
      <c r="AG274" t="s">
        <v>310</v>
      </c>
      <c r="AH274">
        <f>SUM((MID(Dyno_Data[[#This Row],[Team]],4,5))+(Dyno_Data[[#This Row],[Match]]/100))</f>
        <v>3044.05</v>
      </c>
      <c r="AI274" s="76">
        <f>ROUND(SUM(IF(Dyno_Data[[#This Row],[AcqCenter]]&gt;0,Dyno_Data[[#This Row],[Time]]-SUMIFS(Dyno_Data[Time],Dyno_Data[Team],Dyno_Data[[#This Row],[Team]],Dyno_Data[RecordType],"StartMatch",Dyno_Data[Match],Dyno_Data[[#This Row],[Match]]),0)*86400),0)</f>
        <v>0</v>
      </c>
    </row>
    <row r="275" spans="1:35" x14ac:dyDescent="0.3">
      <c r="A275">
        <v>274</v>
      </c>
      <c r="B275" t="s">
        <v>362</v>
      </c>
      <c r="C275">
        <v>5</v>
      </c>
      <c r="D275" s="105">
        <v>45373.40111111111</v>
      </c>
      <c r="E275" t="s">
        <v>312</v>
      </c>
      <c r="F275" t="s">
        <v>1402</v>
      </c>
      <c r="G275">
        <v>0</v>
      </c>
      <c r="H275" t="s">
        <v>315</v>
      </c>
      <c r="I275">
        <v>0</v>
      </c>
      <c r="J275">
        <v>0</v>
      </c>
      <c r="K275">
        <v>0</v>
      </c>
      <c r="L275" t="s">
        <v>313</v>
      </c>
      <c r="M275" t="s">
        <v>242</v>
      </c>
      <c r="N275">
        <v>0</v>
      </c>
      <c r="O275" t="s">
        <v>1395</v>
      </c>
      <c r="P275" t="s">
        <v>310</v>
      </c>
      <c r="Q275" t="s">
        <v>310</v>
      </c>
      <c r="R275" t="s">
        <v>310</v>
      </c>
      <c r="S275">
        <v>9</v>
      </c>
      <c r="T275" t="s">
        <v>310</v>
      </c>
      <c r="U275">
        <v>9</v>
      </c>
      <c r="V275">
        <v>9</v>
      </c>
      <c r="W275">
        <v>0</v>
      </c>
      <c r="X275">
        <v>0</v>
      </c>
      <c r="Y275">
        <v>0</v>
      </c>
      <c r="Z275">
        <v>0</v>
      </c>
      <c r="AA275">
        <v>9</v>
      </c>
      <c r="AB275">
        <v>9</v>
      </c>
      <c r="AC275" t="s">
        <v>310</v>
      </c>
      <c r="AD275">
        <v>9</v>
      </c>
      <c r="AE275" t="s">
        <v>1396</v>
      </c>
      <c r="AF275">
        <v>30005000</v>
      </c>
      <c r="AG275" t="s">
        <v>310</v>
      </c>
      <c r="AH275">
        <f>SUM((MID(Dyno_Data[[#This Row],[Team]],4,5))+(Dyno_Data[[#This Row],[Match]]/100))</f>
        <v>250.05</v>
      </c>
      <c r="AI275" s="76">
        <f>ROUND(SUM(IF(Dyno_Data[[#This Row],[AcqCenter]]&gt;0,Dyno_Data[[#This Row],[Time]]-SUMIFS(Dyno_Data[Time],Dyno_Data[Team],Dyno_Data[[#This Row],[Team]],Dyno_Data[RecordType],"StartMatch",Dyno_Data[Match],Dyno_Data[[#This Row],[Match]]),0)*86400),0)</f>
        <v>0</v>
      </c>
    </row>
    <row r="276" spans="1:35" x14ac:dyDescent="0.3">
      <c r="A276">
        <v>275</v>
      </c>
      <c r="B276" t="s">
        <v>1301</v>
      </c>
      <c r="C276">
        <v>5</v>
      </c>
      <c r="D276" s="105">
        <v>45373.401132870371</v>
      </c>
      <c r="E276" t="s">
        <v>312</v>
      </c>
      <c r="F276" t="s">
        <v>1402</v>
      </c>
      <c r="G276">
        <v>0</v>
      </c>
      <c r="H276" t="s">
        <v>315</v>
      </c>
      <c r="I276">
        <v>0</v>
      </c>
      <c r="J276">
        <v>0</v>
      </c>
      <c r="K276">
        <v>0</v>
      </c>
      <c r="L276" t="s">
        <v>241</v>
      </c>
      <c r="M276" t="s">
        <v>101</v>
      </c>
      <c r="N276">
        <v>1</v>
      </c>
      <c r="O276" t="s">
        <v>311</v>
      </c>
      <c r="P276" t="s">
        <v>310</v>
      </c>
      <c r="Q276" t="s">
        <v>310</v>
      </c>
      <c r="R276" t="s">
        <v>310</v>
      </c>
      <c r="S276">
        <v>9</v>
      </c>
      <c r="T276" t="s">
        <v>310</v>
      </c>
      <c r="U276">
        <v>9</v>
      </c>
      <c r="V276">
        <v>9</v>
      </c>
      <c r="W276">
        <v>0</v>
      </c>
      <c r="X276">
        <v>0</v>
      </c>
      <c r="Y276">
        <v>0</v>
      </c>
      <c r="Z276">
        <v>0</v>
      </c>
      <c r="AA276">
        <v>9</v>
      </c>
      <c r="AB276">
        <v>9</v>
      </c>
      <c r="AC276" t="s">
        <v>310</v>
      </c>
      <c r="AD276">
        <v>9</v>
      </c>
      <c r="AE276" t="s">
        <v>1387</v>
      </c>
      <c r="AF276">
        <v>10000000</v>
      </c>
      <c r="AG276" t="s">
        <v>310</v>
      </c>
      <c r="AH276">
        <f>SUM((MID(Dyno_Data[[#This Row],[Team]],4,5))+(Dyno_Data[[#This Row],[Match]]/100))</f>
        <v>7031.05</v>
      </c>
      <c r="AI276" s="76">
        <f>ROUND(SUM(IF(Dyno_Data[[#This Row],[AcqCenter]]&gt;0,Dyno_Data[[#This Row],[Time]]-SUMIFS(Dyno_Data[Time],Dyno_Data[Team],Dyno_Data[[#This Row],[Team]],Dyno_Data[RecordType],"StartMatch",Dyno_Data[Match],Dyno_Data[[#This Row],[Match]]),0)*86400),0)</f>
        <v>0</v>
      </c>
    </row>
    <row r="277" spans="1:35" x14ac:dyDescent="0.3">
      <c r="A277">
        <v>276</v>
      </c>
      <c r="B277" t="s">
        <v>1302</v>
      </c>
      <c r="C277">
        <v>5</v>
      </c>
      <c r="D277" s="105">
        <v>45373.401219675929</v>
      </c>
      <c r="E277" t="s">
        <v>312</v>
      </c>
      <c r="F277" t="s">
        <v>1402</v>
      </c>
      <c r="G277">
        <v>0</v>
      </c>
      <c r="H277" t="s">
        <v>315</v>
      </c>
      <c r="I277">
        <v>0</v>
      </c>
      <c r="J277">
        <v>0</v>
      </c>
      <c r="K277">
        <v>0</v>
      </c>
      <c r="L277" t="s">
        <v>240</v>
      </c>
      <c r="M277" t="s">
        <v>1398</v>
      </c>
      <c r="N277">
        <v>0</v>
      </c>
      <c r="O277" t="s">
        <v>1391</v>
      </c>
      <c r="P277" t="s">
        <v>310</v>
      </c>
      <c r="Q277" t="s">
        <v>310</v>
      </c>
      <c r="R277" t="s">
        <v>310</v>
      </c>
      <c r="S277">
        <v>9</v>
      </c>
      <c r="T277" t="s">
        <v>310</v>
      </c>
      <c r="U277">
        <v>9</v>
      </c>
      <c r="V277">
        <v>9</v>
      </c>
      <c r="W277">
        <v>0</v>
      </c>
      <c r="X277">
        <v>0</v>
      </c>
      <c r="Y277">
        <v>0</v>
      </c>
      <c r="Z277">
        <v>0</v>
      </c>
      <c r="AA277">
        <v>9</v>
      </c>
      <c r="AB277">
        <v>9</v>
      </c>
      <c r="AC277" t="s">
        <v>310</v>
      </c>
      <c r="AD277">
        <v>9</v>
      </c>
      <c r="AE277" t="s">
        <v>1388</v>
      </c>
      <c r="AF277">
        <v>10000000</v>
      </c>
      <c r="AG277" t="s">
        <v>310</v>
      </c>
      <c r="AH277">
        <f>SUM((MID(Dyno_Data[[#This Row],[Team]],4,5))+(Dyno_Data[[#This Row],[Match]]/100))</f>
        <v>2095.0500000000002</v>
      </c>
      <c r="AI277" s="76">
        <f>ROUND(SUM(IF(Dyno_Data[[#This Row],[AcqCenter]]&gt;0,Dyno_Data[[#This Row],[Time]]-SUMIFS(Dyno_Data[Time],Dyno_Data[Team],Dyno_Data[[#This Row],[Team]],Dyno_Data[RecordType],"StartMatch",Dyno_Data[Match],Dyno_Data[[#This Row],[Match]]),0)*86400),0)</f>
        <v>0</v>
      </c>
    </row>
    <row r="278" spans="1:35" x14ac:dyDescent="0.3">
      <c r="A278">
        <v>277</v>
      </c>
      <c r="B278" t="s">
        <v>1300</v>
      </c>
      <c r="C278">
        <v>5</v>
      </c>
      <c r="D278" s="105">
        <v>45373.401233483797</v>
      </c>
      <c r="E278" t="s">
        <v>312</v>
      </c>
      <c r="F278" t="s">
        <v>1402</v>
      </c>
      <c r="G278">
        <v>0</v>
      </c>
      <c r="H278" t="s">
        <v>315</v>
      </c>
      <c r="I278">
        <v>0</v>
      </c>
      <c r="J278">
        <v>0</v>
      </c>
      <c r="K278">
        <v>0</v>
      </c>
      <c r="L278" t="s">
        <v>241</v>
      </c>
      <c r="M278" t="s">
        <v>1398</v>
      </c>
      <c r="N278">
        <v>1</v>
      </c>
      <c r="O278" t="s">
        <v>1389</v>
      </c>
      <c r="P278" t="s">
        <v>310</v>
      </c>
      <c r="Q278" t="s">
        <v>310</v>
      </c>
      <c r="R278" t="s">
        <v>310</v>
      </c>
      <c r="S278">
        <v>9</v>
      </c>
      <c r="T278" t="s">
        <v>310</v>
      </c>
      <c r="U278">
        <v>9</v>
      </c>
      <c r="V278">
        <v>9</v>
      </c>
      <c r="W278">
        <v>0</v>
      </c>
      <c r="X278">
        <v>0</v>
      </c>
      <c r="Y278">
        <v>0</v>
      </c>
      <c r="Z278">
        <v>0</v>
      </c>
      <c r="AA278">
        <v>9</v>
      </c>
      <c r="AB278">
        <v>9</v>
      </c>
      <c r="AC278" t="s">
        <v>310</v>
      </c>
      <c r="AD278">
        <v>9</v>
      </c>
      <c r="AE278" t="s">
        <v>1394</v>
      </c>
      <c r="AF278">
        <v>80000000</v>
      </c>
      <c r="AG278" t="s">
        <v>310</v>
      </c>
      <c r="AH278">
        <f>SUM((MID(Dyno_Data[[#This Row],[Team]],4,5))+(Dyno_Data[[#This Row],[Match]]/100))</f>
        <v>3044.05</v>
      </c>
      <c r="AI278" s="76">
        <f>ROUND(SUM(IF(Dyno_Data[[#This Row],[AcqCenter]]&gt;0,Dyno_Data[[#This Row],[Time]]-SUMIFS(Dyno_Data[Time],Dyno_Data[Team],Dyno_Data[[#This Row],[Team]],Dyno_Data[RecordType],"StartMatch",Dyno_Data[Match],Dyno_Data[[#This Row],[Match]]),0)*86400),0)</f>
        <v>0</v>
      </c>
    </row>
    <row r="279" spans="1:35" x14ac:dyDescent="0.3">
      <c r="A279">
        <v>278</v>
      </c>
      <c r="B279" t="s">
        <v>1303</v>
      </c>
      <c r="C279">
        <v>5</v>
      </c>
      <c r="D279" s="105">
        <v>45373.401295335651</v>
      </c>
      <c r="E279" t="s">
        <v>312</v>
      </c>
      <c r="F279" t="s">
        <v>1402</v>
      </c>
      <c r="G279">
        <v>0</v>
      </c>
      <c r="H279" t="s">
        <v>315</v>
      </c>
      <c r="I279">
        <v>0</v>
      </c>
      <c r="J279">
        <v>0</v>
      </c>
      <c r="K279">
        <v>0</v>
      </c>
      <c r="L279" t="s">
        <v>240</v>
      </c>
      <c r="M279" t="s">
        <v>1398</v>
      </c>
      <c r="N279">
        <v>0</v>
      </c>
      <c r="O279" t="s">
        <v>319</v>
      </c>
      <c r="P279" t="s">
        <v>310</v>
      </c>
      <c r="Q279" t="s">
        <v>310</v>
      </c>
      <c r="R279" t="s">
        <v>310</v>
      </c>
      <c r="S279">
        <v>9</v>
      </c>
      <c r="T279" t="s">
        <v>310</v>
      </c>
      <c r="U279">
        <v>9</v>
      </c>
      <c r="V279">
        <v>9</v>
      </c>
      <c r="W279">
        <v>0</v>
      </c>
      <c r="X279">
        <v>0</v>
      </c>
      <c r="Y279">
        <v>0</v>
      </c>
      <c r="Z279">
        <v>0</v>
      </c>
      <c r="AA279">
        <v>9</v>
      </c>
      <c r="AB279">
        <v>9</v>
      </c>
      <c r="AC279" t="s">
        <v>310</v>
      </c>
      <c r="AD279">
        <v>9</v>
      </c>
      <c r="AE279" t="s">
        <v>1392</v>
      </c>
      <c r="AF279">
        <v>40000000</v>
      </c>
      <c r="AG279" t="s">
        <v>310</v>
      </c>
      <c r="AH279">
        <f>SUM((MID(Dyno_Data[[#This Row],[Team]],4,5))+(Dyno_Data[[#This Row],[Match]]/100))</f>
        <v>7605.05</v>
      </c>
      <c r="AI279" s="76">
        <f>ROUND(SUM(IF(Dyno_Data[[#This Row],[AcqCenter]]&gt;0,Dyno_Data[[#This Row],[Time]]-SUMIFS(Dyno_Data[Time],Dyno_Data[Team],Dyno_Data[[#This Row],[Team]],Dyno_Data[RecordType],"StartMatch",Dyno_Data[Match],Dyno_Data[[#This Row],[Match]]),0)*86400),0)</f>
        <v>0</v>
      </c>
    </row>
    <row r="280" spans="1:35" x14ac:dyDescent="0.3">
      <c r="A280">
        <v>279</v>
      </c>
      <c r="B280" t="s">
        <v>1301</v>
      </c>
      <c r="C280">
        <v>5</v>
      </c>
      <c r="D280" s="105">
        <v>45373.401316238429</v>
      </c>
      <c r="E280" t="s">
        <v>312</v>
      </c>
      <c r="F280" t="s">
        <v>1402</v>
      </c>
      <c r="G280">
        <v>0</v>
      </c>
      <c r="H280" t="s">
        <v>315</v>
      </c>
      <c r="I280">
        <v>0</v>
      </c>
      <c r="J280">
        <v>0</v>
      </c>
      <c r="K280">
        <v>0</v>
      </c>
      <c r="L280" t="s">
        <v>241</v>
      </c>
      <c r="M280" t="s">
        <v>101</v>
      </c>
      <c r="N280">
        <v>1</v>
      </c>
      <c r="O280" t="s">
        <v>311</v>
      </c>
      <c r="P280" t="s">
        <v>310</v>
      </c>
      <c r="Q280" t="s">
        <v>310</v>
      </c>
      <c r="R280" t="s">
        <v>310</v>
      </c>
      <c r="S280">
        <v>9</v>
      </c>
      <c r="T280" t="s">
        <v>310</v>
      </c>
      <c r="U280">
        <v>9</v>
      </c>
      <c r="V280">
        <v>9</v>
      </c>
      <c r="W280">
        <v>0</v>
      </c>
      <c r="X280">
        <v>0</v>
      </c>
      <c r="Y280">
        <v>0</v>
      </c>
      <c r="Z280">
        <v>0</v>
      </c>
      <c r="AA280">
        <v>9</v>
      </c>
      <c r="AB280">
        <v>9</v>
      </c>
      <c r="AC280" t="s">
        <v>310</v>
      </c>
      <c r="AD280">
        <v>9</v>
      </c>
      <c r="AE280" t="s">
        <v>1387</v>
      </c>
      <c r="AF280">
        <v>20000000</v>
      </c>
      <c r="AG280" t="s">
        <v>310</v>
      </c>
      <c r="AH280">
        <f>SUM((MID(Dyno_Data[[#This Row],[Team]],4,5))+(Dyno_Data[[#This Row],[Match]]/100))</f>
        <v>7031.05</v>
      </c>
      <c r="AI280" s="76">
        <f>ROUND(SUM(IF(Dyno_Data[[#This Row],[AcqCenter]]&gt;0,Dyno_Data[[#This Row],[Time]]-SUMIFS(Dyno_Data[Time],Dyno_Data[Team],Dyno_Data[[#This Row],[Team]],Dyno_Data[RecordType],"StartMatch",Dyno_Data[Match],Dyno_Data[[#This Row],[Match]]),0)*86400),0)</f>
        <v>0</v>
      </c>
    </row>
    <row r="281" spans="1:35" x14ac:dyDescent="0.3">
      <c r="A281">
        <v>280</v>
      </c>
      <c r="B281" t="s">
        <v>1300</v>
      </c>
      <c r="C281">
        <v>5</v>
      </c>
      <c r="D281" s="105">
        <v>45373.401387418984</v>
      </c>
      <c r="E281" t="s">
        <v>312</v>
      </c>
      <c r="F281" t="s">
        <v>1402</v>
      </c>
      <c r="G281">
        <v>0</v>
      </c>
      <c r="H281" t="s">
        <v>315</v>
      </c>
      <c r="I281">
        <v>0</v>
      </c>
      <c r="J281">
        <v>0</v>
      </c>
      <c r="K281">
        <v>0</v>
      </c>
      <c r="L281" t="s">
        <v>241</v>
      </c>
      <c r="M281" t="s">
        <v>1398</v>
      </c>
      <c r="N281">
        <v>1</v>
      </c>
      <c r="O281" t="s">
        <v>1389</v>
      </c>
      <c r="P281" t="s">
        <v>310</v>
      </c>
      <c r="Q281" t="s">
        <v>310</v>
      </c>
      <c r="R281" t="s">
        <v>310</v>
      </c>
      <c r="S281">
        <v>9</v>
      </c>
      <c r="T281" t="s">
        <v>310</v>
      </c>
      <c r="U281">
        <v>9</v>
      </c>
      <c r="V281">
        <v>9</v>
      </c>
      <c r="W281">
        <v>0</v>
      </c>
      <c r="X281">
        <v>0</v>
      </c>
      <c r="Y281">
        <v>0</v>
      </c>
      <c r="Z281">
        <v>0</v>
      </c>
      <c r="AA281">
        <v>9</v>
      </c>
      <c r="AB281">
        <v>9</v>
      </c>
      <c r="AC281" t="s">
        <v>310</v>
      </c>
      <c r="AD281">
        <v>9</v>
      </c>
      <c r="AE281" t="s">
        <v>1394</v>
      </c>
      <c r="AF281">
        <v>90000000</v>
      </c>
      <c r="AG281" t="s">
        <v>310</v>
      </c>
      <c r="AH281">
        <f>SUM((MID(Dyno_Data[[#This Row],[Team]],4,5))+(Dyno_Data[[#This Row],[Match]]/100))</f>
        <v>3044.05</v>
      </c>
      <c r="AI281" s="76">
        <f>ROUND(SUM(IF(Dyno_Data[[#This Row],[AcqCenter]]&gt;0,Dyno_Data[[#This Row],[Time]]-SUMIFS(Dyno_Data[Time],Dyno_Data[Team],Dyno_Data[[#This Row],[Team]],Dyno_Data[RecordType],"StartMatch",Dyno_Data[Match],Dyno_Data[[#This Row],[Match]]),0)*86400),0)</f>
        <v>0</v>
      </c>
    </row>
    <row r="282" spans="1:35" x14ac:dyDescent="0.3">
      <c r="A282">
        <v>281</v>
      </c>
      <c r="B282" t="s">
        <v>1303</v>
      </c>
      <c r="C282">
        <v>5</v>
      </c>
      <c r="D282" s="105">
        <v>45373.401407523146</v>
      </c>
      <c r="E282" t="s">
        <v>312</v>
      </c>
      <c r="F282" t="s">
        <v>1402</v>
      </c>
      <c r="G282">
        <v>0</v>
      </c>
      <c r="H282" t="s">
        <v>315</v>
      </c>
      <c r="I282">
        <v>0</v>
      </c>
      <c r="J282">
        <v>0</v>
      </c>
      <c r="K282">
        <v>0</v>
      </c>
      <c r="L282" t="s">
        <v>240</v>
      </c>
      <c r="M282" t="s">
        <v>1398</v>
      </c>
      <c r="N282">
        <v>0</v>
      </c>
      <c r="O282" t="s">
        <v>319</v>
      </c>
      <c r="P282" t="s">
        <v>310</v>
      </c>
      <c r="Q282" t="s">
        <v>310</v>
      </c>
      <c r="R282" t="s">
        <v>310</v>
      </c>
      <c r="S282">
        <v>9</v>
      </c>
      <c r="T282" t="s">
        <v>310</v>
      </c>
      <c r="U282">
        <v>9</v>
      </c>
      <c r="V282">
        <v>9</v>
      </c>
      <c r="W282">
        <v>0</v>
      </c>
      <c r="X282">
        <v>0</v>
      </c>
      <c r="Y282">
        <v>0</v>
      </c>
      <c r="Z282">
        <v>0</v>
      </c>
      <c r="AA282">
        <v>9</v>
      </c>
      <c r="AB282">
        <v>9</v>
      </c>
      <c r="AC282" t="s">
        <v>310</v>
      </c>
      <c r="AD282">
        <v>9</v>
      </c>
      <c r="AE282" t="s">
        <v>1392</v>
      </c>
      <c r="AF282">
        <v>50000000</v>
      </c>
      <c r="AG282" t="s">
        <v>310</v>
      </c>
      <c r="AH282">
        <f>SUM((MID(Dyno_Data[[#This Row],[Team]],4,5))+(Dyno_Data[[#This Row],[Match]]/100))</f>
        <v>7605.05</v>
      </c>
      <c r="AI282" s="76">
        <f>ROUND(SUM(IF(Dyno_Data[[#This Row],[AcqCenter]]&gt;0,Dyno_Data[[#This Row],[Time]]-SUMIFS(Dyno_Data[Time],Dyno_Data[Team],Dyno_Data[[#This Row],[Team]],Dyno_Data[RecordType],"StartMatch",Dyno_Data[Match],Dyno_Data[[#This Row],[Match]]),0)*86400),0)</f>
        <v>0</v>
      </c>
    </row>
    <row r="283" spans="1:35" x14ac:dyDescent="0.3">
      <c r="A283">
        <v>282</v>
      </c>
      <c r="B283" t="s">
        <v>362</v>
      </c>
      <c r="C283">
        <v>5</v>
      </c>
      <c r="D283" s="105">
        <v>45373.401450925929</v>
      </c>
      <c r="E283" t="s">
        <v>312</v>
      </c>
      <c r="F283" t="s">
        <v>1402</v>
      </c>
      <c r="G283">
        <v>0</v>
      </c>
      <c r="H283" t="s">
        <v>315</v>
      </c>
      <c r="I283">
        <v>0</v>
      </c>
      <c r="J283">
        <v>0</v>
      </c>
      <c r="K283">
        <v>0</v>
      </c>
      <c r="L283" t="s">
        <v>242</v>
      </c>
      <c r="M283" t="s">
        <v>242</v>
      </c>
      <c r="N283">
        <v>0</v>
      </c>
      <c r="O283" t="s">
        <v>1395</v>
      </c>
      <c r="P283" t="s">
        <v>310</v>
      </c>
      <c r="Q283" t="s">
        <v>310</v>
      </c>
      <c r="R283" t="s">
        <v>310</v>
      </c>
      <c r="S283">
        <v>9</v>
      </c>
      <c r="T283" t="s">
        <v>310</v>
      </c>
      <c r="U283">
        <v>9</v>
      </c>
      <c r="V283">
        <v>9</v>
      </c>
      <c r="W283">
        <v>0</v>
      </c>
      <c r="X283">
        <v>0</v>
      </c>
      <c r="Y283">
        <v>0</v>
      </c>
      <c r="Z283">
        <v>0</v>
      </c>
      <c r="AA283">
        <v>9</v>
      </c>
      <c r="AB283">
        <v>9</v>
      </c>
      <c r="AC283" t="s">
        <v>310</v>
      </c>
      <c r="AD283">
        <v>9</v>
      </c>
      <c r="AE283" t="s">
        <v>1396</v>
      </c>
      <c r="AF283">
        <v>40005000</v>
      </c>
      <c r="AG283" t="s">
        <v>310</v>
      </c>
      <c r="AH283">
        <f>SUM((MID(Dyno_Data[[#This Row],[Team]],4,5))+(Dyno_Data[[#This Row],[Match]]/100))</f>
        <v>250.05</v>
      </c>
      <c r="AI283" s="76">
        <f>ROUND(SUM(IF(Dyno_Data[[#This Row],[AcqCenter]]&gt;0,Dyno_Data[[#This Row],[Time]]-SUMIFS(Dyno_Data[Time],Dyno_Data[Team],Dyno_Data[[#This Row],[Team]],Dyno_Data[RecordType],"StartMatch",Dyno_Data[Match],Dyno_Data[[#This Row],[Match]]),0)*86400),0)</f>
        <v>0</v>
      </c>
    </row>
    <row r="284" spans="1:35" x14ac:dyDescent="0.3">
      <c r="A284">
        <v>283</v>
      </c>
      <c r="B284" t="s">
        <v>1301</v>
      </c>
      <c r="C284">
        <v>5</v>
      </c>
      <c r="D284" s="105">
        <v>45373.401482789355</v>
      </c>
      <c r="E284" t="s">
        <v>1403</v>
      </c>
      <c r="F284" t="s">
        <v>1402</v>
      </c>
      <c r="G284">
        <v>0</v>
      </c>
      <c r="H284" t="s">
        <v>310</v>
      </c>
      <c r="I284">
        <v>0</v>
      </c>
      <c r="J284">
        <v>0</v>
      </c>
      <c r="K284">
        <v>0</v>
      </c>
      <c r="L284" t="s">
        <v>310</v>
      </c>
      <c r="M284" t="s">
        <v>310</v>
      </c>
      <c r="N284">
        <v>0</v>
      </c>
      <c r="O284" t="s">
        <v>311</v>
      </c>
      <c r="P284" t="s">
        <v>310</v>
      </c>
      <c r="Q284" t="s">
        <v>310</v>
      </c>
      <c r="R284" t="s">
        <v>310</v>
      </c>
      <c r="S284">
        <v>9</v>
      </c>
      <c r="T284" t="s">
        <v>310</v>
      </c>
      <c r="U284">
        <v>9</v>
      </c>
      <c r="V284">
        <v>9</v>
      </c>
      <c r="W284">
        <v>0</v>
      </c>
      <c r="X284">
        <v>0</v>
      </c>
      <c r="Y284">
        <v>0</v>
      </c>
      <c r="Z284">
        <v>0</v>
      </c>
      <c r="AA284">
        <v>9</v>
      </c>
      <c r="AB284">
        <v>9</v>
      </c>
      <c r="AC284" t="s">
        <v>310</v>
      </c>
      <c r="AD284">
        <v>9</v>
      </c>
      <c r="AE284" t="s">
        <v>1387</v>
      </c>
      <c r="AF284">
        <v>40005000</v>
      </c>
      <c r="AG284" t="s">
        <v>252</v>
      </c>
      <c r="AH284">
        <f>SUM((MID(Dyno_Data[[#This Row],[Team]],4,5))+(Dyno_Data[[#This Row],[Match]]/100))</f>
        <v>7031.05</v>
      </c>
      <c r="AI284" s="76">
        <f>ROUND(SUM(IF(Dyno_Data[[#This Row],[AcqCenter]]&gt;0,Dyno_Data[[#This Row],[Time]]-SUMIFS(Dyno_Data[Time],Dyno_Data[Team],Dyno_Data[[#This Row],[Team]],Dyno_Data[RecordType],"StartMatch",Dyno_Data[Match],Dyno_Data[[#This Row],[Match]]),0)*86400),0)</f>
        <v>0</v>
      </c>
    </row>
    <row r="285" spans="1:35" x14ac:dyDescent="0.3">
      <c r="A285">
        <v>284</v>
      </c>
      <c r="B285" t="s">
        <v>1300</v>
      </c>
      <c r="C285">
        <v>5</v>
      </c>
      <c r="D285" s="105">
        <v>45373.401503819441</v>
      </c>
      <c r="E285" t="s">
        <v>312</v>
      </c>
      <c r="F285" t="s">
        <v>1402</v>
      </c>
      <c r="G285">
        <v>0</v>
      </c>
      <c r="H285" t="s">
        <v>315</v>
      </c>
      <c r="I285">
        <v>0</v>
      </c>
      <c r="J285">
        <v>0</v>
      </c>
      <c r="K285">
        <v>0</v>
      </c>
      <c r="L285" t="s">
        <v>241</v>
      </c>
      <c r="M285" t="s">
        <v>1398</v>
      </c>
      <c r="N285">
        <v>0</v>
      </c>
      <c r="O285" t="s">
        <v>1389</v>
      </c>
      <c r="P285" t="s">
        <v>310</v>
      </c>
      <c r="Q285" t="s">
        <v>310</v>
      </c>
      <c r="R285" t="s">
        <v>310</v>
      </c>
      <c r="S285">
        <v>9</v>
      </c>
      <c r="T285" t="s">
        <v>310</v>
      </c>
      <c r="U285">
        <v>9</v>
      </c>
      <c r="V285">
        <v>9</v>
      </c>
      <c r="W285">
        <v>0</v>
      </c>
      <c r="X285">
        <v>0</v>
      </c>
      <c r="Y285">
        <v>0</v>
      </c>
      <c r="Z285">
        <v>0</v>
      </c>
      <c r="AA285">
        <v>9</v>
      </c>
      <c r="AB285">
        <v>9</v>
      </c>
      <c r="AC285" t="s">
        <v>310</v>
      </c>
      <c r="AD285">
        <v>9</v>
      </c>
      <c r="AE285" t="s">
        <v>1394</v>
      </c>
      <c r="AF285">
        <v>100000000</v>
      </c>
      <c r="AG285" t="s">
        <v>310</v>
      </c>
      <c r="AH285">
        <f>SUM((MID(Dyno_Data[[#This Row],[Team]],4,5))+(Dyno_Data[[#This Row],[Match]]/100))</f>
        <v>3044.05</v>
      </c>
      <c r="AI285" s="76">
        <f>ROUND(SUM(IF(Dyno_Data[[#This Row],[AcqCenter]]&gt;0,Dyno_Data[[#This Row],[Time]]-SUMIFS(Dyno_Data[Time],Dyno_Data[Team],Dyno_Data[[#This Row],[Team]],Dyno_Data[RecordType],"StartMatch",Dyno_Data[Match],Dyno_Data[[#This Row],[Match]]),0)*86400),0)</f>
        <v>0</v>
      </c>
    </row>
    <row r="286" spans="1:35" x14ac:dyDescent="0.3">
      <c r="A286">
        <v>285</v>
      </c>
      <c r="B286" t="s">
        <v>1303</v>
      </c>
      <c r="C286">
        <v>5</v>
      </c>
      <c r="D286" s="105">
        <v>45373.401550844908</v>
      </c>
      <c r="E286" t="s">
        <v>312</v>
      </c>
      <c r="F286" t="s">
        <v>1402</v>
      </c>
      <c r="G286">
        <v>0</v>
      </c>
      <c r="H286" t="s">
        <v>315</v>
      </c>
      <c r="I286">
        <v>0</v>
      </c>
      <c r="J286">
        <v>0</v>
      </c>
      <c r="K286">
        <v>0</v>
      </c>
      <c r="L286" t="s">
        <v>240</v>
      </c>
      <c r="M286" t="s">
        <v>1398</v>
      </c>
      <c r="N286">
        <v>0</v>
      </c>
      <c r="O286" t="s">
        <v>319</v>
      </c>
      <c r="P286" t="s">
        <v>310</v>
      </c>
      <c r="Q286" t="s">
        <v>310</v>
      </c>
      <c r="R286" t="s">
        <v>310</v>
      </c>
      <c r="S286">
        <v>9</v>
      </c>
      <c r="T286" t="s">
        <v>310</v>
      </c>
      <c r="U286">
        <v>9</v>
      </c>
      <c r="V286">
        <v>9</v>
      </c>
      <c r="W286">
        <v>0</v>
      </c>
      <c r="X286">
        <v>0</v>
      </c>
      <c r="Y286">
        <v>0</v>
      </c>
      <c r="Z286">
        <v>0</v>
      </c>
      <c r="AA286">
        <v>9</v>
      </c>
      <c r="AB286">
        <v>9</v>
      </c>
      <c r="AC286" t="s">
        <v>310</v>
      </c>
      <c r="AD286">
        <v>9</v>
      </c>
      <c r="AE286" t="s">
        <v>1392</v>
      </c>
      <c r="AF286">
        <v>60000000</v>
      </c>
      <c r="AG286" t="s">
        <v>310</v>
      </c>
      <c r="AH286">
        <f>SUM((MID(Dyno_Data[[#This Row],[Team]],4,5))+(Dyno_Data[[#This Row],[Match]]/100))</f>
        <v>7605.05</v>
      </c>
      <c r="AI286" s="76">
        <f>ROUND(SUM(IF(Dyno_Data[[#This Row],[AcqCenter]]&gt;0,Dyno_Data[[#This Row],[Time]]-SUMIFS(Dyno_Data[Time],Dyno_Data[Team],Dyno_Data[[#This Row],[Team]],Dyno_Data[RecordType],"StartMatch",Dyno_Data[Match],Dyno_Data[[#This Row],[Match]]),0)*86400),0)</f>
        <v>0</v>
      </c>
    </row>
    <row r="287" spans="1:35" x14ac:dyDescent="0.3">
      <c r="A287">
        <v>286</v>
      </c>
      <c r="B287" t="s">
        <v>1300</v>
      </c>
      <c r="C287">
        <v>5</v>
      </c>
      <c r="D287" s="105">
        <v>45373.401616087962</v>
      </c>
      <c r="E287" t="s">
        <v>312</v>
      </c>
      <c r="F287" t="s">
        <v>1402</v>
      </c>
      <c r="G287">
        <v>0</v>
      </c>
      <c r="H287" t="s">
        <v>315</v>
      </c>
      <c r="I287">
        <v>0</v>
      </c>
      <c r="J287">
        <v>0</v>
      </c>
      <c r="K287">
        <v>0</v>
      </c>
      <c r="L287" t="s">
        <v>241</v>
      </c>
      <c r="M287" t="s">
        <v>1398</v>
      </c>
      <c r="N287">
        <v>0</v>
      </c>
      <c r="O287" t="s">
        <v>1389</v>
      </c>
      <c r="P287" t="s">
        <v>310</v>
      </c>
      <c r="Q287" t="s">
        <v>310</v>
      </c>
      <c r="R287" t="s">
        <v>310</v>
      </c>
      <c r="S287">
        <v>9</v>
      </c>
      <c r="T287" t="s">
        <v>310</v>
      </c>
      <c r="U287">
        <v>9</v>
      </c>
      <c r="V287">
        <v>9</v>
      </c>
      <c r="W287">
        <v>0</v>
      </c>
      <c r="X287">
        <v>0</v>
      </c>
      <c r="Y287">
        <v>0</v>
      </c>
      <c r="Z287">
        <v>0</v>
      </c>
      <c r="AA287">
        <v>9</v>
      </c>
      <c r="AB287">
        <v>9</v>
      </c>
      <c r="AC287" t="s">
        <v>310</v>
      </c>
      <c r="AD287">
        <v>9</v>
      </c>
      <c r="AE287" t="s">
        <v>1394</v>
      </c>
      <c r="AF287">
        <v>110000000</v>
      </c>
      <c r="AG287" t="s">
        <v>310</v>
      </c>
      <c r="AH287">
        <f>SUM((MID(Dyno_Data[[#This Row],[Team]],4,5))+(Dyno_Data[[#This Row],[Match]]/100))</f>
        <v>3044.05</v>
      </c>
      <c r="AI287" s="76">
        <f>ROUND(SUM(IF(Dyno_Data[[#This Row],[AcqCenter]]&gt;0,Dyno_Data[[#This Row],[Time]]-SUMIFS(Dyno_Data[Time],Dyno_Data[Team],Dyno_Data[[#This Row],[Team]],Dyno_Data[RecordType],"StartMatch",Dyno_Data[Match],Dyno_Data[[#This Row],[Match]]),0)*86400),0)</f>
        <v>0</v>
      </c>
    </row>
    <row r="288" spans="1:35" x14ac:dyDescent="0.3">
      <c r="A288">
        <v>287</v>
      </c>
      <c r="B288" t="s">
        <v>1301</v>
      </c>
      <c r="C288">
        <v>5</v>
      </c>
      <c r="D288" s="105">
        <v>45373.401646562503</v>
      </c>
      <c r="E288" t="s">
        <v>312</v>
      </c>
      <c r="F288" t="s">
        <v>1402</v>
      </c>
      <c r="G288">
        <v>0</v>
      </c>
      <c r="H288" t="s">
        <v>315</v>
      </c>
      <c r="I288">
        <v>0</v>
      </c>
      <c r="J288">
        <v>0</v>
      </c>
      <c r="K288">
        <v>0</v>
      </c>
      <c r="L288" t="s">
        <v>241</v>
      </c>
      <c r="M288" t="s">
        <v>101</v>
      </c>
      <c r="N288">
        <v>1</v>
      </c>
      <c r="O288" t="s">
        <v>311</v>
      </c>
      <c r="P288" t="s">
        <v>310</v>
      </c>
      <c r="Q288" t="s">
        <v>310</v>
      </c>
      <c r="R288" t="s">
        <v>310</v>
      </c>
      <c r="S288">
        <v>9</v>
      </c>
      <c r="T288" t="s">
        <v>310</v>
      </c>
      <c r="U288">
        <v>9</v>
      </c>
      <c r="V288">
        <v>9</v>
      </c>
      <c r="W288">
        <v>0</v>
      </c>
      <c r="X288">
        <v>0</v>
      </c>
      <c r="Y288">
        <v>0</v>
      </c>
      <c r="Z288">
        <v>0</v>
      </c>
      <c r="AA288">
        <v>9</v>
      </c>
      <c r="AB288">
        <v>9</v>
      </c>
      <c r="AC288" t="s">
        <v>310</v>
      </c>
      <c r="AD288">
        <v>9</v>
      </c>
      <c r="AE288" t="s">
        <v>1387</v>
      </c>
      <c r="AF288">
        <v>30000000</v>
      </c>
      <c r="AG288" t="s">
        <v>310</v>
      </c>
      <c r="AH288">
        <f>SUM((MID(Dyno_Data[[#This Row],[Team]],4,5))+(Dyno_Data[[#This Row],[Match]]/100))</f>
        <v>7031.05</v>
      </c>
      <c r="AI288" s="76">
        <f>ROUND(SUM(IF(Dyno_Data[[#This Row],[AcqCenter]]&gt;0,Dyno_Data[[#This Row],[Time]]-SUMIFS(Dyno_Data[Time],Dyno_Data[Team],Dyno_Data[[#This Row],[Team]],Dyno_Data[RecordType],"StartMatch",Dyno_Data[Match],Dyno_Data[[#This Row],[Match]]),0)*86400),0)</f>
        <v>0</v>
      </c>
    </row>
    <row r="289" spans="1:35" x14ac:dyDescent="0.3">
      <c r="A289">
        <v>288</v>
      </c>
      <c r="B289" t="s">
        <v>1303</v>
      </c>
      <c r="C289">
        <v>5</v>
      </c>
      <c r="D289" s="105">
        <v>45373.401674618057</v>
      </c>
      <c r="E289" t="s">
        <v>312</v>
      </c>
      <c r="F289" t="s">
        <v>1402</v>
      </c>
      <c r="G289">
        <v>0</v>
      </c>
      <c r="H289" t="s">
        <v>315</v>
      </c>
      <c r="I289">
        <v>0</v>
      </c>
      <c r="J289">
        <v>0</v>
      </c>
      <c r="K289">
        <v>0</v>
      </c>
      <c r="L289" t="s">
        <v>240</v>
      </c>
      <c r="M289" t="s">
        <v>1398</v>
      </c>
      <c r="N289">
        <v>0</v>
      </c>
      <c r="O289" t="s">
        <v>319</v>
      </c>
      <c r="P289" t="s">
        <v>310</v>
      </c>
      <c r="Q289" t="s">
        <v>310</v>
      </c>
      <c r="R289" t="s">
        <v>310</v>
      </c>
      <c r="S289">
        <v>9</v>
      </c>
      <c r="T289" t="s">
        <v>310</v>
      </c>
      <c r="U289">
        <v>9</v>
      </c>
      <c r="V289">
        <v>9</v>
      </c>
      <c r="W289">
        <v>0</v>
      </c>
      <c r="X289">
        <v>0</v>
      </c>
      <c r="Y289">
        <v>0</v>
      </c>
      <c r="Z289">
        <v>0</v>
      </c>
      <c r="AA289">
        <v>9</v>
      </c>
      <c r="AB289">
        <v>9</v>
      </c>
      <c r="AC289" t="s">
        <v>310</v>
      </c>
      <c r="AD289">
        <v>9</v>
      </c>
      <c r="AE289" t="s">
        <v>1392</v>
      </c>
      <c r="AF289">
        <v>70000000</v>
      </c>
      <c r="AG289" t="s">
        <v>310</v>
      </c>
      <c r="AH289">
        <f>SUM((MID(Dyno_Data[[#This Row],[Team]],4,5))+(Dyno_Data[[#This Row],[Match]]/100))</f>
        <v>7605.05</v>
      </c>
      <c r="AI289" s="76">
        <f>ROUND(SUM(IF(Dyno_Data[[#This Row],[AcqCenter]]&gt;0,Dyno_Data[[#This Row],[Time]]-SUMIFS(Dyno_Data[Time],Dyno_Data[Team],Dyno_Data[[#This Row],[Team]],Dyno_Data[RecordType],"StartMatch",Dyno_Data[Match],Dyno_Data[[#This Row],[Match]]),0)*86400),0)</f>
        <v>0</v>
      </c>
    </row>
    <row r="290" spans="1:35" x14ac:dyDescent="0.3">
      <c r="A290">
        <v>289</v>
      </c>
      <c r="B290" t="s">
        <v>1300</v>
      </c>
      <c r="C290">
        <v>5</v>
      </c>
      <c r="D290" s="105">
        <v>45373.401727581018</v>
      </c>
      <c r="E290" t="s">
        <v>312</v>
      </c>
      <c r="F290" t="s">
        <v>1402</v>
      </c>
      <c r="G290">
        <v>0</v>
      </c>
      <c r="H290" t="s">
        <v>315</v>
      </c>
      <c r="I290">
        <v>0</v>
      </c>
      <c r="J290">
        <v>0</v>
      </c>
      <c r="K290">
        <v>0</v>
      </c>
      <c r="L290" t="s">
        <v>241</v>
      </c>
      <c r="M290" t="s">
        <v>1398</v>
      </c>
      <c r="N290">
        <v>1</v>
      </c>
      <c r="O290" t="s">
        <v>1389</v>
      </c>
      <c r="P290" t="s">
        <v>310</v>
      </c>
      <c r="Q290" t="s">
        <v>310</v>
      </c>
      <c r="R290" t="s">
        <v>310</v>
      </c>
      <c r="S290">
        <v>9</v>
      </c>
      <c r="T290" t="s">
        <v>310</v>
      </c>
      <c r="U290">
        <v>9</v>
      </c>
      <c r="V290">
        <v>9</v>
      </c>
      <c r="W290">
        <v>0</v>
      </c>
      <c r="X290">
        <v>0</v>
      </c>
      <c r="Y290">
        <v>0</v>
      </c>
      <c r="Z290">
        <v>0</v>
      </c>
      <c r="AA290">
        <v>9</v>
      </c>
      <c r="AB290">
        <v>9</v>
      </c>
      <c r="AC290" t="s">
        <v>310</v>
      </c>
      <c r="AD290">
        <v>9</v>
      </c>
      <c r="AE290" t="s">
        <v>1394</v>
      </c>
      <c r="AF290">
        <v>120000000</v>
      </c>
      <c r="AG290" t="s">
        <v>310</v>
      </c>
      <c r="AH290">
        <f>SUM((MID(Dyno_Data[[#This Row],[Team]],4,5))+(Dyno_Data[[#This Row],[Match]]/100))</f>
        <v>3044.05</v>
      </c>
      <c r="AI290" s="76">
        <f>ROUND(SUM(IF(Dyno_Data[[#This Row],[AcqCenter]]&gt;0,Dyno_Data[[#This Row],[Time]]-SUMIFS(Dyno_Data[Time],Dyno_Data[Team],Dyno_Data[[#This Row],[Team]],Dyno_Data[RecordType],"StartMatch",Dyno_Data[Match],Dyno_Data[[#This Row],[Match]]),0)*86400),0)</f>
        <v>0</v>
      </c>
    </row>
    <row r="291" spans="1:35" x14ac:dyDescent="0.3">
      <c r="A291">
        <v>290</v>
      </c>
      <c r="B291" t="s">
        <v>1302</v>
      </c>
      <c r="C291">
        <v>5</v>
      </c>
      <c r="D291" s="105">
        <v>45373.40173834491</v>
      </c>
      <c r="E291" t="s">
        <v>312</v>
      </c>
      <c r="F291" t="s">
        <v>1402</v>
      </c>
      <c r="G291">
        <v>0</v>
      </c>
      <c r="H291" t="s">
        <v>315</v>
      </c>
      <c r="I291">
        <v>0</v>
      </c>
      <c r="J291">
        <v>0</v>
      </c>
      <c r="K291">
        <v>0</v>
      </c>
      <c r="L291" t="s">
        <v>240</v>
      </c>
      <c r="M291" t="s">
        <v>1398</v>
      </c>
      <c r="N291">
        <v>0</v>
      </c>
      <c r="O291" t="s">
        <v>1391</v>
      </c>
      <c r="P291" t="s">
        <v>310</v>
      </c>
      <c r="Q291" t="s">
        <v>310</v>
      </c>
      <c r="R291" t="s">
        <v>310</v>
      </c>
      <c r="S291">
        <v>9</v>
      </c>
      <c r="T291" t="s">
        <v>310</v>
      </c>
      <c r="U291">
        <v>9</v>
      </c>
      <c r="V291">
        <v>9</v>
      </c>
      <c r="W291">
        <v>0</v>
      </c>
      <c r="X291">
        <v>0</v>
      </c>
      <c r="Y291">
        <v>0</v>
      </c>
      <c r="Z291">
        <v>0</v>
      </c>
      <c r="AA291">
        <v>9</v>
      </c>
      <c r="AB291">
        <v>9</v>
      </c>
      <c r="AC291" t="s">
        <v>310</v>
      </c>
      <c r="AD291">
        <v>9</v>
      </c>
      <c r="AE291" t="s">
        <v>1388</v>
      </c>
      <c r="AF291">
        <v>20000000</v>
      </c>
      <c r="AG291" t="s">
        <v>310</v>
      </c>
      <c r="AH291">
        <f>SUM((MID(Dyno_Data[[#This Row],[Team]],4,5))+(Dyno_Data[[#This Row],[Match]]/100))</f>
        <v>2095.0500000000002</v>
      </c>
      <c r="AI291" s="76">
        <f>ROUND(SUM(IF(Dyno_Data[[#This Row],[AcqCenter]]&gt;0,Dyno_Data[[#This Row],[Time]]-SUMIFS(Dyno_Data[Time],Dyno_Data[Team],Dyno_Data[[#This Row],[Team]],Dyno_Data[RecordType],"StartMatch",Dyno_Data[Match],Dyno_Data[[#This Row],[Match]]),0)*86400),0)</f>
        <v>0</v>
      </c>
    </row>
    <row r="292" spans="1:35" x14ac:dyDescent="0.3">
      <c r="A292">
        <v>291</v>
      </c>
      <c r="B292" t="s">
        <v>1300</v>
      </c>
      <c r="C292">
        <v>5</v>
      </c>
      <c r="D292" s="105">
        <v>45373.401809178242</v>
      </c>
      <c r="E292" t="s">
        <v>312</v>
      </c>
      <c r="F292" t="s">
        <v>1402</v>
      </c>
      <c r="G292">
        <v>0</v>
      </c>
      <c r="H292" t="s">
        <v>315</v>
      </c>
      <c r="I292">
        <v>0</v>
      </c>
      <c r="J292">
        <v>0</v>
      </c>
      <c r="K292">
        <v>0</v>
      </c>
      <c r="L292" t="s">
        <v>241</v>
      </c>
      <c r="M292" t="s">
        <v>1398</v>
      </c>
      <c r="N292">
        <v>1</v>
      </c>
      <c r="O292" t="s">
        <v>1389</v>
      </c>
      <c r="P292" t="s">
        <v>310</v>
      </c>
      <c r="Q292" t="s">
        <v>310</v>
      </c>
      <c r="R292" t="s">
        <v>310</v>
      </c>
      <c r="S292">
        <v>9</v>
      </c>
      <c r="T292" t="s">
        <v>310</v>
      </c>
      <c r="U292">
        <v>9</v>
      </c>
      <c r="V292">
        <v>9</v>
      </c>
      <c r="W292">
        <v>0</v>
      </c>
      <c r="X292">
        <v>0</v>
      </c>
      <c r="Y292">
        <v>0</v>
      </c>
      <c r="Z292">
        <v>0</v>
      </c>
      <c r="AA292">
        <v>9</v>
      </c>
      <c r="AB292">
        <v>9</v>
      </c>
      <c r="AC292" t="s">
        <v>310</v>
      </c>
      <c r="AD292">
        <v>9</v>
      </c>
      <c r="AE292" t="s">
        <v>1394</v>
      </c>
      <c r="AF292">
        <v>130000000</v>
      </c>
      <c r="AG292" t="s">
        <v>310</v>
      </c>
      <c r="AH292">
        <f>SUM((MID(Dyno_Data[[#This Row],[Team]],4,5))+(Dyno_Data[[#This Row],[Match]]/100))</f>
        <v>3044.05</v>
      </c>
      <c r="AI292" s="76">
        <f>ROUND(SUM(IF(Dyno_Data[[#This Row],[AcqCenter]]&gt;0,Dyno_Data[[#This Row],[Time]]-SUMIFS(Dyno_Data[Time],Dyno_Data[Team],Dyno_Data[[#This Row],[Team]],Dyno_Data[RecordType],"StartMatch",Dyno_Data[Match],Dyno_Data[[#This Row],[Match]]),0)*86400),0)</f>
        <v>0</v>
      </c>
    </row>
    <row r="293" spans="1:35" x14ac:dyDescent="0.3">
      <c r="A293">
        <v>292</v>
      </c>
      <c r="B293" t="s">
        <v>1303</v>
      </c>
      <c r="C293">
        <v>5</v>
      </c>
      <c r="D293" s="105">
        <v>45373.401844641201</v>
      </c>
      <c r="E293" t="s">
        <v>312</v>
      </c>
      <c r="F293" t="s">
        <v>1402</v>
      </c>
      <c r="G293">
        <v>0</v>
      </c>
      <c r="H293" t="s">
        <v>315</v>
      </c>
      <c r="I293">
        <v>0</v>
      </c>
      <c r="J293">
        <v>0</v>
      </c>
      <c r="K293">
        <v>0</v>
      </c>
      <c r="L293" t="s">
        <v>240</v>
      </c>
      <c r="M293" t="s">
        <v>1398</v>
      </c>
      <c r="N293">
        <v>0</v>
      </c>
      <c r="O293" t="s">
        <v>319</v>
      </c>
      <c r="P293" t="s">
        <v>310</v>
      </c>
      <c r="Q293" t="s">
        <v>310</v>
      </c>
      <c r="R293" t="s">
        <v>310</v>
      </c>
      <c r="S293">
        <v>9</v>
      </c>
      <c r="T293" t="s">
        <v>310</v>
      </c>
      <c r="U293">
        <v>9</v>
      </c>
      <c r="V293">
        <v>9</v>
      </c>
      <c r="W293">
        <v>0</v>
      </c>
      <c r="X293">
        <v>0</v>
      </c>
      <c r="Y293">
        <v>0</v>
      </c>
      <c r="Z293">
        <v>0</v>
      </c>
      <c r="AA293">
        <v>9</v>
      </c>
      <c r="AB293">
        <v>9</v>
      </c>
      <c r="AC293" t="s">
        <v>310</v>
      </c>
      <c r="AD293">
        <v>9</v>
      </c>
      <c r="AE293" t="s">
        <v>1392</v>
      </c>
      <c r="AF293">
        <v>80000000</v>
      </c>
      <c r="AG293" t="s">
        <v>310</v>
      </c>
      <c r="AH293">
        <f>SUM((MID(Dyno_Data[[#This Row],[Team]],4,5))+(Dyno_Data[[#This Row],[Match]]/100))</f>
        <v>7605.05</v>
      </c>
      <c r="AI293" s="76">
        <f>ROUND(SUM(IF(Dyno_Data[[#This Row],[AcqCenter]]&gt;0,Dyno_Data[[#This Row],[Time]]-SUMIFS(Dyno_Data[Time],Dyno_Data[Team],Dyno_Data[[#This Row],[Team]],Dyno_Data[RecordType],"StartMatch",Dyno_Data[Match],Dyno_Data[[#This Row],[Match]]),0)*86400),0)</f>
        <v>0</v>
      </c>
    </row>
    <row r="294" spans="1:35" x14ac:dyDescent="0.3">
      <c r="A294">
        <v>293</v>
      </c>
      <c r="B294" t="s">
        <v>1301</v>
      </c>
      <c r="C294">
        <v>5</v>
      </c>
      <c r="D294" s="105">
        <v>45373.401938738425</v>
      </c>
      <c r="E294" t="s">
        <v>312</v>
      </c>
      <c r="F294" t="s">
        <v>1402</v>
      </c>
      <c r="G294">
        <v>0</v>
      </c>
      <c r="H294" t="s">
        <v>315</v>
      </c>
      <c r="I294">
        <v>0</v>
      </c>
      <c r="J294">
        <v>0</v>
      </c>
      <c r="K294">
        <v>0</v>
      </c>
      <c r="L294" t="s">
        <v>241</v>
      </c>
      <c r="M294" t="s">
        <v>101</v>
      </c>
      <c r="N294">
        <v>1</v>
      </c>
      <c r="O294" t="s">
        <v>311</v>
      </c>
      <c r="P294" t="s">
        <v>310</v>
      </c>
      <c r="Q294" t="s">
        <v>310</v>
      </c>
      <c r="R294" t="s">
        <v>310</v>
      </c>
      <c r="S294">
        <v>9</v>
      </c>
      <c r="T294" t="s">
        <v>310</v>
      </c>
      <c r="U294">
        <v>9</v>
      </c>
      <c r="V294">
        <v>9</v>
      </c>
      <c r="W294">
        <v>0</v>
      </c>
      <c r="X294">
        <v>0</v>
      </c>
      <c r="Y294">
        <v>0</v>
      </c>
      <c r="Z294">
        <v>0</v>
      </c>
      <c r="AA294">
        <v>9</v>
      </c>
      <c r="AB294">
        <v>9</v>
      </c>
      <c r="AC294" t="s">
        <v>310</v>
      </c>
      <c r="AD294">
        <v>9</v>
      </c>
      <c r="AE294" t="s">
        <v>1387</v>
      </c>
      <c r="AF294">
        <v>40000000</v>
      </c>
      <c r="AG294" t="s">
        <v>310</v>
      </c>
      <c r="AH294">
        <f>SUM((MID(Dyno_Data[[#This Row],[Team]],4,5))+(Dyno_Data[[#This Row],[Match]]/100))</f>
        <v>7031.05</v>
      </c>
      <c r="AI294" s="76">
        <f>ROUND(SUM(IF(Dyno_Data[[#This Row],[AcqCenter]]&gt;0,Dyno_Data[[#This Row],[Time]]-SUMIFS(Dyno_Data[Time],Dyno_Data[Team],Dyno_Data[[#This Row],[Team]],Dyno_Data[RecordType],"StartMatch",Dyno_Data[Match],Dyno_Data[[#This Row],[Match]]),0)*86400),0)</f>
        <v>0</v>
      </c>
    </row>
    <row r="295" spans="1:35" x14ac:dyDescent="0.3">
      <c r="A295">
        <v>294</v>
      </c>
      <c r="B295" t="s">
        <v>1300</v>
      </c>
      <c r="C295">
        <v>5</v>
      </c>
      <c r="D295" s="105">
        <v>45373.402008182871</v>
      </c>
      <c r="E295" t="s">
        <v>312</v>
      </c>
      <c r="F295" t="s">
        <v>1402</v>
      </c>
      <c r="G295">
        <v>0</v>
      </c>
      <c r="H295" t="s">
        <v>315</v>
      </c>
      <c r="I295">
        <v>0</v>
      </c>
      <c r="J295">
        <v>0</v>
      </c>
      <c r="K295">
        <v>0</v>
      </c>
      <c r="L295" t="s">
        <v>241</v>
      </c>
      <c r="M295" t="s">
        <v>1398</v>
      </c>
      <c r="N295">
        <v>0</v>
      </c>
      <c r="O295" t="s">
        <v>1389</v>
      </c>
      <c r="P295" t="s">
        <v>310</v>
      </c>
      <c r="Q295" t="s">
        <v>310</v>
      </c>
      <c r="R295" t="s">
        <v>310</v>
      </c>
      <c r="S295">
        <v>9</v>
      </c>
      <c r="T295" t="s">
        <v>310</v>
      </c>
      <c r="U295">
        <v>9</v>
      </c>
      <c r="V295">
        <v>9</v>
      </c>
      <c r="W295">
        <v>0</v>
      </c>
      <c r="X295">
        <v>0</v>
      </c>
      <c r="Y295">
        <v>0</v>
      </c>
      <c r="Z295">
        <v>0</v>
      </c>
      <c r="AA295">
        <v>9</v>
      </c>
      <c r="AB295">
        <v>9</v>
      </c>
      <c r="AC295" t="s">
        <v>310</v>
      </c>
      <c r="AD295">
        <v>9</v>
      </c>
      <c r="AE295" t="s">
        <v>1394</v>
      </c>
      <c r="AF295">
        <v>140000000</v>
      </c>
      <c r="AG295" t="s">
        <v>310</v>
      </c>
      <c r="AH295">
        <f>SUM((MID(Dyno_Data[[#This Row],[Team]],4,5))+(Dyno_Data[[#This Row],[Match]]/100))</f>
        <v>3044.05</v>
      </c>
      <c r="AI295" s="76">
        <f>ROUND(SUM(IF(Dyno_Data[[#This Row],[AcqCenter]]&gt;0,Dyno_Data[[#This Row],[Time]]-SUMIFS(Dyno_Data[Time],Dyno_Data[Team],Dyno_Data[[#This Row],[Team]],Dyno_Data[RecordType],"StartMatch",Dyno_Data[Match],Dyno_Data[[#This Row],[Match]]),0)*86400),0)</f>
        <v>0</v>
      </c>
    </row>
    <row r="296" spans="1:35" x14ac:dyDescent="0.3">
      <c r="A296">
        <v>295</v>
      </c>
      <c r="B296" t="s">
        <v>1300</v>
      </c>
      <c r="C296">
        <v>5</v>
      </c>
      <c r="D296" s="105">
        <v>45373.40205315972</v>
      </c>
      <c r="E296" t="s">
        <v>312</v>
      </c>
      <c r="F296" t="s">
        <v>1402</v>
      </c>
      <c r="G296">
        <v>0</v>
      </c>
      <c r="H296" t="s">
        <v>315</v>
      </c>
      <c r="I296">
        <v>0</v>
      </c>
      <c r="J296">
        <v>0</v>
      </c>
      <c r="K296">
        <v>0</v>
      </c>
      <c r="L296" t="s">
        <v>241</v>
      </c>
      <c r="M296" t="s">
        <v>1398</v>
      </c>
      <c r="N296">
        <v>0</v>
      </c>
      <c r="O296" t="s">
        <v>1389</v>
      </c>
      <c r="P296" t="s">
        <v>310</v>
      </c>
      <c r="Q296" t="s">
        <v>310</v>
      </c>
      <c r="R296" t="s">
        <v>310</v>
      </c>
      <c r="S296">
        <v>9</v>
      </c>
      <c r="T296" t="s">
        <v>310</v>
      </c>
      <c r="U296">
        <v>9</v>
      </c>
      <c r="V296">
        <v>9</v>
      </c>
      <c r="W296">
        <v>0</v>
      </c>
      <c r="X296">
        <v>0</v>
      </c>
      <c r="Y296">
        <v>0</v>
      </c>
      <c r="Z296">
        <v>0</v>
      </c>
      <c r="AA296">
        <v>9</v>
      </c>
      <c r="AB296">
        <v>9</v>
      </c>
      <c r="AC296" t="s">
        <v>310</v>
      </c>
      <c r="AD296">
        <v>9</v>
      </c>
      <c r="AE296" t="s">
        <v>1394</v>
      </c>
      <c r="AF296">
        <v>150000000</v>
      </c>
      <c r="AG296" t="s">
        <v>310</v>
      </c>
      <c r="AH296">
        <f>SUM((MID(Dyno_Data[[#This Row],[Team]],4,5))+(Dyno_Data[[#This Row],[Match]]/100))</f>
        <v>3044.05</v>
      </c>
      <c r="AI296" s="76">
        <f>ROUND(SUM(IF(Dyno_Data[[#This Row],[AcqCenter]]&gt;0,Dyno_Data[[#This Row],[Time]]-SUMIFS(Dyno_Data[Time],Dyno_Data[Team],Dyno_Data[[#This Row],[Team]],Dyno_Data[RecordType],"StartMatch",Dyno_Data[Match],Dyno_Data[[#This Row],[Match]]),0)*86400),0)</f>
        <v>0</v>
      </c>
    </row>
    <row r="297" spans="1:35" x14ac:dyDescent="0.3">
      <c r="A297">
        <v>296</v>
      </c>
      <c r="B297" t="s">
        <v>1301</v>
      </c>
      <c r="C297">
        <v>5</v>
      </c>
      <c r="D297" s="105">
        <v>45373.402079942127</v>
      </c>
      <c r="E297" t="s">
        <v>312</v>
      </c>
      <c r="F297" t="s">
        <v>1402</v>
      </c>
      <c r="G297">
        <v>0</v>
      </c>
      <c r="H297" t="s">
        <v>315</v>
      </c>
      <c r="I297">
        <v>0</v>
      </c>
      <c r="J297">
        <v>0</v>
      </c>
      <c r="K297">
        <v>0</v>
      </c>
      <c r="L297" t="s">
        <v>241</v>
      </c>
      <c r="M297" t="s">
        <v>101</v>
      </c>
      <c r="N297">
        <v>1</v>
      </c>
      <c r="O297" t="s">
        <v>311</v>
      </c>
      <c r="P297" t="s">
        <v>310</v>
      </c>
      <c r="Q297" t="s">
        <v>310</v>
      </c>
      <c r="R297" t="s">
        <v>310</v>
      </c>
      <c r="S297">
        <v>9</v>
      </c>
      <c r="T297" t="s">
        <v>310</v>
      </c>
      <c r="U297">
        <v>9</v>
      </c>
      <c r="V297">
        <v>9</v>
      </c>
      <c r="W297">
        <v>0</v>
      </c>
      <c r="X297">
        <v>0</v>
      </c>
      <c r="Y297">
        <v>0</v>
      </c>
      <c r="Z297">
        <v>0</v>
      </c>
      <c r="AA297">
        <v>9</v>
      </c>
      <c r="AB297">
        <v>9</v>
      </c>
      <c r="AC297" t="s">
        <v>310</v>
      </c>
      <c r="AD297">
        <v>9</v>
      </c>
      <c r="AE297" t="s">
        <v>1387</v>
      </c>
      <c r="AF297">
        <v>50000000</v>
      </c>
      <c r="AG297" t="s">
        <v>310</v>
      </c>
      <c r="AH297">
        <f>SUM((MID(Dyno_Data[[#This Row],[Team]],4,5))+(Dyno_Data[[#This Row],[Match]]/100))</f>
        <v>7031.05</v>
      </c>
      <c r="AI297" s="76">
        <f>ROUND(SUM(IF(Dyno_Data[[#This Row],[AcqCenter]]&gt;0,Dyno_Data[[#This Row],[Time]]-SUMIFS(Dyno_Data[Time],Dyno_Data[Team],Dyno_Data[[#This Row],[Team]],Dyno_Data[RecordType],"StartMatch",Dyno_Data[Match],Dyno_Data[[#This Row],[Match]]),0)*86400),0)</f>
        <v>0</v>
      </c>
    </row>
    <row r="298" spans="1:35" x14ac:dyDescent="0.3">
      <c r="A298">
        <v>297</v>
      </c>
      <c r="B298" t="s">
        <v>371</v>
      </c>
      <c r="C298">
        <v>5</v>
      </c>
      <c r="D298" s="105">
        <v>45373.40215454861</v>
      </c>
      <c r="E298" t="s">
        <v>312</v>
      </c>
      <c r="F298" t="s">
        <v>1402</v>
      </c>
      <c r="G298">
        <v>0</v>
      </c>
      <c r="H298" t="s">
        <v>1397</v>
      </c>
      <c r="I298">
        <v>0</v>
      </c>
      <c r="J298">
        <v>0</v>
      </c>
      <c r="K298">
        <v>0</v>
      </c>
      <c r="L298" t="s">
        <v>240</v>
      </c>
      <c r="M298" t="s">
        <v>1398</v>
      </c>
      <c r="N298">
        <v>1</v>
      </c>
      <c r="O298" t="s">
        <v>1393</v>
      </c>
      <c r="P298" t="s">
        <v>310</v>
      </c>
      <c r="Q298" t="s">
        <v>310</v>
      </c>
      <c r="R298" t="s">
        <v>310</v>
      </c>
      <c r="S298">
        <v>9</v>
      </c>
      <c r="T298" t="s">
        <v>310</v>
      </c>
      <c r="U298">
        <v>9</v>
      </c>
      <c r="V298">
        <v>9</v>
      </c>
      <c r="W298">
        <v>0</v>
      </c>
      <c r="X298">
        <v>0</v>
      </c>
      <c r="Y298">
        <v>0</v>
      </c>
      <c r="Z298">
        <v>0</v>
      </c>
      <c r="AA298">
        <v>9</v>
      </c>
      <c r="AB298">
        <v>9</v>
      </c>
      <c r="AC298" t="s">
        <v>310</v>
      </c>
      <c r="AD298">
        <v>9</v>
      </c>
      <c r="AE298" t="s">
        <v>1390</v>
      </c>
      <c r="AF298">
        <v>0</v>
      </c>
      <c r="AG298" t="s">
        <v>310</v>
      </c>
      <c r="AH298">
        <f>SUM((MID(Dyno_Data[[#This Row],[Team]],4,5))+(Dyno_Data[[#This Row],[Match]]/100))</f>
        <v>6969.05</v>
      </c>
      <c r="AI298" s="76">
        <f>ROUND(SUM(IF(Dyno_Data[[#This Row],[AcqCenter]]&gt;0,Dyno_Data[[#This Row],[Time]]-SUMIFS(Dyno_Data[Time],Dyno_Data[Team],Dyno_Data[[#This Row],[Team]],Dyno_Data[RecordType],"StartMatch",Dyno_Data[Match],Dyno_Data[[#This Row],[Match]]),0)*86400),0)</f>
        <v>0</v>
      </c>
    </row>
    <row r="299" spans="1:35" x14ac:dyDescent="0.3">
      <c r="A299">
        <v>298</v>
      </c>
      <c r="B299" t="s">
        <v>1303</v>
      </c>
      <c r="C299">
        <v>5</v>
      </c>
      <c r="D299" s="105">
        <v>45373.402332604164</v>
      </c>
      <c r="E299" t="s">
        <v>312</v>
      </c>
      <c r="F299" t="s">
        <v>317</v>
      </c>
      <c r="G299">
        <v>0</v>
      </c>
      <c r="H299" t="s">
        <v>315</v>
      </c>
      <c r="I299">
        <v>0</v>
      </c>
      <c r="J299">
        <v>0</v>
      </c>
      <c r="K299">
        <v>0</v>
      </c>
      <c r="L299" t="s">
        <v>1410</v>
      </c>
      <c r="M299" t="s">
        <v>153</v>
      </c>
      <c r="N299">
        <v>0</v>
      </c>
      <c r="O299" t="s">
        <v>319</v>
      </c>
      <c r="P299" t="s">
        <v>310</v>
      </c>
      <c r="Q299" t="s">
        <v>310</v>
      </c>
      <c r="R299" t="s">
        <v>310</v>
      </c>
      <c r="S299">
        <v>9</v>
      </c>
      <c r="T299" t="s">
        <v>310</v>
      </c>
      <c r="U299">
        <v>9</v>
      </c>
      <c r="V299">
        <v>9</v>
      </c>
      <c r="W299">
        <v>0</v>
      </c>
      <c r="X299">
        <v>0</v>
      </c>
      <c r="Y299">
        <v>0</v>
      </c>
      <c r="Z299">
        <v>0</v>
      </c>
      <c r="AA299">
        <v>9</v>
      </c>
      <c r="AB299">
        <v>9</v>
      </c>
      <c r="AC299" t="s">
        <v>310</v>
      </c>
      <c r="AD299">
        <v>9</v>
      </c>
      <c r="AE299" t="s">
        <v>1392</v>
      </c>
      <c r="AF299">
        <v>90000000</v>
      </c>
      <c r="AG299" t="s">
        <v>310</v>
      </c>
      <c r="AH299">
        <f>SUM((MID(Dyno_Data[[#This Row],[Team]],4,5))+(Dyno_Data[[#This Row],[Match]]/100))</f>
        <v>7605.05</v>
      </c>
      <c r="AI299" s="76">
        <f>ROUND(SUM(IF(Dyno_Data[[#This Row],[AcqCenter]]&gt;0,Dyno_Data[[#This Row],[Time]]-SUMIFS(Dyno_Data[Time],Dyno_Data[Team],Dyno_Data[[#This Row],[Team]],Dyno_Data[RecordType],"StartMatch",Dyno_Data[Match],Dyno_Data[[#This Row],[Match]]),0)*86400),0)</f>
        <v>0</v>
      </c>
    </row>
    <row r="300" spans="1:35" x14ac:dyDescent="0.3">
      <c r="A300">
        <v>299</v>
      </c>
      <c r="B300" t="s">
        <v>1301</v>
      </c>
      <c r="C300">
        <v>5</v>
      </c>
      <c r="D300" s="105">
        <v>45373.403898414355</v>
      </c>
      <c r="E300" t="s">
        <v>316</v>
      </c>
      <c r="F300" t="s">
        <v>317</v>
      </c>
      <c r="G300">
        <v>0</v>
      </c>
      <c r="H300" t="s">
        <v>310</v>
      </c>
      <c r="I300">
        <v>0</v>
      </c>
      <c r="J300">
        <v>0</v>
      </c>
      <c r="K300">
        <v>0</v>
      </c>
      <c r="L300" t="s">
        <v>310</v>
      </c>
      <c r="M300" t="s">
        <v>310</v>
      </c>
      <c r="N300">
        <v>0</v>
      </c>
      <c r="O300" t="s">
        <v>311</v>
      </c>
      <c r="P300" t="s">
        <v>1401</v>
      </c>
      <c r="Q300" t="s">
        <v>1399</v>
      </c>
      <c r="R300" t="s">
        <v>321</v>
      </c>
      <c r="S300">
        <v>0</v>
      </c>
      <c r="T300" t="s">
        <v>105</v>
      </c>
      <c r="U300">
        <v>9</v>
      </c>
      <c r="V300">
        <v>9</v>
      </c>
      <c r="W300">
        <v>0</v>
      </c>
      <c r="X300">
        <v>0</v>
      </c>
      <c r="Y300">
        <v>0</v>
      </c>
      <c r="Z300">
        <v>139.02841429999998</v>
      </c>
      <c r="AA300">
        <v>0</v>
      </c>
      <c r="AB300">
        <v>0</v>
      </c>
      <c r="AC300" t="s">
        <v>173</v>
      </c>
      <c r="AD300">
        <v>0</v>
      </c>
      <c r="AE300" t="s">
        <v>1387</v>
      </c>
      <c r="AF300">
        <v>50000000</v>
      </c>
      <c r="AG300" t="s">
        <v>310</v>
      </c>
      <c r="AH300">
        <f>SUM((MID(Dyno_Data[[#This Row],[Team]],4,5))+(Dyno_Data[[#This Row],[Match]]/100))</f>
        <v>7031.05</v>
      </c>
      <c r="AI300" s="76">
        <f>ROUND(SUM(IF(Dyno_Data[[#This Row],[AcqCenter]]&gt;0,Dyno_Data[[#This Row],[Time]]-SUMIFS(Dyno_Data[Time],Dyno_Data[Team],Dyno_Data[[#This Row],[Team]],Dyno_Data[RecordType],"StartMatch",Dyno_Data[Match],Dyno_Data[[#This Row],[Match]]),0)*86400),0)</f>
        <v>0</v>
      </c>
    </row>
    <row r="301" spans="1:35" x14ac:dyDescent="0.3">
      <c r="A301">
        <v>300</v>
      </c>
      <c r="B301" t="s">
        <v>1302</v>
      </c>
      <c r="C301">
        <v>5</v>
      </c>
      <c r="D301" s="105">
        <v>45373.403898576391</v>
      </c>
      <c r="E301" t="s">
        <v>316</v>
      </c>
      <c r="F301" t="s">
        <v>317</v>
      </c>
      <c r="G301">
        <v>1</v>
      </c>
      <c r="H301" t="s">
        <v>310</v>
      </c>
      <c r="I301">
        <v>0</v>
      </c>
      <c r="J301">
        <v>0</v>
      </c>
      <c r="K301">
        <v>0</v>
      </c>
      <c r="L301" t="s">
        <v>310</v>
      </c>
      <c r="M301" t="s">
        <v>310</v>
      </c>
      <c r="N301">
        <v>0</v>
      </c>
      <c r="O301" t="s">
        <v>1391</v>
      </c>
      <c r="P301" t="s">
        <v>320</v>
      </c>
      <c r="Q301" t="s">
        <v>1400</v>
      </c>
      <c r="R301" t="s">
        <v>1405</v>
      </c>
      <c r="S301">
        <v>1</v>
      </c>
      <c r="T301" t="s">
        <v>1407</v>
      </c>
      <c r="U301">
        <v>0</v>
      </c>
      <c r="V301">
        <v>0</v>
      </c>
      <c r="W301">
        <v>16.369701199999998</v>
      </c>
      <c r="X301">
        <v>51.302225700000001</v>
      </c>
      <c r="Y301">
        <v>11.971905899999999</v>
      </c>
      <c r="Z301">
        <v>49.932469099999999</v>
      </c>
      <c r="AA301">
        <v>0</v>
      </c>
      <c r="AB301">
        <v>2</v>
      </c>
      <c r="AC301" t="s">
        <v>174</v>
      </c>
      <c r="AD301">
        <v>9</v>
      </c>
      <c r="AE301" t="s">
        <v>1388</v>
      </c>
      <c r="AF301">
        <v>20000000</v>
      </c>
      <c r="AG301" t="s">
        <v>310</v>
      </c>
      <c r="AH301">
        <f>SUM((MID(Dyno_Data[[#This Row],[Team]],4,5))+(Dyno_Data[[#This Row],[Match]]/100))</f>
        <v>2095.0500000000002</v>
      </c>
      <c r="AI301" s="76">
        <f>ROUND(SUM(IF(Dyno_Data[[#This Row],[AcqCenter]]&gt;0,Dyno_Data[[#This Row],[Time]]-SUMIFS(Dyno_Data[Time],Dyno_Data[Team],Dyno_Data[[#This Row],[Team]],Dyno_Data[RecordType],"StartMatch",Dyno_Data[Match],Dyno_Data[[#This Row],[Match]]),0)*86400),0)</f>
        <v>0</v>
      </c>
    </row>
    <row r="302" spans="1:35" x14ac:dyDescent="0.3">
      <c r="A302">
        <v>301</v>
      </c>
      <c r="B302" t="s">
        <v>1303</v>
      </c>
      <c r="C302">
        <v>5</v>
      </c>
      <c r="D302" s="105">
        <v>45373.403898611112</v>
      </c>
      <c r="E302" t="s">
        <v>316</v>
      </c>
      <c r="F302" t="s">
        <v>317</v>
      </c>
      <c r="G302">
        <v>1</v>
      </c>
      <c r="H302" t="s">
        <v>310</v>
      </c>
      <c r="I302">
        <v>0</v>
      </c>
      <c r="J302">
        <v>0</v>
      </c>
      <c r="K302">
        <v>0</v>
      </c>
      <c r="L302" t="s">
        <v>310</v>
      </c>
      <c r="M302" t="s">
        <v>310</v>
      </c>
      <c r="N302">
        <v>0</v>
      </c>
      <c r="O302" t="s">
        <v>319</v>
      </c>
      <c r="P302" t="s">
        <v>240</v>
      </c>
      <c r="Q302" t="s">
        <v>1400</v>
      </c>
      <c r="R302" t="s">
        <v>1405</v>
      </c>
      <c r="S302">
        <v>1</v>
      </c>
      <c r="T302" t="s">
        <v>1406</v>
      </c>
      <c r="U302">
        <v>0</v>
      </c>
      <c r="V302">
        <v>0</v>
      </c>
      <c r="W302">
        <v>8.0245225999999992</v>
      </c>
      <c r="X302">
        <v>27.578859699999999</v>
      </c>
      <c r="Y302">
        <v>21.506410799999998</v>
      </c>
      <c r="Z302">
        <v>76.301018099999993</v>
      </c>
      <c r="AA302">
        <v>0</v>
      </c>
      <c r="AB302">
        <v>0</v>
      </c>
      <c r="AC302" t="s">
        <v>174</v>
      </c>
      <c r="AD302">
        <v>9</v>
      </c>
      <c r="AE302" t="s">
        <v>1392</v>
      </c>
      <c r="AF302">
        <v>90000000</v>
      </c>
      <c r="AG302" t="s">
        <v>310</v>
      </c>
      <c r="AH302">
        <f>SUM((MID(Dyno_Data[[#This Row],[Team]],4,5))+(Dyno_Data[[#This Row],[Match]]/100))</f>
        <v>7605.05</v>
      </c>
      <c r="AI302" s="76">
        <f>ROUND(SUM(IF(Dyno_Data[[#This Row],[AcqCenter]]&gt;0,Dyno_Data[[#This Row],[Time]]-SUMIFS(Dyno_Data[Time],Dyno_Data[Team],Dyno_Data[[#This Row],[Team]],Dyno_Data[RecordType],"StartMatch",Dyno_Data[Match],Dyno_Data[[#This Row],[Match]]),0)*86400),0)</f>
        <v>0</v>
      </c>
    </row>
    <row r="303" spans="1:35" x14ac:dyDescent="0.3">
      <c r="A303">
        <v>302</v>
      </c>
      <c r="B303" t="s">
        <v>371</v>
      </c>
      <c r="C303">
        <v>5</v>
      </c>
      <c r="D303" s="105">
        <v>45373.40389869213</v>
      </c>
      <c r="E303" t="s">
        <v>316</v>
      </c>
      <c r="F303" t="s">
        <v>317</v>
      </c>
      <c r="G303">
        <v>0</v>
      </c>
      <c r="H303" t="s">
        <v>310</v>
      </c>
      <c r="I303">
        <v>0</v>
      </c>
      <c r="J303">
        <v>0</v>
      </c>
      <c r="K303">
        <v>0</v>
      </c>
      <c r="L303" t="s">
        <v>310</v>
      </c>
      <c r="M303" t="s">
        <v>310</v>
      </c>
      <c r="N303">
        <v>0</v>
      </c>
      <c r="O303" t="s">
        <v>1393</v>
      </c>
      <c r="P303" t="s">
        <v>320</v>
      </c>
      <c r="Q303" t="s">
        <v>1400</v>
      </c>
      <c r="R303" t="s">
        <v>1404</v>
      </c>
      <c r="S303">
        <v>-1</v>
      </c>
      <c r="T303" t="s">
        <v>105</v>
      </c>
      <c r="U303">
        <v>9</v>
      </c>
      <c r="V303">
        <v>9</v>
      </c>
      <c r="W303">
        <v>1.0700569</v>
      </c>
      <c r="X303">
        <v>0</v>
      </c>
      <c r="Y303">
        <v>0</v>
      </c>
      <c r="Z303">
        <v>130.13443329999998</v>
      </c>
      <c r="AA303">
        <v>0</v>
      </c>
      <c r="AB303">
        <v>0</v>
      </c>
      <c r="AC303" t="s">
        <v>167</v>
      </c>
      <c r="AD303">
        <v>9</v>
      </c>
      <c r="AE303" t="s">
        <v>1390</v>
      </c>
      <c r="AF303">
        <v>0</v>
      </c>
      <c r="AG303" t="s">
        <v>310</v>
      </c>
      <c r="AH303">
        <f>SUM((MID(Dyno_Data[[#This Row],[Team]],4,5))+(Dyno_Data[[#This Row],[Match]]/100))</f>
        <v>6969.05</v>
      </c>
      <c r="AI303" s="76">
        <f>ROUND(SUM(IF(Dyno_Data[[#This Row],[AcqCenter]]&gt;0,Dyno_Data[[#This Row],[Time]]-SUMIFS(Dyno_Data[Time],Dyno_Data[Team],Dyno_Data[[#This Row],[Team]],Dyno_Data[RecordType],"StartMatch",Dyno_Data[Match],Dyno_Data[[#This Row],[Match]]),0)*86400),0)</f>
        <v>0</v>
      </c>
    </row>
    <row r="304" spans="1:35" x14ac:dyDescent="0.3">
      <c r="A304">
        <v>303</v>
      </c>
      <c r="B304" t="s">
        <v>1300</v>
      </c>
      <c r="C304">
        <v>5</v>
      </c>
      <c r="D304" s="105">
        <v>45373.403898761571</v>
      </c>
      <c r="E304" t="s">
        <v>316</v>
      </c>
      <c r="F304" t="s">
        <v>317</v>
      </c>
      <c r="G304">
        <v>1</v>
      </c>
      <c r="H304" t="s">
        <v>310</v>
      </c>
      <c r="I304">
        <v>0</v>
      </c>
      <c r="J304">
        <v>0</v>
      </c>
      <c r="K304">
        <v>0</v>
      </c>
      <c r="L304" t="s">
        <v>310</v>
      </c>
      <c r="M304" t="s">
        <v>310</v>
      </c>
      <c r="N304">
        <v>0</v>
      </c>
      <c r="O304" t="s">
        <v>1389</v>
      </c>
      <c r="P304" t="s">
        <v>1401</v>
      </c>
      <c r="Q304" t="s">
        <v>1400</v>
      </c>
      <c r="R304" t="s">
        <v>1404</v>
      </c>
      <c r="S304">
        <v>-1</v>
      </c>
      <c r="T304" t="s">
        <v>105</v>
      </c>
      <c r="U304">
        <v>9</v>
      </c>
      <c r="V304">
        <v>9</v>
      </c>
      <c r="W304">
        <v>7.0710153</v>
      </c>
      <c r="X304">
        <v>10.428086499999999</v>
      </c>
      <c r="Y304">
        <v>18.561784400000001</v>
      </c>
      <c r="Z304">
        <v>97.832171299999999</v>
      </c>
      <c r="AA304">
        <v>0</v>
      </c>
      <c r="AB304">
        <v>0</v>
      </c>
      <c r="AC304" t="s">
        <v>173</v>
      </c>
      <c r="AD304">
        <v>9</v>
      </c>
      <c r="AE304" t="s">
        <v>1394</v>
      </c>
      <c r="AF304">
        <v>150000000</v>
      </c>
      <c r="AG304" t="s">
        <v>310</v>
      </c>
      <c r="AH304">
        <f>SUM((MID(Dyno_Data[[#This Row],[Team]],4,5))+(Dyno_Data[[#This Row],[Match]]/100))</f>
        <v>3044.05</v>
      </c>
      <c r="AI304" s="76">
        <f>ROUND(SUM(IF(Dyno_Data[[#This Row],[AcqCenter]]&gt;0,Dyno_Data[[#This Row],[Time]]-SUMIFS(Dyno_Data[Time],Dyno_Data[Team],Dyno_Data[[#This Row],[Team]],Dyno_Data[RecordType],"StartMatch",Dyno_Data[Match],Dyno_Data[[#This Row],[Match]]),0)*86400),0)</f>
        <v>0</v>
      </c>
    </row>
    <row r="305" spans="1:35" x14ac:dyDescent="0.3">
      <c r="A305">
        <v>304</v>
      </c>
      <c r="B305" t="s">
        <v>362</v>
      </c>
      <c r="C305">
        <v>5</v>
      </c>
      <c r="D305" s="105">
        <v>45373.403898842589</v>
      </c>
      <c r="E305" t="s">
        <v>316</v>
      </c>
      <c r="F305" t="s">
        <v>317</v>
      </c>
      <c r="G305">
        <v>1</v>
      </c>
      <c r="H305" t="s">
        <v>310</v>
      </c>
      <c r="I305">
        <v>0</v>
      </c>
      <c r="J305">
        <v>0</v>
      </c>
      <c r="K305">
        <v>0</v>
      </c>
      <c r="L305" t="s">
        <v>310</v>
      </c>
      <c r="M305" t="s">
        <v>310</v>
      </c>
      <c r="N305">
        <v>0</v>
      </c>
      <c r="O305" t="s">
        <v>1395</v>
      </c>
      <c r="P305" t="s">
        <v>101</v>
      </c>
      <c r="Q305" t="s">
        <v>1399</v>
      </c>
      <c r="R305" t="s">
        <v>1404</v>
      </c>
      <c r="S305">
        <v>0</v>
      </c>
      <c r="T305" t="s">
        <v>105</v>
      </c>
      <c r="U305">
        <v>9</v>
      </c>
      <c r="V305">
        <v>9</v>
      </c>
      <c r="W305">
        <v>0</v>
      </c>
      <c r="X305">
        <v>57.555206299999995</v>
      </c>
      <c r="Y305">
        <v>38.223496499999996</v>
      </c>
      <c r="Z305">
        <v>39.6851798</v>
      </c>
      <c r="AA305">
        <v>1</v>
      </c>
      <c r="AB305">
        <v>0</v>
      </c>
      <c r="AC305" t="s">
        <v>171</v>
      </c>
      <c r="AD305">
        <v>0</v>
      </c>
      <c r="AE305" t="s">
        <v>1396</v>
      </c>
      <c r="AF305">
        <v>40005000</v>
      </c>
      <c r="AG305" t="s">
        <v>310</v>
      </c>
      <c r="AH305">
        <f>SUM((MID(Dyno_Data[[#This Row],[Team]],4,5))+(Dyno_Data[[#This Row],[Match]]/100))</f>
        <v>250.05</v>
      </c>
      <c r="AI305" s="76">
        <f>ROUND(SUM(IF(Dyno_Data[[#This Row],[AcqCenter]]&gt;0,Dyno_Data[[#This Row],[Time]]-SUMIFS(Dyno_Data[Time],Dyno_Data[Team],Dyno_Data[[#This Row],[Team]],Dyno_Data[RecordType],"StartMatch",Dyno_Data[Match],Dyno_Data[[#This Row],[Match]]),0)*86400),0)</f>
        <v>0</v>
      </c>
    </row>
    <row r="306" spans="1:35" x14ac:dyDescent="0.3">
      <c r="A306">
        <v>320</v>
      </c>
      <c r="B306" t="s">
        <v>365</v>
      </c>
      <c r="C306">
        <v>6</v>
      </c>
      <c r="D306" s="105">
        <v>45373.406570405095</v>
      </c>
      <c r="E306" t="s">
        <v>308</v>
      </c>
      <c r="F306" t="s">
        <v>309</v>
      </c>
      <c r="G306">
        <v>0</v>
      </c>
      <c r="H306" t="s">
        <v>310</v>
      </c>
      <c r="I306">
        <v>0</v>
      </c>
      <c r="J306">
        <v>0</v>
      </c>
      <c r="K306">
        <v>0</v>
      </c>
      <c r="L306" t="s">
        <v>310</v>
      </c>
      <c r="M306" t="s">
        <v>310</v>
      </c>
      <c r="N306">
        <v>0</v>
      </c>
      <c r="O306" t="s">
        <v>311</v>
      </c>
      <c r="P306" t="s">
        <v>310</v>
      </c>
      <c r="Q306" t="s">
        <v>310</v>
      </c>
      <c r="R306" t="s">
        <v>310</v>
      </c>
      <c r="S306">
        <v>9</v>
      </c>
      <c r="T306" t="s">
        <v>310</v>
      </c>
      <c r="U306">
        <v>9</v>
      </c>
      <c r="V306">
        <v>9</v>
      </c>
      <c r="W306">
        <v>0</v>
      </c>
      <c r="X306">
        <v>0</v>
      </c>
      <c r="Y306">
        <v>0</v>
      </c>
      <c r="Z306">
        <v>0</v>
      </c>
      <c r="AA306">
        <v>9</v>
      </c>
      <c r="AB306">
        <v>9</v>
      </c>
      <c r="AC306" t="s">
        <v>310</v>
      </c>
      <c r="AD306">
        <v>9</v>
      </c>
      <c r="AE306" t="s">
        <v>1387</v>
      </c>
      <c r="AF306">
        <v>10000000</v>
      </c>
      <c r="AG306" t="s">
        <v>310</v>
      </c>
      <c r="AH306">
        <f>SUM((MID(Dyno_Data[[#This Row],[Team]],4,5))+(Dyno_Data[[#This Row],[Match]]/100))</f>
        <v>3171.06</v>
      </c>
      <c r="AI306" s="76">
        <f>ROUND(SUM(IF(Dyno_Data[[#This Row],[AcqCenter]]&gt;0,Dyno_Data[[#This Row],[Time]]-SUMIFS(Dyno_Data[Time],Dyno_Data[Team],Dyno_Data[[#This Row],[Team]],Dyno_Data[RecordType],"StartMatch",Dyno_Data[Match],Dyno_Data[[#This Row],[Match]]),0)*86400),0)</f>
        <v>0</v>
      </c>
    </row>
    <row r="307" spans="1:35" x14ac:dyDescent="0.3">
      <c r="A307">
        <v>322</v>
      </c>
      <c r="B307" t="s">
        <v>1306</v>
      </c>
      <c r="C307">
        <v>6</v>
      </c>
      <c r="D307" s="105">
        <v>45373.406573298613</v>
      </c>
      <c r="E307" t="s">
        <v>308</v>
      </c>
      <c r="F307" t="s">
        <v>309</v>
      </c>
      <c r="G307">
        <v>0</v>
      </c>
      <c r="H307" t="s">
        <v>310</v>
      </c>
      <c r="I307">
        <v>0</v>
      </c>
      <c r="J307">
        <v>0</v>
      </c>
      <c r="K307">
        <v>0</v>
      </c>
      <c r="L307" t="s">
        <v>310</v>
      </c>
      <c r="M307" t="s">
        <v>310</v>
      </c>
      <c r="N307">
        <v>0</v>
      </c>
      <c r="O307" t="s">
        <v>1391</v>
      </c>
      <c r="P307" t="s">
        <v>310</v>
      </c>
      <c r="Q307" t="s">
        <v>310</v>
      </c>
      <c r="R307" t="s">
        <v>310</v>
      </c>
      <c r="S307">
        <v>9</v>
      </c>
      <c r="T307" t="s">
        <v>310</v>
      </c>
      <c r="U307">
        <v>9</v>
      </c>
      <c r="V307">
        <v>9</v>
      </c>
      <c r="W307">
        <v>0</v>
      </c>
      <c r="X307">
        <v>0</v>
      </c>
      <c r="Y307">
        <v>0</v>
      </c>
      <c r="Z307">
        <v>0</v>
      </c>
      <c r="AA307">
        <v>9</v>
      </c>
      <c r="AB307">
        <v>9</v>
      </c>
      <c r="AC307" t="s">
        <v>310</v>
      </c>
      <c r="AD307">
        <v>9</v>
      </c>
      <c r="AE307" t="s">
        <v>1388</v>
      </c>
      <c r="AF307">
        <v>2000</v>
      </c>
      <c r="AG307" t="s">
        <v>310</v>
      </c>
      <c r="AH307">
        <f>SUM((MID(Dyno_Data[[#This Row],[Team]],4,5))+(Dyno_Data[[#This Row],[Match]]/100))</f>
        <v>3986.06</v>
      </c>
      <c r="AI307" s="76">
        <f>ROUND(SUM(IF(Dyno_Data[[#This Row],[AcqCenter]]&gt;0,Dyno_Data[[#This Row],[Time]]-SUMIFS(Dyno_Data[Time],Dyno_Data[Team],Dyno_Data[[#This Row],[Team]],Dyno_Data[RecordType],"StartMatch",Dyno_Data[Match],Dyno_Data[[#This Row],[Match]]),0)*86400),0)</f>
        <v>0</v>
      </c>
    </row>
    <row r="308" spans="1:35" x14ac:dyDescent="0.3">
      <c r="A308">
        <v>324</v>
      </c>
      <c r="B308" t="s">
        <v>372</v>
      </c>
      <c r="C308">
        <v>6</v>
      </c>
      <c r="D308" s="105">
        <v>45373.40657392361</v>
      </c>
      <c r="E308" t="s">
        <v>308</v>
      </c>
      <c r="F308" t="s">
        <v>309</v>
      </c>
      <c r="G308">
        <v>0</v>
      </c>
      <c r="H308" t="s">
        <v>310</v>
      </c>
      <c r="I308">
        <v>0</v>
      </c>
      <c r="J308">
        <v>0</v>
      </c>
      <c r="K308">
        <v>0</v>
      </c>
      <c r="L308" t="s">
        <v>310</v>
      </c>
      <c r="M308" t="s">
        <v>310</v>
      </c>
      <c r="N308">
        <v>0</v>
      </c>
      <c r="O308" t="s">
        <v>1389</v>
      </c>
      <c r="P308" t="s">
        <v>310</v>
      </c>
      <c r="Q308" t="s">
        <v>310</v>
      </c>
      <c r="R308" t="s">
        <v>310</v>
      </c>
      <c r="S308">
        <v>9</v>
      </c>
      <c r="T308" t="s">
        <v>310</v>
      </c>
      <c r="U308">
        <v>9</v>
      </c>
      <c r="V308">
        <v>9</v>
      </c>
      <c r="W308">
        <v>0</v>
      </c>
      <c r="X308">
        <v>0</v>
      </c>
      <c r="Y308">
        <v>0</v>
      </c>
      <c r="Z308">
        <v>0</v>
      </c>
      <c r="AA308">
        <v>9</v>
      </c>
      <c r="AB308">
        <v>9</v>
      </c>
      <c r="AC308" t="s">
        <v>310</v>
      </c>
      <c r="AD308">
        <v>9</v>
      </c>
      <c r="AE308" t="s">
        <v>1394</v>
      </c>
      <c r="AF308">
        <v>0</v>
      </c>
      <c r="AG308" t="s">
        <v>310</v>
      </c>
      <c r="AH308">
        <f>SUM((MID(Dyno_Data[[#This Row],[Team]],4,5))+(Dyno_Data[[#This Row],[Match]]/100))</f>
        <v>7504.06</v>
      </c>
      <c r="AI308" s="76">
        <f>ROUND(SUM(IF(Dyno_Data[[#This Row],[AcqCenter]]&gt;0,Dyno_Data[[#This Row],[Time]]-SUMIFS(Dyno_Data[Time],Dyno_Data[Team],Dyno_Data[[#This Row],[Team]],Dyno_Data[RecordType],"StartMatch",Dyno_Data[Match],Dyno_Data[[#This Row],[Match]]),0)*86400),0)</f>
        <v>0</v>
      </c>
    </row>
    <row r="309" spans="1:35" x14ac:dyDescent="0.3">
      <c r="A309">
        <v>326</v>
      </c>
      <c r="B309" t="s">
        <v>366</v>
      </c>
      <c r="C309">
        <v>6</v>
      </c>
      <c r="D309" s="105">
        <v>45373.406574618057</v>
      </c>
      <c r="E309" t="s">
        <v>308</v>
      </c>
      <c r="F309" t="s">
        <v>309</v>
      </c>
      <c r="G309">
        <v>0</v>
      </c>
      <c r="H309" t="s">
        <v>310</v>
      </c>
      <c r="I309">
        <v>0</v>
      </c>
      <c r="J309">
        <v>0</v>
      </c>
      <c r="K309">
        <v>0</v>
      </c>
      <c r="L309" t="s">
        <v>310</v>
      </c>
      <c r="M309" t="s">
        <v>310</v>
      </c>
      <c r="N309">
        <v>0</v>
      </c>
      <c r="O309" t="s">
        <v>319</v>
      </c>
      <c r="P309" t="s">
        <v>310</v>
      </c>
      <c r="Q309" t="s">
        <v>310</v>
      </c>
      <c r="R309" t="s">
        <v>310</v>
      </c>
      <c r="S309">
        <v>9</v>
      </c>
      <c r="T309" t="s">
        <v>310</v>
      </c>
      <c r="U309">
        <v>9</v>
      </c>
      <c r="V309">
        <v>9</v>
      </c>
      <c r="W309">
        <v>0</v>
      </c>
      <c r="X309">
        <v>0</v>
      </c>
      <c r="Y309">
        <v>0</v>
      </c>
      <c r="Z309">
        <v>0</v>
      </c>
      <c r="AA309">
        <v>9</v>
      </c>
      <c r="AB309">
        <v>9</v>
      </c>
      <c r="AC309" t="s">
        <v>310</v>
      </c>
      <c r="AD309">
        <v>9</v>
      </c>
      <c r="AE309" t="s">
        <v>1392</v>
      </c>
      <c r="AF309">
        <v>0</v>
      </c>
      <c r="AG309" t="s">
        <v>310</v>
      </c>
      <c r="AH309">
        <f>SUM((MID(Dyno_Data[[#This Row],[Team]],4,5))+(Dyno_Data[[#This Row],[Match]]/100))</f>
        <v>4122.0600000000004</v>
      </c>
      <c r="AI309" s="76">
        <f>ROUND(SUM(IF(Dyno_Data[[#This Row],[AcqCenter]]&gt;0,Dyno_Data[[#This Row],[Time]]-SUMIFS(Dyno_Data[Time],Dyno_Data[Team],Dyno_Data[[#This Row],[Team]],Dyno_Data[RecordType],"StartMatch",Dyno_Data[Match],Dyno_Data[[#This Row],[Match]]),0)*86400),0)</f>
        <v>0</v>
      </c>
    </row>
    <row r="310" spans="1:35" x14ac:dyDescent="0.3">
      <c r="A310">
        <v>328</v>
      </c>
      <c r="B310" t="s">
        <v>318</v>
      </c>
      <c r="C310">
        <v>6</v>
      </c>
      <c r="D310" s="105">
        <v>45373.406576851849</v>
      </c>
      <c r="E310" t="s">
        <v>308</v>
      </c>
      <c r="F310" t="s">
        <v>309</v>
      </c>
      <c r="G310">
        <v>0</v>
      </c>
      <c r="H310" t="s">
        <v>310</v>
      </c>
      <c r="I310">
        <v>0</v>
      </c>
      <c r="J310">
        <v>0</v>
      </c>
      <c r="K310">
        <v>0</v>
      </c>
      <c r="L310" t="s">
        <v>310</v>
      </c>
      <c r="M310" t="s">
        <v>310</v>
      </c>
      <c r="N310">
        <v>0</v>
      </c>
      <c r="O310" t="s">
        <v>1395</v>
      </c>
      <c r="P310" t="s">
        <v>310</v>
      </c>
      <c r="Q310" t="s">
        <v>310</v>
      </c>
      <c r="R310" t="s">
        <v>310</v>
      </c>
      <c r="S310">
        <v>9</v>
      </c>
      <c r="T310" t="s">
        <v>310</v>
      </c>
      <c r="U310">
        <v>9</v>
      </c>
      <c r="V310">
        <v>9</v>
      </c>
      <c r="W310">
        <v>0</v>
      </c>
      <c r="X310">
        <v>0</v>
      </c>
      <c r="Y310">
        <v>0</v>
      </c>
      <c r="Z310">
        <v>0</v>
      </c>
      <c r="AA310">
        <v>9</v>
      </c>
      <c r="AB310">
        <v>9</v>
      </c>
      <c r="AC310" t="s">
        <v>310</v>
      </c>
      <c r="AD310">
        <v>9</v>
      </c>
      <c r="AE310" t="s">
        <v>1396</v>
      </c>
      <c r="AF310">
        <v>0</v>
      </c>
      <c r="AG310" t="s">
        <v>310</v>
      </c>
      <c r="AH310">
        <f>SUM((MID(Dyno_Data[[#This Row],[Team]],4,5))+(Dyno_Data[[#This Row],[Match]]/100))</f>
        <v>639.05999999999995</v>
      </c>
      <c r="AI310" s="76">
        <f>ROUND(SUM(IF(Dyno_Data[[#This Row],[AcqCenter]]&gt;0,Dyno_Data[[#This Row],[Time]]-SUMIFS(Dyno_Data[Time],Dyno_Data[Team],Dyno_Data[[#This Row],[Team]],Dyno_Data[RecordType],"StartMatch",Dyno_Data[Match],Dyno_Data[[#This Row],[Match]]),0)*86400),0)</f>
        <v>0</v>
      </c>
    </row>
    <row r="311" spans="1:35" x14ac:dyDescent="0.3">
      <c r="A311">
        <v>330</v>
      </c>
      <c r="B311" t="s">
        <v>1305</v>
      </c>
      <c r="C311">
        <v>6</v>
      </c>
      <c r="D311" s="105">
        <v>45373.406584062497</v>
      </c>
      <c r="E311" t="s">
        <v>308</v>
      </c>
      <c r="F311" t="s">
        <v>309</v>
      </c>
      <c r="G311">
        <v>0</v>
      </c>
      <c r="H311" t="s">
        <v>310</v>
      </c>
      <c r="I311">
        <v>0</v>
      </c>
      <c r="J311">
        <v>0</v>
      </c>
      <c r="K311">
        <v>0</v>
      </c>
      <c r="L311" t="s">
        <v>310</v>
      </c>
      <c r="M311" t="s">
        <v>310</v>
      </c>
      <c r="N311">
        <v>0</v>
      </c>
      <c r="O311" t="s">
        <v>1393</v>
      </c>
      <c r="P311" t="s">
        <v>310</v>
      </c>
      <c r="Q311" t="s">
        <v>310</v>
      </c>
      <c r="R311" t="s">
        <v>310</v>
      </c>
      <c r="S311">
        <v>9</v>
      </c>
      <c r="T311" t="s">
        <v>310</v>
      </c>
      <c r="U311">
        <v>9</v>
      </c>
      <c r="V311">
        <v>9</v>
      </c>
      <c r="W311">
        <v>0</v>
      </c>
      <c r="X311">
        <v>0</v>
      </c>
      <c r="Y311">
        <v>0</v>
      </c>
      <c r="Z311">
        <v>0</v>
      </c>
      <c r="AA311">
        <v>9</v>
      </c>
      <c r="AB311">
        <v>9</v>
      </c>
      <c r="AC311" t="s">
        <v>310</v>
      </c>
      <c r="AD311">
        <v>9</v>
      </c>
      <c r="AE311" t="s">
        <v>1390</v>
      </c>
      <c r="AF311">
        <v>30000000</v>
      </c>
      <c r="AG311" t="s">
        <v>310</v>
      </c>
      <c r="AH311">
        <f>SUM((MID(Dyno_Data[[#This Row],[Team]],4,5))+(Dyno_Data[[#This Row],[Match]]/100))</f>
        <v>3173.06</v>
      </c>
      <c r="AI311" s="76">
        <f>ROUND(SUM(IF(Dyno_Data[[#This Row],[AcqCenter]]&gt;0,Dyno_Data[[#This Row],[Time]]-SUMIFS(Dyno_Data[Time],Dyno_Data[Team],Dyno_Data[[#This Row],[Team]],Dyno_Data[RecordType],"StartMatch",Dyno_Data[Match],Dyno_Data[[#This Row],[Match]]),0)*86400),0)</f>
        <v>0</v>
      </c>
    </row>
    <row r="312" spans="1:35" x14ac:dyDescent="0.3">
      <c r="A312">
        <v>307</v>
      </c>
      <c r="B312" t="s">
        <v>1306</v>
      </c>
      <c r="C312">
        <v>6</v>
      </c>
      <c r="D312" s="105">
        <v>45373.406607025463</v>
      </c>
      <c r="E312" t="s">
        <v>312</v>
      </c>
      <c r="F312" t="s">
        <v>309</v>
      </c>
      <c r="G312">
        <v>0</v>
      </c>
      <c r="H312" t="s">
        <v>143</v>
      </c>
      <c r="I312">
        <v>2</v>
      </c>
      <c r="J312">
        <v>1</v>
      </c>
      <c r="K312">
        <v>0</v>
      </c>
      <c r="L312" t="s">
        <v>310</v>
      </c>
      <c r="M312" t="s">
        <v>310</v>
      </c>
      <c r="N312">
        <v>0</v>
      </c>
      <c r="O312" t="s">
        <v>1391</v>
      </c>
      <c r="P312" t="s">
        <v>310</v>
      </c>
      <c r="Q312" t="s">
        <v>310</v>
      </c>
      <c r="R312" t="s">
        <v>310</v>
      </c>
      <c r="S312">
        <v>9</v>
      </c>
      <c r="T312" t="s">
        <v>310</v>
      </c>
      <c r="U312">
        <v>9</v>
      </c>
      <c r="V312">
        <v>9</v>
      </c>
      <c r="W312">
        <v>0</v>
      </c>
      <c r="X312">
        <v>0</v>
      </c>
      <c r="Y312">
        <v>0</v>
      </c>
      <c r="Z312">
        <v>0</v>
      </c>
      <c r="AA312">
        <v>9</v>
      </c>
      <c r="AB312">
        <v>9</v>
      </c>
      <c r="AC312" t="s">
        <v>310</v>
      </c>
      <c r="AD312">
        <v>9</v>
      </c>
      <c r="AE312" t="s">
        <v>1388</v>
      </c>
      <c r="AF312">
        <v>1000</v>
      </c>
      <c r="AG312" t="s">
        <v>310</v>
      </c>
      <c r="AH312">
        <f>SUM((MID(Dyno_Data[[#This Row],[Team]],4,5))+(Dyno_Data[[#This Row],[Match]]/100))</f>
        <v>3986.06</v>
      </c>
      <c r="AI312" s="76">
        <f>ROUND(SUM(IF(Dyno_Data[[#This Row],[AcqCenter]]&gt;0,Dyno_Data[[#This Row],[Time]]-SUMIFS(Dyno_Data[Time],Dyno_Data[Team],Dyno_Data[[#This Row],[Team]],Dyno_Data[RecordType],"StartMatch",Dyno_Data[Match],Dyno_Data[[#This Row],[Match]]),0)*86400),0)</f>
        <v>3</v>
      </c>
    </row>
    <row r="313" spans="1:35" x14ac:dyDescent="0.3">
      <c r="A313">
        <v>305</v>
      </c>
      <c r="B313" t="s">
        <v>365</v>
      </c>
      <c r="C313">
        <v>6</v>
      </c>
      <c r="D313" s="105">
        <v>45373.406611342594</v>
      </c>
      <c r="E313" t="s">
        <v>312</v>
      </c>
      <c r="F313" t="s">
        <v>309</v>
      </c>
      <c r="G313">
        <v>0</v>
      </c>
      <c r="H313" t="s">
        <v>1397</v>
      </c>
      <c r="I313">
        <v>0</v>
      </c>
      <c r="J313">
        <v>0</v>
      </c>
      <c r="K313">
        <v>0</v>
      </c>
      <c r="L313" t="s">
        <v>240</v>
      </c>
      <c r="M313" t="s">
        <v>1398</v>
      </c>
      <c r="N313">
        <v>0</v>
      </c>
      <c r="O313" t="s">
        <v>311</v>
      </c>
      <c r="P313" t="s">
        <v>310</v>
      </c>
      <c r="Q313" t="s">
        <v>310</v>
      </c>
      <c r="R313" t="s">
        <v>310</v>
      </c>
      <c r="S313">
        <v>9</v>
      </c>
      <c r="T313" t="s">
        <v>310</v>
      </c>
      <c r="U313">
        <v>9</v>
      </c>
      <c r="V313">
        <v>9</v>
      </c>
      <c r="W313">
        <v>0</v>
      </c>
      <c r="X313">
        <v>0</v>
      </c>
      <c r="Y313">
        <v>0</v>
      </c>
      <c r="Z313">
        <v>0</v>
      </c>
      <c r="AA313">
        <v>9</v>
      </c>
      <c r="AB313">
        <v>9</v>
      </c>
      <c r="AC313" t="s">
        <v>310</v>
      </c>
      <c r="AD313">
        <v>9</v>
      </c>
      <c r="AE313" t="s">
        <v>1387</v>
      </c>
      <c r="AF313">
        <v>0</v>
      </c>
      <c r="AG313" t="s">
        <v>310</v>
      </c>
      <c r="AH313">
        <f>SUM((MID(Dyno_Data[[#This Row],[Team]],4,5))+(Dyno_Data[[#This Row],[Match]]/100))</f>
        <v>3171.06</v>
      </c>
      <c r="AI313" s="76">
        <f>ROUND(SUM(IF(Dyno_Data[[#This Row],[AcqCenter]]&gt;0,Dyno_Data[[#This Row],[Time]]-SUMIFS(Dyno_Data[Time],Dyno_Data[Team],Dyno_Data[[#This Row],[Team]],Dyno_Data[RecordType],"StartMatch",Dyno_Data[Match],Dyno_Data[[#This Row],[Match]]),0)*86400),0)</f>
        <v>0</v>
      </c>
    </row>
    <row r="314" spans="1:35" x14ac:dyDescent="0.3">
      <c r="A314">
        <v>306</v>
      </c>
      <c r="B314" t="s">
        <v>372</v>
      </c>
      <c r="C314">
        <v>6</v>
      </c>
      <c r="D314" s="105">
        <v>45373.406612928244</v>
      </c>
      <c r="E314" t="s">
        <v>312</v>
      </c>
      <c r="F314" t="s">
        <v>309</v>
      </c>
      <c r="G314">
        <v>0</v>
      </c>
      <c r="H314" t="s">
        <v>1397</v>
      </c>
      <c r="I314">
        <v>0</v>
      </c>
      <c r="J314">
        <v>0</v>
      </c>
      <c r="K314">
        <v>0</v>
      </c>
      <c r="L314" t="s">
        <v>241</v>
      </c>
      <c r="M314" t="s">
        <v>1398</v>
      </c>
      <c r="N314">
        <v>0</v>
      </c>
      <c r="O314" t="s">
        <v>1389</v>
      </c>
      <c r="P314" t="s">
        <v>310</v>
      </c>
      <c r="Q314" t="s">
        <v>310</v>
      </c>
      <c r="R314" t="s">
        <v>310</v>
      </c>
      <c r="S314">
        <v>9</v>
      </c>
      <c r="T314" t="s">
        <v>310</v>
      </c>
      <c r="U314">
        <v>9</v>
      </c>
      <c r="V314">
        <v>9</v>
      </c>
      <c r="W314">
        <v>0</v>
      </c>
      <c r="X314">
        <v>0</v>
      </c>
      <c r="Y314">
        <v>0</v>
      </c>
      <c r="Z314">
        <v>0</v>
      </c>
      <c r="AA314">
        <v>9</v>
      </c>
      <c r="AB314">
        <v>9</v>
      </c>
      <c r="AC314" t="s">
        <v>310</v>
      </c>
      <c r="AD314">
        <v>9</v>
      </c>
      <c r="AE314" t="s">
        <v>1394</v>
      </c>
      <c r="AF314">
        <v>0</v>
      </c>
      <c r="AG314" t="s">
        <v>310</v>
      </c>
      <c r="AH314">
        <f>SUM((MID(Dyno_Data[[#This Row],[Team]],4,5))+(Dyno_Data[[#This Row],[Match]]/100))</f>
        <v>7504.06</v>
      </c>
      <c r="AI314" s="76">
        <f>ROUND(SUM(IF(Dyno_Data[[#This Row],[AcqCenter]]&gt;0,Dyno_Data[[#This Row],[Time]]-SUMIFS(Dyno_Data[Time],Dyno_Data[Team],Dyno_Data[[#This Row],[Team]],Dyno_Data[RecordType],"StartMatch",Dyno_Data[Match],Dyno_Data[[#This Row],[Match]]),0)*86400),0)</f>
        <v>0</v>
      </c>
    </row>
    <row r="315" spans="1:35" x14ac:dyDescent="0.3">
      <c r="A315">
        <v>308</v>
      </c>
      <c r="B315" t="s">
        <v>366</v>
      </c>
      <c r="C315">
        <v>6</v>
      </c>
      <c r="D315" s="105">
        <v>45373.406615127315</v>
      </c>
      <c r="E315" t="s">
        <v>312</v>
      </c>
      <c r="F315" t="s">
        <v>309</v>
      </c>
      <c r="G315">
        <v>0</v>
      </c>
      <c r="H315" t="s">
        <v>1397</v>
      </c>
      <c r="I315">
        <v>0</v>
      </c>
      <c r="J315">
        <v>0</v>
      </c>
      <c r="K315">
        <v>0</v>
      </c>
      <c r="L315" t="s">
        <v>240</v>
      </c>
      <c r="M315" t="s">
        <v>1398</v>
      </c>
      <c r="N315">
        <v>0</v>
      </c>
      <c r="O315" t="s">
        <v>319</v>
      </c>
      <c r="P315" t="s">
        <v>310</v>
      </c>
      <c r="Q315" t="s">
        <v>310</v>
      </c>
      <c r="R315" t="s">
        <v>310</v>
      </c>
      <c r="S315">
        <v>9</v>
      </c>
      <c r="T315" t="s">
        <v>310</v>
      </c>
      <c r="U315">
        <v>9</v>
      </c>
      <c r="V315">
        <v>9</v>
      </c>
      <c r="W315">
        <v>0</v>
      </c>
      <c r="X315">
        <v>0</v>
      </c>
      <c r="Y315">
        <v>0</v>
      </c>
      <c r="Z315">
        <v>0</v>
      </c>
      <c r="AA315">
        <v>9</v>
      </c>
      <c r="AB315">
        <v>9</v>
      </c>
      <c r="AC315" t="s">
        <v>310</v>
      </c>
      <c r="AD315">
        <v>9</v>
      </c>
      <c r="AE315" t="s">
        <v>1392</v>
      </c>
      <c r="AF315">
        <v>0</v>
      </c>
      <c r="AG315" t="s">
        <v>310</v>
      </c>
      <c r="AH315">
        <f>SUM((MID(Dyno_Data[[#This Row],[Team]],4,5))+(Dyno_Data[[#This Row],[Match]]/100))</f>
        <v>4122.0600000000004</v>
      </c>
      <c r="AI315" s="76">
        <f>ROUND(SUM(IF(Dyno_Data[[#This Row],[AcqCenter]]&gt;0,Dyno_Data[[#This Row],[Time]]-SUMIFS(Dyno_Data[Time],Dyno_Data[Team],Dyno_Data[[#This Row],[Team]],Dyno_Data[RecordType],"StartMatch",Dyno_Data[Match],Dyno_Data[[#This Row],[Match]]),0)*86400),0)</f>
        <v>0</v>
      </c>
    </row>
    <row r="316" spans="1:35" x14ac:dyDescent="0.3">
      <c r="A316">
        <v>309</v>
      </c>
      <c r="B316" t="s">
        <v>1305</v>
      </c>
      <c r="C316">
        <v>6</v>
      </c>
      <c r="D316" s="105">
        <v>45373.406628738427</v>
      </c>
      <c r="E316" t="s">
        <v>312</v>
      </c>
      <c r="F316" t="s">
        <v>309</v>
      </c>
      <c r="G316">
        <v>0</v>
      </c>
      <c r="H316" t="s">
        <v>1397</v>
      </c>
      <c r="I316">
        <v>0</v>
      </c>
      <c r="J316">
        <v>0</v>
      </c>
      <c r="K316">
        <v>0</v>
      </c>
      <c r="L316" t="s">
        <v>241</v>
      </c>
      <c r="M316" t="s">
        <v>1398</v>
      </c>
      <c r="N316">
        <v>0</v>
      </c>
      <c r="O316" t="s">
        <v>1393</v>
      </c>
      <c r="P316" t="s">
        <v>310</v>
      </c>
      <c r="Q316" t="s">
        <v>310</v>
      </c>
      <c r="R316" t="s">
        <v>310</v>
      </c>
      <c r="S316">
        <v>9</v>
      </c>
      <c r="T316" t="s">
        <v>310</v>
      </c>
      <c r="U316">
        <v>9</v>
      </c>
      <c r="V316">
        <v>9</v>
      </c>
      <c r="W316">
        <v>0</v>
      </c>
      <c r="X316">
        <v>0</v>
      </c>
      <c r="Y316">
        <v>0</v>
      </c>
      <c r="Z316">
        <v>0</v>
      </c>
      <c r="AA316">
        <v>9</v>
      </c>
      <c r="AB316">
        <v>9</v>
      </c>
      <c r="AC316" t="s">
        <v>310</v>
      </c>
      <c r="AD316">
        <v>9</v>
      </c>
      <c r="AE316" t="s">
        <v>1390</v>
      </c>
      <c r="AF316">
        <v>0</v>
      </c>
      <c r="AG316" t="s">
        <v>310</v>
      </c>
      <c r="AH316">
        <f>SUM((MID(Dyno_Data[[#This Row],[Team]],4,5))+(Dyno_Data[[#This Row],[Match]]/100))</f>
        <v>3173.06</v>
      </c>
      <c r="AI316" s="76">
        <f>ROUND(SUM(IF(Dyno_Data[[#This Row],[AcqCenter]]&gt;0,Dyno_Data[[#This Row],[Time]]-SUMIFS(Dyno_Data[Time],Dyno_Data[Team],Dyno_Data[[#This Row],[Team]],Dyno_Data[RecordType],"StartMatch",Dyno_Data[Match],Dyno_Data[[#This Row],[Match]]),0)*86400),0)</f>
        <v>0</v>
      </c>
    </row>
    <row r="317" spans="1:35" x14ac:dyDescent="0.3">
      <c r="A317">
        <v>310</v>
      </c>
      <c r="B317" t="s">
        <v>1305</v>
      </c>
      <c r="C317">
        <v>6</v>
      </c>
      <c r="D317" s="105">
        <v>45373.406641006943</v>
      </c>
      <c r="E317" t="s">
        <v>312</v>
      </c>
      <c r="F317" t="s">
        <v>309</v>
      </c>
      <c r="G317">
        <v>0</v>
      </c>
      <c r="H317" t="s">
        <v>315</v>
      </c>
      <c r="I317">
        <v>0</v>
      </c>
      <c r="J317">
        <v>0</v>
      </c>
      <c r="K317">
        <v>0</v>
      </c>
      <c r="L317" t="s">
        <v>241</v>
      </c>
      <c r="M317" t="s">
        <v>1398</v>
      </c>
      <c r="N317">
        <v>0</v>
      </c>
      <c r="O317" t="s">
        <v>1393</v>
      </c>
      <c r="P317" t="s">
        <v>310</v>
      </c>
      <c r="Q317" t="s">
        <v>310</v>
      </c>
      <c r="R317" t="s">
        <v>310</v>
      </c>
      <c r="S317">
        <v>9</v>
      </c>
      <c r="T317" t="s">
        <v>310</v>
      </c>
      <c r="U317">
        <v>9</v>
      </c>
      <c r="V317">
        <v>9</v>
      </c>
      <c r="W317">
        <v>0</v>
      </c>
      <c r="X317">
        <v>0</v>
      </c>
      <c r="Y317">
        <v>0</v>
      </c>
      <c r="Z317">
        <v>0</v>
      </c>
      <c r="AA317">
        <v>9</v>
      </c>
      <c r="AB317">
        <v>9</v>
      </c>
      <c r="AC317" t="s">
        <v>310</v>
      </c>
      <c r="AD317">
        <v>9</v>
      </c>
      <c r="AE317" t="s">
        <v>1390</v>
      </c>
      <c r="AF317">
        <v>10000000</v>
      </c>
      <c r="AG317" t="s">
        <v>310</v>
      </c>
      <c r="AH317">
        <f>SUM((MID(Dyno_Data[[#This Row],[Team]],4,5))+(Dyno_Data[[#This Row],[Match]]/100))</f>
        <v>3173.06</v>
      </c>
      <c r="AI317" s="76">
        <f>ROUND(SUM(IF(Dyno_Data[[#This Row],[AcqCenter]]&gt;0,Dyno_Data[[#This Row],[Time]]-SUMIFS(Dyno_Data[Time],Dyno_Data[Team],Dyno_Data[[#This Row],[Team]],Dyno_Data[RecordType],"StartMatch",Dyno_Data[Match],Dyno_Data[[#This Row],[Match]]),0)*86400),0)</f>
        <v>0</v>
      </c>
    </row>
    <row r="318" spans="1:35" x14ac:dyDescent="0.3">
      <c r="A318">
        <v>311</v>
      </c>
      <c r="B318" t="s">
        <v>1306</v>
      </c>
      <c r="C318">
        <v>6</v>
      </c>
      <c r="D318" s="105">
        <v>45373.406654016202</v>
      </c>
      <c r="E318" t="s">
        <v>312</v>
      </c>
      <c r="F318" t="s">
        <v>309</v>
      </c>
      <c r="G318">
        <v>0</v>
      </c>
      <c r="H318" t="s">
        <v>143</v>
      </c>
      <c r="I318">
        <v>0</v>
      </c>
      <c r="J318">
        <v>0</v>
      </c>
      <c r="K318">
        <v>0</v>
      </c>
      <c r="L318" t="s">
        <v>241</v>
      </c>
      <c r="M318" t="s">
        <v>1398</v>
      </c>
      <c r="N318">
        <v>1</v>
      </c>
      <c r="O318" t="s">
        <v>1391</v>
      </c>
      <c r="P318" t="s">
        <v>310</v>
      </c>
      <c r="Q318" t="s">
        <v>310</v>
      </c>
      <c r="R318" t="s">
        <v>310</v>
      </c>
      <c r="S318">
        <v>9</v>
      </c>
      <c r="T318" t="s">
        <v>310</v>
      </c>
      <c r="U318">
        <v>9</v>
      </c>
      <c r="V318">
        <v>9</v>
      </c>
      <c r="W318">
        <v>0</v>
      </c>
      <c r="X318">
        <v>0</v>
      </c>
      <c r="Y318">
        <v>0</v>
      </c>
      <c r="Z318">
        <v>0</v>
      </c>
      <c r="AA318">
        <v>9</v>
      </c>
      <c r="AB318">
        <v>9</v>
      </c>
      <c r="AC318" t="s">
        <v>310</v>
      </c>
      <c r="AD318">
        <v>9</v>
      </c>
      <c r="AE318" t="s">
        <v>1388</v>
      </c>
      <c r="AF318">
        <v>1000</v>
      </c>
      <c r="AG318" t="s">
        <v>310</v>
      </c>
      <c r="AH318">
        <f>SUM((MID(Dyno_Data[[#This Row],[Team]],4,5))+(Dyno_Data[[#This Row],[Match]]/100))</f>
        <v>3986.06</v>
      </c>
      <c r="AI318" s="76">
        <f>ROUND(SUM(IF(Dyno_Data[[#This Row],[AcqCenter]]&gt;0,Dyno_Data[[#This Row],[Time]]-SUMIFS(Dyno_Data[Time],Dyno_Data[Team],Dyno_Data[[#This Row],[Team]],Dyno_Data[RecordType],"StartMatch",Dyno_Data[Match],Dyno_Data[[#This Row],[Match]]),0)*86400),0)</f>
        <v>0</v>
      </c>
    </row>
    <row r="319" spans="1:35" x14ac:dyDescent="0.3">
      <c r="A319">
        <v>312</v>
      </c>
      <c r="B319" t="s">
        <v>365</v>
      </c>
      <c r="C319">
        <v>6</v>
      </c>
      <c r="D319" s="105">
        <v>45373.406654745369</v>
      </c>
      <c r="E319" t="s">
        <v>312</v>
      </c>
      <c r="F319" t="s">
        <v>309</v>
      </c>
      <c r="G319">
        <v>0</v>
      </c>
      <c r="H319" t="s">
        <v>315</v>
      </c>
      <c r="I319">
        <v>0</v>
      </c>
      <c r="J319">
        <v>0</v>
      </c>
      <c r="K319">
        <v>0</v>
      </c>
      <c r="L319" t="s">
        <v>240</v>
      </c>
      <c r="M319" t="s">
        <v>1398</v>
      </c>
      <c r="N319">
        <v>0</v>
      </c>
      <c r="O319" t="s">
        <v>311</v>
      </c>
      <c r="P319" t="s">
        <v>310</v>
      </c>
      <c r="Q319" t="s">
        <v>310</v>
      </c>
      <c r="R319" t="s">
        <v>310</v>
      </c>
      <c r="S319">
        <v>9</v>
      </c>
      <c r="T319" t="s">
        <v>310</v>
      </c>
      <c r="U319">
        <v>9</v>
      </c>
      <c r="V319">
        <v>9</v>
      </c>
      <c r="W319">
        <v>0</v>
      </c>
      <c r="X319">
        <v>0</v>
      </c>
      <c r="Y319">
        <v>0</v>
      </c>
      <c r="Z319">
        <v>0</v>
      </c>
      <c r="AA319">
        <v>9</v>
      </c>
      <c r="AB319">
        <v>9</v>
      </c>
      <c r="AC319" t="s">
        <v>310</v>
      </c>
      <c r="AD319">
        <v>9</v>
      </c>
      <c r="AE319" t="s">
        <v>1387</v>
      </c>
      <c r="AF319">
        <v>10000000</v>
      </c>
      <c r="AG319" t="s">
        <v>310</v>
      </c>
      <c r="AH319">
        <f>SUM((MID(Dyno_Data[[#This Row],[Team]],4,5))+(Dyno_Data[[#This Row],[Match]]/100))</f>
        <v>3171.06</v>
      </c>
      <c r="AI319" s="76">
        <f>ROUND(SUM(IF(Dyno_Data[[#This Row],[AcqCenter]]&gt;0,Dyno_Data[[#This Row],[Time]]-SUMIFS(Dyno_Data[Time],Dyno_Data[Team],Dyno_Data[[#This Row],[Team]],Dyno_Data[RecordType],"StartMatch",Dyno_Data[Match],Dyno_Data[[#This Row],[Match]]),0)*86400),0)</f>
        <v>0</v>
      </c>
    </row>
    <row r="320" spans="1:35" x14ac:dyDescent="0.3">
      <c r="A320">
        <v>313</v>
      </c>
      <c r="B320" t="s">
        <v>1305</v>
      </c>
      <c r="C320">
        <v>6</v>
      </c>
      <c r="D320" s="105">
        <v>45373.406676736115</v>
      </c>
      <c r="E320" t="s">
        <v>312</v>
      </c>
      <c r="F320" t="s">
        <v>309</v>
      </c>
      <c r="G320">
        <v>0</v>
      </c>
      <c r="H320" t="s">
        <v>143</v>
      </c>
      <c r="I320">
        <v>5</v>
      </c>
      <c r="J320">
        <v>1</v>
      </c>
      <c r="K320">
        <v>0</v>
      </c>
      <c r="L320" t="s">
        <v>310</v>
      </c>
      <c r="M320" t="s">
        <v>310</v>
      </c>
      <c r="N320">
        <v>0</v>
      </c>
      <c r="O320" t="s">
        <v>1393</v>
      </c>
      <c r="P320" t="s">
        <v>310</v>
      </c>
      <c r="Q320" t="s">
        <v>310</v>
      </c>
      <c r="R320" t="s">
        <v>310</v>
      </c>
      <c r="S320">
        <v>9</v>
      </c>
      <c r="T320" t="s">
        <v>310</v>
      </c>
      <c r="U320">
        <v>9</v>
      </c>
      <c r="V320">
        <v>9</v>
      </c>
      <c r="W320">
        <v>0</v>
      </c>
      <c r="X320">
        <v>0</v>
      </c>
      <c r="Y320">
        <v>0</v>
      </c>
      <c r="Z320">
        <v>0</v>
      </c>
      <c r="AA320">
        <v>9</v>
      </c>
      <c r="AB320">
        <v>9</v>
      </c>
      <c r="AC320" t="s">
        <v>310</v>
      </c>
      <c r="AD320">
        <v>9</v>
      </c>
      <c r="AE320" t="s">
        <v>1390</v>
      </c>
      <c r="AF320">
        <v>10000000</v>
      </c>
      <c r="AG320" t="s">
        <v>310</v>
      </c>
      <c r="AH320">
        <f>SUM((MID(Dyno_Data[[#This Row],[Team]],4,5))+(Dyno_Data[[#This Row],[Match]]/100))</f>
        <v>3173.06</v>
      </c>
      <c r="AI320" s="76">
        <f>ROUND(SUM(IF(Dyno_Data[[#This Row],[AcqCenter]]&gt;0,Dyno_Data[[#This Row],[Time]]-SUMIFS(Dyno_Data[Time],Dyno_Data[Team],Dyno_Data[[#This Row],[Team]],Dyno_Data[RecordType],"StartMatch",Dyno_Data[Match],Dyno_Data[[#This Row],[Match]]),0)*86400),0)</f>
        <v>8</v>
      </c>
    </row>
    <row r="321" spans="1:35" x14ac:dyDescent="0.3">
      <c r="A321">
        <v>314</v>
      </c>
      <c r="B321" t="s">
        <v>1306</v>
      </c>
      <c r="C321">
        <v>6</v>
      </c>
      <c r="D321" s="105">
        <v>45373.406680208333</v>
      </c>
      <c r="E321" t="s">
        <v>312</v>
      </c>
      <c r="F321" t="s">
        <v>309</v>
      </c>
      <c r="G321">
        <v>0</v>
      </c>
      <c r="H321" t="s">
        <v>143</v>
      </c>
      <c r="I321">
        <v>2</v>
      </c>
      <c r="J321">
        <v>1</v>
      </c>
      <c r="K321">
        <v>0</v>
      </c>
      <c r="L321" t="s">
        <v>310</v>
      </c>
      <c r="M321" t="s">
        <v>310</v>
      </c>
      <c r="N321">
        <v>0</v>
      </c>
      <c r="O321" t="s">
        <v>1391</v>
      </c>
      <c r="P321" t="s">
        <v>310</v>
      </c>
      <c r="Q321" t="s">
        <v>310</v>
      </c>
      <c r="R321" t="s">
        <v>310</v>
      </c>
      <c r="S321">
        <v>9</v>
      </c>
      <c r="T321" t="s">
        <v>310</v>
      </c>
      <c r="U321">
        <v>9</v>
      </c>
      <c r="V321">
        <v>9</v>
      </c>
      <c r="W321">
        <v>0</v>
      </c>
      <c r="X321">
        <v>0</v>
      </c>
      <c r="Y321">
        <v>0</v>
      </c>
      <c r="Z321">
        <v>0</v>
      </c>
      <c r="AA321">
        <v>9</v>
      </c>
      <c r="AB321">
        <v>9</v>
      </c>
      <c r="AC321" t="s">
        <v>310</v>
      </c>
      <c r="AD321">
        <v>9</v>
      </c>
      <c r="AE321" t="s">
        <v>1388</v>
      </c>
      <c r="AF321">
        <v>1000</v>
      </c>
      <c r="AG321" t="s">
        <v>310</v>
      </c>
      <c r="AH321">
        <f>SUM((MID(Dyno_Data[[#This Row],[Team]],4,5))+(Dyno_Data[[#This Row],[Match]]/100))</f>
        <v>3986.06</v>
      </c>
      <c r="AI321" s="76">
        <f>ROUND(SUM(IF(Dyno_Data[[#This Row],[AcqCenter]]&gt;0,Dyno_Data[[#This Row],[Time]]-SUMIFS(Dyno_Data[Time],Dyno_Data[Team],Dyno_Data[[#This Row],[Team]],Dyno_Data[RecordType],"StartMatch",Dyno_Data[Match],Dyno_Data[[#This Row],[Match]]),0)*86400),0)</f>
        <v>9</v>
      </c>
    </row>
    <row r="322" spans="1:35" x14ac:dyDescent="0.3">
      <c r="A322">
        <v>315</v>
      </c>
      <c r="B322" t="s">
        <v>1306</v>
      </c>
      <c r="C322">
        <v>6</v>
      </c>
      <c r="D322" s="105">
        <v>45373.406712847223</v>
      </c>
      <c r="E322" t="s">
        <v>312</v>
      </c>
      <c r="F322" t="s">
        <v>309</v>
      </c>
      <c r="G322">
        <v>0</v>
      </c>
      <c r="H322" t="s">
        <v>143</v>
      </c>
      <c r="I322">
        <v>0</v>
      </c>
      <c r="J322">
        <v>0</v>
      </c>
      <c r="K322">
        <v>0</v>
      </c>
      <c r="L322" t="s">
        <v>241</v>
      </c>
      <c r="M322" t="s">
        <v>241</v>
      </c>
      <c r="N322">
        <v>0</v>
      </c>
      <c r="O322" t="s">
        <v>1391</v>
      </c>
      <c r="P322" t="s">
        <v>310</v>
      </c>
      <c r="Q322" t="s">
        <v>310</v>
      </c>
      <c r="R322" t="s">
        <v>310</v>
      </c>
      <c r="S322">
        <v>9</v>
      </c>
      <c r="T322" t="s">
        <v>310</v>
      </c>
      <c r="U322">
        <v>9</v>
      </c>
      <c r="V322">
        <v>9</v>
      </c>
      <c r="W322">
        <v>0</v>
      </c>
      <c r="X322">
        <v>0</v>
      </c>
      <c r="Y322">
        <v>0</v>
      </c>
      <c r="Z322">
        <v>0</v>
      </c>
      <c r="AA322">
        <v>9</v>
      </c>
      <c r="AB322">
        <v>9</v>
      </c>
      <c r="AC322" t="s">
        <v>310</v>
      </c>
      <c r="AD322">
        <v>9</v>
      </c>
      <c r="AE322" t="s">
        <v>1388</v>
      </c>
      <c r="AF322">
        <v>1000</v>
      </c>
      <c r="AG322" t="s">
        <v>310</v>
      </c>
      <c r="AH322">
        <f>SUM((MID(Dyno_Data[[#This Row],[Team]],4,5))+(Dyno_Data[[#This Row],[Match]]/100))</f>
        <v>3986.06</v>
      </c>
      <c r="AI322" s="76">
        <f>ROUND(SUM(IF(Dyno_Data[[#This Row],[AcqCenter]]&gt;0,Dyno_Data[[#This Row],[Time]]-SUMIFS(Dyno_Data[Time],Dyno_Data[Team],Dyno_Data[[#This Row],[Team]],Dyno_Data[RecordType],"StartMatch",Dyno_Data[Match],Dyno_Data[[#This Row],[Match]]),0)*86400),0)</f>
        <v>0</v>
      </c>
    </row>
    <row r="323" spans="1:35" x14ac:dyDescent="0.3">
      <c r="A323">
        <v>316</v>
      </c>
      <c r="B323" t="s">
        <v>1305</v>
      </c>
      <c r="C323">
        <v>6</v>
      </c>
      <c r="D323" s="105">
        <v>45373.40671855324</v>
      </c>
      <c r="E323" t="s">
        <v>312</v>
      </c>
      <c r="F323" t="s">
        <v>309</v>
      </c>
      <c r="G323">
        <v>0</v>
      </c>
      <c r="H323" t="s">
        <v>143</v>
      </c>
      <c r="I323">
        <v>0</v>
      </c>
      <c r="J323">
        <v>0</v>
      </c>
      <c r="K323">
        <v>0</v>
      </c>
      <c r="L323" t="s">
        <v>242</v>
      </c>
      <c r="M323" t="s">
        <v>1398</v>
      </c>
      <c r="N323">
        <v>1</v>
      </c>
      <c r="O323" t="s">
        <v>1393</v>
      </c>
      <c r="P323" t="s">
        <v>310</v>
      </c>
      <c r="Q323" t="s">
        <v>310</v>
      </c>
      <c r="R323" t="s">
        <v>310</v>
      </c>
      <c r="S323">
        <v>9</v>
      </c>
      <c r="T323" t="s">
        <v>310</v>
      </c>
      <c r="U323">
        <v>9</v>
      </c>
      <c r="V323">
        <v>9</v>
      </c>
      <c r="W323">
        <v>0</v>
      </c>
      <c r="X323">
        <v>0</v>
      </c>
      <c r="Y323">
        <v>0</v>
      </c>
      <c r="Z323">
        <v>0</v>
      </c>
      <c r="AA323">
        <v>9</v>
      </c>
      <c r="AB323">
        <v>9</v>
      </c>
      <c r="AC323" t="s">
        <v>310</v>
      </c>
      <c r="AD323">
        <v>9</v>
      </c>
      <c r="AE323" t="s">
        <v>1390</v>
      </c>
      <c r="AF323">
        <v>10000000</v>
      </c>
      <c r="AG323" t="s">
        <v>310</v>
      </c>
      <c r="AH323">
        <f>SUM((MID(Dyno_Data[[#This Row],[Team]],4,5))+(Dyno_Data[[#This Row],[Match]]/100))</f>
        <v>3173.06</v>
      </c>
      <c r="AI323" s="76">
        <f>ROUND(SUM(IF(Dyno_Data[[#This Row],[AcqCenter]]&gt;0,Dyno_Data[[#This Row],[Time]]-SUMIFS(Dyno_Data[Time],Dyno_Data[Team],Dyno_Data[[#This Row],[Team]],Dyno_Data[RecordType],"StartMatch",Dyno_Data[Match],Dyno_Data[[#This Row],[Match]]),0)*86400),0)</f>
        <v>0</v>
      </c>
    </row>
    <row r="324" spans="1:35" x14ac:dyDescent="0.3">
      <c r="A324">
        <v>317</v>
      </c>
      <c r="B324" t="s">
        <v>1306</v>
      </c>
      <c r="C324">
        <v>6</v>
      </c>
      <c r="D324" s="105">
        <v>45373.406725891204</v>
      </c>
      <c r="E324" t="s">
        <v>312</v>
      </c>
      <c r="F324" t="s">
        <v>309</v>
      </c>
      <c r="G324">
        <v>0</v>
      </c>
      <c r="H324" t="s">
        <v>143</v>
      </c>
      <c r="I324">
        <v>3</v>
      </c>
      <c r="J324">
        <v>-1</v>
      </c>
      <c r="K324">
        <v>0</v>
      </c>
      <c r="L324" t="s">
        <v>310</v>
      </c>
      <c r="M324" t="s">
        <v>310</v>
      </c>
      <c r="N324">
        <v>0</v>
      </c>
      <c r="O324" t="s">
        <v>1391</v>
      </c>
      <c r="P324" t="s">
        <v>310</v>
      </c>
      <c r="Q324" t="s">
        <v>310</v>
      </c>
      <c r="R324" t="s">
        <v>310</v>
      </c>
      <c r="S324">
        <v>9</v>
      </c>
      <c r="T324" t="s">
        <v>310</v>
      </c>
      <c r="U324">
        <v>9</v>
      </c>
      <c r="V324">
        <v>9</v>
      </c>
      <c r="W324">
        <v>0</v>
      </c>
      <c r="X324">
        <v>0</v>
      </c>
      <c r="Y324">
        <v>0</v>
      </c>
      <c r="Z324">
        <v>0</v>
      </c>
      <c r="AA324">
        <v>9</v>
      </c>
      <c r="AB324">
        <v>9</v>
      </c>
      <c r="AC324" t="s">
        <v>310</v>
      </c>
      <c r="AD324">
        <v>9</v>
      </c>
      <c r="AE324" t="s">
        <v>1388</v>
      </c>
      <c r="AF324">
        <v>2000</v>
      </c>
      <c r="AG324" t="s">
        <v>310</v>
      </c>
      <c r="AH324">
        <f>SUM((MID(Dyno_Data[[#This Row],[Team]],4,5))+(Dyno_Data[[#This Row],[Match]]/100))</f>
        <v>3986.06</v>
      </c>
      <c r="AI324" s="76">
        <f>ROUND(SUM(IF(Dyno_Data[[#This Row],[AcqCenter]]&gt;0,Dyno_Data[[#This Row],[Time]]-SUMIFS(Dyno_Data[Time],Dyno_Data[Team],Dyno_Data[[#This Row],[Team]],Dyno_Data[RecordType],"StartMatch",Dyno_Data[Match],Dyno_Data[[#This Row],[Match]]),0)*86400),0)</f>
        <v>13</v>
      </c>
    </row>
    <row r="325" spans="1:35" x14ac:dyDescent="0.3">
      <c r="A325">
        <v>318</v>
      </c>
      <c r="B325" t="s">
        <v>1305</v>
      </c>
      <c r="C325">
        <v>6</v>
      </c>
      <c r="D325" s="105">
        <v>45373.406734525466</v>
      </c>
      <c r="E325" t="s">
        <v>312</v>
      </c>
      <c r="F325" t="s">
        <v>309</v>
      </c>
      <c r="G325">
        <v>0</v>
      </c>
      <c r="H325" t="s">
        <v>315</v>
      </c>
      <c r="I325">
        <v>0</v>
      </c>
      <c r="J325">
        <v>0</v>
      </c>
      <c r="K325">
        <v>0</v>
      </c>
      <c r="L325" t="s">
        <v>242</v>
      </c>
      <c r="M325" t="s">
        <v>1398</v>
      </c>
      <c r="N325">
        <v>0</v>
      </c>
      <c r="O325" t="s">
        <v>1393</v>
      </c>
      <c r="P325" t="s">
        <v>310</v>
      </c>
      <c r="Q325" t="s">
        <v>310</v>
      </c>
      <c r="R325" t="s">
        <v>310</v>
      </c>
      <c r="S325">
        <v>9</v>
      </c>
      <c r="T325" t="s">
        <v>310</v>
      </c>
      <c r="U325">
        <v>9</v>
      </c>
      <c r="V325">
        <v>9</v>
      </c>
      <c r="W325">
        <v>0</v>
      </c>
      <c r="X325">
        <v>0</v>
      </c>
      <c r="Y325">
        <v>0</v>
      </c>
      <c r="Z325">
        <v>0</v>
      </c>
      <c r="AA325">
        <v>9</v>
      </c>
      <c r="AB325">
        <v>9</v>
      </c>
      <c r="AC325" t="s">
        <v>310</v>
      </c>
      <c r="AD325">
        <v>9</v>
      </c>
      <c r="AE325" t="s">
        <v>1390</v>
      </c>
      <c r="AF325">
        <v>20000000</v>
      </c>
      <c r="AG325" t="s">
        <v>310</v>
      </c>
      <c r="AH325">
        <f>SUM((MID(Dyno_Data[[#This Row],[Team]],4,5))+(Dyno_Data[[#This Row],[Match]]/100))</f>
        <v>3173.06</v>
      </c>
      <c r="AI325" s="76">
        <f>ROUND(SUM(IF(Dyno_Data[[#This Row],[AcqCenter]]&gt;0,Dyno_Data[[#This Row],[Time]]-SUMIFS(Dyno_Data[Time],Dyno_Data[Team],Dyno_Data[[#This Row],[Team]],Dyno_Data[RecordType],"StartMatch",Dyno_Data[Match],Dyno_Data[[#This Row],[Match]]),0)*86400),0)</f>
        <v>0</v>
      </c>
    </row>
    <row r="326" spans="1:35" x14ac:dyDescent="0.3">
      <c r="A326">
        <v>319</v>
      </c>
      <c r="B326" t="s">
        <v>1305</v>
      </c>
      <c r="C326">
        <v>6</v>
      </c>
      <c r="D326" s="105">
        <v>45373.406755555552</v>
      </c>
      <c r="E326" t="s">
        <v>312</v>
      </c>
      <c r="F326" t="s">
        <v>309</v>
      </c>
      <c r="G326">
        <v>0</v>
      </c>
      <c r="H326" t="s">
        <v>315</v>
      </c>
      <c r="I326">
        <v>0</v>
      </c>
      <c r="J326">
        <v>0</v>
      </c>
      <c r="K326">
        <v>0</v>
      </c>
      <c r="L326" t="s">
        <v>242</v>
      </c>
      <c r="M326" t="s">
        <v>1398</v>
      </c>
      <c r="N326">
        <v>0</v>
      </c>
      <c r="O326" t="s">
        <v>1393</v>
      </c>
      <c r="P326" t="s">
        <v>310</v>
      </c>
      <c r="Q326" t="s">
        <v>310</v>
      </c>
      <c r="R326" t="s">
        <v>310</v>
      </c>
      <c r="S326">
        <v>9</v>
      </c>
      <c r="T326" t="s">
        <v>310</v>
      </c>
      <c r="U326">
        <v>9</v>
      </c>
      <c r="V326">
        <v>9</v>
      </c>
      <c r="W326">
        <v>0</v>
      </c>
      <c r="X326">
        <v>0</v>
      </c>
      <c r="Y326">
        <v>0</v>
      </c>
      <c r="Z326">
        <v>0</v>
      </c>
      <c r="AA326">
        <v>9</v>
      </c>
      <c r="AB326">
        <v>9</v>
      </c>
      <c r="AC326" t="s">
        <v>310</v>
      </c>
      <c r="AD326">
        <v>9</v>
      </c>
      <c r="AE326" t="s">
        <v>1390</v>
      </c>
      <c r="AF326">
        <v>30000000</v>
      </c>
      <c r="AG326" t="s">
        <v>310</v>
      </c>
      <c r="AH326">
        <f>SUM((MID(Dyno_Data[[#This Row],[Team]],4,5))+(Dyno_Data[[#This Row],[Match]]/100))</f>
        <v>3173.06</v>
      </c>
      <c r="AI326" s="76">
        <f>ROUND(SUM(IF(Dyno_Data[[#This Row],[AcqCenter]]&gt;0,Dyno_Data[[#This Row],[Time]]-SUMIFS(Dyno_Data[Time],Dyno_Data[Team],Dyno_Data[[#This Row],[Team]],Dyno_Data[RecordType],"StartMatch",Dyno_Data[Match],Dyno_Data[[#This Row],[Match]]),0)*86400),0)</f>
        <v>0</v>
      </c>
    </row>
    <row r="327" spans="1:35" x14ac:dyDescent="0.3">
      <c r="A327">
        <v>321</v>
      </c>
      <c r="B327" t="s">
        <v>365</v>
      </c>
      <c r="C327">
        <v>6</v>
      </c>
      <c r="D327" s="105">
        <v>45373.406778738427</v>
      </c>
      <c r="E327" t="s">
        <v>314</v>
      </c>
      <c r="F327" t="s">
        <v>309</v>
      </c>
      <c r="G327">
        <v>1</v>
      </c>
      <c r="H327" t="s">
        <v>310</v>
      </c>
      <c r="I327">
        <v>0</v>
      </c>
      <c r="J327">
        <v>0</v>
      </c>
      <c r="K327">
        <v>0</v>
      </c>
      <c r="L327" t="s">
        <v>310</v>
      </c>
      <c r="M327" t="s">
        <v>310</v>
      </c>
      <c r="N327">
        <v>0</v>
      </c>
      <c r="O327" t="s">
        <v>311</v>
      </c>
      <c r="P327" t="s">
        <v>240</v>
      </c>
      <c r="Q327" t="s">
        <v>1400</v>
      </c>
      <c r="R327" t="s">
        <v>310</v>
      </c>
      <c r="S327">
        <v>9</v>
      </c>
      <c r="T327" t="s">
        <v>310</v>
      </c>
      <c r="U327">
        <v>9</v>
      </c>
      <c r="V327">
        <v>9</v>
      </c>
      <c r="W327">
        <v>0</v>
      </c>
      <c r="X327">
        <v>0</v>
      </c>
      <c r="Y327">
        <v>0</v>
      </c>
      <c r="Z327">
        <v>0</v>
      </c>
      <c r="AA327">
        <v>9</v>
      </c>
      <c r="AB327">
        <v>9</v>
      </c>
      <c r="AC327" t="s">
        <v>310</v>
      </c>
      <c r="AD327">
        <v>9</v>
      </c>
      <c r="AE327" t="s">
        <v>1387</v>
      </c>
      <c r="AF327">
        <v>10000000</v>
      </c>
      <c r="AG327" t="s">
        <v>310</v>
      </c>
      <c r="AH327">
        <f>SUM((MID(Dyno_Data[[#This Row],[Team]],4,5))+(Dyno_Data[[#This Row],[Match]]/100))</f>
        <v>3171.06</v>
      </c>
      <c r="AI327" s="76">
        <f>ROUND(SUM(IF(Dyno_Data[[#This Row],[AcqCenter]]&gt;0,Dyno_Data[[#This Row],[Time]]-SUMIFS(Dyno_Data[Time],Dyno_Data[Team],Dyno_Data[[#This Row],[Team]],Dyno_Data[RecordType],"StartMatch",Dyno_Data[Match],Dyno_Data[[#This Row],[Match]]),0)*86400),0)</f>
        <v>0</v>
      </c>
    </row>
    <row r="328" spans="1:35" x14ac:dyDescent="0.3">
      <c r="A328">
        <v>323</v>
      </c>
      <c r="B328" t="s">
        <v>1306</v>
      </c>
      <c r="C328">
        <v>6</v>
      </c>
      <c r="D328" s="105">
        <v>45373.406781631944</v>
      </c>
      <c r="E328" t="s">
        <v>314</v>
      </c>
      <c r="F328" t="s">
        <v>309</v>
      </c>
      <c r="G328">
        <v>1</v>
      </c>
      <c r="H328" t="s">
        <v>310</v>
      </c>
      <c r="I328">
        <v>0</v>
      </c>
      <c r="J328">
        <v>0</v>
      </c>
      <c r="K328">
        <v>0</v>
      </c>
      <c r="L328" t="s">
        <v>310</v>
      </c>
      <c r="M328" t="s">
        <v>310</v>
      </c>
      <c r="N328">
        <v>0</v>
      </c>
      <c r="O328" t="s">
        <v>1391</v>
      </c>
      <c r="P328" t="s">
        <v>320</v>
      </c>
      <c r="Q328" t="s">
        <v>1399</v>
      </c>
      <c r="R328" t="s">
        <v>310</v>
      </c>
      <c r="S328">
        <v>9</v>
      </c>
      <c r="T328" t="s">
        <v>310</v>
      </c>
      <c r="U328">
        <v>9</v>
      </c>
      <c r="V328">
        <v>9</v>
      </c>
      <c r="W328">
        <v>0</v>
      </c>
      <c r="X328">
        <v>0</v>
      </c>
      <c r="Y328">
        <v>0</v>
      </c>
      <c r="Z328">
        <v>0</v>
      </c>
      <c r="AA328">
        <v>9</v>
      </c>
      <c r="AB328">
        <v>9</v>
      </c>
      <c r="AC328" t="s">
        <v>310</v>
      </c>
      <c r="AD328">
        <v>9</v>
      </c>
      <c r="AE328" t="s">
        <v>1388</v>
      </c>
      <c r="AF328">
        <v>2000</v>
      </c>
      <c r="AG328" t="s">
        <v>310</v>
      </c>
      <c r="AH328">
        <f>SUM((MID(Dyno_Data[[#This Row],[Team]],4,5))+(Dyno_Data[[#This Row],[Match]]/100))</f>
        <v>3986.06</v>
      </c>
      <c r="AI328" s="76">
        <f>ROUND(SUM(IF(Dyno_Data[[#This Row],[AcqCenter]]&gt;0,Dyno_Data[[#This Row],[Time]]-SUMIFS(Dyno_Data[Time],Dyno_Data[Team],Dyno_Data[[#This Row],[Team]],Dyno_Data[RecordType],"StartMatch",Dyno_Data[Match],Dyno_Data[[#This Row],[Match]]),0)*86400),0)</f>
        <v>0</v>
      </c>
    </row>
    <row r="329" spans="1:35" x14ac:dyDescent="0.3">
      <c r="A329">
        <v>325</v>
      </c>
      <c r="B329" t="s">
        <v>372</v>
      </c>
      <c r="C329">
        <v>6</v>
      </c>
      <c r="D329" s="105">
        <v>45373.406782256941</v>
      </c>
      <c r="E329" t="s">
        <v>314</v>
      </c>
      <c r="F329" t="s">
        <v>309</v>
      </c>
      <c r="G329">
        <v>1</v>
      </c>
      <c r="H329" t="s">
        <v>310</v>
      </c>
      <c r="I329">
        <v>0</v>
      </c>
      <c r="J329">
        <v>0</v>
      </c>
      <c r="K329">
        <v>0</v>
      </c>
      <c r="L329" t="s">
        <v>310</v>
      </c>
      <c r="M329" t="s">
        <v>310</v>
      </c>
      <c r="N329">
        <v>0</v>
      </c>
      <c r="O329" t="s">
        <v>1389</v>
      </c>
      <c r="P329" t="s">
        <v>320</v>
      </c>
      <c r="Q329" t="s">
        <v>1400</v>
      </c>
      <c r="R329" t="s">
        <v>310</v>
      </c>
      <c r="S329">
        <v>9</v>
      </c>
      <c r="T329" t="s">
        <v>310</v>
      </c>
      <c r="U329">
        <v>9</v>
      </c>
      <c r="V329">
        <v>9</v>
      </c>
      <c r="W329">
        <v>0</v>
      </c>
      <c r="X329">
        <v>0</v>
      </c>
      <c r="Y329">
        <v>0</v>
      </c>
      <c r="Z329">
        <v>0</v>
      </c>
      <c r="AA329">
        <v>9</v>
      </c>
      <c r="AB329">
        <v>9</v>
      </c>
      <c r="AC329" t="s">
        <v>310</v>
      </c>
      <c r="AD329">
        <v>9</v>
      </c>
      <c r="AE329" t="s">
        <v>1394</v>
      </c>
      <c r="AF329">
        <v>0</v>
      </c>
      <c r="AG329" t="s">
        <v>310</v>
      </c>
      <c r="AH329">
        <f>SUM((MID(Dyno_Data[[#This Row],[Team]],4,5))+(Dyno_Data[[#This Row],[Match]]/100))</f>
        <v>7504.06</v>
      </c>
      <c r="AI329" s="76">
        <f>ROUND(SUM(IF(Dyno_Data[[#This Row],[AcqCenter]]&gt;0,Dyno_Data[[#This Row],[Time]]-SUMIFS(Dyno_Data[Time],Dyno_Data[Team],Dyno_Data[[#This Row],[Team]],Dyno_Data[RecordType],"StartMatch",Dyno_Data[Match],Dyno_Data[[#This Row],[Match]]),0)*86400),0)</f>
        <v>0</v>
      </c>
    </row>
    <row r="330" spans="1:35" x14ac:dyDescent="0.3">
      <c r="A330">
        <v>327</v>
      </c>
      <c r="B330" t="s">
        <v>366</v>
      </c>
      <c r="C330">
        <v>6</v>
      </c>
      <c r="D330" s="105">
        <v>45373.406782951388</v>
      </c>
      <c r="E330" t="s">
        <v>314</v>
      </c>
      <c r="F330" t="s">
        <v>309</v>
      </c>
      <c r="G330">
        <v>0</v>
      </c>
      <c r="H330" t="s">
        <v>310</v>
      </c>
      <c r="I330">
        <v>0</v>
      </c>
      <c r="J330">
        <v>0</v>
      </c>
      <c r="K330">
        <v>0</v>
      </c>
      <c r="L330" t="s">
        <v>310</v>
      </c>
      <c r="M330" t="s">
        <v>310</v>
      </c>
      <c r="N330">
        <v>0</v>
      </c>
      <c r="O330" t="s">
        <v>319</v>
      </c>
      <c r="P330" t="s">
        <v>101</v>
      </c>
      <c r="Q330" t="s">
        <v>1400</v>
      </c>
      <c r="R330" t="s">
        <v>310</v>
      </c>
      <c r="S330">
        <v>9</v>
      </c>
      <c r="T330" t="s">
        <v>310</v>
      </c>
      <c r="U330">
        <v>9</v>
      </c>
      <c r="V330">
        <v>9</v>
      </c>
      <c r="W330">
        <v>0</v>
      </c>
      <c r="X330">
        <v>0</v>
      </c>
      <c r="Y330">
        <v>0</v>
      </c>
      <c r="Z330">
        <v>0</v>
      </c>
      <c r="AA330">
        <v>9</v>
      </c>
      <c r="AB330">
        <v>9</v>
      </c>
      <c r="AC330" t="s">
        <v>310</v>
      </c>
      <c r="AD330">
        <v>9</v>
      </c>
      <c r="AE330" t="s">
        <v>1392</v>
      </c>
      <c r="AF330">
        <v>0</v>
      </c>
      <c r="AG330" t="s">
        <v>310</v>
      </c>
      <c r="AH330">
        <f>SUM((MID(Dyno_Data[[#This Row],[Team]],4,5))+(Dyno_Data[[#This Row],[Match]]/100))</f>
        <v>4122.0600000000004</v>
      </c>
      <c r="AI330" s="76">
        <f>ROUND(SUM(IF(Dyno_Data[[#This Row],[AcqCenter]]&gt;0,Dyno_Data[[#This Row],[Time]]-SUMIFS(Dyno_Data[Time],Dyno_Data[Team],Dyno_Data[[#This Row],[Team]],Dyno_Data[RecordType],"StartMatch",Dyno_Data[Match],Dyno_Data[[#This Row],[Match]]),0)*86400),0)</f>
        <v>0</v>
      </c>
    </row>
    <row r="331" spans="1:35" x14ac:dyDescent="0.3">
      <c r="A331">
        <v>329</v>
      </c>
      <c r="B331" t="s">
        <v>318</v>
      </c>
      <c r="C331">
        <v>6</v>
      </c>
      <c r="D331" s="105">
        <v>45373.406785185187</v>
      </c>
      <c r="E331" t="s">
        <v>314</v>
      </c>
      <c r="F331" t="s">
        <v>309</v>
      </c>
      <c r="G331">
        <v>0</v>
      </c>
      <c r="H331" t="s">
        <v>310</v>
      </c>
      <c r="I331">
        <v>0</v>
      </c>
      <c r="J331">
        <v>0</v>
      </c>
      <c r="K331">
        <v>0</v>
      </c>
      <c r="L331" t="s">
        <v>310</v>
      </c>
      <c r="M331" t="s">
        <v>310</v>
      </c>
      <c r="N331">
        <v>0</v>
      </c>
      <c r="O331" t="s">
        <v>1395</v>
      </c>
      <c r="P331" t="s">
        <v>320</v>
      </c>
      <c r="Q331" t="s">
        <v>1400</v>
      </c>
      <c r="R331" t="s">
        <v>310</v>
      </c>
      <c r="S331">
        <v>9</v>
      </c>
      <c r="T331" t="s">
        <v>310</v>
      </c>
      <c r="U331">
        <v>9</v>
      </c>
      <c r="V331">
        <v>9</v>
      </c>
      <c r="W331">
        <v>0</v>
      </c>
      <c r="X331">
        <v>0</v>
      </c>
      <c r="Y331">
        <v>0</v>
      </c>
      <c r="Z331">
        <v>0</v>
      </c>
      <c r="AA331">
        <v>9</v>
      </c>
      <c r="AB331">
        <v>9</v>
      </c>
      <c r="AC331" t="s">
        <v>310</v>
      </c>
      <c r="AD331">
        <v>9</v>
      </c>
      <c r="AE331" t="s">
        <v>1396</v>
      </c>
      <c r="AF331">
        <v>0</v>
      </c>
      <c r="AG331" t="s">
        <v>310</v>
      </c>
      <c r="AH331">
        <f>SUM((MID(Dyno_Data[[#This Row],[Team]],4,5))+(Dyno_Data[[#This Row],[Match]]/100))</f>
        <v>639.05999999999995</v>
      </c>
      <c r="AI331" s="76">
        <f>ROUND(SUM(IF(Dyno_Data[[#This Row],[AcqCenter]]&gt;0,Dyno_Data[[#This Row],[Time]]-SUMIFS(Dyno_Data[Time],Dyno_Data[Team],Dyno_Data[[#This Row],[Team]],Dyno_Data[RecordType],"StartMatch",Dyno_Data[Match],Dyno_Data[[#This Row],[Match]]),0)*86400),0)</f>
        <v>0</v>
      </c>
    </row>
    <row r="332" spans="1:35" x14ac:dyDescent="0.3">
      <c r="A332">
        <v>331</v>
      </c>
      <c r="B332" t="s">
        <v>1305</v>
      </c>
      <c r="C332">
        <v>6</v>
      </c>
      <c r="D332" s="105">
        <v>45373.406792395836</v>
      </c>
      <c r="E332" t="s">
        <v>314</v>
      </c>
      <c r="F332" t="s">
        <v>309</v>
      </c>
      <c r="G332">
        <v>0</v>
      </c>
      <c r="H332" t="s">
        <v>310</v>
      </c>
      <c r="I332">
        <v>0</v>
      </c>
      <c r="J332">
        <v>0</v>
      </c>
      <c r="K332">
        <v>0</v>
      </c>
      <c r="L332" t="s">
        <v>310</v>
      </c>
      <c r="M332" t="s">
        <v>310</v>
      </c>
      <c r="N332">
        <v>0</v>
      </c>
      <c r="O332" t="s">
        <v>1393</v>
      </c>
      <c r="P332" t="s">
        <v>101</v>
      </c>
      <c r="Q332" t="s">
        <v>1399</v>
      </c>
      <c r="R332" t="s">
        <v>310</v>
      </c>
      <c r="S332">
        <v>9</v>
      </c>
      <c r="T332" t="s">
        <v>310</v>
      </c>
      <c r="U332">
        <v>9</v>
      </c>
      <c r="V332">
        <v>9</v>
      </c>
      <c r="W332">
        <v>0</v>
      </c>
      <c r="X332">
        <v>0</v>
      </c>
      <c r="Y332">
        <v>0</v>
      </c>
      <c r="Z332">
        <v>0</v>
      </c>
      <c r="AA332">
        <v>9</v>
      </c>
      <c r="AB332">
        <v>9</v>
      </c>
      <c r="AC332" t="s">
        <v>310</v>
      </c>
      <c r="AD332">
        <v>9</v>
      </c>
      <c r="AE332" t="s">
        <v>1390</v>
      </c>
      <c r="AF332">
        <v>30000000</v>
      </c>
      <c r="AG332" t="s">
        <v>310</v>
      </c>
      <c r="AH332">
        <f>SUM((MID(Dyno_Data[[#This Row],[Team]],4,5))+(Dyno_Data[[#This Row],[Match]]/100))</f>
        <v>3173.06</v>
      </c>
      <c r="AI332" s="76">
        <f>ROUND(SUM(IF(Dyno_Data[[#This Row],[AcqCenter]]&gt;0,Dyno_Data[[#This Row],[Time]]-SUMIFS(Dyno_Data[Time],Dyno_Data[Team],Dyno_Data[[#This Row],[Team]],Dyno_Data[RecordType],"StartMatch",Dyno_Data[Match],Dyno_Data[[#This Row],[Match]]),0)*86400),0)</f>
        <v>0</v>
      </c>
    </row>
    <row r="333" spans="1:35" x14ac:dyDescent="0.3">
      <c r="A333">
        <v>332</v>
      </c>
      <c r="B333" t="s">
        <v>1305</v>
      </c>
      <c r="C333">
        <v>6</v>
      </c>
      <c r="D333" s="105">
        <v>45373.406852743057</v>
      </c>
      <c r="E333" t="s">
        <v>312</v>
      </c>
      <c r="F333" t="s">
        <v>1402</v>
      </c>
      <c r="G333">
        <v>0</v>
      </c>
      <c r="H333" t="s">
        <v>315</v>
      </c>
      <c r="I333">
        <v>0</v>
      </c>
      <c r="J333">
        <v>0</v>
      </c>
      <c r="K333">
        <v>0</v>
      </c>
      <c r="L333" t="s">
        <v>241</v>
      </c>
      <c r="M333" t="s">
        <v>101</v>
      </c>
      <c r="N333">
        <v>0</v>
      </c>
      <c r="O333" t="s">
        <v>1393</v>
      </c>
      <c r="P333" t="s">
        <v>310</v>
      </c>
      <c r="Q333" t="s">
        <v>310</v>
      </c>
      <c r="R333" t="s">
        <v>310</v>
      </c>
      <c r="S333">
        <v>9</v>
      </c>
      <c r="T333" t="s">
        <v>310</v>
      </c>
      <c r="U333">
        <v>9</v>
      </c>
      <c r="V333">
        <v>9</v>
      </c>
      <c r="W333">
        <v>0</v>
      </c>
      <c r="X333">
        <v>0</v>
      </c>
      <c r="Y333">
        <v>0</v>
      </c>
      <c r="Z333">
        <v>0</v>
      </c>
      <c r="AA333">
        <v>9</v>
      </c>
      <c r="AB333">
        <v>9</v>
      </c>
      <c r="AC333" t="s">
        <v>310</v>
      </c>
      <c r="AD333">
        <v>9</v>
      </c>
      <c r="AE333" t="s">
        <v>1390</v>
      </c>
      <c r="AF333">
        <v>40000000</v>
      </c>
      <c r="AG333" t="s">
        <v>310</v>
      </c>
      <c r="AH333">
        <f>SUM((MID(Dyno_Data[[#This Row],[Team]],4,5))+(Dyno_Data[[#This Row],[Match]]/100))</f>
        <v>3173.06</v>
      </c>
      <c r="AI333" s="76">
        <f>ROUND(SUM(IF(Dyno_Data[[#This Row],[AcqCenter]]&gt;0,Dyno_Data[[#This Row],[Time]]-SUMIFS(Dyno_Data[Time],Dyno_Data[Team],Dyno_Data[[#This Row],[Team]],Dyno_Data[RecordType],"StartMatch",Dyno_Data[Match],Dyno_Data[[#This Row],[Match]]),0)*86400),0)</f>
        <v>0</v>
      </c>
    </row>
    <row r="334" spans="1:35" x14ac:dyDescent="0.3">
      <c r="A334">
        <v>333</v>
      </c>
      <c r="B334" t="s">
        <v>365</v>
      </c>
      <c r="C334">
        <v>6</v>
      </c>
      <c r="D334" s="105">
        <v>45373.406870057872</v>
      </c>
      <c r="E334" t="s">
        <v>312</v>
      </c>
      <c r="F334" t="s">
        <v>1402</v>
      </c>
      <c r="G334">
        <v>0</v>
      </c>
      <c r="H334" t="s">
        <v>315</v>
      </c>
      <c r="I334">
        <v>0</v>
      </c>
      <c r="J334">
        <v>0</v>
      </c>
      <c r="K334">
        <v>0</v>
      </c>
      <c r="L334" t="s">
        <v>241</v>
      </c>
      <c r="M334" t="s">
        <v>101</v>
      </c>
      <c r="N334">
        <v>0</v>
      </c>
      <c r="O334" t="s">
        <v>311</v>
      </c>
      <c r="P334" t="s">
        <v>310</v>
      </c>
      <c r="Q334" t="s">
        <v>310</v>
      </c>
      <c r="R334" t="s">
        <v>310</v>
      </c>
      <c r="S334">
        <v>9</v>
      </c>
      <c r="T334" t="s">
        <v>310</v>
      </c>
      <c r="U334">
        <v>9</v>
      </c>
      <c r="V334">
        <v>9</v>
      </c>
      <c r="W334">
        <v>0</v>
      </c>
      <c r="X334">
        <v>0</v>
      </c>
      <c r="Y334">
        <v>0</v>
      </c>
      <c r="Z334">
        <v>0</v>
      </c>
      <c r="AA334">
        <v>9</v>
      </c>
      <c r="AB334">
        <v>9</v>
      </c>
      <c r="AC334" t="s">
        <v>310</v>
      </c>
      <c r="AD334">
        <v>9</v>
      </c>
      <c r="AE334" t="s">
        <v>1387</v>
      </c>
      <c r="AF334">
        <v>20000000</v>
      </c>
      <c r="AG334" t="s">
        <v>310</v>
      </c>
      <c r="AH334">
        <f>SUM((MID(Dyno_Data[[#This Row],[Team]],4,5))+(Dyno_Data[[#This Row],[Match]]/100))</f>
        <v>3171.06</v>
      </c>
      <c r="AI334" s="76">
        <f>ROUND(SUM(IF(Dyno_Data[[#This Row],[AcqCenter]]&gt;0,Dyno_Data[[#This Row],[Time]]-SUMIFS(Dyno_Data[Time],Dyno_Data[Team],Dyno_Data[[#This Row],[Team]],Dyno_Data[RecordType],"StartMatch",Dyno_Data[Match],Dyno_Data[[#This Row],[Match]]),0)*86400),0)</f>
        <v>0</v>
      </c>
    </row>
    <row r="335" spans="1:35" x14ac:dyDescent="0.3">
      <c r="A335">
        <v>334</v>
      </c>
      <c r="B335" t="s">
        <v>366</v>
      </c>
      <c r="C335">
        <v>6</v>
      </c>
      <c r="D335" s="105">
        <v>45373.406885914352</v>
      </c>
      <c r="E335" t="s">
        <v>312</v>
      </c>
      <c r="F335" t="s">
        <v>1402</v>
      </c>
      <c r="G335">
        <v>0</v>
      </c>
      <c r="H335" t="s">
        <v>315</v>
      </c>
      <c r="I335">
        <v>0</v>
      </c>
      <c r="J335">
        <v>0</v>
      </c>
      <c r="K335">
        <v>0</v>
      </c>
      <c r="L335" t="s">
        <v>240</v>
      </c>
      <c r="M335" t="s">
        <v>1398</v>
      </c>
      <c r="N335">
        <v>1</v>
      </c>
      <c r="O335" t="s">
        <v>319</v>
      </c>
      <c r="P335" t="s">
        <v>310</v>
      </c>
      <c r="Q335" t="s">
        <v>310</v>
      </c>
      <c r="R335" t="s">
        <v>310</v>
      </c>
      <c r="S335">
        <v>9</v>
      </c>
      <c r="T335" t="s">
        <v>310</v>
      </c>
      <c r="U335">
        <v>9</v>
      </c>
      <c r="V335">
        <v>9</v>
      </c>
      <c r="W335">
        <v>0</v>
      </c>
      <c r="X335">
        <v>0</v>
      </c>
      <c r="Y335">
        <v>0</v>
      </c>
      <c r="Z335">
        <v>0</v>
      </c>
      <c r="AA335">
        <v>9</v>
      </c>
      <c r="AB335">
        <v>9</v>
      </c>
      <c r="AC335" t="s">
        <v>310</v>
      </c>
      <c r="AD335">
        <v>9</v>
      </c>
      <c r="AE335" t="s">
        <v>1392</v>
      </c>
      <c r="AF335">
        <v>10000000</v>
      </c>
      <c r="AG335" t="s">
        <v>310</v>
      </c>
      <c r="AH335">
        <f>SUM((MID(Dyno_Data[[#This Row],[Team]],4,5))+(Dyno_Data[[#This Row],[Match]]/100))</f>
        <v>4122.0600000000004</v>
      </c>
      <c r="AI335" s="76">
        <f>ROUND(SUM(IF(Dyno_Data[[#This Row],[AcqCenter]]&gt;0,Dyno_Data[[#This Row],[Time]]-SUMIFS(Dyno_Data[Time],Dyno_Data[Team],Dyno_Data[[#This Row],[Team]],Dyno_Data[RecordType],"StartMatch",Dyno_Data[Match],Dyno_Data[[#This Row],[Match]]),0)*86400),0)</f>
        <v>0</v>
      </c>
    </row>
    <row r="336" spans="1:35" x14ac:dyDescent="0.3">
      <c r="A336">
        <v>335</v>
      </c>
      <c r="B336" t="s">
        <v>1306</v>
      </c>
      <c r="C336">
        <v>6</v>
      </c>
      <c r="D336" s="105">
        <v>45373.406896875</v>
      </c>
      <c r="E336" t="s">
        <v>312</v>
      </c>
      <c r="F336" t="s">
        <v>1402</v>
      </c>
      <c r="G336">
        <v>0</v>
      </c>
      <c r="H336" t="s">
        <v>315</v>
      </c>
      <c r="I336">
        <v>0</v>
      </c>
      <c r="J336">
        <v>0</v>
      </c>
      <c r="K336">
        <v>0</v>
      </c>
      <c r="L336" t="s">
        <v>241</v>
      </c>
      <c r="M336" t="s">
        <v>1398</v>
      </c>
      <c r="N336">
        <v>0</v>
      </c>
      <c r="O336" t="s">
        <v>1391</v>
      </c>
      <c r="P336" t="s">
        <v>310</v>
      </c>
      <c r="Q336" t="s">
        <v>310</v>
      </c>
      <c r="R336" t="s">
        <v>310</v>
      </c>
      <c r="S336">
        <v>9</v>
      </c>
      <c r="T336" t="s">
        <v>310</v>
      </c>
      <c r="U336">
        <v>9</v>
      </c>
      <c r="V336">
        <v>9</v>
      </c>
      <c r="W336">
        <v>0</v>
      </c>
      <c r="X336">
        <v>0</v>
      </c>
      <c r="Y336">
        <v>0</v>
      </c>
      <c r="Z336">
        <v>0</v>
      </c>
      <c r="AA336">
        <v>9</v>
      </c>
      <c r="AB336">
        <v>9</v>
      </c>
      <c r="AC336" t="s">
        <v>310</v>
      </c>
      <c r="AD336">
        <v>9</v>
      </c>
      <c r="AE336" t="s">
        <v>1388</v>
      </c>
      <c r="AF336">
        <v>10002000</v>
      </c>
      <c r="AG336" t="s">
        <v>310</v>
      </c>
      <c r="AH336">
        <f>SUM((MID(Dyno_Data[[#This Row],[Team]],4,5))+(Dyno_Data[[#This Row],[Match]]/100))</f>
        <v>3986.06</v>
      </c>
      <c r="AI336" s="76">
        <f>ROUND(SUM(IF(Dyno_Data[[#This Row],[AcqCenter]]&gt;0,Dyno_Data[[#This Row],[Time]]-SUMIFS(Dyno_Data[Time],Dyno_Data[Team],Dyno_Data[[#This Row],[Team]],Dyno_Data[RecordType],"StartMatch",Dyno_Data[Match],Dyno_Data[[#This Row],[Match]]),0)*86400),0)</f>
        <v>0</v>
      </c>
    </row>
    <row r="337" spans="1:35" x14ac:dyDescent="0.3">
      <c r="A337">
        <v>336</v>
      </c>
      <c r="B337" t="s">
        <v>318</v>
      </c>
      <c r="C337">
        <v>6</v>
      </c>
      <c r="D337" s="105">
        <v>45373.406907835648</v>
      </c>
      <c r="E337" t="s">
        <v>312</v>
      </c>
      <c r="F337" t="s">
        <v>1402</v>
      </c>
      <c r="G337">
        <v>0</v>
      </c>
      <c r="H337" t="s">
        <v>1397</v>
      </c>
      <c r="I337">
        <v>0</v>
      </c>
      <c r="J337">
        <v>0</v>
      </c>
      <c r="K337">
        <v>0</v>
      </c>
      <c r="L337" t="s">
        <v>240</v>
      </c>
      <c r="M337" t="s">
        <v>1398</v>
      </c>
      <c r="N337">
        <v>0</v>
      </c>
      <c r="O337" t="s">
        <v>1395</v>
      </c>
      <c r="P337" t="s">
        <v>310</v>
      </c>
      <c r="Q337" t="s">
        <v>310</v>
      </c>
      <c r="R337" t="s">
        <v>310</v>
      </c>
      <c r="S337">
        <v>9</v>
      </c>
      <c r="T337" t="s">
        <v>310</v>
      </c>
      <c r="U337">
        <v>9</v>
      </c>
      <c r="V337">
        <v>9</v>
      </c>
      <c r="W337">
        <v>0</v>
      </c>
      <c r="X337">
        <v>0</v>
      </c>
      <c r="Y337">
        <v>0</v>
      </c>
      <c r="Z337">
        <v>0</v>
      </c>
      <c r="AA337">
        <v>9</v>
      </c>
      <c r="AB337">
        <v>9</v>
      </c>
      <c r="AC337" t="s">
        <v>310</v>
      </c>
      <c r="AD337">
        <v>9</v>
      </c>
      <c r="AE337" t="s">
        <v>1396</v>
      </c>
      <c r="AF337">
        <v>0</v>
      </c>
      <c r="AG337" t="s">
        <v>310</v>
      </c>
      <c r="AH337">
        <f>SUM((MID(Dyno_Data[[#This Row],[Team]],4,5))+(Dyno_Data[[#This Row],[Match]]/100))</f>
        <v>639.05999999999995</v>
      </c>
      <c r="AI337" s="76">
        <f>ROUND(SUM(IF(Dyno_Data[[#This Row],[AcqCenter]]&gt;0,Dyno_Data[[#This Row],[Time]]-SUMIFS(Dyno_Data[Time],Dyno_Data[Team],Dyno_Data[[#This Row],[Team]],Dyno_Data[RecordType],"StartMatch",Dyno_Data[Match],Dyno_Data[[#This Row],[Match]]),0)*86400),0)</f>
        <v>0</v>
      </c>
    </row>
    <row r="338" spans="1:35" x14ac:dyDescent="0.3">
      <c r="A338">
        <v>337</v>
      </c>
      <c r="B338" t="s">
        <v>365</v>
      </c>
      <c r="C338">
        <v>6</v>
      </c>
      <c r="D338" s="105">
        <v>45373.406996064812</v>
      </c>
      <c r="E338" t="s">
        <v>312</v>
      </c>
      <c r="F338" t="s">
        <v>1402</v>
      </c>
      <c r="G338">
        <v>0</v>
      </c>
      <c r="H338" t="s">
        <v>315</v>
      </c>
      <c r="I338">
        <v>0</v>
      </c>
      <c r="J338">
        <v>0</v>
      </c>
      <c r="K338">
        <v>0</v>
      </c>
      <c r="L338" t="s">
        <v>241</v>
      </c>
      <c r="M338" t="s">
        <v>101</v>
      </c>
      <c r="N338">
        <v>0</v>
      </c>
      <c r="O338" t="s">
        <v>311</v>
      </c>
      <c r="P338" t="s">
        <v>310</v>
      </c>
      <c r="Q338" t="s">
        <v>310</v>
      </c>
      <c r="R338" t="s">
        <v>310</v>
      </c>
      <c r="S338">
        <v>9</v>
      </c>
      <c r="T338" t="s">
        <v>310</v>
      </c>
      <c r="U338">
        <v>9</v>
      </c>
      <c r="V338">
        <v>9</v>
      </c>
      <c r="W338">
        <v>0</v>
      </c>
      <c r="X338">
        <v>0</v>
      </c>
      <c r="Y338">
        <v>0</v>
      </c>
      <c r="Z338">
        <v>0</v>
      </c>
      <c r="AA338">
        <v>9</v>
      </c>
      <c r="AB338">
        <v>9</v>
      </c>
      <c r="AC338" t="s">
        <v>310</v>
      </c>
      <c r="AD338">
        <v>9</v>
      </c>
      <c r="AE338" t="s">
        <v>1387</v>
      </c>
      <c r="AF338">
        <v>30000000</v>
      </c>
      <c r="AG338" t="s">
        <v>310</v>
      </c>
      <c r="AH338">
        <f>SUM((MID(Dyno_Data[[#This Row],[Team]],4,5))+(Dyno_Data[[#This Row],[Match]]/100))</f>
        <v>3171.06</v>
      </c>
      <c r="AI338" s="76">
        <f>ROUND(SUM(IF(Dyno_Data[[#This Row],[AcqCenter]]&gt;0,Dyno_Data[[#This Row],[Time]]-SUMIFS(Dyno_Data[Time],Dyno_Data[Team],Dyno_Data[[#This Row],[Team]],Dyno_Data[RecordType],"StartMatch",Dyno_Data[Match],Dyno_Data[[#This Row],[Match]]),0)*86400),0)</f>
        <v>0</v>
      </c>
    </row>
    <row r="339" spans="1:35" x14ac:dyDescent="0.3">
      <c r="A339">
        <v>338</v>
      </c>
      <c r="B339" t="s">
        <v>1306</v>
      </c>
      <c r="C339">
        <v>6</v>
      </c>
      <c r="D339" s="105">
        <v>45373.407040127313</v>
      </c>
      <c r="E339" t="s">
        <v>312</v>
      </c>
      <c r="F339" t="s">
        <v>1402</v>
      </c>
      <c r="G339">
        <v>0</v>
      </c>
      <c r="H339" t="s">
        <v>315</v>
      </c>
      <c r="I339">
        <v>0</v>
      </c>
      <c r="J339">
        <v>0</v>
      </c>
      <c r="K339">
        <v>0</v>
      </c>
      <c r="L339" t="s">
        <v>242</v>
      </c>
      <c r="M339" t="s">
        <v>241</v>
      </c>
      <c r="N339">
        <v>0</v>
      </c>
      <c r="O339" t="s">
        <v>1391</v>
      </c>
      <c r="P339" t="s">
        <v>310</v>
      </c>
      <c r="Q339" t="s">
        <v>310</v>
      </c>
      <c r="R339" t="s">
        <v>310</v>
      </c>
      <c r="S339">
        <v>9</v>
      </c>
      <c r="T339" t="s">
        <v>310</v>
      </c>
      <c r="U339">
        <v>9</v>
      </c>
      <c r="V339">
        <v>9</v>
      </c>
      <c r="W339">
        <v>0</v>
      </c>
      <c r="X339">
        <v>0</v>
      </c>
      <c r="Y339">
        <v>0</v>
      </c>
      <c r="Z339">
        <v>0</v>
      </c>
      <c r="AA339">
        <v>9</v>
      </c>
      <c r="AB339">
        <v>9</v>
      </c>
      <c r="AC339" t="s">
        <v>310</v>
      </c>
      <c r="AD339">
        <v>9</v>
      </c>
      <c r="AE339" t="s">
        <v>1388</v>
      </c>
      <c r="AF339">
        <v>20002000</v>
      </c>
      <c r="AG339" t="s">
        <v>310</v>
      </c>
      <c r="AH339">
        <f>SUM((MID(Dyno_Data[[#This Row],[Team]],4,5))+(Dyno_Data[[#This Row],[Match]]/100))</f>
        <v>3986.06</v>
      </c>
      <c r="AI339" s="76">
        <f>ROUND(SUM(IF(Dyno_Data[[#This Row],[AcqCenter]]&gt;0,Dyno_Data[[#This Row],[Time]]-SUMIFS(Dyno_Data[Time],Dyno_Data[Team],Dyno_Data[[#This Row],[Team]],Dyno_Data[RecordType],"StartMatch",Dyno_Data[Match],Dyno_Data[[#This Row],[Match]]),0)*86400),0)</f>
        <v>0</v>
      </c>
    </row>
    <row r="340" spans="1:35" x14ac:dyDescent="0.3">
      <c r="A340">
        <v>339</v>
      </c>
      <c r="B340" t="s">
        <v>372</v>
      </c>
      <c r="C340">
        <v>6</v>
      </c>
      <c r="D340" s="105">
        <v>45373.407040196762</v>
      </c>
      <c r="E340" t="s">
        <v>312</v>
      </c>
      <c r="F340" t="s">
        <v>1402</v>
      </c>
      <c r="G340">
        <v>0</v>
      </c>
      <c r="H340" t="s">
        <v>315</v>
      </c>
      <c r="I340">
        <v>0</v>
      </c>
      <c r="J340">
        <v>0</v>
      </c>
      <c r="K340">
        <v>0</v>
      </c>
      <c r="L340" t="s">
        <v>240</v>
      </c>
      <c r="M340" t="s">
        <v>1398</v>
      </c>
      <c r="N340">
        <v>0</v>
      </c>
      <c r="O340" t="s">
        <v>1389</v>
      </c>
      <c r="P340" t="s">
        <v>310</v>
      </c>
      <c r="Q340" t="s">
        <v>310</v>
      </c>
      <c r="R340" t="s">
        <v>310</v>
      </c>
      <c r="S340">
        <v>9</v>
      </c>
      <c r="T340" t="s">
        <v>310</v>
      </c>
      <c r="U340">
        <v>9</v>
      </c>
      <c r="V340">
        <v>9</v>
      </c>
      <c r="W340">
        <v>0</v>
      </c>
      <c r="X340">
        <v>0</v>
      </c>
      <c r="Y340">
        <v>0</v>
      </c>
      <c r="Z340">
        <v>0</v>
      </c>
      <c r="AA340">
        <v>9</v>
      </c>
      <c r="AB340">
        <v>9</v>
      </c>
      <c r="AC340" t="s">
        <v>310</v>
      </c>
      <c r="AD340">
        <v>9</v>
      </c>
      <c r="AE340" t="s">
        <v>1394</v>
      </c>
      <c r="AF340">
        <v>10000000</v>
      </c>
      <c r="AG340" t="s">
        <v>310</v>
      </c>
      <c r="AH340">
        <f>SUM((MID(Dyno_Data[[#This Row],[Team]],4,5))+(Dyno_Data[[#This Row],[Match]]/100))</f>
        <v>7504.06</v>
      </c>
      <c r="AI340" s="76">
        <f>ROUND(SUM(IF(Dyno_Data[[#This Row],[AcqCenter]]&gt;0,Dyno_Data[[#This Row],[Time]]-SUMIFS(Dyno_Data[Time],Dyno_Data[Team],Dyno_Data[[#This Row],[Team]],Dyno_Data[RecordType],"StartMatch",Dyno_Data[Match],Dyno_Data[[#This Row],[Match]]),0)*86400),0)</f>
        <v>0</v>
      </c>
    </row>
    <row r="341" spans="1:35" x14ac:dyDescent="0.3">
      <c r="A341">
        <v>340</v>
      </c>
      <c r="B341" t="s">
        <v>1305</v>
      </c>
      <c r="C341">
        <v>6</v>
      </c>
      <c r="D341" s="105">
        <v>45373.407041631945</v>
      </c>
      <c r="E341" t="s">
        <v>312</v>
      </c>
      <c r="F341" t="s">
        <v>1402</v>
      </c>
      <c r="G341">
        <v>0</v>
      </c>
      <c r="H341" t="s">
        <v>315</v>
      </c>
      <c r="I341">
        <v>0</v>
      </c>
      <c r="J341">
        <v>0</v>
      </c>
      <c r="K341">
        <v>0</v>
      </c>
      <c r="L341" t="s">
        <v>241</v>
      </c>
      <c r="M341" t="s">
        <v>101</v>
      </c>
      <c r="N341">
        <v>0</v>
      </c>
      <c r="O341" t="s">
        <v>1393</v>
      </c>
      <c r="P341" t="s">
        <v>310</v>
      </c>
      <c r="Q341" t="s">
        <v>310</v>
      </c>
      <c r="R341" t="s">
        <v>310</v>
      </c>
      <c r="S341">
        <v>9</v>
      </c>
      <c r="T341" t="s">
        <v>310</v>
      </c>
      <c r="U341">
        <v>9</v>
      </c>
      <c r="V341">
        <v>9</v>
      </c>
      <c r="W341">
        <v>0</v>
      </c>
      <c r="X341">
        <v>0</v>
      </c>
      <c r="Y341">
        <v>0</v>
      </c>
      <c r="Z341">
        <v>0</v>
      </c>
      <c r="AA341">
        <v>9</v>
      </c>
      <c r="AB341">
        <v>9</v>
      </c>
      <c r="AC341" t="s">
        <v>310</v>
      </c>
      <c r="AD341">
        <v>9</v>
      </c>
      <c r="AE341" t="s">
        <v>1390</v>
      </c>
      <c r="AF341">
        <v>50000000</v>
      </c>
      <c r="AG341" t="s">
        <v>310</v>
      </c>
      <c r="AH341">
        <f>SUM((MID(Dyno_Data[[#This Row],[Team]],4,5))+(Dyno_Data[[#This Row],[Match]]/100))</f>
        <v>3173.06</v>
      </c>
      <c r="AI341" s="76">
        <f>ROUND(SUM(IF(Dyno_Data[[#This Row],[AcqCenter]]&gt;0,Dyno_Data[[#This Row],[Time]]-SUMIFS(Dyno_Data[Time],Dyno_Data[Team],Dyno_Data[[#This Row],[Team]],Dyno_Data[RecordType],"StartMatch",Dyno_Data[Match],Dyno_Data[[#This Row],[Match]]),0)*86400),0)</f>
        <v>0</v>
      </c>
    </row>
    <row r="342" spans="1:35" x14ac:dyDescent="0.3">
      <c r="A342">
        <v>341</v>
      </c>
      <c r="B342" t="s">
        <v>318</v>
      </c>
      <c r="C342">
        <v>6</v>
      </c>
      <c r="D342" s="105">
        <v>45373.407084375001</v>
      </c>
      <c r="E342" t="s">
        <v>312</v>
      </c>
      <c r="F342" t="s">
        <v>1402</v>
      </c>
      <c r="G342">
        <v>0</v>
      </c>
      <c r="H342" t="s">
        <v>315</v>
      </c>
      <c r="I342">
        <v>0</v>
      </c>
      <c r="J342">
        <v>0</v>
      </c>
      <c r="K342">
        <v>0</v>
      </c>
      <c r="L342" t="s">
        <v>241</v>
      </c>
      <c r="M342" t="s">
        <v>1398</v>
      </c>
      <c r="N342">
        <v>0</v>
      </c>
      <c r="O342" t="s">
        <v>1395</v>
      </c>
      <c r="P342" t="s">
        <v>310</v>
      </c>
      <c r="Q342" t="s">
        <v>310</v>
      </c>
      <c r="R342" t="s">
        <v>310</v>
      </c>
      <c r="S342">
        <v>9</v>
      </c>
      <c r="T342" t="s">
        <v>310</v>
      </c>
      <c r="U342">
        <v>9</v>
      </c>
      <c r="V342">
        <v>9</v>
      </c>
      <c r="W342">
        <v>0</v>
      </c>
      <c r="X342">
        <v>0</v>
      </c>
      <c r="Y342">
        <v>0</v>
      </c>
      <c r="Z342">
        <v>0</v>
      </c>
      <c r="AA342">
        <v>9</v>
      </c>
      <c r="AB342">
        <v>9</v>
      </c>
      <c r="AC342" t="s">
        <v>310</v>
      </c>
      <c r="AD342">
        <v>9</v>
      </c>
      <c r="AE342" t="s">
        <v>1396</v>
      </c>
      <c r="AF342">
        <v>10000000</v>
      </c>
      <c r="AG342" t="s">
        <v>310</v>
      </c>
      <c r="AH342">
        <f>SUM((MID(Dyno_Data[[#This Row],[Team]],4,5))+(Dyno_Data[[#This Row],[Match]]/100))</f>
        <v>639.05999999999995</v>
      </c>
      <c r="AI342" s="76">
        <f>ROUND(SUM(IF(Dyno_Data[[#This Row],[AcqCenter]]&gt;0,Dyno_Data[[#This Row],[Time]]-SUMIFS(Dyno_Data[Time],Dyno_Data[Team],Dyno_Data[[#This Row],[Team]],Dyno_Data[RecordType],"StartMatch",Dyno_Data[Match],Dyno_Data[[#This Row],[Match]]),0)*86400),0)</f>
        <v>0</v>
      </c>
    </row>
    <row r="343" spans="1:35" x14ac:dyDescent="0.3">
      <c r="A343">
        <v>342</v>
      </c>
      <c r="B343" t="s">
        <v>1306</v>
      </c>
      <c r="C343">
        <v>6</v>
      </c>
      <c r="D343" s="105">
        <v>45373.407108993059</v>
      </c>
      <c r="E343" t="s">
        <v>312</v>
      </c>
      <c r="F343" t="s">
        <v>1402</v>
      </c>
      <c r="G343">
        <v>0</v>
      </c>
      <c r="H343" t="s">
        <v>315</v>
      </c>
      <c r="I343">
        <v>0</v>
      </c>
      <c r="J343">
        <v>0</v>
      </c>
      <c r="K343">
        <v>0</v>
      </c>
      <c r="L343" t="s">
        <v>242</v>
      </c>
      <c r="M343" t="s">
        <v>241</v>
      </c>
      <c r="N343">
        <v>0</v>
      </c>
      <c r="O343" t="s">
        <v>1391</v>
      </c>
      <c r="P343" t="s">
        <v>310</v>
      </c>
      <c r="Q343" t="s">
        <v>310</v>
      </c>
      <c r="R343" t="s">
        <v>310</v>
      </c>
      <c r="S343">
        <v>9</v>
      </c>
      <c r="T343" t="s">
        <v>310</v>
      </c>
      <c r="U343">
        <v>9</v>
      </c>
      <c r="V343">
        <v>9</v>
      </c>
      <c r="W343">
        <v>0</v>
      </c>
      <c r="X343">
        <v>0</v>
      </c>
      <c r="Y343">
        <v>0</v>
      </c>
      <c r="Z343">
        <v>0</v>
      </c>
      <c r="AA343">
        <v>9</v>
      </c>
      <c r="AB343">
        <v>9</v>
      </c>
      <c r="AC343" t="s">
        <v>310</v>
      </c>
      <c r="AD343">
        <v>9</v>
      </c>
      <c r="AE343" t="s">
        <v>1388</v>
      </c>
      <c r="AF343">
        <v>30002000</v>
      </c>
      <c r="AG343" t="s">
        <v>310</v>
      </c>
      <c r="AH343">
        <f>SUM((MID(Dyno_Data[[#This Row],[Team]],4,5))+(Dyno_Data[[#This Row],[Match]]/100))</f>
        <v>3986.06</v>
      </c>
      <c r="AI343" s="76">
        <f>ROUND(SUM(IF(Dyno_Data[[#This Row],[AcqCenter]]&gt;0,Dyno_Data[[#This Row],[Time]]-SUMIFS(Dyno_Data[Time],Dyno_Data[Team],Dyno_Data[[#This Row],[Team]],Dyno_Data[RecordType],"StartMatch",Dyno_Data[Match],Dyno_Data[[#This Row],[Match]]),0)*86400),0)</f>
        <v>0</v>
      </c>
    </row>
    <row r="344" spans="1:35" x14ac:dyDescent="0.3">
      <c r="A344">
        <v>343</v>
      </c>
      <c r="B344" t="s">
        <v>365</v>
      </c>
      <c r="C344">
        <v>6</v>
      </c>
      <c r="D344" s="105">
        <v>45373.407116979164</v>
      </c>
      <c r="E344" t="s">
        <v>312</v>
      </c>
      <c r="F344" t="s">
        <v>1402</v>
      </c>
      <c r="G344">
        <v>0</v>
      </c>
      <c r="H344" t="s">
        <v>315</v>
      </c>
      <c r="I344">
        <v>0</v>
      </c>
      <c r="J344">
        <v>0</v>
      </c>
      <c r="K344">
        <v>0</v>
      </c>
      <c r="L344" t="s">
        <v>240</v>
      </c>
      <c r="M344" t="s">
        <v>1398</v>
      </c>
      <c r="N344">
        <v>0</v>
      </c>
      <c r="O344" t="s">
        <v>311</v>
      </c>
      <c r="P344" t="s">
        <v>310</v>
      </c>
      <c r="Q344" t="s">
        <v>310</v>
      </c>
      <c r="R344" t="s">
        <v>310</v>
      </c>
      <c r="S344">
        <v>9</v>
      </c>
      <c r="T344" t="s">
        <v>310</v>
      </c>
      <c r="U344">
        <v>9</v>
      </c>
      <c r="V344">
        <v>9</v>
      </c>
      <c r="W344">
        <v>0</v>
      </c>
      <c r="X344">
        <v>0</v>
      </c>
      <c r="Y344">
        <v>0</v>
      </c>
      <c r="Z344">
        <v>0</v>
      </c>
      <c r="AA344">
        <v>9</v>
      </c>
      <c r="AB344">
        <v>9</v>
      </c>
      <c r="AC344" t="s">
        <v>310</v>
      </c>
      <c r="AD344">
        <v>9</v>
      </c>
      <c r="AE344" t="s">
        <v>1387</v>
      </c>
      <c r="AF344">
        <v>40000000</v>
      </c>
      <c r="AG344" t="s">
        <v>310</v>
      </c>
      <c r="AH344">
        <f>SUM((MID(Dyno_Data[[#This Row],[Team]],4,5))+(Dyno_Data[[#This Row],[Match]]/100))</f>
        <v>3171.06</v>
      </c>
      <c r="AI344" s="76">
        <f>ROUND(SUM(IF(Dyno_Data[[#This Row],[AcqCenter]]&gt;0,Dyno_Data[[#This Row],[Time]]-SUMIFS(Dyno_Data[Time],Dyno_Data[Team],Dyno_Data[[#This Row],[Team]],Dyno_Data[RecordType],"StartMatch",Dyno_Data[Match],Dyno_Data[[#This Row],[Match]]),0)*86400),0)</f>
        <v>0</v>
      </c>
    </row>
    <row r="345" spans="1:35" x14ac:dyDescent="0.3">
      <c r="A345">
        <v>344</v>
      </c>
      <c r="B345" t="s">
        <v>366</v>
      </c>
      <c r="C345">
        <v>6</v>
      </c>
      <c r="D345" s="105">
        <v>45373.407134456022</v>
      </c>
      <c r="E345" t="s">
        <v>312</v>
      </c>
      <c r="F345" t="s">
        <v>1402</v>
      </c>
      <c r="G345">
        <v>0</v>
      </c>
      <c r="H345" t="s">
        <v>315</v>
      </c>
      <c r="I345">
        <v>0</v>
      </c>
      <c r="J345">
        <v>0</v>
      </c>
      <c r="K345">
        <v>0</v>
      </c>
      <c r="L345" t="s">
        <v>240</v>
      </c>
      <c r="M345" t="s">
        <v>1398</v>
      </c>
      <c r="N345">
        <v>1</v>
      </c>
      <c r="O345" t="s">
        <v>319</v>
      </c>
      <c r="P345" t="s">
        <v>310</v>
      </c>
      <c r="Q345" t="s">
        <v>310</v>
      </c>
      <c r="R345" t="s">
        <v>310</v>
      </c>
      <c r="S345">
        <v>9</v>
      </c>
      <c r="T345" t="s">
        <v>310</v>
      </c>
      <c r="U345">
        <v>9</v>
      </c>
      <c r="V345">
        <v>9</v>
      </c>
      <c r="W345">
        <v>0</v>
      </c>
      <c r="X345">
        <v>0</v>
      </c>
      <c r="Y345">
        <v>0</v>
      </c>
      <c r="Z345">
        <v>0</v>
      </c>
      <c r="AA345">
        <v>9</v>
      </c>
      <c r="AB345">
        <v>9</v>
      </c>
      <c r="AC345" t="s">
        <v>310</v>
      </c>
      <c r="AD345">
        <v>9</v>
      </c>
      <c r="AE345" t="s">
        <v>1392</v>
      </c>
      <c r="AF345">
        <v>20000000</v>
      </c>
      <c r="AG345" t="s">
        <v>310</v>
      </c>
      <c r="AH345">
        <f>SUM((MID(Dyno_Data[[#This Row],[Team]],4,5))+(Dyno_Data[[#This Row],[Match]]/100))</f>
        <v>4122.0600000000004</v>
      </c>
      <c r="AI345" s="76">
        <f>ROUND(SUM(IF(Dyno_Data[[#This Row],[AcqCenter]]&gt;0,Dyno_Data[[#This Row],[Time]]-SUMIFS(Dyno_Data[Time],Dyno_Data[Team],Dyno_Data[[#This Row],[Team]],Dyno_Data[RecordType],"StartMatch",Dyno_Data[Match],Dyno_Data[[#This Row],[Match]]),0)*86400),0)</f>
        <v>0</v>
      </c>
    </row>
    <row r="346" spans="1:35" x14ac:dyDescent="0.3">
      <c r="A346">
        <v>345</v>
      </c>
      <c r="B346" t="s">
        <v>1305</v>
      </c>
      <c r="C346">
        <v>6</v>
      </c>
      <c r="D346" s="105">
        <v>45373.407150266205</v>
      </c>
      <c r="E346" t="s">
        <v>312</v>
      </c>
      <c r="F346" t="s">
        <v>1402</v>
      </c>
      <c r="G346">
        <v>0</v>
      </c>
      <c r="H346" t="s">
        <v>315</v>
      </c>
      <c r="I346">
        <v>0</v>
      </c>
      <c r="J346">
        <v>0</v>
      </c>
      <c r="K346">
        <v>0</v>
      </c>
      <c r="L346" t="s">
        <v>241</v>
      </c>
      <c r="M346" t="s">
        <v>101</v>
      </c>
      <c r="N346">
        <v>0</v>
      </c>
      <c r="O346" t="s">
        <v>1393</v>
      </c>
      <c r="P346" t="s">
        <v>310</v>
      </c>
      <c r="Q346" t="s">
        <v>310</v>
      </c>
      <c r="R346" t="s">
        <v>310</v>
      </c>
      <c r="S346">
        <v>9</v>
      </c>
      <c r="T346" t="s">
        <v>310</v>
      </c>
      <c r="U346">
        <v>9</v>
      </c>
      <c r="V346">
        <v>9</v>
      </c>
      <c r="W346">
        <v>0</v>
      </c>
      <c r="X346">
        <v>0</v>
      </c>
      <c r="Y346">
        <v>0</v>
      </c>
      <c r="Z346">
        <v>0</v>
      </c>
      <c r="AA346">
        <v>9</v>
      </c>
      <c r="AB346">
        <v>9</v>
      </c>
      <c r="AC346" t="s">
        <v>310</v>
      </c>
      <c r="AD346">
        <v>9</v>
      </c>
      <c r="AE346" t="s">
        <v>1390</v>
      </c>
      <c r="AF346">
        <v>60000000</v>
      </c>
      <c r="AG346" t="s">
        <v>310</v>
      </c>
      <c r="AH346">
        <f>SUM((MID(Dyno_Data[[#This Row],[Team]],4,5))+(Dyno_Data[[#This Row],[Match]]/100))</f>
        <v>3173.06</v>
      </c>
      <c r="AI346" s="76">
        <f>ROUND(SUM(IF(Dyno_Data[[#This Row],[AcqCenter]]&gt;0,Dyno_Data[[#This Row],[Time]]-SUMIFS(Dyno_Data[Time],Dyno_Data[Team],Dyno_Data[[#This Row],[Team]],Dyno_Data[RecordType],"StartMatch",Dyno_Data[Match],Dyno_Data[[#This Row],[Match]]),0)*86400),0)</f>
        <v>0</v>
      </c>
    </row>
    <row r="347" spans="1:35" x14ac:dyDescent="0.3">
      <c r="A347">
        <v>346</v>
      </c>
      <c r="B347" t="s">
        <v>318</v>
      </c>
      <c r="C347">
        <v>6</v>
      </c>
      <c r="D347" s="105">
        <v>45373.407218402775</v>
      </c>
      <c r="E347" t="s">
        <v>312</v>
      </c>
      <c r="F347" t="s">
        <v>1402</v>
      </c>
      <c r="G347">
        <v>0</v>
      </c>
      <c r="H347" t="s">
        <v>315</v>
      </c>
      <c r="I347">
        <v>0</v>
      </c>
      <c r="J347">
        <v>0</v>
      </c>
      <c r="K347">
        <v>0</v>
      </c>
      <c r="L347" t="s">
        <v>240</v>
      </c>
      <c r="M347" t="s">
        <v>1398</v>
      </c>
      <c r="N347">
        <v>1</v>
      </c>
      <c r="O347" t="s">
        <v>1395</v>
      </c>
      <c r="P347" t="s">
        <v>310</v>
      </c>
      <c r="Q347" t="s">
        <v>310</v>
      </c>
      <c r="R347" t="s">
        <v>310</v>
      </c>
      <c r="S347">
        <v>9</v>
      </c>
      <c r="T347" t="s">
        <v>310</v>
      </c>
      <c r="U347">
        <v>9</v>
      </c>
      <c r="V347">
        <v>9</v>
      </c>
      <c r="W347">
        <v>0</v>
      </c>
      <c r="X347">
        <v>0</v>
      </c>
      <c r="Y347">
        <v>0</v>
      </c>
      <c r="Z347">
        <v>0</v>
      </c>
      <c r="AA347">
        <v>9</v>
      </c>
      <c r="AB347">
        <v>9</v>
      </c>
      <c r="AC347" t="s">
        <v>310</v>
      </c>
      <c r="AD347">
        <v>9</v>
      </c>
      <c r="AE347" t="s">
        <v>1396</v>
      </c>
      <c r="AF347">
        <v>20000000</v>
      </c>
      <c r="AG347" t="s">
        <v>310</v>
      </c>
      <c r="AH347">
        <f>SUM((MID(Dyno_Data[[#This Row],[Team]],4,5))+(Dyno_Data[[#This Row],[Match]]/100))</f>
        <v>639.05999999999995</v>
      </c>
      <c r="AI347" s="76">
        <f>ROUND(SUM(IF(Dyno_Data[[#This Row],[AcqCenter]]&gt;0,Dyno_Data[[#This Row],[Time]]-SUMIFS(Dyno_Data[Time],Dyno_Data[Team],Dyno_Data[[#This Row],[Team]],Dyno_Data[RecordType],"StartMatch",Dyno_Data[Match],Dyno_Data[[#This Row],[Match]]),0)*86400),0)</f>
        <v>0</v>
      </c>
    </row>
    <row r="348" spans="1:35" x14ac:dyDescent="0.3">
      <c r="A348">
        <v>347</v>
      </c>
      <c r="B348" t="s">
        <v>1306</v>
      </c>
      <c r="C348">
        <v>6</v>
      </c>
      <c r="D348" s="105">
        <v>45373.407237384257</v>
      </c>
      <c r="E348" t="s">
        <v>312</v>
      </c>
      <c r="F348" t="s">
        <v>1402</v>
      </c>
      <c r="G348">
        <v>0</v>
      </c>
      <c r="H348" t="s">
        <v>315</v>
      </c>
      <c r="I348">
        <v>0</v>
      </c>
      <c r="J348">
        <v>0</v>
      </c>
      <c r="K348">
        <v>0</v>
      </c>
      <c r="L348" t="s">
        <v>242</v>
      </c>
      <c r="M348" t="s">
        <v>241</v>
      </c>
      <c r="N348">
        <v>0</v>
      </c>
      <c r="O348" t="s">
        <v>1391</v>
      </c>
      <c r="P348" t="s">
        <v>310</v>
      </c>
      <c r="Q348" t="s">
        <v>310</v>
      </c>
      <c r="R348" t="s">
        <v>310</v>
      </c>
      <c r="S348">
        <v>9</v>
      </c>
      <c r="T348" t="s">
        <v>310</v>
      </c>
      <c r="U348">
        <v>9</v>
      </c>
      <c r="V348">
        <v>9</v>
      </c>
      <c r="W348">
        <v>0</v>
      </c>
      <c r="X348">
        <v>0</v>
      </c>
      <c r="Y348">
        <v>0</v>
      </c>
      <c r="Z348">
        <v>0</v>
      </c>
      <c r="AA348">
        <v>9</v>
      </c>
      <c r="AB348">
        <v>9</v>
      </c>
      <c r="AC348" t="s">
        <v>310</v>
      </c>
      <c r="AD348">
        <v>9</v>
      </c>
      <c r="AE348" t="s">
        <v>1388</v>
      </c>
      <c r="AF348">
        <v>40002000</v>
      </c>
      <c r="AG348" t="s">
        <v>310</v>
      </c>
      <c r="AH348">
        <f>SUM((MID(Dyno_Data[[#This Row],[Team]],4,5))+(Dyno_Data[[#This Row],[Match]]/100))</f>
        <v>3986.06</v>
      </c>
      <c r="AI348" s="76">
        <f>ROUND(SUM(IF(Dyno_Data[[#This Row],[AcqCenter]]&gt;0,Dyno_Data[[#This Row],[Time]]-SUMIFS(Dyno_Data[Time],Dyno_Data[Team],Dyno_Data[[#This Row],[Team]],Dyno_Data[RecordType],"StartMatch",Dyno_Data[Match],Dyno_Data[[#This Row],[Match]]),0)*86400),0)</f>
        <v>0</v>
      </c>
    </row>
    <row r="349" spans="1:35" x14ac:dyDescent="0.3">
      <c r="A349">
        <v>348</v>
      </c>
      <c r="B349" t="s">
        <v>365</v>
      </c>
      <c r="C349">
        <v>6</v>
      </c>
      <c r="D349" s="105">
        <v>45373.407239548615</v>
      </c>
      <c r="E349" t="s">
        <v>312</v>
      </c>
      <c r="F349" t="s">
        <v>1402</v>
      </c>
      <c r="G349">
        <v>0</v>
      </c>
      <c r="H349" t="s">
        <v>315</v>
      </c>
      <c r="I349">
        <v>0</v>
      </c>
      <c r="J349">
        <v>0</v>
      </c>
      <c r="K349">
        <v>0</v>
      </c>
      <c r="L349" t="s">
        <v>240</v>
      </c>
      <c r="M349" t="s">
        <v>1398</v>
      </c>
      <c r="N349">
        <v>0</v>
      </c>
      <c r="O349" t="s">
        <v>311</v>
      </c>
      <c r="P349" t="s">
        <v>310</v>
      </c>
      <c r="Q349" t="s">
        <v>310</v>
      </c>
      <c r="R349" t="s">
        <v>310</v>
      </c>
      <c r="S349">
        <v>9</v>
      </c>
      <c r="T349" t="s">
        <v>310</v>
      </c>
      <c r="U349">
        <v>9</v>
      </c>
      <c r="V349">
        <v>9</v>
      </c>
      <c r="W349">
        <v>0</v>
      </c>
      <c r="X349">
        <v>0</v>
      </c>
      <c r="Y349">
        <v>0</v>
      </c>
      <c r="Z349">
        <v>0</v>
      </c>
      <c r="AA349">
        <v>9</v>
      </c>
      <c r="AB349">
        <v>9</v>
      </c>
      <c r="AC349" t="s">
        <v>310</v>
      </c>
      <c r="AD349">
        <v>9</v>
      </c>
      <c r="AE349" t="s">
        <v>1387</v>
      </c>
      <c r="AF349">
        <v>50000000</v>
      </c>
      <c r="AG349" t="s">
        <v>310</v>
      </c>
      <c r="AH349">
        <f>SUM((MID(Dyno_Data[[#This Row],[Team]],4,5))+(Dyno_Data[[#This Row],[Match]]/100))</f>
        <v>3171.06</v>
      </c>
      <c r="AI349" s="76">
        <f>ROUND(SUM(IF(Dyno_Data[[#This Row],[AcqCenter]]&gt;0,Dyno_Data[[#This Row],[Time]]-SUMIFS(Dyno_Data[Time],Dyno_Data[Team],Dyno_Data[[#This Row],[Team]],Dyno_Data[RecordType],"StartMatch",Dyno_Data[Match],Dyno_Data[[#This Row],[Match]]),0)*86400),0)</f>
        <v>0</v>
      </c>
    </row>
    <row r="350" spans="1:35" x14ac:dyDescent="0.3">
      <c r="A350">
        <v>349</v>
      </c>
      <c r="B350" t="s">
        <v>1305</v>
      </c>
      <c r="C350">
        <v>6</v>
      </c>
      <c r="D350" s="105">
        <v>45373.407294409721</v>
      </c>
      <c r="E350" t="s">
        <v>312</v>
      </c>
      <c r="F350" t="s">
        <v>1402</v>
      </c>
      <c r="G350">
        <v>0</v>
      </c>
      <c r="H350" t="s">
        <v>315</v>
      </c>
      <c r="I350">
        <v>0</v>
      </c>
      <c r="J350">
        <v>0</v>
      </c>
      <c r="K350">
        <v>0</v>
      </c>
      <c r="L350" t="s">
        <v>241</v>
      </c>
      <c r="M350" t="s">
        <v>1398</v>
      </c>
      <c r="N350">
        <v>0</v>
      </c>
      <c r="O350" t="s">
        <v>1393</v>
      </c>
      <c r="P350" t="s">
        <v>310</v>
      </c>
      <c r="Q350" t="s">
        <v>310</v>
      </c>
      <c r="R350" t="s">
        <v>310</v>
      </c>
      <c r="S350">
        <v>9</v>
      </c>
      <c r="T350" t="s">
        <v>310</v>
      </c>
      <c r="U350">
        <v>9</v>
      </c>
      <c r="V350">
        <v>9</v>
      </c>
      <c r="W350">
        <v>0</v>
      </c>
      <c r="X350">
        <v>0</v>
      </c>
      <c r="Y350">
        <v>0</v>
      </c>
      <c r="Z350">
        <v>0</v>
      </c>
      <c r="AA350">
        <v>9</v>
      </c>
      <c r="AB350">
        <v>9</v>
      </c>
      <c r="AC350" t="s">
        <v>310</v>
      </c>
      <c r="AD350">
        <v>9</v>
      </c>
      <c r="AE350" t="s">
        <v>1390</v>
      </c>
      <c r="AF350">
        <v>70000000</v>
      </c>
      <c r="AG350" t="s">
        <v>310</v>
      </c>
      <c r="AH350">
        <f>SUM((MID(Dyno_Data[[#This Row],[Team]],4,5))+(Dyno_Data[[#This Row],[Match]]/100))</f>
        <v>3173.06</v>
      </c>
      <c r="AI350" s="76">
        <f>ROUND(SUM(IF(Dyno_Data[[#This Row],[AcqCenter]]&gt;0,Dyno_Data[[#This Row],[Time]]-SUMIFS(Dyno_Data[Time],Dyno_Data[Team],Dyno_Data[[#This Row],[Team]],Dyno_Data[RecordType],"StartMatch",Dyno_Data[Match],Dyno_Data[[#This Row],[Match]]),0)*86400),0)</f>
        <v>0</v>
      </c>
    </row>
    <row r="351" spans="1:35" x14ac:dyDescent="0.3">
      <c r="A351">
        <v>350</v>
      </c>
      <c r="B351" t="s">
        <v>366</v>
      </c>
      <c r="C351">
        <v>6</v>
      </c>
      <c r="D351" s="105">
        <v>45373.407321909719</v>
      </c>
      <c r="E351" t="s">
        <v>312</v>
      </c>
      <c r="F351" t="s">
        <v>1402</v>
      </c>
      <c r="G351">
        <v>0</v>
      </c>
      <c r="H351" t="s">
        <v>315</v>
      </c>
      <c r="I351">
        <v>0</v>
      </c>
      <c r="J351">
        <v>0</v>
      </c>
      <c r="K351">
        <v>0</v>
      </c>
      <c r="L351" t="s">
        <v>240</v>
      </c>
      <c r="M351" t="s">
        <v>1398</v>
      </c>
      <c r="N351">
        <v>0</v>
      </c>
      <c r="O351" t="s">
        <v>319</v>
      </c>
      <c r="P351" t="s">
        <v>310</v>
      </c>
      <c r="Q351" t="s">
        <v>310</v>
      </c>
      <c r="R351" t="s">
        <v>310</v>
      </c>
      <c r="S351">
        <v>9</v>
      </c>
      <c r="T351" t="s">
        <v>310</v>
      </c>
      <c r="U351">
        <v>9</v>
      </c>
      <c r="V351">
        <v>9</v>
      </c>
      <c r="W351">
        <v>0</v>
      </c>
      <c r="X351">
        <v>0</v>
      </c>
      <c r="Y351">
        <v>0</v>
      </c>
      <c r="Z351">
        <v>0</v>
      </c>
      <c r="AA351">
        <v>9</v>
      </c>
      <c r="AB351">
        <v>9</v>
      </c>
      <c r="AC351" t="s">
        <v>310</v>
      </c>
      <c r="AD351">
        <v>9</v>
      </c>
      <c r="AE351" t="s">
        <v>1392</v>
      </c>
      <c r="AF351">
        <v>30000000</v>
      </c>
      <c r="AG351" t="s">
        <v>310</v>
      </c>
      <c r="AH351">
        <f>SUM((MID(Dyno_Data[[#This Row],[Team]],4,5))+(Dyno_Data[[#This Row],[Match]]/100))</f>
        <v>4122.0600000000004</v>
      </c>
      <c r="AI351" s="76">
        <f>ROUND(SUM(IF(Dyno_Data[[#This Row],[AcqCenter]]&gt;0,Dyno_Data[[#This Row],[Time]]-SUMIFS(Dyno_Data[Time],Dyno_Data[Team],Dyno_Data[[#This Row],[Team]],Dyno_Data[RecordType],"StartMatch",Dyno_Data[Match],Dyno_Data[[#This Row],[Match]]),0)*86400),0)</f>
        <v>0</v>
      </c>
    </row>
    <row r="352" spans="1:35" x14ac:dyDescent="0.3">
      <c r="A352">
        <v>351</v>
      </c>
      <c r="B352" t="s">
        <v>318</v>
      </c>
      <c r="C352">
        <v>6</v>
      </c>
      <c r="D352" s="105">
        <v>45373.407358067132</v>
      </c>
      <c r="E352" t="s">
        <v>312</v>
      </c>
      <c r="F352" t="s">
        <v>1402</v>
      </c>
      <c r="G352">
        <v>0</v>
      </c>
      <c r="H352" t="s">
        <v>315</v>
      </c>
      <c r="I352">
        <v>0</v>
      </c>
      <c r="J352">
        <v>0</v>
      </c>
      <c r="K352">
        <v>0</v>
      </c>
      <c r="L352" t="s">
        <v>240</v>
      </c>
      <c r="M352" t="s">
        <v>1398</v>
      </c>
      <c r="N352">
        <v>0</v>
      </c>
      <c r="O352" t="s">
        <v>1395</v>
      </c>
      <c r="P352" t="s">
        <v>310</v>
      </c>
      <c r="Q352" t="s">
        <v>310</v>
      </c>
      <c r="R352" t="s">
        <v>310</v>
      </c>
      <c r="S352">
        <v>9</v>
      </c>
      <c r="T352" t="s">
        <v>310</v>
      </c>
      <c r="U352">
        <v>9</v>
      </c>
      <c r="V352">
        <v>9</v>
      </c>
      <c r="W352">
        <v>0</v>
      </c>
      <c r="X352">
        <v>0</v>
      </c>
      <c r="Y352">
        <v>0</v>
      </c>
      <c r="Z352">
        <v>0</v>
      </c>
      <c r="AA352">
        <v>9</v>
      </c>
      <c r="AB352">
        <v>9</v>
      </c>
      <c r="AC352" t="s">
        <v>310</v>
      </c>
      <c r="AD352">
        <v>9</v>
      </c>
      <c r="AE352" t="s">
        <v>1396</v>
      </c>
      <c r="AF352">
        <v>30000000</v>
      </c>
      <c r="AG352" t="s">
        <v>310</v>
      </c>
      <c r="AH352">
        <f>SUM((MID(Dyno_Data[[#This Row],[Team]],4,5))+(Dyno_Data[[#This Row],[Match]]/100))</f>
        <v>639.05999999999995</v>
      </c>
      <c r="AI352" s="76">
        <f>ROUND(SUM(IF(Dyno_Data[[#This Row],[AcqCenter]]&gt;0,Dyno_Data[[#This Row],[Time]]-SUMIFS(Dyno_Data[Time],Dyno_Data[Team],Dyno_Data[[#This Row],[Team]],Dyno_Data[RecordType],"StartMatch",Dyno_Data[Match],Dyno_Data[[#This Row],[Match]]),0)*86400),0)</f>
        <v>0</v>
      </c>
    </row>
    <row r="353" spans="1:35" x14ac:dyDescent="0.3">
      <c r="A353">
        <v>352</v>
      </c>
      <c r="B353" t="s">
        <v>372</v>
      </c>
      <c r="C353">
        <v>6</v>
      </c>
      <c r="D353" s="105">
        <v>45373.407405092592</v>
      </c>
      <c r="E353" t="s">
        <v>312</v>
      </c>
      <c r="F353" t="s">
        <v>1402</v>
      </c>
      <c r="G353">
        <v>0</v>
      </c>
      <c r="H353" t="s">
        <v>315</v>
      </c>
      <c r="I353">
        <v>0</v>
      </c>
      <c r="J353">
        <v>0</v>
      </c>
      <c r="K353">
        <v>0</v>
      </c>
      <c r="L353" t="s">
        <v>240</v>
      </c>
      <c r="M353" t="s">
        <v>1398</v>
      </c>
      <c r="N353">
        <v>0</v>
      </c>
      <c r="O353" t="s">
        <v>1389</v>
      </c>
      <c r="P353" t="s">
        <v>310</v>
      </c>
      <c r="Q353" t="s">
        <v>310</v>
      </c>
      <c r="R353" t="s">
        <v>310</v>
      </c>
      <c r="S353">
        <v>9</v>
      </c>
      <c r="T353" t="s">
        <v>310</v>
      </c>
      <c r="U353">
        <v>9</v>
      </c>
      <c r="V353">
        <v>9</v>
      </c>
      <c r="W353">
        <v>0</v>
      </c>
      <c r="X353">
        <v>0</v>
      </c>
      <c r="Y353">
        <v>0</v>
      </c>
      <c r="Z353">
        <v>0</v>
      </c>
      <c r="AA353">
        <v>9</v>
      </c>
      <c r="AB353">
        <v>9</v>
      </c>
      <c r="AC353" t="s">
        <v>310</v>
      </c>
      <c r="AD353">
        <v>9</v>
      </c>
      <c r="AE353" t="s">
        <v>1394</v>
      </c>
      <c r="AF353">
        <v>20000000</v>
      </c>
      <c r="AG353" t="s">
        <v>310</v>
      </c>
      <c r="AH353">
        <f>SUM((MID(Dyno_Data[[#This Row],[Team]],4,5))+(Dyno_Data[[#This Row],[Match]]/100))</f>
        <v>7504.06</v>
      </c>
      <c r="AI353" s="76">
        <f>ROUND(SUM(IF(Dyno_Data[[#This Row],[AcqCenter]]&gt;0,Dyno_Data[[#This Row],[Time]]-SUMIFS(Dyno_Data[Time],Dyno_Data[Team],Dyno_Data[[#This Row],[Team]],Dyno_Data[RecordType],"StartMatch",Dyno_Data[Match],Dyno_Data[[#This Row],[Match]]),0)*86400),0)</f>
        <v>0</v>
      </c>
    </row>
    <row r="354" spans="1:35" x14ac:dyDescent="0.3">
      <c r="A354">
        <v>353</v>
      </c>
      <c r="B354" t="s">
        <v>1305</v>
      </c>
      <c r="C354">
        <v>6</v>
      </c>
      <c r="D354" s="105">
        <v>45373.407405787038</v>
      </c>
      <c r="E354" t="s">
        <v>312</v>
      </c>
      <c r="F354" t="s">
        <v>1402</v>
      </c>
      <c r="G354">
        <v>0</v>
      </c>
      <c r="H354" t="s">
        <v>315</v>
      </c>
      <c r="I354">
        <v>0</v>
      </c>
      <c r="J354">
        <v>0</v>
      </c>
      <c r="K354">
        <v>0</v>
      </c>
      <c r="L354" t="s">
        <v>241</v>
      </c>
      <c r="M354" t="s">
        <v>1398</v>
      </c>
      <c r="N354">
        <v>0</v>
      </c>
      <c r="O354" t="s">
        <v>1393</v>
      </c>
      <c r="P354" t="s">
        <v>310</v>
      </c>
      <c r="Q354" t="s">
        <v>310</v>
      </c>
      <c r="R354" t="s">
        <v>310</v>
      </c>
      <c r="S354">
        <v>9</v>
      </c>
      <c r="T354" t="s">
        <v>310</v>
      </c>
      <c r="U354">
        <v>9</v>
      </c>
      <c r="V354">
        <v>9</v>
      </c>
      <c r="W354">
        <v>0</v>
      </c>
      <c r="X354">
        <v>0</v>
      </c>
      <c r="Y354">
        <v>0</v>
      </c>
      <c r="Z354">
        <v>0</v>
      </c>
      <c r="AA354">
        <v>9</v>
      </c>
      <c r="AB354">
        <v>9</v>
      </c>
      <c r="AC354" t="s">
        <v>310</v>
      </c>
      <c r="AD354">
        <v>9</v>
      </c>
      <c r="AE354" t="s">
        <v>1390</v>
      </c>
      <c r="AF354">
        <v>80000000</v>
      </c>
      <c r="AG354" t="s">
        <v>310</v>
      </c>
      <c r="AH354">
        <f>SUM((MID(Dyno_Data[[#This Row],[Team]],4,5))+(Dyno_Data[[#This Row],[Match]]/100))</f>
        <v>3173.06</v>
      </c>
      <c r="AI354" s="76">
        <f>ROUND(SUM(IF(Dyno_Data[[#This Row],[AcqCenter]]&gt;0,Dyno_Data[[#This Row],[Time]]-SUMIFS(Dyno_Data[Time],Dyno_Data[Team],Dyno_Data[[#This Row],[Team]],Dyno_Data[RecordType],"StartMatch",Dyno_Data[Match],Dyno_Data[[#This Row],[Match]]),0)*86400),0)</f>
        <v>0</v>
      </c>
    </row>
    <row r="355" spans="1:35" x14ac:dyDescent="0.3">
      <c r="A355">
        <v>354</v>
      </c>
      <c r="B355" t="s">
        <v>366</v>
      </c>
      <c r="C355">
        <v>6</v>
      </c>
      <c r="D355" s="105">
        <v>45373.407416932867</v>
      </c>
      <c r="E355" t="s">
        <v>312</v>
      </c>
      <c r="F355" t="s">
        <v>1402</v>
      </c>
      <c r="G355">
        <v>0</v>
      </c>
      <c r="H355" t="s">
        <v>315</v>
      </c>
      <c r="I355">
        <v>0</v>
      </c>
      <c r="J355">
        <v>0</v>
      </c>
      <c r="K355">
        <v>0</v>
      </c>
      <c r="L355" t="s">
        <v>240</v>
      </c>
      <c r="M355" t="s">
        <v>1398</v>
      </c>
      <c r="N355">
        <v>0</v>
      </c>
      <c r="O355" t="s">
        <v>319</v>
      </c>
      <c r="P355" t="s">
        <v>310</v>
      </c>
      <c r="Q355" t="s">
        <v>310</v>
      </c>
      <c r="R355" t="s">
        <v>310</v>
      </c>
      <c r="S355">
        <v>9</v>
      </c>
      <c r="T355" t="s">
        <v>310</v>
      </c>
      <c r="U355">
        <v>9</v>
      </c>
      <c r="V355">
        <v>9</v>
      </c>
      <c r="W355">
        <v>0</v>
      </c>
      <c r="X355">
        <v>0</v>
      </c>
      <c r="Y355">
        <v>0</v>
      </c>
      <c r="Z355">
        <v>0</v>
      </c>
      <c r="AA355">
        <v>9</v>
      </c>
      <c r="AB355">
        <v>9</v>
      </c>
      <c r="AC355" t="s">
        <v>310</v>
      </c>
      <c r="AD355">
        <v>9</v>
      </c>
      <c r="AE355" t="s">
        <v>1392</v>
      </c>
      <c r="AF355">
        <v>40000000</v>
      </c>
      <c r="AG355" t="s">
        <v>310</v>
      </c>
      <c r="AH355">
        <f>SUM((MID(Dyno_Data[[#This Row],[Team]],4,5))+(Dyno_Data[[#This Row],[Match]]/100))</f>
        <v>4122.0600000000004</v>
      </c>
      <c r="AI355" s="76">
        <f>ROUND(SUM(IF(Dyno_Data[[#This Row],[AcqCenter]]&gt;0,Dyno_Data[[#This Row],[Time]]-SUMIFS(Dyno_Data[Time],Dyno_Data[Team],Dyno_Data[[#This Row],[Team]],Dyno_Data[RecordType],"StartMatch",Dyno_Data[Match],Dyno_Data[[#This Row],[Match]]),0)*86400),0)</f>
        <v>0</v>
      </c>
    </row>
    <row r="356" spans="1:35" x14ac:dyDescent="0.3">
      <c r="A356">
        <v>355</v>
      </c>
      <c r="B356" t="s">
        <v>1306</v>
      </c>
      <c r="C356">
        <v>6</v>
      </c>
      <c r="D356" s="105">
        <v>45373.407480636575</v>
      </c>
      <c r="E356" t="s">
        <v>312</v>
      </c>
      <c r="F356" t="s">
        <v>1402</v>
      </c>
      <c r="G356">
        <v>0</v>
      </c>
      <c r="H356" t="s">
        <v>315</v>
      </c>
      <c r="I356">
        <v>0</v>
      </c>
      <c r="J356">
        <v>0</v>
      </c>
      <c r="K356">
        <v>0</v>
      </c>
      <c r="L356" t="s">
        <v>241</v>
      </c>
      <c r="M356" t="s">
        <v>1398</v>
      </c>
      <c r="N356">
        <v>1</v>
      </c>
      <c r="O356" t="s">
        <v>1391</v>
      </c>
      <c r="P356" t="s">
        <v>310</v>
      </c>
      <c r="Q356" t="s">
        <v>310</v>
      </c>
      <c r="R356" t="s">
        <v>310</v>
      </c>
      <c r="S356">
        <v>9</v>
      </c>
      <c r="T356" t="s">
        <v>310</v>
      </c>
      <c r="U356">
        <v>9</v>
      </c>
      <c r="V356">
        <v>9</v>
      </c>
      <c r="W356">
        <v>0</v>
      </c>
      <c r="X356">
        <v>0</v>
      </c>
      <c r="Y356">
        <v>0</v>
      </c>
      <c r="Z356">
        <v>0</v>
      </c>
      <c r="AA356">
        <v>9</v>
      </c>
      <c r="AB356">
        <v>9</v>
      </c>
      <c r="AC356" t="s">
        <v>310</v>
      </c>
      <c r="AD356">
        <v>9</v>
      </c>
      <c r="AE356" t="s">
        <v>1388</v>
      </c>
      <c r="AF356">
        <v>50002000</v>
      </c>
      <c r="AG356" t="s">
        <v>310</v>
      </c>
      <c r="AH356">
        <f>SUM((MID(Dyno_Data[[#This Row],[Team]],4,5))+(Dyno_Data[[#This Row],[Match]]/100))</f>
        <v>3986.06</v>
      </c>
      <c r="AI356" s="76">
        <f>ROUND(SUM(IF(Dyno_Data[[#This Row],[AcqCenter]]&gt;0,Dyno_Data[[#This Row],[Time]]-SUMIFS(Dyno_Data[Time],Dyno_Data[Team],Dyno_Data[[#This Row],[Team]],Dyno_Data[RecordType],"StartMatch",Dyno_Data[Match],Dyno_Data[[#This Row],[Match]]),0)*86400),0)</f>
        <v>0</v>
      </c>
    </row>
    <row r="357" spans="1:35" x14ac:dyDescent="0.3">
      <c r="A357">
        <v>356</v>
      </c>
      <c r="B357" t="s">
        <v>318</v>
      </c>
      <c r="C357">
        <v>6</v>
      </c>
      <c r="D357" s="105">
        <v>45373.407519872686</v>
      </c>
      <c r="E357" t="s">
        <v>312</v>
      </c>
      <c r="F357" t="s">
        <v>1402</v>
      </c>
      <c r="G357">
        <v>0</v>
      </c>
      <c r="H357" t="s">
        <v>315</v>
      </c>
      <c r="I357">
        <v>0</v>
      </c>
      <c r="J357">
        <v>0</v>
      </c>
      <c r="K357">
        <v>0</v>
      </c>
      <c r="L357" t="s">
        <v>240</v>
      </c>
      <c r="M357" t="s">
        <v>1398</v>
      </c>
      <c r="N357">
        <v>0</v>
      </c>
      <c r="O357" t="s">
        <v>1395</v>
      </c>
      <c r="P357" t="s">
        <v>310</v>
      </c>
      <c r="Q357" t="s">
        <v>310</v>
      </c>
      <c r="R357" t="s">
        <v>310</v>
      </c>
      <c r="S357">
        <v>9</v>
      </c>
      <c r="T357" t="s">
        <v>310</v>
      </c>
      <c r="U357">
        <v>9</v>
      </c>
      <c r="V357">
        <v>9</v>
      </c>
      <c r="W357">
        <v>0</v>
      </c>
      <c r="X357">
        <v>0</v>
      </c>
      <c r="Y357">
        <v>0</v>
      </c>
      <c r="Z357">
        <v>0</v>
      </c>
      <c r="AA357">
        <v>9</v>
      </c>
      <c r="AB357">
        <v>9</v>
      </c>
      <c r="AC357" t="s">
        <v>310</v>
      </c>
      <c r="AD357">
        <v>9</v>
      </c>
      <c r="AE357" t="s">
        <v>1396</v>
      </c>
      <c r="AF357">
        <v>40000000</v>
      </c>
      <c r="AG357" t="s">
        <v>310</v>
      </c>
      <c r="AH357">
        <f>SUM((MID(Dyno_Data[[#This Row],[Team]],4,5))+(Dyno_Data[[#This Row],[Match]]/100))</f>
        <v>639.05999999999995</v>
      </c>
      <c r="AI357" s="76">
        <f>ROUND(SUM(IF(Dyno_Data[[#This Row],[AcqCenter]]&gt;0,Dyno_Data[[#This Row],[Time]]-SUMIFS(Dyno_Data[Time],Dyno_Data[Team],Dyno_Data[[#This Row],[Team]],Dyno_Data[RecordType],"StartMatch",Dyno_Data[Match],Dyno_Data[[#This Row],[Match]]),0)*86400),0)</f>
        <v>0</v>
      </c>
    </row>
    <row r="358" spans="1:35" x14ac:dyDescent="0.3">
      <c r="A358">
        <v>357</v>
      </c>
      <c r="B358" t="s">
        <v>365</v>
      </c>
      <c r="C358">
        <v>6</v>
      </c>
      <c r="D358" s="105">
        <v>45373.407525578703</v>
      </c>
      <c r="E358" t="s">
        <v>312</v>
      </c>
      <c r="F358" t="s">
        <v>1402</v>
      </c>
      <c r="G358">
        <v>0</v>
      </c>
      <c r="H358" t="s">
        <v>315</v>
      </c>
      <c r="I358">
        <v>0</v>
      </c>
      <c r="J358">
        <v>0</v>
      </c>
      <c r="K358">
        <v>0</v>
      </c>
      <c r="L358" t="s">
        <v>240</v>
      </c>
      <c r="M358" t="s">
        <v>1398</v>
      </c>
      <c r="N358">
        <v>0</v>
      </c>
      <c r="O358" t="s">
        <v>311</v>
      </c>
      <c r="P358" t="s">
        <v>310</v>
      </c>
      <c r="Q358" t="s">
        <v>310</v>
      </c>
      <c r="R358" t="s">
        <v>310</v>
      </c>
      <c r="S358">
        <v>9</v>
      </c>
      <c r="T358" t="s">
        <v>310</v>
      </c>
      <c r="U358">
        <v>9</v>
      </c>
      <c r="V358">
        <v>9</v>
      </c>
      <c r="W358">
        <v>0</v>
      </c>
      <c r="X358">
        <v>0</v>
      </c>
      <c r="Y358">
        <v>0</v>
      </c>
      <c r="Z358">
        <v>0</v>
      </c>
      <c r="AA358">
        <v>9</v>
      </c>
      <c r="AB358">
        <v>9</v>
      </c>
      <c r="AC358" t="s">
        <v>310</v>
      </c>
      <c r="AD358">
        <v>9</v>
      </c>
      <c r="AE358" t="s">
        <v>1387</v>
      </c>
      <c r="AF358">
        <v>60000000</v>
      </c>
      <c r="AG358" t="s">
        <v>310</v>
      </c>
      <c r="AH358">
        <f>SUM((MID(Dyno_Data[[#This Row],[Team]],4,5))+(Dyno_Data[[#This Row],[Match]]/100))</f>
        <v>3171.06</v>
      </c>
      <c r="AI358" s="76">
        <f>ROUND(SUM(IF(Dyno_Data[[#This Row],[AcqCenter]]&gt;0,Dyno_Data[[#This Row],[Time]]-SUMIFS(Dyno_Data[Time],Dyno_Data[Team],Dyno_Data[[#This Row],[Team]],Dyno_Data[RecordType],"StartMatch",Dyno_Data[Match],Dyno_Data[[#This Row],[Match]]),0)*86400),0)</f>
        <v>0</v>
      </c>
    </row>
    <row r="359" spans="1:35" x14ac:dyDescent="0.3">
      <c r="A359">
        <v>358</v>
      </c>
      <c r="B359" t="s">
        <v>1305</v>
      </c>
      <c r="C359">
        <v>6</v>
      </c>
      <c r="D359" s="105">
        <v>45373.407548761577</v>
      </c>
      <c r="E359" t="s">
        <v>312</v>
      </c>
      <c r="F359" t="s">
        <v>1402</v>
      </c>
      <c r="G359">
        <v>0</v>
      </c>
      <c r="H359" t="s">
        <v>315</v>
      </c>
      <c r="I359">
        <v>0</v>
      </c>
      <c r="J359">
        <v>0</v>
      </c>
      <c r="K359">
        <v>0</v>
      </c>
      <c r="L359" t="s">
        <v>241</v>
      </c>
      <c r="M359" t="s">
        <v>101</v>
      </c>
      <c r="N359">
        <v>0</v>
      </c>
      <c r="O359" t="s">
        <v>1393</v>
      </c>
      <c r="P359" t="s">
        <v>310</v>
      </c>
      <c r="Q359" t="s">
        <v>310</v>
      </c>
      <c r="R359" t="s">
        <v>310</v>
      </c>
      <c r="S359">
        <v>9</v>
      </c>
      <c r="T359" t="s">
        <v>310</v>
      </c>
      <c r="U359">
        <v>9</v>
      </c>
      <c r="V359">
        <v>9</v>
      </c>
      <c r="W359">
        <v>0</v>
      </c>
      <c r="X359">
        <v>0</v>
      </c>
      <c r="Y359">
        <v>0</v>
      </c>
      <c r="Z359">
        <v>0</v>
      </c>
      <c r="AA359">
        <v>9</v>
      </c>
      <c r="AB359">
        <v>9</v>
      </c>
      <c r="AC359" t="s">
        <v>310</v>
      </c>
      <c r="AD359">
        <v>9</v>
      </c>
      <c r="AE359" t="s">
        <v>1390</v>
      </c>
      <c r="AF359">
        <v>90000000</v>
      </c>
      <c r="AG359" t="s">
        <v>310</v>
      </c>
      <c r="AH359">
        <f>SUM((MID(Dyno_Data[[#This Row],[Team]],4,5))+(Dyno_Data[[#This Row],[Match]]/100))</f>
        <v>3173.06</v>
      </c>
      <c r="AI359" s="76">
        <f>ROUND(SUM(IF(Dyno_Data[[#This Row],[AcqCenter]]&gt;0,Dyno_Data[[#This Row],[Time]]-SUMIFS(Dyno_Data[Time],Dyno_Data[Team],Dyno_Data[[#This Row],[Team]],Dyno_Data[RecordType],"StartMatch",Dyno_Data[Match],Dyno_Data[[#This Row],[Match]]),0)*86400),0)</f>
        <v>0</v>
      </c>
    </row>
    <row r="360" spans="1:35" x14ac:dyDescent="0.3">
      <c r="A360">
        <v>359</v>
      </c>
      <c r="B360" t="s">
        <v>1306</v>
      </c>
      <c r="C360">
        <v>6</v>
      </c>
      <c r="D360" s="105">
        <v>45373.407622025465</v>
      </c>
      <c r="E360" t="s">
        <v>312</v>
      </c>
      <c r="F360" t="s">
        <v>1402</v>
      </c>
      <c r="G360">
        <v>0</v>
      </c>
      <c r="H360" t="s">
        <v>315</v>
      </c>
      <c r="I360">
        <v>0</v>
      </c>
      <c r="J360">
        <v>0</v>
      </c>
      <c r="K360">
        <v>0</v>
      </c>
      <c r="L360" t="s">
        <v>242</v>
      </c>
      <c r="M360" t="s">
        <v>241</v>
      </c>
      <c r="N360">
        <v>0</v>
      </c>
      <c r="O360" t="s">
        <v>1391</v>
      </c>
      <c r="P360" t="s">
        <v>310</v>
      </c>
      <c r="Q360" t="s">
        <v>310</v>
      </c>
      <c r="R360" t="s">
        <v>310</v>
      </c>
      <c r="S360">
        <v>9</v>
      </c>
      <c r="T360" t="s">
        <v>310</v>
      </c>
      <c r="U360">
        <v>9</v>
      </c>
      <c r="V360">
        <v>9</v>
      </c>
      <c r="W360">
        <v>0</v>
      </c>
      <c r="X360">
        <v>0</v>
      </c>
      <c r="Y360">
        <v>0</v>
      </c>
      <c r="Z360">
        <v>0</v>
      </c>
      <c r="AA360">
        <v>9</v>
      </c>
      <c r="AB360">
        <v>9</v>
      </c>
      <c r="AC360" t="s">
        <v>310</v>
      </c>
      <c r="AD360">
        <v>9</v>
      </c>
      <c r="AE360" t="s">
        <v>1388</v>
      </c>
      <c r="AF360">
        <v>60002000</v>
      </c>
      <c r="AG360" t="s">
        <v>310</v>
      </c>
      <c r="AH360">
        <f>SUM((MID(Dyno_Data[[#This Row],[Team]],4,5))+(Dyno_Data[[#This Row],[Match]]/100))</f>
        <v>3986.06</v>
      </c>
      <c r="AI360" s="76">
        <f>ROUND(SUM(IF(Dyno_Data[[#This Row],[AcqCenter]]&gt;0,Dyno_Data[[#This Row],[Time]]-SUMIFS(Dyno_Data[Time],Dyno_Data[Team],Dyno_Data[[#This Row],[Team]],Dyno_Data[RecordType],"StartMatch",Dyno_Data[Match],Dyno_Data[[#This Row],[Match]]),0)*86400),0)</f>
        <v>0</v>
      </c>
    </row>
    <row r="361" spans="1:35" x14ac:dyDescent="0.3">
      <c r="A361">
        <v>360</v>
      </c>
      <c r="B361" t="s">
        <v>1306</v>
      </c>
      <c r="C361">
        <v>6</v>
      </c>
      <c r="D361" s="105">
        <v>45373.407700462965</v>
      </c>
      <c r="E361" t="s">
        <v>312</v>
      </c>
      <c r="F361" t="s">
        <v>1402</v>
      </c>
      <c r="G361">
        <v>0</v>
      </c>
      <c r="H361" t="s">
        <v>315</v>
      </c>
      <c r="I361">
        <v>0</v>
      </c>
      <c r="J361">
        <v>0</v>
      </c>
      <c r="K361">
        <v>0</v>
      </c>
      <c r="L361" t="s">
        <v>242</v>
      </c>
      <c r="M361" t="s">
        <v>241</v>
      </c>
      <c r="N361">
        <v>0</v>
      </c>
      <c r="O361" t="s">
        <v>1391</v>
      </c>
      <c r="P361" t="s">
        <v>310</v>
      </c>
      <c r="Q361" t="s">
        <v>310</v>
      </c>
      <c r="R361" t="s">
        <v>310</v>
      </c>
      <c r="S361">
        <v>9</v>
      </c>
      <c r="T361" t="s">
        <v>310</v>
      </c>
      <c r="U361">
        <v>9</v>
      </c>
      <c r="V361">
        <v>9</v>
      </c>
      <c r="W361">
        <v>0</v>
      </c>
      <c r="X361">
        <v>0</v>
      </c>
      <c r="Y361">
        <v>0</v>
      </c>
      <c r="Z361">
        <v>0</v>
      </c>
      <c r="AA361">
        <v>9</v>
      </c>
      <c r="AB361">
        <v>9</v>
      </c>
      <c r="AC361" t="s">
        <v>310</v>
      </c>
      <c r="AD361">
        <v>9</v>
      </c>
      <c r="AE361" t="s">
        <v>1388</v>
      </c>
      <c r="AF361">
        <v>70002000</v>
      </c>
      <c r="AG361" t="s">
        <v>310</v>
      </c>
      <c r="AH361">
        <f>SUM((MID(Dyno_Data[[#This Row],[Team]],4,5))+(Dyno_Data[[#This Row],[Match]]/100))</f>
        <v>3986.06</v>
      </c>
      <c r="AI361" s="76">
        <f>ROUND(SUM(IF(Dyno_Data[[#This Row],[AcqCenter]]&gt;0,Dyno_Data[[#This Row],[Time]]-SUMIFS(Dyno_Data[Time],Dyno_Data[Team],Dyno_Data[[#This Row],[Team]],Dyno_Data[RecordType],"StartMatch",Dyno_Data[Match],Dyno_Data[[#This Row],[Match]]),0)*86400),0)</f>
        <v>0</v>
      </c>
    </row>
    <row r="362" spans="1:35" x14ac:dyDescent="0.3">
      <c r="A362">
        <v>361</v>
      </c>
      <c r="B362" t="s">
        <v>318</v>
      </c>
      <c r="C362">
        <v>6</v>
      </c>
      <c r="D362" s="105">
        <v>45373.407701932869</v>
      </c>
      <c r="E362" t="s">
        <v>312</v>
      </c>
      <c r="F362" t="s">
        <v>1402</v>
      </c>
      <c r="G362">
        <v>0</v>
      </c>
      <c r="H362" t="s">
        <v>315</v>
      </c>
      <c r="I362">
        <v>0</v>
      </c>
      <c r="J362">
        <v>0</v>
      </c>
      <c r="K362">
        <v>0</v>
      </c>
      <c r="L362" t="s">
        <v>240</v>
      </c>
      <c r="M362" t="s">
        <v>1398</v>
      </c>
      <c r="N362">
        <v>1</v>
      </c>
      <c r="O362" t="s">
        <v>1395</v>
      </c>
      <c r="P362" t="s">
        <v>310</v>
      </c>
      <c r="Q362" t="s">
        <v>310</v>
      </c>
      <c r="R362" t="s">
        <v>310</v>
      </c>
      <c r="S362">
        <v>9</v>
      </c>
      <c r="T362" t="s">
        <v>310</v>
      </c>
      <c r="U362">
        <v>9</v>
      </c>
      <c r="V362">
        <v>9</v>
      </c>
      <c r="W362">
        <v>0</v>
      </c>
      <c r="X362">
        <v>0</v>
      </c>
      <c r="Y362">
        <v>0</v>
      </c>
      <c r="Z362">
        <v>0</v>
      </c>
      <c r="AA362">
        <v>9</v>
      </c>
      <c r="AB362">
        <v>9</v>
      </c>
      <c r="AC362" t="s">
        <v>310</v>
      </c>
      <c r="AD362">
        <v>9</v>
      </c>
      <c r="AE362" t="s">
        <v>1396</v>
      </c>
      <c r="AF362">
        <v>50000000</v>
      </c>
      <c r="AG362" t="s">
        <v>310</v>
      </c>
      <c r="AH362">
        <f>SUM((MID(Dyno_Data[[#This Row],[Team]],4,5))+(Dyno_Data[[#This Row],[Match]]/100))</f>
        <v>639.05999999999995</v>
      </c>
      <c r="AI362" s="76">
        <f>ROUND(SUM(IF(Dyno_Data[[#This Row],[AcqCenter]]&gt;0,Dyno_Data[[#This Row],[Time]]-SUMIFS(Dyno_Data[Time],Dyno_Data[Team],Dyno_Data[[#This Row],[Team]],Dyno_Data[RecordType],"StartMatch",Dyno_Data[Match],Dyno_Data[[#This Row],[Match]]),0)*86400),0)</f>
        <v>0</v>
      </c>
    </row>
    <row r="363" spans="1:35" x14ac:dyDescent="0.3">
      <c r="A363">
        <v>362</v>
      </c>
      <c r="B363" t="s">
        <v>372</v>
      </c>
      <c r="C363">
        <v>6</v>
      </c>
      <c r="D363" s="105">
        <v>45373.407714120367</v>
      </c>
      <c r="E363" t="s">
        <v>312</v>
      </c>
      <c r="F363" t="s">
        <v>1402</v>
      </c>
      <c r="G363">
        <v>0</v>
      </c>
      <c r="H363" t="s">
        <v>315</v>
      </c>
      <c r="I363">
        <v>0</v>
      </c>
      <c r="J363">
        <v>0</v>
      </c>
      <c r="K363">
        <v>0</v>
      </c>
      <c r="L363" t="s">
        <v>240</v>
      </c>
      <c r="M363" t="s">
        <v>1398</v>
      </c>
      <c r="N363">
        <v>0</v>
      </c>
      <c r="O363" t="s">
        <v>1389</v>
      </c>
      <c r="P363" t="s">
        <v>310</v>
      </c>
      <c r="Q363" t="s">
        <v>310</v>
      </c>
      <c r="R363" t="s">
        <v>310</v>
      </c>
      <c r="S363">
        <v>9</v>
      </c>
      <c r="T363" t="s">
        <v>310</v>
      </c>
      <c r="U363">
        <v>9</v>
      </c>
      <c r="V363">
        <v>9</v>
      </c>
      <c r="W363">
        <v>0</v>
      </c>
      <c r="X363">
        <v>0</v>
      </c>
      <c r="Y363">
        <v>0</v>
      </c>
      <c r="Z363">
        <v>0</v>
      </c>
      <c r="AA363">
        <v>9</v>
      </c>
      <c r="AB363">
        <v>9</v>
      </c>
      <c r="AC363" t="s">
        <v>310</v>
      </c>
      <c r="AD363">
        <v>9</v>
      </c>
      <c r="AE363" t="s">
        <v>1394</v>
      </c>
      <c r="AF363">
        <v>30000000</v>
      </c>
      <c r="AG363" t="s">
        <v>310</v>
      </c>
      <c r="AH363">
        <f>SUM((MID(Dyno_Data[[#This Row],[Team]],4,5))+(Dyno_Data[[#This Row],[Match]]/100))</f>
        <v>7504.06</v>
      </c>
      <c r="AI363" s="76">
        <f>ROUND(SUM(IF(Dyno_Data[[#This Row],[AcqCenter]]&gt;0,Dyno_Data[[#This Row],[Time]]-SUMIFS(Dyno_Data[Time],Dyno_Data[Team],Dyno_Data[[#This Row],[Team]],Dyno_Data[RecordType],"StartMatch",Dyno_Data[Match],Dyno_Data[[#This Row],[Match]]),0)*86400),0)</f>
        <v>0</v>
      </c>
    </row>
    <row r="364" spans="1:35" x14ac:dyDescent="0.3">
      <c r="A364">
        <v>363</v>
      </c>
      <c r="B364" t="s">
        <v>1305</v>
      </c>
      <c r="C364">
        <v>6</v>
      </c>
      <c r="D364" s="105">
        <v>45373.407715740737</v>
      </c>
      <c r="E364" t="s">
        <v>312</v>
      </c>
      <c r="F364" t="s">
        <v>1402</v>
      </c>
      <c r="G364">
        <v>0</v>
      </c>
      <c r="H364" t="s">
        <v>315</v>
      </c>
      <c r="I364">
        <v>0</v>
      </c>
      <c r="J364">
        <v>0</v>
      </c>
      <c r="K364">
        <v>0</v>
      </c>
      <c r="L364" t="s">
        <v>241</v>
      </c>
      <c r="M364" t="s">
        <v>101</v>
      </c>
      <c r="N364">
        <v>0</v>
      </c>
      <c r="O364" t="s">
        <v>1393</v>
      </c>
      <c r="P364" t="s">
        <v>310</v>
      </c>
      <c r="Q364" t="s">
        <v>310</v>
      </c>
      <c r="R364" t="s">
        <v>310</v>
      </c>
      <c r="S364">
        <v>9</v>
      </c>
      <c r="T364" t="s">
        <v>310</v>
      </c>
      <c r="U364">
        <v>9</v>
      </c>
      <c r="V364">
        <v>9</v>
      </c>
      <c r="W364">
        <v>0</v>
      </c>
      <c r="X364">
        <v>0</v>
      </c>
      <c r="Y364">
        <v>0</v>
      </c>
      <c r="Z364">
        <v>0</v>
      </c>
      <c r="AA364">
        <v>9</v>
      </c>
      <c r="AB364">
        <v>9</v>
      </c>
      <c r="AC364" t="s">
        <v>310</v>
      </c>
      <c r="AD364">
        <v>9</v>
      </c>
      <c r="AE364" t="s">
        <v>1390</v>
      </c>
      <c r="AF364">
        <v>100000000</v>
      </c>
      <c r="AG364" t="s">
        <v>310</v>
      </c>
      <c r="AH364">
        <f>SUM((MID(Dyno_Data[[#This Row],[Team]],4,5))+(Dyno_Data[[#This Row],[Match]]/100))</f>
        <v>3173.06</v>
      </c>
      <c r="AI364" s="76">
        <f>ROUND(SUM(IF(Dyno_Data[[#This Row],[AcqCenter]]&gt;0,Dyno_Data[[#This Row],[Time]]-SUMIFS(Dyno_Data[Time],Dyno_Data[Team],Dyno_Data[[#This Row],[Team]],Dyno_Data[RecordType],"StartMatch",Dyno_Data[Match],Dyno_Data[[#This Row],[Match]]),0)*86400),0)</f>
        <v>0</v>
      </c>
    </row>
    <row r="365" spans="1:35" x14ac:dyDescent="0.3">
      <c r="A365">
        <v>364</v>
      </c>
      <c r="B365" t="s">
        <v>365</v>
      </c>
      <c r="C365">
        <v>6</v>
      </c>
      <c r="D365" s="105">
        <v>45373.407760451388</v>
      </c>
      <c r="E365" t="s">
        <v>312</v>
      </c>
      <c r="F365" t="s">
        <v>1402</v>
      </c>
      <c r="G365">
        <v>0</v>
      </c>
      <c r="H365" t="s">
        <v>315</v>
      </c>
      <c r="I365">
        <v>0</v>
      </c>
      <c r="J365">
        <v>0</v>
      </c>
      <c r="K365">
        <v>0</v>
      </c>
      <c r="L365" t="s">
        <v>241</v>
      </c>
      <c r="M365" t="s">
        <v>101</v>
      </c>
      <c r="N365">
        <v>0</v>
      </c>
      <c r="O365" t="s">
        <v>311</v>
      </c>
      <c r="P365" t="s">
        <v>310</v>
      </c>
      <c r="Q365" t="s">
        <v>310</v>
      </c>
      <c r="R365" t="s">
        <v>310</v>
      </c>
      <c r="S365">
        <v>9</v>
      </c>
      <c r="T365" t="s">
        <v>310</v>
      </c>
      <c r="U365">
        <v>9</v>
      </c>
      <c r="V365">
        <v>9</v>
      </c>
      <c r="W365">
        <v>0</v>
      </c>
      <c r="X365">
        <v>0</v>
      </c>
      <c r="Y365">
        <v>0</v>
      </c>
      <c r="Z365">
        <v>0</v>
      </c>
      <c r="AA365">
        <v>9</v>
      </c>
      <c r="AB365">
        <v>9</v>
      </c>
      <c r="AC365" t="s">
        <v>310</v>
      </c>
      <c r="AD365">
        <v>9</v>
      </c>
      <c r="AE365" t="s">
        <v>1387</v>
      </c>
      <c r="AF365">
        <v>70000000</v>
      </c>
      <c r="AG365" t="s">
        <v>310</v>
      </c>
      <c r="AH365">
        <f>SUM((MID(Dyno_Data[[#This Row],[Team]],4,5))+(Dyno_Data[[#This Row],[Match]]/100))</f>
        <v>3171.06</v>
      </c>
      <c r="AI365" s="76">
        <f>ROUND(SUM(IF(Dyno_Data[[#This Row],[AcqCenter]]&gt;0,Dyno_Data[[#This Row],[Time]]-SUMIFS(Dyno_Data[Time],Dyno_Data[Team],Dyno_Data[[#This Row],[Team]],Dyno_Data[RecordType],"StartMatch",Dyno_Data[Match],Dyno_Data[[#This Row],[Match]]),0)*86400),0)</f>
        <v>0</v>
      </c>
    </row>
    <row r="366" spans="1:35" x14ac:dyDescent="0.3">
      <c r="A366">
        <v>365</v>
      </c>
      <c r="B366" t="s">
        <v>1306</v>
      </c>
      <c r="C366">
        <v>6</v>
      </c>
      <c r="D366" s="105">
        <v>45373.407805324074</v>
      </c>
      <c r="E366" t="s">
        <v>312</v>
      </c>
      <c r="F366" t="s">
        <v>1402</v>
      </c>
      <c r="G366">
        <v>0</v>
      </c>
      <c r="H366" t="s">
        <v>315</v>
      </c>
      <c r="I366">
        <v>0</v>
      </c>
      <c r="J366">
        <v>0</v>
      </c>
      <c r="K366">
        <v>0</v>
      </c>
      <c r="L366" t="s">
        <v>242</v>
      </c>
      <c r="M366" t="s">
        <v>241</v>
      </c>
      <c r="N366">
        <v>0</v>
      </c>
      <c r="O366" t="s">
        <v>1391</v>
      </c>
      <c r="P366" t="s">
        <v>310</v>
      </c>
      <c r="Q366" t="s">
        <v>310</v>
      </c>
      <c r="R366" t="s">
        <v>310</v>
      </c>
      <c r="S366">
        <v>9</v>
      </c>
      <c r="T366" t="s">
        <v>310</v>
      </c>
      <c r="U366">
        <v>9</v>
      </c>
      <c r="V366">
        <v>9</v>
      </c>
      <c r="W366">
        <v>0</v>
      </c>
      <c r="X366">
        <v>0</v>
      </c>
      <c r="Y366">
        <v>0</v>
      </c>
      <c r="Z366">
        <v>0</v>
      </c>
      <c r="AA366">
        <v>9</v>
      </c>
      <c r="AB366">
        <v>9</v>
      </c>
      <c r="AC366" t="s">
        <v>310</v>
      </c>
      <c r="AD366">
        <v>9</v>
      </c>
      <c r="AE366" t="s">
        <v>1388</v>
      </c>
      <c r="AF366">
        <v>80002000</v>
      </c>
      <c r="AG366" t="s">
        <v>310</v>
      </c>
      <c r="AH366">
        <f>SUM((MID(Dyno_Data[[#This Row],[Team]],4,5))+(Dyno_Data[[#This Row],[Match]]/100))</f>
        <v>3986.06</v>
      </c>
      <c r="AI366" s="76">
        <f>ROUND(SUM(IF(Dyno_Data[[#This Row],[AcqCenter]]&gt;0,Dyno_Data[[#This Row],[Time]]-SUMIFS(Dyno_Data[Time],Dyno_Data[Team],Dyno_Data[[#This Row],[Team]],Dyno_Data[RecordType],"StartMatch",Dyno_Data[Match],Dyno_Data[[#This Row],[Match]]),0)*86400),0)</f>
        <v>0</v>
      </c>
    </row>
    <row r="367" spans="1:35" x14ac:dyDescent="0.3">
      <c r="A367">
        <v>366</v>
      </c>
      <c r="B367" t="s">
        <v>318</v>
      </c>
      <c r="C367">
        <v>6</v>
      </c>
      <c r="D367" s="105">
        <v>45373.407823414353</v>
      </c>
      <c r="E367" t="s">
        <v>312</v>
      </c>
      <c r="F367" t="s">
        <v>1402</v>
      </c>
      <c r="G367">
        <v>0</v>
      </c>
      <c r="H367" t="s">
        <v>315</v>
      </c>
      <c r="I367">
        <v>0</v>
      </c>
      <c r="J367">
        <v>0</v>
      </c>
      <c r="K367">
        <v>0</v>
      </c>
      <c r="L367" t="s">
        <v>240</v>
      </c>
      <c r="M367" t="s">
        <v>1398</v>
      </c>
      <c r="N367">
        <v>0</v>
      </c>
      <c r="O367" t="s">
        <v>1395</v>
      </c>
      <c r="P367" t="s">
        <v>310</v>
      </c>
      <c r="Q367" t="s">
        <v>310</v>
      </c>
      <c r="R367" t="s">
        <v>310</v>
      </c>
      <c r="S367">
        <v>9</v>
      </c>
      <c r="T367" t="s">
        <v>310</v>
      </c>
      <c r="U367">
        <v>9</v>
      </c>
      <c r="V367">
        <v>9</v>
      </c>
      <c r="W367">
        <v>0</v>
      </c>
      <c r="X367">
        <v>0</v>
      </c>
      <c r="Y367">
        <v>0</v>
      </c>
      <c r="Z367">
        <v>0</v>
      </c>
      <c r="AA367">
        <v>9</v>
      </c>
      <c r="AB367">
        <v>9</v>
      </c>
      <c r="AC367" t="s">
        <v>310</v>
      </c>
      <c r="AD367">
        <v>9</v>
      </c>
      <c r="AE367" t="s">
        <v>1396</v>
      </c>
      <c r="AF367">
        <v>60000000</v>
      </c>
      <c r="AG367" t="s">
        <v>310</v>
      </c>
      <c r="AH367">
        <f>SUM((MID(Dyno_Data[[#This Row],[Team]],4,5))+(Dyno_Data[[#This Row],[Match]]/100))</f>
        <v>639.05999999999995</v>
      </c>
      <c r="AI367" s="76">
        <f>ROUND(SUM(IF(Dyno_Data[[#This Row],[AcqCenter]]&gt;0,Dyno_Data[[#This Row],[Time]]-SUMIFS(Dyno_Data[Time],Dyno_Data[Team],Dyno_Data[[#This Row],[Team]],Dyno_Data[RecordType],"StartMatch",Dyno_Data[Match],Dyno_Data[[#This Row],[Match]]),0)*86400),0)</f>
        <v>0</v>
      </c>
    </row>
    <row r="368" spans="1:35" x14ac:dyDescent="0.3">
      <c r="A368">
        <v>367</v>
      </c>
      <c r="B368" t="s">
        <v>366</v>
      </c>
      <c r="C368">
        <v>6</v>
      </c>
      <c r="D368" s="105">
        <v>45373.407826967596</v>
      </c>
      <c r="E368" t="s">
        <v>312</v>
      </c>
      <c r="F368" t="s">
        <v>1402</v>
      </c>
      <c r="G368">
        <v>0</v>
      </c>
      <c r="H368" t="s">
        <v>315</v>
      </c>
      <c r="I368">
        <v>0</v>
      </c>
      <c r="J368">
        <v>0</v>
      </c>
      <c r="K368">
        <v>0</v>
      </c>
      <c r="L368" t="s">
        <v>240</v>
      </c>
      <c r="M368" t="s">
        <v>1398</v>
      </c>
      <c r="N368">
        <v>1</v>
      </c>
      <c r="O368" t="s">
        <v>319</v>
      </c>
      <c r="P368" t="s">
        <v>310</v>
      </c>
      <c r="Q368" t="s">
        <v>310</v>
      </c>
      <c r="R368" t="s">
        <v>310</v>
      </c>
      <c r="S368">
        <v>9</v>
      </c>
      <c r="T368" t="s">
        <v>310</v>
      </c>
      <c r="U368">
        <v>9</v>
      </c>
      <c r="V368">
        <v>9</v>
      </c>
      <c r="W368">
        <v>0</v>
      </c>
      <c r="X368">
        <v>0</v>
      </c>
      <c r="Y368">
        <v>0</v>
      </c>
      <c r="Z368">
        <v>0</v>
      </c>
      <c r="AA368">
        <v>9</v>
      </c>
      <c r="AB368">
        <v>9</v>
      </c>
      <c r="AC368" t="s">
        <v>310</v>
      </c>
      <c r="AD368">
        <v>9</v>
      </c>
      <c r="AE368" t="s">
        <v>1392</v>
      </c>
      <c r="AF368">
        <v>50000000</v>
      </c>
      <c r="AG368" t="s">
        <v>310</v>
      </c>
      <c r="AH368">
        <f>SUM((MID(Dyno_Data[[#This Row],[Team]],4,5))+(Dyno_Data[[#This Row],[Match]]/100))</f>
        <v>4122.0600000000004</v>
      </c>
      <c r="AI368" s="76">
        <f>ROUND(SUM(IF(Dyno_Data[[#This Row],[AcqCenter]]&gt;0,Dyno_Data[[#This Row],[Time]]-SUMIFS(Dyno_Data[Time],Dyno_Data[Team],Dyno_Data[[#This Row],[Team]],Dyno_Data[RecordType],"StartMatch",Dyno_Data[Match],Dyno_Data[[#This Row],[Match]]),0)*86400),0)</f>
        <v>0</v>
      </c>
    </row>
    <row r="369" spans="1:35" x14ac:dyDescent="0.3">
      <c r="A369">
        <v>368</v>
      </c>
      <c r="B369" t="s">
        <v>1305</v>
      </c>
      <c r="C369">
        <v>6</v>
      </c>
      <c r="D369" s="105">
        <v>45373.407849537034</v>
      </c>
      <c r="E369" t="s">
        <v>312</v>
      </c>
      <c r="F369" t="s">
        <v>1402</v>
      </c>
      <c r="G369">
        <v>0</v>
      </c>
      <c r="H369" t="s">
        <v>315</v>
      </c>
      <c r="I369">
        <v>0</v>
      </c>
      <c r="J369">
        <v>0</v>
      </c>
      <c r="K369">
        <v>0</v>
      </c>
      <c r="L369" t="s">
        <v>241</v>
      </c>
      <c r="M369" t="s">
        <v>1398</v>
      </c>
      <c r="N369">
        <v>0</v>
      </c>
      <c r="O369" t="s">
        <v>1393</v>
      </c>
      <c r="P369" t="s">
        <v>310</v>
      </c>
      <c r="Q369" t="s">
        <v>310</v>
      </c>
      <c r="R369" t="s">
        <v>310</v>
      </c>
      <c r="S369">
        <v>9</v>
      </c>
      <c r="T369" t="s">
        <v>310</v>
      </c>
      <c r="U369">
        <v>9</v>
      </c>
      <c r="V369">
        <v>9</v>
      </c>
      <c r="W369">
        <v>0</v>
      </c>
      <c r="X369">
        <v>0</v>
      </c>
      <c r="Y369">
        <v>0</v>
      </c>
      <c r="Z369">
        <v>0</v>
      </c>
      <c r="AA369">
        <v>9</v>
      </c>
      <c r="AB369">
        <v>9</v>
      </c>
      <c r="AC369" t="s">
        <v>310</v>
      </c>
      <c r="AD369">
        <v>9</v>
      </c>
      <c r="AE369" t="s">
        <v>1390</v>
      </c>
      <c r="AF369">
        <v>110000000</v>
      </c>
      <c r="AG369" t="s">
        <v>310</v>
      </c>
      <c r="AH369">
        <f>SUM((MID(Dyno_Data[[#This Row],[Team]],4,5))+(Dyno_Data[[#This Row],[Match]]/100))</f>
        <v>3173.06</v>
      </c>
      <c r="AI369" s="76">
        <f>ROUND(SUM(IF(Dyno_Data[[#This Row],[AcqCenter]]&gt;0,Dyno_Data[[#This Row],[Time]]-SUMIFS(Dyno_Data[Time],Dyno_Data[Team],Dyno_Data[[#This Row],[Team]],Dyno_Data[RecordType],"StartMatch",Dyno_Data[Match],Dyno_Data[[#This Row],[Match]]),0)*86400),0)</f>
        <v>0</v>
      </c>
    </row>
    <row r="370" spans="1:35" x14ac:dyDescent="0.3">
      <c r="A370">
        <v>369</v>
      </c>
      <c r="B370" t="s">
        <v>1306</v>
      </c>
      <c r="C370">
        <v>6</v>
      </c>
      <c r="D370" s="105">
        <v>45373.407888541667</v>
      </c>
      <c r="E370" t="s">
        <v>312</v>
      </c>
      <c r="F370" t="s">
        <v>1402</v>
      </c>
      <c r="G370">
        <v>0</v>
      </c>
      <c r="H370" t="s">
        <v>315</v>
      </c>
      <c r="I370">
        <v>0</v>
      </c>
      <c r="J370">
        <v>0</v>
      </c>
      <c r="K370">
        <v>0</v>
      </c>
      <c r="L370" t="s">
        <v>242</v>
      </c>
      <c r="M370" t="s">
        <v>241</v>
      </c>
      <c r="N370">
        <v>0</v>
      </c>
      <c r="O370" t="s">
        <v>1391</v>
      </c>
      <c r="P370" t="s">
        <v>310</v>
      </c>
      <c r="Q370" t="s">
        <v>310</v>
      </c>
      <c r="R370" t="s">
        <v>310</v>
      </c>
      <c r="S370">
        <v>9</v>
      </c>
      <c r="T370" t="s">
        <v>310</v>
      </c>
      <c r="U370">
        <v>9</v>
      </c>
      <c r="V370">
        <v>9</v>
      </c>
      <c r="W370">
        <v>0</v>
      </c>
      <c r="X370">
        <v>0</v>
      </c>
      <c r="Y370">
        <v>0</v>
      </c>
      <c r="Z370">
        <v>0</v>
      </c>
      <c r="AA370">
        <v>9</v>
      </c>
      <c r="AB370">
        <v>9</v>
      </c>
      <c r="AC370" t="s">
        <v>310</v>
      </c>
      <c r="AD370">
        <v>9</v>
      </c>
      <c r="AE370" t="s">
        <v>1388</v>
      </c>
      <c r="AF370">
        <v>90002000</v>
      </c>
      <c r="AG370" t="s">
        <v>310</v>
      </c>
      <c r="AH370">
        <f>SUM((MID(Dyno_Data[[#This Row],[Team]],4,5))+(Dyno_Data[[#This Row],[Match]]/100))</f>
        <v>3986.06</v>
      </c>
      <c r="AI370" s="76">
        <f>ROUND(SUM(IF(Dyno_Data[[#This Row],[AcqCenter]]&gt;0,Dyno_Data[[#This Row],[Time]]-SUMIFS(Dyno_Data[Time],Dyno_Data[Team],Dyno_Data[[#This Row],[Team]],Dyno_Data[RecordType],"StartMatch",Dyno_Data[Match],Dyno_Data[[#This Row],[Match]]),0)*86400),0)</f>
        <v>0</v>
      </c>
    </row>
    <row r="371" spans="1:35" x14ac:dyDescent="0.3">
      <c r="A371">
        <v>370</v>
      </c>
      <c r="B371" t="s">
        <v>366</v>
      </c>
      <c r="C371">
        <v>6</v>
      </c>
      <c r="D371" s="105">
        <v>45373.407920405094</v>
      </c>
      <c r="E371" t="s">
        <v>312</v>
      </c>
      <c r="F371" t="s">
        <v>1402</v>
      </c>
      <c r="G371">
        <v>0</v>
      </c>
      <c r="H371" t="s">
        <v>315</v>
      </c>
      <c r="I371">
        <v>0</v>
      </c>
      <c r="J371">
        <v>0</v>
      </c>
      <c r="K371">
        <v>0</v>
      </c>
      <c r="L371" t="s">
        <v>240</v>
      </c>
      <c r="M371" t="s">
        <v>1398</v>
      </c>
      <c r="N371">
        <v>0</v>
      </c>
      <c r="O371" t="s">
        <v>319</v>
      </c>
      <c r="P371" t="s">
        <v>310</v>
      </c>
      <c r="Q371" t="s">
        <v>310</v>
      </c>
      <c r="R371" t="s">
        <v>310</v>
      </c>
      <c r="S371">
        <v>9</v>
      </c>
      <c r="T371" t="s">
        <v>310</v>
      </c>
      <c r="U371">
        <v>9</v>
      </c>
      <c r="V371">
        <v>9</v>
      </c>
      <c r="W371">
        <v>0</v>
      </c>
      <c r="X371">
        <v>0</v>
      </c>
      <c r="Y371">
        <v>0</v>
      </c>
      <c r="Z371">
        <v>0</v>
      </c>
      <c r="AA371">
        <v>9</v>
      </c>
      <c r="AB371">
        <v>9</v>
      </c>
      <c r="AC371" t="s">
        <v>310</v>
      </c>
      <c r="AD371">
        <v>9</v>
      </c>
      <c r="AE371" t="s">
        <v>1392</v>
      </c>
      <c r="AF371">
        <v>60000000</v>
      </c>
      <c r="AG371" t="s">
        <v>310</v>
      </c>
      <c r="AH371">
        <f>SUM((MID(Dyno_Data[[#This Row],[Team]],4,5))+(Dyno_Data[[#This Row],[Match]]/100))</f>
        <v>4122.0600000000004</v>
      </c>
      <c r="AI371" s="76">
        <f>ROUND(SUM(IF(Dyno_Data[[#This Row],[AcqCenter]]&gt;0,Dyno_Data[[#This Row],[Time]]-SUMIFS(Dyno_Data[Time],Dyno_Data[Team],Dyno_Data[[#This Row],[Team]],Dyno_Data[RecordType],"StartMatch",Dyno_Data[Match],Dyno_Data[[#This Row],[Match]]),0)*86400),0)</f>
        <v>0</v>
      </c>
    </row>
    <row r="372" spans="1:35" x14ac:dyDescent="0.3">
      <c r="A372">
        <v>371</v>
      </c>
      <c r="B372" t="s">
        <v>1306</v>
      </c>
      <c r="C372">
        <v>6</v>
      </c>
      <c r="D372" s="105">
        <v>45373.407963043981</v>
      </c>
      <c r="E372" t="s">
        <v>312</v>
      </c>
      <c r="F372" t="s">
        <v>1402</v>
      </c>
      <c r="G372">
        <v>0</v>
      </c>
      <c r="H372" t="s">
        <v>315</v>
      </c>
      <c r="I372">
        <v>0</v>
      </c>
      <c r="J372">
        <v>0</v>
      </c>
      <c r="K372">
        <v>0</v>
      </c>
      <c r="L372" t="s">
        <v>242</v>
      </c>
      <c r="M372" t="s">
        <v>241</v>
      </c>
      <c r="N372">
        <v>0</v>
      </c>
      <c r="O372" t="s">
        <v>1391</v>
      </c>
      <c r="P372" t="s">
        <v>310</v>
      </c>
      <c r="Q372" t="s">
        <v>310</v>
      </c>
      <c r="R372" t="s">
        <v>310</v>
      </c>
      <c r="S372">
        <v>9</v>
      </c>
      <c r="T372" t="s">
        <v>310</v>
      </c>
      <c r="U372">
        <v>9</v>
      </c>
      <c r="V372">
        <v>9</v>
      </c>
      <c r="W372">
        <v>0</v>
      </c>
      <c r="X372">
        <v>0</v>
      </c>
      <c r="Y372">
        <v>0</v>
      </c>
      <c r="Z372">
        <v>0</v>
      </c>
      <c r="AA372">
        <v>9</v>
      </c>
      <c r="AB372">
        <v>9</v>
      </c>
      <c r="AC372" t="s">
        <v>310</v>
      </c>
      <c r="AD372">
        <v>9</v>
      </c>
      <c r="AE372" t="s">
        <v>1388</v>
      </c>
      <c r="AF372">
        <v>100002000</v>
      </c>
      <c r="AG372" t="s">
        <v>310</v>
      </c>
      <c r="AH372">
        <f>SUM((MID(Dyno_Data[[#This Row],[Team]],4,5))+(Dyno_Data[[#This Row],[Match]]/100))</f>
        <v>3986.06</v>
      </c>
      <c r="AI372" s="76">
        <f>ROUND(SUM(IF(Dyno_Data[[#This Row],[AcqCenter]]&gt;0,Dyno_Data[[#This Row],[Time]]-SUMIFS(Dyno_Data[Time],Dyno_Data[Team],Dyno_Data[[#This Row],[Team]],Dyno_Data[RecordType],"StartMatch",Dyno_Data[Match],Dyno_Data[[#This Row],[Match]]),0)*86400),0)</f>
        <v>0</v>
      </c>
    </row>
    <row r="373" spans="1:35" x14ac:dyDescent="0.3">
      <c r="A373">
        <v>372</v>
      </c>
      <c r="B373" t="s">
        <v>1305</v>
      </c>
      <c r="C373">
        <v>6</v>
      </c>
      <c r="D373" s="105">
        <v>45373.408020949071</v>
      </c>
      <c r="E373" t="s">
        <v>312</v>
      </c>
      <c r="F373" t="s">
        <v>1402</v>
      </c>
      <c r="G373">
        <v>0</v>
      </c>
      <c r="H373" t="s">
        <v>315</v>
      </c>
      <c r="I373">
        <v>0</v>
      </c>
      <c r="J373">
        <v>0</v>
      </c>
      <c r="K373">
        <v>0</v>
      </c>
      <c r="L373" t="s">
        <v>241</v>
      </c>
      <c r="M373" t="s">
        <v>1398</v>
      </c>
      <c r="N373">
        <v>0</v>
      </c>
      <c r="O373" t="s">
        <v>1393</v>
      </c>
      <c r="P373" t="s">
        <v>310</v>
      </c>
      <c r="Q373" t="s">
        <v>310</v>
      </c>
      <c r="R373" t="s">
        <v>310</v>
      </c>
      <c r="S373">
        <v>9</v>
      </c>
      <c r="T373" t="s">
        <v>310</v>
      </c>
      <c r="U373">
        <v>9</v>
      </c>
      <c r="V373">
        <v>9</v>
      </c>
      <c r="W373">
        <v>0</v>
      </c>
      <c r="X373">
        <v>0</v>
      </c>
      <c r="Y373">
        <v>0</v>
      </c>
      <c r="Z373">
        <v>0</v>
      </c>
      <c r="AA373">
        <v>9</v>
      </c>
      <c r="AB373">
        <v>9</v>
      </c>
      <c r="AC373" t="s">
        <v>310</v>
      </c>
      <c r="AD373">
        <v>9</v>
      </c>
      <c r="AE373" t="s">
        <v>1390</v>
      </c>
      <c r="AF373">
        <v>120000000</v>
      </c>
      <c r="AG373" t="s">
        <v>310</v>
      </c>
      <c r="AH373">
        <f>SUM((MID(Dyno_Data[[#This Row],[Team]],4,5))+(Dyno_Data[[#This Row],[Match]]/100))</f>
        <v>3173.06</v>
      </c>
      <c r="AI373" s="76">
        <f>ROUND(SUM(IF(Dyno_Data[[#This Row],[AcqCenter]]&gt;0,Dyno_Data[[#This Row],[Time]]-SUMIFS(Dyno_Data[Time],Dyno_Data[Team],Dyno_Data[[#This Row],[Team]],Dyno_Data[RecordType],"StartMatch",Dyno_Data[Match],Dyno_Data[[#This Row],[Match]]),0)*86400),0)</f>
        <v>0</v>
      </c>
    </row>
    <row r="374" spans="1:35" x14ac:dyDescent="0.3">
      <c r="A374">
        <v>373</v>
      </c>
      <c r="B374" t="s">
        <v>366</v>
      </c>
      <c r="C374">
        <v>6</v>
      </c>
      <c r="D374" s="105">
        <v>45373.408036030094</v>
      </c>
      <c r="E374" t="s">
        <v>312</v>
      </c>
      <c r="F374" t="s">
        <v>1402</v>
      </c>
      <c r="G374">
        <v>0</v>
      </c>
      <c r="H374" t="s">
        <v>315</v>
      </c>
      <c r="I374">
        <v>0</v>
      </c>
      <c r="J374">
        <v>0</v>
      </c>
      <c r="K374">
        <v>0</v>
      </c>
      <c r="L374" t="s">
        <v>240</v>
      </c>
      <c r="M374" t="s">
        <v>1398</v>
      </c>
      <c r="N374">
        <v>0</v>
      </c>
      <c r="O374" t="s">
        <v>319</v>
      </c>
      <c r="P374" t="s">
        <v>310</v>
      </c>
      <c r="Q374" t="s">
        <v>310</v>
      </c>
      <c r="R374" t="s">
        <v>310</v>
      </c>
      <c r="S374">
        <v>9</v>
      </c>
      <c r="T374" t="s">
        <v>310</v>
      </c>
      <c r="U374">
        <v>9</v>
      </c>
      <c r="V374">
        <v>9</v>
      </c>
      <c r="W374">
        <v>0</v>
      </c>
      <c r="X374">
        <v>0</v>
      </c>
      <c r="Y374">
        <v>0</v>
      </c>
      <c r="Z374">
        <v>0</v>
      </c>
      <c r="AA374">
        <v>9</v>
      </c>
      <c r="AB374">
        <v>9</v>
      </c>
      <c r="AC374" t="s">
        <v>310</v>
      </c>
      <c r="AD374">
        <v>9</v>
      </c>
      <c r="AE374" t="s">
        <v>1392</v>
      </c>
      <c r="AF374">
        <v>70000000</v>
      </c>
      <c r="AG374" t="s">
        <v>310</v>
      </c>
      <c r="AH374">
        <f>SUM((MID(Dyno_Data[[#This Row],[Team]],4,5))+(Dyno_Data[[#This Row],[Match]]/100))</f>
        <v>4122.0600000000004</v>
      </c>
      <c r="AI374" s="76">
        <f>ROUND(SUM(IF(Dyno_Data[[#This Row],[AcqCenter]]&gt;0,Dyno_Data[[#This Row],[Time]]-SUMIFS(Dyno_Data[Time],Dyno_Data[Team],Dyno_Data[[#This Row],[Team]],Dyno_Data[RecordType],"StartMatch",Dyno_Data[Match],Dyno_Data[[#This Row],[Match]]),0)*86400),0)</f>
        <v>0</v>
      </c>
    </row>
    <row r="375" spans="1:35" x14ac:dyDescent="0.3">
      <c r="A375">
        <v>374</v>
      </c>
      <c r="B375" t="s">
        <v>318</v>
      </c>
      <c r="C375">
        <v>6</v>
      </c>
      <c r="D375" s="105">
        <v>45373.408039085647</v>
      </c>
      <c r="E375" t="s">
        <v>312</v>
      </c>
      <c r="F375" t="s">
        <v>1402</v>
      </c>
      <c r="G375">
        <v>0</v>
      </c>
      <c r="H375" t="s">
        <v>315</v>
      </c>
      <c r="I375">
        <v>0</v>
      </c>
      <c r="J375">
        <v>0</v>
      </c>
      <c r="K375">
        <v>0</v>
      </c>
      <c r="L375" t="s">
        <v>240</v>
      </c>
      <c r="M375" t="s">
        <v>1398</v>
      </c>
      <c r="N375">
        <v>1</v>
      </c>
      <c r="O375" t="s">
        <v>1395</v>
      </c>
      <c r="P375" t="s">
        <v>310</v>
      </c>
      <c r="Q375" t="s">
        <v>310</v>
      </c>
      <c r="R375" t="s">
        <v>310</v>
      </c>
      <c r="S375">
        <v>9</v>
      </c>
      <c r="T375" t="s">
        <v>310</v>
      </c>
      <c r="U375">
        <v>9</v>
      </c>
      <c r="V375">
        <v>9</v>
      </c>
      <c r="W375">
        <v>0</v>
      </c>
      <c r="X375">
        <v>0</v>
      </c>
      <c r="Y375">
        <v>0</v>
      </c>
      <c r="Z375">
        <v>0</v>
      </c>
      <c r="AA375">
        <v>9</v>
      </c>
      <c r="AB375">
        <v>9</v>
      </c>
      <c r="AC375" t="s">
        <v>310</v>
      </c>
      <c r="AD375">
        <v>9</v>
      </c>
      <c r="AE375" t="s">
        <v>1396</v>
      </c>
      <c r="AF375">
        <v>70000000</v>
      </c>
      <c r="AG375" t="s">
        <v>310</v>
      </c>
      <c r="AH375">
        <f>SUM((MID(Dyno_Data[[#This Row],[Team]],4,5))+(Dyno_Data[[#This Row],[Match]]/100))</f>
        <v>639.05999999999995</v>
      </c>
      <c r="AI375" s="76">
        <f>ROUND(SUM(IF(Dyno_Data[[#This Row],[AcqCenter]]&gt;0,Dyno_Data[[#This Row],[Time]]-SUMIFS(Dyno_Data[Time],Dyno_Data[Team],Dyno_Data[[#This Row],[Team]],Dyno_Data[RecordType],"StartMatch",Dyno_Data[Match],Dyno_Data[[#This Row],[Match]]),0)*86400),0)</f>
        <v>0</v>
      </c>
    </row>
    <row r="376" spans="1:35" x14ac:dyDescent="0.3">
      <c r="A376">
        <v>375</v>
      </c>
      <c r="B376" t="s">
        <v>1306</v>
      </c>
      <c r="C376">
        <v>6</v>
      </c>
      <c r="D376" s="105">
        <v>45373.408127164352</v>
      </c>
      <c r="E376" t="s">
        <v>312</v>
      </c>
      <c r="F376" t="s">
        <v>1402</v>
      </c>
      <c r="G376">
        <v>0</v>
      </c>
      <c r="H376" t="s">
        <v>315</v>
      </c>
      <c r="I376">
        <v>0</v>
      </c>
      <c r="J376">
        <v>0</v>
      </c>
      <c r="K376">
        <v>0</v>
      </c>
      <c r="L376" t="s">
        <v>241</v>
      </c>
      <c r="M376" t="s">
        <v>1398</v>
      </c>
      <c r="N376">
        <v>0</v>
      </c>
      <c r="O376" t="s">
        <v>1391</v>
      </c>
      <c r="P376" t="s">
        <v>310</v>
      </c>
      <c r="Q376" t="s">
        <v>310</v>
      </c>
      <c r="R376" t="s">
        <v>310</v>
      </c>
      <c r="S376">
        <v>9</v>
      </c>
      <c r="T376" t="s">
        <v>310</v>
      </c>
      <c r="U376">
        <v>9</v>
      </c>
      <c r="V376">
        <v>9</v>
      </c>
      <c r="W376">
        <v>0</v>
      </c>
      <c r="X376">
        <v>0</v>
      </c>
      <c r="Y376">
        <v>0</v>
      </c>
      <c r="Z376">
        <v>0</v>
      </c>
      <c r="AA376">
        <v>9</v>
      </c>
      <c r="AB376">
        <v>9</v>
      </c>
      <c r="AC376" t="s">
        <v>310</v>
      </c>
      <c r="AD376">
        <v>9</v>
      </c>
      <c r="AE376" t="s">
        <v>1388</v>
      </c>
      <c r="AF376">
        <v>110002000</v>
      </c>
      <c r="AG376" t="s">
        <v>310</v>
      </c>
      <c r="AH376">
        <f>SUM((MID(Dyno_Data[[#This Row],[Team]],4,5))+(Dyno_Data[[#This Row],[Match]]/100))</f>
        <v>3986.06</v>
      </c>
      <c r="AI376" s="76">
        <f>ROUND(SUM(IF(Dyno_Data[[#This Row],[AcqCenter]]&gt;0,Dyno_Data[[#This Row],[Time]]-SUMIFS(Dyno_Data[Time],Dyno_Data[Team],Dyno_Data[[#This Row],[Team]],Dyno_Data[RecordType],"StartMatch",Dyno_Data[Match],Dyno_Data[[#This Row],[Match]]),0)*86400),0)</f>
        <v>0</v>
      </c>
    </row>
    <row r="377" spans="1:35" x14ac:dyDescent="0.3">
      <c r="A377">
        <v>376</v>
      </c>
      <c r="B377" t="s">
        <v>1305</v>
      </c>
      <c r="C377">
        <v>6</v>
      </c>
      <c r="D377" s="105">
        <v>45373.408128009258</v>
      </c>
      <c r="E377" t="s">
        <v>312</v>
      </c>
      <c r="F377" t="s">
        <v>1402</v>
      </c>
      <c r="G377">
        <v>0</v>
      </c>
      <c r="H377" t="s">
        <v>315</v>
      </c>
      <c r="I377">
        <v>0</v>
      </c>
      <c r="J377">
        <v>0</v>
      </c>
      <c r="K377">
        <v>0</v>
      </c>
      <c r="L377" t="s">
        <v>241</v>
      </c>
      <c r="M377" t="s">
        <v>1398</v>
      </c>
      <c r="N377">
        <v>0</v>
      </c>
      <c r="O377" t="s">
        <v>1393</v>
      </c>
      <c r="P377" t="s">
        <v>310</v>
      </c>
      <c r="Q377" t="s">
        <v>310</v>
      </c>
      <c r="R377" t="s">
        <v>310</v>
      </c>
      <c r="S377">
        <v>9</v>
      </c>
      <c r="T377" t="s">
        <v>310</v>
      </c>
      <c r="U377">
        <v>9</v>
      </c>
      <c r="V377">
        <v>9</v>
      </c>
      <c r="W377">
        <v>0</v>
      </c>
      <c r="X377">
        <v>0</v>
      </c>
      <c r="Y377">
        <v>0</v>
      </c>
      <c r="Z377">
        <v>0</v>
      </c>
      <c r="AA377">
        <v>9</v>
      </c>
      <c r="AB377">
        <v>9</v>
      </c>
      <c r="AC377" t="s">
        <v>310</v>
      </c>
      <c r="AD377">
        <v>9</v>
      </c>
      <c r="AE377" t="s">
        <v>1390</v>
      </c>
      <c r="AF377">
        <v>130000000</v>
      </c>
      <c r="AG377" t="s">
        <v>310</v>
      </c>
      <c r="AH377">
        <f>SUM((MID(Dyno_Data[[#This Row],[Team]],4,5))+(Dyno_Data[[#This Row],[Match]]/100))</f>
        <v>3173.06</v>
      </c>
      <c r="AI377" s="76">
        <f>ROUND(SUM(IF(Dyno_Data[[#This Row],[AcqCenter]]&gt;0,Dyno_Data[[#This Row],[Time]]-SUMIFS(Dyno_Data[Time],Dyno_Data[Team],Dyno_Data[[#This Row],[Team]],Dyno_Data[RecordType],"StartMatch",Dyno_Data[Match],Dyno_Data[[#This Row],[Match]]),0)*86400),0)</f>
        <v>0</v>
      </c>
    </row>
    <row r="378" spans="1:35" x14ac:dyDescent="0.3">
      <c r="A378">
        <v>377</v>
      </c>
      <c r="B378" t="s">
        <v>366</v>
      </c>
      <c r="C378">
        <v>6</v>
      </c>
      <c r="D378" s="105">
        <v>45373.408153356482</v>
      </c>
      <c r="E378" t="s">
        <v>312</v>
      </c>
      <c r="F378" t="s">
        <v>1402</v>
      </c>
      <c r="G378">
        <v>0</v>
      </c>
      <c r="H378" t="s">
        <v>315</v>
      </c>
      <c r="I378">
        <v>0</v>
      </c>
      <c r="J378">
        <v>0</v>
      </c>
      <c r="K378">
        <v>0</v>
      </c>
      <c r="L378" t="s">
        <v>240</v>
      </c>
      <c r="M378" t="s">
        <v>1398</v>
      </c>
      <c r="N378">
        <v>0</v>
      </c>
      <c r="O378" t="s">
        <v>319</v>
      </c>
      <c r="P378" t="s">
        <v>310</v>
      </c>
      <c r="Q378" t="s">
        <v>310</v>
      </c>
      <c r="R378" t="s">
        <v>310</v>
      </c>
      <c r="S378">
        <v>9</v>
      </c>
      <c r="T378" t="s">
        <v>310</v>
      </c>
      <c r="U378">
        <v>9</v>
      </c>
      <c r="V378">
        <v>9</v>
      </c>
      <c r="W378">
        <v>0</v>
      </c>
      <c r="X378">
        <v>0</v>
      </c>
      <c r="Y378">
        <v>0</v>
      </c>
      <c r="Z378">
        <v>0</v>
      </c>
      <c r="AA378">
        <v>9</v>
      </c>
      <c r="AB378">
        <v>9</v>
      </c>
      <c r="AC378" t="s">
        <v>310</v>
      </c>
      <c r="AD378">
        <v>9</v>
      </c>
      <c r="AE378" t="s">
        <v>1392</v>
      </c>
      <c r="AF378">
        <v>80000000</v>
      </c>
      <c r="AG378" t="s">
        <v>310</v>
      </c>
      <c r="AH378">
        <f>SUM((MID(Dyno_Data[[#This Row],[Team]],4,5))+(Dyno_Data[[#This Row],[Match]]/100))</f>
        <v>4122.0600000000004</v>
      </c>
      <c r="AI378" s="76">
        <f>ROUND(SUM(IF(Dyno_Data[[#This Row],[AcqCenter]]&gt;0,Dyno_Data[[#This Row],[Time]]-SUMIFS(Dyno_Data[Time],Dyno_Data[Team],Dyno_Data[[#This Row],[Team]],Dyno_Data[RecordType],"StartMatch",Dyno_Data[Match],Dyno_Data[[#This Row],[Match]]),0)*86400),0)</f>
        <v>0</v>
      </c>
    </row>
    <row r="379" spans="1:35" x14ac:dyDescent="0.3">
      <c r="A379">
        <v>378</v>
      </c>
      <c r="B379" t="s">
        <v>318</v>
      </c>
      <c r="C379">
        <v>6</v>
      </c>
      <c r="D379" s="105">
        <v>45373.408258136573</v>
      </c>
      <c r="E379" t="s">
        <v>312</v>
      </c>
      <c r="F379" t="s">
        <v>1402</v>
      </c>
      <c r="G379">
        <v>0</v>
      </c>
      <c r="H379" t="s">
        <v>315</v>
      </c>
      <c r="I379">
        <v>0</v>
      </c>
      <c r="J379">
        <v>0</v>
      </c>
      <c r="K379">
        <v>0</v>
      </c>
      <c r="L379" t="s">
        <v>240</v>
      </c>
      <c r="M379" t="s">
        <v>1398</v>
      </c>
      <c r="N379">
        <v>1</v>
      </c>
      <c r="O379" t="s">
        <v>1395</v>
      </c>
      <c r="P379" t="s">
        <v>310</v>
      </c>
      <c r="Q379" t="s">
        <v>310</v>
      </c>
      <c r="R379" t="s">
        <v>310</v>
      </c>
      <c r="S379">
        <v>9</v>
      </c>
      <c r="T379" t="s">
        <v>310</v>
      </c>
      <c r="U379">
        <v>9</v>
      </c>
      <c r="V379">
        <v>9</v>
      </c>
      <c r="W379">
        <v>0</v>
      </c>
      <c r="X379">
        <v>0</v>
      </c>
      <c r="Y379">
        <v>0</v>
      </c>
      <c r="Z379">
        <v>0</v>
      </c>
      <c r="AA379">
        <v>9</v>
      </c>
      <c r="AB379">
        <v>9</v>
      </c>
      <c r="AC379" t="s">
        <v>310</v>
      </c>
      <c r="AD379">
        <v>9</v>
      </c>
      <c r="AE379" t="s">
        <v>1396</v>
      </c>
      <c r="AF379">
        <v>80000000</v>
      </c>
      <c r="AG379" t="s">
        <v>310</v>
      </c>
      <c r="AH379">
        <f>SUM((MID(Dyno_Data[[#This Row],[Team]],4,5))+(Dyno_Data[[#This Row],[Match]]/100))</f>
        <v>639.05999999999995</v>
      </c>
      <c r="AI379" s="76">
        <f>ROUND(SUM(IF(Dyno_Data[[#This Row],[AcqCenter]]&gt;0,Dyno_Data[[#This Row],[Time]]-SUMIFS(Dyno_Data[Time],Dyno_Data[Team],Dyno_Data[[#This Row],[Team]],Dyno_Data[RecordType],"StartMatch",Dyno_Data[Match],Dyno_Data[[#This Row],[Match]]),0)*86400),0)</f>
        <v>0</v>
      </c>
    </row>
    <row r="380" spans="1:35" x14ac:dyDescent="0.3">
      <c r="A380">
        <v>379</v>
      </c>
      <c r="B380" t="s">
        <v>365</v>
      </c>
      <c r="C380">
        <v>6</v>
      </c>
      <c r="D380" s="105">
        <v>45373.4082690625</v>
      </c>
      <c r="E380" t="s">
        <v>312</v>
      </c>
      <c r="F380" t="s">
        <v>1402</v>
      </c>
      <c r="G380">
        <v>0</v>
      </c>
      <c r="H380" t="s">
        <v>315</v>
      </c>
      <c r="I380">
        <v>0</v>
      </c>
      <c r="J380">
        <v>0</v>
      </c>
      <c r="K380">
        <v>0</v>
      </c>
      <c r="L380" t="s">
        <v>241</v>
      </c>
      <c r="M380" t="s">
        <v>1398</v>
      </c>
      <c r="N380">
        <v>0</v>
      </c>
      <c r="O380" t="s">
        <v>311</v>
      </c>
      <c r="P380" t="s">
        <v>310</v>
      </c>
      <c r="Q380" t="s">
        <v>310</v>
      </c>
      <c r="R380" t="s">
        <v>310</v>
      </c>
      <c r="S380">
        <v>9</v>
      </c>
      <c r="T380" t="s">
        <v>310</v>
      </c>
      <c r="U380">
        <v>9</v>
      </c>
      <c r="V380">
        <v>9</v>
      </c>
      <c r="W380">
        <v>0</v>
      </c>
      <c r="X380">
        <v>0</v>
      </c>
      <c r="Y380">
        <v>0</v>
      </c>
      <c r="Z380">
        <v>0</v>
      </c>
      <c r="AA380">
        <v>9</v>
      </c>
      <c r="AB380">
        <v>9</v>
      </c>
      <c r="AC380" t="s">
        <v>310</v>
      </c>
      <c r="AD380">
        <v>9</v>
      </c>
      <c r="AE380" t="s">
        <v>1387</v>
      </c>
      <c r="AF380">
        <v>80000000</v>
      </c>
      <c r="AG380" t="s">
        <v>310</v>
      </c>
      <c r="AH380">
        <f>SUM((MID(Dyno_Data[[#This Row],[Team]],4,5))+(Dyno_Data[[#This Row],[Match]]/100))</f>
        <v>3171.06</v>
      </c>
      <c r="AI380" s="76">
        <f>ROUND(SUM(IF(Dyno_Data[[#This Row],[AcqCenter]]&gt;0,Dyno_Data[[#This Row],[Time]]-SUMIFS(Dyno_Data[Time],Dyno_Data[Team],Dyno_Data[[#This Row],[Team]],Dyno_Data[RecordType],"StartMatch",Dyno_Data[Match],Dyno_Data[[#This Row],[Match]]),0)*86400),0)</f>
        <v>0</v>
      </c>
    </row>
    <row r="381" spans="1:35" x14ac:dyDescent="0.3">
      <c r="A381">
        <v>380</v>
      </c>
      <c r="B381" t="s">
        <v>372</v>
      </c>
      <c r="C381">
        <v>6</v>
      </c>
      <c r="D381" s="105">
        <v>45373.408297187503</v>
      </c>
      <c r="E381" t="s">
        <v>312</v>
      </c>
      <c r="F381" t="s">
        <v>1402</v>
      </c>
      <c r="G381">
        <v>0</v>
      </c>
      <c r="H381" t="s">
        <v>315</v>
      </c>
      <c r="I381">
        <v>0</v>
      </c>
      <c r="J381">
        <v>0</v>
      </c>
      <c r="K381">
        <v>0</v>
      </c>
      <c r="L381" t="s">
        <v>240</v>
      </c>
      <c r="M381" t="s">
        <v>1398</v>
      </c>
      <c r="N381">
        <v>0</v>
      </c>
      <c r="O381" t="s">
        <v>1389</v>
      </c>
      <c r="P381" t="s">
        <v>310</v>
      </c>
      <c r="Q381" t="s">
        <v>310</v>
      </c>
      <c r="R381" t="s">
        <v>310</v>
      </c>
      <c r="S381">
        <v>9</v>
      </c>
      <c r="T381" t="s">
        <v>310</v>
      </c>
      <c r="U381">
        <v>9</v>
      </c>
      <c r="V381">
        <v>9</v>
      </c>
      <c r="W381">
        <v>0</v>
      </c>
      <c r="X381">
        <v>0</v>
      </c>
      <c r="Y381">
        <v>0</v>
      </c>
      <c r="Z381">
        <v>0</v>
      </c>
      <c r="AA381">
        <v>9</v>
      </c>
      <c r="AB381">
        <v>9</v>
      </c>
      <c r="AC381" t="s">
        <v>310</v>
      </c>
      <c r="AD381">
        <v>9</v>
      </c>
      <c r="AE381" t="s">
        <v>1394</v>
      </c>
      <c r="AF381">
        <v>40000000</v>
      </c>
      <c r="AG381" t="s">
        <v>310</v>
      </c>
      <c r="AH381">
        <f>SUM((MID(Dyno_Data[[#This Row],[Team]],4,5))+(Dyno_Data[[#This Row],[Match]]/100))</f>
        <v>7504.06</v>
      </c>
      <c r="AI381" s="76">
        <f>ROUND(SUM(IF(Dyno_Data[[#This Row],[AcqCenter]]&gt;0,Dyno_Data[[#This Row],[Time]]-SUMIFS(Dyno_Data[Time],Dyno_Data[Team],Dyno_Data[[#This Row],[Team]],Dyno_Data[RecordType],"StartMatch",Dyno_Data[Match],Dyno_Data[[#This Row],[Match]]),0)*86400),0)</f>
        <v>0</v>
      </c>
    </row>
    <row r="382" spans="1:35" x14ac:dyDescent="0.3">
      <c r="A382">
        <v>381</v>
      </c>
      <c r="B382" t="s">
        <v>366</v>
      </c>
      <c r="C382">
        <v>6</v>
      </c>
      <c r="D382" s="105">
        <v>45373.408314618056</v>
      </c>
      <c r="E382" t="s">
        <v>312</v>
      </c>
      <c r="F382" t="s">
        <v>1402</v>
      </c>
      <c r="G382">
        <v>0</v>
      </c>
      <c r="H382" t="s">
        <v>315</v>
      </c>
      <c r="I382">
        <v>0</v>
      </c>
      <c r="J382">
        <v>0</v>
      </c>
      <c r="K382">
        <v>0</v>
      </c>
      <c r="L382" t="s">
        <v>240</v>
      </c>
      <c r="M382" t="s">
        <v>1398</v>
      </c>
      <c r="N382">
        <v>0</v>
      </c>
      <c r="O382" t="s">
        <v>319</v>
      </c>
      <c r="P382" t="s">
        <v>310</v>
      </c>
      <c r="Q382" t="s">
        <v>310</v>
      </c>
      <c r="R382" t="s">
        <v>310</v>
      </c>
      <c r="S382">
        <v>9</v>
      </c>
      <c r="T382" t="s">
        <v>310</v>
      </c>
      <c r="U382">
        <v>9</v>
      </c>
      <c r="V382">
        <v>9</v>
      </c>
      <c r="W382">
        <v>0</v>
      </c>
      <c r="X382">
        <v>0</v>
      </c>
      <c r="Y382">
        <v>0</v>
      </c>
      <c r="Z382">
        <v>0</v>
      </c>
      <c r="AA382">
        <v>9</v>
      </c>
      <c r="AB382">
        <v>9</v>
      </c>
      <c r="AC382" t="s">
        <v>310</v>
      </c>
      <c r="AD382">
        <v>9</v>
      </c>
      <c r="AE382" t="s">
        <v>1392</v>
      </c>
      <c r="AF382">
        <v>90000000</v>
      </c>
      <c r="AG382" t="s">
        <v>310</v>
      </c>
      <c r="AH382">
        <f>SUM((MID(Dyno_Data[[#This Row],[Team]],4,5))+(Dyno_Data[[#This Row],[Match]]/100))</f>
        <v>4122.0600000000004</v>
      </c>
      <c r="AI382" s="76">
        <f>ROUND(SUM(IF(Dyno_Data[[#This Row],[AcqCenter]]&gt;0,Dyno_Data[[#This Row],[Time]]-SUMIFS(Dyno_Data[Time],Dyno_Data[Team],Dyno_Data[[#This Row],[Team]],Dyno_Data[RecordType],"StartMatch",Dyno_Data[Match],Dyno_Data[[#This Row],[Match]]),0)*86400),0)</f>
        <v>0</v>
      </c>
    </row>
    <row r="383" spans="1:35" x14ac:dyDescent="0.3">
      <c r="A383">
        <v>382</v>
      </c>
      <c r="B383" t="s">
        <v>365</v>
      </c>
      <c r="C383">
        <v>6</v>
      </c>
      <c r="D383" s="105">
        <v>45373.411270983794</v>
      </c>
      <c r="E383" t="s">
        <v>316</v>
      </c>
      <c r="F383" t="s">
        <v>317</v>
      </c>
      <c r="G383">
        <v>1</v>
      </c>
      <c r="H383" t="s">
        <v>310</v>
      </c>
      <c r="I383">
        <v>0</v>
      </c>
      <c r="J383">
        <v>0</v>
      </c>
      <c r="K383">
        <v>0</v>
      </c>
      <c r="L383" t="s">
        <v>310</v>
      </c>
      <c r="M383" t="s">
        <v>310</v>
      </c>
      <c r="N383">
        <v>0</v>
      </c>
      <c r="O383" t="s">
        <v>311</v>
      </c>
      <c r="P383" t="s">
        <v>240</v>
      </c>
      <c r="Q383" t="s">
        <v>1400</v>
      </c>
      <c r="R383" t="s">
        <v>321</v>
      </c>
      <c r="S383">
        <v>0</v>
      </c>
      <c r="T383" t="s">
        <v>105</v>
      </c>
      <c r="U383">
        <v>9</v>
      </c>
      <c r="V383">
        <v>9</v>
      </c>
      <c r="W383">
        <v>0</v>
      </c>
      <c r="X383">
        <v>16.365496399999998</v>
      </c>
      <c r="Y383">
        <v>15.949997099999999</v>
      </c>
      <c r="Z383">
        <v>104.5050995</v>
      </c>
      <c r="AA383">
        <v>0</v>
      </c>
      <c r="AB383">
        <v>0</v>
      </c>
      <c r="AC383" t="s">
        <v>174</v>
      </c>
      <c r="AD383">
        <v>9</v>
      </c>
      <c r="AE383" t="s">
        <v>1387</v>
      </c>
      <c r="AF383">
        <v>80000000</v>
      </c>
      <c r="AG383" t="s">
        <v>310</v>
      </c>
      <c r="AH383">
        <f>SUM((MID(Dyno_Data[[#This Row],[Team]],4,5))+(Dyno_Data[[#This Row],[Match]]/100))</f>
        <v>3171.06</v>
      </c>
      <c r="AI383" s="76">
        <f>ROUND(SUM(IF(Dyno_Data[[#This Row],[AcqCenter]]&gt;0,Dyno_Data[[#This Row],[Time]]-SUMIFS(Dyno_Data[Time],Dyno_Data[Team],Dyno_Data[[#This Row],[Team]],Dyno_Data[RecordType],"StartMatch",Dyno_Data[Match],Dyno_Data[[#This Row],[Match]]),0)*86400),0)</f>
        <v>0</v>
      </c>
    </row>
    <row r="384" spans="1:35" x14ac:dyDescent="0.3">
      <c r="A384">
        <v>383</v>
      </c>
      <c r="B384" t="s">
        <v>1306</v>
      </c>
      <c r="C384">
        <v>6</v>
      </c>
      <c r="D384" s="105">
        <v>45373.41127109954</v>
      </c>
      <c r="E384" t="s">
        <v>316</v>
      </c>
      <c r="F384" t="s">
        <v>317</v>
      </c>
      <c r="G384">
        <v>1</v>
      </c>
      <c r="H384" t="s">
        <v>310</v>
      </c>
      <c r="I384">
        <v>0</v>
      </c>
      <c r="J384">
        <v>0</v>
      </c>
      <c r="K384">
        <v>0</v>
      </c>
      <c r="L384" t="s">
        <v>310</v>
      </c>
      <c r="M384" t="s">
        <v>310</v>
      </c>
      <c r="N384">
        <v>0</v>
      </c>
      <c r="O384" t="s">
        <v>1391</v>
      </c>
      <c r="P384" t="s">
        <v>320</v>
      </c>
      <c r="Q384" t="s">
        <v>1399</v>
      </c>
      <c r="R384" t="s">
        <v>1405</v>
      </c>
      <c r="S384">
        <v>1</v>
      </c>
      <c r="T384" t="s">
        <v>1406</v>
      </c>
      <c r="U384">
        <v>0</v>
      </c>
      <c r="V384">
        <v>1</v>
      </c>
      <c r="W384">
        <v>8.8138749000000001</v>
      </c>
      <c r="X384">
        <v>47.343564000000001</v>
      </c>
      <c r="Y384">
        <v>45.385948299999995</v>
      </c>
      <c r="Z384">
        <v>27.096287499999999</v>
      </c>
      <c r="AA384">
        <v>0</v>
      </c>
      <c r="AB384">
        <v>2</v>
      </c>
      <c r="AC384" t="s">
        <v>171</v>
      </c>
      <c r="AD384">
        <v>1</v>
      </c>
      <c r="AE384" t="s">
        <v>1388</v>
      </c>
      <c r="AF384">
        <v>110002000</v>
      </c>
      <c r="AG384" t="s">
        <v>310</v>
      </c>
      <c r="AH384">
        <f>SUM((MID(Dyno_Data[[#This Row],[Team]],4,5))+(Dyno_Data[[#This Row],[Match]]/100))</f>
        <v>3986.06</v>
      </c>
      <c r="AI384" s="76">
        <f>ROUND(SUM(IF(Dyno_Data[[#This Row],[AcqCenter]]&gt;0,Dyno_Data[[#This Row],[Time]]-SUMIFS(Dyno_Data[Time],Dyno_Data[Team],Dyno_Data[[#This Row],[Team]],Dyno_Data[RecordType],"StartMatch",Dyno_Data[Match],Dyno_Data[[#This Row],[Match]]),0)*86400),0)</f>
        <v>0</v>
      </c>
    </row>
    <row r="385" spans="1:35" x14ac:dyDescent="0.3">
      <c r="A385">
        <v>384</v>
      </c>
      <c r="B385" t="s">
        <v>366</v>
      </c>
      <c r="C385">
        <v>6</v>
      </c>
      <c r="D385" s="105">
        <v>45373.411271180557</v>
      </c>
      <c r="E385" t="s">
        <v>316</v>
      </c>
      <c r="F385" t="s">
        <v>317</v>
      </c>
      <c r="G385">
        <v>0</v>
      </c>
      <c r="H385" t="s">
        <v>310</v>
      </c>
      <c r="I385">
        <v>0</v>
      </c>
      <c r="J385">
        <v>0</v>
      </c>
      <c r="K385">
        <v>0</v>
      </c>
      <c r="L385" t="s">
        <v>310</v>
      </c>
      <c r="M385" t="s">
        <v>310</v>
      </c>
      <c r="N385">
        <v>0</v>
      </c>
      <c r="O385" t="s">
        <v>319</v>
      </c>
      <c r="P385" t="s">
        <v>101</v>
      </c>
      <c r="Q385" t="s">
        <v>1400</v>
      </c>
      <c r="R385" t="s">
        <v>1404</v>
      </c>
      <c r="S385">
        <v>0</v>
      </c>
      <c r="T385" t="s">
        <v>105</v>
      </c>
      <c r="U385">
        <v>9</v>
      </c>
      <c r="V385">
        <v>9</v>
      </c>
      <c r="W385">
        <v>0</v>
      </c>
      <c r="X385">
        <v>0</v>
      </c>
      <c r="Y385">
        <v>4.1465170999999996</v>
      </c>
      <c r="Z385">
        <v>131.05725999999999</v>
      </c>
      <c r="AA385">
        <v>0</v>
      </c>
      <c r="AB385">
        <v>0</v>
      </c>
      <c r="AC385" t="s">
        <v>173</v>
      </c>
      <c r="AD385">
        <v>9</v>
      </c>
      <c r="AE385" t="s">
        <v>1392</v>
      </c>
      <c r="AF385">
        <v>90000000</v>
      </c>
      <c r="AG385" t="s">
        <v>310</v>
      </c>
      <c r="AH385">
        <f>SUM((MID(Dyno_Data[[#This Row],[Team]],4,5))+(Dyno_Data[[#This Row],[Match]]/100))</f>
        <v>4122.0600000000004</v>
      </c>
      <c r="AI385" s="76">
        <f>ROUND(SUM(IF(Dyno_Data[[#This Row],[AcqCenter]]&gt;0,Dyno_Data[[#This Row],[Time]]-SUMIFS(Dyno_Data[Time],Dyno_Data[Team],Dyno_Data[[#This Row],[Team]],Dyno_Data[RecordType],"StartMatch",Dyno_Data[Match],Dyno_Data[[#This Row],[Match]]),0)*86400),0)</f>
        <v>0</v>
      </c>
    </row>
    <row r="386" spans="1:35" x14ac:dyDescent="0.3">
      <c r="A386">
        <v>385</v>
      </c>
      <c r="B386" t="s">
        <v>1305</v>
      </c>
      <c r="C386">
        <v>6</v>
      </c>
      <c r="D386" s="105">
        <v>45373.411271296296</v>
      </c>
      <c r="E386" t="s">
        <v>316</v>
      </c>
      <c r="F386" t="s">
        <v>317</v>
      </c>
      <c r="G386">
        <v>0</v>
      </c>
      <c r="H386" t="s">
        <v>310</v>
      </c>
      <c r="I386">
        <v>0</v>
      </c>
      <c r="J386">
        <v>0</v>
      </c>
      <c r="K386">
        <v>0</v>
      </c>
      <c r="L386" t="s">
        <v>310</v>
      </c>
      <c r="M386" t="s">
        <v>310</v>
      </c>
      <c r="N386">
        <v>0</v>
      </c>
      <c r="O386" t="s">
        <v>1393</v>
      </c>
      <c r="P386" t="s">
        <v>101</v>
      </c>
      <c r="Q386" t="s">
        <v>1399</v>
      </c>
      <c r="R386" t="s">
        <v>1404</v>
      </c>
      <c r="S386">
        <v>0</v>
      </c>
      <c r="T386" t="s">
        <v>105</v>
      </c>
      <c r="U386">
        <v>9</v>
      </c>
      <c r="V386">
        <v>9</v>
      </c>
      <c r="W386">
        <v>0</v>
      </c>
      <c r="X386">
        <v>40.801869499999995</v>
      </c>
      <c r="Y386">
        <v>42.395441599999998</v>
      </c>
      <c r="Z386">
        <v>50.955419899999995</v>
      </c>
      <c r="AA386">
        <v>0</v>
      </c>
      <c r="AB386">
        <v>0</v>
      </c>
      <c r="AC386" t="s">
        <v>174</v>
      </c>
      <c r="AD386">
        <v>0</v>
      </c>
      <c r="AE386" t="s">
        <v>1390</v>
      </c>
      <c r="AF386">
        <v>130000000</v>
      </c>
      <c r="AG386" t="s">
        <v>310</v>
      </c>
      <c r="AH386">
        <f>SUM((MID(Dyno_Data[[#This Row],[Team]],4,5))+(Dyno_Data[[#This Row],[Match]]/100))</f>
        <v>3173.06</v>
      </c>
      <c r="AI386" s="76">
        <f>ROUND(SUM(IF(Dyno_Data[[#This Row],[AcqCenter]]&gt;0,Dyno_Data[[#This Row],[Time]]-SUMIFS(Dyno_Data[Time],Dyno_Data[Team],Dyno_Data[[#This Row],[Team]],Dyno_Data[RecordType],"StartMatch",Dyno_Data[Match],Dyno_Data[[#This Row],[Match]]),0)*86400),0)</f>
        <v>0</v>
      </c>
    </row>
    <row r="387" spans="1:35" x14ac:dyDescent="0.3">
      <c r="A387">
        <v>386</v>
      </c>
      <c r="B387" t="s">
        <v>372</v>
      </c>
      <c r="C387">
        <v>6</v>
      </c>
      <c r="D387" s="105">
        <v>45373.411271377314</v>
      </c>
      <c r="E387" t="s">
        <v>316</v>
      </c>
      <c r="F387" t="s">
        <v>317</v>
      </c>
      <c r="G387">
        <v>1</v>
      </c>
      <c r="H387" t="s">
        <v>310</v>
      </c>
      <c r="I387">
        <v>0</v>
      </c>
      <c r="J387">
        <v>0</v>
      </c>
      <c r="K387">
        <v>0</v>
      </c>
      <c r="L387" t="s">
        <v>310</v>
      </c>
      <c r="M387" t="s">
        <v>310</v>
      </c>
      <c r="N387">
        <v>0</v>
      </c>
      <c r="O387" t="s">
        <v>1389</v>
      </c>
      <c r="P387" t="s">
        <v>320</v>
      </c>
      <c r="Q387" t="s">
        <v>1400</v>
      </c>
      <c r="R387" t="s">
        <v>1404</v>
      </c>
      <c r="S387">
        <v>0</v>
      </c>
      <c r="T387" t="s">
        <v>105</v>
      </c>
      <c r="U387">
        <v>9</v>
      </c>
      <c r="V387">
        <v>9</v>
      </c>
      <c r="W387">
        <v>0</v>
      </c>
      <c r="X387">
        <v>28.895088899999998</v>
      </c>
      <c r="Y387">
        <v>31.096642899999999</v>
      </c>
      <c r="Z387">
        <v>75.71201409999999</v>
      </c>
      <c r="AA387">
        <v>0</v>
      </c>
      <c r="AB387">
        <v>0</v>
      </c>
      <c r="AC387" t="s">
        <v>174</v>
      </c>
      <c r="AD387">
        <v>9</v>
      </c>
      <c r="AE387" t="s">
        <v>1394</v>
      </c>
      <c r="AF387">
        <v>40000000</v>
      </c>
      <c r="AG387" t="s">
        <v>310</v>
      </c>
      <c r="AH387">
        <f>SUM((MID(Dyno_Data[[#This Row],[Team]],4,5))+(Dyno_Data[[#This Row],[Match]]/100))</f>
        <v>7504.06</v>
      </c>
      <c r="AI387" s="76">
        <f>ROUND(SUM(IF(Dyno_Data[[#This Row],[AcqCenter]]&gt;0,Dyno_Data[[#This Row],[Time]]-SUMIFS(Dyno_Data[Time],Dyno_Data[Team],Dyno_Data[[#This Row],[Team]],Dyno_Data[RecordType],"StartMatch",Dyno_Data[Match],Dyno_Data[[#This Row],[Match]]),0)*86400),0)</f>
        <v>0</v>
      </c>
    </row>
    <row r="388" spans="1:35" x14ac:dyDescent="0.3">
      <c r="A388">
        <v>387</v>
      </c>
      <c r="B388" t="s">
        <v>318</v>
      </c>
      <c r="C388">
        <v>6</v>
      </c>
      <c r="D388" s="105">
        <v>45373.411271493052</v>
      </c>
      <c r="E388" t="s">
        <v>316</v>
      </c>
      <c r="F388" t="s">
        <v>317</v>
      </c>
      <c r="G388">
        <v>0</v>
      </c>
      <c r="H388" t="s">
        <v>310</v>
      </c>
      <c r="I388">
        <v>0</v>
      </c>
      <c r="J388">
        <v>0</v>
      </c>
      <c r="K388">
        <v>0</v>
      </c>
      <c r="L388" t="s">
        <v>310</v>
      </c>
      <c r="M388" t="s">
        <v>310</v>
      </c>
      <c r="N388">
        <v>0</v>
      </c>
      <c r="O388" t="s">
        <v>1395</v>
      </c>
      <c r="P388" t="s">
        <v>320</v>
      </c>
      <c r="Q388" t="s">
        <v>1400</v>
      </c>
      <c r="R388" t="s">
        <v>1404</v>
      </c>
      <c r="S388">
        <v>0</v>
      </c>
      <c r="T388" t="s">
        <v>105</v>
      </c>
      <c r="U388">
        <v>9</v>
      </c>
      <c r="V388">
        <v>9</v>
      </c>
      <c r="W388">
        <v>0</v>
      </c>
      <c r="X388">
        <v>29.2322469</v>
      </c>
      <c r="Y388">
        <v>19.102001599999998</v>
      </c>
      <c r="Z388">
        <v>87.303512900000001</v>
      </c>
      <c r="AA388">
        <v>0</v>
      </c>
      <c r="AB388">
        <v>1</v>
      </c>
      <c r="AC388" t="s">
        <v>174</v>
      </c>
      <c r="AD388">
        <v>9</v>
      </c>
      <c r="AE388" t="s">
        <v>1396</v>
      </c>
      <c r="AF388">
        <v>80000000</v>
      </c>
      <c r="AG388" t="s">
        <v>310</v>
      </c>
      <c r="AH388">
        <f>SUM((MID(Dyno_Data[[#This Row],[Team]],4,5))+(Dyno_Data[[#This Row],[Match]]/100))</f>
        <v>639.05999999999995</v>
      </c>
      <c r="AI388" s="76">
        <f>ROUND(SUM(IF(Dyno_Data[[#This Row],[AcqCenter]]&gt;0,Dyno_Data[[#This Row],[Time]]-SUMIFS(Dyno_Data[Time],Dyno_Data[Team],Dyno_Data[[#This Row],[Team]],Dyno_Data[RecordType],"StartMatch",Dyno_Data[Match],Dyno_Data[[#This Row],[Match]]),0)*86400),0)</f>
        <v>0</v>
      </c>
    </row>
    <row r="389" spans="1:35" x14ac:dyDescent="0.3">
      <c r="A389">
        <v>397</v>
      </c>
      <c r="B389" t="s">
        <v>1310</v>
      </c>
      <c r="C389">
        <v>7</v>
      </c>
      <c r="D389" s="105">
        <v>45373.413024386573</v>
      </c>
      <c r="E389" t="s">
        <v>308</v>
      </c>
      <c r="F389" t="s">
        <v>309</v>
      </c>
      <c r="G389">
        <v>0</v>
      </c>
      <c r="H389" t="s">
        <v>310</v>
      </c>
      <c r="I389">
        <v>0</v>
      </c>
      <c r="J389">
        <v>0</v>
      </c>
      <c r="K389">
        <v>0</v>
      </c>
      <c r="L389" t="s">
        <v>310</v>
      </c>
      <c r="M389" t="s">
        <v>310</v>
      </c>
      <c r="N389">
        <v>0</v>
      </c>
      <c r="O389" t="s">
        <v>311</v>
      </c>
      <c r="P389" t="s">
        <v>310</v>
      </c>
      <c r="Q389" t="s">
        <v>310</v>
      </c>
      <c r="R389" t="s">
        <v>310</v>
      </c>
      <c r="S389">
        <v>9</v>
      </c>
      <c r="T389" t="s">
        <v>310</v>
      </c>
      <c r="U389">
        <v>9</v>
      </c>
      <c r="V389">
        <v>9</v>
      </c>
      <c r="W389">
        <v>0</v>
      </c>
      <c r="X389">
        <v>0</v>
      </c>
      <c r="Y389">
        <v>0</v>
      </c>
      <c r="Z389">
        <v>0</v>
      </c>
      <c r="AA389">
        <v>9</v>
      </c>
      <c r="AB389">
        <v>9</v>
      </c>
      <c r="AC389" t="s">
        <v>310</v>
      </c>
      <c r="AD389">
        <v>9</v>
      </c>
      <c r="AE389" t="s">
        <v>1387</v>
      </c>
      <c r="AF389">
        <v>0</v>
      </c>
      <c r="AG389" t="s">
        <v>310</v>
      </c>
      <c r="AH389">
        <f>SUM((MID(Dyno_Data[[#This Row],[Team]],4,5))+(Dyno_Data[[#This Row],[Match]]/100))</f>
        <v>6621.07</v>
      </c>
      <c r="AI389" s="76">
        <f>ROUND(SUM(IF(Dyno_Data[[#This Row],[AcqCenter]]&gt;0,Dyno_Data[[#This Row],[Time]]-SUMIFS(Dyno_Data[Time],Dyno_Data[Team],Dyno_Data[[#This Row],[Team]],Dyno_Data[RecordType],"StartMatch",Dyno_Data[Match],Dyno_Data[[#This Row],[Match]]),0)*86400),0)</f>
        <v>0</v>
      </c>
    </row>
    <row r="390" spans="1:35" x14ac:dyDescent="0.3">
      <c r="A390">
        <v>399</v>
      </c>
      <c r="B390" t="s">
        <v>1312</v>
      </c>
      <c r="C390">
        <v>7</v>
      </c>
      <c r="D390" s="105">
        <v>45373.413025081019</v>
      </c>
      <c r="E390" t="s">
        <v>308</v>
      </c>
      <c r="F390" t="s">
        <v>309</v>
      </c>
      <c r="G390">
        <v>0</v>
      </c>
      <c r="H390" t="s">
        <v>310</v>
      </c>
      <c r="I390">
        <v>0</v>
      </c>
      <c r="J390">
        <v>0</v>
      </c>
      <c r="K390">
        <v>0</v>
      </c>
      <c r="L390" t="s">
        <v>310</v>
      </c>
      <c r="M390" t="s">
        <v>310</v>
      </c>
      <c r="N390">
        <v>0</v>
      </c>
      <c r="O390" t="s">
        <v>319</v>
      </c>
      <c r="P390" t="s">
        <v>310</v>
      </c>
      <c r="Q390" t="s">
        <v>310</v>
      </c>
      <c r="R390" t="s">
        <v>310</v>
      </c>
      <c r="S390">
        <v>9</v>
      </c>
      <c r="T390" t="s">
        <v>310</v>
      </c>
      <c r="U390">
        <v>9</v>
      </c>
      <c r="V390">
        <v>9</v>
      </c>
      <c r="W390">
        <v>0</v>
      </c>
      <c r="X390">
        <v>0</v>
      </c>
      <c r="Y390">
        <v>0</v>
      </c>
      <c r="Z390">
        <v>0</v>
      </c>
      <c r="AA390">
        <v>9</v>
      </c>
      <c r="AB390">
        <v>9</v>
      </c>
      <c r="AC390" t="s">
        <v>310</v>
      </c>
      <c r="AD390">
        <v>9</v>
      </c>
      <c r="AE390" t="s">
        <v>1388</v>
      </c>
      <c r="AF390">
        <v>0</v>
      </c>
      <c r="AG390" t="s">
        <v>310</v>
      </c>
      <c r="AH390">
        <f>SUM((MID(Dyno_Data[[#This Row],[Team]],4,5))+(Dyno_Data[[#This Row],[Match]]/100))</f>
        <v>2053.0700000000002</v>
      </c>
      <c r="AI390" s="76">
        <f>ROUND(SUM(IF(Dyno_Data[[#This Row],[AcqCenter]]&gt;0,Dyno_Data[[#This Row],[Time]]-SUMIFS(Dyno_Data[Time],Dyno_Data[Team],Dyno_Data[[#This Row],[Team]],Dyno_Data[RecordType],"StartMatch",Dyno_Data[Match],Dyno_Data[[#This Row],[Match]]),0)*86400),0)</f>
        <v>0</v>
      </c>
    </row>
    <row r="391" spans="1:35" x14ac:dyDescent="0.3">
      <c r="A391">
        <v>401</v>
      </c>
      <c r="B391" t="s">
        <v>1309</v>
      </c>
      <c r="C391">
        <v>7</v>
      </c>
      <c r="D391" s="105">
        <v>45373.413025810187</v>
      </c>
      <c r="E391" t="s">
        <v>308</v>
      </c>
      <c r="F391" t="s">
        <v>309</v>
      </c>
      <c r="G391">
        <v>0</v>
      </c>
      <c r="H391" t="s">
        <v>310</v>
      </c>
      <c r="I391">
        <v>0</v>
      </c>
      <c r="J391">
        <v>0</v>
      </c>
      <c r="K391">
        <v>0</v>
      </c>
      <c r="L391" t="s">
        <v>310</v>
      </c>
      <c r="M391" t="s">
        <v>310</v>
      </c>
      <c r="N391">
        <v>0</v>
      </c>
      <c r="O391" t="s">
        <v>1389</v>
      </c>
      <c r="P391" t="s">
        <v>310</v>
      </c>
      <c r="Q391" t="s">
        <v>310</v>
      </c>
      <c r="R391" t="s">
        <v>310</v>
      </c>
      <c r="S391">
        <v>9</v>
      </c>
      <c r="T391" t="s">
        <v>310</v>
      </c>
      <c r="U391">
        <v>9</v>
      </c>
      <c r="V391">
        <v>9</v>
      </c>
      <c r="W391">
        <v>0</v>
      </c>
      <c r="X391">
        <v>0</v>
      </c>
      <c r="Y391">
        <v>0</v>
      </c>
      <c r="Z391">
        <v>0</v>
      </c>
      <c r="AA391">
        <v>9</v>
      </c>
      <c r="AB391">
        <v>9</v>
      </c>
      <c r="AC391" t="s">
        <v>310</v>
      </c>
      <c r="AD391">
        <v>9</v>
      </c>
      <c r="AE391" t="s">
        <v>1392</v>
      </c>
      <c r="AF391">
        <v>10000000</v>
      </c>
      <c r="AG391" t="s">
        <v>310</v>
      </c>
      <c r="AH391">
        <f>SUM((MID(Dyno_Data[[#This Row],[Team]],4,5))+(Dyno_Data[[#This Row],[Match]]/100))</f>
        <v>3550.07</v>
      </c>
      <c r="AI391" s="76">
        <f>ROUND(SUM(IF(Dyno_Data[[#This Row],[AcqCenter]]&gt;0,Dyno_Data[[#This Row],[Time]]-SUMIFS(Dyno_Data[Time],Dyno_Data[Team],Dyno_Data[[#This Row],[Team]],Dyno_Data[RecordType],"StartMatch",Dyno_Data[Match],Dyno_Data[[#This Row],[Match]]),0)*86400),0)</f>
        <v>0</v>
      </c>
    </row>
    <row r="392" spans="1:35" x14ac:dyDescent="0.3">
      <c r="A392">
        <v>403</v>
      </c>
      <c r="B392" t="s">
        <v>1311</v>
      </c>
      <c r="C392">
        <v>7</v>
      </c>
      <c r="D392" s="105">
        <v>45373.413030868054</v>
      </c>
      <c r="E392" t="s">
        <v>308</v>
      </c>
      <c r="F392" t="s">
        <v>309</v>
      </c>
      <c r="G392">
        <v>0</v>
      </c>
      <c r="H392" t="s">
        <v>310</v>
      </c>
      <c r="I392">
        <v>0</v>
      </c>
      <c r="J392">
        <v>0</v>
      </c>
      <c r="K392">
        <v>0</v>
      </c>
      <c r="L392" t="s">
        <v>310</v>
      </c>
      <c r="M392" t="s">
        <v>310</v>
      </c>
      <c r="N392">
        <v>0</v>
      </c>
      <c r="O392" t="s">
        <v>1391</v>
      </c>
      <c r="P392" t="s">
        <v>310</v>
      </c>
      <c r="Q392" t="s">
        <v>310</v>
      </c>
      <c r="R392" t="s">
        <v>310</v>
      </c>
      <c r="S392">
        <v>9</v>
      </c>
      <c r="T392" t="s">
        <v>310</v>
      </c>
      <c r="U392">
        <v>9</v>
      </c>
      <c r="V392">
        <v>9</v>
      </c>
      <c r="W392">
        <v>0</v>
      </c>
      <c r="X392">
        <v>0</v>
      </c>
      <c r="Y392">
        <v>0</v>
      </c>
      <c r="Z392">
        <v>0</v>
      </c>
      <c r="AA392">
        <v>9</v>
      </c>
      <c r="AB392">
        <v>9</v>
      </c>
      <c r="AC392" t="s">
        <v>310</v>
      </c>
      <c r="AD392">
        <v>9</v>
      </c>
      <c r="AE392" t="s">
        <v>1390</v>
      </c>
      <c r="AF392">
        <v>0</v>
      </c>
      <c r="AG392" t="s">
        <v>310</v>
      </c>
      <c r="AH392">
        <f>SUM((MID(Dyno_Data[[#This Row],[Team]],4,5))+(Dyno_Data[[#This Row],[Match]]/100))</f>
        <v>2234.0700000000002</v>
      </c>
      <c r="AI392" s="76">
        <f>ROUND(SUM(IF(Dyno_Data[[#This Row],[AcqCenter]]&gt;0,Dyno_Data[[#This Row],[Time]]-SUMIFS(Dyno_Data[Time],Dyno_Data[Team],Dyno_Data[[#This Row],[Team]],Dyno_Data[RecordType],"StartMatch",Dyno_Data[Match],Dyno_Data[[#This Row],[Match]]),0)*86400),0)</f>
        <v>0</v>
      </c>
    </row>
    <row r="393" spans="1:35" x14ac:dyDescent="0.3">
      <c r="A393">
        <v>405</v>
      </c>
      <c r="B393" t="s">
        <v>1308</v>
      </c>
      <c r="C393">
        <v>7</v>
      </c>
      <c r="D393" s="105">
        <v>45373.413031053242</v>
      </c>
      <c r="E393" t="s">
        <v>308</v>
      </c>
      <c r="F393" t="s">
        <v>309</v>
      </c>
      <c r="G393">
        <v>0</v>
      </c>
      <c r="H393" t="s">
        <v>310</v>
      </c>
      <c r="I393">
        <v>0</v>
      </c>
      <c r="J393">
        <v>0</v>
      </c>
      <c r="K393">
        <v>0</v>
      </c>
      <c r="L393" t="s">
        <v>310</v>
      </c>
      <c r="M393" t="s">
        <v>310</v>
      </c>
      <c r="N393">
        <v>0</v>
      </c>
      <c r="O393" t="s">
        <v>1393</v>
      </c>
      <c r="P393" t="s">
        <v>310</v>
      </c>
      <c r="Q393" t="s">
        <v>310</v>
      </c>
      <c r="R393" t="s">
        <v>310</v>
      </c>
      <c r="S393">
        <v>9</v>
      </c>
      <c r="T393" t="s">
        <v>310</v>
      </c>
      <c r="U393">
        <v>9</v>
      </c>
      <c r="V393">
        <v>9</v>
      </c>
      <c r="W393">
        <v>0</v>
      </c>
      <c r="X393">
        <v>0</v>
      </c>
      <c r="Y393">
        <v>0</v>
      </c>
      <c r="Z393">
        <v>0</v>
      </c>
      <c r="AA393">
        <v>9</v>
      </c>
      <c r="AB393">
        <v>9</v>
      </c>
      <c r="AC393" t="s">
        <v>310</v>
      </c>
      <c r="AD393">
        <v>9</v>
      </c>
      <c r="AE393" t="s">
        <v>1394</v>
      </c>
      <c r="AF393">
        <v>10000000</v>
      </c>
      <c r="AG393" t="s">
        <v>310</v>
      </c>
      <c r="AH393">
        <f>SUM((MID(Dyno_Data[[#This Row],[Team]],4,5))+(Dyno_Data[[#This Row],[Match]]/100))</f>
        <v>3799.07</v>
      </c>
      <c r="AI393" s="76">
        <f>ROUND(SUM(IF(Dyno_Data[[#This Row],[AcqCenter]]&gt;0,Dyno_Data[[#This Row],[Time]]-SUMIFS(Dyno_Data[Time],Dyno_Data[Team],Dyno_Data[[#This Row],[Team]],Dyno_Data[RecordType],"StartMatch",Dyno_Data[Match],Dyno_Data[[#This Row],[Match]]),0)*86400),0)</f>
        <v>0</v>
      </c>
    </row>
    <row r="394" spans="1:35" x14ac:dyDescent="0.3">
      <c r="A394">
        <v>388</v>
      </c>
      <c r="B394" t="s">
        <v>1308</v>
      </c>
      <c r="C394">
        <v>7</v>
      </c>
      <c r="D394" s="105">
        <v>45373.413045868052</v>
      </c>
      <c r="E394" t="s">
        <v>312</v>
      </c>
      <c r="F394" t="s">
        <v>309</v>
      </c>
      <c r="G394">
        <v>0</v>
      </c>
      <c r="H394" t="s">
        <v>1397</v>
      </c>
      <c r="I394">
        <v>0</v>
      </c>
      <c r="J394">
        <v>0</v>
      </c>
      <c r="K394">
        <v>0</v>
      </c>
      <c r="L394" t="s">
        <v>240</v>
      </c>
      <c r="M394" t="s">
        <v>1398</v>
      </c>
      <c r="N394">
        <v>0</v>
      </c>
      <c r="O394" t="s">
        <v>1393</v>
      </c>
      <c r="P394" t="s">
        <v>310</v>
      </c>
      <c r="Q394" t="s">
        <v>310</v>
      </c>
      <c r="R394" t="s">
        <v>310</v>
      </c>
      <c r="S394">
        <v>9</v>
      </c>
      <c r="T394" t="s">
        <v>310</v>
      </c>
      <c r="U394">
        <v>9</v>
      </c>
      <c r="V394">
        <v>9</v>
      </c>
      <c r="W394">
        <v>0</v>
      </c>
      <c r="X394">
        <v>0</v>
      </c>
      <c r="Y394">
        <v>0</v>
      </c>
      <c r="Z394">
        <v>0</v>
      </c>
      <c r="AA394">
        <v>9</v>
      </c>
      <c r="AB394">
        <v>9</v>
      </c>
      <c r="AC394" t="s">
        <v>310</v>
      </c>
      <c r="AD394">
        <v>9</v>
      </c>
      <c r="AE394" t="s">
        <v>1394</v>
      </c>
      <c r="AF394">
        <v>0</v>
      </c>
      <c r="AG394" t="s">
        <v>310</v>
      </c>
      <c r="AH394">
        <f>SUM((MID(Dyno_Data[[#This Row],[Team]],4,5))+(Dyno_Data[[#This Row],[Match]]/100))</f>
        <v>3799.07</v>
      </c>
      <c r="AI394" s="76">
        <f>ROUND(SUM(IF(Dyno_Data[[#This Row],[AcqCenter]]&gt;0,Dyno_Data[[#This Row],[Time]]-SUMIFS(Dyno_Data[Time],Dyno_Data[Team],Dyno_Data[[#This Row],[Team]],Dyno_Data[RecordType],"StartMatch",Dyno_Data[Match],Dyno_Data[[#This Row],[Match]]),0)*86400),0)</f>
        <v>0</v>
      </c>
    </row>
    <row r="395" spans="1:35" x14ac:dyDescent="0.3">
      <c r="A395">
        <v>408</v>
      </c>
      <c r="B395" t="s">
        <v>364</v>
      </c>
      <c r="C395">
        <v>7</v>
      </c>
      <c r="D395" s="105">
        <v>45373.413048923612</v>
      </c>
      <c r="E395" t="s">
        <v>308</v>
      </c>
      <c r="F395" t="s">
        <v>309</v>
      </c>
      <c r="G395">
        <v>0</v>
      </c>
      <c r="H395" t="s">
        <v>310</v>
      </c>
      <c r="I395">
        <v>0</v>
      </c>
      <c r="J395">
        <v>0</v>
      </c>
      <c r="K395">
        <v>0</v>
      </c>
      <c r="L395" t="s">
        <v>310</v>
      </c>
      <c r="M395" t="s">
        <v>310</v>
      </c>
      <c r="N395">
        <v>0</v>
      </c>
      <c r="O395" t="s">
        <v>1395</v>
      </c>
      <c r="P395" t="s">
        <v>310</v>
      </c>
      <c r="Q395" t="s">
        <v>310</v>
      </c>
      <c r="R395" t="s">
        <v>310</v>
      </c>
      <c r="S395">
        <v>9</v>
      </c>
      <c r="T395" t="s">
        <v>310</v>
      </c>
      <c r="U395">
        <v>9</v>
      </c>
      <c r="V395">
        <v>9</v>
      </c>
      <c r="W395">
        <v>0</v>
      </c>
      <c r="X395">
        <v>0</v>
      </c>
      <c r="Y395">
        <v>0</v>
      </c>
      <c r="Z395">
        <v>0</v>
      </c>
      <c r="AA395">
        <v>9</v>
      </c>
      <c r="AB395">
        <v>9</v>
      </c>
      <c r="AC395" t="s">
        <v>310</v>
      </c>
      <c r="AD395">
        <v>9</v>
      </c>
      <c r="AE395" t="s">
        <v>1396</v>
      </c>
      <c r="AF395">
        <v>10001000</v>
      </c>
      <c r="AG395" t="s">
        <v>310</v>
      </c>
      <c r="AH395">
        <f>SUM((MID(Dyno_Data[[#This Row],[Team]],4,5))+(Dyno_Data[[#This Row],[Match]]/100))</f>
        <v>2791.07</v>
      </c>
      <c r="AI395" s="76">
        <f>ROUND(SUM(IF(Dyno_Data[[#This Row],[AcqCenter]]&gt;0,Dyno_Data[[#This Row],[Time]]-SUMIFS(Dyno_Data[Time],Dyno_Data[Team],Dyno_Data[[#This Row],[Team]],Dyno_Data[RecordType],"StartMatch",Dyno_Data[Match],Dyno_Data[[#This Row],[Match]]),0)*86400),0)</f>
        <v>0</v>
      </c>
    </row>
    <row r="396" spans="1:35" x14ac:dyDescent="0.3">
      <c r="A396">
        <v>389</v>
      </c>
      <c r="B396" t="s">
        <v>1309</v>
      </c>
      <c r="C396">
        <v>7</v>
      </c>
      <c r="D396" s="105">
        <v>45373.413054629629</v>
      </c>
      <c r="E396" t="s">
        <v>312</v>
      </c>
      <c r="F396" t="s">
        <v>309</v>
      </c>
      <c r="G396">
        <v>0</v>
      </c>
      <c r="H396" t="s">
        <v>1397</v>
      </c>
      <c r="I396">
        <v>0</v>
      </c>
      <c r="J396">
        <v>0</v>
      </c>
      <c r="K396">
        <v>0</v>
      </c>
      <c r="L396" t="s">
        <v>240</v>
      </c>
      <c r="M396" t="s">
        <v>1398</v>
      </c>
      <c r="N396">
        <v>1</v>
      </c>
      <c r="O396" t="s">
        <v>1389</v>
      </c>
      <c r="P396" t="s">
        <v>310</v>
      </c>
      <c r="Q396" t="s">
        <v>310</v>
      </c>
      <c r="R396" t="s">
        <v>310</v>
      </c>
      <c r="S396">
        <v>9</v>
      </c>
      <c r="T396" t="s">
        <v>310</v>
      </c>
      <c r="U396">
        <v>9</v>
      </c>
      <c r="V396">
        <v>9</v>
      </c>
      <c r="W396">
        <v>0</v>
      </c>
      <c r="X396">
        <v>0</v>
      </c>
      <c r="Y396">
        <v>0</v>
      </c>
      <c r="Z396">
        <v>0</v>
      </c>
      <c r="AA396">
        <v>9</v>
      </c>
      <c r="AB396">
        <v>9</v>
      </c>
      <c r="AC396" t="s">
        <v>310</v>
      </c>
      <c r="AD396">
        <v>9</v>
      </c>
      <c r="AE396" t="s">
        <v>1392</v>
      </c>
      <c r="AF396">
        <v>0</v>
      </c>
      <c r="AG396" t="s">
        <v>310</v>
      </c>
      <c r="AH396">
        <f>SUM((MID(Dyno_Data[[#This Row],[Team]],4,5))+(Dyno_Data[[#This Row],[Match]]/100))</f>
        <v>3550.07</v>
      </c>
      <c r="AI396" s="76">
        <f>ROUND(SUM(IF(Dyno_Data[[#This Row],[AcqCenter]]&gt;0,Dyno_Data[[#This Row],[Time]]-SUMIFS(Dyno_Data[Time],Dyno_Data[Team],Dyno_Data[[#This Row],[Team]],Dyno_Data[RecordType],"StartMatch",Dyno_Data[Match],Dyno_Data[[#This Row],[Match]]),0)*86400),0)</f>
        <v>0</v>
      </c>
    </row>
    <row r="397" spans="1:35" x14ac:dyDescent="0.3">
      <c r="A397">
        <v>390</v>
      </c>
      <c r="B397" t="s">
        <v>364</v>
      </c>
      <c r="C397">
        <v>7</v>
      </c>
      <c r="D397" s="105">
        <v>45373.413069710645</v>
      </c>
      <c r="E397" t="s">
        <v>312</v>
      </c>
      <c r="F397" t="s">
        <v>309</v>
      </c>
      <c r="G397">
        <v>0</v>
      </c>
      <c r="H397" t="s">
        <v>1397</v>
      </c>
      <c r="I397">
        <v>0</v>
      </c>
      <c r="J397">
        <v>0</v>
      </c>
      <c r="K397">
        <v>0</v>
      </c>
      <c r="L397" t="s">
        <v>240</v>
      </c>
      <c r="M397" t="s">
        <v>1398</v>
      </c>
      <c r="N397">
        <v>0</v>
      </c>
      <c r="O397" t="s">
        <v>1395</v>
      </c>
      <c r="P397" t="s">
        <v>310</v>
      </c>
      <c r="Q397" t="s">
        <v>310</v>
      </c>
      <c r="R397" t="s">
        <v>310</v>
      </c>
      <c r="S397">
        <v>9</v>
      </c>
      <c r="T397" t="s">
        <v>310</v>
      </c>
      <c r="U397">
        <v>9</v>
      </c>
      <c r="V397">
        <v>9</v>
      </c>
      <c r="W397">
        <v>0</v>
      </c>
      <c r="X397">
        <v>0</v>
      </c>
      <c r="Y397">
        <v>0</v>
      </c>
      <c r="Z397">
        <v>0</v>
      </c>
      <c r="AA397">
        <v>9</v>
      </c>
      <c r="AB397">
        <v>9</v>
      </c>
      <c r="AC397" t="s">
        <v>310</v>
      </c>
      <c r="AD397">
        <v>9</v>
      </c>
      <c r="AE397" t="s">
        <v>1396</v>
      </c>
      <c r="AF397">
        <v>0</v>
      </c>
      <c r="AG397" t="s">
        <v>310</v>
      </c>
      <c r="AH397">
        <f>SUM((MID(Dyno_Data[[#This Row],[Team]],4,5))+(Dyno_Data[[#This Row],[Match]]/100))</f>
        <v>2791.07</v>
      </c>
      <c r="AI397" s="76">
        <f>ROUND(SUM(IF(Dyno_Data[[#This Row],[AcqCenter]]&gt;0,Dyno_Data[[#This Row],[Time]]-SUMIFS(Dyno_Data[Time],Dyno_Data[Team],Dyno_Data[[#This Row],[Team]],Dyno_Data[RecordType],"StartMatch",Dyno_Data[Match],Dyno_Data[[#This Row],[Match]]),0)*86400),0)</f>
        <v>0</v>
      </c>
    </row>
    <row r="398" spans="1:35" x14ac:dyDescent="0.3">
      <c r="A398">
        <v>391</v>
      </c>
      <c r="B398" t="s">
        <v>1312</v>
      </c>
      <c r="C398">
        <v>7</v>
      </c>
      <c r="D398" s="105">
        <v>45373.413079131948</v>
      </c>
      <c r="E398" t="s">
        <v>1403</v>
      </c>
      <c r="F398" t="s">
        <v>309</v>
      </c>
      <c r="G398">
        <v>0</v>
      </c>
      <c r="H398" t="s">
        <v>310</v>
      </c>
      <c r="I398">
        <v>0</v>
      </c>
      <c r="J398">
        <v>0</v>
      </c>
      <c r="K398">
        <v>0</v>
      </c>
      <c r="L398" t="s">
        <v>310</v>
      </c>
      <c r="M398" t="s">
        <v>310</v>
      </c>
      <c r="N398">
        <v>0</v>
      </c>
      <c r="O398" t="s">
        <v>319</v>
      </c>
      <c r="P398" t="s">
        <v>310</v>
      </c>
      <c r="Q398" t="s">
        <v>310</v>
      </c>
      <c r="R398" t="s">
        <v>310</v>
      </c>
      <c r="S398">
        <v>9</v>
      </c>
      <c r="T398" t="s">
        <v>310</v>
      </c>
      <c r="U398">
        <v>9</v>
      </c>
      <c r="V398">
        <v>9</v>
      </c>
      <c r="W398">
        <v>0</v>
      </c>
      <c r="X398">
        <v>0</v>
      </c>
      <c r="Y398">
        <v>0</v>
      </c>
      <c r="Z398">
        <v>0</v>
      </c>
      <c r="AA398">
        <v>9</v>
      </c>
      <c r="AB398">
        <v>9</v>
      </c>
      <c r="AC398" t="s">
        <v>310</v>
      </c>
      <c r="AD398">
        <v>9</v>
      </c>
      <c r="AE398" t="s">
        <v>1388</v>
      </c>
      <c r="AF398">
        <v>0</v>
      </c>
      <c r="AG398" t="s">
        <v>248</v>
      </c>
      <c r="AH398">
        <f>SUM((MID(Dyno_Data[[#This Row],[Team]],4,5))+(Dyno_Data[[#This Row],[Match]]/100))</f>
        <v>2053.0700000000002</v>
      </c>
      <c r="AI398" s="76">
        <f>ROUND(SUM(IF(Dyno_Data[[#This Row],[AcqCenter]]&gt;0,Dyno_Data[[#This Row],[Time]]-SUMIFS(Dyno_Data[Time],Dyno_Data[Team],Dyno_Data[[#This Row],[Team]],Dyno_Data[RecordType],"StartMatch",Dyno_Data[Match],Dyno_Data[[#This Row],[Match]]),0)*86400),0)</f>
        <v>0</v>
      </c>
    </row>
    <row r="399" spans="1:35" x14ac:dyDescent="0.3">
      <c r="A399">
        <v>392</v>
      </c>
      <c r="B399" t="s">
        <v>1308</v>
      </c>
      <c r="C399">
        <v>7</v>
      </c>
      <c r="D399" s="105">
        <v>45373.413097997684</v>
      </c>
      <c r="E399" t="s">
        <v>312</v>
      </c>
      <c r="F399" t="s">
        <v>309</v>
      </c>
      <c r="G399">
        <v>0</v>
      </c>
      <c r="H399" t="s">
        <v>315</v>
      </c>
      <c r="I399">
        <v>0</v>
      </c>
      <c r="J399">
        <v>0</v>
      </c>
      <c r="K399">
        <v>0</v>
      </c>
      <c r="L399" t="s">
        <v>240</v>
      </c>
      <c r="M399" t="s">
        <v>1398</v>
      </c>
      <c r="N399">
        <v>0</v>
      </c>
      <c r="O399" t="s">
        <v>1393</v>
      </c>
      <c r="P399" t="s">
        <v>310</v>
      </c>
      <c r="Q399" t="s">
        <v>310</v>
      </c>
      <c r="R399" t="s">
        <v>310</v>
      </c>
      <c r="S399">
        <v>9</v>
      </c>
      <c r="T399" t="s">
        <v>310</v>
      </c>
      <c r="U399">
        <v>9</v>
      </c>
      <c r="V399">
        <v>9</v>
      </c>
      <c r="W399">
        <v>0</v>
      </c>
      <c r="X399">
        <v>0</v>
      </c>
      <c r="Y399">
        <v>0</v>
      </c>
      <c r="Z399">
        <v>0</v>
      </c>
      <c r="AA399">
        <v>9</v>
      </c>
      <c r="AB399">
        <v>9</v>
      </c>
      <c r="AC399" t="s">
        <v>310</v>
      </c>
      <c r="AD399">
        <v>9</v>
      </c>
      <c r="AE399" t="s">
        <v>1394</v>
      </c>
      <c r="AF399">
        <v>10000000</v>
      </c>
      <c r="AG399" t="s">
        <v>310</v>
      </c>
      <c r="AH399">
        <f>SUM((MID(Dyno_Data[[#This Row],[Team]],4,5))+(Dyno_Data[[#This Row],[Match]]/100))</f>
        <v>3799.07</v>
      </c>
      <c r="AI399" s="76">
        <f>ROUND(SUM(IF(Dyno_Data[[#This Row],[AcqCenter]]&gt;0,Dyno_Data[[#This Row],[Time]]-SUMIFS(Dyno_Data[Time],Dyno_Data[Team],Dyno_Data[[#This Row],[Team]],Dyno_Data[RecordType],"StartMatch",Dyno_Data[Match],Dyno_Data[[#This Row],[Match]]),0)*86400),0)</f>
        <v>0</v>
      </c>
    </row>
    <row r="400" spans="1:35" x14ac:dyDescent="0.3">
      <c r="A400">
        <v>393</v>
      </c>
      <c r="B400" t="s">
        <v>1310</v>
      </c>
      <c r="C400">
        <v>7</v>
      </c>
      <c r="D400" s="105">
        <v>45373.413134062503</v>
      </c>
      <c r="E400" t="s">
        <v>312</v>
      </c>
      <c r="F400" t="s">
        <v>309</v>
      </c>
      <c r="G400">
        <v>0</v>
      </c>
      <c r="H400" t="s">
        <v>1397</v>
      </c>
      <c r="I400">
        <v>0</v>
      </c>
      <c r="J400">
        <v>0</v>
      </c>
      <c r="K400">
        <v>0</v>
      </c>
      <c r="L400" t="s">
        <v>241</v>
      </c>
      <c r="M400" t="s">
        <v>1398</v>
      </c>
      <c r="N400">
        <v>0</v>
      </c>
      <c r="O400" t="s">
        <v>311</v>
      </c>
      <c r="P400" t="s">
        <v>310</v>
      </c>
      <c r="Q400" t="s">
        <v>310</v>
      </c>
      <c r="R400" t="s">
        <v>310</v>
      </c>
      <c r="S400">
        <v>9</v>
      </c>
      <c r="T400" t="s">
        <v>310</v>
      </c>
      <c r="U400">
        <v>9</v>
      </c>
      <c r="V400">
        <v>9</v>
      </c>
      <c r="W400">
        <v>0</v>
      </c>
      <c r="X400">
        <v>0</v>
      </c>
      <c r="Y400">
        <v>0</v>
      </c>
      <c r="Z400">
        <v>0</v>
      </c>
      <c r="AA400">
        <v>9</v>
      </c>
      <c r="AB400">
        <v>9</v>
      </c>
      <c r="AC400" t="s">
        <v>310</v>
      </c>
      <c r="AD400">
        <v>9</v>
      </c>
      <c r="AE400" t="s">
        <v>1387</v>
      </c>
      <c r="AF400">
        <v>0</v>
      </c>
      <c r="AG400" t="s">
        <v>310</v>
      </c>
      <c r="AH400">
        <f>SUM((MID(Dyno_Data[[#This Row],[Team]],4,5))+(Dyno_Data[[#This Row],[Match]]/100))</f>
        <v>6621.07</v>
      </c>
      <c r="AI400" s="76">
        <f>ROUND(SUM(IF(Dyno_Data[[#This Row],[AcqCenter]]&gt;0,Dyno_Data[[#This Row],[Time]]-SUMIFS(Dyno_Data[Time],Dyno_Data[Team],Dyno_Data[[#This Row],[Team]],Dyno_Data[RecordType],"StartMatch",Dyno_Data[Match],Dyno_Data[[#This Row],[Match]]),0)*86400),0)</f>
        <v>0</v>
      </c>
    </row>
    <row r="401" spans="1:35" x14ac:dyDescent="0.3">
      <c r="A401">
        <v>394</v>
      </c>
      <c r="B401" t="s">
        <v>1309</v>
      </c>
      <c r="C401">
        <v>7</v>
      </c>
      <c r="D401" s="105">
        <v>45373.413134224538</v>
      </c>
      <c r="E401" t="s">
        <v>312</v>
      </c>
      <c r="F401" t="s">
        <v>309</v>
      </c>
      <c r="G401">
        <v>0</v>
      </c>
      <c r="H401" t="s">
        <v>315</v>
      </c>
      <c r="I401">
        <v>0</v>
      </c>
      <c r="J401">
        <v>0</v>
      </c>
      <c r="K401">
        <v>0</v>
      </c>
      <c r="L401" t="s">
        <v>240</v>
      </c>
      <c r="M401" t="s">
        <v>241</v>
      </c>
      <c r="N401">
        <v>0</v>
      </c>
      <c r="O401" t="s">
        <v>1389</v>
      </c>
      <c r="P401" t="s">
        <v>310</v>
      </c>
      <c r="Q401" t="s">
        <v>310</v>
      </c>
      <c r="R401" t="s">
        <v>310</v>
      </c>
      <c r="S401">
        <v>9</v>
      </c>
      <c r="T401" t="s">
        <v>310</v>
      </c>
      <c r="U401">
        <v>9</v>
      </c>
      <c r="V401">
        <v>9</v>
      </c>
      <c r="W401">
        <v>0</v>
      </c>
      <c r="X401">
        <v>0</v>
      </c>
      <c r="Y401">
        <v>0</v>
      </c>
      <c r="Z401">
        <v>0</v>
      </c>
      <c r="AA401">
        <v>9</v>
      </c>
      <c r="AB401">
        <v>9</v>
      </c>
      <c r="AC401" t="s">
        <v>310</v>
      </c>
      <c r="AD401">
        <v>9</v>
      </c>
      <c r="AE401" t="s">
        <v>1392</v>
      </c>
      <c r="AF401">
        <v>10000000</v>
      </c>
      <c r="AG401" t="s">
        <v>310</v>
      </c>
      <c r="AH401">
        <f>SUM((MID(Dyno_Data[[#This Row],[Team]],4,5))+(Dyno_Data[[#This Row],[Match]]/100))</f>
        <v>3550.07</v>
      </c>
      <c r="AI401" s="76">
        <f>ROUND(SUM(IF(Dyno_Data[[#This Row],[AcqCenter]]&gt;0,Dyno_Data[[#This Row],[Time]]-SUMIFS(Dyno_Data[Time],Dyno_Data[Team],Dyno_Data[[#This Row],[Team]],Dyno_Data[RecordType],"StartMatch",Dyno_Data[Match],Dyno_Data[[#This Row],[Match]]),0)*86400),0)</f>
        <v>0</v>
      </c>
    </row>
    <row r="402" spans="1:35" x14ac:dyDescent="0.3">
      <c r="A402">
        <v>395</v>
      </c>
      <c r="B402" t="s">
        <v>364</v>
      </c>
      <c r="C402">
        <v>7</v>
      </c>
      <c r="D402" s="105">
        <v>45373.413153784721</v>
      </c>
      <c r="E402" t="s">
        <v>312</v>
      </c>
      <c r="F402" t="s">
        <v>309</v>
      </c>
      <c r="G402">
        <v>0</v>
      </c>
      <c r="H402" t="s">
        <v>315</v>
      </c>
      <c r="I402">
        <v>0</v>
      </c>
      <c r="J402">
        <v>0</v>
      </c>
      <c r="K402">
        <v>0</v>
      </c>
      <c r="L402" t="s">
        <v>241</v>
      </c>
      <c r="M402" t="s">
        <v>1398</v>
      </c>
      <c r="N402">
        <v>1</v>
      </c>
      <c r="O402" t="s">
        <v>1395</v>
      </c>
      <c r="P402" t="s">
        <v>310</v>
      </c>
      <c r="Q402" t="s">
        <v>310</v>
      </c>
      <c r="R402" t="s">
        <v>310</v>
      </c>
      <c r="S402">
        <v>9</v>
      </c>
      <c r="T402" t="s">
        <v>310</v>
      </c>
      <c r="U402">
        <v>9</v>
      </c>
      <c r="V402">
        <v>9</v>
      </c>
      <c r="W402">
        <v>0</v>
      </c>
      <c r="X402">
        <v>0</v>
      </c>
      <c r="Y402">
        <v>0</v>
      </c>
      <c r="Z402">
        <v>0</v>
      </c>
      <c r="AA402">
        <v>9</v>
      </c>
      <c r="AB402">
        <v>9</v>
      </c>
      <c r="AC402" t="s">
        <v>310</v>
      </c>
      <c r="AD402">
        <v>9</v>
      </c>
      <c r="AE402" t="s">
        <v>1396</v>
      </c>
      <c r="AF402">
        <v>10000000</v>
      </c>
      <c r="AG402" t="s">
        <v>310</v>
      </c>
      <c r="AH402">
        <f>SUM((MID(Dyno_Data[[#This Row],[Team]],4,5))+(Dyno_Data[[#This Row],[Match]]/100))</f>
        <v>2791.07</v>
      </c>
      <c r="AI402" s="76">
        <f>ROUND(SUM(IF(Dyno_Data[[#This Row],[AcqCenter]]&gt;0,Dyno_Data[[#This Row],[Time]]-SUMIFS(Dyno_Data[Time],Dyno_Data[Team],Dyno_Data[[#This Row],[Team]],Dyno_Data[RecordType],"StartMatch",Dyno_Data[Match],Dyno_Data[[#This Row],[Match]]),0)*86400),0)</f>
        <v>0</v>
      </c>
    </row>
    <row r="403" spans="1:35" x14ac:dyDescent="0.3">
      <c r="A403">
        <v>407</v>
      </c>
      <c r="B403" t="s">
        <v>364</v>
      </c>
      <c r="C403">
        <v>7</v>
      </c>
      <c r="D403" s="105">
        <v>45373.413218981485</v>
      </c>
      <c r="E403" t="s">
        <v>312</v>
      </c>
      <c r="F403" t="s">
        <v>309</v>
      </c>
      <c r="G403">
        <v>0</v>
      </c>
      <c r="H403" t="s">
        <v>143</v>
      </c>
      <c r="I403">
        <v>4</v>
      </c>
      <c r="J403">
        <v>-1</v>
      </c>
      <c r="K403">
        <v>0</v>
      </c>
      <c r="L403" t="s">
        <v>310</v>
      </c>
      <c r="M403" t="s">
        <v>310</v>
      </c>
      <c r="N403">
        <v>0</v>
      </c>
      <c r="O403" t="s">
        <v>1395</v>
      </c>
      <c r="P403" t="s">
        <v>310</v>
      </c>
      <c r="Q403" t="s">
        <v>310</v>
      </c>
      <c r="R403" t="s">
        <v>310</v>
      </c>
      <c r="S403">
        <v>9</v>
      </c>
      <c r="T403" t="s">
        <v>310</v>
      </c>
      <c r="U403">
        <v>9</v>
      </c>
      <c r="V403">
        <v>9</v>
      </c>
      <c r="W403">
        <v>0</v>
      </c>
      <c r="X403">
        <v>0</v>
      </c>
      <c r="Y403">
        <v>0</v>
      </c>
      <c r="Z403">
        <v>0</v>
      </c>
      <c r="AA403">
        <v>9</v>
      </c>
      <c r="AB403">
        <v>9</v>
      </c>
      <c r="AC403" t="s">
        <v>310</v>
      </c>
      <c r="AD403">
        <v>9</v>
      </c>
      <c r="AE403" t="s">
        <v>1396</v>
      </c>
      <c r="AF403">
        <v>10001000</v>
      </c>
      <c r="AG403" t="s">
        <v>310</v>
      </c>
      <c r="AH403">
        <f>SUM((MID(Dyno_Data[[#This Row],[Team]],4,5))+(Dyno_Data[[#This Row],[Match]]/100))</f>
        <v>2791.07</v>
      </c>
      <c r="AI403" s="76">
        <f>ROUND(SUM(IF(Dyno_Data[[#This Row],[AcqCenter]]&gt;0,Dyno_Data[[#This Row],[Time]]-SUMIFS(Dyno_Data[Time],Dyno_Data[Team],Dyno_Data[[#This Row],[Team]],Dyno_Data[RecordType],"StartMatch",Dyno_Data[Match],Dyno_Data[[#This Row],[Match]]),0)*86400),0)</f>
        <v>15</v>
      </c>
    </row>
    <row r="404" spans="1:35" x14ac:dyDescent="0.3">
      <c r="A404">
        <v>396</v>
      </c>
      <c r="B404" t="s">
        <v>1312</v>
      </c>
      <c r="C404">
        <v>7</v>
      </c>
      <c r="D404" s="105">
        <v>45373.413219675924</v>
      </c>
      <c r="E404" t="s">
        <v>312</v>
      </c>
      <c r="F404" t="s">
        <v>309</v>
      </c>
      <c r="G404">
        <v>0</v>
      </c>
      <c r="H404" t="s">
        <v>143</v>
      </c>
      <c r="I404">
        <v>3</v>
      </c>
      <c r="J404">
        <v>-1</v>
      </c>
      <c r="K404">
        <v>0</v>
      </c>
      <c r="L404" t="s">
        <v>310</v>
      </c>
      <c r="M404" t="s">
        <v>310</v>
      </c>
      <c r="N404">
        <v>0</v>
      </c>
      <c r="O404" t="s">
        <v>319</v>
      </c>
      <c r="P404" t="s">
        <v>310</v>
      </c>
      <c r="Q404" t="s">
        <v>310</v>
      </c>
      <c r="R404" t="s">
        <v>310</v>
      </c>
      <c r="S404">
        <v>9</v>
      </c>
      <c r="T404" t="s">
        <v>310</v>
      </c>
      <c r="U404">
        <v>9</v>
      </c>
      <c r="V404">
        <v>9</v>
      </c>
      <c r="W404">
        <v>0</v>
      </c>
      <c r="X404">
        <v>0</v>
      </c>
      <c r="Y404">
        <v>0</v>
      </c>
      <c r="Z404">
        <v>0</v>
      </c>
      <c r="AA404">
        <v>9</v>
      </c>
      <c r="AB404">
        <v>9</v>
      </c>
      <c r="AC404" t="s">
        <v>310</v>
      </c>
      <c r="AD404">
        <v>9</v>
      </c>
      <c r="AE404" t="s">
        <v>1388</v>
      </c>
      <c r="AF404">
        <v>0</v>
      </c>
      <c r="AG404" t="s">
        <v>310</v>
      </c>
      <c r="AH404">
        <f>SUM((MID(Dyno_Data[[#This Row],[Team]],4,5))+(Dyno_Data[[#This Row],[Match]]/100))</f>
        <v>2053.0700000000002</v>
      </c>
      <c r="AI404" s="76">
        <f>ROUND(SUM(IF(Dyno_Data[[#This Row],[AcqCenter]]&gt;0,Dyno_Data[[#This Row],[Time]]-SUMIFS(Dyno_Data[Time],Dyno_Data[Team],Dyno_Data[[#This Row],[Team]],Dyno_Data[RecordType],"StartMatch",Dyno_Data[Match],Dyno_Data[[#This Row],[Match]]),0)*86400),0)</f>
        <v>17</v>
      </c>
    </row>
    <row r="405" spans="1:35" x14ac:dyDescent="0.3">
      <c r="A405">
        <v>398</v>
      </c>
      <c r="B405" t="s">
        <v>1310</v>
      </c>
      <c r="C405">
        <v>7</v>
      </c>
      <c r="D405" s="105">
        <v>45373.413232719904</v>
      </c>
      <c r="E405" t="s">
        <v>314</v>
      </c>
      <c r="F405" t="s">
        <v>309</v>
      </c>
      <c r="G405">
        <v>1</v>
      </c>
      <c r="H405" t="s">
        <v>310</v>
      </c>
      <c r="I405">
        <v>0</v>
      </c>
      <c r="J405">
        <v>0</v>
      </c>
      <c r="K405">
        <v>0</v>
      </c>
      <c r="L405" t="s">
        <v>310</v>
      </c>
      <c r="M405" t="s">
        <v>310</v>
      </c>
      <c r="N405">
        <v>0</v>
      </c>
      <c r="O405" t="s">
        <v>311</v>
      </c>
      <c r="P405" t="s">
        <v>101</v>
      </c>
      <c r="Q405" t="s">
        <v>1399</v>
      </c>
      <c r="R405" t="s">
        <v>310</v>
      </c>
      <c r="S405">
        <v>9</v>
      </c>
      <c r="T405" t="s">
        <v>310</v>
      </c>
      <c r="U405">
        <v>9</v>
      </c>
      <c r="V405">
        <v>9</v>
      </c>
      <c r="W405">
        <v>0</v>
      </c>
      <c r="X405">
        <v>0</v>
      </c>
      <c r="Y405">
        <v>0</v>
      </c>
      <c r="Z405">
        <v>0</v>
      </c>
      <c r="AA405">
        <v>9</v>
      </c>
      <c r="AB405">
        <v>9</v>
      </c>
      <c r="AC405" t="s">
        <v>310</v>
      </c>
      <c r="AD405">
        <v>9</v>
      </c>
      <c r="AE405" t="s">
        <v>1387</v>
      </c>
      <c r="AF405">
        <v>0</v>
      </c>
      <c r="AG405" t="s">
        <v>310</v>
      </c>
      <c r="AH405">
        <f>SUM((MID(Dyno_Data[[#This Row],[Team]],4,5))+(Dyno_Data[[#This Row],[Match]]/100))</f>
        <v>6621.07</v>
      </c>
      <c r="AI405" s="76">
        <f>ROUND(SUM(IF(Dyno_Data[[#This Row],[AcqCenter]]&gt;0,Dyno_Data[[#This Row],[Time]]-SUMIFS(Dyno_Data[Time],Dyno_Data[Team],Dyno_Data[[#This Row],[Team]],Dyno_Data[RecordType],"StartMatch",Dyno_Data[Match],Dyno_Data[[#This Row],[Match]]),0)*86400),0)</f>
        <v>0</v>
      </c>
    </row>
    <row r="406" spans="1:35" x14ac:dyDescent="0.3">
      <c r="A406">
        <v>400</v>
      </c>
      <c r="B406" t="s">
        <v>1312</v>
      </c>
      <c r="C406">
        <v>7</v>
      </c>
      <c r="D406" s="105">
        <v>45373.413233414351</v>
      </c>
      <c r="E406" t="s">
        <v>314</v>
      </c>
      <c r="F406" t="s">
        <v>309</v>
      </c>
      <c r="G406">
        <v>1</v>
      </c>
      <c r="H406" t="s">
        <v>310</v>
      </c>
      <c r="I406">
        <v>0</v>
      </c>
      <c r="J406">
        <v>0</v>
      </c>
      <c r="K406">
        <v>0</v>
      </c>
      <c r="L406" t="s">
        <v>310</v>
      </c>
      <c r="M406" t="s">
        <v>310</v>
      </c>
      <c r="N406">
        <v>0</v>
      </c>
      <c r="O406" t="s">
        <v>319</v>
      </c>
      <c r="P406" t="s">
        <v>240</v>
      </c>
      <c r="Q406" t="s">
        <v>1400</v>
      </c>
      <c r="R406" t="s">
        <v>310</v>
      </c>
      <c r="S406">
        <v>9</v>
      </c>
      <c r="T406" t="s">
        <v>310</v>
      </c>
      <c r="U406">
        <v>9</v>
      </c>
      <c r="V406">
        <v>9</v>
      </c>
      <c r="W406">
        <v>0</v>
      </c>
      <c r="X406">
        <v>0</v>
      </c>
      <c r="Y406">
        <v>0</v>
      </c>
      <c r="Z406">
        <v>0</v>
      </c>
      <c r="AA406">
        <v>9</v>
      </c>
      <c r="AB406">
        <v>9</v>
      </c>
      <c r="AC406" t="s">
        <v>310</v>
      </c>
      <c r="AD406">
        <v>9</v>
      </c>
      <c r="AE406" t="s">
        <v>1388</v>
      </c>
      <c r="AF406">
        <v>0</v>
      </c>
      <c r="AG406" t="s">
        <v>310</v>
      </c>
      <c r="AH406">
        <f>SUM((MID(Dyno_Data[[#This Row],[Team]],4,5))+(Dyno_Data[[#This Row],[Match]]/100))</f>
        <v>2053.0700000000002</v>
      </c>
      <c r="AI406" s="76">
        <f>ROUND(SUM(IF(Dyno_Data[[#This Row],[AcqCenter]]&gt;0,Dyno_Data[[#This Row],[Time]]-SUMIFS(Dyno_Data[Time],Dyno_Data[Team],Dyno_Data[[#This Row],[Team]],Dyno_Data[RecordType],"StartMatch",Dyno_Data[Match],Dyno_Data[[#This Row],[Match]]),0)*86400),0)</f>
        <v>0</v>
      </c>
    </row>
    <row r="407" spans="1:35" x14ac:dyDescent="0.3">
      <c r="A407">
        <v>402</v>
      </c>
      <c r="B407" t="s">
        <v>1309</v>
      </c>
      <c r="C407">
        <v>7</v>
      </c>
      <c r="D407" s="105">
        <v>45373.413234143518</v>
      </c>
      <c r="E407" t="s">
        <v>314</v>
      </c>
      <c r="F407" t="s">
        <v>309</v>
      </c>
      <c r="G407">
        <v>1</v>
      </c>
      <c r="H407" t="s">
        <v>310</v>
      </c>
      <c r="I407">
        <v>0</v>
      </c>
      <c r="J407">
        <v>0</v>
      </c>
      <c r="K407">
        <v>0</v>
      </c>
      <c r="L407" t="s">
        <v>310</v>
      </c>
      <c r="M407" t="s">
        <v>310</v>
      </c>
      <c r="N407">
        <v>0</v>
      </c>
      <c r="O407" t="s">
        <v>1389</v>
      </c>
      <c r="P407" t="s">
        <v>1401</v>
      </c>
      <c r="Q407" t="s">
        <v>1399</v>
      </c>
      <c r="R407" t="s">
        <v>310</v>
      </c>
      <c r="S407">
        <v>9</v>
      </c>
      <c r="T407" t="s">
        <v>310</v>
      </c>
      <c r="U407">
        <v>9</v>
      </c>
      <c r="V407">
        <v>9</v>
      </c>
      <c r="W407">
        <v>0</v>
      </c>
      <c r="X407">
        <v>0</v>
      </c>
      <c r="Y407">
        <v>0</v>
      </c>
      <c r="Z407">
        <v>0</v>
      </c>
      <c r="AA407">
        <v>9</v>
      </c>
      <c r="AB407">
        <v>9</v>
      </c>
      <c r="AC407" t="s">
        <v>310</v>
      </c>
      <c r="AD407">
        <v>9</v>
      </c>
      <c r="AE407" t="s">
        <v>1392</v>
      </c>
      <c r="AF407">
        <v>10000000</v>
      </c>
      <c r="AG407" t="s">
        <v>310</v>
      </c>
      <c r="AH407">
        <f>SUM((MID(Dyno_Data[[#This Row],[Team]],4,5))+(Dyno_Data[[#This Row],[Match]]/100))</f>
        <v>3550.07</v>
      </c>
      <c r="AI407" s="76">
        <f>ROUND(SUM(IF(Dyno_Data[[#This Row],[AcqCenter]]&gt;0,Dyno_Data[[#This Row],[Time]]-SUMIFS(Dyno_Data[Time],Dyno_Data[Team],Dyno_Data[[#This Row],[Team]],Dyno_Data[RecordType],"StartMatch",Dyno_Data[Match],Dyno_Data[[#This Row],[Match]]),0)*86400),0)</f>
        <v>0</v>
      </c>
    </row>
    <row r="408" spans="1:35" x14ac:dyDescent="0.3">
      <c r="A408">
        <v>404</v>
      </c>
      <c r="B408" t="s">
        <v>1311</v>
      </c>
      <c r="C408">
        <v>7</v>
      </c>
      <c r="D408" s="105">
        <v>45373.413239201385</v>
      </c>
      <c r="E408" t="s">
        <v>314</v>
      </c>
      <c r="F408" t="s">
        <v>309</v>
      </c>
      <c r="G408">
        <v>1</v>
      </c>
      <c r="H408" t="s">
        <v>310</v>
      </c>
      <c r="I408">
        <v>0</v>
      </c>
      <c r="J408">
        <v>0</v>
      </c>
      <c r="K408">
        <v>0</v>
      </c>
      <c r="L408" t="s">
        <v>310</v>
      </c>
      <c r="M408" t="s">
        <v>310</v>
      </c>
      <c r="N408">
        <v>0</v>
      </c>
      <c r="O408" t="s">
        <v>1391</v>
      </c>
      <c r="P408" t="s">
        <v>320</v>
      </c>
      <c r="Q408" t="s">
        <v>1400</v>
      </c>
      <c r="R408" t="s">
        <v>310</v>
      </c>
      <c r="S408">
        <v>9</v>
      </c>
      <c r="T408" t="s">
        <v>310</v>
      </c>
      <c r="U408">
        <v>9</v>
      </c>
      <c r="V408">
        <v>9</v>
      </c>
      <c r="W408">
        <v>0</v>
      </c>
      <c r="X408">
        <v>0</v>
      </c>
      <c r="Y408">
        <v>0</v>
      </c>
      <c r="Z408">
        <v>0</v>
      </c>
      <c r="AA408">
        <v>9</v>
      </c>
      <c r="AB408">
        <v>9</v>
      </c>
      <c r="AC408" t="s">
        <v>310</v>
      </c>
      <c r="AD408">
        <v>9</v>
      </c>
      <c r="AE408" t="s">
        <v>1390</v>
      </c>
      <c r="AF408">
        <v>0</v>
      </c>
      <c r="AG408" t="s">
        <v>310</v>
      </c>
      <c r="AH408">
        <f>SUM((MID(Dyno_Data[[#This Row],[Team]],4,5))+(Dyno_Data[[#This Row],[Match]]/100))</f>
        <v>2234.0700000000002</v>
      </c>
      <c r="AI408" s="76">
        <f>ROUND(SUM(IF(Dyno_Data[[#This Row],[AcqCenter]]&gt;0,Dyno_Data[[#This Row],[Time]]-SUMIFS(Dyno_Data[Time],Dyno_Data[Team],Dyno_Data[[#This Row],[Team]],Dyno_Data[RecordType],"StartMatch",Dyno_Data[Match],Dyno_Data[[#This Row],[Match]]),0)*86400),0)</f>
        <v>0</v>
      </c>
    </row>
    <row r="409" spans="1:35" x14ac:dyDescent="0.3">
      <c r="A409">
        <v>406</v>
      </c>
      <c r="B409" t="s">
        <v>1308</v>
      </c>
      <c r="C409">
        <v>7</v>
      </c>
      <c r="D409" s="105">
        <v>45373.413239386573</v>
      </c>
      <c r="E409" t="s">
        <v>314</v>
      </c>
      <c r="F409" t="s">
        <v>309</v>
      </c>
      <c r="G409">
        <v>1</v>
      </c>
      <c r="H409" t="s">
        <v>310</v>
      </c>
      <c r="I409">
        <v>0</v>
      </c>
      <c r="J409">
        <v>0</v>
      </c>
      <c r="K409">
        <v>0</v>
      </c>
      <c r="L409" t="s">
        <v>310</v>
      </c>
      <c r="M409" t="s">
        <v>310</v>
      </c>
      <c r="N409">
        <v>0</v>
      </c>
      <c r="O409" t="s">
        <v>1393</v>
      </c>
      <c r="P409" t="s">
        <v>240</v>
      </c>
      <c r="Q409" t="s">
        <v>1400</v>
      </c>
      <c r="R409" t="s">
        <v>310</v>
      </c>
      <c r="S409">
        <v>9</v>
      </c>
      <c r="T409" t="s">
        <v>310</v>
      </c>
      <c r="U409">
        <v>9</v>
      </c>
      <c r="V409">
        <v>9</v>
      </c>
      <c r="W409">
        <v>0</v>
      </c>
      <c r="X409">
        <v>0</v>
      </c>
      <c r="Y409">
        <v>0</v>
      </c>
      <c r="Z409">
        <v>0</v>
      </c>
      <c r="AA409">
        <v>9</v>
      </c>
      <c r="AB409">
        <v>9</v>
      </c>
      <c r="AC409" t="s">
        <v>310</v>
      </c>
      <c r="AD409">
        <v>9</v>
      </c>
      <c r="AE409" t="s">
        <v>1394</v>
      </c>
      <c r="AF409">
        <v>10000000</v>
      </c>
      <c r="AG409" t="s">
        <v>310</v>
      </c>
      <c r="AH409">
        <f>SUM((MID(Dyno_Data[[#This Row],[Team]],4,5))+(Dyno_Data[[#This Row],[Match]]/100))</f>
        <v>3799.07</v>
      </c>
      <c r="AI409" s="76">
        <f>ROUND(SUM(IF(Dyno_Data[[#This Row],[AcqCenter]]&gt;0,Dyno_Data[[#This Row],[Time]]-SUMIFS(Dyno_Data[Time],Dyno_Data[Team],Dyno_Data[[#This Row],[Team]],Dyno_Data[RecordType],"StartMatch",Dyno_Data[Match],Dyno_Data[[#This Row],[Match]]),0)*86400),0)</f>
        <v>0</v>
      </c>
    </row>
    <row r="410" spans="1:35" x14ac:dyDescent="0.3">
      <c r="A410">
        <v>409</v>
      </c>
      <c r="B410" t="s">
        <v>364</v>
      </c>
      <c r="C410">
        <v>7</v>
      </c>
      <c r="D410" s="105">
        <v>45373.413257256943</v>
      </c>
      <c r="E410" t="s">
        <v>314</v>
      </c>
      <c r="F410" t="s">
        <v>309</v>
      </c>
      <c r="G410">
        <v>0</v>
      </c>
      <c r="H410" t="s">
        <v>310</v>
      </c>
      <c r="I410">
        <v>0</v>
      </c>
      <c r="J410">
        <v>0</v>
      </c>
      <c r="K410">
        <v>0</v>
      </c>
      <c r="L410" t="s">
        <v>310</v>
      </c>
      <c r="M410" t="s">
        <v>310</v>
      </c>
      <c r="N410">
        <v>0</v>
      </c>
      <c r="O410" t="s">
        <v>1395</v>
      </c>
      <c r="P410" t="s">
        <v>101</v>
      </c>
      <c r="Q410" t="s">
        <v>1400</v>
      </c>
      <c r="R410" t="s">
        <v>310</v>
      </c>
      <c r="S410">
        <v>9</v>
      </c>
      <c r="T410" t="s">
        <v>310</v>
      </c>
      <c r="U410">
        <v>9</v>
      </c>
      <c r="V410">
        <v>9</v>
      </c>
      <c r="W410">
        <v>0</v>
      </c>
      <c r="X410">
        <v>0</v>
      </c>
      <c r="Y410">
        <v>0</v>
      </c>
      <c r="Z410">
        <v>0</v>
      </c>
      <c r="AA410">
        <v>9</v>
      </c>
      <c r="AB410">
        <v>9</v>
      </c>
      <c r="AC410" t="s">
        <v>310</v>
      </c>
      <c r="AD410">
        <v>9</v>
      </c>
      <c r="AE410" t="s">
        <v>1396</v>
      </c>
      <c r="AF410">
        <v>10001000</v>
      </c>
      <c r="AG410" t="s">
        <v>310</v>
      </c>
      <c r="AH410">
        <f>SUM((MID(Dyno_Data[[#This Row],[Team]],4,5))+(Dyno_Data[[#This Row],[Match]]/100))</f>
        <v>2791.07</v>
      </c>
      <c r="AI410" s="76">
        <f>ROUND(SUM(IF(Dyno_Data[[#This Row],[AcqCenter]]&gt;0,Dyno_Data[[#This Row],[Time]]-SUMIFS(Dyno_Data[Time],Dyno_Data[Team],Dyno_Data[[#This Row],[Team]],Dyno_Data[RecordType],"StartMatch",Dyno_Data[Match],Dyno_Data[[#This Row],[Match]]),0)*86400),0)</f>
        <v>0</v>
      </c>
    </row>
    <row r="411" spans="1:35" x14ac:dyDescent="0.3">
      <c r="A411">
        <v>410</v>
      </c>
      <c r="B411" t="s">
        <v>1310</v>
      </c>
      <c r="C411">
        <v>7</v>
      </c>
      <c r="D411" s="105">
        <v>45373.413344756947</v>
      </c>
      <c r="E411" t="s">
        <v>312</v>
      </c>
      <c r="F411" t="s">
        <v>1402</v>
      </c>
      <c r="G411">
        <v>0</v>
      </c>
      <c r="H411" t="s">
        <v>315</v>
      </c>
      <c r="I411">
        <v>0</v>
      </c>
      <c r="J411">
        <v>0</v>
      </c>
      <c r="K411">
        <v>0</v>
      </c>
      <c r="L411" t="s">
        <v>240</v>
      </c>
      <c r="M411" t="s">
        <v>1398</v>
      </c>
      <c r="N411">
        <v>1</v>
      </c>
      <c r="O411" t="s">
        <v>311</v>
      </c>
      <c r="P411" t="s">
        <v>310</v>
      </c>
      <c r="Q411" t="s">
        <v>310</v>
      </c>
      <c r="R411" t="s">
        <v>310</v>
      </c>
      <c r="S411">
        <v>9</v>
      </c>
      <c r="T411" t="s">
        <v>310</v>
      </c>
      <c r="U411">
        <v>9</v>
      </c>
      <c r="V411">
        <v>9</v>
      </c>
      <c r="W411">
        <v>0</v>
      </c>
      <c r="X411">
        <v>0</v>
      </c>
      <c r="Y411">
        <v>0</v>
      </c>
      <c r="Z411">
        <v>0</v>
      </c>
      <c r="AA411">
        <v>9</v>
      </c>
      <c r="AB411">
        <v>9</v>
      </c>
      <c r="AC411" t="s">
        <v>310</v>
      </c>
      <c r="AD411">
        <v>9</v>
      </c>
      <c r="AE411" t="s">
        <v>1387</v>
      </c>
      <c r="AF411">
        <v>10000000</v>
      </c>
      <c r="AG411" t="s">
        <v>310</v>
      </c>
      <c r="AH411">
        <f>SUM((MID(Dyno_Data[[#This Row],[Team]],4,5))+(Dyno_Data[[#This Row],[Match]]/100))</f>
        <v>6621.07</v>
      </c>
      <c r="AI411" s="76">
        <f>ROUND(SUM(IF(Dyno_Data[[#This Row],[AcqCenter]]&gt;0,Dyno_Data[[#This Row],[Time]]-SUMIFS(Dyno_Data[Time],Dyno_Data[Team],Dyno_Data[[#This Row],[Team]],Dyno_Data[RecordType],"StartMatch",Dyno_Data[Match],Dyno_Data[[#This Row],[Match]]),0)*86400),0)</f>
        <v>0</v>
      </c>
    </row>
    <row r="412" spans="1:35" x14ac:dyDescent="0.3">
      <c r="A412">
        <v>411</v>
      </c>
      <c r="B412" t="s">
        <v>1308</v>
      </c>
      <c r="C412">
        <v>7</v>
      </c>
      <c r="D412" s="105">
        <v>45373.413349803239</v>
      </c>
      <c r="E412" t="s">
        <v>312</v>
      </c>
      <c r="F412" t="s">
        <v>1402</v>
      </c>
      <c r="G412">
        <v>0</v>
      </c>
      <c r="H412" t="s">
        <v>315</v>
      </c>
      <c r="I412">
        <v>0</v>
      </c>
      <c r="J412">
        <v>0</v>
      </c>
      <c r="K412">
        <v>0</v>
      </c>
      <c r="L412" t="s">
        <v>240</v>
      </c>
      <c r="M412" t="s">
        <v>1398</v>
      </c>
      <c r="N412">
        <v>0</v>
      </c>
      <c r="O412" t="s">
        <v>1393</v>
      </c>
      <c r="P412" t="s">
        <v>310</v>
      </c>
      <c r="Q412" t="s">
        <v>310</v>
      </c>
      <c r="R412" t="s">
        <v>310</v>
      </c>
      <c r="S412">
        <v>9</v>
      </c>
      <c r="T412" t="s">
        <v>310</v>
      </c>
      <c r="U412">
        <v>9</v>
      </c>
      <c r="V412">
        <v>9</v>
      </c>
      <c r="W412">
        <v>0</v>
      </c>
      <c r="X412">
        <v>0</v>
      </c>
      <c r="Y412">
        <v>0</v>
      </c>
      <c r="Z412">
        <v>0</v>
      </c>
      <c r="AA412">
        <v>9</v>
      </c>
      <c r="AB412">
        <v>9</v>
      </c>
      <c r="AC412" t="s">
        <v>310</v>
      </c>
      <c r="AD412">
        <v>9</v>
      </c>
      <c r="AE412" t="s">
        <v>1394</v>
      </c>
      <c r="AF412">
        <v>20000000</v>
      </c>
      <c r="AG412" t="s">
        <v>310</v>
      </c>
      <c r="AH412">
        <f>SUM((MID(Dyno_Data[[#This Row],[Team]],4,5))+(Dyno_Data[[#This Row],[Match]]/100))</f>
        <v>3799.07</v>
      </c>
      <c r="AI412" s="76">
        <f>ROUND(SUM(IF(Dyno_Data[[#This Row],[AcqCenter]]&gt;0,Dyno_Data[[#This Row],[Time]]-SUMIFS(Dyno_Data[Time],Dyno_Data[Team],Dyno_Data[[#This Row],[Team]],Dyno_Data[RecordType],"StartMatch",Dyno_Data[Match],Dyno_Data[[#This Row],[Match]]),0)*86400),0)</f>
        <v>0</v>
      </c>
    </row>
    <row r="413" spans="1:35" x14ac:dyDescent="0.3">
      <c r="A413">
        <v>412</v>
      </c>
      <c r="B413" t="s">
        <v>1309</v>
      </c>
      <c r="C413">
        <v>7</v>
      </c>
      <c r="D413" s="105">
        <v>45373.413385995373</v>
      </c>
      <c r="E413" t="s">
        <v>312</v>
      </c>
      <c r="F413" t="s">
        <v>1402</v>
      </c>
      <c r="G413">
        <v>0</v>
      </c>
      <c r="H413" t="s">
        <v>315</v>
      </c>
      <c r="I413">
        <v>0</v>
      </c>
      <c r="J413">
        <v>0</v>
      </c>
      <c r="K413">
        <v>0</v>
      </c>
      <c r="L413" t="s">
        <v>241</v>
      </c>
      <c r="M413" t="s">
        <v>101</v>
      </c>
      <c r="N413">
        <v>0</v>
      </c>
      <c r="O413" t="s">
        <v>1389</v>
      </c>
      <c r="P413" t="s">
        <v>310</v>
      </c>
      <c r="Q413" t="s">
        <v>310</v>
      </c>
      <c r="R413" t="s">
        <v>310</v>
      </c>
      <c r="S413">
        <v>9</v>
      </c>
      <c r="T413" t="s">
        <v>310</v>
      </c>
      <c r="U413">
        <v>9</v>
      </c>
      <c r="V413">
        <v>9</v>
      </c>
      <c r="W413">
        <v>0</v>
      </c>
      <c r="X413">
        <v>0</v>
      </c>
      <c r="Y413">
        <v>0</v>
      </c>
      <c r="Z413">
        <v>0</v>
      </c>
      <c r="AA413">
        <v>9</v>
      </c>
      <c r="AB413">
        <v>9</v>
      </c>
      <c r="AC413" t="s">
        <v>310</v>
      </c>
      <c r="AD413">
        <v>9</v>
      </c>
      <c r="AE413" t="s">
        <v>1392</v>
      </c>
      <c r="AF413">
        <v>20000000</v>
      </c>
      <c r="AG413" t="s">
        <v>310</v>
      </c>
      <c r="AH413">
        <f>SUM((MID(Dyno_Data[[#This Row],[Team]],4,5))+(Dyno_Data[[#This Row],[Match]]/100))</f>
        <v>3550.07</v>
      </c>
      <c r="AI413" s="76">
        <f>ROUND(SUM(IF(Dyno_Data[[#This Row],[AcqCenter]]&gt;0,Dyno_Data[[#This Row],[Time]]-SUMIFS(Dyno_Data[Time],Dyno_Data[Team],Dyno_Data[[#This Row],[Team]],Dyno_Data[RecordType],"StartMatch",Dyno_Data[Match],Dyno_Data[[#This Row],[Match]]),0)*86400),0)</f>
        <v>0</v>
      </c>
    </row>
    <row r="414" spans="1:35" x14ac:dyDescent="0.3">
      <c r="A414">
        <v>413</v>
      </c>
      <c r="B414" t="s">
        <v>364</v>
      </c>
      <c r="C414">
        <v>7</v>
      </c>
      <c r="D414" s="105">
        <v>45373.413395520831</v>
      </c>
      <c r="E414" t="s">
        <v>312</v>
      </c>
      <c r="F414" t="s">
        <v>1402</v>
      </c>
      <c r="G414">
        <v>0</v>
      </c>
      <c r="H414" t="s">
        <v>315</v>
      </c>
      <c r="I414">
        <v>0</v>
      </c>
      <c r="J414">
        <v>0</v>
      </c>
      <c r="K414">
        <v>0</v>
      </c>
      <c r="L414" t="s">
        <v>241</v>
      </c>
      <c r="M414" t="s">
        <v>1398</v>
      </c>
      <c r="N414">
        <v>1</v>
      </c>
      <c r="O414" t="s">
        <v>1395</v>
      </c>
      <c r="P414" t="s">
        <v>310</v>
      </c>
      <c r="Q414" t="s">
        <v>310</v>
      </c>
      <c r="R414" t="s">
        <v>310</v>
      </c>
      <c r="S414">
        <v>9</v>
      </c>
      <c r="T414" t="s">
        <v>310</v>
      </c>
      <c r="U414">
        <v>9</v>
      </c>
      <c r="V414">
        <v>9</v>
      </c>
      <c r="W414">
        <v>0</v>
      </c>
      <c r="X414">
        <v>0</v>
      </c>
      <c r="Y414">
        <v>0</v>
      </c>
      <c r="Z414">
        <v>0</v>
      </c>
      <c r="AA414">
        <v>9</v>
      </c>
      <c r="AB414">
        <v>9</v>
      </c>
      <c r="AC414" t="s">
        <v>310</v>
      </c>
      <c r="AD414">
        <v>9</v>
      </c>
      <c r="AE414" t="s">
        <v>1396</v>
      </c>
      <c r="AF414">
        <v>20001000</v>
      </c>
      <c r="AG414" t="s">
        <v>310</v>
      </c>
      <c r="AH414">
        <f>SUM((MID(Dyno_Data[[#This Row],[Team]],4,5))+(Dyno_Data[[#This Row],[Match]]/100))</f>
        <v>2791.07</v>
      </c>
      <c r="AI414" s="76">
        <f>ROUND(SUM(IF(Dyno_Data[[#This Row],[AcqCenter]]&gt;0,Dyno_Data[[#This Row],[Time]]-SUMIFS(Dyno_Data[Time],Dyno_Data[Team],Dyno_Data[[#This Row],[Team]],Dyno_Data[RecordType],"StartMatch",Dyno_Data[Match],Dyno_Data[[#This Row],[Match]]),0)*86400),0)</f>
        <v>0</v>
      </c>
    </row>
    <row r="415" spans="1:35" x14ac:dyDescent="0.3">
      <c r="A415">
        <v>414</v>
      </c>
      <c r="B415" t="s">
        <v>1308</v>
      </c>
      <c r="C415">
        <v>7</v>
      </c>
      <c r="D415" s="105">
        <v>45373.413412037036</v>
      </c>
      <c r="E415" t="s">
        <v>312</v>
      </c>
      <c r="F415" t="s">
        <v>1402</v>
      </c>
      <c r="G415">
        <v>0</v>
      </c>
      <c r="H415" t="s">
        <v>315</v>
      </c>
      <c r="I415">
        <v>0</v>
      </c>
      <c r="J415">
        <v>0</v>
      </c>
      <c r="K415">
        <v>0</v>
      </c>
      <c r="L415" t="s">
        <v>240</v>
      </c>
      <c r="M415" t="s">
        <v>1398</v>
      </c>
      <c r="N415">
        <v>0</v>
      </c>
      <c r="O415" t="s">
        <v>1393</v>
      </c>
      <c r="P415" t="s">
        <v>310</v>
      </c>
      <c r="Q415" t="s">
        <v>310</v>
      </c>
      <c r="R415" t="s">
        <v>310</v>
      </c>
      <c r="S415">
        <v>9</v>
      </c>
      <c r="T415" t="s">
        <v>310</v>
      </c>
      <c r="U415">
        <v>9</v>
      </c>
      <c r="V415">
        <v>9</v>
      </c>
      <c r="W415">
        <v>0</v>
      </c>
      <c r="X415">
        <v>0</v>
      </c>
      <c r="Y415">
        <v>0</v>
      </c>
      <c r="Z415">
        <v>0</v>
      </c>
      <c r="AA415">
        <v>9</v>
      </c>
      <c r="AB415">
        <v>9</v>
      </c>
      <c r="AC415" t="s">
        <v>310</v>
      </c>
      <c r="AD415">
        <v>9</v>
      </c>
      <c r="AE415" t="s">
        <v>1394</v>
      </c>
      <c r="AF415">
        <v>30000000</v>
      </c>
      <c r="AG415" t="s">
        <v>310</v>
      </c>
      <c r="AH415">
        <f>SUM((MID(Dyno_Data[[#This Row],[Team]],4,5))+(Dyno_Data[[#This Row],[Match]]/100))</f>
        <v>3799.07</v>
      </c>
      <c r="AI415" s="76">
        <f>ROUND(SUM(IF(Dyno_Data[[#This Row],[AcqCenter]]&gt;0,Dyno_Data[[#This Row],[Time]]-SUMIFS(Dyno_Data[Time],Dyno_Data[Team],Dyno_Data[[#This Row],[Team]],Dyno_Data[RecordType],"StartMatch",Dyno_Data[Match],Dyno_Data[[#This Row],[Match]]),0)*86400),0)</f>
        <v>0</v>
      </c>
    </row>
    <row r="416" spans="1:35" x14ac:dyDescent="0.3">
      <c r="A416">
        <v>415</v>
      </c>
      <c r="B416" t="s">
        <v>1311</v>
      </c>
      <c r="C416">
        <v>7</v>
      </c>
      <c r="D416" s="105">
        <v>45373.413448993058</v>
      </c>
      <c r="E416" t="s">
        <v>312</v>
      </c>
      <c r="F416" t="s">
        <v>1402</v>
      </c>
      <c r="G416">
        <v>0</v>
      </c>
      <c r="H416" t="s">
        <v>1397</v>
      </c>
      <c r="I416">
        <v>0</v>
      </c>
      <c r="J416">
        <v>0</v>
      </c>
      <c r="K416">
        <v>0</v>
      </c>
      <c r="L416" t="s">
        <v>241</v>
      </c>
      <c r="M416" t="s">
        <v>101</v>
      </c>
      <c r="N416">
        <v>0</v>
      </c>
      <c r="O416" t="s">
        <v>1391</v>
      </c>
      <c r="P416" t="s">
        <v>310</v>
      </c>
      <c r="Q416" t="s">
        <v>310</v>
      </c>
      <c r="R416" t="s">
        <v>310</v>
      </c>
      <c r="S416">
        <v>9</v>
      </c>
      <c r="T416" t="s">
        <v>310</v>
      </c>
      <c r="U416">
        <v>9</v>
      </c>
      <c r="V416">
        <v>9</v>
      </c>
      <c r="W416">
        <v>0</v>
      </c>
      <c r="X416">
        <v>0</v>
      </c>
      <c r="Y416">
        <v>0</v>
      </c>
      <c r="Z416">
        <v>0</v>
      </c>
      <c r="AA416">
        <v>9</v>
      </c>
      <c r="AB416">
        <v>9</v>
      </c>
      <c r="AC416" t="s">
        <v>310</v>
      </c>
      <c r="AD416">
        <v>9</v>
      </c>
      <c r="AE416" t="s">
        <v>1390</v>
      </c>
      <c r="AF416">
        <v>0</v>
      </c>
      <c r="AG416" t="s">
        <v>310</v>
      </c>
      <c r="AH416">
        <f>SUM((MID(Dyno_Data[[#This Row],[Team]],4,5))+(Dyno_Data[[#This Row],[Match]]/100))</f>
        <v>2234.0700000000002</v>
      </c>
      <c r="AI416" s="76">
        <f>ROUND(SUM(IF(Dyno_Data[[#This Row],[AcqCenter]]&gt;0,Dyno_Data[[#This Row],[Time]]-SUMIFS(Dyno_Data[Time],Dyno_Data[Team],Dyno_Data[[#This Row],[Team]],Dyno_Data[RecordType],"StartMatch",Dyno_Data[Match],Dyno_Data[[#This Row],[Match]]),0)*86400),0)</f>
        <v>0</v>
      </c>
    </row>
    <row r="417" spans="1:35" x14ac:dyDescent="0.3">
      <c r="A417">
        <v>416</v>
      </c>
      <c r="B417" t="s">
        <v>1308</v>
      </c>
      <c r="C417">
        <v>7</v>
      </c>
      <c r="D417" s="105">
        <v>45373.413467824073</v>
      </c>
      <c r="E417" t="s">
        <v>312</v>
      </c>
      <c r="F417" t="s">
        <v>1402</v>
      </c>
      <c r="G417">
        <v>0</v>
      </c>
      <c r="H417" t="s">
        <v>315</v>
      </c>
      <c r="I417">
        <v>0</v>
      </c>
      <c r="J417">
        <v>0</v>
      </c>
      <c r="K417">
        <v>0</v>
      </c>
      <c r="L417" t="s">
        <v>240</v>
      </c>
      <c r="M417" t="s">
        <v>1398</v>
      </c>
      <c r="N417">
        <v>0</v>
      </c>
      <c r="O417" t="s">
        <v>1393</v>
      </c>
      <c r="P417" t="s">
        <v>310</v>
      </c>
      <c r="Q417" t="s">
        <v>310</v>
      </c>
      <c r="R417" t="s">
        <v>310</v>
      </c>
      <c r="S417">
        <v>9</v>
      </c>
      <c r="T417" t="s">
        <v>310</v>
      </c>
      <c r="U417">
        <v>9</v>
      </c>
      <c r="V417">
        <v>9</v>
      </c>
      <c r="W417">
        <v>0</v>
      </c>
      <c r="X417">
        <v>0</v>
      </c>
      <c r="Y417">
        <v>0</v>
      </c>
      <c r="Z417">
        <v>0</v>
      </c>
      <c r="AA417">
        <v>9</v>
      </c>
      <c r="AB417">
        <v>9</v>
      </c>
      <c r="AC417" t="s">
        <v>310</v>
      </c>
      <c r="AD417">
        <v>9</v>
      </c>
      <c r="AE417" t="s">
        <v>1394</v>
      </c>
      <c r="AF417">
        <v>40000000</v>
      </c>
      <c r="AG417" t="s">
        <v>310</v>
      </c>
      <c r="AH417">
        <f>SUM((MID(Dyno_Data[[#This Row],[Team]],4,5))+(Dyno_Data[[#This Row],[Match]]/100))</f>
        <v>3799.07</v>
      </c>
      <c r="AI417" s="76">
        <f>ROUND(SUM(IF(Dyno_Data[[#This Row],[AcqCenter]]&gt;0,Dyno_Data[[#This Row],[Time]]-SUMIFS(Dyno_Data[Time],Dyno_Data[Team],Dyno_Data[[#This Row],[Team]],Dyno_Data[RecordType],"StartMatch",Dyno_Data[Match],Dyno_Data[[#This Row],[Match]]),0)*86400),0)</f>
        <v>0</v>
      </c>
    </row>
    <row r="418" spans="1:35" x14ac:dyDescent="0.3">
      <c r="A418">
        <v>417</v>
      </c>
      <c r="B418" t="s">
        <v>1310</v>
      </c>
      <c r="C418">
        <v>7</v>
      </c>
      <c r="D418" s="105">
        <v>45373.413480092589</v>
      </c>
      <c r="E418" t="s">
        <v>312</v>
      </c>
      <c r="F418" t="s">
        <v>1402</v>
      </c>
      <c r="G418">
        <v>0</v>
      </c>
      <c r="H418" t="s">
        <v>315</v>
      </c>
      <c r="I418">
        <v>0</v>
      </c>
      <c r="J418">
        <v>0</v>
      </c>
      <c r="K418">
        <v>0</v>
      </c>
      <c r="L418" t="s">
        <v>241</v>
      </c>
      <c r="M418" t="s">
        <v>1398</v>
      </c>
      <c r="N418">
        <v>1</v>
      </c>
      <c r="O418" t="s">
        <v>311</v>
      </c>
      <c r="P418" t="s">
        <v>310</v>
      </c>
      <c r="Q418" t="s">
        <v>310</v>
      </c>
      <c r="R418" t="s">
        <v>310</v>
      </c>
      <c r="S418">
        <v>9</v>
      </c>
      <c r="T418" t="s">
        <v>310</v>
      </c>
      <c r="U418">
        <v>9</v>
      </c>
      <c r="V418">
        <v>9</v>
      </c>
      <c r="W418">
        <v>0</v>
      </c>
      <c r="X418">
        <v>0</v>
      </c>
      <c r="Y418">
        <v>0</v>
      </c>
      <c r="Z418">
        <v>0</v>
      </c>
      <c r="AA418">
        <v>9</v>
      </c>
      <c r="AB418">
        <v>9</v>
      </c>
      <c r="AC418" t="s">
        <v>310</v>
      </c>
      <c r="AD418">
        <v>9</v>
      </c>
      <c r="AE418" t="s">
        <v>1387</v>
      </c>
      <c r="AF418">
        <v>20000000</v>
      </c>
      <c r="AG418" t="s">
        <v>310</v>
      </c>
      <c r="AH418">
        <f>SUM((MID(Dyno_Data[[#This Row],[Team]],4,5))+(Dyno_Data[[#This Row],[Match]]/100))</f>
        <v>6621.07</v>
      </c>
      <c r="AI418" s="76">
        <f>ROUND(SUM(IF(Dyno_Data[[#This Row],[AcqCenter]]&gt;0,Dyno_Data[[#This Row],[Time]]-SUMIFS(Dyno_Data[Time],Dyno_Data[Team],Dyno_Data[[#This Row],[Team]],Dyno_Data[RecordType],"StartMatch",Dyno_Data[Match],Dyno_Data[[#This Row],[Match]]),0)*86400),0)</f>
        <v>0</v>
      </c>
    </row>
    <row r="419" spans="1:35" x14ac:dyDescent="0.3">
      <c r="A419">
        <v>418</v>
      </c>
      <c r="B419" t="s">
        <v>1309</v>
      </c>
      <c r="C419">
        <v>7</v>
      </c>
      <c r="D419" s="105">
        <v>45373.413519988426</v>
      </c>
      <c r="E419" t="s">
        <v>312</v>
      </c>
      <c r="F419" t="s">
        <v>1402</v>
      </c>
      <c r="G419">
        <v>0</v>
      </c>
      <c r="H419" t="s">
        <v>315</v>
      </c>
      <c r="I419">
        <v>0</v>
      </c>
      <c r="J419">
        <v>0</v>
      </c>
      <c r="K419">
        <v>0</v>
      </c>
      <c r="L419" t="s">
        <v>241</v>
      </c>
      <c r="M419" t="s">
        <v>101</v>
      </c>
      <c r="N419">
        <v>0</v>
      </c>
      <c r="O419" t="s">
        <v>1389</v>
      </c>
      <c r="P419" t="s">
        <v>310</v>
      </c>
      <c r="Q419" t="s">
        <v>310</v>
      </c>
      <c r="R419" t="s">
        <v>310</v>
      </c>
      <c r="S419">
        <v>9</v>
      </c>
      <c r="T419" t="s">
        <v>310</v>
      </c>
      <c r="U419">
        <v>9</v>
      </c>
      <c r="V419">
        <v>9</v>
      </c>
      <c r="W419">
        <v>0</v>
      </c>
      <c r="X419">
        <v>0</v>
      </c>
      <c r="Y419">
        <v>0</v>
      </c>
      <c r="Z419">
        <v>0</v>
      </c>
      <c r="AA419">
        <v>9</v>
      </c>
      <c r="AB419">
        <v>9</v>
      </c>
      <c r="AC419" t="s">
        <v>310</v>
      </c>
      <c r="AD419">
        <v>9</v>
      </c>
      <c r="AE419" t="s">
        <v>1392</v>
      </c>
      <c r="AF419">
        <v>30000000</v>
      </c>
      <c r="AG419" t="s">
        <v>310</v>
      </c>
      <c r="AH419">
        <f>SUM((MID(Dyno_Data[[#This Row],[Team]],4,5))+(Dyno_Data[[#This Row],[Match]]/100))</f>
        <v>3550.07</v>
      </c>
      <c r="AI419" s="76">
        <f>ROUND(SUM(IF(Dyno_Data[[#This Row],[AcqCenter]]&gt;0,Dyno_Data[[#This Row],[Time]]-SUMIFS(Dyno_Data[Time],Dyno_Data[Team],Dyno_Data[[#This Row],[Team]],Dyno_Data[RecordType],"StartMatch",Dyno_Data[Match],Dyno_Data[[#This Row],[Match]]),0)*86400),0)</f>
        <v>0</v>
      </c>
    </row>
    <row r="420" spans="1:35" x14ac:dyDescent="0.3">
      <c r="A420">
        <v>419</v>
      </c>
      <c r="B420" t="s">
        <v>1308</v>
      </c>
      <c r="C420">
        <v>7</v>
      </c>
      <c r="D420" s="105">
        <v>45373.41352141204</v>
      </c>
      <c r="E420" t="s">
        <v>312</v>
      </c>
      <c r="F420" t="s">
        <v>1402</v>
      </c>
      <c r="G420">
        <v>0</v>
      </c>
      <c r="H420" t="s">
        <v>315</v>
      </c>
      <c r="I420">
        <v>0</v>
      </c>
      <c r="J420">
        <v>0</v>
      </c>
      <c r="K420">
        <v>0</v>
      </c>
      <c r="L420" t="s">
        <v>240</v>
      </c>
      <c r="M420" t="s">
        <v>1398</v>
      </c>
      <c r="N420">
        <v>0</v>
      </c>
      <c r="O420" t="s">
        <v>1393</v>
      </c>
      <c r="P420" t="s">
        <v>310</v>
      </c>
      <c r="Q420" t="s">
        <v>310</v>
      </c>
      <c r="R420" t="s">
        <v>310</v>
      </c>
      <c r="S420">
        <v>9</v>
      </c>
      <c r="T420" t="s">
        <v>310</v>
      </c>
      <c r="U420">
        <v>9</v>
      </c>
      <c r="V420">
        <v>9</v>
      </c>
      <c r="W420">
        <v>0</v>
      </c>
      <c r="X420">
        <v>0</v>
      </c>
      <c r="Y420">
        <v>0</v>
      </c>
      <c r="Z420">
        <v>0</v>
      </c>
      <c r="AA420">
        <v>9</v>
      </c>
      <c r="AB420">
        <v>9</v>
      </c>
      <c r="AC420" t="s">
        <v>310</v>
      </c>
      <c r="AD420">
        <v>9</v>
      </c>
      <c r="AE420" t="s">
        <v>1394</v>
      </c>
      <c r="AF420">
        <v>50000000</v>
      </c>
      <c r="AG420" t="s">
        <v>310</v>
      </c>
      <c r="AH420">
        <f>SUM((MID(Dyno_Data[[#This Row],[Team]],4,5))+(Dyno_Data[[#This Row],[Match]]/100))</f>
        <v>3799.07</v>
      </c>
      <c r="AI420" s="76">
        <f>ROUND(SUM(IF(Dyno_Data[[#This Row],[AcqCenter]]&gt;0,Dyno_Data[[#This Row],[Time]]-SUMIFS(Dyno_Data[Time],Dyno_Data[Team],Dyno_Data[[#This Row],[Team]],Dyno_Data[RecordType],"StartMatch",Dyno_Data[Match],Dyno_Data[[#This Row],[Match]]),0)*86400),0)</f>
        <v>0</v>
      </c>
    </row>
    <row r="421" spans="1:35" x14ac:dyDescent="0.3">
      <c r="A421">
        <v>420</v>
      </c>
      <c r="B421" t="s">
        <v>1312</v>
      </c>
      <c r="C421">
        <v>7</v>
      </c>
      <c r="D421" s="105">
        <v>45373.413550462959</v>
      </c>
      <c r="E421" t="s">
        <v>312</v>
      </c>
      <c r="F421" t="s">
        <v>1402</v>
      </c>
      <c r="G421">
        <v>0</v>
      </c>
      <c r="H421" t="s">
        <v>315</v>
      </c>
      <c r="I421">
        <v>0</v>
      </c>
      <c r="J421">
        <v>0</v>
      </c>
      <c r="K421">
        <v>0</v>
      </c>
      <c r="L421" t="s">
        <v>241</v>
      </c>
      <c r="M421" t="s">
        <v>1398</v>
      </c>
      <c r="N421">
        <v>1</v>
      </c>
      <c r="O421" t="s">
        <v>319</v>
      </c>
      <c r="P421" t="s">
        <v>310</v>
      </c>
      <c r="Q421" t="s">
        <v>310</v>
      </c>
      <c r="R421" t="s">
        <v>310</v>
      </c>
      <c r="S421">
        <v>9</v>
      </c>
      <c r="T421" t="s">
        <v>310</v>
      </c>
      <c r="U421">
        <v>9</v>
      </c>
      <c r="V421">
        <v>9</v>
      </c>
      <c r="W421">
        <v>0</v>
      </c>
      <c r="X421">
        <v>0</v>
      </c>
      <c r="Y421">
        <v>0</v>
      </c>
      <c r="Z421">
        <v>0</v>
      </c>
      <c r="AA421">
        <v>9</v>
      </c>
      <c r="AB421">
        <v>9</v>
      </c>
      <c r="AC421" t="s">
        <v>310</v>
      </c>
      <c r="AD421">
        <v>9</v>
      </c>
      <c r="AE421" t="s">
        <v>1388</v>
      </c>
      <c r="AF421">
        <v>10000000</v>
      </c>
      <c r="AG421" t="s">
        <v>310</v>
      </c>
      <c r="AH421">
        <f>SUM((MID(Dyno_Data[[#This Row],[Team]],4,5))+(Dyno_Data[[#This Row],[Match]]/100))</f>
        <v>2053.0700000000002</v>
      </c>
      <c r="AI421" s="76">
        <f>ROUND(SUM(IF(Dyno_Data[[#This Row],[AcqCenter]]&gt;0,Dyno_Data[[#This Row],[Time]]-SUMIFS(Dyno_Data[Time],Dyno_Data[Team],Dyno_Data[[#This Row],[Team]],Dyno_Data[RecordType],"StartMatch",Dyno_Data[Match],Dyno_Data[[#This Row],[Match]]),0)*86400),0)</f>
        <v>0</v>
      </c>
    </row>
    <row r="422" spans="1:35" x14ac:dyDescent="0.3">
      <c r="A422">
        <v>421</v>
      </c>
      <c r="B422" t="s">
        <v>1310</v>
      </c>
      <c r="C422">
        <v>7</v>
      </c>
      <c r="D422" s="105">
        <v>45373.413564814815</v>
      </c>
      <c r="E422" t="s">
        <v>312</v>
      </c>
      <c r="F422" t="s">
        <v>1402</v>
      </c>
      <c r="G422">
        <v>0</v>
      </c>
      <c r="H422" t="s">
        <v>315</v>
      </c>
      <c r="I422">
        <v>0</v>
      </c>
      <c r="J422">
        <v>0</v>
      </c>
      <c r="K422">
        <v>0</v>
      </c>
      <c r="L422" t="s">
        <v>240</v>
      </c>
      <c r="M422" t="s">
        <v>1398</v>
      </c>
      <c r="N422">
        <v>1</v>
      </c>
      <c r="O422" t="s">
        <v>311</v>
      </c>
      <c r="P422" t="s">
        <v>310</v>
      </c>
      <c r="Q422" t="s">
        <v>310</v>
      </c>
      <c r="R422" t="s">
        <v>310</v>
      </c>
      <c r="S422">
        <v>9</v>
      </c>
      <c r="T422" t="s">
        <v>310</v>
      </c>
      <c r="U422">
        <v>9</v>
      </c>
      <c r="V422">
        <v>9</v>
      </c>
      <c r="W422">
        <v>0</v>
      </c>
      <c r="X422">
        <v>0</v>
      </c>
      <c r="Y422">
        <v>0</v>
      </c>
      <c r="Z422">
        <v>0</v>
      </c>
      <c r="AA422">
        <v>9</v>
      </c>
      <c r="AB422">
        <v>9</v>
      </c>
      <c r="AC422" t="s">
        <v>310</v>
      </c>
      <c r="AD422">
        <v>9</v>
      </c>
      <c r="AE422" t="s">
        <v>1387</v>
      </c>
      <c r="AF422">
        <v>30000000</v>
      </c>
      <c r="AG422" t="s">
        <v>310</v>
      </c>
      <c r="AH422">
        <f>SUM((MID(Dyno_Data[[#This Row],[Team]],4,5))+(Dyno_Data[[#This Row],[Match]]/100))</f>
        <v>6621.07</v>
      </c>
      <c r="AI422" s="76">
        <f>ROUND(SUM(IF(Dyno_Data[[#This Row],[AcqCenter]]&gt;0,Dyno_Data[[#This Row],[Time]]-SUMIFS(Dyno_Data[Time],Dyno_Data[Team],Dyno_Data[[#This Row],[Team]],Dyno_Data[RecordType],"StartMatch",Dyno_Data[Match],Dyno_Data[[#This Row],[Match]]),0)*86400),0)</f>
        <v>0</v>
      </c>
    </row>
    <row r="423" spans="1:35" x14ac:dyDescent="0.3">
      <c r="A423">
        <v>422</v>
      </c>
      <c r="B423" t="s">
        <v>1308</v>
      </c>
      <c r="C423">
        <v>7</v>
      </c>
      <c r="D423" s="105">
        <v>45373.413681099541</v>
      </c>
      <c r="E423" t="s">
        <v>312</v>
      </c>
      <c r="F423" t="s">
        <v>1402</v>
      </c>
      <c r="G423">
        <v>0</v>
      </c>
      <c r="H423" t="s">
        <v>315</v>
      </c>
      <c r="I423">
        <v>0</v>
      </c>
      <c r="J423">
        <v>0</v>
      </c>
      <c r="K423">
        <v>0</v>
      </c>
      <c r="L423" t="s">
        <v>241</v>
      </c>
      <c r="M423" t="s">
        <v>101</v>
      </c>
      <c r="N423">
        <v>1</v>
      </c>
      <c r="O423" t="s">
        <v>1393</v>
      </c>
      <c r="P423" t="s">
        <v>310</v>
      </c>
      <c r="Q423" t="s">
        <v>310</v>
      </c>
      <c r="R423" t="s">
        <v>310</v>
      </c>
      <c r="S423">
        <v>9</v>
      </c>
      <c r="T423" t="s">
        <v>310</v>
      </c>
      <c r="U423">
        <v>9</v>
      </c>
      <c r="V423">
        <v>9</v>
      </c>
      <c r="W423">
        <v>0</v>
      </c>
      <c r="X423">
        <v>0</v>
      </c>
      <c r="Y423">
        <v>0</v>
      </c>
      <c r="Z423">
        <v>0</v>
      </c>
      <c r="AA423">
        <v>9</v>
      </c>
      <c r="AB423">
        <v>9</v>
      </c>
      <c r="AC423" t="s">
        <v>310</v>
      </c>
      <c r="AD423">
        <v>9</v>
      </c>
      <c r="AE423" t="s">
        <v>1394</v>
      </c>
      <c r="AF423">
        <v>60000000</v>
      </c>
      <c r="AG423" t="s">
        <v>310</v>
      </c>
      <c r="AH423">
        <f>SUM((MID(Dyno_Data[[#This Row],[Team]],4,5))+(Dyno_Data[[#This Row],[Match]]/100))</f>
        <v>3799.07</v>
      </c>
      <c r="AI423" s="76">
        <f>ROUND(SUM(IF(Dyno_Data[[#This Row],[AcqCenter]]&gt;0,Dyno_Data[[#This Row],[Time]]-SUMIFS(Dyno_Data[Time],Dyno_Data[Team],Dyno_Data[[#This Row],[Team]],Dyno_Data[RecordType],"StartMatch",Dyno_Data[Match],Dyno_Data[[#This Row],[Match]]),0)*86400),0)</f>
        <v>0</v>
      </c>
    </row>
    <row r="424" spans="1:35" x14ac:dyDescent="0.3">
      <c r="A424">
        <v>423</v>
      </c>
      <c r="B424" t="s">
        <v>1310</v>
      </c>
      <c r="C424">
        <v>7</v>
      </c>
      <c r="D424" s="105">
        <v>45373.413694756942</v>
      </c>
      <c r="E424" t="s">
        <v>312</v>
      </c>
      <c r="F424" t="s">
        <v>1402</v>
      </c>
      <c r="G424">
        <v>0</v>
      </c>
      <c r="H424" t="s">
        <v>315</v>
      </c>
      <c r="I424">
        <v>0</v>
      </c>
      <c r="J424">
        <v>0</v>
      </c>
      <c r="K424">
        <v>0</v>
      </c>
      <c r="L424" t="s">
        <v>240</v>
      </c>
      <c r="M424" t="s">
        <v>1398</v>
      </c>
      <c r="N424">
        <v>0</v>
      </c>
      <c r="O424" t="s">
        <v>311</v>
      </c>
      <c r="P424" t="s">
        <v>310</v>
      </c>
      <c r="Q424" t="s">
        <v>310</v>
      </c>
      <c r="R424" t="s">
        <v>310</v>
      </c>
      <c r="S424">
        <v>9</v>
      </c>
      <c r="T424" t="s">
        <v>310</v>
      </c>
      <c r="U424">
        <v>9</v>
      </c>
      <c r="V424">
        <v>9</v>
      </c>
      <c r="W424">
        <v>0</v>
      </c>
      <c r="X424">
        <v>0</v>
      </c>
      <c r="Y424">
        <v>0</v>
      </c>
      <c r="Z424">
        <v>0</v>
      </c>
      <c r="AA424">
        <v>9</v>
      </c>
      <c r="AB424">
        <v>9</v>
      </c>
      <c r="AC424" t="s">
        <v>310</v>
      </c>
      <c r="AD424">
        <v>9</v>
      </c>
      <c r="AE424" t="s">
        <v>1387</v>
      </c>
      <c r="AF424">
        <v>40000000</v>
      </c>
      <c r="AG424" t="s">
        <v>310</v>
      </c>
      <c r="AH424">
        <f>SUM((MID(Dyno_Data[[#This Row],[Team]],4,5))+(Dyno_Data[[#This Row],[Match]]/100))</f>
        <v>6621.07</v>
      </c>
      <c r="AI424" s="76">
        <f>ROUND(SUM(IF(Dyno_Data[[#This Row],[AcqCenter]]&gt;0,Dyno_Data[[#This Row],[Time]]-SUMIFS(Dyno_Data[Time],Dyno_Data[Team],Dyno_Data[[#This Row],[Team]],Dyno_Data[RecordType],"StartMatch",Dyno_Data[Match],Dyno_Data[[#This Row],[Match]]),0)*86400),0)</f>
        <v>0</v>
      </c>
    </row>
    <row r="425" spans="1:35" x14ac:dyDescent="0.3">
      <c r="A425">
        <v>424</v>
      </c>
      <c r="B425" t="s">
        <v>1309</v>
      </c>
      <c r="C425">
        <v>7</v>
      </c>
      <c r="D425" s="105">
        <v>45373.413696145835</v>
      </c>
      <c r="E425" t="s">
        <v>312</v>
      </c>
      <c r="F425" t="s">
        <v>1402</v>
      </c>
      <c r="G425">
        <v>0</v>
      </c>
      <c r="H425" t="s">
        <v>315</v>
      </c>
      <c r="I425">
        <v>0</v>
      </c>
      <c r="J425">
        <v>0</v>
      </c>
      <c r="K425">
        <v>0</v>
      </c>
      <c r="L425" t="s">
        <v>241</v>
      </c>
      <c r="M425" t="s">
        <v>1398</v>
      </c>
      <c r="N425">
        <v>0</v>
      </c>
      <c r="O425" t="s">
        <v>1389</v>
      </c>
      <c r="P425" t="s">
        <v>310</v>
      </c>
      <c r="Q425" t="s">
        <v>310</v>
      </c>
      <c r="R425" t="s">
        <v>310</v>
      </c>
      <c r="S425">
        <v>9</v>
      </c>
      <c r="T425" t="s">
        <v>310</v>
      </c>
      <c r="U425">
        <v>9</v>
      </c>
      <c r="V425">
        <v>9</v>
      </c>
      <c r="W425">
        <v>0</v>
      </c>
      <c r="X425">
        <v>0</v>
      </c>
      <c r="Y425">
        <v>0</v>
      </c>
      <c r="Z425">
        <v>0</v>
      </c>
      <c r="AA425">
        <v>9</v>
      </c>
      <c r="AB425">
        <v>9</v>
      </c>
      <c r="AC425" t="s">
        <v>310</v>
      </c>
      <c r="AD425">
        <v>9</v>
      </c>
      <c r="AE425" t="s">
        <v>1392</v>
      </c>
      <c r="AF425">
        <v>40000000</v>
      </c>
      <c r="AG425" t="s">
        <v>310</v>
      </c>
      <c r="AH425">
        <f>SUM((MID(Dyno_Data[[#This Row],[Team]],4,5))+(Dyno_Data[[#This Row],[Match]]/100))</f>
        <v>3550.07</v>
      </c>
      <c r="AI425" s="76">
        <f>ROUND(SUM(IF(Dyno_Data[[#This Row],[AcqCenter]]&gt;0,Dyno_Data[[#This Row],[Time]]-SUMIFS(Dyno_Data[Time],Dyno_Data[Team],Dyno_Data[[#This Row],[Team]],Dyno_Data[RecordType],"StartMatch",Dyno_Data[Match],Dyno_Data[[#This Row],[Match]]),0)*86400),0)</f>
        <v>0</v>
      </c>
    </row>
    <row r="426" spans="1:35" x14ac:dyDescent="0.3">
      <c r="A426">
        <v>425</v>
      </c>
      <c r="B426" t="s">
        <v>364</v>
      </c>
      <c r="C426">
        <v>7</v>
      </c>
      <c r="D426" s="105">
        <v>45373.413762962962</v>
      </c>
      <c r="E426" t="s">
        <v>1403</v>
      </c>
      <c r="F426" t="s">
        <v>1402</v>
      </c>
      <c r="G426">
        <v>0</v>
      </c>
      <c r="H426" t="s">
        <v>310</v>
      </c>
      <c r="I426">
        <v>0</v>
      </c>
      <c r="J426">
        <v>0</v>
      </c>
      <c r="K426">
        <v>0</v>
      </c>
      <c r="L426" t="s">
        <v>310</v>
      </c>
      <c r="M426" t="s">
        <v>310</v>
      </c>
      <c r="N426">
        <v>0</v>
      </c>
      <c r="O426" t="s">
        <v>1395</v>
      </c>
      <c r="P426" t="s">
        <v>310</v>
      </c>
      <c r="Q426" t="s">
        <v>310</v>
      </c>
      <c r="R426" t="s">
        <v>310</v>
      </c>
      <c r="S426">
        <v>9</v>
      </c>
      <c r="T426" t="s">
        <v>310</v>
      </c>
      <c r="U426">
        <v>9</v>
      </c>
      <c r="V426">
        <v>9</v>
      </c>
      <c r="W426">
        <v>0</v>
      </c>
      <c r="X426">
        <v>0</v>
      </c>
      <c r="Y426">
        <v>0</v>
      </c>
      <c r="Z426">
        <v>0</v>
      </c>
      <c r="AA426">
        <v>9</v>
      </c>
      <c r="AB426">
        <v>9</v>
      </c>
      <c r="AC426" t="s">
        <v>310</v>
      </c>
      <c r="AD426">
        <v>9</v>
      </c>
      <c r="AE426" t="s">
        <v>1396</v>
      </c>
      <c r="AF426">
        <v>40000000</v>
      </c>
      <c r="AG426" t="s">
        <v>248</v>
      </c>
      <c r="AH426">
        <f>SUM((MID(Dyno_Data[[#This Row],[Team]],4,5))+(Dyno_Data[[#This Row],[Match]]/100))</f>
        <v>2791.07</v>
      </c>
      <c r="AI426" s="76">
        <f>ROUND(SUM(IF(Dyno_Data[[#This Row],[AcqCenter]]&gt;0,Dyno_Data[[#This Row],[Time]]-SUMIFS(Dyno_Data[Time],Dyno_Data[Team],Dyno_Data[[#This Row],[Team]],Dyno_Data[RecordType],"StartMatch",Dyno_Data[Match],Dyno_Data[[#This Row],[Match]]),0)*86400),0)</f>
        <v>0</v>
      </c>
    </row>
    <row r="427" spans="1:35" x14ac:dyDescent="0.3">
      <c r="A427">
        <v>426</v>
      </c>
      <c r="B427" t="s">
        <v>1308</v>
      </c>
      <c r="C427">
        <v>7</v>
      </c>
      <c r="D427" s="105">
        <v>45373.413801388888</v>
      </c>
      <c r="E427" t="s">
        <v>312</v>
      </c>
      <c r="F427" t="s">
        <v>1402</v>
      </c>
      <c r="G427">
        <v>0</v>
      </c>
      <c r="H427" t="s">
        <v>315</v>
      </c>
      <c r="I427">
        <v>0</v>
      </c>
      <c r="J427">
        <v>0</v>
      </c>
      <c r="K427">
        <v>0</v>
      </c>
      <c r="L427" t="s">
        <v>241</v>
      </c>
      <c r="M427" t="s">
        <v>101</v>
      </c>
      <c r="N427">
        <v>1</v>
      </c>
      <c r="O427" t="s">
        <v>1393</v>
      </c>
      <c r="P427" t="s">
        <v>310</v>
      </c>
      <c r="Q427" t="s">
        <v>310</v>
      </c>
      <c r="R427" t="s">
        <v>310</v>
      </c>
      <c r="S427">
        <v>9</v>
      </c>
      <c r="T427" t="s">
        <v>310</v>
      </c>
      <c r="U427">
        <v>9</v>
      </c>
      <c r="V427">
        <v>9</v>
      </c>
      <c r="W427">
        <v>0</v>
      </c>
      <c r="X427">
        <v>0</v>
      </c>
      <c r="Y427">
        <v>0</v>
      </c>
      <c r="Z427">
        <v>0</v>
      </c>
      <c r="AA427">
        <v>9</v>
      </c>
      <c r="AB427">
        <v>9</v>
      </c>
      <c r="AC427" t="s">
        <v>310</v>
      </c>
      <c r="AD427">
        <v>9</v>
      </c>
      <c r="AE427" t="s">
        <v>1394</v>
      </c>
      <c r="AF427">
        <v>70000000</v>
      </c>
      <c r="AG427" t="s">
        <v>310</v>
      </c>
      <c r="AH427">
        <f>SUM((MID(Dyno_Data[[#This Row],[Team]],4,5))+(Dyno_Data[[#This Row],[Match]]/100))</f>
        <v>3799.07</v>
      </c>
      <c r="AI427" s="76">
        <f>ROUND(SUM(IF(Dyno_Data[[#This Row],[AcqCenter]]&gt;0,Dyno_Data[[#This Row],[Time]]-SUMIFS(Dyno_Data[Time],Dyno_Data[Team],Dyno_Data[[#This Row],[Team]],Dyno_Data[RecordType],"StartMatch",Dyno_Data[Match],Dyno_Data[[#This Row],[Match]]),0)*86400),0)</f>
        <v>0</v>
      </c>
    </row>
    <row r="428" spans="1:35" x14ac:dyDescent="0.3">
      <c r="A428">
        <v>427</v>
      </c>
      <c r="B428" t="s">
        <v>1308</v>
      </c>
      <c r="C428">
        <v>7</v>
      </c>
      <c r="D428" s="105">
        <v>45373.413826006945</v>
      </c>
      <c r="E428" t="s">
        <v>312</v>
      </c>
      <c r="F428" t="s">
        <v>1402</v>
      </c>
      <c r="G428">
        <v>0</v>
      </c>
      <c r="H428" t="s">
        <v>315</v>
      </c>
      <c r="I428">
        <v>0</v>
      </c>
      <c r="J428">
        <v>0</v>
      </c>
      <c r="K428">
        <v>0</v>
      </c>
      <c r="L428" t="s">
        <v>240</v>
      </c>
      <c r="M428" t="s">
        <v>1398</v>
      </c>
      <c r="N428">
        <v>0</v>
      </c>
      <c r="O428" t="s">
        <v>1393</v>
      </c>
      <c r="P428" t="s">
        <v>310</v>
      </c>
      <c r="Q428" t="s">
        <v>310</v>
      </c>
      <c r="R428" t="s">
        <v>310</v>
      </c>
      <c r="S428">
        <v>9</v>
      </c>
      <c r="T428" t="s">
        <v>310</v>
      </c>
      <c r="U428">
        <v>9</v>
      </c>
      <c r="V428">
        <v>9</v>
      </c>
      <c r="W428">
        <v>0</v>
      </c>
      <c r="X428">
        <v>0</v>
      </c>
      <c r="Y428">
        <v>0</v>
      </c>
      <c r="Z428">
        <v>0</v>
      </c>
      <c r="AA428">
        <v>9</v>
      </c>
      <c r="AB428">
        <v>9</v>
      </c>
      <c r="AC428" t="s">
        <v>310</v>
      </c>
      <c r="AD428">
        <v>9</v>
      </c>
      <c r="AE428" t="s">
        <v>1394</v>
      </c>
      <c r="AF428">
        <v>80000000</v>
      </c>
      <c r="AG428" t="s">
        <v>310</v>
      </c>
      <c r="AH428">
        <f>SUM((MID(Dyno_Data[[#This Row],[Team]],4,5))+(Dyno_Data[[#This Row],[Match]]/100))</f>
        <v>3799.07</v>
      </c>
      <c r="AI428" s="76">
        <f>ROUND(SUM(IF(Dyno_Data[[#This Row],[AcqCenter]]&gt;0,Dyno_Data[[#This Row],[Time]]-SUMIFS(Dyno_Data[Time],Dyno_Data[Team],Dyno_Data[[#This Row],[Team]],Dyno_Data[RecordType],"StartMatch",Dyno_Data[Match],Dyno_Data[[#This Row],[Match]]),0)*86400),0)</f>
        <v>0</v>
      </c>
    </row>
    <row r="429" spans="1:35" x14ac:dyDescent="0.3">
      <c r="A429">
        <v>428</v>
      </c>
      <c r="B429" t="s">
        <v>1309</v>
      </c>
      <c r="C429">
        <v>7</v>
      </c>
      <c r="D429" s="105">
        <v>45373.413884606482</v>
      </c>
      <c r="E429" t="s">
        <v>312</v>
      </c>
      <c r="F429" t="s">
        <v>1402</v>
      </c>
      <c r="G429">
        <v>0</v>
      </c>
      <c r="H429" t="s">
        <v>315</v>
      </c>
      <c r="I429">
        <v>0</v>
      </c>
      <c r="J429">
        <v>0</v>
      </c>
      <c r="K429">
        <v>0</v>
      </c>
      <c r="L429" t="s">
        <v>241</v>
      </c>
      <c r="M429" t="s">
        <v>101</v>
      </c>
      <c r="N429">
        <v>0</v>
      </c>
      <c r="O429" t="s">
        <v>1389</v>
      </c>
      <c r="P429" t="s">
        <v>310</v>
      </c>
      <c r="Q429" t="s">
        <v>310</v>
      </c>
      <c r="R429" t="s">
        <v>310</v>
      </c>
      <c r="S429">
        <v>9</v>
      </c>
      <c r="T429" t="s">
        <v>310</v>
      </c>
      <c r="U429">
        <v>9</v>
      </c>
      <c r="V429">
        <v>9</v>
      </c>
      <c r="W429">
        <v>0</v>
      </c>
      <c r="X429">
        <v>0</v>
      </c>
      <c r="Y429">
        <v>0</v>
      </c>
      <c r="Z429">
        <v>0</v>
      </c>
      <c r="AA429">
        <v>9</v>
      </c>
      <c r="AB429">
        <v>9</v>
      </c>
      <c r="AC429" t="s">
        <v>310</v>
      </c>
      <c r="AD429">
        <v>9</v>
      </c>
      <c r="AE429" t="s">
        <v>1392</v>
      </c>
      <c r="AF429">
        <v>50000000</v>
      </c>
      <c r="AG429" t="s">
        <v>310</v>
      </c>
      <c r="AH429">
        <f>SUM((MID(Dyno_Data[[#This Row],[Team]],4,5))+(Dyno_Data[[#This Row],[Match]]/100))</f>
        <v>3550.07</v>
      </c>
      <c r="AI429" s="76">
        <f>ROUND(SUM(IF(Dyno_Data[[#This Row],[AcqCenter]]&gt;0,Dyno_Data[[#This Row],[Time]]-SUMIFS(Dyno_Data[Time],Dyno_Data[Team],Dyno_Data[[#This Row],[Team]],Dyno_Data[RecordType],"StartMatch",Dyno_Data[Match],Dyno_Data[[#This Row],[Match]]),0)*86400),0)</f>
        <v>0</v>
      </c>
    </row>
    <row r="430" spans="1:35" x14ac:dyDescent="0.3">
      <c r="A430">
        <v>429</v>
      </c>
      <c r="B430" t="s">
        <v>1311</v>
      </c>
      <c r="C430">
        <v>7</v>
      </c>
      <c r="D430" s="105">
        <v>45373.413887465278</v>
      </c>
      <c r="E430" t="s">
        <v>312</v>
      </c>
      <c r="F430" t="s">
        <v>1402</v>
      </c>
      <c r="G430">
        <v>0</v>
      </c>
      <c r="H430" t="s">
        <v>315</v>
      </c>
      <c r="I430">
        <v>0</v>
      </c>
      <c r="J430">
        <v>0</v>
      </c>
      <c r="K430">
        <v>0</v>
      </c>
      <c r="L430" t="s">
        <v>241</v>
      </c>
      <c r="M430" t="s">
        <v>101</v>
      </c>
      <c r="N430">
        <v>1</v>
      </c>
      <c r="O430" t="s">
        <v>1391</v>
      </c>
      <c r="P430" t="s">
        <v>310</v>
      </c>
      <c r="Q430" t="s">
        <v>310</v>
      </c>
      <c r="R430" t="s">
        <v>310</v>
      </c>
      <c r="S430">
        <v>9</v>
      </c>
      <c r="T430" t="s">
        <v>310</v>
      </c>
      <c r="U430">
        <v>9</v>
      </c>
      <c r="V430">
        <v>9</v>
      </c>
      <c r="W430">
        <v>0</v>
      </c>
      <c r="X430">
        <v>0</v>
      </c>
      <c r="Y430">
        <v>0</v>
      </c>
      <c r="Z430">
        <v>0</v>
      </c>
      <c r="AA430">
        <v>9</v>
      </c>
      <c r="AB430">
        <v>9</v>
      </c>
      <c r="AC430" t="s">
        <v>310</v>
      </c>
      <c r="AD430">
        <v>9</v>
      </c>
      <c r="AE430" t="s">
        <v>1390</v>
      </c>
      <c r="AF430">
        <v>10000000</v>
      </c>
      <c r="AG430" t="s">
        <v>310</v>
      </c>
      <c r="AH430">
        <f>SUM((MID(Dyno_Data[[#This Row],[Team]],4,5))+(Dyno_Data[[#This Row],[Match]]/100))</f>
        <v>2234.0700000000002</v>
      </c>
      <c r="AI430" s="76">
        <f>ROUND(SUM(IF(Dyno_Data[[#This Row],[AcqCenter]]&gt;0,Dyno_Data[[#This Row],[Time]]-SUMIFS(Dyno_Data[Time],Dyno_Data[Team],Dyno_Data[[#This Row],[Team]],Dyno_Data[RecordType],"StartMatch",Dyno_Data[Match],Dyno_Data[[#This Row],[Match]]),0)*86400),0)</f>
        <v>0</v>
      </c>
    </row>
    <row r="431" spans="1:35" x14ac:dyDescent="0.3">
      <c r="A431">
        <v>430</v>
      </c>
      <c r="B431" t="s">
        <v>1312</v>
      </c>
      <c r="C431">
        <v>7</v>
      </c>
      <c r="D431" s="105">
        <v>45373.413910844909</v>
      </c>
      <c r="E431" t="s">
        <v>312</v>
      </c>
      <c r="F431" t="s">
        <v>1402</v>
      </c>
      <c r="G431">
        <v>0</v>
      </c>
      <c r="H431" t="s">
        <v>315</v>
      </c>
      <c r="I431">
        <v>0</v>
      </c>
      <c r="J431">
        <v>0</v>
      </c>
      <c r="K431">
        <v>0</v>
      </c>
      <c r="L431" t="s">
        <v>241</v>
      </c>
      <c r="M431" t="s">
        <v>241</v>
      </c>
      <c r="N431">
        <v>0</v>
      </c>
      <c r="O431" t="s">
        <v>319</v>
      </c>
      <c r="P431" t="s">
        <v>310</v>
      </c>
      <c r="Q431" t="s">
        <v>310</v>
      </c>
      <c r="R431" t="s">
        <v>310</v>
      </c>
      <c r="S431">
        <v>9</v>
      </c>
      <c r="T431" t="s">
        <v>310</v>
      </c>
      <c r="U431">
        <v>9</v>
      </c>
      <c r="V431">
        <v>9</v>
      </c>
      <c r="W431">
        <v>0</v>
      </c>
      <c r="X431">
        <v>0</v>
      </c>
      <c r="Y431">
        <v>0</v>
      </c>
      <c r="Z431">
        <v>0</v>
      </c>
      <c r="AA431">
        <v>9</v>
      </c>
      <c r="AB431">
        <v>9</v>
      </c>
      <c r="AC431" t="s">
        <v>310</v>
      </c>
      <c r="AD431">
        <v>9</v>
      </c>
      <c r="AE431" t="s">
        <v>1388</v>
      </c>
      <c r="AF431">
        <v>20000000</v>
      </c>
      <c r="AG431" t="s">
        <v>310</v>
      </c>
      <c r="AH431">
        <f>SUM((MID(Dyno_Data[[#This Row],[Team]],4,5))+(Dyno_Data[[#This Row],[Match]]/100))</f>
        <v>2053.0700000000002</v>
      </c>
      <c r="AI431" s="76">
        <f>ROUND(SUM(IF(Dyno_Data[[#This Row],[AcqCenter]]&gt;0,Dyno_Data[[#This Row],[Time]]-SUMIFS(Dyno_Data[Time],Dyno_Data[Team],Dyno_Data[[#This Row],[Team]],Dyno_Data[RecordType],"StartMatch",Dyno_Data[Match],Dyno_Data[[#This Row],[Match]]),0)*86400),0)</f>
        <v>0</v>
      </c>
    </row>
    <row r="432" spans="1:35" x14ac:dyDescent="0.3">
      <c r="A432">
        <v>431</v>
      </c>
      <c r="B432" t="s">
        <v>1308</v>
      </c>
      <c r="C432">
        <v>7</v>
      </c>
      <c r="D432" s="105">
        <v>45373.413990821762</v>
      </c>
      <c r="E432" t="s">
        <v>312</v>
      </c>
      <c r="F432" t="s">
        <v>1402</v>
      </c>
      <c r="G432">
        <v>0</v>
      </c>
      <c r="H432" t="s">
        <v>315</v>
      </c>
      <c r="I432">
        <v>0</v>
      </c>
      <c r="J432">
        <v>0</v>
      </c>
      <c r="K432">
        <v>0</v>
      </c>
      <c r="L432" t="s">
        <v>240</v>
      </c>
      <c r="M432" t="s">
        <v>1398</v>
      </c>
      <c r="N432">
        <v>0</v>
      </c>
      <c r="O432" t="s">
        <v>1393</v>
      </c>
      <c r="P432" t="s">
        <v>310</v>
      </c>
      <c r="Q432" t="s">
        <v>310</v>
      </c>
      <c r="R432" t="s">
        <v>310</v>
      </c>
      <c r="S432">
        <v>9</v>
      </c>
      <c r="T432" t="s">
        <v>310</v>
      </c>
      <c r="U432">
        <v>9</v>
      </c>
      <c r="V432">
        <v>9</v>
      </c>
      <c r="W432">
        <v>0</v>
      </c>
      <c r="X432">
        <v>0</v>
      </c>
      <c r="Y432">
        <v>0</v>
      </c>
      <c r="Z432">
        <v>0</v>
      </c>
      <c r="AA432">
        <v>9</v>
      </c>
      <c r="AB432">
        <v>9</v>
      </c>
      <c r="AC432" t="s">
        <v>310</v>
      </c>
      <c r="AD432">
        <v>9</v>
      </c>
      <c r="AE432" t="s">
        <v>1394</v>
      </c>
      <c r="AF432">
        <v>90000000</v>
      </c>
      <c r="AG432" t="s">
        <v>310</v>
      </c>
      <c r="AH432">
        <f>SUM((MID(Dyno_Data[[#This Row],[Team]],4,5))+(Dyno_Data[[#This Row],[Match]]/100))</f>
        <v>3799.07</v>
      </c>
      <c r="AI432" s="76">
        <f>ROUND(SUM(IF(Dyno_Data[[#This Row],[AcqCenter]]&gt;0,Dyno_Data[[#This Row],[Time]]-SUMIFS(Dyno_Data[Time],Dyno_Data[Team],Dyno_Data[[#This Row],[Team]],Dyno_Data[RecordType],"StartMatch",Dyno_Data[Match],Dyno_Data[[#This Row],[Match]]),0)*86400),0)</f>
        <v>0</v>
      </c>
    </row>
    <row r="433" spans="1:35" x14ac:dyDescent="0.3">
      <c r="A433">
        <v>432</v>
      </c>
      <c r="B433" t="s">
        <v>1309</v>
      </c>
      <c r="C433">
        <v>7</v>
      </c>
      <c r="D433" s="105">
        <v>45373.41403197917</v>
      </c>
      <c r="E433" t="s">
        <v>312</v>
      </c>
      <c r="F433" t="s">
        <v>1402</v>
      </c>
      <c r="G433">
        <v>0</v>
      </c>
      <c r="H433" t="s">
        <v>315</v>
      </c>
      <c r="I433">
        <v>0</v>
      </c>
      <c r="J433">
        <v>0</v>
      </c>
      <c r="K433">
        <v>0</v>
      </c>
      <c r="L433" t="s">
        <v>240</v>
      </c>
      <c r="M433" t="s">
        <v>1398</v>
      </c>
      <c r="N433">
        <v>0</v>
      </c>
      <c r="O433" t="s">
        <v>1389</v>
      </c>
      <c r="P433" t="s">
        <v>310</v>
      </c>
      <c r="Q433" t="s">
        <v>310</v>
      </c>
      <c r="R433" t="s">
        <v>310</v>
      </c>
      <c r="S433">
        <v>9</v>
      </c>
      <c r="T433" t="s">
        <v>310</v>
      </c>
      <c r="U433">
        <v>9</v>
      </c>
      <c r="V433">
        <v>9</v>
      </c>
      <c r="W433">
        <v>0</v>
      </c>
      <c r="X433">
        <v>0</v>
      </c>
      <c r="Y433">
        <v>0</v>
      </c>
      <c r="Z433">
        <v>0</v>
      </c>
      <c r="AA433">
        <v>9</v>
      </c>
      <c r="AB433">
        <v>9</v>
      </c>
      <c r="AC433" t="s">
        <v>310</v>
      </c>
      <c r="AD433">
        <v>9</v>
      </c>
      <c r="AE433" t="s">
        <v>1392</v>
      </c>
      <c r="AF433">
        <v>60000000</v>
      </c>
      <c r="AG433" t="s">
        <v>310</v>
      </c>
      <c r="AH433">
        <f>SUM((MID(Dyno_Data[[#This Row],[Team]],4,5))+(Dyno_Data[[#This Row],[Match]]/100))</f>
        <v>3550.07</v>
      </c>
      <c r="AI433" s="76">
        <f>ROUND(SUM(IF(Dyno_Data[[#This Row],[AcqCenter]]&gt;0,Dyno_Data[[#This Row],[Time]]-SUMIFS(Dyno_Data[Time],Dyno_Data[Team],Dyno_Data[[#This Row],[Team]],Dyno_Data[RecordType],"StartMatch",Dyno_Data[Match],Dyno_Data[[#This Row],[Match]]),0)*86400),0)</f>
        <v>0</v>
      </c>
    </row>
    <row r="434" spans="1:35" x14ac:dyDescent="0.3">
      <c r="A434">
        <v>433</v>
      </c>
      <c r="B434" t="s">
        <v>1308</v>
      </c>
      <c r="C434">
        <v>7</v>
      </c>
      <c r="D434" s="105">
        <v>45373.41404945602</v>
      </c>
      <c r="E434" t="s">
        <v>312</v>
      </c>
      <c r="F434" t="s">
        <v>1402</v>
      </c>
      <c r="G434">
        <v>0</v>
      </c>
      <c r="H434" t="s">
        <v>315</v>
      </c>
      <c r="I434">
        <v>0</v>
      </c>
      <c r="J434">
        <v>0</v>
      </c>
      <c r="K434">
        <v>0</v>
      </c>
      <c r="L434" t="s">
        <v>240</v>
      </c>
      <c r="M434" t="s">
        <v>1398</v>
      </c>
      <c r="N434">
        <v>0</v>
      </c>
      <c r="O434" t="s">
        <v>1393</v>
      </c>
      <c r="P434" t="s">
        <v>310</v>
      </c>
      <c r="Q434" t="s">
        <v>310</v>
      </c>
      <c r="R434" t="s">
        <v>310</v>
      </c>
      <c r="S434">
        <v>9</v>
      </c>
      <c r="T434" t="s">
        <v>310</v>
      </c>
      <c r="U434">
        <v>9</v>
      </c>
      <c r="V434">
        <v>9</v>
      </c>
      <c r="W434">
        <v>0</v>
      </c>
      <c r="X434">
        <v>0</v>
      </c>
      <c r="Y434">
        <v>0</v>
      </c>
      <c r="Z434">
        <v>0</v>
      </c>
      <c r="AA434">
        <v>9</v>
      </c>
      <c r="AB434">
        <v>9</v>
      </c>
      <c r="AC434" t="s">
        <v>310</v>
      </c>
      <c r="AD434">
        <v>9</v>
      </c>
      <c r="AE434" t="s">
        <v>1394</v>
      </c>
      <c r="AF434">
        <v>100000000</v>
      </c>
      <c r="AG434" t="s">
        <v>310</v>
      </c>
      <c r="AH434">
        <f>SUM((MID(Dyno_Data[[#This Row],[Team]],4,5))+(Dyno_Data[[#This Row],[Match]]/100))</f>
        <v>3799.07</v>
      </c>
      <c r="AI434" s="76">
        <f>ROUND(SUM(IF(Dyno_Data[[#This Row],[AcqCenter]]&gt;0,Dyno_Data[[#This Row],[Time]]-SUMIFS(Dyno_Data[Time],Dyno_Data[Team],Dyno_Data[[#This Row],[Team]],Dyno_Data[RecordType],"StartMatch",Dyno_Data[Match],Dyno_Data[[#This Row],[Match]]),0)*86400),0)</f>
        <v>0</v>
      </c>
    </row>
    <row r="435" spans="1:35" x14ac:dyDescent="0.3">
      <c r="A435">
        <v>434</v>
      </c>
      <c r="B435" t="s">
        <v>1312</v>
      </c>
      <c r="C435">
        <v>7</v>
      </c>
      <c r="D435" s="105">
        <v>45373.414195798614</v>
      </c>
      <c r="E435" t="s">
        <v>1403</v>
      </c>
      <c r="F435" t="s">
        <v>1402</v>
      </c>
      <c r="G435">
        <v>0</v>
      </c>
      <c r="H435" t="s">
        <v>310</v>
      </c>
      <c r="I435">
        <v>0</v>
      </c>
      <c r="J435">
        <v>0</v>
      </c>
      <c r="K435">
        <v>0</v>
      </c>
      <c r="L435" t="s">
        <v>310</v>
      </c>
      <c r="M435" t="s">
        <v>310</v>
      </c>
      <c r="N435">
        <v>0</v>
      </c>
      <c r="O435" t="s">
        <v>319</v>
      </c>
      <c r="P435" t="s">
        <v>310</v>
      </c>
      <c r="Q435" t="s">
        <v>310</v>
      </c>
      <c r="R435" t="s">
        <v>310</v>
      </c>
      <c r="S435">
        <v>9</v>
      </c>
      <c r="T435" t="s">
        <v>310</v>
      </c>
      <c r="U435">
        <v>9</v>
      </c>
      <c r="V435">
        <v>9</v>
      </c>
      <c r="W435">
        <v>0</v>
      </c>
      <c r="X435">
        <v>0</v>
      </c>
      <c r="Y435">
        <v>0</v>
      </c>
      <c r="Z435">
        <v>0</v>
      </c>
      <c r="AA435">
        <v>9</v>
      </c>
      <c r="AB435">
        <v>9</v>
      </c>
      <c r="AC435" t="s">
        <v>310</v>
      </c>
      <c r="AD435">
        <v>9</v>
      </c>
      <c r="AE435" t="s">
        <v>1388</v>
      </c>
      <c r="AF435">
        <v>100000000</v>
      </c>
      <c r="AG435" t="s">
        <v>249</v>
      </c>
      <c r="AH435">
        <f>SUM((MID(Dyno_Data[[#This Row],[Team]],4,5))+(Dyno_Data[[#This Row],[Match]]/100))</f>
        <v>2053.0700000000002</v>
      </c>
      <c r="AI435" s="76">
        <f>ROUND(SUM(IF(Dyno_Data[[#This Row],[AcqCenter]]&gt;0,Dyno_Data[[#This Row],[Time]]-SUMIFS(Dyno_Data[Time],Dyno_Data[Team],Dyno_Data[[#This Row],[Team]],Dyno_Data[RecordType],"StartMatch",Dyno_Data[Match],Dyno_Data[[#This Row],[Match]]),0)*86400),0)</f>
        <v>0</v>
      </c>
    </row>
    <row r="436" spans="1:35" x14ac:dyDescent="0.3">
      <c r="A436">
        <v>435</v>
      </c>
      <c r="B436" t="s">
        <v>1309</v>
      </c>
      <c r="C436">
        <v>7</v>
      </c>
      <c r="D436" s="105">
        <v>45373.414227048612</v>
      </c>
      <c r="E436" t="s">
        <v>312</v>
      </c>
      <c r="F436" t="s">
        <v>1402</v>
      </c>
      <c r="G436">
        <v>0</v>
      </c>
      <c r="H436" t="s">
        <v>315</v>
      </c>
      <c r="I436">
        <v>0</v>
      </c>
      <c r="J436">
        <v>0</v>
      </c>
      <c r="K436">
        <v>0</v>
      </c>
      <c r="L436" t="s">
        <v>241</v>
      </c>
      <c r="M436" t="s">
        <v>101</v>
      </c>
      <c r="N436">
        <v>0</v>
      </c>
      <c r="O436" t="s">
        <v>1389</v>
      </c>
      <c r="P436" t="s">
        <v>310</v>
      </c>
      <c r="Q436" t="s">
        <v>310</v>
      </c>
      <c r="R436" t="s">
        <v>310</v>
      </c>
      <c r="S436">
        <v>9</v>
      </c>
      <c r="T436" t="s">
        <v>310</v>
      </c>
      <c r="U436">
        <v>9</v>
      </c>
      <c r="V436">
        <v>9</v>
      </c>
      <c r="W436">
        <v>0</v>
      </c>
      <c r="X436">
        <v>0</v>
      </c>
      <c r="Y436">
        <v>0</v>
      </c>
      <c r="Z436">
        <v>0</v>
      </c>
      <c r="AA436">
        <v>9</v>
      </c>
      <c r="AB436">
        <v>9</v>
      </c>
      <c r="AC436" t="s">
        <v>310</v>
      </c>
      <c r="AD436">
        <v>9</v>
      </c>
      <c r="AE436" t="s">
        <v>1392</v>
      </c>
      <c r="AF436">
        <v>70000000</v>
      </c>
      <c r="AG436" t="s">
        <v>310</v>
      </c>
      <c r="AH436">
        <f>SUM((MID(Dyno_Data[[#This Row],[Team]],4,5))+(Dyno_Data[[#This Row],[Match]]/100))</f>
        <v>3550.07</v>
      </c>
      <c r="AI436" s="76">
        <f>ROUND(SUM(IF(Dyno_Data[[#This Row],[AcqCenter]]&gt;0,Dyno_Data[[#This Row],[Time]]-SUMIFS(Dyno_Data[Time],Dyno_Data[Team],Dyno_Data[[#This Row],[Team]],Dyno_Data[RecordType],"StartMatch",Dyno_Data[Match],Dyno_Data[[#This Row],[Match]]),0)*86400),0)</f>
        <v>0</v>
      </c>
    </row>
    <row r="437" spans="1:35" x14ac:dyDescent="0.3">
      <c r="A437">
        <v>436</v>
      </c>
      <c r="B437" t="s">
        <v>1308</v>
      </c>
      <c r="C437">
        <v>7</v>
      </c>
      <c r="D437" s="105">
        <v>45373.414272719907</v>
      </c>
      <c r="E437" t="s">
        <v>312</v>
      </c>
      <c r="F437" t="s">
        <v>1402</v>
      </c>
      <c r="G437">
        <v>0</v>
      </c>
      <c r="H437" t="s">
        <v>315</v>
      </c>
      <c r="I437">
        <v>0</v>
      </c>
      <c r="J437">
        <v>0</v>
      </c>
      <c r="K437">
        <v>0</v>
      </c>
      <c r="L437" t="s">
        <v>240</v>
      </c>
      <c r="M437" t="s">
        <v>1398</v>
      </c>
      <c r="N437">
        <v>0</v>
      </c>
      <c r="O437" t="s">
        <v>1393</v>
      </c>
      <c r="P437" t="s">
        <v>310</v>
      </c>
      <c r="Q437" t="s">
        <v>310</v>
      </c>
      <c r="R437" t="s">
        <v>310</v>
      </c>
      <c r="S437">
        <v>9</v>
      </c>
      <c r="T437" t="s">
        <v>310</v>
      </c>
      <c r="U437">
        <v>9</v>
      </c>
      <c r="V437">
        <v>9</v>
      </c>
      <c r="W437">
        <v>0</v>
      </c>
      <c r="X437">
        <v>0</v>
      </c>
      <c r="Y437">
        <v>0</v>
      </c>
      <c r="Z437">
        <v>0</v>
      </c>
      <c r="AA437">
        <v>9</v>
      </c>
      <c r="AB437">
        <v>9</v>
      </c>
      <c r="AC437" t="s">
        <v>310</v>
      </c>
      <c r="AD437">
        <v>9</v>
      </c>
      <c r="AE437" t="s">
        <v>1394</v>
      </c>
      <c r="AF437">
        <v>110000000</v>
      </c>
      <c r="AG437" t="s">
        <v>310</v>
      </c>
      <c r="AH437">
        <f>SUM((MID(Dyno_Data[[#This Row],[Team]],4,5))+(Dyno_Data[[#This Row],[Match]]/100))</f>
        <v>3799.07</v>
      </c>
      <c r="AI437" s="76">
        <f>ROUND(SUM(IF(Dyno_Data[[#This Row],[AcqCenter]]&gt;0,Dyno_Data[[#This Row],[Time]]-SUMIFS(Dyno_Data[Time],Dyno_Data[Team],Dyno_Data[[#This Row],[Team]],Dyno_Data[RecordType],"StartMatch",Dyno_Data[Match],Dyno_Data[[#This Row],[Match]]),0)*86400),0)</f>
        <v>0</v>
      </c>
    </row>
    <row r="438" spans="1:35" x14ac:dyDescent="0.3">
      <c r="A438">
        <v>437</v>
      </c>
      <c r="B438" t="s">
        <v>1310</v>
      </c>
      <c r="C438">
        <v>7</v>
      </c>
      <c r="D438" s="105">
        <v>45373.414362534721</v>
      </c>
      <c r="E438" t="s">
        <v>312</v>
      </c>
      <c r="F438" t="s">
        <v>1402</v>
      </c>
      <c r="G438">
        <v>0</v>
      </c>
      <c r="H438" t="s">
        <v>315</v>
      </c>
      <c r="I438">
        <v>0</v>
      </c>
      <c r="J438">
        <v>0</v>
      </c>
      <c r="K438">
        <v>0</v>
      </c>
      <c r="L438" t="s">
        <v>240</v>
      </c>
      <c r="M438" t="s">
        <v>1398</v>
      </c>
      <c r="N438">
        <v>0</v>
      </c>
      <c r="O438" t="s">
        <v>311</v>
      </c>
      <c r="P438" t="s">
        <v>310</v>
      </c>
      <c r="Q438" t="s">
        <v>310</v>
      </c>
      <c r="R438" t="s">
        <v>310</v>
      </c>
      <c r="S438">
        <v>9</v>
      </c>
      <c r="T438" t="s">
        <v>310</v>
      </c>
      <c r="U438">
        <v>9</v>
      </c>
      <c r="V438">
        <v>9</v>
      </c>
      <c r="W438">
        <v>0</v>
      </c>
      <c r="X438">
        <v>0</v>
      </c>
      <c r="Y438">
        <v>0</v>
      </c>
      <c r="Z438">
        <v>0</v>
      </c>
      <c r="AA438">
        <v>9</v>
      </c>
      <c r="AB438">
        <v>9</v>
      </c>
      <c r="AC438" t="s">
        <v>310</v>
      </c>
      <c r="AD438">
        <v>9</v>
      </c>
      <c r="AE438" t="s">
        <v>1387</v>
      </c>
      <c r="AF438">
        <v>50000000</v>
      </c>
      <c r="AG438" t="s">
        <v>310</v>
      </c>
      <c r="AH438">
        <f>SUM((MID(Dyno_Data[[#This Row],[Team]],4,5))+(Dyno_Data[[#This Row],[Match]]/100))</f>
        <v>6621.07</v>
      </c>
      <c r="AI438" s="76">
        <f>ROUND(SUM(IF(Dyno_Data[[#This Row],[AcqCenter]]&gt;0,Dyno_Data[[#This Row],[Time]]-SUMIFS(Dyno_Data[Time],Dyno_Data[Team],Dyno_Data[[#This Row],[Team]],Dyno_Data[RecordType],"StartMatch",Dyno_Data[Match],Dyno_Data[[#This Row],[Match]]),0)*86400),0)</f>
        <v>0</v>
      </c>
    </row>
    <row r="439" spans="1:35" x14ac:dyDescent="0.3">
      <c r="A439">
        <v>438</v>
      </c>
      <c r="B439" t="s">
        <v>1309</v>
      </c>
      <c r="C439">
        <v>7</v>
      </c>
      <c r="D439" s="105">
        <v>45373.414377002315</v>
      </c>
      <c r="E439" t="s">
        <v>312</v>
      </c>
      <c r="F439" t="s">
        <v>1402</v>
      </c>
      <c r="G439">
        <v>0</v>
      </c>
      <c r="H439" t="s">
        <v>315</v>
      </c>
      <c r="I439">
        <v>0</v>
      </c>
      <c r="J439">
        <v>0</v>
      </c>
      <c r="K439">
        <v>0</v>
      </c>
      <c r="L439" t="s">
        <v>241</v>
      </c>
      <c r="M439" t="s">
        <v>101</v>
      </c>
      <c r="N439">
        <v>0</v>
      </c>
      <c r="O439" t="s">
        <v>1389</v>
      </c>
      <c r="P439" t="s">
        <v>310</v>
      </c>
      <c r="Q439" t="s">
        <v>310</v>
      </c>
      <c r="R439" t="s">
        <v>310</v>
      </c>
      <c r="S439">
        <v>9</v>
      </c>
      <c r="T439" t="s">
        <v>310</v>
      </c>
      <c r="U439">
        <v>9</v>
      </c>
      <c r="V439">
        <v>9</v>
      </c>
      <c r="W439">
        <v>0</v>
      </c>
      <c r="X439">
        <v>0</v>
      </c>
      <c r="Y439">
        <v>0</v>
      </c>
      <c r="Z439">
        <v>0</v>
      </c>
      <c r="AA439">
        <v>9</v>
      </c>
      <c r="AB439">
        <v>9</v>
      </c>
      <c r="AC439" t="s">
        <v>310</v>
      </c>
      <c r="AD439">
        <v>9</v>
      </c>
      <c r="AE439" t="s">
        <v>1392</v>
      </c>
      <c r="AF439">
        <v>80000000</v>
      </c>
      <c r="AG439" t="s">
        <v>310</v>
      </c>
      <c r="AH439">
        <f>SUM((MID(Dyno_Data[[#This Row],[Team]],4,5))+(Dyno_Data[[#This Row],[Match]]/100))</f>
        <v>3550.07</v>
      </c>
      <c r="AI439" s="76">
        <f>ROUND(SUM(IF(Dyno_Data[[#This Row],[AcqCenter]]&gt;0,Dyno_Data[[#This Row],[Time]]-SUMIFS(Dyno_Data[Time],Dyno_Data[Team],Dyno_Data[[#This Row],[Team]],Dyno_Data[RecordType],"StartMatch",Dyno_Data[Match],Dyno_Data[[#This Row],[Match]]),0)*86400),0)</f>
        <v>0</v>
      </c>
    </row>
    <row r="440" spans="1:35" x14ac:dyDescent="0.3">
      <c r="A440">
        <v>439</v>
      </c>
      <c r="B440" t="s">
        <v>1310</v>
      </c>
      <c r="C440">
        <v>7</v>
      </c>
      <c r="D440" s="105">
        <v>45373.414424884257</v>
      </c>
      <c r="E440" t="s">
        <v>312</v>
      </c>
      <c r="F440" t="s">
        <v>1402</v>
      </c>
      <c r="G440">
        <v>0</v>
      </c>
      <c r="H440" t="s">
        <v>315</v>
      </c>
      <c r="I440">
        <v>0</v>
      </c>
      <c r="J440">
        <v>0</v>
      </c>
      <c r="K440">
        <v>0</v>
      </c>
      <c r="L440" t="s">
        <v>240</v>
      </c>
      <c r="M440" t="s">
        <v>1398</v>
      </c>
      <c r="N440">
        <v>1</v>
      </c>
      <c r="O440" t="s">
        <v>311</v>
      </c>
      <c r="P440" t="s">
        <v>310</v>
      </c>
      <c r="Q440" t="s">
        <v>310</v>
      </c>
      <c r="R440" t="s">
        <v>310</v>
      </c>
      <c r="S440">
        <v>9</v>
      </c>
      <c r="T440" t="s">
        <v>310</v>
      </c>
      <c r="U440">
        <v>9</v>
      </c>
      <c r="V440">
        <v>9</v>
      </c>
      <c r="W440">
        <v>0</v>
      </c>
      <c r="X440">
        <v>0</v>
      </c>
      <c r="Y440">
        <v>0</v>
      </c>
      <c r="Z440">
        <v>0</v>
      </c>
      <c r="AA440">
        <v>9</v>
      </c>
      <c r="AB440">
        <v>9</v>
      </c>
      <c r="AC440" t="s">
        <v>310</v>
      </c>
      <c r="AD440">
        <v>9</v>
      </c>
      <c r="AE440" t="s">
        <v>1387</v>
      </c>
      <c r="AF440">
        <v>60000000</v>
      </c>
      <c r="AG440" t="s">
        <v>310</v>
      </c>
      <c r="AH440">
        <f>SUM((MID(Dyno_Data[[#This Row],[Team]],4,5))+(Dyno_Data[[#This Row],[Match]]/100))</f>
        <v>6621.07</v>
      </c>
      <c r="AI440" s="76">
        <f>ROUND(SUM(IF(Dyno_Data[[#This Row],[AcqCenter]]&gt;0,Dyno_Data[[#This Row],[Time]]-SUMIFS(Dyno_Data[Time],Dyno_Data[Team],Dyno_Data[[#This Row],[Team]],Dyno_Data[RecordType],"StartMatch",Dyno_Data[Match],Dyno_Data[[#This Row],[Match]]),0)*86400),0)</f>
        <v>0</v>
      </c>
    </row>
    <row r="441" spans="1:35" x14ac:dyDescent="0.3">
      <c r="A441">
        <v>440</v>
      </c>
      <c r="B441" t="s">
        <v>1308</v>
      </c>
      <c r="C441">
        <v>7</v>
      </c>
      <c r="D441" s="105">
        <v>45373.414430671299</v>
      </c>
      <c r="E441" t="s">
        <v>312</v>
      </c>
      <c r="F441" t="s">
        <v>1402</v>
      </c>
      <c r="G441">
        <v>0</v>
      </c>
      <c r="H441" t="s">
        <v>315</v>
      </c>
      <c r="I441">
        <v>0</v>
      </c>
      <c r="J441">
        <v>0</v>
      </c>
      <c r="K441">
        <v>0</v>
      </c>
      <c r="L441" t="s">
        <v>240</v>
      </c>
      <c r="M441" t="s">
        <v>1398</v>
      </c>
      <c r="N441">
        <v>0</v>
      </c>
      <c r="O441" t="s">
        <v>1393</v>
      </c>
      <c r="P441" t="s">
        <v>310</v>
      </c>
      <c r="Q441" t="s">
        <v>310</v>
      </c>
      <c r="R441" t="s">
        <v>310</v>
      </c>
      <c r="S441">
        <v>9</v>
      </c>
      <c r="T441" t="s">
        <v>310</v>
      </c>
      <c r="U441">
        <v>9</v>
      </c>
      <c r="V441">
        <v>9</v>
      </c>
      <c r="W441">
        <v>0</v>
      </c>
      <c r="X441">
        <v>0</v>
      </c>
      <c r="Y441">
        <v>0</v>
      </c>
      <c r="Z441">
        <v>0</v>
      </c>
      <c r="AA441">
        <v>9</v>
      </c>
      <c r="AB441">
        <v>9</v>
      </c>
      <c r="AC441" t="s">
        <v>310</v>
      </c>
      <c r="AD441">
        <v>9</v>
      </c>
      <c r="AE441" t="s">
        <v>1394</v>
      </c>
      <c r="AF441">
        <v>120000000</v>
      </c>
      <c r="AG441" t="s">
        <v>310</v>
      </c>
      <c r="AH441">
        <f>SUM((MID(Dyno_Data[[#This Row],[Team]],4,5))+(Dyno_Data[[#This Row],[Match]]/100))</f>
        <v>3799.07</v>
      </c>
      <c r="AI441" s="76">
        <f>ROUND(SUM(IF(Dyno_Data[[#This Row],[AcqCenter]]&gt;0,Dyno_Data[[#This Row],[Time]]-SUMIFS(Dyno_Data[Time],Dyno_Data[Team],Dyno_Data[[#This Row],[Team]],Dyno_Data[RecordType],"StartMatch",Dyno_Data[Match],Dyno_Data[[#This Row],[Match]]),0)*86400),0)</f>
        <v>0</v>
      </c>
    </row>
    <row r="442" spans="1:35" x14ac:dyDescent="0.3">
      <c r="A442">
        <v>441</v>
      </c>
      <c r="B442" t="s">
        <v>1311</v>
      </c>
      <c r="C442">
        <v>7</v>
      </c>
      <c r="D442" s="105">
        <v>45373.414516932869</v>
      </c>
      <c r="E442" t="s">
        <v>1403</v>
      </c>
      <c r="F442" t="s">
        <v>1402</v>
      </c>
      <c r="G442">
        <v>0</v>
      </c>
      <c r="H442" t="s">
        <v>310</v>
      </c>
      <c r="I442">
        <v>0</v>
      </c>
      <c r="J442">
        <v>0</v>
      </c>
      <c r="K442">
        <v>0</v>
      </c>
      <c r="L442" t="s">
        <v>310</v>
      </c>
      <c r="M442" t="s">
        <v>310</v>
      </c>
      <c r="N442">
        <v>0</v>
      </c>
      <c r="O442" t="s">
        <v>1391</v>
      </c>
      <c r="P442" t="s">
        <v>310</v>
      </c>
      <c r="Q442" t="s">
        <v>310</v>
      </c>
      <c r="R442" t="s">
        <v>310</v>
      </c>
      <c r="S442">
        <v>9</v>
      </c>
      <c r="T442" t="s">
        <v>310</v>
      </c>
      <c r="U442">
        <v>9</v>
      </c>
      <c r="V442">
        <v>9</v>
      </c>
      <c r="W442">
        <v>0</v>
      </c>
      <c r="X442">
        <v>0</v>
      </c>
      <c r="Y442">
        <v>0</v>
      </c>
      <c r="Z442">
        <v>0</v>
      </c>
      <c r="AA442">
        <v>9</v>
      </c>
      <c r="AB442">
        <v>9</v>
      </c>
      <c r="AC442" t="s">
        <v>310</v>
      </c>
      <c r="AD442">
        <v>9</v>
      </c>
      <c r="AE442" t="s">
        <v>1390</v>
      </c>
      <c r="AF442">
        <v>120000000</v>
      </c>
      <c r="AG442" t="s">
        <v>249</v>
      </c>
      <c r="AH442">
        <f>SUM((MID(Dyno_Data[[#This Row],[Team]],4,5))+(Dyno_Data[[#This Row],[Match]]/100))</f>
        <v>2234.0700000000002</v>
      </c>
      <c r="AI442" s="76">
        <f>ROUND(SUM(IF(Dyno_Data[[#This Row],[AcqCenter]]&gt;0,Dyno_Data[[#This Row],[Time]]-SUMIFS(Dyno_Data[Time],Dyno_Data[Team],Dyno_Data[[#This Row],[Team]],Dyno_Data[RecordType],"StartMatch",Dyno_Data[Match],Dyno_Data[[#This Row],[Match]]),0)*86400),0)</f>
        <v>0</v>
      </c>
    </row>
    <row r="443" spans="1:35" x14ac:dyDescent="0.3">
      <c r="A443">
        <v>442</v>
      </c>
      <c r="B443" t="s">
        <v>1310</v>
      </c>
      <c r="C443">
        <v>7</v>
      </c>
      <c r="D443" s="105">
        <v>45373.414534293981</v>
      </c>
      <c r="E443" t="s">
        <v>312</v>
      </c>
      <c r="F443" t="s">
        <v>1402</v>
      </c>
      <c r="G443">
        <v>0</v>
      </c>
      <c r="H443" t="s">
        <v>315</v>
      </c>
      <c r="I443">
        <v>0</v>
      </c>
      <c r="J443">
        <v>0</v>
      </c>
      <c r="K443">
        <v>0</v>
      </c>
      <c r="L443" t="s">
        <v>241</v>
      </c>
      <c r="M443" t="s">
        <v>1398</v>
      </c>
      <c r="N443">
        <v>1</v>
      </c>
      <c r="O443" t="s">
        <v>311</v>
      </c>
      <c r="P443" t="s">
        <v>310</v>
      </c>
      <c r="Q443" t="s">
        <v>310</v>
      </c>
      <c r="R443" t="s">
        <v>310</v>
      </c>
      <c r="S443">
        <v>9</v>
      </c>
      <c r="T443" t="s">
        <v>310</v>
      </c>
      <c r="U443">
        <v>9</v>
      </c>
      <c r="V443">
        <v>9</v>
      </c>
      <c r="W443">
        <v>0</v>
      </c>
      <c r="X443">
        <v>0</v>
      </c>
      <c r="Y443">
        <v>0</v>
      </c>
      <c r="Z443">
        <v>0</v>
      </c>
      <c r="AA443">
        <v>9</v>
      </c>
      <c r="AB443">
        <v>9</v>
      </c>
      <c r="AC443" t="s">
        <v>310</v>
      </c>
      <c r="AD443">
        <v>9</v>
      </c>
      <c r="AE443" t="s">
        <v>1387</v>
      </c>
      <c r="AF443">
        <v>70000000</v>
      </c>
      <c r="AG443" t="s">
        <v>310</v>
      </c>
      <c r="AH443">
        <f>SUM((MID(Dyno_Data[[#This Row],[Team]],4,5))+(Dyno_Data[[#This Row],[Match]]/100))</f>
        <v>6621.07</v>
      </c>
      <c r="AI443" s="76">
        <f>ROUND(SUM(IF(Dyno_Data[[#This Row],[AcqCenter]]&gt;0,Dyno_Data[[#This Row],[Time]]-SUMIFS(Dyno_Data[Time],Dyno_Data[Team],Dyno_Data[[#This Row],[Team]],Dyno_Data[RecordType],"StartMatch",Dyno_Data[Match],Dyno_Data[[#This Row],[Match]]),0)*86400),0)</f>
        <v>0</v>
      </c>
    </row>
    <row r="444" spans="1:35" x14ac:dyDescent="0.3">
      <c r="A444">
        <v>443</v>
      </c>
      <c r="B444" t="s">
        <v>1309</v>
      </c>
      <c r="C444">
        <v>7</v>
      </c>
      <c r="D444" s="105">
        <v>45373.414539317127</v>
      </c>
      <c r="E444" t="s">
        <v>312</v>
      </c>
      <c r="F444" t="s">
        <v>1402</v>
      </c>
      <c r="G444">
        <v>0</v>
      </c>
      <c r="H444" t="s">
        <v>315</v>
      </c>
      <c r="I444">
        <v>0</v>
      </c>
      <c r="J444">
        <v>0</v>
      </c>
      <c r="K444">
        <v>0</v>
      </c>
      <c r="L444" t="s">
        <v>240</v>
      </c>
      <c r="M444" t="s">
        <v>1398</v>
      </c>
      <c r="N444">
        <v>0</v>
      </c>
      <c r="O444" t="s">
        <v>1389</v>
      </c>
      <c r="P444" t="s">
        <v>310</v>
      </c>
      <c r="Q444" t="s">
        <v>310</v>
      </c>
      <c r="R444" t="s">
        <v>310</v>
      </c>
      <c r="S444">
        <v>9</v>
      </c>
      <c r="T444" t="s">
        <v>310</v>
      </c>
      <c r="U444">
        <v>9</v>
      </c>
      <c r="V444">
        <v>9</v>
      </c>
      <c r="W444">
        <v>0</v>
      </c>
      <c r="X444">
        <v>0</v>
      </c>
      <c r="Y444">
        <v>0</v>
      </c>
      <c r="Z444">
        <v>0</v>
      </c>
      <c r="AA444">
        <v>9</v>
      </c>
      <c r="AB444">
        <v>9</v>
      </c>
      <c r="AC444" t="s">
        <v>310</v>
      </c>
      <c r="AD444">
        <v>9</v>
      </c>
      <c r="AE444" t="s">
        <v>1392</v>
      </c>
      <c r="AF444">
        <v>90000000</v>
      </c>
      <c r="AG444" t="s">
        <v>310</v>
      </c>
      <c r="AH444">
        <f>SUM((MID(Dyno_Data[[#This Row],[Team]],4,5))+(Dyno_Data[[#This Row],[Match]]/100))</f>
        <v>3550.07</v>
      </c>
      <c r="AI444" s="76">
        <f>ROUND(SUM(IF(Dyno_Data[[#This Row],[AcqCenter]]&gt;0,Dyno_Data[[#This Row],[Time]]-SUMIFS(Dyno_Data[Time],Dyno_Data[Team],Dyno_Data[[#This Row],[Team]],Dyno_Data[RecordType],"StartMatch",Dyno_Data[Match],Dyno_Data[[#This Row],[Match]]),0)*86400),0)</f>
        <v>0</v>
      </c>
    </row>
    <row r="445" spans="1:35" x14ac:dyDescent="0.3">
      <c r="A445">
        <v>444</v>
      </c>
      <c r="B445" t="s">
        <v>1308</v>
      </c>
      <c r="C445">
        <v>7</v>
      </c>
      <c r="D445" s="105">
        <v>45373.414567557869</v>
      </c>
      <c r="E445" t="s">
        <v>312</v>
      </c>
      <c r="F445" t="s">
        <v>1402</v>
      </c>
      <c r="G445">
        <v>0</v>
      </c>
      <c r="H445" t="s">
        <v>315</v>
      </c>
      <c r="I445">
        <v>0</v>
      </c>
      <c r="J445">
        <v>0</v>
      </c>
      <c r="K445">
        <v>0</v>
      </c>
      <c r="L445" t="s">
        <v>240</v>
      </c>
      <c r="M445" t="s">
        <v>1398</v>
      </c>
      <c r="N445">
        <v>0</v>
      </c>
      <c r="O445" t="s">
        <v>1393</v>
      </c>
      <c r="P445" t="s">
        <v>310</v>
      </c>
      <c r="Q445" t="s">
        <v>310</v>
      </c>
      <c r="R445" t="s">
        <v>310</v>
      </c>
      <c r="S445">
        <v>9</v>
      </c>
      <c r="T445" t="s">
        <v>310</v>
      </c>
      <c r="U445">
        <v>9</v>
      </c>
      <c r="V445">
        <v>9</v>
      </c>
      <c r="W445">
        <v>0</v>
      </c>
      <c r="X445">
        <v>0</v>
      </c>
      <c r="Y445">
        <v>0</v>
      </c>
      <c r="Z445">
        <v>0</v>
      </c>
      <c r="AA445">
        <v>9</v>
      </c>
      <c r="AB445">
        <v>9</v>
      </c>
      <c r="AC445" t="s">
        <v>310</v>
      </c>
      <c r="AD445">
        <v>9</v>
      </c>
      <c r="AE445" t="s">
        <v>1394</v>
      </c>
      <c r="AF445">
        <v>130000000</v>
      </c>
      <c r="AG445" t="s">
        <v>310</v>
      </c>
      <c r="AH445">
        <f>SUM((MID(Dyno_Data[[#This Row],[Team]],4,5))+(Dyno_Data[[#This Row],[Match]]/100))</f>
        <v>3799.07</v>
      </c>
      <c r="AI445" s="76">
        <f>ROUND(SUM(IF(Dyno_Data[[#This Row],[AcqCenter]]&gt;0,Dyno_Data[[#This Row],[Time]]-SUMIFS(Dyno_Data[Time],Dyno_Data[Team],Dyno_Data[[#This Row],[Team]],Dyno_Data[RecordType],"StartMatch",Dyno_Data[Match],Dyno_Data[[#This Row],[Match]]),0)*86400),0)</f>
        <v>0</v>
      </c>
    </row>
    <row r="446" spans="1:35" x14ac:dyDescent="0.3">
      <c r="A446">
        <v>445</v>
      </c>
      <c r="B446" t="s">
        <v>1310</v>
      </c>
      <c r="C446">
        <v>7</v>
      </c>
      <c r="D446" s="105">
        <v>45373.414616585651</v>
      </c>
      <c r="E446" t="s">
        <v>312</v>
      </c>
      <c r="F446" t="s">
        <v>1402</v>
      </c>
      <c r="G446">
        <v>0</v>
      </c>
      <c r="H446" t="s">
        <v>315</v>
      </c>
      <c r="I446">
        <v>0</v>
      </c>
      <c r="J446">
        <v>0</v>
      </c>
      <c r="K446">
        <v>0</v>
      </c>
      <c r="L446" t="s">
        <v>240</v>
      </c>
      <c r="M446" t="s">
        <v>1398</v>
      </c>
      <c r="N446">
        <v>0</v>
      </c>
      <c r="O446" t="s">
        <v>311</v>
      </c>
      <c r="P446" t="s">
        <v>310</v>
      </c>
      <c r="Q446" t="s">
        <v>310</v>
      </c>
      <c r="R446" t="s">
        <v>310</v>
      </c>
      <c r="S446">
        <v>9</v>
      </c>
      <c r="T446" t="s">
        <v>310</v>
      </c>
      <c r="U446">
        <v>9</v>
      </c>
      <c r="V446">
        <v>9</v>
      </c>
      <c r="W446">
        <v>0</v>
      </c>
      <c r="X446">
        <v>0</v>
      </c>
      <c r="Y446">
        <v>0</v>
      </c>
      <c r="Z446">
        <v>0</v>
      </c>
      <c r="AA446">
        <v>9</v>
      </c>
      <c r="AB446">
        <v>9</v>
      </c>
      <c r="AC446" t="s">
        <v>310</v>
      </c>
      <c r="AD446">
        <v>9</v>
      </c>
      <c r="AE446" t="s">
        <v>1387</v>
      </c>
      <c r="AF446">
        <v>80000000</v>
      </c>
      <c r="AG446" t="s">
        <v>310</v>
      </c>
      <c r="AH446">
        <f>SUM((MID(Dyno_Data[[#This Row],[Team]],4,5))+(Dyno_Data[[#This Row],[Match]]/100))</f>
        <v>6621.07</v>
      </c>
      <c r="AI446" s="76">
        <f>ROUND(SUM(IF(Dyno_Data[[#This Row],[AcqCenter]]&gt;0,Dyno_Data[[#This Row],[Time]]-SUMIFS(Dyno_Data[Time],Dyno_Data[Team],Dyno_Data[[#This Row],[Team]],Dyno_Data[RecordType],"StartMatch",Dyno_Data[Match],Dyno_Data[[#This Row],[Match]]),0)*86400),0)</f>
        <v>0</v>
      </c>
    </row>
    <row r="447" spans="1:35" x14ac:dyDescent="0.3">
      <c r="A447">
        <v>446</v>
      </c>
      <c r="B447" t="s">
        <v>364</v>
      </c>
      <c r="C447">
        <v>7</v>
      </c>
      <c r="D447" s="105">
        <v>45373.415047303242</v>
      </c>
      <c r="E447" t="s">
        <v>1403</v>
      </c>
      <c r="F447" t="s">
        <v>317</v>
      </c>
      <c r="G447">
        <v>0</v>
      </c>
      <c r="H447" t="s">
        <v>310</v>
      </c>
      <c r="I447">
        <v>0</v>
      </c>
      <c r="J447">
        <v>0</v>
      </c>
      <c r="K447">
        <v>0</v>
      </c>
      <c r="L447" t="s">
        <v>310</v>
      </c>
      <c r="M447" t="s">
        <v>310</v>
      </c>
      <c r="N447">
        <v>0</v>
      </c>
      <c r="O447" t="s">
        <v>1395</v>
      </c>
      <c r="P447" t="s">
        <v>310</v>
      </c>
      <c r="Q447" t="s">
        <v>310</v>
      </c>
      <c r="R447" t="s">
        <v>310</v>
      </c>
      <c r="S447">
        <v>9</v>
      </c>
      <c r="T447" t="s">
        <v>310</v>
      </c>
      <c r="U447">
        <v>9</v>
      </c>
      <c r="V447">
        <v>9</v>
      </c>
      <c r="W447">
        <v>0</v>
      </c>
      <c r="X447">
        <v>0</v>
      </c>
      <c r="Y447">
        <v>0</v>
      </c>
      <c r="Z447">
        <v>0</v>
      </c>
      <c r="AA447">
        <v>9</v>
      </c>
      <c r="AB447">
        <v>9</v>
      </c>
      <c r="AC447" t="s">
        <v>310</v>
      </c>
      <c r="AD447">
        <v>9</v>
      </c>
      <c r="AE447" t="s">
        <v>1396</v>
      </c>
      <c r="AF447">
        <v>80000000</v>
      </c>
      <c r="AG447" t="s">
        <v>254</v>
      </c>
      <c r="AH447">
        <f>SUM((MID(Dyno_Data[[#This Row],[Team]],4,5))+(Dyno_Data[[#This Row],[Match]]/100))</f>
        <v>2791.07</v>
      </c>
      <c r="AI447" s="76">
        <f>ROUND(SUM(IF(Dyno_Data[[#This Row],[AcqCenter]]&gt;0,Dyno_Data[[#This Row],[Time]]-SUMIFS(Dyno_Data[Time],Dyno_Data[Team],Dyno_Data[[#This Row],[Team]],Dyno_Data[RecordType],"StartMatch",Dyno_Data[Match],Dyno_Data[[#This Row],[Match]]),0)*86400),0)</f>
        <v>0</v>
      </c>
    </row>
    <row r="448" spans="1:35" x14ac:dyDescent="0.3">
      <c r="A448">
        <v>447</v>
      </c>
      <c r="B448" t="s">
        <v>1310</v>
      </c>
      <c r="C448">
        <v>7</v>
      </c>
      <c r="D448" s="105">
        <v>45373.416394872685</v>
      </c>
      <c r="E448" t="s">
        <v>316</v>
      </c>
      <c r="F448" t="s">
        <v>317</v>
      </c>
      <c r="G448">
        <v>1</v>
      </c>
      <c r="H448" t="s">
        <v>310</v>
      </c>
      <c r="I448">
        <v>0</v>
      </c>
      <c r="J448">
        <v>0</v>
      </c>
      <c r="K448">
        <v>0</v>
      </c>
      <c r="L448" t="s">
        <v>310</v>
      </c>
      <c r="M448" t="s">
        <v>310</v>
      </c>
      <c r="N448">
        <v>0</v>
      </c>
      <c r="O448" t="s">
        <v>311</v>
      </c>
      <c r="P448" t="s">
        <v>101</v>
      </c>
      <c r="Q448" t="s">
        <v>1399</v>
      </c>
      <c r="R448" t="s">
        <v>1405</v>
      </c>
      <c r="S448">
        <v>1</v>
      </c>
      <c r="T448" t="s">
        <v>1406</v>
      </c>
      <c r="U448">
        <v>0</v>
      </c>
      <c r="V448">
        <v>0</v>
      </c>
      <c r="W448">
        <v>9.2504511999999988</v>
      </c>
      <c r="X448">
        <v>21.310317699999999</v>
      </c>
      <c r="Y448">
        <v>28.7890576</v>
      </c>
      <c r="Z448">
        <v>74.814012199999993</v>
      </c>
      <c r="AA448">
        <v>2</v>
      </c>
      <c r="AB448">
        <v>1</v>
      </c>
      <c r="AC448" t="s">
        <v>174</v>
      </c>
      <c r="AD448">
        <v>0</v>
      </c>
      <c r="AE448" t="s">
        <v>1387</v>
      </c>
      <c r="AF448">
        <v>80000000</v>
      </c>
      <c r="AG448" t="s">
        <v>310</v>
      </c>
      <c r="AH448">
        <f>SUM((MID(Dyno_Data[[#This Row],[Team]],4,5))+(Dyno_Data[[#This Row],[Match]]/100))</f>
        <v>6621.07</v>
      </c>
      <c r="AI448" s="76">
        <f>ROUND(SUM(IF(Dyno_Data[[#This Row],[AcqCenter]]&gt;0,Dyno_Data[[#This Row],[Time]]-SUMIFS(Dyno_Data[Time],Dyno_Data[Team],Dyno_Data[[#This Row],[Team]],Dyno_Data[RecordType],"StartMatch",Dyno_Data[Match],Dyno_Data[[#This Row],[Match]]),0)*86400),0)</f>
        <v>0</v>
      </c>
    </row>
    <row r="449" spans="1:35" x14ac:dyDescent="0.3">
      <c r="A449">
        <v>448</v>
      </c>
      <c r="B449" t="s">
        <v>1311</v>
      </c>
      <c r="C449">
        <v>7</v>
      </c>
      <c r="D449" s="105">
        <v>45373.416395023145</v>
      </c>
      <c r="E449" t="s">
        <v>316</v>
      </c>
      <c r="F449" t="s">
        <v>317</v>
      </c>
      <c r="G449">
        <v>1</v>
      </c>
      <c r="H449" t="s">
        <v>310</v>
      </c>
      <c r="I449">
        <v>0</v>
      </c>
      <c r="J449">
        <v>0</v>
      </c>
      <c r="K449">
        <v>0</v>
      </c>
      <c r="L449" t="s">
        <v>310</v>
      </c>
      <c r="M449" t="s">
        <v>310</v>
      </c>
      <c r="N449">
        <v>0</v>
      </c>
      <c r="O449" t="s">
        <v>1391</v>
      </c>
      <c r="P449" t="s">
        <v>320</v>
      </c>
      <c r="Q449" t="s">
        <v>1400</v>
      </c>
      <c r="R449" t="s">
        <v>321</v>
      </c>
      <c r="S449">
        <v>0</v>
      </c>
      <c r="T449" t="s">
        <v>105</v>
      </c>
      <c r="U449">
        <v>9</v>
      </c>
      <c r="V449">
        <v>9</v>
      </c>
      <c r="W449">
        <v>0</v>
      </c>
      <c r="X449">
        <v>91.335829799999999</v>
      </c>
      <c r="Y449">
        <v>12.8335039</v>
      </c>
      <c r="Z449">
        <v>31.185368699999998</v>
      </c>
      <c r="AA449">
        <v>0</v>
      </c>
      <c r="AB449">
        <v>2</v>
      </c>
      <c r="AC449" t="s">
        <v>174</v>
      </c>
      <c r="AD449">
        <v>9</v>
      </c>
      <c r="AE449" t="s">
        <v>1390</v>
      </c>
      <c r="AF449">
        <v>10000000</v>
      </c>
      <c r="AG449" t="s">
        <v>310</v>
      </c>
      <c r="AH449">
        <f>SUM((MID(Dyno_Data[[#This Row],[Team]],4,5))+(Dyno_Data[[#This Row],[Match]]/100))</f>
        <v>2234.0700000000002</v>
      </c>
      <c r="AI449" s="76">
        <f>ROUND(SUM(IF(Dyno_Data[[#This Row],[AcqCenter]]&gt;0,Dyno_Data[[#This Row],[Time]]-SUMIFS(Dyno_Data[Time],Dyno_Data[Team],Dyno_Data[[#This Row],[Team]],Dyno_Data[RecordType],"StartMatch",Dyno_Data[Match],Dyno_Data[[#This Row],[Match]]),0)*86400),0)</f>
        <v>0</v>
      </c>
    </row>
    <row r="450" spans="1:35" x14ac:dyDescent="0.3">
      <c r="A450">
        <v>449</v>
      </c>
      <c r="B450" t="s">
        <v>1312</v>
      </c>
      <c r="C450">
        <v>7</v>
      </c>
      <c r="D450" s="105">
        <v>45373.41639510417</v>
      </c>
      <c r="E450" t="s">
        <v>316</v>
      </c>
      <c r="F450" t="s">
        <v>317</v>
      </c>
      <c r="G450">
        <v>1</v>
      </c>
      <c r="H450" t="s">
        <v>310</v>
      </c>
      <c r="I450">
        <v>0</v>
      </c>
      <c r="J450">
        <v>0</v>
      </c>
      <c r="K450">
        <v>0</v>
      </c>
      <c r="L450" t="s">
        <v>310</v>
      </c>
      <c r="M450" t="s">
        <v>310</v>
      </c>
      <c r="N450">
        <v>0</v>
      </c>
      <c r="O450" t="s">
        <v>319</v>
      </c>
      <c r="P450" t="s">
        <v>240</v>
      </c>
      <c r="Q450" t="s">
        <v>1400</v>
      </c>
      <c r="R450" t="s">
        <v>321</v>
      </c>
      <c r="S450">
        <v>0</v>
      </c>
      <c r="T450" t="s">
        <v>105</v>
      </c>
      <c r="U450">
        <v>9</v>
      </c>
      <c r="V450">
        <v>9</v>
      </c>
      <c r="W450">
        <v>0</v>
      </c>
      <c r="X450">
        <v>0</v>
      </c>
      <c r="Y450">
        <v>0.80726369999999992</v>
      </c>
      <c r="Z450">
        <v>134.35695699999999</v>
      </c>
      <c r="AA450">
        <v>0</v>
      </c>
      <c r="AB450">
        <v>0</v>
      </c>
      <c r="AC450" t="s">
        <v>167</v>
      </c>
      <c r="AD450">
        <v>9</v>
      </c>
      <c r="AE450" t="s">
        <v>1388</v>
      </c>
      <c r="AF450">
        <v>20000000</v>
      </c>
      <c r="AG450" t="s">
        <v>310</v>
      </c>
      <c r="AH450">
        <f>SUM((MID(Dyno_Data[[#This Row],[Team]],4,5))+(Dyno_Data[[#This Row],[Match]]/100))</f>
        <v>2053.0700000000002</v>
      </c>
      <c r="AI450" s="76">
        <f>ROUND(SUM(IF(Dyno_Data[[#This Row],[AcqCenter]]&gt;0,Dyno_Data[[#This Row],[Time]]-SUMIFS(Dyno_Data[Time],Dyno_Data[Team],Dyno_Data[[#This Row],[Team]],Dyno_Data[RecordType],"StartMatch",Dyno_Data[Match],Dyno_Data[[#This Row],[Match]]),0)*86400),0)</f>
        <v>0</v>
      </c>
    </row>
    <row r="451" spans="1:35" x14ac:dyDescent="0.3">
      <c r="A451">
        <v>450</v>
      </c>
      <c r="B451" t="s">
        <v>1308</v>
      </c>
      <c r="C451">
        <v>7</v>
      </c>
      <c r="D451" s="105">
        <v>45373.416395219909</v>
      </c>
      <c r="E451" t="s">
        <v>316</v>
      </c>
      <c r="F451" t="s">
        <v>317</v>
      </c>
      <c r="G451">
        <v>1</v>
      </c>
      <c r="H451" t="s">
        <v>310</v>
      </c>
      <c r="I451">
        <v>0</v>
      </c>
      <c r="J451">
        <v>0</v>
      </c>
      <c r="K451">
        <v>0</v>
      </c>
      <c r="L451" t="s">
        <v>310</v>
      </c>
      <c r="M451" t="s">
        <v>310</v>
      </c>
      <c r="N451">
        <v>0</v>
      </c>
      <c r="O451" t="s">
        <v>1393</v>
      </c>
      <c r="P451" t="s">
        <v>240</v>
      </c>
      <c r="Q451" t="s">
        <v>1400</v>
      </c>
      <c r="R451" t="s">
        <v>1405</v>
      </c>
      <c r="S451">
        <v>1</v>
      </c>
      <c r="T451" t="s">
        <v>1407</v>
      </c>
      <c r="U451">
        <v>1</v>
      </c>
      <c r="V451">
        <v>0</v>
      </c>
      <c r="W451">
        <v>6.0346111999999996</v>
      </c>
      <c r="X451">
        <v>22.7613922</v>
      </c>
      <c r="Y451">
        <v>18.7123603</v>
      </c>
      <c r="Z451">
        <v>78.649134399999994</v>
      </c>
      <c r="AA451">
        <v>0</v>
      </c>
      <c r="AB451">
        <v>0</v>
      </c>
      <c r="AC451" t="s">
        <v>173</v>
      </c>
      <c r="AD451">
        <v>9</v>
      </c>
      <c r="AE451" t="s">
        <v>1394</v>
      </c>
      <c r="AF451">
        <v>130000000</v>
      </c>
      <c r="AG451" t="s">
        <v>310</v>
      </c>
      <c r="AH451">
        <f>SUM((MID(Dyno_Data[[#This Row],[Team]],4,5))+(Dyno_Data[[#This Row],[Match]]/100))</f>
        <v>3799.07</v>
      </c>
      <c r="AI451" s="76">
        <f>ROUND(SUM(IF(Dyno_Data[[#This Row],[AcqCenter]]&gt;0,Dyno_Data[[#This Row],[Time]]-SUMIFS(Dyno_Data[Time],Dyno_Data[Team],Dyno_Data[[#This Row],[Team]],Dyno_Data[RecordType],"StartMatch",Dyno_Data[Match],Dyno_Data[[#This Row],[Match]]),0)*86400),0)</f>
        <v>0</v>
      </c>
    </row>
    <row r="452" spans="1:35" x14ac:dyDescent="0.3">
      <c r="A452">
        <v>451</v>
      </c>
      <c r="B452" t="s">
        <v>1309</v>
      </c>
      <c r="C452">
        <v>7</v>
      </c>
      <c r="D452" s="105">
        <v>45373.41639528935</v>
      </c>
      <c r="E452" t="s">
        <v>316</v>
      </c>
      <c r="F452" t="s">
        <v>317</v>
      </c>
      <c r="G452">
        <v>1</v>
      </c>
      <c r="H452" t="s">
        <v>310</v>
      </c>
      <c r="I452">
        <v>0</v>
      </c>
      <c r="J452">
        <v>0</v>
      </c>
      <c r="K452">
        <v>0</v>
      </c>
      <c r="L452" t="s">
        <v>310</v>
      </c>
      <c r="M452" t="s">
        <v>310</v>
      </c>
      <c r="N452">
        <v>0</v>
      </c>
      <c r="O452" t="s">
        <v>1389</v>
      </c>
      <c r="P452" t="s">
        <v>1401</v>
      </c>
      <c r="Q452" t="s">
        <v>1399</v>
      </c>
      <c r="R452" t="s">
        <v>1405</v>
      </c>
      <c r="S452">
        <v>1</v>
      </c>
      <c r="T452" t="s">
        <v>1407</v>
      </c>
      <c r="U452">
        <v>1</v>
      </c>
      <c r="V452">
        <v>0</v>
      </c>
      <c r="W452">
        <v>8.905741299999999</v>
      </c>
      <c r="X452">
        <v>25.534937499999998</v>
      </c>
      <c r="Y452">
        <v>37.071157999999997</v>
      </c>
      <c r="Z452">
        <v>52.972632599999997</v>
      </c>
      <c r="AA452">
        <v>0</v>
      </c>
      <c r="AB452">
        <v>0</v>
      </c>
      <c r="AC452" t="s">
        <v>174</v>
      </c>
      <c r="AD452">
        <v>0</v>
      </c>
      <c r="AE452" t="s">
        <v>1392</v>
      </c>
      <c r="AF452">
        <v>90000000</v>
      </c>
      <c r="AG452" t="s">
        <v>310</v>
      </c>
      <c r="AH452">
        <f>SUM((MID(Dyno_Data[[#This Row],[Team]],4,5))+(Dyno_Data[[#This Row],[Match]]/100))</f>
        <v>3550.07</v>
      </c>
      <c r="AI452" s="76">
        <f>ROUND(SUM(IF(Dyno_Data[[#This Row],[AcqCenter]]&gt;0,Dyno_Data[[#This Row],[Time]]-SUMIFS(Dyno_Data[Time],Dyno_Data[Team],Dyno_Data[[#This Row],[Team]],Dyno_Data[RecordType],"StartMatch",Dyno_Data[Match],Dyno_Data[[#This Row],[Match]]),0)*86400),0)</f>
        <v>0</v>
      </c>
    </row>
    <row r="453" spans="1:35" x14ac:dyDescent="0.3">
      <c r="A453">
        <v>452</v>
      </c>
      <c r="B453" t="s">
        <v>364</v>
      </c>
      <c r="C453">
        <v>7</v>
      </c>
      <c r="D453" s="105">
        <v>45373.416395405089</v>
      </c>
      <c r="E453" t="s">
        <v>316</v>
      </c>
      <c r="F453" t="s">
        <v>317</v>
      </c>
      <c r="G453">
        <v>0</v>
      </c>
      <c r="H453" t="s">
        <v>310</v>
      </c>
      <c r="I453">
        <v>0</v>
      </c>
      <c r="J453">
        <v>0</v>
      </c>
      <c r="K453">
        <v>0</v>
      </c>
      <c r="L453" t="s">
        <v>310</v>
      </c>
      <c r="M453" t="s">
        <v>310</v>
      </c>
      <c r="N453">
        <v>0</v>
      </c>
      <c r="O453" t="s">
        <v>1395</v>
      </c>
      <c r="P453" t="s">
        <v>101</v>
      </c>
      <c r="Q453" t="s">
        <v>1400</v>
      </c>
      <c r="R453" t="s">
        <v>1405</v>
      </c>
      <c r="S453">
        <v>1</v>
      </c>
      <c r="T453" t="s">
        <v>1406</v>
      </c>
      <c r="U453">
        <v>0</v>
      </c>
      <c r="V453">
        <v>0</v>
      </c>
      <c r="W453">
        <v>13.3061419</v>
      </c>
      <c r="X453">
        <v>16.187381899999998</v>
      </c>
      <c r="Y453">
        <v>27.109316399999997</v>
      </c>
      <c r="Z453">
        <v>62.537664399999997</v>
      </c>
      <c r="AA453">
        <v>2</v>
      </c>
      <c r="AB453">
        <v>0</v>
      </c>
      <c r="AC453" t="s">
        <v>170</v>
      </c>
      <c r="AD453">
        <v>9</v>
      </c>
      <c r="AE453" t="s">
        <v>1396</v>
      </c>
      <c r="AF453">
        <v>20001000</v>
      </c>
      <c r="AG453" t="s">
        <v>310</v>
      </c>
      <c r="AH453">
        <f>SUM((MID(Dyno_Data[[#This Row],[Team]],4,5))+(Dyno_Data[[#This Row],[Match]]/100))</f>
        <v>2791.07</v>
      </c>
      <c r="AI453" s="76">
        <f>ROUND(SUM(IF(Dyno_Data[[#This Row],[AcqCenter]]&gt;0,Dyno_Data[[#This Row],[Time]]-SUMIFS(Dyno_Data[Time],Dyno_Data[Team],Dyno_Data[[#This Row],[Team]],Dyno_Data[RecordType],"StartMatch",Dyno_Data[Match],Dyno_Data[[#This Row],[Match]]),0)*86400),0)</f>
        <v>0</v>
      </c>
    </row>
    <row r="454" spans="1:35" x14ac:dyDescent="0.3">
      <c r="A454">
        <v>464</v>
      </c>
      <c r="B454" t="s">
        <v>361</v>
      </c>
      <c r="C454">
        <v>8</v>
      </c>
      <c r="D454" s="105">
        <v>45373.418288541667</v>
      </c>
      <c r="E454" t="s">
        <v>308</v>
      </c>
      <c r="F454" t="s">
        <v>309</v>
      </c>
      <c r="G454">
        <v>0</v>
      </c>
      <c r="H454" t="s">
        <v>310</v>
      </c>
      <c r="I454">
        <v>0</v>
      </c>
      <c r="J454">
        <v>0</v>
      </c>
      <c r="K454">
        <v>0</v>
      </c>
      <c r="L454" t="s">
        <v>310</v>
      </c>
      <c r="M454" t="s">
        <v>310</v>
      </c>
      <c r="N454">
        <v>0</v>
      </c>
      <c r="O454" t="s">
        <v>311</v>
      </c>
      <c r="P454" t="s">
        <v>310</v>
      </c>
      <c r="Q454" t="s">
        <v>310</v>
      </c>
      <c r="R454" t="s">
        <v>310</v>
      </c>
      <c r="S454">
        <v>9</v>
      </c>
      <c r="T454" t="s">
        <v>310</v>
      </c>
      <c r="U454">
        <v>9</v>
      </c>
      <c r="V454">
        <v>9</v>
      </c>
      <c r="W454">
        <v>0</v>
      </c>
      <c r="X454">
        <v>0</v>
      </c>
      <c r="Y454">
        <v>0</v>
      </c>
      <c r="Z454">
        <v>0</v>
      </c>
      <c r="AA454">
        <v>9</v>
      </c>
      <c r="AB454">
        <v>9</v>
      </c>
      <c r="AC454" t="s">
        <v>310</v>
      </c>
      <c r="AD454">
        <v>9</v>
      </c>
      <c r="AE454" t="s">
        <v>1388</v>
      </c>
      <c r="AF454">
        <v>1000</v>
      </c>
      <c r="AG454" t="s">
        <v>310</v>
      </c>
      <c r="AH454">
        <f>SUM((MID(Dyno_Data[[#This Row],[Team]],4,5))+(Dyno_Data[[#This Row],[Match]]/100))</f>
        <v>20.079999999999998</v>
      </c>
      <c r="AI454" s="76">
        <f>ROUND(SUM(IF(Dyno_Data[[#This Row],[AcqCenter]]&gt;0,Dyno_Data[[#This Row],[Time]]-SUMIFS(Dyno_Data[Time],Dyno_Data[Team],Dyno_Data[[#This Row],[Team]],Dyno_Data[RecordType],"StartMatch",Dyno_Data[Match],Dyno_Data[[#This Row],[Match]]),0)*86400),0)</f>
        <v>0</v>
      </c>
    </row>
    <row r="455" spans="1:35" x14ac:dyDescent="0.3">
      <c r="A455">
        <v>466</v>
      </c>
      <c r="B455" t="s">
        <v>1314</v>
      </c>
      <c r="C455">
        <v>8</v>
      </c>
      <c r="D455" s="105">
        <v>45373.418288773151</v>
      </c>
      <c r="E455" t="s">
        <v>308</v>
      </c>
      <c r="F455" t="s">
        <v>309</v>
      </c>
      <c r="G455">
        <v>0</v>
      </c>
      <c r="H455" t="s">
        <v>310</v>
      </c>
      <c r="I455">
        <v>0</v>
      </c>
      <c r="J455">
        <v>0</v>
      </c>
      <c r="K455">
        <v>0</v>
      </c>
      <c r="L455" t="s">
        <v>310</v>
      </c>
      <c r="M455" t="s">
        <v>310</v>
      </c>
      <c r="N455">
        <v>0</v>
      </c>
      <c r="O455" t="s">
        <v>1393</v>
      </c>
      <c r="P455" t="s">
        <v>310</v>
      </c>
      <c r="Q455" t="s">
        <v>310</v>
      </c>
      <c r="R455" t="s">
        <v>310</v>
      </c>
      <c r="S455">
        <v>9</v>
      </c>
      <c r="T455" t="s">
        <v>310</v>
      </c>
      <c r="U455">
        <v>9</v>
      </c>
      <c r="V455">
        <v>9</v>
      </c>
      <c r="W455">
        <v>0</v>
      </c>
      <c r="X455">
        <v>0</v>
      </c>
      <c r="Y455">
        <v>0</v>
      </c>
      <c r="Z455">
        <v>0</v>
      </c>
      <c r="AA455">
        <v>9</v>
      </c>
      <c r="AB455">
        <v>9</v>
      </c>
      <c r="AC455" t="s">
        <v>310</v>
      </c>
      <c r="AD455">
        <v>9</v>
      </c>
      <c r="AE455" t="s">
        <v>1412</v>
      </c>
      <c r="AF455">
        <v>0</v>
      </c>
      <c r="AG455" t="s">
        <v>310</v>
      </c>
      <c r="AH455">
        <f>SUM((MID(Dyno_Data[[#This Row],[Team]],4,5))+(Dyno_Data[[#This Row],[Match]]/100))</f>
        <v>3419.08</v>
      </c>
      <c r="AI455" s="76">
        <f>ROUND(SUM(IF(Dyno_Data[[#This Row],[AcqCenter]]&gt;0,Dyno_Data[[#This Row],[Time]]-SUMIFS(Dyno_Data[Time],Dyno_Data[Team],Dyno_Data[[#This Row],[Team]],Dyno_Data[RecordType],"StartMatch",Dyno_Data[Match],Dyno_Data[[#This Row],[Match]]),0)*86400),0)</f>
        <v>0</v>
      </c>
    </row>
    <row r="456" spans="1:35" x14ac:dyDescent="0.3">
      <c r="A456">
        <v>468</v>
      </c>
      <c r="B456" t="s">
        <v>373</v>
      </c>
      <c r="C456">
        <v>8</v>
      </c>
      <c r="D456" s="105">
        <v>45373.418292245369</v>
      </c>
      <c r="E456" t="s">
        <v>308</v>
      </c>
      <c r="F456" t="s">
        <v>309</v>
      </c>
      <c r="G456">
        <v>0</v>
      </c>
      <c r="H456" t="s">
        <v>310</v>
      </c>
      <c r="I456">
        <v>0</v>
      </c>
      <c r="J456">
        <v>0</v>
      </c>
      <c r="K456">
        <v>0</v>
      </c>
      <c r="L456" t="s">
        <v>310</v>
      </c>
      <c r="M456" t="s">
        <v>310</v>
      </c>
      <c r="N456">
        <v>0</v>
      </c>
      <c r="O456" t="s">
        <v>1391</v>
      </c>
      <c r="P456" t="s">
        <v>310</v>
      </c>
      <c r="Q456" t="s">
        <v>310</v>
      </c>
      <c r="R456" t="s">
        <v>310</v>
      </c>
      <c r="S456">
        <v>9</v>
      </c>
      <c r="T456" t="s">
        <v>310</v>
      </c>
      <c r="U456">
        <v>9</v>
      </c>
      <c r="V456">
        <v>9</v>
      </c>
      <c r="W456">
        <v>0</v>
      </c>
      <c r="X456">
        <v>0</v>
      </c>
      <c r="Y456">
        <v>0</v>
      </c>
      <c r="Z456">
        <v>0</v>
      </c>
      <c r="AA456">
        <v>9</v>
      </c>
      <c r="AB456">
        <v>9</v>
      </c>
      <c r="AC456" t="s">
        <v>310</v>
      </c>
      <c r="AD456">
        <v>9</v>
      </c>
      <c r="AE456" t="s">
        <v>1390</v>
      </c>
      <c r="AF456">
        <v>0</v>
      </c>
      <c r="AG456" t="s">
        <v>310</v>
      </c>
      <c r="AH456">
        <f>SUM((MID(Dyno_Data[[#This Row],[Team]],4,5))+(Dyno_Data[[#This Row],[Match]]/100))</f>
        <v>7718.08</v>
      </c>
      <c r="AI456" s="76">
        <f>ROUND(SUM(IF(Dyno_Data[[#This Row],[AcqCenter]]&gt;0,Dyno_Data[[#This Row],[Time]]-SUMIFS(Dyno_Data[Time],Dyno_Data[Team],Dyno_Data[[#This Row],[Team]],Dyno_Data[RecordType],"StartMatch",Dyno_Data[Match],Dyno_Data[[#This Row],[Match]]),0)*86400),0)</f>
        <v>0</v>
      </c>
    </row>
    <row r="457" spans="1:35" x14ac:dyDescent="0.3">
      <c r="A457">
        <v>470</v>
      </c>
      <c r="B457" t="s">
        <v>368</v>
      </c>
      <c r="C457">
        <v>8</v>
      </c>
      <c r="D457" s="105">
        <v>45373.41829869213</v>
      </c>
      <c r="E457" t="s">
        <v>308</v>
      </c>
      <c r="F457" t="s">
        <v>309</v>
      </c>
      <c r="G457">
        <v>0</v>
      </c>
      <c r="H457" t="s">
        <v>310</v>
      </c>
      <c r="I457">
        <v>0</v>
      </c>
      <c r="J457">
        <v>0</v>
      </c>
      <c r="K457">
        <v>0</v>
      </c>
      <c r="L457" t="s">
        <v>310</v>
      </c>
      <c r="M457" t="s">
        <v>310</v>
      </c>
      <c r="N457">
        <v>0</v>
      </c>
      <c r="O457" t="s">
        <v>1395</v>
      </c>
      <c r="P457" t="s">
        <v>310</v>
      </c>
      <c r="Q457" t="s">
        <v>310</v>
      </c>
      <c r="R457" t="s">
        <v>310</v>
      </c>
      <c r="S457">
        <v>9</v>
      </c>
      <c r="T457" t="s">
        <v>310</v>
      </c>
      <c r="U457">
        <v>9</v>
      </c>
      <c r="V457">
        <v>9</v>
      </c>
      <c r="W457">
        <v>0</v>
      </c>
      <c r="X457">
        <v>0</v>
      </c>
      <c r="Y457">
        <v>0</v>
      </c>
      <c r="Z457">
        <v>0</v>
      </c>
      <c r="AA457">
        <v>9</v>
      </c>
      <c r="AB457">
        <v>9</v>
      </c>
      <c r="AC457" t="s">
        <v>310</v>
      </c>
      <c r="AD457">
        <v>9</v>
      </c>
      <c r="AE457" t="s">
        <v>1413</v>
      </c>
      <c r="AF457">
        <v>0</v>
      </c>
      <c r="AG457" t="s">
        <v>310</v>
      </c>
      <c r="AH457">
        <f>SUM((MID(Dyno_Data[[#This Row],[Team]],4,5))+(Dyno_Data[[#This Row],[Match]]/100))</f>
        <v>6401.08</v>
      </c>
      <c r="AI457" s="76">
        <f>ROUND(SUM(IF(Dyno_Data[[#This Row],[AcqCenter]]&gt;0,Dyno_Data[[#This Row],[Time]]-SUMIFS(Dyno_Data[Time],Dyno_Data[Team],Dyno_Data[[#This Row],[Team]],Dyno_Data[RecordType],"StartMatch",Dyno_Data[Match],Dyno_Data[[#This Row],[Match]]),0)*86400),0)</f>
        <v>0</v>
      </c>
    </row>
    <row r="458" spans="1:35" x14ac:dyDescent="0.3">
      <c r="A458">
        <v>453</v>
      </c>
      <c r="B458" t="s">
        <v>361</v>
      </c>
      <c r="C458">
        <v>8</v>
      </c>
      <c r="D458" s="105">
        <v>45373.4183008912</v>
      </c>
      <c r="E458" t="s">
        <v>312</v>
      </c>
      <c r="F458" t="s">
        <v>309</v>
      </c>
      <c r="G458">
        <v>0</v>
      </c>
      <c r="H458" t="s">
        <v>1397</v>
      </c>
      <c r="I458">
        <v>0</v>
      </c>
      <c r="J458">
        <v>0</v>
      </c>
      <c r="K458">
        <v>0</v>
      </c>
      <c r="L458" t="s">
        <v>241</v>
      </c>
      <c r="M458" t="s">
        <v>1398</v>
      </c>
      <c r="N458">
        <v>0</v>
      </c>
      <c r="O458" t="s">
        <v>311</v>
      </c>
      <c r="P458" t="s">
        <v>310</v>
      </c>
      <c r="Q458" t="s">
        <v>310</v>
      </c>
      <c r="R458" t="s">
        <v>310</v>
      </c>
      <c r="S458">
        <v>9</v>
      </c>
      <c r="T458" t="s">
        <v>310</v>
      </c>
      <c r="U458">
        <v>9</v>
      </c>
      <c r="V458">
        <v>9</v>
      </c>
      <c r="W458">
        <v>0</v>
      </c>
      <c r="X458">
        <v>0</v>
      </c>
      <c r="Y458">
        <v>0</v>
      </c>
      <c r="Z458">
        <v>0</v>
      </c>
      <c r="AA458">
        <v>9</v>
      </c>
      <c r="AB458">
        <v>9</v>
      </c>
      <c r="AC458" t="s">
        <v>310</v>
      </c>
      <c r="AD458">
        <v>9</v>
      </c>
      <c r="AE458" t="s">
        <v>1388</v>
      </c>
      <c r="AF458">
        <v>0</v>
      </c>
      <c r="AG458" t="s">
        <v>310</v>
      </c>
      <c r="AH458">
        <f>SUM((MID(Dyno_Data[[#This Row],[Team]],4,5))+(Dyno_Data[[#This Row],[Match]]/100))</f>
        <v>20.079999999999998</v>
      </c>
      <c r="AI458" s="76">
        <f>ROUND(SUM(IF(Dyno_Data[[#This Row],[AcqCenter]]&gt;0,Dyno_Data[[#This Row],[Time]]-SUMIFS(Dyno_Data[Time],Dyno_Data[Team],Dyno_Data[[#This Row],[Team]],Dyno_Data[RecordType],"StartMatch",Dyno_Data[Match],Dyno_Data[[#This Row],[Match]]),0)*86400),0)</f>
        <v>0</v>
      </c>
    </row>
    <row r="459" spans="1:35" x14ac:dyDescent="0.3">
      <c r="A459">
        <v>472</v>
      </c>
      <c r="B459" t="s">
        <v>1315</v>
      </c>
      <c r="C459">
        <v>8</v>
      </c>
      <c r="D459" s="105">
        <v>45373.418301504629</v>
      </c>
      <c r="E459" t="s">
        <v>308</v>
      </c>
      <c r="F459" t="s">
        <v>309</v>
      </c>
      <c r="G459">
        <v>0</v>
      </c>
      <c r="H459" t="s">
        <v>310</v>
      </c>
      <c r="I459">
        <v>0</v>
      </c>
      <c r="J459">
        <v>0</v>
      </c>
      <c r="K459">
        <v>0</v>
      </c>
      <c r="L459" t="s">
        <v>310</v>
      </c>
      <c r="M459" t="s">
        <v>310</v>
      </c>
      <c r="N459">
        <v>0</v>
      </c>
      <c r="O459" t="s">
        <v>319</v>
      </c>
      <c r="P459" t="s">
        <v>310</v>
      </c>
      <c r="Q459" t="s">
        <v>310</v>
      </c>
      <c r="R459" t="s">
        <v>310</v>
      </c>
      <c r="S459">
        <v>9</v>
      </c>
      <c r="T459" t="s">
        <v>310</v>
      </c>
      <c r="U459">
        <v>9</v>
      </c>
      <c r="V459">
        <v>9</v>
      </c>
      <c r="W459">
        <v>0</v>
      </c>
      <c r="X459">
        <v>0</v>
      </c>
      <c r="Y459">
        <v>0</v>
      </c>
      <c r="Z459">
        <v>0</v>
      </c>
      <c r="AA459">
        <v>9</v>
      </c>
      <c r="AB459">
        <v>9</v>
      </c>
      <c r="AC459" t="s">
        <v>310</v>
      </c>
      <c r="AD459">
        <v>9</v>
      </c>
      <c r="AE459" t="s">
        <v>1414</v>
      </c>
      <c r="AF459">
        <v>10000000</v>
      </c>
      <c r="AG459" t="s">
        <v>310</v>
      </c>
      <c r="AH459">
        <f>SUM((MID(Dyno_Data[[#This Row],[Team]],4,5))+(Dyno_Data[[#This Row],[Match]]/100))</f>
        <v>1511.08</v>
      </c>
      <c r="AI459" s="76">
        <f>ROUND(SUM(IF(Dyno_Data[[#This Row],[AcqCenter]]&gt;0,Dyno_Data[[#This Row],[Time]]-SUMIFS(Dyno_Data[Time],Dyno_Data[Team],Dyno_Data[[#This Row],[Team]],Dyno_Data[RecordType],"StartMatch",Dyno_Data[Match],Dyno_Data[[#This Row],[Match]]),0)*86400),0)</f>
        <v>0</v>
      </c>
    </row>
    <row r="460" spans="1:35" x14ac:dyDescent="0.3">
      <c r="A460">
        <v>474</v>
      </c>
      <c r="B460" t="s">
        <v>363</v>
      </c>
      <c r="C460">
        <v>8</v>
      </c>
      <c r="D460" s="105">
        <v>45373.418301655096</v>
      </c>
      <c r="E460" t="s">
        <v>308</v>
      </c>
      <c r="F460" t="s">
        <v>309</v>
      </c>
      <c r="G460">
        <v>0</v>
      </c>
      <c r="H460" t="s">
        <v>310</v>
      </c>
      <c r="I460">
        <v>0</v>
      </c>
      <c r="J460">
        <v>0</v>
      </c>
      <c r="K460">
        <v>0</v>
      </c>
      <c r="L460" t="s">
        <v>310</v>
      </c>
      <c r="M460" t="s">
        <v>310</v>
      </c>
      <c r="N460">
        <v>0</v>
      </c>
      <c r="O460" t="s">
        <v>1389</v>
      </c>
      <c r="P460" t="s">
        <v>310</v>
      </c>
      <c r="Q460" t="s">
        <v>310</v>
      </c>
      <c r="R460" t="s">
        <v>310</v>
      </c>
      <c r="S460">
        <v>9</v>
      </c>
      <c r="T460" t="s">
        <v>310</v>
      </c>
      <c r="U460">
        <v>9</v>
      </c>
      <c r="V460">
        <v>9</v>
      </c>
      <c r="W460">
        <v>0</v>
      </c>
      <c r="X460">
        <v>0</v>
      </c>
      <c r="Y460">
        <v>0</v>
      </c>
      <c r="Z460">
        <v>0</v>
      </c>
      <c r="AA460">
        <v>9</v>
      </c>
      <c r="AB460">
        <v>9</v>
      </c>
      <c r="AC460" t="s">
        <v>310</v>
      </c>
      <c r="AD460">
        <v>9</v>
      </c>
      <c r="AE460" t="s">
        <v>1396</v>
      </c>
      <c r="AF460">
        <v>30000000</v>
      </c>
      <c r="AG460" t="s">
        <v>310</v>
      </c>
      <c r="AH460">
        <f>SUM((MID(Dyno_Data[[#This Row],[Team]],4,5))+(Dyno_Data[[#This Row],[Match]]/100))</f>
        <v>2601.08</v>
      </c>
      <c r="AI460" s="76">
        <f>ROUND(SUM(IF(Dyno_Data[[#This Row],[AcqCenter]]&gt;0,Dyno_Data[[#This Row],[Time]]-SUMIFS(Dyno_Data[Time],Dyno_Data[Team],Dyno_Data[[#This Row],[Team]],Dyno_Data[RecordType],"StartMatch",Dyno_Data[Match],Dyno_Data[[#This Row],[Match]]),0)*86400),0)</f>
        <v>0</v>
      </c>
    </row>
    <row r="461" spans="1:35" x14ac:dyDescent="0.3">
      <c r="A461">
        <v>454</v>
      </c>
      <c r="B461" t="s">
        <v>363</v>
      </c>
      <c r="C461">
        <v>8</v>
      </c>
      <c r="D461" s="105">
        <v>45373.418308020831</v>
      </c>
      <c r="E461" t="s">
        <v>312</v>
      </c>
      <c r="F461" t="s">
        <v>309</v>
      </c>
      <c r="G461">
        <v>0</v>
      </c>
      <c r="H461" t="s">
        <v>1397</v>
      </c>
      <c r="I461">
        <v>0</v>
      </c>
      <c r="J461">
        <v>0</v>
      </c>
      <c r="K461">
        <v>0</v>
      </c>
      <c r="L461" t="s">
        <v>240</v>
      </c>
      <c r="M461" t="s">
        <v>1398</v>
      </c>
      <c r="N461">
        <v>0</v>
      </c>
      <c r="O461" t="s">
        <v>1389</v>
      </c>
      <c r="P461" t="s">
        <v>310</v>
      </c>
      <c r="Q461" t="s">
        <v>310</v>
      </c>
      <c r="R461" t="s">
        <v>310</v>
      </c>
      <c r="S461">
        <v>9</v>
      </c>
      <c r="T461" t="s">
        <v>310</v>
      </c>
      <c r="U461">
        <v>9</v>
      </c>
      <c r="V461">
        <v>9</v>
      </c>
      <c r="W461">
        <v>0</v>
      </c>
      <c r="X461">
        <v>0</v>
      </c>
      <c r="Y461">
        <v>0</v>
      </c>
      <c r="Z461">
        <v>0</v>
      </c>
      <c r="AA461">
        <v>9</v>
      </c>
      <c r="AB461">
        <v>9</v>
      </c>
      <c r="AC461" t="s">
        <v>310</v>
      </c>
      <c r="AD461">
        <v>9</v>
      </c>
      <c r="AE461" t="s">
        <v>1396</v>
      </c>
      <c r="AF461">
        <v>0</v>
      </c>
      <c r="AG461" t="s">
        <v>310</v>
      </c>
      <c r="AH461">
        <f>SUM((MID(Dyno_Data[[#This Row],[Team]],4,5))+(Dyno_Data[[#This Row],[Match]]/100))</f>
        <v>2601.08</v>
      </c>
      <c r="AI461" s="76">
        <f>ROUND(SUM(IF(Dyno_Data[[#This Row],[AcqCenter]]&gt;0,Dyno_Data[[#This Row],[Time]]-SUMIFS(Dyno_Data[Time],Dyno_Data[Team],Dyno_Data[[#This Row],[Team]],Dyno_Data[RecordType],"StartMatch",Dyno_Data[Match],Dyno_Data[[#This Row],[Match]]),0)*86400),0)</f>
        <v>0</v>
      </c>
    </row>
    <row r="462" spans="1:35" x14ac:dyDescent="0.3">
      <c r="A462">
        <v>455</v>
      </c>
      <c r="B462" t="s">
        <v>1315</v>
      </c>
      <c r="C462">
        <v>8</v>
      </c>
      <c r="D462" s="105">
        <v>45373.418333414353</v>
      </c>
      <c r="E462" t="s">
        <v>312</v>
      </c>
      <c r="F462" t="s">
        <v>309</v>
      </c>
      <c r="G462">
        <v>0</v>
      </c>
      <c r="H462" t="s">
        <v>1397</v>
      </c>
      <c r="I462">
        <v>0</v>
      </c>
      <c r="J462">
        <v>0</v>
      </c>
      <c r="K462">
        <v>0</v>
      </c>
      <c r="L462" t="s">
        <v>240</v>
      </c>
      <c r="M462" t="s">
        <v>1398</v>
      </c>
      <c r="N462">
        <v>0</v>
      </c>
      <c r="O462" t="s">
        <v>319</v>
      </c>
      <c r="P462" t="s">
        <v>310</v>
      </c>
      <c r="Q462" t="s">
        <v>310</v>
      </c>
      <c r="R462" t="s">
        <v>310</v>
      </c>
      <c r="S462">
        <v>9</v>
      </c>
      <c r="T462" t="s">
        <v>310</v>
      </c>
      <c r="U462">
        <v>9</v>
      </c>
      <c r="V462">
        <v>9</v>
      </c>
      <c r="W462">
        <v>0</v>
      </c>
      <c r="X462">
        <v>0</v>
      </c>
      <c r="Y462">
        <v>0</v>
      </c>
      <c r="Z462">
        <v>0</v>
      </c>
      <c r="AA462">
        <v>9</v>
      </c>
      <c r="AB462">
        <v>9</v>
      </c>
      <c r="AC462" t="s">
        <v>310</v>
      </c>
      <c r="AD462">
        <v>9</v>
      </c>
      <c r="AE462" t="s">
        <v>1414</v>
      </c>
      <c r="AF462">
        <v>0</v>
      </c>
      <c r="AG462" t="s">
        <v>310</v>
      </c>
      <c r="AH462">
        <f>SUM((MID(Dyno_Data[[#This Row],[Team]],4,5))+(Dyno_Data[[#This Row],[Match]]/100))</f>
        <v>1511.08</v>
      </c>
      <c r="AI462" s="76">
        <f>ROUND(SUM(IF(Dyno_Data[[#This Row],[AcqCenter]]&gt;0,Dyno_Data[[#This Row],[Time]]-SUMIFS(Dyno_Data[Time],Dyno_Data[Team],Dyno_Data[[#This Row],[Team]],Dyno_Data[RecordType],"StartMatch",Dyno_Data[Match],Dyno_Data[[#This Row],[Match]]),0)*86400),0)</f>
        <v>0</v>
      </c>
    </row>
    <row r="463" spans="1:35" x14ac:dyDescent="0.3">
      <c r="A463">
        <v>456</v>
      </c>
      <c r="B463" t="s">
        <v>361</v>
      </c>
      <c r="C463">
        <v>8</v>
      </c>
      <c r="D463" s="105">
        <v>45373.418343634257</v>
      </c>
      <c r="E463" t="s">
        <v>312</v>
      </c>
      <c r="F463" t="s">
        <v>309</v>
      </c>
      <c r="G463">
        <v>0</v>
      </c>
      <c r="H463" t="s">
        <v>143</v>
      </c>
      <c r="I463">
        <v>2</v>
      </c>
      <c r="J463">
        <v>1</v>
      </c>
      <c r="K463">
        <v>0</v>
      </c>
      <c r="L463" t="s">
        <v>310</v>
      </c>
      <c r="M463" t="s">
        <v>310</v>
      </c>
      <c r="N463">
        <v>0</v>
      </c>
      <c r="O463" t="s">
        <v>311</v>
      </c>
      <c r="P463" t="s">
        <v>310</v>
      </c>
      <c r="Q463" t="s">
        <v>310</v>
      </c>
      <c r="R463" t="s">
        <v>310</v>
      </c>
      <c r="S463">
        <v>9</v>
      </c>
      <c r="T463" t="s">
        <v>310</v>
      </c>
      <c r="U463">
        <v>9</v>
      </c>
      <c r="V463">
        <v>9</v>
      </c>
      <c r="W463">
        <v>0</v>
      </c>
      <c r="X463">
        <v>0</v>
      </c>
      <c r="Y463">
        <v>0</v>
      </c>
      <c r="Z463">
        <v>0</v>
      </c>
      <c r="AA463">
        <v>9</v>
      </c>
      <c r="AB463">
        <v>9</v>
      </c>
      <c r="AC463" t="s">
        <v>310</v>
      </c>
      <c r="AD463">
        <v>9</v>
      </c>
      <c r="AE463" t="s">
        <v>1388</v>
      </c>
      <c r="AF463">
        <v>1000</v>
      </c>
      <c r="AG463" t="s">
        <v>310</v>
      </c>
      <c r="AH463">
        <f>SUM((MID(Dyno_Data[[#This Row],[Team]],4,5))+(Dyno_Data[[#This Row],[Match]]/100))</f>
        <v>20.079999999999998</v>
      </c>
      <c r="AI463" s="76">
        <f>ROUND(SUM(IF(Dyno_Data[[#This Row],[AcqCenter]]&gt;0,Dyno_Data[[#This Row],[Time]]-SUMIFS(Dyno_Data[Time],Dyno_Data[Team],Dyno_Data[[#This Row],[Team]],Dyno_Data[RecordType],"StartMatch",Dyno_Data[Match],Dyno_Data[[#This Row],[Match]]),0)*86400),0)</f>
        <v>5</v>
      </c>
    </row>
    <row r="464" spans="1:35" x14ac:dyDescent="0.3">
      <c r="A464">
        <v>457</v>
      </c>
      <c r="B464" t="s">
        <v>363</v>
      </c>
      <c r="C464">
        <v>8</v>
      </c>
      <c r="D464" s="105">
        <v>45373.418352928238</v>
      </c>
      <c r="E464" t="s">
        <v>312</v>
      </c>
      <c r="F464" t="s">
        <v>309</v>
      </c>
      <c r="G464">
        <v>0</v>
      </c>
      <c r="H464" t="s">
        <v>315</v>
      </c>
      <c r="I464">
        <v>0</v>
      </c>
      <c r="J464">
        <v>0</v>
      </c>
      <c r="K464">
        <v>0</v>
      </c>
      <c r="L464" t="s">
        <v>240</v>
      </c>
      <c r="M464" t="s">
        <v>1398</v>
      </c>
      <c r="N464">
        <v>0</v>
      </c>
      <c r="O464" t="s">
        <v>1389</v>
      </c>
      <c r="P464" t="s">
        <v>310</v>
      </c>
      <c r="Q464" t="s">
        <v>310</v>
      </c>
      <c r="R464" t="s">
        <v>310</v>
      </c>
      <c r="S464">
        <v>9</v>
      </c>
      <c r="T464" t="s">
        <v>310</v>
      </c>
      <c r="U464">
        <v>9</v>
      </c>
      <c r="V464">
        <v>9</v>
      </c>
      <c r="W464">
        <v>0</v>
      </c>
      <c r="X464">
        <v>0</v>
      </c>
      <c r="Y464">
        <v>0</v>
      </c>
      <c r="Z464">
        <v>0</v>
      </c>
      <c r="AA464">
        <v>9</v>
      </c>
      <c r="AB464">
        <v>9</v>
      </c>
      <c r="AC464" t="s">
        <v>310</v>
      </c>
      <c r="AD464">
        <v>9</v>
      </c>
      <c r="AE464" t="s">
        <v>1396</v>
      </c>
      <c r="AF464">
        <v>10000000</v>
      </c>
      <c r="AG464" t="s">
        <v>310</v>
      </c>
      <c r="AH464">
        <f>SUM((MID(Dyno_Data[[#This Row],[Team]],4,5))+(Dyno_Data[[#This Row],[Match]]/100))</f>
        <v>2601.08</v>
      </c>
      <c r="AI464" s="76">
        <f>ROUND(SUM(IF(Dyno_Data[[#This Row],[AcqCenter]]&gt;0,Dyno_Data[[#This Row],[Time]]-SUMIFS(Dyno_Data[Time],Dyno_Data[Team],Dyno_Data[[#This Row],[Team]],Dyno_Data[RecordType],"StartMatch",Dyno_Data[Match],Dyno_Data[[#This Row],[Match]]),0)*86400),0)</f>
        <v>0</v>
      </c>
    </row>
    <row r="465" spans="1:35" x14ac:dyDescent="0.3">
      <c r="A465">
        <v>458</v>
      </c>
      <c r="B465" t="s">
        <v>361</v>
      </c>
      <c r="C465">
        <v>8</v>
      </c>
      <c r="D465" s="105">
        <v>45373.418393831016</v>
      </c>
      <c r="E465" t="s">
        <v>312</v>
      </c>
      <c r="F465" t="s">
        <v>309</v>
      </c>
      <c r="G465">
        <v>0</v>
      </c>
      <c r="H465" t="s">
        <v>143</v>
      </c>
      <c r="I465">
        <v>0</v>
      </c>
      <c r="J465">
        <v>0</v>
      </c>
      <c r="K465">
        <v>0</v>
      </c>
      <c r="L465" t="s">
        <v>241</v>
      </c>
      <c r="M465" t="s">
        <v>1398</v>
      </c>
      <c r="N465">
        <v>0</v>
      </c>
      <c r="O465" t="s">
        <v>311</v>
      </c>
      <c r="P465" t="s">
        <v>310</v>
      </c>
      <c r="Q465" t="s">
        <v>310</v>
      </c>
      <c r="R465" t="s">
        <v>310</v>
      </c>
      <c r="S465">
        <v>9</v>
      </c>
      <c r="T465" t="s">
        <v>310</v>
      </c>
      <c r="U465">
        <v>9</v>
      </c>
      <c r="V465">
        <v>9</v>
      </c>
      <c r="W465">
        <v>0</v>
      </c>
      <c r="X465">
        <v>0</v>
      </c>
      <c r="Y465">
        <v>0</v>
      </c>
      <c r="Z465">
        <v>0</v>
      </c>
      <c r="AA465">
        <v>9</v>
      </c>
      <c r="AB465">
        <v>9</v>
      </c>
      <c r="AC465" t="s">
        <v>310</v>
      </c>
      <c r="AD465">
        <v>9</v>
      </c>
      <c r="AE465" t="s">
        <v>1388</v>
      </c>
      <c r="AF465">
        <v>1000</v>
      </c>
      <c r="AG465" t="s">
        <v>310</v>
      </c>
      <c r="AH465">
        <f>SUM((MID(Dyno_Data[[#This Row],[Team]],4,5))+(Dyno_Data[[#This Row],[Match]]/100))</f>
        <v>20.079999999999998</v>
      </c>
      <c r="AI465" s="76">
        <f>ROUND(SUM(IF(Dyno_Data[[#This Row],[AcqCenter]]&gt;0,Dyno_Data[[#This Row],[Time]]-SUMIFS(Dyno_Data[Time],Dyno_Data[Team],Dyno_Data[[#This Row],[Team]],Dyno_Data[RecordType],"StartMatch",Dyno_Data[Match],Dyno_Data[[#This Row],[Match]]),0)*86400),0)</f>
        <v>0</v>
      </c>
    </row>
    <row r="466" spans="1:35" x14ac:dyDescent="0.3">
      <c r="A466">
        <v>459</v>
      </c>
      <c r="B466" t="s">
        <v>363</v>
      </c>
      <c r="C466">
        <v>8</v>
      </c>
      <c r="D466" s="105">
        <v>45373.418399571761</v>
      </c>
      <c r="E466" t="s">
        <v>312</v>
      </c>
      <c r="F466" t="s">
        <v>309</v>
      </c>
      <c r="G466">
        <v>0</v>
      </c>
      <c r="H466" t="s">
        <v>315</v>
      </c>
      <c r="I466">
        <v>0</v>
      </c>
      <c r="J466">
        <v>0</v>
      </c>
      <c r="K466">
        <v>0</v>
      </c>
      <c r="L466" t="s">
        <v>240</v>
      </c>
      <c r="M466" t="s">
        <v>1398</v>
      </c>
      <c r="N466">
        <v>1</v>
      </c>
      <c r="O466" t="s">
        <v>1389</v>
      </c>
      <c r="P466" t="s">
        <v>310</v>
      </c>
      <c r="Q466" t="s">
        <v>310</v>
      </c>
      <c r="R466" t="s">
        <v>310</v>
      </c>
      <c r="S466">
        <v>9</v>
      </c>
      <c r="T466" t="s">
        <v>310</v>
      </c>
      <c r="U466">
        <v>9</v>
      </c>
      <c r="V466">
        <v>9</v>
      </c>
      <c r="W466">
        <v>0</v>
      </c>
      <c r="X466">
        <v>0</v>
      </c>
      <c r="Y466">
        <v>0</v>
      </c>
      <c r="Z466">
        <v>0</v>
      </c>
      <c r="AA466">
        <v>9</v>
      </c>
      <c r="AB466">
        <v>9</v>
      </c>
      <c r="AC466" t="s">
        <v>310</v>
      </c>
      <c r="AD466">
        <v>9</v>
      </c>
      <c r="AE466" t="s">
        <v>1396</v>
      </c>
      <c r="AF466">
        <v>20000000</v>
      </c>
      <c r="AG466" t="s">
        <v>310</v>
      </c>
      <c r="AH466">
        <f>SUM((MID(Dyno_Data[[#This Row],[Team]],4,5))+(Dyno_Data[[#This Row],[Match]]/100))</f>
        <v>2601.08</v>
      </c>
      <c r="AI466" s="76">
        <f>ROUND(SUM(IF(Dyno_Data[[#This Row],[AcqCenter]]&gt;0,Dyno_Data[[#This Row],[Time]]-SUMIFS(Dyno_Data[Time],Dyno_Data[Team],Dyno_Data[[#This Row],[Team]],Dyno_Data[RecordType],"StartMatch",Dyno_Data[Match],Dyno_Data[[#This Row],[Match]]),0)*86400),0)</f>
        <v>0</v>
      </c>
    </row>
    <row r="467" spans="1:35" x14ac:dyDescent="0.3">
      <c r="A467">
        <v>460</v>
      </c>
      <c r="B467" t="s">
        <v>1314</v>
      </c>
      <c r="C467">
        <v>8</v>
      </c>
      <c r="D467" s="105">
        <v>45373.418412812498</v>
      </c>
      <c r="E467" t="s">
        <v>312</v>
      </c>
      <c r="F467" t="s">
        <v>309</v>
      </c>
      <c r="G467">
        <v>0</v>
      </c>
      <c r="H467" t="s">
        <v>1397</v>
      </c>
      <c r="I467">
        <v>0</v>
      </c>
      <c r="J467">
        <v>0</v>
      </c>
      <c r="K467">
        <v>0</v>
      </c>
      <c r="L467" t="s">
        <v>241</v>
      </c>
      <c r="M467" t="s">
        <v>1398</v>
      </c>
      <c r="N467">
        <v>0</v>
      </c>
      <c r="O467" t="s">
        <v>1393</v>
      </c>
      <c r="P467" t="s">
        <v>310</v>
      </c>
      <c r="Q467" t="s">
        <v>310</v>
      </c>
      <c r="R467" t="s">
        <v>310</v>
      </c>
      <c r="S467">
        <v>9</v>
      </c>
      <c r="T467" t="s">
        <v>310</v>
      </c>
      <c r="U467">
        <v>9</v>
      </c>
      <c r="V467">
        <v>9</v>
      </c>
      <c r="W467">
        <v>0</v>
      </c>
      <c r="X467">
        <v>0</v>
      </c>
      <c r="Y467">
        <v>0</v>
      </c>
      <c r="Z467">
        <v>0</v>
      </c>
      <c r="AA467">
        <v>9</v>
      </c>
      <c r="AB467">
        <v>9</v>
      </c>
      <c r="AC467" t="s">
        <v>310</v>
      </c>
      <c r="AD467">
        <v>9</v>
      </c>
      <c r="AE467" t="s">
        <v>1412</v>
      </c>
      <c r="AF467">
        <v>0</v>
      </c>
      <c r="AG467" t="s">
        <v>310</v>
      </c>
      <c r="AH467">
        <f>SUM((MID(Dyno_Data[[#This Row],[Team]],4,5))+(Dyno_Data[[#This Row],[Match]]/100))</f>
        <v>3419.08</v>
      </c>
      <c r="AI467" s="76">
        <f>ROUND(SUM(IF(Dyno_Data[[#This Row],[AcqCenter]]&gt;0,Dyno_Data[[#This Row],[Time]]-SUMIFS(Dyno_Data[Time],Dyno_Data[Team],Dyno_Data[[#This Row],[Team]],Dyno_Data[RecordType],"StartMatch",Dyno_Data[Match],Dyno_Data[[#This Row],[Match]]),0)*86400),0)</f>
        <v>0</v>
      </c>
    </row>
    <row r="468" spans="1:35" x14ac:dyDescent="0.3">
      <c r="A468">
        <v>461</v>
      </c>
      <c r="B468" t="s">
        <v>363</v>
      </c>
      <c r="C468">
        <v>8</v>
      </c>
      <c r="D468" s="105">
        <v>45373.418437615743</v>
      </c>
      <c r="E468" t="s">
        <v>312</v>
      </c>
      <c r="F468" t="s">
        <v>309</v>
      </c>
      <c r="G468">
        <v>0</v>
      </c>
      <c r="H468" t="s">
        <v>315</v>
      </c>
      <c r="I468">
        <v>0</v>
      </c>
      <c r="J468">
        <v>0</v>
      </c>
      <c r="K468">
        <v>0</v>
      </c>
      <c r="L468" t="s">
        <v>240</v>
      </c>
      <c r="M468" t="s">
        <v>1398</v>
      </c>
      <c r="N468">
        <v>1</v>
      </c>
      <c r="O468" t="s">
        <v>1389</v>
      </c>
      <c r="P468" t="s">
        <v>310</v>
      </c>
      <c r="Q468" t="s">
        <v>310</v>
      </c>
      <c r="R468" t="s">
        <v>310</v>
      </c>
      <c r="S468">
        <v>9</v>
      </c>
      <c r="T468" t="s">
        <v>310</v>
      </c>
      <c r="U468">
        <v>9</v>
      </c>
      <c r="V468">
        <v>9</v>
      </c>
      <c r="W468">
        <v>0</v>
      </c>
      <c r="X468">
        <v>0</v>
      </c>
      <c r="Y468">
        <v>0</v>
      </c>
      <c r="Z468">
        <v>0</v>
      </c>
      <c r="AA468">
        <v>9</v>
      </c>
      <c r="AB468">
        <v>9</v>
      </c>
      <c r="AC468" t="s">
        <v>310</v>
      </c>
      <c r="AD468">
        <v>9</v>
      </c>
      <c r="AE468" t="s">
        <v>1396</v>
      </c>
      <c r="AF468">
        <v>30000000</v>
      </c>
      <c r="AG468" t="s">
        <v>310</v>
      </c>
      <c r="AH468">
        <f>SUM((MID(Dyno_Data[[#This Row],[Team]],4,5))+(Dyno_Data[[#This Row],[Match]]/100))</f>
        <v>2601.08</v>
      </c>
      <c r="AI468" s="76">
        <f>ROUND(SUM(IF(Dyno_Data[[#This Row],[AcqCenter]]&gt;0,Dyno_Data[[#This Row],[Time]]-SUMIFS(Dyno_Data[Time],Dyno_Data[Team],Dyno_Data[[#This Row],[Team]],Dyno_Data[RecordType],"StartMatch",Dyno_Data[Match],Dyno_Data[[#This Row],[Match]]),0)*86400),0)</f>
        <v>0</v>
      </c>
    </row>
    <row r="469" spans="1:35" x14ac:dyDescent="0.3">
      <c r="A469">
        <v>462</v>
      </c>
      <c r="B469" t="s">
        <v>361</v>
      </c>
      <c r="C469">
        <v>8</v>
      </c>
      <c r="D469" s="105">
        <v>45373.418468020835</v>
      </c>
      <c r="E469" t="s">
        <v>312</v>
      </c>
      <c r="F469" t="s">
        <v>309</v>
      </c>
      <c r="G469">
        <v>0</v>
      </c>
      <c r="H469" t="s">
        <v>143</v>
      </c>
      <c r="I469">
        <v>1</v>
      </c>
      <c r="J469">
        <v>1</v>
      </c>
      <c r="K469">
        <v>0</v>
      </c>
      <c r="L469" t="s">
        <v>310</v>
      </c>
      <c r="M469" t="s">
        <v>310</v>
      </c>
      <c r="N469">
        <v>0</v>
      </c>
      <c r="O469" t="s">
        <v>311</v>
      </c>
      <c r="P469" t="s">
        <v>310</v>
      </c>
      <c r="Q469" t="s">
        <v>310</v>
      </c>
      <c r="R469" t="s">
        <v>310</v>
      </c>
      <c r="S469">
        <v>9</v>
      </c>
      <c r="T469" t="s">
        <v>310</v>
      </c>
      <c r="U469">
        <v>9</v>
      </c>
      <c r="V469">
        <v>9</v>
      </c>
      <c r="W469">
        <v>0</v>
      </c>
      <c r="X469">
        <v>0</v>
      </c>
      <c r="Y469">
        <v>0</v>
      </c>
      <c r="Z469">
        <v>0</v>
      </c>
      <c r="AA469">
        <v>9</v>
      </c>
      <c r="AB469">
        <v>9</v>
      </c>
      <c r="AC469" t="s">
        <v>310</v>
      </c>
      <c r="AD469">
        <v>9</v>
      </c>
      <c r="AE469" t="s">
        <v>1388</v>
      </c>
      <c r="AF469">
        <v>1000</v>
      </c>
      <c r="AG469" t="s">
        <v>310</v>
      </c>
      <c r="AH469">
        <f>SUM((MID(Dyno_Data[[#This Row],[Team]],4,5))+(Dyno_Data[[#This Row],[Match]]/100))</f>
        <v>20.079999999999998</v>
      </c>
      <c r="AI469" s="76">
        <f>ROUND(SUM(IF(Dyno_Data[[#This Row],[AcqCenter]]&gt;0,Dyno_Data[[#This Row],[Time]]-SUMIFS(Dyno_Data[Time],Dyno_Data[Team],Dyno_Data[[#This Row],[Team]],Dyno_Data[RecordType],"StartMatch",Dyno_Data[Match],Dyno_Data[[#This Row],[Match]]),0)*86400),0)</f>
        <v>16</v>
      </c>
    </row>
    <row r="470" spans="1:35" x14ac:dyDescent="0.3">
      <c r="A470">
        <v>463</v>
      </c>
      <c r="B470" t="s">
        <v>1315</v>
      </c>
      <c r="C470">
        <v>8</v>
      </c>
      <c r="D470" s="105">
        <v>45373.418476620369</v>
      </c>
      <c r="E470" t="s">
        <v>312</v>
      </c>
      <c r="F470" t="s">
        <v>309</v>
      </c>
      <c r="G470">
        <v>0</v>
      </c>
      <c r="H470" t="s">
        <v>315</v>
      </c>
      <c r="I470">
        <v>0</v>
      </c>
      <c r="J470">
        <v>0</v>
      </c>
      <c r="K470">
        <v>0</v>
      </c>
      <c r="L470" t="s">
        <v>240</v>
      </c>
      <c r="M470" t="s">
        <v>1398</v>
      </c>
      <c r="N470">
        <v>1</v>
      </c>
      <c r="O470" t="s">
        <v>319</v>
      </c>
      <c r="P470" t="s">
        <v>310</v>
      </c>
      <c r="Q470" t="s">
        <v>310</v>
      </c>
      <c r="R470" t="s">
        <v>310</v>
      </c>
      <c r="S470">
        <v>9</v>
      </c>
      <c r="T470" t="s">
        <v>310</v>
      </c>
      <c r="U470">
        <v>9</v>
      </c>
      <c r="V470">
        <v>9</v>
      </c>
      <c r="W470">
        <v>0</v>
      </c>
      <c r="X470">
        <v>0</v>
      </c>
      <c r="Y470">
        <v>0</v>
      </c>
      <c r="Z470">
        <v>0</v>
      </c>
      <c r="AA470">
        <v>9</v>
      </c>
      <c r="AB470">
        <v>9</v>
      </c>
      <c r="AC470" t="s">
        <v>310</v>
      </c>
      <c r="AD470">
        <v>9</v>
      </c>
      <c r="AE470" t="s">
        <v>1414</v>
      </c>
      <c r="AF470">
        <v>10000000</v>
      </c>
      <c r="AG470" t="s">
        <v>310</v>
      </c>
      <c r="AH470">
        <f>SUM((MID(Dyno_Data[[#This Row],[Team]],4,5))+(Dyno_Data[[#This Row],[Match]]/100))</f>
        <v>1511.08</v>
      </c>
      <c r="AI470" s="76">
        <f>ROUND(SUM(IF(Dyno_Data[[#This Row],[AcqCenter]]&gt;0,Dyno_Data[[#This Row],[Time]]-SUMIFS(Dyno_Data[Time],Dyno_Data[Team],Dyno_Data[[#This Row],[Team]],Dyno_Data[RecordType],"StartMatch",Dyno_Data[Match],Dyno_Data[[#This Row],[Match]]),0)*86400),0)</f>
        <v>0</v>
      </c>
    </row>
    <row r="471" spans="1:35" x14ac:dyDescent="0.3">
      <c r="A471">
        <v>465</v>
      </c>
      <c r="B471" t="s">
        <v>361</v>
      </c>
      <c r="C471">
        <v>8</v>
      </c>
      <c r="D471" s="105">
        <v>45373.418496874998</v>
      </c>
      <c r="E471" t="s">
        <v>314</v>
      </c>
      <c r="F471" t="s">
        <v>309</v>
      </c>
      <c r="G471">
        <v>1</v>
      </c>
      <c r="H471" t="s">
        <v>310</v>
      </c>
      <c r="I471">
        <v>0</v>
      </c>
      <c r="J471">
        <v>0</v>
      </c>
      <c r="K471">
        <v>0</v>
      </c>
      <c r="L471" t="s">
        <v>310</v>
      </c>
      <c r="M471" t="s">
        <v>310</v>
      </c>
      <c r="N471">
        <v>0</v>
      </c>
      <c r="O471" t="s">
        <v>311</v>
      </c>
      <c r="P471" t="s">
        <v>1401</v>
      </c>
      <c r="Q471" t="s">
        <v>1399</v>
      </c>
      <c r="R471" t="s">
        <v>310</v>
      </c>
      <c r="S471">
        <v>9</v>
      </c>
      <c r="T471" t="s">
        <v>310</v>
      </c>
      <c r="U471">
        <v>9</v>
      </c>
      <c r="V471">
        <v>9</v>
      </c>
      <c r="W471">
        <v>0</v>
      </c>
      <c r="X471">
        <v>0</v>
      </c>
      <c r="Y471">
        <v>0</v>
      </c>
      <c r="Z471">
        <v>0</v>
      </c>
      <c r="AA471">
        <v>9</v>
      </c>
      <c r="AB471">
        <v>9</v>
      </c>
      <c r="AC471" t="s">
        <v>310</v>
      </c>
      <c r="AD471">
        <v>9</v>
      </c>
      <c r="AE471" t="s">
        <v>1388</v>
      </c>
      <c r="AF471">
        <v>1000</v>
      </c>
      <c r="AG471" t="s">
        <v>310</v>
      </c>
      <c r="AH471">
        <f>SUM((MID(Dyno_Data[[#This Row],[Team]],4,5))+(Dyno_Data[[#This Row],[Match]]/100))</f>
        <v>20.079999999999998</v>
      </c>
      <c r="AI471" s="76">
        <f>ROUND(SUM(IF(Dyno_Data[[#This Row],[AcqCenter]]&gt;0,Dyno_Data[[#This Row],[Time]]-SUMIFS(Dyno_Data[Time],Dyno_Data[Team],Dyno_Data[[#This Row],[Team]],Dyno_Data[RecordType],"StartMatch",Dyno_Data[Match],Dyno_Data[[#This Row],[Match]]),0)*86400),0)</f>
        <v>0</v>
      </c>
    </row>
    <row r="472" spans="1:35" x14ac:dyDescent="0.3">
      <c r="A472">
        <v>467</v>
      </c>
      <c r="B472" t="s">
        <v>1314</v>
      </c>
      <c r="C472">
        <v>8</v>
      </c>
      <c r="D472" s="105">
        <v>45373.418497106482</v>
      </c>
      <c r="E472" t="s">
        <v>314</v>
      </c>
      <c r="F472" t="s">
        <v>309</v>
      </c>
      <c r="G472">
        <v>1</v>
      </c>
      <c r="H472" t="s">
        <v>310</v>
      </c>
      <c r="I472">
        <v>0</v>
      </c>
      <c r="J472">
        <v>0</v>
      </c>
      <c r="K472">
        <v>0</v>
      </c>
      <c r="L472" t="s">
        <v>310</v>
      </c>
      <c r="M472" t="s">
        <v>310</v>
      </c>
      <c r="N472">
        <v>0</v>
      </c>
      <c r="O472" t="s">
        <v>1393</v>
      </c>
      <c r="P472" t="s">
        <v>1401</v>
      </c>
      <c r="Q472" t="s">
        <v>1400</v>
      </c>
      <c r="R472" t="s">
        <v>310</v>
      </c>
      <c r="S472">
        <v>9</v>
      </c>
      <c r="T472" t="s">
        <v>310</v>
      </c>
      <c r="U472">
        <v>9</v>
      </c>
      <c r="V472">
        <v>9</v>
      </c>
      <c r="W472">
        <v>0</v>
      </c>
      <c r="X472">
        <v>0</v>
      </c>
      <c r="Y472">
        <v>0</v>
      </c>
      <c r="Z472">
        <v>0</v>
      </c>
      <c r="AA472">
        <v>9</v>
      </c>
      <c r="AB472">
        <v>9</v>
      </c>
      <c r="AC472" t="s">
        <v>310</v>
      </c>
      <c r="AD472">
        <v>9</v>
      </c>
      <c r="AE472" t="s">
        <v>1412</v>
      </c>
      <c r="AF472">
        <v>0</v>
      </c>
      <c r="AG472" t="s">
        <v>310</v>
      </c>
      <c r="AH472">
        <f>SUM((MID(Dyno_Data[[#This Row],[Team]],4,5))+(Dyno_Data[[#This Row],[Match]]/100))</f>
        <v>3419.08</v>
      </c>
      <c r="AI472" s="76">
        <f>ROUND(SUM(IF(Dyno_Data[[#This Row],[AcqCenter]]&gt;0,Dyno_Data[[#This Row],[Time]]-SUMIFS(Dyno_Data[Time],Dyno_Data[Team],Dyno_Data[[#This Row],[Team]],Dyno_Data[RecordType],"StartMatch",Dyno_Data[Match],Dyno_Data[[#This Row],[Match]]),0)*86400),0)</f>
        <v>0</v>
      </c>
    </row>
    <row r="473" spans="1:35" x14ac:dyDescent="0.3">
      <c r="A473">
        <v>469</v>
      </c>
      <c r="B473" t="s">
        <v>373</v>
      </c>
      <c r="C473">
        <v>8</v>
      </c>
      <c r="D473" s="105">
        <v>45373.4185005787</v>
      </c>
      <c r="E473" t="s">
        <v>314</v>
      </c>
      <c r="F473" t="s">
        <v>309</v>
      </c>
      <c r="G473">
        <v>0</v>
      </c>
      <c r="H473" t="s">
        <v>310</v>
      </c>
      <c r="I473">
        <v>0</v>
      </c>
      <c r="J473">
        <v>0</v>
      </c>
      <c r="K473">
        <v>0</v>
      </c>
      <c r="L473" t="s">
        <v>310</v>
      </c>
      <c r="M473" t="s">
        <v>310</v>
      </c>
      <c r="N473">
        <v>0</v>
      </c>
      <c r="O473" t="s">
        <v>1391</v>
      </c>
      <c r="P473" t="s">
        <v>320</v>
      </c>
      <c r="Q473" t="s">
        <v>1400</v>
      </c>
      <c r="R473" t="s">
        <v>310</v>
      </c>
      <c r="S473">
        <v>9</v>
      </c>
      <c r="T473" t="s">
        <v>310</v>
      </c>
      <c r="U473">
        <v>9</v>
      </c>
      <c r="V473">
        <v>9</v>
      </c>
      <c r="W473">
        <v>0</v>
      </c>
      <c r="X473">
        <v>0</v>
      </c>
      <c r="Y473">
        <v>0</v>
      </c>
      <c r="Z473">
        <v>0</v>
      </c>
      <c r="AA473">
        <v>9</v>
      </c>
      <c r="AB473">
        <v>9</v>
      </c>
      <c r="AC473" t="s">
        <v>310</v>
      </c>
      <c r="AD473">
        <v>9</v>
      </c>
      <c r="AE473" t="s">
        <v>1390</v>
      </c>
      <c r="AF473">
        <v>0</v>
      </c>
      <c r="AG473" t="s">
        <v>310</v>
      </c>
      <c r="AH473">
        <f>SUM((MID(Dyno_Data[[#This Row],[Team]],4,5))+(Dyno_Data[[#This Row],[Match]]/100))</f>
        <v>7718.08</v>
      </c>
      <c r="AI473" s="76">
        <f>ROUND(SUM(IF(Dyno_Data[[#This Row],[AcqCenter]]&gt;0,Dyno_Data[[#This Row],[Time]]-SUMIFS(Dyno_Data[Time],Dyno_Data[Team],Dyno_Data[[#This Row],[Team]],Dyno_Data[RecordType],"StartMatch",Dyno_Data[Match],Dyno_Data[[#This Row],[Match]]),0)*86400),0)</f>
        <v>0</v>
      </c>
    </row>
    <row r="474" spans="1:35" x14ac:dyDescent="0.3">
      <c r="A474">
        <v>471</v>
      </c>
      <c r="B474" t="s">
        <v>368</v>
      </c>
      <c r="C474">
        <v>8</v>
      </c>
      <c r="D474" s="105">
        <v>45373.418507025461</v>
      </c>
      <c r="E474" t="s">
        <v>314</v>
      </c>
      <c r="F474" t="s">
        <v>309</v>
      </c>
      <c r="G474">
        <v>0</v>
      </c>
      <c r="H474" t="s">
        <v>310</v>
      </c>
      <c r="I474">
        <v>0</v>
      </c>
      <c r="J474">
        <v>0</v>
      </c>
      <c r="K474">
        <v>0</v>
      </c>
      <c r="L474" t="s">
        <v>310</v>
      </c>
      <c r="M474" t="s">
        <v>310</v>
      </c>
      <c r="N474">
        <v>0</v>
      </c>
      <c r="O474" t="s">
        <v>1395</v>
      </c>
      <c r="P474" t="s">
        <v>101</v>
      </c>
      <c r="Q474" t="s">
        <v>1400</v>
      </c>
      <c r="R474" t="s">
        <v>310</v>
      </c>
      <c r="S474">
        <v>9</v>
      </c>
      <c r="T474" t="s">
        <v>310</v>
      </c>
      <c r="U474">
        <v>9</v>
      </c>
      <c r="V474">
        <v>9</v>
      </c>
      <c r="W474">
        <v>0</v>
      </c>
      <c r="X474">
        <v>0</v>
      </c>
      <c r="Y474">
        <v>0</v>
      </c>
      <c r="Z474">
        <v>0</v>
      </c>
      <c r="AA474">
        <v>9</v>
      </c>
      <c r="AB474">
        <v>9</v>
      </c>
      <c r="AC474" t="s">
        <v>310</v>
      </c>
      <c r="AD474">
        <v>9</v>
      </c>
      <c r="AE474" t="s">
        <v>1413</v>
      </c>
      <c r="AF474">
        <v>0</v>
      </c>
      <c r="AG474" t="s">
        <v>310</v>
      </c>
      <c r="AH474">
        <f>SUM((MID(Dyno_Data[[#This Row],[Team]],4,5))+(Dyno_Data[[#This Row],[Match]]/100))</f>
        <v>6401.08</v>
      </c>
      <c r="AI474" s="76">
        <f>ROUND(SUM(IF(Dyno_Data[[#This Row],[AcqCenter]]&gt;0,Dyno_Data[[#This Row],[Time]]-SUMIFS(Dyno_Data[Time],Dyno_Data[Team],Dyno_Data[[#This Row],[Team]],Dyno_Data[RecordType],"StartMatch",Dyno_Data[Match],Dyno_Data[[#This Row],[Match]]),0)*86400),0)</f>
        <v>0</v>
      </c>
    </row>
    <row r="475" spans="1:35" x14ac:dyDescent="0.3">
      <c r="A475">
        <v>473</v>
      </c>
      <c r="B475" t="s">
        <v>1315</v>
      </c>
      <c r="C475">
        <v>8</v>
      </c>
      <c r="D475" s="105">
        <v>45373.41850983796</v>
      </c>
      <c r="E475" t="s">
        <v>314</v>
      </c>
      <c r="F475" t="s">
        <v>309</v>
      </c>
      <c r="G475">
        <v>1</v>
      </c>
      <c r="H475" t="s">
        <v>310</v>
      </c>
      <c r="I475">
        <v>0</v>
      </c>
      <c r="J475">
        <v>0</v>
      </c>
      <c r="K475">
        <v>0</v>
      </c>
      <c r="L475" t="s">
        <v>310</v>
      </c>
      <c r="M475" t="s">
        <v>310</v>
      </c>
      <c r="N475">
        <v>0</v>
      </c>
      <c r="O475" t="s">
        <v>319</v>
      </c>
      <c r="P475" t="s">
        <v>101</v>
      </c>
      <c r="Q475" t="s">
        <v>1400</v>
      </c>
      <c r="R475" t="s">
        <v>310</v>
      </c>
      <c r="S475">
        <v>9</v>
      </c>
      <c r="T475" t="s">
        <v>310</v>
      </c>
      <c r="U475">
        <v>9</v>
      </c>
      <c r="V475">
        <v>9</v>
      </c>
      <c r="W475">
        <v>0</v>
      </c>
      <c r="X475">
        <v>0</v>
      </c>
      <c r="Y475">
        <v>0</v>
      </c>
      <c r="Z475">
        <v>0</v>
      </c>
      <c r="AA475">
        <v>9</v>
      </c>
      <c r="AB475">
        <v>9</v>
      </c>
      <c r="AC475" t="s">
        <v>310</v>
      </c>
      <c r="AD475">
        <v>9</v>
      </c>
      <c r="AE475" t="s">
        <v>1414</v>
      </c>
      <c r="AF475">
        <v>10000000</v>
      </c>
      <c r="AG475" t="s">
        <v>310</v>
      </c>
      <c r="AH475">
        <f>SUM((MID(Dyno_Data[[#This Row],[Team]],4,5))+(Dyno_Data[[#This Row],[Match]]/100))</f>
        <v>1511.08</v>
      </c>
      <c r="AI475" s="76">
        <f>ROUND(SUM(IF(Dyno_Data[[#This Row],[AcqCenter]]&gt;0,Dyno_Data[[#This Row],[Time]]-SUMIFS(Dyno_Data[Time],Dyno_Data[Team],Dyno_Data[[#This Row],[Team]],Dyno_Data[RecordType],"StartMatch",Dyno_Data[Match],Dyno_Data[[#This Row],[Match]]),0)*86400),0)</f>
        <v>0</v>
      </c>
    </row>
    <row r="476" spans="1:35" x14ac:dyDescent="0.3">
      <c r="A476">
        <v>475</v>
      </c>
      <c r="B476" t="s">
        <v>363</v>
      </c>
      <c r="C476">
        <v>8</v>
      </c>
      <c r="D476" s="105">
        <v>45373.418509988427</v>
      </c>
      <c r="E476" t="s">
        <v>314</v>
      </c>
      <c r="F476" t="s">
        <v>309</v>
      </c>
      <c r="G476">
        <v>1</v>
      </c>
      <c r="H476" t="s">
        <v>310</v>
      </c>
      <c r="I476">
        <v>0</v>
      </c>
      <c r="J476">
        <v>0</v>
      </c>
      <c r="K476">
        <v>0</v>
      </c>
      <c r="L476" t="s">
        <v>310</v>
      </c>
      <c r="M476" t="s">
        <v>310</v>
      </c>
      <c r="N476">
        <v>0</v>
      </c>
      <c r="O476" t="s">
        <v>1389</v>
      </c>
      <c r="P476" t="s">
        <v>240</v>
      </c>
      <c r="Q476" t="s">
        <v>1399</v>
      </c>
      <c r="R476" t="s">
        <v>310</v>
      </c>
      <c r="S476">
        <v>9</v>
      </c>
      <c r="T476" t="s">
        <v>310</v>
      </c>
      <c r="U476">
        <v>9</v>
      </c>
      <c r="V476">
        <v>9</v>
      </c>
      <c r="W476">
        <v>0</v>
      </c>
      <c r="X476">
        <v>0</v>
      </c>
      <c r="Y476">
        <v>0</v>
      </c>
      <c r="Z476">
        <v>0</v>
      </c>
      <c r="AA476">
        <v>9</v>
      </c>
      <c r="AB476">
        <v>9</v>
      </c>
      <c r="AC476" t="s">
        <v>310</v>
      </c>
      <c r="AD476">
        <v>9</v>
      </c>
      <c r="AE476" t="s">
        <v>1396</v>
      </c>
      <c r="AF476">
        <v>30000000</v>
      </c>
      <c r="AG476" t="s">
        <v>310</v>
      </c>
      <c r="AH476">
        <f>SUM((MID(Dyno_Data[[#This Row],[Team]],4,5))+(Dyno_Data[[#This Row],[Match]]/100))</f>
        <v>2601.08</v>
      </c>
      <c r="AI476" s="76">
        <f>ROUND(SUM(IF(Dyno_Data[[#This Row],[AcqCenter]]&gt;0,Dyno_Data[[#This Row],[Time]]-SUMIFS(Dyno_Data[Time],Dyno_Data[Team],Dyno_Data[[#This Row],[Team]],Dyno_Data[RecordType],"StartMatch",Dyno_Data[Match],Dyno_Data[[#This Row],[Match]]),0)*86400),0)</f>
        <v>0</v>
      </c>
    </row>
    <row r="477" spans="1:35" x14ac:dyDescent="0.3">
      <c r="A477">
        <v>476</v>
      </c>
      <c r="B477" t="s">
        <v>1314</v>
      </c>
      <c r="C477">
        <v>8</v>
      </c>
      <c r="D477" s="105">
        <v>45373.418575891206</v>
      </c>
      <c r="E477" t="s">
        <v>312</v>
      </c>
      <c r="F477" t="s">
        <v>1402</v>
      </c>
      <c r="G477">
        <v>0</v>
      </c>
      <c r="H477" t="s">
        <v>315</v>
      </c>
      <c r="I477">
        <v>0</v>
      </c>
      <c r="J477">
        <v>0</v>
      </c>
      <c r="K477">
        <v>0</v>
      </c>
      <c r="L477" t="s">
        <v>241</v>
      </c>
      <c r="M477" t="s">
        <v>1398</v>
      </c>
      <c r="N477">
        <v>0</v>
      </c>
      <c r="O477" t="s">
        <v>1393</v>
      </c>
      <c r="P477" t="s">
        <v>310</v>
      </c>
      <c r="Q477" t="s">
        <v>310</v>
      </c>
      <c r="R477" t="s">
        <v>310</v>
      </c>
      <c r="S477">
        <v>9</v>
      </c>
      <c r="T477" t="s">
        <v>310</v>
      </c>
      <c r="U477">
        <v>9</v>
      </c>
      <c r="V477">
        <v>9</v>
      </c>
      <c r="W477">
        <v>0</v>
      </c>
      <c r="X477">
        <v>0</v>
      </c>
      <c r="Y477">
        <v>0</v>
      </c>
      <c r="Z477">
        <v>0</v>
      </c>
      <c r="AA477">
        <v>9</v>
      </c>
      <c r="AB477">
        <v>9</v>
      </c>
      <c r="AC477" t="s">
        <v>310</v>
      </c>
      <c r="AD477">
        <v>9</v>
      </c>
      <c r="AE477" t="s">
        <v>1412</v>
      </c>
      <c r="AF477">
        <v>10000000</v>
      </c>
      <c r="AG477" t="s">
        <v>310</v>
      </c>
      <c r="AH477">
        <f>SUM((MID(Dyno_Data[[#This Row],[Team]],4,5))+(Dyno_Data[[#This Row],[Match]]/100))</f>
        <v>3419.08</v>
      </c>
      <c r="AI477" s="76">
        <f>ROUND(SUM(IF(Dyno_Data[[#This Row],[AcqCenter]]&gt;0,Dyno_Data[[#This Row],[Time]]-SUMIFS(Dyno_Data[Time],Dyno_Data[Team],Dyno_Data[[#This Row],[Team]],Dyno_Data[RecordType],"StartMatch",Dyno_Data[Match],Dyno_Data[[#This Row],[Match]]),0)*86400),0)</f>
        <v>0</v>
      </c>
    </row>
    <row r="478" spans="1:35" x14ac:dyDescent="0.3">
      <c r="A478">
        <v>477</v>
      </c>
      <c r="B478" t="s">
        <v>361</v>
      </c>
      <c r="C478">
        <v>8</v>
      </c>
      <c r="D478" s="105">
        <v>45373.418604131941</v>
      </c>
      <c r="E478" t="s">
        <v>312</v>
      </c>
      <c r="F478" t="s">
        <v>1402</v>
      </c>
      <c r="G478">
        <v>0</v>
      </c>
      <c r="H478" t="s">
        <v>143</v>
      </c>
      <c r="I478">
        <v>0</v>
      </c>
      <c r="J478">
        <v>0</v>
      </c>
      <c r="K478">
        <v>0</v>
      </c>
      <c r="L478" t="s">
        <v>240</v>
      </c>
      <c r="M478" t="s">
        <v>1398</v>
      </c>
      <c r="N478">
        <v>0</v>
      </c>
      <c r="O478" t="s">
        <v>311</v>
      </c>
      <c r="P478" t="s">
        <v>310</v>
      </c>
      <c r="Q478" t="s">
        <v>310</v>
      </c>
      <c r="R478" t="s">
        <v>310</v>
      </c>
      <c r="S478">
        <v>9</v>
      </c>
      <c r="T478" t="s">
        <v>310</v>
      </c>
      <c r="U478">
        <v>9</v>
      </c>
      <c r="V478">
        <v>9</v>
      </c>
      <c r="W478">
        <v>0</v>
      </c>
      <c r="X478">
        <v>0</v>
      </c>
      <c r="Y478">
        <v>0</v>
      </c>
      <c r="Z478">
        <v>0</v>
      </c>
      <c r="AA478">
        <v>9</v>
      </c>
      <c r="AB478">
        <v>9</v>
      </c>
      <c r="AC478" t="s">
        <v>310</v>
      </c>
      <c r="AD478">
        <v>9</v>
      </c>
      <c r="AE478" t="s">
        <v>1388</v>
      </c>
      <c r="AF478">
        <v>1000</v>
      </c>
      <c r="AG478" t="s">
        <v>310</v>
      </c>
      <c r="AH478">
        <f>SUM((MID(Dyno_Data[[#This Row],[Team]],4,5))+(Dyno_Data[[#This Row],[Match]]/100))</f>
        <v>20.079999999999998</v>
      </c>
      <c r="AI478" s="76">
        <f>ROUND(SUM(IF(Dyno_Data[[#This Row],[AcqCenter]]&gt;0,Dyno_Data[[#This Row],[Time]]-SUMIFS(Dyno_Data[Time],Dyno_Data[Team],Dyno_Data[[#This Row],[Team]],Dyno_Data[RecordType],"StartMatch",Dyno_Data[Match],Dyno_Data[[#This Row],[Match]]),0)*86400),0)</f>
        <v>0</v>
      </c>
    </row>
    <row r="479" spans="1:35" x14ac:dyDescent="0.3">
      <c r="A479">
        <v>478</v>
      </c>
      <c r="B479" t="s">
        <v>363</v>
      </c>
      <c r="C479">
        <v>8</v>
      </c>
      <c r="D479" s="105">
        <v>45373.41863954861</v>
      </c>
      <c r="E479" t="s">
        <v>312</v>
      </c>
      <c r="F479" t="s">
        <v>1402</v>
      </c>
      <c r="G479">
        <v>0</v>
      </c>
      <c r="H479" t="s">
        <v>315</v>
      </c>
      <c r="I479">
        <v>0</v>
      </c>
      <c r="J479">
        <v>0</v>
      </c>
      <c r="K479">
        <v>0</v>
      </c>
      <c r="L479" t="s">
        <v>240</v>
      </c>
      <c r="M479" t="s">
        <v>1398</v>
      </c>
      <c r="N479">
        <v>1</v>
      </c>
      <c r="O479" t="s">
        <v>1389</v>
      </c>
      <c r="P479" t="s">
        <v>310</v>
      </c>
      <c r="Q479" t="s">
        <v>310</v>
      </c>
      <c r="R479" t="s">
        <v>310</v>
      </c>
      <c r="S479">
        <v>9</v>
      </c>
      <c r="T479" t="s">
        <v>310</v>
      </c>
      <c r="U479">
        <v>9</v>
      </c>
      <c r="V479">
        <v>9</v>
      </c>
      <c r="W479">
        <v>0</v>
      </c>
      <c r="X479">
        <v>0</v>
      </c>
      <c r="Y479">
        <v>0</v>
      </c>
      <c r="Z479">
        <v>0</v>
      </c>
      <c r="AA479">
        <v>9</v>
      </c>
      <c r="AB479">
        <v>9</v>
      </c>
      <c r="AC479" t="s">
        <v>310</v>
      </c>
      <c r="AD479">
        <v>9</v>
      </c>
      <c r="AE479" t="s">
        <v>1396</v>
      </c>
      <c r="AF479">
        <v>40000000</v>
      </c>
      <c r="AG479" t="s">
        <v>310</v>
      </c>
      <c r="AH479">
        <f>SUM((MID(Dyno_Data[[#This Row],[Team]],4,5))+(Dyno_Data[[#This Row],[Match]]/100))</f>
        <v>2601.08</v>
      </c>
      <c r="AI479" s="76">
        <f>ROUND(SUM(IF(Dyno_Data[[#This Row],[AcqCenter]]&gt;0,Dyno_Data[[#This Row],[Time]]-SUMIFS(Dyno_Data[Time],Dyno_Data[Team],Dyno_Data[[#This Row],[Team]],Dyno_Data[RecordType],"StartMatch",Dyno_Data[Match],Dyno_Data[[#This Row],[Match]]),0)*86400),0)</f>
        <v>0</v>
      </c>
    </row>
    <row r="480" spans="1:35" x14ac:dyDescent="0.3">
      <c r="A480">
        <v>479</v>
      </c>
      <c r="B480" t="s">
        <v>1314</v>
      </c>
      <c r="C480">
        <v>8</v>
      </c>
      <c r="D480" s="105">
        <v>45373.418648263891</v>
      </c>
      <c r="E480" t="s">
        <v>312</v>
      </c>
      <c r="F480" t="s">
        <v>1402</v>
      </c>
      <c r="G480">
        <v>0</v>
      </c>
      <c r="H480" t="s">
        <v>315</v>
      </c>
      <c r="I480">
        <v>0</v>
      </c>
      <c r="J480">
        <v>0</v>
      </c>
      <c r="K480">
        <v>0</v>
      </c>
      <c r="L480" t="s">
        <v>241</v>
      </c>
      <c r="M480" t="s">
        <v>1398</v>
      </c>
      <c r="N480">
        <v>0</v>
      </c>
      <c r="O480" t="s">
        <v>1393</v>
      </c>
      <c r="P480" t="s">
        <v>310</v>
      </c>
      <c r="Q480" t="s">
        <v>310</v>
      </c>
      <c r="R480" t="s">
        <v>310</v>
      </c>
      <c r="S480">
        <v>9</v>
      </c>
      <c r="T480" t="s">
        <v>310</v>
      </c>
      <c r="U480">
        <v>9</v>
      </c>
      <c r="V480">
        <v>9</v>
      </c>
      <c r="W480">
        <v>0</v>
      </c>
      <c r="X480">
        <v>0</v>
      </c>
      <c r="Y480">
        <v>0</v>
      </c>
      <c r="Z480">
        <v>0</v>
      </c>
      <c r="AA480">
        <v>9</v>
      </c>
      <c r="AB480">
        <v>9</v>
      </c>
      <c r="AC480" t="s">
        <v>310</v>
      </c>
      <c r="AD480">
        <v>9</v>
      </c>
      <c r="AE480" t="s">
        <v>1412</v>
      </c>
      <c r="AF480">
        <v>20000000</v>
      </c>
      <c r="AG480" t="s">
        <v>310</v>
      </c>
      <c r="AH480">
        <f>SUM((MID(Dyno_Data[[#This Row],[Team]],4,5))+(Dyno_Data[[#This Row],[Match]]/100))</f>
        <v>3419.08</v>
      </c>
      <c r="AI480" s="76">
        <f>ROUND(SUM(IF(Dyno_Data[[#This Row],[AcqCenter]]&gt;0,Dyno_Data[[#This Row],[Time]]-SUMIFS(Dyno_Data[Time],Dyno_Data[Team],Dyno_Data[[#This Row],[Team]],Dyno_Data[RecordType],"StartMatch",Dyno_Data[Match],Dyno_Data[[#This Row],[Match]]),0)*86400),0)</f>
        <v>0</v>
      </c>
    </row>
    <row r="481" spans="1:35" x14ac:dyDescent="0.3">
      <c r="A481">
        <v>480</v>
      </c>
      <c r="B481" t="s">
        <v>1315</v>
      </c>
      <c r="C481">
        <v>8</v>
      </c>
      <c r="D481" s="105">
        <v>45373.418659803239</v>
      </c>
      <c r="E481" t="s">
        <v>312</v>
      </c>
      <c r="F481" t="s">
        <v>1402</v>
      </c>
      <c r="G481">
        <v>0</v>
      </c>
      <c r="H481" t="s">
        <v>315</v>
      </c>
      <c r="I481">
        <v>0</v>
      </c>
      <c r="J481">
        <v>0</v>
      </c>
      <c r="K481">
        <v>0</v>
      </c>
      <c r="L481" t="s">
        <v>241</v>
      </c>
      <c r="M481" t="s">
        <v>101</v>
      </c>
      <c r="N481">
        <v>0</v>
      </c>
      <c r="O481" t="s">
        <v>319</v>
      </c>
      <c r="P481" t="s">
        <v>310</v>
      </c>
      <c r="Q481" t="s">
        <v>310</v>
      </c>
      <c r="R481" t="s">
        <v>310</v>
      </c>
      <c r="S481">
        <v>9</v>
      </c>
      <c r="T481" t="s">
        <v>310</v>
      </c>
      <c r="U481">
        <v>9</v>
      </c>
      <c r="V481">
        <v>9</v>
      </c>
      <c r="W481">
        <v>0</v>
      </c>
      <c r="X481">
        <v>0</v>
      </c>
      <c r="Y481">
        <v>0</v>
      </c>
      <c r="Z481">
        <v>0</v>
      </c>
      <c r="AA481">
        <v>9</v>
      </c>
      <c r="AB481">
        <v>9</v>
      </c>
      <c r="AC481" t="s">
        <v>310</v>
      </c>
      <c r="AD481">
        <v>9</v>
      </c>
      <c r="AE481" t="s">
        <v>1414</v>
      </c>
      <c r="AF481">
        <v>20000000</v>
      </c>
      <c r="AG481" t="s">
        <v>310</v>
      </c>
      <c r="AH481">
        <f>SUM((MID(Dyno_Data[[#This Row],[Team]],4,5))+(Dyno_Data[[#This Row],[Match]]/100))</f>
        <v>1511.08</v>
      </c>
      <c r="AI481" s="76">
        <f>ROUND(SUM(IF(Dyno_Data[[#This Row],[AcqCenter]]&gt;0,Dyno_Data[[#This Row],[Time]]-SUMIFS(Dyno_Data[Time],Dyno_Data[Team],Dyno_Data[[#This Row],[Team]],Dyno_Data[RecordType],"StartMatch",Dyno_Data[Match],Dyno_Data[[#This Row],[Match]]),0)*86400),0)</f>
        <v>0</v>
      </c>
    </row>
    <row r="482" spans="1:35" x14ac:dyDescent="0.3">
      <c r="A482">
        <v>481</v>
      </c>
      <c r="B482" t="s">
        <v>363</v>
      </c>
      <c r="C482">
        <v>8</v>
      </c>
      <c r="D482" s="105">
        <v>45373.418705474534</v>
      </c>
      <c r="E482" t="s">
        <v>312</v>
      </c>
      <c r="F482" t="s">
        <v>1402</v>
      </c>
      <c r="G482">
        <v>0</v>
      </c>
      <c r="H482" t="s">
        <v>315</v>
      </c>
      <c r="I482">
        <v>0</v>
      </c>
      <c r="J482">
        <v>0</v>
      </c>
      <c r="K482">
        <v>0</v>
      </c>
      <c r="L482" t="s">
        <v>240</v>
      </c>
      <c r="M482" t="s">
        <v>1398</v>
      </c>
      <c r="N482">
        <v>1</v>
      </c>
      <c r="O482" t="s">
        <v>1389</v>
      </c>
      <c r="P482" t="s">
        <v>310</v>
      </c>
      <c r="Q482" t="s">
        <v>310</v>
      </c>
      <c r="R482" t="s">
        <v>310</v>
      </c>
      <c r="S482">
        <v>9</v>
      </c>
      <c r="T482" t="s">
        <v>310</v>
      </c>
      <c r="U482">
        <v>9</v>
      </c>
      <c r="V482">
        <v>9</v>
      </c>
      <c r="W482">
        <v>0</v>
      </c>
      <c r="X482">
        <v>0</v>
      </c>
      <c r="Y482">
        <v>0</v>
      </c>
      <c r="Z482">
        <v>0</v>
      </c>
      <c r="AA482">
        <v>9</v>
      </c>
      <c r="AB482">
        <v>9</v>
      </c>
      <c r="AC482" t="s">
        <v>310</v>
      </c>
      <c r="AD482">
        <v>9</v>
      </c>
      <c r="AE482" t="s">
        <v>1396</v>
      </c>
      <c r="AF482">
        <v>50000000</v>
      </c>
      <c r="AG482" t="s">
        <v>310</v>
      </c>
      <c r="AH482">
        <f>SUM((MID(Dyno_Data[[#This Row],[Team]],4,5))+(Dyno_Data[[#This Row],[Match]]/100))</f>
        <v>2601.08</v>
      </c>
      <c r="AI482" s="76">
        <f>ROUND(SUM(IF(Dyno_Data[[#This Row],[AcqCenter]]&gt;0,Dyno_Data[[#This Row],[Time]]-SUMIFS(Dyno_Data[Time],Dyno_Data[Team],Dyno_Data[[#This Row],[Team]],Dyno_Data[RecordType],"StartMatch",Dyno_Data[Match],Dyno_Data[[#This Row],[Match]]),0)*86400),0)</f>
        <v>0</v>
      </c>
    </row>
    <row r="483" spans="1:35" x14ac:dyDescent="0.3">
      <c r="A483">
        <v>482</v>
      </c>
      <c r="B483" t="s">
        <v>361</v>
      </c>
      <c r="C483">
        <v>8</v>
      </c>
      <c r="D483" s="105">
        <v>45373.418715543979</v>
      </c>
      <c r="E483" t="s">
        <v>312</v>
      </c>
      <c r="F483" t="s">
        <v>1402</v>
      </c>
      <c r="G483">
        <v>0</v>
      </c>
      <c r="H483" t="s">
        <v>315</v>
      </c>
      <c r="I483">
        <v>0</v>
      </c>
      <c r="J483">
        <v>0</v>
      </c>
      <c r="K483">
        <v>0</v>
      </c>
      <c r="L483" t="s">
        <v>242</v>
      </c>
      <c r="M483" t="s">
        <v>241</v>
      </c>
      <c r="N483">
        <v>0</v>
      </c>
      <c r="O483" t="s">
        <v>311</v>
      </c>
      <c r="P483" t="s">
        <v>310</v>
      </c>
      <c r="Q483" t="s">
        <v>310</v>
      </c>
      <c r="R483" t="s">
        <v>310</v>
      </c>
      <c r="S483">
        <v>9</v>
      </c>
      <c r="T483" t="s">
        <v>310</v>
      </c>
      <c r="U483">
        <v>9</v>
      </c>
      <c r="V483">
        <v>9</v>
      </c>
      <c r="W483">
        <v>0</v>
      </c>
      <c r="X483">
        <v>0</v>
      </c>
      <c r="Y483">
        <v>0</v>
      </c>
      <c r="Z483">
        <v>0</v>
      </c>
      <c r="AA483">
        <v>9</v>
      </c>
      <c r="AB483">
        <v>9</v>
      </c>
      <c r="AC483" t="s">
        <v>310</v>
      </c>
      <c r="AD483">
        <v>9</v>
      </c>
      <c r="AE483" t="s">
        <v>1388</v>
      </c>
      <c r="AF483">
        <v>10001000</v>
      </c>
      <c r="AG483" t="s">
        <v>310</v>
      </c>
      <c r="AH483">
        <f>SUM((MID(Dyno_Data[[#This Row],[Team]],4,5))+(Dyno_Data[[#This Row],[Match]]/100))</f>
        <v>20.079999999999998</v>
      </c>
      <c r="AI483" s="76">
        <f>ROUND(SUM(IF(Dyno_Data[[#This Row],[AcqCenter]]&gt;0,Dyno_Data[[#This Row],[Time]]-SUMIFS(Dyno_Data[Time],Dyno_Data[Team],Dyno_Data[[#This Row],[Team]],Dyno_Data[RecordType],"StartMatch",Dyno_Data[Match],Dyno_Data[[#This Row],[Match]]),0)*86400),0)</f>
        <v>0</v>
      </c>
    </row>
    <row r="484" spans="1:35" x14ac:dyDescent="0.3">
      <c r="A484">
        <v>483</v>
      </c>
      <c r="B484" t="s">
        <v>1314</v>
      </c>
      <c r="C484">
        <v>8</v>
      </c>
      <c r="D484" s="105">
        <v>45373.418732256941</v>
      </c>
      <c r="E484" t="s">
        <v>312</v>
      </c>
      <c r="F484" t="s">
        <v>1402</v>
      </c>
      <c r="G484">
        <v>0</v>
      </c>
      <c r="H484" t="s">
        <v>315</v>
      </c>
      <c r="I484">
        <v>0</v>
      </c>
      <c r="J484">
        <v>0</v>
      </c>
      <c r="K484">
        <v>0</v>
      </c>
      <c r="L484" t="s">
        <v>241</v>
      </c>
      <c r="M484" t="s">
        <v>1398</v>
      </c>
      <c r="N484">
        <v>0</v>
      </c>
      <c r="O484" t="s">
        <v>1393</v>
      </c>
      <c r="P484" t="s">
        <v>310</v>
      </c>
      <c r="Q484" t="s">
        <v>310</v>
      </c>
      <c r="R484" t="s">
        <v>310</v>
      </c>
      <c r="S484">
        <v>9</v>
      </c>
      <c r="T484" t="s">
        <v>310</v>
      </c>
      <c r="U484">
        <v>9</v>
      </c>
      <c r="V484">
        <v>9</v>
      </c>
      <c r="W484">
        <v>0</v>
      </c>
      <c r="X484">
        <v>0</v>
      </c>
      <c r="Y484">
        <v>0</v>
      </c>
      <c r="Z484">
        <v>0</v>
      </c>
      <c r="AA484">
        <v>9</v>
      </c>
      <c r="AB484">
        <v>9</v>
      </c>
      <c r="AC484" t="s">
        <v>310</v>
      </c>
      <c r="AD484">
        <v>9</v>
      </c>
      <c r="AE484" t="s">
        <v>1412</v>
      </c>
      <c r="AF484">
        <v>30000000</v>
      </c>
      <c r="AG484" t="s">
        <v>310</v>
      </c>
      <c r="AH484">
        <f>SUM((MID(Dyno_Data[[#This Row],[Team]],4,5))+(Dyno_Data[[#This Row],[Match]]/100))</f>
        <v>3419.08</v>
      </c>
      <c r="AI484" s="76">
        <f>ROUND(SUM(IF(Dyno_Data[[#This Row],[AcqCenter]]&gt;0,Dyno_Data[[#This Row],[Time]]-SUMIFS(Dyno_Data[Time],Dyno_Data[Team],Dyno_Data[[#This Row],[Team]],Dyno_Data[RecordType],"StartMatch",Dyno_Data[Match],Dyno_Data[[#This Row],[Match]]),0)*86400),0)</f>
        <v>0</v>
      </c>
    </row>
    <row r="485" spans="1:35" x14ac:dyDescent="0.3">
      <c r="A485">
        <v>484</v>
      </c>
      <c r="B485" t="s">
        <v>1315</v>
      </c>
      <c r="C485">
        <v>8</v>
      </c>
      <c r="D485" s="105">
        <v>45373.418772604164</v>
      </c>
      <c r="E485" t="s">
        <v>312</v>
      </c>
      <c r="F485" t="s">
        <v>1402</v>
      </c>
      <c r="G485">
        <v>0</v>
      </c>
      <c r="H485" t="s">
        <v>315</v>
      </c>
      <c r="I485">
        <v>0</v>
      </c>
      <c r="J485">
        <v>0</v>
      </c>
      <c r="K485">
        <v>0</v>
      </c>
      <c r="L485" t="s">
        <v>241</v>
      </c>
      <c r="M485" t="s">
        <v>101</v>
      </c>
      <c r="N485">
        <v>0</v>
      </c>
      <c r="O485" t="s">
        <v>319</v>
      </c>
      <c r="P485" t="s">
        <v>310</v>
      </c>
      <c r="Q485" t="s">
        <v>310</v>
      </c>
      <c r="R485" t="s">
        <v>310</v>
      </c>
      <c r="S485">
        <v>9</v>
      </c>
      <c r="T485" t="s">
        <v>310</v>
      </c>
      <c r="U485">
        <v>9</v>
      </c>
      <c r="V485">
        <v>9</v>
      </c>
      <c r="W485">
        <v>0</v>
      </c>
      <c r="X485">
        <v>0</v>
      </c>
      <c r="Y485">
        <v>0</v>
      </c>
      <c r="Z485">
        <v>0</v>
      </c>
      <c r="AA485">
        <v>9</v>
      </c>
      <c r="AB485">
        <v>9</v>
      </c>
      <c r="AC485" t="s">
        <v>310</v>
      </c>
      <c r="AD485">
        <v>9</v>
      </c>
      <c r="AE485" t="s">
        <v>1414</v>
      </c>
      <c r="AF485">
        <v>30000000</v>
      </c>
      <c r="AG485" t="s">
        <v>310</v>
      </c>
      <c r="AH485">
        <f>SUM((MID(Dyno_Data[[#This Row],[Team]],4,5))+(Dyno_Data[[#This Row],[Match]]/100))</f>
        <v>1511.08</v>
      </c>
      <c r="AI485" s="76">
        <f>ROUND(SUM(IF(Dyno_Data[[#This Row],[AcqCenter]]&gt;0,Dyno_Data[[#This Row],[Time]]-SUMIFS(Dyno_Data[Time],Dyno_Data[Team],Dyno_Data[[#This Row],[Team]],Dyno_Data[RecordType],"StartMatch",Dyno_Data[Match],Dyno_Data[[#This Row],[Match]]),0)*86400),0)</f>
        <v>0</v>
      </c>
    </row>
    <row r="486" spans="1:35" x14ac:dyDescent="0.3">
      <c r="A486">
        <v>485</v>
      </c>
      <c r="B486" t="s">
        <v>1314</v>
      </c>
      <c r="C486">
        <v>8</v>
      </c>
      <c r="D486" s="105">
        <v>45373.418801655091</v>
      </c>
      <c r="E486" t="s">
        <v>312</v>
      </c>
      <c r="F486" t="s">
        <v>1402</v>
      </c>
      <c r="G486">
        <v>0</v>
      </c>
      <c r="H486" t="s">
        <v>315</v>
      </c>
      <c r="I486">
        <v>0</v>
      </c>
      <c r="J486">
        <v>0</v>
      </c>
      <c r="K486">
        <v>0</v>
      </c>
      <c r="L486" t="s">
        <v>241</v>
      </c>
      <c r="M486" t="s">
        <v>1398</v>
      </c>
      <c r="N486">
        <v>0</v>
      </c>
      <c r="O486" t="s">
        <v>1393</v>
      </c>
      <c r="P486" t="s">
        <v>310</v>
      </c>
      <c r="Q486" t="s">
        <v>310</v>
      </c>
      <c r="R486" t="s">
        <v>310</v>
      </c>
      <c r="S486">
        <v>9</v>
      </c>
      <c r="T486" t="s">
        <v>310</v>
      </c>
      <c r="U486">
        <v>9</v>
      </c>
      <c r="V486">
        <v>9</v>
      </c>
      <c r="W486">
        <v>0</v>
      </c>
      <c r="X486">
        <v>0</v>
      </c>
      <c r="Y486">
        <v>0</v>
      </c>
      <c r="Z486">
        <v>0</v>
      </c>
      <c r="AA486">
        <v>9</v>
      </c>
      <c r="AB486">
        <v>9</v>
      </c>
      <c r="AC486" t="s">
        <v>310</v>
      </c>
      <c r="AD486">
        <v>9</v>
      </c>
      <c r="AE486" t="s">
        <v>1412</v>
      </c>
      <c r="AF486">
        <v>40000000</v>
      </c>
      <c r="AG486" t="s">
        <v>310</v>
      </c>
      <c r="AH486">
        <f>SUM((MID(Dyno_Data[[#This Row],[Team]],4,5))+(Dyno_Data[[#This Row],[Match]]/100))</f>
        <v>3419.08</v>
      </c>
      <c r="AI486" s="76">
        <f>ROUND(SUM(IF(Dyno_Data[[#This Row],[AcqCenter]]&gt;0,Dyno_Data[[#This Row],[Time]]-SUMIFS(Dyno_Data[Time],Dyno_Data[Team],Dyno_Data[[#This Row],[Team]],Dyno_Data[RecordType],"StartMatch",Dyno_Data[Match],Dyno_Data[[#This Row],[Match]]),0)*86400),0)</f>
        <v>0</v>
      </c>
    </row>
    <row r="487" spans="1:35" x14ac:dyDescent="0.3">
      <c r="A487">
        <v>486</v>
      </c>
      <c r="B487" t="s">
        <v>361</v>
      </c>
      <c r="C487">
        <v>8</v>
      </c>
      <c r="D487" s="105">
        <v>45373.418820370367</v>
      </c>
      <c r="E487" t="s">
        <v>312</v>
      </c>
      <c r="F487" t="s">
        <v>1402</v>
      </c>
      <c r="G487">
        <v>0</v>
      </c>
      <c r="H487" t="s">
        <v>315</v>
      </c>
      <c r="I487">
        <v>0</v>
      </c>
      <c r="J487">
        <v>0</v>
      </c>
      <c r="K487">
        <v>0</v>
      </c>
      <c r="L487" t="s">
        <v>242</v>
      </c>
      <c r="M487" t="s">
        <v>241</v>
      </c>
      <c r="N487">
        <v>0</v>
      </c>
      <c r="O487" t="s">
        <v>311</v>
      </c>
      <c r="P487" t="s">
        <v>310</v>
      </c>
      <c r="Q487" t="s">
        <v>310</v>
      </c>
      <c r="R487" t="s">
        <v>310</v>
      </c>
      <c r="S487">
        <v>9</v>
      </c>
      <c r="T487" t="s">
        <v>310</v>
      </c>
      <c r="U487">
        <v>9</v>
      </c>
      <c r="V487">
        <v>9</v>
      </c>
      <c r="W487">
        <v>0</v>
      </c>
      <c r="X487">
        <v>0</v>
      </c>
      <c r="Y487">
        <v>0</v>
      </c>
      <c r="Z487">
        <v>0</v>
      </c>
      <c r="AA487">
        <v>9</v>
      </c>
      <c r="AB487">
        <v>9</v>
      </c>
      <c r="AC487" t="s">
        <v>310</v>
      </c>
      <c r="AD487">
        <v>9</v>
      </c>
      <c r="AE487" t="s">
        <v>1388</v>
      </c>
      <c r="AF487">
        <v>20001000</v>
      </c>
      <c r="AG487" t="s">
        <v>310</v>
      </c>
      <c r="AH487">
        <f>SUM((MID(Dyno_Data[[#This Row],[Team]],4,5))+(Dyno_Data[[#This Row],[Match]]/100))</f>
        <v>20.079999999999998</v>
      </c>
      <c r="AI487" s="76">
        <f>ROUND(SUM(IF(Dyno_Data[[#This Row],[AcqCenter]]&gt;0,Dyno_Data[[#This Row],[Time]]-SUMIFS(Dyno_Data[Time],Dyno_Data[Team],Dyno_Data[[#This Row],[Team]],Dyno_Data[RecordType],"StartMatch",Dyno_Data[Match],Dyno_Data[[#This Row],[Match]]),0)*86400),0)</f>
        <v>0</v>
      </c>
    </row>
    <row r="488" spans="1:35" x14ac:dyDescent="0.3">
      <c r="A488">
        <v>487</v>
      </c>
      <c r="B488" t="s">
        <v>1315</v>
      </c>
      <c r="C488">
        <v>8</v>
      </c>
      <c r="D488" s="105">
        <v>45373.4188587963</v>
      </c>
      <c r="E488" t="s">
        <v>312</v>
      </c>
      <c r="F488" t="s">
        <v>1402</v>
      </c>
      <c r="G488">
        <v>0</v>
      </c>
      <c r="H488" t="s">
        <v>315</v>
      </c>
      <c r="I488">
        <v>0</v>
      </c>
      <c r="J488">
        <v>0</v>
      </c>
      <c r="K488">
        <v>0</v>
      </c>
      <c r="L488" t="s">
        <v>241</v>
      </c>
      <c r="M488" t="s">
        <v>101</v>
      </c>
      <c r="N488">
        <v>0</v>
      </c>
      <c r="O488" t="s">
        <v>319</v>
      </c>
      <c r="P488" t="s">
        <v>310</v>
      </c>
      <c r="Q488" t="s">
        <v>310</v>
      </c>
      <c r="R488" t="s">
        <v>310</v>
      </c>
      <c r="S488">
        <v>9</v>
      </c>
      <c r="T488" t="s">
        <v>310</v>
      </c>
      <c r="U488">
        <v>9</v>
      </c>
      <c r="V488">
        <v>9</v>
      </c>
      <c r="W488">
        <v>0</v>
      </c>
      <c r="X488">
        <v>0</v>
      </c>
      <c r="Y488">
        <v>0</v>
      </c>
      <c r="Z488">
        <v>0</v>
      </c>
      <c r="AA488">
        <v>9</v>
      </c>
      <c r="AB488">
        <v>9</v>
      </c>
      <c r="AC488" t="s">
        <v>310</v>
      </c>
      <c r="AD488">
        <v>9</v>
      </c>
      <c r="AE488" t="s">
        <v>1414</v>
      </c>
      <c r="AF488">
        <v>40000000</v>
      </c>
      <c r="AG488" t="s">
        <v>310</v>
      </c>
      <c r="AH488">
        <f>SUM((MID(Dyno_Data[[#This Row],[Team]],4,5))+(Dyno_Data[[#This Row],[Match]]/100))</f>
        <v>1511.08</v>
      </c>
      <c r="AI488" s="76">
        <f>ROUND(SUM(IF(Dyno_Data[[#This Row],[AcqCenter]]&gt;0,Dyno_Data[[#This Row],[Time]]-SUMIFS(Dyno_Data[Time],Dyno_Data[Team],Dyno_Data[[#This Row],[Team]],Dyno_Data[RecordType],"StartMatch",Dyno_Data[Match],Dyno_Data[[#This Row],[Match]]),0)*86400),0)</f>
        <v>0</v>
      </c>
    </row>
    <row r="489" spans="1:35" x14ac:dyDescent="0.3">
      <c r="A489">
        <v>488</v>
      </c>
      <c r="B489" t="s">
        <v>363</v>
      </c>
      <c r="C489">
        <v>8</v>
      </c>
      <c r="D489" s="105">
        <v>45373.418929942127</v>
      </c>
      <c r="E489" t="s">
        <v>312</v>
      </c>
      <c r="F489" t="s">
        <v>1402</v>
      </c>
      <c r="G489">
        <v>0</v>
      </c>
      <c r="H489" t="s">
        <v>315</v>
      </c>
      <c r="I489">
        <v>0</v>
      </c>
      <c r="J489">
        <v>0</v>
      </c>
      <c r="K489">
        <v>0</v>
      </c>
      <c r="L489" t="s">
        <v>240</v>
      </c>
      <c r="M489" t="s">
        <v>1398</v>
      </c>
      <c r="N489">
        <v>1</v>
      </c>
      <c r="O489" t="s">
        <v>1389</v>
      </c>
      <c r="P489" t="s">
        <v>310</v>
      </c>
      <c r="Q489" t="s">
        <v>310</v>
      </c>
      <c r="R489" t="s">
        <v>310</v>
      </c>
      <c r="S489">
        <v>9</v>
      </c>
      <c r="T489" t="s">
        <v>310</v>
      </c>
      <c r="U489">
        <v>9</v>
      </c>
      <c r="V489">
        <v>9</v>
      </c>
      <c r="W489">
        <v>0</v>
      </c>
      <c r="X489">
        <v>0</v>
      </c>
      <c r="Y489">
        <v>0</v>
      </c>
      <c r="Z489">
        <v>0</v>
      </c>
      <c r="AA489">
        <v>9</v>
      </c>
      <c r="AB489">
        <v>9</v>
      </c>
      <c r="AC489" t="s">
        <v>310</v>
      </c>
      <c r="AD489">
        <v>9</v>
      </c>
      <c r="AE489" t="s">
        <v>1396</v>
      </c>
      <c r="AF489">
        <v>60000000</v>
      </c>
      <c r="AG489" t="s">
        <v>310</v>
      </c>
      <c r="AH489">
        <f>SUM((MID(Dyno_Data[[#This Row],[Team]],4,5))+(Dyno_Data[[#This Row],[Match]]/100))</f>
        <v>2601.08</v>
      </c>
      <c r="AI489" s="76">
        <f>ROUND(SUM(IF(Dyno_Data[[#This Row],[AcqCenter]]&gt;0,Dyno_Data[[#This Row],[Time]]-SUMIFS(Dyno_Data[Time],Dyno_Data[Team],Dyno_Data[[#This Row],[Team]],Dyno_Data[RecordType],"StartMatch",Dyno_Data[Match],Dyno_Data[[#This Row],[Match]]),0)*86400),0)</f>
        <v>0</v>
      </c>
    </row>
    <row r="490" spans="1:35" x14ac:dyDescent="0.3">
      <c r="A490">
        <v>489</v>
      </c>
      <c r="B490" t="s">
        <v>373</v>
      </c>
      <c r="C490">
        <v>8</v>
      </c>
      <c r="D490" s="105">
        <v>45373.418937071758</v>
      </c>
      <c r="E490" t="s">
        <v>312</v>
      </c>
      <c r="F490" t="s">
        <v>1402</v>
      </c>
      <c r="G490">
        <v>0</v>
      </c>
      <c r="H490" t="s">
        <v>1397</v>
      </c>
      <c r="I490">
        <v>0</v>
      </c>
      <c r="J490">
        <v>0</v>
      </c>
      <c r="K490">
        <v>0</v>
      </c>
      <c r="L490" t="s">
        <v>241</v>
      </c>
      <c r="M490" t="s">
        <v>1398</v>
      </c>
      <c r="N490">
        <v>1</v>
      </c>
      <c r="O490" t="s">
        <v>1391</v>
      </c>
      <c r="P490" t="s">
        <v>310</v>
      </c>
      <c r="Q490" t="s">
        <v>310</v>
      </c>
      <c r="R490" t="s">
        <v>310</v>
      </c>
      <c r="S490">
        <v>9</v>
      </c>
      <c r="T490" t="s">
        <v>310</v>
      </c>
      <c r="U490">
        <v>9</v>
      </c>
      <c r="V490">
        <v>9</v>
      </c>
      <c r="W490">
        <v>0</v>
      </c>
      <c r="X490">
        <v>0</v>
      </c>
      <c r="Y490">
        <v>0</v>
      </c>
      <c r="Z490">
        <v>0</v>
      </c>
      <c r="AA490">
        <v>9</v>
      </c>
      <c r="AB490">
        <v>9</v>
      </c>
      <c r="AC490" t="s">
        <v>310</v>
      </c>
      <c r="AD490">
        <v>9</v>
      </c>
      <c r="AE490" t="s">
        <v>1390</v>
      </c>
      <c r="AF490">
        <v>0</v>
      </c>
      <c r="AG490" t="s">
        <v>310</v>
      </c>
      <c r="AH490">
        <f>SUM((MID(Dyno_Data[[#This Row],[Team]],4,5))+(Dyno_Data[[#This Row],[Match]]/100))</f>
        <v>7718.08</v>
      </c>
      <c r="AI490" s="76">
        <f>ROUND(SUM(IF(Dyno_Data[[#This Row],[AcqCenter]]&gt;0,Dyno_Data[[#This Row],[Time]]-SUMIFS(Dyno_Data[Time],Dyno_Data[Team],Dyno_Data[[#This Row],[Team]],Dyno_Data[RecordType],"StartMatch",Dyno_Data[Match],Dyno_Data[[#This Row],[Match]]),0)*86400),0)</f>
        <v>0</v>
      </c>
    </row>
    <row r="491" spans="1:35" x14ac:dyDescent="0.3">
      <c r="A491">
        <v>490</v>
      </c>
      <c r="B491" t="s">
        <v>1314</v>
      </c>
      <c r="C491">
        <v>8</v>
      </c>
      <c r="D491" s="105">
        <v>45373.418942094904</v>
      </c>
      <c r="E491" t="s">
        <v>312</v>
      </c>
      <c r="F491" t="s">
        <v>1402</v>
      </c>
      <c r="G491">
        <v>0</v>
      </c>
      <c r="H491" t="s">
        <v>315</v>
      </c>
      <c r="I491">
        <v>0</v>
      </c>
      <c r="J491">
        <v>0</v>
      </c>
      <c r="K491">
        <v>0</v>
      </c>
      <c r="L491" t="s">
        <v>241</v>
      </c>
      <c r="M491" t="s">
        <v>1398</v>
      </c>
      <c r="N491">
        <v>0</v>
      </c>
      <c r="O491" t="s">
        <v>1393</v>
      </c>
      <c r="P491" t="s">
        <v>310</v>
      </c>
      <c r="Q491" t="s">
        <v>310</v>
      </c>
      <c r="R491" t="s">
        <v>310</v>
      </c>
      <c r="S491">
        <v>9</v>
      </c>
      <c r="T491" t="s">
        <v>310</v>
      </c>
      <c r="U491">
        <v>9</v>
      </c>
      <c r="V491">
        <v>9</v>
      </c>
      <c r="W491">
        <v>0</v>
      </c>
      <c r="X491">
        <v>0</v>
      </c>
      <c r="Y491">
        <v>0</v>
      </c>
      <c r="Z491">
        <v>0</v>
      </c>
      <c r="AA491">
        <v>9</v>
      </c>
      <c r="AB491">
        <v>9</v>
      </c>
      <c r="AC491" t="s">
        <v>310</v>
      </c>
      <c r="AD491">
        <v>9</v>
      </c>
      <c r="AE491" t="s">
        <v>1412</v>
      </c>
      <c r="AF491">
        <v>50000000</v>
      </c>
      <c r="AG491" t="s">
        <v>310</v>
      </c>
      <c r="AH491">
        <f>SUM((MID(Dyno_Data[[#This Row],[Team]],4,5))+(Dyno_Data[[#This Row],[Match]]/100))</f>
        <v>3419.08</v>
      </c>
      <c r="AI491" s="76">
        <f>ROUND(SUM(IF(Dyno_Data[[#This Row],[AcqCenter]]&gt;0,Dyno_Data[[#This Row],[Time]]-SUMIFS(Dyno_Data[Time],Dyno_Data[Team],Dyno_Data[[#This Row],[Team]],Dyno_Data[RecordType],"StartMatch",Dyno_Data[Match],Dyno_Data[[#This Row],[Match]]),0)*86400),0)</f>
        <v>0</v>
      </c>
    </row>
    <row r="492" spans="1:35" x14ac:dyDescent="0.3">
      <c r="A492">
        <v>491</v>
      </c>
      <c r="B492" t="s">
        <v>361</v>
      </c>
      <c r="C492">
        <v>8</v>
      </c>
      <c r="D492" s="105">
        <v>45373.418948576385</v>
      </c>
      <c r="E492" t="s">
        <v>312</v>
      </c>
      <c r="F492" t="s">
        <v>1402</v>
      </c>
      <c r="G492">
        <v>0</v>
      </c>
      <c r="H492" t="s">
        <v>315</v>
      </c>
      <c r="I492">
        <v>0</v>
      </c>
      <c r="J492">
        <v>0</v>
      </c>
      <c r="K492">
        <v>0</v>
      </c>
      <c r="L492" t="s">
        <v>240</v>
      </c>
      <c r="M492" t="s">
        <v>1398</v>
      </c>
      <c r="N492">
        <v>0</v>
      </c>
      <c r="O492" t="s">
        <v>311</v>
      </c>
      <c r="P492" t="s">
        <v>310</v>
      </c>
      <c r="Q492" t="s">
        <v>310</v>
      </c>
      <c r="R492" t="s">
        <v>310</v>
      </c>
      <c r="S492">
        <v>9</v>
      </c>
      <c r="T492" t="s">
        <v>310</v>
      </c>
      <c r="U492">
        <v>9</v>
      </c>
      <c r="V492">
        <v>9</v>
      </c>
      <c r="W492">
        <v>0</v>
      </c>
      <c r="X492">
        <v>0</v>
      </c>
      <c r="Y492">
        <v>0</v>
      </c>
      <c r="Z492">
        <v>0</v>
      </c>
      <c r="AA492">
        <v>9</v>
      </c>
      <c r="AB492">
        <v>9</v>
      </c>
      <c r="AC492" t="s">
        <v>310</v>
      </c>
      <c r="AD492">
        <v>9</v>
      </c>
      <c r="AE492" t="s">
        <v>1388</v>
      </c>
      <c r="AF492">
        <v>30001000</v>
      </c>
      <c r="AG492" t="s">
        <v>310</v>
      </c>
      <c r="AH492">
        <f>SUM((MID(Dyno_Data[[#This Row],[Team]],4,5))+(Dyno_Data[[#This Row],[Match]]/100))</f>
        <v>20.079999999999998</v>
      </c>
      <c r="AI492" s="76">
        <f>ROUND(SUM(IF(Dyno_Data[[#This Row],[AcqCenter]]&gt;0,Dyno_Data[[#This Row],[Time]]-SUMIFS(Dyno_Data[Time],Dyno_Data[Team],Dyno_Data[[#This Row],[Team]],Dyno_Data[RecordType],"StartMatch",Dyno_Data[Match],Dyno_Data[[#This Row],[Match]]),0)*86400),0)</f>
        <v>0</v>
      </c>
    </row>
    <row r="493" spans="1:35" x14ac:dyDescent="0.3">
      <c r="A493">
        <v>492</v>
      </c>
      <c r="B493" t="s">
        <v>1315</v>
      </c>
      <c r="C493">
        <v>8</v>
      </c>
      <c r="D493" s="105">
        <v>45373.419053668978</v>
      </c>
      <c r="E493" t="s">
        <v>312</v>
      </c>
      <c r="F493" t="s">
        <v>1402</v>
      </c>
      <c r="G493">
        <v>0</v>
      </c>
      <c r="H493" t="s">
        <v>315</v>
      </c>
      <c r="I493">
        <v>0</v>
      </c>
      <c r="J493">
        <v>0</v>
      </c>
      <c r="K493">
        <v>0</v>
      </c>
      <c r="L493" t="s">
        <v>241</v>
      </c>
      <c r="M493" t="s">
        <v>1398</v>
      </c>
      <c r="N493">
        <v>0</v>
      </c>
      <c r="O493" t="s">
        <v>319</v>
      </c>
      <c r="P493" t="s">
        <v>310</v>
      </c>
      <c r="Q493" t="s">
        <v>310</v>
      </c>
      <c r="R493" t="s">
        <v>310</v>
      </c>
      <c r="S493">
        <v>9</v>
      </c>
      <c r="T493" t="s">
        <v>310</v>
      </c>
      <c r="U493">
        <v>9</v>
      </c>
      <c r="V493">
        <v>9</v>
      </c>
      <c r="W493">
        <v>0</v>
      </c>
      <c r="X493">
        <v>0</v>
      </c>
      <c r="Y493">
        <v>0</v>
      </c>
      <c r="Z493">
        <v>0</v>
      </c>
      <c r="AA493">
        <v>9</v>
      </c>
      <c r="AB493">
        <v>9</v>
      </c>
      <c r="AC493" t="s">
        <v>310</v>
      </c>
      <c r="AD493">
        <v>9</v>
      </c>
      <c r="AE493" t="s">
        <v>1414</v>
      </c>
      <c r="AF493">
        <v>50000000</v>
      </c>
      <c r="AG493" t="s">
        <v>310</v>
      </c>
      <c r="AH493">
        <f>SUM((MID(Dyno_Data[[#This Row],[Team]],4,5))+(Dyno_Data[[#This Row],[Match]]/100))</f>
        <v>1511.08</v>
      </c>
      <c r="AI493" s="76">
        <f>ROUND(SUM(IF(Dyno_Data[[#This Row],[AcqCenter]]&gt;0,Dyno_Data[[#This Row],[Time]]-SUMIFS(Dyno_Data[Time],Dyno_Data[Team],Dyno_Data[[#This Row],[Team]],Dyno_Data[RecordType],"StartMatch",Dyno_Data[Match],Dyno_Data[[#This Row],[Match]]),0)*86400),0)</f>
        <v>0</v>
      </c>
    </row>
    <row r="494" spans="1:35" x14ac:dyDescent="0.3">
      <c r="A494">
        <v>493</v>
      </c>
      <c r="B494" t="s">
        <v>1314</v>
      </c>
      <c r="C494">
        <v>8</v>
      </c>
      <c r="D494" s="105">
        <v>45373.419060995373</v>
      </c>
      <c r="E494" t="s">
        <v>312</v>
      </c>
      <c r="F494" t="s">
        <v>1402</v>
      </c>
      <c r="G494">
        <v>0</v>
      </c>
      <c r="H494" t="s">
        <v>315</v>
      </c>
      <c r="I494">
        <v>0</v>
      </c>
      <c r="J494">
        <v>0</v>
      </c>
      <c r="K494">
        <v>0</v>
      </c>
      <c r="L494" t="s">
        <v>241</v>
      </c>
      <c r="M494" t="s">
        <v>241</v>
      </c>
      <c r="N494">
        <v>0</v>
      </c>
      <c r="O494" t="s">
        <v>1393</v>
      </c>
      <c r="P494" t="s">
        <v>310</v>
      </c>
      <c r="Q494" t="s">
        <v>310</v>
      </c>
      <c r="R494" t="s">
        <v>310</v>
      </c>
      <c r="S494">
        <v>9</v>
      </c>
      <c r="T494" t="s">
        <v>310</v>
      </c>
      <c r="U494">
        <v>9</v>
      </c>
      <c r="V494">
        <v>9</v>
      </c>
      <c r="W494">
        <v>0</v>
      </c>
      <c r="X494">
        <v>0</v>
      </c>
      <c r="Y494">
        <v>0</v>
      </c>
      <c r="Z494">
        <v>0</v>
      </c>
      <c r="AA494">
        <v>9</v>
      </c>
      <c r="AB494">
        <v>9</v>
      </c>
      <c r="AC494" t="s">
        <v>310</v>
      </c>
      <c r="AD494">
        <v>9</v>
      </c>
      <c r="AE494" t="s">
        <v>1412</v>
      </c>
      <c r="AF494">
        <v>60000000</v>
      </c>
      <c r="AG494" t="s">
        <v>310</v>
      </c>
      <c r="AH494">
        <f>SUM((MID(Dyno_Data[[#This Row],[Team]],4,5))+(Dyno_Data[[#This Row],[Match]]/100))</f>
        <v>3419.08</v>
      </c>
      <c r="AI494" s="76">
        <f>ROUND(SUM(IF(Dyno_Data[[#This Row],[AcqCenter]]&gt;0,Dyno_Data[[#This Row],[Time]]-SUMIFS(Dyno_Data[Time],Dyno_Data[Team],Dyno_Data[[#This Row],[Team]],Dyno_Data[RecordType],"StartMatch",Dyno_Data[Match],Dyno_Data[[#This Row],[Match]]),0)*86400),0)</f>
        <v>0</v>
      </c>
    </row>
    <row r="495" spans="1:35" x14ac:dyDescent="0.3">
      <c r="A495">
        <v>494</v>
      </c>
      <c r="B495" t="s">
        <v>361</v>
      </c>
      <c r="C495">
        <v>8</v>
      </c>
      <c r="D495" s="105">
        <v>45373.419073923615</v>
      </c>
      <c r="E495" t="s">
        <v>312</v>
      </c>
      <c r="F495" t="s">
        <v>1402</v>
      </c>
      <c r="G495">
        <v>0</v>
      </c>
      <c r="H495" t="s">
        <v>315</v>
      </c>
      <c r="I495">
        <v>0</v>
      </c>
      <c r="J495">
        <v>0</v>
      </c>
      <c r="K495">
        <v>0</v>
      </c>
      <c r="L495" t="s">
        <v>240</v>
      </c>
      <c r="M495" t="s">
        <v>1398</v>
      </c>
      <c r="N495">
        <v>1</v>
      </c>
      <c r="O495" t="s">
        <v>311</v>
      </c>
      <c r="P495" t="s">
        <v>310</v>
      </c>
      <c r="Q495" t="s">
        <v>310</v>
      </c>
      <c r="R495" t="s">
        <v>310</v>
      </c>
      <c r="S495">
        <v>9</v>
      </c>
      <c r="T495" t="s">
        <v>310</v>
      </c>
      <c r="U495">
        <v>9</v>
      </c>
      <c r="V495">
        <v>9</v>
      </c>
      <c r="W495">
        <v>0</v>
      </c>
      <c r="X495">
        <v>0</v>
      </c>
      <c r="Y495">
        <v>0</v>
      </c>
      <c r="Z495">
        <v>0</v>
      </c>
      <c r="AA495">
        <v>9</v>
      </c>
      <c r="AB495">
        <v>9</v>
      </c>
      <c r="AC495" t="s">
        <v>310</v>
      </c>
      <c r="AD495">
        <v>9</v>
      </c>
      <c r="AE495" t="s">
        <v>1388</v>
      </c>
      <c r="AF495">
        <v>40001000</v>
      </c>
      <c r="AG495" t="s">
        <v>310</v>
      </c>
      <c r="AH495">
        <f>SUM((MID(Dyno_Data[[#This Row],[Team]],4,5))+(Dyno_Data[[#This Row],[Match]]/100))</f>
        <v>20.079999999999998</v>
      </c>
      <c r="AI495" s="76">
        <f>ROUND(SUM(IF(Dyno_Data[[#This Row],[AcqCenter]]&gt;0,Dyno_Data[[#This Row],[Time]]-SUMIFS(Dyno_Data[Time],Dyno_Data[Team],Dyno_Data[[#This Row],[Team]],Dyno_Data[RecordType],"StartMatch",Dyno_Data[Match],Dyno_Data[[#This Row],[Match]]),0)*86400),0)</f>
        <v>0</v>
      </c>
    </row>
    <row r="496" spans="1:35" x14ac:dyDescent="0.3">
      <c r="A496">
        <v>495</v>
      </c>
      <c r="B496" t="s">
        <v>363</v>
      </c>
      <c r="C496">
        <v>8</v>
      </c>
      <c r="D496" s="105">
        <v>45373.419084803238</v>
      </c>
      <c r="E496" t="s">
        <v>312</v>
      </c>
      <c r="F496" t="s">
        <v>1402</v>
      </c>
      <c r="G496">
        <v>0</v>
      </c>
      <c r="H496" t="s">
        <v>315</v>
      </c>
      <c r="I496">
        <v>0</v>
      </c>
      <c r="J496">
        <v>0</v>
      </c>
      <c r="K496">
        <v>0</v>
      </c>
      <c r="L496" t="s">
        <v>240</v>
      </c>
      <c r="M496" t="s">
        <v>1398</v>
      </c>
      <c r="N496">
        <v>0</v>
      </c>
      <c r="O496" t="s">
        <v>1389</v>
      </c>
      <c r="P496" t="s">
        <v>310</v>
      </c>
      <c r="Q496" t="s">
        <v>310</v>
      </c>
      <c r="R496" t="s">
        <v>310</v>
      </c>
      <c r="S496">
        <v>9</v>
      </c>
      <c r="T496" t="s">
        <v>310</v>
      </c>
      <c r="U496">
        <v>9</v>
      </c>
      <c r="V496">
        <v>9</v>
      </c>
      <c r="W496">
        <v>0</v>
      </c>
      <c r="X496">
        <v>0</v>
      </c>
      <c r="Y496">
        <v>0</v>
      </c>
      <c r="Z496">
        <v>0</v>
      </c>
      <c r="AA496">
        <v>9</v>
      </c>
      <c r="AB496">
        <v>9</v>
      </c>
      <c r="AC496" t="s">
        <v>310</v>
      </c>
      <c r="AD496">
        <v>9</v>
      </c>
      <c r="AE496" t="s">
        <v>1396</v>
      </c>
      <c r="AF496">
        <v>70000000</v>
      </c>
      <c r="AG496" t="s">
        <v>310</v>
      </c>
      <c r="AH496">
        <f>SUM((MID(Dyno_Data[[#This Row],[Team]],4,5))+(Dyno_Data[[#This Row],[Match]]/100))</f>
        <v>2601.08</v>
      </c>
      <c r="AI496" s="76">
        <f>ROUND(SUM(IF(Dyno_Data[[#This Row],[AcqCenter]]&gt;0,Dyno_Data[[#This Row],[Time]]-SUMIFS(Dyno_Data[Time],Dyno_Data[Team],Dyno_Data[[#This Row],[Team]],Dyno_Data[RecordType],"StartMatch",Dyno_Data[Match],Dyno_Data[[#This Row],[Match]]),0)*86400),0)</f>
        <v>0</v>
      </c>
    </row>
    <row r="497" spans="1:35" x14ac:dyDescent="0.3">
      <c r="A497">
        <v>496</v>
      </c>
      <c r="B497" t="s">
        <v>1314</v>
      </c>
      <c r="C497">
        <v>8</v>
      </c>
      <c r="D497" s="105">
        <v>45373.41910864583</v>
      </c>
      <c r="E497" t="s">
        <v>312</v>
      </c>
      <c r="F497" t="s">
        <v>1402</v>
      </c>
      <c r="G497">
        <v>0</v>
      </c>
      <c r="H497" t="s">
        <v>315</v>
      </c>
      <c r="I497">
        <v>0</v>
      </c>
      <c r="J497">
        <v>0</v>
      </c>
      <c r="K497">
        <v>0</v>
      </c>
      <c r="L497" t="s">
        <v>241</v>
      </c>
      <c r="M497" t="s">
        <v>101</v>
      </c>
      <c r="N497">
        <v>0</v>
      </c>
      <c r="O497" t="s">
        <v>1393</v>
      </c>
      <c r="P497" t="s">
        <v>310</v>
      </c>
      <c r="Q497" t="s">
        <v>310</v>
      </c>
      <c r="R497" t="s">
        <v>310</v>
      </c>
      <c r="S497">
        <v>9</v>
      </c>
      <c r="T497" t="s">
        <v>310</v>
      </c>
      <c r="U497">
        <v>9</v>
      </c>
      <c r="V497">
        <v>9</v>
      </c>
      <c r="W497">
        <v>0</v>
      </c>
      <c r="X497">
        <v>0</v>
      </c>
      <c r="Y497">
        <v>0</v>
      </c>
      <c r="Z497">
        <v>0</v>
      </c>
      <c r="AA497">
        <v>9</v>
      </c>
      <c r="AB497">
        <v>9</v>
      </c>
      <c r="AC497" t="s">
        <v>310</v>
      </c>
      <c r="AD497">
        <v>9</v>
      </c>
      <c r="AE497" t="s">
        <v>1412</v>
      </c>
      <c r="AF497">
        <v>70000000</v>
      </c>
      <c r="AG497" t="s">
        <v>310</v>
      </c>
      <c r="AH497">
        <f>SUM((MID(Dyno_Data[[#This Row],[Team]],4,5))+(Dyno_Data[[#This Row],[Match]]/100))</f>
        <v>3419.08</v>
      </c>
      <c r="AI497" s="76">
        <f>ROUND(SUM(IF(Dyno_Data[[#This Row],[AcqCenter]]&gt;0,Dyno_Data[[#This Row],[Time]]-SUMIFS(Dyno_Data[Time],Dyno_Data[Team],Dyno_Data[[#This Row],[Team]],Dyno_Data[RecordType],"StartMatch",Dyno_Data[Match],Dyno_Data[[#This Row],[Match]]),0)*86400),0)</f>
        <v>0</v>
      </c>
    </row>
    <row r="498" spans="1:35" x14ac:dyDescent="0.3">
      <c r="A498">
        <v>497</v>
      </c>
      <c r="B498" t="s">
        <v>1315</v>
      </c>
      <c r="C498">
        <v>8</v>
      </c>
      <c r="D498" s="105">
        <v>45373.419271527775</v>
      </c>
      <c r="E498" t="s">
        <v>312</v>
      </c>
      <c r="F498" t="s">
        <v>1402</v>
      </c>
      <c r="G498">
        <v>0</v>
      </c>
      <c r="H498" t="s">
        <v>315</v>
      </c>
      <c r="I498">
        <v>0</v>
      </c>
      <c r="J498">
        <v>0</v>
      </c>
      <c r="K498">
        <v>0</v>
      </c>
      <c r="L498" t="s">
        <v>241</v>
      </c>
      <c r="M498" t="s">
        <v>101</v>
      </c>
      <c r="N498">
        <v>0</v>
      </c>
      <c r="O498" t="s">
        <v>319</v>
      </c>
      <c r="P498" t="s">
        <v>310</v>
      </c>
      <c r="Q498" t="s">
        <v>310</v>
      </c>
      <c r="R498" t="s">
        <v>310</v>
      </c>
      <c r="S498">
        <v>9</v>
      </c>
      <c r="T498" t="s">
        <v>310</v>
      </c>
      <c r="U498">
        <v>9</v>
      </c>
      <c r="V498">
        <v>9</v>
      </c>
      <c r="W498">
        <v>0</v>
      </c>
      <c r="X498">
        <v>0</v>
      </c>
      <c r="Y498">
        <v>0</v>
      </c>
      <c r="Z498">
        <v>0</v>
      </c>
      <c r="AA498">
        <v>9</v>
      </c>
      <c r="AB498">
        <v>9</v>
      </c>
      <c r="AC498" t="s">
        <v>310</v>
      </c>
      <c r="AD498">
        <v>9</v>
      </c>
      <c r="AE498" t="s">
        <v>1414</v>
      </c>
      <c r="AF498">
        <v>60000000</v>
      </c>
      <c r="AG498" t="s">
        <v>310</v>
      </c>
      <c r="AH498">
        <f>SUM((MID(Dyno_Data[[#This Row],[Team]],4,5))+(Dyno_Data[[#This Row],[Match]]/100))</f>
        <v>1511.08</v>
      </c>
      <c r="AI498" s="76">
        <f>ROUND(SUM(IF(Dyno_Data[[#This Row],[AcqCenter]]&gt;0,Dyno_Data[[#This Row],[Time]]-SUMIFS(Dyno_Data[Time],Dyno_Data[Team],Dyno_Data[[#This Row],[Team]],Dyno_Data[RecordType],"StartMatch",Dyno_Data[Match],Dyno_Data[[#This Row],[Match]]),0)*86400),0)</f>
        <v>0</v>
      </c>
    </row>
    <row r="499" spans="1:35" x14ac:dyDescent="0.3">
      <c r="A499">
        <v>498</v>
      </c>
      <c r="B499" t="s">
        <v>1314</v>
      </c>
      <c r="C499">
        <v>8</v>
      </c>
      <c r="D499" s="105">
        <v>45373.419271608793</v>
      </c>
      <c r="E499" t="s">
        <v>312</v>
      </c>
      <c r="F499" t="s">
        <v>1402</v>
      </c>
      <c r="G499">
        <v>0</v>
      </c>
      <c r="H499" t="s">
        <v>315</v>
      </c>
      <c r="I499">
        <v>0</v>
      </c>
      <c r="J499">
        <v>0</v>
      </c>
      <c r="K499">
        <v>0</v>
      </c>
      <c r="L499" t="s">
        <v>241</v>
      </c>
      <c r="M499" t="s">
        <v>1398</v>
      </c>
      <c r="N499">
        <v>0</v>
      </c>
      <c r="O499" t="s">
        <v>1393</v>
      </c>
      <c r="P499" t="s">
        <v>310</v>
      </c>
      <c r="Q499" t="s">
        <v>310</v>
      </c>
      <c r="R499" t="s">
        <v>310</v>
      </c>
      <c r="S499">
        <v>9</v>
      </c>
      <c r="T499" t="s">
        <v>310</v>
      </c>
      <c r="U499">
        <v>9</v>
      </c>
      <c r="V499">
        <v>9</v>
      </c>
      <c r="W499">
        <v>0</v>
      </c>
      <c r="X499">
        <v>0</v>
      </c>
      <c r="Y499">
        <v>0</v>
      </c>
      <c r="Z499">
        <v>0</v>
      </c>
      <c r="AA499">
        <v>9</v>
      </c>
      <c r="AB499">
        <v>9</v>
      </c>
      <c r="AC499" t="s">
        <v>310</v>
      </c>
      <c r="AD499">
        <v>9</v>
      </c>
      <c r="AE499" t="s">
        <v>1412</v>
      </c>
      <c r="AF499">
        <v>80000000</v>
      </c>
      <c r="AG499" t="s">
        <v>310</v>
      </c>
      <c r="AH499">
        <f>SUM((MID(Dyno_Data[[#This Row],[Team]],4,5))+(Dyno_Data[[#This Row],[Match]]/100))</f>
        <v>3419.08</v>
      </c>
      <c r="AI499" s="76">
        <f>ROUND(SUM(IF(Dyno_Data[[#This Row],[AcqCenter]]&gt;0,Dyno_Data[[#This Row],[Time]]-SUMIFS(Dyno_Data[Time],Dyno_Data[Team],Dyno_Data[[#This Row],[Team]],Dyno_Data[RecordType],"StartMatch",Dyno_Data[Match],Dyno_Data[[#This Row],[Match]]),0)*86400),0)</f>
        <v>0</v>
      </c>
    </row>
    <row r="500" spans="1:35" x14ac:dyDescent="0.3">
      <c r="A500">
        <v>499</v>
      </c>
      <c r="B500" t="s">
        <v>361</v>
      </c>
      <c r="C500">
        <v>8</v>
      </c>
      <c r="D500" s="105">
        <v>45373.4192946412</v>
      </c>
      <c r="E500" t="s">
        <v>1403</v>
      </c>
      <c r="F500" t="s">
        <v>1402</v>
      </c>
      <c r="G500">
        <v>0</v>
      </c>
      <c r="H500" t="s">
        <v>310</v>
      </c>
      <c r="I500">
        <v>0</v>
      </c>
      <c r="J500">
        <v>0</v>
      </c>
      <c r="K500">
        <v>0</v>
      </c>
      <c r="L500" t="s">
        <v>310</v>
      </c>
      <c r="M500" t="s">
        <v>310</v>
      </c>
      <c r="N500">
        <v>0</v>
      </c>
      <c r="O500" t="s">
        <v>311</v>
      </c>
      <c r="P500" t="s">
        <v>310</v>
      </c>
      <c r="Q500" t="s">
        <v>310</v>
      </c>
      <c r="R500" t="s">
        <v>310</v>
      </c>
      <c r="S500">
        <v>9</v>
      </c>
      <c r="T500" t="s">
        <v>310</v>
      </c>
      <c r="U500">
        <v>9</v>
      </c>
      <c r="V500">
        <v>9</v>
      </c>
      <c r="W500">
        <v>0</v>
      </c>
      <c r="X500">
        <v>0</v>
      </c>
      <c r="Y500">
        <v>0</v>
      </c>
      <c r="Z500">
        <v>0</v>
      </c>
      <c r="AA500">
        <v>9</v>
      </c>
      <c r="AB500">
        <v>9</v>
      </c>
      <c r="AC500" t="s">
        <v>310</v>
      </c>
      <c r="AD500">
        <v>9</v>
      </c>
      <c r="AE500" t="s">
        <v>1388</v>
      </c>
      <c r="AF500">
        <v>80000000</v>
      </c>
      <c r="AG500" t="s">
        <v>248</v>
      </c>
      <c r="AH500">
        <f>SUM((MID(Dyno_Data[[#This Row],[Team]],4,5))+(Dyno_Data[[#This Row],[Match]]/100))</f>
        <v>20.079999999999998</v>
      </c>
      <c r="AI500" s="76">
        <f>ROUND(SUM(IF(Dyno_Data[[#This Row],[AcqCenter]]&gt;0,Dyno_Data[[#This Row],[Time]]-SUMIFS(Dyno_Data[Time],Dyno_Data[Team],Dyno_Data[[#This Row],[Team]],Dyno_Data[RecordType],"StartMatch",Dyno_Data[Match],Dyno_Data[[#This Row],[Match]]),0)*86400),0)</f>
        <v>0</v>
      </c>
    </row>
    <row r="501" spans="1:35" x14ac:dyDescent="0.3">
      <c r="A501">
        <v>500</v>
      </c>
      <c r="B501" t="s">
        <v>363</v>
      </c>
      <c r="C501">
        <v>8</v>
      </c>
      <c r="D501" s="105">
        <v>45373.419314155093</v>
      </c>
      <c r="E501" t="s">
        <v>312</v>
      </c>
      <c r="F501" t="s">
        <v>1402</v>
      </c>
      <c r="G501">
        <v>0</v>
      </c>
      <c r="H501" t="s">
        <v>315</v>
      </c>
      <c r="I501">
        <v>0</v>
      </c>
      <c r="J501">
        <v>0</v>
      </c>
      <c r="K501">
        <v>0</v>
      </c>
      <c r="L501" t="s">
        <v>240</v>
      </c>
      <c r="M501" t="s">
        <v>1398</v>
      </c>
      <c r="N501">
        <v>1</v>
      </c>
      <c r="O501" t="s">
        <v>1389</v>
      </c>
      <c r="P501" t="s">
        <v>310</v>
      </c>
      <c r="Q501" t="s">
        <v>310</v>
      </c>
      <c r="R501" t="s">
        <v>310</v>
      </c>
      <c r="S501">
        <v>9</v>
      </c>
      <c r="T501" t="s">
        <v>310</v>
      </c>
      <c r="U501">
        <v>9</v>
      </c>
      <c r="V501">
        <v>9</v>
      </c>
      <c r="W501">
        <v>0</v>
      </c>
      <c r="X501">
        <v>0</v>
      </c>
      <c r="Y501">
        <v>0</v>
      </c>
      <c r="Z501">
        <v>0</v>
      </c>
      <c r="AA501">
        <v>9</v>
      </c>
      <c r="AB501">
        <v>9</v>
      </c>
      <c r="AC501" t="s">
        <v>310</v>
      </c>
      <c r="AD501">
        <v>9</v>
      </c>
      <c r="AE501" t="s">
        <v>1396</v>
      </c>
      <c r="AF501">
        <v>80000000</v>
      </c>
      <c r="AG501" t="s">
        <v>310</v>
      </c>
      <c r="AH501">
        <f>SUM((MID(Dyno_Data[[#This Row],[Team]],4,5))+(Dyno_Data[[#This Row],[Match]]/100))</f>
        <v>2601.08</v>
      </c>
      <c r="AI501" s="76">
        <f>ROUND(SUM(IF(Dyno_Data[[#This Row],[AcqCenter]]&gt;0,Dyno_Data[[#This Row],[Time]]-SUMIFS(Dyno_Data[Time],Dyno_Data[Team],Dyno_Data[[#This Row],[Team]],Dyno_Data[RecordType],"StartMatch",Dyno_Data[Match],Dyno_Data[[#This Row],[Match]]),0)*86400),0)</f>
        <v>0</v>
      </c>
    </row>
    <row r="502" spans="1:35" x14ac:dyDescent="0.3">
      <c r="A502">
        <v>501</v>
      </c>
      <c r="B502" t="s">
        <v>1315</v>
      </c>
      <c r="C502">
        <v>8</v>
      </c>
      <c r="D502" s="105">
        <v>45373.41933434028</v>
      </c>
      <c r="E502" t="s">
        <v>312</v>
      </c>
      <c r="F502" t="s">
        <v>1402</v>
      </c>
      <c r="G502">
        <v>0</v>
      </c>
      <c r="H502" t="s">
        <v>315</v>
      </c>
      <c r="I502">
        <v>0</v>
      </c>
      <c r="J502">
        <v>0</v>
      </c>
      <c r="K502">
        <v>0</v>
      </c>
      <c r="L502" t="s">
        <v>241</v>
      </c>
      <c r="M502" t="s">
        <v>101</v>
      </c>
      <c r="N502">
        <v>0</v>
      </c>
      <c r="O502" t="s">
        <v>319</v>
      </c>
      <c r="P502" t="s">
        <v>310</v>
      </c>
      <c r="Q502" t="s">
        <v>310</v>
      </c>
      <c r="R502" t="s">
        <v>310</v>
      </c>
      <c r="S502">
        <v>9</v>
      </c>
      <c r="T502" t="s">
        <v>310</v>
      </c>
      <c r="U502">
        <v>9</v>
      </c>
      <c r="V502">
        <v>9</v>
      </c>
      <c r="W502">
        <v>0</v>
      </c>
      <c r="X502">
        <v>0</v>
      </c>
      <c r="Y502">
        <v>0</v>
      </c>
      <c r="Z502">
        <v>0</v>
      </c>
      <c r="AA502">
        <v>9</v>
      </c>
      <c r="AB502">
        <v>9</v>
      </c>
      <c r="AC502" t="s">
        <v>310</v>
      </c>
      <c r="AD502">
        <v>9</v>
      </c>
      <c r="AE502" t="s">
        <v>1414</v>
      </c>
      <c r="AF502">
        <v>70000000</v>
      </c>
      <c r="AG502" t="s">
        <v>310</v>
      </c>
      <c r="AH502">
        <f>SUM((MID(Dyno_Data[[#This Row],[Team]],4,5))+(Dyno_Data[[#This Row],[Match]]/100))</f>
        <v>1511.08</v>
      </c>
      <c r="AI502" s="76">
        <f>ROUND(SUM(IF(Dyno_Data[[#This Row],[AcqCenter]]&gt;0,Dyno_Data[[#This Row],[Time]]-SUMIFS(Dyno_Data[Time],Dyno_Data[Team],Dyno_Data[[#This Row],[Team]],Dyno_Data[RecordType],"StartMatch",Dyno_Data[Match],Dyno_Data[[#This Row],[Match]]),0)*86400),0)</f>
        <v>0</v>
      </c>
    </row>
    <row r="503" spans="1:35" x14ac:dyDescent="0.3">
      <c r="A503">
        <v>502</v>
      </c>
      <c r="B503" t="s">
        <v>361</v>
      </c>
      <c r="C503">
        <v>8</v>
      </c>
      <c r="D503" s="105">
        <v>45373.419339467589</v>
      </c>
      <c r="E503" t="s">
        <v>312</v>
      </c>
      <c r="F503" t="s">
        <v>1402</v>
      </c>
      <c r="G503">
        <v>0</v>
      </c>
      <c r="H503" t="s">
        <v>315</v>
      </c>
      <c r="I503">
        <v>0</v>
      </c>
      <c r="J503">
        <v>0</v>
      </c>
      <c r="K503">
        <v>0</v>
      </c>
      <c r="L503" t="s">
        <v>242</v>
      </c>
      <c r="M503" t="s">
        <v>241</v>
      </c>
      <c r="N503">
        <v>0</v>
      </c>
      <c r="O503" t="s">
        <v>311</v>
      </c>
      <c r="P503" t="s">
        <v>310</v>
      </c>
      <c r="Q503" t="s">
        <v>310</v>
      </c>
      <c r="R503" t="s">
        <v>310</v>
      </c>
      <c r="S503">
        <v>9</v>
      </c>
      <c r="T503" t="s">
        <v>310</v>
      </c>
      <c r="U503">
        <v>9</v>
      </c>
      <c r="V503">
        <v>9</v>
      </c>
      <c r="W503">
        <v>0</v>
      </c>
      <c r="X503">
        <v>0</v>
      </c>
      <c r="Y503">
        <v>0</v>
      </c>
      <c r="Z503">
        <v>0</v>
      </c>
      <c r="AA503">
        <v>9</v>
      </c>
      <c r="AB503">
        <v>9</v>
      </c>
      <c r="AC503" t="s">
        <v>310</v>
      </c>
      <c r="AD503">
        <v>9</v>
      </c>
      <c r="AE503" t="s">
        <v>1388</v>
      </c>
      <c r="AF503">
        <v>50001000</v>
      </c>
      <c r="AG503" t="s">
        <v>310</v>
      </c>
      <c r="AH503">
        <f>SUM((MID(Dyno_Data[[#This Row],[Team]],4,5))+(Dyno_Data[[#This Row],[Match]]/100))</f>
        <v>20.079999999999998</v>
      </c>
      <c r="AI503" s="76">
        <f>ROUND(SUM(IF(Dyno_Data[[#This Row],[AcqCenter]]&gt;0,Dyno_Data[[#This Row],[Time]]-SUMIFS(Dyno_Data[Time],Dyno_Data[Team],Dyno_Data[[#This Row],[Team]],Dyno_Data[RecordType],"StartMatch",Dyno_Data[Match],Dyno_Data[[#This Row],[Match]]),0)*86400),0)</f>
        <v>0</v>
      </c>
    </row>
    <row r="504" spans="1:35" x14ac:dyDescent="0.3">
      <c r="A504">
        <v>503</v>
      </c>
      <c r="B504" t="s">
        <v>1314</v>
      </c>
      <c r="C504">
        <v>8</v>
      </c>
      <c r="D504" s="105">
        <v>45373.419372835648</v>
      </c>
      <c r="E504" t="s">
        <v>312</v>
      </c>
      <c r="F504" t="s">
        <v>1402</v>
      </c>
      <c r="G504">
        <v>0</v>
      </c>
      <c r="H504" t="s">
        <v>315</v>
      </c>
      <c r="I504">
        <v>0</v>
      </c>
      <c r="J504">
        <v>0</v>
      </c>
      <c r="K504">
        <v>0</v>
      </c>
      <c r="L504" t="s">
        <v>241</v>
      </c>
      <c r="M504" t="s">
        <v>1398</v>
      </c>
      <c r="N504">
        <v>0</v>
      </c>
      <c r="O504" t="s">
        <v>1393</v>
      </c>
      <c r="P504" t="s">
        <v>310</v>
      </c>
      <c r="Q504" t="s">
        <v>310</v>
      </c>
      <c r="R504" t="s">
        <v>310</v>
      </c>
      <c r="S504">
        <v>9</v>
      </c>
      <c r="T504" t="s">
        <v>310</v>
      </c>
      <c r="U504">
        <v>9</v>
      </c>
      <c r="V504">
        <v>9</v>
      </c>
      <c r="W504">
        <v>0</v>
      </c>
      <c r="X504">
        <v>0</v>
      </c>
      <c r="Y504">
        <v>0</v>
      </c>
      <c r="Z504">
        <v>0</v>
      </c>
      <c r="AA504">
        <v>9</v>
      </c>
      <c r="AB504">
        <v>9</v>
      </c>
      <c r="AC504" t="s">
        <v>310</v>
      </c>
      <c r="AD504">
        <v>9</v>
      </c>
      <c r="AE504" t="s">
        <v>1412</v>
      </c>
      <c r="AF504">
        <v>90000000</v>
      </c>
      <c r="AG504" t="s">
        <v>310</v>
      </c>
      <c r="AH504">
        <f>SUM((MID(Dyno_Data[[#This Row],[Team]],4,5))+(Dyno_Data[[#This Row],[Match]]/100))</f>
        <v>3419.08</v>
      </c>
      <c r="AI504" s="76">
        <f>ROUND(SUM(IF(Dyno_Data[[#This Row],[AcqCenter]]&gt;0,Dyno_Data[[#This Row],[Time]]-SUMIFS(Dyno_Data[Time],Dyno_Data[Team],Dyno_Data[[#This Row],[Team]],Dyno_Data[RecordType],"StartMatch",Dyno_Data[Match],Dyno_Data[[#This Row],[Match]]),0)*86400),0)</f>
        <v>0</v>
      </c>
    </row>
    <row r="505" spans="1:35" x14ac:dyDescent="0.3">
      <c r="A505">
        <v>504</v>
      </c>
      <c r="B505" t="s">
        <v>1315</v>
      </c>
      <c r="C505">
        <v>8</v>
      </c>
      <c r="D505" s="105">
        <v>45373.419410567127</v>
      </c>
      <c r="E505" t="s">
        <v>312</v>
      </c>
      <c r="F505" t="s">
        <v>1402</v>
      </c>
      <c r="G505">
        <v>0</v>
      </c>
      <c r="H505" t="s">
        <v>315</v>
      </c>
      <c r="I505">
        <v>0</v>
      </c>
      <c r="J505">
        <v>0</v>
      </c>
      <c r="K505">
        <v>0</v>
      </c>
      <c r="L505" t="s">
        <v>240</v>
      </c>
      <c r="M505" t="s">
        <v>1398</v>
      </c>
      <c r="N505">
        <v>0</v>
      </c>
      <c r="O505" t="s">
        <v>319</v>
      </c>
      <c r="P505" t="s">
        <v>310</v>
      </c>
      <c r="Q505" t="s">
        <v>310</v>
      </c>
      <c r="R505" t="s">
        <v>310</v>
      </c>
      <c r="S505">
        <v>9</v>
      </c>
      <c r="T505" t="s">
        <v>310</v>
      </c>
      <c r="U505">
        <v>9</v>
      </c>
      <c r="V505">
        <v>9</v>
      </c>
      <c r="W505">
        <v>0</v>
      </c>
      <c r="X505">
        <v>0</v>
      </c>
      <c r="Y505">
        <v>0</v>
      </c>
      <c r="Z505">
        <v>0</v>
      </c>
      <c r="AA505">
        <v>9</v>
      </c>
      <c r="AB505">
        <v>9</v>
      </c>
      <c r="AC505" t="s">
        <v>310</v>
      </c>
      <c r="AD505">
        <v>9</v>
      </c>
      <c r="AE505" t="s">
        <v>1414</v>
      </c>
      <c r="AF505">
        <v>80000000</v>
      </c>
      <c r="AG505" t="s">
        <v>310</v>
      </c>
      <c r="AH505">
        <f>SUM((MID(Dyno_Data[[#This Row],[Team]],4,5))+(Dyno_Data[[#This Row],[Match]]/100))</f>
        <v>1511.08</v>
      </c>
      <c r="AI505" s="76">
        <f>ROUND(SUM(IF(Dyno_Data[[#This Row],[AcqCenter]]&gt;0,Dyno_Data[[#This Row],[Time]]-SUMIFS(Dyno_Data[Time],Dyno_Data[Team],Dyno_Data[[#This Row],[Team]],Dyno_Data[RecordType],"StartMatch",Dyno_Data[Match],Dyno_Data[[#This Row],[Match]]),0)*86400),0)</f>
        <v>0</v>
      </c>
    </row>
    <row r="506" spans="1:35" x14ac:dyDescent="0.3">
      <c r="A506">
        <v>505</v>
      </c>
      <c r="B506" t="s">
        <v>1314</v>
      </c>
      <c r="C506">
        <v>8</v>
      </c>
      <c r="D506" s="105">
        <v>45373.419423495368</v>
      </c>
      <c r="E506" t="s">
        <v>312</v>
      </c>
      <c r="F506" t="s">
        <v>1402</v>
      </c>
      <c r="G506">
        <v>0</v>
      </c>
      <c r="H506" t="s">
        <v>315</v>
      </c>
      <c r="I506">
        <v>0</v>
      </c>
      <c r="J506">
        <v>0</v>
      </c>
      <c r="K506">
        <v>0</v>
      </c>
      <c r="L506" t="s">
        <v>241</v>
      </c>
      <c r="M506" t="s">
        <v>1398</v>
      </c>
      <c r="N506">
        <v>0</v>
      </c>
      <c r="O506" t="s">
        <v>1393</v>
      </c>
      <c r="P506" t="s">
        <v>310</v>
      </c>
      <c r="Q506" t="s">
        <v>310</v>
      </c>
      <c r="R506" t="s">
        <v>310</v>
      </c>
      <c r="S506">
        <v>9</v>
      </c>
      <c r="T506" t="s">
        <v>310</v>
      </c>
      <c r="U506">
        <v>9</v>
      </c>
      <c r="V506">
        <v>9</v>
      </c>
      <c r="W506">
        <v>0</v>
      </c>
      <c r="X506">
        <v>0</v>
      </c>
      <c r="Y506">
        <v>0</v>
      </c>
      <c r="Z506">
        <v>0</v>
      </c>
      <c r="AA506">
        <v>9</v>
      </c>
      <c r="AB506">
        <v>9</v>
      </c>
      <c r="AC506" t="s">
        <v>310</v>
      </c>
      <c r="AD506">
        <v>9</v>
      </c>
      <c r="AE506" t="s">
        <v>1412</v>
      </c>
      <c r="AF506">
        <v>100000000</v>
      </c>
      <c r="AG506" t="s">
        <v>310</v>
      </c>
      <c r="AH506">
        <f>SUM((MID(Dyno_Data[[#This Row],[Team]],4,5))+(Dyno_Data[[#This Row],[Match]]/100))</f>
        <v>3419.08</v>
      </c>
      <c r="AI506" s="76">
        <f>ROUND(SUM(IF(Dyno_Data[[#This Row],[AcqCenter]]&gt;0,Dyno_Data[[#This Row],[Time]]-SUMIFS(Dyno_Data[Time],Dyno_Data[Team],Dyno_Data[[#This Row],[Team]],Dyno_Data[RecordType],"StartMatch",Dyno_Data[Match],Dyno_Data[[#This Row],[Match]]),0)*86400),0)</f>
        <v>0</v>
      </c>
    </row>
    <row r="507" spans="1:35" x14ac:dyDescent="0.3">
      <c r="A507">
        <v>506</v>
      </c>
      <c r="B507" t="s">
        <v>361</v>
      </c>
      <c r="C507">
        <v>8</v>
      </c>
      <c r="D507" s="105">
        <v>45373.419466238425</v>
      </c>
      <c r="E507" t="s">
        <v>312</v>
      </c>
      <c r="F507" t="s">
        <v>1402</v>
      </c>
      <c r="G507">
        <v>0</v>
      </c>
      <c r="H507" t="s">
        <v>315</v>
      </c>
      <c r="I507">
        <v>0</v>
      </c>
      <c r="J507">
        <v>0</v>
      </c>
      <c r="K507">
        <v>0</v>
      </c>
      <c r="L507" t="s">
        <v>240</v>
      </c>
      <c r="M507" t="s">
        <v>1398</v>
      </c>
      <c r="N507">
        <v>0</v>
      </c>
      <c r="O507" t="s">
        <v>311</v>
      </c>
      <c r="P507" t="s">
        <v>310</v>
      </c>
      <c r="Q507" t="s">
        <v>310</v>
      </c>
      <c r="R507" t="s">
        <v>310</v>
      </c>
      <c r="S507">
        <v>9</v>
      </c>
      <c r="T507" t="s">
        <v>310</v>
      </c>
      <c r="U507">
        <v>9</v>
      </c>
      <c r="V507">
        <v>9</v>
      </c>
      <c r="W507">
        <v>0</v>
      </c>
      <c r="X507">
        <v>0</v>
      </c>
      <c r="Y507">
        <v>0</v>
      </c>
      <c r="Z507">
        <v>0</v>
      </c>
      <c r="AA507">
        <v>9</v>
      </c>
      <c r="AB507">
        <v>9</v>
      </c>
      <c r="AC507" t="s">
        <v>310</v>
      </c>
      <c r="AD507">
        <v>9</v>
      </c>
      <c r="AE507" t="s">
        <v>1388</v>
      </c>
      <c r="AF507">
        <v>60001000</v>
      </c>
      <c r="AG507" t="s">
        <v>310</v>
      </c>
      <c r="AH507">
        <f>SUM((MID(Dyno_Data[[#This Row],[Team]],4,5))+(Dyno_Data[[#This Row],[Match]]/100))</f>
        <v>20.079999999999998</v>
      </c>
      <c r="AI507" s="76">
        <f>ROUND(SUM(IF(Dyno_Data[[#This Row],[AcqCenter]]&gt;0,Dyno_Data[[#This Row],[Time]]-SUMIFS(Dyno_Data[Time],Dyno_Data[Team],Dyno_Data[[#This Row],[Team]],Dyno_Data[RecordType],"StartMatch",Dyno_Data[Match],Dyno_Data[[#This Row],[Match]]),0)*86400),0)</f>
        <v>0</v>
      </c>
    </row>
    <row r="508" spans="1:35" x14ac:dyDescent="0.3">
      <c r="A508">
        <v>507</v>
      </c>
      <c r="B508" t="s">
        <v>368</v>
      </c>
      <c r="C508">
        <v>8</v>
      </c>
      <c r="D508" s="105">
        <v>45373.419467673608</v>
      </c>
      <c r="E508" t="s">
        <v>312</v>
      </c>
      <c r="F508" t="s">
        <v>1402</v>
      </c>
      <c r="G508">
        <v>0</v>
      </c>
      <c r="H508" t="s">
        <v>1397</v>
      </c>
      <c r="I508">
        <v>0</v>
      </c>
      <c r="J508">
        <v>0</v>
      </c>
      <c r="K508">
        <v>0</v>
      </c>
      <c r="L508" t="s">
        <v>241</v>
      </c>
      <c r="M508" t="s">
        <v>1398</v>
      </c>
      <c r="N508">
        <v>0</v>
      </c>
      <c r="O508" t="s">
        <v>1395</v>
      </c>
      <c r="P508" t="s">
        <v>310</v>
      </c>
      <c r="Q508" t="s">
        <v>310</v>
      </c>
      <c r="R508" t="s">
        <v>310</v>
      </c>
      <c r="S508">
        <v>9</v>
      </c>
      <c r="T508" t="s">
        <v>310</v>
      </c>
      <c r="U508">
        <v>9</v>
      </c>
      <c r="V508">
        <v>9</v>
      </c>
      <c r="W508">
        <v>0</v>
      </c>
      <c r="X508">
        <v>0</v>
      </c>
      <c r="Y508">
        <v>0</v>
      </c>
      <c r="Z508">
        <v>0</v>
      </c>
      <c r="AA508">
        <v>9</v>
      </c>
      <c r="AB508">
        <v>9</v>
      </c>
      <c r="AC508" t="s">
        <v>310</v>
      </c>
      <c r="AD508">
        <v>9</v>
      </c>
      <c r="AE508" t="s">
        <v>1413</v>
      </c>
      <c r="AF508">
        <v>0</v>
      </c>
      <c r="AG508" t="s">
        <v>310</v>
      </c>
      <c r="AH508">
        <f>SUM((MID(Dyno_Data[[#This Row],[Team]],4,5))+(Dyno_Data[[#This Row],[Match]]/100))</f>
        <v>6401.08</v>
      </c>
      <c r="AI508" s="76">
        <f>ROUND(SUM(IF(Dyno_Data[[#This Row],[AcqCenter]]&gt;0,Dyno_Data[[#This Row],[Time]]-SUMIFS(Dyno_Data[Time],Dyno_Data[Team],Dyno_Data[[#This Row],[Team]],Dyno_Data[RecordType],"StartMatch",Dyno_Data[Match],Dyno_Data[[#This Row],[Match]]),0)*86400),0)</f>
        <v>0</v>
      </c>
    </row>
    <row r="509" spans="1:35" x14ac:dyDescent="0.3">
      <c r="A509">
        <v>508</v>
      </c>
      <c r="B509" t="s">
        <v>363</v>
      </c>
      <c r="C509">
        <v>8</v>
      </c>
      <c r="D509" s="105">
        <v>45373.419474155089</v>
      </c>
      <c r="E509" t="s">
        <v>312</v>
      </c>
      <c r="F509" t="s">
        <v>1402</v>
      </c>
      <c r="G509">
        <v>0</v>
      </c>
      <c r="H509" t="s">
        <v>315</v>
      </c>
      <c r="I509">
        <v>0</v>
      </c>
      <c r="J509">
        <v>0</v>
      </c>
      <c r="K509">
        <v>0</v>
      </c>
      <c r="L509" t="s">
        <v>240</v>
      </c>
      <c r="M509" t="s">
        <v>1398</v>
      </c>
      <c r="N509">
        <v>0</v>
      </c>
      <c r="O509" t="s">
        <v>1389</v>
      </c>
      <c r="P509" t="s">
        <v>310</v>
      </c>
      <c r="Q509" t="s">
        <v>310</v>
      </c>
      <c r="R509" t="s">
        <v>310</v>
      </c>
      <c r="S509">
        <v>9</v>
      </c>
      <c r="T509" t="s">
        <v>310</v>
      </c>
      <c r="U509">
        <v>9</v>
      </c>
      <c r="V509">
        <v>9</v>
      </c>
      <c r="W509">
        <v>0</v>
      </c>
      <c r="X509">
        <v>0</v>
      </c>
      <c r="Y509">
        <v>0</v>
      </c>
      <c r="Z509">
        <v>0</v>
      </c>
      <c r="AA509">
        <v>9</v>
      </c>
      <c r="AB509">
        <v>9</v>
      </c>
      <c r="AC509" t="s">
        <v>310</v>
      </c>
      <c r="AD509">
        <v>9</v>
      </c>
      <c r="AE509" t="s">
        <v>1396</v>
      </c>
      <c r="AF509">
        <v>90000000</v>
      </c>
      <c r="AG509" t="s">
        <v>310</v>
      </c>
      <c r="AH509">
        <f>SUM((MID(Dyno_Data[[#This Row],[Team]],4,5))+(Dyno_Data[[#This Row],[Match]]/100))</f>
        <v>2601.08</v>
      </c>
      <c r="AI509" s="76">
        <f>ROUND(SUM(IF(Dyno_Data[[#This Row],[AcqCenter]]&gt;0,Dyno_Data[[#This Row],[Time]]-SUMIFS(Dyno_Data[Time],Dyno_Data[Team],Dyno_Data[[#This Row],[Team]],Dyno_Data[RecordType],"StartMatch",Dyno_Data[Match],Dyno_Data[[#This Row],[Match]]),0)*86400),0)</f>
        <v>0</v>
      </c>
    </row>
    <row r="510" spans="1:35" x14ac:dyDescent="0.3">
      <c r="A510">
        <v>509</v>
      </c>
      <c r="B510" t="s">
        <v>1315</v>
      </c>
      <c r="C510">
        <v>8</v>
      </c>
      <c r="D510" s="105">
        <v>45373.419605937503</v>
      </c>
      <c r="E510" t="s">
        <v>312</v>
      </c>
      <c r="F510" t="s">
        <v>1402</v>
      </c>
      <c r="G510">
        <v>0</v>
      </c>
      <c r="H510" t="s">
        <v>315</v>
      </c>
      <c r="I510">
        <v>0</v>
      </c>
      <c r="J510">
        <v>0</v>
      </c>
      <c r="K510">
        <v>0</v>
      </c>
      <c r="L510" t="s">
        <v>241</v>
      </c>
      <c r="M510" t="s">
        <v>101</v>
      </c>
      <c r="N510">
        <v>0</v>
      </c>
      <c r="O510" t="s">
        <v>319</v>
      </c>
      <c r="P510" t="s">
        <v>310</v>
      </c>
      <c r="Q510" t="s">
        <v>310</v>
      </c>
      <c r="R510" t="s">
        <v>310</v>
      </c>
      <c r="S510">
        <v>9</v>
      </c>
      <c r="T510" t="s">
        <v>310</v>
      </c>
      <c r="U510">
        <v>9</v>
      </c>
      <c r="V510">
        <v>9</v>
      </c>
      <c r="W510">
        <v>0</v>
      </c>
      <c r="X510">
        <v>0</v>
      </c>
      <c r="Y510">
        <v>0</v>
      </c>
      <c r="Z510">
        <v>0</v>
      </c>
      <c r="AA510">
        <v>9</v>
      </c>
      <c r="AB510">
        <v>9</v>
      </c>
      <c r="AC510" t="s">
        <v>310</v>
      </c>
      <c r="AD510">
        <v>9</v>
      </c>
      <c r="AE510" t="s">
        <v>1414</v>
      </c>
      <c r="AF510">
        <v>90000000</v>
      </c>
      <c r="AG510" t="s">
        <v>310</v>
      </c>
      <c r="AH510">
        <f>SUM((MID(Dyno_Data[[#This Row],[Team]],4,5))+(Dyno_Data[[#This Row],[Match]]/100))</f>
        <v>1511.08</v>
      </c>
      <c r="AI510" s="76">
        <f>ROUND(SUM(IF(Dyno_Data[[#This Row],[AcqCenter]]&gt;0,Dyno_Data[[#This Row],[Time]]-SUMIFS(Dyno_Data[Time],Dyno_Data[Team],Dyno_Data[[#This Row],[Team]],Dyno_Data[RecordType],"StartMatch",Dyno_Data[Match],Dyno_Data[[#This Row],[Match]]),0)*86400),0)</f>
        <v>0</v>
      </c>
    </row>
    <row r="511" spans="1:35" x14ac:dyDescent="0.3">
      <c r="A511">
        <v>510</v>
      </c>
      <c r="B511" t="s">
        <v>1314</v>
      </c>
      <c r="C511">
        <v>8</v>
      </c>
      <c r="D511" s="105">
        <v>45373.419629861113</v>
      </c>
      <c r="E511" t="s">
        <v>312</v>
      </c>
      <c r="F511" t="s">
        <v>1402</v>
      </c>
      <c r="G511">
        <v>0</v>
      </c>
      <c r="H511" t="s">
        <v>315</v>
      </c>
      <c r="I511">
        <v>0</v>
      </c>
      <c r="J511">
        <v>0</v>
      </c>
      <c r="K511">
        <v>0</v>
      </c>
      <c r="L511" t="s">
        <v>241</v>
      </c>
      <c r="M511" t="s">
        <v>101</v>
      </c>
      <c r="N511">
        <v>0</v>
      </c>
      <c r="O511" t="s">
        <v>1393</v>
      </c>
      <c r="P511" t="s">
        <v>310</v>
      </c>
      <c r="Q511" t="s">
        <v>310</v>
      </c>
      <c r="R511" t="s">
        <v>310</v>
      </c>
      <c r="S511">
        <v>9</v>
      </c>
      <c r="T511" t="s">
        <v>310</v>
      </c>
      <c r="U511">
        <v>9</v>
      </c>
      <c r="V511">
        <v>9</v>
      </c>
      <c r="W511">
        <v>0</v>
      </c>
      <c r="X511">
        <v>0</v>
      </c>
      <c r="Y511">
        <v>0</v>
      </c>
      <c r="Z511">
        <v>0</v>
      </c>
      <c r="AA511">
        <v>9</v>
      </c>
      <c r="AB511">
        <v>9</v>
      </c>
      <c r="AC511" t="s">
        <v>310</v>
      </c>
      <c r="AD511">
        <v>9</v>
      </c>
      <c r="AE511" t="s">
        <v>1412</v>
      </c>
      <c r="AF511">
        <v>110000000</v>
      </c>
      <c r="AG511" t="s">
        <v>310</v>
      </c>
      <c r="AH511">
        <f>SUM((MID(Dyno_Data[[#This Row],[Team]],4,5))+(Dyno_Data[[#This Row],[Match]]/100))</f>
        <v>3419.08</v>
      </c>
      <c r="AI511" s="76">
        <f>ROUND(SUM(IF(Dyno_Data[[#This Row],[AcqCenter]]&gt;0,Dyno_Data[[#This Row],[Time]]-SUMIFS(Dyno_Data[Time],Dyno_Data[Team],Dyno_Data[[#This Row],[Team]],Dyno_Data[RecordType],"StartMatch",Dyno_Data[Match],Dyno_Data[[#This Row],[Match]]),0)*86400),0)</f>
        <v>0</v>
      </c>
    </row>
    <row r="512" spans="1:35" x14ac:dyDescent="0.3">
      <c r="A512">
        <v>511</v>
      </c>
      <c r="B512" t="s">
        <v>361</v>
      </c>
      <c r="C512">
        <v>8</v>
      </c>
      <c r="D512" s="105">
        <v>45373.419662465276</v>
      </c>
      <c r="E512" t="s">
        <v>312</v>
      </c>
      <c r="F512" t="s">
        <v>1402</v>
      </c>
      <c r="G512">
        <v>0</v>
      </c>
      <c r="H512" t="s">
        <v>315</v>
      </c>
      <c r="I512">
        <v>0</v>
      </c>
      <c r="J512">
        <v>0</v>
      </c>
      <c r="K512">
        <v>0</v>
      </c>
      <c r="L512" t="s">
        <v>240</v>
      </c>
      <c r="M512" t="s">
        <v>1398</v>
      </c>
      <c r="N512">
        <v>0</v>
      </c>
      <c r="O512" t="s">
        <v>311</v>
      </c>
      <c r="P512" t="s">
        <v>310</v>
      </c>
      <c r="Q512" t="s">
        <v>310</v>
      </c>
      <c r="R512" t="s">
        <v>310</v>
      </c>
      <c r="S512">
        <v>9</v>
      </c>
      <c r="T512" t="s">
        <v>310</v>
      </c>
      <c r="U512">
        <v>9</v>
      </c>
      <c r="V512">
        <v>9</v>
      </c>
      <c r="W512">
        <v>0</v>
      </c>
      <c r="X512">
        <v>0</v>
      </c>
      <c r="Y512">
        <v>0</v>
      </c>
      <c r="Z512">
        <v>0</v>
      </c>
      <c r="AA512">
        <v>9</v>
      </c>
      <c r="AB512">
        <v>9</v>
      </c>
      <c r="AC512" t="s">
        <v>310</v>
      </c>
      <c r="AD512">
        <v>9</v>
      </c>
      <c r="AE512" t="s">
        <v>1388</v>
      </c>
      <c r="AF512">
        <v>70001000</v>
      </c>
      <c r="AG512" t="s">
        <v>310</v>
      </c>
      <c r="AH512">
        <f>SUM((MID(Dyno_Data[[#This Row],[Team]],4,5))+(Dyno_Data[[#This Row],[Match]]/100))</f>
        <v>20.079999999999998</v>
      </c>
      <c r="AI512" s="76">
        <f>ROUND(SUM(IF(Dyno_Data[[#This Row],[AcqCenter]]&gt;0,Dyno_Data[[#This Row],[Time]]-SUMIFS(Dyno_Data[Time],Dyno_Data[Team],Dyno_Data[[#This Row],[Team]],Dyno_Data[RecordType],"StartMatch",Dyno_Data[Match],Dyno_Data[[#This Row],[Match]]),0)*86400),0)</f>
        <v>0</v>
      </c>
    </row>
    <row r="513" spans="1:35" x14ac:dyDescent="0.3">
      <c r="A513">
        <v>512</v>
      </c>
      <c r="B513" t="s">
        <v>363</v>
      </c>
      <c r="C513">
        <v>8</v>
      </c>
      <c r="D513" s="105">
        <v>45373.41967693287</v>
      </c>
      <c r="E513" t="s">
        <v>312</v>
      </c>
      <c r="F513" t="s">
        <v>1402</v>
      </c>
      <c r="G513">
        <v>0</v>
      </c>
      <c r="H513" t="s">
        <v>315</v>
      </c>
      <c r="I513">
        <v>0</v>
      </c>
      <c r="J513">
        <v>0</v>
      </c>
      <c r="K513">
        <v>0</v>
      </c>
      <c r="L513" t="s">
        <v>240</v>
      </c>
      <c r="M513" t="s">
        <v>1398</v>
      </c>
      <c r="N513">
        <v>0</v>
      </c>
      <c r="O513" t="s">
        <v>1389</v>
      </c>
      <c r="P513" t="s">
        <v>310</v>
      </c>
      <c r="Q513" t="s">
        <v>310</v>
      </c>
      <c r="R513" t="s">
        <v>310</v>
      </c>
      <c r="S513">
        <v>9</v>
      </c>
      <c r="T513" t="s">
        <v>310</v>
      </c>
      <c r="U513">
        <v>9</v>
      </c>
      <c r="V513">
        <v>9</v>
      </c>
      <c r="W513">
        <v>0</v>
      </c>
      <c r="X513">
        <v>0</v>
      </c>
      <c r="Y513">
        <v>0</v>
      </c>
      <c r="Z513">
        <v>0</v>
      </c>
      <c r="AA513">
        <v>9</v>
      </c>
      <c r="AB513">
        <v>9</v>
      </c>
      <c r="AC513" t="s">
        <v>310</v>
      </c>
      <c r="AD513">
        <v>9</v>
      </c>
      <c r="AE513" t="s">
        <v>1396</v>
      </c>
      <c r="AF513">
        <v>100000000</v>
      </c>
      <c r="AG513" t="s">
        <v>310</v>
      </c>
      <c r="AH513">
        <f>SUM((MID(Dyno_Data[[#This Row],[Team]],4,5))+(Dyno_Data[[#This Row],[Match]]/100))</f>
        <v>2601.08</v>
      </c>
      <c r="AI513" s="76">
        <f>ROUND(SUM(IF(Dyno_Data[[#This Row],[AcqCenter]]&gt;0,Dyno_Data[[#This Row],[Time]]-SUMIFS(Dyno_Data[Time],Dyno_Data[Team],Dyno_Data[[#This Row],[Team]],Dyno_Data[RecordType],"StartMatch",Dyno_Data[Match],Dyno_Data[[#This Row],[Match]]),0)*86400),0)</f>
        <v>0</v>
      </c>
    </row>
    <row r="514" spans="1:35" x14ac:dyDescent="0.3">
      <c r="A514">
        <v>513</v>
      </c>
      <c r="B514" t="s">
        <v>361</v>
      </c>
      <c r="C514">
        <v>8</v>
      </c>
      <c r="D514" s="105">
        <v>45373.419808796294</v>
      </c>
      <c r="E514" t="s">
        <v>312</v>
      </c>
      <c r="F514" t="s">
        <v>1402</v>
      </c>
      <c r="G514">
        <v>0</v>
      </c>
      <c r="H514" t="s">
        <v>315</v>
      </c>
      <c r="I514">
        <v>0</v>
      </c>
      <c r="J514">
        <v>0</v>
      </c>
      <c r="K514">
        <v>0</v>
      </c>
      <c r="L514" t="s">
        <v>240</v>
      </c>
      <c r="M514" t="s">
        <v>1398</v>
      </c>
      <c r="N514">
        <v>0</v>
      </c>
      <c r="O514" t="s">
        <v>311</v>
      </c>
      <c r="P514" t="s">
        <v>310</v>
      </c>
      <c r="Q514" t="s">
        <v>310</v>
      </c>
      <c r="R514" t="s">
        <v>310</v>
      </c>
      <c r="S514">
        <v>9</v>
      </c>
      <c r="T514" t="s">
        <v>310</v>
      </c>
      <c r="U514">
        <v>9</v>
      </c>
      <c r="V514">
        <v>9</v>
      </c>
      <c r="W514">
        <v>0</v>
      </c>
      <c r="X514">
        <v>0</v>
      </c>
      <c r="Y514">
        <v>0</v>
      </c>
      <c r="Z514">
        <v>0</v>
      </c>
      <c r="AA514">
        <v>9</v>
      </c>
      <c r="AB514">
        <v>9</v>
      </c>
      <c r="AC514" t="s">
        <v>310</v>
      </c>
      <c r="AD514">
        <v>9</v>
      </c>
      <c r="AE514" t="s">
        <v>1388</v>
      </c>
      <c r="AF514">
        <v>80001000</v>
      </c>
      <c r="AG514" t="s">
        <v>310</v>
      </c>
      <c r="AH514">
        <f>SUM((MID(Dyno_Data[[#This Row],[Team]],4,5))+(Dyno_Data[[#This Row],[Match]]/100))</f>
        <v>20.079999999999998</v>
      </c>
      <c r="AI514" s="76">
        <f>ROUND(SUM(IF(Dyno_Data[[#This Row],[AcqCenter]]&gt;0,Dyno_Data[[#This Row],[Time]]-SUMIFS(Dyno_Data[Time],Dyno_Data[Team],Dyno_Data[[#This Row],[Team]],Dyno_Data[RecordType],"StartMatch",Dyno_Data[Match],Dyno_Data[[#This Row],[Match]]),0)*86400),0)</f>
        <v>0</v>
      </c>
    </row>
    <row r="515" spans="1:35" x14ac:dyDescent="0.3">
      <c r="A515">
        <v>514</v>
      </c>
      <c r="B515" t="s">
        <v>1315</v>
      </c>
      <c r="C515">
        <v>8</v>
      </c>
      <c r="D515" s="105">
        <v>45373.419810960651</v>
      </c>
      <c r="E515" t="s">
        <v>312</v>
      </c>
      <c r="F515" t="s">
        <v>1402</v>
      </c>
      <c r="G515">
        <v>0</v>
      </c>
      <c r="H515" t="s">
        <v>315</v>
      </c>
      <c r="I515">
        <v>0</v>
      </c>
      <c r="J515">
        <v>0</v>
      </c>
      <c r="K515">
        <v>0</v>
      </c>
      <c r="L515" t="s">
        <v>241</v>
      </c>
      <c r="M515" t="s">
        <v>101</v>
      </c>
      <c r="N515">
        <v>0</v>
      </c>
      <c r="O515" t="s">
        <v>319</v>
      </c>
      <c r="P515" t="s">
        <v>310</v>
      </c>
      <c r="Q515" t="s">
        <v>310</v>
      </c>
      <c r="R515" t="s">
        <v>310</v>
      </c>
      <c r="S515">
        <v>9</v>
      </c>
      <c r="T515" t="s">
        <v>310</v>
      </c>
      <c r="U515">
        <v>9</v>
      </c>
      <c r="V515">
        <v>9</v>
      </c>
      <c r="W515">
        <v>0</v>
      </c>
      <c r="X515">
        <v>0</v>
      </c>
      <c r="Y515">
        <v>0</v>
      </c>
      <c r="Z515">
        <v>0</v>
      </c>
      <c r="AA515">
        <v>9</v>
      </c>
      <c r="AB515">
        <v>9</v>
      </c>
      <c r="AC515" t="s">
        <v>310</v>
      </c>
      <c r="AD515">
        <v>9</v>
      </c>
      <c r="AE515" t="s">
        <v>1414</v>
      </c>
      <c r="AF515">
        <v>100000000</v>
      </c>
      <c r="AG515" t="s">
        <v>310</v>
      </c>
      <c r="AH515">
        <f>SUM((MID(Dyno_Data[[#This Row],[Team]],4,5))+(Dyno_Data[[#This Row],[Match]]/100))</f>
        <v>1511.08</v>
      </c>
      <c r="AI515" s="76">
        <f>ROUND(SUM(IF(Dyno_Data[[#This Row],[AcqCenter]]&gt;0,Dyno_Data[[#This Row],[Time]]-SUMIFS(Dyno_Data[Time],Dyno_Data[Team],Dyno_Data[[#This Row],[Team]],Dyno_Data[RecordType],"StartMatch",Dyno_Data[Match],Dyno_Data[[#This Row],[Match]]),0)*86400),0)</f>
        <v>0</v>
      </c>
    </row>
    <row r="516" spans="1:35" x14ac:dyDescent="0.3">
      <c r="A516">
        <v>515</v>
      </c>
      <c r="B516" t="s">
        <v>1314</v>
      </c>
      <c r="C516">
        <v>8</v>
      </c>
      <c r="D516" s="105">
        <v>45373.419857175926</v>
      </c>
      <c r="E516" t="s">
        <v>312</v>
      </c>
      <c r="F516" t="s">
        <v>1402</v>
      </c>
      <c r="G516">
        <v>0</v>
      </c>
      <c r="H516" t="s">
        <v>315</v>
      </c>
      <c r="I516">
        <v>0</v>
      </c>
      <c r="J516">
        <v>0</v>
      </c>
      <c r="K516">
        <v>0</v>
      </c>
      <c r="L516" t="s">
        <v>241</v>
      </c>
      <c r="M516" t="s">
        <v>1398</v>
      </c>
      <c r="N516">
        <v>0</v>
      </c>
      <c r="O516" t="s">
        <v>1393</v>
      </c>
      <c r="P516" t="s">
        <v>310</v>
      </c>
      <c r="Q516" t="s">
        <v>310</v>
      </c>
      <c r="R516" t="s">
        <v>310</v>
      </c>
      <c r="S516">
        <v>9</v>
      </c>
      <c r="T516" t="s">
        <v>310</v>
      </c>
      <c r="U516">
        <v>9</v>
      </c>
      <c r="V516">
        <v>9</v>
      </c>
      <c r="W516">
        <v>0</v>
      </c>
      <c r="X516">
        <v>0</v>
      </c>
      <c r="Y516">
        <v>0</v>
      </c>
      <c r="Z516">
        <v>0</v>
      </c>
      <c r="AA516">
        <v>9</v>
      </c>
      <c r="AB516">
        <v>9</v>
      </c>
      <c r="AC516" t="s">
        <v>310</v>
      </c>
      <c r="AD516">
        <v>9</v>
      </c>
      <c r="AE516" t="s">
        <v>1412</v>
      </c>
      <c r="AF516">
        <v>120000000</v>
      </c>
      <c r="AG516" t="s">
        <v>310</v>
      </c>
      <c r="AH516">
        <f>SUM((MID(Dyno_Data[[#This Row],[Team]],4,5))+(Dyno_Data[[#This Row],[Match]]/100))</f>
        <v>3419.08</v>
      </c>
      <c r="AI516" s="76">
        <f>ROUND(SUM(IF(Dyno_Data[[#This Row],[AcqCenter]]&gt;0,Dyno_Data[[#This Row],[Time]]-SUMIFS(Dyno_Data[Time],Dyno_Data[Team],Dyno_Data[[#This Row],[Team]],Dyno_Data[RecordType],"StartMatch",Dyno_Data[Match],Dyno_Data[[#This Row],[Match]]),0)*86400),0)</f>
        <v>0</v>
      </c>
    </row>
    <row r="517" spans="1:35" x14ac:dyDescent="0.3">
      <c r="A517">
        <v>516</v>
      </c>
      <c r="B517" t="s">
        <v>363</v>
      </c>
      <c r="C517">
        <v>8</v>
      </c>
      <c r="D517" s="105">
        <v>45373.419877465276</v>
      </c>
      <c r="E517" t="s">
        <v>312</v>
      </c>
      <c r="F517" t="s">
        <v>1402</v>
      </c>
      <c r="G517">
        <v>0</v>
      </c>
      <c r="H517" t="s">
        <v>315</v>
      </c>
      <c r="I517">
        <v>0</v>
      </c>
      <c r="J517">
        <v>0</v>
      </c>
      <c r="K517">
        <v>0</v>
      </c>
      <c r="L517" t="s">
        <v>241</v>
      </c>
      <c r="M517" t="s">
        <v>1398</v>
      </c>
      <c r="N517">
        <v>1</v>
      </c>
      <c r="O517" t="s">
        <v>1389</v>
      </c>
      <c r="P517" t="s">
        <v>310</v>
      </c>
      <c r="Q517" t="s">
        <v>310</v>
      </c>
      <c r="R517" t="s">
        <v>310</v>
      </c>
      <c r="S517">
        <v>9</v>
      </c>
      <c r="T517" t="s">
        <v>310</v>
      </c>
      <c r="U517">
        <v>9</v>
      </c>
      <c r="V517">
        <v>9</v>
      </c>
      <c r="W517">
        <v>0</v>
      </c>
      <c r="X517">
        <v>0</v>
      </c>
      <c r="Y517">
        <v>0</v>
      </c>
      <c r="Z517">
        <v>0</v>
      </c>
      <c r="AA517">
        <v>9</v>
      </c>
      <c r="AB517">
        <v>9</v>
      </c>
      <c r="AC517" t="s">
        <v>310</v>
      </c>
      <c r="AD517">
        <v>9</v>
      </c>
      <c r="AE517" t="s">
        <v>1396</v>
      </c>
      <c r="AF517">
        <v>110000000</v>
      </c>
      <c r="AG517" t="s">
        <v>310</v>
      </c>
      <c r="AH517">
        <f>SUM((MID(Dyno_Data[[#This Row],[Team]],4,5))+(Dyno_Data[[#This Row],[Match]]/100))</f>
        <v>2601.08</v>
      </c>
      <c r="AI517" s="76">
        <f>ROUND(SUM(IF(Dyno_Data[[#This Row],[AcqCenter]]&gt;0,Dyno_Data[[#This Row],[Time]]-SUMIFS(Dyno_Data[Time],Dyno_Data[Team],Dyno_Data[[#This Row],[Team]],Dyno_Data[RecordType],"StartMatch",Dyno_Data[Match],Dyno_Data[[#This Row],[Match]]),0)*86400),0)</f>
        <v>0</v>
      </c>
    </row>
    <row r="518" spans="1:35" x14ac:dyDescent="0.3">
      <c r="A518">
        <v>517</v>
      </c>
      <c r="B518" t="s">
        <v>361</v>
      </c>
      <c r="C518">
        <v>8</v>
      </c>
      <c r="D518" s="105">
        <v>45373.419928819443</v>
      </c>
      <c r="E518" t="s">
        <v>312</v>
      </c>
      <c r="F518" t="s">
        <v>1402</v>
      </c>
      <c r="G518">
        <v>0</v>
      </c>
      <c r="H518" t="s">
        <v>315</v>
      </c>
      <c r="I518">
        <v>0</v>
      </c>
      <c r="J518">
        <v>0</v>
      </c>
      <c r="K518">
        <v>0</v>
      </c>
      <c r="L518" t="s">
        <v>240</v>
      </c>
      <c r="M518" t="s">
        <v>1398</v>
      </c>
      <c r="N518">
        <v>0</v>
      </c>
      <c r="O518" t="s">
        <v>311</v>
      </c>
      <c r="P518" t="s">
        <v>310</v>
      </c>
      <c r="Q518" t="s">
        <v>310</v>
      </c>
      <c r="R518" t="s">
        <v>310</v>
      </c>
      <c r="S518">
        <v>9</v>
      </c>
      <c r="T518" t="s">
        <v>310</v>
      </c>
      <c r="U518">
        <v>9</v>
      </c>
      <c r="V518">
        <v>9</v>
      </c>
      <c r="W518">
        <v>0</v>
      </c>
      <c r="X518">
        <v>0</v>
      </c>
      <c r="Y518">
        <v>0</v>
      </c>
      <c r="Z518">
        <v>0</v>
      </c>
      <c r="AA518">
        <v>9</v>
      </c>
      <c r="AB518">
        <v>9</v>
      </c>
      <c r="AC518" t="s">
        <v>310</v>
      </c>
      <c r="AD518">
        <v>9</v>
      </c>
      <c r="AE518" t="s">
        <v>1388</v>
      </c>
      <c r="AF518">
        <v>90001000</v>
      </c>
      <c r="AG518" t="s">
        <v>310</v>
      </c>
      <c r="AH518">
        <f>SUM((MID(Dyno_Data[[#This Row],[Team]],4,5))+(Dyno_Data[[#This Row],[Match]]/100))</f>
        <v>20.079999999999998</v>
      </c>
      <c r="AI518" s="76">
        <f>ROUND(SUM(IF(Dyno_Data[[#This Row],[AcqCenter]]&gt;0,Dyno_Data[[#This Row],[Time]]-SUMIFS(Dyno_Data[Time],Dyno_Data[Team],Dyno_Data[[#This Row],[Team]],Dyno_Data[RecordType],"StartMatch",Dyno_Data[Match],Dyno_Data[[#This Row],[Match]]),0)*86400),0)</f>
        <v>0</v>
      </c>
    </row>
    <row r="519" spans="1:35" x14ac:dyDescent="0.3">
      <c r="A519">
        <v>518</v>
      </c>
      <c r="B519" t="s">
        <v>363</v>
      </c>
      <c r="C519">
        <v>8</v>
      </c>
      <c r="D519" s="105">
        <v>45373.420303506944</v>
      </c>
      <c r="E519" t="s">
        <v>1403</v>
      </c>
      <c r="F519" t="s">
        <v>317</v>
      </c>
      <c r="G519">
        <v>0</v>
      </c>
      <c r="H519" t="s">
        <v>310</v>
      </c>
      <c r="I519">
        <v>0</v>
      </c>
      <c r="J519">
        <v>0</v>
      </c>
      <c r="K519">
        <v>0</v>
      </c>
      <c r="L519" t="s">
        <v>310</v>
      </c>
      <c r="M519" t="s">
        <v>310</v>
      </c>
      <c r="N519">
        <v>0</v>
      </c>
      <c r="O519" t="s">
        <v>1389</v>
      </c>
      <c r="P519" t="s">
        <v>310</v>
      </c>
      <c r="Q519" t="s">
        <v>310</v>
      </c>
      <c r="R519" t="s">
        <v>310</v>
      </c>
      <c r="S519">
        <v>9</v>
      </c>
      <c r="T519" t="s">
        <v>310</v>
      </c>
      <c r="U519">
        <v>9</v>
      </c>
      <c r="V519">
        <v>9</v>
      </c>
      <c r="W519">
        <v>0</v>
      </c>
      <c r="X519">
        <v>0</v>
      </c>
      <c r="Y519">
        <v>0</v>
      </c>
      <c r="Z519">
        <v>0</v>
      </c>
      <c r="AA519">
        <v>9</v>
      </c>
      <c r="AB519">
        <v>9</v>
      </c>
      <c r="AC519" t="s">
        <v>310</v>
      </c>
      <c r="AD519">
        <v>9</v>
      </c>
      <c r="AE519" t="s">
        <v>1396</v>
      </c>
      <c r="AF519">
        <v>90001000</v>
      </c>
      <c r="AG519" t="s">
        <v>252</v>
      </c>
      <c r="AH519">
        <f>SUM((MID(Dyno_Data[[#This Row],[Team]],4,5))+(Dyno_Data[[#This Row],[Match]]/100))</f>
        <v>2601.08</v>
      </c>
      <c r="AI519" s="76">
        <f>ROUND(SUM(IF(Dyno_Data[[#This Row],[AcqCenter]]&gt;0,Dyno_Data[[#This Row],[Time]]-SUMIFS(Dyno_Data[Time],Dyno_Data[Team],Dyno_Data[[#This Row],[Team]],Dyno_Data[RecordType],"StartMatch",Dyno_Data[Match],Dyno_Data[[#This Row],[Match]]),0)*86400),0)</f>
        <v>0</v>
      </c>
    </row>
    <row r="520" spans="1:35" x14ac:dyDescent="0.3">
      <c r="A520">
        <v>519</v>
      </c>
      <c r="B520" t="s">
        <v>361</v>
      </c>
      <c r="C520">
        <v>8</v>
      </c>
      <c r="D520" s="105">
        <v>45373.420855671298</v>
      </c>
      <c r="E520" t="s">
        <v>316</v>
      </c>
      <c r="F520" t="s">
        <v>317</v>
      </c>
      <c r="G520">
        <v>1</v>
      </c>
      <c r="H520" t="s">
        <v>310</v>
      </c>
      <c r="I520">
        <v>0</v>
      </c>
      <c r="J520">
        <v>0</v>
      </c>
      <c r="K520">
        <v>0</v>
      </c>
      <c r="L520" t="s">
        <v>310</v>
      </c>
      <c r="M520" t="s">
        <v>310</v>
      </c>
      <c r="N520">
        <v>0</v>
      </c>
      <c r="O520" t="s">
        <v>311</v>
      </c>
      <c r="P520" t="s">
        <v>1401</v>
      </c>
      <c r="Q520" t="s">
        <v>1399</v>
      </c>
      <c r="R520" t="s">
        <v>1404</v>
      </c>
      <c r="S520">
        <v>-1</v>
      </c>
      <c r="T520" t="s">
        <v>105</v>
      </c>
      <c r="U520">
        <v>9</v>
      </c>
      <c r="V520">
        <v>9</v>
      </c>
      <c r="W520">
        <v>9.2106169999999992</v>
      </c>
      <c r="X520">
        <v>37.264370800000002</v>
      </c>
      <c r="Y520">
        <v>37.9982215</v>
      </c>
      <c r="Z520">
        <v>50.995272799999995</v>
      </c>
      <c r="AA520">
        <v>0</v>
      </c>
      <c r="AB520">
        <v>1</v>
      </c>
      <c r="AC520" t="s">
        <v>171</v>
      </c>
      <c r="AD520">
        <v>0</v>
      </c>
      <c r="AE520" t="s">
        <v>1388</v>
      </c>
      <c r="AF520">
        <v>90001000</v>
      </c>
      <c r="AG520" t="s">
        <v>310</v>
      </c>
      <c r="AH520">
        <f>SUM((MID(Dyno_Data[[#This Row],[Team]],4,5))+(Dyno_Data[[#This Row],[Match]]/100))</f>
        <v>20.079999999999998</v>
      </c>
      <c r="AI520" s="76">
        <f>ROUND(SUM(IF(Dyno_Data[[#This Row],[AcqCenter]]&gt;0,Dyno_Data[[#This Row],[Time]]-SUMIFS(Dyno_Data[Time],Dyno_Data[Team],Dyno_Data[[#This Row],[Team]],Dyno_Data[RecordType],"StartMatch",Dyno_Data[Match],Dyno_Data[[#This Row],[Match]]),0)*86400),0)</f>
        <v>0</v>
      </c>
    </row>
    <row r="521" spans="1:35" x14ac:dyDescent="0.3">
      <c r="A521">
        <v>520</v>
      </c>
      <c r="B521" t="s">
        <v>373</v>
      </c>
      <c r="C521">
        <v>8</v>
      </c>
      <c r="D521" s="105">
        <v>45373.420855787037</v>
      </c>
      <c r="E521" t="s">
        <v>316</v>
      </c>
      <c r="F521" t="s">
        <v>317</v>
      </c>
      <c r="G521">
        <v>0</v>
      </c>
      <c r="H521" t="s">
        <v>310</v>
      </c>
      <c r="I521">
        <v>0</v>
      </c>
      <c r="J521">
        <v>0</v>
      </c>
      <c r="K521">
        <v>0</v>
      </c>
      <c r="L521" t="s">
        <v>310</v>
      </c>
      <c r="M521" t="s">
        <v>310</v>
      </c>
      <c r="N521">
        <v>0</v>
      </c>
      <c r="O521" t="s">
        <v>1391</v>
      </c>
      <c r="P521" t="s">
        <v>320</v>
      </c>
      <c r="Q521" t="s">
        <v>1400</v>
      </c>
      <c r="R521" t="s">
        <v>1404</v>
      </c>
      <c r="S521">
        <v>-1</v>
      </c>
      <c r="T521" t="s">
        <v>105</v>
      </c>
      <c r="U521">
        <v>9</v>
      </c>
      <c r="V521">
        <v>9</v>
      </c>
      <c r="W521">
        <v>22.119999199999999</v>
      </c>
      <c r="X521">
        <v>0</v>
      </c>
      <c r="Y521">
        <v>42.529401100000001</v>
      </c>
      <c r="Z521">
        <v>70.253457999999995</v>
      </c>
      <c r="AA521">
        <v>3</v>
      </c>
      <c r="AB521">
        <v>0</v>
      </c>
      <c r="AC521" t="s">
        <v>170</v>
      </c>
      <c r="AD521">
        <v>9</v>
      </c>
      <c r="AE521" t="s">
        <v>1390</v>
      </c>
      <c r="AF521">
        <v>0</v>
      </c>
      <c r="AG521" t="s">
        <v>310</v>
      </c>
      <c r="AH521">
        <f>SUM((MID(Dyno_Data[[#This Row],[Team]],4,5))+(Dyno_Data[[#This Row],[Match]]/100))</f>
        <v>7718.08</v>
      </c>
      <c r="AI521" s="76">
        <f>ROUND(SUM(IF(Dyno_Data[[#This Row],[AcqCenter]]&gt;0,Dyno_Data[[#This Row],[Time]]-SUMIFS(Dyno_Data[Time],Dyno_Data[Team],Dyno_Data[[#This Row],[Team]],Dyno_Data[RecordType],"StartMatch",Dyno_Data[Match],Dyno_Data[[#This Row],[Match]]),0)*86400),0)</f>
        <v>0</v>
      </c>
    </row>
    <row r="522" spans="1:35" x14ac:dyDescent="0.3">
      <c r="A522">
        <v>521</v>
      </c>
      <c r="B522" t="s">
        <v>1315</v>
      </c>
      <c r="C522">
        <v>8</v>
      </c>
      <c r="D522" s="105">
        <v>45373.420855902776</v>
      </c>
      <c r="E522" t="s">
        <v>316</v>
      </c>
      <c r="F522" t="s">
        <v>317</v>
      </c>
      <c r="G522">
        <v>1</v>
      </c>
      <c r="H522" t="s">
        <v>310</v>
      </c>
      <c r="I522">
        <v>0</v>
      </c>
      <c r="J522">
        <v>0</v>
      </c>
      <c r="K522">
        <v>0</v>
      </c>
      <c r="L522" t="s">
        <v>310</v>
      </c>
      <c r="M522" t="s">
        <v>310</v>
      </c>
      <c r="N522">
        <v>0</v>
      </c>
      <c r="O522" t="s">
        <v>319</v>
      </c>
      <c r="P522" t="s">
        <v>101</v>
      </c>
      <c r="Q522" t="s">
        <v>1400</v>
      </c>
      <c r="R522" t="s">
        <v>1405</v>
      </c>
      <c r="S522">
        <v>1</v>
      </c>
      <c r="T522" t="s">
        <v>1407</v>
      </c>
      <c r="U522">
        <v>0</v>
      </c>
      <c r="V522">
        <v>0</v>
      </c>
      <c r="W522">
        <v>3.3584223</v>
      </c>
      <c r="X522">
        <v>21.8991404</v>
      </c>
      <c r="Y522">
        <v>16.434426800000001</v>
      </c>
      <c r="Z522">
        <v>84.273124899999999</v>
      </c>
      <c r="AA522">
        <v>0</v>
      </c>
      <c r="AB522">
        <v>1</v>
      </c>
      <c r="AC522" t="s">
        <v>174</v>
      </c>
      <c r="AD522">
        <v>9</v>
      </c>
      <c r="AE522" t="s">
        <v>1414</v>
      </c>
      <c r="AF522">
        <v>100000000</v>
      </c>
      <c r="AG522" t="s">
        <v>310</v>
      </c>
      <c r="AH522">
        <f>SUM((MID(Dyno_Data[[#This Row],[Team]],4,5))+(Dyno_Data[[#This Row],[Match]]/100))</f>
        <v>1511.08</v>
      </c>
      <c r="AI522" s="76">
        <f>ROUND(SUM(IF(Dyno_Data[[#This Row],[AcqCenter]]&gt;0,Dyno_Data[[#This Row],[Time]]-SUMIFS(Dyno_Data[Time],Dyno_Data[Team],Dyno_Data[[#This Row],[Team]],Dyno_Data[RecordType],"StartMatch",Dyno_Data[Match],Dyno_Data[[#This Row],[Match]]),0)*86400),0)</f>
        <v>0</v>
      </c>
    </row>
    <row r="523" spans="1:35" x14ac:dyDescent="0.3">
      <c r="A523">
        <v>522</v>
      </c>
      <c r="B523" t="s">
        <v>1314</v>
      </c>
      <c r="C523">
        <v>8</v>
      </c>
      <c r="D523" s="105">
        <v>45373.420855983793</v>
      </c>
      <c r="E523" t="s">
        <v>316</v>
      </c>
      <c r="F523" t="s">
        <v>317</v>
      </c>
      <c r="G523">
        <v>1</v>
      </c>
      <c r="H523" t="s">
        <v>310</v>
      </c>
      <c r="I523">
        <v>0</v>
      </c>
      <c r="J523">
        <v>0</v>
      </c>
      <c r="K523">
        <v>0</v>
      </c>
      <c r="L523" t="s">
        <v>310</v>
      </c>
      <c r="M523" t="s">
        <v>310</v>
      </c>
      <c r="N523">
        <v>0</v>
      </c>
      <c r="O523" t="s">
        <v>1393</v>
      </c>
      <c r="P523" t="s">
        <v>1401</v>
      </c>
      <c r="Q523" t="s">
        <v>1400</v>
      </c>
      <c r="R523" t="s">
        <v>1405</v>
      </c>
      <c r="S523">
        <v>1</v>
      </c>
      <c r="T523" t="s">
        <v>1406</v>
      </c>
      <c r="U523">
        <v>0</v>
      </c>
      <c r="V523">
        <v>0</v>
      </c>
      <c r="W523">
        <v>9.4925192999999997</v>
      </c>
      <c r="X523">
        <v>13.410441799999999</v>
      </c>
      <c r="Y523">
        <v>15.797151599999999</v>
      </c>
      <c r="Z523">
        <v>91.140261099999989</v>
      </c>
      <c r="AA523">
        <v>0</v>
      </c>
      <c r="AB523">
        <v>0</v>
      </c>
      <c r="AC523" t="s">
        <v>173</v>
      </c>
      <c r="AD523">
        <v>9</v>
      </c>
      <c r="AE523" t="s">
        <v>1412</v>
      </c>
      <c r="AF523">
        <v>120000000</v>
      </c>
      <c r="AG523" t="s">
        <v>310</v>
      </c>
      <c r="AH523">
        <f>SUM((MID(Dyno_Data[[#This Row],[Team]],4,5))+(Dyno_Data[[#This Row],[Match]]/100))</f>
        <v>3419.08</v>
      </c>
      <c r="AI523" s="76">
        <f>ROUND(SUM(IF(Dyno_Data[[#This Row],[AcqCenter]]&gt;0,Dyno_Data[[#This Row],[Time]]-SUMIFS(Dyno_Data[Time],Dyno_Data[Team],Dyno_Data[[#This Row],[Team]],Dyno_Data[RecordType],"StartMatch",Dyno_Data[Match],Dyno_Data[[#This Row],[Match]]),0)*86400),0)</f>
        <v>0</v>
      </c>
    </row>
    <row r="524" spans="1:35" x14ac:dyDescent="0.3">
      <c r="A524">
        <v>523</v>
      </c>
      <c r="B524" t="s">
        <v>363</v>
      </c>
      <c r="C524">
        <v>8</v>
      </c>
      <c r="D524" s="105">
        <v>45373.420856099539</v>
      </c>
      <c r="E524" t="s">
        <v>316</v>
      </c>
      <c r="F524" t="s">
        <v>317</v>
      </c>
      <c r="G524">
        <v>1</v>
      </c>
      <c r="H524" t="s">
        <v>310</v>
      </c>
      <c r="I524">
        <v>0</v>
      </c>
      <c r="J524">
        <v>0</v>
      </c>
      <c r="K524">
        <v>0</v>
      </c>
      <c r="L524" t="s">
        <v>310</v>
      </c>
      <c r="M524" t="s">
        <v>310</v>
      </c>
      <c r="N524">
        <v>0</v>
      </c>
      <c r="O524" t="s">
        <v>1389</v>
      </c>
      <c r="P524" t="s">
        <v>240</v>
      </c>
      <c r="Q524" t="s">
        <v>1399</v>
      </c>
      <c r="R524" t="s">
        <v>1405</v>
      </c>
      <c r="S524">
        <v>1</v>
      </c>
      <c r="T524" t="s">
        <v>1407</v>
      </c>
      <c r="U524">
        <v>0</v>
      </c>
      <c r="V524">
        <v>0</v>
      </c>
      <c r="W524">
        <v>7.6340427999999996</v>
      </c>
      <c r="X524">
        <v>41.8138644</v>
      </c>
      <c r="Y524">
        <v>14.3374159</v>
      </c>
      <c r="Z524">
        <v>65.430802200000002</v>
      </c>
      <c r="AA524">
        <v>0</v>
      </c>
      <c r="AB524">
        <v>1</v>
      </c>
      <c r="AC524" t="s">
        <v>174</v>
      </c>
      <c r="AD524">
        <v>0</v>
      </c>
      <c r="AE524" t="s">
        <v>1396</v>
      </c>
      <c r="AF524">
        <v>110000000</v>
      </c>
      <c r="AG524" t="s">
        <v>310</v>
      </c>
      <c r="AH524">
        <f>SUM((MID(Dyno_Data[[#This Row],[Team]],4,5))+(Dyno_Data[[#This Row],[Match]]/100))</f>
        <v>2601.08</v>
      </c>
      <c r="AI524" s="76">
        <f>ROUND(SUM(IF(Dyno_Data[[#This Row],[AcqCenter]]&gt;0,Dyno_Data[[#This Row],[Time]]-SUMIFS(Dyno_Data[Time],Dyno_Data[Team],Dyno_Data[[#This Row],[Team]],Dyno_Data[RecordType],"StartMatch",Dyno_Data[Match],Dyno_Data[[#This Row],[Match]]),0)*86400),0)</f>
        <v>0</v>
      </c>
    </row>
    <row r="525" spans="1:35" x14ac:dyDescent="0.3">
      <c r="A525">
        <v>524</v>
      </c>
      <c r="B525" t="s">
        <v>368</v>
      </c>
      <c r="C525">
        <v>8</v>
      </c>
      <c r="D525" s="105">
        <v>45373.420856215278</v>
      </c>
      <c r="E525" t="s">
        <v>316</v>
      </c>
      <c r="F525" t="s">
        <v>317</v>
      </c>
      <c r="G525">
        <v>0</v>
      </c>
      <c r="H525" t="s">
        <v>310</v>
      </c>
      <c r="I525">
        <v>0</v>
      </c>
      <c r="J525">
        <v>0</v>
      </c>
      <c r="K525">
        <v>0</v>
      </c>
      <c r="L525" t="s">
        <v>310</v>
      </c>
      <c r="M525" t="s">
        <v>310</v>
      </c>
      <c r="N525">
        <v>0</v>
      </c>
      <c r="O525" t="s">
        <v>1395</v>
      </c>
      <c r="P525" t="s">
        <v>101</v>
      </c>
      <c r="Q525" t="s">
        <v>1400</v>
      </c>
      <c r="R525" t="s">
        <v>1404</v>
      </c>
      <c r="S525">
        <v>-1</v>
      </c>
      <c r="T525" t="s">
        <v>105</v>
      </c>
      <c r="U525">
        <v>9</v>
      </c>
      <c r="V525">
        <v>9</v>
      </c>
      <c r="W525">
        <v>15.424839299999999</v>
      </c>
      <c r="X525">
        <v>0.63332709999999992</v>
      </c>
      <c r="Y525">
        <v>60.9860544</v>
      </c>
      <c r="Z525">
        <v>55.420207399999995</v>
      </c>
      <c r="AA525">
        <v>0</v>
      </c>
      <c r="AB525">
        <v>0</v>
      </c>
      <c r="AC525" t="s">
        <v>173</v>
      </c>
      <c r="AD525">
        <v>9</v>
      </c>
      <c r="AE525" t="s">
        <v>1413</v>
      </c>
      <c r="AF525">
        <v>0</v>
      </c>
      <c r="AG525" t="s">
        <v>310</v>
      </c>
      <c r="AH525">
        <f>SUM((MID(Dyno_Data[[#This Row],[Team]],4,5))+(Dyno_Data[[#This Row],[Match]]/100))</f>
        <v>6401.08</v>
      </c>
      <c r="AI525" s="76">
        <f>ROUND(SUM(IF(Dyno_Data[[#This Row],[AcqCenter]]&gt;0,Dyno_Data[[#This Row],[Time]]-SUMIFS(Dyno_Data[Time],Dyno_Data[Team],Dyno_Data[[#This Row],[Team]],Dyno_Data[RecordType],"StartMatch",Dyno_Data[Match],Dyno_Data[[#This Row],[Match]]),0)*86400),0)</f>
        <v>0</v>
      </c>
    </row>
    <row r="526" spans="1:35" x14ac:dyDescent="0.3">
      <c r="A526">
        <v>529</v>
      </c>
      <c r="B526" t="s">
        <v>1294</v>
      </c>
      <c r="C526">
        <v>9</v>
      </c>
      <c r="D526" s="105">
        <v>45373.425126585651</v>
      </c>
      <c r="E526" t="s">
        <v>308</v>
      </c>
      <c r="F526" t="s">
        <v>309</v>
      </c>
      <c r="G526">
        <v>0</v>
      </c>
      <c r="H526" t="s">
        <v>310</v>
      </c>
      <c r="I526">
        <v>0</v>
      </c>
      <c r="J526">
        <v>0</v>
      </c>
      <c r="K526">
        <v>0</v>
      </c>
      <c r="L526" t="s">
        <v>310</v>
      </c>
      <c r="M526" t="s">
        <v>310</v>
      </c>
      <c r="N526">
        <v>0</v>
      </c>
      <c r="O526" t="s">
        <v>1393</v>
      </c>
      <c r="P526" t="s">
        <v>310</v>
      </c>
      <c r="Q526" t="s">
        <v>310</v>
      </c>
      <c r="R526" t="s">
        <v>310</v>
      </c>
      <c r="S526">
        <v>9</v>
      </c>
      <c r="T526" t="s">
        <v>310</v>
      </c>
      <c r="U526">
        <v>9</v>
      </c>
      <c r="V526">
        <v>9</v>
      </c>
      <c r="W526">
        <v>0</v>
      </c>
      <c r="X526">
        <v>0</v>
      </c>
      <c r="Y526">
        <v>0</v>
      </c>
      <c r="Z526">
        <v>0</v>
      </c>
      <c r="AA526">
        <v>9</v>
      </c>
      <c r="AB526">
        <v>9</v>
      </c>
      <c r="AC526" t="s">
        <v>310</v>
      </c>
      <c r="AD526">
        <v>9</v>
      </c>
      <c r="AE526" t="s">
        <v>1412</v>
      </c>
      <c r="AF526">
        <v>0</v>
      </c>
      <c r="AG526" t="s">
        <v>310</v>
      </c>
      <c r="AH526">
        <f>SUM((MID(Dyno_Data[[#This Row],[Team]],4,5))+(Dyno_Data[[#This Row],[Match]]/100))</f>
        <v>9076.09</v>
      </c>
      <c r="AI526" s="76">
        <f>ROUND(SUM(IF(Dyno_Data[[#This Row],[AcqCenter]]&gt;0,Dyno_Data[[#This Row],[Time]]-SUMIFS(Dyno_Data[Time],Dyno_Data[Team],Dyno_Data[[#This Row],[Team]],Dyno_Data[RecordType],"StartMatch",Dyno_Data[Match],Dyno_Data[[#This Row],[Match]]),0)*86400),0)</f>
        <v>0</v>
      </c>
    </row>
    <row r="527" spans="1:35" x14ac:dyDescent="0.3">
      <c r="A527">
        <v>531</v>
      </c>
      <c r="B527" t="s">
        <v>369</v>
      </c>
      <c r="C527">
        <v>9</v>
      </c>
      <c r="D527" s="105">
        <v>45373.42513009259</v>
      </c>
      <c r="E527" t="s">
        <v>308</v>
      </c>
      <c r="F527" t="s">
        <v>309</v>
      </c>
      <c r="G527">
        <v>0</v>
      </c>
      <c r="H527" t="s">
        <v>310</v>
      </c>
      <c r="I527">
        <v>0</v>
      </c>
      <c r="J527">
        <v>0</v>
      </c>
      <c r="K527">
        <v>0</v>
      </c>
      <c r="L527" t="s">
        <v>310</v>
      </c>
      <c r="M527" t="s">
        <v>310</v>
      </c>
      <c r="N527">
        <v>0</v>
      </c>
      <c r="O527" t="s">
        <v>1391</v>
      </c>
      <c r="P527" t="s">
        <v>310</v>
      </c>
      <c r="Q527" t="s">
        <v>310</v>
      </c>
      <c r="R527" t="s">
        <v>310</v>
      </c>
      <c r="S527">
        <v>9</v>
      </c>
      <c r="T527" t="s">
        <v>310</v>
      </c>
      <c r="U527">
        <v>9</v>
      </c>
      <c r="V527">
        <v>9</v>
      </c>
      <c r="W527">
        <v>0</v>
      </c>
      <c r="X527">
        <v>0</v>
      </c>
      <c r="Y527">
        <v>0</v>
      </c>
      <c r="Z527">
        <v>0</v>
      </c>
      <c r="AA527">
        <v>9</v>
      </c>
      <c r="AB527">
        <v>9</v>
      </c>
      <c r="AC527" t="s">
        <v>310</v>
      </c>
      <c r="AD527">
        <v>9</v>
      </c>
      <c r="AE527" t="s">
        <v>1390</v>
      </c>
      <c r="AF527">
        <v>0</v>
      </c>
      <c r="AG527" t="s">
        <v>310</v>
      </c>
      <c r="AH527">
        <f>SUM((MID(Dyno_Data[[#This Row],[Team]],4,5))+(Dyno_Data[[#This Row],[Match]]/100))</f>
        <v>6463.09</v>
      </c>
      <c r="AI527" s="76">
        <f>ROUND(SUM(IF(Dyno_Data[[#This Row],[AcqCenter]]&gt;0,Dyno_Data[[#This Row],[Time]]-SUMIFS(Dyno_Data[Time],Dyno_Data[Team],Dyno_Data[[#This Row],[Team]],Dyno_Data[RecordType],"StartMatch",Dyno_Data[Match],Dyno_Data[[#This Row],[Match]]),0)*86400),0)</f>
        <v>0</v>
      </c>
    </row>
    <row r="528" spans="1:35" x14ac:dyDescent="0.3">
      <c r="A528">
        <v>533</v>
      </c>
      <c r="B528" t="s">
        <v>1317</v>
      </c>
      <c r="C528">
        <v>9</v>
      </c>
      <c r="D528" s="105">
        <v>45373.425132326389</v>
      </c>
      <c r="E528" t="s">
        <v>308</v>
      </c>
      <c r="F528" t="s">
        <v>309</v>
      </c>
      <c r="G528">
        <v>0</v>
      </c>
      <c r="H528" t="s">
        <v>310</v>
      </c>
      <c r="I528">
        <v>0</v>
      </c>
      <c r="J528">
        <v>0</v>
      </c>
      <c r="K528">
        <v>0</v>
      </c>
      <c r="L528" t="s">
        <v>310</v>
      </c>
      <c r="M528" t="s">
        <v>310</v>
      </c>
      <c r="N528">
        <v>0</v>
      </c>
      <c r="O528" t="s">
        <v>1395</v>
      </c>
      <c r="P528" t="s">
        <v>310</v>
      </c>
      <c r="Q528" t="s">
        <v>310</v>
      </c>
      <c r="R528" t="s">
        <v>310</v>
      </c>
      <c r="S528">
        <v>9</v>
      </c>
      <c r="T528" t="s">
        <v>310</v>
      </c>
      <c r="U528">
        <v>9</v>
      </c>
      <c r="V528">
        <v>9</v>
      </c>
      <c r="W528">
        <v>0</v>
      </c>
      <c r="X528">
        <v>0</v>
      </c>
      <c r="Y528">
        <v>0</v>
      </c>
      <c r="Z528">
        <v>0</v>
      </c>
      <c r="AA528">
        <v>9</v>
      </c>
      <c r="AB528">
        <v>9</v>
      </c>
      <c r="AC528" t="s">
        <v>310</v>
      </c>
      <c r="AD528">
        <v>9</v>
      </c>
      <c r="AE528" t="s">
        <v>1388</v>
      </c>
      <c r="AF528">
        <v>0</v>
      </c>
      <c r="AG528" t="s">
        <v>310</v>
      </c>
      <c r="AH528">
        <f>SUM((MID(Dyno_Data[[#This Row],[Team]],4,5))+(Dyno_Data[[#This Row],[Match]]/100))</f>
        <v>296.08999999999997</v>
      </c>
      <c r="AI528" s="76">
        <f>ROUND(SUM(IF(Dyno_Data[[#This Row],[AcqCenter]]&gt;0,Dyno_Data[[#This Row],[Time]]-SUMIFS(Dyno_Data[Time],Dyno_Data[Team],Dyno_Data[[#This Row],[Team]],Dyno_Data[RecordType],"StartMatch",Dyno_Data[Match],Dyno_Data[[#This Row],[Match]]),0)*86400),0)</f>
        <v>0</v>
      </c>
    </row>
    <row r="529" spans="1:35" x14ac:dyDescent="0.3">
      <c r="A529">
        <v>535</v>
      </c>
      <c r="B529" t="s">
        <v>1318</v>
      </c>
      <c r="C529">
        <v>9</v>
      </c>
      <c r="D529" s="105">
        <v>45373.425133761571</v>
      </c>
      <c r="E529" t="s">
        <v>308</v>
      </c>
      <c r="F529" t="s">
        <v>309</v>
      </c>
      <c r="G529">
        <v>0</v>
      </c>
      <c r="H529" t="s">
        <v>310</v>
      </c>
      <c r="I529">
        <v>0</v>
      </c>
      <c r="J529">
        <v>0</v>
      </c>
      <c r="K529">
        <v>0</v>
      </c>
      <c r="L529" t="s">
        <v>310</v>
      </c>
      <c r="M529" t="s">
        <v>310</v>
      </c>
      <c r="N529">
        <v>0</v>
      </c>
      <c r="O529" t="s">
        <v>311</v>
      </c>
      <c r="P529" t="s">
        <v>310</v>
      </c>
      <c r="Q529" t="s">
        <v>310</v>
      </c>
      <c r="R529" t="s">
        <v>310</v>
      </c>
      <c r="S529">
        <v>9</v>
      </c>
      <c r="T529" t="s">
        <v>310</v>
      </c>
      <c r="U529">
        <v>9</v>
      </c>
      <c r="V529">
        <v>9</v>
      </c>
      <c r="W529">
        <v>0</v>
      </c>
      <c r="X529">
        <v>0</v>
      </c>
      <c r="Y529">
        <v>0</v>
      </c>
      <c r="Z529">
        <v>0</v>
      </c>
      <c r="AA529">
        <v>9</v>
      </c>
      <c r="AB529">
        <v>9</v>
      </c>
      <c r="AC529" t="s">
        <v>310</v>
      </c>
      <c r="AD529">
        <v>9</v>
      </c>
      <c r="AE529" t="s">
        <v>1413</v>
      </c>
      <c r="AF529">
        <v>0</v>
      </c>
      <c r="AG529" t="s">
        <v>310</v>
      </c>
      <c r="AH529">
        <f>SUM((MID(Dyno_Data[[#This Row],[Team]],4,5))+(Dyno_Data[[#This Row],[Match]]/100))</f>
        <v>7709.09</v>
      </c>
      <c r="AI529" s="76">
        <f>ROUND(SUM(IF(Dyno_Data[[#This Row],[AcqCenter]]&gt;0,Dyno_Data[[#This Row],[Time]]-SUMIFS(Dyno_Data[Time],Dyno_Data[Team],Dyno_Data[[#This Row],[Team]],Dyno_Data[RecordType],"StartMatch",Dyno_Data[Match],Dyno_Data[[#This Row],[Match]]),0)*86400),0)</f>
        <v>0</v>
      </c>
    </row>
    <row r="530" spans="1:35" x14ac:dyDescent="0.3">
      <c r="A530">
        <v>537</v>
      </c>
      <c r="B530" t="s">
        <v>1276</v>
      </c>
      <c r="C530">
        <v>9</v>
      </c>
      <c r="D530" s="105">
        <v>45373.425138113424</v>
      </c>
      <c r="E530" t="s">
        <v>308</v>
      </c>
      <c r="F530" t="s">
        <v>309</v>
      </c>
      <c r="G530">
        <v>0</v>
      </c>
      <c r="H530" t="s">
        <v>310</v>
      </c>
      <c r="I530">
        <v>0</v>
      </c>
      <c r="J530">
        <v>0</v>
      </c>
      <c r="K530">
        <v>0</v>
      </c>
      <c r="L530" t="s">
        <v>310</v>
      </c>
      <c r="M530" t="s">
        <v>310</v>
      </c>
      <c r="N530">
        <v>0</v>
      </c>
      <c r="O530" t="s">
        <v>1389</v>
      </c>
      <c r="P530" t="s">
        <v>310</v>
      </c>
      <c r="Q530" t="s">
        <v>310</v>
      </c>
      <c r="R530" t="s">
        <v>310</v>
      </c>
      <c r="S530">
        <v>9</v>
      </c>
      <c r="T530" t="s">
        <v>310</v>
      </c>
      <c r="U530">
        <v>9</v>
      </c>
      <c r="V530">
        <v>9</v>
      </c>
      <c r="W530">
        <v>0</v>
      </c>
      <c r="X530">
        <v>0</v>
      </c>
      <c r="Y530">
        <v>0</v>
      </c>
      <c r="Z530">
        <v>0</v>
      </c>
      <c r="AA530">
        <v>9</v>
      </c>
      <c r="AB530">
        <v>9</v>
      </c>
      <c r="AC530" t="s">
        <v>310</v>
      </c>
      <c r="AD530">
        <v>9</v>
      </c>
      <c r="AE530" t="s">
        <v>1414</v>
      </c>
      <c r="AF530">
        <v>0</v>
      </c>
      <c r="AG530" t="s">
        <v>310</v>
      </c>
      <c r="AH530">
        <f>SUM((MID(Dyno_Data[[#This Row],[Team]],4,5))+(Dyno_Data[[#This Row],[Match]]/100))</f>
        <v>229.09</v>
      </c>
      <c r="AI530" s="76">
        <f>ROUND(SUM(IF(Dyno_Data[[#This Row],[AcqCenter]]&gt;0,Dyno_Data[[#This Row],[Time]]-SUMIFS(Dyno_Data[Time],Dyno_Data[Team],Dyno_Data[[#This Row],[Team]],Dyno_Data[RecordType],"StartMatch",Dyno_Data[Match],Dyno_Data[[#This Row],[Match]]),0)*86400),0)</f>
        <v>0</v>
      </c>
    </row>
    <row r="531" spans="1:35" x14ac:dyDescent="0.3">
      <c r="A531">
        <v>539</v>
      </c>
      <c r="B531" t="s">
        <v>1288</v>
      </c>
      <c r="C531">
        <v>9</v>
      </c>
      <c r="D531" s="105">
        <v>45373.42513880787</v>
      </c>
      <c r="E531" t="s">
        <v>308</v>
      </c>
      <c r="F531" t="s">
        <v>309</v>
      </c>
      <c r="G531">
        <v>0</v>
      </c>
      <c r="H531" t="s">
        <v>310</v>
      </c>
      <c r="I531">
        <v>0</v>
      </c>
      <c r="J531">
        <v>0</v>
      </c>
      <c r="K531">
        <v>0</v>
      </c>
      <c r="L531" t="s">
        <v>310</v>
      </c>
      <c r="M531" t="s">
        <v>310</v>
      </c>
      <c r="N531">
        <v>0</v>
      </c>
      <c r="O531" t="s">
        <v>319</v>
      </c>
      <c r="P531" t="s">
        <v>310</v>
      </c>
      <c r="Q531" t="s">
        <v>310</v>
      </c>
      <c r="R531" t="s">
        <v>310</v>
      </c>
      <c r="S531">
        <v>9</v>
      </c>
      <c r="T531" t="s">
        <v>310</v>
      </c>
      <c r="U531">
        <v>9</v>
      </c>
      <c r="V531">
        <v>9</v>
      </c>
      <c r="W531">
        <v>0</v>
      </c>
      <c r="X531">
        <v>0</v>
      </c>
      <c r="Y531">
        <v>0</v>
      </c>
      <c r="Z531">
        <v>0</v>
      </c>
      <c r="AA531">
        <v>9</v>
      </c>
      <c r="AB531">
        <v>9</v>
      </c>
      <c r="AC531" t="s">
        <v>310</v>
      </c>
      <c r="AD531">
        <v>9</v>
      </c>
      <c r="AE531" t="s">
        <v>1396</v>
      </c>
      <c r="AF531">
        <v>0</v>
      </c>
      <c r="AG531" t="s">
        <v>310</v>
      </c>
      <c r="AH531">
        <f>SUM((MID(Dyno_Data[[#This Row],[Team]],4,5))+(Dyno_Data[[#This Row],[Match]]/100))</f>
        <v>3181.09</v>
      </c>
      <c r="AI531" s="76">
        <f>ROUND(SUM(IF(Dyno_Data[[#This Row],[AcqCenter]]&gt;0,Dyno_Data[[#This Row],[Time]]-SUMIFS(Dyno_Data[Time],Dyno_Data[Team],Dyno_Data[[#This Row],[Team]],Dyno_Data[RecordType],"StartMatch",Dyno_Data[Match],Dyno_Data[[#This Row],[Match]]),0)*86400),0)</f>
        <v>0</v>
      </c>
    </row>
    <row r="532" spans="1:35" x14ac:dyDescent="0.3">
      <c r="A532">
        <v>525</v>
      </c>
      <c r="B532" t="s">
        <v>1318</v>
      </c>
      <c r="C532">
        <v>9</v>
      </c>
      <c r="D532" s="105">
        <v>45373.425157210651</v>
      </c>
      <c r="E532" t="s">
        <v>312</v>
      </c>
      <c r="F532" t="s">
        <v>309</v>
      </c>
      <c r="G532">
        <v>0</v>
      </c>
      <c r="H532" t="s">
        <v>1397</v>
      </c>
      <c r="I532">
        <v>0</v>
      </c>
      <c r="J532">
        <v>0</v>
      </c>
      <c r="K532">
        <v>0</v>
      </c>
      <c r="L532" t="s">
        <v>240</v>
      </c>
      <c r="M532" t="s">
        <v>1398</v>
      </c>
      <c r="N532">
        <v>1</v>
      </c>
      <c r="O532" t="s">
        <v>311</v>
      </c>
      <c r="P532" t="s">
        <v>310</v>
      </c>
      <c r="Q532" t="s">
        <v>310</v>
      </c>
      <c r="R532" t="s">
        <v>310</v>
      </c>
      <c r="S532">
        <v>9</v>
      </c>
      <c r="T532" t="s">
        <v>310</v>
      </c>
      <c r="U532">
        <v>9</v>
      </c>
      <c r="V532">
        <v>9</v>
      </c>
      <c r="W532">
        <v>0</v>
      </c>
      <c r="X532">
        <v>0</v>
      </c>
      <c r="Y532">
        <v>0</v>
      </c>
      <c r="Z532">
        <v>0</v>
      </c>
      <c r="AA532">
        <v>9</v>
      </c>
      <c r="AB532">
        <v>9</v>
      </c>
      <c r="AC532" t="s">
        <v>310</v>
      </c>
      <c r="AD532">
        <v>9</v>
      </c>
      <c r="AE532" t="s">
        <v>1413</v>
      </c>
      <c r="AF532">
        <v>0</v>
      </c>
      <c r="AG532" t="s">
        <v>310</v>
      </c>
      <c r="AH532">
        <f>SUM((MID(Dyno_Data[[#This Row],[Team]],4,5))+(Dyno_Data[[#This Row],[Match]]/100))</f>
        <v>7709.09</v>
      </c>
      <c r="AI532" s="76">
        <f>ROUND(SUM(IF(Dyno_Data[[#This Row],[AcqCenter]]&gt;0,Dyno_Data[[#This Row],[Time]]-SUMIFS(Dyno_Data[Time],Dyno_Data[Team],Dyno_Data[[#This Row],[Team]],Dyno_Data[RecordType],"StartMatch",Dyno_Data[Match],Dyno_Data[[#This Row],[Match]]),0)*86400),0)</f>
        <v>0</v>
      </c>
    </row>
    <row r="533" spans="1:35" x14ac:dyDescent="0.3">
      <c r="A533">
        <v>526</v>
      </c>
      <c r="B533" t="s">
        <v>1288</v>
      </c>
      <c r="C533">
        <v>9</v>
      </c>
      <c r="D533" s="105">
        <v>45373.425158645834</v>
      </c>
      <c r="E533" t="s">
        <v>312</v>
      </c>
      <c r="F533" t="s">
        <v>309</v>
      </c>
      <c r="G533">
        <v>0</v>
      </c>
      <c r="H533" t="s">
        <v>1397</v>
      </c>
      <c r="I533">
        <v>0</v>
      </c>
      <c r="J533">
        <v>0</v>
      </c>
      <c r="K533">
        <v>0</v>
      </c>
      <c r="L533" t="s">
        <v>240</v>
      </c>
      <c r="M533" t="s">
        <v>1398</v>
      </c>
      <c r="N533">
        <v>0</v>
      </c>
      <c r="O533" t="s">
        <v>319</v>
      </c>
      <c r="P533" t="s">
        <v>310</v>
      </c>
      <c r="Q533" t="s">
        <v>310</v>
      </c>
      <c r="R533" t="s">
        <v>310</v>
      </c>
      <c r="S533">
        <v>9</v>
      </c>
      <c r="T533" t="s">
        <v>310</v>
      </c>
      <c r="U533">
        <v>9</v>
      </c>
      <c r="V533">
        <v>9</v>
      </c>
      <c r="W533">
        <v>0</v>
      </c>
      <c r="X533">
        <v>0</v>
      </c>
      <c r="Y533">
        <v>0</v>
      </c>
      <c r="Z533">
        <v>0</v>
      </c>
      <c r="AA533">
        <v>9</v>
      </c>
      <c r="AB533">
        <v>9</v>
      </c>
      <c r="AC533" t="s">
        <v>310</v>
      </c>
      <c r="AD533">
        <v>9</v>
      </c>
      <c r="AE533" t="s">
        <v>1396</v>
      </c>
      <c r="AF533">
        <v>0</v>
      </c>
      <c r="AG533" t="s">
        <v>310</v>
      </c>
      <c r="AH533">
        <f>SUM((MID(Dyno_Data[[#This Row],[Team]],4,5))+(Dyno_Data[[#This Row],[Match]]/100))</f>
        <v>3181.09</v>
      </c>
      <c r="AI533" s="76">
        <f>ROUND(SUM(IF(Dyno_Data[[#This Row],[AcqCenter]]&gt;0,Dyno_Data[[#This Row],[Time]]-SUMIFS(Dyno_Data[Time],Dyno_Data[Team],Dyno_Data[[#This Row],[Team]],Dyno_Data[RecordType],"StartMatch",Dyno_Data[Match],Dyno_Data[[#This Row],[Match]]),0)*86400),0)</f>
        <v>0</v>
      </c>
    </row>
    <row r="534" spans="1:35" x14ac:dyDescent="0.3">
      <c r="A534">
        <v>527</v>
      </c>
      <c r="B534" t="s">
        <v>1317</v>
      </c>
      <c r="C534">
        <v>9</v>
      </c>
      <c r="D534" s="105">
        <v>45373.425165856483</v>
      </c>
      <c r="E534" t="s">
        <v>312</v>
      </c>
      <c r="F534" t="s">
        <v>309</v>
      </c>
      <c r="G534">
        <v>0</v>
      </c>
      <c r="H534" t="s">
        <v>1397</v>
      </c>
      <c r="I534">
        <v>0</v>
      </c>
      <c r="J534">
        <v>0</v>
      </c>
      <c r="K534">
        <v>0</v>
      </c>
      <c r="L534" t="s">
        <v>241</v>
      </c>
      <c r="M534" t="s">
        <v>1398</v>
      </c>
      <c r="N534">
        <v>0</v>
      </c>
      <c r="O534" t="s">
        <v>1395</v>
      </c>
      <c r="P534" t="s">
        <v>310</v>
      </c>
      <c r="Q534" t="s">
        <v>310</v>
      </c>
      <c r="R534" t="s">
        <v>310</v>
      </c>
      <c r="S534">
        <v>9</v>
      </c>
      <c r="T534" t="s">
        <v>310</v>
      </c>
      <c r="U534">
        <v>9</v>
      </c>
      <c r="V534">
        <v>9</v>
      </c>
      <c r="W534">
        <v>0</v>
      </c>
      <c r="X534">
        <v>0</v>
      </c>
      <c r="Y534">
        <v>0</v>
      </c>
      <c r="Z534">
        <v>0</v>
      </c>
      <c r="AA534">
        <v>9</v>
      </c>
      <c r="AB534">
        <v>9</v>
      </c>
      <c r="AC534" t="s">
        <v>310</v>
      </c>
      <c r="AD534">
        <v>9</v>
      </c>
      <c r="AE534" t="s">
        <v>1388</v>
      </c>
      <c r="AF534">
        <v>0</v>
      </c>
      <c r="AG534" t="s">
        <v>310</v>
      </c>
      <c r="AH534">
        <f>SUM((MID(Dyno_Data[[#This Row],[Team]],4,5))+(Dyno_Data[[#This Row],[Match]]/100))</f>
        <v>296.08999999999997</v>
      </c>
      <c r="AI534" s="76">
        <f>ROUND(SUM(IF(Dyno_Data[[#This Row],[AcqCenter]]&gt;0,Dyno_Data[[#This Row],[Time]]-SUMIFS(Dyno_Data[Time],Dyno_Data[Team],Dyno_Data[[#This Row],[Team]],Dyno_Data[RecordType],"StartMatch",Dyno_Data[Match],Dyno_Data[[#This Row],[Match]]),0)*86400),0)</f>
        <v>0</v>
      </c>
    </row>
    <row r="535" spans="1:35" x14ac:dyDescent="0.3">
      <c r="A535">
        <v>528</v>
      </c>
      <c r="B535" t="s">
        <v>1318</v>
      </c>
      <c r="C535">
        <v>9</v>
      </c>
      <c r="D535" s="105">
        <v>45373.425197685188</v>
      </c>
      <c r="E535" t="s">
        <v>312</v>
      </c>
      <c r="F535" t="s">
        <v>309</v>
      </c>
      <c r="G535">
        <v>0</v>
      </c>
      <c r="H535" t="s">
        <v>1415</v>
      </c>
      <c r="I535">
        <v>0</v>
      </c>
      <c r="J535">
        <v>0</v>
      </c>
      <c r="K535">
        <v>0</v>
      </c>
      <c r="L535" t="s">
        <v>240</v>
      </c>
      <c r="M535" t="s">
        <v>1398</v>
      </c>
      <c r="N535">
        <v>0</v>
      </c>
      <c r="O535" t="s">
        <v>311</v>
      </c>
      <c r="P535" t="s">
        <v>310</v>
      </c>
      <c r="Q535" t="s">
        <v>310</v>
      </c>
      <c r="R535" t="s">
        <v>310</v>
      </c>
      <c r="S535">
        <v>9</v>
      </c>
      <c r="T535" t="s">
        <v>310</v>
      </c>
      <c r="U535">
        <v>9</v>
      </c>
      <c r="V535">
        <v>9</v>
      </c>
      <c r="W535">
        <v>0</v>
      </c>
      <c r="X535">
        <v>0</v>
      </c>
      <c r="Y535">
        <v>0</v>
      </c>
      <c r="Z535">
        <v>0</v>
      </c>
      <c r="AA535">
        <v>9</v>
      </c>
      <c r="AB535">
        <v>9</v>
      </c>
      <c r="AC535" t="s">
        <v>310</v>
      </c>
      <c r="AD535">
        <v>9</v>
      </c>
      <c r="AE535" t="s">
        <v>1413</v>
      </c>
      <c r="AF535">
        <v>0</v>
      </c>
      <c r="AG535" t="s">
        <v>310</v>
      </c>
      <c r="AH535">
        <f>SUM((MID(Dyno_Data[[#This Row],[Team]],4,5))+(Dyno_Data[[#This Row],[Match]]/100))</f>
        <v>7709.09</v>
      </c>
      <c r="AI535" s="76">
        <f>ROUND(SUM(IF(Dyno_Data[[#This Row],[AcqCenter]]&gt;0,Dyno_Data[[#This Row],[Time]]-SUMIFS(Dyno_Data[Time],Dyno_Data[Team],Dyno_Data[[#This Row],[Team]],Dyno_Data[RecordType],"StartMatch",Dyno_Data[Match],Dyno_Data[[#This Row],[Match]]),0)*86400),0)</f>
        <v>0</v>
      </c>
    </row>
    <row r="536" spans="1:35" x14ac:dyDescent="0.3">
      <c r="A536">
        <v>530</v>
      </c>
      <c r="B536" t="s">
        <v>1294</v>
      </c>
      <c r="C536">
        <v>9</v>
      </c>
      <c r="D536" s="105">
        <v>45373.425334918982</v>
      </c>
      <c r="E536" t="s">
        <v>314</v>
      </c>
      <c r="F536" t="s">
        <v>309</v>
      </c>
      <c r="G536">
        <v>0</v>
      </c>
      <c r="H536" t="s">
        <v>310</v>
      </c>
      <c r="I536">
        <v>0</v>
      </c>
      <c r="J536">
        <v>0</v>
      </c>
      <c r="K536">
        <v>0</v>
      </c>
      <c r="L536" t="s">
        <v>310</v>
      </c>
      <c r="M536" t="s">
        <v>310</v>
      </c>
      <c r="N536">
        <v>0</v>
      </c>
      <c r="O536" t="s">
        <v>1393</v>
      </c>
      <c r="P536" t="s">
        <v>101</v>
      </c>
      <c r="Q536" t="s">
        <v>1399</v>
      </c>
      <c r="R536" t="s">
        <v>310</v>
      </c>
      <c r="S536">
        <v>9</v>
      </c>
      <c r="T536" t="s">
        <v>310</v>
      </c>
      <c r="U536">
        <v>9</v>
      </c>
      <c r="V536">
        <v>9</v>
      </c>
      <c r="W536">
        <v>0</v>
      </c>
      <c r="X536">
        <v>0</v>
      </c>
      <c r="Y536">
        <v>0</v>
      </c>
      <c r="Z536">
        <v>0</v>
      </c>
      <c r="AA536">
        <v>9</v>
      </c>
      <c r="AB536">
        <v>9</v>
      </c>
      <c r="AC536" t="s">
        <v>310</v>
      </c>
      <c r="AD536">
        <v>9</v>
      </c>
      <c r="AE536" t="s">
        <v>1412</v>
      </c>
      <c r="AF536">
        <v>0</v>
      </c>
      <c r="AG536" t="s">
        <v>310</v>
      </c>
      <c r="AH536">
        <f>SUM((MID(Dyno_Data[[#This Row],[Team]],4,5))+(Dyno_Data[[#This Row],[Match]]/100))</f>
        <v>9076.09</v>
      </c>
      <c r="AI536" s="76">
        <f>ROUND(SUM(IF(Dyno_Data[[#This Row],[AcqCenter]]&gt;0,Dyno_Data[[#This Row],[Time]]-SUMIFS(Dyno_Data[Time],Dyno_Data[Team],Dyno_Data[[#This Row],[Team]],Dyno_Data[RecordType],"StartMatch",Dyno_Data[Match],Dyno_Data[[#This Row],[Match]]),0)*86400),0)</f>
        <v>0</v>
      </c>
    </row>
    <row r="537" spans="1:35" x14ac:dyDescent="0.3">
      <c r="A537">
        <v>532</v>
      </c>
      <c r="B537" t="s">
        <v>369</v>
      </c>
      <c r="C537">
        <v>9</v>
      </c>
      <c r="D537" s="105">
        <v>45373.425338425928</v>
      </c>
      <c r="E537" t="s">
        <v>314</v>
      </c>
      <c r="F537" t="s">
        <v>309</v>
      </c>
      <c r="G537">
        <v>1</v>
      </c>
      <c r="H537" t="s">
        <v>310</v>
      </c>
      <c r="I537">
        <v>0</v>
      </c>
      <c r="J537">
        <v>0</v>
      </c>
      <c r="K537">
        <v>0</v>
      </c>
      <c r="L537" t="s">
        <v>310</v>
      </c>
      <c r="M537" t="s">
        <v>310</v>
      </c>
      <c r="N537">
        <v>0</v>
      </c>
      <c r="O537" t="s">
        <v>1391</v>
      </c>
      <c r="P537" t="s">
        <v>101</v>
      </c>
      <c r="Q537" t="s">
        <v>1400</v>
      </c>
      <c r="R537" t="s">
        <v>310</v>
      </c>
      <c r="S537">
        <v>9</v>
      </c>
      <c r="T537" t="s">
        <v>310</v>
      </c>
      <c r="U537">
        <v>9</v>
      </c>
      <c r="V537">
        <v>9</v>
      </c>
      <c r="W537">
        <v>0</v>
      </c>
      <c r="X537">
        <v>0</v>
      </c>
      <c r="Y537">
        <v>0</v>
      </c>
      <c r="Z537">
        <v>0</v>
      </c>
      <c r="AA537">
        <v>9</v>
      </c>
      <c r="AB537">
        <v>9</v>
      </c>
      <c r="AC537" t="s">
        <v>310</v>
      </c>
      <c r="AD537">
        <v>9</v>
      </c>
      <c r="AE537" t="s">
        <v>1390</v>
      </c>
      <c r="AF537">
        <v>0</v>
      </c>
      <c r="AG537" t="s">
        <v>310</v>
      </c>
      <c r="AH537">
        <f>SUM((MID(Dyno_Data[[#This Row],[Team]],4,5))+(Dyno_Data[[#This Row],[Match]]/100))</f>
        <v>6463.09</v>
      </c>
      <c r="AI537" s="76">
        <f>ROUND(SUM(IF(Dyno_Data[[#This Row],[AcqCenter]]&gt;0,Dyno_Data[[#This Row],[Time]]-SUMIFS(Dyno_Data[Time],Dyno_Data[Team],Dyno_Data[[#This Row],[Team]],Dyno_Data[RecordType],"StartMatch",Dyno_Data[Match],Dyno_Data[[#This Row],[Match]]),0)*86400),0)</f>
        <v>0</v>
      </c>
    </row>
    <row r="538" spans="1:35" x14ac:dyDescent="0.3">
      <c r="A538">
        <v>534</v>
      </c>
      <c r="B538" t="s">
        <v>1317</v>
      </c>
      <c r="C538">
        <v>9</v>
      </c>
      <c r="D538" s="105">
        <v>45373.42534065972</v>
      </c>
      <c r="E538" t="s">
        <v>314</v>
      </c>
      <c r="F538" t="s">
        <v>309</v>
      </c>
      <c r="G538">
        <v>1</v>
      </c>
      <c r="H538" t="s">
        <v>310</v>
      </c>
      <c r="I538">
        <v>0</v>
      </c>
      <c r="J538">
        <v>0</v>
      </c>
      <c r="K538">
        <v>0</v>
      </c>
      <c r="L538" t="s">
        <v>310</v>
      </c>
      <c r="M538" t="s">
        <v>310</v>
      </c>
      <c r="N538">
        <v>0</v>
      </c>
      <c r="O538" t="s">
        <v>1395</v>
      </c>
      <c r="P538" t="s">
        <v>240</v>
      </c>
      <c r="Q538" t="s">
        <v>1400</v>
      </c>
      <c r="R538" t="s">
        <v>310</v>
      </c>
      <c r="S538">
        <v>9</v>
      </c>
      <c r="T538" t="s">
        <v>310</v>
      </c>
      <c r="U538">
        <v>9</v>
      </c>
      <c r="V538">
        <v>9</v>
      </c>
      <c r="W538">
        <v>0</v>
      </c>
      <c r="X538">
        <v>0</v>
      </c>
      <c r="Y538">
        <v>0</v>
      </c>
      <c r="Z538">
        <v>0</v>
      </c>
      <c r="AA538">
        <v>9</v>
      </c>
      <c r="AB538">
        <v>9</v>
      </c>
      <c r="AC538" t="s">
        <v>310</v>
      </c>
      <c r="AD538">
        <v>9</v>
      </c>
      <c r="AE538" t="s">
        <v>1388</v>
      </c>
      <c r="AF538">
        <v>0</v>
      </c>
      <c r="AG538" t="s">
        <v>310</v>
      </c>
      <c r="AH538">
        <f>SUM((MID(Dyno_Data[[#This Row],[Team]],4,5))+(Dyno_Data[[#This Row],[Match]]/100))</f>
        <v>296.08999999999997</v>
      </c>
      <c r="AI538" s="76">
        <f>ROUND(SUM(IF(Dyno_Data[[#This Row],[AcqCenter]]&gt;0,Dyno_Data[[#This Row],[Time]]-SUMIFS(Dyno_Data[Time],Dyno_Data[Team],Dyno_Data[[#This Row],[Team]],Dyno_Data[RecordType],"StartMatch",Dyno_Data[Match],Dyno_Data[[#This Row],[Match]]),0)*86400),0)</f>
        <v>0</v>
      </c>
    </row>
    <row r="539" spans="1:35" x14ac:dyDescent="0.3">
      <c r="A539">
        <v>536</v>
      </c>
      <c r="B539" t="s">
        <v>1318</v>
      </c>
      <c r="C539">
        <v>9</v>
      </c>
      <c r="D539" s="105">
        <v>45373.42534209491</v>
      </c>
      <c r="E539" t="s">
        <v>314</v>
      </c>
      <c r="F539" t="s">
        <v>309</v>
      </c>
      <c r="G539">
        <v>1</v>
      </c>
      <c r="H539" t="s">
        <v>310</v>
      </c>
      <c r="I539">
        <v>0</v>
      </c>
      <c r="J539">
        <v>0</v>
      </c>
      <c r="K539">
        <v>0</v>
      </c>
      <c r="L539" t="s">
        <v>310</v>
      </c>
      <c r="M539" t="s">
        <v>310</v>
      </c>
      <c r="N539">
        <v>0</v>
      </c>
      <c r="O539" t="s">
        <v>311</v>
      </c>
      <c r="P539" t="s">
        <v>240</v>
      </c>
      <c r="Q539" t="s">
        <v>1400</v>
      </c>
      <c r="R539" t="s">
        <v>310</v>
      </c>
      <c r="S539">
        <v>9</v>
      </c>
      <c r="T539" t="s">
        <v>310</v>
      </c>
      <c r="U539">
        <v>9</v>
      </c>
      <c r="V539">
        <v>9</v>
      </c>
      <c r="W539">
        <v>0</v>
      </c>
      <c r="X539">
        <v>0</v>
      </c>
      <c r="Y539">
        <v>0</v>
      </c>
      <c r="Z539">
        <v>0</v>
      </c>
      <c r="AA539">
        <v>9</v>
      </c>
      <c r="AB539">
        <v>9</v>
      </c>
      <c r="AC539" t="s">
        <v>310</v>
      </c>
      <c r="AD539">
        <v>9</v>
      </c>
      <c r="AE539" t="s">
        <v>1413</v>
      </c>
      <c r="AF539">
        <v>0</v>
      </c>
      <c r="AG539" t="s">
        <v>310</v>
      </c>
      <c r="AH539">
        <f>SUM((MID(Dyno_Data[[#This Row],[Team]],4,5))+(Dyno_Data[[#This Row],[Match]]/100))</f>
        <v>7709.09</v>
      </c>
      <c r="AI539" s="76">
        <f>ROUND(SUM(IF(Dyno_Data[[#This Row],[AcqCenter]]&gt;0,Dyno_Data[[#This Row],[Time]]-SUMIFS(Dyno_Data[Time],Dyno_Data[Team],Dyno_Data[[#This Row],[Team]],Dyno_Data[RecordType],"StartMatch",Dyno_Data[Match],Dyno_Data[[#This Row],[Match]]),0)*86400),0)</f>
        <v>0</v>
      </c>
    </row>
    <row r="540" spans="1:35" x14ac:dyDescent="0.3">
      <c r="A540">
        <v>538</v>
      </c>
      <c r="B540" t="s">
        <v>1276</v>
      </c>
      <c r="C540">
        <v>9</v>
      </c>
      <c r="D540" s="105">
        <v>45373.425346446762</v>
      </c>
      <c r="E540" t="s">
        <v>314</v>
      </c>
      <c r="F540" t="s">
        <v>309</v>
      </c>
      <c r="G540">
        <v>1</v>
      </c>
      <c r="H540" t="s">
        <v>310</v>
      </c>
      <c r="I540">
        <v>0</v>
      </c>
      <c r="J540">
        <v>0</v>
      </c>
      <c r="K540">
        <v>0</v>
      </c>
      <c r="L540" t="s">
        <v>310</v>
      </c>
      <c r="M540" t="s">
        <v>310</v>
      </c>
      <c r="N540">
        <v>0</v>
      </c>
      <c r="O540" t="s">
        <v>1389</v>
      </c>
      <c r="P540" t="s">
        <v>320</v>
      </c>
      <c r="Q540" t="s">
        <v>1400</v>
      </c>
      <c r="R540" t="s">
        <v>310</v>
      </c>
      <c r="S540">
        <v>9</v>
      </c>
      <c r="T540" t="s">
        <v>310</v>
      </c>
      <c r="U540">
        <v>9</v>
      </c>
      <c r="V540">
        <v>9</v>
      </c>
      <c r="W540">
        <v>0</v>
      </c>
      <c r="X540">
        <v>0</v>
      </c>
      <c r="Y540">
        <v>0</v>
      </c>
      <c r="Z540">
        <v>0</v>
      </c>
      <c r="AA540">
        <v>9</v>
      </c>
      <c r="AB540">
        <v>9</v>
      </c>
      <c r="AC540" t="s">
        <v>310</v>
      </c>
      <c r="AD540">
        <v>9</v>
      </c>
      <c r="AE540" t="s">
        <v>1414</v>
      </c>
      <c r="AF540">
        <v>0</v>
      </c>
      <c r="AG540" t="s">
        <v>310</v>
      </c>
      <c r="AH540">
        <f>SUM((MID(Dyno_Data[[#This Row],[Team]],4,5))+(Dyno_Data[[#This Row],[Match]]/100))</f>
        <v>229.09</v>
      </c>
      <c r="AI540" s="76">
        <f>ROUND(SUM(IF(Dyno_Data[[#This Row],[AcqCenter]]&gt;0,Dyno_Data[[#This Row],[Time]]-SUMIFS(Dyno_Data[Time],Dyno_Data[Team],Dyno_Data[[#This Row],[Team]],Dyno_Data[RecordType],"StartMatch",Dyno_Data[Match],Dyno_Data[[#This Row],[Match]]),0)*86400),0)</f>
        <v>0</v>
      </c>
    </row>
    <row r="541" spans="1:35" x14ac:dyDescent="0.3">
      <c r="A541">
        <v>540</v>
      </c>
      <c r="B541" t="s">
        <v>1288</v>
      </c>
      <c r="C541">
        <v>9</v>
      </c>
      <c r="D541" s="105">
        <v>45373.425347141201</v>
      </c>
      <c r="E541" t="s">
        <v>314</v>
      </c>
      <c r="F541" t="s">
        <v>309</v>
      </c>
      <c r="G541">
        <v>1</v>
      </c>
      <c r="H541" t="s">
        <v>310</v>
      </c>
      <c r="I541">
        <v>0</v>
      </c>
      <c r="J541">
        <v>0</v>
      </c>
      <c r="K541">
        <v>0</v>
      </c>
      <c r="L541" t="s">
        <v>310</v>
      </c>
      <c r="M541" t="s">
        <v>310</v>
      </c>
      <c r="N541">
        <v>0</v>
      </c>
      <c r="O541" t="s">
        <v>319</v>
      </c>
      <c r="P541" t="s">
        <v>1401</v>
      </c>
      <c r="Q541" t="s">
        <v>1399</v>
      </c>
      <c r="R541" t="s">
        <v>310</v>
      </c>
      <c r="S541">
        <v>9</v>
      </c>
      <c r="T541" t="s">
        <v>310</v>
      </c>
      <c r="U541">
        <v>9</v>
      </c>
      <c r="V541">
        <v>9</v>
      </c>
      <c r="W541">
        <v>0</v>
      </c>
      <c r="X541">
        <v>0</v>
      </c>
      <c r="Y541">
        <v>0</v>
      </c>
      <c r="Z541">
        <v>0</v>
      </c>
      <c r="AA541">
        <v>9</v>
      </c>
      <c r="AB541">
        <v>9</v>
      </c>
      <c r="AC541" t="s">
        <v>310</v>
      </c>
      <c r="AD541">
        <v>9</v>
      </c>
      <c r="AE541" t="s">
        <v>1396</v>
      </c>
      <c r="AF541">
        <v>0</v>
      </c>
      <c r="AG541" t="s">
        <v>310</v>
      </c>
      <c r="AH541">
        <f>SUM((MID(Dyno_Data[[#This Row],[Team]],4,5))+(Dyno_Data[[#This Row],[Match]]/100))</f>
        <v>3181.09</v>
      </c>
      <c r="AI541" s="76">
        <f>ROUND(SUM(IF(Dyno_Data[[#This Row],[AcqCenter]]&gt;0,Dyno_Data[[#This Row],[Time]]-SUMIFS(Dyno_Data[Time],Dyno_Data[Team],Dyno_Data[[#This Row],[Team]],Dyno_Data[RecordType],"StartMatch",Dyno_Data[Match],Dyno_Data[[#This Row],[Match]]),0)*86400),0)</f>
        <v>0</v>
      </c>
    </row>
    <row r="542" spans="1:35" x14ac:dyDescent="0.3">
      <c r="A542">
        <v>541</v>
      </c>
      <c r="B542" t="s">
        <v>1318</v>
      </c>
      <c r="C542">
        <v>9</v>
      </c>
      <c r="D542" s="105">
        <v>45373.425406481481</v>
      </c>
      <c r="E542" t="s">
        <v>312</v>
      </c>
      <c r="F542" t="s">
        <v>1402</v>
      </c>
      <c r="G542">
        <v>0</v>
      </c>
      <c r="H542" t="s">
        <v>315</v>
      </c>
      <c r="I542">
        <v>0</v>
      </c>
      <c r="J542">
        <v>0</v>
      </c>
      <c r="K542">
        <v>0</v>
      </c>
      <c r="L542" t="s">
        <v>241</v>
      </c>
      <c r="M542" t="s">
        <v>1398</v>
      </c>
      <c r="N542">
        <v>0</v>
      </c>
      <c r="O542" t="s">
        <v>311</v>
      </c>
      <c r="P542" t="s">
        <v>310</v>
      </c>
      <c r="Q542" t="s">
        <v>310</v>
      </c>
      <c r="R542" t="s">
        <v>310</v>
      </c>
      <c r="S542">
        <v>9</v>
      </c>
      <c r="T542" t="s">
        <v>310</v>
      </c>
      <c r="U542">
        <v>9</v>
      </c>
      <c r="V542">
        <v>9</v>
      </c>
      <c r="W542">
        <v>0</v>
      </c>
      <c r="X542">
        <v>0</v>
      </c>
      <c r="Y542">
        <v>0</v>
      </c>
      <c r="Z542">
        <v>0</v>
      </c>
      <c r="AA542">
        <v>9</v>
      </c>
      <c r="AB542">
        <v>9</v>
      </c>
      <c r="AC542" t="s">
        <v>310</v>
      </c>
      <c r="AD542">
        <v>9</v>
      </c>
      <c r="AE542" t="s">
        <v>1413</v>
      </c>
      <c r="AF542">
        <v>10000000</v>
      </c>
      <c r="AG542" t="s">
        <v>310</v>
      </c>
      <c r="AH542">
        <f>SUM((MID(Dyno_Data[[#This Row],[Team]],4,5))+(Dyno_Data[[#This Row],[Match]]/100))</f>
        <v>7709.09</v>
      </c>
      <c r="AI542" s="76">
        <f>ROUND(SUM(IF(Dyno_Data[[#This Row],[AcqCenter]]&gt;0,Dyno_Data[[#This Row],[Time]]-SUMIFS(Dyno_Data[Time],Dyno_Data[Team],Dyno_Data[[#This Row],[Team]],Dyno_Data[RecordType],"StartMatch",Dyno_Data[Match],Dyno_Data[[#This Row],[Match]]),0)*86400),0)</f>
        <v>0</v>
      </c>
    </row>
    <row r="543" spans="1:35" x14ac:dyDescent="0.3">
      <c r="A543">
        <v>542</v>
      </c>
      <c r="B543" t="s">
        <v>1294</v>
      </c>
      <c r="C543">
        <v>9</v>
      </c>
      <c r="D543" s="105">
        <v>45373.42542890046</v>
      </c>
      <c r="E543" t="s">
        <v>1403</v>
      </c>
      <c r="F543" t="s">
        <v>1402</v>
      </c>
      <c r="G543">
        <v>0</v>
      </c>
      <c r="H543" t="s">
        <v>310</v>
      </c>
      <c r="I543">
        <v>0</v>
      </c>
      <c r="J543">
        <v>0</v>
      </c>
      <c r="K543">
        <v>0</v>
      </c>
      <c r="L543" t="s">
        <v>310</v>
      </c>
      <c r="M543" t="s">
        <v>310</v>
      </c>
      <c r="N543">
        <v>0</v>
      </c>
      <c r="O543" t="s">
        <v>1393</v>
      </c>
      <c r="P543" t="s">
        <v>310</v>
      </c>
      <c r="Q543" t="s">
        <v>310</v>
      </c>
      <c r="R543" t="s">
        <v>310</v>
      </c>
      <c r="S543">
        <v>9</v>
      </c>
      <c r="T543" t="s">
        <v>310</v>
      </c>
      <c r="U543">
        <v>9</v>
      </c>
      <c r="V543">
        <v>9</v>
      </c>
      <c r="W543">
        <v>0</v>
      </c>
      <c r="X543">
        <v>0</v>
      </c>
      <c r="Y543">
        <v>0</v>
      </c>
      <c r="Z543">
        <v>0</v>
      </c>
      <c r="AA543">
        <v>9</v>
      </c>
      <c r="AB543">
        <v>9</v>
      </c>
      <c r="AC543" t="s">
        <v>310</v>
      </c>
      <c r="AD543">
        <v>9</v>
      </c>
      <c r="AE543" t="s">
        <v>1412</v>
      </c>
      <c r="AF543">
        <v>10000000</v>
      </c>
      <c r="AG543" t="s">
        <v>249</v>
      </c>
      <c r="AH543">
        <f>SUM((MID(Dyno_Data[[#This Row],[Team]],4,5))+(Dyno_Data[[#This Row],[Match]]/100))</f>
        <v>9076.09</v>
      </c>
      <c r="AI543" s="76">
        <f>ROUND(SUM(IF(Dyno_Data[[#This Row],[AcqCenter]]&gt;0,Dyno_Data[[#This Row],[Time]]-SUMIFS(Dyno_Data[Time],Dyno_Data[Team],Dyno_Data[[#This Row],[Team]],Dyno_Data[RecordType],"StartMatch",Dyno_Data[Match],Dyno_Data[[#This Row],[Match]]),0)*86400),0)</f>
        <v>0</v>
      </c>
    </row>
    <row r="544" spans="1:35" x14ac:dyDescent="0.3">
      <c r="A544">
        <v>543</v>
      </c>
      <c r="B544" t="s">
        <v>1318</v>
      </c>
      <c r="C544">
        <v>9</v>
      </c>
      <c r="D544" s="105">
        <v>45373.425473726849</v>
      </c>
      <c r="E544" t="s">
        <v>312</v>
      </c>
      <c r="F544" t="s">
        <v>1402</v>
      </c>
      <c r="G544">
        <v>0</v>
      </c>
      <c r="H544" t="s">
        <v>315</v>
      </c>
      <c r="I544">
        <v>0</v>
      </c>
      <c r="J544">
        <v>0</v>
      </c>
      <c r="K544">
        <v>0</v>
      </c>
      <c r="L544" t="s">
        <v>240</v>
      </c>
      <c r="M544" t="s">
        <v>1398</v>
      </c>
      <c r="N544">
        <v>1</v>
      </c>
      <c r="O544" t="s">
        <v>311</v>
      </c>
      <c r="P544" t="s">
        <v>310</v>
      </c>
      <c r="Q544" t="s">
        <v>310</v>
      </c>
      <c r="R544" t="s">
        <v>310</v>
      </c>
      <c r="S544">
        <v>9</v>
      </c>
      <c r="T544" t="s">
        <v>310</v>
      </c>
      <c r="U544">
        <v>9</v>
      </c>
      <c r="V544">
        <v>9</v>
      </c>
      <c r="W544">
        <v>0</v>
      </c>
      <c r="X544">
        <v>0</v>
      </c>
      <c r="Y544">
        <v>0</v>
      </c>
      <c r="Z544">
        <v>0</v>
      </c>
      <c r="AA544">
        <v>9</v>
      </c>
      <c r="AB544">
        <v>9</v>
      </c>
      <c r="AC544" t="s">
        <v>310</v>
      </c>
      <c r="AD544">
        <v>9</v>
      </c>
      <c r="AE544" t="s">
        <v>1413</v>
      </c>
      <c r="AF544">
        <v>20000000</v>
      </c>
      <c r="AG544" t="s">
        <v>310</v>
      </c>
      <c r="AH544">
        <f>SUM((MID(Dyno_Data[[#This Row],[Team]],4,5))+(Dyno_Data[[#This Row],[Match]]/100))</f>
        <v>7709.09</v>
      </c>
      <c r="AI544" s="76">
        <f>ROUND(SUM(IF(Dyno_Data[[#This Row],[AcqCenter]]&gt;0,Dyno_Data[[#This Row],[Time]]-SUMIFS(Dyno_Data[Time],Dyno_Data[Team],Dyno_Data[[#This Row],[Team]],Dyno_Data[RecordType],"StartMatch",Dyno_Data[Match],Dyno_Data[[#This Row],[Match]]),0)*86400),0)</f>
        <v>0</v>
      </c>
    </row>
    <row r="545" spans="1:35" x14ac:dyDescent="0.3">
      <c r="A545">
        <v>544</v>
      </c>
      <c r="B545" t="s">
        <v>1317</v>
      </c>
      <c r="C545">
        <v>9</v>
      </c>
      <c r="D545" s="105">
        <v>45373.42549976852</v>
      </c>
      <c r="E545" t="s">
        <v>312</v>
      </c>
      <c r="F545" t="s">
        <v>1402</v>
      </c>
      <c r="G545">
        <v>0</v>
      </c>
      <c r="H545" t="s">
        <v>315</v>
      </c>
      <c r="I545">
        <v>0</v>
      </c>
      <c r="J545">
        <v>0</v>
      </c>
      <c r="K545">
        <v>0</v>
      </c>
      <c r="L545" t="s">
        <v>240</v>
      </c>
      <c r="M545" t="s">
        <v>1398</v>
      </c>
      <c r="N545">
        <v>0</v>
      </c>
      <c r="O545" t="s">
        <v>1395</v>
      </c>
      <c r="P545" t="s">
        <v>310</v>
      </c>
      <c r="Q545" t="s">
        <v>310</v>
      </c>
      <c r="R545" t="s">
        <v>310</v>
      </c>
      <c r="S545">
        <v>9</v>
      </c>
      <c r="T545" t="s">
        <v>310</v>
      </c>
      <c r="U545">
        <v>9</v>
      </c>
      <c r="V545">
        <v>9</v>
      </c>
      <c r="W545">
        <v>0</v>
      </c>
      <c r="X545">
        <v>0</v>
      </c>
      <c r="Y545">
        <v>0</v>
      </c>
      <c r="Z545">
        <v>0</v>
      </c>
      <c r="AA545">
        <v>9</v>
      </c>
      <c r="AB545">
        <v>9</v>
      </c>
      <c r="AC545" t="s">
        <v>310</v>
      </c>
      <c r="AD545">
        <v>9</v>
      </c>
      <c r="AE545" t="s">
        <v>1388</v>
      </c>
      <c r="AF545">
        <v>10000000</v>
      </c>
      <c r="AG545" t="s">
        <v>310</v>
      </c>
      <c r="AH545">
        <f>SUM((MID(Dyno_Data[[#This Row],[Team]],4,5))+(Dyno_Data[[#This Row],[Match]]/100))</f>
        <v>296.08999999999997</v>
      </c>
      <c r="AI545" s="76">
        <f>ROUND(SUM(IF(Dyno_Data[[#This Row],[AcqCenter]]&gt;0,Dyno_Data[[#This Row],[Time]]-SUMIFS(Dyno_Data[Time],Dyno_Data[Team],Dyno_Data[[#This Row],[Team]],Dyno_Data[RecordType],"StartMatch",Dyno_Data[Match],Dyno_Data[[#This Row],[Match]]),0)*86400),0)</f>
        <v>0</v>
      </c>
    </row>
    <row r="546" spans="1:35" x14ac:dyDescent="0.3">
      <c r="A546">
        <v>545</v>
      </c>
      <c r="B546" t="s">
        <v>1318</v>
      </c>
      <c r="C546">
        <v>9</v>
      </c>
      <c r="D546" s="105">
        <v>45373.425592974534</v>
      </c>
      <c r="E546" t="s">
        <v>312</v>
      </c>
      <c r="F546" t="s">
        <v>1402</v>
      </c>
      <c r="G546">
        <v>0</v>
      </c>
      <c r="H546" t="s">
        <v>1415</v>
      </c>
      <c r="I546">
        <v>0</v>
      </c>
      <c r="J546">
        <v>0</v>
      </c>
      <c r="K546">
        <v>0</v>
      </c>
      <c r="L546" t="s">
        <v>241</v>
      </c>
      <c r="M546" t="s">
        <v>1398</v>
      </c>
      <c r="N546">
        <v>1</v>
      </c>
      <c r="O546" t="s">
        <v>311</v>
      </c>
      <c r="P546" t="s">
        <v>310</v>
      </c>
      <c r="Q546" t="s">
        <v>310</v>
      </c>
      <c r="R546" t="s">
        <v>310</v>
      </c>
      <c r="S546">
        <v>9</v>
      </c>
      <c r="T546" t="s">
        <v>310</v>
      </c>
      <c r="U546">
        <v>9</v>
      </c>
      <c r="V546">
        <v>9</v>
      </c>
      <c r="W546">
        <v>0</v>
      </c>
      <c r="X546">
        <v>0</v>
      </c>
      <c r="Y546">
        <v>0</v>
      </c>
      <c r="Z546">
        <v>0</v>
      </c>
      <c r="AA546">
        <v>9</v>
      </c>
      <c r="AB546">
        <v>9</v>
      </c>
      <c r="AC546" t="s">
        <v>310</v>
      </c>
      <c r="AD546">
        <v>9</v>
      </c>
      <c r="AE546" t="s">
        <v>1413</v>
      </c>
      <c r="AF546">
        <v>20000000</v>
      </c>
      <c r="AG546" t="s">
        <v>310</v>
      </c>
      <c r="AH546">
        <f>SUM((MID(Dyno_Data[[#This Row],[Team]],4,5))+(Dyno_Data[[#This Row],[Match]]/100))</f>
        <v>7709.09</v>
      </c>
      <c r="AI546" s="76">
        <f>ROUND(SUM(IF(Dyno_Data[[#This Row],[AcqCenter]]&gt;0,Dyno_Data[[#This Row],[Time]]-SUMIFS(Dyno_Data[Time],Dyno_Data[Team],Dyno_Data[[#This Row],[Team]],Dyno_Data[RecordType],"StartMatch",Dyno_Data[Match],Dyno_Data[[#This Row],[Match]]),0)*86400),0)</f>
        <v>0</v>
      </c>
    </row>
    <row r="547" spans="1:35" x14ac:dyDescent="0.3">
      <c r="A547">
        <v>546</v>
      </c>
      <c r="B547" t="s">
        <v>1318</v>
      </c>
      <c r="C547">
        <v>9</v>
      </c>
      <c r="D547" s="105">
        <v>45373.425698298612</v>
      </c>
      <c r="E547" t="s">
        <v>312</v>
      </c>
      <c r="F547" t="s">
        <v>1402</v>
      </c>
      <c r="G547">
        <v>0</v>
      </c>
      <c r="H547" t="s">
        <v>1415</v>
      </c>
      <c r="I547">
        <v>0</v>
      </c>
      <c r="J547">
        <v>0</v>
      </c>
      <c r="K547">
        <v>0</v>
      </c>
      <c r="L547" t="s">
        <v>240</v>
      </c>
      <c r="M547" t="s">
        <v>1398</v>
      </c>
      <c r="N547">
        <v>0</v>
      </c>
      <c r="O547" t="s">
        <v>311</v>
      </c>
      <c r="P547" t="s">
        <v>310</v>
      </c>
      <c r="Q547" t="s">
        <v>310</v>
      </c>
      <c r="R547" t="s">
        <v>310</v>
      </c>
      <c r="S547">
        <v>9</v>
      </c>
      <c r="T547" t="s">
        <v>310</v>
      </c>
      <c r="U547">
        <v>9</v>
      </c>
      <c r="V547">
        <v>9</v>
      </c>
      <c r="W547">
        <v>0</v>
      </c>
      <c r="X547">
        <v>0</v>
      </c>
      <c r="Y547">
        <v>0</v>
      </c>
      <c r="Z547">
        <v>0</v>
      </c>
      <c r="AA547">
        <v>9</v>
      </c>
      <c r="AB547">
        <v>9</v>
      </c>
      <c r="AC547" t="s">
        <v>310</v>
      </c>
      <c r="AD547">
        <v>9</v>
      </c>
      <c r="AE547" t="s">
        <v>1413</v>
      </c>
      <c r="AF547">
        <v>20000000</v>
      </c>
      <c r="AG547" t="s">
        <v>310</v>
      </c>
      <c r="AH547">
        <f>SUM((MID(Dyno_Data[[#This Row],[Team]],4,5))+(Dyno_Data[[#This Row],[Match]]/100))</f>
        <v>7709.09</v>
      </c>
      <c r="AI547" s="76">
        <f>ROUND(SUM(IF(Dyno_Data[[#This Row],[AcqCenter]]&gt;0,Dyno_Data[[#This Row],[Time]]-SUMIFS(Dyno_Data[Time],Dyno_Data[Team],Dyno_Data[[#This Row],[Team]],Dyno_Data[RecordType],"StartMatch",Dyno_Data[Match],Dyno_Data[[#This Row],[Match]]),0)*86400),0)</f>
        <v>0</v>
      </c>
    </row>
    <row r="548" spans="1:35" x14ac:dyDescent="0.3">
      <c r="A548">
        <v>547</v>
      </c>
      <c r="B548" t="s">
        <v>1317</v>
      </c>
      <c r="C548">
        <v>9</v>
      </c>
      <c r="D548" s="105">
        <v>45373.425747534726</v>
      </c>
      <c r="E548" t="s">
        <v>1403</v>
      </c>
      <c r="F548" t="s">
        <v>1402</v>
      </c>
      <c r="G548">
        <v>0</v>
      </c>
      <c r="H548" t="s">
        <v>310</v>
      </c>
      <c r="I548">
        <v>0</v>
      </c>
      <c r="J548">
        <v>0</v>
      </c>
      <c r="K548">
        <v>0</v>
      </c>
      <c r="L548" t="s">
        <v>310</v>
      </c>
      <c r="M548" t="s">
        <v>310</v>
      </c>
      <c r="N548">
        <v>0</v>
      </c>
      <c r="O548" t="s">
        <v>1395</v>
      </c>
      <c r="P548" t="s">
        <v>310</v>
      </c>
      <c r="Q548" t="s">
        <v>310</v>
      </c>
      <c r="R548" t="s">
        <v>310</v>
      </c>
      <c r="S548">
        <v>9</v>
      </c>
      <c r="T548" t="s">
        <v>310</v>
      </c>
      <c r="U548">
        <v>9</v>
      </c>
      <c r="V548">
        <v>9</v>
      </c>
      <c r="W548">
        <v>0</v>
      </c>
      <c r="X548">
        <v>0</v>
      </c>
      <c r="Y548">
        <v>0</v>
      </c>
      <c r="Z548">
        <v>0</v>
      </c>
      <c r="AA548">
        <v>9</v>
      </c>
      <c r="AB548">
        <v>9</v>
      </c>
      <c r="AC548" t="s">
        <v>310</v>
      </c>
      <c r="AD548">
        <v>9</v>
      </c>
      <c r="AE548" t="s">
        <v>1388</v>
      </c>
      <c r="AF548">
        <v>20000000</v>
      </c>
      <c r="AG548" t="s">
        <v>248</v>
      </c>
      <c r="AH548">
        <f>SUM((MID(Dyno_Data[[#This Row],[Team]],4,5))+(Dyno_Data[[#This Row],[Match]]/100))</f>
        <v>296.08999999999997</v>
      </c>
      <c r="AI548" s="76">
        <f>ROUND(SUM(IF(Dyno_Data[[#This Row],[AcqCenter]]&gt;0,Dyno_Data[[#This Row],[Time]]-SUMIFS(Dyno_Data[Time],Dyno_Data[Team],Dyno_Data[[#This Row],[Team]],Dyno_Data[RecordType],"StartMatch",Dyno_Data[Match],Dyno_Data[[#This Row],[Match]]),0)*86400),0)</f>
        <v>0</v>
      </c>
    </row>
    <row r="549" spans="1:35" x14ac:dyDescent="0.3">
      <c r="A549">
        <v>548</v>
      </c>
      <c r="B549" t="s">
        <v>1318</v>
      </c>
      <c r="C549">
        <v>9</v>
      </c>
      <c r="D549" s="105">
        <v>45373.425780092592</v>
      </c>
      <c r="E549" t="s">
        <v>312</v>
      </c>
      <c r="F549" t="s">
        <v>1402</v>
      </c>
      <c r="G549">
        <v>0</v>
      </c>
      <c r="H549" t="s">
        <v>315</v>
      </c>
      <c r="I549">
        <v>0</v>
      </c>
      <c r="J549">
        <v>0</v>
      </c>
      <c r="K549">
        <v>0</v>
      </c>
      <c r="L549" t="s">
        <v>241</v>
      </c>
      <c r="M549" t="s">
        <v>1398</v>
      </c>
      <c r="N549">
        <v>0</v>
      </c>
      <c r="O549" t="s">
        <v>311</v>
      </c>
      <c r="P549" t="s">
        <v>310</v>
      </c>
      <c r="Q549" t="s">
        <v>310</v>
      </c>
      <c r="R549" t="s">
        <v>310</v>
      </c>
      <c r="S549">
        <v>9</v>
      </c>
      <c r="T549" t="s">
        <v>310</v>
      </c>
      <c r="U549">
        <v>9</v>
      </c>
      <c r="V549">
        <v>9</v>
      </c>
      <c r="W549">
        <v>0</v>
      </c>
      <c r="X549">
        <v>0</v>
      </c>
      <c r="Y549">
        <v>0</v>
      </c>
      <c r="Z549">
        <v>0</v>
      </c>
      <c r="AA549">
        <v>9</v>
      </c>
      <c r="AB549">
        <v>9</v>
      </c>
      <c r="AC549" t="s">
        <v>310</v>
      </c>
      <c r="AD549">
        <v>9</v>
      </c>
      <c r="AE549" t="s">
        <v>1413</v>
      </c>
      <c r="AF549">
        <v>30000000</v>
      </c>
      <c r="AG549" t="s">
        <v>310</v>
      </c>
      <c r="AH549">
        <f>SUM((MID(Dyno_Data[[#This Row],[Team]],4,5))+(Dyno_Data[[#This Row],[Match]]/100))</f>
        <v>7709.09</v>
      </c>
      <c r="AI549" s="76">
        <f>ROUND(SUM(IF(Dyno_Data[[#This Row],[AcqCenter]]&gt;0,Dyno_Data[[#This Row],[Time]]-SUMIFS(Dyno_Data[Time],Dyno_Data[Team],Dyno_Data[[#This Row],[Team]],Dyno_Data[RecordType],"StartMatch",Dyno_Data[Match],Dyno_Data[[#This Row],[Match]]),0)*86400),0)</f>
        <v>0</v>
      </c>
    </row>
    <row r="550" spans="1:35" x14ac:dyDescent="0.3">
      <c r="A550">
        <v>549</v>
      </c>
      <c r="B550" t="s">
        <v>1318</v>
      </c>
      <c r="C550">
        <v>9</v>
      </c>
      <c r="D550" s="105">
        <v>45373.425859027775</v>
      </c>
      <c r="E550" t="s">
        <v>312</v>
      </c>
      <c r="F550" t="s">
        <v>1402</v>
      </c>
      <c r="G550">
        <v>0</v>
      </c>
      <c r="H550" t="s">
        <v>315</v>
      </c>
      <c r="I550">
        <v>0</v>
      </c>
      <c r="J550">
        <v>0</v>
      </c>
      <c r="K550">
        <v>0</v>
      </c>
      <c r="L550" t="s">
        <v>241</v>
      </c>
      <c r="M550" t="s">
        <v>1398</v>
      </c>
      <c r="N550">
        <v>0</v>
      </c>
      <c r="O550" t="s">
        <v>311</v>
      </c>
      <c r="P550" t="s">
        <v>310</v>
      </c>
      <c r="Q550" t="s">
        <v>310</v>
      </c>
      <c r="R550" t="s">
        <v>310</v>
      </c>
      <c r="S550">
        <v>9</v>
      </c>
      <c r="T550" t="s">
        <v>310</v>
      </c>
      <c r="U550">
        <v>9</v>
      </c>
      <c r="V550">
        <v>9</v>
      </c>
      <c r="W550">
        <v>0</v>
      </c>
      <c r="X550">
        <v>0</v>
      </c>
      <c r="Y550">
        <v>0</v>
      </c>
      <c r="Z550">
        <v>0</v>
      </c>
      <c r="AA550">
        <v>9</v>
      </c>
      <c r="AB550">
        <v>9</v>
      </c>
      <c r="AC550" t="s">
        <v>310</v>
      </c>
      <c r="AD550">
        <v>9</v>
      </c>
      <c r="AE550" t="s">
        <v>1413</v>
      </c>
      <c r="AF550">
        <v>40000000</v>
      </c>
      <c r="AG550" t="s">
        <v>310</v>
      </c>
      <c r="AH550">
        <f>SUM((MID(Dyno_Data[[#This Row],[Team]],4,5))+(Dyno_Data[[#This Row],[Match]]/100))</f>
        <v>7709.09</v>
      </c>
      <c r="AI550" s="76">
        <f>ROUND(SUM(IF(Dyno_Data[[#This Row],[AcqCenter]]&gt;0,Dyno_Data[[#This Row],[Time]]-SUMIFS(Dyno_Data[Time],Dyno_Data[Team],Dyno_Data[[#This Row],[Team]],Dyno_Data[RecordType],"StartMatch",Dyno_Data[Match],Dyno_Data[[#This Row],[Match]]),0)*86400),0)</f>
        <v>0</v>
      </c>
    </row>
    <row r="551" spans="1:35" x14ac:dyDescent="0.3">
      <c r="A551">
        <v>550</v>
      </c>
      <c r="B551" t="s">
        <v>1318</v>
      </c>
      <c r="C551">
        <v>9</v>
      </c>
      <c r="D551" s="105">
        <v>45373.425950578705</v>
      </c>
      <c r="E551" t="s">
        <v>312</v>
      </c>
      <c r="F551" t="s">
        <v>1402</v>
      </c>
      <c r="G551">
        <v>0</v>
      </c>
      <c r="H551" t="s">
        <v>315</v>
      </c>
      <c r="I551">
        <v>0</v>
      </c>
      <c r="J551">
        <v>0</v>
      </c>
      <c r="K551">
        <v>0</v>
      </c>
      <c r="L551" t="s">
        <v>241</v>
      </c>
      <c r="M551" t="s">
        <v>1398</v>
      </c>
      <c r="N551">
        <v>0</v>
      </c>
      <c r="O551" t="s">
        <v>311</v>
      </c>
      <c r="P551" t="s">
        <v>310</v>
      </c>
      <c r="Q551" t="s">
        <v>310</v>
      </c>
      <c r="R551" t="s">
        <v>310</v>
      </c>
      <c r="S551">
        <v>9</v>
      </c>
      <c r="T551" t="s">
        <v>310</v>
      </c>
      <c r="U551">
        <v>9</v>
      </c>
      <c r="V551">
        <v>9</v>
      </c>
      <c r="W551">
        <v>0</v>
      </c>
      <c r="X551">
        <v>0</v>
      </c>
      <c r="Y551">
        <v>0</v>
      </c>
      <c r="Z551">
        <v>0</v>
      </c>
      <c r="AA551">
        <v>9</v>
      </c>
      <c r="AB551">
        <v>9</v>
      </c>
      <c r="AC551" t="s">
        <v>310</v>
      </c>
      <c r="AD551">
        <v>9</v>
      </c>
      <c r="AE551" t="s">
        <v>1413</v>
      </c>
      <c r="AF551">
        <v>50000000</v>
      </c>
      <c r="AG551" t="s">
        <v>310</v>
      </c>
      <c r="AH551">
        <f>SUM((MID(Dyno_Data[[#This Row],[Team]],4,5))+(Dyno_Data[[#This Row],[Match]]/100))</f>
        <v>7709.09</v>
      </c>
      <c r="AI551" s="76">
        <f>ROUND(SUM(IF(Dyno_Data[[#This Row],[AcqCenter]]&gt;0,Dyno_Data[[#This Row],[Time]]-SUMIFS(Dyno_Data[Time],Dyno_Data[Team],Dyno_Data[[#This Row],[Team]],Dyno_Data[RecordType],"StartMatch",Dyno_Data[Match],Dyno_Data[[#This Row],[Match]]),0)*86400),0)</f>
        <v>0</v>
      </c>
    </row>
    <row r="552" spans="1:35" x14ac:dyDescent="0.3">
      <c r="A552">
        <v>551</v>
      </c>
      <c r="B552" t="s">
        <v>1317</v>
      </c>
      <c r="C552">
        <v>9</v>
      </c>
      <c r="D552" s="105">
        <v>45373.426006516202</v>
      </c>
      <c r="E552" t="s">
        <v>312</v>
      </c>
      <c r="F552" t="s">
        <v>1402</v>
      </c>
      <c r="G552">
        <v>0</v>
      </c>
      <c r="H552" t="s">
        <v>315</v>
      </c>
      <c r="I552">
        <v>0</v>
      </c>
      <c r="J552">
        <v>0</v>
      </c>
      <c r="K552">
        <v>0</v>
      </c>
      <c r="L552" t="s">
        <v>240</v>
      </c>
      <c r="M552" t="s">
        <v>1398</v>
      </c>
      <c r="N552">
        <v>0</v>
      </c>
      <c r="O552" t="s">
        <v>1395</v>
      </c>
      <c r="P552" t="s">
        <v>310</v>
      </c>
      <c r="Q552" t="s">
        <v>310</v>
      </c>
      <c r="R552" t="s">
        <v>310</v>
      </c>
      <c r="S552">
        <v>9</v>
      </c>
      <c r="T552" t="s">
        <v>310</v>
      </c>
      <c r="U552">
        <v>9</v>
      </c>
      <c r="V552">
        <v>9</v>
      </c>
      <c r="W552">
        <v>0</v>
      </c>
      <c r="X552">
        <v>0</v>
      </c>
      <c r="Y552">
        <v>0</v>
      </c>
      <c r="Z552">
        <v>0</v>
      </c>
      <c r="AA552">
        <v>9</v>
      </c>
      <c r="AB552">
        <v>9</v>
      </c>
      <c r="AC552" t="s">
        <v>310</v>
      </c>
      <c r="AD552">
        <v>9</v>
      </c>
      <c r="AE552" t="s">
        <v>1388</v>
      </c>
      <c r="AF552">
        <v>20000000</v>
      </c>
      <c r="AG552" t="s">
        <v>310</v>
      </c>
      <c r="AH552">
        <f>SUM((MID(Dyno_Data[[#This Row],[Team]],4,5))+(Dyno_Data[[#This Row],[Match]]/100))</f>
        <v>296.08999999999997</v>
      </c>
      <c r="AI552" s="76">
        <f>ROUND(SUM(IF(Dyno_Data[[#This Row],[AcqCenter]]&gt;0,Dyno_Data[[#This Row],[Time]]-SUMIFS(Dyno_Data[Time],Dyno_Data[Team],Dyno_Data[[#This Row],[Team]],Dyno_Data[RecordType],"StartMatch",Dyno_Data[Match],Dyno_Data[[#This Row],[Match]]),0)*86400),0)</f>
        <v>0</v>
      </c>
    </row>
    <row r="553" spans="1:35" x14ac:dyDescent="0.3">
      <c r="A553">
        <v>552</v>
      </c>
      <c r="B553" t="s">
        <v>1318</v>
      </c>
      <c r="C553">
        <v>9</v>
      </c>
      <c r="D553" s="105">
        <v>45373.426113888891</v>
      </c>
      <c r="E553" t="s">
        <v>312</v>
      </c>
      <c r="F553" t="s">
        <v>1402</v>
      </c>
      <c r="G553">
        <v>0</v>
      </c>
      <c r="H553" t="s">
        <v>315</v>
      </c>
      <c r="I553">
        <v>0</v>
      </c>
      <c r="J553">
        <v>0</v>
      </c>
      <c r="K553">
        <v>0</v>
      </c>
      <c r="L553" t="s">
        <v>241</v>
      </c>
      <c r="M553" t="s">
        <v>1398</v>
      </c>
      <c r="N553">
        <v>0</v>
      </c>
      <c r="O553" t="s">
        <v>311</v>
      </c>
      <c r="P553" t="s">
        <v>310</v>
      </c>
      <c r="Q553" t="s">
        <v>310</v>
      </c>
      <c r="R553" t="s">
        <v>310</v>
      </c>
      <c r="S553">
        <v>9</v>
      </c>
      <c r="T553" t="s">
        <v>310</v>
      </c>
      <c r="U553">
        <v>9</v>
      </c>
      <c r="V553">
        <v>9</v>
      </c>
      <c r="W553">
        <v>0</v>
      </c>
      <c r="X553">
        <v>0</v>
      </c>
      <c r="Y553">
        <v>0</v>
      </c>
      <c r="Z553">
        <v>0</v>
      </c>
      <c r="AA553">
        <v>9</v>
      </c>
      <c r="AB553">
        <v>9</v>
      </c>
      <c r="AC553" t="s">
        <v>310</v>
      </c>
      <c r="AD553">
        <v>9</v>
      </c>
      <c r="AE553" t="s">
        <v>1413</v>
      </c>
      <c r="AF553">
        <v>60000000</v>
      </c>
      <c r="AG553" t="s">
        <v>310</v>
      </c>
      <c r="AH553">
        <f>SUM((MID(Dyno_Data[[#This Row],[Team]],4,5))+(Dyno_Data[[#This Row],[Match]]/100))</f>
        <v>7709.09</v>
      </c>
      <c r="AI553" s="76">
        <f>ROUND(SUM(IF(Dyno_Data[[#This Row],[AcqCenter]]&gt;0,Dyno_Data[[#This Row],[Time]]-SUMIFS(Dyno_Data[Time],Dyno_Data[Team],Dyno_Data[[#This Row],[Team]],Dyno_Data[RecordType],"StartMatch",Dyno_Data[Match],Dyno_Data[[#This Row],[Match]]),0)*86400),0)</f>
        <v>0</v>
      </c>
    </row>
    <row r="554" spans="1:35" x14ac:dyDescent="0.3">
      <c r="A554">
        <v>553</v>
      </c>
      <c r="B554" t="s">
        <v>1318</v>
      </c>
      <c r="C554">
        <v>9</v>
      </c>
      <c r="D554" s="105">
        <v>45373.426181331015</v>
      </c>
      <c r="E554" t="s">
        <v>312</v>
      </c>
      <c r="F554" t="s">
        <v>1402</v>
      </c>
      <c r="G554">
        <v>0</v>
      </c>
      <c r="H554" t="s">
        <v>315</v>
      </c>
      <c r="I554">
        <v>0</v>
      </c>
      <c r="J554">
        <v>0</v>
      </c>
      <c r="K554">
        <v>0</v>
      </c>
      <c r="L554" t="s">
        <v>241</v>
      </c>
      <c r="M554" t="s">
        <v>1398</v>
      </c>
      <c r="N554">
        <v>0</v>
      </c>
      <c r="O554" t="s">
        <v>311</v>
      </c>
      <c r="P554" t="s">
        <v>310</v>
      </c>
      <c r="Q554" t="s">
        <v>310</v>
      </c>
      <c r="R554" t="s">
        <v>310</v>
      </c>
      <c r="S554">
        <v>9</v>
      </c>
      <c r="T554" t="s">
        <v>310</v>
      </c>
      <c r="U554">
        <v>9</v>
      </c>
      <c r="V554">
        <v>9</v>
      </c>
      <c r="W554">
        <v>0</v>
      </c>
      <c r="X554">
        <v>0</v>
      </c>
      <c r="Y554">
        <v>0</v>
      </c>
      <c r="Z554">
        <v>0</v>
      </c>
      <c r="AA554">
        <v>9</v>
      </c>
      <c r="AB554">
        <v>9</v>
      </c>
      <c r="AC554" t="s">
        <v>310</v>
      </c>
      <c r="AD554">
        <v>9</v>
      </c>
      <c r="AE554" t="s">
        <v>1413</v>
      </c>
      <c r="AF554">
        <v>70000000</v>
      </c>
      <c r="AG554" t="s">
        <v>310</v>
      </c>
      <c r="AH554">
        <f>SUM((MID(Dyno_Data[[#This Row],[Team]],4,5))+(Dyno_Data[[#This Row],[Match]]/100))</f>
        <v>7709.09</v>
      </c>
      <c r="AI554" s="76">
        <f>ROUND(SUM(IF(Dyno_Data[[#This Row],[AcqCenter]]&gt;0,Dyno_Data[[#This Row],[Time]]-SUMIFS(Dyno_Data[Time],Dyno_Data[Team],Dyno_Data[[#This Row],[Team]],Dyno_Data[RecordType],"StartMatch",Dyno_Data[Match],Dyno_Data[[#This Row],[Match]]),0)*86400),0)</f>
        <v>0</v>
      </c>
    </row>
    <row r="555" spans="1:35" x14ac:dyDescent="0.3">
      <c r="A555">
        <v>554</v>
      </c>
      <c r="B555" t="s">
        <v>1317</v>
      </c>
      <c r="C555">
        <v>9</v>
      </c>
      <c r="D555" s="105">
        <v>45373.426192164348</v>
      </c>
      <c r="E555" t="s">
        <v>1403</v>
      </c>
      <c r="F555" t="s">
        <v>1402</v>
      </c>
      <c r="G555">
        <v>0</v>
      </c>
      <c r="H555" t="s">
        <v>310</v>
      </c>
      <c r="I555">
        <v>0</v>
      </c>
      <c r="J555">
        <v>0</v>
      </c>
      <c r="K555">
        <v>0</v>
      </c>
      <c r="L555" t="s">
        <v>310</v>
      </c>
      <c r="M555" t="s">
        <v>310</v>
      </c>
      <c r="N555">
        <v>0</v>
      </c>
      <c r="O555" t="s">
        <v>1395</v>
      </c>
      <c r="P555" t="s">
        <v>310</v>
      </c>
      <c r="Q555" t="s">
        <v>310</v>
      </c>
      <c r="R555" t="s">
        <v>310</v>
      </c>
      <c r="S555">
        <v>9</v>
      </c>
      <c r="T555" t="s">
        <v>310</v>
      </c>
      <c r="U555">
        <v>9</v>
      </c>
      <c r="V555">
        <v>9</v>
      </c>
      <c r="W555">
        <v>0</v>
      </c>
      <c r="X555">
        <v>0</v>
      </c>
      <c r="Y555">
        <v>0</v>
      </c>
      <c r="Z555">
        <v>0</v>
      </c>
      <c r="AA555">
        <v>9</v>
      </c>
      <c r="AB555">
        <v>9</v>
      </c>
      <c r="AC555" t="s">
        <v>310</v>
      </c>
      <c r="AD555">
        <v>9</v>
      </c>
      <c r="AE555" t="s">
        <v>1388</v>
      </c>
      <c r="AF555">
        <v>70000000</v>
      </c>
      <c r="AG555" t="s">
        <v>249</v>
      </c>
      <c r="AH555">
        <f>SUM((MID(Dyno_Data[[#This Row],[Team]],4,5))+(Dyno_Data[[#This Row],[Match]]/100))</f>
        <v>296.08999999999997</v>
      </c>
      <c r="AI555" s="76">
        <f>ROUND(SUM(IF(Dyno_Data[[#This Row],[AcqCenter]]&gt;0,Dyno_Data[[#This Row],[Time]]-SUMIFS(Dyno_Data[Time],Dyno_Data[Team],Dyno_Data[[#This Row],[Team]],Dyno_Data[RecordType],"StartMatch",Dyno_Data[Match],Dyno_Data[[#This Row],[Match]]),0)*86400),0)</f>
        <v>0</v>
      </c>
    </row>
    <row r="556" spans="1:35" x14ac:dyDescent="0.3">
      <c r="A556">
        <v>555</v>
      </c>
      <c r="B556" t="s">
        <v>1318</v>
      </c>
      <c r="C556">
        <v>9</v>
      </c>
      <c r="D556" s="105">
        <v>45373.426392326386</v>
      </c>
      <c r="E556" t="s">
        <v>312</v>
      </c>
      <c r="F556" t="s">
        <v>1402</v>
      </c>
      <c r="G556">
        <v>0</v>
      </c>
      <c r="H556" t="s">
        <v>315</v>
      </c>
      <c r="I556">
        <v>0</v>
      </c>
      <c r="J556">
        <v>0</v>
      </c>
      <c r="K556">
        <v>0</v>
      </c>
      <c r="L556" t="s">
        <v>241</v>
      </c>
      <c r="M556" t="s">
        <v>1398</v>
      </c>
      <c r="N556">
        <v>0</v>
      </c>
      <c r="O556" t="s">
        <v>311</v>
      </c>
      <c r="P556" t="s">
        <v>310</v>
      </c>
      <c r="Q556" t="s">
        <v>310</v>
      </c>
      <c r="R556" t="s">
        <v>310</v>
      </c>
      <c r="S556">
        <v>9</v>
      </c>
      <c r="T556" t="s">
        <v>310</v>
      </c>
      <c r="U556">
        <v>9</v>
      </c>
      <c r="V556">
        <v>9</v>
      </c>
      <c r="W556">
        <v>0</v>
      </c>
      <c r="X556">
        <v>0</v>
      </c>
      <c r="Y556">
        <v>0</v>
      </c>
      <c r="Z556">
        <v>0</v>
      </c>
      <c r="AA556">
        <v>9</v>
      </c>
      <c r="AB556">
        <v>9</v>
      </c>
      <c r="AC556" t="s">
        <v>310</v>
      </c>
      <c r="AD556">
        <v>9</v>
      </c>
      <c r="AE556" t="s">
        <v>1413</v>
      </c>
      <c r="AF556">
        <v>80000000</v>
      </c>
      <c r="AG556" t="s">
        <v>310</v>
      </c>
      <c r="AH556">
        <f>SUM((MID(Dyno_Data[[#This Row],[Team]],4,5))+(Dyno_Data[[#This Row],[Match]]/100))</f>
        <v>7709.09</v>
      </c>
      <c r="AI556" s="76">
        <f>ROUND(SUM(IF(Dyno_Data[[#This Row],[AcqCenter]]&gt;0,Dyno_Data[[#This Row],[Time]]-SUMIFS(Dyno_Data[Time],Dyno_Data[Team],Dyno_Data[[#This Row],[Team]],Dyno_Data[RecordType],"StartMatch",Dyno_Data[Match],Dyno_Data[[#This Row],[Match]]),0)*86400),0)</f>
        <v>0</v>
      </c>
    </row>
    <row r="557" spans="1:35" x14ac:dyDescent="0.3">
      <c r="A557">
        <v>556</v>
      </c>
      <c r="B557" t="s">
        <v>1276</v>
      </c>
      <c r="C557">
        <v>9</v>
      </c>
      <c r="D557" s="105">
        <v>45373.426396724535</v>
      </c>
      <c r="E557" t="s">
        <v>1403</v>
      </c>
      <c r="F557" t="s">
        <v>1402</v>
      </c>
      <c r="G557">
        <v>0</v>
      </c>
      <c r="H557" t="s">
        <v>310</v>
      </c>
      <c r="I557">
        <v>0</v>
      </c>
      <c r="J557">
        <v>0</v>
      </c>
      <c r="K557">
        <v>0</v>
      </c>
      <c r="L557" t="s">
        <v>310</v>
      </c>
      <c r="M557" t="s">
        <v>310</v>
      </c>
      <c r="N557">
        <v>0</v>
      </c>
      <c r="O557" t="s">
        <v>1389</v>
      </c>
      <c r="P557" t="s">
        <v>310</v>
      </c>
      <c r="Q557" t="s">
        <v>310</v>
      </c>
      <c r="R557" t="s">
        <v>310</v>
      </c>
      <c r="S557">
        <v>9</v>
      </c>
      <c r="T557" t="s">
        <v>310</v>
      </c>
      <c r="U557">
        <v>9</v>
      </c>
      <c r="V557">
        <v>9</v>
      </c>
      <c r="W557">
        <v>0</v>
      </c>
      <c r="X557">
        <v>0</v>
      </c>
      <c r="Y557">
        <v>0</v>
      </c>
      <c r="Z557">
        <v>0</v>
      </c>
      <c r="AA557">
        <v>9</v>
      </c>
      <c r="AB557">
        <v>9</v>
      </c>
      <c r="AC557" t="s">
        <v>310</v>
      </c>
      <c r="AD557">
        <v>9</v>
      </c>
      <c r="AE557" t="s">
        <v>1414</v>
      </c>
      <c r="AF557">
        <v>80000000</v>
      </c>
      <c r="AG557" t="s">
        <v>252</v>
      </c>
      <c r="AH557">
        <f>SUM((MID(Dyno_Data[[#This Row],[Team]],4,5))+(Dyno_Data[[#This Row],[Match]]/100))</f>
        <v>229.09</v>
      </c>
      <c r="AI557" s="76">
        <f>ROUND(SUM(IF(Dyno_Data[[#This Row],[AcqCenter]]&gt;0,Dyno_Data[[#This Row],[Time]]-SUMIFS(Dyno_Data[Time],Dyno_Data[Team],Dyno_Data[[#This Row],[Team]],Dyno_Data[RecordType],"StartMatch",Dyno_Data[Match],Dyno_Data[[#This Row],[Match]]),0)*86400),0)</f>
        <v>0</v>
      </c>
    </row>
    <row r="558" spans="1:35" x14ac:dyDescent="0.3">
      <c r="A558">
        <v>557</v>
      </c>
      <c r="B558" t="s">
        <v>1318</v>
      </c>
      <c r="C558">
        <v>9</v>
      </c>
      <c r="D558" s="105">
        <v>45373.426588576389</v>
      </c>
      <c r="E558" t="s">
        <v>312</v>
      </c>
      <c r="F558" t="s">
        <v>1402</v>
      </c>
      <c r="G558">
        <v>0</v>
      </c>
      <c r="H558" t="s">
        <v>315</v>
      </c>
      <c r="I558">
        <v>0</v>
      </c>
      <c r="J558">
        <v>0</v>
      </c>
      <c r="K558">
        <v>0</v>
      </c>
      <c r="L558" t="s">
        <v>241</v>
      </c>
      <c r="M558" t="s">
        <v>1398</v>
      </c>
      <c r="N558">
        <v>0</v>
      </c>
      <c r="O558" t="s">
        <v>311</v>
      </c>
      <c r="P558" t="s">
        <v>310</v>
      </c>
      <c r="Q558" t="s">
        <v>310</v>
      </c>
      <c r="R558" t="s">
        <v>310</v>
      </c>
      <c r="S558">
        <v>9</v>
      </c>
      <c r="T558" t="s">
        <v>310</v>
      </c>
      <c r="U558">
        <v>9</v>
      </c>
      <c r="V558">
        <v>9</v>
      </c>
      <c r="W558">
        <v>0</v>
      </c>
      <c r="X558">
        <v>0</v>
      </c>
      <c r="Y558">
        <v>0</v>
      </c>
      <c r="Z558">
        <v>0</v>
      </c>
      <c r="AA558">
        <v>9</v>
      </c>
      <c r="AB558">
        <v>9</v>
      </c>
      <c r="AC558" t="s">
        <v>310</v>
      </c>
      <c r="AD558">
        <v>9</v>
      </c>
      <c r="AE558" t="s">
        <v>1413</v>
      </c>
      <c r="AF558">
        <v>90000000</v>
      </c>
      <c r="AG558" t="s">
        <v>310</v>
      </c>
      <c r="AH558">
        <f>SUM((MID(Dyno_Data[[#This Row],[Team]],4,5))+(Dyno_Data[[#This Row],[Match]]/100))</f>
        <v>7709.09</v>
      </c>
      <c r="AI558" s="76">
        <f>ROUND(SUM(IF(Dyno_Data[[#This Row],[AcqCenter]]&gt;0,Dyno_Data[[#This Row],[Time]]-SUMIFS(Dyno_Data[Time],Dyno_Data[Team],Dyno_Data[[#This Row],[Team]],Dyno_Data[RecordType],"StartMatch",Dyno_Data[Match],Dyno_Data[[#This Row],[Match]]),0)*86400),0)</f>
        <v>0</v>
      </c>
    </row>
    <row r="559" spans="1:35" x14ac:dyDescent="0.3">
      <c r="A559">
        <v>558</v>
      </c>
      <c r="B559" t="s">
        <v>1318</v>
      </c>
      <c r="C559">
        <v>9</v>
      </c>
      <c r="D559" s="105">
        <v>45373.426831099539</v>
      </c>
      <c r="E559" t="s">
        <v>312</v>
      </c>
      <c r="F559" t="s">
        <v>1402</v>
      </c>
      <c r="G559">
        <v>0</v>
      </c>
      <c r="H559" t="s">
        <v>315</v>
      </c>
      <c r="I559">
        <v>0</v>
      </c>
      <c r="J559">
        <v>0</v>
      </c>
      <c r="K559">
        <v>0</v>
      </c>
      <c r="L559" t="s">
        <v>241</v>
      </c>
      <c r="M559" t="s">
        <v>1398</v>
      </c>
      <c r="N559">
        <v>0</v>
      </c>
      <c r="O559" t="s">
        <v>311</v>
      </c>
      <c r="P559" t="s">
        <v>310</v>
      </c>
      <c r="Q559" t="s">
        <v>310</v>
      </c>
      <c r="R559" t="s">
        <v>310</v>
      </c>
      <c r="S559">
        <v>9</v>
      </c>
      <c r="T559" t="s">
        <v>310</v>
      </c>
      <c r="U559">
        <v>9</v>
      </c>
      <c r="V559">
        <v>9</v>
      </c>
      <c r="W559">
        <v>0</v>
      </c>
      <c r="X559">
        <v>0</v>
      </c>
      <c r="Y559">
        <v>0</v>
      </c>
      <c r="Z559">
        <v>0</v>
      </c>
      <c r="AA559">
        <v>9</v>
      </c>
      <c r="AB559">
        <v>9</v>
      </c>
      <c r="AC559" t="s">
        <v>310</v>
      </c>
      <c r="AD559">
        <v>9</v>
      </c>
      <c r="AE559" t="s">
        <v>1413</v>
      </c>
      <c r="AF559">
        <v>100000000</v>
      </c>
      <c r="AG559" t="s">
        <v>310</v>
      </c>
      <c r="AH559">
        <f>SUM((MID(Dyno_Data[[#This Row],[Team]],4,5))+(Dyno_Data[[#This Row],[Match]]/100))</f>
        <v>7709.09</v>
      </c>
      <c r="AI559" s="76">
        <f>ROUND(SUM(IF(Dyno_Data[[#This Row],[AcqCenter]]&gt;0,Dyno_Data[[#This Row],[Time]]-SUMIFS(Dyno_Data[Time],Dyno_Data[Team],Dyno_Data[[#This Row],[Team]],Dyno_Data[RecordType],"StartMatch",Dyno_Data[Match],Dyno_Data[[#This Row],[Match]]),0)*86400),0)</f>
        <v>0</v>
      </c>
    </row>
    <row r="560" spans="1:35" x14ac:dyDescent="0.3">
      <c r="A560">
        <v>559</v>
      </c>
      <c r="B560" t="s">
        <v>1318</v>
      </c>
      <c r="C560">
        <v>9</v>
      </c>
      <c r="D560" s="105">
        <v>45373.427532870373</v>
      </c>
      <c r="E560" t="s">
        <v>316</v>
      </c>
      <c r="F560" t="s">
        <v>317</v>
      </c>
      <c r="G560">
        <v>1</v>
      </c>
      <c r="H560" t="s">
        <v>310</v>
      </c>
      <c r="I560">
        <v>0</v>
      </c>
      <c r="J560">
        <v>0</v>
      </c>
      <c r="K560">
        <v>0</v>
      </c>
      <c r="L560" t="s">
        <v>310</v>
      </c>
      <c r="M560" t="s">
        <v>310</v>
      </c>
      <c r="N560">
        <v>0</v>
      </c>
      <c r="O560" t="s">
        <v>311</v>
      </c>
      <c r="P560" t="s">
        <v>240</v>
      </c>
      <c r="Q560" t="s">
        <v>1400</v>
      </c>
      <c r="R560" t="s">
        <v>1404</v>
      </c>
      <c r="S560">
        <v>0</v>
      </c>
      <c r="T560" t="s">
        <v>105</v>
      </c>
      <c r="U560">
        <v>9</v>
      </c>
      <c r="V560">
        <v>9</v>
      </c>
      <c r="W560">
        <v>0</v>
      </c>
      <c r="X560">
        <v>30.622505999999998</v>
      </c>
      <c r="Y560">
        <v>12.672374399999999</v>
      </c>
      <c r="Z560">
        <v>98.088569299999989</v>
      </c>
      <c r="AA560">
        <v>0</v>
      </c>
      <c r="AB560">
        <v>0</v>
      </c>
      <c r="AC560" t="s">
        <v>174</v>
      </c>
      <c r="AD560">
        <v>9</v>
      </c>
      <c r="AE560" t="s">
        <v>1413</v>
      </c>
      <c r="AF560">
        <v>100000000</v>
      </c>
      <c r="AG560" t="s">
        <v>310</v>
      </c>
      <c r="AH560">
        <f>SUM((MID(Dyno_Data[[#This Row],[Team]],4,5))+(Dyno_Data[[#This Row],[Match]]/100))</f>
        <v>7709.09</v>
      </c>
      <c r="AI560" s="76">
        <f>ROUND(SUM(IF(Dyno_Data[[#This Row],[AcqCenter]]&gt;0,Dyno_Data[[#This Row],[Time]]-SUMIFS(Dyno_Data[Time],Dyno_Data[Team],Dyno_Data[[#This Row],[Team]],Dyno_Data[RecordType],"StartMatch",Dyno_Data[Match],Dyno_Data[[#This Row],[Match]]),0)*86400),0)</f>
        <v>0</v>
      </c>
    </row>
    <row r="561" spans="1:35" x14ac:dyDescent="0.3">
      <c r="A561">
        <v>560</v>
      </c>
      <c r="B561" t="s">
        <v>369</v>
      </c>
      <c r="C561">
        <v>9</v>
      </c>
      <c r="D561" s="105">
        <v>45373.42753306713</v>
      </c>
      <c r="E561" t="s">
        <v>316</v>
      </c>
      <c r="F561" t="s">
        <v>317</v>
      </c>
      <c r="G561">
        <v>1</v>
      </c>
      <c r="H561" t="s">
        <v>310</v>
      </c>
      <c r="I561">
        <v>0</v>
      </c>
      <c r="J561">
        <v>0</v>
      </c>
      <c r="K561">
        <v>0</v>
      </c>
      <c r="L561" t="s">
        <v>310</v>
      </c>
      <c r="M561" t="s">
        <v>310</v>
      </c>
      <c r="N561">
        <v>0</v>
      </c>
      <c r="O561" t="s">
        <v>1391</v>
      </c>
      <c r="P561" t="s">
        <v>101</v>
      </c>
      <c r="Q561" t="s">
        <v>1400</v>
      </c>
      <c r="R561" t="s">
        <v>1404</v>
      </c>
      <c r="S561">
        <v>0</v>
      </c>
      <c r="T561" t="s">
        <v>105</v>
      </c>
      <c r="U561">
        <v>9</v>
      </c>
      <c r="V561">
        <v>9</v>
      </c>
      <c r="W561">
        <v>0</v>
      </c>
      <c r="X561">
        <v>100.2736419</v>
      </c>
      <c r="Y561">
        <v>13.626399599999999</v>
      </c>
      <c r="Z561">
        <v>23.9814632</v>
      </c>
      <c r="AA561">
        <v>3</v>
      </c>
      <c r="AB561">
        <v>0</v>
      </c>
      <c r="AC561" t="s">
        <v>170</v>
      </c>
      <c r="AD561">
        <v>9</v>
      </c>
      <c r="AE561" t="s">
        <v>1390</v>
      </c>
      <c r="AF561">
        <v>0</v>
      </c>
      <c r="AG561" t="s">
        <v>310</v>
      </c>
      <c r="AH561">
        <f>SUM((MID(Dyno_Data[[#This Row],[Team]],4,5))+(Dyno_Data[[#This Row],[Match]]/100))</f>
        <v>6463.09</v>
      </c>
      <c r="AI561" s="76">
        <f>ROUND(SUM(IF(Dyno_Data[[#This Row],[AcqCenter]]&gt;0,Dyno_Data[[#This Row],[Time]]-SUMIFS(Dyno_Data[Time],Dyno_Data[Team],Dyno_Data[[#This Row],[Team]],Dyno_Data[RecordType],"StartMatch",Dyno_Data[Match],Dyno_Data[[#This Row],[Match]]),0)*86400),0)</f>
        <v>0</v>
      </c>
    </row>
    <row r="562" spans="1:35" x14ac:dyDescent="0.3">
      <c r="A562">
        <v>561</v>
      </c>
      <c r="B562" t="s">
        <v>1288</v>
      </c>
      <c r="C562">
        <v>9</v>
      </c>
      <c r="D562" s="105">
        <v>45373.427533217589</v>
      </c>
      <c r="E562" t="s">
        <v>316</v>
      </c>
      <c r="F562" t="s">
        <v>317</v>
      </c>
      <c r="G562">
        <v>1</v>
      </c>
      <c r="H562" t="s">
        <v>310</v>
      </c>
      <c r="I562">
        <v>0</v>
      </c>
      <c r="J562">
        <v>0</v>
      </c>
      <c r="K562">
        <v>0</v>
      </c>
      <c r="L562" t="s">
        <v>310</v>
      </c>
      <c r="M562" t="s">
        <v>310</v>
      </c>
      <c r="N562">
        <v>0</v>
      </c>
      <c r="O562" t="s">
        <v>319</v>
      </c>
      <c r="P562" t="s">
        <v>1401</v>
      </c>
      <c r="Q562" t="s">
        <v>1399</v>
      </c>
      <c r="R562" t="s">
        <v>1405</v>
      </c>
      <c r="S562">
        <v>1</v>
      </c>
      <c r="T562" t="s">
        <v>1409</v>
      </c>
      <c r="U562">
        <v>0</v>
      </c>
      <c r="V562">
        <v>0</v>
      </c>
      <c r="W562">
        <v>9.1987439000000002</v>
      </c>
      <c r="X562">
        <v>25.430223299999998</v>
      </c>
      <c r="Y562">
        <v>74.950831800000003</v>
      </c>
      <c r="Z562">
        <v>12.3791888</v>
      </c>
      <c r="AA562">
        <v>2</v>
      </c>
      <c r="AB562">
        <v>0</v>
      </c>
      <c r="AC562" t="s">
        <v>170</v>
      </c>
      <c r="AD562">
        <v>0</v>
      </c>
      <c r="AE562" t="s">
        <v>1396</v>
      </c>
      <c r="AF562">
        <v>0</v>
      </c>
      <c r="AG562" t="s">
        <v>310</v>
      </c>
      <c r="AH562">
        <f>SUM((MID(Dyno_Data[[#This Row],[Team]],4,5))+(Dyno_Data[[#This Row],[Match]]/100))</f>
        <v>3181.09</v>
      </c>
      <c r="AI562" s="76">
        <f>ROUND(SUM(IF(Dyno_Data[[#This Row],[AcqCenter]]&gt;0,Dyno_Data[[#This Row],[Time]]-SUMIFS(Dyno_Data[Time],Dyno_Data[Team],Dyno_Data[[#This Row],[Team]],Dyno_Data[RecordType],"StartMatch",Dyno_Data[Match],Dyno_Data[[#This Row],[Match]]),0)*86400),0)</f>
        <v>0</v>
      </c>
    </row>
    <row r="563" spans="1:35" x14ac:dyDescent="0.3">
      <c r="A563">
        <v>562</v>
      </c>
      <c r="B563" t="s">
        <v>1294</v>
      </c>
      <c r="C563">
        <v>9</v>
      </c>
      <c r="D563" s="105">
        <v>45373.427533298614</v>
      </c>
      <c r="E563" t="s">
        <v>316</v>
      </c>
      <c r="F563" t="s">
        <v>317</v>
      </c>
      <c r="G563">
        <v>0</v>
      </c>
      <c r="H563" t="s">
        <v>310</v>
      </c>
      <c r="I563">
        <v>0</v>
      </c>
      <c r="J563">
        <v>0</v>
      </c>
      <c r="K563">
        <v>0</v>
      </c>
      <c r="L563" t="s">
        <v>310</v>
      </c>
      <c r="M563" t="s">
        <v>310</v>
      </c>
      <c r="N563">
        <v>0</v>
      </c>
      <c r="O563" t="s">
        <v>1393</v>
      </c>
      <c r="P563" t="s">
        <v>101</v>
      </c>
      <c r="Q563" t="s">
        <v>1399</v>
      </c>
      <c r="R563" t="s">
        <v>321</v>
      </c>
      <c r="S563">
        <v>0</v>
      </c>
      <c r="T563" t="s">
        <v>105</v>
      </c>
      <c r="U563">
        <v>9</v>
      </c>
      <c r="V563">
        <v>9</v>
      </c>
      <c r="W563">
        <v>0</v>
      </c>
      <c r="X563">
        <v>0</v>
      </c>
      <c r="Y563">
        <v>0</v>
      </c>
      <c r="Z563">
        <v>137.01309639999999</v>
      </c>
      <c r="AA563">
        <v>0</v>
      </c>
      <c r="AB563">
        <v>0</v>
      </c>
      <c r="AC563" t="s">
        <v>167</v>
      </c>
      <c r="AD563">
        <v>0</v>
      </c>
      <c r="AE563" t="s">
        <v>1412</v>
      </c>
      <c r="AF563">
        <v>0</v>
      </c>
      <c r="AG563" t="s">
        <v>310</v>
      </c>
      <c r="AH563">
        <f>SUM((MID(Dyno_Data[[#This Row],[Team]],4,5))+(Dyno_Data[[#This Row],[Match]]/100))</f>
        <v>9076.09</v>
      </c>
      <c r="AI563" s="76">
        <f>ROUND(SUM(IF(Dyno_Data[[#This Row],[AcqCenter]]&gt;0,Dyno_Data[[#This Row],[Time]]-SUMIFS(Dyno_Data[Time],Dyno_Data[Team],Dyno_Data[[#This Row],[Team]],Dyno_Data[RecordType],"StartMatch",Dyno_Data[Match],Dyno_Data[[#This Row],[Match]]),0)*86400),0)</f>
        <v>0</v>
      </c>
    </row>
    <row r="564" spans="1:35" x14ac:dyDescent="0.3">
      <c r="A564">
        <v>563</v>
      </c>
      <c r="B564" t="s">
        <v>1276</v>
      </c>
      <c r="C564">
        <v>9</v>
      </c>
      <c r="D564" s="105">
        <v>45373.427533414353</v>
      </c>
      <c r="E564" t="s">
        <v>316</v>
      </c>
      <c r="F564" t="s">
        <v>317</v>
      </c>
      <c r="G564">
        <v>1</v>
      </c>
      <c r="H564" t="s">
        <v>310</v>
      </c>
      <c r="I564">
        <v>0</v>
      </c>
      <c r="J564">
        <v>0</v>
      </c>
      <c r="K564">
        <v>0</v>
      </c>
      <c r="L564" t="s">
        <v>310</v>
      </c>
      <c r="M564" t="s">
        <v>310</v>
      </c>
      <c r="N564">
        <v>0</v>
      </c>
      <c r="O564" t="s">
        <v>1389</v>
      </c>
      <c r="P564" t="s">
        <v>320</v>
      </c>
      <c r="Q564" t="s">
        <v>1400</v>
      </c>
      <c r="R564" t="s">
        <v>1404</v>
      </c>
      <c r="S564">
        <v>0</v>
      </c>
      <c r="T564" t="s">
        <v>105</v>
      </c>
      <c r="U564">
        <v>9</v>
      </c>
      <c r="V564">
        <v>9</v>
      </c>
      <c r="W564">
        <v>0</v>
      </c>
      <c r="X564">
        <v>0</v>
      </c>
      <c r="Y564">
        <v>56.701359399999994</v>
      </c>
      <c r="Z564">
        <v>79.117070699999999</v>
      </c>
      <c r="AA564">
        <v>2</v>
      </c>
      <c r="AB564">
        <v>0</v>
      </c>
      <c r="AC564" t="s">
        <v>170</v>
      </c>
      <c r="AD564">
        <v>9</v>
      </c>
      <c r="AE564" t="s">
        <v>1414</v>
      </c>
      <c r="AF564">
        <v>100000</v>
      </c>
      <c r="AG564" t="s">
        <v>310</v>
      </c>
      <c r="AH564">
        <f>SUM((MID(Dyno_Data[[#This Row],[Team]],4,5))+(Dyno_Data[[#This Row],[Match]]/100))</f>
        <v>229.09</v>
      </c>
      <c r="AI564" s="76">
        <f>ROUND(SUM(IF(Dyno_Data[[#This Row],[AcqCenter]]&gt;0,Dyno_Data[[#This Row],[Time]]-SUMIFS(Dyno_Data[Time],Dyno_Data[Team],Dyno_Data[[#This Row],[Team]],Dyno_Data[RecordType],"StartMatch",Dyno_Data[Match],Dyno_Data[[#This Row],[Match]]),0)*86400),0)</f>
        <v>0</v>
      </c>
    </row>
    <row r="565" spans="1:35" x14ac:dyDescent="0.3">
      <c r="A565">
        <v>564</v>
      </c>
      <c r="B565" t="s">
        <v>1317</v>
      </c>
      <c r="C565">
        <v>9</v>
      </c>
      <c r="D565" s="105">
        <v>45373.427533530092</v>
      </c>
      <c r="E565" t="s">
        <v>316</v>
      </c>
      <c r="F565" t="s">
        <v>317</v>
      </c>
      <c r="G565">
        <v>1</v>
      </c>
      <c r="H565" t="s">
        <v>310</v>
      </c>
      <c r="I565">
        <v>0</v>
      </c>
      <c r="J565">
        <v>0</v>
      </c>
      <c r="K565">
        <v>0</v>
      </c>
      <c r="L565" t="s">
        <v>310</v>
      </c>
      <c r="M565" t="s">
        <v>310</v>
      </c>
      <c r="N565">
        <v>0</v>
      </c>
      <c r="O565" t="s">
        <v>1395</v>
      </c>
      <c r="P565" t="s">
        <v>240</v>
      </c>
      <c r="Q565" t="s">
        <v>1400</v>
      </c>
      <c r="R565" t="s">
        <v>1404</v>
      </c>
      <c r="S565">
        <v>-1</v>
      </c>
      <c r="T565" t="s">
        <v>105</v>
      </c>
      <c r="U565">
        <v>9</v>
      </c>
      <c r="V565">
        <v>9</v>
      </c>
      <c r="W565">
        <v>1.3266663999999999</v>
      </c>
      <c r="X565">
        <v>0</v>
      </c>
      <c r="Y565">
        <v>4.1845189999999999</v>
      </c>
      <c r="Z565">
        <v>129.4323316</v>
      </c>
      <c r="AA565">
        <v>0</v>
      </c>
      <c r="AB565">
        <v>3</v>
      </c>
      <c r="AC565" t="s">
        <v>167</v>
      </c>
      <c r="AD565">
        <v>9</v>
      </c>
      <c r="AE565" t="s">
        <v>1388</v>
      </c>
      <c r="AF565">
        <v>20000000</v>
      </c>
      <c r="AG565" t="s">
        <v>310</v>
      </c>
      <c r="AH565">
        <f>SUM((MID(Dyno_Data[[#This Row],[Team]],4,5))+(Dyno_Data[[#This Row],[Match]]/100))</f>
        <v>296.08999999999997</v>
      </c>
      <c r="AI565" s="76">
        <f>ROUND(SUM(IF(Dyno_Data[[#This Row],[AcqCenter]]&gt;0,Dyno_Data[[#This Row],[Time]]-SUMIFS(Dyno_Data[Time],Dyno_Data[Team],Dyno_Data[[#This Row],[Team]],Dyno_Data[RecordType],"StartMatch",Dyno_Data[Match],Dyno_Data[[#This Row],[Match]]),0)*86400),0)</f>
        <v>0</v>
      </c>
    </row>
    <row r="566" spans="1:35" x14ac:dyDescent="0.3">
      <c r="A566">
        <v>575</v>
      </c>
      <c r="B566" t="s">
        <v>1279</v>
      </c>
      <c r="C566">
        <v>10</v>
      </c>
      <c r="D566" s="105">
        <v>45373.429784837965</v>
      </c>
      <c r="E566" t="s">
        <v>308</v>
      </c>
      <c r="F566" t="s">
        <v>309</v>
      </c>
      <c r="G566">
        <v>0</v>
      </c>
      <c r="H566" t="s">
        <v>310</v>
      </c>
      <c r="I566">
        <v>0</v>
      </c>
      <c r="J566">
        <v>0</v>
      </c>
      <c r="K566">
        <v>0</v>
      </c>
      <c r="L566" t="s">
        <v>310</v>
      </c>
      <c r="M566" t="s">
        <v>310</v>
      </c>
      <c r="N566">
        <v>0</v>
      </c>
      <c r="O566" t="s">
        <v>1393</v>
      </c>
      <c r="P566" t="s">
        <v>310</v>
      </c>
      <c r="Q566" t="s">
        <v>310</v>
      </c>
      <c r="R566" t="s">
        <v>310</v>
      </c>
      <c r="S566">
        <v>9</v>
      </c>
      <c r="T566" t="s">
        <v>310</v>
      </c>
      <c r="U566">
        <v>9</v>
      </c>
      <c r="V566">
        <v>9</v>
      </c>
      <c r="W566">
        <v>0</v>
      </c>
      <c r="X566">
        <v>0</v>
      </c>
      <c r="Y566">
        <v>0</v>
      </c>
      <c r="Z566">
        <v>0</v>
      </c>
      <c r="AA566">
        <v>9</v>
      </c>
      <c r="AB566">
        <v>9</v>
      </c>
      <c r="AC566" t="s">
        <v>310</v>
      </c>
      <c r="AD566">
        <v>9</v>
      </c>
      <c r="AE566" t="s">
        <v>1412</v>
      </c>
      <c r="AF566">
        <v>0</v>
      </c>
      <c r="AG566" t="s">
        <v>310</v>
      </c>
      <c r="AH566">
        <f>SUM((MID(Dyno_Data[[#This Row],[Team]],4,5))+(Dyno_Data[[#This Row],[Match]]/100))</f>
        <v>5149.1000000000004</v>
      </c>
      <c r="AI566" s="76">
        <f>ROUND(SUM(IF(Dyno_Data[[#This Row],[AcqCenter]]&gt;0,Dyno_Data[[#This Row],[Time]]-SUMIFS(Dyno_Data[Time],Dyno_Data[Team],Dyno_Data[[#This Row],[Team]],Dyno_Data[RecordType],"StartMatch",Dyno_Data[Match],Dyno_Data[[#This Row],[Match]]),0)*86400),0)</f>
        <v>0</v>
      </c>
    </row>
    <row r="567" spans="1:35" x14ac:dyDescent="0.3">
      <c r="A567">
        <v>577</v>
      </c>
      <c r="B567" t="s">
        <v>1296</v>
      </c>
      <c r="C567">
        <v>10</v>
      </c>
      <c r="D567" s="105">
        <v>45373.429785567132</v>
      </c>
      <c r="E567" t="s">
        <v>308</v>
      </c>
      <c r="F567" t="s">
        <v>309</v>
      </c>
      <c r="G567">
        <v>0</v>
      </c>
      <c r="H567" t="s">
        <v>310</v>
      </c>
      <c r="I567">
        <v>0</v>
      </c>
      <c r="J567">
        <v>0</v>
      </c>
      <c r="K567">
        <v>0</v>
      </c>
      <c r="L567" t="s">
        <v>310</v>
      </c>
      <c r="M567" t="s">
        <v>310</v>
      </c>
      <c r="N567">
        <v>0</v>
      </c>
      <c r="O567" t="s">
        <v>1391</v>
      </c>
      <c r="P567" t="s">
        <v>310</v>
      </c>
      <c r="Q567" t="s">
        <v>310</v>
      </c>
      <c r="R567" t="s">
        <v>310</v>
      </c>
      <c r="S567">
        <v>9</v>
      </c>
      <c r="T567" t="s">
        <v>310</v>
      </c>
      <c r="U567">
        <v>9</v>
      </c>
      <c r="V567">
        <v>9</v>
      </c>
      <c r="W567">
        <v>0</v>
      </c>
      <c r="X567">
        <v>0</v>
      </c>
      <c r="Y567">
        <v>0</v>
      </c>
      <c r="Z567">
        <v>0</v>
      </c>
      <c r="AA567">
        <v>9</v>
      </c>
      <c r="AB567">
        <v>9</v>
      </c>
      <c r="AC567" t="s">
        <v>310</v>
      </c>
      <c r="AD567">
        <v>9</v>
      </c>
      <c r="AE567" t="s">
        <v>1396</v>
      </c>
      <c r="AF567">
        <v>20000000</v>
      </c>
      <c r="AG567" t="s">
        <v>310</v>
      </c>
      <c r="AH567">
        <f>SUM((MID(Dyno_Data[[#This Row],[Team]],4,5))+(Dyno_Data[[#This Row],[Match]]/100))</f>
        <v>3003.1</v>
      </c>
      <c r="AI567" s="76">
        <f>ROUND(SUM(IF(Dyno_Data[[#This Row],[AcqCenter]]&gt;0,Dyno_Data[[#This Row],[Time]]-SUMIFS(Dyno_Data[Time],Dyno_Data[Team],Dyno_Data[[#This Row],[Team]],Dyno_Data[RecordType],"StartMatch",Dyno_Data[Match],Dyno_Data[[#This Row],[Match]]),0)*86400),0)</f>
        <v>0</v>
      </c>
    </row>
    <row r="568" spans="1:35" x14ac:dyDescent="0.3">
      <c r="A568">
        <v>579</v>
      </c>
      <c r="B568" t="s">
        <v>362</v>
      </c>
      <c r="C568">
        <v>10</v>
      </c>
      <c r="D568" s="105">
        <v>45373.429786307868</v>
      </c>
      <c r="E568" t="s">
        <v>308</v>
      </c>
      <c r="F568" t="s">
        <v>309</v>
      </c>
      <c r="G568">
        <v>0</v>
      </c>
      <c r="H568" t="s">
        <v>310</v>
      </c>
      <c r="I568">
        <v>0</v>
      </c>
      <c r="J568">
        <v>0</v>
      </c>
      <c r="K568">
        <v>0</v>
      </c>
      <c r="L568" t="s">
        <v>310</v>
      </c>
      <c r="M568" t="s">
        <v>310</v>
      </c>
      <c r="N568">
        <v>0</v>
      </c>
      <c r="O568" t="s">
        <v>311</v>
      </c>
      <c r="P568" t="s">
        <v>310</v>
      </c>
      <c r="Q568" t="s">
        <v>310</v>
      </c>
      <c r="R568" t="s">
        <v>310</v>
      </c>
      <c r="S568">
        <v>9</v>
      </c>
      <c r="T568" t="s">
        <v>310</v>
      </c>
      <c r="U568">
        <v>9</v>
      </c>
      <c r="V568">
        <v>9</v>
      </c>
      <c r="W568">
        <v>0</v>
      </c>
      <c r="X568">
        <v>0</v>
      </c>
      <c r="Y568">
        <v>0</v>
      </c>
      <c r="Z568">
        <v>0</v>
      </c>
      <c r="AA568">
        <v>9</v>
      </c>
      <c r="AB568">
        <v>9</v>
      </c>
      <c r="AC568" t="s">
        <v>310</v>
      </c>
      <c r="AD568">
        <v>9</v>
      </c>
      <c r="AE568" t="s">
        <v>1388</v>
      </c>
      <c r="AF568">
        <v>4000</v>
      </c>
      <c r="AG568" t="s">
        <v>310</v>
      </c>
      <c r="AH568">
        <f>SUM((MID(Dyno_Data[[#This Row],[Team]],4,5))+(Dyno_Data[[#This Row],[Match]]/100))</f>
        <v>250.1</v>
      </c>
      <c r="AI568" s="76">
        <f>ROUND(SUM(IF(Dyno_Data[[#This Row],[AcqCenter]]&gt;0,Dyno_Data[[#This Row],[Time]]-SUMIFS(Dyno_Data[Time],Dyno_Data[Team],Dyno_Data[[#This Row],[Team]],Dyno_Data[RecordType],"StartMatch",Dyno_Data[Match],Dyno_Data[[#This Row],[Match]]),0)*86400),0)</f>
        <v>0</v>
      </c>
    </row>
    <row r="569" spans="1:35" x14ac:dyDescent="0.3">
      <c r="A569">
        <v>581</v>
      </c>
      <c r="B569" t="s">
        <v>1302</v>
      </c>
      <c r="C569">
        <v>10</v>
      </c>
      <c r="D569" s="105">
        <v>45373.429789201386</v>
      </c>
      <c r="E569" t="s">
        <v>308</v>
      </c>
      <c r="F569" t="s">
        <v>309</v>
      </c>
      <c r="G569">
        <v>0</v>
      </c>
      <c r="H569" t="s">
        <v>310</v>
      </c>
      <c r="I569">
        <v>0</v>
      </c>
      <c r="J569">
        <v>0</v>
      </c>
      <c r="K569">
        <v>0</v>
      </c>
      <c r="L569" t="s">
        <v>310</v>
      </c>
      <c r="M569" t="s">
        <v>310</v>
      </c>
      <c r="N569">
        <v>0</v>
      </c>
      <c r="O569" t="s">
        <v>319</v>
      </c>
      <c r="P569" t="s">
        <v>310</v>
      </c>
      <c r="Q569" t="s">
        <v>310</v>
      </c>
      <c r="R569" t="s">
        <v>310</v>
      </c>
      <c r="S569">
        <v>9</v>
      </c>
      <c r="T569" t="s">
        <v>310</v>
      </c>
      <c r="U569">
        <v>9</v>
      </c>
      <c r="V569">
        <v>9</v>
      </c>
      <c r="W569">
        <v>0</v>
      </c>
      <c r="X569">
        <v>0</v>
      </c>
      <c r="Y569">
        <v>0</v>
      </c>
      <c r="Z569">
        <v>0</v>
      </c>
      <c r="AA569">
        <v>9</v>
      </c>
      <c r="AB569">
        <v>9</v>
      </c>
      <c r="AC569" t="s">
        <v>310</v>
      </c>
      <c r="AD569">
        <v>9</v>
      </c>
      <c r="AE569" t="s">
        <v>1390</v>
      </c>
      <c r="AF569">
        <v>0</v>
      </c>
      <c r="AG569" t="s">
        <v>310</v>
      </c>
      <c r="AH569">
        <f>SUM((MID(Dyno_Data[[#This Row],[Team]],4,5))+(Dyno_Data[[#This Row],[Match]]/100))</f>
        <v>2095.1</v>
      </c>
      <c r="AI569" s="76">
        <f>ROUND(SUM(IF(Dyno_Data[[#This Row],[AcqCenter]]&gt;0,Dyno_Data[[#This Row],[Time]]-SUMIFS(Dyno_Data[Time],Dyno_Data[Team],Dyno_Data[[#This Row],[Team]],Dyno_Data[RecordType],"StartMatch",Dyno_Data[Match],Dyno_Data[[#This Row],[Match]]),0)*86400),0)</f>
        <v>0</v>
      </c>
    </row>
    <row r="570" spans="1:35" x14ac:dyDescent="0.3">
      <c r="A570">
        <v>583</v>
      </c>
      <c r="B570" t="s">
        <v>367</v>
      </c>
      <c r="C570">
        <v>10</v>
      </c>
      <c r="D570" s="105">
        <v>45373.429789895832</v>
      </c>
      <c r="E570" t="s">
        <v>308</v>
      </c>
      <c r="F570" t="s">
        <v>309</v>
      </c>
      <c r="G570">
        <v>0</v>
      </c>
      <c r="H570" t="s">
        <v>310</v>
      </c>
      <c r="I570">
        <v>0</v>
      </c>
      <c r="J570">
        <v>0</v>
      </c>
      <c r="K570">
        <v>0</v>
      </c>
      <c r="L570" t="s">
        <v>310</v>
      </c>
      <c r="M570" t="s">
        <v>310</v>
      </c>
      <c r="N570">
        <v>0</v>
      </c>
      <c r="O570" t="s">
        <v>1395</v>
      </c>
      <c r="P570" t="s">
        <v>310</v>
      </c>
      <c r="Q570" t="s">
        <v>310</v>
      </c>
      <c r="R570" t="s">
        <v>310</v>
      </c>
      <c r="S570">
        <v>9</v>
      </c>
      <c r="T570" t="s">
        <v>310</v>
      </c>
      <c r="U570">
        <v>9</v>
      </c>
      <c r="V570">
        <v>9</v>
      </c>
      <c r="W570">
        <v>0</v>
      </c>
      <c r="X570">
        <v>0</v>
      </c>
      <c r="Y570">
        <v>0</v>
      </c>
      <c r="Z570">
        <v>0</v>
      </c>
      <c r="AA570">
        <v>9</v>
      </c>
      <c r="AB570">
        <v>9</v>
      </c>
      <c r="AC570" t="s">
        <v>310</v>
      </c>
      <c r="AD570">
        <v>9</v>
      </c>
      <c r="AE570" t="s">
        <v>1413</v>
      </c>
      <c r="AF570">
        <v>0</v>
      </c>
      <c r="AG570" t="s">
        <v>310</v>
      </c>
      <c r="AH570">
        <f>SUM((MID(Dyno_Data[[#This Row],[Team]],4,5))+(Dyno_Data[[#This Row],[Match]]/100))</f>
        <v>5016.1000000000004</v>
      </c>
      <c r="AI570" s="76">
        <f>ROUND(SUM(IF(Dyno_Data[[#This Row],[AcqCenter]]&gt;0,Dyno_Data[[#This Row],[Time]]-SUMIFS(Dyno_Data[Time],Dyno_Data[Team],Dyno_Data[[#This Row],[Team]],Dyno_Data[RecordType],"StartMatch",Dyno_Data[Match],Dyno_Data[[#This Row],[Match]]),0)*86400),0)</f>
        <v>0</v>
      </c>
    </row>
    <row r="571" spans="1:35" x14ac:dyDescent="0.3">
      <c r="A571">
        <v>585</v>
      </c>
      <c r="B571" t="s">
        <v>370</v>
      </c>
      <c r="C571">
        <v>10</v>
      </c>
      <c r="D571" s="105">
        <v>45373.42979652778</v>
      </c>
      <c r="E571" t="s">
        <v>308</v>
      </c>
      <c r="F571" t="s">
        <v>309</v>
      </c>
      <c r="G571">
        <v>0</v>
      </c>
      <c r="H571" t="s">
        <v>310</v>
      </c>
      <c r="I571">
        <v>0</v>
      </c>
      <c r="J571">
        <v>0</v>
      </c>
      <c r="K571">
        <v>0</v>
      </c>
      <c r="L571" t="s">
        <v>310</v>
      </c>
      <c r="M571" t="s">
        <v>310</v>
      </c>
      <c r="N571">
        <v>0</v>
      </c>
      <c r="O571" t="s">
        <v>1389</v>
      </c>
      <c r="P571" t="s">
        <v>310</v>
      </c>
      <c r="Q571" t="s">
        <v>310</v>
      </c>
      <c r="R571" t="s">
        <v>310</v>
      </c>
      <c r="S571">
        <v>9</v>
      </c>
      <c r="T571" t="s">
        <v>310</v>
      </c>
      <c r="U571">
        <v>9</v>
      </c>
      <c r="V571">
        <v>9</v>
      </c>
      <c r="W571">
        <v>0</v>
      </c>
      <c r="X571">
        <v>0</v>
      </c>
      <c r="Y571">
        <v>0</v>
      </c>
      <c r="Z571">
        <v>0</v>
      </c>
      <c r="AA571">
        <v>9</v>
      </c>
      <c r="AB571">
        <v>9</v>
      </c>
      <c r="AC571" t="s">
        <v>310</v>
      </c>
      <c r="AD571">
        <v>9</v>
      </c>
      <c r="AE571" t="s">
        <v>1414</v>
      </c>
      <c r="AF571">
        <v>10000000</v>
      </c>
      <c r="AG571" t="s">
        <v>310</v>
      </c>
      <c r="AH571">
        <f>SUM((MID(Dyno_Data[[#This Row],[Team]],4,5))+(Dyno_Data[[#This Row],[Match]]/100))</f>
        <v>6911.1</v>
      </c>
      <c r="AI571" s="76">
        <f>ROUND(SUM(IF(Dyno_Data[[#This Row],[AcqCenter]]&gt;0,Dyno_Data[[#This Row],[Time]]-SUMIFS(Dyno_Data[Time],Dyno_Data[Team],Dyno_Data[[#This Row],[Team]],Dyno_Data[RecordType],"StartMatch",Dyno_Data[Match],Dyno_Data[[#This Row],[Match]]),0)*86400),0)</f>
        <v>0</v>
      </c>
    </row>
    <row r="572" spans="1:35" x14ac:dyDescent="0.3">
      <c r="A572">
        <v>565</v>
      </c>
      <c r="B572" t="s">
        <v>370</v>
      </c>
      <c r="C572">
        <v>10</v>
      </c>
      <c r="D572" s="105">
        <v>45373.429812881943</v>
      </c>
      <c r="E572" t="s">
        <v>312</v>
      </c>
      <c r="F572" t="s">
        <v>309</v>
      </c>
      <c r="G572">
        <v>0</v>
      </c>
      <c r="H572" t="s">
        <v>1397</v>
      </c>
      <c r="I572">
        <v>0</v>
      </c>
      <c r="J572">
        <v>0</v>
      </c>
      <c r="K572">
        <v>0</v>
      </c>
      <c r="L572" t="s">
        <v>241</v>
      </c>
      <c r="M572" t="s">
        <v>1398</v>
      </c>
      <c r="N572">
        <v>0</v>
      </c>
      <c r="O572" t="s">
        <v>1389</v>
      </c>
      <c r="P572" t="s">
        <v>310</v>
      </c>
      <c r="Q572" t="s">
        <v>310</v>
      </c>
      <c r="R572" t="s">
        <v>310</v>
      </c>
      <c r="S572">
        <v>9</v>
      </c>
      <c r="T572" t="s">
        <v>310</v>
      </c>
      <c r="U572">
        <v>9</v>
      </c>
      <c r="V572">
        <v>9</v>
      </c>
      <c r="W572">
        <v>0</v>
      </c>
      <c r="X572">
        <v>0</v>
      </c>
      <c r="Y572">
        <v>0</v>
      </c>
      <c r="Z572">
        <v>0</v>
      </c>
      <c r="AA572">
        <v>9</v>
      </c>
      <c r="AB572">
        <v>9</v>
      </c>
      <c r="AC572" t="s">
        <v>310</v>
      </c>
      <c r="AD572">
        <v>9</v>
      </c>
      <c r="AE572" t="s">
        <v>1414</v>
      </c>
      <c r="AF572">
        <v>0</v>
      </c>
      <c r="AG572" t="s">
        <v>310</v>
      </c>
      <c r="AH572">
        <f>SUM((MID(Dyno_Data[[#This Row],[Team]],4,5))+(Dyno_Data[[#This Row],[Match]]/100))</f>
        <v>6911.1</v>
      </c>
      <c r="AI572" s="76">
        <f>ROUND(SUM(IF(Dyno_Data[[#This Row],[AcqCenter]]&gt;0,Dyno_Data[[#This Row],[Time]]-SUMIFS(Dyno_Data[Time],Dyno_Data[Team],Dyno_Data[[#This Row],[Team]],Dyno_Data[RecordType],"StartMatch",Dyno_Data[Match],Dyno_Data[[#This Row],[Match]]),0)*86400),0)</f>
        <v>0</v>
      </c>
    </row>
    <row r="573" spans="1:35" x14ac:dyDescent="0.3">
      <c r="A573">
        <v>566</v>
      </c>
      <c r="B573" t="s">
        <v>1296</v>
      </c>
      <c r="C573">
        <v>10</v>
      </c>
      <c r="D573" s="105">
        <v>45373.429824687497</v>
      </c>
      <c r="E573" t="s">
        <v>312</v>
      </c>
      <c r="F573" t="s">
        <v>309</v>
      </c>
      <c r="G573">
        <v>0</v>
      </c>
      <c r="H573" t="s">
        <v>1397</v>
      </c>
      <c r="I573">
        <v>0</v>
      </c>
      <c r="J573">
        <v>0</v>
      </c>
      <c r="K573">
        <v>0</v>
      </c>
      <c r="L573" t="s">
        <v>240</v>
      </c>
      <c r="M573" t="s">
        <v>1398</v>
      </c>
      <c r="N573">
        <v>0</v>
      </c>
      <c r="O573" t="s">
        <v>1391</v>
      </c>
      <c r="P573" t="s">
        <v>310</v>
      </c>
      <c r="Q573" t="s">
        <v>310</v>
      </c>
      <c r="R573" t="s">
        <v>310</v>
      </c>
      <c r="S573">
        <v>9</v>
      </c>
      <c r="T573" t="s">
        <v>310</v>
      </c>
      <c r="U573">
        <v>9</v>
      </c>
      <c r="V573">
        <v>9</v>
      </c>
      <c r="W573">
        <v>0</v>
      </c>
      <c r="X573">
        <v>0</v>
      </c>
      <c r="Y573">
        <v>0</v>
      </c>
      <c r="Z573">
        <v>0</v>
      </c>
      <c r="AA573">
        <v>9</v>
      </c>
      <c r="AB573">
        <v>9</v>
      </c>
      <c r="AC573" t="s">
        <v>310</v>
      </c>
      <c r="AD573">
        <v>9</v>
      </c>
      <c r="AE573" t="s">
        <v>1396</v>
      </c>
      <c r="AF573">
        <v>0</v>
      </c>
      <c r="AG573" t="s">
        <v>310</v>
      </c>
      <c r="AH573">
        <f>SUM((MID(Dyno_Data[[#This Row],[Team]],4,5))+(Dyno_Data[[#This Row],[Match]]/100))</f>
        <v>3003.1</v>
      </c>
      <c r="AI573" s="76">
        <f>ROUND(SUM(IF(Dyno_Data[[#This Row],[AcqCenter]]&gt;0,Dyno_Data[[#This Row],[Time]]-SUMIFS(Dyno_Data[Time],Dyno_Data[Team],Dyno_Data[[#This Row],[Team]],Dyno_Data[RecordType],"StartMatch",Dyno_Data[Match],Dyno_Data[[#This Row],[Match]]),0)*86400),0)</f>
        <v>0</v>
      </c>
    </row>
    <row r="574" spans="1:35" x14ac:dyDescent="0.3">
      <c r="A574">
        <v>567</v>
      </c>
      <c r="B574" t="s">
        <v>367</v>
      </c>
      <c r="C574">
        <v>10</v>
      </c>
      <c r="D574" s="105">
        <v>45373.429826817126</v>
      </c>
      <c r="E574" t="s">
        <v>312</v>
      </c>
      <c r="F574" t="s">
        <v>309</v>
      </c>
      <c r="G574">
        <v>0</v>
      </c>
      <c r="H574" t="s">
        <v>1415</v>
      </c>
      <c r="I574">
        <v>0</v>
      </c>
      <c r="J574">
        <v>0</v>
      </c>
      <c r="K574">
        <v>0</v>
      </c>
      <c r="L574" t="s">
        <v>313</v>
      </c>
      <c r="M574" t="s">
        <v>1398</v>
      </c>
      <c r="N574">
        <v>0</v>
      </c>
      <c r="O574" t="s">
        <v>1395</v>
      </c>
      <c r="P574" t="s">
        <v>310</v>
      </c>
      <c r="Q574" t="s">
        <v>310</v>
      </c>
      <c r="R574" t="s">
        <v>310</v>
      </c>
      <c r="S574">
        <v>9</v>
      </c>
      <c r="T574" t="s">
        <v>310</v>
      </c>
      <c r="U574">
        <v>9</v>
      </c>
      <c r="V574">
        <v>9</v>
      </c>
      <c r="W574">
        <v>0</v>
      </c>
      <c r="X574">
        <v>0</v>
      </c>
      <c r="Y574">
        <v>0</v>
      </c>
      <c r="Z574">
        <v>0</v>
      </c>
      <c r="AA574">
        <v>9</v>
      </c>
      <c r="AB574">
        <v>9</v>
      </c>
      <c r="AC574" t="s">
        <v>310</v>
      </c>
      <c r="AD574">
        <v>9</v>
      </c>
      <c r="AE574" t="s">
        <v>1413</v>
      </c>
      <c r="AF574">
        <v>0</v>
      </c>
      <c r="AG574" t="s">
        <v>310</v>
      </c>
      <c r="AH574">
        <f>SUM((MID(Dyno_Data[[#This Row],[Team]],4,5))+(Dyno_Data[[#This Row],[Match]]/100))</f>
        <v>5016.1000000000004</v>
      </c>
      <c r="AI574" s="76">
        <f>ROUND(SUM(IF(Dyno_Data[[#This Row],[AcqCenter]]&gt;0,Dyno_Data[[#This Row],[Time]]-SUMIFS(Dyno_Data[Time],Dyno_Data[Team],Dyno_Data[[#This Row],[Team]],Dyno_Data[RecordType],"StartMatch",Dyno_Data[Match],Dyno_Data[[#This Row],[Match]]),0)*86400),0)</f>
        <v>0</v>
      </c>
    </row>
    <row r="575" spans="1:35" x14ac:dyDescent="0.3">
      <c r="A575">
        <v>568</v>
      </c>
      <c r="B575" t="s">
        <v>362</v>
      </c>
      <c r="C575">
        <v>10</v>
      </c>
      <c r="D575" s="105">
        <v>45373.429838391203</v>
      </c>
      <c r="E575" t="s">
        <v>312</v>
      </c>
      <c r="F575" t="s">
        <v>309</v>
      </c>
      <c r="G575">
        <v>0</v>
      </c>
      <c r="H575" t="s">
        <v>143</v>
      </c>
      <c r="I575">
        <v>5</v>
      </c>
      <c r="J575">
        <v>-1</v>
      </c>
      <c r="K575">
        <v>0</v>
      </c>
      <c r="L575" t="s">
        <v>310</v>
      </c>
      <c r="M575" t="s">
        <v>310</v>
      </c>
      <c r="N575">
        <v>0</v>
      </c>
      <c r="O575" t="s">
        <v>311</v>
      </c>
      <c r="P575" t="s">
        <v>310</v>
      </c>
      <c r="Q575" t="s">
        <v>310</v>
      </c>
      <c r="R575" t="s">
        <v>310</v>
      </c>
      <c r="S575">
        <v>9</v>
      </c>
      <c r="T575" t="s">
        <v>310</v>
      </c>
      <c r="U575">
        <v>9</v>
      </c>
      <c r="V575">
        <v>9</v>
      </c>
      <c r="W575">
        <v>0</v>
      </c>
      <c r="X575">
        <v>0</v>
      </c>
      <c r="Y575">
        <v>0</v>
      </c>
      <c r="Z575">
        <v>0</v>
      </c>
      <c r="AA575">
        <v>9</v>
      </c>
      <c r="AB575">
        <v>9</v>
      </c>
      <c r="AC575" t="s">
        <v>310</v>
      </c>
      <c r="AD575">
        <v>9</v>
      </c>
      <c r="AE575" t="s">
        <v>1388</v>
      </c>
      <c r="AF575">
        <v>1000</v>
      </c>
      <c r="AG575" t="s">
        <v>310</v>
      </c>
      <c r="AH575">
        <f>SUM((MID(Dyno_Data[[#This Row],[Team]],4,5))+(Dyno_Data[[#This Row],[Match]]/100))</f>
        <v>250.1</v>
      </c>
      <c r="AI575" s="76">
        <f>ROUND(SUM(IF(Dyno_Data[[#This Row],[AcqCenter]]&gt;0,Dyno_Data[[#This Row],[Time]]-SUMIFS(Dyno_Data[Time],Dyno_Data[Team],Dyno_Data[[#This Row],[Team]],Dyno_Data[RecordType],"StartMatch",Dyno_Data[Match],Dyno_Data[[#This Row],[Match]]),0)*86400),0)</f>
        <v>5</v>
      </c>
    </row>
    <row r="576" spans="1:35" x14ac:dyDescent="0.3">
      <c r="A576">
        <v>569</v>
      </c>
      <c r="B576" t="s">
        <v>362</v>
      </c>
      <c r="C576">
        <v>10</v>
      </c>
      <c r="D576" s="105">
        <v>45373.42985216435</v>
      </c>
      <c r="E576" t="s">
        <v>312</v>
      </c>
      <c r="F576" t="s">
        <v>309</v>
      </c>
      <c r="G576">
        <v>0</v>
      </c>
      <c r="H576" t="s">
        <v>143</v>
      </c>
      <c r="I576">
        <v>4</v>
      </c>
      <c r="J576">
        <v>-1</v>
      </c>
      <c r="K576">
        <v>0</v>
      </c>
      <c r="L576" t="s">
        <v>310</v>
      </c>
      <c r="M576" t="s">
        <v>310</v>
      </c>
      <c r="N576">
        <v>0</v>
      </c>
      <c r="O576" t="s">
        <v>311</v>
      </c>
      <c r="P576" t="s">
        <v>310</v>
      </c>
      <c r="Q576" t="s">
        <v>310</v>
      </c>
      <c r="R576" t="s">
        <v>310</v>
      </c>
      <c r="S576">
        <v>9</v>
      </c>
      <c r="T576" t="s">
        <v>310</v>
      </c>
      <c r="U576">
        <v>9</v>
      </c>
      <c r="V576">
        <v>9</v>
      </c>
      <c r="W576">
        <v>0</v>
      </c>
      <c r="X576">
        <v>0</v>
      </c>
      <c r="Y576">
        <v>0</v>
      </c>
      <c r="Z576">
        <v>0</v>
      </c>
      <c r="AA576">
        <v>9</v>
      </c>
      <c r="AB576">
        <v>9</v>
      </c>
      <c r="AC576" t="s">
        <v>310</v>
      </c>
      <c r="AD576">
        <v>9</v>
      </c>
      <c r="AE576" t="s">
        <v>1388</v>
      </c>
      <c r="AF576">
        <v>2000</v>
      </c>
      <c r="AG576" t="s">
        <v>310</v>
      </c>
      <c r="AH576">
        <f>SUM((MID(Dyno_Data[[#This Row],[Team]],4,5))+(Dyno_Data[[#This Row],[Match]]/100))</f>
        <v>250.1</v>
      </c>
      <c r="AI576" s="76">
        <f>ROUND(SUM(IF(Dyno_Data[[#This Row],[AcqCenter]]&gt;0,Dyno_Data[[#This Row],[Time]]-SUMIFS(Dyno_Data[Time],Dyno_Data[Team],Dyno_Data[[#This Row],[Team]],Dyno_Data[RecordType],"StartMatch",Dyno_Data[Match],Dyno_Data[[#This Row],[Match]]),0)*86400),0)</f>
        <v>6</v>
      </c>
    </row>
    <row r="577" spans="1:35" x14ac:dyDescent="0.3">
      <c r="A577">
        <v>570</v>
      </c>
      <c r="B577" t="s">
        <v>362</v>
      </c>
      <c r="C577">
        <v>10</v>
      </c>
      <c r="D577" s="105">
        <v>45373.429864386577</v>
      </c>
      <c r="E577" t="s">
        <v>312</v>
      </c>
      <c r="F577" t="s">
        <v>309</v>
      </c>
      <c r="G577">
        <v>0</v>
      </c>
      <c r="H577" t="s">
        <v>143</v>
      </c>
      <c r="I577">
        <v>3</v>
      </c>
      <c r="J577">
        <v>-1</v>
      </c>
      <c r="K577">
        <v>0</v>
      </c>
      <c r="L577" t="s">
        <v>310</v>
      </c>
      <c r="M577" t="s">
        <v>310</v>
      </c>
      <c r="N577">
        <v>0</v>
      </c>
      <c r="O577" t="s">
        <v>311</v>
      </c>
      <c r="P577" t="s">
        <v>310</v>
      </c>
      <c r="Q577" t="s">
        <v>310</v>
      </c>
      <c r="R577" t="s">
        <v>310</v>
      </c>
      <c r="S577">
        <v>9</v>
      </c>
      <c r="T577" t="s">
        <v>310</v>
      </c>
      <c r="U577">
        <v>9</v>
      </c>
      <c r="V577">
        <v>9</v>
      </c>
      <c r="W577">
        <v>0</v>
      </c>
      <c r="X577">
        <v>0</v>
      </c>
      <c r="Y577">
        <v>0</v>
      </c>
      <c r="Z577">
        <v>0</v>
      </c>
      <c r="AA577">
        <v>9</v>
      </c>
      <c r="AB577">
        <v>9</v>
      </c>
      <c r="AC577" t="s">
        <v>310</v>
      </c>
      <c r="AD577">
        <v>9</v>
      </c>
      <c r="AE577" t="s">
        <v>1388</v>
      </c>
      <c r="AF577">
        <v>3000</v>
      </c>
      <c r="AG577" t="s">
        <v>310</v>
      </c>
      <c r="AH577">
        <f>SUM((MID(Dyno_Data[[#This Row],[Team]],4,5))+(Dyno_Data[[#This Row],[Match]]/100))</f>
        <v>250.1</v>
      </c>
      <c r="AI577" s="76">
        <f>ROUND(SUM(IF(Dyno_Data[[#This Row],[AcqCenter]]&gt;0,Dyno_Data[[#This Row],[Time]]-SUMIFS(Dyno_Data[Time],Dyno_Data[Team],Dyno_Data[[#This Row],[Team]],Dyno_Data[RecordType],"StartMatch",Dyno_Data[Match],Dyno_Data[[#This Row],[Match]]),0)*86400),0)</f>
        <v>7</v>
      </c>
    </row>
    <row r="578" spans="1:35" x14ac:dyDescent="0.3">
      <c r="A578">
        <v>571</v>
      </c>
      <c r="B578" t="s">
        <v>362</v>
      </c>
      <c r="C578">
        <v>10</v>
      </c>
      <c r="D578" s="105">
        <v>45373.429877465278</v>
      </c>
      <c r="E578" t="s">
        <v>312</v>
      </c>
      <c r="F578" t="s">
        <v>309</v>
      </c>
      <c r="G578">
        <v>0</v>
      </c>
      <c r="H578" t="s">
        <v>143</v>
      </c>
      <c r="I578">
        <v>2</v>
      </c>
      <c r="J578">
        <v>-1</v>
      </c>
      <c r="K578">
        <v>0</v>
      </c>
      <c r="L578" t="s">
        <v>310</v>
      </c>
      <c r="M578" t="s">
        <v>310</v>
      </c>
      <c r="N578">
        <v>0</v>
      </c>
      <c r="O578" t="s">
        <v>311</v>
      </c>
      <c r="P578" t="s">
        <v>310</v>
      </c>
      <c r="Q578" t="s">
        <v>310</v>
      </c>
      <c r="R578" t="s">
        <v>310</v>
      </c>
      <c r="S578">
        <v>9</v>
      </c>
      <c r="T578" t="s">
        <v>310</v>
      </c>
      <c r="U578">
        <v>9</v>
      </c>
      <c r="V578">
        <v>9</v>
      </c>
      <c r="W578">
        <v>0</v>
      </c>
      <c r="X578">
        <v>0</v>
      </c>
      <c r="Y578">
        <v>0</v>
      </c>
      <c r="Z578">
        <v>0</v>
      </c>
      <c r="AA578">
        <v>9</v>
      </c>
      <c r="AB578">
        <v>9</v>
      </c>
      <c r="AC578" t="s">
        <v>310</v>
      </c>
      <c r="AD578">
        <v>9</v>
      </c>
      <c r="AE578" t="s">
        <v>1388</v>
      </c>
      <c r="AF578">
        <v>4000</v>
      </c>
      <c r="AG578" t="s">
        <v>310</v>
      </c>
      <c r="AH578">
        <f>SUM((MID(Dyno_Data[[#This Row],[Team]],4,5))+(Dyno_Data[[#This Row],[Match]]/100))</f>
        <v>250.1</v>
      </c>
      <c r="AI578" s="76">
        <f>ROUND(SUM(IF(Dyno_Data[[#This Row],[AcqCenter]]&gt;0,Dyno_Data[[#This Row],[Time]]-SUMIFS(Dyno_Data[Time],Dyno_Data[Team],Dyno_Data[[#This Row],[Team]],Dyno_Data[RecordType],"StartMatch",Dyno_Data[Match],Dyno_Data[[#This Row],[Match]]),0)*86400),0)</f>
        <v>8</v>
      </c>
    </row>
    <row r="579" spans="1:35" x14ac:dyDescent="0.3">
      <c r="A579">
        <v>572</v>
      </c>
      <c r="B579" t="s">
        <v>1296</v>
      </c>
      <c r="C579">
        <v>10</v>
      </c>
      <c r="D579" s="105">
        <v>45373.429885335645</v>
      </c>
      <c r="E579" t="s">
        <v>312</v>
      </c>
      <c r="F579" t="s">
        <v>309</v>
      </c>
      <c r="G579">
        <v>0</v>
      </c>
      <c r="H579" t="s">
        <v>315</v>
      </c>
      <c r="I579">
        <v>0</v>
      </c>
      <c r="J579">
        <v>0</v>
      </c>
      <c r="K579">
        <v>0</v>
      </c>
      <c r="L579" t="s">
        <v>240</v>
      </c>
      <c r="M579" t="s">
        <v>1398</v>
      </c>
      <c r="N579">
        <v>0</v>
      </c>
      <c r="O579" t="s">
        <v>1391</v>
      </c>
      <c r="P579" t="s">
        <v>310</v>
      </c>
      <c r="Q579" t="s">
        <v>310</v>
      </c>
      <c r="R579" t="s">
        <v>310</v>
      </c>
      <c r="S579">
        <v>9</v>
      </c>
      <c r="T579" t="s">
        <v>310</v>
      </c>
      <c r="U579">
        <v>9</v>
      </c>
      <c r="V579">
        <v>9</v>
      </c>
      <c r="W579">
        <v>0</v>
      </c>
      <c r="X579">
        <v>0</v>
      </c>
      <c r="Y579">
        <v>0</v>
      </c>
      <c r="Z579">
        <v>0</v>
      </c>
      <c r="AA579">
        <v>9</v>
      </c>
      <c r="AB579">
        <v>9</v>
      </c>
      <c r="AC579" t="s">
        <v>310</v>
      </c>
      <c r="AD579">
        <v>9</v>
      </c>
      <c r="AE579" t="s">
        <v>1396</v>
      </c>
      <c r="AF579">
        <v>10000000</v>
      </c>
      <c r="AG579" t="s">
        <v>310</v>
      </c>
      <c r="AH579">
        <f>SUM((MID(Dyno_Data[[#This Row],[Team]],4,5))+(Dyno_Data[[#This Row],[Match]]/100))</f>
        <v>3003.1</v>
      </c>
      <c r="AI579" s="76">
        <f>ROUND(SUM(IF(Dyno_Data[[#This Row],[AcqCenter]]&gt;0,Dyno_Data[[#This Row],[Time]]-SUMIFS(Dyno_Data[Time],Dyno_Data[Team],Dyno_Data[[#This Row],[Team]],Dyno_Data[RecordType],"StartMatch",Dyno_Data[Match],Dyno_Data[[#This Row],[Match]]),0)*86400),0)</f>
        <v>0</v>
      </c>
    </row>
    <row r="580" spans="1:35" x14ac:dyDescent="0.3">
      <c r="A580">
        <v>573</v>
      </c>
      <c r="B580" t="s">
        <v>370</v>
      </c>
      <c r="C580">
        <v>10</v>
      </c>
      <c r="D580" s="105">
        <v>45373.429892708336</v>
      </c>
      <c r="E580" t="s">
        <v>312</v>
      </c>
      <c r="F580" t="s">
        <v>309</v>
      </c>
      <c r="G580">
        <v>0</v>
      </c>
      <c r="H580" t="s">
        <v>315</v>
      </c>
      <c r="I580">
        <v>0</v>
      </c>
      <c r="J580">
        <v>0</v>
      </c>
      <c r="K580">
        <v>0</v>
      </c>
      <c r="L580" t="s">
        <v>241</v>
      </c>
      <c r="M580" t="s">
        <v>1398</v>
      </c>
      <c r="N580">
        <v>0</v>
      </c>
      <c r="O580" t="s">
        <v>1389</v>
      </c>
      <c r="P580" t="s">
        <v>310</v>
      </c>
      <c r="Q580" t="s">
        <v>310</v>
      </c>
      <c r="R580" t="s">
        <v>310</v>
      </c>
      <c r="S580">
        <v>9</v>
      </c>
      <c r="T580" t="s">
        <v>310</v>
      </c>
      <c r="U580">
        <v>9</v>
      </c>
      <c r="V580">
        <v>9</v>
      </c>
      <c r="W580">
        <v>0</v>
      </c>
      <c r="X580">
        <v>0</v>
      </c>
      <c r="Y580">
        <v>0</v>
      </c>
      <c r="Z580">
        <v>0</v>
      </c>
      <c r="AA580">
        <v>9</v>
      </c>
      <c r="AB580">
        <v>9</v>
      </c>
      <c r="AC580" t="s">
        <v>310</v>
      </c>
      <c r="AD580">
        <v>9</v>
      </c>
      <c r="AE580" t="s">
        <v>1414</v>
      </c>
      <c r="AF580">
        <v>10000000</v>
      </c>
      <c r="AG580" t="s">
        <v>310</v>
      </c>
      <c r="AH580">
        <f>SUM((MID(Dyno_Data[[#This Row],[Team]],4,5))+(Dyno_Data[[#This Row],[Match]]/100))</f>
        <v>6911.1</v>
      </c>
      <c r="AI580" s="76">
        <f>ROUND(SUM(IF(Dyno_Data[[#This Row],[AcqCenter]]&gt;0,Dyno_Data[[#This Row],[Time]]-SUMIFS(Dyno_Data[Time],Dyno_Data[Team],Dyno_Data[[#This Row],[Team]],Dyno_Data[RecordType],"StartMatch",Dyno_Data[Match],Dyno_Data[[#This Row],[Match]]),0)*86400),0)</f>
        <v>0</v>
      </c>
    </row>
    <row r="581" spans="1:35" x14ac:dyDescent="0.3">
      <c r="A581">
        <v>574</v>
      </c>
      <c r="B581" t="s">
        <v>1296</v>
      </c>
      <c r="C581">
        <v>10</v>
      </c>
      <c r="D581" s="105">
        <v>45373.429959918984</v>
      </c>
      <c r="E581" t="s">
        <v>312</v>
      </c>
      <c r="F581" t="s">
        <v>309</v>
      </c>
      <c r="G581">
        <v>0</v>
      </c>
      <c r="H581" t="s">
        <v>315</v>
      </c>
      <c r="I581">
        <v>0</v>
      </c>
      <c r="J581">
        <v>0</v>
      </c>
      <c r="K581">
        <v>0</v>
      </c>
      <c r="L581" t="s">
        <v>313</v>
      </c>
      <c r="M581" t="s">
        <v>1398</v>
      </c>
      <c r="N581">
        <v>1</v>
      </c>
      <c r="O581" t="s">
        <v>1391</v>
      </c>
      <c r="P581" t="s">
        <v>310</v>
      </c>
      <c r="Q581" t="s">
        <v>310</v>
      </c>
      <c r="R581" t="s">
        <v>310</v>
      </c>
      <c r="S581">
        <v>9</v>
      </c>
      <c r="T581" t="s">
        <v>310</v>
      </c>
      <c r="U581">
        <v>9</v>
      </c>
      <c r="V581">
        <v>9</v>
      </c>
      <c r="W581">
        <v>0</v>
      </c>
      <c r="X581">
        <v>0</v>
      </c>
      <c r="Y581">
        <v>0</v>
      </c>
      <c r="Z581">
        <v>0</v>
      </c>
      <c r="AA581">
        <v>9</v>
      </c>
      <c r="AB581">
        <v>9</v>
      </c>
      <c r="AC581" t="s">
        <v>310</v>
      </c>
      <c r="AD581">
        <v>9</v>
      </c>
      <c r="AE581" t="s">
        <v>1396</v>
      </c>
      <c r="AF581">
        <v>20000000</v>
      </c>
      <c r="AG581" t="s">
        <v>310</v>
      </c>
      <c r="AH581">
        <f>SUM((MID(Dyno_Data[[#This Row],[Team]],4,5))+(Dyno_Data[[#This Row],[Match]]/100))</f>
        <v>3003.1</v>
      </c>
      <c r="AI581" s="76">
        <f>ROUND(SUM(IF(Dyno_Data[[#This Row],[AcqCenter]]&gt;0,Dyno_Data[[#This Row],[Time]]-SUMIFS(Dyno_Data[Time],Dyno_Data[Team],Dyno_Data[[#This Row],[Team]],Dyno_Data[RecordType],"StartMatch",Dyno_Data[Match],Dyno_Data[[#This Row],[Match]]),0)*86400),0)</f>
        <v>0</v>
      </c>
    </row>
    <row r="582" spans="1:35" x14ac:dyDescent="0.3">
      <c r="A582">
        <v>576</v>
      </c>
      <c r="B582" t="s">
        <v>1279</v>
      </c>
      <c r="C582">
        <v>10</v>
      </c>
      <c r="D582" s="105">
        <v>45373.429993171296</v>
      </c>
      <c r="E582" t="s">
        <v>314</v>
      </c>
      <c r="F582" t="s">
        <v>309</v>
      </c>
      <c r="G582">
        <v>1</v>
      </c>
      <c r="H582" t="s">
        <v>310</v>
      </c>
      <c r="I582">
        <v>0</v>
      </c>
      <c r="J582">
        <v>0</v>
      </c>
      <c r="K582">
        <v>0</v>
      </c>
      <c r="L582" t="s">
        <v>310</v>
      </c>
      <c r="M582" t="s">
        <v>310</v>
      </c>
      <c r="N582">
        <v>0</v>
      </c>
      <c r="O582" t="s">
        <v>1393</v>
      </c>
      <c r="P582" t="s">
        <v>320</v>
      </c>
      <c r="Q582" t="s">
        <v>1399</v>
      </c>
      <c r="R582" t="s">
        <v>310</v>
      </c>
      <c r="S582">
        <v>9</v>
      </c>
      <c r="T582" t="s">
        <v>310</v>
      </c>
      <c r="U582">
        <v>9</v>
      </c>
      <c r="V582">
        <v>9</v>
      </c>
      <c r="W582">
        <v>0</v>
      </c>
      <c r="X582">
        <v>0</v>
      </c>
      <c r="Y582">
        <v>0</v>
      </c>
      <c r="Z582">
        <v>0</v>
      </c>
      <c r="AA582">
        <v>9</v>
      </c>
      <c r="AB582">
        <v>9</v>
      </c>
      <c r="AC582" t="s">
        <v>310</v>
      </c>
      <c r="AD582">
        <v>9</v>
      </c>
      <c r="AE582" t="s">
        <v>1412</v>
      </c>
      <c r="AF582">
        <v>0</v>
      </c>
      <c r="AG582" t="s">
        <v>310</v>
      </c>
      <c r="AH582">
        <f>SUM((MID(Dyno_Data[[#This Row],[Team]],4,5))+(Dyno_Data[[#This Row],[Match]]/100))</f>
        <v>5149.1000000000004</v>
      </c>
      <c r="AI582" s="76">
        <f>ROUND(SUM(IF(Dyno_Data[[#This Row],[AcqCenter]]&gt;0,Dyno_Data[[#This Row],[Time]]-SUMIFS(Dyno_Data[Time],Dyno_Data[Team],Dyno_Data[[#This Row],[Team]],Dyno_Data[RecordType],"StartMatch",Dyno_Data[Match],Dyno_Data[[#This Row],[Match]]),0)*86400),0)</f>
        <v>0</v>
      </c>
    </row>
    <row r="583" spans="1:35" x14ac:dyDescent="0.3">
      <c r="A583">
        <v>578</v>
      </c>
      <c r="B583" t="s">
        <v>1296</v>
      </c>
      <c r="C583">
        <v>10</v>
      </c>
      <c r="D583" s="105">
        <v>45373.429993900463</v>
      </c>
      <c r="E583" t="s">
        <v>314</v>
      </c>
      <c r="F583" t="s">
        <v>309</v>
      </c>
      <c r="G583">
        <v>1</v>
      </c>
      <c r="H583" t="s">
        <v>310</v>
      </c>
      <c r="I583">
        <v>0</v>
      </c>
      <c r="J583">
        <v>0</v>
      </c>
      <c r="K583">
        <v>0</v>
      </c>
      <c r="L583" t="s">
        <v>310</v>
      </c>
      <c r="M583" t="s">
        <v>310</v>
      </c>
      <c r="N583">
        <v>0</v>
      </c>
      <c r="O583" t="s">
        <v>1391</v>
      </c>
      <c r="P583" t="s">
        <v>240</v>
      </c>
      <c r="Q583" t="s">
        <v>1400</v>
      </c>
      <c r="R583" t="s">
        <v>310</v>
      </c>
      <c r="S583">
        <v>9</v>
      </c>
      <c r="T583" t="s">
        <v>310</v>
      </c>
      <c r="U583">
        <v>9</v>
      </c>
      <c r="V583">
        <v>9</v>
      </c>
      <c r="W583">
        <v>0</v>
      </c>
      <c r="X583">
        <v>0</v>
      </c>
      <c r="Y583">
        <v>0</v>
      </c>
      <c r="Z583">
        <v>0</v>
      </c>
      <c r="AA583">
        <v>9</v>
      </c>
      <c r="AB583">
        <v>9</v>
      </c>
      <c r="AC583" t="s">
        <v>310</v>
      </c>
      <c r="AD583">
        <v>9</v>
      </c>
      <c r="AE583" t="s">
        <v>1396</v>
      </c>
      <c r="AF583">
        <v>20000000</v>
      </c>
      <c r="AG583" t="s">
        <v>310</v>
      </c>
      <c r="AH583">
        <f>SUM((MID(Dyno_Data[[#This Row],[Team]],4,5))+(Dyno_Data[[#This Row],[Match]]/100))</f>
        <v>3003.1</v>
      </c>
      <c r="AI583" s="76">
        <f>ROUND(SUM(IF(Dyno_Data[[#This Row],[AcqCenter]]&gt;0,Dyno_Data[[#This Row],[Time]]-SUMIFS(Dyno_Data[Time],Dyno_Data[Team],Dyno_Data[[#This Row],[Team]],Dyno_Data[RecordType],"StartMatch",Dyno_Data[Match],Dyno_Data[[#This Row],[Match]]),0)*86400),0)</f>
        <v>0</v>
      </c>
    </row>
    <row r="584" spans="1:35" x14ac:dyDescent="0.3">
      <c r="A584">
        <v>580</v>
      </c>
      <c r="B584" t="s">
        <v>362</v>
      </c>
      <c r="C584">
        <v>10</v>
      </c>
      <c r="D584" s="105">
        <v>45373.429994641207</v>
      </c>
      <c r="E584" t="s">
        <v>314</v>
      </c>
      <c r="F584" t="s">
        <v>309</v>
      </c>
      <c r="G584">
        <v>1</v>
      </c>
      <c r="H584" t="s">
        <v>310</v>
      </c>
      <c r="I584">
        <v>0</v>
      </c>
      <c r="J584">
        <v>0</v>
      </c>
      <c r="K584">
        <v>0</v>
      </c>
      <c r="L584" t="s">
        <v>310</v>
      </c>
      <c r="M584" t="s">
        <v>310</v>
      </c>
      <c r="N584">
        <v>0</v>
      </c>
      <c r="O584" t="s">
        <v>311</v>
      </c>
      <c r="P584" t="s">
        <v>101</v>
      </c>
      <c r="Q584" t="s">
        <v>1400</v>
      </c>
      <c r="R584" t="s">
        <v>310</v>
      </c>
      <c r="S584">
        <v>9</v>
      </c>
      <c r="T584" t="s">
        <v>310</v>
      </c>
      <c r="U584">
        <v>9</v>
      </c>
      <c r="V584">
        <v>9</v>
      </c>
      <c r="W584">
        <v>0</v>
      </c>
      <c r="X584">
        <v>0</v>
      </c>
      <c r="Y584">
        <v>0</v>
      </c>
      <c r="Z584">
        <v>0</v>
      </c>
      <c r="AA584">
        <v>9</v>
      </c>
      <c r="AB584">
        <v>9</v>
      </c>
      <c r="AC584" t="s">
        <v>310</v>
      </c>
      <c r="AD584">
        <v>9</v>
      </c>
      <c r="AE584" t="s">
        <v>1388</v>
      </c>
      <c r="AF584">
        <v>4000</v>
      </c>
      <c r="AG584" t="s">
        <v>310</v>
      </c>
      <c r="AH584">
        <f>SUM((MID(Dyno_Data[[#This Row],[Team]],4,5))+(Dyno_Data[[#This Row],[Match]]/100))</f>
        <v>250.1</v>
      </c>
      <c r="AI584" s="76">
        <f>ROUND(SUM(IF(Dyno_Data[[#This Row],[AcqCenter]]&gt;0,Dyno_Data[[#This Row],[Time]]-SUMIFS(Dyno_Data[Time],Dyno_Data[Team],Dyno_Data[[#This Row],[Team]],Dyno_Data[RecordType],"StartMatch",Dyno_Data[Match],Dyno_Data[[#This Row],[Match]]),0)*86400),0)</f>
        <v>0</v>
      </c>
    </row>
    <row r="585" spans="1:35" x14ac:dyDescent="0.3">
      <c r="A585">
        <v>582</v>
      </c>
      <c r="B585" t="s">
        <v>1302</v>
      </c>
      <c r="C585">
        <v>10</v>
      </c>
      <c r="D585" s="105">
        <v>45373.429997534724</v>
      </c>
      <c r="E585" t="s">
        <v>314</v>
      </c>
      <c r="F585" t="s">
        <v>309</v>
      </c>
      <c r="G585">
        <v>1</v>
      </c>
      <c r="H585" t="s">
        <v>310</v>
      </c>
      <c r="I585">
        <v>0</v>
      </c>
      <c r="J585">
        <v>0</v>
      </c>
      <c r="K585">
        <v>0</v>
      </c>
      <c r="L585" t="s">
        <v>310</v>
      </c>
      <c r="M585" t="s">
        <v>310</v>
      </c>
      <c r="N585">
        <v>0</v>
      </c>
      <c r="O585" t="s">
        <v>319</v>
      </c>
      <c r="P585" t="s">
        <v>320</v>
      </c>
      <c r="Q585" t="s">
        <v>1399</v>
      </c>
      <c r="R585" t="s">
        <v>310</v>
      </c>
      <c r="S585">
        <v>9</v>
      </c>
      <c r="T585" t="s">
        <v>310</v>
      </c>
      <c r="U585">
        <v>9</v>
      </c>
      <c r="V585">
        <v>9</v>
      </c>
      <c r="W585">
        <v>0</v>
      </c>
      <c r="X585">
        <v>0</v>
      </c>
      <c r="Y585">
        <v>0</v>
      </c>
      <c r="Z585">
        <v>0</v>
      </c>
      <c r="AA585">
        <v>9</v>
      </c>
      <c r="AB585">
        <v>9</v>
      </c>
      <c r="AC585" t="s">
        <v>310</v>
      </c>
      <c r="AD585">
        <v>9</v>
      </c>
      <c r="AE585" t="s">
        <v>1390</v>
      </c>
      <c r="AF585">
        <v>0</v>
      </c>
      <c r="AG585" t="s">
        <v>310</v>
      </c>
      <c r="AH585">
        <f>SUM((MID(Dyno_Data[[#This Row],[Team]],4,5))+(Dyno_Data[[#This Row],[Match]]/100))</f>
        <v>2095.1</v>
      </c>
      <c r="AI585" s="76">
        <f>ROUND(SUM(IF(Dyno_Data[[#This Row],[AcqCenter]]&gt;0,Dyno_Data[[#This Row],[Time]]-SUMIFS(Dyno_Data[Time],Dyno_Data[Team],Dyno_Data[[#This Row],[Team]],Dyno_Data[RecordType],"StartMatch",Dyno_Data[Match],Dyno_Data[[#This Row],[Match]]),0)*86400),0)</f>
        <v>0</v>
      </c>
    </row>
    <row r="586" spans="1:35" x14ac:dyDescent="0.3">
      <c r="A586">
        <v>584</v>
      </c>
      <c r="B586" t="s">
        <v>367</v>
      </c>
      <c r="C586">
        <v>10</v>
      </c>
      <c r="D586" s="105">
        <v>45373.429998229163</v>
      </c>
      <c r="E586" t="s">
        <v>314</v>
      </c>
      <c r="F586" t="s">
        <v>309</v>
      </c>
      <c r="G586">
        <v>0</v>
      </c>
      <c r="H586" t="s">
        <v>310</v>
      </c>
      <c r="I586">
        <v>0</v>
      </c>
      <c r="J586">
        <v>0</v>
      </c>
      <c r="K586">
        <v>0</v>
      </c>
      <c r="L586" t="s">
        <v>310</v>
      </c>
      <c r="M586" t="s">
        <v>310</v>
      </c>
      <c r="N586">
        <v>0</v>
      </c>
      <c r="O586" t="s">
        <v>1395</v>
      </c>
      <c r="P586" t="s">
        <v>101</v>
      </c>
      <c r="Q586" t="s">
        <v>1400</v>
      </c>
      <c r="R586" t="s">
        <v>310</v>
      </c>
      <c r="S586">
        <v>9</v>
      </c>
      <c r="T586" t="s">
        <v>310</v>
      </c>
      <c r="U586">
        <v>9</v>
      </c>
      <c r="V586">
        <v>9</v>
      </c>
      <c r="W586">
        <v>0</v>
      </c>
      <c r="X586">
        <v>0</v>
      </c>
      <c r="Y586">
        <v>0</v>
      </c>
      <c r="Z586">
        <v>0</v>
      </c>
      <c r="AA586">
        <v>9</v>
      </c>
      <c r="AB586">
        <v>9</v>
      </c>
      <c r="AC586" t="s">
        <v>310</v>
      </c>
      <c r="AD586">
        <v>9</v>
      </c>
      <c r="AE586" t="s">
        <v>1413</v>
      </c>
      <c r="AF586">
        <v>0</v>
      </c>
      <c r="AG586" t="s">
        <v>310</v>
      </c>
      <c r="AH586">
        <f>SUM((MID(Dyno_Data[[#This Row],[Team]],4,5))+(Dyno_Data[[#This Row],[Match]]/100))</f>
        <v>5016.1000000000004</v>
      </c>
      <c r="AI586" s="76">
        <f>ROUND(SUM(IF(Dyno_Data[[#This Row],[AcqCenter]]&gt;0,Dyno_Data[[#This Row],[Time]]-SUMIFS(Dyno_Data[Time],Dyno_Data[Team],Dyno_Data[[#This Row],[Team]],Dyno_Data[RecordType],"StartMatch",Dyno_Data[Match],Dyno_Data[[#This Row],[Match]]),0)*86400),0)</f>
        <v>0</v>
      </c>
    </row>
    <row r="587" spans="1:35" x14ac:dyDescent="0.3">
      <c r="A587">
        <v>586</v>
      </c>
      <c r="B587" t="s">
        <v>370</v>
      </c>
      <c r="C587">
        <v>10</v>
      </c>
      <c r="D587" s="105">
        <v>45373.430004861111</v>
      </c>
      <c r="E587" t="s">
        <v>314</v>
      </c>
      <c r="F587" t="s">
        <v>309</v>
      </c>
      <c r="G587">
        <v>1</v>
      </c>
      <c r="H587" t="s">
        <v>310</v>
      </c>
      <c r="I587">
        <v>0</v>
      </c>
      <c r="J587">
        <v>0</v>
      </c>
      <c r="K587">
        <v>0</v>
      </c>
      <c r="L587" t="s">
        <v>310</v>
      </c>
      <c r="M587" t="s">
        <v>310</v>
      </c>
      <c r="N587">
        <v>0</v>
      </c>
      <c r="O587" t="s">
        <v>1389</v>
      </c>
      <c r="P587" t="s">
        <v>1401</v>
      </c>
      <c r="Q587" t="s">
        <v>1400</v>
      </c>
      <c r="R587" t="s">
        <v>310</v>
      </c>
      <c r="S587">
        <v>9</v>
      </c>
      <c r="T587" t="s">
        <v>310</v>
      </c>
      <c r="U587">
        <v>9</v>
      </c>
      <c r="V587">
        <v>9</v>
      </c>
      <c r="W587">
        <v>0</v>
      </c>
      <c r="X587">
        <v>0</v>
      </c>
      <c r="Y587">
        <v>0</v>
      </c>
      <c r="Z587">
        <v>0</v>
      </c>
      <c r="AA587">
        <v>9</v>
      </c>
      <c r="AB587">
        <v>9</v>
      </c>
      <c r="AC587" t="s">
        <v>310</v>
      </c>
      <c r="AD587">
        <v>9</v>
      </c>
      <c r="AE587" t="s">
        <v>1414</v>
      </c>
      <c r="AF587">
        <v>10000000</v>
      </c>
      <c r="AG587" t="s">
        <v>310</v>
      </c>
      <c r="AH587">
        <f>SUM((MID(Dyno_Data[[#This Row],[Team]],4,5))+(Dyno_Data[[#This Row],[Match]]/100))</f>
        <v>6911.1</v>
      </c>
      <c r="AI587" s="76">
        <f>ROUND(SUM(IF(Dyno_Data[[#This Row],[AcqCenter]]&gt;0,Dyno_Data[[#This Row],[Time]]-SUMIFS(Dyno_Data[Time],Dyno_Data[Team],Dyno_Data[[#This Row],[Team]],Dyno_Data[RecordType],"StartMatch",Dyno_Data[Match],Dyno_Data[[#This Row],[Match]]),0)*86400),0)</f>
        <v>0</v>
      </c>
    </row>
    <row r="588" spans="1:35" x14ac:dyDescent="0.3">
      <c r="A588">
        <v>587</v>
      </c>
      <c r="B588" t="s">
        <v>1296</v>
      </c>
      <c r="C588">
        <v>10</v>
      </c>
      <c r="D588" s="105">
        <v>45373.430079317128</v>
      </c>
      <c r="E588" t="s">
        <v>312</v>
      </c>
      <c r="F588" t="s">
        <v>1402</v>
      </c>
      <c r="G588">
        <v>0</v>
      </c>
      <c r="H588" t="s">
        <v>315</v>
      </c>
      <c r="I588">
        <v>0</v>
      </c>
      <c r="J588">
        <v>0</v>
      </c>
      <c r="K588">
        <v>0</v>
      </c>
      <c r="L588" t="s">
        <v>242</v>
      </c>
      <c r="M588" t="s">
        <v>1398</v>
      </c>
      <c r="N588">
        <v>0</v>
      </c>
      <c r="O588" t="s">
        <v>1391</v>
      </c>
      <c r="P588" t="s">
        <v>310</v>
      </c>
      <c r="Q588" t="s">
        <v>310</v>
      </c>
      <c r="R588" t="s">
        <v>310</v>
      </c>
      <c r="S588">
        <v>9</v>
      </c>
      <c r="T588" t="s">
        <v>310</v>
      </c>
      <c r="U588">
        <v>9</v>
      </c>
      <c r="V588">
        <v>9</v>
      </c>
      <c r="W588">
        <v>0</v>
      </c>
      <c r="X588">
        <v>0</v>
      </c>
      <c r="Y588">
        <v>0</v>
      </c>
      <c r="Z588">
        <v>0</v>
      </c>
      <c r="AA588">
        <v>9</v>
      </c>
      <c r="AB588">
        <v>9</v>
      </c>
      <c r="AC588" t="s">
        <v>310</v>
      </c>
      <c r="AD588">
        <v>9</v>
      </c>
      <c r="AE588" t="s">
        <v>1396</v>
      </c>
      <c r="AF588">
        <v>30000000</v>
      </c>
      <c r="AG588" t="s">
        <v>310</v>
      </c>
      <c r="AH588">
        <f>SUM((MID(Dyno_Data[[#This Row],[Team]],4,5))+(Dyno_Data[[#This Row],[Match]]/100))</f>
        <v>3003.1</v>
      </c>
      <c r="AI588" s="76">
        <f>ROUND(SUM(IF(Dyno_Data[[#This Row],[AcqCenter]]&gt;0,Dyno_Data[[#This Row],[Time]]-SUMIFS(Dyno_Data[Time],Dyno_Data[Team],Dyno_Data[[#This Row],[Team]],Dyno_Data[RecordType],"StartMatch",Dyno_Data[Match],Dyno_Data[[#This Row],[Match]]),0)*86400),0)</f>
        <v>0</v>
      </c>
    </row>
    <row r="589" spans="1:35" x14ac:dyDescent="0.3">
      <c r="A589">
        <v>588</v>
      </c>
      <c r="B589" t="s">
        <v>370</v>
      </c>
      <c r="C589">
        <v>10</v>
      </c>
      <c r="D589" s="105">
        <v>45373.43011898148</v>
      </c>
      <c r="E589" t="s">
        <v>312</v>
      </c>
      <c r="F589" t="s">
        <v>1402</v>
      </c>
      <c r="G589">
        <v>0</v>
      </c>
      <c r="H589" t="s">
        <v>315</v>
      </c>
      <c r="I589">
        <v>0</v>
      </c>
      <c r="J589">
        <v>0</v>
      </c>
      <c r="K589">
        <v>0</v>
      </c>
      <c r="L589" t="s">
        <v>241</v>
      </c>
      <c r="M589" t="s">
        <v>1398</v>
      </c>
      <c r="N589">
        <v>0</v>
      </c>
      <c r="O589" t="s">
        <v>1389</v>
      </c>
      <c r="P589" t="s">
        <v>310</v>
      </c>
      <c r="Q589" t="s">
        <v>310</v>
      </c>
      <c r="R589" t="s">
        <v>310</v>
      </c>
      <c r="S589">
        <v>9</v>
      </c>
      <c r="T589" t="s">
        <v>310</v>
      </c>
      <c r="U589">
        <v>9</v>
      </c>
      <c r="V589">
        <v>9</v>
      </c>
      <c r="W589">
        <v>0</v>
      </c>
      <c r="X589">
        <v>0</v>
      </c>
      <c r="Y589">
        <v>0</v>
      </c>
      <c r="Z589">
        <v>0</v>
      </c>
      <c r="AA589">
        <v>9</v>
      </c>
      <c r="AB589">
        <v>9</v>
      </c>
      <c r="AC589" t="s">
        <v>310</v>
      </c>
      <c r="AD589">
        <v>9</v>
      </c>
      <c r="AE589" t="s">
        <v>1414</v>
      </c>
      <c r="AF589">
        <v>20000000</v>
      </c>
      <c r="AG589" t="s">
        <v>310</v>
      </c>
      <c r="AH589">
        <f>SUM((MID(Dyno_Data[[#This Row],[Team]],4,5))+(Dyno_Data[[#This Row],[Match]]/100))</f>
        <v>6911.1</v>
      </c>
      <c r="AI589" s="76">
        <f>ROUND(SUM(IF(Dyno_Data[[#This Row],[AcqCenter]]&gt;0,Dyno_Data[[#This Row],[Time]]-SUMIFS(Dyno_Data[Time],Dyno_Data[Team],Dyno_Data[[#This Row],[Team]],Dyno_Data[RecordType],"StartMatch",Dyno_Data[Match],Dyno_Data[[#This Row],[Match]]),0)*86400),0)</f>
        <v>0</v>
      </c>
    </row>
    <row r="590" spans="1:35" x14ac:dyDescent="0.3">
      <c r="A590">
        <v>589</v>
      </c>
      <c r="B590" t="s">
        <v>1302</v>
      </c>
      <c r="C590">
        <v>10</v>
      </c>
      <c r="D590" s="105">
        <v>45373.430160300923</v>
      </c>
      <c r="E590" t="s">
        <v>312</v>
      </c>
      <c r="F590" t="s">
        <v>1402</v>
      </c>
      <c r="G590">
        <v>0</v>
      </c>
      <c r="H590" t="s">
        <v>1397</v>
      </c>
      <c r="I590">
        <v>0</v>
      </c>
      <c r="J590">
        <v>0</v>
      </c>
      <c r="K590">
        <v>0</v>
      </c>
      <c r="L590" t="s">
        <v>240</v>
      </c>
      <c r="M590" t="s">
        <v>1398</v>
      </c>
      <c r="N590">
        <v>0</v>
      </c>
      <c r="O590" t="s">
        <v>319</v>
      </c>
      <c r="P590" t="s">
        <v>310</v>
      </c>
      <c r="Q590" t="s">
        <v>310</v>
      </c>
      <c r="R590" t="s">
        <v>310</v>
      </c>
      <c r="S590">
        <v>9</v>
      </c>
      <c r="T590" t="s">
        <v>310</v>
      </c>
      <c r="U590">
        <v>9</v>
      </c>
      <c r="V590">
        <v>9</v>
      </c>
      <c r="W590">
        <v>0</v>
      </c>
      <c r="X590">
        <v>0</v>
      </c>
      <c r="Y590">
        <v>0</v>
      </c>
      <c r="Z590">
        <v>0</v>
      </c>
      <c r="AA590">
        <v>9</v>
      </c>
      <c r="AB590">
        <v>9</v>
      </c>
      <c r="AC590" t="s">
        <v>310</v>
      </c>
      <c r="AD590">
        <v>9</v>
      </c>
      <c r="AE590" t="s">
        <v>1390</v>
      </c>
      <c r="AF590">
        <v>0</v>
      </c>
      <c r="AG590" t="s">
        <v>310</v>
      </c>
      <c r="AH590">
        <f>SUM((MID(Dyno_Data[[#This Row],[Team]],4,5))+(Dyno_Data[[#This Row],[Match]]/100))</f>
        <v>2095.1</v>
      </c>
      <c r="AI590" s="76">
        <f>ROUND(SUM(IF(Dyno_Data[[#This Row],[AcqCenter]]&gt;0,Dyno_Data[[#This Row],[Time]]-SUMIFS(Dyno_Data[Time],Dyno_Data[Team],Dyno_Data[[#This Row],[Team]],Dyno_Data[RecordType],"StartMatch",Dyno_Data[Match],Dyno_Data[[#This Row],[Match]]),0)*86400),0)</f>
        <v>0</v>
      </c>
    </row>
    <row r="591" spans="1:35" x14ac:dyDescent="0.3">
      <c r="A591">
        <v>590</v>
      </c>
      <c r="B591" t="s">
        <v>362</v>
      </c>
      <c r="C591">
        <v>10</v>
      </c>
      <c r="D591" s="105">
        <v>45373.430184375</v>
      </c>
      <c r="E591" t="s">
        <v>312</v>
      </c>
      <c r="F591" t="s">
        <v>1402</v>
      </c>
      <c r="G591">
        <v>0</v>
      </c>
      <c r="H591" t="s">
        <v>315</v>
      </c>
      <c r="I591">
        <v>0</v>
      </c>
      <c r="J591">
        <v>0</v>
      </c>
      <c r="K591">
        <v>0</v>
      </c>
      <c r="L591" t="s">
        <v>241</v>
      </c>
      <c r="M591" t="s">
        <v>1398</v>
      </c>
      <c r="N591">
        <v>0</v>
      </c>
      <c r="O591" t="s">
        <v>311</v>
      </c>
      <c r="P591" t="s">
        <v>310</v>
      </c>
      <c r="Q591" t="s">
        <v>310</v>
      </c>
      <c r="R591" t="s">
        <v>310</v>
      </c>
      <c r="S591">
        <v>9</v>
      </c>
      <c r="T591" t="s">
        <v>310</v>
      </c>
      <c r="U591">
        <v>9</v>
      </c>
      <c r="V591">
        <v>9</v>
      </c>
      <c r="W591">
        <v>0</v>
      </c>
      <c r="X591">
        <v>0</v>
      </c>
      <c r="Y591">
        <v>0</v>
      </c>
      <c r="Z591">
        <v>0</v>
      </c>
      <c r="AA591">
        <v>9</v>
      </c>
      <c r="AB591">
        <v>9</v>
      </c>
      <c r="AC591" t="s">
        <v>310</v>
      </c>
      <c r="AD591">
        <v>9</v>
      </c>
      <c r="AE591" t="s">
        <v>1388</v>
      </c>
      <c r="AF591">
        <v>10004000</v>
      </c>
      <c r="AG591" t="s">
        <v>310</v>
      </c>
      <c r="AH591">
        <f>SUM((MID(Dyno_Data[[#This Row],[Team]],4,5))+(Dyno_Data[[#This Row],[Match]]/100))</f>
        <v>250.1</v>
      </c>
      <c r="AI591" s="76">
        <f>ROUND(SUM(IF(Dyno_Data[[#This Row],[AcqCenter]]&gt;0,Dyno_Data[[#This Row],[Time]]-SUMIFS(Dyno_Data[Time],Dyno_Data[Team],Dyno_Data[[#This Row],[Team]],Dyno_Data[RecordType],"StartMatch",Dyno_Data[Match],Dyno_Data[[#This Row],[Match]]),0)*86400),0)</f>
        <v>0</v>
      </c>
    </row>
    <row r="592" spans="1:35" x14ac:dyDescent="0.3">
      <c r="A592">
        <v>591</v>
      </c>
      <c r="B592" t="s">
        <v>1296</v>
      </c>
      <c r="C592">
        <v>10</v>
      </c>
      <c r="D592" s="105">
        <v>45373.430209027778</v>
      </c>
      <c r="E592" t="s">
        <v>312</v>
      </c>
      <c r="F592" t="s">
        <v>1402</v>
      </c>
      <c r="G592">
        <v>0</v>
      </c>
      <c r="H592" t="s">
        <v>315</v>
      </c>
      <c r="I592">
        <v>0</v>
      </c>
      <c r="J592">
        <v>0</v>
      </c>
      <c r="K592">
        <v>0</v>
      </c>
      <c r="L592" t="s">
        <v>241</v>
      </c>
      <c r="M592" t="s">
        <v>101</v>
      </c>
      <c r="N592">
        <v>0</v>
      </c>
      <c r="O592" t="s">
        <v>1391</v>
      </c>
      <c r="P592" t="s">
        <v>310</v>
      </c>
      <c r="Q592" t="s">
        <v>310</v>
      </c>
      <c r="R592" t="s">
        <v>310</v>
      </c>
      <c r="S592">
        <v>9</v>
      </c>
      <c r="T592" t="s">
        <v>310</v>
      </c>
      <c r="U592">
        <v>9</v>
      </c>
      <c r="V592">
        <v>9</v>
      </c>
      <c r="W592">
        <v>0</v>
      </c>
      <c r="X592">
        <v>0</v>
      </c>
      <c r="Y592">
        <v>0</v>
      </c>
      <c r="Z592">
        <v>0</v>
      </c>
      <c r="AA592">
        <v>9</v>
      </c>
      <c r="AB592">
        <v>9</v>
      </c>
      <c r="AC592" t="s">
        <v>310</v>
      </c>
      <c r="AD592">
        <v>9</v>
      </c>
      <c r="AE592" t="s">
        <v>1396</v>
      </c>
      <c r="AF592">
        <v>40000000</v>
      </c>
      <c r="AG592" t="s">
        <v>310</v>
      </c>
      <c r="AH592">
        <f>SUM((MID(Dyno_Data[[#This Row],[Team]],4,5))+(Dyno_Data[[#This Row],[Match]]/100))</f>
        <v>3003.1</v>
      </c>
      <c r="AI592" s="76">
        <f>ROUND(SUM(IF(Dyno_Data[[#This Row],[AcqCenter]]&gt;0,Dyno_Data[[#This Row],[Time]]-SUMIFS(Dyno_Data[Time],Dyno_Data[Team],Dyno_Data[[#This Row],[Team]],Dyno_Data[RecordType],"StartMatch",Dyno_Data[Match],Dyno_Data[[#This Row],[Match]]),0)*86400),0)</f>
        <v>0</v>
      </c>
    </row>
    <row r="593" spans="1:35" x14ac:dyDescent="0.3">
      <c r="A593">
        <v>592</v>
      </c>
      <c r="B593" t="s">
        <v>370</v>
      </c>
      <c r="C593">
        <v>10</v>
      </c>
      <c r="D593" s="105">
        <v>45373.430240972222</v>
      </c>
      <c r="E593" t="s">
        <v>312</v>
      </c>
      <c r="F593" t="s">
        <v>1402</v>
      </c>
      <c r="G593">
        <v>0</v>
      </c>
      <c r="H593" t="s">
        <v>315</v>
      </c>
      <c r="I593">
        <v>0</v>
      </c>
      <c r="J593">
        <v>0</v>
      </c>
      <c r="K593">
        <v>0</v>
      </c>
      <c r="L593" t="s">
        <v>241</v>
      </c>
      <c r="M593" t="s">
        <v>1398</v>
      </c>
      <c r="N593">
        <v>0</v>
      </c>
      <c r="O593" t="s">
        <v>1389</v>
      </c>
      <c r="P593" t="s">
        <v>310</v>
      </c>
      <c r="Q593" t="s">
        <v>310</v>
      </c>
      <c r="R593" t="s">
        <v>310</v>
      </c>
      <c r="S593">
        <v>9</v>
      </c>
      <c r="T593" t="s">
        <v>310</v>
      </c>
      <c r="U593">
        <v>9</v>
      </c>
      <c r="V593">
        <v>9</v>
      </c>
      <c r="W593">
        <v>0</v>
      </c>
      <c r="X593">
        <v>0</v>
      </c>
      <c r="Y593">
        <v>0</v>
      </c>
      <c r="Z593">
        <v>0</v>
      </c>
      <c r="AA593">
        <v>9</v>
      </c>
      <c r="AB593">
        <v>9</v>
      </c>
      <c r="AC593" t="s">
        <v>310</v>
      </c>
      <c r="AD593">
        <v>9</v>
      </c>
      <c r="AE593" t="s">
        <v>1414</v>
      </c>
      <c r="AF593">
        <v>30000000</v>
      </c>
      <c r="AG593" t="s">
        <v>310</v>
      </c>
      <c r="AH593">
        <f>SUM((MID(Dyno_Data[[#This Row],[Team]],4,5))+(Dyno_Data[[#This Row],[Match]]/100))</f>
        <v>6911.1</v>
      </c>
      <c r="AI593" s="76">
        <f>ROUND(SUM(IF(Dyno_Data[[#This Row],[AcqCenter]]&gt;0,Dyno_Data[[#This Row],[Time]]-SUMIFS(Dyno_Data[Time],Dyno_Data[Team],Dyno_Data[[#This Row],[Team]],Dyno_Data[RecordType],"StartMatch",Dyno_Data[Match],Dyno_Data[[#This Row],[Match]]),0)*86400),0)</f>
        <v>0</v>
      </c>
    </row>
    <row r="594" spans="1:35" x14ac:dyDescent="0.3">
      <c r="A594">
        <v>593</v>
      </c>
      <c r="B594" t="s">
        <v>362</v>
      </c>
      <c r="C594">
        <v>10</v>
      </c>
      <c r="D594" s="105">
        <v>45373.430294594909</v>
      </c>
      <c r="E594" t="s">
        <v>312</v>
      </c>
      <c r="F594" t="s">
        <v>1402</v>
      </c>
      <c r="G594">
        <v>0</v>
      </c>
      <c r="H594" t="s">
        <v>315</v>
      </c>
      <c r="I594">
        <v>0</v>
      </c>
      <c r="J594">
        <v>0</v>
      </c>
      <c r="K594">
        <v>0</v>
      </c>
      <c r="L594" t="s">
        <v>241</v>
      </c>
      <c r="M594" t="s">
        <v>1398</v>
      </c>
      <c r="N594">
        <v>0</v>
      </c>
      <c r="O594" t="s">
        <v>311</v>
      </c>
      <c r="P594" t="s">
        <v>310</v>
      </c>
      <c r="Q594" t="s">
        <v>310</v>
      </c>
      <c r="R594" t="s">
        <v>310</v>
      </c>
      <c r="S594">
        <v>9</v>
      </c>
      <c r="T594" t="s">
        <v>310</v>
      </c>
      <c r="U594">
        <v>9</v>
      </c>
      <c r="V594">
        <v>9</v>
      </c>
      <c r="W594">
        <v>0</v>
      </c>
      <c r="X594">
        <v>0</v>
      </c>
      <c r="Y594">
        <v>0</v>
      </c>
      <c r="Z594">
        <v>0</v>
      </c>
      <c r="AA594">
        <v>9</v>
      </c>
      <c r="AB594">
        <v>9</v>
      </c>
      <c r="AC594" t="s">
        <v>310</v>
      </c>
      <c r="AD594">
        <v>9</v>
      </c>
      <c r="AE594" t="s">
        <v>1388</v>
      </c>
      <c r="AF594">
        <v>20004000</v>
      </c>
      <c r="AG594" t="s">
        <v>310</v>
      </c>
      <c r="AH594">
        <f>SUM((MID(Dyno_Data[[#This Row],[Team]],4,5))+(Dyno_Data[[#This Row],[Match]]/100))</f>
        <v>250.1</v>
      </c>
      <c r="AI594" s="76">
        <f>ROUND(SUM(IF(Dyno_Data[[#This Row],[AcqCenter]]&gt;0,Dyno_Data[[#This Row],[Time]]-SUMIFS(Dyno_Data[Time],Dyno_Data[Team],Dyno_Data[[#This Row],[Team]],Dyno_Data[RecordType],"StartMatch",Dyno_Data[Match],Dyno_Data[[#This Row],[Match]]),0)*86400),0)</f>
        <v>0</v>
      </c>
    </row>
    <row r="595" spans="1:35" x14ac:dyDescent="0.3">
      <c r="A595">
        <v>594</v>
      </c>
      <c r="B595" t="s">
        <v>370</v>
      </c>
      <c r="C595">
        <v>10</v>
      </c>
      <c r="D595" s="105">
        <v>45373.430381597223</v>
      </c>
      <c r="E595" t="s">
        <v>312</v>
      </c>
      <c r="F595" t="s">
        <v>1402</v>
      </c>
      <c r="G595">
        <v>0</v>
      </c>
      <c r="H595" t="s">
        <v>315</v>
      </c>
      <c r="I595">
        <v>0</v>
      </c>
      <c r="J595">
        <v>0</v>
      </c>
      <c r="K595">
        <v>0</v>
      </c>
      <c r="L595" t="s">
        <v>241</v>
      </c>
      <c r="M595" t="s">
        <v>1398</v>
      </c>
      <c r="N595">
        <v>0</v>
      </c>
      <c r="O595" t="s">
        <v>1389</v>
      </c>
      <c r="P595" t="s">
        <v>310</v>
      </c>
      <c r="Q595" t="s">
        <v>310</v>
      </c>
      <c r="R595" t="s">
        <v>310</v>
      </c>
      <c r="S595">
        <v>9</v>
      </c>
      <c r="T595" t="s">
        <v>310</v>
      </c>
      <c r="U595">
        <v>9</v>
      </c>
      <c r="V595">
        <v>9</v>
      </c>
      <c r="W595">
        <v>0</v>
      </c>
      <c r="X595">
        <v>0</v>
      </c>
      <c r="Y595">
        <v>0</v>
      </c>
      <c r="Z595">
        <v>0</v>
      </c>
      <c r="AA595">
        <v>9</v>
      </c>
      <c r="AB595">
        <v>9</v>
      </c>
      <c r="AC595" t="s">
        <v>310</v>
      </c>
      <c r="AD595">
        <v>9</v>
      </c>
      <c r="AE595" t="s">
        <v>1414</v>
      </c>
      <c r="AF595">
        <v>40000000</v>
      </c>
      <c r="AG595" t="s">
        <v>310</v>
      </c>
      <c r="AH595">
        <f>SUM((MID(Dyno_Data[[#This Row],[Team]],4,5))+(Dyno_Data[[#This Row],[Match]]/100))</f>
        <v>6911.1</v>
      </c>
      <c r="AI595" s="76">
        <f>ROUND(SUM(IF(Dyno_Data[[#This Row],[AcqCenter]]&gt;0,Dyno_Data[[#This Row],[Time]]-SUMIFS(Dyno_Data[Time],Dyno_Data[Team],Dyno_Data[[#This Row],[Team]],Dyno_Data[RecordType],"StartMatch",Dyno_Data[Match],Dyno_Data[[#This Row],[Match]]),0)*86400),0)</f>
        <v>0</v>
      </c>
    </row>
    <row r="596" spans="1:35" x14ac:dyDescent="0.3">
      <c r="A596">
        <v>595</v>
      </c>
      <c r="B596" t="s">
        <v>1296</v>
      </c>
      <c r="C596">
        <v>10</v>
      </c>
      <c r="D596" s="105">
        <v>45373.430406284722</v>
      </c>
      <c r="E596" t="s">
        <v>312</v>
      </c>
      <c r="F596" t="s">
        <v>1402</v>
      </c>
      <c r="G596">
        <v>0</v>
      </c>
      <c r="H596" t="s">
        <v>315</v>
      </c>
      <c r="I596">
        <v>0</v>
      </c>
      <c r="J596">
        <v>0</v>
      </c>
      <c r="K596">
        <v>0</v>
      </c>
      <c r="L596" t="s">
        <v>241</v>
      </c>
      <c r="M596" t="s">
        <v>1398</v>
      </c>
      <c r="N596">
        <v>0</v>
      </c>
      <c r="O596" t="s">
        <v>1391</v>
      </c>
      <c r="P596" t="s">
        <v>310</v>
      </c>
      <c r="Q596" t="s">
        <v>310</v>
      </c>
      <c r="R596" t="s">
        <v>310</v>
      </c>
      <c r="S596">
        <v>9</v>
      </c>
      <c r="T596" t="s">
        <v>310</v>
      </c>
      <c r="U596">
        <v>9</v>
      </c>
      <c r="V596">
        <v>9</v>
      </c>
      <c r="W596">
        <v>0</v>
      </c>
      <c r="X596">
        <v>0</v>
      </c>
      <c r="Y596">
        <v>0</v>
      </c>
      <c r="Z596">
        <v>0</v>
      </c>
      <c r="AA596">
        <v>9</v>
      </c>
      <c r="AB596">
        <v>9</v>
      </c>
      <c r="AC596" t="s">
        <v>310</v>
      </c>
      <c r="AD596">
        <v>9</v>
      </c>
      <c r="AE596" t="s">
        <v>1396</v>
      </c>
      <c r="AF596">
        <v>50000000</v>
      </c>
      <c r="AG596" t="s">
        <v>310</v>
      </c>
      <c r="AH596">
        <f>SUM((MID(Dyno_Data[[#This Row],[Team]],4,5))+(Dyno_Data[[#This Row],[Match]]/100))</f>
        <v>3003.1</v>
      </c>
      <c r="AI596" s="76">
        <f>ROUND(SUM(IF(Dyno_Data[[#This Row],[AcqCenter]]&gt;0,Dyno_Data[[#This Row],[Time]]-SUMIFS(Dyno_Data[Time],Dyno_Data[Team],Dyno_Data[[#This Row],[Team]],Dyno_Data[RecordType],"StartMatch",Dyno_Data[Match],Dyno_Data[[#This Row],[Match]]),0)*86400),0)</f>
        <v>0</v>
      </c>
    </row>
    <row r="597" spans="1:35" x14ac:dyDescent="0.3">
      <c r="A597">
        <v>596</v>
      </c>
      <c r="B597" t="s">
        <v>370</v>
      </c>
      <c r="C597">
        <v>10</v>
      </c>
      <c r="D597" s="105">
        <v>45373.43045107639</v>
      </c>
      <c r="E597" t="s">
        <v>312</v>
      </c>
      <c r="F597" t="s">
        <v>1402</v>
      </c>
      <c r="G597">
        <v>0</v>
      </c>
      <c r="H597" t="s">
        <v>315</v>
      </c>
      <c r="I597">
        <v>0</v>
      </c>
      <c r="J597">
        <v>0</v>
      </c>
      <c r="K597">
        <v>0</v>
      </c>
      <c r="L597" t="s">
        <v>241</v>
      </c>
      <c r="M597" t="s">
        <v>1398</v>
      </c>
      <c r="N597">
        <v>0</v>
      </c>
      <c r="O597" t="s">
        <v>1389</v>
      </c>
      <c r="P597" t="s">
        <v>310</v>
      </c>
      <c r="Q597" t="s">
        <v>310</v>
      </c>
      <c r="R597" t="s">
        <v>310</v>
      </c>
      <c r="S597">
        <v>9</v>
      </c>
      <c r="T597" t="s">
        <v>310</v>
      </c>
      <c r="U597">
        <v>9</v>
      </c>
      <c r="V597">
        <v>9</v>
      </c>
      <c r="W597">
        <v>0</v>
      </c>
      <c r="X597">
        <v>0</v>
      </c>
      <c r="Y597">
        <v>0</v>
      </c>
      <c r="Z597">
        <v>0</v>
      </c>
      <c r="AA597">
        <v>9</v>
      </c>
      <c r="AB597">
        <v>9</v>
      </c>
      <c r="AC597" t="s">
        <v>310</v>
      </c>
      <c r="AD597">
        <v>9</v>
      </c>
      <c r="AE597" t="s">
        <v>1414</v>
      </c>
      <c r="AF597">
        <v>50000000</v>
      </c>
      <c r="AG597" t="s">
        <v>310</v>
      </c>
      <c r="AH597">
        <f>SUM((MID(Dyno_Data[[#This Row],[Team]],4,5))+(Dyno_Data[[#This Row],[Match]]/100))</f>
        <v>6911.1</v>
      </c>
      <c r="AI597" s="76">
        <f>ROUND(SUM(IF(Dyno_Data[[#This Row],[AcqCenter]]&gt;0,Dyno_Data[[#This Row],[Time]]-SUMIFS(Dyno_Data[Time],Dyno_Data[Team],Dyno_Data[[#This Row],[Team]],Dyno_Data[RecordType],"StartMatch",Dyno_Data[Match],Dyno_Data[[#This Row],[Match]]),0)*86400),0)</f>
        <v>0</v>
      </c>
    </row>
    <row r="598" spans="1:35" x14ac:dyDescent="0.3">
      <c r="A598">
        <v>597</v>
      </c>
      <c r="B598" t="s">
        <v>1302</v>
      </c>
      <c r="C598">
        <v>10</v>
      </c>
      <c r="D598" s="105">
        <v>45373.430486111109</v>
      </c>
      <c r="E598" t="s">
        <v>312</v>
      </c>
      <c r="F598" t="s">
        <v>1402</v>
      </c>
      <c r="G598">
        <v>0</v>
      </c>
      <c r="H598" t="s">
        <v>315</v>
      </c>
      <c r="I598">
        <v>0</v>
      </c>
      <c r="J598">
        <v>0</v>
      </c>
      <c r="K598">
        <v>0</v>
      </c>
      <c r="L598" t="s">
        <v>240</v>
      </c>
      <c r="M598" t="s">
        <v>1398</v>
      </c>
      <c r="N598">
        <v>0</v>
      </c>
      <c r="O598" t="s">
        <v>319</v>
      </c>
      <c r="P598" t="s">
        <v>310</v>
      </c>
      <c r="Q598" t="s">
        <v>310</v>
      </c>
      <c r="R598" t="s">
        <v>310</v>
      </c>
      <c r="S598">
        <v>9</v>
      </c>
      <c r="T598" t="s">
        <v>310</v>
      </c>
      <c r="U598">
        <v>9</v>
      </c>
      <c r="V598">
        <v>9</v>
      </c>
      <c r="W598">
        <v>0</v>
      </c>
      <c r="X598">
        <v>0</v>
      </c>
      <c r="Y598">
        <v>0</v>
      </c>
      <c r="Z598">
        <v>0</v>
      </c>
      <c r="AA598">
        <v>9</v>
      </c>
      <c r="AB598">
        <v>9</v>
      </c>
      <c r="AC598" t="s">
        <v>310</v>
      </c>
      <c r="AD598">
        <v>9</v>
      </c>
      <c r="AE598" t="s">
        <v>1390</v>
      </c>
      <c r="AF598">
        <v>10000000</v>
      </c>
      <c r="AG598" t="s">
        <v>310</v>
      </c>
      <c r="AH598">
        <f>SUM((MID(Dyno_Data[[#This Row],[Team]],4,5))+(Dyno_Data[[#This Row],[Match]]/100))</f>
        <v>2095.1</v>
      </c>
      <c r="AI598" s="76">
        <f>ROUND(SUM(IF(Dyno_Data[[#This Row],[AcqCenter]]&gt;0,Dyno_Data[[#This Row],[Time]]-SUMIFS(Dyno_Data[Time],Dyno_Data[Team],Dyno_Data[[#This Row],[Team]],Dyno_Data[RecordType],"StartMatch",Dyno_Data[Match],Dyno_Data[[#This Row],[Match]]),0)*86400),0)</f>
        <v>0</v>
      </c>
    </row>
    <row r="599" spans="1:35" x14ac:dyDescent="0.3">
      <c r="A599">
        <v>598</v>
      </c>
      <c r="B599" t="s">
        <v>362</v>
      </c>
      <c r="C599">
        <v>10</v>
      </c>
      <c r="D599" s="105">
        <v>45373.430570868055</v>
      </c>
      <c r="E599" t="s">
        <v>1403</v>
      </c>
      <c r="F599" t="s">
        <v>1402</v>
      </c>
      <c r="G599">
        <v>0</v>
      </c>
      <c r="H599" t="s">
        <v>310</v>
      </c>
      <c r="I599">
        <v>0</v>
      </c>
      <c r="J599">
        <v>0</v>
      </c>
      <c r="K599">
        <v>0</v>
      </c>
      <c r="L599" t="s">
        <v>310</v>
      </c>
      <c r="M599" t="s">
        <v>310</v>
      </c>
      <c r="N599">
        <v>0</v>
      </c>
      <c r="O599" t="s">
        <v>311</v>
      </c>
      <c r="P599" t="s">
        <v>310</v>
      </c>
      <c r="Q599" t="s">
        <v>310</v>
      </c>
      <c r="R599" t="s">
        <v>310</v>
      </c>
      <c r="S599">
        <v>9</v>
      </c>
      <c r="T599" t="s">
        <v>310</v>
      </c>
      <c r="U599">
        <v>9</v>
      </c>
      <c r="V599">
        <v>9</v>
      </c>
      <c r="W599">
        <v>0</v>
      </c>
      <c r="X599">
        <v>0</v>
      </c>
      <c r="Y599">
        <v>0</v>
      </c>
      <c r="Z599">
        <v>0</v>
      </c>
      <c r="AA599">
        <v>9</v>
      </c>
      <c r="AB599">
        <v>9</v>
      </c>
      <c r="AC599" t="s">
        <v>310</v>
      </c>
      <c r="AD599">
        <v>9</v>
      </c>
      <c r="AE599" t="s">
        <v>1388</v>
      </c>
      <c r="AF599">
        <v>10000000</v>
      </c>
      <c r="AG599" t="s">
        <v>248</v>
      </c>
      <c r="AH599">
        <f>SUM((MID(Dyno_Data[[#This Row],[Team]],4,5))+(Dyno_Data[[#This Row],[Match]]/100))</f>
        <v>250.1</v>
      </c>
      <c r="AI599" s="76">
        <f>ROUND(SUM(IF(Dyno_Data[[#This Row],[AcqCenter]]&gt;0,Dyno_Data[[#This Row],[Time]]-SUMIFS(Dyno_Data[Time],Dyno_Data[Team],Dyno_Data[[#This Row],[Team]],Dyno_Data[RecordType],"StartMatch",Dyno_Data[Match],Dyno_Data[[#This Row],[Match]]),0)*86400),0)</f>
        <v>0</v>
      </c>
    </row>
    <row r="600" spans="1:35" x14ac:dyDescent="0.3">
      <c r="A600">
        <v>599</v>
      </c>
      <c r="B600" t="s">
        <v>367</v>
      </c>
      <c r="C600">
        <v>10</v>
      </c>
      <c r="D600" s="105">
        <v>45373.430572916666</v>
      </c>
      <c r="E600" t="s">
        <v>312</v>
      </c>
      <c r="F600" t="s">
        <v>1402</v>
      </c>
      <c r="G600">
        <v>0</v>
      </c>
      <c r="H600" t="s">
        <v>315</v>
      </c>
      <c r="I600">
        <v>0</v>
      </c>
      <c r="J600">
        <v>0</v>
      </c>
      <c r="K600">
        <v>0</v>
      </c>
      <c r="L600" t="s">
        <v>241</v>
      </c>
      <c r="M600" t="s">
        <v>101</v>
      </c>
      <c r="N600">
        <v>1</v>
      </c>
      <c r="O600" t="s">
        <v>1395</v>
      </c>
      <c r="P600" t="s">
        <v>310</v>
      </c>
      <c r="Q600" t="s">
        <v>310</v>
      </c>
      <c r="R600" t="s">
        <v>310</v>
      </c>
      <c r="S600">
        <v>9</v>
      </c>
      <c r="T600" t="s">
        <v>310</v>
      </c>
      <c r="U600">
        <v>9</v>
      </c>
      <c r="V600">
        <v>9</v>
      </c>
      <c r="W600">
        <v>0</v>
      </c>
      <c r="X600">
        <v>0</v>
      </c>
      <c r="Y600">
        <v>0</v>
      </c>
      <c r="Z600">
        <v>0</v>
      </c>
      <c r="AA600">
        <v>9</v>
      </c>
      <c r="AB600">
        <v>9</v>
      </c>
      <c r="AC600" t="s">
        <v>310</v>
      </c>
      <c r="AD600">
        <v>9</v>
      </c>
      <c r="AE600" t="s">
        <v>1413</v>
      </c>
      <c r="AF600">
        <v>10000000</v>
      </c>
      <c r="AG600" t="s">
        <v>310</v>
      </c>
      <c r="AH600">
        <f>SUM((MID(Dyno_Data[[#This Row],[Team]],4,5))+(Dyno_Data[[#This Row],[Match]]/100))</f>
        <v>5016.1000000000004</v>
      </c>
      <c r="AI600" s="76">
        <f>ROUND(SUM(IF(Dyno_Data[[#This Row],[AcqCenter]]&gt;0,Dyno_Data[[#This Row],[Time]]-SUMIFS(Dyno_Data[Time],Dyno_Data[Team],Dyno_Data[[#This Row],[Team]],Dyno_Data[RecordType],"StartMatch",Dyno_Data[Match],Dyno_Data[[#This Row],[Match]]),0)*86400),0)</f>
        <v>0</v>
      </c>
    </row>
    <row r="601" spans="1:35" x14ac:dyDescent="0.3">
      <c r="A601">
        <v>600</v>
      </c>
      <c r="B601" t="s">
        <v>1296</v>
      </c>
      <c r="C601">
        <v>10</v>
      </c>
      <c r="D601" s="105">
        <v>45373.430633067132</v>
      </c>
      <c r="E601" t="s">
        <v>312</v>
      </c>
      <c r="F601" t="s">
        <v>1402</v>
      </c>
      <c r="G601">
        <v>0</v>
      </c>
      <c r="H601" t="s">
        <v>315</v>
      </c>
      <c r="I601">
        <v>0</v>
      </c>
      <c r="J601">
        <v>0</v>
      </c>
      <c r="K601">
        <v>0</v>
      </c>
      <c r="L601" t="s">
        <v>241</v>
      </c>
      <c r="M601" t="s">
        <v>1398</v>
      </c>
      <c r="N601">
        <v>0</v>
      </c>
      <c r="O601" t="s">
        <v>1391</v>
      </c>
      <c r="P601" t="s">
        <v>310</v>
      </c>
      <c r="Q601" t="s">
        <v>310</v>
      </c>
      <c r="R601" t="s">
        <v>310</v>
      </c>
      <c r="S601">
        <v>9</v>
      </c>
      <c r="T601" t="s">
        <v>310</v>
      </c>
      <c r="U601">
        <v>9</v>
      </c>
      <c r="V601">
        <v>9</v>
      </c>
      <c r="W601">
        <v>0</v>
      </c>
      <c r="X601">
        <v>0</v>
      </c>
      <c r="Y601">
        <v>0</v>
      </c>
      <c r="Z601">
        <v>0</v>
      </c>
      <c r="AA601">
        <v>9</v>
      </c>
      <c r="AB601">
        <v>9</v>
      </c>
      <c r="AC601" t="s">
        <v>310</v>
      </c>
      <c r="AD601">
        <v>9</v>
      </c>
      <c r="AE601" t="s">
        <v>1396</v>
      </c>
      <c r="AF601">
        <v>60000000</v>
      </c>
      <c r="AG601" t="s">
        <v>310</v>
      </c>
      <c r="AH601">
        <f>SUM((MID(Dyno_Data[[#This Row],[Team]],4,5))+(Dyno_Data[[#This Row],[Match]]/100))</f>
        <v>3003.1</v>
      </c>
      <c r="AI601" s="76">
        <f>ROUND(SUM(IF(Dyno_Data[[#This Row],[AcqCenter]]&gt;0,Dyno_Data[[#This Row],[Time]]-SUMIFS(Dyno_Data[Time],Dyno_Data[Team],Dyno_Data[[#This Row],[Team]],Dyno_Data[RecordType],"StartMatch",Dyno_Data[Match],Dyno_Data[[#This Row],[Match]]),0)*86400),0)</f>
        <v>0</v>
      </c>
    </row>
    <row r="602" spans="1:35" x14ac:dyDescent="0.3">
      <c r="A602">
        <v>601</v>
      </c>
      <c r="B602" t="s">
        <v>362</v>
      </c>
      <c r="C602">
        <v>10</v>
      </c>
      <c r="D602" s="105">
        <v>45373.43069158565</v>
      </c>
      <c r="E602" t="s">
        <v>1403</v>
      </c>
      <c r="F602" t="s">
        <v>1402</v>
      </c>
      <c r="G602">
        <v>0</v>
      </c>
      <c r="H602" t="s">
        <v>310</v>
      </c>
      <c r="I602">
        <v>0</v>
      </c>
      <c r="J602">
        <v>0</v>
      </c>
      <c r="K602">
        <v>0</v>
      </c>
      <c r="L602" t="s">
        <v>310</v>
      </c>
      <c r="M602" t="s">
        <v>310</v>
      </c>
      <c r="N602">
        <v>0</v>
      </c>
      <c r="O602" t="s">
        <v>311</v>
      </c>
      <c r="P602" t="s">
        <v>310</v>
      </c>
      <c r="Q602" t="s">
        <v>310</v>
      </c>
      <c r="R602" t="s">
        <v>310</v>
      </c>
      <c r="S602">
        <v>9</v>
      </c>
      <c r="T602" t="s">
        <v>310</v>
      </c>
      <c r="U602">
        <v>9</v>
      </c>
      <c r="V602">
        <v>9</v>
      </c>
      <c r="W602">
        <v>0</v>
      </c>
      <c r="X602">
        <v>0</v>
      </c>
      <c r="Y602">
        <v>0</v>
      </c>
      <c r="Z602">
        <v>0</v>
      </c>
      <c r="AA602">
        <v>9</v>
      </c>
      <c r="AB602">
        <v>9</v>
      </c>
      <c r="AC602" t="s">
        <v>310</v>
      </c>
      <c r="AD602">
        <v>9</v>
      </c>
      <c r="AE602" t="s">
        <v>1388</v>
      </c>
      <c r="AF602">
        <v>60000000</v>
      </c>
      <c r="AG602" t="s">
        <v>248</v>
      </c>
      <c r="AH602">
        <f>SUM((MID(Dyno_Data[[#This Row],[Team]],4,5))+(Dyno_Data[[#This Row],[Match]]/100))</f>
        <v>250.1</v>
      </c>
      <c r="AI602" s="76">
        <f>ROUND(SUM(IF(Dyno_Data[[#This Row],[AcqCenter]]&gt;0,Dyno_Data[[#This Row],[Time]]-SUMIFS(Dyno_Data[Time],Dyno_Data[Team],Dyno_Data[[#This Row],[Team]],Dyno_Data[RecordType],"StartMatch",Dyno_Data[Match],Dyno_Data[[#This Row],[Match]]),0)*86400),0)</f>
        <v>0</v>
      </c>
    </row>
    <row r="603" spans="1:35" x14ac:dyDescent="0.3">
      <c r="A603">
        <v>602</v>
      </c>
      <c r="B603" t="s">
        <v>1296</v>
      </c>
      <c r="C603">
        <v>10</v>
      </c>
      <c r="D603" s="105">
        <v>45373.430753321758</v>
      </c>
      <c r="E603" t="s">
        <v>312</v>
      </c>
      <c r="F603" t="s">
        <v>1402</v>
      </c>
      <c r="G603">
        <v>0</v>
      </c>
      <c r="H603" t="s">
        <v>315</v>
      </c>
      <c r="I603">
        <v>0</v>
      </c>
      <c r="J603">
        <v>0</v>
      </c>
      <c r="K603">
        <v>0</v>
      </c>
      <c r="L603" t="s">
        <v>241</v>
      </c>
      <c r="M603" t="s">
        <v>1398</v>
      </c>
      <c r="N603">
        <v>1</v>
      </c>
      <c r="O603" t="s">
        <v>1391</v>
      </c>
      <c r="P603" t="s">
        <v>310</v>
      </c>
      <c r="Q603" t="s">
        <v>310</v>
      </c>
      <c r="R603" t="s">
        <v>310</v>
      </c>
      <c r="S603">
        <v>9</v>
      </c>
      <c r="T603" t="s">
        <v>310</v>
      </c>
      <c r="U603">
        <v>9</v>
      </c>
      <c r="V603">
        <v>9</v>
      </c>
      <c r="W603">
        <v>0</v>
      </c>
      <c r="X603">
        <v>0</v>
      </c>
      <c r="Y603">
        <v>0</v>
      </c>
      <c r="Z603">
        <v>0</v>
      </c>
      <c r="AA603">
        <v>9</v>
      </c>
      <c r="AB603">
        <v>9</v>
      </c>
      <c r="AC603" t="s">
        <v>310</v>
      </c>
      <c r="AD603">
        <v>9</v>
      </c>
      <c r="AE603" t="s">
        <v>1396</v>
      </c>
      <c r="AF603">
        <v>70000000</v>
      </c>
      <c r="AG603" t="s">
        <v>310</v>
      </c>
      <c r="AH603">
        <f>SUM((MID(Dyno_Data[[#This Row],[Team]],4,5))+(Dyno_Data[[#This Row],[Match]]/100))</f>
        <v>3003.1</v>
      </c>
      <c r="AI603" s="76">
        <f>ROUND(SUM(IF(Dyno_Data[[#This Row],[AcqCenter]]&gt;0,Dyno_Data[[#This Row],[Time]]-SUMIFS(Dyno_Data[Time],Dyno_Data[Team],Dyno_Data[[#This Row],[Team]],Dyno_Data[RecordType],"StartMatch",Dyno_Data[Match],Dyno_Data[[#This Row],[Match]]),0)*86400),0)</f>
        <v>0</v>
      </c>
    </row>
    <row r="604" spans="1:35" x14ac:dyDescent="0.3">
      <c r="A604">
        <v>603</v>
      </c>
      <c r="B604" t="s">
        <v>370</v>
      </c>
      <c r="C604">
        <v>10</v>
      </c>
      <c r="D604" s="105">
        <v>45373.430816354165</v>
      </c>
      <c r="E604" t="s">
        <v>312</v>
      </c>
      <c r="F604" t="s">
        <v>1402</v>
      </c>
      <c r="G604">
        <v>0</v>
      </c>
      <c r="H604" t="s">
        <v>315</v>
      </c>
      <c r="I604">
        <v>0</v>
      </c>
      <c r="J604">
        <v>0</v>
      </c>
      <c r="K604">
        <v>0</v>
      </c>
      <c r="L604" t="s">
        <v>241</v>
      </c>
      <c r="M604" t="s">
        <v>1398</v>
      </c>
      <c r="N604">
        <v>0</v>
      </c>
      <c r="O604" t="s">
        <v>1389</v>
      </c>
      <c r="P604" t="s">
        <v>310</v>
      </c>
      <c r="Q604" t="s">
        <v>310</v>
      </c>
      <c r="R604" t="s">
        <v>310</v>
      </c>
      <c r="S604">
        <v>9</v>
      </c>
      <c r="T604" t="s">
        <v>310</v>
      </c>
      <c r="U604">
        <v>9</v>
      </c>
      <c r="V604">
        <v>9</v>
      </c>
      <c r="W604">
        <v>0</v>
      </c>
      <c r="X604">
        <v>0</v>
      </c>
      <c r="Y604">
        <v>0</v>
      </c>
      <c r="Z604">
        <v>0</v>
      </c>
      <c r="AA604">
        <v>9</v>
      </c>
      <c r="AB604">
        <v>9</v>
      </c>
      <c r="AC604" t="s">
        <v>310</v>
      </c>
      <c r="AD604">
        <v>9</v>
      </c>
      <c r="AE604" t="s">
        <v>1414</v>
      </c>
      <c r="AF604">
        <v>60000000</v>
      </c>
      <c r="AG604" t="s">
        <v>310</v>
      </c>
      <c r="AH604">
        <f>SUM((MID(Dyno_Data[[#This Row],[Team]],4,5))+(Dyno_Data[[#This Row],[Match]]/100))</f>
        <v>6911.1</v>
      </c>
      <c r="AI604" s="76">
        <f>ROUND(SUM(IF(Dyno_Data[[#This Row],[AcqCenter]]&gt;0,Dyno_Data[[#This Row],[Time]]-SUMIFS(Dyno_Data[Time],Dyno_Data[Team],Dyno_Data[[#This Row],[Team]],Dyno_Data[RecordType],"StartMatch",Dyno_Data[Match],Dyno_Data[[#This Row],[Match]]),0)*86400),0)</f>
        <v>0</v>
      </c>
    </row>
    <row r="605" spans="1:35" x14ac:dyDescent="0.3">
      <c r="A605">
        <v>604</v>
      </c>
      <c r="B605" t="s">
        <v>362</v>
      </c>
      <c r="C605">
        <v>10</v>
      </c>
      <c r="D605" s="105">
        <v>45373.43083020833</v>
      </c>
      <c r="E605" t="s">
        <v>1403</v>
      </c>
      <c r="F605" t="s">
        <v>1402</v>
      </c>
      <c r="G605">
        <v>0</v>
      </c>
      <c r="H605" t="s">
        <v>310</v>
      </c>
      <c r="I605">
        <v>0</v>
      </c>
      <c r="J605">
        <v>0</v>
      </c>
      <c r="K605">
        <v>0</v>
      </c>
      <c r="L605" t="s">
        <v>310</v>
      </c>
      <c r="M605" t="s">
        <v>310</v>
      </c>
      <c r="N605">
        <v>0</v>
      </c>
      <c r="O605" t="s">
        <v>311</v>
      </c>
      <c r="P605" t="s">
        <v>310</v>
      </c>
      <c r="Q605" t="s">
        <v>310</v>
      </c>
      <c r="R605" t="s">
        <v>310</v>
      </c>
      <c r="S605">
        <v>9</v>
      </c>
      <c r="T605" t="s">
        <v>310</v>
      </c>
      <c r="U605">
        <v>9</v>
      </c>
      <c r="V605">
        <v>9</v>
      </c>
      <c r="W605">
        <v>0</v>
      </c>
      <c r="X605">
        <v>0</v>
      </c>
      <c r="Y605">
        <v>0</v>
      </c>
      <c r="Z605">
        <v>0</v>
      </c>
      <c r="AA605">
        <v>9</v>
      </c>
      <c r="AB605">
        <v>9</v>
      </c>
      <c r="AC605" t="s">
        <v>310</v>
      </c>
      <c r="AD605">
        <v>9</v>
      </c>
      <c r="AE605" t="s">
        <v>1388</v>
      </c>
      <c r="AF605">
        <v>60000000</v>
      </c>
      <c r="AG605" t="s">
        <v>248</v>
      </c>
      <c r="AH605">
        <f>SUM((MID(Dyno_Data[[#This Row],[Team]],4,5))+(Dyno_Data[[#This Row],[Match]]/100))</f>
        <v>250.1</v>
      </c>
      <c r="AI605" s="76">
        <f>ROUND(SUM(IF(Dyno_Data[[#This Row],[AcqCenter]]&gt;0,Dyno_Data[[#This Row],[Time]]-SUMIFS(Dyno_Data[Time],Dyno_Data[Team],Dyno_Data[[#This Row],[Team]],Dyno_Data[RecordType],"StartMatch",Dyno_Data[Match],Dyno_Data[[#This Row],[Match]]),0)*86400),0)</f>
        <v>0</v>
      </c>
    </row>
    <row r="606" spans="1:35" x14ac:dyDescent="0.3">
      <c r="A606">
        <v>605</v>
      </c>
      <c r="B606" t="s">
        <v>370</v>
      </c>
      <c r="C606">
        <v>10</v>
      </c>
      <c r="D606" s="105">
        <v>45373.430965046296</v>
      </c>
      <c r="E606" t="s">
        <v>312</v>
      </c>
      <c r="F606" t="s">
        <v>1402</v>
      </c>
      <c r="G606">
        <v>0</v>
      </c>
      <c r="H606" t="s">
        <v>315</v>
      </c>
      <c r="I606">
        <v>0</v>
      </c>
      <c r="J606">
        <v>0</v>
      </c>
      <c r="K606">
        <v>0</v>
      </c>
      <c r="L606" t="s">
        <v>241</v>
      </c>
      <c r="M606" t="s">
        <v>1398</v>
      </c>
      <c r="N606">
        <v>0</v>
      </c>
      <c r="O606" t="s">
        <v>1389</v>
      </c>
      <c r="P606" t="s">
        <v>310</v>
      </c>
      <c r="Q606" t="s">
        <v>310</v>
      </c>
      <c r="R606" t="s">
        <v>310</v>
      </c>
      <c r="S606">
        <v>9</v>
      </c>
      <c r="T606" t="s">
        <v>310</v>
      </c>
      <c r="U606">
        <v>9</v>
      </c>
      <c r="V606">
        <v>9</v>
      </c>
      <c r="W606">
        <v>0</v>
      </c>
      <c r="X606">
        <v>0</v>
      </c>
      <c r="Y606">
        <v>0</v>
      </c>
      <c r="Z606">
        <v>0</v>
      </c>
      <c r="AA606">
        <v>9</v>
      </c>
      <c r="AB606">
        <v>9</v>
      </c>
      <c r="AC606" t="s">
        <v>310</v>
      </c>
      <c r="AD606">
        <v>9</v>
      </c>
      <c r="AE606" t="s">
        <v>1414</v>
      </c>
      <c r="AF606">
        <v>70000000</v>
      </c>
      <c r="AG606" t="s">
        <v>310</v>
      </c>
      <c r="AH606">
        <f>SUM((MID(Dyno_Data[[#This Row],[Team]],4,5))+(Dyno_Data[[#This Row],[Match]]/100))</f>
        <v>6911.1</v>
      </c>
      <c r="AI606" s="76">
        <f>ROUND(SUM(IF(Dyno_Data[[#This Row],[AcqCenter]]&gt;0,Dyno_Data[[#This Row],[Time]]-SUMIFS(Dyno_Data[Time],Dyno_Data[Team],Dyno_Data[[#This Row],[Team]],Dyno_Data[RecordType],"StartMatch",Dyno_Data[Match],Dyno_Data[[#This Row],[Match]]),0)*86400),0)</f>
        <v>0</v>
      </c>
    </row>
    <row r="607" spans="1:35" x14ac:dyDescent="0.3">
      <c r="A607">
        <v>606</v>
      </c>
      <c r="B607" t="s">
        <v>1296</v>
      </c>
      <c r="C607">
        <v>10</v>
      </c>
      <c r="D607" s="105">
        <v>45373.430977280092</v>
      </c>
      <c r="E607" t="s">
        <v>312</v>
      </c>
      <c r="F607" t="s">
        <v>1402</v>
      </c>
      <c r="G607">
        <v>0</v>
      </c>
      <c r="H607" t="s">
        <v>315</v>
      </c>
      <c r="I607">
        <v>0</v>
      </c>
      <c r="J607">
        <v>0</v>
      </c>
      <c r="K607">
        <v>0</v>
      </c>
      <c r="L607" t="s">
        <v>241</v>
      </c>
      <c r="M607" t="s">
        <v>1398</v>
      </c>
      <c r="N607">
        <v>0</v>
      </c>
      <c r="O607" t="s">
        <v>1391</v>
      </c>
      <c r="P607" t="s">
        <v>310</v>
      </c>
      <c r="Q607" t="s">
        <v>310</v>
      </c>
      <c r="R607" t="s">
        <v>310</v>
      </c>
      <c r="S607">
        <v>9</v>
      </c>
      <c r="T607" t="s">
        <v>310</v>
      </c>
      <c r="U607">
        <v>9</v>
      </c>
      <c r="V607">
        <v>9</v>
      </c>
      <c r="W607">
        <v>0</v>
      </c>
      <c r="X607">
        <v>0</v>
      </c>
      <c r="Y607">
        <v>0</v>
      </c>
      <c r="Z607">
        <v>0</v>
      </c>
      <c r="AA607">
        <v>9</v>
      </c>
      <c r="AB607">
        <v>9</v>
      </c>
      <c r="AC607" t="s">
        <v>310</v>
      </c>
      <c r="AD607">
        <v>9</v>
      </c>
      <c r="AE607" t="s">
        <v>1396</v>
      </c>
      <c r="AF607">
        <v>80000000</v>
      </c>
      <c r="AG607" t="s">
        <v>310</v>
      </c>
      <c r="AH607">
        <f>SUM((MID(Dyno_Data[[#This Row],[Team]],4,5))+(Dyno_Data[[#This Row],[Match]]/100))</f>
        <v>3003.1</v>
      </c>
      <c r="AI607" s="76">
        <f>ROUND(SUM(IF(Dyno_Data[[#This Row],[AcqCenter]]&gt;0,Dyno_Data[[#This Row],[Time]]-SUMIFS(Dyno_Data[Time],Dyno_Data[Team],Dyno_Data[[#This Row],[Team]],Dyno_Data[RecordType],"StartMatch",Dyno_Data[Match],Dyno_Data[[#This Row],[Match]]),0)*86400),0)</f>
        <v>0</v>
      </c>
    </row>
    <row r="608" spans="1:35" x14ac:dyDescent="0.3">
      <c r="A608">
        <v>607</v>
      </c>
      <c r="B608" t="s">
        <v>1302</v>
      </c>
      <c r="C608">
        <v>10</v>
      </c>
      <c r="D608" s="105">
        <v>45373.430980243058</v>
      </c>
      <c r="E608" t="s">
        <v>312</v>
      </c>
      <c r="F608" t="s">
        <v>1402</v>
      </c>
      <c r="G608">
        <v>0</v>
      </c>
      <c r="H608" t="s">
        <v>315</v>
      </c>
      <c r="I608">
        <v>0</v>
      </c>
      <c r="J608">
        <v>0</v>
      </c>
      <c r="K608">
        <v>0</v>
      </c>
      <c r="L608" t="s">
        <v>241</v>
      </c>
      <c r="M608" t="s">
        <v>1398</v>
      </c>
      <c r="N608">
        <v>0</v>
      </c>
      <c r="O608" t="s">
        <v>319</v>
      </c>
      <c r="P608" t="s">
        <v>310</v>
      </c>
      <c r="Q608" t="s">
        <v>310</v>
      </c>
      <c r="R608" t="s">
        <v>310</v>
      </c>
      <c r="S608">
        <v>9</v>
      </c>
      <c r="T608" t="s">
        <v>310</v>
      </c>
      <c r="U608">
        <v>9</v>
      </c>
      <c r="V608">
        <v>9</v>
      </c>
      <c r="W608">
        <v>0</v>
      </c>
      <c r="X608">
        <v>0</v>
      </c>
      <c r="Y608">
        <v>0</v>
      </c>
      <c r="Z608">
        <v>0</v>
      </c>
      <c r="AA608">
        <v>9</v>
      </c>
      <c r="AB608">
        <v>9</v>
      </c>
      <c r="AC608" t="s">
        <v>310</v>
      </c>
      <c r="AD608">
        <v>9</v>
      </c>
      <c r="AE608" t="s">
        <v>1390</v>
      </c>
      <c r="AF608">
        <v>20000000</v>
      </c>
      <c r="AG608" t="s">
        <v>310</v>
      </c>
      <c r="AH608">
        <f>SUM((MID(Dyno_Data[[#This Row],[Team]],4,5))+(Dyno_Data[[#This Row],[Match]]/100))</f>
        <v>2095.1</v>
      </c>
      <c r="AI608" s="76">
        <f>ROUND(SUM(IF(Dyno_Data[[#This Row],[AcqCenter]]&gt;0,Dyno_Data[[#This Row],[Time]]-SUMIFS(Dyno_Data[Time],Dyno_Data[Team],Dyno_Data[[#This Row],[Team]],Dyno_Data[RecordType],"StartMatch",Dyno_Data[Match],Dyno_Data[[#This Row],[Match]]),0)*86400),0)</f>
        <v>0</v>
      </c>
    </row>
    <row r="609" spans="1:35" x14ac:dyDescent="0.3">
      <c r="A609">
        <v>608</v>
      </c>
      <c r="B609" t="s">
        <v>370</v>
      </c>
      <c r="C609">
        <v>10</v>
      </c>
      <c r="D609" s="105">
        <v>45373.431042743054</v>
      </c>
      <c r="E609" t="s">
        <v>312</v>
      </c>
      <c r="F609" t="s">
        <v>1402</v>
      </c>
      <c r="G609">
        <v>0</v>
      </c>
      <c r="H609" t="s">
        <v>315</v>
      </c>
      <c r="I609">
        <v>0</v>
      </c>
      <c r="J609">
        <v>0</v>
      </c>
      <c r="K609">
        <v>0</v>
      </c>
      <c r="L609" t="s">
        <v>241</v>
      </c>
      <c r="M609" t="s">
        <v>1398</v>
      </c>
      <c r="N609">
        <v>0</v>
      </c>
      <c r="O609" t="s">
        <v>1389</v>
      </c>
      <c r="P609" t="s">
        <v>310</v>
      </c>
      <c r="Q609" t="s">
        <v>310</v>
      </c>
      <c r="R609" t="s">
        <v>310</v>
      </c>
      <c r="S609">
        <v>9</v>
      </c>
      <c r="T609" t="s">
        <v>310</v>
      </c>
      <c r="U609">
        <v>9</v>
      </c>
      <c r="V609">
        <v>9</v>
      </c>
      <c r="W609">
        <v>0</v>
      </c>
      <c r="X609">
        <v>0</v>
      </c>
      <c r="Y609">
        <v>0</v>
      </c>
      <c r="Z609">
        <v>0</v>
      </c>
      <c r="AA609">
        <v>9</v>
      </c>
      <c r="AB609">
        <v>9</v>
      </c>
      <c r="AC609" t="s">
        <v>310</v>
      </c>
      <c r="AD609">
        <v>9</v>
      </c>
      <c r="AE609" t="s">
        <v>1414</v>
      </c>
      <c r="AF609">
        <v>80000000</v>
      </c>
      <c r="AG609" t="s">
        <v>310</v>
      </c>
      <c r="AH609">
        <f>SUM((MID(Dyno_Data[[#This Row],[Team]],4,5))+(Dyno_Data[[#This Row],[Match]]/100))</f>
        <v>6911.1</v>
      </c>
      <c r="AI609" s="76">
        <f>ROUND(SUM(IF(Dyno_Data[[#This Row],[AcqCenter]]&gt;0,Dyno_Data[[#This Row],[Time]]-SUMIFS(Dyno_Data[Time],Dyno_Data[Team],Dyno_Data[[#This Row],[Team]],Dyno_Data[RecordType],"StartMatch",Dyno_Data[Match],Dyno_Data[[#This Row],[Match]]),0)*86400),0)</f>
        <v>0</v>
      </c>
    </row>
    <row r="610" spans="1:35" x14ac:dyDescent="0.3">
      <c r="A610">
        <v>609</v>
      </c>
      <c r="B610" t="s">
        <v>1296</v>
      </c>
      <c r="C610">
        <v>10</v>
      </c>
      <c r="D610" s="105">
        <v>45373.431044178244</v>
      </c>
      <c r="E610" t="s">
        <v>312</v>
      </c>
      <c r="F610" t="s">
        <v>1402</v>
      </c>
      <c r="G610">
        <v>0</v>
      </c>
      <c r="H610" t="s">
        <v>315</v>
      </c>
      <c r="I610">
        <v>0</v>
      </c>
      <c r="J610">
        <v>0</v>
      </c>
      <c r="K610">
        <v>0</v>
      </c>
      <c r="L610" t="s">
        <v>241</v>
      </c>
      <c r="M610" t="s">
        <v>1398</v>
      </c>
      <c r="N610">
        <v>1</v>
      </c>
      <c r="O610" t="s">
        <v>1391</v>
      </c>
      <c r="P610" t="s">
        <v>310</v>
      </c>
      <c r="Q610" t="s">
        <v>310</v>
      </c>
      <c r="R610" t="s">
        <v>310</v>
      </c>
      <c r="S610">
        <v>9</v>
      </c>
      <c r="T610" t="s">
        <v>310</v>
      </c>
      <c r="U610">
        <v>9</v>
      </c>
      <c r="V610">
        <v>9</v>
      </c>
      <c r="W610">
        <v>0</v>
      </c>
      <c r="X610">
        <v>0</v>
      </c>
      <c r="Y610">
        <v>0</v>
      </c>
      <c r="Z610">
        <v>0</v>
      </c>
      <c r="AA610">
        <v>9</v>
      </c>
      <c r="AB610">
        <v>9</v>
      </c>
      <c r="AC610" t="s">
        <v>310</v>
      </c>
      <c r="AD610">
        <v>9</v>
      </c>
      <c r="AE610" t="s">
        <v>1396</v>
      </c>
      <c r="AF610">
        <v>90000000</v>
      </c>
      <c r="AG610" t="s">
        <v>310</v>
      </c>
      <c r="AH610">
        <f>SUM((MID(Dyno_Data[[#This Row],[Team]],4,5))+(Dyno_Data[[#This Row],[Match]]/100))</f>
        <v>3003.1</v>
      </c>
      <c r="AI610" s="76">
        <f>ROUND(SUM(IF(Dyno_Data[[#This Row],[AcqCenter]]&gt;0,Dyno_Data[[#This Row],[Time]]-SUMIFS(Dyno_Data[Time],Dyno_Data[Team],Dyno_Data[[#This Row],[Team]],Dyno_Data[RecordType],"StartMatch",Dyno_Data[Match],Dyno_Data[[#This Row],[Match]]),0)*86400),0)</f>
        <v>0</v>
      </c>
    </row>
    <row r="611" spans="1:35" x14ac:dyDescent="0.3">
      <c r="A611">
        <v>610</v>
      </c>
      <c r="B611" t="s">
        <v>1296</v>
      </c>
      <c r="C611">
        <v>10</v>
      </c>
      <c r="D611" s="105">
        <v>45373.43112951389</v>
      </c>
      <c r="E611" t="s">
        <v>312</v>
      </c>
      <c r="F611" t="s">
        <v>1402</v>
      </c>
      <c r="G611">
        <v>0</v>
      </c>
      <c r="H611" t="s">
        <v>315</v>
      </c>
      <c r="I611">
        <v>0</v>
      </c>
      <c r="J611">
        <v>0</v>
      </c>
      <c r="K611">
        <v>0</v>
      </c>
      <c r="L611" t="s">
        <v>241</v>
      </c>
      <c r="M611" t="s">
        <v>1398</v>
      </c>
      <c r="N611">
        <v>0</v>
      </c>
      <c r="O611" t="s">
        <v>1391</v>
      </c>
      <c r="P611" t="s">
        <v>310</v>
      </c>
      <c r="Q611" t="s">
        <v>310</v>
      </c>
      <c r="R611" t="s">
        <v>310</v>
      </c>
      <c r="S611">
        <v>9</v>
      </c>
      <c r="T611" t="s">
        <v>310</v>
      </c>
      <c r="U611">
        <v>9</v>
      </c>
      <c r="V611">
        <v>9</v>
      </c>
      <c r="W611">
        <v>0</v>
      </c>
      <c r="X611">
        <v>0</v>
      </c>
      <c r="Y611">
        <v>0</v>
      </c>
      <c r="Z611">
        <v>0</v>
      </c>
      <c r="AA611">
        <v>9</v>
      </c>
      <c r="AB611">
        <v>9</v>
      </c>
      <c r="AC611" t="s">
        <v>310</v>
      </c>
      <c r="AD611">
        <v>9</v>
      </c>
      <c r="AE611" t="s">
        <v>1396</v>
      </c>
      <c r="AF611">
        <v>100000000</v>
      </c>
      <c r="AG611" t="s">
        <v>310</v>
      </c>
      <c r="AH611">
        <f>SUM((MID(Dyno_Data[[#This Row],[Team]],4,5))+(Dyno_Data[[#This Row],[Match]]/100))</f>
        <v>3003.1</v>
      </c>
      <c r="AI611" s="76">
        <f>ROUND(SUM(IF(Dyno_Data[[#This Row],[AcqCenter]]&gt;0,Dyno_Data[[#This Row],[Time]]-SUMIFS(Dyno_Data[Time],Dyno_Data[Team],Dyno_Data[[#This Row],[Team]],Dyno_Data[RecordType],"StartMatch",Dyno_Data[Match],Dyno_Data[[#This Row],[Match]]),0)*86400),0)</f>
        <v>0</v>
      </c>
    </row>
    <row r="612" spans="1:35" x14ac:dyDescent="0.3">
      <c r="A612">
        <v>611</v>
      </c>
      <c r="B612" t="s">
        <v>1296</v>
      </c>
      <c r="C612">
        <v>10</v>
      </c>
      <c r="D612" s="105">
        <v>45373.431266168984</v>
      </c>
      <c r="E612" t="s">
        <v>312</v>
      </c>
      <c r="F612" t="s">
        <v>1402</v>
      </c>
      <c r="G612">
        <v>0</v>
      </c>
      <c r="H612" t="s">
        <v>315</v>
      </c>
      <c r="I612">
        <v>0</v>
      </c>
      <c r="J612">
        <v>0</v>
      </c>
      <c r="K612">
        <v>0</v>
      </c>
      <c r="L612" t="s">
        <v>241</v>
      </c>
      <c r="M612" t="s">
        <v>1398</v>
      </c>
      <c r="N612">
        <v>0</v>
      </c>
      <c r="O612" t="s">
        <v>1391</v>
      </c>
      <c r="P612" t="s">
        <v>310</v>
      </c>
      <c r="Q612" t="s">
        <v>310</v>
      </c>
      <c r="R612" t="s">
        <v>310</v>
      </c>
      <c r="S612">
        <v>9</v>
      </c>
      <c r="T612" t="s">
        <v>310</v>
      </c>
      <c r="U612">
        <v>9</v>
      </c>
      <c r="V612">
        <v>9</v>
      </c>
      <c r="W612">
        <v>0</v>
      </c>
      <c r="X612">
        <v>0</v>
      </c>
      <c r="Y612">
        <v>0</v>
      </c>
      <c r="Z612">
        <v>0</v>
      </c>
      <c r="AA612">
        <v>9</v>
      </c>
      <c r="AB612">
        <v>9</v>
      </c>
      <c r="AC612" t="s">
        <v>310</v>
      </c>
      <c r="AD612">
        <v>9</v>
      </c>
      <c r="AE612" t="s">
        <v>1396</v>
      </c>
      <c r="AF612">
        <v>110000000</v>
      </c>
      <c r="AG612" t="s">
        <v>310</v>
      </c>
      <c r="AH612">
        <f>SUM((MID(Dyno_Data[[#This Row],[Team]],4,5))+(Dyno_Data[[#This Row],[Match]]/100))</f>
        <v>3003.1</v>
      </c>
      <c r="AI612" s="76">
        <f>ROUND(SUM(IF(Dyno_Data[[#This Row],[AcqCenter]]&gt;0,Dyno_Data[[#This Row],[Time]]-SUMIFS(Dyno_Data[Time],Dyno_Data[Team],Dyno_Data[[#This Row],[Team]],Dyno_Data[RecordType],"StartMatch",Dyno_Data[Match],Dyno_Data[[#This Row],[Match]]),0)*86400),0)</f>
        <v>0</v>
      </c>
    </row>
    <row r="613" spans="1:35" x14ac:dyDescent="0.3">
      <c r="A613">
        <v>612</v>
      </c>
      <c r="B613" t="s">
        <v>362</v>
      </c>
      <c r="C613">
        <v>10</v>
      </c>
      <c r="D613" s="105">
        <v>45373.431321064818</v>
      </c>
      <c r="E613" t="s">
        <v>1403</v>
      </c>
      <c r="F613" t="s">
        <v>1402</v>
      </c>
      <c r="G613">
        <v>0</v>
      </c>
      <c r="H613" t="s">
        <v>310</v>
      </c>
      <c r="I613">
        <v>0</v>
      </c>
      <c r="J613">
        <v>0</v>
      </c>
      <c r="K613">
        <v>0</v>
      </c>
      <c r="L613" t="s">
        <v>310</v>
      </c>
      <c r="M613" t="s">
        <v>310</v>
      </c>
      <c r="N613">
        <v>0</v>
      </c>
      <c r="O613" t="s">
        <v>311</v>
      </c>
      <c r="P613" t="s">
        <v>310</v>
      </c>
      <c r="Q613" t="s">
        <v>310</v>
      </c>
      <c r="R613" t="s">
        <v>310</v>
      </c>
      <c r="S613">
        <v>9</v>
      </c>
      <c r="T613" t="s">
        <v>310</v>
      </c>
      <c r="U613">
        <v>9</v>
      </c>
      <c r="V613">
        <v>9</v>
      </c>
      <c r="W613">
        <v>0</v>
      </c>
      <c r="X613">
        <v>0</v>
      </c>
      <c r="Y613">
        <v>0</v>
      </c>
      <c r="Z613">
        <v>0</v>
      </c>
      <c r="AA613">
        <v>9</v>
      </c>
      <c r="AB613">
        <v>9</v>
      </c>
      <c r="AC613" t="s">
        <v>310</v>
      </c>
      <c r="AD613">
        <v>9</v>
      </c>
      <c r="AE613" t="s">
        <v>1388</v>
      </c>
      <c r="AF613">
        <v>110000000</v>
      </c>
      <c r="AG613" t="s">
        <v>258</v>
      </c>
      <c r="AH613">
        <f>SUM((MID(Dyno_Data[[#This Row],[Team]],4,5))+(Dyno_Data[[#This Row],[Match]]/100))</f>
        <v>250.1</v>
      </c>
      <c r="AI613" s="76">
        <f>ROUND(SUM(IF(Dyno_Data[[#This Row],[AcqCenter]]&gt;0,Dyno_Data[[#This Row],[Time]]-SUMIFS(Dyno_Data[Time],Dyno_Data[Team],Dyno_Data[[#This Row],[Team]],Dyno_Data[RecordType],"StartMatch",Dyno_Data[Match],Dyno_Data[[#This Row],[Match]]),0)*86400),0)</f>
        <v>0</v>
      </c>
    </row>
    <row r="614" spans="1:35" x14ac:dyDescent="0.3">
      <c r="A614">
        <v>613</v>
      </c>
      <c r="B614" t="s">
        <v>1296</v>
      </c>
      <c r="C614">
        <v>10</v>
      </c>
      <c r="D614" s="105">
        <v>45373.431371724539</v>
      </c>
      <c r="E614" t="s">
        <v>312</v>
      </c>
      <c r="F614" t="s">
        <v>1402</v>
      </c>
      <c r="G614">
        <v>0</v>
      </c>
      <c r="H614" t="s">
        <v>315</v>
      </c>
      <c r="I614">
        <v>0</v>
      </c>
      <c r="J614">
        <v>0</v>
      </c>
      <c r="K614">
        <v>0</v>
      </c>
      <c r="L614" t="s">
        <v>241</v>
      </c>
      <c r="M614" t="s">
        <v>1398</v>
      </c>
      <c r="N614">
        <v>0</v>
      </c>
      <c r="O614" t="s">
        <v>1391</v>
      </c>
      <c r="P614" t="s">
        <v>310</v>
      </c>
      <c r="Q614" t="s">
        <v>310</v>
      </c>
      <c r="R614" t="s">
        <v>310</v>
      </c>
      <c r="S614">
        <v>9</v>
      </c>
      <c r="T614" t="s">
        <v>310</v>
      </c>
      <c r="U614">
        <v>9</v>
      </c>
      <c r="V614">
        <v>9</v>
      </c>
      <c r="W614">
        <v>0</v>
      </c>
      <c r="X614">
        <v>0</v>
      </c>
      <c r="Y614">
        <v>0</v>
      </c>
      <c r="Z614">
        <v>0</v>
      </c>
      <c r="AA614">
        <v>9</v>
      </c>
      <c r="AB614">
        <v>9</v>
      </c>
      <c r="AC614" t="s">
        <v>310</v>
      </c>
      <c r="AD614">
        <v>9</v>
      </c>
      <c r="AE614" t="s">
        <v>1396</v>
      </c>
      <c r="AF614">
        <v>120000000</v>
      </c>
      <c r="AG614" t="s">
        <v>310</v>
      </c>
      <c r="AH614">
        <f>SUM((MID(Dyno_Data[[#This Row],[Team]],4,5))+(Dyno_Data[[#This Row],[Match]]/100))</f>
        <v>3003.1</v>
      </c>
      <c r="AI614" s="76">
        <f>ROUND(SUM(IF(Dyno_Data[[#This Row],[AcqCenter]]&gt;0,Dyno_Data[[#This Row],[Time]]-SUMIFS(Dyno_Data[Time],Dyno_Data[Team],Dyno_Data[[#This Row],[Team]],Dyno_Data[RecordType],"StartMatch",Dyno_Data[Match],Dyno_Data[[#This Row],[Match]]),0)*86400),0)</f>
        <v>0</v>
      </c>
    </row>
    <row r="615" spans="1:35" x14ac:dyDescent="0.3">
      <c r="A615">
        <v>614</v>
      </c>
      <c r="B615" t="s">
        <v>1296</v>
      </c>
      <c r="C615">
        <v>10</v>
      </c>
      <c r="D615" s="105">
        <v>45373.431474074074</v>
      </c>
      <c r="E615" t="s">
        <v>312</v>
      </c>
      <c r="F615" t="s">
        <v>1402</v>
      </c>
      <c r="G615">
        <v>0</v>
      </c>
      <c r="H615" t="s">
        <v>315</v>
      </c>
      <c r="I615">
        <v>0</v>
      </c>
      <c r="J615">
        <v>0</v>
      </c>
      <c r="K615">
        <v>0</v>
      </c>
      <c r="L615" t="s">
        <v>241</v>
      </c>
      <c r="M615" t="s">
        <v>1398</v>
      </c>
      <c r="N615">
        <v>1</v>
      </c>
      <c r="O615" t="s">
        <v>1391</v>
      </c>
      <c r="P615" t="s">
        <v>310</v>
      </c>
      <c r="Q615" t="s">
        <v>310</v>
      </c>
      <c r="R615" t="s">
        <v>310</v>
      </c>
      <c r="S615">
        <v>9</v>
      </c>
      <c r="T615" t="s">
        <v>310</v>
      </c>
      <c r="U615">
        <v>9</v>
      </c>
      <c r="V615">
        <v>9</v>
      </c>
      <c r="W615">
        <v>0</v>
      </c>
      <c r="X615">
        <v>0</v>
      </c>
      <c r="Y615">
        <v>0</v>
      </c>
      <c r="Z615">
        <v>0</v>
      </c>
      <c r="AA615">
        <v>9</v>
      </c>
      <c r="AB615">
        <v>9</v>
      </c>
      <c r="AC615" t="s">
        <v>310</v>
      </c>
      <c r="AD615">
        <v>9</v>
      </c>
      <c r="AE615" t="s">
        <v>1396</v>
      </c>
      <c r="AF615">
        <v>130000000</v>
      </c>
      <c r="AG615" t="s">
        <v>310</v>
      </c>
      <c r="AH615">
        <f>SUM((MID(Dyno_Data[[#This Row],[Team]],4,5))+(Dyno_Data[[#This Row],[Match]]/100))</f>
        <v>3003.1</v>
      </c>
      <c r="AI615" s="76">
        <f>ROUND(SUM(IF(Dyno_Data[[#This Row],[AcqCenter]]&gt;0,Dyno_Data[[#This Row],[Time]]-SUMIFS(Dyno_Data[Time],Dyno_Data[Team],Dyno_Data[[#This Row],[Team]],Dyno_Data[RecordType],"StartMatch",Dyno_Data[Match],Dyno_Data[[#This Row],[Match]]),0)*86400),0)</f>
        <v>0</v>
      </c>
    </row>
    <row r="616" spans="1:35" x14ac:dyDescent="0.3">
      <c r="A616">
        <v>615</v>
      </c>
      <c r="B616" t="s">
        <v>1302</v>
      </c>
      <c r="C616">
        <v>10</v>
      </c>
      <c r="D616" s="105">
        <v>45373.431567476851</v>
      </c>
      <c r="E616" t="s">
        <v>312</v>
      </c>
      <c r="F616" t="s">
        <v>1402</v>
      </c>
      <c r="G616">
        <v>0</v>
      </c>
      <c r="H616" t="s">
        <v>315</v>
      </c>
      <c r="I616">
        <v>0</v>
      </c>
      <c r="J616">
        <v>0</v>
      </c>
      <c r="K616">
        <v>0</v>
      </c>
      <c r="L616" t="s">
        <v>241</v>
      </c>
      <c r="M616" t="s">
        <v>1398</v>
      </c>
      <c r="N616">
        <v>1</v>
      </c>
      <c r="O616" t="s">
        <v>319</v>
      </c>
      <c r="P616" t="s">
        <v>310</v>
      </c>
      <c r="Q616" t="s">
        <v>310</v>
      </c>
      <c r="R616" t="s">
        <v>310</v>
      </c>
      <c r="S616">
        <v>9</v>
      </c>
      <c r="T616" t="s">
        <v>310</v>
      </c>
      <c r="U616">
        <v>9</v>
      </c>
      <c r="V616">
        <v>9</v>
      </c>
      <c r="W616">
        <v>0</v>
      </c>
      <c r="X616">
        <v>0</v>
      </c>
      <c r="Y616">
        <v>0</v>
      </c>
      <c r="Z616">
        <v>0</v>
      </c>
      <c r="AA616">
        <v>9</v>
      </c>
      <c r="AB616">
        <v>9</v>
      </c>
      <c r="AC616" t="s">
        <v>310</v>
      </c>
      <c r="AD616">
        <v>9</v>
      </c>
      <c r="AE616" t="s">
        <v>1390</v>
      </c>
      <c r="AF616">
        <v>30000000</v>
      </c>
      <c r="AG616" t="s">
        <v>310</v>
      </c>
      <c r="AH616">
        <f>SUM((MID(Dyno_Data[[#This Row],[Team]],4,5))+(Dyno_Data[[#This Row],[Match]]/100))</f>
        <v>2095.1</v>
      </c>
      <c r="AI616" s="76">
        <f>ROUND(SUM(IF(Dyno_Data[[#This Row],[AcqCenter]]&gt;0,Dyno_Data[[#This Row],[Time]]-SUMIFS(Dyno_Data[Time],Dyno_Data[Team],Dyno_Data[[#This Row],[Team]],Dyno_Data[RecordType],"StartMatch",Dyno_Data[Match],Dyno_Data[[#This Row],[Match]]),0)*86400),0)</f>
        <v>0</v>
      </c>
    </row>
    <row r="617" spans="1:35" x14ac:dyDescent="0.3">
      <c r="A617">
        <v>616</v>
      </c>
      <c r="B617" t="s">
        <v>362</v>
      </c>
      <c r="C617">
        <v>10</v>
      </c>
      <c r="D617" s="105">
        <v>45373.4322721875</v>
      </c>
      <c r="E617" t="s">
        <v>316</v>
      </c>
      <c r="F617" t="s">
        <v>317</v>
      </c>
      <c r="G617">
        <v>1</v>
      </c>
      <c r="H617" t="s">
        <v>310</v>
      </c>
      <c r="I617">
        <v>0</v>
      </c>
      <c r="J617">
        <v>0</v>
      </c>
      <c r="K617">
        <v>0</v>
      </c>
      <c r="L617" t="s">
        <v>310</v>
      </c>
      <c r="M617" t="s">
        <v>310</v>
      </c>
      <c r="N617">
        <v>0</v>
      </c>
      <c r="O617" t="s">
        <v>311</v>
      </c>
      <c r="P617" t="s">
        <v>101</v>
      </c>
      <c r="Q617" t="s">
        <v>1400</v>
      </c>
      <c r="R617" t="s">
        <v>1404</v>
      </c>
      <c r="S617">
        <v>0</v>
      </c>
      <c r="T617" t="s">
        <v>105</v>
      </c>
      <c r="U617">
        <v>9</v>
      </c>
      <c r="V617">
        <v>9</v>
      </c>
      <c r="W617">
        <v>0</v>
      </c>
      <c r="X617">
        <v>17.327117699999999</v>
      </c>
      <c r="Y617">
        <v>28.472285599999999</v>
      </c>
      <c r="Z617">
        <v>89.476362999999992</v>
      </c>
      <c r="AA617">
        <v>2</v>
      </c>
      <c r="AB617">
        <v>0</v>
      </c>
      <c r="AC617" t="s">
        <v>170</v>
      </c>
      <c r="AD617">
        <v>9</v>
      </c>
      <c r="AE617" t="s">
        <v>1388</v>
      </c>
      <c r="AF617">
        <v>20004000</v>
      </c>
      <c r="AG617" t="s">
        <v>310</v>
      </c>
      <c r="AH617">
        <f>SUM((MID(Dyno_Data[[#This Row],[Team]],4,5))+(Dyno_Data[[#This Row],[Match]]/100))</f>
        <v>250.1</v>
      </c>
      <c r="AI617" s="76">
        <f>ROUND(SUM(IF(Dyno_Data[[#This Row],[AcqCenter]]&gt;0,Dyno_Data[[#This Row],[Time]]-SUMIFS(Dyno_Data[Time],Dyno_Data[Team],Dyno_Data[[#This Row],[Team]],Dyno_Data[RecordType],"StartMatch",Dyno_Data[Match],Dyno_Data[[#This Row],[Match]]),0)*86400),0)</f>
        <v>0</v>
      </c>
    </row>
    <row r="618" spans="1:35" x14ac:dyDescent="0.3">
      <c r="A618">
        <v>617</v>
      </c>
      <c r="B618" t="s">
        <v>1296</v>
      </c>
      <c r="C618">
        <v>10</v>
      </c>
      <c r="D618" s="105">
        <v>45373.432272303238</v>
      </c>
      <c r="E618" t="s">
        <v>316</v>
      </c>
      <c r="F618" t="s">
        <v>317</v>
      </c>
      <c r="G618">
        <v>1</v>
      </c>
      <c r="H618" t="s">
        <v>310</v>
      </c>
      <c r="I618">
        <v>0</v>
      </c>
      <c r="J618">
        <v>0</v>
      </c>
      <c r="K618">
        <v>0</v>
      </c>
      <c r="L618" t="s">
        <v>310</v>
      </c>
      <c r="M618" t="s">
        <v>310</v>
      </c>
      <c r="N618">
        <v>0</v>
      </c>
      <c r="O618" t="s">
        <v>1391</v>
      </c>
      <c r="P618" t="s">
        <v>240</v>
      </c>
      <c r="Q618" t="s">
        <v>1400</v>
      </c>
      <c r="R618" t="s">
        <v>321</v>
      </c>
      <c r="S618">
        <v>0</v>
      </c>
      <c r="T618" t="s">
        <v>105</v>
      </c>
      <c r="U618">
        <v>9</v>
      </c>
      <c r="V618">
        <v>9</v>
      </c>
      <c r="W618">
        <v>0</v>
      </c>
      <c r="X618">
        <v>10.785019999999999</v>
      </c>
      <c r="Y618">
        <v>20.564121399999998</v>
      </c>
      <c r="Z618">
        <v>106.03252239999999</v>
      </c>
      <c r="AA618">
        <v>0</v>
      </c>
      <c r="AB618">
        <v>1</v>
      </c>
      <c r="AC618" t="s">
        <v>174</v>
      </c>
      <c r="AD618">
        <v>9</v>
      </c>
      <c r="AE618" t="s">
        <v>1396</v>
      </c>
      <c r="AF618">
        <v>130000000</v>
      </c>
      <c r="AG618" t="s">
        <v>310</v>
      </c>
      <c r="AH618">
        <f>SUM((MID(Dyno_Data[[#This Row],[Team]],4,5))+(Dyno_Data[[#This Row],[Match]]/100))</f>
        <v>3003.1</v>
      </c>
      <c r="AI618" s="76">
        <f>ROUND(SUM(IF(Dyno_Data[[#This Row],[AcqCenter]]&gt;0,Dyno_Data[[#This Row],[Time]]-SUMIFS(Dyno_Data[Time],Dyno_Data[Team],Dyno_Data[[#This Row],[Team]],Dyno_Data[RecordType],"StartMatch",Dyno_Data[Match],Dyno_Data[[#This Row],[Match]]),0)*86400),0)</f>
        <v>0</v>
      </c>
    </row>
    <row r="619" spans="1:35" x14ac:dyDescent="0.3">
      <c r="A619">
        <v>618</v>
      </c>
      <c r="B619" t="s">
        <v>1302</v>
      </c>
      <c r="C619">
        <v>10</v>
      </c>
      <c r="D619" s="105">
        <v>45373.432272418984</v>
      </c>
      <c r="E619" t="s">
        <v>316</v>
      </c>
      <c r="F619" t="s">
        <v>317</v>
      </c>
      <c r="G619">
        <v>1</v>
      </c>
      <c r="H619" t="s">
        <v>310</v>
      </c>
      <c r="I619">
        <v>0</v>
      </c>
      <c r="J619">
        <v>0</v>
      </c>
      <c r="K619">
        <v>0</v>
      </c>
      <c r="L619" t="s">
        <v>310</v>
      </c>
      <c r="M619" t="s">
        <v>310</v>
      </c>
      <c r="N619">
        <v>0</v>
      </c>
      <c r="O619" t="s">
        <v>319</v>
      </c>
      <c r="P619" t="s">
        <v>320</v>
      </c>
      <c r="Q619" t="s">
        <v>1399</v>
      </c>
      <c r="R619" t="s">
        <v>321</v>
      </c>
      <c r="S619">
        <v>0</v>
      </c>
      <c r="T619" t="s">
        <v>105</v>
      </c>
      <c r="U619">
        <v>9</v>
      </c>
      <c r="V619">
        <v>9</v>
      </c>
      <c r="W619">
        <v>0</v>
      </c>
      <c r="X619">
        <v>34.894683799999996</v>
      </c>
      <c r="Y619">
        <v>41.032349400000001</v>
      </c>
      <c r="Z619">
        <v>60.4093613</v>
      </c>
      <c r="AA619">
        <v>0</v>
      </c>
      <c r="AB619">
        <v>3</v>
      </c>
      <c r="AC619" t="s">
        <v>174</v>
      </c>
      <c r="AD619">
        <v>0</v>
      </c>
      <c r="AE619" t="s">
        <v>1390</v>
      </c>
      <c r="AF619">
        <v>30000000</v>
      </c>
      <c r="AG619" t="s">
        <v>310</v>
      </c>
      <c r="AH619">
        <f>SUM((MID(Dyno_Data[[#This Row],[Team]],4,5))+(Dyno_Data[[#This Row],[Match]]/100))</f>
        <v>2095.1</v>
      </c>
      <c r="AI619" s="76">
        <f>ROUND(SUM(IF(Dyno_Data[[#This Row],[AcqCenter]]&gt;0,Dyno_Data[[#This Row],[Time]]-SUMIFS(Dyno_Data[Time],Dyno_Data[Team],Dyno_Data[[#This Row],[Team]],Dyno_Data[RecordType],"StartMatch",Dyno_Data[Match],Dyno_Data[[#This Row],[Match]]),0)*86400),0)</f>
        <v>0</v>
      </c>
    </row>
    <row r="620" spans="1:35" x14ac:dyDescent="0.3">
      <c r="A620">
        <v>619</v>
      </c>
      <c r="B620" t="s">
        <v>1279</v>
      </c>
      <c r="C620">
        <v>10</v>
      </c>
      <c r="D620" s="105">
        <v>45373.432272488426</v>
      </c>
      <c r="E620" t="s">
        <v>316</v>
      </c>
      <c r="F620" t="s">
        <v>317</v>
      </c>
      <c r="G620">
        <v>1</v>
      </c>
      <c r="H620" t="s">
        <v>310</v>
      </c>
      <c r="I620">
        <v>0</v>
      </c>
      <c r="J620">
        <v>0</v>
      </c>
      <c r="K620">
        <v>0</v>
      </c>
      <c r="L620" t="s">
        <v>310</v>
      </c>
      <c r="M620" t="s">
        <v>310</v>
      </c>
      <c r="N620">
        <v>0</v>
      </c>
      <c r="O620" t="s">
        <v>1393</v>
      </c>
      <c r="P620" t="s">
        <v>320</v>
      </c>
      <c r="Q620" t="s">
        <v>1399</v>
      </c>
      <c r="R620" t="s">
        <v>321</v>
      </c>
      <c r="S620">
        <v>0</v>
      </c>
      <c r="T620" t="s">
        <v>105</v>
      </c>
      <c r="U620">
        <v>9</v>
      </c>
      <c r="V620">
        <v>9</v>
      </c>
      <c r="W620">
        <v>0</v>
      </c>
      <c r="X620">
        <v>0</v>
      </c>
      <c r="Y620">
        <v>80.491101700000002</v>
      </c>
      <c r="Z620">
        <v>55.213855199999998</v>
      </c>
      <c r="AA620">
        <v>3</v>
      </c>
      <c r="AB620">
        <v>0</v>
      </c>
      <c r="AC620" t="s">
        <v>170</v>
      </c>
      <c r="AD620">
        <v>0</v>
      </c>
      <c r="AE620" t="s">
        <v>1412</v>
      </c>
      <c r="AF620">
        <v>0</v>
      </c>
      <c r="AG620" t="s">
        <v>310</v>
      </c>
      <c r="AH620">
        <f>SUM((MID(Dyno_Data[[#This Row],[Team]],4,5))+(Dyno_Data[[#This Row],[Match]]/100))</f>
        <v>5149.1000000000004</v>
      </c>
      <c r="AI620" s="76">
        <f>ROUND(SUM(IF(Dyno_Data[[#This Row],[AcqCenter]]&gt;0,Dyno_Data[[#This Row],[Time]]-SUMIFS(Dyno_Data[Time],Dyno_Data[Team],Dyno_Data[[#This Row],[Team]],Dyno_Data[RecordType],"StartMatch",Dyno_Data[Match],Dyno_Data[[#This Row],[Match]]),0)*86400),0)</f>
        <v>0</v>
      </c>
    </row>
    <row r="621" spans="1:35" x14ac:dyDescent="0.3">
      <c r="A621">
        <v>620</v>
      </c>
      <c r="B621" t="s">
        <v>370</v>
      </c>
      <c r="C621">
        <v>10</v>
      </c>
      <c r="D621" s="105">
        <v>45373.432272604165</v>
      </c>
      <c r="E621" t="s">
        <v>316</v>
      </c>
      <c r="F621" t="s">
        <v>317</v>
      </c>
      <c r="G621">
        <v>1</v>
      </c>
      <c r="H621" t="s">
        <v>310</v>
      </c>
      <c r="I621">
        <v>0</v>
      </c>
      <c r="J621">
        <v>0</v>
      </c>
      <c r="K621">
        <v>0</v>
      </c>
      <c r="L621" t="s">
        <v>310</v>
      </c>
      <c r="M621" t="s">
        <v>310</v>
      </c>
      <c r="N621">
        <v>0</v>
      </c>
      <c r="O621" t="s">
        <v>1389</v>
      </c>
      <c r="P621" t="s">
        <v>1401</v>
      </c>
      <c r="Q621" t="s">
        <v>1400</v>
      </c>
      <c r="R621" t="s">
        <v>1405</v>
      </c>
      <c r="S621">
        <v>1</v>
      </c>
      <c r="T621" t="s">
        <v>1406</v>
      </c>
      <c r="U621">
        <v>0</v>
      </c>
      <c r="V621">
        <v>0</v>
      </c>
      <c r="W621">
        <v>3.8425705999999997</v>
      </c>
      <c r="X621">
        <v>33.555064299999998</v>
      </c>
      <c r="Y621">
        <v>24.6139565</v>
      </c>
      <c r="Z621">
        <v>66.418044999999992</v>
      </c>
      <c r="AA621">
        <v>0</v>
      </c>
      <c r="AB621">
        <v>1</v>
      </c>
      <c r="AC621" t="s">
        <v>174</v>
      </c>
      <c r="AD621">
        <v>9</v>
      </c>
      <c r="AE621" t="s">
        <v>1414</v>
      </c>
      <c r="AF621">
        <v>80000000</v>
      </c>
      <c r="AG621" t="s">
        <v>310</v>
      </c>
      <c r="AH621">
        <f>SUM((MID(Dyno_Data[[#This Row],[Team]],4,5))+(Dyno_Data[[#This Row],[Match]]/100))</f>
        <v>6911.1</v>
      </c>
      <c r="AI621" s="76">
        <f>ROUND(SUM(IF(Dyno_Data[[#This Row],[AcqCenter]]&gt;0,Dyno_Data[[#This Row],[Time]]-SUMIFS(Dyno_Data[Time],Dyno_Data[Team],Dyno_Data[[#This Row],[Team]],Dyno_Data[RecordType],"StartMatch",Dyno_Data[Match],Dyno_Data[[#This Row],[Match]]),0)*86400),0)</f>
        <v>0</v>
      </c>
    </row>
    <row r="622" spans="1:35" x14ac:dyDescent="0.3">
      <c r="A622">
        <v>621</v>
      </c>
      <c r="B622" t="s">
        <v>367</v>
      </c>
      <c r="C622">
        <v>10</v>
      </c>
      <c r="D622" s="105">
        <v>45373.432272719911</v>
      </c>
      <c r="E622" t="s">
        <v>316</v>
      </c>
      <c r="F622" t="s">
        <v>317</v>
      </c>
      <c r="G622">
        <v>0</v>
      </c>
      <c r="H622" t="s">
        <v>310</v>
      </c>
      <c r="I622">
        <v>0</v>
      </c>
      <c r="J622">
        <v>0</v>
      </c>
      <c r="K622">
        <v>0</v>
      </c>
      <c r="L622" t="s">
        <v>310</v>
      </c>
      <c r="M622" t="s">
        <v>310</v>
      </c>
      <c r="N622">
        <v>0</v>
      </c>
      <c r="O622" t="s">
        <v>1395</v>
      </c>
      <c r="P622" t="s">
        <v>101</v>
      </c>
      <c r="Q622" t="s">
        <v>1400</v>
      </c>
      <c r="R622" t="s">
        <v>1405</v>
      </c>
      <c r="S622">
        <v>1</v>
      </c>
      <c r="T622" t="s">
        <v>1407</v>
      </c>
      <c r="U622">
        <v>0</v>
      </c>
      <c r="V622">
        <v>0</v>
      </c>
      <c r="W622">
        <v>4.9568424000000002</v>
      </c>
      <c r="X622">
        <v>17.5905153</v>
      </c>
      <c r="Y622">
        <v>42.182121799999997</v>
      </c>
      <c r="Z622">
        <v>63.109513899999996</v>
      </c>
      <c r="AA622">
        <v>2</v>
      </c>
      <c r="AB622">
        <v>0</v>
      </c>
      <c r="AC622" t="s">
        <v>174</v>
      </c>
      <c r="AD622">
        <v>9</v>
      </c>
      <c r="AE622" t="s">
        <v>1413</v>
      </c>
      <c r="AF622">
        <v>10000000</v>
      </c>
      <c r="AG622" t="s">
        <v>310</v>
      </c>
      <c r="AH622">
        <f>SUM((MID(Dyno_Data[[#This Row],[Team]],4,5))+(Dyno_Data[[#This Row],[Match]]/100))</f>
        <v>5016.1000000000004</v>
      </c>
      <c r="AI622" s="76">
        <f>ROUND(SUM(IF(Dyno_Data[[#This Row],[AcqCenter]]&gt;0,Dyno_Data[[#This Row],[Time]]-SUMIFS(Dyno_Data[Time],Dyno_Data[Team],Dyno_Data[[#This Row],[Team]],Dyno_Data[RecordType],"StartMatch",Dyno_Data[Match],Dyno_Data[[#This Row],[Match]]),0)*86400),0)</f>
        <v>0</v>
      </c>
    </row>
    <row r="623" spans="1:35" x14ac:dyDescent="0.3">
      <c r="A623">
        <v>632</v>
      </c>
      <c r="B623" t="s">
        <v>1275</v>
      </c>
      <c r="C623">
        <v>11</v>
      </c>
      <c r="D623" s="105">
        <v>45373.436790127314</v>
      </c>
      <c r="E623" t="s">
        <v>308</v>
      </c>
      <c r="F623" t="s">
        <v>309</v>
      </c>
      <c r="G623">
        <v>0</v>
      </c>
      <c r="H623" t="s">
        <v>310</v>
      </c>
      <c r="I623">
        <v>0</v>
      </c>
      <c r="J623">
        <v>0</v>
      </c>
      <c r="K623">
        <v>0</v>
      </c>
      <c r="L623" t="s">
        <v>310</v>
      </c>
      <c r="M623" t="s">
        <v>310</v>
      </c>
      <c r="N623">
        <v>0</v>
      </c>
      <c r="O623" t="s">
        <v>1393</v>
      </c>
      <c r="P623" t="s">
        <v>310</v>
      </c>
      <c r="Q623" t="s">
        <v>310</v>
      </c>
      <c r="R623" t="s">
        <v>310</v>
      </c>
      <c r="S623">
        <v>9</v>
      </c>
      <c r="T623" t="s">
        <v>310</v>
      </c>
      <c r="U623">
        <v>9</v>
      </c>
      <c r="V623">
        <v>9</v>
      </c>
      <c r="W623">
        <v>0</v>
      </c>
      <c r="X623">
        <v>0</v>
      </c>
      <c r="Y623">
        <v>0</v>
      </c>
      <c r="Z623">
        <v>0</v>
      </c>
      <c r="AA623">
        <v>9</v>
      </c>
      <c r="AB623">
        <v>9</v>
      </c>
      <c r="AC623" t="s">
        <v>310</v>
      </c>
      <c r="AD623">
        <v>9</v>
      </c>
      <c r="AE623" t="s">
        <v>1412</v>
      </c>
      <c r="AF623">
        <v>0</v>
      </c>
      <c r="AG623" t="s">
        <v>310</v>
      </c>
      <c r="AH623">
        <f>SUM((MID(Dyno_Data[[#This Row],[Team]],4,5))+(Dyno_Data[[#This Row],[Match]]/100))</f>
        <v>1880.11</v>
      </c>
      <c r="AI623" s="76">
        <f>ROUND(SUM(IF(Dyno_Data[[#This Row],[AcqCenter]]&gt;0,Dyno_Data[[#This Row],[Time]]-SUMIFS(Dyno_Data[Time],Dyno_Data[Team],Dyno_Data[[#This Row],[Team]],Dyno_Data[RecordType],"StartMatch",Dyno_Data[Match],Dyno_Data[[#This Row],[Match]]),0)*86400),0)</f>
        <v>0</v>
      </c>
    </row>
    <row r="624" spans="1:35" x14ac:dyDescent="0.3">
      <c r="A624">
        <v>635</v>
      </c>
      <c r="B624" t="s">
        <v>1291</v>
      </c>
      <c r="C624">
        <v>11</v>
      </c>
      <c r="D624" s="105">
        <v>45373.436791631946</v>
      </c>
      <c r="E624" t="s">
        <v>308</v>
      </c>
      <c r="F624" t="s">
        <v>309</v>
      </c>
      <c r="G624">
        <v>0</v>
      </c>
      <c r="H624" t="s">
        <v>310</v>
      </c>
      <c r="I624">
        <v>0</v>
      </c>
      <c r="J624">
        <v>0</v>
      </c>
      <c r="K624">
        <v>0</v>
      </c>
      <c r="L624" t="s">
        <v>310</v>
      </c>
      <c r="M624" t="s">
        <v>310</v>
      </c>
      <c r="N624">
        <v>0</v>
      </c>
      <c r="O624" t="s">
        <v>1395</v>
      </c>
      <c r="P624" t="s">
        <v>310</v>
      </c>
      <c r="Q624" t="s">
        <v>310</v>
      </c>
      <c r="R624" t="s">
        <v>310</v>
      </c>
      <c r="S624">
        <v>9</v>
      </c>
      <c r="T624" t="s">
        <v>310</v>
      </c>
      <c r="U624">
        <v>9</v>
      </c>
      <c r="V624">
        <v>9</v>
      </c>
      <c r="W624">
        <v>0</v>
      </c>
      <c r="X624">
        <v>0</v>
      </c>
      <c r="Y624">
        <v>0</v>
      </c>
      <c r="Z624">
        <v>0</v>
      </c>
      <c r="AA624">
        <v>9</v>
      </c>
      <c r="AB624">
        <v>9</v>
      </c>
      <c r="AC624" t="s">
        <v>310</v>
      </c>
      <c r="AD624">
        <v>9</v>
      </c>
      <c r="AE624" t="s">
        <v>1413</v>
      </c>
      <c r="AF624">
        <v>10000000</v>
      </c>
      <c r="AG624" t="s">
        <v>310</v>
      </c>
      <c r="AH624">
        <f>SUM((MID(Dyno_Data[[#This Row],[Team]],4,5))+(Dyno_Data[[#This Row],[Match]]/100))</f>
        <v>1493.11</v>
      </c>
      <c r="AI624" s="76">
        <f>ROUND(SUM(IF(Dyno_Data[[#This Row],[AcqCenter]]&gt;0,Dyno_Data[[#This Row],[Time]]-SUMIFS(Dyno_Data[Time],Dyno_Data[Team],Dyno_Data[[#This Row],[Team]],Dyno_Data[RecordType],"StartMatch",Dyno_Data[Match],Dyno_Data[[#This Row],[Match]]),0)*86400),0)</f>
        <v>0</v>
      </c>
    </row>
    <row r="625" spans="1:35" x14ac:dyDescent="0.3">
      <c r="A625">
        <v>637</v>
      </c>
      <c r="B625" t="s">
        <v>1285</v>
      </c>
      <c r="C625">
        <v>11</v>
      </c>
      <c r="D625" s="105">
        <v>45373.436794479167</v>
      </c>
      <c r="E625" t="s">
        <v>308</v>
      </c>
      <c r="F625" t="s">
        <v>309</v>
      </c>
      <c r="G625">
        <v>0</v>
      </c>
      <c r="H625" t="s">
        <v>310</v>
      </c>
      <c r="I625">
        <v>0</v>
      </c>
      <c r="J625">
        <v>0</v>
      </c>
      <c r="K625">
        <v>0</v>
      </c>
      <c r="L625" t="s">
        <v>310</v>
      </c>
      <c r="M625" t="s">
        <v>310</v>
      </c>
      <c r="N625">
        <v>0</v>
      </c>
      <c r="O625" t="s">
        <v>1391</v>
      </c>
      <c r="P625" t="s">
        <v>310</v>
      </c>
      <c r="Q625" t="s">
        <v>310</v>
      </c>
      <c r="R625" t="s">
        <v>310</v>
      </c>
      <c r="S625">
        <v>9</v>
      </c>
      <c r="T625" t="s">
        <v>310</v>
      </c>
      <c r="U625">
        <v>9</v>
      </c>
      <c r="V625">
        <v>9</v>
      </c>
      <c r="W625">
        <v>0</v>
      </c>
      <c r="X625">
        <v>0</v>
      </c>
      <c r="Y625">
        <v>0</v>
      </c>
      <c r="Z625">
        <v>0</v>
      </c>
      <c r="AA625">
        <v>9</v>
      </c>
      <c r="AB625">
        <v>9</v>
      </c>
      <c r="AC625" t="s">
        <v>310</v>
      </c>
      <c r="AD625">
        <v>9</v>
      </c>
      <c r="AE625" t="s">
        <v>1396</v>
      </c>
      <c r="AF625">
        <v>0</v>
      </c>
      <c r="AG625" t="s">
        <v>310</v>
      </c>
      <c r="AH625">
        <f>SUM((MID(Dyno_Data[[#This Row],[Team]],4,5))+(Dyno_Data[[#This Row],[Match]]/100))</f>
        <v>5993.11</v>
      </c>
      <c r="AI625" s="76">
        <f>ROUND(SUM(IF(Dyno_Data[[#This Row],[AcqCenter]]&gt;0,Dyno_Data[[#This Row],[Time]]-SUMIFS(Dyno_Data[Time],Dyno_Data[Team],Dyno_Data[[#This Row],[Team]],Dyno_Data[RecordType],"StartMatch",Dyno_Data[Match],Dyno_Data[[#This Row],[Match]]),0)*86400),0)</f>
        <v>0</v>
      </c>
    </row>
    <row r="626" spans="1:35" x14ac:dyDescent="0.3">
      <c r="A626">
        <v>622</v>
      </c>
      <c r="B626" t="s">
        <v>1284</v>
      </c>
      <c r="C626">
        <v>11</v>
      </c>
      <c r="D626" s="105">
        <v>45373.436795949077</v>
      </c>
      <c r="E626" t="s">
        <v>312</v>
      </c>
      <c r="F626" t="s">
        <v>309</v>
      </c>
      <c r="G626">
        <v>0</v>
      </c>
      <c r="H626" t="s">
        <v>1397</v>
      </c>
      <c r="I626">
        <v>0</v>
      </c>
      <c r="J626">
        <v>0</v>
      </c>
      <c r="K626">
        <v>0</v>
      </c>
      <c r="L626" t="s">
        <v>240</v>
      </c>
      <c r="M626" t="s">
        <v>1398</v>
      </c>
      <c r="N626">
        <v>0</v>
      </c>
      <c r="O626" t="s">
        <v>1389</v>
      </c>
      <c r="P626" t="s">
        <v>310</v>
      </c>
      <c r="Q626" t="s">
        <v>310</v>
      </c>
      <c r="R626" t="s">
        <v>310</v>
      </c>
      <c r="S626">
        <v>9</v>
      </c>
      <c r="T626" t="s">
        <v>310</v>
      </c>
      <c r="U626">
        <v>9</v>
      </c>
      <c r="V626">
        <v>9</v>
      </c>
      <c r="W626">
        <v>0</v>
      </c>
      <c r="X626">
        <v>0</v>
      </c>
      <c r="Y626">
        <v>0</v>
      </c>
      <c r="Z626">
        <v>0</v>
      </c>
      <c r="AA626">
        <v>9</v>
      </c>
      <c r="AB626">
        <v>9</v>
      </c>
      <c r="AC626" t="s">
        <v>310</v>
      </c>
      <c r="AD626">
        <v>9</v>
      </c>
      <c r="AE626" t="s">
        <v>1414</v>
      </c>
      <c r="AF626">
        <v>0</v>
      </c>
      <c r="AG626" t="s">
        <v>310</v>
      </c>
      <c r="AH626">
        <f>SUM((MID(Dyno_Data[[#This Row],[Team]],4,5))+(Dyno_Data[[#This Row],[Match]]/100))</f>
        <v>5590.11</v>
      </c>
      <c r="AI626" s="76">
        <f>ROUND(SUM(IF(Dyno_Data[[#This Row],[AcqCenter]]&gt;0,Dyno_Data[[#This Row],[Time]]-SUMIFS(Dyno_Data[Time],Dyno_Data[Team],Dyno_Data[[#This Row],[Team]],Dyno_Data[RecordType],"StartMatch",Dyno_Data[Match],Dyno_Data[[#This Row],[Match]]),0)*86400),0)</f>
        <v>0</v>
      </c>
    </row>
    <row r="627" spans="1:35" x14ac:dyDescent="0.3">
      <c r="A627">
        <v>639</v>
      </c>
      <c r="B627" t="s">
        <v>1303</v>
      </c>
      <c r="C627">
        <v>11</v>
      </c>
      <c r="D627" s="105">
        <v>45373.436796562499</v>
      </c>
      <c r="E627" t="s">
        <v>308</v>
      </c>
      <c r="F627" t="s">
        <v>309</v>
      </c>
      <c r="G627">
        <v>0</v>
      </c>
      <c r="H627" t="s">
        <v>310</v>
      </c>
      <c r="I627">
        <v>0</v>
      </c>
      <c r="J627">
        <v>0</v>
      </c>
      <c r="K627">
        <v>0</v>
      </c>
      <c r="L627" t="s">
        <v>310</v>
      </c>
      <c r="M627" t="s">
        <v>310</v>
      </c>
      <c r="N627">
        <v>0</v>
      </c>
      <c r="O627" t="s">
        <v>311</v>
      </c>
      <c r="P627" t="s">
        <v>310</v>
      </c>
      <c r="Q627" t="s">
        <v>310</v>
      </c>
      <c r="R627" t="s">
        <v>310</v>
      </c>
      <c r="S627">
        <v>9</v>
      </c>
      <c r="T627" t="s">
        <v>310</v>
      </c>
      <c r="U627">
        <v>9</v>
      </c>
      <c r="V627">
        <v>9</v>
      </c>
      <c r="W627">
        <v>0</v>
      </c>
      <c r="X627">
        <v>0</v>
      </c>
      <c r="Y627">
        <v>0</v>
      </c>
      <c r="Z627">
        <v>0</v>
      </c>
      <c r="AA627">
        <v>9</v>
      </c>
      <c r="AB627">
        <v>9</v>
      </c>
      <c r="AC627" t="s">
        <v>310</v>
      </c>
      <c r="AD627">
        <v>9</v>
      </c>
      <c r="AE627" t="s">
        <v>1388</v>
      </c>
      <c r="AF627">
        <v>10001000</v>
      </c>
      <c r="AG627" t="s">
        <v>310</v>
      </c>
      <c r="AH627">
        <f>SUM((MID(Dyno_Data[[#This Row],[Team]],4,5))+(Dyno_Data[[#This Row],[Match]]/100))</f>
        <v>7605.11</v>
      </c>
      <c r="AI627" s="76">
        <f>ROUND(SUM(IF(Dyno_Data[[#This Row],[AcqCenter]]&gt;0,Dyno_Data[[#This Row],[Time]]-SUMIFS(Dyno_Data[Time],Dyno_Data[Team],Dyno_Data[[#This Row],[Team]],Dyno_Data[RecordType],"StartMatch",Dyno_Data[Match],Dyno_Data[[#This Row],[Match]]),0)*86400),0)</f>
        <v>0</v>
      </c>
    </row>
    <row r="628" spans="1:35" x14ac:dyDescent="0.3">
      <c r="A628">
        <v>641</v>
      </c>
      <c r="B628" t="s">
        <v>371</v>
      </c>
      <c r="C628">
        <v>11</v>
      </c>
      <c r="D628" s="105">
        <v>45373.436796759263</v>
      </c>
      <c r="E628" t="s">
        <v>308</v>
      </c>
      <c r="F628" t="s">
        <v>309</v>
      </c>
      <c r="G628">
        <v>0</v>
      </c>
      <c r="H628" t="s">
        <v>310</v>
      </c>
      <c r="I628">
        <v>0</v>
      </c>
      <c r="J628">
        <v>0</v>
      </c>
      <c r="K628">
        <v>0</v>
      </c>
      <c r="L628" t="s">
        <v>310</v>
      </c>
      <c r="M628" t="s">
        <v>310</v>
      </c>
      <c r="N628">
        <v>0</v>
      </c>
      <c r="O628" t="s">
        <v>319</v>
      </c>
      <c r="P628" t="s">
        <v>310</v>
      </c>
      <c r="Q628" t="s">
        <v>310</v>
      </c>
      <c r="R628" t="s">
        <v>310</v>
      </c>
      <c r="S628">
        <v>9</v>
      </c>
      <c r="T628" t="s">
        <v>310</v>
      </c>
      <c r="U628">
        <v>9</v>
      </c>
      <c r="V628">
        <v>9</v>
      </c>
      <c r="W628">
        <v>0</v>
      </c>
      <c r="X628">
        <v>0</v>
      </c>
      <c r="Y628">
        <v>0</v>
      </c>
      <c r="Z628">
        <v>0</v>
      </c>
      <c r="AA628">
        <v>9</v>
      </c>
      <c r="AB628">
        <v>9</v>
      </c>
      <c r="AC628" t="s">
        <v>310</v>
      </c>
      <c r="AD628">
        <v>9</v>
      </c>
      <c r="AE628" t="s">
        <v>1390</v>
      </c>
      <c r="AF628">
        <v>0</v>
      </c>
      <c r="AG628" t="s">
        <v>310</v>
      </c>
      <c r="AH628">
        <f>SUM((MID(Dyno_Data[[#This Row],[Team]],4,5))+(Dyno_Data[[#This Row],[Match]]/100))</f>
        <v>6969.11</v>
      </c>
      <c r="AI628" s="76">
        <f>ROUND(SUM(IF(Dyno_Data[[#This Row],[AcqCenter]]&gt;0,Dyno_Data[[#This Row],[Time]]-SUMIFS(Dyno_Data[Time],Dyno_Data[Team],Dyno_Data[[#This Row],[Team]],Dyno_Data[RecordType],"StartMatch",Dyno_Data[Match],Dyno_Data[[#This Row],[Match]]),0)*86400),0)</f>
        <v>0</v>
      </c>
    </row>
    <row r="629" spans="1:35" x14ac:dyDescent="0.3">
      <c r="A629">
        <v>643</v>
      </c>
      <c r="B629" t="s">
        <v>1284</v>
      </c>
      <c r="C629">
        <v>11</v>
      </c>
      <c r="D629" s="105">
        <v>45373.43680023148</v>
      </c>
      <c r="E629" t="s">
        <v>308</v>
      </c>
      <c r="F629" t="s">
        <v>309</v>
      </c>
      <c r="G629">
        <v>0</v>
      </c>
      <c r="H629" t="s">
        <v>310</v>
      </c>
      <c r="I629">
        <v>0</v>
      </c>
      <c r="J629">
        <v>0</v>
      </c>
      <c r="K629">
        <v>0</v>
      </c>
      <c r="L629" t="s">
        <v>310</v>
      </c>
      <c r="M629" t="s">
        <v>310</v>
      </c>
      <c r="N629">
        <v>0</v>
      </c>
      <c r="O629" t="s">
        <v>1389</v>
      </c>
      <c r="P629" t="s">
        <v>310</v>
      </c>
      <c r="Q629" t="s">
        <v>310</v>
      </c>
      <c r="R629" t="s">
        <v>310</v>
      </c>
      <c r="S629">
        <v>9</v>
      </c>
      <c r="T629" t="s">
        <v>310</v>
      </c>
      <c r="U629">
        <v>9</v>
      </c>
      <c r="V629">
        <v>9</v>
      </c>
      <c r="W629">
        <v>0</v>
      </c>
      <c r="X629">
        <v>0</v>
      </c>
      <c r="Y629">
        <v>0</v>
      </c>
      <c r="Z629">
        <v>0</v>
      </c>
      <c r="AA629">
        <v>9</v>
      </c>
      <c r="AB629">
        <v>9</v>
      </c>
      <c r="AC629" t="s">
        <v>310</v>
      </c>
      <c r="AD629">
        <v>9</v>
      </c>
      <c r="AE629" t="s">
        <v>1414</v>
      </c>
      <c r="AF629">
        <v>10000000</v>
      </c>
      <c r="AG629" t="s">
        <v>310</v>
      </c>
      <c r="AH629">
        <f>SUM((MID(Dyno_Data[[#This Row],[Team]],4,5))+(Dyno_Data[[#This Row],[Match]]/100))</f>
        <v>5590.11</v>
      </c>
      <c r="AI629" s="76">
        <f>ROUND(SUM(IF(Dyno_Data[[#This Row],[AcqCenter]]&gt;0,Dyno_Data[[#This Row],[Time]]-SUMIFS(Dyno_Data[Time],Dyno_Data[Team],Dyno_Data[[#This Row],[Team]],Dyno_Data[RecordType],"StartMatch",Dyno_Data[Match],Dyno_Data[[#This Row],[Match]]),0)*86400),0)</f>
        <v>0</v>
      </c>
    </row>
    <row r="630" spans="1:35" x14ac:dyDescent="0.3">
      <c r="A630">
        <v>623</v>
      </c>
      <c r="B630" t="s">
        <v>1291</v>
      </c>
      <c r="C630">
        <v>11</v>
      </c>
      <c r="D630" s="105">
        <v>45373.436803124998</v>
      </c>
      <c r="E630" t="s">
        <v>312</v>
      </c>
      <c r="F630" t="s">
        <v>309</v>
      </c>
      <c r="G630">
        <v>0</v>
      </c>
      <c r="H630" t="s">
        <v>1397</v>
      </c>
      <c r="I630">
        <v>0</v>
      </c>
      <c r="J630">
        <v>0</v>
      </c>
      <c r="K630">
        <v>0</v>
      </c>
      <c r="L630" t="s">
        <v>240</v>
      </c>
      <c r="M630" t="s">
        <v>1398</v>
      </c>
      <c r="N630">
        <v>0</v>
      </c>
      <c r="O630" t="s">
        <v>1395</v>
      </c>
      <c r="P630" t="s">
        <v>310</v>
      </c>
      <c r="Q630" t="s">
        <v>310</v>
      </c>
      <c r="R630" t="s">
        <v>310</v>
      </c>
      <c r="S630">
        <v>9</v>
      </c>
      <c r="T630" t="s">
        <v>310</v>
      </c>
      <c r="U630">
        <v>9</v>
      </c>
      <c r="V630">
        <v>9</v>
      </c>
      <c r="W630">
        <v>0</v>
      </c>
      <c r="X630">
        <v>0</v>
      </c>
      <c r="Y630">
        <v>0</v>
      </c>
      <c r="Z630">
        <v>0</v>
      </c>
      <c r="AA630">
        <v>9</v>
      </c>
      <c r="AB630">
        <v>9</v>
      </c>
      <c r="AC630" t="s">
        <v>310</v>
      </c>
      <c r="AD630">
        <v>9</v>
      </c>
      <c r="AE630" t="s">
        <v>1413</v>
      </c>
      <c r="AF630">
        <v>0</v>
      </c>
      <c r="AG630" t="s">
        <v>310</v>
      </c>
      <c r="AH630">
        <f>SUM((MID(Dyno_Data[[#This Row],[Team]],4,5))+(Dyno_Data[[#This Row],[Match]]/100))</f>
        <v>1493.11</v>
      </c>
      <c r="AI630" s="76">
        <f>ROUND(SUM(IF(Dyno_Data[[#This Row],[AcqCenter]]&gt;0,Dyno_Data[[#This Row],[Time]]-SUMIFS(Dyno_Data[Time],Dyno_Data[Team],Dyno_Data[[#This Row],[Team]],Dyno_Data[RecordType],"StartMatch",Dyno_Data[Match],Dyno_Data[[#This Row],[Match]]),0)*86400),0)</f>
        <v>0</v>
      </c>
    </row>
    <row r="631" spans="1:35" x14ac:dyDescent="0.3">
      <c r="A631">
        <v>624</v>
      </c>
      <c r="B631" t="s">
        <v>1275</v>
      </c>
      <c r="C631">
        <v>11</v>
      </c>
      <c r="D631" s="105">
        <v>45373.43681392361</v>
      </c>
      <c r="E631" t="s">
        <v>312</v>
      </c>
      <c r="F631" t="s">
        <v>309</v>
      </c>
      <c r="G631">
        <v>0</v>
      </c>
      <c r="H631" t="s">
        <v>1397</v>
      </c>
      <c r="I631">
        <v>0</v>
      </c>
      <c r="J631">
        <v>0</v>
      </c>
      <c r="K631">
        <v>0</v>
      </c>
      <c r="L631" t="s">
        <v>240</v>
      </c>
      <c r="M631" t="s">
        <v>1398</v>
      </c>
      <c r="N631">
        <v>0</v>
      </c>
      <c r="O631" t="s">
        <v>1393</v>
      </c>
      <c r="P631" t="s">
        <v>310</v>
      </c>
      <c r="Q631" t="s">
        <v>310</v>
      </c>
      <c r="R631" t="s">
        <v>310</v>
      </c>
      <c r="S631">
        <v>9</v>
      </c>
      <c r="T631" t="s">
        <v>310</v>
      </c>
      <c r="U631">
        <v>9</v>
      </c>
      <c r="V631">
        <v>9</v>
      </c>
      <c r="W631">
        <v>0</v>
      </c>
      <c r="X631">
        <v>0</v>
      </c>
      <c r="Y631">
        <v>0</v>
      </c>
      <c r="Z631">
        <v>0</v>
      </c>
      <c r="AA631">
        <v>9</v>
      </c>
      <c r="AB631">
        <v>9</v>
      </c>
      <c r="AC631" t="s">
        <v>310</v>
      </c>
      <c r="AD631">
        <v>9</v>
      </c>
      <c r="AE631" t="s">
        <v>1412</v>
      </c>
      <c r="AF631">
        <v>0</v>
      </c>
      <c r="AG631" t="s">
        <v>310</v>
      </c>
      <c r="AH631">
        <f>SUM((MID(Dyno_Data[[#This Row],[Team]],4,5))+(Dyno_Data[[#This Row],[Match]]/100))</f>
        <v>1880.11</v>
      </c>
      <c r="AI631" s="76">
        <f>ROUND(SUM(IF(Dyno_Data[[#This Row],[AcqCenter]]&gt;0,Dyno_Data[[#This Row],[Time]]-SUMIFS(Dyno_Data[Time],Dyno_Data[Team],Dyno_Data[[#This Row],[Team]],Dyno_Data[RecordType],"StartMatch",Dyno_Data[Match],Dyno_Data[[#This Row],[Match]]),0)*86400),0)</f>
        <v>0</v>
      </c>
    </row>
    <row r="632" spans="1:35" x14ac:dyDescent="0.3">
      <c r="A632">
        <v>625</v>
      </c>
      <c r="B632" t="s">
        <v>1303</v>
      </c>
      <c r="C632">
        <v>11</v>
      </c>
      <c r="D632" s="105">
        <v>45373.436814618057</v>
      </c>
      <c r="E632" t="s">
        <v>312</v>
      </c>
      <c r="F632" t="s">
        <v>309</v>
      </c>
      <c r="G632">
        <v>0</v>
      </c>
      <c r="H632" t="s">
        <v>1397</v>
      </c>
      <c r="I632">
        <v>0</v>
      </c>
      <c r="J632">
        <v>0</v>
      </c>
      <c r="K632">
        <v>0</v>
      </c>
      <c r="L632" t="s">
        <v>240</v>
      </c>
      <c r="M632" t="s">
        <v>1398</v>
      </c>
      <c r="N632">
        <v>0</v>
      </c>
      <c r="O632" t="s">
        <v>311</v>
      </c>
      <c r="P632" t="s">
        <v>310</v>
      </c>
      <c r="Q632" t="s">
        <v>310</v>
      </c>
      <c r="R632" t="s">
        <v>310</v>
      </c>
      <c r="S632">
        <v>9</v>
      </c>
      <c r="T632" t="s">
        <v>310</v>
      </c>
      <c r="U632">
        <v>9</v>
      </c>
      <c r="V632">
        <v>9</v>
      </c>
      <c r="W632">
        <v>0</v>
      </c>
      <c r="X632">
        <v>0</v>
      </c>
      <c r="Y632">
        <v>0</v>
      </c>
      <c r="Z632">
        <v>0</v>
      </c>
      <c r="AA632">
        <v>9</v>
      </c>
      <c r="AB632">
        <v>9</v>
      </c>
      <c r="AC632" t="s">
        <v>310</v>
      </c>
      <c r="AD632">
        <v>9</v>
      </c>
      <c r="AE632" t="s">
        <v>1388</v>
      </c>
      <c r="AF632">
        <v>0</v>
      </c>
      <c r="AG632" t="s">
        <v>310</v>
      </c>
      <c r="AH632">
        <f>SUM((MID(Dyno_Data[[#This Row],[Team]],4,5))+(Dyno_Data[[#This Row],[Match]]/100))</f>
        <v>7605.11</v>
      </c>
      <c r="AI632" s="76">
        <f>ROUND(SUM(IF(Dyno_Data[[#This Row],[AcqCenter]]&gt;0,Dyno_Data[[#This Row],[Time]]-SUMIFS(Dyno_Data[Time],Dyno_Data[Team],Dyno_Data[[#This Row],[Team]],Dyno_Data[RecordType],"StartMatch",Dyno_Data[Match],Dyno_Data[[#This Row],[Match]]),0)*86400),0)</f>
        <v>0</v>
      </c>
    </row>
    <row r="633" spans="1:35" x14ac:dyDescent="0.3">
      <c r="A633">
        <v>626</v>
      </c>
      <c r="B633" t="s">
        <v>1303</v>
      </c>
      <c r="C633">
        <v>11</v>
      </c>
      <c r="D633" s="105">
        <v>45373.436822719908</v>
      </c>
      <c r="E633" t="s">
        <v>312</v>
      </c>
      <c r="F633" t="s">
        <v>309</v>
      </c>
      <c r="G633">
        <v>0</v>
      </c>
      <c r="H633" t="s">
        <v>315</v>
      </c>
      <c r="I633">
        <v>0</v>
      </c>
      <c r="J633">
        <v>0</v>
      </c>
      <c r="K633">
        <v>0</v>
      </c>
      <c r="L633" t="s">
        <v>240</v>
      </c>
      <c r="M633" t="s">
        <v>1398</v>
      </c>
      <c r="N633">
        <v>0</v>
      </c>
      <c r="O633" t="s">
        <v>311</v>
      </c>
      <c r="P633" t="s">
        <v>310</v>
      </c>
      <c r="Q633" t="s">
        <v>310</v>
      </c>
      <c r="R633" t="s">
        <v>310</v>
      </c>
      <c r="S633">
        <v>9</v>
      </c>
      <c r="T633" t="s">
        <v>310</v>
      </c>
      <c r="U633">
        <v>9</v>
      </c>
      <c r="V633">
        <v>9</v>
      </c>
      <c r="W633">
        <v>0</v>
      </c>
      <c r="X633">
        <v>0</v>
      </c>
      <c r="Y633">
        <v>0</v>
      </c>
      <c r="Z633">
        <v>0</v>
      </c>
      <c r="AA633">
        <v>9</v>
      </c>
      <c r="AB633">
        <v>9</v>
      </c>
      <c r="AC633" t="s">
        <v>310</v>
      </c>
      <c r="AD633">
        <v>9</v>
      </c>
      <c r="AE633" t="s">
        <v>1388</v>
      </c>
      <c r="AF633">
        <v>10000000</v>
      </c>
      <c r="AG633" t="s">
        <v>310</v>
      </c>
      <c r="AH633">
        <f>SUM((MID(Dyno_Data[[#This Row],[Team]],4,5))+(Dyno_Data[[#This Row],[Match]]/100))</f>
        <v>7605.11</v>
      </c>
      <c r="AI633" s="76">
        <f>ROUND(SUM(IF(Dyno_Data[[#This Row],[AcqCenter]]&gt;0,Dyno_Data[[#This Row],[Time]]-SUMIFS(Dyno_Data[Time],Dyno_Data[Team],Dyno_Data[[#This Row],[Team]],Dyno_Data[RecordType],"StartMatch",Dyno_Data[Match],Dyno_Data[[#This Row],[Match]]),0)*86400),0)</f>
        <v>0</v>
      </c>
    </row>
    <row r="634" spans="1:35" x14ac:dyDescent="0.3">
      <c r="A634">
        <v>627</v>
      </c>
      <c r="B634" t="s">
        <v>1284</v>
      </c>
      <c r="C634">
        <v>11</v>
      </c>
      <c r="D634" s="105">
        <v>45373.436828391204</v>
      </c>
      <c r="E634" t="s">
        <v>312</v>
      </c>
      <c r="F634" t="s">
        <v>309</v>
      </c>
      <c r="G634">
        <v>0</v>
      </c>
      <c r="H634" t="s">
        <v>315</v>
      </c>
      <c r="I634">
        <v>0</v>
      </c>
      <c r="J634">
        <v>0</v>
      </c>
      <c r="K634">
        <v>0</v>
      </c>
      <c r="L634" t="s">
        <v>240</v>
      </c>
      <c r="M634" t="s">
        <v>241</v>
      </c>
      <c r="N634">
        <v>0</v>
      </c>
      <c r="O634" t="s">
        <v>1389</v>
      </c>
      <c r="P634" t="s">
        <v>310</v>
      </c>
      <c r="Q634" t="s">
        <v>310</v>
      </c>
      <c r="R634" t="s">
        <v>310</v>
      </c>
      <c r="S634">
        <v>9</v>
      </c>
      <c r="T634" t="s">
        <v>310</v>
      </c>
      <c r="U634">
        <v>9</v>
      </c>
      <c r="V634">
        <v>9</v>
      </c>
      <c r="W634">
        <v>0</v>
      </c>
      <c r="X634">
        <v>0</v>
      </c>
      <c r="Y634">
        <v>0</v>
      </c>
      <c r="Z634">
        <v>0</v>
      </c>
      <c r="AA634">
        <v>9</v>
      </c>
      <c r="AB634">
        <v>9</v>
      </c>
      <c r="AC634" t="s">
        <v>310</v>
      </c>
      <c r="AD634">
        <v>9</v>
      </c>
      <c r="AE634" t="s">
        <v>1414</v>
      </c>
      <c r="AF634">
        <v>10000000</v>
      </c>
      <c r="AG634" t="s">
        <v>310</v>
      </c>
      <c r="AH634">
        <f>SUM((MID(Dyno_Data[[#This Row],[Team]],4,5))+(Dyno_Data[[#This Row],[Match]]/100))</f>
        <v>5590.11</v>
      </c>
      <c r="AI634" s="76">
        <f>ROUND(SUM(IF(Dyno_Data[[#This Row],[AcqCenter]]&gt;0,Dyno_Data[[#This Row],[Time]]-SUMIFS(Dyno_Data[Time],Dyno_Data[Team],Dyno_Data[[#This Row],[Team]],Dyno_Data[RecordType],"StartMatch",Dyno_Data[Match],Dyno_Data[[#This Row],[Match]]),0)*86400),0)</f>
        <v>0</v>
      </c>
    </row>
    <row r="635" spans="1:35" x14ac:dyDescent="0.3">
      <c r="A635">
        <v>628</v>
      </c>
      <c r="B635" t="s">
        <v>1303</v>
      </c>
      <c r="C635">
        <v>11</v>
      </c>
      <c r="D635" s="105">
        <v>45373.436847951387</v>
      </c>
      <c r="E635" t="s">
        <v>312</v>
      </c>
      <c r="F635" t="s">
        <v>309</v>
      </c>
      <c r="G635">
        <v>0</v>
      </c>
      <c r="H635" t="s">
        <v>143</v>
      </c>
      <c r="I635">
        <v>5</v>
      </c>
      <c r="J635">
        <v>1</v>
      </c>
      <c r="K635">
        <v>0</v>
      </c>
      <c r="L635" t="s">
        <v>310</v>
      </c>
      <c r="M635" t="s">
        <v>310</v>
      </c>
      <c r="N635">
        <v>0</v>
      </c>
      <c r="O635" t="s">
        <v>311</v>
      </c>
      <c r="P635" t="s">
        <v>310</v>
      </c>
      <c r="Q635" t="s">
        <v>310</v>
      </c>
      <c r="R635" t="s">
        <v>310</v>
      </c>
      <c r="S635">
        <v>9</v>
      </c>
      <c r="T635" t="s">
        <v>310</v>
      </c>
      <c r="U635">
        <v>9</v>
      </c>
      <c r="V635">
        <v>9</v>
      </c>
      <c r="W635">
        <v>0</v>
      </c>
      <c r="X635">
        <v>0</v>
      </c>
      <c r="Y635">
        <v>0</v>
      </c>
      <c r="Z635">
        <v>0</v>
      </c>
      <c r="AA635">
        <v>9</v>
      </c>
      <c r="AB635">
        <v>9</v>
      </c>
      <c r="AC635" t="s">
        <v>310</v>
      </c>
      <c r="AD635">
        <v>9</v>
      </c>
      <c r="AE635" t="s">
        <v>1388</v>
      </c>
      <c r="AF635">
        <v>10001000</v>
      </c>
      <c r="AG635" t="s">
        <v>310</v>
      </c>
      <c r="AH635">
        <f>SUM((MID(Dyno_Data[[#This Row],[Team]],4,5))+(Dyno_Data[[#This Row],[Match]]/100))</f>
        <v>7605.11</v>
      </c>
      <c r="AI635" s="76">
        <f>ROUND(SUM(IF(Dyno_Data[[#This Row],[AcqCenter]]&gt;0,Dyno_Data[[#This Row],[Time]]-SUMIFS(Dyno_Data[Time],Dyno_Data[Team],Dyno_Data[[#This Row],[Team]],Dyno_Data[RecordType],"StartMatch",Dyno_Data[Match],Dyno_Data[[#This Row],[Match]]),0)*86400),0)</f>
        <v>4</v>
      </c>
    </row>
    <row r="636" spans="1:35" x14ac:dyDescent="0.3">
      <c r="A636">
        <v>629</v>
      </c>
      <c r="B636" t="s">
        <v>1291</v>
      </c>
      <c r="C636">
        <v>11</v>
      </c>
      <c r="D636" s="105">
        <v>45373.436880520836</v>
      </c>
      <c r="E636" t="s">
        <v>312</v>
      </c>
      <c r="F636" t="s">
        <v>309</v>
      </c>
      <c r="G636">
        <v>0</v>
      </c>
      <c r="H636" t="s">
        <v>315</v>
      </c>
      <c r="I636">
        <v>0</v>
      </c>
      <c r="J636">
        <v>0</v>
      </c>
      <c r="K636">
        <v>0</v>
      </c>
      <c r="L636" t="s">
        <v>241</v>
      </c>
      <c r="M636" t="s">
        <v>1398</v>
      </c>
      <c r="N636">
        <v>0</v>
      </c>
      <c r="O636" t="s">
        <v>1395</v>
      </c>
      <c r="P636" t="s">
        <v>310</v>
      </c>
      <c r="Q636" t="s">
        <v>310</v>
      </c>
      <c r="R636" t="s">
        <v>310</v>
      </c>
      <c r="S636">
        <v>9</v>
      </c>
      <c r="T636" t="s">
        <v>310</v>
      </c>
      <c r="U636">
        <v>9</v>
      </c>
      <c r="V636">
        <v>9</v>
      </c>
      <c r="W636">
        <v>0</v>
      </c>
      <c r="X636">
        <v>0</v>
      </c>
      <c r="Y636">
        <v>0</v>
      </c>
      <c r="Z636">
        <v>0</v>
      </c>
      <c r="AA636">
        <v>9</v>
      </c>
      <c r="AB636">
        <v>9</v>
      </c>
      <c r="AC636" t="s">
        <v>310</v>
      </c>
      <c r="AD636">
        <v>9</v>
      </c>
      <c r="AE636" t="s">
        <v>1413</v>
      </c>
      <c r="AF636">
        <v>10000000</v>
      </c>
      <c r="AG636" t="s">
        <v>310</v>
      </c>
      <c r="AH636">
        <f>SUM((MID(Dyno_Data[[#This Row],[Team]],4,5))+(Dyno_Data[[#This Row],[Match]]/100))</f>
        <v>1493.11</v>
      </c>
      <c r="AI636" s="76">
        <f>ROUND(SUM(IF(Dyno_Data[[#This Row],[AcqCenter]]&gt;0,Dyno_Data[[#This Row],[Time]]-SUMIFS(Dyno_Data[Time],Dyno_Data[Team],Dyno_Data[[#This Row],[Team]],Dyno_Data[RecordType],"StartMatch",Dyno_Data[Match],Dyno_Data[[#This Row],[Match]]),0)*86400),0)</f>
        <v>0</v>
      </c>
    </row>
    <row r="637" spans="1:35" x14ac:dyDescent="0.3">
      <c r="A637">
        <v>630</v>
      </c>
      <c r="B637" t="s">
        <v>1303</v>
      </c>
      <c r="C637">
        <v>11</v>
      </c>
      <c r="D637" s="105">
        <v>45373.436884803239</v>
      </c>
      <c r="E637" t="s">
        <v>312</v>
      </c>
      <c r="F637" t="s">
        <v>309</v>
      </c>
      <c r="G637">
        <v>0</v>
      </c>
      <c r="H637" t="s">
        <v>143</v>
      </c>
      <c r="I637">
        <v>0</v>
      </c>
      <c r="J637">
        <v>0</v>
      </c>
      <c r="K637">
        <v>0</v>
      </c>
      <c r="L637" t="s">
        <v>241</v>
      </c>
      <c r="M637" t="s">
        <v>1398</v>
      </c>
      <c r="N637">
        <v>1</v>
      </c>
      <c r="O637" t="s">
        <v>311</v>
      </c>
      <c r="P637" t="s">
        <v>310</v>
      </c>
      <c r="Q637" t="s">
        <v>310</v>
      </c>
      <c r="R637" t="s">
        <v>310</v>
      </c>
      <c r="S637">
        <v>9</v>
      </c>
      <c r="T637" t="s">
        <v>310</v>
      </c>
      <c r="U637">
        <v>9</v>
      </c>
      <c r="V637">
        <v>9</v>
      </c>
      <c r="W637">
        <v>0</v>
      </c>
      <c r="X637">
        <v>0</v>
      </c>
      <c r="Y637">
        <v>0</v>
      </c>
      <c r="Z637">
        <v>0</v>
      </c>
      <c r="AA637">
        <v>9</v>
      </c>
      <c r="AB637">
        <v>9</v>
      </c>
      <c r="AC637" t="s">
        <v>310</v>
      </c>
      <c r="AD637">
        <v>9</v>
      </c>
      <c r="AE637" t="s">
        <v>1388</v>
      </c>
      <c r="AF637">
        <v>10001000</v>
      </c>
      <c r="AG637" t="s">
        <v>310</v>
      </c>
      <c r="AH637">
        <f>SUM((MID(Dyno_Data[[#This Row],[Team]],4,5))+(Dyno_Data[[#This Row],[Match]]/100))</f>
        <v>7605.11</v>
      </c>
      <c r="AI637" s="76">
        <f>ROUND(SUM(IF(Dyno_Data[[#This Row],[AcqCenter]]&gt;0,Dyno_Data[[#This Row],[Time]]-SUMIFS(Dyno_Data[Time],Dyno_Data[Team],Dyno_Data[[#This Row],[Team]],Dyno_Data[RecordType],"StartMatch",Dyno_Data[Match],Dyno_Data[[#This Row],[Match]]),0)*86400),0)</f>
        <v>0</v>
      </c>
    </row>
    <row r="638" spans="1:35" x14ac:dyDescent="0.3">
      <c r="A638">
        <v>631</v>
      </c>
      <c r="B638" t="s">
        <v>1303</v>
      </c>
      <c r="C638">
        <v>11</v>
      </c>
      <c r="D638" s="105">
        <v>45373.436969363429</v>
      </c>
      <c r="E638" t="s">
        <v>312</v>
      </c>
      <c r="F638" t="s">
        <v>309</v>
      </c>
      <c r="G638">
        <v>0</v>
      </c>
      <c r="H638" t="s">
        <v>143</v>
      </c>
      <c r="I638">
        <v>2</v>
      </c>
      <c r="J638">
        <v>1</v>
      </c>
      <c r="K638">
        <v>0</v>
      </c>
      <c r="L638" t="s">
        <v>310</v>
      </c>
      <c r="M638" t="s">
        <v>310</v>
      </c>
      <c r="N638">
        <v>0</v>
      </c>
      <c r="O638" t="s">
        <v>311</v>
      </c>
      <c r="P638" t="s">
        <v>310</v>
      </c>
      <c r="Q638" t="s">
        <v>310</v>
      </c>
      <c r="R638" t="s">
        <v>310</v>
      </c>
      <c r="S638">
        <v>9</v>
      </c>
      <c r="T638" t="s">
        <v>310</v>
      </c>
      <c r="U638">
        <v>9</v>
      </c>
      <c r="V638">
        <v>9</v>
      </c>
      <c r="W638">
        <v>0</v>
      </c>
      <c r="X638">
        <v>0</v>
      </c>
      <c r="Y638">
        <v>0</v>
      </c>
      <c r="Z638">
        <v>0</v>
      </c>
      <c r="AA638">
        <v>9</v>
      </c>
      <c r="AB638">
        <v>9</v>
      </c>
      <c r="AC638" t="s">
        <v>310</v>
      </c>
      <c r="AD638">
        <v>9</v>
      </c>
      <c r="AE638" t="s">
        <v>1388</v>
      </c>
      <c r="AF638">
        <v>10001000</v>
      </c>
      <c r="AG638" t="s">
        <v>310</v>
      </c>
      <c r="AH638">
        <f>SUM((MID(Dyno_Data[[#This Row],[Team]],4,5))+(Dyno_Data[[#This Row],[Match]]/100))</f>
        <v>7605.11</v>
      </c>
      <c r="AI638" s="76">
        <f>ROUND(SUM(IF(Dyno_Data[[#This Row],[AcqCenter]]&gt;0,Dyno_Data[[#This Row],[Time]]-SUMIFS(Dyno_Data[Time],Dyno_Data[Team],Dyno_Data[[#This Row],[Team]],Dyno_Data[RecordType],"StartMatch",Dyno_Data[Match],Dyno_Data[[#This Row],[Match]]),0)*86400),0)</f>
        <v>15</v>
      </c>
    </row>
    <row r="639" spans="1:35" x14ac:dyDescent="0.3">
      <c r="A639">
        <v>633</v>
      </c>
      <c r="B639" t="s">
        <v>1275</v>
      </c>
      <c r="C639">
        <v>11</v>
      </c>
      <c r="D639" s="105">
        <v>45373.436998460646</v>
      </c>
      <c r="E639" t="s">
        <v>314</v>
      </c>
      <c r="F639" t="s">
        <v>309</v>
      </c>
      <c r="G639">
        <v>0</v>
      </c>
      <c r="H639" t="s">
        <v>310</v>
      </c>
      <c r="I639">
        <v>0</v>
      </c>
      <c r="J639">
        <v>0</v>
      </c>
      <c r="K639">
        <v>0</v>
      </c>
      <c r="L639" t="s">
        <v>310</v>
      </c>
      <c r="M639" t="s">
        <v>310</v>
      </c>
      <c r="N639">
        <v>0</v>
      </c>
      <c r="O639" t="s">
        <v>1393</v>
      </c>
      <c r="P639" t="s">
        <v>101</v>
      </c>
      <c r="Q639" t="s">
        <v>1399</v>
      </c>
      <c r="R639" t="s">
        <v>310</v>
      </c>
      <c r="S639">
        <v>9</v>
      </c>
      <c r="T639" t="s">
        <v>310</v>
      </c>
      <c r="U639">
        <v>9</v>
      </c>
      <c r="V639">
        <v>9</v>
      </c>
      <c r="W639">
        <v>0</v>
      </c>
      <c r="X639">
        <v>0</v>
      </c>
      <c r="Y639">
        <v>0</v>
      </c>
      <c r="Z639">
        <v>0</v>
      </c>
      <c r="AA639">
        <v>9</v>
      </c>
      <c r="AB639">
        <v>9</v>
      </c>
      <c r="AC639" t="s">
        <v>310</v>
      </c>
      <c r="AD639">
        <v>9</v>
      </c>
      <c r="AE639" t="s">
        <v>1412</v>
      </c>
      <c r="AF639">
        <v>0</v>
      </c>
      <c r="AG639" t="s">
        <v>310</v>
      </c>
      <c r="AH639">
        <f>SUM((MID(Dyno_Data[[#This Row],[Team]],4,5))+(Dyno_Data[[#This Row],[Match]]/100))</f>
        <v>1880.11</v>
      </c>
      <c r="AI639" s="76">
        <f>ROUND(SUM(IF(Dyno_Data[[#This Row],[AcqCenter]]&gt;0,Dyno_Data[[#This Row],[Time]]-SUMIFS(Dyno_Data[Time],Dyno_Data[Team],Dyno_Data[[#This Row],[Team]],Dyno_Data[RecordType],"StartMatch",Dyno_Data[Match],Dyno_Data[[#This Row],[Match]]),0)*86400),0)</f>
        <v>0</v>
      </c>
    </row>
    <row r="640" spans="1:35" x14ac:dyDescent="0.3">
      <c r="A640">
        <v>634</v>
      </c>
      <c r="B640" t="s">
        <v>1303</v>
      </c>
      <c r="C640">
        <v>11</v>
      </c>
      <c r="D640" s="105">
        <v>45373.436999224534</v>
      </c>
      <c r="E640" t="s">
        <v>312</v>
      </c>
      <c r="F640" t="s">
        <v>309</v>
      </c>
      <c r="G640">
        <v>0</v>
      </c>
      <c r="H640" t="s">
        <v>143</v>
      </c>
      <c r="I640">
        <v>0</v>
      </c>
      <c r="J640">
        <v>0</v>
      </c>
      <c r="K640">
        <v>0</v>
      </c>
      <c r="L640" t="s">
        <v>242</v>
      </c>
      <c r="M640" t="s">
        <v>1398</v>
      </c>
      <c r="N640">
        <v>0</v>
      </c>
      <c r="O640" t="s">
        <v>311</v>
      </c>
      <c r="P640" t="s">
        <v>310</v>
      </c>
      <c r="Q640" t="s">
        <v>310</v>
      </c>
      <c r="R640" t="s">
        <v>310</v>
      </c>
      <c r="S640">
        <v>9</v>
      </c>
      <c r="T640" t="s">
        <v>310</v>
      </c>
      <c r="U640">
        <v>9</v>
      </c>
      <c r="V640">
        <v>9</v>
      </c>
      <c r="W640">
        <v>0</v>
      </c>
      <c r="X640">
        <v>0</v>
      </c>
      <c r="Y640">
        <v>0</v>
      </c>
      <c r="Z640">
        <v>0</v>
      </c>
      <c r="AA640">
        <v>9</v>
      </c>
      <c r="AB640">
        <v>9</v>
      </c>
      <c r="AC640" t="s">
        <v>310</v>
      </c>
      <c r="AD640">
        <v>9</v>
      </c>
      <c r="AE640" t="s">
        <v>1388</v>
      </c>
      <c r="AF640">
        <v>10001000</v>
      </c>
      <c r="AG640" t="s">
        <v>310</v>
      </c>
      <c r="AH640">
        <f>SUM((MID(Dyno_Data[[#This Row],[Team]],4,5))+(Dyno_Data[[#This Row],[Match]]/100))</f>
        <v>7605.11</v>
      </c>
      <c r="AI640" s="76">
        <f>ROUND(SUM(IF(Dyno_Data[[#This Row],[AcqCenter]]&gt;0,Dyno_Data[[#This Row],[Time]]-SUMIFS(Dyno_Data[Time],Dyno_Data[Team],Dyno_Data[[#This Row],[Team]],Dyno_Data[RecordType],"StartMatch",Dyno_Data[Match],Dyno_Data[[#This Row],[Match]]),0)*86400),0)</f>
        <v>0</v>
      </c>
    </row>
    <row r="641" spans="1:35" x14ac:dyDescent="0.3">
      <c r="A641">
        <v>636</v>
      </c>
      <c r="B641" t="s">
        <v>1291</v>
      </c>
      <c r="C641">
        <v>11</v>
      </c>
      <c r="D641" s="105">
        <v>45373.436999965277</v>
      </c>
      <c r="E641" t="s">
        <v>314</v>
      </c>
      <c r="F641" t="s">
        <v>309</v>
      </c>
      <c r="G641">
        <v>1</v>
      </c>
      <c r="H641" t="s">
        <v>310</v>
      </c>
      <c r="I641">
        <v>0</v>
      </c>
      <c r="J641">
        <v>0</v>
      </c>
      <c r="K641">
        <v>0</v>
      </c>
      <c r="L641" t="s">
        <v>310</v>
      </c>
      <c r="M641" t="s">
        <v>310</v>
      </c>
      <c r="N641">
        <v>0</v>
      </c>
      <c r="O641" t="s">
        <v>1395</v>
      </c>
      <c r="P641" t="s">
        <v>240</v>
      </c>
      <c r="Q641" t="s">
        <v>1400</v>
      </c>
      <c r="R641" t="s">
        <v>310</v>
      </c>
      <c r="S641">
        <v>9</v>
      </c>
      <c r="T641" t="s">
        <v>310</v>
      </c>
      <c r="U641">
        <v>9</v>
      </c>
      <c r="V641">
        <v>9</v>
      </c>
      <c r="W641">
        <v>0</v>
      </c>
      <c r="X641">
        <v>0</v>
      </c>
      <c r="Y641">
        <v>0</v>
      </c>
      <c r="Z641">
        <v>0</v>
      </c>
      <c r="AA641">
        <v>9</v>
      </c>
      <c r="AB641">
        <v>9</v>
      </c>
      <c r="AC641" t="s">
        <v>310</v>
      </c>
      <c r="AD641">
        <v>9</v>
      </c>
      <c r="AE641" t="s">
        <v>1413</v>
      </c>
      <c r="AF641">
        <v>10000000</v>
      </c>
      <c r="AG641" t="s">
        <v>310</v>
      </c>
      <c r="AH641">
        <f>SUM((MID(Dyno_Data[[#This Row],[Team]],4,5))+(Dyno_Data[[#This Row],[Match]]/100))</f>
        <v>1493.11</v>
      </c>
      <c r="AI641" s="76">
        <f>ROUND(SUM(IF(Dyno_Data[[#This Row],[AcqCenter]]&gt;0,Dyno_Data[[#This Row],[Time]]-SUMIFS(Dyno_Data[Time],Dyno_Data[Team],Dyno_Data[[#This Row],[Team]],Dyno_Data[RecordType],"StartMatch",Dyno_Data[Match],Dyno_Data[[#This Row],[Match]]),0)*86400),0)</f>
        <v>0</v>
      </c>
    </row>
    <row r="642" spans="1:35" x14ac:dyDescent="0.3">
      <c r="A642">
        <v>638</v>
      </c>
      <c r="B642" t="s">
        <v>1285</v>
      </c>
      <c r="C642">
        <v>11</v>
      </c>
      <c r="D642" s="105">
        <v>45373.437002812498</v>
      </c>
      <c r="E642" t="s">
        <v>314</v>
      </c>
      <c r="F642" t="s">
        <v>309</v>
      </c>
      <c r="G642">
        <v>0</v>
      </c>
      <c r="H642" t="s">
        <v>310</v>
      </c>
      <c r="I642">
        <v>0</v>
      </c>
      <c r="J642">
        <v>0</v>
      </c>
      <c r="K642">
        <v>0</v>
      </c>
      <c r="L642" t="s">
        <v>310</v>
      </c>
      <c r="M642" t="s">
        <v>310</v>
      </c>
      <c r="N642">
        <v>0</v>
      </c>
      <c r="O642" t="s">
        <v>1391</v>
      </c>
      <c r="P642" t="s">
        <v>101</v>
      </c>
      <c r="Q642" t="s">
        <v>1399</v>
      </c>
      <c r="R642" t="s">
        <v>310</v>
      </c>
      <c r="S642">
        <v>9</v>
      </c>
      <c r="T642" t="s">
        <v>310</v>
      </c>
      <c r="U642">
        <v>9</v>
      </c>
      <c r="V642">
        <v>9</v>
      </c>
      <c r="W642">
        <v>0</v>
      </c>
      <c r="X642">
        <v>0</v>
      </c>
      <c r="Y642">
        <v>0</v>
      </c>
      <c r="Z642">
        <v>0</v>
      </c>
      <c r="AA642">
        <v>9</v>
      </c>
      <c r="AB642">
        <v>9</v>
      </c>
      <c r="AC642" t="s">
        <v>310</v>
      </c>
      <c r="AD642">
        <v>9</v>
      </c>
      <c r="AE642" t="s">
        <v>1396</v>
      </c>
      <c r="AF642">
        <v>0</v>
      </c>
      <c r="AG642" t="s">
        <v>310</v>
      </c>
      <c r="AH642">
        <f>SUM((MID(Dyno_Data[[#This Row],[Team]],4,5))+(Dyno_Data[[#This Row],[Match]]/100))</f>
        <v>5993.11</v>
      </c>
      <c r="AI642" s="76">
        <f>ROUND(SUM(IF(Dyno_Data[[#This Row],[AcqCenter]]&gt;0,Dyno_Data[[#This Row],[Time]]-SUMIFS(Dyno_Data[Time],Dyno_Data[Team],Dyno_Data[[#This Row],[Team]],Dyno_Data[RecordType],"StartMatch",Dyno_Data[Match],Dyno_Data[[#This Row],[Match]]),0)*86400),0)</f>
        <v>0</v>
      </c>
    </row>
    <row r="643" spans="1:35" x14ac:dyDescent="0.3">
      <c r="A643">
        <v>640</v>
      </c>
      <c r="B643" t="s">
        <v>1303</v>
      </c>
      <c r="C643">
        <v>11</v>
      </c>
      <c r="D643" s="105">
        <v>45373.43700489583</v>
      </c>
      <c r="E643" t="s">
        <v>314</v>
      </c>
      <c r="F643" t="s">
        <v>309</v>
      </c>
      <c r="G643">
        <v>1</v>
      </c>
      <c r="H643" t="s">
        <v>310</v>
      </c>
      <c r="I643">
        <v>0</v>
      </c>
      <c r="J643">
        <v>0</v>
      </c>
      <c r="K643">
        <v>0</v>
      </c>
      <c r="L643" t="s">
        <v>310</v>
      </c>
      <c r="M643" t="s">
        <v>310</v>
      </c>
      <c r="N643">
        <v>0</v>
      </c>
      <c r="O643" t="s">
        <v>311</v>
      </c>
      <c r="P643" t="s">
        <v>240</v>
      </c>
      <c r="Q643" t="s">
        <v>1400</v>
      </c>
      <c r="R643" t="s">
        <v>310</v>
      </c>
      <c r="S643">
        <v>9</v>
      </c>
      <c r="T643" t="s">
        <v>310</v>
      </c>
      <c r="U643">
        <v>9</v>
      </c>
      <c r="V643">
        <v>9</v>
      </c>
      <c r="W643">
        <v>0</v>
      </c>
      <c r="X643">
        <v>0</v>
      </c>
      <c r="Y643">
        <v>0</v>
      </c>
      <c r="Z643">
        <v>0</v>
      </c>
      <c r="AA643">
        <v>9</v>
      </c>
      <c r="AB643">
        <v>9</v>
      </c>
      <c r="AC643" t="s">
        <v>310</v>
      </c>
      <c r="AD643">
        <v>9</v>
      </c>
      <c r="AE643" t="s">
        <v>1388</v>
      </c>
      <c r="AF643">
        <v>10001000</v>
      </c>
      <c r="AG643" t="s">
        <v>310</v>
      </c>
      <c r="AH643">
        <f>SUM((MID(Dyno_Data[[#This Row],[Team]],4,5))+(Dyno_Data[[#This Row],[Match]]/100))</f>
        <v>7605.11</v>
      </c>
      <c r="AI643" s="76">
        <f>ROUND(SUM(IF(Dyno_Data[[#This Row],[AcqCenter]]&gt;0,Dyno_Data[[#This Row],[Time]]-SUMIFS(Dyno_Data[Time],Dyno_Data[Team],Dyno_Data[[#This Row],[Team]],Dyno_Data[RecordType],"StartMatch",Dyno_Data[Match],Dyno_Data[[#This Row],[Match]]),0)*86400),0)</f>
        <v>0</v>
      </c>
    </row>
    <row r="644" spans="1:35" x14ac:dyDescent="0.3">
      <c r="A644">
        <v>642</v>
      </c>
      <c r="B644" t="s">
        <v>371</v>
      </c>
      <c r="C644">
        <v>11</v>
      </c>
      <c r="D644" s="105">
        <v>45373.437005092594</v>
      </c>
      <c r="E644" t="s">
        <v>314</v>
      </c>
      <c r="F644" t="s">
        <v>309</v>
      </c>
      <c r="G644">
        <v>0</v>
      </c>
      <c r="H644" t="s">
        <v>310</v>
      </c>
      <c r="I644">
        <v>0</v>
      </c>
      <c r="J644">
        <v>0</v>
      </c>
      <c r="K644">
        <v>0</v>
      </c>
      <c r="L644" t="s">
        <v>310</v>
      </c>
      <c r="M644" t="s">
        <v>310</v>
      </c>
      <c r="N644">
        <v>0</v>
      </c>
      <c r="O644" t="s">
        <v>319</v>
      </c>
      <c r="P644" t="s">
        <v>320</v>
      </c>
      <c r="Q644" t="s">
        <v>1400</v>
      </c>
      <c r="R644" t="s">
        <v>310</v>
      </c>
      <c r="S644">
        <v>9</v>
      </c>
      <c r="T644" t="s">
        <v>310</v>
      </c>
      <c r="U644">
        <v>9</v>
      </c>
      <c r="V644">
        <v>9</v>
      </c>
      <c r="W644">
        <v>0</v>
      </c>
      <c r="X644">
        <v>0</v>
      </c>
      <c r="Y644">
        <v>0</v>
      </c>
      <c r="Z644">
        <v>0</v>
      </c>
      <c r="AA644">
        <v>9</v>
      </c>
      <c r="AB644">
        <v>9</v>
      </c>
      <c r="AC644" t="s">
        <v>310</v>
      </c>
      <c r="AD644">
        <v>9</v>
      </c>
      <c r="AE644" t="s">
        <v>1390</v>
      </c>
      <c r="AF644">
        <v>0</v>
      </c>
      <c r="AG644" t="s">
        <v>310</v>
      </c>
      <c r="AH644">
        <f>SUM((MID(Dyno_Data[[#This Row],[Team]],4,5))+(Dyno_Data[[#This Row],[Match]]/100))</f>
        <v>6969.11</v>
      </c>
      <c r="AI644" s="76">
        <f>ROUND(SUM(IF(Dyno_Data[[#This Row],[AcqCenter]]&gt;0,Dyno_Data[[#This Row],[Time]]-SUMIFS(Dyno_Data[Time],Dyno_Data[Team],Dyno_Data[[#This Row],[Team]],Dyno_Data[RecordType],"StartMatch",Dyno_Data[Match],Dyno_Data[[#This Row],[Match]]),0)*86400),0)</f>
        <v>0</v>
      </c>
    </row>
    <row r="645" spans="1:35" x14ac:dyDescent="0.3">
      <c r="A645">
        <v>644</v>
      </c>
      <c r="B645" t="s">
        <v>1284</v>
      </c>
      <c r="C645">
        <v>11</v>
      </c>
      <c r="D645" s="105">
        <v>45373.437008564812</v>
      </c>
      <c r="E645" t="s">
        <v>314</v>
      </c>
      <c r="F645" t="s">
        <v>309</v>
      </c>
      <c r="G645">
        <v>1</v>
      </c>
      <c r="H645" t="s">
        <v>310</v>
      </c>
      <c r="I645">
        <v>0</v>
      </c>
      <c r="J645">
        <v>0</v>
      </c>
      <c r="K645">
        <v>0</v>
      </c>
      <c r="L645" t="s">
        <v>310</v>
      </c>
      <c r="M645" t="s">
        <v>310</v>
      </c>
      <c r="N645">
        <v>0</v>
      </c>
      <c r="O645" t="s">
        <v>1389</v>
      </c>
      <c r="P645" t="s">
        <v>1401</v>
      </c>
      <c r="Q645" t="s">
        <v>1400</v>
      </c>
      <c r="R645" t="s">
        <v>310</v>
      </c>
      <c r="S645">
        <v>9</v>
      </c>
      <c r="T645" t="s">
        <v>310</v>
      </c>
      <c r="U645">
        <v>9</v>
      </c>
      <c r="V645">
        <v>9</v>
      </c>
      <c r="W645">
        <v>0</v>
      </c>
      <c r="X645">
        <v>0</v>
      </c>
      <c r="Y645">
        <v>0</v>
      </c>
      <c r="Z645">
        <v>0</v>
      </c>
      <c r="AA645">
        <v>9</v>
      </c>
      <c r="AB645">
        <v>9</v>
      </c>
      <c r="AC645" t="s">
        <v>310</v>
      </c>
      <c r="AD645">
        <v>9</v>
      </c>
      <c r="AE645" t="s">
        <v>1414</v>
      </c>
      <c r="AF645">
        <v>10000000</v>
      </c>
      <c r="AG645" t="s">
        <v>310</v>
      </c>
      <c r="AH645">
        <f>SUM((MID(Dyno_Data[[#This Row],[Team]],4,5))+(Dyno_Data[[#This Row],[Match]]/100))</f>
        <v>5590.11</v>
      </c>
      <c r="AI645" s="76">
        <f>ROUND(SUM(IF(Dyno_Data[[#This Row],[AcqCenter]]&gt;0,Dyno_Data[[#This Row],[Time]]-SUMIFS(Dyno_Data[Time],Dyno_Data[Team],Dyno_Data[[#This Row],[Team]],Dyno_Data[RecordType],"StartMatch",Dyno_Data[Match],Dyno_Data[[#This Row],[Match]]),0)*86400),0)</f>
        <v>0</v>
      </c>
    </row>
    <row r="646" spans="1:35" x14ac:dyDescent="0.3">
      <c r="A646">
        <v>645</v>
      </c>
      <c r="B646" t="s">
        <v>1303</v>
      </c>
      <c r="C646">
        <v>11</v>
      </c>
      <c r="D646" s="105">
        <v>45373.437120173614</v>
      </c>
      <c r="E646" t="s">
        <v>312</v>
      </c>
      <c r="F646" t="s">
        <v>1402</v>
      </c>
      <c r="G646">
        <v>0</v>
      </c>
      <c r="H646" t="s">
        <v>315</v>
      </c>
      <c r="I646">
        <v>0</v>
      </c>
      <c r="J646">
        <v>0</v>
      </c>
      <c r="K646">
        <v>0</v>
      </c>
      <c r="L646" t="s">
        <v>241</v>
      </c>
      <c r="M646" t="s">
        <v>101</v>
      </c>
      <c r="N646">
        <v>0</v>
      </c>
      <c r="O646" t="s">
        <v>311</v>
      </c>
      <c r="P646" t="s">
        <v>310</v>
      </c>
      <c r="Q646" t="s">
        <v>310</v>
      </c>
      <c r="R646" t="s">
        <v>310</v>
      </c>
      <c r="S646">
        <v>9</v>
      </c>
      <c r="T646" t="s">
        <v>310</v>
      </c>
      <c r="U646">
        <v>9</v>
      </c>
      <c r="V646">
        <v>9</v>
      </c>
      <c r="W646">
        <v>0</v>
      </c>
      <c r="X646">
        <v>0</v>
      </c>
      <c r="Y646">
        <v>0</v>
      </c>
      <c r="Z646">
        <v>0</v>
      </c>
      <c r="AA646">
        <v>9</v>
      </c>
      <c r="AB646">
        <v>9</v>
      </c>
      <c r="AC646" t="s">
        <v>310</v>
      </c>
      <c r="AD646">
        <v>9</v>
      </c>
      <c r="AE646" t="s">
        <v>1388</v>
      </c>
      <c r="AF646">
        <v>20001000</v>
      </c>
      <c r="AG646" t="s">
        <v>310</v>
      </c>
      <c r="AH646">
        <f>SUM((MID(Dyno_Data[[#This Row],[Team]],4,5))+(Dyno_Data[[#This Row],[Match]]/100))</f>
        <v>7605.11</v>
      </c>
      <c r="AI646" s="76">
        <f>ROUND(SUM(IF(Dyno_Data[[#This Row],[AcqCenter]]&gt;0,Dyno_Data[[#This Row],[Time]]-SUMIFS(Dyno_Data[Time],Dyno_Data[Team],Dyno_Data[[#This Row],[Team]],Dyno_Data[RecordType],"StartMatch",Dyno_Data[Match],Dyno_Data[[#This Row],[Match]]),0)*86400),0)</f>
        <v>0</v>
      </c>
    </row>
    <row r="647" spans="1:35" x14ac:dyDescent="0.3">
      <c r="A647">
        <v>646</v>
      </c>
      <c r="B647" t="s">
        <v>371</v>
      </c>
      <c r="C647">
        <v>11</v>
      </c>
      <c r="D647" s="105">
        <v>45373.437123807867</v>
      </c>
      <c r="E647" t="s">
        <v>312</v>
      </c>
      <c r="F647" t="s">
        <v>1402</v>
      </c>
      <c r="G647">
        <v>0</v>
      </c>
      <c r="H647" t="s">
        <v>1397</v>
      </c>
      <c r="I647">
        <v>0</v>
      </c>
      <c r="J647">
        <v>0</v>
      </c>
      <c r="K647">
        <v>0</v>
      </c>
      <c r="L647" t="s">
        <v>240</v>
      </c>
      <c r="M647" t="s">
        <v>1398</v>
      </c>
      <c r="N647">
        <v>1</v>
      </c>
      <c r="O647" t="s">
        <v>319</v>
      </c>
      <c r="P647" t="s">
        <v>310</v>
      </c>
      <c r="Q647" t="s">
        <v>310</v>
      </c>
      <c r="R647" t="s">
        <v>310</v>
      </c>
      <c r="S647">
        <v>9</v>
      </c>
      <c r="T647" t="s">
        <v>310</v>
      </c>
      <c r="U647">
        <v>9</v>
      </c>
      <c r="V647">
        <v>9</v>
      </c>
      <c r="W647">
        <v>0</v>
      </c>
      <c r="X647">
        <v>0</v>
      </c>
      <c r="Y647">
        <v>0</v>
      </c>
      <c r="Z647">
        <v>0</v>
      </c>
      <c r="AA647">
        <v>9</v>
      </c>
      <c r="AB647">
        <v>9</v>
      </c>
      <c r="AC647" t="s">
        <v>310</v>
      </c>
      <c r="AD647">
        <v>9</v>
      </c>
      <c r="AE647" t="s">
        <v>1390</v>
      </c>
      <c r="AF647">
        <v>0</v>
      </c>
      <c r="AG647" t="s">
        <v>310</v>
      </c>
      <c r="AH647">
        <f>SUM((MID(Dyno_Data[[#This Row],[Team]],4,5))+(Dyno_Data[[#This Row],[Match]]/100))</f>
        <v>6969.11</v>
      </c>
      <c r="AI647" s="76">
        <f>ROUND(SUM(IF(Dyno_Data[[#This Row],[AcqCenter]]&gt;0,Dyno_Data[[#This Row],[Time]]-SUMIFS(Dyno_Data[Time],Dyno_Data[Team],Dyno_Data[[#This Row],[Team]],Dyno_Data[RecordType],"StartMatch",Dyno_Data[Match],Dyno_Data[[#This Row],[Match]]),0)*86400),0)</f>
        <v>0</v>
      </c>
    </row>
    <row r="648" spans="1:35" x14ac:dyDescent="0.3">
      <c r="A648">
        <v>647</v>
      </c>
      <c r="B648" t="s">
        <v>1291</v>
      </c>
      <c r="C648">
        <v>11</v>
      </c>
      <c r="D648" s="105">
        <v>45373.43720763889</v>
      </c>
      <c r="E648" t="s">
        <v>312</v>
      </c>
      <c r="F648" t="s">
        <v>1402</v>
      </c>
      <c r="G648">
        <v>0</v>
      </c>
      <c r="H648" t="s">
        <v>315</v>
      </c>
      <c r="I648">
        <v>0</v>
      </c>
      <c r="J648">
        <v>0</v>
      </c>
      <c r="K648">
        <v>0</v>
      </c>
      <c r="L648" t="s">
        <v>241</v>
      </c>
      <c r="M648" t="s">
        <v>1398</v>
      </c>
      <c r="N648">
        <v>0</v>
      </c>
      <c r="O648" t="s">
        <v>1395</v>
      </c>
      <c r="P648" t="s">
        <v>310</v>
      </c>
      <c r="Q648" t="s">
        <v>310</v>
      </c>
      <c r="R648" t="s">
        <v>310</v>
      </c>
      <c r="S648">
        <v>9</v>
      </c>
      <c r="T648" t="s">
        <v>310</v>
      </c>
      <c r="U648">
        <v>9</v>
      </c>
      <c r="V648">
        <v>9</v>
      </c>
      <c r="W648">
        <v>0</v>
      </c>
      <c r="X648">
        <v>0</v>
      </c>
      <c r="Y648">
        <v>0</v>
      </c>
      <c r="Z648">
        <v>0</v>
      </c>
      <c r="AA648">
        <v>9</v>
      </c>
      <c r="AB648">
        <v>9</v>
      </c>
      <c r="AC648" t="s">
        <v>310</v>
      </c>
      <c r="AD648">
        <v>9</v>
      </c>
      <c r="AE648" t="s">
        <v>1413</v>
      </c>
      <c r="AF648">
        <v>20000000</v>
      </c>
      <c r="AG648" t="s">
        <v>310</v>
      </c>
      <c r="AH648">
        <f>SUM((MID(Dyno_Data[[#This Row],[Team]],4,5))+(Dyno_Data[[#This Row],[Match]]/100))</f>
        <v>1493.11</v>
      </c>
      <c r="AI648" s="76">
        <f>ROUND(SUM(IF(Dyno_Data[[#This Row],[AcqCenter]]&gt;0,Dyno_Data[[#This Row],[Time]]-SUMIFS(Dyno_Data[Time],Dyno_Data[Team],Dyno_Data[[#This Row],[Team]],Dyno_Data[RecordType],"StartMatch",Dyno_Data[Match],Dyno_Data[[#This Row],[Match]]),0)*86400),0)</f>
        <v>0</v>
      </c>
    </row>
    <row r="649" spans="1:35" x14ac:dyDescent="0.3">
      <c r="A649">
        <v>648</v>
      </c>
      <c r="B649" t="s">
        <v>1291</v>
      </c>
      <c r="C649">
        <v>11</v>
      </c>
      <c r="D649" s="105">
        <v>45373.437268368056</v>
      </c>
      <c r="E649" t="s">
        <v>312</v>
      </c>
      <c r="F649" t="s">
        <v>1402</v>
      </c>
      <c r="G649">
        <v>0</v>
      </c>
      <c r="H649" t="s">
        <v>315</v>
      </c>
      <c r="I649">
        <v>0</v>
      </c>
      <c r="J649">
        <v>0</v>
      </c>
      <c r="K649">
        <v>0</v>
      </c>
      <c r="L649" t="s">
        <v>241</v>
      </c>
      <c r="M649" t="s">
        <v>1398</v>
      </c>
      <c r="N649">
        <v>1</v>
      </c>
      <c r="O649" t="s">
        <v>1395</v>
      </c>
      <c r="P649" t="s">
        <v>310</v>
      </c>
      <c r="Q649" t="s">
        <v>310</v>
      </c>
      <c r="R649" t="s">
        <v>310</v>
      </c>
      <c r="S649">
        <v>9</v>
      </c>
      <c r="T649" t="s">
        <v>310</v>
      </c>
      <c r="U649">
        <v>9</v>
      </c>
      <c r="V649">
        <v>9</v>
      </c>
      <c r="W649">
        <v>0</v>
      </c>
      <c r="X649">
        <v>0</v>
      </c>
      <c r="Y649">
        <v>0</v>
      </c>
      <c r="Z649">
        <v>0</v>
      </c>
      <c r="AA649">
        <v>9</v>
      </c>
      <c r="AB649">
        <v>9</v>
      </c>
      <c r="AC649" t="s">
        <v>310</v>
      </c>
      <c r="AD649">
        <v>9</v>
      </c>
      <c r="AE649" t="s">
        <v>1413</v>
      </c>
      <c r="AF649">
        <v>30000000</v>
      </c>
      <c r="AG649" t="s">
        <v>310</v>
      </c>
      <c r="AH649">
        <f>SUM((MID(Dyno_Data[[#This Row],[Team]],4,5))+(Dyno_Data[[#This Row],[Match]]/100))</f>
        <v>1493.11</v>
      </c>
      <c r="AI649" s="76">
        <f>ROUND(SUM(IF(Dyno_Data[[#This Row],[AcqCenter]]&gt;0,Dyno_Data[[#This Row],[Time]]-SUMIFS(Dyno_Data[Time],Dyno_Data[Team],Dyno_Data[[#This Row],[Team]],Dyno_Data[RecordType],"StartMatch",Dyno_Data[Match],Dyno_Data[[#This Row],[Match]]),0)*86400),0)</f>
        <v>0</v>
      </c>
    </row>
    <row r="650" spans="1:35" x14ac:dyDescent="0.3">
      <c r="A650">
        <v>649</v>
      </c>
      <c r="B650" t="s">
        <v>1284</v>
      </c>
      <c r="C650">
        <v>11</v>
      </c>
      <c r="D650" s="105">
        <v>45373.437274155091</v>
      </c>
      <c r="E650" t="s">
        <v>312</v>
      </c>
      <c r="F650" t="s">
        <v>1402</v>
      </c>
      <c r="G650">
        <v>0</v>
      </c>
      <c r="H650" t="s">
        <v>315</v>
      </c>
      <c r="I650">
        <v>0</v>
      </c>
      <c r="J650">
        <v>0</v>
      </c>
      <c r="K650">
        <v>0</v>
      </c>
      <c r="L650" t="s">
        <v>241</v>
      </c>
      <c r="M650" t="s">
        <v>1398</v>
      </c>
      <c r="N650">
        <v>1</v>
      </c>
      <c r="O650" t="s">
        <v>1389</v>
      </c>
      <c r="P650" t="s">
        <v>310</v>
      </c>
      <c r="Q650" t="s">
        <v>310</v>
      </c>
      <c r="R650" t="s">
        <v>310</v>
      </c>
      <c r="S650">
        <v>9</v>
      </c>
      <c r="T650" t="s">
        <v>310</v>
      </c>
      <c r="U650">
        <v>9</v>
      </c>
      <c r="V650">
        <v>9</v>
      </c>
      <c r="W650">
        <v>0</v>
      </c>
      <c r="X650">
        <v>0</v>
      </c>
      <c r="Y650">
        <v>0</v>
      </c>
      <c r="Z650">
        <v>0</v>
      </c>
      <c r="AA650">
        <v>9</v>
      </c>
      <c r="AB650">
        <v>9</v>
      </c>
      <c r="AC650" t="s">
        <v>310</v>
      </c>
      <c r="AD650">
        <v>9</v>
      </c>
      <c r="AE650" t="s">
        <v>1414</v>
      </c>
      <c r="AF650">
        <v>20000000</v>
      </c>
      <c r="AG650" t="s">
        <v>310</v>
      </c>
      <c r="AH650">
        <f>SUM((MID(Dyno_Data[[#This Row],[Team]],4,5))+(Dyno_Data[[#This Row],[Match]]/100))</f>
        <v>5590.11</v>
      </c>
      <c r="AI650" s="76">
        <f>ROUND(SUM(IF(Dyno_Data[[#This Row],[AcqCenter]]&gt;0,Dyno_Data[[#This Row],[Time]]-SUMIFS(Dyno_Data[Time],Dyno_Data[Team],Dyno_Data[[#This Row],[Team]],Dyno_Data[RecordType],"StartMatch",Dyno_Data[Match],Dyno_Data[[#This Row],[Match]]),0)*86400),0)</f>
        <v>0</v>
      </c>
    </row>
    <row r="651" spans="1:35" x14ac:dyDescent="0.3">
      <c r="A651">
        <v>650</v>
      </c>
      <c r="B651" t="s">
        <v>371</v>
      </c>
      <c r="C651">
        <v>11</v>
      </c>
      <c r="D651" s="105">
        <v>45373.437275578704</v>
      </c>
      <c r="E651" t="s">
        <v>312</v>
      </c>
      <c r="F651" t="s">
        <v>1402</v>
      </c>
      <c r="G651">
        <v>0</v>
      </c>
      <c r="H651" t="s">
        <v>315</v>
      </c>
      <c r="I651">
        <v>0</v>
      </c>
      <c r="J651">
        <v>0</v>
      </c>
      <c r="K651">
        <v>0</v>
      </c>
      <c r="L651" t="s">
        <v>240</v>
      </c>
      <c r="M651" t="s">
        <v>1398</v>
      </c>
      <c r="N651">
        <v>0</v>
      </c>
      <c r="O651" t="s">
        <v>319</v>
      </c>
      <c r="P651" t="s">
        <v>310</v>
      </c>
      <c r="Q651" t="s">
        <v>310</v>
      </c>
      <c r="R651" t="s">
        <v>310</v>
      </c>
      <c r="S651">
        <v>9</v>
      </c>
      <c r="T651" t="s">
        <v>310</v>
      </c>
      <c r="U651">
        <v>9</v>
      </c>
      <c r="V651">
        <v>9</v>
      </c>
      <c r="W651">
        <v>0</v>
      </c>
      <c r="X651">
        <v>0</v>
      </c>
      <c r="Y651">
        <v>0</v>
      </c>
      <c r="Z651">
        <v>0</v>
      </c>
      <c r="AA651">
        <v>9</v>
      </c>
      <c r="AB651">
        <v>9</v>
      </c>
      <c r="AC651" t="s">
        <v>310</v>
      </c>
      <c r="AD651">
        <v>9</v>
      </c>
      <c r="AE651" t="s">
        <v>1390</v>
      </c>
      <c r="AF651">
        <v>10000000</v>
      </c>
      <c r="AG651" t="s">
        <v>310</v>
      </c>
      <c r="AH651">
        <f>SUM((MID(Dyno_Data[[#This Row],[Team]],4,5))+(Dyno_Data[[#This Row],[Match]]/100))</f>
        <v>6969.11</v>
      </c>
      <c r="AI651" s="76">
        <f>ROUND(SUM(IF(Dyno_Data[[#This Row],[AcqCenter]]&gt;0,Dyno_Data[[#This Row],[Time]]-SUMIFS(Dyno_Data[Time],Dyno_Data[Team],Dyno_Data[[#This Row],[Team]],Dyno_Data[RecordType],"StartMatch",Dyno_Data[Match],Dyno_Data[[#This Row],[Match]]),0)*86400),0)</f>
        <v>0</v>
      </c>
    </row>
    <row r="652" spans="1:35" x14ac:dyDescent="0.3">
      <c r="A652">
        <v>651</v>
      </c>
      <c r="B652" t="s">
        <v>371</v>
      </c>
      <c r="C652">
        <v>11</v>
      </c>
      <c r="D652" s="105">
        <v>45373.437372187502</v>
      </c>
      <c r="E652" t="s">
        <v>312</v>
      </c>
      <c r="F652" t="s">
        <v>1402</v>
      </c>
      <c r="G652">
        <v>0</v>
      </c>
      <c r="H652" t="s">
        <v>315</v>
      </c>
      <c r="I652">
        <v>0</v>
      </c>
      <c r="J652">
        <v>0</v>
      </c>
      <c r="K652">
        <v>0</v>
      </c>
      <c r="L652" t="s">
        <v>240</v>
      </c>
      <c r="M652" t="s">
        <v>1398</v>
      </c>
      <c r="N652">
        <v>0</v>
      </c>
      <c r="O652" t="s">
        <v>319</v>
      </c>
      <c r="P652" t="s">
        <v>310</v>
      </c>
      <c r="Q652" t="s">
        <v>310</v>
      </c>
      <c r="R652" t="s">
        <v>310</v>
      </c>
      <c r="S652">
        <v>9</v>
      </c>
      <c r="T652" t="s">
        <v>310</v>
      </c>
      <c r="U652">
        <v>9</v>
      </c>
      <c r="V652">
        <v>9</v>
      </c>
      <c r="W652">
        <v>0</v>
      </c>
      <c r="X652">
        <v>0</v>
      </c>
      <c r="Y652">
        <v>0</v>
      </c>
      <c r="Z652">
        <v>0</v>
      </c>
      <c r="AA652">
        <v>9</v>
      </c>
      <c r="AB652">
        <v>9</v>
      </c>
      <c r="AC652" t="s">
        <v>310</v>
      </c>
      <c r="AD652">
        <v>9</v>
      </c>
      <c r="AE652" t="s">
        <v>1390</v>
      </c>
      <c r="AF652">
        <v>20000000</v>
      </c>
      <c r="AG652" t="s">
        <v>310</v>
      </c>
      <c r="AH652">
        <f>SUM((MID(Dyno_Data[[#This Row],[Team]],4,5))+(Dyno_Data[[#This Row],[Match]]/100))</f>
        <v>6969.11</v>
      </c>
      <c r="AI652" s="76">
        <f>ROUND(SUM(IF(Dyno_Data[[#This Row],[AcqCenter]]&gt;0,Dyno_Data[[#This Row],[Time]]-SUMIFS(Dyno_Data[Time],Dyno_Data[Team],Dyno_Data[[#This Row],[Team]],Dyno_Data[RecordType],"StartMatch",Dyno_Data[Match],Dyno_Data[[#This Row],[Match]]),0)*86400),0)</f>
        <v>0</v>
      </c>
    </row>
    <row r="653" spans="1:35" x14ac:dyDescent="0.3">
      <c r="A653">
        <v>652</v>
      </c>
      <c r="B653" t="s">
        <v>1284</v>
      </c>
      <c r="C653">
        <v>11</v>
      </c>
      <c r="D653" s="105">
        <v>45373.437375081019</v>
      </c>
      <c r="E653" t="s">
        <v>312</v>
      </c>
      <c r="F653" t="s">
        <v>1402</v>
      </c>
      <c r="G653">
        <v>0</v>
      </c>
      <c r="H653" t="s">
        <v>315</v>
      </c>
      <c r="I653">
        <v>0</v>
      </c>
      <c r="J653">
        <v>0</v>
      </c>
      <c r="K653">
        <v>0</v>
      </c>
      <c r="L653" t="s">
        <v>241</v>
      </c>
      <c r="M653" t="s">
        <v>241</v>
      </c>
      <c r="N653">
        <v>0</v>
      </c>
      <c r="O653" t="s">
        <v>1389</v>
      </c>
      <c r="P653" t="s">
        <v>310</v>
      </c>
      <c r="Q653" t="s">
        <v>310</v>
      </c>
      <c r="R653" t="s">
        <v>310</v>
      </c>
      <c r="S653">
        <v>9</v>
      </c>
      <c r="T653" t="s">
        <v>310</v>
      </c>
      <c r="U653">
        <v>9</v>
      </c>
      <c r="V653">
        <v>9</v>
      </c>
      <c r="W653">
        <v>0</v>
      </c>
      <c r="X653">
        <v>0</v>
      </c>
      <c r="Y653">
        <v>0</v>
      </c>
      <c r="Z653">
        <v>0</v>
      </c>
      <c r="AA653">
        <v>9</v>
      </c>
      <c r="AB653">
        <v>9</v>
      </c>
      <c r="AC653" t="s">
        <v>310</v>
      </c>
      <c r="AD653">
        <v>9</v>
      </c>
      <c r="AE653" t="s">
        <v>1414</v>
      </c>
      <c r="AF653">
        <v>30000000</v>
      </c>
      <c r="AG653" t="s">
        <v>310</v>
      </c>
      <c r="AH653">
        <f>SUM((MID(Dyno_Data[[#This Row],[Team]],4,5))+(Dyno_Data[[#This Row],[Match]]/100))</f>
        <v>5590.11</v>
      </c>
      <c r="AI653" s="76">
        <f>ROUND(SUM(IF(Dyno_Data[[#This Row],[AcqCenter]]&gt;0,Dyno_Data[[#This Row],[Time]]-SUMIFS(Dyno_Data[Time],Dyno_Data[Team],Dyno_Data[[#This Row],[Team]],Dyno_Data[RecordType],"StartMatch",Dyno_Data[Match],Dyno_Data[[#This Row],[Match]]),0)*86400),0)</f>
        <v>0</v>
      </c>
    </row>
    <row r="654" spans="1:35" x14ac:dyDescent="0.3">
      <c r="A654">
        <v>653</v>
      </c>
      <c r="B654" t="s">
        <v>1303</v>
      </c>
      <c r="C654">
        <v>11</v>
      </c>
      <c r="D654" s="105">
        <v>45373.437381631942</v>
      </c>
      <c r="E654" t="s">
        <v>312</v>
      </c>
      <c r="F654" t="s">
        <v>1402</v>
      </c>
      <c r="G654">
        <v>0</v>
      </c>
      <c r="H654" t="s">
        <v>315</v>
      </c>
      <c r="I654">
        <v>0</v>
      </c>
      <c r="J654">
        <v>0</v>
      </c>
      <c r="K654">
        <v>0</v>
      </c>
      <c r="L654" t="s">
        <v>241</v>
      </c>
      <c r="M654" t="s">
        <v>1398</v>
      </c>
      <c r="N654">
        <v>0</v>
      </c>
      <c r="O654" t="s">
        <v>311</v>
      </c>
      <c r="P654" t="s">
        <v>310</v>
      </c>
      <c r="Q654" t="s">
        <v>310</v>
      </c>
      <c r="R654" t="s">
        <v>310</v>
      </c>
      <c r="S654">
        <v>9</v>
      </c>
      <c r="T654" t="s">
        <v>310</v>
      </c>
      <c r="U654">
        <v>9</v>
      </c>
      <c r="V654">
        <v>9</v>
      </c>
      <c r="W654">
        <v>0</v>
      </c>
      <c r="X654">
        <v>0</v>
      </c>
      <c r="Y654">
        <v>0</v>
      </c>
      <c r="Z654">
        <v>0</v>
      </c>
      <c r="AA654">
        <v>9</v>
      </c>
      <c r="AB654">
        <v>9</v>
      </c>
      <c r="AC654" t="s">
        <v>310</v>
      </c>
      <c r="AD654">
        <v>9</v>
      </c>
      <c r="AE654" t="s">
        <v>1388</v>
      </c>
      <c r="AF654">
        <v>30001000</v>
      </c>
      <c r="AG654" t="s">
        <v>310</v>
      </c>
      <c r="AH654">
        <f>SUM((MID(Dyno_Data[[#This Row],[Team]],4,5))+(Dyno_Data[[#This Row],[Match]]/100))</f>
        <v>7605.11</v>
      </c>
      <c r="AI654" s="76">
        <f>ROUND(SUM(IF(Dyno_Data[[#This Row],[AcqCenter]]&gt;0,Dyno_Data[[#This Row],[Time]]-SUMIFS(Dyno_Data[Time],Dyno_Data[Team],Dyno_Data[[#This Row],[Team]],Dyno_Data[RecordType],"StartMatch",Dyno_Data[Match],Dyno_Data[[#This Row],[Match]]),0)*86400),0)</f>
        <v>0</v>
      </c>
    </row>
    <row r="655" spans="1:35" x14ac:dyDescent="0.3">
      <c r="A655">
        <v>654</v>
      </c>
      <c r="B655" t="s">
        <v>1275</v>
      </c>
      <c r="C655">
        <v>11</v>
      </c>
      <c r="D655" s="105">
        <v>45373.437388078702</v>
      </c>
      <c r="E655" t="s">
        <v>312</v>
      </c>
      <c r="F655" t="s">
        <v>1402</v>
      </c>
      <c r="G655">
        <v>0</v>
      </c>
      <c r="H655" t="s">
        <v>315</v>
      </c>
      <c r="I655">
        <v>0</v>
      </c>
      <c r="J655">
        <v>0</v>
      </c>
      <c r="K655">
        <v>0</v>
      </c>
      <c r="L655" t="s">
        <v>241</v>
      </c>
      <c r="M655" t="s">
        <v>1398</v>
      </c>
      <c r="N655">
        <v>0</v>
      </c>
      <c r="O655" t="s">
        <v>1393</v>
      </c>
      <c r="P655" t="s">
        <v>310</v>
      </c>
      <c r="Q655" t="s">
        <v>310</v>
      </c>
      <c r="R655" t="s">
        <v>310</v>
      </c>
      <c r="S655">
        <v>9</v>
      </c>
      <c r="T655" t="s">
        <v>310</v>
      </c>
      <c r="U655">
        <v>9</v>
      </c>
      <c r="V655">
        <v>9</v>
      </c>
      <c r="W655">
        <v>0</v>
      </c>
      <c r="X655">
        <v>0</v>
      </c>
      <c r="Y655">
        <v>0</v>
      </c>
      <c r="Z655">
        <v>0</v>
      </c>
      <c r="AA655">
        <v>9</v>
      </c>
      <c r="AB655">
        <v>9</v>
      </c>
      <c r="AC655" t="s">
        <v>310</v>
      </c>
      <c r="AD655">
        <v>9</v>
      </c>
      <c r="AE655" t="s">
        <v>1412</v>
      </c>
      <c r="AF655">
        <v>10000000</v>
      </c>
      <c r="AG655" t="s">
        <v>310</v>
      </c>
      <c r="AH655">
        <f>SUM((MID(Dyno_Data[[#This Row],[Team]],4,5))+(Dyno_Data[[#This Row],[Match]]/100))</f>
        <v>1880.11</v>
      </c>
      <c r="AI655" s="76">
        <f>ROUND(SUM(IF(Dyno_Data[[#This Row],[AcqCenter]]&gt;0,Dyno_Data[[#This Row],[Time]]-SUMIFS(Dyno_Data[Time],Dyno_Data[Team],Dyno_Data[[#This Row],[Team]],Dyno_Data[RecordType],"StartMatch",Dyno_Data[Match],Dyno_Data[[#This Row],[Match]]),0)*86400),0)</f>
        <v>0</v>
      </c>
    </row>
    <row r="656" spans="1:35" x14ac:dyDescent="0.3">
      <c r="A656">
        <v>655</v>
      </c>
      <c r="B656" t="s">
        <v>1284</v>
      </c>
      <c r="C656">
        <v>11</v>
      </c>
      <c r="D656" s="105">
        <v>45373.437400428244</v>
      </c>
      <c r="E656" t="s">
        <v>312</v>
      </c>
      <c r="F656" t="s">
        <v>1402</v>
      </c>
      <c r="G656">
        <v>0</v>
      </c>
      <c r="H656" t="s">
        <v>315</v>
      </c>
      <c r="I656">
        <v>0</v>
      </c>
      <c r="J656">
        <v>0</v>
      </c>
      <c r="K656">
        <v>0</v>
      </c>
      <c r="L656" t="s">
        <v>241</v>
      </c>
      <c r="M656" t="s">
        <v>1398</v>
      </c>
      <c r="N656">
        <v>0</v>
      </c>
      <c r="O656" t="s">
        <v>1389</v>
      </c>
      <c r="P656" t="s">
        <v>310</v>
      </c>
      <c r="Q656" t="s">
        <v>310</v>
      </c>
      <c r="R656" t="s">
        <v>310</v>
      </c>
      <c r="S656">
        <v>9</v>
      </c>
      <c r="T656" t="s">
        <v>310</v>
      </c>
      <c r="U656">
        <v>9</v>
      </c>
      <c r="V656">
        <v>9</v>
      </c>
      <c r="W656">
        <v>0</v>
      </c>
      <c r="X656">
        <v>0</v>
      </c>
      <c r="Y656">
        <v>0</v>
      </c>
      <c r="Z656">
        <v>0</v>
      </c>
      <c r="AA656">
        <v>9</v>
      </c>
      <c r="AB656">
        <v>9</v>
      </c>
      <c r="AC656" t="s">
        <v>310</v>
      </c>
      <c r="AD656">
        <v>9</v>
      </c>
      <c r="AE656" t="s">
        <v>1414</v>
      </c>
      <c r="AF656">
        <v>40000000</v>
      </c>
      <c r="AG656" t="s">
        <v>310</v>
      </c>
      <c r="AH656">
        <f>SUM((MID(Dyno_Data[[#This Row],[Team]],4,5))+(Dyno_Data[[#This Row],[Match]]/100))</f>
        <v>5590.11</v>
      </c>
      <c r="AI656" s="76">
        <f>ROUND(SUM(IF(Dyno_Data[[#This Row],[AcqCenter]]&gt;0,Dyno_Data[[#This Row],[Time]]-SUMIFS(Dyno_Data[Time],Dyno_Data[Team],Dyno_Data[[#This Row],[Team]],Dyno_Data[RecordType],"StartMatch",Dyno_Data[Match],Dyno_Data[[#This Row],[Match]]),0)*86400),0)</f>
        <v>0</v>
      </c>
    </row>
    <row r="657" spans="1:35" x14ac:dyDescent="0.3">
      <c r="A657">
        <v>656</v>
      </c>
      <c r="B657" t="s">
        <v>1291</v>
      </c>
      <c r="C657">
        <v>11</v>
      </c>
      <c r="D657" s="105">
        <v>45373.437434375002</v>
      </c>
      <c r="E657" t="s">
        <v>312</v>
      </c>
      <c r="F657" t="s">
        <v>1402</v>
      </c>
      <c r="G657">
        <v>0</v>
      </c>
      <c r="H657" t="s">
        <v>315</v>
      </c>
      <c r="I657">
        <v>0</v>
      </c>
      <c r="J657">
        <v>0</v>
      </c>
      <c r="K657">
        <v>0</v>
      </c>
      <c r="L657" t="s">
        <v>241</v>
      </c>
      <c r="M657" t="s">
        <v>1398</v>
      </c>
      <c r="N657">
        <v>0</v>
      </c>
      <c r="O657" t="s">
        <v>1395</v>
      </c>
      <c r="P657" t="s">
        <v>310</v>
      </c>
      <c r="Q657" t="s">
        <v>310</v>
      </c>
      <c r="R657" t="s">
        <v>310</v>
      </c>
      <c r="S657">
        <v>9</v>
      </c>
      <c r="T657" t="s">
        <v>310</v>
      </c>
      <c r="U657">
        <v>9</v>
      </c>
      <c r="V657">
        <v>9</v>
      </c>
      <c r="W657">
        <v>0</v>
      </c>
      <c r="X657">
        <v>0</v>
      </c>
      <c r="Y657">
        <v>0</v>
      </c>
      <c r="Z657">
        <v>0</v>
      </c>
      <c r="AA657">
        <v>9</v>
      </c>
      <c r="AB657">
        <v>9</v>
      </c>
      <c r="AC657" t="s">
        <v>310</v>
      </c>
      <c r="AD657">
        <v>9</v>
      </c>
      <c r="AE657" t="s">
        <v>1413</v>
      </c>
      <c r="AF657">
        <v>40000000</v>
      </c>
      <c r="AG657" t="s">
        <v>310</v>
      </c>
      <c r="AH657">
        <f>SUM((MID(Dyno_Data[[#This Row],[Team]],4,5))+(Dyno_Data[[#This Row],[Match]]/100))</f>
        <v>1493.11</v>
      </c>
      <c r="AI657" s="76">
        <f>ROUND(SUM(IF(Dyno_Data[[#This Row],[AcqCenter]]&gt;0,Dyno_Data[[#This Row],[Time]]-SUMIFS(Dyno_Data[Time],Dyno_Data[Team],Dyno_Data[[#This Row],[Team]],Dyno_Data[RecordType],"StartMatch",Dyno_Data[Match],Dyno_Data[[#This Row],[Match]]),0)*86400),0)</f>
        <v>0</v>
      </c>
    </row>
    <row r="658" spans="1:35" x14ac:dyDescent="0.3">
      <c r="A658">
        <v>657</v>
      </c>
      <c r="B658" t="s">
        <v>1303</v>
      </c>
      <c r="C658">
        <v>11</v>
      </c>
      <c r="D658" s="105">
        <v>45373.437471446756</v>
      </c>
      <c r="E658" t="s">
        <v>312</v>
      </c>
      <c r="F658" t="s">
        <v>1402</v>
      </c>
      <c r="G658">
        <v>0</v>
      </c>
      <c r="H658" t="s">
        <v>315</v>
      </c>
      <c r="I658">
        <v>0</v>
      </c>
      <c r="J658">
        <v>0</v>
      </c>
      <c r="K658">
        <v>0</v>
      </c>
      <c r="L658" t="s">
        <v>241</v>
      </c>
      <c r="M658" t="s">
        <v>1398</v>
      </c>
      <c r="N658">
        <v>0</v>
      </c>
      <c r="O658" t="s">
        <v>311</v>
      </c>
      <c r="P658" t="s">
        <v>310</v>
      </c>
      <c r="Q658" t="s">
        <v>310</v>
      </c>
      <c r="R658" t="s">
        <v>310</v>
      </c>
      <c r="S658">
        <v>9</v>
      </c>
      <c r="T658" t="s">
        <v>310</v>
      </c>
      <c r="U658">
        <v>9</v>
      </c>
      <c r="V658">
        <v>9</v>
      </c>
      <c r="W658">
        <v>0</v>
      </c>
      <c r="X658">
        <v>0</v>
      </c>
      <c r="Y658">
        <v>0</v>
      </c>
      <c r="Z658">
        <v>0</v>
      </c>
      <c r="AA658">
        <v>9</v>
      </c>
      <c r="AB658">
        <v>9</v>
      </c>
      <c r="AC658" t="s">
        <v>310</v>
      </c>
      <c r="AD658">
        <v>9</v>
      </c>
      <c r="AE658" t="s">
        <v>1388</v>
      </c>
      <c r="AF658">
        <v>40001000</v>
      </c>
      <c r="AG658" t="s">
        <v>310</v>
      </c>
      <c r="AH658">
        <f>SUM((MID(Dyno_Data[[#This Row],[Team]],4,5))+(Dyno_Data[[#This Row],[Match]]/100))</f>
        <v>7605.11</v>
      </c>
      <c r="AI658" s="76">
        <f>ROUND(SUM(IF(Dyno_Data[[#This Row],[AcqCenter]]&gt;0,Dyno_Data[[#This Row],[Time]]-SUMIFS(Dyno_Data[Time],Dyno_Data[Team],Dyno_Data[[#This Row],[Team]],Dyno_Data[RecordType],"StartMatch",Dyno_Data[Match],Dyno_Data[[#This Row],[Match]]),0)*86400),0)</f>
        <v>0</v>
      </c>
    </row>
    <row r="659" spans="1:35" x14ac:dyDescent="0.3">
      <c r="A659">
        <v>658</v>
      </c>
      <c r="B659" t="s">
        <v>1284</v>
      </c>
      <c r="C659">
        <v>11</v>
      </c>
      <c r="D659" s="105">
        <v>45373.437538078702</v>
      </c>
      <c r="E659" t="s">
        <v>312</v>
      </c>
      <c r="F659" t="s">
        <v>1402</v>
      </c>
      <c r="G659">
        <v>0</v>
      </c>
      <c r="H659" t="s">
        <v>315</v>
      </c>
      <c r="I659">
        <v>0</v>
      </c>
      <c r="J659">
        <v>0</v>
      </c>
      <c r="K659">
        <v>0</v>
      </c>
      <c r="L659" t="s">
        <v>240</v>
      </c>
      <c r="M659" t="s">
        <v>1398</v>
      </c>
      <c r="N659">
        <v>0</v>
      </c>
      <c r="O659" t="s">
        <v>1389</v>
      </c>
      <c r="P659" t="s">
        <v>310</v>
      </c>
      <c r="Q659" t="s">
        <v>310</v>
      </c>
      <c r="R659" t="s">
        <v>310</v>
      </c>
      <c r="S659">
        <v>9</v>
      </c>
      <c r="T659" t="s">
        <v>310</v>
      </c>
      <c r="U659">
        <v>9</v>
      </c>
      <c r="V659">
        <v>9</v>
      </c>
      <c r="W659">
        <v>0</v>
      </c>
      <c r="X659">
        <v>0</v>
      </c>
      <c r="Y659">
        <v>0</v>
      </c>
      <c r="Z659">
        <v>0</v>
      </c>
      <c r="AA659">
        <v>9</v>
      </c>
      <c r="AB659">
        <v>9</v>
      </c>
      <c r="AC659" t="s">
        <v>310</v>
      </c>
      <c r="AD659">
        <v>9</v>
      </c>
      <c r="AE659" t="s">
        <v>1414</v>
      </c>
      <c r="AF659">
        <v>50000000</v>
      </c>
      <c r="AG659" t="s">
        <v>310</v>
      </c>
      <c r="AH659">
        <f>SUM((MID(Dyno_Data[[#This Row],[Team]],4,5))+(Dyno_Data[[#This Row],[Match]]/100))</f>
        <v>5590.11</v>
      </c>
      <c r="AI659" s="76">
        <f>ROUND(SUM(IF(Dyno_Data[[#This Row],[AcqCenter]]&gt;0,Dyno_Data[[#This Row],[Time]]-SUMIFS(Dyno_Data[Time],Dyno_Data[Team],Dyno_Data[[#This Row],[Team]],Dyno_Data[RecordType],"StartMatch",Dyno_Data[Match],Dyno_Data[[#This Row],[Match]]),0)*86400),0)</f>
        <v>0</v>
      </c>
    </row>
    <row r="660" spans="1:35" x14ac:dyDescent="0.3">
      <c r="A660">
        <v>659</v>
      </c>
      <c r="B660" t="s">
        <v>1303</v>
      </c>
      <c r="C660">
        <v>11</v>
      </c>
      <c r="D660" s="105">
        <v>45373.43761828704</v>
      </c>
      <c r="E660" t="s">
        <v>312</v>
      </c>
      <c r="F660" t="s">
        <v>1402</v>
      </c>
      <c r="G660">
        <v>0</v>
      </c>
      <c r="H660" t="s">
        <v>315</v>
      </c>
      <c r="I660">
        <v>0</v>
      </c>
      <c r="J660">
        <v>0</v>
      </c>
      <c r="K660">
        <v>0</v>
      </c>
      <c r="L660" t="s">
        <v>241</v>
      </c>
      <c r="M660" t="s">
        <v>1398</v>
      </c>
      <c r="N660">
        <v>0</v>
      </c>
      <c r="O660" t="s">
        <v>311</v>
      </c>
      <c r="P660" t="s">
        <v>310</v>
      </c>
      <c r="Q660" t="s">
        <v>310</v>
      </c>
      <c r="R660" t="s">
        <v>310</v>
      </c>
      <c r="S660">
        <v>9</v>
      </c>
      <c r="T660" t="s">
        <v>310</v>
      </c>
      <c r="U660">
        <v>9</v>
      </c>
      <c r="V660">
        <v>9</v>
      </c>
      <c r="W660">
        <v>0</v>
      </c>
      <c r="X660">
        <v>0</v>
      </c>
      <c r="Y660">
        <v>0</v>
      </c>
      <c r="Z660">
        <v>0</v>
      </c>
      <c r="AA660">
        <v>9</v>
      </c>
      <c r="AB660">
        <v>9</v>
      </c>
      <c r="AC660" t="s">
        <v>310</v>
      </c>
      <c r="AD660">
        <v>9</v>
      </c>
      <c r="AE660" t="s">
        <v>1388</v>
      </c>
      <c r="AF660">
        <v>50001000</v>
      </c>
      <c r="AG660" t="s">
        <v>310</v>
      </c>
      <c r="AH660">
        <f>SUM((MID(Dyno_Data[[#This Row],[Team]],4,5))+(Dyno_Data[[#This Row],[Match]]/100))</f>
        <v>7605.11</v>
      </c>
      <c r="AI660" s="76">
        <f>ROUND(SUM(IF(Dyno_Data[[#This Row],[AcqCenter]]&gt;0,Dyno_Data[[#This Row],[Time]]-SUMIFS(Dyno_Data[Time],Dyno_Data[Team],Dyno_Data[[#This Row],[Team]],Dyno_Data[RecordType],"StartMatch",Dyno_Data[Match],Dyno_Data[[#This Row],[Match]]),0)*86400),0)</f>
        <v>0</v>
      </c>
    </row>
    <row r="661" spans="1:35" x14ac:dyDescent="0.3">
      <c r="A661">
        <v>660</v>
      </c>
      <c r="B661" t="s">
        <v>1285</v>
      </c>
      <c r="C661">
        <v>11</v>
      </c>
      <c r="D661" s="105">
        <v>45373.437620567129</v>
      </c>
      <c r="E661" t="s">
        <v>1403</v>
      </c>
      <c r="F661" t="s">
        <v>1402</v>
      </c>
      <c r="G661">
        <v>0</v>
      </c>
      <c r="H661" t="s">
        <v>310</v>
      </c>
      <c r="I661">
        <v>0</v>
      </c>
      <c r="J661">
        <v>0</v>
      </c>
      <c r="K661">
        <v>0</v>
      </c>
      <c r="L661" t="s">
        <v>310</v>
      </c>
      <c r="M661" t="s">
        <v>310</v>
      </c>
      <c r="N661">
        <v>0</v>
      </c>
      <c r="O661" t="s">
        <v>1391</v>
      </c>
      <c r="P661" t="s">
        <v>310</v>
      </c>
      <c r="Q661" t="s">
        <v>310</v>
      </c>
      <c r="R661" t="s">
        <v>310</v>
      </c>
      <c r="S661">
        <v>9</v>
      </c>
      <c r="T661" t="s">
        <v>310</v>
      </c>
      <c r="U661">
        <v>9</v>
      </c>
      <c r="V661">
        <v>9</v>
      </c>
      <c r="W661">
        <v>0</v>
      </c>
      <c r="X661">
        <v>0</v>
      </c>
      <c r="Y661">
        <v>0</v>
      </c>
      <c r="Z661">
        <v>0</v>
      </c>
      <c r="AA661">
        <v>9</v>
      </c>
      <c r="AB661">
        <v>9</v>
      </c>
      <c r="AC661" t="s">
        <v>310</v>
      </c>
      <c r="AD661">
        <v>9</v>
      </c>
      <c r="AE661" t="s">
        <v>1396</v>
      </c>
      <c r="AF661">
        <v>50001000</v>
      </c>
      <c r="AG661" t="s">
        <v>249</v>
      </c>
      <c r="AH661">
        <f>SUM((MID(Dyno_Data[[#This Row],[Team]],4,5))+(Dyno_Data[[#This Row],[Match]]/100))</f>
        <v>5993.11</v>
      </c>
      <c r="AI661" s="76">
        <f>ROUND(SUM(IF(Dyno_Data[[#This Row],[AcqCenter]]&gt;0,Dyno_Data[[#This Row],[Time]]-SUMIFS(Dyno_Data[Time],Dyno_Data[Team],Dyno_Data[[#This Row],[Team]],Dyno_Data[RecordType],"StartMatch",Dyno_Data[Match],Dyno_Data[[#This Row],[Match]]),0)*86400),0)</f>
        <v>0</v>
      </c>
    </row>
    <row r="662" spans="1:35" x14ac:dyDescent="0.3">
      <c r="A662">
        <v>661</v>
      </c>
      <c r="B662" t="s">
        <v>1275</v>
      </c>
      <c r="C662">
        <v>11</v>
      </c>
      <c r="D662" s="105">
        <v>45373.437629201391</v>
      </c>
      <c r="E662" t="s">
        <v>312</v>
      </c>
      <c r="F662" t="s">
        <v>1402</v>
      </c>
      <c r="G662">
        <v>0</v>
      </c>
      <c r="H662" t="s">
        <v>315</v>
      </c>
      <c r="I662">
        <v>0</v>
      </c>
      <c r="J662">
        <v>0</v>
      </c>
      <c r="K662">
        <v>0</v>
      </c>
      <c r="L662" t="s">
        <v>241</v>
      </c>
      <c r="M662" t="s">
        <v>1398</v>
      </c>
      <c r="N662">
        <v>0</v>
      </c>
      <c r="O662" t="s">
        <v>1393</v>
      </c>
      <c r="P662" t="s">
        <v>310</v>
      </c>
      <c r="Q662" t="s">
        <v>310</v>
      </c>
      <c r="R662" t="s">
        <v>310</v>
      </c>
      <c r="S662">
        <v>9</v>
      </c>
      <c r="T662" t="s">
        <v>310</v>
      </c>
      <c r="U662">
        <v>9</v>
      </c>
      <c r="V662">
        <v>9</v>
      </c>
      <c r="W662">
        <v>0</v>
      </c>
      <c r="X662">
        <v>0</v>
      </c>
      <c r="Y662">
        <v>0</v>
      </c>
      <c r="Z662">
        <v>0</v>
      </c>
      <c r="AA662">
        <v>9</v>
      </c>
      <c r="AB662">
        <v>9</v>
      </c>
      <c r="AC662" t="s">
        <v>310</v>
      </c>
      <c r="AD662">
        <v>9</v>
      </c>
      <c r="AE662" t="s">
        <v>1412</v>
      </c>
      <c r="AF662">
        <v>20000000</v>
      </c>
      <c r="AG662" t="s">
        <v>310</v>
      </c>
      <c r="AH662">
        <f>SUM((MID(Dyno_Data[[#This Row],[Team]],4,5))+(Dyno_Data[[#This Row],[Match]]/100))</f>
        <v>1880.11</v>
      </c>
      <c r="AI662" s="76">
        <f>ROUND(SUM(IF(Dyno_Data[[#This Row],[AcqCenter]]&gt;0,Dyno_Data[[#This Row],[Time]]-SUMIFS(Dyno_Data[Time],Dyno_Data[Team],Dyno_Data[[#This Row],[Team]],Dyno_Data[RecordType],"StartMatch",Dyno_Data[Match],Dyno_Data[[#This Row],[Match]]),0)*86400),0)</f>
        <v>0</v>
      </c>
    </row>
    <row r="663" spans="1:35" x14ac:dyDescent="0.3">
      <c r="A663">
        <v>662</v>
      </c>
      <c r="B663" t="s">
        <v>1291</v>
      </c>
      <c r="C663">
        <v>11</v>
      </c>
      <c r="D663" s="105">
        <v>45373.437692905092</v>
      </c>
      <c r="E663" t="s">
        <v>312</v>
      </c>
      <c r="F663" t="s">
        <v>1402</v>
      </c>
      <c r="G663">
        <v>0</v>
      </c>
      <c r="H663" t="s">
        <v>315</v>
      </c>
      <c r="I663">
        <v>0</v>
      </c>
      <c r="J663">
        <v>0</v>
      </c>
      <c r="K663">
        <v>0</v>
      </c>
      <c r="L663" t="s">
        <v>241</v>
      </c>
      <c r="M663" t="s">
        <v>1398</v>
      </c>
      <c r="N663">
        <v>0</v>
      </c>
      <c r="O663" t="s">
        <v>1395</v>
      </c>
      <c r="P663" t="s">
        <v>310</v>
      </c>
      <c r="Q663" t="s">
        <v>310</v>
      </c>
      <c r="R663" t="s">
        <v>310</v>
      </c>
      <c r="S663">
        <v>9</v>
      </c>
      <c r="T663" t="s">
        <v>310</v>
      </c>
      <c r="U663">
        <v>9</v>
      </c>
      <c r="V663">
        <v>9</v>
      </c>
      <c r="W663">
        <v>0</v>
      </c>
      <c r="X663">
        <v>0</v>
      </c>
      <c r="Y663">
        <v>0</v>
      </c>
      <c r="Z663">
        <v>0</v>
      </c>
      <c r="AA663">
        <v>9</v>
      </c>
      <c r="AB663">
        <v>9</v>
      </c>
      <c r="AC663" t="s">
        <v>310</v>
      </c>
      <c r="AD663">
        <v>9</v>
      </c>
      <c r="AE663" t="s">
        <v>1413</v>
      </c>
      <c r="AF663">
        <v>50000000</v>
      </c>
      <c r="AG663" t="s">
        <v>310</v>
      </c>
      <c r="AH663">
        <f>SUM((MID(Dyno_Data[[#This Row],[Team]],4,5))+(Dyno_Data[[#This Row],[Match]]/100))</f>
        <v>1493.11</v>
      </c>
      <c r="AI663" s="76">
        <f>ROUND(SUM(IF(Dyno_Data[[#This Row],[AcqCenter]]&gt;0,Dyno_Data[[#This Row],[Time]]-SUMIFS(Dyno_Data[Time],Dyno_Data[Team],Dyno_Data[[#This Row],[Team]],Dyno_Data[RecordType],"StartMatch",Dyno_Data[Match],Dyno_Data[[#This Row],[Match]]),0)*86400),0)</f>
        <v>0</v>
      </c>
    </row>
    <row r="664" spans="1:35" x14ac:dyDescent="0.3">
      <c r="A664">
        <v>663</v>
      </c>
      <c r="B664" t="s">
        <v>1303</v>
      </c>
      <c r="C664">
        <v>11</v>
      </c>
      <c r="D664" s="105">
        <v>45373.437829363429</v>
      </c>
      <c r="E664" t="s">
        <v>312</v>
      </c>
      <c r="F664" t="s">
        <v>1402</v>
      </c>
      <c r="G664">
        <v>0</v>
      </c>
      <c r="H664" t="s">
        <v>315</v>
      </c>
      <c r="I664">
        <v>0</v>
      </c>
      <c r="J664">
        <v>0</v>
      </c>
      <c r="K664">
        <v>0</v>
      </c>
      <c r="L664" t="s">
        <v>241</v>
      </c>
      <c r="M664" t="s">
        <v>1398</v>
      </c>
      <c r="N664">
        <v>0</v>
      </c>
      <c r="O664" t="s">
        <v>311</v>
      </c>
      <c r="P664" t="s">
        <v>310</v>
      </c>
      <c r="Q664" t="s">
        <v>310</v>
      </c>
      <c r="R664" t="s">
        <v>310</v>
      </c>
      <c r="S664">
        <v>9</v>
      </c>
      <c r="T664" t="s">
        <v>310</v>
      </c>
      <c r="U664">
        <v>9</v>
      </c>
      <c r="V664">
        <v>9</v>
      </c>
      <c r="W664">
        <v>0</v>
      </c>
      <c r="X664">
        <v>0</v>
      </c>
      <c r="Y664">
        <v>0</v>
      </c>
      <c r="Z664">
        <v>0</v>
      </c>
      <c r="AA664">
        <v>9</v>
      </c>
      <c r="AB664">
        <v>9</v>
      </c>
      <c r="AC664" t="s">
        <v>310</v>
      </c>
      <c r="AD664">
        <v>9</v>
      </c>
      <c r="AE664" t="s">
        <v>1388</v>
      </c>
      <c r="AF664">
        <v>60001000</v>
      </c>
      <c r="AG664" t="s">
        <v>310</v>
      </c>
      <c r="AH664">
        <f>SUM((MID(Dyno_Data[[#This Row],[Team]],4,5))+(Dyno_Data[[#This Row],[Match]]/100))</f>
        <v>7605.11</v>
      </c>
      <c r="AI664" s="76">
        <f>ROUND(SUM(IF(Dyno_Data[[#This Row],[AcqCenter]]&gt;0,Dyno_Data[[#This Row],[Time]]-SUMIFS(Dyno_Data[Time],Dyno_Data[Team],Dyno_Data[[#This Row],[Team]],Dyno_Data[RecordType],"StartMatch",Dyno_Data[Match],Dyno_Data[[#This Row],[Match]]),0)*86400),0)</f>
        <v>0</v>
      </c>
    </row>
    <row r="665" spans="1:35" x14ac:dyDescent="0.3">
      <c r="A665">
        <v>664</v>
      </c>
      <c r="B665" t="s">
        <v>1284</v>
      </c>
      <c r="C665">
        <v>11</v>
      </c>
      <c r="D665" s="105">
        <v>45373.43783440972</v>
      </c>
      <c r="E665" t="s">
        <v>312</v>
      </c>
      <c r="F665" t="s">
        <v>1402</v>
      </c>
      <c r="G665">
        <v>0</v>
      </c>
      <c r="H665" t="s">
        <v>315</v>
      </c>
      <c r="I665">
        <v>0</v>
      </c>
      <c r="J665">
        <v>0</v>
      </c>
      <c r="K665">
        <v>0</v>
      </c>
      <c r="L665" t="s">
        <v>241</v>
      </c>
      <c r="M665" t="s">
        <v>1398</v>
      </c>
      <c r="N665">
        <v>0</v>
      </c>
      <c r="O665" t="s">
        <v>1389</v>
      </c>
      <c r="P665" t="s">
        <v>310</v>
      </c>
      <c r="Q665" t="s">
        <v>310</v>
      </c>
      <c r="R665" t="s">
        <v>310</v>
      </c>
      <c r="S665">
        <v>9</v>
      </c>
      <c r="T665" t="s">
        <v>310</v>
      </c>
      <c r="U665">
        <v>9</v>
      </c>
      <c r="V665">
        <v>9</v>
      </c>
      <c r="W665">
        <v>0</v>
      </c>
      <c r="X665">
        <v>0</v>
      </c>
      <c r="Y665">
        <v>0</v>
      </c>
      <c r="Z665">
        <v>0</v>
      </c>
      <c r="AA665">
        <v>9</v>
      </c>
      <c r="AB665">
        <v>9</v>
      </c>
      <c r="AC665" t="s">
        <v>310</v>
      </c>
      <c r="AD665">
        <v>9</v>
      </c>
      <c r="AE665" t="s">
        <v>1414</v>
      </c>
      <c r="AF665">
        <v>60000000</v>
      </c>
      <c r="AG665" t="s">
        <v>310</v>
      </c>
      <c r="AH665">
        <f>SUM((MID(Dyno_Data[[#This Row],[Team]],4,5))+(Dyno_Data[[#This Row],[Match]]/100))</f>
        <v>5590.11</v>
      </c>
      <c r="AI665" s="76">
        <f>ROUND(SUM(IF(Dyno_Data[[#This Row],[AcqCenter]]&gt;0,Dyno_Data[[#This Row],[Time]]-SUMIFS(Dyno_Data[Time],Dyno_Data[Team],Dyno_Data[[#This Row],[Team]],Dyno_Data[RecordType],"StartMatch",Dyno_Data[Match],Dyno_Data[[#This Row],[Match]]),0)*86400),0)</f>
        <v>0</v>
      </c>
    </row>
    <row r="666" spans="1:35" x14ac:dyDescent="0.3">
      <c r="A666">
        <v>665</v>
      </c>
      <c r="B666" t="s">
        <v>1275</v>
      </c>
      <c r="C666">
        <v>11</v>
      </c>
      <c r="D666" s="105">
        <v>45373.437904016202</v>
      </c>
      <c r="E666" t="s">
        <v>312</v>
      </c>
      <c r="F666" t="s">
        <v>1402</v>
      </c>
      <c r="G666">
        <v>0</v>
      </c>
      <c r="H666" t="s">
        <v>315</v>
      </c>
      <c r="I666">
        <v>0</v>
      </c>
      <c r="J666">
        <v>0</v>
      </c>
      <c r="K666">
        <v>0</v>
      </c>
      <c r="L666" t="s">
        <v>240</v>
      </c>
      <c r="M666" t="s">
        <v>1398</v>
      </c>
      <c r="N666">
        <v>0</v>
      </c>
      <c r="O666" t="s">
        <v>1393</v>
      </c>
      <c r="P666" t="s">
        <v>310</v>
      </c>
      <c r="Q666" t="s">
        <v>310</v>
      </c>
      <c r="R666" t="s">
        <v>310</v>
      </c>
      <c r="S666">
        <v>9</v>
      </c>
      <c r="T666" t="s">
        <v>310</v>
      </c>
      <c r="U666">
        <v>9</v>
      </c>
      <c r="V666">
        <v>9</v>
      </c>
      <c r="W666">
        <v>0</v>
      </c>
      <c r="X666">
        <v>0</v>
      </c>
      <c r="Y666">
        <v>0</v>
      </c>
      <c r="Z666">
        <v>0</v>
      </c>
      <c r="AA666">
        <v>9</v>
      </c>
      <c r="AB666">
        <v>9</v>
      </c>
      <c r="AC666" t="s">
        <v>310</v>
      </c>
      <c r="AD666">
        <v>9</v>
      </c>
      <c r="AE666" t="s">
        <v>1412</v>
      </c>
      <c r="AF666">
        <v>30000000</v>
      </c>
      <c r="AG666" t="s">
        <v>310</v>
      </c>
      <c r="AH666">
        <f>SUM((MID(Dyno_Data[[#This Row],[Team]],4,5))+(Dyno_Data[[#This Row],[Match]]/100))</f>
        <v>1880.11</v>
      </c>
      <c r="AI666" s="76">
        <f>ROUND(SUM(IF(Dyno_Data[[#This Row],[AcqCenter]]&gt;0,Dyno_Data[[#This Row],[Time]]-SUMIFS(Dyno_Data[Time],Dyno_Data[Team],Dyno_Data[[#This Row],[Team]],Dyno_Data[RecordType],"StartMatch",Dyno_Data[Match],Dyno_Data[[#This Row],[Match]]),0)*86400),0)</f>
        <v>0</v>
      </c>
    </row>
    <row r="667" spans="1:35" x14ac:dyDescent="0.3">
      <c r="A667">
        <v>666</v>
      </c>
      <c r="B667" t="s">
        <v>1291</v>
      </c>
      <c r="C667">
        <v>11</v>
      </c>
      <c r="D667" s="105">
        <v>45373.437926423612</v>
      </c>
      <c r="E667" t="s">
        <v>312</v>
      </c>
      <c r="F667" t="s">
        <v>1402</v>
      </c>
      <c r="G667">
        <v>0</v>
      </c>
      <c r="H667" t="s">
        <v>315</v>
      </c>
      <c r="I667">
        <v>0</v>
      </c>
      <c r="J667">
        <v>0</v>
      </c>
      <c r="K667">
        <v>0</v>
      </c>
      <c r="L667" t="s">
        <v>240</v>
      </c>
      <c r="M667" t="s">
        <v>1398</v>
      </c>
      <c r="N667">
        <v>1</v>
      </c>
      <c r="O667" t="s">
        <v>1395</v>
      </c>
      <c r="P667" t="s">
        <v>310</v>
      </c>
      <c r="Q667" t="s">
        <v>310</v>
      </c>
      <c r="R667" t="s">
        <v>310</v>
      </c>
      <c r="S667">
        <v>9</v>
      </c>
      <c r="T667" t="s">
        <v>310</v>
      </c>
      <c r="U667">
        <v>9</v>
      </c>
      <c r="V667">
        <v>9</v>
      </c>
      <c r="W667">
        <v>0</v>
      </c>
      <c r="X667">
        <v>0</v>
      </c>
      <c r="Y667">
        <v>0</v>
      </c>
      <c r="Z667">
        <v>0</v>
      </c>
      <c r="AA667">
        <v>9</v>
      </c>
      <c r="AB667">
        <v>9</v>
      </c>
      <c r="AC667" t="s">
        <v>310</v>
      </c>
      <c r="AD667">
        <v>9</v>
      </c>
      <c r="AE667" t="s">
        <v>1413</v>
      </c>
      <c r="AF667">
        <v>60000000</v>
      </c>
      <c r="AG667" t="s">
        <v>310</v>
      </c>
      <c r="AH667">
        <f>SUM((MID(Dyno_Data[[#This Row],[Team]],4,5))+(Dyno_Data[[#This Row],[Match]]/100))</f>
        <v>1493.11</v>
      </c>
      <c r="AI667" s="76">
        <f>ROUND(SUM(IF(Dyno_Data[[#This Row],[AcqCenter]]&gt;0,Dyno_Data[[#This Row],[Time]]-SUMIFS(Dyno_Data[Time],Dyno_Data[Team],Dyno_Data[[#This Row],[Team]],Dyno_Data[RecordType],"StartMatch",Dyno_Data[Match],Dyno_Data[[#This Row],[Match]]),0)*86400),0)</f>
        <v>0</v>
      </c>
    </row>
    <row r="668" spans="1:35" x14ac:dyDescent="0.3">
      <c r="A668">
        <v>667</v>
      </c>
      <c r="B668" t="s">
        <v>1303</v>
      </c>
      <c r="C668">
        <v>11</v>
      </c>
      <c r="D668" s="105">
        <v>45373.437943865742</v>
      </c>
      <c r="E668" t="s">
        <v>312</v>
      </c>
      <c r="F668" t="s">
        <v>1402</v>
      </c>
      <c r="G668">
        <v>0</v>
      </c>
      <c r="H668" t="s">
        <v>315</v>
      </c>
      <c r="I668">
        <v>0</v>
      </c>
      <c r="J668">
        <v>0</v>
      </c>
      <c r="K668">
        <v>0</v>
      </c>
      <c r="L668" t="s">
        <v>241</v>
      </c>
      <c r="M668" t="s">
        <v>1398</v>
      </c>
      <c r="N668">
        <v>0</v>
      </c>
      <c r="O668" t="s">
        <v>311</v>
      </c>
      <c r="P668" t="s">
        <v>310</v>
      </c>
      <c r="Q668" t="s">
        <v>310</v>
      </c>
      <c r="R668" t="s">
        <v>310</v>
      </c>
      <c r="S668">
        <v>9</v>
      </c>
      <c r="T668" t="s">
        <v>310</v>
      </c>
      <c r="U668">
        <v>9</v>
      </c>
      <c r="V668">
        <v>9</v>
      </c>
      <c r="W668">
        <v>0</v>
      </c>
      <c r="X668">
        <v>0</v>
      </c>
      <c r="Y668">
        <v>0</v>
      </c>
      <c r="Z668">
        <v>0</v>
      </c>
      <c r="AA668">
        <v>9</v>
      </c>
      <c r="AB668">
        <v>9</v>
      </c>
      <c r="AC668" t="s">
        <v>310</v>
      </c>
      <c r="AD668">
        <v>9</v>
      </c>
      <c r="AE668" t="s">
        <v>1388</v>
      </c>
      <c r="AF668">
        <v>70001000</v>
      </c>
      <c r="AG668" t="s">
        <v>310</v>
      </c>
      <c r="AH668">
        <f>SUM((MID(Dyno_Data[[#This Row],[Team]],4,5))+(Dyno_Data[[#This Row],[Match]]/100))</f>
        <v>7605.11</v>
      </c>
      <c r="AI668" s="76">
        <f>ROUND(SUM(IF(Dyno_Data[[#This Row],[AcqCenter]]&gt;0,Dyno_Data[[#This Row],[Time]]-SUMIFS(Dyno_Data[Time],Dyno_Data[Team],Dyno_Data[[#This Row],[Team]],Dyno_Data[RecordType],"StartMatch",Dyno_Data[Match],Dyno_Data[[#This Row],[Match]]),0)*86400),0)</f>
        <v>0</v>
      </c>
    </row>
    <row r="669" spans="1:35" x14ac:dyDescent="0.3">
      <c r="A669">
        <v>668</v>
      </c>
      <c r="B669" t="s">
        <v>1291</v>
      </c>
      <c r="C669">
        <v>11</v>
      </c>
      <c r="D669" s="105">
        <v>45373.438089502313</v>
      </c>
      <c r="E669" t="s">
        <v>312</v>
      </c>
      <c r="F669" t="s">
        <v>1402</v>
      </c>
      <c r="G669">
        <v>0</v>
      </c>
      <c r="H669" t="s">
        <v>315</v>
      </c>
      <c r="I669">
        <v>0</v>
      </c>
      <c r="J669">
        <v>0</v>
      </c>
      <c r="K669">
        <v>0</v>
      </c>
      <c r="L669" t="s">
        <v>241</v>
      </c>
      <c r="M669" t="s">
        <v>1398</v>
      </c>
      <c r="N669">
        <v>0</v>
      </c>
      <c r="O669" t="s">
        <v>1395</v>
      </c>
      <c r="P669" t="s">
        <v>310</v>
      </c>
      <c r="Q669" t="s">
        <v>310</v>
      </c>
      <c r="R669" t="s">
        <v>310</v>
      </c>
      <c r="S669">
        <v>9</v>
      </c>
      <c r="T669" t="s">
        <v>310</v>
      </c>
      <c r="U669">
        <v>9</v>
      </c>
      <c r="V669">
        <v>9</v>
      </c>
      <c r="W669">
        <v>0</v>
      </c>
      <c r="X669">
        <v>0</v>
      </c>
      <c r="Y669">
        <v>0</v>
      </c>
      <c r="Z669">
        <v>0</v>
      </c>
      <c r="AA669">
        <v>9</v>
      </c>
      <c r="AB669">
        <v>9</v>
      </c>
      <c r="AC669" t="s">
        <v>310</v>
      </c>
      <c r="AD669">
        <v>9</v>
      </c>
      <c r="AE669" t="s">
        <v>1413</v>
      </c>
      <c r="AF669">
        <v>70100000</v>
      </c>
      <c r="AG669" t="s">
        <v>310</v>
      </c>
      <c r="AH669">
        <f>SUM((MID(Dyno_Data[[#This Row],[Team]],4,5))+(Dyno_Data[[#This Row],[Match]]/100))</f>
        <v>1493.11</v>
      </c>
      <c r="AI669" s="76">
        <f>ROUND(SUM(IF(Dyno_Data[[#This Row],[AcqCenter]]&gt;0,Dyno_Data[[#This Row],[Time]]-SUMIFS(Dyno_Data[Time],Dyno_Data[Team],Dyno_Data[[#This Row],[Team]],Dyno_Data[RecordType],"StartMatch",Dyno_Data[Match],Dyno_Data[[#This Row],[Match]]),0)*86400),0)</f>
        <v>0</v>
      </c>
    </row>
    <row r="670" spans="1:35" x14ac:dyDescent="0.3">
      <c r="A670">
        <v>669</v>
      </c>
      <c r="B670" t="s">
        <v>1275</v>
      </c>
      <c r="C670">
        <v>11</v>
      </c>
      <c r="D670" s="105">
        <v>45373.438134722222</v>
      </c>
      <c r="E670" t="s">
        <v>312</v>
      </c>
      <c r="F670" t="s">
        <v>1402</v>
      </c>
      <c r="G670">
        <v>0</v>
      </c>
      <c r="H670" t="s">
        <v>315</v>
      </c>
      <c r="I670">
        <v>0</v>
      </c>
      <c r="J670">
        <v>0</v>
      </c>
      <c r="K670">
        <v>0</v>
      </c>
      <c r="L670" t="s">
        <v>241</v>
      </c>
      <c r="M670" t="s">
        <v>1398</v>
      </c>
      <c r="N670">
        <v>0</v>
      </c>
      <c r="O670" t="s">
        <v>1393</v>
      </c>
      <c r="P670" t="s">
        <v>310</v>
      </c>
      <c r="Q670" t="s">
        <v>310</v>
      </c>
      <c r="R670" t="s">
        <v>310</v>
      </c>
      <c r="S670">
        <v>9</v>
      </c>
      <c r="T670" t="s">
        <v>310</v>
      </c>
      <c r="U670">
        <v>9</v>
      </c>
      <c r="V670">
        <v>9</v>
      </c>
      <c r="W670">
        <v>0</v>
      </c>
      <c r="X670">
        <v>0</v>
      </c>
      <c r="Y670">
        <v>0</v>
      </c>
      <c r="Z670">
        <v>0</v>
      </c>
      <c r="AA670">
        <v>9</v>
      </c>
      <c r="AB670">
        <v>9</v>
      </c>
      <c r="AC670" t="s">
        <v>310</v>
      </c>
      <c r="AD670">
        <v>9</v>
      </c>
      <c r="AE670" t="s">
        <v>1412</v>
      </c>
      <c r="AF670">
        <v>40000000</v>
      </c>
      <c r="AG670" t="s">
        <v>310</v>
      </c>
      <c r="AH670">
        <f>SUM((MID(Dyno_Data[[#This Row],[Team]],4,5))+(Dyno_Data[[#This Row],[Match]]/100))</f>
        <v>1880.11</v>
      </c>
      <c r="AI670" s="76">
        <f>ROUND(SUM(IF(Dyno_Data[[#This Row],[AcqCenter]]&gt;0,Dyno_Data[[#This Row],[Time]]-SUMIFS(Dyno_Data[Time],Dyno_Data[Team],Dyno_Data[[#This Row],[Team]],Dyno_Data[RecordType],"StartMatch",Dyno_Data[Match],Dyno_Data[[#This Row],[Match]]),0)*86400),0)</f>
        <v>0</v>
      </c>
    </row>
    <row r="671" spans="1:35" x14ac:dyDescent="0.3">
      <c r="A671">
        <v>670</v>
      </c>
      <c r="B671" t="s">
        <v>1303</v>
      </c>
      <c r="C671">
        <v>11</v>
      </c>
      <c r="D671" s="105">
        <v>45373.438138344907</v>
      </c>
      <c r="E671" t="s">
        <v>312</v>
      </c>
      <c r="F671" t="s">
        <v>1402</v>
      </c>
      <c r="G671">
        <v>0</v>
      </c>
      <c r="H671" t="s">
        <v>315</v>
      </c>
      <c r="I671">
        <v>0</v>
      </c>
      <c r="J671">
        <v>0</v>
      </c>
      <c r="K671">
        <v>0</v>
      </c>
      <c r="L671" t="s">
        <v>241</v>
      </c>
      <c r="M671" t="s">
        <v>1398</v>
      </c>
      <c r="N671">
        <v>1</v>
      </c>
      <c r="O671" t="s">
        <v>311</v>
      </c>
      <c r="P671" t="s">
        <v>310</v>
      </c>
      <c r="Q671" t="s">
        <v>310</v>
      </c>
      <c r="R671" t="s">
        <v>310</v>
      </c>
      <c r="S671">
        <v>9</v>
      </c>
      <c r="T671" t="s">
        <v>310</v>
      </c>
      <c r="U671">
        <v>9</v>
      </c>
      <c r="V671">
        <v>9</v>
      </c>
      <c r="W671">
        <v>0</v>
      </c>
      <c r="X671">
        <v>0</v>
      </c>
      <c r="Y671">
        <v>0</v>
      </c>
      <c r="Z671">
        <v>0</v>
      </c>
      <c r="AA671">
        <v>9</v>
      </c>
      <c r="AB671">
        <v>9</v>
      </c>
      <c r="AC671" t="s">
        <v>310</v>
      </c>
      <c r="AD671">
        <v>9</v>
      </c>
      <c r="AE671" t="s">
        <v>1388</v>
      </c>
      <c r="AF671">
        <v>80001000</v>
      </c>
      <c r="AG671" t="s">
        <v>310</v>
      </c>
      <c r="AH671">
        <f>SUM((MID(Dyno_Data[[#This Row],[Team]],4,5))+(Dyno_Data[[#This Row],[Match]]/100))</f>
        <v>7605.11</v>
      </c>
      <c r="AI671" s="76">
        <f>ROUND(SUM(IF(Dyno_Data[[#This Row],[AcqCenter]]&gt;0,Dyno_Data[[#This Row],[Time]]-SUMIFS(Dyno_Data[Time],Dyno_Data[Team],Dyno_Data[[#This Row],[Team]],Dyno_Data[RecordType],"StartMatch",Dyno_Data[Match],Dyno_Data[[#This Row],[Match]]),0)*86400),0)</f>
        <v>0</v>
      </c>
    </row>
    <row r="672" spans="1:35" x14ac:dyDescent="0.3">
      <c r="A672">
        <v>671</v>
      </c>
      <c r="B672" t="s">
        <v>1284</v>
      </c>
      <c r="C672">
        <v>11</v>
      </c>
      <c r="D672" s="105">
        <v>45373.438197766205</v>
      </c>
      <c r="E672" t="s">
        <v>312</v>
      </c>
      <c r="F672" t="s">
        <v>1402</v>
      </c>
      <c r="G672">
        <v>0</v>
      </c>
      <c r="H672" t="s">
        <v>315</v>
      </c>
      <c r="I672">
        <v>0</v>
      </c>
      <c r="J672">
        <v>0</v>
      </c>
      <c r="K672">
        <v>0</v>
      </c>
      <c r="L672" t="s">
        <v>241</v>
      </c>
      <c r="M672" t="s">
        <v>1398</v>
      </c>
      <c r="N672">
        <v>0</v>
      </c>
      <c r="O672" t="s">
        <v>1389</v>
      </c>
      <c r="P672" t="s">
        <v>310</v>
      </c>
      <c r="Q672" t="s">
        <v>310</v>
      </c>
      <c r="R672" t="s">
        <v>310</v>
      </c>
      <c r="S672">
        <v>9</v>
      </c>
      <c r="T672" t="s">
        <v>310</v>
      </c>
      <c r="U672">
        <v>9</v>
      </c>
      <c r="V672">
        <v>9</v>
      </c>
      <c r="W672">
        <v>0</v>
      </c>
      <c r="X672">
        <v>0</v>
      </c>
      <c r="Y672">
        <v>0</v>
      </c>
      <c r="Z672">
        <v>0</v>
      </c>
      <c r="AA672">
        <v>9</v>
      </c>
      <c r="AB672">
        <v>9</v>
      </c>
      <c r="AC672" t="s">
        <v>310</v>
      </c>
      <c r="AD672">
        <v>9</v>
      </c>
      <c r="AE672" t="s">
        <v>1414</v>
      </c>
      <c r="AF672">
        <v>70000000</v>
      </c>
      <c r="AG672" t="s">
        <v>310</v>
      </c>
      <c r="AH672">
        <f>SUM((MID(Dyno_Data[[#This Row],[Team]],4,5))+(Dyno_Data[[#This Row],[Match]]/100))</f>
        <v>5590.11</v>
      </c>
      <c r="AI672" s="76">
        <f>ROUND(SUM(IF(Dyno_Data[[#This Row],[AcqCenter]]&gt;0,Dyno_Data[[#This Row],[Time]]-SUMIFS(Dyno_Data[Time],Dyno_Data[Team],Dyno_Data[[#This Row],[Team]],Dyno_Data[RecordType],"StartMatch",Dyno_Data[Match],Dyno_Data[[#This Row],[Match]]),0)*86400),0)</f>
        <v>0</v>
      </c>
    </row>
    <row r="673" spans="1:35" x14ac:dyDescent="0.3">
      <c r="A673">
        <v>672</v>
      </c>
      <c r="B673" t="s">
        <v>1303</v>
      </c>
      <c r="C673">
        <v>11</v>
      </c>
      <c r="D673" s="105">
        <v>45373.438220914351</v>
      </c>
      <c r="E673" t="s">
        <v>312</v>
      </c>
      <c r="F673" t="s">
        <v>1402</v>
      </c>
      <c r="G673">
        <v>0</v>
      </c>
      <c r="H673" t="s">
        <v>315</v>
      </c>
      <c r="I673">
        <v>0</v>
      </c>
      <c r="J673">
        <v>0</v>
      </c>
      <c r="K673">
        <v>0</v>
      </c>
      <c r="L673" t="s">
        <v>241</v>
      </c>
      <c r="M673" t="s">
        <v>1398</v>
      </c>
      <c r="N673">
        <v>0</v>
      </c>
      <c r="O673" t="s">
        <v>311</v>
      </c>
      <c r="P673" t="s">
        <v>310</v>
      </c>
      <c r="Q673" t="s">
        <v>310</v>
      </c>
      <c r="R673" t="s">
        <v>310</v>
      </c>
      <c r="S673">
        <v>9</v>
      </c>
      <c r="T673" t="s">
        <v>310</v>
      </c>
      <c r="U673">
        <v>9</v>
      </c>
      <c r="V673">
        <v>9</v>
      </c>
      <c r="W673">
        <v>0</v>
      </c>
      <c r="X673">
        <v>0</v>
      </c>
      <c r="Y673">
        <v>0</v>
      </c>
      <c r="Z673">
        <v>0</v>
      </c>
      <c r="AA673">
        <v>9</v>
      </c>
      <c r="AB673">
        <v>9</v>
      </c>
      <c r="AC673" t="s">
        <v>310</v>
      </c>
      <c r="AD673">
        <v>9</v>
      </c>
      <c r="AE673" t="s">
        <v>1388</v>
      </c>
      <c r="AF673">
        <v>90001000</v>
      </c>
      <c r="AG673" t="s">
        <v>310</v>
      </c>
      <c r="AH673">
        <f>SUM((MID(Dyno_Data[[#This Row],[Team]],4,5))+(Dyno_Data[[#This Row],[Match]]/100))</f>
        <v>7605.11</v>
      </c>
      <c r="AI673" s="76">
        <f>ROUND(SUM(IF(Dyno_Data[[#This Row],[AcqCenter]]&gt;0,Dyno_Data[[#This Row],[Time]]-SUMIFS(Dyno_Data[Time],Dyno_Data[Team],Dyno_Data[[#This Row],[Team]],Dyno_Data[RecordType],"StartMatch",Dyno_Data[Match],Dyno_Data[[#This Row],[Match]]),0)*86400),0)</f>
        <v>0</v>
      </c>
    </row>
    <row r="674" spans="1:35" x14ac:dyDescent="0.3">
      <c r="A674">
        <v>673</v>
      </c>
      <c r="B674" t="s">
        <v>1291</v>
      </c>
      <c r="C674">
        <v>11</v>
      </c>
      <c r="D674" s="105">
        <v>45373.43824560185</v>
      </c>
      <c r="E674" t="s">
        <v>312</v>
      </c>
      <c r="F674" t="s">
        <v>1402</v>
      </c>
      <c r="G674">
        <v>0</v>
      </c>
      <c r="H674" t="s">
        <v>315</v>
      </c>
      <c r="I674">
        <v>0</v>
      </c>
      <c r="J674">
        <v>0</v>
      </c>
      <c r="K674">
        <v>0</v>
      </c>
      <c r="L674" t="s">
        <v>240</v>
      </c>
      <c r="M674" t="s">
        <v>1398</v>
      </c>
      <c r="N674">
        <v>0</v>
      </c>
      <c r="O674" t="s">
        <v>1395</v>
      </c>
      <c r="P674" t="s">
        <v>310</v>
      </c>
      <c r="Q674" t="s">
        <v>310</v>
      </c>
      <c r="R674" t="s">
        <v>310</v>
      </c>
      <c r="S674">
        <v>9</v>
      </c>
      <c r="T674" t="s">
        <v>310</v>
      </c>
      <c r="U674">
        <v>9</v>
      </c>
      <c r="V674">
        <v>9</v>
      </c>
      <c r="W674">
        <v>0</v>
      </c>
      <c r="X674">
        <v>0</v>
      </c>
      <c r="Y674">
        <v>0</v>
      </c>
      <c r="Z674">
        <v>0</v>
      </c>
      <c r="AA674">
        <v>9</v>
      </c>
      <c r="AB674">
        <v>9</v>
      </c>
      <c r="AC674" t="s">
        <v>310</v>
      </c>
      <c r="AD674">
        <v>9</v>
      </c>
      <c r="AE674" t="s">
        <v>1413</v>
      </c>
      <c r="AF674">
        <v>80100000</v>
      </c>
      <c r="AG674" t="s">
        <v>310</v>
      </c>
      <c r="AH674">
        <f>SUM((MID(Dyno_Data[[#This Row],[Team]],4,5))+(Dyno_Data[[#This Row],[Match]]/100))</f>
        <v>1493.11</v>
      </c>
      <c r="AI674" s="76">
        <f>ROUND(SUM(IF(Dyno_Data[[#This Row],[AcqCenter]]&gt;0,Dyno_Data[[#This Row],[Time]]-SUMIFS(Dyno_Data[Time],Dyno_Data[Team],Dyno_Data[[#This Row],[Team]],Dyno_Data[RecordType],"StartMatch",Dyno_Data[Match],Dyno_Data[[#This Row],[Match]]),0)*86400),0)</f>
        <v>0</v>
      </c>
    </row>
    <row r="675" spans="1:35" x14ac:dyDescent="0.3">
      <c r="A675">
        <v>674</v>
      </c>
      <c r="B675" t="s">
        <v>1303</v>
      </c>
      <c r="C675">
        <v>11</v>
      </c>
      <c r="D675" s="105">
        <v>45373.438389583331</v>
      </c>
      <c r="E675" t="s">
        <v>312</v>
      </c>
      <c r="F675" t="s">
        <v>1402</v>
      </c>
      <c r="G675">
        <v>0</v>
      </c>
      <c r="H675" t="s">
        <v>315</v>
      </c>
      <c r="I675">
        <v>0</v>
      </c>
      <c r="J675">
        <v>0</v>
      </c>
      <c r="K675">
        <v>0</v>
      </c>
      <c r="L675" t="s">
        <v>241</v>
      </c>
      <c r="M675" t="s">
        <v>1398</v>
      </c>
      <c r="N675">
        <v>0</v>
      </c>
      <c r="O675" t="s">
        <v>311</v>
      </c>
      <c r="P675" t="s">
        <v>310</v>
      </c>
      <c r="Q675" t="s">
        <v>310</v>
      </c>
      <c r="R675" t="s">
        <v>310</v>
      </c>
      <c r="S675">
        <v>9</v>
      </c>
      <c r="T675" t="s">
        <v>310</v>
      </c>
      <c r="U675">
        <v>9</v>
      </c>
      <c r="V675">
        <v>9</v>
      </c>
      <c r="W675">
        <v>0</v>
      </c>
      <c r="X675">
        <v>0</v>
      </c>
      <c r="Y675">
        <v>0</v>
      </c>
      <c r="Z675">
        <v>0</v>
      </c>
      <c r="AA675">
        <v>9</v>
      </c>
      <c r="AB675">
        <v>9</v>
      </c>
      <c r="AC675" t="s">
        <v>310</v>
      </c>
      <c r="AD675">
        <v>9</v>
      </c>
      <c r="AE675" t="s">
        <v>1388</v>
      </c>
      <c r="AF675">
        <v>100001000</v>
      </c>
      <c r="AG675" t="s">
        <v>310</v>
      </c>
      <c r="AH675">
        <f>SUM((MID(Dyno_Data[[#This Row],[Team]],4,5))+(Dyno_Data[[#This Row],[Match]]/100))</f>
        <v>7605.11</v>
      </c>
      <c r="AI675" s="76">
        <f>ROUND(SUM(IF(Dyno_Data[[#This Row],[AcqCenter]]&gt;0,Dyno_Data[[#This Row],[Time]]-SUMIFS(Dyno_Data[Time],Dyno_Data[Team],Dyno_Data[[#This Row],[Team]],Dyno_Data[RecordType],"StartMatch",Dyno_Data[Match],Dyno_Data[[#This Row],[Match]]),0)*86400),0)</f>
        <v>0</v>
      </c>
    </row>
    <row r="676" spans="1:35" x14ac:dyDescent="0.3">
      <c r="A676">
        <v>675</v>
      </c>
      <c r="B676" t="s">
        <v>1275</v>
      </c>
      <c r="C676">
        <v>11</v>
      </c>
      <c r="D676" s="105">
        <v>45373.438404363427</v>
      </c>
      <c r="E676" t="s">
        <v>312</v>
      </c>
      <c r="F676" t="s">
        <v>1402</v>
      </c>
      <c r="G676">
        <v>0</v>
      </c>
      <c r="H676" t="s">
        <v>315</v>
      </c>
      <c r="I676">
        <v>0</v>
      </c>
      <c r="J676">
        <v>0</v>
      </c>
      <c r="K676">
        <v>0</v>
      </c>
      <c r="L676" t="s">
        <v>241</v>
      </c>
      <c r="M676" t="s">
        <v>1398</v>
      </c>
      <c r="N676">
        <v>0</v>
      </c>
      <c r="O676" t="s">
        <v>1393</v>
      </c>
      <c r="P676" t="s">
        <v>310</v>
      </c>
      <c r="Q676" t="s">
        <v>310</v>
      </c>
      <c r="R676" t="s">
        <v>310</v>
      </c>
      <c r="S676">
        <v>9</v>
      </c>
      <c r="T676" t="s">
        <v>310</v>
      </c>
      <c r="U676">
        <v>9</v>
      </c>
      <c r="V676">
        <v>9</v>
      </c>
      <c r="W676">
        <v>0</v>
      </c>
      <c r="X676">
        <v>0</v>
      </c>
      <c r="Y676">
        <v>0</v>
      </c>
      <c r="Z676">
        <v>0</v>
      </c>
      <c r="AA676">
        <v>9</v>
      </c>
      <c r="AB676">
        <v>9</v>
      </c>
      <c r="AC676" t="s">
        <v>310</v>
      </c>
      <c r="AD676">
        <v>9</v>
      </c>
      <c r="AE676" t="s">
        <v>1412</v>
      </c>
      <c r="AF676">
        <v>50000000</v>
      </c>
      <c r="AG676" t="s">
        <v>310</v>
      </c>
      <c r="AH676">
        <f>SUM((MID(Dyno_Data[[#This Row],[Team]],4,5))+(Dyno_Data[[#This Row],[Match]]/100))</f>
        <v>1880.11</v>
      </c>
      <c r="AI676" s="76">
        <f>ROUND(SUM(IF(Dyno_Data[[#This Row],[AcqCenter]]&gt;0,Dyno_Data[[#This Row],[Time]]-SUMIFS(Dyno_Data[Time],Dyno_Data[Team],Dyno_Data[[#This Row],[Team]],Dyno_Data[RecordType],"StartMatch",Dyno_Data[Match],Dyno_Data[[#This Row],[Match]]),0)*86400),0)</f>
        <v>0</v>
      </c>
    </row>
    <row r="677" spans="1:35" x14ac:dyDescent="0.3">
      <c r="A677">
        <v>676</v>
      </c>
      <c r="B677" t="s">
        <v>1291</v>
      </c>
      <c r="C677">
        <v>11</v>
      </c>
      <c r="D677" s="105">
        <v>45373.438423113425</v>
      </c>
      <c r="E677" t="s">
        <v>312</v>
      </c>
      <c r="F677" t="s">
        <v>1402</v>
      </c>
      <c r="G677">
        <v>0</v>
      </c>
      <c r="H677" t="s">
        <v>315</v>
      </c>
      <c r="I677">
        <v>0</v>
      </c>
      <c r="J677">
        <v>0</v>
      </c>
      <c r="K677">
        <v>0</v>
      </c>
      <c r="L677" t="s">
        <v>241</v>
      </c>
      <c r="M677" t="s">
        <v>1398</v>
      </c>
      <c r="N677">
        <v>0</v>
      </c>
      <c r="O677" t="s">
        <v>1395</v>
      </c>
      <c r="P677" t="s">
        <v>310</v>
      </c>
      <c r="Q677" t="s">
        <v>310</v>
      </c>
      <c r="R677" t="s">
        <v>310</v>
      </c>
      <c r="S677">
        <v>9</v>
      </c>
      <c r="T677" t="s">
        <v>310</v>
      </c>
      <c r="U677">
        <v>9</v>
      </c>
      <c r="V677">
        <v>9</v>
      </c>
      <c r="W677">
        <v>0</v>
      </c>
      <c r="X677">
        <v>0</v>
      </c>
      <c r="Y677">
        <v>0</v>
      </c>
      <c r="Z677">
        <v>0</v>
      </c>
      <c r="AA677">
        <v>9</v>
      </c>
      <c r="AB677">
        <v>9</v>
      </c>
      <c r="AC677" t="s">
        <v>310</v>
      </c>
      <c r="AD677">
        <v>9</v>
      </c>
      <c r="AE677" t="s">
        <v>1413</v>
      </c>
      <c r="AF677">
        <v>90100000</v>
      </c>
      <c r="AG677" t="s">
        <v>310</v>
      </c>
      <c r="AH677">
        <f>SUM((MID(Dyno_Data[[#This Row],[Team]],4,5))+(Dyno_Data[[#This Row],[Match]]/100))</f>
        <v>1493.11</v>
      </c>
      <c r="AI677" s="76">
        <f>ROUND(SUM(IF(Dyno_Data[[#This Row],[AcqCenter]]&gt;0,Dyno_Data[[#This Row],[Time]]-SUMIFS(Dyno_Data[Time],Dyno_Data[Team],Dyno_Data[[#This Row],[Team]],Dyno_Data[RecordType],"StartMatch",Dyno_Data[Match],Dyno_Data[[#This Row],[Match]]),0)*86400),0)</f>
        <v>0</v>
      </c>
    </row>
    <row r="678" spans="1:35" x14ac:dyDescent="0.3">
      <c r="A678">
        <v>677</v>
      </c>
      <c r="B678" t="s">
        <v>1303</v>
      </c>
      <c r="C678">
        <v>11</v>
      </c>
      <c r="D678" s="105">
        <v>45373.438514965281</v>
      </c>
      <c r="E678" t="s">
        <v>312</v>
      </c>
      <c r="F678" t="s">
        <v>1402</v>
      </c>
      <c r="G678">
        <v>0</v>
      </c>
      <c r="H678" t="s">
        <v>315</v>
      </c>
      <c r="I678">
        <v>0</v>
      </c>
      <c r="J678">
        <v>0</v>
      </c>
      <c r="K678">
        <v>0</v>
      </c>
      <c r="L678" t="s">
        <v>241</v>
      </c>
      <c r="M678" t="s">
        <v>1398</v>
      </c>
      <c r="N678">
        <v>0</v>
      </c>
      <c r="O678" t="s">
        <v>311</v>
      </c>
      <c r="P678" t="s">
        <v>310</v>
      </c>
      <c r="Q678" t="s">
        <v>310</v>
      </c>
      <c r="R678" t="s">
        <v>310</v>
      </c>
      <c r="S678">
        <v>9</v>
      </c>
      <c r="T678" t="s">
        <v>310</v>
      </c>
      <c r="U678">
        <v>9</v>
      </c>
      <c r="V678">
        <v>9</v>
      </c>
      <c r="W678">
        <v>0</v>
      </c>
      <c r="X678">
        <v>0</v>
      </c>
      <c r="Y678">
        <v>0</v>
      </c>
      <c r="Z678">
        <v>0</v>
      </c>
      <c r="AA678">
        <v>9</v>
      </c>
      <c r="AB678">
        <v>9</v>
      </c>
      <c r="AC678" t="s">
        <v>310</v>
      </c>
      <c r="AD678">
        <v>9</v>
      </c>
      <c r="AE678" t="s">
        <v>1388</v>
      </c>
      <c r="AF678">
        <v>110001000</v>
      </c>
      <c r="AG678" t="s">
        <v>310</v>
      </c>
      <c r="AH678">
        <f>SUM((MID(Dyno_Data[[#This Row],[Team]],4,5))+(Dyno_Data[[#This Row],[Match]]/100))</f>
        <v>7605.11</v>
      </c>
      <c r="AI678" s="76">
        <f>ROUND(SUM(IF(Dyno_Data[[#This Row],[AcqCenter]]&gt;0,Dyno_Data[[#This Row],[Time]]-SUMIFS(Dyno_Data[Time],Dyno_Data[Team],Dyno_Data[[#This Row],[Team]],Dyno_Data[RecordType],"StartMatch",Dyno_Data[Match],Dyno_Data[[#This Row],[Match]]),0)*86400),0)</f>
        <v>0</v>
      </c>
    </row>
    <row r="679" spans="1:35" x14ac:dyDescent="0.3">
      <c r="A679">
        <v>678</v>
      </c>
      <c r="B679" t="s">
        <v>1291</v>
      </c>
      <c r="C679">
        <v>11</v>
      </c>
      <c r="D679" s="105">
        <v>45373.438519247684</v>
      </c>
      <c r="E679" t="s">
        <v>312</v>
      </c>
      <c r="F679" t="s">
        <v>1402</v>
      </c>
      <c r="G679">
        <v>0</v>
      </c>
      <c r="H679" t="s">
        <v>315</v>
      </c>
      <c r="I679">
        <v>0</v>
      </c>
      <c r="J679">
        <v>0</v>
      </c>
      <c r="K679">
        <v>0</v>
      </c>
      <c r="L679" t="s">
        <v>241</v>
      </c>
      <c r="M679" t="s">
        <v>1398</v>
      </c>
      <c r="N679">
        <v>0</v>
      </c>
      <c r="O679" t="s">
        <v>1395</v>
      </c>
      <c r="P679" t="s">
        <v>310</v>
      </c>
      <c r="Q679" t="s">
        <v>310</v>
      </c>
      <c r="R679" t="s">
        <v>310</v>
      </c>
      <c r="S679">
        <v>9</v>
      </c>
      <c r="T679" t="s">
        <v>310</v>
      </c>
      <c r="U679">
        <v>9</v>
      </c>
      <c r="V679">
        <v>9</v>
      </c>
      <c r="W679">
        <v>0</v>
      </c>
      <c r="X679">
        <v>0</v>
      </c>
      <c r="Y679">
        <v>0</v>
      </c>
      <c r="Z679">
        <v>0</v>
      </c>
      <c r="AA679">
        <v>9</v>
      </c>
      <c r="AB679">
        <v>9</v>
      </c>
      <c r="AC679" t="s">
        <v>310</v>
      </c>
      <c r="AD679">
        <v>9</v>
      </c>
      <c r="AE679" t="s">
        <v>1413</v>
      </c>
      <c r="AF679">
        <v>100100000</v>
      </c>
      <c r="AG679" t="s">
        <v>310</v>
      </c>
      <c r="AH679">
        <f>SUM((MID(Dyno_Data[[#This Row],[Team]],4,5))+(Dyno_Data[[#This Row],[Match]]/100))</f>
        <v>1493.11</v>
      </c>
      <c r="AI679" s="76">
        <f>ROUND(SUM(IF(Dyno_Data[[#This Row],[AcqCenter]]&gt;0,Dyno_Data[[#This Row],[Time]]-SUMIFS(Dyno_Data[Time],Dyno_Data[Team],Dyno_Data[[#This Row],[Team]],Dyno_Data[RecordType],"StartMatch",Dyno_Data[Match],Dyno_Data[[#This Row],[Match]]),0)*86400),0)</f>
        <v>0</v>
      </c>
    </row>
    <row r="680" spans="1:35" x14ac:dyDescent="0.3">
      <c r="A680">
        <v>679</v>
      </c>
      <c r="B680" t="s">
        <v>1303</v>
      </c>
      <c r="C680">
        <v>11</v>
      </c>
      <c r="D680" s="105">
        <v>45373.439366782404</v>
      </c>
      <c r="E680" t="s">
        <v>316</v>
      </c>
      <c r="F680" t="s">
        <v>317</v>
      </c>
      <c r="G680">
        <v>1</v>
      </c>
      <c r="H680" t="s">
        <v>310</v>
      </c>
      <c r="I680">
        <v>0</v>
      </c>
      <c r="J680">
        <v>0</v>
      </c>
      <c r="K680">
        <v>0</v>
      </c>
      <c r="L680" t="s">
        <v>310</v>
      </c>
      <c r="M680" t="s">
        <v>310</v>
      </c>
      <c r="N680">
        <v>0</v>
      </c>
      <c r="O680" t="s">
        <v>311</v>
      </c>
      <c r="P680" t="s">
        <v>240</v>
      </c>
      <c r="Q680" t="s">
        <v>1400</v>
      </c>
      <c r="R680" t="s">
        <v>321</v>
      </c>
      <c r="S680">
        <v>0</v>
      </c>
      <c r="T680" t="s">
        <v>105</v>
      </c>
      <c r="U680">
        <v>9</v>
      </c>
      <c r="V680">
        <v>9</v>
      </c>
      <c r="W680">
        <v>0</v>
      </c>
      <c r="X680">
        <v>25.631266799999999</v>
      </c>
      <c r="Y680">
        <v>22.7812077</v>
      </c>
      <c r="Z680">
        <v>86.673045500000001</v>
      </c>
      <c r="AA680">
        <v>0</v>
      </c>
      <c r="AB680">
        <v>1</v>
      </c>
      <c r="AC680" t="s">
        <v>174</v>
      </c>
      <c r="AD680">
        <v>9</v>
      </c>
      <c r="AE680" t="s">
        <v>1388</v>
      </c>
      <c r="AF680">
        <v>110001000</v>
      </c>
      <c r="AG680" t="s">
        <v>310</v>
      </c>
      <c r="AH680">
        <f>SUM((MID(Dyno_Data[[#This Row],[Team]],4,5))+(Dyno_Data[[#This Row],[Match]]/100))</f>
        <v>7605.11</v>
      </c>
      <c r="AI680" s="76">
        <f>ROUND(SUM(IF(Dyno_Data[[#This Row],[AcqCenter]]&gt;0,Dyno_Data[[#This Row],[Time]]-SUMIFS(Dyno_Data[Time],Dyno_Data[Team],Dyno_Data[[#This Row],[Team]],Dyno_Data[RecordType],"StartMatch",Dyno_Data[Match],Dyno_Data[[#This Row],[Match]]),0)*86400),0)</f>
        <v>0</v>
      </c>
    </row>
    <row r="681" spans="1:35" x14ac:dyDescent="0.3">
      <c r="A681">
        <v>680</v>
      </c>
      <c r="B681" t="s">
        <v>1285</v>
      </c>
      <c r="C681">
        <v>11</v>
      </c>
      <c r="D681" s="105">
        <v>45373.43936689815</v>
      </c>
      <c r="E681" t="s">
        <v>316</v>
      </c>
      <c r="F681" t="s">
        <v>317</v>
      </c>
      <c r="G681">
        <v>0</v>
      </c>
      <c r="H681" t="s">
        <v>310</v>
      </c>
      <c r="I681">
        <v>0</v>
      </c>
      <c r="J681">
        <v>0</v>
      </c>
      <c r="K681">
        <v>0</v>
      </c>
      <c r="L681" t="s">
        <v>310</v>
      </c>
      <c r="M681" t="s">
        <v>310</v>
      </c>
      <c r="N681">
        <v>0</v>
      </c>
      <c r="O681" t="s">
        <v>1391</v>
      </c>
      <c r="P681" t="s">
        <v>101</v>
      </c>
      <c r="Q681" t="s">
        <v>1399</v>
      </c>
      <c r="R681" t="s">
        <v>1404</v>
      </c>
      <c r="S681">
        <v>0</v>
      </c>
      <c r="T681" t="s">
        <v>105</v>
      </c>
      <c r="U681">
        <v>9</v>
      </c>
      <c r="V681">
        <v>9</v>
      </c>
      <c r="W681">
        <v>0</v>
      </c>
      <c r="X681">
        <v>0</v>
      </c>
      <c r="Y681">
        <v>4.4982641999999995</v>
      </c>
      <c r="Z681">
        <v>130.40401370000001</v>
      </c>
      <c r="AA681">
        <v>0</v>
      </c>
      <c r="AB681">
        <v>0</v>
      </c>
      <c r="AC681" t="s">
        <v>167</v>
      </c>
      <c r="AD681">
        <v>0</v>
      </c>
      <c r="AE681" t="s">
        <v>1396</v>
      </c>
      <c r="AF681">
        <v>0</v>
      </c>
      <c r="AG681" t="s">
        <v>310</v>
      </c>
      <c r="AH681">
        <f>SUM((MID(Dyno_Data[[#This Row],[Team]],4,5))+(Dyno_Data[[#This Row],[Match]]/100))</f>
        <v>5993.11</v>
      </c>
      <c r="AI681" s="76">
        <f>ROUND(SUM(IF(Dyno_Data[[#This Row],[AcqCenter]]&gt;0,Dyno_Data[[#This Row],[Time]]-SUMIFS(Dyno_Data[Time],Dyno_Data[Team],Dyno_Data[[#This Row],[Team]],Dyno_Data[RecordType],"StartMatch",Dyno_Data[Match],Dyno_Data[[#This Row],[Match]]),0)*86400),0)</f>
        <v>0</v>
      </c>
    </row>
    <row r="682" spans="1:35" x14ac:dyDescent="0.3">
      <c r="A682">
        <v>681</v>
      </c>
      <c r="B682" t="s">
        <v>371</v>
      </c>
      <c r="C682">
        <v>11</v>
      </c>
      <c r="D682" s="105">
        <v>45373.439367013889</v>
      </c>
      <c r="E682" t="s">
        <v>316</v>
      </c>
      <c r="F682" t="s">
        <v>317</v>
      </c>
      <c r="G682">
        <v>0</v>
      </c>
      <c r="H682" t="s">
        <v>310</v>
      </c>
      <c r="I682">
        <v>0</v>
      </c>
      <c r="J682">
        <v>0</v>
      </c>
      <c r="K682">
        <v>0</v>
      </c>
      <c r="L682" t="s">
        <v>310</v>
      </c>
      <c r="M682" t="s">
        <v>310</v>
      </c>
      <c r="N682">
        <v>0</v>
      </c>
      <c r="O682" t="s">
        <v>319</v>
      </c>
      <c r="P682" t="s">
        <v>320</v>
      </c>
      <c r="Q682" t="s">
        <v>1400</v>
      </c>
      <c r="R682" t="s">
        <v>1404</v>
      </c>
      <c r="S682">
        <v>0</v>
      </c>
      <c r="T682" t="s">
        <v>105</v>
      </c>
      <c r="U682">
        <v>9</v>
      </c>
      <c r="V682">
        <v>9</v>
      </c>
      <c r="W682">
        <v>0</v>
      </c>
      <c r="X682">
        <v>46.258275099999999</v>
      </c>
      <c r="Y682">
        <v>20.933791299999999</v>
      </c>
      <c r="Z682">
        <v>68.520442399999993</v>
      </c>
      <c r="AA682">
        <v>0</v>
      </c>
      <c r="AB682">
        <v>0</v>
      </c>
      <c r="AC682" t="s">
        <v>173</v>
      </c>
      <c r="AD682">
        <v>9</v>
      </c>
      <c r="AE682" t="s">
        <v>1390</v>
      </c>
      <c r="AF682">
        <v>20000000</v>
      </c>
      <c r="AG682" t="s">
        <v>310</v>
      </c>
      <c r="AH682">
        <f>SUM((MID(Dyno_Data[[#This Row],[Team]],4,5))+(Dyno_Data[[#This Row],[Match]]/100))</f>
        <v>6969.11</v>
      </c>
      <c r="AI682" s="76">
        <f>ROUND(SUM(IF(Dyno_Data[[#This Row],[AcqCenter]]&gt;0,Dyno_Data[[#This Row],[Time]]-SUMIFS(Dyno_Data[Time],Dyno_Data[Team],Dyno_Data[[#This Row],[Team]],Dyno_Data[RecordType],"StartMatch",Dyno_Data[Match],Dyno_Data[[#This Row],[Match]]),0)*86400),0)</f>
        <v>0</v>
      </c>
    </row>
    <row r="683" spans="1:35" x14ac:dyDescent="0.3">
      <c r="A683">
        <v>682</v>
      </c>
      <c r="B683" t="s">
        <v>1275</v>
      </c>
      <c r="C683">
        <v>11</v>
      </c>
      <c r="D683" s="105">
        <v>45373.439367094907</v>
      </c>
      <c r="E683" t="s">
        <v>316</v>
      </c>
      <c r="F683" t="s">
        <v>317</v>
      </c>
      <c r="G683">
        <v>0</v>
      </c>
      <c r="H683" t="s">
        <v>310</v>
      </c>
      <c r="I683">
        <v>0</v>
      </c>
      <c r="J683">
        <v>0</v>
      </c>
      <c r="K683">
        <v>0</v>
      </c>
      <c r="L683" t="s">
        <v>310</v>
      </c>
      <c r="M683" t="s">
        <v>310</v>
      </c>
      <c r="N683">
        <v>0</v>
      </c>
      <c r="O683" t="s">
        <v>1393</v>
      </c>
      <c r="P683" t="s">
        <v>101</v>
      </c>
      <c r="Q683" t="s">
        <v>1399</v>
      </c>
      <c r="R683" t="s">
        <v>321</v>
      </c>
      <c r="S683">
        <v>0</v>
      </c>
      <c r="T683" t="s">
        <v>105</v>
      </c>
      <c r="U683">
        <v>9</v>
      </c>
      <c r="V683">
        <v>9</v>
      </c>
      <c r="W683">
        <v>0</v>
      </c>
      <c r="X683">
        <v>58.865954099999996</v>
      </c>
      <c r="Y683">
        <v>25.8029802</v>
      </c>
      <c r="Z683">
        <v>50.539438699999998</v>
      </c>
      <c r="AA683">
        <v>0</v>
      </c>
      <c r="AB683">
        <v>1</v>
      </c>
      <c r="AC683" t="s">
        <v>174</v>
      </c>
      <c r="AD683">
        <v>0</v>
      </c>
      <c r="AE683" t="s">
        <v>1412</v>
      </c>
      <c r="AF683">
        <v>50000000</v>
      </c>
      <c r="AG683" t="s">
        <v>310</v>
      </c>
      <c r="AH683">
        <f>SUM((MID(Dyno_Data[[#This Row],[Team]],4,5))+(Dyno_Data[[#This Row],[Match]]/100))</f>
        <v>1880.11</v>
      </c>
      <c r="AI683" s="76">
        <f>ROUND(SUM(IF(Dyno_Data[[#This Row],[AcqCenter]]&gt;0,Dyno_Data[[#This Row],[Time]]-SUMIFS(Dyno_Data[Time],Dyno_Data[Team],Dyno_Data[[#This Row],[Team]],Dyno_Data[RecordType],"StartMatch",Dyno_Data[Match],Dyno_Data[[#This Row],[Match]]),0)*86400),0)</f>
        <v>0</v>
      </c>
    </row>
    <row r="684" spans="1:35" x14ac:dyDescent="0.3">
      <c r="A684">
        <v>683</v>
      </c>
      <c r="B684" t="s">
        <v>1284</v>
      </c>
      <c r="C684">
        <v>11</v>
      </c>
      <c r="D684" s="105">
        <v>45373.439367210645</v>
      </c>
      <c r="E684" t="s">
        <v>316</v>
      </c>
      <c r="F684" t="s">
        <v>317</v>
      </c>
      <c r="G684">
        <v>1</v>
      </c>
      <c r="H684" t="s">
        <v>310</v>
      </c>
      <c r="I684">
        <v>0</v>
      </c>
      <c r="J684">
        <v>0</v>
      </c>
      <c r="K684">
        <v>0</v>
      </c>
      <c r="L684" t="s">
        <v>310</v>
      </c>
      <c r="M684" t="s">
        <v>310</v>
      </c>
      <c r="N684">
        <v>0</v>
      </c>
      <c r="O684" t="s">
        <v>1389</v>
      </c>
      <c r="P684" t="s">
        <v>1401</v>
      </c>
      <c r="Q684" t="s">
        <v>1400</v>
      </c>
      <c r="R684" t="s">
        <v>321</v>
      </c>
      <c r="S684">
        <v>0</v>
      </c>
      <c r="T684" t="s">
        <v>105</v>
      </c>
      <c r="U684">
        <v>9</v>
      </c>
      <c r="V684">
        <v>9</v>
      </c>
      <c r="W684">
        <v>0</v>
      </c>
      <c r="X684">
        <v>36.135688099999996</v>
      </c>
      <c r="Y684">
        <v>26.909991899999998</v>
      </c>
      <c r="Z684">
        <v>71.855783099999996</v>
      </c>
      <c r="AA684">
        <v>0</v>
      </c>
      <c r="AB684">
        <v>1</v>
      </c>
      <c r="AC684" t="s">
        <v>174</v>
      </c>
      <c r="AD684">
        <v>9</v>
      </c>
      <c r="AE684" t="s">
        <v>1414</v>
      </c>
      <c r="AF684">
        <v>70000000</v>
      </c>
      <c r="AG684" t="s">
        <v>310</v>
      </c>
      <c r="AH684">
        <f>SUM((MID(Dyno_Data[[#This Row],[Team]],4,5))+(Dyno_Data[[#This Row],[Match]]/100))</f>
        <v>5590.11</v>
      </c>
      <c r="AI684" s="76">
        <f>ROUND(SUM(IF(Dyno_Data[[#This Row],[AcqCenter]]&gt;0,Dyno_Data[[#This Row],[Time]]-SUMIFS(Dyno_Data[Time],Dyno_Data[Team],Dyno_Data[[#This Row],[Team]],Dyno_Data[RecordType],"StartMatch",Dyno_Data[Match],Dyno_Data[[#This Row],[Match]]),0)*86400),0)</f>
        <v>0</v>
      </c>
    </row>
    <row r="685" spans="1:35" x14ac:dyDescent="0.3">
      <c r="A685">
        <v>684</v>
      </c>
      <c r="B685" t="s">
        <v>1291</v>
      </c>
      <c r="C685">
        <v>11</v>
      </c>
      <c r="D685" s="105">
        <v>45373.439367326391</v>
      </c>
      <c r="E685" t="s">
        <v>316</v>
      </c>
      <c r="F685" t="s">
        <v>317</v>
      </c>
      <c r="G685">
        <v>1</v>
      </c>
      <c r="H685" t="s">
        <v>310</v>
      </c>
      <c r="I685">
        <v>0</v>
      </c>
      <c r="J685">
        <v>0</v>
      </c>
      <c r="K685">
        <v>0</v>
      </c>
      <c r="L685" t="s">
        <v>310</v>
      </c>
      <c r="M685" t="s">
        <v>310</v>
      </c>
      <c r="N685">
        <v>0</v>
      </c>
      <c r="O685" t="s">
        <v>1395</v>
      </c>
      <c r="P685" t="s">
        <v>240</v>
      </c>
      <c r="Q685" t="s">
        <v>1400</v>
      </c>
      <c r="R685" t="s">
        <v>1404</v>
      </c>
      <c r="S685">
        <v>0</v>
      </c>
      <c r="T685" t="s">
        <v>105</v>
      </c>
      <c r="U685">
        <v>9</v>
      </c>
      <c r="V685">
        <v>9</v>
      </c>
      <c r="W685">
        <v>0</v>
      </c>
      <c r="X685">
        <v>21.383288799999999</v>
      </c>
      <c r="Y685">
        <v>22.057094199999998</v>
      </c>
      <c r="Z685">
        <v>94.835279999999997</v>
      </c>
      <c r="AA685">
        <v>0</v>
      </c>
      <c r="AB685">
        <v>0</v>
      </c>
      <c r="AC685" t="s">
        <v>174</v>
      </c>
      <c r="AD685">
        <v>9</v>
      </c>
      <c r="AE685" t="s">
        <v>1413</v>
      </c>
      <c r="AF685">
        <v>100100000</v>
      </c>
      <c r="AG685" t="s">
        <v>310</v>
      </c>
      <c r="AH685">
        <f>SUM((MID(Dyno_Data[[#This Row],[Team]],4,5))+(Dyno_Data[[#This Row],[Match]]/100))</f>
        <v>1493.11</v>
      </c>
      <c r="AI685" s="76">
        <f>ROUND(SUM(IF(Dyno_Data[[#This Row],[AcqCenter]]&gt;0,Dyno_Data[[#This Row],[Time]]-SUMIFS(Dyno_Data[Time],Dyno_Data[Team],Dyno_Data[[#This Row],[Team]],Dyno_Data[RecordType],"StartMatch",Dyno_Data[Match],Dyno_Data[[#This Row],[Match]]),0)*86400),0)</f>
        <v>0</v>
      </c>
    </row>
    <row r="686" spans="1:35" x14ac:dyDescent="0.3">
      <c r="A686">
        <v>695</v>
      </c>
      <c r="B686" t="s">
        <v>1305</v>
      </c>
      <c r="C686">
        <v>12</v>
      </c>
      <c r="D686" s="105">
        <v>45373.442505092593</v>
      </c>
      <c r="E686" t="s">
        <v>308</v>
      </c>
      <c r="F686" t="s">
        <v>309</v>
      </c>
      <c r="G686">
        <v>0</v>
      </c>
      <c r="H686" t="s">
        <v>310</v>
      </c>
      <c r="I686">
        <v>0</v>
      </c>
      <c r="J686">
        <v>0</v>
      </c>
      <c r="K686">
        <v>0</v>
      </c>
      <c r="L686" t="s">
        <v>310</v>
      </c>
      <c r="M686" t="s">
        <v>310</v>
      </c>
      <c r="N686">
        <v>0</v>
      </c>
      <c r="O686" t="s">
        <v>1391</v>
      </c>
      <c r="P686" t="s">
        <v>310</v>
      </c>
      <c r="Q686" t="s">
        <v>310</v>
      </c>
      <c r="R686" t="s">
        <v>310</v>
      </c>
      <c r="S686">
        <v>9</v>
      </c>
      <c r="T686" t="s">
        <v>310</v>
      </c>
      <c r="U686">
        <v>9</v>
      </c>
      <c r="V686">
        <v>9</v>
      </c>
      <c r="W686">
        <v>0</v>
      </c>
      <c r="X686">
        <v>0</v>
      </c>
      <c r="Y686">
        <v>0</v>
      </c>
      <c r="Z686">
        <v>0</v>
      </c>
      <c r="AA686">
        <v>9</v>
      </c>
      <c r="AB686">
        <v>9</v>
      </c>
      <c r="AC686" t="s">
        <v>310</v>
      </c>
      <c r="AD686">
        <v>9</v>
      </c>
      <c r="AE686" t="s">
        <v>1388</v>
      </c>
      <c r="AF686">
        <v>20001000</v>
      </c>
      <c r="AG686" t="s">
        <v>310</v>
      </c>
      <c r="AH686">
        <f>SUM((MID(Dyno_Data[[#This Row],[Team]],4,5))+(Dyno_Data[[#This Row],[Match]]/100))</f>
        <v>3173.12</v>
      </c>
      <c r="AI686" s="76">
        <f>ROUND(SUM(IF(Dyno_Data[[#This Row],[AcqCenter]]&gt;0,Dyno_Data[[#This Row],[Time]]-SUMIFS(Dyno_Data[Time],Dyno_Data[Team],Dyno_Data[[#This Row],[Team]],Dyno_Data[RecordType],"StartMatch",Dyno_Data[Match],Dyno_Data[[#This Row],[Match]]),0)*86400),0)</f>
        <v>0</v>
      </c>
    </row>
    <row r="687" spans="1:35" x14ac:dyDescent="0.3">
      <c r="A687">
        <v>697</v>
      </c>
      <c r="B687" t="s">
        <v>1292</v>
      </c>
      <c r="C687">
        <v>12</v>
      </c>
      <c r="D687" s="105">
        <v>45373.442506516207</v>
      </c>
      <c r="E687" t="s">
        <v>308</v>
      </c>
      <c r="F687" t="s">
        <v>309</v>
      </c>
      <c r="G687">
        <v>0</v>
      </c>
      <c r="H687" t="s">
        <v>310</v>
      </c>
      <c r="I687">
        <v>0</v>
      </c>
      <c r="J687">
        <v>0</v>
      </c>
      <c r="K687">
        <v>0</v>
      </c>
      <c r="L687" t="s">
        <v>310</v>
      </c>
      <c r="M687" t="s">
        <v>310</v>
      </c>
      <c r="N687">
        <v>0</v>
      </c>
      <c r="O687" t="s">
        <v>311</v>
      </c>
      <c r="P687" t="s">
        <v>310</v>
      </c>
      <c r="Q687" t="s">
        <v>310</v>
      </c>
      <c r="R687" t="s">
        <v>310</v>
      </c>
      <c r="S687">
        <v>9</v>
      </c>
      <c r="T687" t="s">
        <v>310</v>
      </c>
      <c r="U687">
        <v>9</v>
      </c>
      <c r="V687">
        <v>9</v>
      </c>
      <c r="W687">
        <v>0</v>
      </c>
      <c r="X687">
        <v>0</v>
      </c>
      <c r="Y687">
        <v>0</v>
      </c>
      <c r="Z687">
        <v>0</v>
      </c>
      <c r="AA687">
        <v>9</v>
      </c>
      <c r="AB687">
        <v>9</v>
      </c>
      <c r="AC687" t="s">
        <v>310</v>
      </c>
      <c r="AD687">
        <v>9</v>
      </c>
      <c r="AE687" t="s">
        <v>1396</v>
      </c>
      <c r="AF687">
        <v>0</v>
      </c>
      <c r="AG687" t="s">
        <v>310</v>
      </c>
      <c r="AH687">
        <f>SUM((MID(Dyno_Data[[#This Row],[Team]],4,5))+(Dyno_Data[[#This Row],[Match]]/100))</f>
        <v>7030.12</v>
      </c>
      <c r="AI687" s="76">
        <f>ROUND(SUM(IF(Dyno_Data[[#This Row],[AcqCenter]]&gt;0,Dyno_Data[[#This Row],[Time]]-SUMIFS(Dyno_Data[Time],Dyno_Data[Team],Dyno_Data[[#This Row],[Team]],Dyno_Data[RecordType],"StartMatch",Dyno_Data[Match],Dyno_Data[[#This Row],[Match]]),0)*86400),0)</f>
        <v>0</v>
      </c>
    </row>
    <row r="688" spans="1:35" x14ac:dyDescent="0.3">
      <c r="A688">
        <v>699</v>
      </c>
      <c r="B688" t="s">
        <v>1283</v>
      </c>
      <c r="C688">
        <v>12</v>
      </c>
      <c r="D688" s="105">
        <v>45373.442508715278</v>
      </c>
      <c r="E688" t="s">
        <v>308</v>
      </c>
      <c r="F688" t="s">
        <v>309</v>
      </c>
      <c r="G688">
        <v>0</v>
      </c>
      <c r="H688" t="s">
        <v>310</v>
      </c>
      <c r="I688">
        <v>0</v>
      </c>
      <c r="J688">
        <v>0</v>
      </c>
      <c r="K688">
        <v>0</v>
      </c>
      <c r="L688" t="s">
        <v>310</v>
      </c>
      <c r="M688" t="s">
        <v>310</v>
      </c>
      <c r="N688">
        <v>0</v>
      </c>
      <c r="O688" t="s">
        <v>1395</v>
      </c>
      <c r="P688" t="s">
        <v>310</v>
      </c>
      <c r="Q688" t="s">
        <v>310</v>
      </c>
      <c r="R688" t="s">
        <v>310</v>
      </c>
      <c r="S688">
        <v>9</v>
      </c>
      <c r="T688" t="s">
        <v>310</v>
      </c>
      <c r="U688">
        <v>9</v>
      </c>
      <c r="V688">
        <v>9</v>
      </c>
      <c r="W688">
        <v>0</v>
      </c>
      <c r="X688">
        <v>0</v>
      </c>
      <c r="Y688">
        <v>0</v>
      </c>
      <c r="Z688">
        <v>0</v>
      </c>
      <c r="AA688">
        <v>9</v>
      </c>
      <c r="AB688">
        <v>9</v>
      </c>
      <c r="AC688" t="s">
        <v>310</v>
      </c>
      <c r="AD688">
        <v>9</v>
      </c>
      <c r="AE688" t="s">
        <v>1413</v>
      </c>
      <c r="AF688">
        <v>0</v>
      </c>
      <c r="AG688" t="s">
        <v>310</v>
      </c>
      <c r="AH688">
        <f>SUM((MID(Dyno_Data[[#This Row],[Team]],4,5))+(Dyno_Data[[#This Row],[Match]]/100))</f>
        <v>1601.12</v>
      </c>
      <c r="AI688" s="76">
        <f>ROUND(SUM(IF(Dyno_Data[[#This Row],[AcqCenter]]&gt;0,Dyno_Data[[#This Row],[Time]]-SUMIFS(Dyno_Data[Time],Dyno_Data[Team],Dyno_Data[[#This Row],[Team]],Dyno_Data[RecordType],"StartMatch",Dyno_Data[Match],Dyno_Data[[#This Row],[Match]]),0)*86400),0)</f>
        <v>0</v>
      </c>
    </row>
    <row r="689" spans="1:35" x14ac:dyDescent="0.3">
      <c r="A689">
        <v>701</v>
      </c>
      <c r="B689" t="s">
        <v>365</v>
      </c>
      <c r="C689">
        <v>12</v>
      </c>
      <c r="D689" s="105">
        <v>45373.442509409724</v>
      </c>
      <c r="E689" t="s">
        <v>308</v>
      </c>
      <c r="F689" t="s">
        <v>309</v>
      </c>
      <c r="G689">
        <v>0</v>
      </c>
      <c r="H689" t="s">
        <v>310</v>
      </c>
      <c r="I689">
        <v>0</v>
      </c>
      <c r="J689">
        <v>0</v>
      </c>
      <c r="K689">
        <v>0</v>
      </c>
      <c r="L689" t="s">
        <v>310</v>
      </c>
      <c r="M689" t="s">
        <v>310</v>
      </c>
      <c r="N689">
        <v>0</v>
      </c>
      <c r="O689" t="s">
        <v>319</v>
      </c>
      <c r="P689" t="s">
        <v>310</v>
      </c>
      <c r="Q689" t="s">
        <v>310</v>
      </c>
      <c r="R689" t="s">
        <v>310</v>
      </c>
      <c r="S689">
        <v>9</v>
      </c>
      <c r="T689" t="s">
        <v>310</v>
      </c>
      <c r="U689">
        <v>9</v>
      </c>
      <c r="V689">
        <v>9</v>
      </c>
      <c r="W689">
        <v>0</v>
      </c>
      <c r="X689">
        <v>0</v>
      </c>
      <c r="Y689">
        <v>0</v>
      </c>
      <c r="Z689">
        <v>0</v>
      </c>
      <c r="AA689">
        <v>9</v>
      </c>
      <c r="AB689">
        <v>9</v>
      </c>
      <c r="AC689" t="s">
        <v>310</v>
      </c>
      <c r="AD689">
        <v>9</v>
      </c>
      <c r="AE689" t="s">
        <v>1390</v>
      </c>
      <c r="AF689">
        <v>0</v>
      </c>
      <c r="AG689" t="s">
        <v>310</v>
      </c>
      <c r="AH689">
        <f>SUM((MID(Dyno_Data[[#This Row],[Team]],4,5))+(Dyno_Data[[#This Row],[Match]]/100))</f>
        <v>3171.12</v>
      </c>
      <c r="AI689" s="76">
        <f>ROUND(SUM(IF(Dyno_Data[[#This Row],[AcqCenter]]&gt;0,Dyno_Data[[#This Row],[Time]]-SUMIFS(Dyno_Data[Time],Dyno_Data[Team],Dyno_Data[[#This Row],[Team]],Dyno_Data[RecordType],"StartMatch",Dyno_Data[Match],Dyno_Data[[#This Row],[Match]]),0)*86400),0)</f>
        <v>0</v>
      </c>
    </row>
    <row r="690" spans="1:35" x14ac:dyDescent="0.3">
      <c r="A690">
        <v>703</v>
      </c>
      <c r="B690" t="s">
        <v>1300</v>
      </c>
      <c r="C690">
        <v>12</v>
      </c>
      <c r="D690" s="105">
        <v>45373.442513773145</v>
      </c>
      <c r="E690" t="s">
        <v>308</v>
      </c>
      <c r="F690" t="s">
        <v>309</v>
      </c>
      <c r="G690">
        <v>0</v>
      </c>
      <c r="H690" t="s">
        <v>310</v>
      </c>
      <c r="I690">
        <v>0</v>
      </c>
      <c r="J690">
        <v>0</v>
      </c>
      <c r="K690">
        <v>0</v>
      </c>
      <c r="L690" t="s">
        <v>310</v>
      </c>
      <c r="M690" t="s">
        <v>310</v>
      </c>
      <c r="N690">
        <v>0</v>
      </c>
      <c r="O690" t="s">
        <v>1389</v>
      </c>
      <c r="P690" t="s">
        <v>310</v>
      </c>
      <c r="Q690" t="s">
        <v>310</v>
      </c>
      <c r="R690" t="s">
        <v>310</v>
      </c>
      <c r="S690">
        <v>9</v>
      </c>
      <c r="T690" t="s">
        <v>310</v>
      </c>
      <c r="U690">
        <v>9</v>
      </c>
      <c r="V690">
        <v>9</v>
      </c>
      <c r="W690">
        <v>0</v>
      </c>
      <c r="X690">
        <v>0</v>
      </c>
      <c r="Y690">
        <v>0</v>
      </c>
      <c r="Z690">
        <v>0</v>
      </c>
      <c r="AA690">
        <v>9</v>
      </c>
      <c r="AB690">
        <v>9</v>
      </c>
      <c r="AC690" t="s">
        <v>310</v>
      </c>
      <c r="AD690">
        <v>9</v>
      </c>
      <c r="AE690" t="s">
        <v>1414</v>
      </c>
      <c r="AF690">
        <v>20000000</v>
      </c>
      <c r="AG690" t="s">
        <v>310</v>
      </c>
      <c r="AH690">
        <f>SUM((MID(Dyno_Data[[#This Row],[Team]],4,5))+(Dyno_Data[[#This Row],[Match]]/100))</f>
        <v>3044.12</v>
      </c>
      <c r="AI690" s="76">
        <f>ROUND(SUM(IF(Dyno_Data[[#This Row],[AcqCenter]]&gt;0,Dyno_Data[[#This Row],[Time]]-SUMIFS(Dyno_Data[Time],Dyno_Data[Team],Dyno_Data[[#This Row],[Team]],Dyno_Data[RecordType],"StartMatch",Dyno_Data[Match],Dyno_Data[[#This Row],[Match]]),0)*86400),0)</f>
        <v>0</v>
      </c>
    </row>
    <row r="691" spans="1:35" x14ac:dyDescent="0.3">
      <c r="A691">
        <v>685</v>
      </c>
      <c r="B691" t="s">
        <v>1305</v>
      </c>
      <c r="C691">
        <v>12</v>
      </c>
      <c r="D691" s="105">
        <v>45373.44252207176</v>
      </c>
      <c r="E691" t="s">
        <v>312</v>
      </c>
      <c r="F691" t="s">
        <v>309</v>
      </c>
      <c r="G691">
        <v>0</v>
      </c>
      <c r="H691" t="s">
        <v>1397</v>
      </c>
      <c r="I691">
        <v>0</v>
      </c>
      <c r="J691">
        <v>0</v>
      </c>
      <c r="K691">
        <v>0</v>
      </c>
      <c r="L691" t="s">
        <v>240</v>
      </c>
      <c r="M691" t="s">
        <v>1398</v>
      </c>
      <c r="N691">
        <v>0</v>
      </c>
      <c r="O691" t="s">
        <v>1391</v>
      </c>
      <c r="P691" t="s">
        <v>310</v>
      </c>
      <c r="Q691" t="s">
        <v>310</v>
      </c>
      <c r="R691" t="s">
        <v>310</v>
      </c>
      <c r="S691">
        <v>9</v>
      </c>
      <c r="T691" t="s">
        <v>310</v>
      </c>
      <c r="U691">
        <v>9</v>
      </c>
      <c r="V691">
        <v>9</v>
      </c>
      <c r="W691">
        <v>0</v>
      </c>
      <c r="X691">
        <v>0</v>
      </c>
      <c r="Y691">
        <v>0</v>
      </c>
      <c r="Z691">
        <v>0</v>
      </c>
      <c r="AA691">
        <v>9</v>
      </c>
      <c r="AB691">
        <v>9</v>
      </c>
      <c r="AC691" t="s">
        <v>310</v>
      </c>
      <c r="AD691">
        <v>9</v>
      </c>
      <c r="AE691" t="s">
        <v>1388</v>
      </c>
      <c r="AF691">
        <v>0</v>
      </c>
      <c r="AG691" t="s">
        <v>310</v>
      </c>
      <c r="AH691">
        <f>SUM((MID(Dyno_Data[[#This Row],[Team]],4,5))+(Dyno_Data[[#This Row],[Match]]/100))</f>
        <v>3173.12</v>
      </c>
      <c r="AI691" s="76">
        <f>ROUND(SUM(IF(Dyno_Data[[#This Row],[AcqCenter]]&gt;0,Dyno_Data[[#This Row],[Time]]-SUMIFS(Dyno_Data[Time],Dyno_Data[Team],Dyno_Data[[#This Row],[Team]],Dyno_Data[RecordType],"StartMatch",Dyno_Data[Match],Dyno_Data[[#This Row],[Match]]),0)*86400),0)</f>
        <v>0</v>
      </c>
    </row>
    <row r="692" spans="1:35" x14ac:dyDescent="0.3">
      <c r="A692">
        <v>686</v>
      </c>
      <c r="B692" t="s">
        <v>1300</v>
      </c>
      <c r="C692">
        <v>12</v>
      </c>
      <c r="D692" s="105">
        <v>45373.44253148148</v>
      </c>
      <c r="E692" t="s">
        <v>312</v>
      </c>
      <c r="F692" t="s">
        <v>309</v>
      </c>
      <c r="G692">
        <v>0</v>
      </c>
      <c r="H692" t="s">
        <v>1397</v>
      </c>
      <c r="I692">
        <v>0</v>
      </c>
      <c r="J692">
        <v>0</v>
      </c>
      <c r="K692">
        <v>0</v>
      </c>
      <c r="L692" t="s">
        <v>241</v>
      </c>
      <c r="M692" t="s">
        <v>1398</v>
      </c>
      <c r="N692">
        <v>0</v>
      </c>
      <c r="O692" t="s">
        <v>1389</v>
      </c>
      <c r="P692" t="s">
        <v>310</v>
      </c>
      <c r="Q692" t="s">
        <v>310</v>
      </c>
      <c r="R692" t="s">
        <v>310</v>
      </c>
      <c r="S692">
        <v>9</v>
      </c>
      <c r="T692" t="s">
        <v>310</v>
      </c>
      <c r="U692">
        <v>9</v>
      </c>
      <c r="V692">
        <v>9</v>
      </c>
      <c r="W692">
        <v>0</v>
      </c>
      <c r="X692">
        <v>0</v>
      </c>
      <c r="Y692">
        <v>0</v>
      </c>
      <c r="Z692">
        <v>0</v>
      </c>
      <c r="AA692">
        <v>9</v>
      </c>
      <c r="AB692">
        <v>9</v>
      </c>
      <c r="AC692" t="s">
        <v>310</v>
      </c>
      <c r="AD692">
        <v>9</v>
      </c>
      <c r="AE692" t="s">
        <v>1414</v>
      </c>
      <c r="AF692">
        <v>0</v>
      </c>
      <c r="AG692" t="s">
        <v>310</v>
      </c>
      <c r="AH692">
        <f>SUM((MID(Dyno_Data[[#This Row],[Team]],4,5))+(Dyno_Data[[#This Row],[Match]]/100))</f>
        <v>3044.12</v>
      </c>
      <c r="AI692" s="76">
        <f>ROUND(SUM(IF(Dyno_Data[[#This Row],[AcqCenter]]&gt;0,Dyno_Data[[#This Row],[Time]]-SUMIFS(Dyno_Data[Time],Dyno_Data[Team],Dyno_Data[[#This Row],[Team]],Dyno_Data[RecordType],"StartMatch",Dyno_Data[Match],Dyno_Data[[#This Row],[Match]]),0)*86400),0)</f>
        <v>0</v>
      </c>
    </row>
    <row r="693" spans="1:35" x14ac:dyDescent="0.3">
      <c r="A693">
        <v>687</v>
      </c>
      <c r="B693" t="s">
        <v>365</v>
      </c>
      <c r="C693">
        <v>12</v>
      </c>
      <c r="D693" s="105">
        <v>45373.442532326386</v>
      </c>
      <c r="E693" t="s">
        <v>312</v>
      </c>
      <c r="F693" t="s">
        <v>309</v>
      </c>
      <c r="G693">
        <v>0</v>
      </c>
      <c r="H693" t="s">
        <v>1397</v>
      </c>
      <c r="I693">
        <v>0</v>
      </c>
      <c r="J693">
        <v>0</v>
      </c>
      <c r="K693">
        <v>0</v>
      </c>
      <c r="L693" t="s">
        <v>241</v>
      </c>
      <c r="M693" t="s">
        <v>1398</v>
      </c>
      <c r="N693">
        <v>0</v>
      </c>
      <c r="O693" t="s">
        <v>319</v>
      </c>
      <c r="P693" t="s">
        <v>310</v>
      </c>
      <c r="Q693" t="s">
        <v>310</v>
      </c>
      <c r="R693" t="s">
        <v>310</v>
      </c>
      <c r="S693">
        <v>9</v>
      </c>
      <c r="T693" t="s">
        <v>310</v>
      </c>
      <c r="U693">
        <v>9</v>
      </c>
      <c r="V693">
        <v>9</v>
      </c>
      <c r="W693">
        <v>0</v>
      </c>
      <c r="X693">
        <v>0</v>
      </c>
      <c r="Y693">
        <v>0</v>
      </c>
      <c r="Z693">
        <v>0</v>
      </c>
      <c r="AA693">
        <v>9</v>
      </c>
      <c r="AB693">
        <v>9</v>
      </c>
      <c r="AC693" t="s">
        <v>310</v>
      </c>
      <c r="AD693">
        <v>9</v>
      </c>
      <c r="AE693" t="s">
        <v>1390</v>
      </c>
      <c r="AF693">
        <v>0</v>
      </c>
      <c r="AG693" t="s">
        <v>310</v>
      </c>
      <c r="AH693">
        <f>SUM((MID(Dyno_Data[[#This Row],[Team]],4,5))+(Dyno_Data[[#This Row],[Match]]/100))</f>
        <v>3171.12</v>
      </c>
      <c r="AI693" s="76">
        <f>ROUND(SUM(IF(Dyno_Data[[#This Row],[AcqCenter]]&gt;0,Dyno_Data[[#This Row],[Time]]-SUMIFS(Dyno_Data[Time],Dyno_Data[Team],Dyno_Data[[#This Row],[Team]],Dyno_Data[RecordType],"StartMatch",Dyno_Data[Match],Dyno_Data[[#This Row],[Match]]),0)*86400),0)</f>
        <v>0</v>
      </c>
    </row>
    <row r="694" spans="1:35" x14ac:dyDescent="0.3">
      <c r="A694">
        <v>688</v>
      </c>
      <c r="B694" t="s">
        <v>1305</v>
      </c>
      <c r="C694">
        <v>12</v>
      </c>
      <c r="D694" s="105">
        <v>45373.442548877312</v>
      </c>
      <c r="E694" t="s">
        <v>312</v>
      </c>
      <c r="F694" t="s">
        <v>309</v>
      </c>
      <c r="G694">
        <v>0</v>
      </c>
      <c r="H694" t="s">
        <v>315</v>
      </c>
      <c r="I694">
        <v>0</v>
      </c>
      <c r="J694">
        <v>0</v>
      </c>
      <c r="K694">
        <v>0</v>
      </c>
      <c r="L694" t="s">
        <v>240</v>
      </c>
      <c r="M694" t="s">
        <v>1398</v>
      </c>
      <c r="N694">
        <v>0</v>
      </c>
      <c r="O694" t="s">
        <v>1391</v>
      </c>
      <c r="P694" t="s">
        <v>310</v>
      </c>
      <c r="Q694" t="s">
        <v>310</v>
      </c>
      <c r="R694" t="s">
        <v>310</v>
      </c>
      <c r="S694">
        <v>9</v>
      </c>
      <c r="T694" t="s">
        <v>310</v>
      </c>
      <c r="U694">
        <v>9</v>
      </c>
      <c r="V694">
        <v>9</v>
      </c>
      <c r="W694">
        <v>0</v>
      </c>
      <c r="X694">
        <v>0</v>
      </c>
      <c r="Y694">
        <v>0</v>
      </c>
      <c r="Z694">
        <v>0</v>
      </c>
      <c r="AA694">
        <v>9</v>
      </c>
      <c r="AB694">
        <v>9</v>
      </c>
      <c r="AC694" t="s">
        <v>310</v>
      </c>
      <c r="AD694">
        <v>9</v>
      </c>
      <c r="AE694" t="s">
        <v>1388</v>
      </c>
      <c r="AF694">
        <v>10000000</v>
      </c>
      <c r="AG694" t="s">
        <v>310</v>
      </c>
      <c r="AH694">
        <f>SUM((MID(Dyno_Data[[#This Row],[Team]],4,5))+(Dyno_Data[[#This Row],[Match]]/100))</f>
        <v>3173.12</v>
      </c>
      <c r="AI694" s="76">
        <f>ROUND(SUM(IF(Dyno_Data[[#This Row],[AcqCenter]]&gt;0,Dyno_Data[[#This Row],[Time]]-SUMIFS(Dyno_Data[Time],Dyno_Data[Team],Dyno_Data[[#This Row],[Team]],Dyno_Data[RecordType],"StartMatch",Dyno_Data[Match],Dyno_Data[[#This Row],[Match]]),0)*86400),0)</f>
        <v>0</v>
      </c>
    </row>
    <row r="695" spans="1:35" x14ac:dyDescent="0.3">
      <c r="A695">
        <v>705</v>
      </c>
      <c r="B695" t="s">
        <v>1297</v>
      </c>
      <c r="C695">
        <v>12</v>
      </c>
      <c r="D695" s="105">
        <v>45373.44255644676</v>
      </c>
      <c r="E695" t="s">
        <v>308</v>
      </c>
      <c r="F695" t="s">
        <v>309</v>
      </c>
      <c r="G695">
        <v>0</v>
      </c>
      <c r="H695" t="s">
        <v>310</v>
      </c>
      <c r="I695">
        <v>0</v>
      </c>
      <c r="J695">
        <v>0</v>
      </c>
      <c r="K695">
        <v>0</v>
      </c>
      <c r="L695" t="s">
        <v>310</v>
      </c>
      <c r="M695" t="s">
        <v>310</v>
      </c>
      <c r="N695">
        <v>0</v>
      </c>
      <c r="O695" t="s">
        <v>1393</v>
      </c>
      <c r="P695" t="s">
        <v>310</v>
      </c>
      <c r="Q695" t="s">
        <v>310</v>
      </c>
      <c r="R695" t="s">
        <v>310</v>
      </c>
      <c r="S695">
        <v>9</v>
      </c>
      <c r="T695" t="s">
        <v>310</v>
      </c>
      <c r="U695">
        <v>9</v>
      </c>
      <c r="V695">
        <v>9</v>
      </c>
      <c r="W695">
        <v>0</v>
      </c>
      <c r="X695">
        <v>0</v>
      </c>
      <c r="Y695">
        <v>0</v>
      </c>
      <c r="Z695">
        <v>0</v>
      </c>
      <c r="AA695">
        <v>9</v>
      </c>
      <c r="AB695">
        <v>9</v>
      </c>
      <c r="AC695" t="s">
        <v>310</v>
      </c>
      <c r="AD695">
        <v>9</v>
      </c>
      <c r="AE695" t="s">
        <v>1412</v>
      </c>
      <c r="AF695">
        <v>0</v>
      </c>
      <c r="AG695" t="s">
        <v>310</v>
      </c>
      <c r="AH695">
        <f>SUM((MID(Dyno_Data[[#This Row],[Team]],4,5))+(Dyno_Data[[#This Row],[Match]]/100))</f>
        <v>9750.1200000000008</v>
      </c>
      <c r="AI695" s="76">
        <f>ROUND(SUM(IF(Dyno_Data[[#This Row],[AcqCenter]]&gt;0,Dyno_Data[[#This Row],[Time]]-SUMIFS(Dyno_Data[Time],Dyno_Data[Team],Dyno_Data[[#This Row],[Team]],Dyno_Data[RecordType],"StartMatch",Dyno_Data[Match],Dyno_Data[[#This Row],[Match]]),0)*86400),0)</f>
        <v>0</v>
      </c>
    </row>
    <row r="696" spans="1:35" x14ac:dyDescent="0.3">
      <c r="A696">
        <v>691</v>
      </c>
      <c r="B696" t="s">
        <v>1283</v>
      </c>
      <c r="C696">
        <v>12</v>
      </c>
      <c r="D696" s="105">
        <v>45373.442567048609</v>
      </c>
      <c r="E696" t="s">
        <v>312</v>
      </c>
      <c r="F696" t="s">
        <v>309</v>
      </c>
      <c r="G696">
        <v>0</v>
      </c>
      <c r="H696" t="s">
        <v>143</v>
      </c>
      <c r="I696">
        <v>2</v>
      </c>
      <c r="J696">
        <v>-1</v>
      </c>
      <c r="K696">
        <v>0</v>
      </c>
      <c r="L696" t="s">
        <v>310</v>
      </c>
      <c r="M696" t="s">
        <v>310</v>
      </c>
      <c r="N696">
        <v>0</v>
      </c>
      <c r="O696" t="s">
        <v>1395</v>
      </c>
      <c r="P696" t="s">
        <v>310</v>
      </c>
      <c r="Q696" t="s">
        <v>310</v>
      </c>
      <c r="R696" t="s">
        <v>310</v>
      </c>
      <c r="S696">
        <v>9</v>
      </c>
      <c r="T696" t="s">
        <v>310</v>
      </c>
      <c r="U696">
        <v>9</v>
      </c>
      <c r="V696">
        <v>9</v>
      </c>
      <c r="W696">
        <v>0</v>
      </c>
      <c r="X696">
        <v>0</v>
      </c>
      <c r="Y696">
        <v>0</v>
      </c>
      <c r="Z696">
        <v>0</v>
      </c>
      <c r="AA696">
        <v>9</v>
      </c>
      <c r="AB696">
        <v>9</v>
      </c>
      <c r="AC696" t="s">
        <v>310</v>
      </c>
      <c r="AD696">
        <v>9</v>
      </c>
      <c r="AE696" t="s">
        <v>1413</v>
      </c>
      <c r="AF696">
        <v>0</v>
      </c>
      <c r="AG696" t="s">
        <v>310</v>
      </c>
      <c r="AH696">
        <f>SUM((MID(Dyno_Data[[#This Row],[Team]],4,5))+(Dyno_Data[[#This Row],[Match]]/100))</f>
        <v>1601.12</v>
      </c>
      <c r="AI696" s="76">
        <f>ROUND(SUM(IF(Dyno_Data[[#This Row],[AcqCenter]]&gt;0,Dyno_Data[[#This Row],[Time]]-SUMIFS(Dyno_Data[Time],Dyno_Data[Team],Dyno_Data[[#This Row],[Team]],Dyno_Data[RecordType],"StartMatch",Dyno_Data[Match],Dyno_Data[[#This Row],[Match]]),0)*86400),0)</f>
        <v>5</v>
      </c>
    </row>
    <row r="697" spans="1:35" x14ac:dyDescent="0.3">
      <c r="A697">
        <v>689</v>
      </c>
      <c r="B697" t="s">
        <v>1305</v>
      </c>
      <c r="C697">
        <v>12</v>
      </c>
      <c r="D697" s="105">
        <v>45373.442577314818</v>
      </c>
      <c r="E697" t="s">
        <v>312</v>
      </c>
      <c r="F697" t="s">
        <v>309</v>
      </c>
      <c r="G697">
        <v>0</v>
      </c>
      <c r="H697" t="s">
        <v>143</v>
      </c>
      <c r="I697">
        <v>1</v>
      </c>
      <c r="J697">
        <v>1</v>
      </c>
      <c r="K697">
        <v>0</v>
      </c>
      <c r="L697" t="s">
        <v>310</v>
      </c>
      <c r="M697" t="s">
        <v>310</v>
      </c>
      <c r="N697">
        <v>0</v>
      </c>
      <c r="O697" t="s">
        <v>1391</v>
      </c>
      <c r="P697" t="s">
        <v>310</v>
      </c>
      <c r="Q697" t="s">
        <v>310</v>
      </c>
      <c r="R697" t="s">
        <v>310</v>
      </c>
      <c r="S697">
        <v>9</v>
      </c>
      <c r="T697" t="s">
        <v>310</v>
      </c>
      <c r="U697">
        <v>9</v>
      </c>
      <c r="V697">
        <v>9</v>
      </c>
      <c r="W697">
        <v>0</v>
      </c>
      <c r="X697">
        <v>0</v>
      </c>
      <c r="Y697">
        <v>0</v>
      </c>
      <c r="Z697">
        <v>0</v>
      </c>
      <c r="AA697">
        <v>9</v>
      </c>
      <c r="AB697">
        <v>9</v>
      </c>
      <c r="AC697" t="s">
        <v>310</v>
      </c>
      <c r="AD697">
        <v>9</v>
      </c>
      <c r="AE697" t="s">
        <v>1388</v>
      </c>
      <c r="AF697">
        <v>10001000</v>
      </c>
      <c r="AG697" t="s">
        <v>310</v>
      </c>
      <c r="AH697">
        <f>SUM((MID(Dyno_Data[[#This Row],[Team]],4,5))+(Dyno_Data[[#This Row],[Match]]/100))</f>
        <v>3173.12</v>
      </c>
      <c r="AI697" s="76">
        <f>ROUND(SUM(IF(Dyno_Data[[#This Row],[AcqCenter]]&gt;0,Dyno_Data[[#This Row],[Time]]-SUMIFS(Dyno_Data[Time],Dyno_Data[Team],Dyno_Data[[#This Row],[Team]],Dyno_Data[RecordType],"StartMatch",Dyno_Data[Match],Dyno_Data[[#This Row],[Match]]),0)*86400),0)</f>
        <v>6</v>
      </c>
    </row>
    <row r="698" spans="1:35" x14ac:dyDescent="0.3">
      <c r="A698">
        <v>690</v>
      </c>
      <c r="B698" t="s">
        <v>1305</v>
      </c>
      <c r="C698">
        <v>12</v>
      </c>
      <c r="D698" s="105">
        <v>45373.442603275464</v>
      </c>
      <c r="E698" t="s">
        <v>312</v>
      </c>
      <c r="F698" t="s">
        <v>309</v>
      </c>
      <c r="G698">
        <v>0</v>
      </c>
      <c r="H698" t="s">
        <v>143</v>
      </c>
      <c r="I698">
        <v>0</v>
      </c>
      <c r="J698">
        <v>0</v>
      </c>
      <c r="K698">
        <v>0</v>
      </c>
      <c r="L698" t="s">
        <v>241</v>
      </c>
      <c r="M698" t="s">
        <v>1398</v>
      </c>
      <c r="N698">
        <v>1</v>
      </c>
      <c r="O698" t="s">
        <v>1391</v>
      </c>
      <c r="P698" t="s">
        <v>310</v>
      </c>
      <c r="Q698" t="s">
        <v>310</v>
      </c>
      <c r="R698" t="s">
        <v>310</v>
      </c>
      <c r="S698">
        <v>9</v>
      </c>
      <c r="T698" t="s">
        <v>310</v>
      </c>
      <c r="U698">
        <v>9</v>
      </c>
      <c r="V698">
        <v>9</v>
      </c>
      <c r="W698">
        <v>0</v>
      </c>
      <c r="X698">
        <v>0</v>
      </c>
      <c r="Y698">
        <v>0</v>
      </c>
      <c r="Z698">
        <v>0</v>
      </c>
      <c r="AA698">
        <v>9</v>
      </c>
      <c r="AB698">
        <v>9</v>
      </c>
      <c r="AC698" t="s">
        <v>310</v>
      </c>
      <c r="AD698">
        <v>9</v>
      </c>
      <c r="AE698" t="s">
        <v>1388</v>
      </c>
      <c r="AF698">
        <v>10001000</v>
      </c>
      <c r="AG698" t="s">
        <v>310</v>
      </c>
      <c r="AH698">
        <f>SUM((MID(Dyno_Data[[#This Row],[Team]],4,5))+(Dyno_Data[[#This Row],[Match]]/100))</f>
        <v>3173.12</v>
      </c>
      <c r="AI698" s="76">
        <f>ROUND(SUM(IF(Dyno_Data[[#This Row],[AcqCenter]]&gt;0,Dyno_Data[[#This Row],[Time]]-SUMIFS(Dyno_Data[Time],Dyno_Data[Team],Dyno_Data[[#This Row],[Team]],Dyno_Data[RecordType],"StartMatch",Dyno_Data[Match],Dyno_Data[[#This Row],[Match]]),0)*86400),0)</f>
        <v>0</v>
      </c>
    </row>
    <row r="699" spans="1:35" x14ac:dyDescent="0.3">
      <c r="A699">
        <v>692</v>
      </c>
      <c r="B699" t="s">
        <v>1300</v>
      </c>
      <c r="C699">
        <v>12</v>
      </c>
      <c r="D699" s="105">
        <v>45373.442610532409</v>
      </c>
      <c r="E699" t="s">
        <v>312</v>
      </c>
      <c r="F699" t="s">
        <v>309</v>
      </c>
      <c r="G699">
        <v>0</v>
      </c>
      <c r="H699" t="s">
        <v>315</v>
      </c>
      <c r="I699">
        <v>0</v>
      </c>
      <c r="J699">
        <v>0</v>
      </c>
      <c r="K699">
        <v>0</v>
      </c>
      <c r="L699" t="s">
        <v>241</v>
      </c>
      <c r="M699" t="s">
        <v>1398</v>
      </c>
      <c r="N699">
        <v>0</v>
      </c>
      <c r="O699" t="s">
        <v>1389</v>
      </c>
      <c r="P699" t="s">
        <v>310</v>
      </c>
      <c r="Q699" t="s">
        <v>310</v>
      </c>
      <c r="R699" t="s">
        <v>310</v>
      </c>
      <c r="S699">
        <v>9</v>
      </c>
      <c r="T699" t="s">
        <v>310</v>
      </c>
      <c r="U699">
        <v>9</v>
      </c>
      <c r="V699">
        <v>9</v>
      </c>
      <c r="W699">
        <v>0</v>
      </c>
      <c r="X699">
        <v>0</v>
      </c>
      <c r="Y699">
        <v>0</v>
      </c>
      <c r="Z699">
        <v>0</v>
      </c>
      <c r="AA699">
        <v>9</v>
      </c>
      <c r="AB699">
        <v>9</v>
      </c>
      <c r="AC699" t="s">
        <v>310</v>
      </c>
      <c r="AD699">
        <v>9</v>
      </c>
      <c r="AE699" t="s">
        <v>1414</v>
      </c>
      <c r="AF699">
        <v>10000000</v>
      </c>
      <c r="AG699" t="s">
        <v>310</v>
      </c>
      <c r="AH699">
        <f>SUM((MID(Dyno_Data[[#This Row],[Team]],4,5))+(Dyno_Data[[#This Row],[Match]]/100))</f>
        <v>3044.12</v>
      </c>
      <c r="AI699" s="76">
        <f>ROUND(SUM(IF(Dyno_Data[[#This Row],[AcqCenter]]&gt;0,Dyno_Data[[#This Row],[Time]]-SUMIFS(Dyno_Data[Time],Dyno_Data[Team],Dyno_Data[[#This Row],[Team]],Dyno_Data[RecordType],"StartMatch",Dyno_Data[Match],Dyno_Data[[#This Row],[Match]]),0)*86400),0)</f>
        <v>0</v>
      </c>
    </row>
    <row r="700" spans="1:35" x14ac:dyDescent="0.3">
      <c r="A700">
        <v>693</v>
      </c>
      <c r="B700" t="s">
        <v>1300</v>
      </c>
      <c r="C700">
        <v>12</v>
      </c>
      <c r="D700" s="105">
        <v>45373.442639432869</v>
      </c>
      <c r="E700" t="s">
        <v>312</v>
      </c>
      <c r="F700" t="s">
        <v>309</v>
      </c>
      <c r="G700">
        <v>0</v>
      </c>
      <c r="H700" t="s">
        <v>315</v>
      </c>
      <c r="I700">
        <v>0</v>
      </c>
      <c r="J700">
        <v>0</v>
      </c>
      <c r="K700">
        <v>0</v>
      </c>
      <c r="L700" t="s">
        <v>241</v>
      </c>
      <c r="M700" t="s">
        <v>1398</v>
      </c>
      <c r="N700">
        <v>0</v>
      </c>
      <c r="O700" t="s">
        <v>1389</v>
      </c>
      <c r="P700" t="s">
        <v>310</v>
      </c>
      <c r="Q700" t="s">
        <v>310</v>
      </c>
      <c r="R700" t="s">
        <v>310</v>
      </c>
      <c r="S700">
        <v>9</v>
      </c>
      <c r="T700" t="s">
        <v>310</v>
      </c>
      <c r="U700">
        <v>9</v>
      </c>
      <c r="V700">
        <v>9</v>
      </c>
      <c r="W700">
        <v>0</v>
      </c>
      <c r="X700">
        <v>0</v>
      </c>
      <c r="Y700">
        <v>0</v>
      </c>
      <c r="Z700">
        <v>0</v>
      </c>
      <c r="AA700">
        <v>9</v>
      </c>
      <c r="AB700">
        <v>9</v>
      </c>
      <c r="AC700" t="s">
        <v>310</v>
      </c>
      <c r="AD700">
        <v>9</v>
      </c>
      <c r="AE700" t="s">
        <v>1414</v>
      </c>
      <c r="AF700">
        <v>20000000</v>
      </c>
      <c r="AG700" t="s">
        <v>310</v>
      </c>
      <c r="AH700">
        <f>SUM((MID(Dyno_Data[[#This Row],[Team]],4,5))+(Dyno_Data[[#This Row],[Match]]/100))</f>
        <v>3044.12</v>
      </c>
      <c r="AI700" s="76">
        <f>ROUND(SUM(IF(Dyno_Data[[#This Row],[AcqCenter]]&gt;0,Dyno_Data[[#This Row],[Time]]-SUMIFS(Dyno_Data[Time],Dyno_Data[Team],Dyno_Data[[#This Row],[Team]],Dyno_Data[RecordType],"StartMatch",Dyno_Data[Match],Dyno_Data[[#This Row],[Match]]),0)*86400),0)</f>
        <v>0</v>
      </c>
    </row>
    <row r="701" spans="1:35" x14ac:dyDescent="0.3">
      <c r="A701">
        <v>694</v>
      </c>
      <c r="B701" t="s">
        <v>1305</v>
      </c>
      <c r="C701">
        <v>12</v>
      </c>
      <c r="D701" s="105">
        <v>45373.442668599535</v>
      </c>
      <c r="E701" t="s">
        <v>312</v>
      </c>
      <c r="F701" t="s">
        <v>309</v>
      </c>
      <c r="G701">
        <v>0</v>
      </c>
      <c r="H701" t="s">
        <v>315</v>
      </c>
      <c r="I701">
        <v>0</v>
      </c>
      <c r="J701">
        <v>0</v>
      </c>
      <c r="K701">
        <v>0</v>
      </c>
      <c r="L701" t="s">
        <v>241</v>
      </c>
      <c r="M701" t="s">
        <v>1398</v>
      </c>
      <c r="N701">
        <v>0</v>
      </c>
      <c r="O701" t="s">
        <v>1391</v>
      </c>
      <c r="P701" t="s">
        <v>310</v>
      </c>
      <c r="Q701" t="s">
        <v>310</v>
      </c>
      <c r="R701" t="s">
        <v>310</v>
      </c>
      <c r="S701">
        <v>9</v>
      </c>
      <c r="T701" t="s">
        <v>310</v>
      </c>
      <c r="U701">
        <v>9</v>
      </c>
      <c r="V701">
        <v>9</v>
      </c>
      <c r="W701">
        <v>0</v>
      </c>
      <c r="X701">
        <v>0</v>
      </c>
      <c r="Y701">
        <v>0</v>
      </c>
      <c r="Z701">
        <v>0</v>
      </c>
      <c r="AA701">
        <v>9</v>
      </c>
      <c r="AB701">
        <v>9</v>
      </c>
      <c r="AC701" t="s">
        <v>310</v>
      </c>
      <c r="AD701">
        <v>9</v>
      </c>
      <c r="AE701" t="s">
        <v>1388</v>
      </c>
      <c r="AF701">
        <v>20001000</v>
      </c>
      <c r="AG701" t="s">
        <v>310</v>
      </c>
      <c r="AH701">
        <f>SUM((MID(Dyno_Data[[#This Row],[Team]],4,5))+(Dyno_Data[[#This Row],[Match]]/100))</f>
        <v>3173.12</v>
      </c>
      <c r="AI701" s="76">
        <f>ROUND(SUM(IF(Dyno_Data[[#This Row],[AcqCenter]]&gt;0,Dyno_Data[[#This Row],[Time]]-SUMIFS(Dyno_Data[Time],Dyno_Data[Team],Dyno_Data[[#This Row],[Team]],Dyno_Data[RecordType],"StartMatch",Dyno_Data[Match],Dyno_Data[[#This Row],[Match]]),0)*86400),0)</f>
        <v>0</v>
      </c>
    </row>
    <row r="702" spans="1:35" x14ac:dyDescent="0.3">
      <c r="A702">
        <v>696</v>
      </c>
      <c r="B702" t="s">
        <v>1305</v>
      </c>
      <c r="C702">
        <v>12</v>
      </c>
      <c r="D702" s="105">
        <v>45373.442713425924</v>
      </c>
      <c r="E702" t="s">
        <v>314</v>
      </c>
      <c r="F702" t="s">
        <v>309</v>
      </c>
      <c r="G702">
        <v>1</v>
      </c>
      <c r="H702" t="s">
        <v>310</v>
      </c>
      <c r="I702">
        <v>0</v>
      </c>
      <c r="J702">
        <v>0</v>
      </c>
      <c r="K702">
        <v>0</v>
      </c>
      <c r="L702" t="s">
        <v>310</v>
      </c>
      <c r="M702" t="s">
        <v>310</v>
      </c>
      <c r="N702">
        <v>0</v>
      </c>
      <c r="O702" t="s">
        <v>1391</v>
      </c>
      <c r="P702" t="s">
        <v>101</v>
      </c>
      <c r="Q702" t="s">
        <v>1400</v>
      </c>
      <c r="R702" t="s">
        <v>310</v>
      </c>
      <c r="S702">
        <v>9</v>
      </c>
      <c r="T702" t="s">
        <v>310</v>
      </c>
      <c r="U702">
        <v>9</v>
      </c>
      <c r="V702">
        <v>9</v>
      </c>
      <c r="W702">
        <v>0</v>
      </c>
      <c r="X702">
        <v>0</v>
      </c>
      <c r="Y702">
        <v>0</v>
      </c>
      <c r="Z702">
        <v>0</v>
      </c>
      <c r="AA702">
        <v>9</v>
      </c>
      <c r="AB702">
        <v>9</v>
      </c>
      <c r="AC702" t="s">
        <v>310</v>
      </c>
      <c r="AD702">
        <v>9</v>
      </c>
      <c r="AE702" t="s">
        <v>1388</v>
      </c>
      <c r="AF702">
        <v>20001000</v>
      </c>
      <c r="AG702" t="s">
        <v>310</v>
      </c>
      <c r="AH702">
        <f>SUM((MID(Dyno_Data[[#This Row],[Team]],4,5))+(Dyno_Data[[#This Row],[Match]]/100))</f>
        <v>3173.12</v>
      </c>
      <c r="AI702" s="76">
        <f>ROUND(SUM(IF(Dyno_Data[[#This Row],[AcqCenter]]&gt;0,Dyno_Data[[#This Row],[Time]]-SUMIFS(Dyno_Data[Time],Dyno_Data[Team],Dyno_Data[[#This Row],[Team]],Dyno_Data[RecordType],"StartMatch",Dyno_Data[Match],Dyno_Data[[#This Row],[Match]]),0)*86400),0)</f>
        <v>0</v>
      </c>
    </row>
    <row r="703" spans="1:35" x14ac:dyDescent="0.3">
      <c r="A703">
        <v>698</v>
      </c>
      <c r="B703" t="s">
        <v>1292</v>
      </c>
      <c r="C703">
        <v>12</v>
      </c>
      <c r="D703" s="105">
        <v>45373.442714849538</v>
      </c>
      <c r="E703" t="s">
        <v>314</v>
      </c>
      <c r="F703" t="s">
        <v>309</v>
      </c>
      <c r="G703">
        <v>0</v>
      </c>
      <c r="H703" t="s">
        <v>310</v>
      </c>
      <c r="I703">
        <v>0</v>
      </c>
      <c r="J703">
        <v>0</v>
      </c>
      <c r="K703">
        <v>0</v>
      </c>
      <c r="L703" t="s">
        <v>310</v>
      </c>
      <c r="M703" t="s">
        <v>310</v>
      </c>
      <c r="N703">
        <v>0</v>
      </c>
      <c r="O703" t="s">
        <v>311</v>
      </c>
      <c r="P703" t="s">
        <v>320</v>
      </c>
      <c r="Q703" t="s">
        <v>1400</v>
      </c>
      <c r="R703" t="s">
        <v>310</v>
      </c>
      <c r="S703">
        <v>9</v>
      </c>
      <c r="T703" t="s">
        <v>310</v>
      </c>
      <c r="U703">
        <v>9</v>
      </c>
      <c r="V703">
        <v>9</v>
      </c>
      <c r="W703">
        <v>0</v>
      </c>
      <c r="X703">
        <v>0</v>
      </c>
      <c r="Y703">
        <v>0</v>
      </c>
      <c r="Z703">
        <v>0</v>
      </c>
      <c r="AA703">
        <v>9</v>
      </c>
      <c r="AB703">
        <v>9</v>
      </c>
      <c r="AC703" t="s">
        <v>310</v>
      </c>
      <c r="AD703">
        <v>9</v>
      </c>
      <c r="AE703" t="s">
        <v>1396</v>
      </c>
      <c r="AF703">
        <v>0</v>
      </c>
      <c r="AG703" t="s">
        <v>310</v>
      </c>
      <c r="AH703">
        <f>SUM((MID(Dyno_Data[[#This Row],[Team]],4,5))+(Dyno_Data[[#This Row],[Match]]/100))</f>
        <v>7030.12</v>
      </c>
      <c r="AI703" s="76">
        <f>ROUND(SUM(IF(Dyno_Data[[#This Row],[AcqCenter]]&gt;0,Dyno_Data[[#This Row],[Time]]-SUMIFS(Dyno_Data[Time],Dyno_Data[Team],Dyno_Data[[#This Row],[Team]],Dyno_Data[RecordType],"StartMatch",Dyno_Data[Match],Dyno_Data[[#This Row],[Match]]),0)*86400),0)</f>
        <v>0</v>
      </c>
    </row>
    <row r="704" spans="1:35" x14ac:dyDescent="0.3">
      <c r="A704">
        <v>700</v>
      </c>
      <c r="B704" t="s">
        <v>1283</v>
      </c>
      <c r="C704">
        <v>12</v>
      </c>
      <c r="D704" s="105">
        <v>45373.442717048609</v>
      </c>
      <c r="E704" t="s">
        <v>314</v>
      </c>
      <c r="F704" t="s">
        <v>309</v>
      </c>
      <c r="G704">
        <v>1</v>
      </c>
      <c r="H704" t="s">
        <v>310</v>
      </c>
      <c r="I704">
        <v>0</v>
      </c>
      <c r="J704">
        <v>0</v>
      </c>
      <c r="K704">
        <v>0</v>
      </c>
      <c r="L704" t="s">
        <v>310</v>
      </c>
      <c r="M704" t="s">
        <v>310</v>
      </c>
      <c r="N704">
        <v>0</v>
      </c>
      <c r="O704" t="s">
        <v>1395</v>
      </c>
      <c r="P704" t="s">
        <v>320</v>
      </c>
      <c r="Q704" t="s">
        <v>1400</v>
      </c>
      <c r="R704" t="s">
        <v>310</v>
      </c>
      <c r="S704">
        <v>9</v>
      </c>
      <c r="T704" t="s">
        <v>310</v>
      </c>
      <c r="U704">
        <v>9</v>
      </c>
      <c r="V704">
        <v>9</v>
      </c>
      <c r="W704">
        <v>0</v>
      </c>
      <c r="X704">
        <v>0</v>
      </c>
      <c r="Y704">
        <v>0</v>
      </c>
      <c r="Z704">
        <v>0</v>
      </c>
      <c r="AA704">
        <v>9</v>
      </c>
      <c r="AB704">
        <v>9</v>
      </c>
      <c r="AC704" t="s">
        <v>310</v>
      </c>
      <c r="AD704">
        <v>9</v>
      </c>
      <c r="AE704" t="s">
        <v>1413</v>
      </c>
      <c r="AF704">
        <v>0</v>
      </c>
      <c r="AG704" t="s">
        <v>310</v>
      </c>
      <c r="AH704">
        <f>SUM((MID(Dyno_Data[[#This Row],[Team]],4,5))+(Dyno_Data[[#This Row],[Match]]/100))</f>
        <v>1601.12</v>
      </c>
      <c r="AI704" s="76">
        <f>ROUND(SUM(IF(Dyno_Data[[#This Row],[AcqCenter]]&gt;0,Dyno_Data[[#This Row],[Time]]-SUMIFS(Dyno_Data[Time],Dyno_Data[Team],Dyno_Data[[#This Row],[Team]],Dyno_Data[RecordType],"StartMatch",Dyno_Data[Match],Dyno_Data[[#This Row],[Match]]),0)*86400),0)</f>
        <v>0</v>
      </c>
    </row>
    <row r="705" spans="1:35" x14ac:dyDescent="0.3">
      <c r="A705">
        <v>702</v>
      </c>
      <c r="B705" t="s">
        <v>365</v>
      </c>
      <c r="C705">
        <v>12</v>
      </c>
      <c r="D705" s="105">
        <v>45373.442717743055</v>
      </c>
      <c r="E705" t="s">
        <v>314</v>
      </c>
      <c r="F705" t="s">
        <v>309</v>
      </c>
      <c r="G705">
        <v>1</v>
      </c>
      <c r="H705" t="s">
        <v>310</v>
      </c>
      <c r="I705">
        <v>0</v>
      </c>
      <c r="J705">
        <v>0</v>
      </c>
      <c r="K705">
        <v>0</v>
      </c>
      <c r="L705" t="s">
        <v>310</v>
      </c>
      <c r="M705" t="s">
        <v>310</v>
      </c>
      <c r="N705">
        <v>0</v>
      </c>
      <c r="O705" t="s">
        <v>319</v>
      </c>
      <c r="P705" t="s">
        <v>1401</v>
      </c>
      <c r="Q705" t="s">
        <v>1399</v>
      </c>
      <c r="R705" t="s">
        <v>310</v>
      </c>
      <c r="S705">
        <v>9</v>
      </c>
      <c r="T705" t="s">
        <v>310</v>
      </c>
      <c r="U705">
        <v>9</v>
      </c>
      <c r="V705">
        <v>9</v>
      </c>
      <c r="W705">
        <v>0</v>
      </c>
      <c r="X705">
        <v>0</v>
      </c>
      <c r="Y705">
        <v>0</v>
      </c>
      <c r="Z705">
        <v>0</v>
      </c>
      <c r="AA705">
        <v>9</v>
      </c>
      <c r="AB705">
        <v>9</v>
      </c>
      <c r="AC705" t="s">
        <v>310</v>
      </c>
      <c r="AD705">
        <v>9</v>
      </c>
      <c r="AE705" t="s">
        <v>1390</v>
      </c>
      <c r="AF705">
        <v>0</v>
      </c>
      <c r="AG705" t="s">
        <v>310</v>
      </c>
      <c r="AH705">
        <f>SUM((MID(Dyno_Data[[#This Row],[Team]],4,5))+(Dyno_Data[[#This Row],[Match]]/100))</f>
        <v>3171.12</v>
      </c>
      <c r="AI705" s="76">
        <f>ROUND(SUM(IF(Dyno_Data[[#This Row],[AcqCenter]]&gt;0,Dyno_Data[[#This Row],[Time]]-SUMIFS(Dyno_Data[Time],Dyno_Data[Team],Dyno_Data[[#This Row],[Team]],Dyno_Data[RecordType],"StartMatch",Dyno_Data[Match],Dyno_Data[[#This Row],[Match]]),0)*86400),0)</f>
        <v>0</v>
      </c>
    </row>
    <row r="706" spans="1:35" x14ac:dyDescent="0.3">
      <c r="A706">
        <v>704</v>
      </c>
      <c r="B706" t="s">
        <v>1300</v>
      </c>
      <c r="C706">
        <v>12</v>
      </c>
      <c r="D706" s="105">
        <v>45373.442722106483</v>
      </c>
      <c r="E706" t="s">
        <v>314</v>
      </c>
      <c r="F706" t="s">
        <v>309</v>
      </c>
      <c r="G706">
        <v>1</v>
      </c>
      <c r="H706" t="s">
        <v>310</v>
      </c>
      <c r="I706">
        <v>0</v>
      </c>
      <c r="J706">
        <v>0</v>
      </c>
      <c r="K706">
        <v>0</v>
      </c>
      <c r="L706" t="s">
        <v>310</v>
      </c>
      <c r="M706" t="s">
        <v>310</v>
      </c>
      <c r="N706">
        <v>0</v>
      </c>
      <c r="O706" t="s">
        <v>1389</v>
      </c>
      <c r="P706" t="s">
        <v>1401</v>
      </c>
      <c r="Q706" t="s">
        <v>1400</v>
      </c>
      <c r="R706" t="s">
        <v>310</v>
      </c>
      <c r="S706">
        <v>9</v>
      </c>
      <c r="T706" t="s">
        <v>310</v>
      </c>
      <c r="U706">
        <v>9</v>
      </c>
      <c r="V706">
        <v>9</v>
      </c>
      <c r="W706">
        <v>0</v>
      </c>
      <c r="X706">
        <v>0</v>
      </c>
      <c r="Y706">
        <v>0</v>
      </c>
      <c r="Z706">
        <v>0</v>
      </c>
      <c r="AA706">
        <v>9</v>
      </c>
      <c r="AB706">
        <v>9</v>
      </c>
      <c r="AC706" t="s">
        <v>310</v>
      </c>
      <c r="AD706">
        <v>9</v>
      </c>
      <c r="AE706" t="s">
        <v>1414</v>
      </c>
      <c r="AF706">
        <v>20000000</v>
      </c>
      <c r="AG706" t="s">
        <v>310</v>
      </c>
      <c r="AH706">
        <f>SUM((MID(Dyno_Data[[#This Row],[Team]],4,5))+(Dyno_Data[[#This Row],[Match]]/100))</f>
        <v>3044.12</v>
      </c>
      <c r="AI706" s="76">
        <f>ROUND(SUM(IF(Dyno_Data[[#This Row],[AcqCenter]]&gt;0,Dyno_Data[[#This Row],[Time]]-SUMIFS(Dyno_Data[Time],Dyno_Data[Team],Dyno_Data[[#This Row],[Team]],Dyno_Data[RecordType],"StartMatch",Dyno_Data[Match],Dyno_Data[[#This Row],[Match]]),0)*86400),0)</f>
        <v>0</v>
      </c>
    </row>
    <row r="707" spans="1:35" x14ac:dyDescent="0.3">
      <c r="A707">
        <v>706</v>
      </c>
      <c r="B707" t="s">
        <v>1297</v>
      </c>
      <c r="C707">
        <v>12</v>
      </c>
      <c r="D707" s="105">
        <v>45373.442764780091</v>
      </c>
      <c r="E707" t="s">
        <v>314</v>
      </c>
      <c r="F707" t="s">
        <v>309</v>
      </c>
      <c r="G707">
        <v>0</v>
      </c>
      <c r="H707" t="s">
        <v>310</v>
      </c>
      <c r="I707">
        <v>0</v>
      </c>
      <c r="J707">
        <v>0</v>
      </c>
      <c r="K707">
        <v>0</v>
      </c>
      <c r="L707" t="s">
        <v>310</v>
      </c>
      <c r="M707" t="s">
        <v>310</v>
      </c>
      <c r="N707">
        <v>0</v>
      </c>
      <c r="O707" t="s">
        <v>1393</v>
      </c>
      <c r="P707" t="s">
        <v>101</v>
      </c>
      <c r="Q707" t="s">
        <v>1399</v>
      </c>
      <c r="R707" t="s">
        <v>310</v>
      </c>
      <c r="S707">
        <v>9</v>
      </c>
      <c r="T707" t="s">
        <v>310</v>
      </c>
      <c r="U707">
        <v>9</v>
      </c>
      <c r="V707">
        <v>9</v>
      </c>
      <c r="W707">
        <v>0</v>
      </c>
      <c r="X707">
        <v>0</v>
      </c>
      <c r="Y707">
        <v>0</v>
      </c>
      <c r="Z707">
        <v>0</v>
      </c>
      <c r="AA707">
        <v>9</v>
      </c>
      <c r="AB707">
        <v>9</v>
      </c>
      <c r="AC707" t="s">
        <v>310</v>
      </c>
      <c r="AD707">
        <v>9</v>
      </c>
      <c r="AE707" t="s">
        <v>1412</v>
      </c>
      <c r="AF707">
        <v>0</v>
      </c>
      <c r="AG707" t="s">
        <v>310</v>
      </c>
      <c r="AH707">
        <f>SUM((MID(Dyno_Data[[#This Row],[Team]],4,5))+(Dyno_Data[[#This Row],[Match]]/100))</f>
        <v>9750.1200000000008</v>
      </c>
      <c r="AI707" s="76">
        <f>ROUND(SUM(IF(Dyno_Data[[#This Row],[AcqCenter]]&gt;0,Dyno_Data[[#This Row],[Time]]-SUMIFS(Dyno_Data[Time],Dyno_Data[Team],Dyno_Data[[#This Row],[Team]],Dyno_Data[RecordType],"StartMatch",Dyno_Data[Match],Dyno_Data[[#This Row],[Match]]),0)*86400),0)</f>
        <v>0</v>
      </c>
    </row>
    <row r="708" spans="1:35" x14ac:dyDescent="0.3">
      <c r="A708">
        <v>707</v>
      </c>
      <c r="B708" t="s">
        <v>1305</v>
      </c>
      <c r="C708">
        <v>12</v>
      </c>
      <c r="D708" s="105">
        <v>45373.442790081019</v>
      </c>
      <c r="E708" t="s">
        <v>312</v>
      </c>
      <c r="F708" t="s">
        <v>1402</v>
      </c>
      <c r="G708">
        <v>0</v>
      </c>
      <c r="H708" t="s">
        <v>315</v>
      </c>
      <c r="I708">
        <v>0</v>
      </c>
      <c r="J708">
        <v>0</v>
      </c>
      <c r="K708">
        <v>0</v>
      </c>
      <c r="L708" t="s">
        <v>241</v>
      </c>
      <c r="M708" t="s">
        <v>101</v>
      </c>
      <c r="N708">
        <v>1</v>
      </c>
      <c r="O708" t="s">
        <v>1391</v>
      </c>
      <c r="P708" t="s">
        <v>310</v>
      </c>
      <c r="Q708" t="s">
        <v>310</v>
      </c>
      <c r="R708" t="s">
        <v>310</v>
      </c>
      <c r="S708">
        <v>9</v>
      </c>
      <c r="T708" t="s">
        <v>310</v>
      </c>
      <c r="U708">
        <v>9</v>
      </c>
      <c r="V708">
        <v>9</v>
      </c>
      <c r="W708">
        <v>0</v>
      </c>
      <c r="X708">
        <v>0</v>
      </c>
      <c r="Y708">
        <v>0</v>
      </c>
      <c r="Z708">
        <v>0</v>
      </c>
      <c r="AA708">
        <v>9</v>
      </c>
      <c r="AB708">
        <v>9</v>
      </c>
      <c r="AC708" t="s">
        <v>310</v>
      </c>
      <c r="AD708">
        <v>9</v>
      </c>
      <c r="AE708" t="s">
        <v>1388</v>
      </c>
      <c r="AF708">
        <v>30001000</v>
      </c>
      <c r="AG708" t="s">
        <v>310</v>
      </c>
      <c r="AH708">
        <f>SUM((MID(Dyno_Data[[#This Row],[Team]],4,5))+(Dyno_Data[[#This Row],[Match]]/100))</f>
        <v>3173.12</v>
      </c>
      <c r="AI708" s="76">
        <f>ROUND(SUM(IF(Dyno_Data[[#This Row],[AcqCenter]]&gt;0,Dyno_Data[[#This Row],[Time]]-SUMIFS(Dyno_Data[Time],Dyno_Data[Team],Dyno_Data[[#This Row],[Team]],Dyno_Data[RecordType],"StartMatch",Dyno_Data[Match],Dyno_Data[[#This Row],[Match]]),0)*86400),0)</f>
        <v>0</v>
      </c>
    </row>
    <row r="709" spans="1:35" x14ac:dyDescent="0.3">
      <c r="A709">
        <v>708</v>
      </c>
      <c r="B709" t="s">
        <v>1300</v>
      </c>
      <c r="C709">
        <v>12</v>
      </c>
      <c r="D709" s="105">
        <v>45373.442832175926</v>
      </c>
      <c r="E709" t="s">
        <v>312</v>
      </c>
      <c r="F709" t="s">
        <v>1402</v>
      </c>
      <c r="G709">
        <v>0</v>
      </c>
      <c r="H709" t="s">
        <v>315</v>
      </c>
      <c r="I709">
        <v>0</v>
      </c>
      <c r="J709">
        <v>0</v>
      </c>
      <c r="K709">
        <v>0</v>
      </c>
      <c r="L709" t="s">
        <v>241</v>
      </c>
      <c r="M709" t="s">
        <v>1398</v>
      </c>
      <c r="N709">
        <v>1</v>
      </c>
      <c r="O709" t="s">
        <v>1389</v>
      </c>
      <c r="P709" t="s">
        <v>310</v>
      </c>
      <c r="Q709" t="s">
        <v>310</v>
      </c>
      <c r="R709" t="s">
        <v>310</v>
      </c>
      <c r="S709">
        <v>9</v>
      </c>
      <c r="T709" t="s">
        <v>310</v>
      </c>
      <c r="U709">
        <v>9</v>
      </c>
      <c r="V709">
        <v>9</v>
      </c>
      <c r="W709">
        <v>0</v>
      </c>
      <c r="X709">
        <v>0</v>
      </c>
      <c r="Y709">
        <v>0</v>
      </c>
      <c r="Z709">
        <v>0</v>
      </c>
      <c r="AA709">
        <v>9</v>
      </c>
      <c r="AB709">
        <v>9</v>
      </c>
      <c r="AC709" t="s">
        <v>310</v>
      </c>
      <c r="AD709">
        <v>9</v>
      </c>
      <c r="AE709" t="s">
        <v>1414</v>
      </c>
      <c r="AF709">
        <v>30000000</v>
      </c>
      <c r="AG709" t="s">
        <v>310</v>
      </c>
      <c r="AH709">
        <f>SUM((MID(Dyno_Data[[#This Row],[Team]],4,5))+(Dyno_Data[[#This Row],[Match]]/100))</f>
        <v>3044.12</v>
      </c>
      <c r="AI709" s="76">
        <f>ROUND(SUM(IF(Dyno_Data[[#This Row],[AcqCenter]]&gt;0,Dyno_Data[[#This Row],[Time]]-SUMIFS(Dyno_Data[Time],Dyno_Data[Team],Dyno_Data[[#This Row],[Team]],Dyno_Data[RecordType],"StartMatch",Dyno_Data[Match],Dyno_Data[[#This Row],[Match]]),0)*86400),0)</f>
        <v>0</v>
      </c>
    </row>
    <row r="710" spans="1:35" x14ac:dyDescent="0.3">
      <c r="A710">
        <v>709</v>
      </c>
      <c r="B710" t="s">
        <v>1305</v>
      </c>
      <c r="C710">
        <v>12</v>
      </c>
      <c r="D710" s="105">
        <v>45373.442852314816</v>
      </c>
      <c r="E710" t="s">
        <v>312</v>
      </c>
      <c r="F710" t="s">
        <v>1402</v>
      </c>
      <c r="G710">
        <v>0</v>
      </c>
      <c r="H710" t="s">
        <v>315</v>
      </c>
      <c r="I710">
        <v>0</v>
      </c>
      <c r="J710">
        <v>0</v>
      </c>
      <c r="K710">
        <v>0</v>
      </c>
      <c r="L710" t="s">
        <v>241</v>
      </c>
      <c r="M710" t="s">
        <v>101</v>
      </c>
      <c r="N710">
        <v>0</v>
      </c>
      <c r="O710" t="s">
        <v>1391</v>
      </c>
      <c r="P710" t="s">
        <v>310</v>
      </c>
      <c r="Q710" t="s">
        <v>310</v>
      </c>
      <c r="R710" t="s">
        <v>310</v>
      </c>
      <c r="S710">
        <v>9</v>
      </c>
      <c r="T710" t="s">
        <v>310</v>
      </c>
      <c r="U710">
        <v>9</v>
      </c>
      <c r="V710">
        <v>9</v>
      </c>
      <c r="W710">
        <v>0</v>
      </c>
      <c r="X710">
        <v>0</v>
      </c>
      <c r="Y710">
        <v>0</v>
      </c>
      <c r="Z710">
        <v>0</v>
      </c>
      <c r="AA710">
        <v>9</v>
      </c>
      <c r="AB710">
        <v>9</v>
      </c>
      <c r="AC710" t="s">
        <v>310</v>
      </c>
      <c r="AD710">
        <v>9</v>
      </c>
      <c r="AE710" t="s">
        <v>1388</v>
      </c>
      <c r="AF710">
        <v>40001000</v>
      </c>
      <c r="AG710" t="s">
        <v>310</v>
      </c>
      <c r="AH710">
        <f>SUM((MID(Dyno_Data[[#This Row],[Team]],4,5))+(Dyno_Data[[#This Row],[Match]]/100))</f>
        <v>3173.12</v>
      </c>
      <c r="AI710" s="76">
        <f>ROUND(SUM(IF(Dyno_Data[[#This Row],[AcqCenter]]&gt;0,Dyno_Data[[#This Row],[Time]]-SUMIFS(Dyno_Data[Time],Dyno_Data[Team],Dyno_Data[[#This Row],[Team]],Dyno_Data[RecordType],"StartMatch",Dyno_Data[Match],Dyno_Data[[#This Row],[Match]]),0)*86400),0)</f>
        <v>0</v>
      </c>
    </row>
    <row r="711" spans="1:35" x14ac:dyDescent="0.3">
      <c r="A711">
        <v>710</v>
      </c>
      <c r="B711" t="s">
        <v>1283</v>
      </c>
      <c r="C711">
        <v>12</v>
      </c>
      <c r="D711" s="105">
        <v>45373.442865393517</v>
      </c>
      <c r="E711" t="s">
        <v>312</v>
      </c>
      <c r="F711" t="s">
        <v>1402</v>
      </c>
      <c r="G711">
        <v>0</v>
      </c>
      <c r="H711" t="s">
        <v>315</v>
      </c>
      <c r="I711">
        <v>0</v>
      </c>
      <c r="J711">
        <v>0</v>
      </c>
      <c r="K711">
        <v>0</v>
      </c>
      <c r="L711" t="s">
        <v>241</v>
      </c>
      <c r="M711" t="s">
        <v>1398</v>
      </c>
      <c r="N711">
        <v>1</v>
      </c>
      <c r="O711" t="s">
        <v>1395</v>
      </c>
      <c r="P711" t="s">
        <v>310</v>
      </c>
      <c r="Q711" t="s">
        <v>310</v>
      </c>
      <c r="R711" t="s">
        <v>310</v>
      </c>
      <c r="S711">
        <v>9</v>
      </c>
      <c r="T711" t="s">
        <v>310</v>
      </c>
      <c r="U711">
        <v>9</v>
      </c>
      <c r="V711">
        <v>9</v>
      </c>
      <c r="W711">
        <v>0</v>
      </c>
      <c r="X711">
        <v>0</v>
      </c>
      <c r="Y711">
        <v>0</v>
      </c>
      <c r="Z711">
        <v>0</v>
      </c>
      <c r="AA711">
        <v>9</v>
      </c>
      <c r="AB711">
        <v>9</v>
      </c>
      <c r="AC711" t="s">
        <v>310</v>
      </c>
      <c r="AD711">
        <v>9</v>
      </c>
      <c r="AE711" t="s">
        <v>1413</v>
      </c>
      <c r="AF711">
        <v>10000000</v>
      </c>
      <c r="AG711" t="s">
        <v>310</v>
      </c>
      <c r="AH711">
        <f>SUM((MID(Dyno_Data[[#This Row],[Team]],4,5))+(Dyno_Data[[#This Row],[Match]]/100))</f>
        <v>1601.12</v>
      </c>
      <c r="AI711" s="76">
        <f>ROUND(SUM(IF(Dyno_Data[[#This Row],[AcqCenter]]&gt;0,Dyno_Data[[#This Row],[Time]]-SUMIFS(Dyno_Data[Time],Dyno_Data[Team],Dyno_Data[[#This Row],[Team]],Dyno_Data[RecordType],"StartMatch",Dyno_Data[Match],Dyno_Data[[#This Row],[Match]]),0)*86400),0)</f>
        <v>0</v>
      </c>
    </row>
    <row r="712" spans="1:35" x14ac:dyDescent="0.3">
      <c r="A712">
        <v>711</v>
      </c>
      <c r="B712" t="s">
        <v>1297</v>
      </c>
      <c r="C712">
        <v>12</v>
      </c>
      <c r="D712" s="105">
        <v>45373.442891354163</v>
      </c>
      <c r="E712" t="s">
        <v>1403</v>
      </c>
      <c r="F712" t="s">
        <v>1402</v>
      </c>
      <c r="G712">
        <v>0</v>
      </c>
      <c r="H712" t="s">
        <v>310</v>
      </c>
      <c r="I712">
        <v>0</v>
      </c>
      <c r="J712">
        <v>0</v>
      </c>
      <c r="K712">
        <v>0</v>
      </c>
      <c r="L712" t="s">
        <v>310</v>
      </c>
      <c r="M712" t="s">
        <v>310</v>
      </c>
      <c r="N712">
        <v>0</v>
      </c>
      <c r="O712" t="s">
        <v>1393</v>
      </c>
      <c r="P712" t="s">
        <v>310</v>
      </c>
      <c r="Q712" t="s">
        <v>310</v>
      </c>
      <c r="R712" t="s">
        <v>310</v>
      </c>
      <c r="S712">
        <v>9</v>
      </c>
      <c r="T712" t="s">
        <v>310</v>
      </c>
      <c r="U712">
        <v>9</v>
      </c>
      <c r="V712">
        <v>9</v>
      </c>
      <c r="W712">
        <v>0</v>
      </c>
      <c r="X712">
        <v>0</v>
      </c>
      <c r="Y712">
        <v>0</v>
      </c>
      <c r="Z712">
        <v>0</v>
      </c>
      <c r="AA712">
        <v>9</v>
      </c>
      <c r="AB712">
        <v>9</v>
      </c>
      <c r="AC712" t="s">
        <v>310</v>
      </c>
      <c r="AD712">
        <v>9</v>
      </c>
      <c r="AE712" t="s">
        <v>1412</v>
      </c>
      <c r="AF712">
        <v>10000000</v>
      </c>
      <c r="AG712" t="s">
        <v>249</v>
      </c>
      <c r="AH712">
        <f>SUM((MID(Dyno_Data[[#This Row],[Team]],4,5))+(Dyno_Data[[#This Row],[Match]]/100))</f>
        <v>9750.1200000000008</v>
      </c>
      <c r="AI712" s="76">
        <f>ROUND(SUM(IF(Dyno_Data[[#This Row],[AcqCenter]]&gt;0,Dyno_Data[[#This Row],[Time]]-SUMIFS(Dyno_Data[Time],Dyno_Data[Team],Dyno_Data[[#This Row],[Team]],Dyno_Data[RecordType],"StartMatch",Dyno_Data[Match],Dyno_Data[[#This Row],[Match]]),0)*86400),0)</f>
        <v>0</v>
      </c>
    </row>
    <row r="713" spans="1:35" x14ac:dyDescent="0.3">
      <c r="A713">
        <v>712</v>
      </c>
      <c r="B713" t="s">
        <v>1305</v>
      </c>
      <c r="C713">
        <v>12</v>
      </c>
      <c r="D713" s="105">
        <v>45373.442922453702</v>
      </c>
      <c r="E713" t="s">
        <v>312</v>
      </c>
      <c r="F713" t="s">
        <v>1402</v>
      </c>
      <c r="G713">
        <v>0</v>
      </c>
      <c r="H713" t="s">
        <v>315</v>
      </c>
      <c r="I713">
        <v>0</v>
      </c>
      <c r="J713">
        <v>0</v>
      </c>
      <c r="K713">
        <v>0</v>
      </c>
      <c r="L713" t="s">
        <v>241</v>
      </c>
      <c r="M713" t="s">
        <v>101</v>
      </c>
      <c r="N713">
        <v>0</v>
      </c>
      <c r="O713" t="s">
        <v>1391</v>
      </c>
      <c r="P713" t="s">
        <v>310</v>
      </c>
      <c r="Q713" t="s">
        <v>310</v>
      </c>
      <c r="R713" t="s">
        <v>310</v>
      </c>
      <c r="S713">
        <v>9</v>
      </c>
      <c r="T713" t="s">
        <v>310</v>
      </c>
      <c r="U713">
        <v>9</v>
      </c>
      <c r="V713">
        <v>9</v>
      </c>
      <c r="W713">
        <v>0</v>
      </c>
      <c r="X713">
        <v>0</v>
      </c>
      <c r="Y713">
        <v>0</v>
      </c>
      <c r="Z713">
        <v>0</v>
      </c>
      <c r="AA713">
        <v>9</v>
      </c>
      <c r="AB713">
        <v>9</v>
      </c>
      <c r="AC713" t="s">
        <v>310</v>
      </c>
      <c r="AD713">
        <v>9</v>
      </c>
      <c r="AE713" t="s">
        <v>1388</v>
      </c>
      <c r="AF713">
        <v>50001000</v>
      </c>
      <c r="AG713" t="s">
        <v>310</v>
      </c>
      <c r="AH713">
        <f>SUM((MID(Dyno_Data[[#This Row],[Team]],4,5))+(Dyno_Data[[#This Row],[Match]]/100))</f>
        <v>3173.12</v>
      </c>
      <c r="AI713" s="76">
        <f>ROUND(SUM(IF(Dyno_Data[[#This Row],[AcqCenter]]&gt;0,Dyno_Data[[#This Row],[Time]]-SUMIFS(Dyno_Data[Time],Dyno_Data[Team],Dyno_Data[[#This Row],[Team]],Dyno_Data[RecordType],"StartMatch",Dyno_Data[Match],Dyno_Data[[#This Row],[Match]]),0)*86400),0)</f>
        <v>0</v>
      </c>
    </row>
    <row r="714" spans="1:35" x14ac:dyDescent="0.3">
      <c r="A714">
        <v>713</v>
      </c>
      <c r="B714" t="s">
        <v>365</v>
      </c>
      <c r="C714">
        <v>12</v>
      </c>
      <c r="D714" s="105">
        <v>45373.442928275465</v>
      </c>
      <c r="E714" t="s">
        <v>312</v>
      </c>
      <c r="F714" t="s">
        <v>1402</v>
      </c>
      <c r="G714">
        <v>0</v>
      </c>
      <c r="H714" t="s">
        <v>315</v>
      </c>
      <c r="I714">
        <v>0</v>
      </c>
      <c r="J714">
        <v>0</v>
      </c>
      <c r="K714">
        <v>0</v>
      </c>
      <c r="L714" t="s">
        <v>241</v>
      </c>
      <c r="M714" t="s">
        <v>1398</v>
      </c>
      <c r="N714">
        <v>1</v>
      </c>
      <c r="O714" t="s">
        <v>319</v>
      </c>
      <c r="P714" t="s">
        <v>310</v>
      </c>
      <c r="Q714" t="s">
        <v>310</v>
      </c>
      <c r="R714" t="s">
        <v>310</v>
      </c>
      <c r="S714">
        <v>9</v>
      </c>
      <c r="T714" t="s">
        <v>310</v>
      </c>
      <c r="U714">
        <v>9</v>
      </c>
      <c r="V714">
        <v>9</v>
      </c>
      <c r="W714">
        <v>0</v>
      </c>
      <c r="X714">
        <v>0</v>
      </c>
      <c r="Y714">
        <v>0</v>
      </c>
      <c r="Z714">
        <v>0</v>
      </c>
      <c r="AA714">
        <v>9</v>
      </c>
      <c r="AB714">
        <v>9</v>
      </c>
      <c r="AC714" t="s">
        <v>310</v>
      </c>
      <c r="AD714">
        <v>9</v>
      </c>
      <c r="AE714" t="s">
        <v>1390</v>
      </c>
      <c r="AF714">
        <v>10000000</v>
      </c>
      <c r="AG714" t="s">
        <v>310</v>
      </c>
      <c r="AH714">
        <f>SUM((MID(Dyno_Data[[#This Row],[Team]],4,5))+(Dyno_Data[[#This Row],[Match]]/100))</f>
        <v>3171.12</v>
      </c>
      <c r="AI714" s="76">
        <f>ROUND(SUM(IF(Dyno_Data[[#This Row],[AcqCenter]]&gt;0,Dyno_Data[[#This Row],[Time]]-SUMIFS(Dyno_Data[Time],Dyno_Data[Team],Dyno_Data[[#This Row],[Team]],Dyno_Data[RecordType],"StartMatch",Dyno_Data[Match],Dyno_Data[[#This Row],[Match]]),0)*86400),0)</f>
        <v>0</v>
      </c>
    </row>
    <row r="715" spans="1:35" x14ac:dyDescent="0.3">
      <c r="A715">
        <v>714</v>
      </c>
      <c r="B715" t="s">
        <v>1300</v>
      </c>
      <c r="C715">
        <v>12</v>
      </c>
      <c r="D715" s="105">
        <v>45373.442958101848</v>
      </c>
      <c r="E715" t="s">
        <v>312</v>
      </c>
      <c r="F715" t="s">
        <v>1402</v>
      </c>
      <c r="G715">
        <v>0</v>
      </c>
      <c r="H715" t="s">
        <v>315</v>
      </c>
      <c r="I715">
        <v>0</v>
      </c>
      <c r="J715">
        <v>0</v>
      </c>
      <c r="K715">
        <v>0</v>
      </c>
      <c r="L715" t="s">
        <v>241</v>
      </c>
      <c r="M715" t="s">
        <v>1398</v>
      </c>
      <c r="N715">
        <v>0</v>
      </c>
      <c r="O715" t="s">
        <v>1389</v>
      </c>
      <c r="P715" t="s">
        <v>310</v>
      </c>
      <c r="Q715" t="s">
        <v>310</v>
      </c>
      <c r="R715" t="s">
        <v>310</v>
      </c>
      <c r="S715">
        <v>9</v>
      </c>
      <c r="T715" t="s">
        <v>310</v>
      </c>
      <c r="U715">
        <v>9</v>
      </c>
      <c r="V715">
        <v>9</v>
      </c>
      <c r="W715">
        <v>0</v>
      </c>
      <c r="X715">
        <v>0</v>
      </c>
      <c r="Y715">
        <v>0</v>
      </c>
      <c r="Z715">
        <v>0</v>
      </c>
      <c r="AA715">
        <v>9</v>
      </c>
      <c r="AB715">
        <v>9</v>
      </c>
      <c r="AC715" t="s">
        <v>310</v>
      </c>
      <c r="AD715">
        <v>9</v>
      </c>
      <c r="AE715" t="s">
        <v>1414</v>
      </c>
      <c r="AF715">
        <v>40000000</v>
      </c>
      <c r="AG715" t="s">
        <v>310</v>
      </c>
      <c r="AH715">
        <f>SUM((MID(Dyno_Data[[#This Row],[Team]],4,5))+(Dyno_Data[[#This Row],[Match]]/100))</f>
        <v>3044.12</v>
      </c>
      <c r="AI715" s="76">
        <f>ROUND(SUM(IF(Dyno_Data[[#This Row],[AcqCenter]]&gt;0,Dyno_Data[[#This Row],[Time]]-SUMIFS(Dyno_Data[Time],Dyno_Data[Team],Dyno_Data[[#This Row],[Team]],Dyno_Data[RecordType],"StartMatch",Dyno_Data[Match],Dyno_Data[[#This Row],[Match]]),0)*86400),0)</f>
        <v>0</v>
      </c>
    </row>
    <row r="716" spans="1:35" x14ac:dyDescent="0.3">
      <c r="A716">
        <v>715</v>
      </c>
      <c r="B716" t="s">
        <v>365</v>
      </c>
      <c r="C716">
        <v>12</v>
      </c>
      <c r="D716" s="105">
        <v>45373.442990706018</v>
      </c>
      <c r="E716" t="s">
        <v>312</v>
      </c>
      <c r="F716" t="s">
        <v>1402</v>
      </c>
      <c r="G716">
        <v>0</v>
      </c>
      <c r="H716" t="s">
        <v>315</v>
      </c>
      <c r="I716">
        <v>0</v>
      </c>
      <c r="J716">
        <v>0</v>
      </c>
      <c r="K716">
        <v>0</v>
      </c>
      <c r="L716" t="s">
        <v>241</v>
      </c>
      <c r="M716" t="s">
        <v>1398</v>
      </c>
      <c r="N716">
        <v>0</v>
      </c>
      <c r="O716" t="s">
        <v>319</v>
      </c>
      <c r="P716" t="s">
        <v>310</v>
      </c>
      <c r="Q716" t="s">
        <v>310</v>
      </c>
      <c r="R716" t="s">
        <v>310</v>
      </c>
      <c r="S716">
        <v>9</v>
      </c>
      <c r="T716" t="s">
        <v>310</v>
      </c>
      <c r="U716">
        <v>9</v>
      </c>
      <c r="V716">
        <v>9</v>
      </c>
      <c r="W716">
        <v>0</v>
      </c>
      <c r="X716">
        <v>0</v>
      </c>
      <c r="Y716">
        <v>0</v>
      </c>
      <c r="Z716">
        <v>0</v>
      </c>
      <c r="AA716">
        <v>9</v>
      </c>
      <c r="AB716">
        <v>9</v>
      </c>
      <c r="AC716" t="s">
        <v>310</v>
      </c>
      <c r="AD716">
        <v>9</v>
      </c>
      <c r="AE716" t="s">
        <v>1390</v>
      </c>
      <c r="AF716">
        <v>20000000</v>
      </c>
      <c r="AG716" t="s">
        <v>310</v>
      </c>
      <c r="AH716">
        <f>SUM((MID(Dyno_Data[[#This Row],[Team]],4,5))+(Dyno_Data[[#This Row],[Match]]/100))</f>
        <v>3171.12</v>
      </c>
      <c r="AI716" s="76">
        <f>ROUND(SUM(IF(Dyno_Data[[#This Row],[AcqCenter]]&gt;0,Dyno_Data[[#This Row],[Time]]-SUMIFS(Dyno_Data[Time],Dyno_Data[Team],Dyno_Data[[#This Row],[Team]],Dyno_Data[RecordType],"StartMatch",Dyno_Data[Match],Dyno_Data[[#This Row],[Match]]),0)*86400),0)</f>
        <v>0</v>
      </c>
    </row>
    <row r="717" spans="1:35" x14ac:dyDescent="0.3">
      <c r="A717">
        <v>716</v>
      </c>
      <c r="B717" t="s">
        <v>1300</v>
      </c>
      <c r="C717">
        <v>12</v>
      </c>
      <c r="D717" s="105">
        <v>45373.443035613425</v>
      </c>
      <c r="E717" t="s">
        <v>312</v>
      </c>
      <c r="F717" t="s">
        <v>1402</v>
      </c>
      <c r="G717">
        <v>0</v>
      </c>
      <c r="H717" t="s">
        <v>315</v>
      </c>
      <c r="I717">
        <v>0</v>
      </c>
      <c r="J717">
        <v>0</v>
      </c>
      <c r="K717">
        <v>0</v>
      </c>
      <c r="L717" t="s">
        <v>241</v>
      </c>
      <c r="M717" t="s">
        <v>1398</v>
      </c>
      <c r="N717">
        <v>0</v>
      </c>
      <c r="O717" t="s">
        <v>1389</v>
      </c>
      <c r="P717" t="s">
        <v>310</v>
      </c>
      <c r="Q717" t="s">
        <v>310</v>
      </c>
      <c r="R717" t="s">
        <v>310</v>
      </c>
      <c r="S717">
        <v>9</v>
      </c>
      <c r="T717" t="s">
        <v>310</v>
      </c>
      <c r="U717">
        <v>9</v>
      </c>
      <c r="V717">
        <v>9</v>
      </c>
      <c r="W717">
        <v>0</v>
      </c>
      <c r="X717">
        <v>0</v>
      </c>
      <c r="Y717">
        <v>0</v>
      </c>
      <c r="Z717">
        <v>0</v>
      </c>
      <c r="AA717">
        <v>9</v>
      </c>
      <c r="AB717">
        <v>9</v>
      </c>
      <c r="AC717" t="s">
        <v>310</v>
      </c>
      <c r="AD717">
        <v>9</v>
      </c>
      <c r="AE717" t="s">
        <v>1414</v>
      </c>
      <c r="AF717">
        <v>50000000</v>
      </c>
      <c r="AG717" t="s">
        <v>310</v>
      </c>
      <c r="AH717">
        <f>SUM((MID(Dyno_Data[[#This Row],[Team]],4,5))+(Dyno_Data[[#This Row],[Match]]/100))</f>
        <v>3044.12</v>
      </c>
      <c r="AI717" s="76">
        <f>ROUND(SUM(IF(Dyno_Data[[#This Row],[AcqCenter]]&gt;0,Dyno_Data[[#This Row],[Time]]-SUMIFS(Dyno_Data[Time],Dyno_Data[Team],Dyno_Data[[#This Row],[Team]],Dyno_Data[RecordType],"StartMatch",Dyno_Data[Match],Dyno_Data[[#This Row],[Match]]),0)*86400),0)</f>
        <v>0</v>
      </c>
    </row>
    <row r="718" spans="1:35" x14ac:dyDescent="0.3">
      <c r="A718">
        <v>717</v>
      </c>
      <c r="B718" t="s">
        <v>1305</v>
      </c>
      <c r="C718">
        <v>12</v>
      </c>
      <c r="D718" s="105">
        <v>45373.443050034723</v>
      </c>
      <c r="E718" t="s">
        <v>312</v>
      </c>
      <c r="F718" t="s">
        <v>1402</v>
      </c>
      <c r="G718">
        <v>0</v>
      </c>
      <c r="H718" t="s">
        <v>315</v>
      </c>
      <c r="I718">
        <v>0</v>
      </c>
      <c r="J718">
        <v>0</v>
      </c>
      <c r="K718">
        <v>0</v>
      </c>
      <c r="L718" t="s">
        <v>241</v>
      </c>
      <c r="M718" t="s">
        <v>101</v>
      </c>
      <c r="N718">
        <v>0</v>
      </c>
      <c r="O718" t="s">
        <v>1391</v>
      </c>
      <c r="P718" t="s">
        <v>310</v>
      </c>
      <c r="Q718" t="s">
        <v>310</v>
      </c>
      <c r="R718" t="s">
        <v>310</v>
      </c>
      <c r="S718">
        <v>9</v>
      </c>
      <c r="T718" t="s">
        <v>310</v>
      </c>
      <c r="U718">
        <v>9</v>
      </c>
      <c r="V718">
        <v>9</v>
      </c>
      <c r="W718">
        <v>0</v>
      </c>
      <c r="X718">
        <v>0</v>
      </c>
      <c r="Y718">
        <v>0</v>
      </c>
      <c r="Z718">
        <v>0</v>
      </c>
      <c r="AA718">
        <v>9</v>
      </c>
      <c r="AB718">
        <v>9</v>
      </c>
      <c r="AC718" t="s">
        <v>310</v>
      </c>
      <c r="AD718">
        <v>9</v>
      </c>
      <c r="AE718" t="s">
        <v>1388</v>
      </c>
      <c r="AF718">
        <v>60001000</v>
      </c>
      <c r="AG718" t="s">
        <v>310</v>
      </c>
      <c r="AH718">
        <f>SUM((MID(Dyno_Data[[#This Row],[Team]],4,5))+(Dyno_Data[[#This Row],[Match]]/100))</f>
        <v>3173.12</v>
      </c>
      <c r="AI718" s="76">
        <f>ROUND(SUM(IF(Dyno_Data[[#This Row],[AcqCenter]]&gt;0,Dyno_Data[[#This Row],[Time]]-SUMIFS(Dyno_Data[Time],Dyno_Data[Team],Dyno_Data[[#This Row],[Team]],Dyno_Data[RecordType],"StartMatch",Dyno_Data[Match],Dyno_Data[[#This Row],[Match]]),0)*86400),0)</f>
        <v>0</v>
      </c>
    </row>
    <row r="719" spans="1:35" x14ac:dyDescent="0.3">
      <c r="A719">
        <v>718</v>
      </c>
      <c r="B719" t="s">
        <v>365</v>
      </c>
      <c r="C719">
        <v>12</v>
      </c>
      <c r="D719" s="105">
        <v>45373.443131979169</v>
      </c>
      <c r="E719" t="s">
        <v>312</v>
      </c>
      <c r="F719" t="s">
        <v>1402</v>
      </c>
      <c r="G719">
        <v>0</v>
      </c>
      <c r="H719" t="s">
        <v>315</v>
      </c>
      <c r="I719">
        <v>0</v>
      </c>
      <c r="J719">
        <v>0</v>
      </c>
      <c r="K719">
        <v>0</v>
      </c>
      <c r="L719" t="s">
        <v>241</v>
      </c>
      <c r="M719" t="s">
        <v>1398</v>
      </c>
      <c r="N719">
        <v>0</v>
      </c>
      <c r="O719" t="s">
        <v>319</v>
      </c>
      <c r="P719" t="s">
        <v>310</v>
      </c>
      <c r="Q719" t="s">
        <v>310</v>
      </c>
      <c r="R719" t="s">
        <v>310</v>
      </c>
      <c r="S719">
        <v>9</v>
      </c>
      <c r="T719" t="s">
        <v>310</v>
      </c>
      <c r="U719">
        <v>9</v>
      </c>
      <c r="V719">
        <v>9</v>
      </c>
      <c r="W719">
        <v>0</v>
      </c>
      <c r="X719">
        <v>0</v>
      </c>
      <c r="Y719">
        <v>0</v>
      </c>
      <c r="Z719">
        <v>0</v>
      </c>
      <c r="AA719">
        <v>9</v>
      </c>
      <c r="AB719">
        <v>9</v>
      </c>
      <c r="AC719" t="s">
        <v>310</v>
      </c>
      <c r="AD719">
        <v>9</v>
      </c>
      <c r="AE719" t="s">
        <v>1390</v>
      </c>
      <c r="AF719">
        <v>30000000</v>
      </c>
      <c r="AG719" t="s">
        <v>310</v>
      </c>
      <c r="AH719">
        <f>SUM((MID(Dyno_Data[[#This Row],[Team]],4,5))+(Dyno_Data[[#This Row],[Match]]/100))</f>
        <v>3171.12</v>
      </c>
      <c r="AI719" s="76">
        <f>ROUND(SUM(IF(Dyno_Data[[#This Row],[AcqCenter]]&gt;0,Dyno_Data[[#This Row],[Time]]-SUMIFS(Dyno_Data[Time],Dyno_Data[Team],Dyno_Data[[#This Row],[Team]],Dyno_Data[RecordType],"StartMatch",Dyno_Data[Match],Dyno_Data[[#This Row],[Match]]),0)*86400),0)</f>
        <v>0</v>
      </c>
    </row>
    <row r="720" spans="1:35" x14ac:dyDescent="0.3">
      <c r="A720">
        <v>719</v>
      </c>
      <c r="B720" t="s">
        <v>1305</v>
      </c>
      <c r="C720">
        <v>12</v>
      </c>
      <c r="D720" s="105">
        <v>45373.443174849534</v>
      </c>
      <c r="E720" t="s">
        <v>312</v>
      </c>
      <c r="F720" t="s">
        <v>1402</v>
      </c>
      <c r="G720">
        <v>0</v>
      </c>
      <c r="H720" t="s">
        <v>315</v>
      </c>
      <c r="I720">
        <v>0</v>
      </c>
      <c r="J720">
        <v>0</v>
      </c>
      <c r="K720">
        <v>0</v>
      </c>
      <c r="L720" t="s">
        <v>241</v>
      </c>
      <c r="M720" t="s">
        <v>1398</v>
      </c>
      <c r="N720">
        <v>0</v>
      </c>
      <c r="O720" t="s">
        <v>1391</v>
      </c>
      <c r="P720" t="s">
        <v>310</v>
      </c>
      <c r="Q720" t="s">
        <v>310</v>
      </c>
      <c r="R720" t="s">
        <v>310</v>
      </c>
      <c r="S720">
        <v>9</v>
      </c>
      <c r="T720" t="s">
        <v>310</v>
      </c>
      <c r="U720">
        <v>9</v>
      </c>
      <c r="V720">
        <v>9</v>
      </c>
      <c r="W720">
        <v>0</v>
      </c>
      <c r="X720">
        <v>0</v>
      </c>
      <c r="Y720">
        <v>0</v>
      </c>
      <c r="Z720">
        <v>0</v>
      </c>
      <c r="AA720">
        <v>9</v>
      </c>
      <c r="AB720">
        <v>9</v>
      </c>
      <c r="AC720" t="s">
        <v>310</v>
      </c>
      <c r="AD720">
        <v>9</v>
      </c>
      <c r="AE720" t="s">
        <v>1388</v>
      </c>
      <c r="AF720">
        <v>70001000</v>
      </c>
      <c r="AG720" t="s">
        <v>310</v>
      </c>
      <c r="AH720">
        <f>SUM((MID(Dyno_Data[[#This Row],[Team]],4,5))+(Dyno_Data[[#This Row],[Match]]/100))</f>
        <v>3173.12</v>
      </c>
      <c r="AI720" s="76">
        <f>ROUND(SUM(IF(Dyno_Data[[#This Row],[AcqCenter]]&gt;0,Dyno_Data[[#This Row],[Time]]-SUMIFS(Dyno_Data[Time],Dyno_Data[Team],Dyno_Data[[#This Row],[Team]],Dyno_Data[RecordType],"StartMatch",Dyno_Data[Match],Dyno_Data[[#This Row],[Match]]),0)*86400),0)</f>
        <v>0</v>
      </c>
    </row>
    <row r="721" spans="1:35" x14ac:dyDescent="0.3">
      <c r="A721">
        <v>720</v>
      </c>
      <c r="B721" t="s">
        <v>1300</v>
      </c>
      <c r="C721">
        <v>12</v>
      </c>
      <c r="D721" s="105">
        <v>45373.443190659724</v>
      </c>
      <c r="E721" t="s">
        <v>312</v>
      </c>
      <c r="F721" t="s">
        <v>1402</v>
      </c>
      <c r="G721">
        <v>0</v>
      </c>
      <c r="H721" t="s">
        <v>315</v>
      </c>
      <c r="I721">
        <v>0</v>
      </c>
      <c r="J721">
        <v>0</v>
      </c>
      <c r="K721">
        <v>0</v>
      </c>
      <c r="L721" t="s">
        <v>241</v>
      </c>
      <c r="M721" t="s">
        <v>1398</v>
      </c>
      <c r="N721">
        <v>0</v>
      </c>
      <c r="O721" t="s">
        <v>1389</v>
      </c>
      <c r="P721" t="s">
        <v>310</v>
      </c>
      <c r="Q721" t="s">
        <v>310</v>
      </c>
      <c r="R721" t="s">
        <v>310</v>
      </c>
      <c r="S721">
        <v>9</v>
      </c>
      <c r="T721" t="s">
        <v>310</v>
      </c>
      <c r="U721">
        <v>9</v>
      </c>
      <c r="V721">
        <v>9</v>
      </c>
      <c r="W721">
        <v>0</v>
      </c>
      <c r="X721">
        <v>0</v>
      </c>
      <c r="Y721">
        <v>0</v>
      </c>
      <c r="Z721">
        <v>0</v>
      </c>
      <c r="AA721">
        <v>9</v>
      </c>
      <c r="AB721">
        <v>9</v>
      </c>
      <c r="AC721" t="s">
        <v>310</v>
      </c>
      <c r="AD721">
        <v>9</v>
      </c>
      <c r="AE721" t="s">
        <v>1414</v>
      </c>
      <c r="AF721">
        <v>60000000</v>
      </c>
      <c r="AG721" t="s">
        <v>310</v>
      </c>
      <c r="AH721">
        <f>SUM((MID(Dyno_Data[[#This Row],[Team]],4,5))+(Dyno_Data[[#This Row],[Match]]/100))</f>
        <v>3044.12</v>
      </c>
      <c r="AI721" s="76">
        <f>ROUND(SUM(IF(Dyno_Data[[#This Row],[AcqCenter]]&gt;0,Dyno_Data[[#This Row],[Time]]-SUMIFS(Dyno_Data[Time],Dyno_Data[Team],Dyno_Data[[#This Row],[Team]],Dyno_Data[RecordType],"StartMatch",Dyno_Data[Match],Dyno_Data[[#This Row],[Match]]),0)*86400),0)</f>
        <v>0</v>
      </c>
    </row>
    <row r="722" spans="1:35" x14ac:dyDescent="0.3">
      <c r="A722">
        <v>721</v>
      </c>
      <c r="B722" t="s">
        <v>1305</v>
      </c>
      <c r="C722">
        <v>12</v>
      </c>
      <c r="D722" s="105">
        <v>45373.443302546293</v>
      </c>
      <c r="E722" t="s">
        <v>312</v>
      </c>
      <c r="F722" t="s">
        <v>1402</v>
      </c>
      <c r="G722">
        <v>0</v>
      </c>
      <c r="H722" t="s">
        <v>315</v>
      </c>
      <c r="I722">
        <v>0</v>
      </c>
      <c r="J722">
        <v>0</v>
      </c>
      <c r="K722">
        <v>0</v>
      </c>
      <c r="L722" t="s">
        <v>241</v>
      </c>
      <c r="M722" t="s">
        <v>1398</v>
      </c>
      <c r="N722">
        <v>1</v>
      </c>
      <c r="O722" t="s">
        <v>1391</v>
      </c>
      <c r="P722" t="s">
        <v>310</v>
      </c>
      <c r="Q722" t="s">
        <v>310</v>
      </c>
      <c r="R722" t="s">
        <v>310</v>
      </c>
      <c r="S722">
        <v>9</v>
      </c>
      <c r="T722" t="s">
        <v>310</v>
      </c>
      <c r="U722">
        <v>9</v>
      </c>
      <c r="V722">
        <v>9</v>
      </c>
      <c r="W722">
        <v>0</v>
      </c>
      <c r="X722">
        <v>0</v>
      </c>
      <c r="Y722">
        <v>0</v>
      </c>
      <c r="Z722">
        <v>0</v>
      </c>
      <c r="AA722">
        <v>9</v>
      </c>
      <c r="AB722">
        <v>9</v>
      </c>
      <c r="AC722" t="s">
        <v>310</v>
      </c>
      <c r="AD722">
        <v>9</v>
      </c>
      <c r="AE722" t="s">
        <v>1388</v>
      </c>
      <c r="AF722">
        <v>80001000</v>
      </c>
      <c r="AG722" t="s">
        <v>310</v>
      </c>
      <c r="AH722">
        <f>SUM((MID(Dyno_Data[[#This Row],[Team]],4,5))+(Dyno_Data[[#This Row],[Match]]/100))</f>
        <v>3173.12</v>
      </c>
      <c r="AI722" s="76">
        <f>ROUND(SUM(IF(Dyno_Data[[#This Row],[AcqCenter]]&gt;0,Dyno_Data[[#This Row],[Time]]-SUMIFS(Dyno_Data[Time],Dyno_Data[Team],Dyno_Data[[#This Row],[Team]],Dyno_Data[RecordType],"StartMatch",Dyno_Data[Match],Dyno_Data[[#This Row],[Match]]),0)*86400),0)</f>
        <v>0</v>
      </c>
    </row>
    <row r="723" spans="1:35" x14ac:dyDescent="0.3">
      <c r="A723">
        <v>722</v>
      </c>
      <c r="B723" t="s">
        <v>365</v>
      </c>
      <c r="C723">
        <v>12</v>
      </c>
      <c r="D723" s="105">
        <v>45373.443342395833</v>
      </c>
      <c r="E723" t="s">
        <v>312</v>
      </c>
      <c r="F723" t="s">
        <v>1402</v>
      </c>
      <c r="G723">
        <v>0</v>
      </c>
      <c r="H723" t="s">
        <v>315</v>
      </c>
      <c r="I723">
        <v>0</v>
      </c>
      <c r="J723">
        <v>0</v>
      </c>
      <c r="K723">
        <v>0</v>
      </c>
      <c r="L723" t="s">
        <v>241</v>
      </c>
      <c r="M723" t="s">
        <v>1398</v>
      </c>
      <c r="N723">
        <v>1</v>
      </c>
      <c r="O723" t="s">
        <v>319</v>
      </c>
      <c r="P723" t="s">
        <v>310</v>
      </c>
      <c r="Q723" t="s">
        <v>310</v>
      </c>
      <c r="R723" t="s">
        <v>310</v>
      </c>
      <c r="S723">
        <v>9</v>
      </c>
      <c r="T723" t="s">
        <v>310</v>
      </c>
      <c r="U723">
        <v>9</v>
      </c>
      <c r="V723">
        <v>9</v>
      </c>
      <c r="W723">
        <v>0</v>
      </c>
      <c r="X723">
        <v>0</v>
      </c>
      <c r="Y723">
        <v>0</v>
      </c>
      <c r="Z723">
        <v>0</v>
      </c>
      <c r="AA723">
        <v>9</v>
      </c>
      <c r="AB723">
        <v>9</v>
      </c>
      <c r="AC723" t="s">
        <v>310</v>
      </c>
      <c r="AD723">
        <v>9</v>
      </c>
      <c r="AE723" t="s">
        <v>1390</v>
      </c>
      <c r="AF723">
        <v>40000000</v>
      </c>
      <c r="AG723" t="s">
        <v>310</v>
      </c>
      <c r="AH723">
        <f>SUM((MID(Dyno_Data[[#This Row],[Team]],4,5))+(Dyno_Data[[#This Row],[Match]]/100))</f>
        <v>3171.12</v>
      </c>
      <c r="AI723" s="76">
        <f>ROUND(SUM(IF(Dyno_Data[[#This Row],[AcqCenter]]&gt;0,Dyno_Data[[#This Row],[Time]]-SUMIFS(Dyno_Data[Time],Dyno_Data[Team],Dyno_Data[[#This Row],[Team]],Dyno_Data[RecordType],"StartMatch",Dyno_Data[Match],Dyno_Data[[#This Row],[Match]]),0)*86400),0)</f>
        <v>0</v>
      </c>
    </row>
    <row r="724" spans="1:35" x14ac:dyDescent="0.3">
      <c r="A724">
        <v>723</v>
      </c>
      <c r="B724" t="s">
        <v>1283</v>
      </c>
      <c r="C724">
        <v>12</v>
      </c>
      <c r="D724" s="105">
        <v>45373.443389085645</v>
      </c>
      <c r="E724" t="s">
        <v>312</v>
      </c>
      <c r="F724" t="s">
        <v>1402</v>
      </c>
      <c r="G724">
        <v>0</v>
      </c>
      <c r="H724" t="s">
        <v>315</v>
      </c>
      <c r="I724">
        <v>0</v>
      </c>
      <c r="J724">
        <v>0</v>
      </c>
      <c r="K724">
        <v>0</v>
      </c>
      <c r="L724" t="s">
        <v>241</v>
      </c>
      <c r="M724" t="s">
        <v>1398</v>
      </c>
      <c r="N724">
        <v>1</v>
      </c>
      <c r="O724" t="s">
        <v>1395</v>
      </c>
      <c r="P724" t="s">
        <v>310</v>
      </c>
      <c r="Q724" t="s">
        <v>310</v>
      </c>
      <c r="R724" t="s">
        <v>310</v>
      </c>
      <c r="S724">
        <v>9</v>
      </c>
      <c r="T724" t="s">
        <v>310</v>
      </c>
      <c r="U724">
        <v>9</v>
      </c>
      <c r="V724">
        <v>9</v>
      </c>
      <c r="W724">
        <v>0</v>
      </c>
      <c r="X724">
        <v>0</v>
      </c>
      <c r="Y724">
        <v>0</v>
      </c>
      <c r="Z724">
        <v>0</v>
      </c>
      <c r="AA724">
        <v>9</v>
      </c>
      <c r="AB724">
        <v>9</v>
      </c>
      <c r="AC724" t="s">
        <v>310</v>
      </c>
      <c r="AD724">
        <v>9</v>
      </c>
      <c r="AE724" t="s">
        <v>1413</v>
      </c>
      <c r="AF724">
        <v>20000000</v>
      </c>
      <c r="AG724" t="s">
        <v>310</v>
      </c>
      <c r="AH724">
        <f>SUM((MID(Dyno_Data[[#This Row],[Team]],4,5))+(Dyno_Data[[#This Row],[Match]]/100))</f>
        <v>1601.12</v>
      </c>
      <c r="AI724" s="76">
        <f>ROUND(SUM(IF(Dyno_Data[[#This Row],[AcqCenter]]&gt;0,Dyno_Data[[#This Row],[Time]]-SUMIFS(Dyno_Data[Time],Dyno_Data[Team],Dyno_Data[[#This Row],[Team]],Dyno_Data[RecordType],"StartMatch",Dyno_Data[Match],Dyno_Data[[#This Row],[Match]]),0)*86400),0)</f>
        <v>0</v>
      </c>
    </row>
    <row r="725" spans="1:35" x14ac:dyDescent="0.3">
      <c r="A725">
        <v>724</v>
      </c>
      <c r="B725" t="s">
        <v>1300</v>
      </c>
      <c r="C725">
        <v>12</v>
      </c>
      <c r="D725" s="105">
        <v>45373.443411574073</v>
      </c>
      <c r="E725" t="s">
        <v>312</v>
      </c>
      <c r="F725" t="s">
        <v>1402</v>
      </c>
      <c r="G725">
        <v>0</v>
      </c>
      <c r="H725" t="s">
        <v>315</v>
      </c>
      <c r="I725">
        <v>0</v>
      </c>
      <c r="J725">
        <v>0</v>
      </c>
      <c r="K725">
        <v>0</v>
      </c>
      <c r="L725" t="s">
        <v>241</v>
      </c>
      <c r="M725" t="s">
        <v>1398</v>
      </c>
      <c r="N725">
        <v>0</v>
      </c>
      <c r="O725" t="s">
        <v>1389</v>
      </c>
      <c r="P725" t="s">
        <v>310</v>
      </c>
      <c r="Q725" t="s">
        <v>310</v>
      </c>
      <c r="R725" t="s">
        <v>310</v>
      </c>
      <c r="S725">
        <v>9</v>
      </c>
      <c r="T725" t="s">
        <v>310</v>
      </c>
      <c r="U725">
        <v>9</v>
      </c>
      <c r="V725">
        <v>9</v>
      </c>
      <c r="W725">
        <v>0</v>
      </c>
      <c r="X725">
        <v>0</v>
      </c>
      <c r="Y725">
        <v>0</v>
      </c>
      <c r="Z725">
        <v>0</v>
      </c>
      <c r="AA725">
        <v>9</v>
      </c>
      <c r="AB725">
        <v>9</v>
      </c>
      <c r="AC725" t="s">
        <v>310</v>
      </c>
      <c r="AD725">
        <v>9</v>
      </c>
      <c r="AE725" t="s">
        <v>1414</v>
      </c>
      <c r="AF725">
        <v>70000000</v>
      </c>
      <c r="AG725" t="s">
        <v>310</v>
      </c>
      <c r="AH725">
        <f>SUM((MID(Dyno_Data[[#This Row],[Team]],4,5))+(Dyno_Data[[#This Row],[Match]]/100))</f>
        <v>3044.12</v>
      </c>
      <c r="AI725" s="76">
        <f>ROUND(SUM(IF(Dyno_Data[[#This Row],[AcqCenter]]&gt;0,Dyno_Data[[#This Row],[Time]]-SUMIFS(Dyno_Data[Time],Dyno_Data[Team],Dyno_Data[[#This Row],[Team]],Dyno_Data[RecordType],"StartMatch",Dyno_Data[Match],Dyno_Data[[#This Row],[Match]]),0)*86400),0)</f>
        <v>0</v>
      </c>
    </row>
    <row r="726" spans="1:35" x14ac:dyDescent="0.3">
      <c r="A726">
        <v>725</v>
      </c>
      <c r="B726" t="s">
        <v>1305</v>
      </c>
      <c r="C726">
        <v>12</v>
      </c>
      <c r="D726" s="105">
        <v>45373.443440393516</v>
      </c>
      <c r="E726" t="s">
        <v>312</v>
      </c>
      <c r="F726" t="s">
        <v>1402</v>
      </c>
      <c r="G726">
        <v>0</v>
      </c>
      <c r="H726" t="s">
        <v>315</v>
      </c>
      <c r="I726">
        <v>0</v>
      </c>
      <c r="J726">
        <v>0</v>
      </c>
      <c r="K726">
        <v>0</v>
      </c>
      <c r="L726" t="s">
        <v>241</v>
      </c>
      <c r="M726" t="s">
        <v>101</v>
      </c>
      <c r="N726">
        <v>0</v>
      </c>
      <c r="O726" t="s">
        <v>1391</v>
      </c>
      <c r="P726" t="s">
        <v>310</v>
      </c>
      <c r="Q726" t="s">
        <v>310</v>
      </c>
      <c r="R726" t="s">
        <v>310</v>
      </c>
      <c r="S726">
        <v>9</v>
      </c>
      <c r="T726" t="s">
        <v>310</v>
      </c>
      <c r="U726">
        <v>9</v>
      </c>
      <c r="V726">
        <v>9</v>
      </c>
      <c r="W726">
        <v>0</v>
      </c>
      <c r="X726">
        <v>0</v>
      </c>
      <c r="Y726">
        <v>0</v>
      </c>
      <c r="Z726">
        <v>0</v>
      </c>
      <c r="AA726">
        <v>9</v>
      </c>
      <c r="AB726">
        <v>9</v>
      </c>
      <c r="AC726" t="s">
        <v>310</v>
      </c>
      <c r="AD726">
        <v>9</v>
      </c>
      <c r="AE726" t="s">
        <v>1388</v>
      </c>
      <c r="AF726">
        <v>90001000</v>
      </c>
      <c r="AG726" t="s">
        <v>310</v>
      </c>
      <c r="AH726">
        <f>SUM((MID(Dyno_Data[[#This Row],[Team]],4,5))+(Dyno_Data[[#This Row],[Match]]/100))</f>
        <v>3173.12</v>
      </c>
      <c r="AI726" s="76">
        <f>ROUND(SUM(IF(Dyno_Data[[#This Row],[AcqCenter]]&gt;0,Dyno_Data[[#This Row],[Time]]-SUMIFS(Dyno_Data[Time],Dyno_Data[Team],Dyno_Data[[#This Row],[Team]],Dyno_Data[RecordType],"StartMatch",Dyno_Data[Match],Dyno_Data[[#This Row],[Match]]),0)*86400),0)</f>
        <v>0</v>
      </c>
    </row>
    <row r="727" spans="1:35" x14ac:dyDescent="0.3">
      <c r="A727">
        <v>726</v>
      </c>
      <c r="B727" t="s">
        <v>365</v>
      </c>
      <c r="C727">
        <v>12</v>
      </c>
      <c r="D727" s="105">
        <v>45373.443445717596</v>
      </c>
      <c r="E727" t="s">
        <v>312</v>
      </c>
      <c r="F727" t="s">
        <v>1402</v>
      </c>
      <c r="G727">
        <v>0</v>
      </c>
      <c r="H727" t="s">
        <v>315</v>
      </c>
      <c r="I727">
        <v>0</v>
      </c>
      <c r="J727">
        <v>0</v>
      </c>
      <c r="K727">
        <v>0</v>
      </c>
      <c r="L727" t="s">
        <v>241</v>
      </c>
      <c r="M727" t="s">
        <v>1398</v>
      </c>
      <c r="N727">
        <v>1</v>
      </c>
      <c r="O727" t="s">
        <v>319</v>
      </c>
      <c r="P727" t="s">
        <v>310</v>
      </c>
      <c r="Q727" t="s">
        <v>310</v>
      </c>
      <c r="R727" t="s">
        <v>310</v>
      </c>
      <c r="S727">
        <v>9</v>
      </c>
      <c r="T727" t="s">
        <v>310</v>
      </c>
      <c r="U727">
        <v>9</v>
      </c>
      <c r="V727">
        <v>9</v>
      </c>
      <c r="W727">
        <v>0</v>
      </c>
      <c r="X727">
        <v>0</v>
      </c>
      <c r="Y727">
        <v>0</v>
      </c>
      <c r="Z727">
        <v>0</v>
      </c>
      <c r="AA727">
        <v>9</v>
      </c>
      <c r="AB727">
        <v>9</v>
      </c>
      <c r="AC727" t="s">
        <v>310</v>
      </c>
      <c r="AD727">
        <v>9</v>
      </c>
      <c r="AE727" t="s">
        <v>1390</v>
      </c>
      <c r="AF727">
        <v>50000000</v>
      </c>
      <c r="AG727" t="s">
        <v>310</v>
      </c>
      <c r="AH727">
        <f>SUM((MID(Dyno_Data[[#This Row],[Team]],4,5))+(Dyno_Data[[#This Row],[Match]]/100))</f>
        <v>3171.12</v>
      </c>
      <c r="AI727" s="76">
        <f>ROUND(SUM(IF(Dyno_Data[[#This Row],[AcqCenter]]&gt;0,Dyno_Data[[#This Row],[Time]]-SUMIFS(Dyno_Data[Time],Dyno_Data[Team],Dyno_Data[[#This Row],[Team]],Dyno_Data[RecordType],"StartMatch",Dyno_Data[Match],Dyno_Data[[#This Row],[Match]]),0)*86400),0)</f>
        <v>0</v>
      </c>
    </row>
    <row r="728" spans="1:35" x14ac:dyDescent="0.3">
      <c r="A728">
        <v>727</v>
      </c>
      <c r="B728" t="s">
        <v>1300</v>
      </c>
      <c r="C728">
        <v>12</v>
      </c>
      <c r="D728" s="105">
        <v>45373.443499421293</v>
      </c>
      <c r="E728" t="s">
        <v>312</v>
      </c>
      <c r="F728" t="s">
        <v>1402</v>
      </c>
      <c r="G728">
        <v>0</v>
      </c>
      <c r="H728" t="s">
        <v>315</v>
      </c>
      <c r="I728">
        <v>0</v>
      </c>
      <c r="J728">
        <v>0</v>
      </c>
      <c r="K728">
        <v>0</v>
      </c>
      <c r="L728" t="s">
        <v>241</v>
      </c>
      <c r="M728" t="s">
        <v>1398</v>
      </c>
      <c r="N728">
        <v>0</v>
      </c>
      <c r="O728" t="s">
        <v>1389</v>
      </c>
      <c r="P728" t="s">
        <v>310</v>
      </c>
      <c r="Q728" t="s">
        <v>310</v>
      </c>
      <c r="R728" t="s">
        <v>310</v>
      </c>
      <c r="S728">
        <v>9</v>
      </c>
      <c r="T728" t="s">
        <v>310</v>
      </c>
      <c r="U728">
        <v>9</v>
      </c>
      <c r="V728">
        <v>9</v>
      </c>
      <c r="W728">
        <v>0</v>
      </c>
      <c r="X728">
        <v>0</v>
      </c>
      <c r="Y728">
        <v>0</v>
      </c>
      <c r="Z728">
        <v>0</v>
      </c>
      <c r="AA728">
        <v>9</v>
      </c>
      <c r="AB728">
        <v>9</v>
      </c>
      <c r="AC728" t="s">
        <v>310</v>
      </c>
      <c r="AD728">
        <v>9</v>
      </c>
      <c r="AE728" t="s">
        <v>1414</v>
      </c>
      <c r="AF728">
        <v>80000000</v>
      </c>
      <c r="AG728" t="s">
        <v>310</v>
      </c>
      <c r="AH728">
        <f>SUM((MID(Dyno_Data[[#This Row],[Team]],4,5))+(Dyno_Data[[#This Row],[Match]]/100))</f>
        <v>3044.12</v>
      </c>
      <c r="AI728" s="76">
        <f>ROUND(SUM(IF(Dyno_Data[[#This Row],[AcqCenter]]&gt;0,Dyno_Data[[#This Row],[Time]]-SUMIFS(Dyno_Data[Time],Dyno_Data[Team],Dyno_Data[[#This Row],[Team]],Dyno_Data[RecordType],"StartMatch",Dyno_Data[Match],Dyno_Data[[#This Row],[Match]]),0)*86400),0)</f>
        <v>0</v>
      </c>
    </row>
    <row r="729" spans="1:35" x14ac:dyDescent="0.3">
      <c r="A729">
        <v>728</v>
      </c>
      <c r="B729" t="s">
        <v>365</v>
      </c>
      <c r="C729">
        <v>12</v>
      </c>
      <c r="D729" s="105">
        <v>45373.44353005787</v>
      </c>
      <c r="E729" t="s">
        <v>312</v>
      </c>
      <c r="F729" t="s">
        <v>1402</v>
      </c>
      <c r="G729">
        <v>0</v>
      </c>
      <c r="H729" t="s">
        <v>315</v>
      </c>
      <c r="I729">
        <v>0</v>
      </c>
      <c r="J729">
        <v>0</v>
      </c>
      <c r="K729">
        <v>0</v>
      </c>
      <c r="L729" t="s">
        <v>241</v>
      </c>
      <c r="M729" t="s">
        <v>1398</v>
      </c>
      <c r="N729">
        <v>1</v>
      </c>
      <c r="O729" t="s">
        <v>319</v>
      </c>
      <c r="P729" t="s">
        <v>310</v>
      </c>
      <c r="Q729" t="s">
        <v>310</v>
      </c>
      <c r="R729" t="s">
        <v>310</v>
      </c>
      <c r="S729">
        <v>9</v>
      </c>
      <c r="T729" t="s">
        <v>310</v>
      </c>
      <c r="U729">
        <v>9</v>
      </c>
      <c r="V729">
        <v>9</v>
      </c>
      <c r="W729">
        <v>0</v>
      </c>
      <c r="X729">
        <v>0</v>
      </c>
      <c r="Y729">
        <v>0</v>
      </c>
      <c r="Z729">
        <v>0</v>
      </c>
      <c r="AA729">
        <v>9</v>
      </c>
      <c r="AB729">
        <v>9</v>
      </c>
      <c r="AC729" t="s">
        <v>310</v>
      </c>
      <c r="AD729">
        <v>9</v>
      </c>
      <c r="AE729" t="s">
        <v>1390</v>
      </c>
      <c r="AF729">
        <v>60000000</v>
      </c>
      <c r="AG729" t="s">
        <v>310</v>
      </c>
      <c r="AH729">
        <f>SUM((MID(Dyno_Data[[#This Row],[Team]],4,5))+(Dyno_Data[[#This Row],[Match]]/100))</f>
        <v>3171.12</v>
      </c>
      <c r="AI729" s="76">
        <f>ROUND(SUM(IF(Dyno_Data[[#This Row],[AcqCenter]]&gt;0,Dyno_Data[[#This Row],[Time]]-SUMIFS(Dyno_Data[Time],Dyno_Data[Team],Dyno_Data[[#This Row],[Team]],Dyno_Data[RecordType],"StartMatch",Dyno_Data[Match],Dyno_Data[[#This Row],[Match]]),0)*86400),0)</f>
        <v>0</v>
      </c>
    </row>
    <row r="730" spans="1:35" x14ac:dyDescent="0.3">
      <c r="A730">
        <v>729</v>
      </c>
      <c r="B730" t="s">
        <v>365</v>
      </c>
      <c r="C730">
        <v>12</v>
      </c>
      <c r="D730" s="105">
        <v>45373.44361396991</v>
      </c>
      <c r="E730" t="s">
        <v>312</v>
      </c>
      <c r="F730" t="s">
        <v>1402</v>
      </c>
      <c r="G730">
        <v>0</v>
      </c>
      <c r="H730" t="s">
        <v>315</v>
      </c>
      <c r="I730">
        <v>0</v>
      </c>
      <c r="J730">
        <v>0</v>
      </c>
      <c r="K730">
        <v>0</v>
      </c>
      <c r="L730" t="s">
        <v>241</v>
      </c>
      <c r="M730" t="s">
        <v>1398</v>
      </c>
      <c r="N730">
        <v>0</v>
      </c>
      <c r="O730" t="s">
        <v>319</v>
      </c>
      <c r="P730" t="s">
        <v>310</v>
      </c>
      <c r="Q730" t="s">
        <v>310</v>
      </c>
      <c r="R730" t="s">
        <v>310</v>
      </c>
      <c r="S730">
        <v>9</v>
      </c>
      <c r="T730" t="s">
        <v>310</v>
      </c>
      <c r="U730">
        <v>9</v>
      </c>
      <c r="V730">
        <v>9</v>
      </c>
      <c r="W730">
        <v>0</v>
      </c>
      <c r="X730">
        <v>0</v>
      </c>
      <c r="Y730">
        <v>0</v>
      </c>
      <c r="Z730">
        <v>0</v>
      </c>
      <c r="AA730">
        <v>9</v>
      </c>
      <c r="AB730">
        <v>9</v>
      </c>
      <c r="AC730" t="s">
        <v>310</v>
      </c>
      <c r="AD730">
        <v>9</v>
      </c>
      <c r="AE730" t="s">
        <v>1390</v>
      </c>
      <c r="AF730">
        <v>70000000</v>
      </c>
      <c r="AG730" t="s">
        <v>310</v>
      </c>
      <c r="AH730">
        <f>SUM((MID(Dyno_Data[[#This Row],[Team]],4,5))+(Dyno_Data[[#This Row],[Match]]/100))</f>
        <v>3171.12</v>
      </c>
      <c r="AI730" s="76">
        <f>ROUND(SUM(IF(Dyno_Data[[#This Row],[AcqCenter]]&gt;0,Dyno_Data[[#This Row],[Time]]-SUMIFS(Dyno_Data[Time],Dyno_Data[Team],Dyno_Data[[#This Row],[Team]],Dyno_Data[RecordType],"StartMatch",Dyno_Data[Match],Dyno_Data[[#This Row],[Match]]),0)*86400),0)</f>
        <v>0</v>
      </c>
    </row>
    <row r="731" spans="1:35" x14ac:dyDescent="0.3">
      <c r="A731">
        <v>730</v>
      </c>
      <c r="B731" t="s">
        <v>1305</v>
      </c>
      <c r="C731">
        <v>12</v>
      </c>
      <c r="D731" s="105">
        <v>45373.443671180554</v>
      </c>
      <c r="E731" t="s">
        <v>312</v>
      </c>
      <c r="F731" t="s">
        <v>1402</v>
      </c>
      <c r="G731">
        <v>0</v>
      </c>
      <c r="H731" t="s">
        <v>315</v>
      </c>
      <c r="I731">
        <v>0</v>
      </c>
      <c r="J731">
        <v>0</v>
      </c>
      <c r="K731">
        <v>0</v>
      </c>
      <c r="L731" t="s">
        <v>241</v>
      </c>
      <c r="M731" t="s">
        <v>101</v>
      </c>
      <c r="N731">
        <v>0</v>
      </c>
      <c r="O731" t="s">
        <v>1391</v>
      </c>
      <c r="P731" t="s">
        <v>310</v>
      </c>
      <c r="Q731" t="s">
        <v>310</v>
      </c>
      <c r="R731" t="s">
        <v>310</v>
      </c>
      <c r="S731">
        <v>9</v>
      </c>
      <c r="T731" t="s">
        <v>310</v>
      </c>
      <c r="U731">
        <v>9</v>
      </c>
      <c r="V731">
        <v>9</v>
      </c>
      <c r="W731">
        <v>0</v>
      </c>
      <c r="X731">
        <v>0</v>
      </c>
      <c r="Y731">
        <v>0</v>
      </c>
      <c r="Z731">
        <v>0</v>
      </c>
      <c r="AA731">
        <v>9</v>
      </c>
      <c r="AB731">
        <v>9</v>
      </c>
      <c r="AC731" t="s">
        <v>310</v>
      </c>
      <c r="AD731">
        <v>9</v>
      </c>
      <c r="AE731" t="s">
        <v>1388</v>
      </c>
      <c r="AF731">
        <v>100001000</v>
      </c>
      <c r="AG731" t="s">
        <v>310</v>
      </c>
      <c r="AH731">
        <f>SUM((MID(Dyno_Data[[#This Row],[Team]],4,5))+(Dyno_Data[[#This Row],[Match]]/100))</f>
        <v>3173.12</v>
      </c>
      <c r="AI731" s="76">
        <f>ROUND(SUM(IF(Dyno_Data[[#This Row],[AcqCenter]]&gt;0,Dyno_Data[[#This Row],[Time]]-SUMIFS(Dyno_Data[Time],Dyno_Data[Team],Dyno_Data[[#This Row],[Team]],Dyno_Data[RecordType],"StartMatch",Dyno_Data[Match],Dyno_Data[[#This Row],[Match]]),0)*86400),0)</f>
        <v>0</v>
      </c>
    </row>
    <row r="732" spans="1:35" x14ac:dyDescent="0.3">
      <c r="A732">
        <v>731</v>
      </c>
      <c r="B732" t="s">
        <v>1300</v>
      </c>
      <c r="C732">
        <v>12</v>
      </c>
      <c r="D732" s="105">
        <v>45373.443714039349</v>
      </c>
      <c r="E732" t="s">
        <v>312</v>
      </c>
      <c r="F732" t="s">
        <v>1402</v>
      </c>
      <c r="G732">
        <v>0</v>
      </c>
      <c r="H732" t="s">
        <v>315</v>
      </c>
      <c r="I732">
        <v>0</v>
      </c>
      <c r="J732">
        <v>0</v>
      </c>
      <c r="K732">
        <v>0</v>
      </c>
      <c r="L732" t="s">
        <v>241</v>
      </c>
      <c r="M732" t="s">
        <v>1398</v>
      </c>
      <c r="N732">
        <v>0</v>
      </c>
      <c r="O732" t="s">
        <v>1389</v>
      </c>
      <c r="P732" t="s">
        <v>310</v>
      </c>
      <c r="Q732" t="s">
        <v>310</v>
      </c>
      <c r="R732" t="s">
        <v>310</v>
      </c>
      <c r="S732">
        <v>9</v>
      </c>
      <c r="T732" t="s">
        <v>310</v>
      </c>
      <c r="U732">
        <v>9</v>
      </c>
      <c r="V732">
        <v>9</v>
      </c>
      <c r="W732">
        <v>0</v>
      </c>
      <c r="X732">
        <v>0</v>
      </c>
      <c r="Y732">
        <v>0</v>
      </c>
      <c r="Z732">
        <v>0</v>
      </c>
      <c r="AA732">
        <v>9</v>
      </c>
      <c r="AB732">
        <v>9</v>
      </c>
      <c r="AC732" t="s">
        <v>310</v>
      </c>
      <c r="AD732">
        <v>9</v>
      </c>
      <c r="AE732" t="s">
        <v>1414</v>
      </c>
      <c r="AF732">
        <v>90000000</v>
      </c>
      <c r="AG732" t="s">
        <v>310</v>
      </c>
      <c r="AH732">
        <f>SUM((MID(Dyno_Data[[#This Row],[Team]],4,5))+(Dyno_Data[[#This Row],[Match]]/100))</f>
        <v>3044.12</v>
      </c>
      <c r="AI732" s="76">
        <f>ROUND(SUM(IF(Dyno_Data[[#This Row],[AcqCenter]]&gt;0,Dyno_Data[[#This Row],[Time]]-SUMIFS(Dyno_Data[Time],Dyno_Data[Team],Dyno_Data[[#This Row],[Team]],Dyno_Data[RecordType],"StartMatch",Dyno_Data[Match],Dyno_Data[[#This Row],[Match]]),0)*86400),0)</f>
        <v>0</v>
      </c>
    </row>
    <row r="733" spans="1:35" x14ac:dyDescent="0.3">
      <c r="A733">
        <v>732</v>
      </c>
      <c r="B733" t="s">
        <v>1300</v>
      </c>
      <c r="C733">
        <v>12</v>
      </c>
      <c r="D733" s="105">
        <v>45373.443734490742</v>
      </c>
      <c r="E733" t="s">
        <v>312</v>
      </c>
      <c r="F733" t="s">
        <v>1402</v>
      </c>
      <c r="G733">
        <v>0</v>
      </c>
      <c r="H733" t="s">
        <v>315</v>
      </c>
      <c r="I733">
        <v>0</v>
      </c>
      <c r="J733">
        <v>0</v>
      </c>
      <c r="K733">
        <v>0</v>
      </c>
      <c r="L733" t="s">
        <v>241</v>
      </c>
      <c r="M733" t="s">
        <v>1398</v>
      </c>
      <c r="N733">
        <v>0</v>
      </c>
      <c r="O733" t="s">
        <v>1389</v>
      </c>
      <c r="P733" t="s">
        <v>310</v>
      </c>
      <c r="Q733" t="s">
        <v>310</v>
      </c>
      <c r="R733" t="s">
        <v>310</v>
      </c>
      <c r="S733">
        <v>9</v>
      </c>
      <c r="T733" t="s">
        <v>310</v>
      </c>
      <c r="U733">
        <v>9</v>
      </c>
      <c r="V733">
        <v>9</v>
      </c>
      <c r="W733">
        <v>0</v>
      </c>
      <c r="X733">
        <v>0</v>
      </c>
      <c r="Y733">
        <v>0</v>
      </c>
      <c r="Z733">
        <v>0</v>
      </c>
      <c r="AA733">
        <v>9</v>
      </c>
      <c r="AB733">
        <v>9</v>
      </c>
      <c r="AC733" t="s">
        <v>310</v>
      </c>
      <c r="AD733">
        <v>9</v>
      </c>
      <c r="AE733" t="s">
        <v>1414</v>
      </c>
      <c r="AF733">
        <v>100000000</v>
      </c>
      <c r="AG733" t="s">
        <v>310</v>
      </c>
      <c r="AH733">
        <f>SUM((MID(Dyno_Data[[#This Row],[Team]],4,5))+(Dyno_Data[[#This Row],[Match]]/100))</f>
        <v>3044.12</v>
      </c>
      <c r="AI733" s="76">
        <f>ROUND(SUM(IF(Dyno_Data[[#This Row],[AcqCenter]]&gt;0,Dyno_Data[[#This Row],[Time]]-SUMIFS(Dyno_Data[Time],Dyno_Data[Team],Dyno_Data[[#This Row],[Team]],Dyno_Data[RecordType],"StartMatch",Dyno_Data[Match],Dyno_Data[[#This Row],[Match]]),0)*86400),0)</f>
        <v>0</v>
      </c>
    </row>
    <row r="734" spans="1:35" x14ac:dyDescent="0.3">
      <c r="A734">
        <v>733</v>
      </c>
      <c r="B734" t="s">
        <v>1305</v>
      </c>
      <c r="C734">
        <v>12</v>
      </c>
      <c r="D734" s="105">
        <v>45373.443826041665</v>
      </c>
      <c r="E734" t="s">
        <v>312</v>
      </c>
      <c r="F734" t="s">
        <v>1402</v>
      </c>
      <c r="G734">
        <v>0</v>
      </c>
      <c r="H734" t="s">
        <v>315</v>
      </c>
      <c r="I734">
        <v>0</v>
      </c>
      <c r="J734">
        <v>0</v>
      </c>
      <c r="K734">
        <v>0</v>
      </c>
      <c r="L734" t="s">
        <v>241</v>
      </c>
      <c r="M734" t="s">
        <v>1398</v>
      </c>
      <c r="N734">
        <v>1</v>
      </c>
      <c r="O734" t="s">
        <v>1391</v>
      </c>
      <c r="P734" t="s">
        <v>310</v>
      </c>
      <c r="Q734" t="s">
        <v>310</v>
      </c>
      <c r="R734" t="s">
        <v>310</v>
      </c>
      <c r="S734">
        <v>9</v>
      </c>
      <c r="T734" t="s">
        <v>310</v>
      </c>
      <c r="U734">
        <v>9</v>
      </c>
      <c r="V734">
        <v>9</v>
      </c>
      <c r="W734">
        <v>0</v>
      </c>
      <c r="X734">
        <v>0</v>
      </c>
      <c r="Y734">
        <v>0</v>
      </c>
      <c r="Z734">
        <v>0</v>
      </c>
      <c r="AA734">
        <v>9</v>
      </c>
      <c r="AB734">
        <v>9</v>
      </c>
      <c r="AC734" t="s">
        <v>310</v>
      </c>
      <c r="AD734">
        <v>9</v>
      </c>
      <c r="AE734" t="s">
        <v>1388</v>
      </c>
      <c r="AF734">
        <v>110001000</v>
      </c>
      <c r="AG734" t="s">
        <v>310</v>
      </c>
      <c r="AH734">
        <f>SUM((MID(Dyno_Data[[#This Row],[Team]],4,5))+(Dyno_Data[[#This Row],[Match]]/100))</f>
        <v>3173.12</v>
      </c>
      <c r="AI734" s="76">
        <f>ROUND(SUM(IF(Dyno_Data[[#This Row],[AcqCenter]]&gt;0,Dyno_Data[[#This Row],[Time]]-SUMIFS(Dyno_Data[Time],Dyno_Data[Team],Dyno_Data[[#This Row],[Team]],Dyno_Data[RecordType],"StartMatch",Dyno_Data[Match],Dyno_Data[[#This Row],[Match]]),0)*86400),0)</f>
        <v>0</v>
      </c>
    </row>
    <row r="735" spans="1:35" x14ac:dyDescent="0.3">
      <c r="A735">
        <v>734</v>
      </c>
      <c r="B735" t="s">
        <v>1305</v>
      </c>
      <c r="C735">
        <v>12</v>
      </c>
      <c r="D735" s="105">
        <v>45373.443916666663</v>
      </c>
      <c r="E735" t="s">
        <v>312</v>
      </c>
      <c r="F735" t="s">
        <v>1402</v>
      </c>
      <c r="G735">
        <v>0</v>
      </c>
      <c r="H735" t="s">
        <v>315</v>
      </c>
      <c r="I735">
        <v>0</v>
      </c>
      <c r="J735">
        <v>0</v>
      </c>
      <c r="K735">
        <v>0</v>
      </c>
      <c r="L735" t="s">
        <v>241</v>
      </c>
      <c r="M735" t="s">
        <v>1398</v>
      </c>
      <c r="N735">
        <v>0</v>
      </c>
      <c r="O735" t="s">
        <v>1391</v>
      </c>
      <c r="P735" t="s">
        <v>310</v>
      </c>
      <c r="Q735" t="s">
        <v>310</v>
      </c>
      <c r="R735" t="s">
        <v>310</v>
      </c>
      <c r="S735">
        <v>9</v>
      </c>
      <c r="T735" t="s">
        <v>310</v>
      </c>
      <c r="U735">
        <v>9</v>
      </c>
      <c r="V735">
        <v>9</v>
      </c>
      <c r="W735">
        <v>0</v>
      </c>
      <c r="X735">
        <v>0</v>
      </c>
      <c r="Y735">
        <v>0</v>
      </c>
      <c r="Z735">
        <v>0</v>
      </c>
      <c r="AA735">
        <v>9</v>
      </c>
      <c r="AB735">
        <v>9</v>
      </c>
      <c r="AC735" t="s">
        <v>310</v>
      </c>
      <c r="AD735">
        <v>9</v>
      </c>
      <c r="AE735" t="s">
        <v>1388</v>
      </c>
      <c r="AF735">
        <v>120001000</v>
      </c>
      <c r="AG735" t="s">
        <v>310</v>
      </c>
      <c r="AH735">
        <f>SUM((MID(Dyno_Data[[#This Row],[Team]],4,5))+(Dyno_Data[[#This Row],[Match]]/100))</f>
        <v>3173.12</v>
      </c>
      <c r="AI735" s="76">
        <f>ROUND(SUM(IF(Dyno_Data[[#This Row],[AcqCenter]]&gt;0,Dyno_Data[[#This Row],[Time]]-SUMIFS(Dyno_Data[Time],Dyno_Data[Team],Dyno_Data[[#This Row],[Team]],Dyno_Data[RecordType],"StartMatch",Dyno_Data[Match],Dyno_Data[[#This Row],[Match]]),0)*86400),0)</f>
        <v>0</v>
      </c>
    </row>
    <row r="736" spans="1:35" x14ac:dyDescent="0.3">
      <c r="A736">
        <v>735</v>
      </c>
      <c r="B736" t="s">
        <v>365</v>
      </c>
      <c r="C736">
        <v>12</v>
      </c>
      <c r="D736" s="105">
        <v>45373.443931099537</v>
      </c>
      <c r="E736" t="s">
        <v>312</v>
      </c>
      <c r="F736" t="s">
        <v>1402</v>
      </c>
      <c r="G736">
        <v>0</v>
      </c>
      <c r="H736" t="s">
        <v>315</v>
      </c>
      <c r="I736">
        <v>0</v>
      </c>
      <c r="J736">
        <v>0</v>
      </c>
      <c r="K736">
        <v>0</v>
      </c>
      <c r="L736" t="s">
        <v>241</v>
      </c>
      <c r="M736" t="s">
        <v>1398</v>
      </c>
      <c r="N736">
        <v>1</v>
      </c>
      <c r="O736" t="s">
        <v>319</v>
      </c>
      <c r="P736" t="s">
        <v>310</v>
      </c>
      <c r="Q736" t="s">
        <v>310</v>
      </c>
      <c r="R736" t="s">
        <v>310</v>
      </c>
      <c r="S736">
        <v>9</v>
      </c>
      <c r="T736" t="s">
        <v>310</v>
      </c>
      <c r="U736">
        <v>9</v>
      </c>
      <c r="V736">
        <v>9</v>
      </c>
      <c r="W736">
        <v>0</v>
      </c>
      <c r="X736">
        <v>0</v>
      </c>
      <c r="Y736">
        <v>0</v>
      </c>
      <c r="Z736">
        <v>0</v>
      </c>
      <c r="AA736">
        <v>9</v>
      </c>
      <c r="AB736">
        <v>9</v>
      </c>
      <c r="AC736" t="s">
        <v>310</v>
      </c>
      <c r="AD736">
        <v>9</v>
      </c>
      <c r="AE736" t="s">
        <v>1390</v>
      </c>
      <c r="AF736">
        <v>80000000</v>
      </c>
      <c r="AG736" t="s">
        <v>310</v>
      </c>
      <c r="AH736">
        <f>SUM((MID(Dyno_Data[[#This Row],[Team]],4,5))+(Dyno_Data[[#This Row],[Match]]/100))</f>
        <v>3171.12</v>
      </c>
      <c r="AI736" s="76">
        <f>ROUND(SUM(IF(Dyno_Data[[#This Row],[AcqCenter]]&gt;0,Dyno_Data[[#This Row],[Time]]-SUMIFS(Dyno_Data[Time],Dyno_Data[Team],Dyno_Data[[#This Row],[Team]],Dyno_Data[RecordType],"StartMatch",Dyno_Data[Match],Dyno_Data[[#This Row],[Match]]),0)*86400),0)</f>
        <v>0</v>
      </c>
    </row>
    <row r="737" spans="1:35" x14ac:dyDescent="0.3">
      <c r="A737">
        <v>736</v>
      </c>
      <c r="B737" t="s">
        <v>1300</v>
      </c>
      <c r="C737">
        <v>12</v>
      </c>
      <c r="D737" s="105">
        <v>45373.443957951386</v>
      </c>
      <c r="E737" t="s">
        <v>312</v>
      </c>
      <c r="F737" t="s">
        <v>1402</v>
      </c>
      <c r="G737">
        <v>0</v>
      </c>
      <c r="H737" t="s">
        <v>315</v>
      </c>
      <c r="I737">
        <v>0</v>
      </c>
      <c r="J737">
        <v>0</v>
      </c>
      <c r="K737">
        <v>0</v>
      </c>
      <c r="L737" t="s">
        <v>241</v>
      </c>
      <c r="M737" t="s">
        <v>1398</v>
      </c>
      <c r="N737">
        <v>1</v>
      </c>
      <c r="O737" t="s">
        <v>1389</v>
      </c>
      <c r="P737" t="s">
        <v>310</v>
      </c>
      <c r="Q737" t="s">
        <v>310</v>
      </c>
      <c r="R737" t="s">
        <v>310</v>
      </c>
      <c r="S737">
        <v>9</v>
      </c>
      <c r="T737" t="s">
        <v>310</v>
      </c>
      <c r="U737">
        <v>9</v>
      </c>
      <c r="V737">
        <v>9</v>
      </c>
      <c r="W737">
        <v>0</v>
      </c>
      <c r="X737">
        <v>0</v>
      </c>
      <c r="Y737">
        <v>0</v>
      </c>
      <c r="Z737">
        <v>0</v>
      </c>
      <c r="AA737">
        <v>9</v>
      </c>
      <c r="AB737">
        <v>9</v>
      </c>
      <c r="AC737" t="s">
        <v>310</v>
      </c>
      <c r="AD737">
        <v>9</v>
      </c>
      <c r="AE737" t="s">
        <v>1414</v>
      </c>
      <c r="AF737">
        <v>110000000</v>
      </c>
      <c r="AG737" t="s">
        <v>310</v>
      </c>
      <c r="AH737">
        <f>SUM((MID(Dyno_Data[[#This Row],[Team]],4,5))+(Dyno_Data[[#This Row],[Match]]/100))</f>
        <v>3044.12</v>
      </c>
      <c r="AI737" s="76">
        <f>ROUND(SUM(IF(Dyno_Data[[#This Row],[AcqCenter]]&gt;0,Dyno_Data[[#This Row],[Time]]-SUMIFS(Dyno_Data[Time],Dyno_Data[Team],Dyno_Data[[#This Row],[Team]],Dyno_Data[RecordType],"StartMatch",Dyno_Data[Match],Dyno_Data[[#This Row],[Match]]),0)*86400),0)</f>
        <v>0</v>
      </c>
    </row>
    <row r="738" spans="1:35" x14ac:dyDescent="0.3">
      <c r="A738">
        <v>737</v>
      </c>
      <c r="B738" t="s">
        <v>1305</v>
      </c>
      <c r="C738">
        <v>12</v>
      </c>
      <c r="D738" s="105">
        <v>45373.443992511573</v>
      </c>
      <c r="E738" t="s">
        <v>312</v>
      </c>
      <c r="F738" t="s">
        <v>1402</v>
      </c>
      <c r="G738">
        <v>0</v>
      </c>
      <c r="H738" t="s">
        <v>315</v>
      </c>
      <c r="I738">
        <v>0</v>
      </c>
      <c r="J738">
        <v>0</v>
      </c>
      <c r="K738">
        <v>0</v>
      </c>
      <c r="L738" t="s">
        <v>241</v>
      </c>
      <c r="M738" t="s">
        <v>1398</v>
      </c>
      <c r="N738">
        <v>1</v>
      </c>
      <c r="O738" t="s">
        <v>1391</v>
      </c>
      <c r="P738" t="s">
        <v>310</v>
      </c>
      <c r="Q738" t="s">
        <v>310</v>
      </c>
      <c r="R738" t="s">
        <v>310</v>
      </c>
      <c r="S738">
        <v>9</v>
      </c>
      <c r="T738" t="s">
        <v>310</v>
      </c>
      <c r="U738">
        <v>9</v>
      </c>
      <c r="V738">
        <v>9</v>
      </c>
      <c r="W738">
        <v>0</v>
      </c>
      <c r="X738">
        <v>0</v>
      </c>
      <c r="Y738">
        <v>0</v>
      </c>
      <c r="Z738">
        <v>0</v>
      </c>
      <c r="AA738">
        <v>9</v>
      </c>
      <c r="AB738">
        <v>9</v>
      </c>
      <c r="AC738" t="s">
        <v>310</v>
      </c>
      <c r="AD738">
        <v>9</v>
      </c>
      <c r="AE738" t="s">
        <v>1388</v>
      </c>
      <c r="AF738">
        <v>130001000</v>
      </c>
      <c r="AG738" t="s">
        <v>310</v>
      </c>
      <c r="AH738">
        <f>SUM((MID(Dyno_Data[[#This Row],[Team]],4,5))+(Dyno_Data[[#This Row],[Match]]/100))</f>
        <v>3173.12</v>
      </c>
      <c r="AI738" s="76">
        <f>ROUND(SUM(IF(Dyno_Data[[#This Row],[AcqCenter]]&gt;0,Dyno_Data[[#This Row],[Time]]-SUMIFS(Dyno_Data[Time],Dyno_Data[Team],Dyno_Data[[#This Row],[Team]],Dyno_Data[RecordType],"StartMatch",Dyno_Data[Match],Dyno_Data[[#This Row],[Match]]),0)*86400),0)</f>
        <v>0</v>
      </c>
    </row>
    <row r="739" spans="1:35" x14ac:dyDescent="0.3">
      <c r="A739">
        <v>738</v>
      </c>
      <c r="B739" t="s">
        <v>365</v>
      </c>
      <c r="C739">
        <v>12</v>
      </c>
      <c r="D739" s="105">
        <v>45373.443994675923</v>
      </c>
      <c r="E739" t="s">
        <v>312</v>
      </c>
      <c r="F739" t="s">
        <v>1402</v>
      </c>
      <c r="G739">
        <v>0</v>
      </c>
      <c r="H739" t="s">
        <v>315</v>
      </c>
      <c r="I739">
        <v>0</v>
      </c>
      <c r="J739">
        <v>0</v>
      </c>
      <c r="K739">
        <v>0</v>
      </c>
      <c r="L739" t="s">
        <v>241</v>
      </c>
      <c r="M739" t="s">
        <v>1398</v>
      </c>
      <c r="N739">
        <v>1</v>
      </c>
      <c r="O739" t="s">
        <v>319</v>
      </c>
      <c r="P739" t="s">
        <v>310</v>
      </c>
      <c r="Q739" t="s">
        <v>310</v>
      </c>
      <c r="R739" t="s">
        <v>310</v>
      </c>
      <c r="S739">
        <v>9</v>
      </c>
      <c r="T739" t="s">
        <v>310</v>
      </c>
      <c r="U739">
        <v>9</v>
      </c>
      <c r="V739">
        <v>9</v>
      </c>
      <c r="W739">
        <v>0</v>
      </c>
      <c r="X739">
        <v>0</v>
      </c>
      <c r="Y739">
        <v>0</v>
      </c>
      <c r="Z739">
        <v>0</v>
      </c>
      <c r="AA739">
        <v>9</v>
      </c>
      <c r="AB739">
        <v>9</v>
      </c>
      <c r="AC739" t="s">
        <v>310</v>
      </c>
      <c r="AD739">
        <v>9</v>
      </c>
      <c r="AE739" t="s">
        <v>1390</v>
      </c>
      <c r="AF739">
        <v>90000000</v>
      </c>
      <c r="AG739" t="s">
        <v>310</v>
      </c>
      <c r="AH739">
        <f>SUM((MID(Dyno_Data[[#This Row],[Team]],4,5))+(Dyno_Data[[#This Row],[Match]]/100))</f>
        <v>3171.12</v>
      </c>
      <c r="AI739" s="76">
        <f>ROUND(SUM(IF(Dyno_Data[[#This Row],[AcqCenter]]&gt;0,Dyno_Data[[#This Row],[Time]]-SUMIFS(Dyno_Data[Time],Dyno_Data[Team],Dyno_Data[[#This Row],[Team]],Dyno_Data[RecordType],"StartMatch",Dyno_Data[Match],Dyno_Data[[#This Row],[Match]]),0)*86400),0)</f>
        <v>0</v>
      </c>
    </row>
    <row r="740" spans="1:35" x14ac:dyDescent="0.3">
      <c r="A740">
        <v>739</v>
      </c>
      <c r="B740" t="s">
        <v>365</v>
      </c>
      <c r="C740">
        <v>12</v>
      </c>
      <c r="D740" s="105">
        <v>45373.444017974536</v>
      </c>
      <c r="E740" t="s">
        <v>312</v>
      </c>
      <c r="F740" t="s">
        <v>1402</v>
      </c>
      <c r="G740">
        <v>0</v>
      </c>
      <c r="H740" t="s">
        <v>315</v>
      </c>
      <c r="I740">
        <v>0</v>
      </c>
      <c r="J740">
        <v>0</v>
      </c>
      <c r="K740">
        <v>0</v>
      </c>
      <c r="L740" t="s">
        <v>241</v>
      </c>
      <c r="M740" t="s">
        <v>1398</v>
      </c>
      <c r="N740">
        <v>0</v>
      </c>
      <c r="O740" t="s">
        <v>319</v>
      </c>
      <c r="P740" t="s">
        <v>310</v>
      </c>
      <c r="Q740" t="s">
        <v>310</v>
      </c>
      <c r="R740" t="s">
        <v>310</v>
      </c>
      <c r="S740">
        <v>9</v>
      </c>
      <c r="T740" t="s">
        <v>310</v>
      </c>
      <c r="U740">
        <v>9</v>
      </c>
      <c r="V740">
        <v>9</v>
      </c>
      <c r="W740">
        <v>0</v>
      </c>
      <c r="X740">
        <v>0</v>
      </c>
      <c r="Y740">
        <v>0</v>
      </c>
      <c r="Z740">
        <v>0</v>
      </c>
      <c r="AA740">
        <v>9</v>
      </c>
      <c r="AB740">
        <v>9</v>
      </c>
      <c r="AC740" t="s">
        <v>310</v>
      </c>
      <c r="AD740">
        <v>9</v>
      </c>
      <c r="AE740" t="s">
        <v>1390</v>
      </c>
      <c r="AF740">
        <v>100000000</v>
      </c>
      <c r="AG740" t="s">
        <v>310</v>
      </c>
      <c r="AH740">
        <f>SUM((MID(Dyno_Data[[#This Row],[Team]],4,5))+(Dyno_Data[[#This Row],[Match]]/100))</f>
        <v>3171.12</v>
      </c>
      <c r="AI740" s="76">
        <f>ROUND(SUM(IF(Dyno_Data[[#This Row],[AcqCenter]]&gt;0,Dyno_Data[[#This Row],[Time]]-SUMIFS(Dyno_Data[Time],Dyno_Data[Team],Dyno_Data[[#This Row],[Team]],Dyno_Data[RecordType],"StartMatch",Dyno_Data[Match],Dyno_Data[[#This Row],[Match]]),0)*86400),0)</f>
        <v>0</v>
      </c>
    </row>
    <row r="741" spans="1:35" x14ac:dyDescent="0.3">
      <c r="A741">
        <v>740</v>
      </c>
      <c r="B741" t="s">
        <v>1305</v>
      </c>
      <c r="C741">
        <v>12</v>
      </c>
      <c r="D741" s="105">
        <v>45373.444048263889</v>
      </c>
      <c r="E741" t="s">
        <v>312</v>
      </c>
      <c r="F741" t="s">
        <v>1402</v>
      </c>
      <c r="G741">
        <v>0</v>
      </c>
      <c r="H741" t="s">
        <v>315</v>
      </c>
      <c r="I741">
        <v>0</v>
      </c>
      <c r="J741">
        <v>0</v>
      </c>
      <c r="K741">
        <v>0</v>
      </c>
      <c r="L741" t="s">
        <v>240</v>
      </c>
      <c r="M741" t="s">
        <v>1398</v>
      </c>
      <c r="N741">
        <v>0</v>
      </c>
      <c r="O741" t="s">
        <v>1391</v>
      </c>
      <c r="P741" t="s">
        <v>310</v>
      </c>
      <c r="Q741" t="s">
        <v>310</v>
      </c>
      <c r="R741" t="s">
        <v>310</v>
      </c>
      <c r="S741">
        <v>9</v>
      </c>
      <c r="T741" t="s">
        <v>310</v>
      </c>
      <c r="U741">
        <v>9</v>
      </c>
      <c r="V741">
        <v>9</v>
      </c>
      <c r="W741">
        <v>0</v>
      </c>
      <c r="X741">
        <v>0</v>
      </c>
      <c r="Y741">
        <v>0</v>
      </c>
      <c r="Z741">
        <v>0</v>
      </c>
      <c r="AA741">
        <v>9</v>
      </c>
      <c r="AB741">
        <v>9</v>
      </c>
      <c r="AC741" t="s">
        <v>310</v>
      </c>
      <c r="AD741">
        <v>9</v>
      </c>
      <c r="AE741" t="s">
        <v>1388</v>
      </c>
      <c r="AF741">
        <v>140001000</v>
      </c>
      <c r="AG741" t="s">
        <v>310</v>
      </c>
      <c r="AH741">
        <f>SUM((MID(Dyno_Data[[#This Row],[Team]],4,5))+(Dyno_Data[[#This Row],[Match]]/100))</f>
        <v>3173.12</v>
      </c>
      <c r="AI741" s="76">
        <f>ROUND(SUM(IF(Dyno_Data[[#This Row],[AcqCenter]]&gt;0,Dyno_Data[[#This Row],[Time]]-SUMIFS(Dyno_Data[Time],Dyno_Data[Team],Dyno_Data[[#This Row],[Team]],Dyno_Data[RecordType],"StartMatch",Dyno_Data[Match],Dyno_Data[[#This Row],[Match]]),0)*86400),0)</f>
        <v>0</v>
      </c>
    </row>
    <row r="742" spans="1:35" x14ac:dyDescent="0.3">
      <c r="A742">
        <v>741</v>
      </c>
      <c r="B742" t="s">
        <v>1300</v>
      </c>
      <c r="C742">
        <v>12</v>
      </c>
      <c r="D742" s="105">
        <v>45373.444077233798</v>
      </c>
      <c r="E742" t="s">
        <v>312</v>
      </c>
      <c r="F742" t="s">
        <v>1402</v>
      </c>
      <c r="G742">
        <v>0</v>
      </c>
      <c r="H742" t="s">
        <v>315</v>
      </c>
      <c r="I742">
        <v>0</v>
      </c>
      <c r="J742">
        <v>0</v>
      </c>
      <c r="K742">
        <v>0</v>
      </c>
      <c r="L742" t="s">
        <v>241</v>
      </c>
      <c r="M742" t="s">
        <v>1398</v>
      </c>
      <c r="N742">
        <v>0</v>
      </c>
      <c r="O742" t="s">
        <v>1389</v>
      </c>
      <c r="P742" t="s">
        <v>310</v>
      </c>
      <c r="Q742" t="s">
        <v>310</v>
      </c>
      <c r="R742" t="s">
        <v>310</v>
      </c>
      <c r="S742">
        <v>9</v>
      </c>
      <c r="T742" t="s">
        <v>310</v>
      </c>
      <c r="U742">
        <v>9</v>
      </c>
      <c r="V742">
        <v>9</v>
      </c>
      <c r="W742">
        <v>0</v>
      </c>
      <c r="X742">
        <v>0</v>
      </c>
      <c r="Y742">
        <v>0</v>
      </c>
      <c r="Z742">
        <v>0</v>
      </c>
      <c r="AA742">
        <v>9</v>
      </c>
      <c r="AB742">
        <v>9</v>
      </c>
      <c r="AC742" t="s">
        <v>310</v>
      </c>
      <c r="AD742">
        <v>9</v>
      </c>
      <c r="AE742" t="s">
        <v>1414</v>
      </c>
      <c r="AF742">
        <v>120000000</v>
      </c>
      <c r="AG742" t="s">
        <v>310</v>
      </c>
      <c r="AH742">
        <f>SUM((MID(Dyno_Data[[#This Row],[Team]],4,5))+(Dyno_Data[[#This Row],[Match]]/100))</f>
        <v>3044.12</v>
      </c>
      <c r="AI742" s="76">
        <f>ROUND(SUM(IF(Dyno_Data[[#This Row],[AcqCenter]]&gt;0,Dyno_Data[[#This Row],[Time]]-SUMIFS(Dyno_Data[Time],Dyno_Data[Team],Dyno_Data[[#This Row],[Team]],Dyno_Data[RecordType],"StartMatch",Dyno_Data[Match],Dyno_Data[[#This Row],[Match]]),0)*86400),0)</f>
        <v>0</v>
      </c>
    </row>
    <row r="743" spans="1:35" x14ac:dyDescent="0.3">
      <c r="A743">
        <v>742</v>
      </c>
      <c r="B743" t="s">
        <v>365</v>
      </c>
      <c r="C743">
        <v>12</v>
      </c>
      <c r="D743" s="105">
        <v>45373.444125694441</v>
      </c>
      <c r="E743" t="s">
        <v>312</v>
      </c>
      <c r="F743" t="s">
        <v>1402</v>
      </c>
      <c r="G743">
        <v>0</v>
      </c>
      <c r="H743" t="s">
        <v>315</v>
      </c>
      <c r="I743">
        <v>0</v>
      </c>
      <c r="J743">
        <v>0</v>
      </c>
      <c r="K743">
        <v>0</v>
      </c>
      <c r="L743" t="s">
        <v>240</v>
      </c>
      <c r="M743" t="s">
        <v>1398</v>
      </c>
      <c r="N743">
        <v>1</v>
      </c>
      <c r="O743" t="s">
        <v>319</v>
      </c>
      <c r="P743" t="s">
        <v>310</v>
      </c>
      <c r="Q743" t="s">
        <v>310</v>
      </c>
      <c r="R743" t="s">
        <v>310</v>
      </c>
      <c r="S743">
        <v>9</v>
      </c>
      <c r="T743" t="s">
        <v>310</v>
      </c>
      <c r="U743">
        <v>9</v>
      </c>
      <c r="V743">
        <v>9</v>
      </c>
      <c r="W743">
        <v>0</v>
      </c>
      <c r="X743">
        <v>0</v>
      </c>
      <c r="Y743">
        <v>0</v>
      </c>
      <c r="Z743">
        <v>0</v>
      </c>
      <c r="AA743">
        <v>9</v>
      </c>
      <c r="AB743">
        <v>9</v>
      </c>
      <c r="AC743" t="s">
        <v>310</v>
      </c>
      <c r="AD743">
        <v>9</v>
      </c>
      <c r="AE743" t="s">
        <v>1390</v>
      </c>
      <c r="AF743">
        <v>110000000</v>
      </c>
      <c r="AG743" t="s">
        <v>310</v>
      </c>
      <c r="AH743">
        <f>SUM((MID(Dyno_Data[[#This Row],[Team]],4,5))+(Dyno_Data[[#This Row],[Match]]/100))</f>
        <v>3171.12</v>
      </c>
      <c r="AI743" s="76">
        <f>ROUND(SUM(IF(Dyno_Data[[#This Row],[AcqCenter]]&gt;0,Dyno_Data[[#This Row],[Time]]-SUMIFS(Dyno_Data[Time],Dyno_Data[Team],Dyno_Data[[#This Row],[Team]],Dyno_Data[RecordType],"StartMatch",Dyno_Data[Match],Dyno_Data[[#This Row],[Match]]),0)*86400),0)</f>
        <v>0</v>
      </c>
    </row>
    <row r="744" spans="1:35" x14ac:dyDescent="0.3">
      <c r="A744">
        <v>743</v>
      </c>
      <c r="B744" t="s">
        <v>1300</v>
      </c>
      <c r="C744">
        <v>12</v>
      </c>
      <c r="D744" s="105">
        <v>45373.444158946761</v>
      </c>
      <c r="E744" t="s">
        <v>312</v>
      </c>
      <c r="F744" t="s">
        <v>1402</v>
      </c>
      <c r="G744">
        <v>0</v>
      </c>
      <c r="H744" t="s">
        <v>315</v>
      </c>
      <c r="I744">
        <v>0</v>
      </c>
      <c r="J744">
        <v>0</v>
      </c>
      <c r="K744">
        <v>0</v>
      </c>
      <c r="L744" t="s">
        <v>241</v>
      </c>
      <c r="M744" t="s">
        <v>1398</v>
      </c>
      <c r="N744">
        <v>0</v>
      </c>
      <c r="O744" t="s">
        <v>1389</v>
      </c>
      <c r="P744" t="s">
        <v>310</v>
      </c>
      <c r="Q744" t="s">
        <v>310</v>
      </c>
      <c r="R744" t="s">
        <v>310</v>
      </c>
      <c r="S744">
        <v>9</v>
      </c>
      <c r="T744" t="s">
        <v>310</v>
      </c>
      <c r="U744">
        <v>9</v>
      </c>
      <c r="V744">
        <v>9</v>
      </c>
      <c r="W744">
        <v>0</v>
      </c>
      <c r="X744">
        <v>0</v>
      </c>
      <c r="Y744">
        <v>0</v>
      </c>
      <c r="Z744">
        <v>0</v>
      </c>
      <c r="AA744">
        <v>9</v>
      </c>
      <c r="AB744">
        <v>9</v>
      </c>
      <c r="AC744" t="s">
        <v>310</v>
      </c>
      <c r="AD744">
        <v>9</v>
      </c>
      <c r="AE744" t="s">
        <v>1414</v>
      </c>
      <c r="AF744">
        <v>130000000</v>
      </c>
      <c r="AG744" t="s">
        <v>310</v>
      </c>
      <c r="AH744">
        <f>SUM((MID(Dyno_Data[[#This Row],[Team]],4,5))+(Dyno_Data[[#This Row],[Match]]/100))</f>
        <v>3044.12</v>
      </c>
      <c r="AI744" s="76">
        <f>ROUND(SUM(IF(Dyno_Data[[#This Row],[AcqCenter]]&gt;0,Dyno_Data[[#This Row],[Time]]-SUMIFS(Dyno_Data[Time],Dyno_Data[Team],Dyno_Data[[#This Row],[Team]],Dyno_Data[RecordType],"StartMatch",Dyno_Data[Match],Dyno_Data[[#This Row],[Match]]),0)*86400),0)</f>
        <v>0</v>
      </c>
    </row>
    <row r="745" spans="1:35" x14ac:dyDescent="0.3">
      <c r="A745">
        <v>744</v>
      </c>
      <c r="B745" t="s">
        <v>1305</v>
      </c>
      <c r="C745">
        <v>12</v>
      </c>
      <c r="D745" s="105">
        <v>45373.444195798613</v>
      </c>
      <c r="E745" t="s">
        <v>312</v>
      </c>
      <c r="F745" t="s">
        <v>1402</v>
      </c>
      <c r="G745">
        <v>0</v>
      </c>
      <c r="H745" t="s">
        <v>315</v>
      </c>
      <c r="I745">
        <v>0</v>
      </c>
      <c r="J745">
        <v>0</v>
      </c>
      <c r="K745">
        <v>0</v>
      </c>
      <c r="L745" t="s">
        <v>240</v>
      </c>
      <c r="M745" t="s">
        <v>1398</v>
      </c>
      <c r="N745">
        <v>0</v>
      </c>
      <c r="O745" t="s">
        <v>1391</v>
      </c>
      <c r="P745" t="s">
        <v>310</v>
      </c>
      <c r="Q745" t="s">
        <v>310</v>
      </c>
      <c r="R745" t="s">
        <v>310</v>
      </c>
      <c r="S745">
        <v>9</v>
      </c>
      <c r="T745" t="s">
        <v>310</v>
      </c>
      <c r="U745">
        <v>9</v>
      </c>
      <c r="V745">
        <v>9</v>
      </c>
      <c r="W745">
        <v>0</v>
      </c>
      <c r="X745">
        <v>0</v>
      </c>
      <c r="Y745">
        <v>0</v>
      </c>
      <c r="Z745">
        <v>0</v>
      </c>
      <c r="AA745">
        <v>9</v>
      </c>
      <c r="AB745">
        <v>9</v>
      </c>
      <c r="AC745" t="s">
        <v>310</v>
      </c>
      <c r="AD745">
        <v>9</v>
      </c>
      <c r="AE745" t="s">
        <v>1388</v>
      </c>
      <c r="AF745">
        <v>150001000</v>
      </c>
      <c r="AG745" t="s">
        <v>310</v>
      </c>
      <c r="AH745">
        <f>SUM((MID(Dyno_Data[[#This Row],[Team]],4,5))+(Dyno_Data[[#This Row],[Match]]/100))</f>
        <v>3173.12</v>
      </c>
      <c r="AI745" s="76">
        <f>ROUND(SUM(IF(Dyno_Data[[#This Row],[AcqCenter]]&gt;0,Dyno_Data[[#This Row],[Time]]-SUMIFS(Dyno_Data[Time],Dyno_Data[Team],Dyno_Data[[#This Row],[Team]],Dyno_Data[RecordType],"StartMatch",Dyno_Data[Match],Dyno_Data[[#This Row],[Match]]),0)*86400),0)</f>
        <v>0</v>
      </c>
    </row>
    <row r="746" spans="1:35" x14ac:dyDescent="0.3">
      <c r="A746">
        <v>745</v>
      </c>
      <c r="B746" t="s">
        <v>365</v>
      </c>
      <c r="C746">
        <v>12</v>
      </c>
      <c r="D746" s="105">
        <v>45373.444283530094</v>
      </c>
      <c r="E746" t="s">
        <v>312</v>
      </c>
      <c r="F746" t="s">
        <v>1402</v>
      </c>
      <c r="G746">
        <v>0</v>
      </c>
      <c r="H746" t="s">
        <v>315</v>
      </c>
      <c r="I746">
        <v>0</v>
      </c>
      <c r="J746">
        <v>0</v>
      </c>
      <c r="K746">
        <v>0</v>
      </c>
      <c r="L746" t="s">
        <v>240</v>
      </c>
      <c r="M746" t="s">
        <v>1398</v>
      </c>
      <c r="N746">
        <v>1</v>
      </c>
      <c r="O746" t="s">
        <v>319</v>
      </c>
      <c r="P746" t="s">
        <v>310</v>
      </c>
      <c r="Q746" t="s">
        <v>310</v>
      </c>
      <c r="R746" t="s">
        <v>310</v>
      </c>
      <c r="S746">
        <v>9</v>
      </c>
      <c r="T746" t="s">
        <v>310</v>
      </c>
      <c r="U746">
        <v>9</v>
      </c>
      <c r="V746">
        <v>9</v>
      </c>
      <c r="W746">
        <v>0</v>
      </c>
      <c r="X746">
        <v>0</v>
      </c>
      <c r="Y746">
        <v>0</v>
      </c>
      <c r="Z746">
        <v>0</v>
      </c>
      <c r="AA746">
        <v>9</v>
      </c>
      <c r="AB746">
        <v>9</v>
      </c>
      <c r="AC746" t="s">
        <v>310</v>
      </c>
      <c r="AD746">
        <v>9</v>
      </c>
      <c r="AE746" t="s">
        <v>1390</v>
      </c>
      <c r="AF746">
        <v>120000000</v>
      </c>
      <c r="AG746" t="s">
        <v>310</v>
      </c>
      <c r="AH746">
        <f>SUM((MID(Dyno_Data[[#This Row],[Team]],4,5))+(Dyno_Data[[#This Row],[Match]]/100))</f>
        <v>3171.12</v>
      </c>
      <c r="AI746" s="76">
        <f>ROUND(SUM(IF(Dyno_Data[[#This Row],[AcqCenter]]&gt;0,Dyno_Data[[#This Row],[Time]]-SUMIFS(Dyno_Data[Time],Dyno_Data[Team],Dyno_Data[[#This Row],[Team]],Dyno_Data[RecordType],"StartMatch",Dyno_Data[Match],Dyno_Data[[#This Row],[Match]]),0)*86400),0)</f>
        <v>0</v>
      </c>
    </row>
    <row r="747" spans="1:35" x14ac:dyDescent="0.3">
      <c r="A747">
        <v>746</v>
      </c>
      <c r="B747" t="s">
        <v>1292</v>
      </c>
      <c r="C747">
        <v>12</v>
      </c>
      <c r="D747" s="105">
        <v>45373.44550115741</v>
      </c>
      <c r="E747" t="s">
        <v>316</v>
      </c>
      <c r="F747" t="s">
        <v>317</v>
      </c>
      <c r="G747">
        <v>0</v>
      </c>
      <c r="H747" t="s">
        <v>310</v>
      </c>
      <c r="I747">
        <v>0</v>
      </c>
      <c r="J747">
        <v>0</v>
      </c>
      <c r="K747">
        <v>0</v>
      </c>
      <c r="L747" t="s">
        <v>310</v>
      </c>
      <c r="M747" t="s">
        <v>310</v>
      </c>
      <c r="N747">
        <v>0</v>
      </c>
      <c r="O747" t="s">
        <v>311</v>
      </c>
      <c r="P747" t="s">
        <v>320</v>
      </c>
      <c r="Q747" t="s">
        <v>1400</v>
      </c>
      <c r="R747" t="s">
        <v>1404</v>
      </c>
      <c r="S747">
        <v>0</v>
      </c>
      <c r="T747" t="s">
        <v>105</v>
      </c>
      <c r="U747">
        <v>9</v>
      </c>
      <c r="V747">
        <v>9</v>
      </c>
      <c r="W747">
        <v>0</v>
      </c>
      <c r="X747">
        <v>0</v>
      </c>
      <c r="Y747">
        <v>60.985530300000001</v>
      </c>
      <c r="Z747">
        <v>74.484159899999995</v>
      </c>
      <c r="AA747">
        <v>0</v>
      </c>
      <c r="AB747">
        <v>1</v>
      </c>
      <c r="AC747" t="s">
        <v>167</v>
      </c>
      <c r="AD747">
        <v>9</v>
      </c>
      <c r="AE747" t="s">
        <v>1396</v>
      </c>
      <c r="AF747">
        <v>0</v>
      </c>
      <c r="AG747" t="s">
        <v>310</v>
      </c>
      <c r="AH747">
        <f>SUM((MID(Dyno_Data[[#This Row],[Team]],4,5))+(Dyno_Data[[#This Row],[Match]]/100))</f>
        <v>7030.12</v>
      </c>
      <c r="AI747" s="76">
        <f>ROUND(SUM(IF(Dyno_Data[[#This Row],[AcqCenter]]&gt;0,Dyno_Data[[#This Row],[Time]]-SUMIFS(Dyno_Data[Time],Dyno_Data[Team],Dyno_Data[[#This Row],[Team]],Dyno_Data[RecordType],"StartMatch",Dyno_Data[Match],Dyno_Data[[#This Row],[Match]]),0)*86400),0)</f>
        <v>0</v>
      </c>
    </row>
    <row r="748" spans="1:35" x14ac:dyDescent="0.3">
      <c r="A748">
        <v>747</v>
      </c>
      <c r="B748" t="s">
        <v>1305</v>
      </c>
      <c r="C748">
        <v>12</v>
      </c>
      <c r="D748" s="105">
        <v>45373.44550130787</v>
      </c>
      <c r="E748" t="s">
        <v>316</v>
      </c>
      <c r="F748" t="s">
        <v>317</v>
      </c>
      <c r="G748">
        <v>1</v>
      </c>
      <c r="H748" t="s">
        <v>310</v>
      </c>
      <c r="I748">
        <v>0</v>
      </c>
      <c r="J748">
        <v>0</v>
      </c>
      <c r="K748">
        <v>0</v>
      </c>
      <c r="L748" t="s">
        <v>310</v>
      </c>
      <c r="M748" t="s">
        <v>310</v>
      </c>
      <c r="N748">
        <v>0</v>
      </c>
      <c r="O748" t="s">
        <v>1391</v>
      </c>
      <c r="P748" t="s">
        <v>101</v>
      </c>
      <c r="Q748" t="s">
        <v>1400</v>
      </c>
      <c r="R748" t="s">
        <v>321</v>
      </c>
      <c r="S748">
        <v>0</v>
      </c>
      <c r="T748" t="s">
        <v>105</v>
      </c>
      <c r="U748">
        <v>9</v>
      </c>
      <c r="V748">
        <v>9</v>
      </c>
      <c r="W748">
        <v>0</v>
      </c>
      <c r="X748">
        <v>27.723828699999999</v>
      </c>
      <c r="Y748">
        <v>25.778023299999997</v>
      </c>
      <c r="Z748">
        <v>82.286590899999993</v>
      </c>
      <c r="AA748">
        <v>0</v>
      </c>
      <c r="AB748">
        <v>0</v>
      </c>
      <c r="AC748" t="s">
        <v>174</v>
      </c>
      <c r="AD748">
        <v>9</v>
      </c>
      <c r="AE748" t="s">
        <v>1388</v>
      </c>
      <c r="AF748">
        <v>150001000</v>
      </c>
      <c r="AG748" t="s">
        <v>310</v>
      </c>
      <c r="AH748">
        <f>SUM((MID(Dyno_Data[[#This Row],[Team]],4,5))+(Dyno_Data[[#This Row],[Match]]/100))</f>
        <v>3173.12</v>
      </c>
      <c r="AI748" s="76">
        <f>ROUND(SUM(IF(Dyno_Data[[#This Row],[AcqCenter]]&gt;0,Dyno_Data[[#This Row],[Time]]-SUMIFS(Dyno_Data[Time],Dyno_Data[Team],Dyno_Data[[#This Row],[Team]],Dyno_Data[RecordType],"StartMatch",Dyno_Data[Match],Dyno_Data[[#This Row],[Match]]),0)*86400),0)</f>
        <v>0</v>
      </c>
    </row>
    <row r="749" spans="1:35" x14ac:dyDescent="0.3">
      <c r="A749">
        <v>748</v>
      </c>
      <c r="B749" t="s">
        <v>365</v>
      </c>
      <c r="C749">
        <v>12</v>
      </c>
      <c r="D749" s="105">
        <v>45373.445501388887</v>
      </c>
      <c r="E749" t="s">
        <v>316</v>
      </c>
      <c r="F749" t="s">
        <v>317</v>
      </c>
      <c r="G749">
        <v>1</v>
      </c>
      <c r="H749" t="s">
        <v>310</v>
      </c>
      <c r="I749">
        <v>0</v>
      </c>
      <c r="J749">
        <v>0</v>
      </c>
      <c r="K749">
        <v>0</v>
      </c>
      <c r="L749" t="s">
        <v>310</v>
      </c>
      <c r="M749" t="s">
        <v>310</v>
      </c>
      <c r="N749">
        <v>0</v>
      </c>
      <c r="O749" t="s">
        <v>319</v>
      </c>
      <c r="P749" t="s">
        <v>1401</v>
      </c>
      <c r="Q749" t="s">
        <v>1399</v>
      </c>
      <c r="R749" t="s">
        <v>321</v>
      </c>
      <c r="S749">
        <v>0</v>
      </c>
      <c r="T749" t="s">
        <v>105</v>
      </c>
      <c r="U749">
        <v>9</v>
      </c>
      <c r="V749">
        <v>9</v>
      </c>
      <c r="W749">
        <v>0</v>
      </c>
      <c r="X749">
        <v>24.384572199999997</v>
      </c>
      <c r="Y749">
        <v>20.676027399999999</v>
      </c>
      <c r="Z749">
        <v>93.974398699999995</v>
      </c>
      <c r="AA749">
        <v>0</v>
      </c>
      <c r="AB749">
        <v>0</v>
      </c>
      <c r="AC749" t="s">
        <v>174</v>
      </c>
      <c r="AD749">
        <v>0</v>
      </c>
      <c r="AE749" t="s">
        <v>1390</v>
      </c>
      <c r="AF749">
        <v>120000000</v>
      </c>
      <c r="AG749" t="s">
        <v>310</v>
      </c>
      <c r="AH749">
        <f>SUM((MID(Dyno_Data[[#This Row],[Team]],4,5))+(Dyno_Data[[#This Row],[Match]]/100))</f>
        <v>3171.12</v>
      </c>
      <c r="AI749" s="76">
        <f>ROUND(SUM(IF(Dyno_Data[[#This Row],[AcqCenter]]&gt;0,Dyno_Data[[#This Row],[Time]]-SUMIFS(Dyno_Data[Time],Dyno_Data[Team],Dyno_Data[[#This Row],[Team]],Dyno_Data[RecordType],"StartMatch",Dyno_Data[Match],Dyno_Data[[#This Row],[Match]]),0)*86400),0)</f>
        <v>0</v>
      </c>
    </row>
    <row r="750" spans="1:35" x14ac:dyDescent="0.3">
      <c r="A750">
        <v>749</v>
      </c>
      <c r="B750" t="s">
        <v>1297</v>
      </c>
      <c r="C750">
        <v>12</v>
      </c>
      <c r="D750" s="105">
        <v>45373.445501504626</v>
      </c>
      <c r="E750" t="s">
        <v>316</v>
      </c>
      <c r="F750" t="s">
        <v>317</v>
      </c>
      <c r="G750">
        <v>0</v>
      </c>
      <c r="H750" t="s">
        <v>310</v>
      </c>
      <c r="I750">
        <v>0</v>
      </c>
      <c r="J750">
        <v>0</v>
      </c>
      <c r="K750">
        <v>0</v>
      </c>
      <c r="L750" t="s">
        <v>310</v>
      </c>
      <c r="M750" t="s">
        <v>310</v>
      </c>
      <c r="N750">
        <v>0</v>
      </c>
      <c r="O750" t="s">
        <v>1393</v>
      </c>
      <c r="P750" t="s">
        <v>101</v>
      </c>
      <c r="Q750" t="s">
        <v>1399</v>
      </c>
      <c r="R750" t="s">
        <v>321</v>
      </c>
      <c r="S750">
        <v>0</v>
      </c>
      <c r="T750" t="s">
        <v>105</v>
      </c>
      <c r="U750">
        <v>9</v>
      </c>
      <c r="V750">
        <v>9</v>
      </c>
      <c r="W750">
        <v>0</v>
      </c>
      <c r="X750">
        <v>0</v>
      </c>
      <c r="Y750">
        <v>0</v>
      </c>
      <c r="Z750">
        <v>130.78170549999999</v>
      </c>
      <c r="AA750">
        <v>0</v>
      </c>
      <c r="AB750">
        <v>0</v>
      </c>
      <c r="AC750" t="s">
        <v>167</v>
      </c>
      <c r="AD750">
        <v>0</v>
      </c>
      <c r="AE750" t="s">
        <v>1412</v>
      </c>
      <c r="AF750">
        <v>0</v>
      </c>
      <c r="AG750" t="s">
        <v>310</v>
      </c>
      <c r="AH750">
        <f>SUM((MID(Dyno_Data[[#This Row],[Team]],4,5))+(Dyno_Data[[#This Row],[Match]]/100))</f>
        <v>9750.1200000000008</v>
      </c>
      <c r="AI750" s="76">
        <f>ROUND(SUM(IF(Dyno_Data[[#This Row],[AcqCenter]]&gt;0,Dyno_Data[[#This Row],[Time]]-SUMIFS(Dyno_Data[Time],Dyno_Data[Team],Dyno_Data[[#This Row],[Team]],Dyno_Data[RecordType],"StartMatch",Dyno_Data[Match],Dyno_Data[[#This Row],[Match]]),0)*86400),0)</f>
        <v>0</v>
      </c>
    </row>
    <row r="751" spans="1:35" x14ac:dyDescent="0.3">
      <c r="A751">
        <v>750</v>
      </c>
      <c r="B751" t="s">
        <v>1300</v>
      </c>
      <c r="C751">
        <v>12</v>
      </c>
      <c r="D751" s="105">
        <v>45373.445501620372</v>
      </c>
      <c r="E751" t="s">
        <v>316</v>
      </c>
      <c r="F751" t="s">
        <v>317</v>
      </c>
      <c r="G751">
        <v>1</v>
      </c>
      <c r="H751" t="s">
        <v>310</v>
      </c>
      <c r="I751">
        <v>0</v>
      </c>
      <c r="J751">
        <v>0</v>
      </c>
      <c r="K751">
        <v>0</v>
      </c>
      <c r="L751" t="s">
        <v>310</v>
      </c>
      <c r="M751" t="s">
        <v>310</v>
      </c>
      <c r="N751">
        <v>0</v>
      </c>
      <c r="O751" t="s">
        <v>1389</v>
      </c>
      <c r="P751" t="s">
        <v>1401</v>
      </c>
      <c r="Q751" t="s">
        <v>1400</v>
      </c>
      <c r="R751" t="s">
        <v>1405</v>
      </c>
      <c r="S751">
        <v>1</v>
      </c>
      <c r="T751" t="s">
        <v>1407</v>
      </c>
      <c r="U751">
        <v>0</v>
      </c>
      <c r="V751">
        <v>0</v>
      </c>
      <c r="W751">
        <v>2.3304871</v>
      </c>
      <c r="X751">
        <v>26.9448723</v>
      </c>
      <c r="Y751">
        <v>24.805938999999999</v>
      </c>
      <c r="Z751">
        <v>79.956862200000003</v>
      </c>
      <c r="AA751">
        <v>0</v>
      </c>
      <c r="AB751">
        <v>1</v>
      </c>
      <c r="AC751" t="s">
        <v>174</v>
      </c>
      <c r="AD751">
        <v>9</v>
      </c>
      <c r="AE751" t="s">
        <v>1414</v>
      </c>
      <c r="AF751">
        <v>130000000</v>
      </c>
      <c r="AG751" t="s">
        <v>310</v>
      </c>
      <c r="AH751">
        <f>SUM((MID(Dyno_Data[[#This Row],[Team]],4,5))+(Dyno_Data[[#This Row],[Match]]/100))</f>
        <v>3044.12</v>
      </c>
      <c r="AI751" s="76">
        <f>ROUND(SUM(IF(Dyno_Data[[#This Row],[AcqCenter]]&gt;0,Dyno_Data[[#This Row],[Time]]-SUMIFS(Dyno_Data[Time],Dyno_Data[Team],Dyno_Data[[#This Row],[Team]],Dyno_Data[RecordType],"StartMatch",Dyno_Data[Match],Dyno_Data[[#This Row],[Match]]),0)*86400),0)</f>
        <v>0</v>
      </c>
    </row>
    <row r="752" spans="1:35" x14ac:dyDescent="0.3">
      <c r="A752">
        <v>751</v>
      </c>
      <c r="B752" t="s">
        <v>1283</v>
      </c>
      <c r="C752">
        <v>12</v>
      </c>
      <c r="D752" s="105">
        <v>45373.445501736111</v>
      </c>
      <c r="E752" t="s">
        <v>316</v>
      </c>
      <c r="F752" t="s">
        <v>317</v>
      </c>
      <c r="G752">
        <v>1</v>
      </c>
      <c r="H752" t="s">
        <v>310</v>
      </c>
      <c r="I752">
        <v>0</v>
      </c>
      <c r="J752">
        <v>0</v>
      </c>
      <c r="K752">
        <v>0</v>
      </c>
      <c r="L752" t="s">
        <v>310</v>
      </c>
      <c r="M752" t="s">
        <v>310</v>
      </c>
      <c r="N752">
        <v>0</v>
      </c>
      <c r="O752" t="s">
        <v>1395</v>
      </c>
      <c r="P752" t="s">
        <v>320</v>
      </c>
      <c r="Q752" t="s">
        <v>1400</v>
      </c>
      <c r="R752" t="s">
        <v>1405</v>
      </c>
      <c r="S752">
        <v>1</v>
      </c>
      <c r="T752" t="s">
        <v>1406</v>
      </c>
      <c r="U752">
        <v>0</v>
      </c>
      <c r="V752">
        <v>0</v>
      </c>
      <c r="W752">
        <v>9.8098379999999992</v>
      </c>
      <c r="X752">
        <v>48.5044641</v>
      </c>
      <c r="Y752">
        <v>22.909269800000001</v>
      </c>
      <c r="Z752">
        <v>48.725384599999998</v>
      </c>
      <c r="AA752">
        <v>0</v>
      </c>
      <c r="AB752">
        <v>0</v>
      </c>
      <c r="AC752" t="s">
        <v>174</v>
      </c>
      <c r="AD752">
        <v>9</v>
      </c>
      <c r="AE752" t="s">
        <v>1413</v>
      </c>
      <c r="AF752">
        <v>20000000</v>
      </c>
      <c r="AG752" t="s">
        <v>310</v>
      </c>
      <c r="AH752">
        <f>SUM((MID(Dyno_Data[[#This Row],[Team]],4,5))+(Dyno_Data[[#This Row],[Match]]/100))</f>
        <v>1601.12</v>
      </c>
      <c r="AI752" s="76">
        <f>ROUND(SUM(IF(Dyno_Data[[#This Row],[AcqCenter]]&gt;0,Dyno_Data[[#This Row],[Time]]-SUMIFS(Dyno_Data[Time],Dyno_Data[Team],Dyno_Data[[#This Row],[Team]],Dyno_Data[RecordType],"StartMatch",Dyno_Data[Match],Dyno_Data[[#This Row],[Match]]),0)*86400),0)</f>
        <v>0</v>
      </c>
    </row>
    <row r="753" spans="1:35" x14ac:dyDescent="0.3">
      <c r="A753">
        <v>768</v>
      </c>
      <c r="B753" t="s">
        <v>366</v>
      </c>
      <c r="C753">
        <v>13</v>
      </c>
      <c r="D753" s="105">
        <v>45373.448485763889</v>
      </c>
      <c r="E753" t="s">
        <v>308</v>
      </c>
      <c r="F753" t="s">
        <v>309</v>
      </c>
      <c r="G753">
        <v>0</v>
      </c>
      <c r="H753" t="s">
        <v>310</v>
      </c>
      <c r="I753">
        <v>0</v>
      </c>
      <c r="J753">
        <v>0</v>
      </c>
      <c r="K753">
        <v>0</v>
      </c>
      <c r="L753" t="s">
        <v>310</v>
      </c>
      <c r="M753" t="s">
        <v>310</v>
      </c>
      <c r="N753">
        <v>0</v>
      </c>
      <c r="O753" t="s">
        <v>1393</v>
      </c>
      <c r="P753" t="s">
        <v>310</v>
      </c>
      <c r="Q753" t="s">
        <v>310</v>
      </c>
      <c r="R753" t="s">
        <v>310</v>
      </c>
      <c r="S753">
        <v>9</v>
      </c>
      <c r="T753" t="s">
        <v>310</v>
      </c>
      <c r="U753">
        <v>9</v>
      </c>
      <c r="V753">
        <v>9</v>
      </c>
      <c r="W753">
        <v>0</v>
      </c>
      <c r="X753">
        <v>0</v>
      </c>
      <c r="Y753">
        <v>0</v>
      </c>
      <c r="Z753">
        <v>0</v>
      </c>
      <c r="AA753">
        <v>9</v>
      </c>
      <c r="AB753">
        <v>9</v>
      </c>
      <c r="AC753" t="s">
        <v>310</v>
      </c>
      <c r="AD753">
        <v>9</v>
      </c>
      <c r="AE753" t="s">
        <v>1412</v>
      </c>
      <c r="AF753">
        <v>0</v>
      </c>
      <c r="AG753" t="s">
        <v>310</v>
      </c>
      <c r="AH753">
        <f>SUM((MID(Dyno_Data[[#This Row],[Team]],4,5))+(Dyno_Data[[#This Row],[Match]]/100))</f>
        <v>4122.13</v>
      </c>
      <c r="AI753" s="76">
        <f>ROUND(SUM(IF(Dyno_Data[[#This Row],[AcqCenter]]&gt;0,Dyno_Data[[#This Row],[Time]]-SUMIFS(Dyno_Data[Time],Dyno_Data[Team],Dyno_Data[[#This Row],[Team]],Dyno_Data[RecordType],"StartMatch",Dyno_Data[Match],Dyno_Data[[#This Row],[Match]]),0)*86400),0)</f>
        <v>0</v>
      </c>
    </row>
    <row r="754" spans="1:35" x14ac:dyDescent="0.3">
      <c r="A754">
        <v>770</v>
      </c>
      <c r="B754" t="s">
        <v>360</v>
      </c>
      <c r="C754">
        <v>13</v>
      </c>
      <c r="D754" s="105">
        <v>45373.448487928239</v>
      </c>
      <c r="E754" t="s">
        <v>308</v>
      </c>
      <c r="F754" t="s">
        <v>309</v>
      </c>
      <c r="G754">
        <v>0</v>
      </c>
      <c r="H754" t="s">
        <v>310</v>
      </c>
      <c r="I754">
        <v>0</v>
      </c>
      <c r="J754">
        <v>0</v>
      </c>
      <c r="K754">
        <v>0</v>
      </c>
      <c r="L754" t="s">
        <v>310</v>
      </c>
      <c r="M754" t="s">
        <v>310</v>
      </c>
      <c r="N754">
        <v>0</v>
      </c>
      <c r="O754" t="s">
        <v>1389</v>
      </c>
      <c r="P754" t="s">
        <v>310</v>
      </c>
      <c r="Q754" t="s">
        <v>310</v>
      </c>
      <c r="R754" t="s">
        <v>310</v>
      </c>
      <c r="S754">
        <v>9</v>
      </c>
      <c r="T754" t="s">
        <v>310</v>
      </c>
      <c r="U754">
        <v>9</v>
      </c>
      <c r="V754">
        <v>9</v>
      </c>
      <c r="W754">
        <v>0</v>
      </c>
      <c r="X754">
        <v>0</v>
      </c>
      <c r="Y754">
        <v>0</v>
      </c>
      <c r="Z754">
        <v>0</v>
      </c>
      <c r="AA754">
        <v>9</v>
      </c>
      <c r="AB754">
        <v>9</v>
      </c>
      <c r="AC754" t="s">
        <v>310</v>
      </c>
      <c r="AD754">
        <v>9</v>
      </c>
      <c r="AE754" t="s">
        <v>1388</v>
      </c>
      <c r="AF754">
        <v>30003000</v>
      </c>
      <c r="AG754" t="s">
        <v>310</v>
      </c>
      <c r="AH754">
        <f>SUM((MID(Dyno_Data[[#This Row],[Team]],4,5))+(Dyno_Data[[#This Row],[Match]]/100))</f>
        <v>1796.13</v>
      </c>
      <c r="AI754" s="76">
        <f>ROUND(SUM(IF(Dyno_Data[[#This Row],[AcqCenter]]&gt;0,Dyno_Data[[#This Row],[Time]]-SUMIFS(Dyno_Data[Time],Dyno_Data[Team],Dyno_Data[[#This Row],[Team]],Dyno_Data[RecordType],"StartMatch",Dyno_Data[Match],Dyno_Data[[#This Row],[Match]]),0)*86400),0)</f>
        <v>0</v>
      </c>
    </row>
    <row r="755" spans="1:35" x14ac:dyDescent="0.3">
      <c r="A755">
        <v>772</v>
      </c>
      <c r="B755" t="s">
        <v>1314</v>
      </c>
      <c r="C755">
        <v>13</v>
      </c>
      <c r="D755" s="105">
        <v>45373.44849077546</v>
      </c>
      <c r="E755" t="s">
        <v>308</v>
      </c>
      <c r="F755" t="s">
        <v>309</v>
      </c>
      <c r="G755">
        <v>0</v>
      </c>
      <c r="H755" t="s">
        <v>310</v>
      </c>
      <c r="I755">
        <v>0</v>
      </c>
      <c r="J755">
        <v>0</v>
      </c>
      <c r="K755">
        <v>0</v>
      </c>
      <c r="L755" t="s">
        <v>310</v>
      </c>
      <c r="M755" t="s">
        <v>310</v>
      </c>
      <c r="N755">
        <v>0</v>
      </c>
      <c r="O755" t="s">
        <v>1395</v>
      </c>
      <c r="P755" t="s">
        <v>310</v>
      </c>
      <c r="Q755" t="s">
        <v>310</v>
      </c>
      <c r="R755" t="s">
        <v>310</v>
      </c>
      <c r="S755">
        <v>9</v>
      </c>
      <c r="T755" t="s">
        <v>310</v>
      </c>
      <c r="U755">
        <v>9</v>
      </c>
      <c r="V755">
        <v>9</v>
      </c>
      <c r="W755">
        <v>0</v>
      </c>
      <c r="X755">
        <v>0</v>
      </c>
      <c r="Y755">
        <v>0</v>
      </c>
      <c r="Z755">
        <v>0</v>
      </c>
      <c r="AA755">
        <v>9</v>
      </c>
      <c r="AB755">
        <v>9</v>
      </c>
      <c r="AC755" t="s">
        <v>310</v>
      </c>
      <c r="AD755">
        <v>9</v>
      </c>
      <c r="AE755" t="s">
        <v>1396</v>
      </c>
      <c r="AF755">
        <v>0</v>
      </c>
      <c r="AG755" t="s">
        <v>310</v>
      </c>
      <c r="AH755">
        <f>SUM((MID(Dyno_Data[[#This Row],[Team]],4,5))+(Dyno_Data[[#This Row],[Match]]/100))</f>
        <v>3419.13</v>
      </c>
      <c r="AI755" s="76">
        <f>ROUND(SUM(IF(Dyno_Data[[#This Row],[AcqCenter]]&gt;0,Dyno_Data[[#This Row],[Time]]-SUMIFS(Dyno_Data[Time],Dyno_Data[Team],Dyno_Data[[#This Row],[Team]],Dyno_Data[RecordType],"StartMatch",Dyno_Data[Match],Dyno_Data[[#This Row],[Match]]),0)*86400),0)</f>
        <v>0</v>
      </c>
    </row>
    <row r="756" spans="1:35" x14ac:dyDescent="0.3">
      <c r="A756">
        <v>774</v>
      </c>
      <c r="B756" t="s">
        <v>368</v>
      </c>
      <c r="C756">
        <v>13</v>
      </c>
      <c r="D756" s="105">
        <v>45373.448491469906</v>
      </c>
      <c r="E756" t="s">
        <v>308</v>
      </c>
      <c r="F756" t="s">
        <v>309</v>
      </c>
      <c r="G756">
        <v>0</v>
      </c>
      <c r="H756" t="s">
        <v>310</v>
      </c>
      <c r="I756">
        <v>0</v>
      </c>
      <c r="J756">
        <v>0</v>
      </c>
      <c r="K756">
        <v>0</v>
      </c>
      <c r="L756" t="s">
        <v>310</v>
      </c>
      <c r="M756" t="s">
        <v>310</v>
      </c>
      <c r="N756">
        <v>0</v>
      </c>
      <c r="O756" t="s">
        <v>319</v>
      </c>
      <c r="P756" t="s">
        <v>310</v>
      </c>
      <c r="Q756" t="s">
        <v>310</v>
      </c>
      <c r="R756" t="s">
        <v>310</v>
      </c>
      <c r="S756">
        <v>9</v>
      </c>
      <c r="T756" t="s">
        <v>310</v>
      </c>
      <c r="U756">
        <v>9</v>
      </c>
      <c r="V756">
        <v>9</v>
      </c>
      <c r="W756">
        <v>0</v>
      </c>
      <c r="X756">
        <v>0</v>
      </c>
      <c r="Y756">
        <v>0</v>
      </c>
      <c r="Z756">
        <v>0</v>
      </c>
      <c r="AA756">
        <v>9</v>
      </c>
      <c r="AB756">
        <v>9</v>
      </c>
      <c r="AC756" t="s">
        <v>310</v>
      </c>
      <c r="AD756">
        <v>9</v>
      </c>
      <c r="AE756" t="s">
        <v>1390</v>
      </c>
      <c r="AF756">
        <v>0</v>
      </c>
      <c r="AG756" t="s">
        <v>310</v>
      </c>
      <c r="AH756">
        <f>SUM((MID(Dyno_Data[[#This Row],[Team]],4,5))+(Dyno_Data[[#This Row],[Match]]/100))</f>
        <v>6401.13</v>
      </c>
      <c r="AI756" s="76">
        <f>ROUND(SUM(IF(Dyno_Data[[#This Row],[AcqCenter]]&gt;0,Dyno_Data[[#This Row],[Time]]-SUMIFS(Dyno_Data[Time],Dyno_Data[Team],Dyno_Data[[#This Row],[Team]],Dyno_Data[RecordType],"StartMatch",Dyno_Data[Match],Dyno_Data[[#This Row],[Match]]),0)*86400),0)</f>
        <v>0</v>
      </c>
    </row>
    <row r="757" spans="1:35" x14ac:dyDescent="0.3">
      <c r="A757">
        <v>776</v>
      </c>
      <c r="B757" t="s">
        <v>1310</v>
      </c>
      <c r="C757">
        <v>13</v>
      </c>
      <c r="D757" s="105">
        <v>45373.448492905096</v>
      </c>
      <c r="E757" t="s">
        <v>308</v>
      </c>
      <c r="F757" t="s">
        <v>309</v>
      </c>
      <c r="G757">
        <v>0</v>
      </c>
      <c r="H757" t="s">
        <v>310</v>
      </c>
      <c r="I757">
        <v>0</v>
      </c>
      <c r="J757">
        <v>0</v>
      </c>
      <c r="K757">
        <v>0</v>
      </c>
      <c r="L757" t="s">
        <v>310</v>
      </c>
      <c r="M757" t="s">
        <v>310</v>
      </c>
      <c r="N757">
        <v>0</v>
      </c>
      <c r="O757" t="s">
        <v>311</v>
      </c>
      <c r="P757" t="s">
        <v>310</v>
      </c>
      <c r="Q757" t="s">
        <v>310</v>
      </c>
      <c r="R757" t="s">
        <v>310</v>
      </c>
      <c r="S757">
        <v>9</v>
      </c>
      <c r="T757" t="s">
        <v>310</v>
      </c>
      <c r="U757">
        <v>9</v>
      </c>
      <c r="V757">
        <v>9</v>
      </c>
      <c r="W757">
        <v>0</v>
      </c>
      <c r="X757">
        <v>0</v>
      </c>
      <c r="Y757">
        <v>0</v>
      </c>
      <c r="Z757">
        <v>0</v>
      </c>
      <c r="AA757">
        <v>9</v>
      </c>
      <c r="AB757">
        <v>9</v>
      </c>
      <c r="AC757" t="s">
        <v>310</v>
      </c>
      <c r="AD757">
        <v>9</v>
      </c>
      <c r="AE757" t="s">
        <v>1413</v>
      </c>
      <c r="AF757">
        <v>10000000</v>
      </c>
      <c r="AG757" t="s">
        <v>310</v>
      </c>
      <c r="AH757">
        <f>SUM((MID(Dyno_Data[[#This Row],[Team]],4,5))+(Dyno_Data[[#This Row],[Match]]/100))</f>
        <v>6621.13</v>
      </c>
      <c r="AI757" s="76">
        <f>ROUND(SUM(IF(Dyno_Data[[#This Row],[AcqCenter]]&gt;0,Dyno_Data[[#This Row],[Time]]-SUMIFS(Dyno_Data[Time],Dyno_Data[Team],Dyno_Data[[#This Row],[Team]],Dyno_Data[RecordType],"StartMatch",Dyno_Data[Match],Dyno_Data[[#This Row],[Match]]),0)*86400),0)</f>
        <v>0</v>
      </c>
    </row>
    <row r="758" spans="1:35" x14ac:dyDescent="0.3">
      <c r="A758">
        <v>752</v>
      </c>
      <c r="B758" t="s">
        <v>360</v>
      </c>
      <c r="C758">
        <v>13</v>
      </c>
      <c r="D758" s="105">
        <v>45373.448495567129</v>
      </c>
      <c r="E758" t="s">
        <v>312</v>
      </c>
      <c r="F758" t="s">
        <v>309</v>
      </c>
      <c r="G758">
        <v>0</v>
      </c>
      <c r="H758" t="s">
        <v>1397</v>
      </c>
      <c r="I758">
        <v>0</v>
      </c>
      <c r="J758">
        <v>0</v>
      </c>
      <c r="K758">
        <v>0</v>
      </c>
      <c r="L758" t="s">
        <v>240</v>
      </c>
      <c r="M758" t="s">
        <v>1398</v>
      </c>
      <c r="N758">
        <v>0</v>
      </c>
      <c r="O758" t="s">
        <v>1389</v>
      </c>
      <c r="P758" t="s">
        <v>310</v>
      </c>
      <c r="Q758" t="s">
        <v>310</v>
      </c>
      <c r="R758" t="s">
        <v>310</v>
      </c>
      <c r="S758">
        <v>9</v>
      </c>
      <c r="T758" t="s">
        <v>310</v>
      </c>
      <c r="U758">
        <v>9</v>
      </c>
      <c r="V758">
        <v>9</v>
      </c>
      <c r="W758">
        <v>0</v>
      </c>
      <c r="X758">
        <v>0</v>
      </c>
      <c r="Y758">
        <v>0</v>
      </c>
      <c r="Z758">
        <v>0</v>
      </c>
      <c r="AA758">
        <v>9</v>
      </c>
      <c r="AB758">
        <v>9</v>
      </c>
      <c r="AC758" t="s">
        <v>310</v>
      </c>
      <c r="AD758">
        <v>9</v>
      </c>
      <c r="AE758" t="s">
        <v>1388</v>
      </c>
      <c r="AF758">
        <v>0</v>
      </c>
      <c r="AG758" t="s">
        <v>310</v>
      </c>
      <c r="AH758">
        <f>SUM((MID(Dyno_Data[[#This Row],[Team]],4,5))+(Dyno_Data[[#This Row],[Match]]/100))</f>
        <v>1796.13</v>
      </c>
      <c r="AI758" s="76">
        <f>ROUND(SUM(IF(Dyno_Data[[#This Row],[AcqCenter]]&gt;0,Dyno_Data[[#This Row],[Time]]-SUMIFS(Dyno_Data[Time],Dyno_Data[Team],Dyno_Data[[#This Row],[Team]],Dyno_Data[RecordType],"StartMatch",Dyno_Data[Match],Dyno_Data[[#This Row],[Match]]),0)*86400),0)</f>
        <v>0</v>
      </c>
    </row>
    <row r="759" spans="1:35" x14ac:dyDescent="0.3">
      <c r="A759">
        <v>778</v>
      </c>
      <c r="B759" t="s">
        <v>1290</v>
      </c>
      <c r="C759">
        <v>13</v>
      </c>
      <c r="D759" s="105">
        <v>45373.448497187499</v>
      </c>
      <c r="E759" t="s">
        <v>308</v>
      </c>
      <c r="F759" t="s">
        <v>309</v>
      </c>
      <c r="G759">
        <v>0</v>
      </c>
      <c r="H759" t="s">
        <v>310</v>
      </c>
      <c r="I759">
        <v>0</v>
      </c>
      <c r="J759">
        <v>0</v>
      </c>
      <c r="K759">
        <v>0</v>
      </c>
      <c r="L759" t="s">
        <v>310</v>
      </c>
      <c r="M759" t="s">
        <v>310</v>
      </c>
      <c r="N759">
        <v>0</v>
      </c>
      <c r="O759" t="s">
        <v>1391</v>
      </c>
      <c r="P759" t="s">
        <v>310</v>
      </c>
      <c r="Q759" t="s">
        <v>310</v>
      </c>
      <c r="R759" t="s">
        <v>310</v>
      </c>
      <c r="S759">
        <v>9</v>
      </c>
      <c r="T759" t="s">
        <v>310</v>
      </c>
      <c r="U759">
        <v>9</v>
      </c>
      <c r="V759">
        <v>9</v>
      </c>
      <c r="W759">
        <v>0</v>
      </c>
      <c r="X759">
        <v>0</v>
      </c>
      <c r="Y759">
        <v>0</v>
      </c>
      <c r="Z759">
        <v>0</v>
      </c>
      <c r="AA759">
        <v>9</v>
      </c>
      <c r="AB759">
        <v>9</v>
      </c>
      <c r="AC759" t="s">
        <v>310</v>
      </c>
      <c r="AD759">
        <v>9</v>
      </c>
      <c r="AE759" t="s">
        <v>1414</v>
      </c>
      <c r="AF759">
        <v>10000000</v>
      </c>
      <c r="AG759" t="s">
        <v>310</v>
      </c>
      <c r="AH759">
        <f>SUM((MID(Dyno_Data[[#This Row],[Team]],4,5))+(Dyno_Data[[#This Row],[Match]]/100))</f>
        <v>5881.13</v>
      </c>
      <c r="AI759" s="76">
        <f>ROUND(SUM(IF(Dyno_Data[[#This Row],[AcqCenter]]&gt;0,Dyno_Data[[#This Row],[Time]]-SUMIFS(Dyno_Data[Time],Dyno_Data[Team],Dyno_Data[[#This Row],[Team]],Dyno_Data[RecordType],"StartMatch",Dyno_Data[Match],Dyno_Data[[#This Row],[Match]]),0)*86400),0)</f>
        <v>0</v>
      </c>
    </row>
    <row r="760" spans="1:35" x14ac:dyDescent="0.3">
      <c r="A760">
        <v>753</v>
      </c>
      <c r="B760" t="s">
        <v>368</v>
      </c>
      <c r="C760">
        <v>13</v>
      </c>
      <c r="D760" s="105">
        <v>45373.448509756941</v>
      </c>
      <c r="E760" t="s">
        <v>312</v>
      </c>
      <c r="F760" t="s">
        <v>309</v>
      </c>
      <c r="G760">
        <v>0</v>
      </c>
      <c r="H760" t="s">
        <v>1397</v>
      </c>
      <c r="I760">
        <v>0</v>
      </c>
      <c r="J760">
        <v>0</v>
      </c>
      <c r="K760">
        <v>0</v>
      </c>
      <c r="L760" t="s">
        <v>241</v>
      </c>
      <c r="M760" t="s">
        <v>1398</v>
      </c>
      <c r="N760">
        <v>1</v>
      </c>
      <c r="O760" t="s">
        <v>319</v>
      </c>
      <c r="P760" t="s">
        <v>310</v>
      </c>
      <c r="Q760" t="s">
        <v>310</v>
      </c>
      <c r="R760" t="s">
        <v>310</v>
      </c>
      <c r="S760">
        <v>9</v>
      </c>
      <c r="T760" t="s">
        <v>310</v>
      </c>
      <c r="U760">
        <v>9</v>
      </c>
      <c r="V760">
        <v>9</v>
      </c>
      <c r="W760">
        <v>0</v>
      </c>
      <c r="X760">
        <v>0</v>
      </c>
      <c r="Y760">
        <v>0</v>
      </c>
      <c r="Z760">
        <v>0</v>
      </c>
      <c r="AA760">
        <v>9</v>
      </c>
      <c r="AB760">
        <v>9</v>
      </c>
      <c r="AC760" t="s">
        <v>310</v>
      </c>
      <c r="AD760">
        <v>9</v>
      </c>
      <c r="AE760" t="s">
        <v>1390</v>
      </c>
      <c r="AF760">
        <v>0</v>
      </c>
      <c r="AG760" t="s">
        <v>310</v>
      </c>
      <c r="AH760">
        <f>SUM((MID(Dyno_Data[[#This Row],[Team]],4,5))+(Dyno_Data[[#This Row],[Match]]/100))</f>
        <v>6401.13</v>
      </c>
      <c r="AI760" s="76">
        <f>ROUND(SUM(IF(Dyno_Data[[#This Row],[AcqCenter]]&gt;0,Dyno_Data[[#This Row],[Time]]-SUMIFS(Dyno_Data[Time],Dyno_Data[Team],Dyno_Data[[#This Row],[Team]],Dyno_Data[RecordType],"StartMatch",Dyno_Data[Match],Dyno_Data[[#This Row],[Match]]),0)*86400),0)</f>
        <v>0</v>
      </c>
    </row>
    <row r="761" spans="1:35" x14ac:dyDescent="0.3">
      <c r="A761">
        <v>754</v>
      </c>
      <c r="B761" t="s">
        <v>360</v>
      </c>
      <c r="C761">
        <v>13</v>
      </c>
      <c r="D761" s="105">
        <v>45373.448514039352</v>
      </c>
      <c r="E761" t="s">
        <v>312</v>
      </c>
      <c r="F761" t="s">
        <v>309</v>
      </c>
      <c r="G761">
        <v>0</v>
      </c>
      <c r="H761" t="s">
        <v>315</v>
      </c>
      <c r="I761">
        <v>0</v>
      </c>
      <c r="J761">
        <v>0</v>
      </c>
      <c r="K761">
        <v>0</v>
      </c>
      <c r="L761" t="s">
        <v>240</v>
      </c>
      <c r="M761" t="s">
        <v>1398</v>
      </c>
      <c r="N761">
        <v>0</v>
      </c>
      <c r="O761" t="s">
        <v>1389</v>
      </c>
      <c r="P761" t="s">
        <v>310</v>
      </c>
      <c r="Q761" t="s">
        <v>310</v>
      </c>
      <c r="R761" t="s">
        <v>310</v>
      </c>
      <c r="S761">
        <v>9</v>
      </c>
      <c r="T761" t="s">
        <v>310</v>
      </c>
      <c r="U761">
        <v>9</v>
      </c>
      <c r="V761">
        <v>9</v>
      </c>
      <c r="W761">
        <v>0</v>
      </c>
      <c r="X761">
        <v>0</v>
      </c>
      <c r="Y761">
        <v>0</v>
      </c>
      <c r="Z761">
        <v>0</v>
      </c>
      <c r="AA761">
        <v>9</v>
      </c>
      <c r="AB761">
        <v>9</v>
      </c>
      <c r="AC761" t="s">
        <v>310</v>
      </c>
      <c r="AD761">
        <v>9</v>
      </c>
      <c r="AE761" t="s">
        <v>1388</v>
      </c>
      <c r="AF761">
        <v>10000000</v>
      </c>
      <c r="AG761" t="s">
        <v>310</v>
      </c>
      <c r="AH761">
        <f>SUM((MID(Dyno_Data[[#This Row],[Team]],4,5))+(Dyno_Data[[#This Row],[Match]]/100))</f>
        <v>1796.13</v>
      </c>
      <c r="AI761" s="76">
        <f>ROUND(SUM(IF(Dyno_Data[[#This Row],[AcqCenter]]&gt;0,Dyno_Data[[#This Row],[Time]]-SUMIFS(Dyno_Data[Time],Dyno_Data[Team],Dyno_Data[[#This Row],[Team]],Dyno_Data[RecordType],"StartMatch",Dyno_Data[Match],Dyno_Data[[#This Row],[Match]]),0)*86400),0)</f>
        <v>0</v>
      </c>
    </row>
    <row r="762" spans="1:35" x14ac:dyDescent="0.3">
      <c r="A762">
        <v>755</v>
      </c>
      <c r="B762" t="s">
        <v>1290</v>
      </c>
      <c r="C762">
        <v>13</v>
      </c>
      <c r="D762" s="105">
        <v>45373.448516203702</v>
      </c>
      <c r="E762" t="s">
        <v>312</v>
      </c>
      <c r="F762" t="s">
        <v>309</v>
      </c>
      <c r="G762">
        <v>0</v>
      </c>
      <c r="H762" t="s">
        <v>1397</v>
      </c>
      <c r="I762">
        <v>0</v>
      </c>
      <c r="J762">
        <v>0</v>
      </c>
      <c r="K762">
        <v>0</v>
      </c>
      <c r="L762" t="s">
        <v>240</v>
      </c>
      <c r="M762" t="s">
        <v>1398</v>
      </c>
      <c r="N762">
        <v>0</v>
      </c>
      <c r="O762" t="s">
        <v>1391</v>
      </c>
      <c r="P762" t="s">
        <v>310</v>
      </c>
      <c r="Q762" t="s">
        <v>310</v>
      </c>
      <c r="R762" t="s">
        <v>310</v>
      </c>
      <c r="S762">
        <v>9</v>
      </c>
      <c r="T762" t="s">
        <v>310</v>
      </c>
      <c r="U762">
        <v>9</v>
      </c>
      <c r="V762">
        <v>9</v>
      </c>
      <c r="W762">
        <v>0</v>
      </c>
      <c r="X762">
        <v>0</v>
      </c>
      <c r="Y762">
        <v>0</v>
      </c>
      <c r="Z762">
        <v>0</v>
      </c>
      <c r="AA762">
        <v>9</v>
      </c>
      <c r="AB762">
        <v>9</v>
      </c>
      <c r="AC762" t="s">
        <v>310</v>
      </c>
      <c r="AD762">
        <v>9</v>
      </c>
      <c r="AE762" t="s">
        <v>1414</v>
      </c>
      <c r="AF762">
        <v>0</v>
      </c>
      <c r="AG762" t="s">
        <v>310</v>
      </c>
      <c r="AH762">
        <f>SUM((MID(Dyno_Data[[#This Row],[Team]],4,5))+(Dyno_Data[[#This Row],[Match]]/100))</f>
        <v>5881.13</v>
      </c>
      <c r="AI762" s="76">
        <f>ROUND(SUM(IF(Dyno_Data[[#This Row],[AcqCenter]]&gt;0,Dyno_Data[[#This Row],[Time]]-SUMIFS(Dyno_Data[Time],Dyno_Data[Team],Dyno_Data[[#This Row],[Team]],Dyno_Data[RecordType],"StartMatch",Dyno_Data[Match],Dyno_Data[[#This Row],[Match]]),0)*86400),0)</f>
        <v>0</v>
      </c>
    </row>
    <row r="763" spans="1:35" x14ac:dyDescent="0.3">
      <c r="A763">
        <v>756</v>
      </c>
      <c r="B763" t="s">
        <v>366</v>
      </c>
      <c r="C763">
        <v>13</v>
      </c>
      <c r="D763" s="105">
        <v>45373.448530057867</v>
      </c>
      <c r="E763" t="s">
        <v>312</v>
      </c>
      <c r="F763" t="s">
        <v>309</v>
      </c>
      <c r="G763">
        <v>0</v>
      </c>
      <c r="H763" t="s">
        <v>1397</v>
      </c>
      <c r="I763">
        <v>0</v>
      </c>
      <c r="J763">
        <v>0</v>
      </c>
      <c r="K763">
        <v>0</v>
      </c>
      <c r="L763" t="s">
        <v>240</v>
      </c>
      <c r="M763" t="s">
        <v>1398</v>
      </c>
      <c r="N763">
        <v>0</v>
      </c>
      <c r="O763" t="s">
        <v>1393</v>
      </c>
      <c r="P763" t="s">
        <v>310</v>
      </c>
      <c r="Q763" t="s">
        <v>310</v>
      </c>
      <c r="R763" t="s">
        <v>310</v>
      </c>
      <c r="S763">
        <v>9</v>
      </c>
      <c r="T763" t="s">
        <v>310</v>
      </c>
      <c r="U763">
        <v>9</v>
      </c>
      <c r="V763">
        <v>9</v>
      </c>
      <c r="W763">
        <v>0</v>
      </c>
      <c r="X763">
        <v>0</v>
      </c>
      <c r="Y763">
        <v>0</v>
      </c>
      <c r="Z763">
        <v>0</v>
      </c>
      <c r="AA763">
        <v>9</v>
      </c>
      <c r="AB763">
        <v>9</v>
      </c>
      <c r="AC763" t="s">
        <v>310</v>
      </c>
      <c r="AD763">
        <v>9</v>
      </c>
      <c r="AE763" t="s">
        <v>1412</v>
      </c>
      <c r="AF763">
        <v>0</v>
      </c>
      <c r="AG763" t="s">
        <v>310</v>
      </c>
      <c r="AH763">
        <f>SUM((MID(Dyno_Data[[#This Row],[Team]],4,5))+(Dyno_Data[[#This Row],[Match]]/100))</f>
        <v>4122.13</v>
      </c>
      <c r="AI763" s="76">
        <f>ROUND(SUM(IF(Dyno_Data[[#This Row],[AcqCenter]]&gt;0,Dyno_Data[[#This Row],[Time]]-SUMIFS(Dyno_Data[Time],Dyno_Data[Team],Dyno_Data[[#This Row],[Team]],Dyno_Data[RecordType],"StartMatch",Dyno_Data[Match],Dyno_Data[[#This Row],[Match]]),0)*86400),0)</f>
        <v>0</v>
      </c>
    </row>
    <row r="764" spans="1:35" x14ac:dyDescent="0.3">
      <c r="A764">
        <v>757</v>
      </c>
      <c r="B764" t="s">
        <v>1310</v>
      </c>
      <c r="C764">
        <v>13</v>
      </c>
      <c r="D764" s="105">
        <v>45373.448533680552</v>
      </c>
      <c r="E764" t="s">
        <v>312</v>
      </c>
      <c r="F764" t="s">
        <v>309</v>
      </c>
      <c r="G764">
        <v>0</v>
      </c>
      <c r="H764" t="s">
        <v>1397</v>
      </c>
      <c r="I764">
        <v>0</v>
      </c>
      <c r="J764">
        <v>0</v>
      </c>
      <c r="K764">
        <v>0</v>
      </c>
      <c r="L764" t="s">
        <v>241</v>
      </c>
      <c r="M764" t="s">
        <v>1398</v>
      </c>
      <c r="N764">
        <v>0</v>
      </c>
      <c r="O764" t="s">
        <v>311</v>
      </c>
      <c r="P764" t="s">
        <v>310</v>
      </c>
      <c r="Q764" t="s">
        <v>310</v>
      </c>
      <c r="R764" t="s">
        <v>310</v>
      </c>
      <c r="S764">
        <v>9</v>
      </c>
      <c r="T764" t="s">
        <v>310</v>
      </c>
      <c r="U764">
        <v>9</v>
      </c>
      <c r="V764">
        <v>9</v>
      </c>
      <c r="W764">
        <v>0</v>
      </c>
      <c r="X764">
        <v>0</v>
      </c>
      <c r="Y764">
        <v>0</v>
      </c>
      <c r="Z764">
        <v>0</v>
      </c>
      <c r="AA764">
        <v>9</v>
      </c>
      <c r="AB764">
        <v>9</v>
      </c>
      <c r="AC764" t="s">
        <v>310</v>
      </c>
      <c r="AD764">
        <v>9</v>
      </c>
      <c r="AE764" t="s">
        <v>1413</v>
      </c>
      <c r="AF764">
        <v>0</v>
      </c>
      <c r="AG764" t="s">
        <v>310</v>
      </c>
      <c r="AH764">
        <f>SUM((MID(Dyno_Data[[#This Row],[Team]],4,5))+(Dyno_Data[[#This Row],[Match]]/100))</f>
        <v>6621.13</v>
      </c>
      <c r="AI764" s="76">
        <f>ROUND(SUM(IF(Dyno_Data[[#This Row],[AcqCenter]]&gt;0,Dyno_Data[[#This Row],[Time]]-SUMIFS(Dyno_Data[Time],Dyno_Data[Team],Dyno_Data[[#This Row],[Team]],Dyno_Data[RecordType],"StartMatch",Dyno_Data[Match],Dyno_Data[[#This Row],[Match]]),0)*86400),0)</f>
        <v>0</v>
      </c>
    </row>
    <row r="765" spans="1:35" x14ac:dyDescent="0.3">
      <c r="A765">
        <v>758</v>
      </c>
      <c r="B765" t="s">
        <v>360</v>
      </c>
      <c r="C765">
        <v>13</v>
      </c>
      <c r="D765" s="105">
        <v>45373.448548877313</v>
      </c>
      <c r="E765" t="s">
        <v>312</v>
      </c>
      <c r="F765" t="s">
        <v>309</v>
      </c>
      <c r="G765">
        <v>0</v>
      </c>
      <c r="H765" t="s">
        <v>315</v>
      </c>
      <c r="I765">
        <v>0</v>
      </c>
      <c r="J765">
        <v>0</v>
      </c>
      <c r="K765">
        <v>0</v>
      </c>
      <c r="L765" t="s">
        <v>241</v>
      </c>
      <c r="M765" t="s">
        <v>1398</v>
      </c>
      <c r="N765">
        <v>0</v>
      </c>
      <c r="O765" t="s">
        <v>1389</v>
      </c>
      <c r="P765" t="s">
        <v>310</v>
      </c>
      <c r="Q765" t="s">
        <v>310</v>
      </c>
      <c r="R765" t="s">
        <v>310</v>
      </c>
      <c r="S765">
        <v>9</v>
      </c>
      <c r="T765" t="s">
        <v>310</v>
      </c>
      <c r="U765">
        <v>9</v>
      </c>
      <c r="V765">
        <v>9</v>
      </c>
      <c r="W765">
        <v>0</v>
      </c>
      <c r="X765">
        <v>0</v>
      </c>
      <c r="Y765">
        <v>0</v>
      </c>
      <c r="Z765">
        <v>0</v>
      </c>
      <c r="AA765">
        <v>9</v>
      </c>
      <c r="AB765">
        <v>9</v>
      </c>
      <c r="AC765" t="s">
        <v>310</v>
      </c>
      <c r="AD765">
        <v>9</v>
      </c>
      <c r="AE765" t="s">
        <v>1388</v>
      </c>
      <c r="AF765">
        <v>20000000</v>
      </c>
      <c r="AG765" t="s">
        <v>310</v>
      </c>
      <c r="AH765">
        <f>SUM((MID(Dyno_Data[[#This Row],[Team]],4,5))+(Dyno_Data[[#This Row],[Match]]/100))</f>
        <v>1796.13</v>
      </c>
      <c r="AI765" s="76">
        <f>ROUND(SUM(IF(Dyno_Data[[#This Row],[AcqCenter]]&gt;0,Dyno_Data[[#This Row],[Time]]-SUMIFS(Dyno_Data[Time],Dyno_Data[Team],Dyno_Data[[#This Row],[Team]],Dyno_Data[RecordType],"StartMatch",Dyno_Data[Match],Dyno_Data[[#This Row],[Match]]),0)*86400),0)</f>
        <v>0</v>
      </c>
    </row>
    <row r="766" spans="1:35" x14ac:dyDescent="0.3">
      <c r="A766">
        <v>759</v>
      </c>
      <c r="B766" t="s">
        <v>360</v>
      </c>
      <c r="C766">
        <v>13</v>
      </c>
      <c r="D766" s="105">
        <v>45373.448561805555</v>
      </c>
      <c r="E766" t="s">
        <v>312</v>
      </c>
      <c r="F766" t="s">
        <v>309</v>
      </c>
      <c r="G766">
        <v>0</v>
      </c>
      <c r="H766" t="s">
        <v>315</v>
      </c>
      <c r="I766">
        <v>0</v>
      </c>
      <c r="J766">
        <v>0</v>
      </c>
      <c r="K766">
        <v>0</v>
      </c>
      <c r="L766" t="s">
        <v>241</v>
      </c>
      <c r="M766" t="s">
        <v>1398</v>
      </c>
      <c r="N766">
        <v>0</v>
      </c>
      <c r="O766" t="s">
        <v>1389</v>
      </c>
      <c r="P766" t="s">
        <v>310</v>
      </c>
      <c r="Q766" t="s">
        <v>310</v>
      </c>
      <c r="R766" t="s">
        <v>310</v>
      </c>
      <c r="S766">
        <v>9</v>
      </c>
      <c r="T766" t="s">
        <v>310</v>
      </c>
      <c r="U766">
        <v>9</v>
      </c>
      <c r="V766">
        <v>9</v>
      </c>
      <c r="W766">
        <v>0</v>
      </c>
      <c r="X766">
        <v>0</v>
      </c>
      <c r="Y766">
        <v>0</v>
      </c>
      <c r="Z766">
        <v>0</v>
      </c>
      <c r="AA766">
        <v>9</v>
      </c>
      <c r="AB766">
        <v>9</v>
      </c>
      <c r="AC766" t="s">
        <v>310</v>
      </c>
      <c r="AD766">
        <v>9</v>
      </c>
      <c r="AE766" t="s">
        <v>1388</v>
      </c>
      <c r="AF766">
        <v>30000000</v>
      </c>
      <c r="AG766" t="s">
        <v>310</v>
      </c>
      <c r="AH766">
        <f>SUM((MID(Dyno_Data[[#This Row],[Team]],4,5))+(Dyno_Data[[#This Row],[Match]]/100))</f>
        <v>1796.13</v>
      </c>
      <c r="AI766" s="76">
        <f>ROUND(SUM(IF(Dyno_Data[[#This Row],[AcqCenter]]&gt;0,Dyno_Data[[#This Row],[Time]]-SUMIFS(Dyno_Data[Time],Dyno_Data[Team],Dyno_Data[[#This Row],[Team]],Dyno_Data[RecordType],"StartMatch",Dyno_Data[Match],Dyno_Data[[#This Row],[Match]]),0)*86400),0)</f>
        <v>0</v>
      </c>
    </row>
    <row r="767" spans="1:35" x14ac:dyDescent="0.3">
      <c r="A767">
        <v>760</v>
      </c>
      <c r="B767" t="s">
        <v>360</v>
      </c>
      <c r="C767">
        <v>13</v>
      </c>
      <c r="D767" s="105">
        <v>45373.448576539355</v>
      </c>
      <c r="E767" t="s">
        <v>312</v>
      </c>
      <c r="F767" t="s">
        <v>309</v>
      </c>
      <c r="G767">
        <v>0</v>
      </c>
      <c r="H767" t="s">
        <v>143</v>
      </c>
      <c r="I767">
        <v>5</v>
      </c>
      <c r="J767">
        <v>1</v>
      </c>
      <c r="K767">
        <v>0</v>
      </c>
      <c r="L767" t="s">
        <v>310</v>
      </c>
      <c r="M767" t="s">
        <v>310</v>
      </c>
      <c r="N767">
        <v>0</v>
      </c>
      <c r="O767" t="s">
        <v>1389</v>
      </c>
      <c r="P767" t="s">
        <v>310</v>
      </c>
      <c r="Q767" t="s">
        <v>310</v>
      </c>
      <c r="R767" t="s">
        <v>310</v>
      </c>
      <c r="S767">
        <v>9</v>
      </c>
      <c r="T767" t="s">
        <v>310</v>
      </c>
      <c r="U767">
        <v>9</v>
      </c>
      <c r="V767">
        <v>9</v>
      </c>
      <c r="W767">
        <v>0</v>
      </c>
      <c r="X767">
        <v>0</v>
      </c>
      <c r="Y767">
        <v>0</v>
      </c>
      <c r="Z767">
        <v>0</v>
      </c>
      <c r="AA767">
        <v>9</v>
      </c>
      <c r="AB767">
        <v>9</v>
      </c>
      <c r="AC767" t="s">
        <v>310</v>
      </c>
      <c r="AD767">
        <v>9</v>
      </c>
      <c r="AE767" t="s">
        <v>1388</v>
      </c>
      <c r="AF767">
        <v>30001000</v>
      </c>
      <c r="AG767" t="s">
        <v>310</v>
      </c>
      <c r="AH767">
        <f>SUM((MID(Dyno_Data[[#This Row],[Team]],4,5))+(Dyno_Data[[#This Row],[Match]]/100))</f>
        <v>1796.13</v>
      </c>
      <c r="AI767" s="76">
        <f>ROUND(SUM(IF(Dyno_Data[[#This Row],[AcqCenter]]&gt;0,Dyno_Data[[#This Row],[Time]]-SUMIFS(Dyno_Data[Time],Dyno_Data[Team],Dyno_Data[[#This Row],[Team]],Dyno_Data[RecordType],"StartMatch",Dyno_Data[Match],Dyno_Data[[#This Row],[Match]]),0)*86400),0)</f>
        <v>8</v>
      </c>
    </row>
    <row r="768" spans="1:35" x14ac:dyDescent="0.3">
      <c r="A768">
        <v>761</v>
      </c>
      <c r="B768" t="s">
        <v>1310</v>
      </c>
      <c r="C768">
        <v>13</v>
      </c>
      <c r="D768" s="105">
        <v>45373.448585914353</v>
      </c>
      <c r="E768" t="s">
        <v>312</v>
      </c>
      <c r="F768" t="s">
        <v>309</v>
      </c>
      <c r="G768">
        <v>0</v>
      </c>
      <c r="H768" t="s">
        <v>315</v>
      </c>
      <c r="I768">
        <v>0</v>
      </c>
      <c r="J768">
        <v>0</v>
      </c>
      <c r="K768">
        <v>0</v>
      </c>
      <c r="L768" t="s">
        <v>241</v>
      </c>
      <c r="M768" t="s">
        <v>1398</v>
      </c>
      <c r="N768">
        <v>1</v>
      </c>
      <c r="O768" t="s">
        <v>311</v>
      </c>
      <c r="P768" t="s">
        <v>310</v>
      </c>
      <c r="Q768" t="s">
        <v>310</v>
      </c>
      <c r="R768" t="s">
        <v>310</v>
      </c>
      <c r="S768">
        <v>9</v>
      </c>
      <c r="T768" t="s">
        <v>310</v>
      </c>
      <c r="U768">
        <v>9</v>
      </c>
      <c r="V768">
        <v>9</v>
      </c>
      <c r="W768">
        <v>0</v>
      </c>
      <c r="X768">
        <v>0</v>
      </c>
      <c r="Y768">
        <v>0</v>
      </c>
      <c r="Z768">
        <v>0</v>
      </c>
      <c r="AA768">
        <v>9</v>
      </c>
      <c r="AB768">
        <v>9</v>
      </c>
      <c r="AC768" t="s">
        <v>310</v>
      </c>
      <c r="AD768">
        <v>9</v>
      </c>
      <c r="AE768" t="s">
        <v>1413</v>
      </c>
      <c r="AF768">
        <v>10000000</v>
      </c>
      <c r="AG768" t="s">
        <v>310</v>
      </c>
      <c r="AH768">
        <f>SUM((MID(Dyno_Data[[#This Row],[Team]],4,5))+(Dyno_Data[[#This Row],[Match]]/100))</f>
        <v>6621.13</v>
      </c>
      <c r="AI768" s="76">
        <f>ROUND(SUM(IF(Dyno_Data[[#This Row],[AcqCenter]]&gt;0,Dyno_Data[[#This Row],[Time]]-SUMIFS(Dyno_Data[Time],Dyno_Data[Team],Dyno_Data[[#This Row],[Team]],Dyno_Data[RecordType],"StartMatch",Dyno_Data[Match],Dyno_Data[[#This Row],[Match]]),0)*86400),0)</f>
        <v>0</v>
      </c>
    </row>
    <row r="769" spans="1:35" x14ac:dyDescent="0.3">
      <c r="A769">
        <v>762</v>
      </c>
      <c r="B769" t="s">
        <v>360</v>
      </c>
      <c r="C769">
        <v>13</v>
      </c>
      <c r="D769" s="105">
        <v>45373.448597418981</v>
      </c>
      <c r="E769" t="s">
        <v>312</v>
      </c>
      <c r="F769" t="s">
        <v>309</v>
      </c>
      <c r="G769">
        <v>0</v>
      </c>
      <c r="H769" t="s">
        <v>143</v>
      </c>
      <c r="I769">
        <v>0</v>
      </c>
      <c r="J769">
        <v>0</v>
      </c>
      <c r="K769">
        <v>0</v>
      </c>
      <c r="L769" t="s">
        <v>241</v>
      </c>
      <c r="M769" t="s">
        <v>1398</v>
      </c>
      <c r="N769">
        <v>0</v>
      </c>
      <c r="O769" t="s">
        <v>1389</v>
      </c>
      <c r="P769" t="s">
        <v>310</v>
      </c>
      <c r="Q769" t="s">
        <v>310</v>
      </c>
      <c r="R769" t="s">
        <v>310</v>
      </c>
      <c r="S769">
        <v>9</v>
      </c>
      <c r="T769" t="s">
        <v>310</v>
      </c>
      <c r="U769">
        <v>9</v>
      </c>
      <c r="V769">
        <v>9</v>
      </c>
      <c r="W769">
        <v>0</v>
      </c>
      <c r="X769">
        <v>0</v>
      </c>
      <c r="Y769">
        <v>0</v>
      </c>
      <c r="Z769">
        <v>0</v>
      </c>
      <c r="AA769">
        <v>9</v>
      </c>
      <c r="AB769">
        <v>9</v>
      </c>
      <c r="AC769" t="s">
        <v>310</v>
      </c>
      <c r="AD769">
        <v>9</v>
      </c>
      <c r="AE769" t="s">
        <v>1388</v>
      </c>
      <c r="AF769">
        <v>30001000</v>
      </c>
      <c r="AG769" t="s">
        <v>310</v>
      </c>
      <c r="AH769">
        <f>SUM((MID(Dyno_Data[[#This Row],[Team]],4,5))+(Dyno_Data[[#This Row],[Match]]/100))</f>
        <v>1796.13</v>
      </c>
      <c r="AI769" s="76">
        <f>ROUND(SUM(IF(Dyno_Data[[#This Row],[AcqCenter]]&gt;0,Dyno_Data[[#This Row],[Time]]-SUMIFS(Dyno_Data[Time],Dyno_Data[Team],Dyno_Data[[#This Row],[Team]],Dyno_Data[RecordType],"StartMatch",Dyno_Data[Match],Dyno_Data[[#This Row],[Match]]),0)*86400),0)</f>
        <v>0</v>
      </c>
    </row>
    <row r="770" spans="1:35" x14ac:dyDescent="0.3">
      <c r="A770">
        <v>763</v>
      </c>
      <c r="B770" t="s">
        <v>1314</v>
      </c>
      <c r="C770">
        <v>13</v>
      </c>
      <c r="D770" s="105">
        <v>45373.448598148148</v>
      </c>
      <c r="E770" t="s">
        <v>312</v>
      </c>
      <c r="F770" t="s">
        <v>309</v>
      </c>
      <c r="G770">
        <v>0</v>
      </c>
      <c r="H770" t="s">
        <v>1397</v>
      </c>
      <c r="I770">
        <v>0</v>
      </c>
      <c r="J770">
        <v>0</v>
      </c>
      <c r="K770">
        <v>0</v>
      </c>
      <c r="L770" t="s">
        <v>241</v>
      </c>
      <c r="M770" t="s">
        <v>1398</v>
      </c>
      <c r="N770">
        <v>0</v>
      </c>
      <c r="O770" t="s">
        <v>1395</v>
      </c>
      <c r="P770" t="s">
        <v>310</v>
      </c>
      <c r="Q770" t="s">
        <v>310</v>
      </c>
      <c r="R770" t="s">
        <v>310</v>
      </c>
      <c r="S770">
        <v>9</v>
      </c>
      <c r="T770" t="s">
        <v>310</v>
      </c>
      <c r="U770">
        <v>9</v>
      </c>
      <c r="V770">
        <v>9</v>
      </c>
      <c r="W770">
        <v>0</v>
      </c>
      <c r="X770">
        <v>0</v>
      </c>
      <c r="Y770">
        <v>0</v>
      </c>
      <c r="Z770">
        <v>0</v>
      </c>
      <c r="AA770">
        <v>9</v>
      </c>
      <c r="AB770">
        <v>9</v>
      </c>
      <c r="AC770" t="s">
        <v>310</v>
      </c>
      <c r="AD770">
        <v>9</v>
      </c>
      <c r="AE770" t="s">
        <v>1396</v>
      </c>
      <c r="AF770">
        <v>0</v>
      </c>
      <c r="AG770" t="s">
        <v>310</v>
      </c>
      <c r="AH770">
        <f>SUM((MID(Dyno_Data[[#This Row],[Team]],4,5))+(Dyno_Data[[#This Row],[Match]]/100))</f>
        <v>3419.13</v>
      </c>
      <c r="AI770" s="76">
        <f>ROUND(SUM(IF(Dyno_Data[[#This Row],[AcqCenter]]&gt;0,Dyno_Data[[#This Row],[Time]]-SUMIFS(Dyno_Data[Time],Dyno_Data[Team],Dyno_Data[[#This Row],[Team]],Dyno_Data[RecordType],"StartMatch",Dyno_Data[Match],Dyno_Data[[#This Row],[Match]]),0)*86400),0)</f>
        <v>0</v>
      </c>
    </row>
    <row r="771" spans="1:35" x14ac:dyDescent="0.3">
      <c r="A771">
        <v>764</v>
      </c>
      <c r="B771" t="s">
        <v>360</v>
      </c>
      <c r="C771">
        <v>13</v>
      </c>
      <c r="D771" s="105">
        <v>45373.448608761573</v>
      </c>
      <c r="E771" t="s">
        <v>312</v>
      </c>
      <c r="F771" t="s">
        <v>309</v>
      </c>
      <c r="G771">
        <v>0</v>
      </c>
      <c r="H771" t="s">
        <v>143</v>
      </c>
      <c r="I771">
        <v>4</v>
      </c>
      <c r="J771">
        <v>1</v>
      </c>
      <c r="K771">
        <v>0</v>
      </c>
      <c r="L771" t="s">
        <v>310</v>
      </c>
      <c r="M771" t="s">
        <v>310</v>
      </c>
      <c r="N771">
        <v>0</v>
      </c>
      <c r="O771" t="s">
        <v>1389</v>
      </c>
      <c r="P771" t="s">
        <v>310</v>
      </c>
      <c r="Q771" t="s">
        <v>310</v>
      </c>
      <c r="R771" t="s">
        <v>310</v>
      </c>
      <c r="S771">
        <v>9</v>
      </c>
      <c r="T771" t="s">
        <v>310</v>
      </c>
      <c r="U771">
        <v>9</v>
      </c>
      <c r="V771">
        <v>9</v>
      </c>
      <c r="W771">
        <v>0</v>
      </c>
      <c r="X771">
        <v>0</v>
      </c>
      <c r="Y771">
        <v>0</v>
      </c>
      <c r="Z771">
        <v>0</v>
      </c>
      <c r="AA771">
        <v>9</v>
      </c>
      <c r="AB771">
        <v>9</v>
      </c>
      <c r="AC771" t="s">
        <v>310</v>
      </c>
      <c r="AD771">
        <v>9</v>
      </c>
      <c r="AE771" t="s">
        <v>1388</v>
      </c>
      <c r="AF771">
        <v>30002000</v>
      </c>
      <c r="AG771" t="s">
        <v>310</v>
      </c>
      <c r="AH771">
        <f>SUM((MID(Dyno_Data[[#This Row],[Team]],4,5))+(Dyno_Data[[#This Row],[Match]]/100))</f>
        <v>1796.13</v>
      </c>
      <c r="AI771" s="76">
        <f>ROUND(SUM(IF(Dyno_Data[[#This Row],[AcqCenter]]&gt;0,Dyno_Data[[#This Row],[Time]]-SUMIFS(Dyno_Data[Time],Dyno_Data[Team],Dyno_Data[[#This Row],[Team]],Dyno_Data[RecordType],"StartMatch",Dyno_Data[Match],Dyno_Data[[#This Row],[Match]]),0)*86400),0)</f>
        <v>10</v>
      </c>
    </row>
    <row r="772" spans="1:35" x14ac:dyDescent="0.3">
      <c r="A772">
        <v>765</v>
      </c>
      <c r="B772" t="s">
        <v>360</v>
      </c>
      <c r="C772">
        <v>13</v>
      </c>
      <c r="D772" s="105">
        <v>45373.448630358798</v>
      </c>
      <c r="E772" t="s">
        <v>312</v>
      </c>
      <c r="F772" t="s">
        <v>309</v>
      </c>
      <c r="G772">
        <v>0</v>
      </c>
      <c r="H772" t="s">
        <v>143</v>
      </c>
      <c r="I772">
        <v>0</v>
      </c>
      <c r="J772">
        <v>0</v>
      </c>
      <c r="K772">
        <v>0</v>
      </c>
      <c r="L772" t="s">
        <v>241</v>
      </c>
      <c r="M772" t="s">
        <v>1398</v>
      </c>
      <c r="N772">
        <v>0</v>
      </c>
      <c r="O772" t="s">
        <v>1389</v>
      </c>
      <c r="P772" t="s">
        <v>310</v>
      </c>
      <c r="Q772" t="s">
        <v>310</v>
      </c>
      <c r="R772" t="s">
        <v>310</v>
      </c>
      <c r="S772">
        <v>9</v>
      </c>
      <c r="T772" t="s">
        <v>310</v>
      </c>
      <c r="U772">
        <v>9</v>
      </c>
      <c r="V772">
        <v>9</v>
      </c>
      <c r="W772">
        <v>0</v>
      </c>
      <c r="X772">
        <v>0</v>
      </c>
      <c r="Y772">
        <v>0</v>
      </c>
      <c r="Z772">
        <v>0</v>
      </c>
      <c r="AA772">
        <v>9</v>
      </c>
      <c r="AB772">
        <v>9</v>
      </c>
      <c r="AC772" t="s">
        <v>310</v>
      </c>
      <c r="AD772">
        <v>9</v>
      </c>
      <c r="AE772" t="s">
        <v>1388</v>
      </c>
      <c r="AF772">
        <v>30002000</v>
      </c>
      <c r="AG772" t="s">
        <v>310</v>
      </c>
      <c r="AH772">
        <f>SUM((MID(Dyno_Data[[#This Row],[Team]],4,5))+(Dyno_Data[[#This Row],[Match]]/100))</f>
        <v>1796.13</v>
      </c>
      <c r="AI772" s="76">
        <f>ROUND(SUM(IF(Dyno_Data[[#This Row],[AcqCenter]]&gt;0,Dyno_Data[[#This Row],[Time]]-SUMIFS(Dyno_Data[Time],Dyno_Data[Team],Dyno_Data[[#This Row],[Team]],Dyno_Data[RecordType],"StartMatch",Dyno_Data[Match],Dyno_Data[[#This Row],[Match]]),0)*86400),0)</f>
        <v>0</v>
      </c>
    </row>
    <row r="773" spans="1:35" x14ac:dyDescent="0.3">
      <c r="A773">
        <v>766</v>
      </c>
      <c r="B773" t="s">
        <v>360</v>
      </c>
      <c r="C773">
        <v>13</v>
      </c>
      <c r="D773" s="105">
        <v>45373.448646180557</v>
      </c>
      <c r="E773" t="s">
        <v>312</v>
      </c>
      <c r="F773" t="s">
        <v>309</v>
      </c>
      <c r="G773">
        <v>0</v>
      </c>
      <c r="H773" t="s">
        <v>143</v>
      </c>
      <c r="I773">
        <v>3</v>
      </c>
      <c r="J773">
        <v>1</v>
      </c>
      <c r="K773">
        <v>0</v>
      </c>
      <c r="L773" t="s">
        <v>310</v>
      </c>
      <c r="M773" t="s">
        <v>310</v>
      </c>
      <c r="N773">
        <v>0</v>
      </c>
      <c r="O773" t="s">
        <v>1389</v>
      </c>
      <c r="P773" t="s">
        <v>310</v>
      </c>
      <c r="Q773" t="s">
        <v>310</v>
      </c>
      <c r="R773" t="s">
        <v>310</v>
      </c>
      <c r="S773">
        <v>9</v>
      </c>
      <c r="T773" t="s">
        <v>310</v>
      </c>
      <c r="U773">
        <v>9</v>
      </c>
      <c r="V773">
        <v>9</v>
      </c>
      <c r="W773">
        <v>0</v>
      </c>
      <c r="X773">
        <v>0</v>
      </c>
      <c r="Y773">
        <v>0</v>
      </c>
      <c r="Z773">
        <v>0</v>
      </c>
      <c r="AA773">
        <v>9</v>
      </c>
      <c r="AB773">
        <v>9</v>
      </c>
      <c r="AC773" t="s">
        <v>310</v>
      </c>
      <c r="AD773">
        <v>9</v>
      </c>
      <c r="AE773" t="s">
        <v>1388</v>
      </c>
      <c r="AF773">
        <v>30003000</v>
      </c>
      <c r="AG773" t="s">
        <v>310</v>
      </c>
      <c r="AH773">
        <f>SUM((MID(Dyno_Data[[#This Row],[Team]],4,5))+(Dyno_Data[[#This Row],[Match]]/100))</f>
        <v>1796.13</v>
      </c>
      <c r="AI773" s="76">
        <f>ROUND(SUM(IF(Dyno_Data[[#This Row],[AcqCenter]]&gt;0,Dyno_Data[[#This Row],[Time]]-SUMIFS(Dyno_Data[Time],Dyno_Data[Team],Dyno_Data[[#This Row],[Team]],Dyno_Data[RecordType],"StartMatch",Dyno_Data[Match],Dyno_Data[[#This Row],[Match]]),0)*86400),0)</f>
        <v>14</v>
      </c>
    </row>
    <row r="774" spans="1:35" x14ac:dyDescent="0.3">
      <c r="A774">
        <v>767</v>
      </c>
      <c r="B774" t="s">
        <v>1290</v>
      </c>
      <c r="C774">
        <v>13</v>
      </c>
      <c r="D774" s="105">
        <v>45373.448662847222</v>
      </c>
      <c r="E774" t="s">
        <v>312</v>
      </c>
      <c r="F774" t="s">
        <v>309</v>
      </c>
      <c r="G774">
        <v>0</v>
      </c>
      <c r="H774" t="s">
        <v>315</v>
      </c>
      <c r="I774">
        <v>0</v>
      </c>
      <c r="J774">
        <v>0</v>
      </c>
      <c r="K774">
        <v>0</v>
      </c>
      <c r="L774" t="s">
        <v>240</v>
      </c>
      <c r="M774" t="s">
        <v>1398</v>
      </c>
      <c r="N774">
        <v>1</v>
      </c>
      <c r="O774" t="s">
        <v>1391</v>
      </c>
      <c r="P774" t="s">
        <v>310</v>
      </c>
      <c r="Q774" t="s">
        <v>310</v>
      </c>
      <c r="R774" t="s">
        <v>310</v>
      </c>
      <c r="S774">
        <v>9</v>
      </c>
      <c r="T774" t="s">
        <v>310</v>
      </c>
      <c r="U774">
        <v>9</v>
      </c>
      <c r="V774">
        <v>9</v>
      </c>
      <c r="W774">
        <v>0</v>
      </c>
      <c r="X774">
        <v>0</v>
      </c>
      <c r="Y774">
        <v>0</v>
      </c>
      <c r="Z774">
        <v>0</v>
      </c>
      <c r="AA774">
        <v>9</v>
      </c>
      <c r="AB774">
        <v>9</v>
      </c>
      <c r="AC774" t="s">
        <v>310</v>
      </c>
      <c r="AD774">
        <v>9</v>
      </c>
      <c r="AE774" t="s">
        <v>1414</v>
      </c>
      <c r="AF774">
        <v>10000000</v>
      </c>
      <c r="AG774" t="s">
        <v>310</v>
      </c>
      <c r="AH774">
        <f>SUM((MID(Dyno_Data[[#This Row],[Team]],4,5))+(Dyno_Data[[#This Row],[Match]]/100))</f>
        <v>5881.13</v>
      </c>
      <c r="AI774" s="76">
        <f>ROUND(SUM(IF(Dyno_Data[[#This Row],[AcqCenter]]&gt;0,Dyno_Data[[#This Row],[Time]]-SUMIFS(Dyno_Data[Time],Dyno_Data[Team],Dyno_Data[[#This Row],[Team]],Dyno_Data[RecordType],"StartMatch",Dyno_Data[Match],Dyno_Data[[#This Row],[Match]]),0)*86400),0)</f>
        <v>0</v>
      </c>
    </row>
    <row r="775" spans="1:35" x14ac:dyDescent="0.3">
      <c r="A775">
        <v>769</v>
      </c>
      <c r="B775" t="s">
        <v>366</v>
      </c>
      <c r="C775">
        <v>13</v>
      </c>
      <c r="D775" s="105">
        <v>45373.44869409722</v>
      </c>
      <c r="E775" t="s">
        <v>314</v>
      </c>
      <c r="F775" t="s">
        <v>309</v>
      </c>
      <c r="G775">
        <v>0</v>
      </c>
      <c r="H775" t="s">
        <v>310</v>
      </c>
      <c r="I775">
        <v>0</v>
      </c>
      <c r="J775">
        <v>0</v>
      </c>
      <c r="K775">
        <v>0</v>
      </c>
      <c r="L775" t="s">
        <v>310</v>
      </c>
      <c r="M775" t="s">
        <v>310</v>
      </c>
      <c r="N775">
        <v>0</v>
      </c>
      <c r="O775" t="s">
        <v>1393</v>
      </c>
      <c r="P775" t="s">
        <v>101</v>
      </c>
      <c r="Q775" t="s">
        <v>1400</v>
      </c>
      <c r="R775" t="s">
        <v>310</v>
      </c>
      <c r="S775">
        <v>9</v>
      </c>
      <c r="T775" t="s">
        <v>310</v>
      </c>
      <c r="U775">
        <v>9</v>
      </c>
      <c r="V775">
        <v>9</v>
      </c>
      <c r="W775">
        <v>0</v>
      </c>
      <c r="X775">
        <v>0</v>
      </c>
      <c r="Y775">
        <v>0</v>
      </c>
      <c r="Z775">
        <v>0</v>
      </c>
      <c r="AA775">
        <v>9</v>
      </c>
      <c r="AB775">
        <v>9</v>
      </c>
      <c r="AC775" t="s">
        <v>310</v>
      </c>
      <c r="AD775">
        <v>9</v>
      </c>
      <c r="AE775" t="s">
        <v>1412</v>
      </c>
      <c r="AF775">
        <v>0</v>
      </c>
      <c r="AG775" t="s">
        <v>310</v>
      </c>
      <c r="AH775">
        <f>SUM((MID(Dyno_Data[[#This Row],[Team]],4,5))+(Dyno_Data[[#This Row],[Match]]/100))</f>
        <v>4122.13</v>
      </c>
      <c r="AI775" s="76">
        <f>ROUND(SUM(IF(Dyno_Data[[#This Row],[AcqCenter]]&gt;0,Dyno_Data[[#This Row],[Time]]-SUMIFS(Dyno_Data[Time],Dyno_Data[Team],Dyno_Data[[#This Row],[Team]],Dyno_Data[RecordType],"StartMatch",Dyno_Data[Match],Dyno_Data[[#This Row],[Match]]),0)*86400),0)</f>
        <v>0</v>
      </c>
    </row>
    <row r="776" spans="1:35" x14ac:dyDescent="0.3">
      <c r="A776">
        <v>771</v>
      </c>
      <c r="B776" t="s">
        <v>360</v>
      </c>
      <c r="C776">
        <v>13</v>
      </c>
      <c r="D776" s="105">
        <v>45373.448696261577</v>
      </c>
      <c r="E776" t="s">
        <v>314</v>
      </c>
      <c r="F776" t="s">
        <v>309</v>
      </c>
      <c r="G776">
        <v>1</v>
      </c>
      <c r="H776" t="s">
        <v>310</v>
      </c>
      <c r="I776">
        <v>0</v>
      </c>
      <c r="J776">
        <v>0</v>
      </c>
      <c r="K776">
        <v>0</v>
      </c>
      <c r="L776" t="s">
        <v>310</v>
      </c>
      <c r="M776" t="s">
        <v>310</v>
      </c>
      <c r="N776">
        <v>0</v>
      </c>
      <c r="O776" t="s">
        <v>1389</v>
      </c>
      <c r="P776" t="s">
        <v>240</v>
      </c>
      <c r="Q776" t="s">
        <v>1399</v>
      </c>
      <c r="R776" t="s">
        <v>310</v>
      </c>
      <c r="S776">
        <v>9</v>
      </c>
      <c r="T776" t="s">
        <v>310</v>
      </c>
      <c r="U776">
        <v>9</v>
      </c>
      <c r="V776">
        <v>9</v>
      </c>
      <c r="W776">
        <v>0</v>
      </c>
      <c r="X776">
        <v>0</v>
      </c>
      <c r="Y776">
        <v>0</v>
      </c>
      <c r="Z776">
        <v>0</v>
      </c>
      <c r="AA776">
        <v>9</v>
      </c>
      <c r="AB776">
        <v>9</v>
      </c>
      <c r="AC776" t="s">
        <v>310</v>
      </c>
      <c r="AD776">
        <v>9</v>
      </c>
      <c r="AE776" t="s">
        <v>1388</v>
      </c>
      <c r="AF776">
        <v>30003000</v>
      </c>
      <c r="AG776" t="s">
        <v>310</v>
      </c>
      <c r="AH776">
        <f>SUM((MID(Dyno_Data[[#This Row],[Team]],4,5))+(Dyno_Data[[#This Row],[Match]]/100))</f>
        <v>1796.13</v>
      </c>
      <c r="AI776" s="76">
        <f>ROUND(SUM(IF(Dyno_Data[[#This Row],[AcqCenter]]&gt;0,Dyno_Data[[#This Row],[Time]]-SUMIFS(Dyno_Data[Time],Dyno_Data[Team],Dyno_Data[[#This Row],[Team]],Dyno_Data[RecordType],"StartMatch",Dyno_Data[Match],Dyno_Data[[#This Row],[Match]]),0)*86400),0)</f>
        <v>0</v>
      </c>
    </row>
    <row r="777" spans="1:35" x14ac:dyDescent="0.3">
      <c r="A777">
        <v>773</v>
      </c>
      <c r="B777" t="s">
        <v>1314</v>
      </c>
      <c r="C777">
        <v>13</v>
      </c>
      <c r="D777" s="105">
        <v>45373.448699108798</v>
      </c>
      <c r="E777" t="s">
        <v>314</v>
      </c>
      <c r="F777" t="s">
        <v>309</v>
      </c>
      <c r="G777">
        <v>1</v>
      </c>
      <c r="H777" t="s">
        <v>310</v>
      </c>
      <c r="I777">
        <v>0</v>
      </c>
      <c r="J777">
        <v>0</v>
      </c>
      <c r="K777">
        <v>0</v>
      </c>
      <c r="L777" t="s">
        <v>310</v>
      </c>
      <c r="M777" t="s">
        <v>310</v>
      </c>
      <c r="N777">
        <v>0</v>
      </c>
      <c r="O777" t="s">
        <v>1395</v>
      </c>
      <c r="P777" t="s">
        <v>1401</v>
      </c>
      <c r="Q777" t="s">
        <v>1400</v>
      </c>
      <c r="R777" t="s">
        <v>310</v>
      </c>
      <c r="S777">
        <v>9</v>
      </c>
      <c r="T777" t="s">
        <v>310</v>
      </c>
      <c r="U777">
        <v>9</v>
      </c>
      <c r="V777">
        <v>9</v>
      </c>
      <c r="W777">
        <v>0</v>
      </c>
      <c r="X777">
        <v>0</v>
      </c>
      <c r="Y777">
        <v>0</v>
      </c>
      <c r="Z777">
        <v>0</v>
      </c>
      <c r="AA777">
        <v>9</v>
      </c>
      <c r="AB777">
        <v>9</v>
      </c>
      <c r="AC777" t="s">
        <v>310</v>
      </c>
      <c r="AD777">
        <v>9</v>
      </c>
      <c r="AE777" t="s">
        <v>1396</v>
      </c>
      <c r="AF777">
        <v>0</v>
      </c>
      <c r="AG777" t="s">
        <v>310</v>
      </c>
      <c r="AH777">
        <f>SUM((MID(Dyno_Data[[#This Row],[Team]],4,5))+(Dyno_Data[[#This Row],[Match]]/100))</f>
        <v>3419.13</v>
      </c>
      <c r="AI777" s="76">
        <f>ROUND(SUM(IF(Dyno_Data[[#This Row],[AcqCenter]]&gt;0,Dyno_Data[[#This Row],[Time]]-SUMIFS(Dyno_Data[Time],Dyno_Data[Team],Dyno_Data[[#This Row],[Team]],Dyno_Data[RecordType],"StartMatch",Dyno_Data[Match],Dyno_Data[[#This Row],[Match]]),0)*86400),0)</f>
        <v>0</v>
      </c>
    </row>
    <row r="778" spans="1:35" x14ac:dyDescent="0.3">
      <c r="A778">
        <v>775</v>
      </c>
      <c r="B778" t="s">
        <v>368</v>
      </c>
      <c r="C778">
        <v>13</v>
      </c>
      <c r="D778" s="105">
        <v>45373.448699803237</v>
      </c>
      <c r="E778" t="s">
        <v>314</v>
      </c>
      <c r="F778" t="s">
        <v>309</v>
      </c>
      <c r="G778">
        <v>0</v>
      </c>
      <c r="H778" t="s">
        <v>310</v>
      </c>
      <c r="I778">
        <v>0</v>
      </c>
      <c r="J778">
        <v>0</v>
      </c>
      <c r="K778">
        <v>0</v>
      </c>
      <c r="L778" t="s">
        <v>310</v>
      </c>
      <c r="M778" t="s">
        <v>310</v>
      </c>
      <c r="N778">
        <v>0</v>
      </c>
      <c r="O778" t="s">
        <v>319</v>
      </c>
      <c r="P778" t="s">
        <v>101</v>
      </c>
      <c r="Q778" t="s">
        <v>1399</v>
      </c>
      <c r="R778" t="s">
        <v>310</v>
      </c>
      <c r="S778">
        <v>9</v>
      </c>
      <c r="T778" t="s">
        <v>310</v>
      </c>
      <c r="U778">
        <v>9</v>
      </c>
      <c r="V778">
        <v>9</v>
      </c>
      <c r="W778">
        <v>0</v>
      </c>
      <c r="X778">
        <v>0</v>
      </c>
      <c r="Y778">
        <v>0</v>
      </c>
      <c r="Z778">
        <v>0</v>
      </c>
      <c r="AA778">
        <v>9</v>
      </c>
      <c r="AB778">
        <v>9</v>
      </c>
      <c r="AC778" t="s">
        <v>310</v>
      </c>
      <c r="AD778">
        <v>9</v>
      </c>
      <c r="AE778" t="s">
        <v>1390</v>
      </c>
      <c r="AF778">
        <v>0</v>
      </c>
      <c r="AG778" t="s">
        <v>310</v>
      </c>
      <c r="AH778">
        <f>SUM((MID(Dyno_Data[[#This Row],[Team]],4,5))+(Dyno_Data[[#This Row],[Match]]/100))</f>
        <v>6401.13</v>
      </c>
      <c r="AI778" s="76">
        <f>ROUND(SUM(IF(Dyno_Data[[#This Row],[AcqCenter]]&gt;0,Dyno_Data[[#This Row],[Time]]-SUMIFS(Dyno_Data[Time],Dyno_Data[Team],Dyno_Data[[#This Row],[Team]],Dyno_Data[RecordType],"StartMatch",Dyno_Data[Match],Dyno_Data[[#This Row],[Match]]),0)*86400),0)</f>
        <v>0</v>
      </c>
    </row>
    <row r="779" spans="1:35" x14ac:dyDescent="0.3">
      <c r="A779">
        <v>777</v>
      </c>
      <c r="B779" t="s">
        <v>1310</v>
      </c>
      <c r="C779">
        <v>13</v>
      </c>
      <c r="D779" s="105">
        <v>45373.448701238427</v>
      </c>
      <c r="E779" t="s">
        <v>314</v>
      </c>
      <c r="F779" t="s">
        <v>309</v>
      </c>
      <c r="G779">
        <v>0</v>
      </c>
      <c r="H779" t="s">
        <v>310</v>
      </c>
      <c r="I779">
        <v>0</v>
      </c>
      <c r="J779">
        <v>0</v>
      </c>
      <c r="K779">
        <v>0</v>
      </c>
      <c r="L779" t="s">
        <v>310</v>
      </c>
      <c r="M779" t="s">
        <v>310</v>
      </c>
      <c r="N779">
        <v>0</v>
      </c>
      <c r="O779" t="s">
        <v>311</v>
      </c>
      <c r="P779" t="s">
        <v>1401</v>
      </c>
      <c r="Q779" t="s">
        <v>1400</v>
      </c>
      <c r="R779" t="s">
        <v>310</v>
      </c>
      <c r="S779">
        <v>9</v>
      </c>
      <c r="T779" t="s">
        <v>310</v>
      </c>
      <c r="U779">
        <v>9</v>
      </c>
      <c r="V779">
        <v>9</v>
      </c>
      <c r="W779">
        <v>0</v>
      </c>
      <c r="X779">
        <v>0</v>
      </c>
      <c r="Y779">
        <v>0</v>
      </c>
      <c r="Z779">
        <v>0</v>
      </c>
      <c r="AA779">
        <v>9</v>
      </c>
      <c r="AB779">
        <v>9</v>
      </c>
      <c r="AC779" t="s">
        <v>310</v>
      </c>
      <c r="AD779">
        <v>9</v>
      </c>
      <c r="AE779" t="s">
        <v>1413</v>
      </c>
      <c r="AF779">
        <v>10000000</v>
      </c>
      <c r="AG779" t="s">
        <v>310</v>
      </c>
      <c r="AH779">
        <f>SUM((MID(Dyno_Data[[#This Row],[Team]],4,5))+(Dyno_Data[[#This Row],[Match]]/100))</f>
        <v>6621.13</v>
      </c>
      <c r="AI779" s="76">
        <f>ROUND(SUM(IF(Dyno_Data[[#This Row],[AcqCenter]]&gt;0,Dyno_Data[[#This Row],[Time]]-SUMIFS(Dyno_Data[Time],Dyno_Data[Team],Dyno_Data[[#This Row],[Team]],Dyno_Data[RecordType],"StartMatch",Dyno_Data[Match],Dyno_Data[[#This Row],[Match]]),0)*86400),0)</f>
        <v>0</v>
      </c>
    </row>
    <row r="780" spans="1:35" x14ac:dyDescent="0.3">
      <c r="A780">
        <v>779</v>
      </c>
      <c r="B780" t="s">
        <v>1290</v>
      </c>
      <c r="C780">
        <v>13</v>
      </c>
      <c r="D780" s="105">
        <v>45373.44870552083</v>
      </c>
      <c r="E780" t="s">
        <v>314</v>
      </c>
      <c r="F780" t="s">
        <v>309</v>
      </c>
      <c r="G780">
        <v>1</v>
      </c>
      <c r="H780" t="s">
        <v>310</v>
      </c>
      <c r="I780">
        <v>0</v>
      </c>
      <c r="J780">
        <v>0</v>
      </c>
      <c r="K780">
        <v>0</v>
      </c>
      <c r="L780" t="s">
        <v>310</v>
      </c>
      <c r="M780" t="s">
        <v>310</v>
      </c>
      <c r="N780">
        <v>0</v>
      </c>
      <c r="O780" t="s">
        <v>1391</v>
      </c>
      <c r="P780" t="s">
        <v>240</v>
      </c>
      <c r="Q780" t="s">
        <v>1400</v>
      </c>
      <c r="R780" t="s">
        <v>310</v>
      </c>
      <c r="S780">
        <v>9</v>
      </c>
      <c r="T780" t="s">
        <v>310</v>
      </c>
      <c r="U780">
        <v>9</v>
      </c>
      <c r="V780">
        <v>9</v>
      </c>
      <c r="W780">
        <v>0</v>
      </c>
      <c r="X780">
        <v>0</v>
      </c>
      <c r="Y780">
        <v>0</v>
      </c>
      <c r="Z780">
        <v>0</v>
      </c>
      <c r="AA780">
        <v>9</v>
      </c>
      <c r="AB780">
        <v>9</v>
      </c>
      <c r="AC780" t="s">
        <v>310</v>
      </c>
      <c r="AD780">
        <v>9</v>
      </c>
      <c r="AE780" t="s">
        <v>1414</v>
      </c>
      <c r="AF780">
        <v>10000000</v>
      </c>
      <c r="AG780" t="s">
        <v>310</v>
      </c>
      <c r="AH780">
        <f>SUM((MID(Dyno_Data[[#This Row],[Team]],4,5))+(Dyno_Data[[#This Row],[Match]]/100))</f>
        <v>5881.13</v>
      </c>
      <c r="AI780" s="76">
        <f>ROUND(SUM(IF(Dyno_Data[[#This Row],[AcqCenter]]&gt;0,Dyno_Data[[#This Row],[Time]]-SUMIFS(Dyno_Data[Time],Dyno_Data[Team],Dyno_Data[[#This Row],[Team]],Dyno_Data[RecordType],"StartMatch",Dyno_Data[Match],Dyno_Data[[#This Row],[Match]]),0)*86400),0)</f>
        <v>0</v>
      </c>
    </row>
    <row r="781" spans="1:35" x14ac:dyDescent="0.3">
      <c r="A781">
        <v>780</v>
      </c>
      <c r="B781" t="s">
        <v>360</v>
      </c>
      <c r="C781">
        <v>13</v>
      </c>
      <c r="D781" s="105">
        <v>45373.448717245374</v>
      </c>
      <c r="E781" t="s">
        <v>312</v>
      </c>
      <c r="F781" t="s">
        <v>1402</v>
      </c>
      <c r="G781">
        <v>0</v>
      </c>
      <c r="H781" t="s">
        <v>143</v>
      </c>
      <c r="I781">
        <v>0</v>
      </c>
      <c r="J781">
        <v>0</v>
      </c>
      <c r="K781">
        <v>0</v>
      </c>
      <c r="L781" t="s">
        <v>241</v>
      </c>
      <c r="M781" t="s">
        <v>1398</v>
      </c>
      <c r="N781">
        <v>0</v>
      </c>
      <c r="O781" t="s">
        <v>1389</v>
      </c>
      <c r="P781" t="s">
        <v>310</v>
      </c>
      <c r="Q781" t="s">
        <v>310</v>
      </c>
      <c r="R781" t="s">
        <v>310</v>
      </c>
      <c r="S781">
        <v>9</v>
      </c>
      <c r="T781" t="s">
        <v>310</v>
      </c>
      <c r="U781">
        <v>9</v>
      </c>
      <c r="V781">
        <v>9</v>
      </c>
      <c r="W781">
        <v>0</v>
      </c>
      <c r="X781">
        <v>0</v>
      </c>
      <c r="Y781">
        <v>0</v>
      </c>
      <c r="Z781">
        <v>0</v>
      </c>
      <c r="AA781">
        <v>9</v>
      </c>
      <c r="AB781">
        <v>9</v>
      </c>
      <c r="AC781" t="s">
        <v>310</v>
      </c>
      <c r="AD781">
        <v>9</v>
      </c>
      <c r="AE781" t="s">
        <v>1388</v>
      </c>
      <c r="AF781">
        <v>30003000</v>
      </c>
      <c r="AG781" t="s">
        <v>310</v>
      </c>
      <c r="AH781">
        <f>SUM((MID(Dyno_Data[[#This Row],[Team]],4,5))+(Dyno_Data[[#This Row],[Match]]/100))</f>
        <v>1796.13</v>
      </c>
      <c r="AI781" s="76">
        <f>ROUND(SUM(IF(Dyno_Data[[#This Row],[AcqCenter]]&gt;0,Dyno_Data[[#This Row],[Time]]-SUMIFS(Dyno_Data[Time],Dyno_Data[Team],Dyno_Data[[#This Row],[Team]],Dyno_Data[RecordType],"StartMatch",Dyno_Data[Match],Dyno_Data[[#This Row],[Match]]),0)*86400),0)</f>
        <v>0</v>
      </c>
    </row>
    <row r="782" spans="1:35" x14ac:dyDescent="0.3">
      <c r="A782">
        <v>781</v>
      </c>
      <c r="B782" t="s">
        <v>360</v>
      </c>
      <c r="C782">
        <v>13</v>
      </c>
      <c r="D782" s="105">
        <v>45373.448761956017</v>
      </c>
      <c r="E782" t="s">
        <v>312</v>
      </c>
      <c r="F782" t="s">
        <v>1402</v>
      </c>
      <c r="G782">
        <v>0</v>
      </c>
      <c r="H782" t="s">
        <v>315</v>
      </c>
      <c r="I782">
        <v>0</v>
      </c>
      <c r="J782">
        <v>0</v>
      </c>
      <c r="K782">
        <v>0</v>
      </c>
      <c r="L782" t="s">
        <v>242</v>
      </c>
      <c r="M782" t="s">
        <v>241</v>
      </c>
      <c r="N782">
        <v>0</v>
      </c>
      <c r="O782" t="s">
        <v>1389</v>
      </c>
      <c r="P782" t="s">
        <v>310</v>
      </c>
      <c r="Q782" t="s">
        <v>310</v>
      </c>
      <c r="R782" t="s">
        <v>310</v>
      </c>
      <c r="S782">
        <v>9</v>
      </c>
      <c r="T782" t="s">
        <v>310</v>
      </c>
      <c r="U782">
        <v>9</v>
      </c>
      <c r="V782">
        <v>9</v>
      </c>
      <c r="W782">
        <v>0</v>
      </c>
      <c r="X782">
        <v>0</v>
      </c>
      <c r="Y782">
        <v>0</v>
      </c>
      <c r="Z782">
        <v>0</v>
      </c>
      <c r="AA782">
        <v>9</v>
      </c>
      <c r="AB782">
        <v>9</v>
      </c>
      <c r="AC782" t="s">
        <v>310</v>
      </c>
      <c r="AD782">
        <v>9</v>
      </c>
      <c r="AE782" t="s">
        <v>1388</v>
      </c>
      <c r="AF782">
        <v>40003000</v>
      </c>
      <c r="AG782" t="s">
        <v>310</v>
      </c>
      <c r="AH782">
        <f>SUM((MID(Dyno_Data[[#This Row],[Team]],4,5))+(Dyno_Data[[#This Row],[Match]]/100))</f>
        <v>1796.13</v>
      </c>
      <c r="AI782" s="76">
        <f>ROUND(SUM(IF(Dyno_Data[[#This Row],[AcqCenter]]&gt;0,Dyno_Data[[#This Row],[Time]]-SUMIFS(Dyno_Data[Time],Dyno_Data[Team],Dyno_Data[[#This Row],[Team]],Dyno_Data[RecordType],"StartMatch",Dyno_Data[Match],Dyno_Data[[#This Row],[Match]]),0)*86400),0)</f>
        <v>0</v>
      </c>
    </row>
    <row r="783" spans="1:35" x14ac:dyDescent="0.3">
      <c r="A783">
        <v>782</v>
      </c>
      <c r="B783" t="s">
        <v>1314</v>
      </c>
      <c r="C783">
        <v>13</v>
      </c>
      <c r="D783" s="105">
        <v>45373.44877210648</v>
      </c>
      <c r="E783" t="s">
        <v>312</v>
      </c>
      <c r="F783" t="s">
        <v>1402</v>
      </c>
      <c r="G783">
        <v>0</v>
      </c>
      <c r="H783" t="s">
        <v>315</v>
      </c>
      <c r="I783">
        <v>0</v>
      </c>
      <c r="J783">
        <v>0</v>
      </c>
      <c r="K783">
        <v>0</v>
      </c>
      <c r="L783" t="s">
        <v>241</v>
      </c>
      <c r="M783" t="s">
        <v>1398</v>
      </c>
      <c r="N783">
        <v>0</v>
      </c>
      <c r="O783" t="s">
        <v>1395</v>
      </c>
      <c r="P783" t="s">
        <v>310</v>
      </c>
      <c r="Q783" t="s">
        <v>310</v>
      </c>
      <c r="R783" t="s">
        <v>310</v>
      </c>
      <c r="S783">
        <v>9</v>
      </c>
      <c r="T783" t="s">
        <v>310</v>
      </c>
      <c r="U783">
        <v>9</v>
      </c>
      <c r="V783">
        <v>9</v>
      </c>
      <c r="W783">
        <v>0</v>
      </c>
      <c r="X783">
        <v>0</v>
      </c>
      <c r="Y783">
        <v>0</v>
      </c>
      <c r="Z783">
        <v>0</v>
      </c>
      <c r="AA783">
        <v>9</v>
      </c>
      <c r="AB783">
        <v>9</v>
      </c>
      <c r="AC783" t="s">
        <v>310</v>
      </c>
      <c r="AD783">
        <v>9</v>
      </c>
      <c r="AE783" t="s">
        <v>1396</v>
      </c>
      <c r="AF783">
        <v>10000000</v>
      </c>
      <c r="AG783" t="s">
        <v>310</v>
      </c>
      <c r="AH783">
        <f>SUM((MID(Dyno_Data[[#This Row],[Team]],4,5))+(Dyno_Data[[#This Row],[Match]]/100))</f>
        <v>3419.13</v>
      </c>
      <c r="AI783" s="76">
        <f>ROUND(SUM(IF(Dyno_Data[[#This Row],[AcqCenter]]&gt;0,Dyno_Data[[#This Row],[Time]]-SUMIFS(Dyno_Data[Time],Dyno_Data[Team],Dyno_Data[[#This Row],[Team]],Dyno_Data[RecordType],"StartMatch",Dyno_Data[Match],Dyno_Data[[#This Row],[Match]]),0)*86400),0)</f>
        <v>0</v>
      </c>
    </row>
    <row r="784" spans="1:35" x14ac:dyDescent="0.3">
      <c r="A784">
        <v>783</v>
      </c>
      <c r="B784" t="s">
        <v>1310</v>
      </c>
      <c r="C784">
        <v>13</v>
      </c>
      <c r="D784" s="105">
        <v>45373.448854131944</v>
      </c>
      <c r="E784" t="s">
        <v>312</v>
      </c>
      <c r="F784" t="s">
        <v>1402</v>
      </c>
      <c r="G784">
        <v>0</v>
      </c>
      <c r="H784" t="s">
        <v>315</v>
      </c>
      <c r="I784">
        <v>0</v>
      </c>
      <c r="J784">
        <v>0</v>
      </c>
      <c r="K784">
        <v>0</v>
      </c>
      <c r="L784" t="s">
        <v>241</v>
      </c>
      <c r="M784" t="s">
        <v>101</v>
      </c>
      <c r="N784">
        <v>0</v>
      </c>
      <c r="O784" t="s">
        <v>311</v>
      </c>
      <c r="P784" t="s">
        <v>310</v>
      </c>
      <c r="Q784" t="s">
        <v>310</v>
      </c>
      <c r="R784" t="s">
        <v>310</v>
      </c>
      <c r="S784">
        <v>9</v>
      </c>
      <c r="T784" t="s">
        <v>310</v>
      </c>
      <c r="U784">
        <v>9</v>
      </c>
      <c r="V784">
        <v>9</v>
      </c>
      <c r="W784">
        <v>0</v>
      </c>
      <c r="X784">
        <v>0</v>
      </c>
      <c r="Y784">
        <v>0</v>
      </c>
      <c r="Z784">
        <v>0</v>
      </c>
      <c r="AA784">
        <v>9</v>
      </c>
      <c r="AB784">
        <v>9</v>
      </c>
      <c r="AC784" t="s">
        <v>310</v>
      </c>
      <c r="AD784">
        <v>9</v>
      </c>
      <c r="AE784" t="s">
        <v>1413</v>
      </c>
      <c r="AF784">
        <v>20000000</v>
      </c>
      <c r="AG784" t="s">
        <v>310</v>
      </c>
      <c r="AH784">
        <f>SUM((MID(Dyno_Data[[#This Row],[Team]],4,5))+(Dyno_Data[[#This Row],[Match]]/100))</f>
        <v>6621.13</v>
      </c>
      <c r="AI784" s="76">
        <f>ROUND(SUM(IF(Dyno_Data[[#This Row],[AcqCenter]]&gt;0,Dyno_Data[[#This Row],[Time]]-SUMIFS(Dyno_Data[Time],Dyno_Data[Team],Dyno_Data[[#This Row],[Team]],Dyno_Data[RecordType],"StartMatch",Dyno_Data[Match],Dyno_Data[[#This Row],[Match]]),0)*86400),0)</f>
        <v>0</v>
      </c>
    </row>
    <row r="785" spans="1:35" x14ac:dyDescent="0.3">
      <c r="A785">
        <v>784</v>
      </c>
      <c r="B785" t="s">
        <v>360</v>
      </c>
      <c r="C785">
        <v>13</v>
      </c>
      <c r="D785" s="105">
        <v>45373.448872835645</v>
      </c>
      <c r="E785" t="s">
        <v>312</v>
      </c>
      <c r="F785" t="s">
        <v>1402</v>
      </c>
      <c r="G785">
        <v>0</v>
      </c>
      <c r="H785" t="s">
        <v>315</v>
      </c>
      <c r="I785">
        <v>0</v>
      </c>
      <c r="J785">
        <v>0</v>
      </c>
      <c r="K785">
        <v>0</v>
      </c>
      <c r="L785" t="s">
        <v>241</v>
      </c>
      <c r="M785" t="s">
        <v>241</v>
      </c>
      <c r="N785">
        <v>0</v>
      </c>
      <c r="O785" t="s">
        <v>1389</v>
      </c>
      <c r="P785" t="s">
        <v>310</v>
      </c>
      <c r="Q785" t="s">
        <v>310</v>
      </c>
      <c r="R785" t="s">
        <v>310</v>
      </c>
      <c r="S785">
        <v>9</v>
      </c>
      <c r="T785" t="s">
        <v>310</v>
      </c>
      <c r="U785">
        <v>9</v>
      </c>
      <c r="V785">
        <v>9</v>
      </c>
      <c r="W785">
        <v>0</v>
      </c>
      <c r="X785">
        <v>0</v>
      </c>
      <c r="Y785">
        <v>0</v>
      </c>
      <c r="Z785">
        <v>0</v>
      </c>
      <c r="AA785">
        <v>9</v>
      </c>
      <c r="AB785">
        <v>9</v>
      </c>
      <c r="AC785" t="s">
        <v>310</v>
      </c>
      <c r="AD785">
        <v>9</v>
      </c>
      <c r="AE785" t="s">
        <v>1388</v>
      </c>
      <c r="AF785">
        <v>50003000</v>
      </c>
      <c r="AG785" t="s">
        <v>310</v>
      </c>
      <c r="AH785">
        <f>SUM((MID(Dyno_Data[[#This Row],[Team]],4,5))+(Dyno_Data[[#This Row],[Match]]/100))</f>
        <v>1796.13</v>
      </c>
      <c r="AI785" s="76">
        <f>ROUND(SUM(IF(Dyno_Data[[#This Row],[AcqCenter]]&gt;0,Dyno_Data[[#This Row],[Time]]-SUMIFS(Dyno_Data[Time],Dyno_Data[Team],Dyno_Data[[#This Row],[Team]],Dyno_Data[RecordType],"StartMatch",Dyno_Data[Match],Dyno_Data[[#This Row],[Match]]),0)*86400),0)</f>
        <v>0</v>
      </c>
    </row>
    <row r="786" spans="1:35" x14ac:dyDescent="0.3">
      <c r="A786">
        <v>785</v>
      </c>
      <c r="B786" t="s">
        <v>1290</v>
      </c>
      <c r="C786">
        <v>13</v>
      </c>
      <c r="D786" s="105">
        <v>45373.448919872688</v>
      </c>
      <c r="E786" t="s">
        <v>312</v>
      </c>
      <c r="F786" t="s">
        <v>1402</v>
      </c>
      <c r="G786">
        <v>0</v>
      </c>
      <c r="H786" t="s">
        <v>315</v>
      </c>
      <c r="I786">
        <v>0</v>
      </c>
      <c r="J786">
        <v>0</v>
      </c>
      <c r="K786">
        <v>0</v>
      </c>
      <c r="L786" t="s">
        <v>241</v>
      </c>
      <c r="M786" t="s">
        <v>1398</v>
      </c>
      <c r="N786">
        <v>0</v>
      </c>
      <c r="O786" t="s">
        <v>1391</v>
      </c>
      <c r="P786" t="s">
        <v>310</v>
      </c>
      <c r="Q786" t="s">
        <v>310</v>
      </c>
      <c r="R786" t="s">
        <v>310</v>
      </c>
      <c r="S786">
        <v>9</v>
      </c>
      <c r="T786" t="s">
        <v>310</v>
      </c>
      <c r="U786">
        <v>9</v>
      </c>
      <c r="V786">
        <v>9</v>
      </c>
      <c r="W786">
        <v>0</v>
      </c>
      <c r="X786">
        <v>0</v>
      </c>
      <c r="Y786">
        <v>0</v>
      </c>
      <c r="Z786">
        <v>0</v>
      </c>
      <c r="AA786">
        <v>9</v>
      </c>
      <c r="AB786">
        <v>9</v>
      </c>
      <c r="AC786" t="s">
        <v>310</v>
      </c>
      <c r="AD786">
        <v>9</v>
      </c>
      <c r="AE786" t="s">
        <v>1414</v>
      </c>
      <c r="AF786">
        <v>20000000</v>
      </c>
      <c r="AG786" t="s">
        <v>310</v>
      </c>
      <c r="AH786">
        <f>SUM((MID(Dyno_Data[[#This Row],[Team]],4,5))+(Dyno_Data[[#This Row],[Match]]/100))</f>
        <v>5881.13</v>
      </c>
      <c r="AI786" s="76">
        <f>ROUND(SUM(IF(Dyno_Data[[#This Row],[AcqCenter]]&gt;0,Dyno_Data[[#This Row],[Time]]-SUMIFS(Dyno_Data[Time],Dyno_Data[Team],Dyno_Data[[#This Row],[Team]],Dyno_Data[RecordType],"StartMatch",Dyno_Data[Match],Dyno_Data[[#This Row],[Match]]),0)*86400),0)</f>
        <v>0</v>
      </c>
    </row>
    <row r="787" spans="1:35" x14ac:dyDescent="0.3">
      <c r="A787">
        <v>786</v>
      </c>
      <c r="B787" t="s">
        <v>366</v>
      </c>
      <c r="C787">
        <v>13</v>
      </c>
      <c r="D787" s="105">
        <v>45373.448990740741</v>
      </c>
      <c r="E787" t="s">
        <v>312</v>
      </c>
      <c r="F787" t="s">
        <v>1402</v>
      </c>
      <c r="G787">
        <v>0</v>
      </c>
      <c r="H787" t="s">
        <v>315</v>
      </c>
      <c r="I787">
        <v>0</v>
      </c>
      <c r="J787">
        <v>0</v>
      </c>
      <c r="K787">
        <v>0</v>
      </c>
      <c r="L787" t="s">
        <v>241</v>
      </c>
      <c r="M787" t="s">
        <v>1398</v>
      </c>
      <c r="N787">
        <v>0</v>
      </c>
      <c r="O787" t="s">
        <v>1393</v>
      </c>
      <c r="P787" t="s">
        <v>310</v>
      </c>
      <c r="Q787" t="s">
        <v>310</v>
      </c>
      <c r="R787" t="s">
        <v>310</v>
      </c>
      <c r="S787">
        <v>9</v>
      </c>
      <c r="T787" t="s">
        <v>310</v>
      </c>
      <c r="U787">
        <v>9</v>
      </c>
      <c r="V787">
        <v>9</v>
      </c>
      <c r="W787">
        <v>0</v>
      </c>
      <c r="X787">
        <v>0</v>
      </c>
      <c r="Y787">
        <v>0</v>
      </c>
      <c r="Z787">
        <v>0</v>
      </c>
      <c r="AA787">
        <v>9</v>
      </c>
      <c r="AB787">
        <v>9</v>
      </c>
      <c r="AC787" t="s">
        <v>310</v>
      </c>
      <c r="AD787">
        <v>9</v>
      </c>
      <c r="AE787" t="s">
        <v>1412</v>
      </c>
      <c r="AF787">
        <v>10000000</v>
      </c>
      <c r="AG787" t="s">
        <v>310</v>
      </c>
      <c r="AH787">
        <f>SUM((MID(Dyno_Data[[#This Row],[Team]],4,5))+(Dyno_Data[[#This Row],[Match]]/100))</f>
        <v>4122.13</v>
      </c>
      <c r="AI787" s="76">
        <f>ROUND(SUM(IF(Dyno_Data[[#This Row],[AcqCenter]]&gt;0,Dyno_Data[[#This Row],[Time]]-SUMIFS(Dyno_Data[Time],Dyno_Data[Team],Dyno_Data[[#This Row],[Team]],Dyno_Data[RecordType],"StartMatch",Dyno_Data[Match],Dyno_Data[[#This Row],[Match]]),0)*86400),0)</f>
        <v>0</v>
      </c>
    </row>
    <row r="788" spans="1:35" x14ac:dyDescent="0.3">
      <c r="A788">
        <v>787</v>
      </c>
      <c r="B788" t="s">
        <v>360</v>
      </c>
      <c r="C788">
        <v>13</v>
      </c>
      <c r="D788" s="105">
        <v>45373.449031215278</v>
      </c>
      <c r="E788" t="s">
        <v>312</v>
      </c>
      <c r="F788" t="s">
        <v>1402</v>
      </c>
      <c r="G788">
        <v>0</v>
      </c>
      <c r="H788" t="s">
        <v>315</v>
      </c>
      <c r="I788">
        <v>0</v>
      </c>
      <c r="J788">
        <v>0</v>
      </c>
      <c r="K788">
        <v>0</v>
      </c>
      <c r="L788" t="s">
        <v>241</v>
      </c>
      <c r="M788" t="s">
        <v>101</v>
      </c>
      <c r="N788">
        <v>0</v>
      </c>
      <c r="O788" t="s">
        <v>1389</v>
      </c>
      <c r="P788" t="s">
        <v>310</v>
      </c>
      <c r="Q788" t="s">
        <v>310</v>
      </c>
      <c r="R788" t="s">
        <v>310</v>
      </c>
      <c r="S788">
        <v>9</v>
      </c>
      <c r="T788" t="s">
        <v>310</v>
      </c>
      <c r="U788">
        <v>9</v>
      </c>
      <c r="V788">
        <v>9</v>
      </c>
      <c r="W788">
        <v>0</v>
      </c>
      <c r="X788">
        <v>0</v>
      </c>
      <c r="Y788">
        <v>0</v>
      </c>
      <c r="Z788">
        <v>0</v>
      </c>
      <c r="AA788">
        <v>9</v>
      </c>
      <c r="AB788">
        <v>9</v>
      </c>
      <c r="AC788" t="s">
        <v>310</v>
      </c>
      <c r="AD788">
        <v>9</v>
      </c>
      <c r="AE788" t="s">
        <v>1388</v>
      </c>
      <c r="AF788">
        <v>60003000</v>
      </c>
      <c r="AG788" t="s">
        <v>310</v>
      </c>
      <c r="AH788">
        <f>SUM((MID(Dyno_Data[[#This Row],[Team]],4,5))+(Dyno_Data[[#This Row],[Match]]/100))</f>
        <v>1796.13</v>
      </c>
      <c r="AI788" s="76">
        <f>ROUND(SUM(IF(Dyno_Data[[#This Row],[AcqCenter]]&gt;0,Dyno_Data[[#This Row],[Time]]-SUMIFS(Dyno_Data[Time],Dyno_Data[Team],Dyno_Data[[#This Row],[Team]],Dyno_Data[RecordType],"StartMatch",Dyno_Data[Match],Dyno_Data[[#This Row],[Match]]),0)*86400),0)</f>
        <v>0</v>
      </c>
    </row>
    <row r="789" spans="1:35" x14ac:dyDescent="0.3">
      <c r="A789">
        <v>788</v>
      </c>
      <c r="B789" t="s">
        <v>1314</v>
      </c>
      <c r="C789">
        <v>13</v>
      </c>
      <c r="D789" s="105">
        <v>45373.449058715276</v>
      </c>
      <c r="E789" t="s">
        <v>312</v>
      </c>
      <c r="F789" t="s">
        <v>1402</v>
      </c>
      <c r="G789">
        <v>0</v>
      </c>
      <c r="H789" t="s">
        <v>315</v>
      </c>
      <c r="I789">
        <v>0</v>
      </c>
      <c r="J789">
        <v>0</v>
      </c>
      <c r="K789">
        <v>0</v>
      </c>
      <c r="L789" t="s">
        <v>241</v>
      </c>
      <c r="M789" t="s">
        <v>1398</v>
      </c>
      <c r="N789">
        <v>0</v>
      </c>
      <c r="O789" t="s">
        <v>1395</v>
      </c>
      <c r="P789" t="s">
        <v>310</v>
      </c>
      <c r="Q789" t="s">
        <v>310</v>
      </c>
      <c r="R789" t="s">
        <v>310</v>
      </c>
      <c r="S789">
        <v>9</v>
      </c>
      <c r="T789" t="s">
        <v>310</v>
      </c>
      <c r="U789">
        <v>9</v>
      </c>
      <c r="V789">
        <v>9</v>
      </c>
      <c r="W789">
        <v>0</v>
      </c>
      <c r="X789">
        <v>0</v>
      </c>
      <c r="Y789">
        <v>0</v>
      </c>
      <c r="Z789">
        <v>0</v>
      </c>
      <c r="AA789">
        <v>9</v>
      </c>
      <c r="AB789">
        <v>9</v>
      </c>
      <c r="AC789" t="s">
        <v>310</v>
      </c>
      <c r="AD789">
        <v>9</v>
      </c>
      <c r="AE789" t="s">
        <v>1396</v>
      </c>
      <c r="AF789">
        <v>20000000</v>
      </c>
      <c r="AG789" t="s">
        <v>310</v>
      </c>
      <c r="AH789">
        <f>SUM((MID(Dyno_Data[[#This Row],[Team]],4,5))+(Dyno_Data[[#This Row],[Match]]/100))</f>
        <v>3419.13</v>
      </c>
      <c r="AI789" s="76">
        <f>ROUND(SUM(IF(Dyno_Data[[#This Row],[AcqCenter]]&gt;0,Dyno_Data[[#This Row],[Time]]-SUMIFS(Dyno_Data[Time],Dyno_Data[Team],Dyno_Data[[#This Row],[Team]],Dyno_Data[RecordType],"StartMatch",Dyno_Data[Match],Dyno_Data[[#This Row],[Match]]),0)*86400),0)</f>
        <v>0</v>
      </c>
    </row>
    <row r="790" spans="1:35" x14ac:dyDescent="0.3">
      <c r="A790">
        <v>789</v>
      </c>
      <c r="B790" t="s">
        <v>1310</v>
      </c>
      <c r="C790">
        <v>13</v>
      </c>
      <c r="D790" s="105">
        <v>45373.449062500003</v>
      </c>
      <c r="E790" t="s">
        <v>312</v>
      </c>
      <c r="F790" t="s">
        <v>1402</v>
      </c>
      <c r="G790">
        <v>0</v>
      </c>
      <c r="H790" t="s">
        <v>315</v>
      </c>
      <c r="I790">
        <v>0</v>
      </c>
      <c r="J790">
        <v>0</v>
      </c>
      <c r="K790">
        <v>0</v>
      </c>
      <c r="L790" t="s">
        <v>241</v>
      </c>
      <c r="M790" t="s">
        <v>101</v>
      </c>
      <c r="N790">
        <v>0</v>
      </c>
      <c r="O790" t="s">
        <v>311</v>
      </c>
      <c r="P790" t="s">
        <v>310</v>
      </c>
      <c r="Q790" t="s">
        <v>310</v>
      </c>
      <c r="R790" t="s">
        <v>310</v>
      </c>
      <c r="S790">
        <v>9</v>
      </c>
      <c r="T790" t="s">
        <v>310</v>
      </c>
      <c r="U790">
        <v>9</v>
      </c>
      <c r="V790">
        <v>9</v>
      </c>
      <c r="W790">
        <v>0</v>
      </c>
      <c r="X790">
        <v>0</v>
      </c>
      <c r="Y790">
        <v>0</v>
      </c>
      <c r="Z790">
        <v>0</v>
      </c>
      <c r="AA790">
        <v>9</v>
      </c>
      <c r="AB790">
        <v>9</v>
      </c>
      <c r="AC790" t="s">
        <v>310</v>
      </c>
      <c r="AD790">
        <v>9</v>
      </c>
      <c r="AE790" t="s">
        <v>1413</v>
      </c>
      <c r="AF790">
        <v>30000000</v>
      </c>
      <c r="AG790" t="s">
        <v>310</v>
      </c>
      <c r="AH790">
        <f>SUM((MID(Dyno_Data[[#This Row],[Team]],4,5))+(Dyno_Data[[#This Row],[Match]]/100))</f>
        <v>6621.13</v>
      </c>
      <c r="AI790" s="76">
        <f>ROUND(SUM(IF(Dyno_Data[[#This Row],[AcqCenter]]&gt;0,Dyno_Data[[#This Row],[Time]]-SUMIFS(Dyno_Data[Time],Dyno_Data[Team],Dyno_Data[[#This Row],[Team]],Dyno_Data[RecordType],"StartMatch",Dyno_Data[Match],Dyno_Data[[#This Row],[Match]]),0)*86400),0)</f>
        <v>0</v>
      </c>
    </row>
    <row r="791" spans="1:35" x14ac:dyDescent="0.3">
      <c r="A791">
        <v>790</v>
      </c>
      <c r="B791" t="s">
        <v>1290</v>
      </c>
      <c r="C791">
        <v>13</v>
      </c>
      <c r="D791" s="105">
        <v>45373.449080590275</v>
      </c>
      <c r="E791" t="s">
        <v>312</v>
      </c>
      <c r="F791" t="s">
        <v>1402</v>
      </c>
      <c r="G791">
        <v>0</v>
      </c>
      <c r="H791" t="s">
        <v>315</v>
      </c>
      <c r="I791">
        <v>0</v>
      </c>
      <c r="J791">
        <v>0</v>
      </c>
      <c r="K791">
        <v>0</v>
      </c>
      <c r="L791" t="s">
        <v>241</v>
      </c>
      <c r="M791" t="s">
        <v>1398</v>
      </c>
      <c r="N791">
        <v>0</v>
      </c>
      <c r="O791" t="s">
        <v>1391</v>
      </c>
      <c r="P791" t="s">
        <v>310</v>
      </c>
      <c r="Q791" t="s">
        <v>310</v>
      </c>
      <c r="R791" t="s">
        <v>310</v>
      </c>
      <c r="S791">
        <v>9</v>
      </c>
      <c r="T791" t="s">
        <v>310</v>
      </c>
      <c r="U791">
        <v>9</v>
      </c>
      <c r="V791">
        <v>9</v>
      </c>
      <c r="W791">
        <v>0</v>
      </c>
      <c r="X791">
        <v>0</v>
      </c>
      <c r="Y791">
        <v>0</v>
      </c>
      <c r="Z791">
        <v>0</v>
      </c>
      <c r="AA791">
        <v>9</v>
      </c>
      <c r="AB791">
        <v>9</v>
      </c>
      <c r="AC791" t="s">
        <v>310</v>
      </c>
      <c r="AD791">
        <v>9</v>
      </c>
      <c r="AE791" t="s">
        <v>1414</v>
      </c>
      <c r="AF791">
        <v>30100000</v>
      </c>
      <c r="AG791" t="s">
        <v>310</v>
      </c>
      <c r="AH791">
        <f>SUM((MID(Dyno_Data[[#This Row],[Team]],4,5))+(Dyno_Data[[#This Row],[Match]]/100))</f>
        <v>5881.13</v>
      </c>
      <c r="AI791" s="76">
        <f>ROUND(SUM(IF(Dyno_Data[[#This Row],[AcqCenter]]&gt;0,Dyno_Data[[#This Row],[Time]]-SUMIFS(Dyno_Data[Time],Dyno_Data[Team],Dyno_Data[[#This Row],[Team]],Dyno_Data[RecordType],"StartMatch",Dyno_Data[Match],Dyno_Data[[#This Row],[Match]]),0)*86400),0)</f>
        <v>0</v>
      </c>
    </row>
    <row r="792" spans="1:35" x14ac:dyDescent="0.3">
      <c r="A792">
        <v>791</v>
      </c>
      <c r="B792" t="s">
        <v>366</v>
      </c>
      <c r="C792">
        <v>13</v>
      </c>
      <c r="D792" s="105">
        <v>45373.449096261575</v>
      </c>
      <c r="E792" t="s">
        <v>312</v>
      </c>
      <c r="F792" t="s">
        <v>1402</v>
      </c>
      <c r="G792">
        <v>0</v>
      </c>
      <c r="H792" t="s">
        <v>315</v>
      </c>
      <c r="I792">
        <v>0</v>
      </c>
      <c r="J792">
        <v>0</v>
      </c>
      <c r="K792">
        <v>0</v>
      </c>
      <c r="L792" t="s">
        <v>241</v>
      </c>
      <c r="M792" t="s">
        <v>1398</v>
      </c>
      <c r="N792">
        <v>0</v>
      </c>
      <c r="O792" t="s">
        <v>1393</v>
      </c>
      <c r="P792" t="s">
        <v>310</v>
      </c>
      <c r="Q792" t="s">
        <v>310</v>
      </c>
      <c r="R792" t="s">
        <v>310</v>
      </c>
      <c r="S792">
        <v>9</v>
      </c>
      <c r="T792" t="s">
        <v>310</v>
      </c>
      <c r="U792">
        <v>9</v>
      </c>
      <c r="V792">
        <v>9</v>
      </c>
      <c r="W792">
        <v>0</v>
      </c>
      <c r="X792">
        <v>0</v>
      </c>
      <c r="Y792">
        <v>0</v>
      </c>
      <c r="Z792">
        <v>0</v>
      </c>
      <c r="AA792">
        <v>9</v>
      </c>
      <c r="AB792">
        <v>9</v>
      </c>
      <c r="AC792" t="s">
        <v>310</v>
      </c>
      <c r="AD792">
        <v>9</v>
      </c>
      <c r="AE792" t="s">
        <v>1412</v>
      </c>
      <c r="AF792">
        <v>20000000</v>
      </c>
      <c r="AG792" t="s">
        <v>310</v>
      </c>
      <c r="AH792">
        <f>SUM((MID(Dyno_Data[[#This Row],[Team]],4,5))+(Dyno_Data[[#This Row],[Match]]/100))</f>
        <v>4122.13</v>
      </c>
      <c r="AI792" s="76">
        <f>ROUND(SUM(IF(Dyno_Data[[#This Row],[AcqCenter]]&gt;0,Dyno_Data[[#This Row],[Time]]-SUMIFS(Dyno_Data[Time],Dyno_Data[Team],Dyno_Data[[#This Row],[Team]],Dyno_Data[RecordType],"StartMatch",Dyno_Data[Match],Dyno_Data[[#This Row],[Match]]),0)*86400),0)</f>
        <v>0</v>
      </c>
    </row>
    <row r="793" spans="1:35" x14ac:dyDescent="0.3">
      <c r="A793">
        <v>792</v>
      </c>
      <c r="B793" t="s">
        <v>1314</v>
      </c>
      <c r="C793">
        <v>13</v>
      </c>
      <c r="D793" s="105">
        <v>45373.449191203705</v>
      </c>
      <c r="E793" t="s">
        <v>312</v>
      </c>
      <c r="F793" t="s">
        <v>1402</v>
      </c>
      <c r="G793">
        <v>0</v>
      </c>
      <c r="H793" t="s">
        <v>315</v>
      </c>
      <c r="I793">
        <v>0</v>
      </c>
      <c r="J793">
        <v>0</v>
      </c>
      <c r="K793">
        <v>0</v>
      </c>
      <c r="L793" t="s">
        <v>241</v>
      </c>
      <c r="M793" t="s">
        <v>1398</v>
      </c>
      <c r="N793">
        <v>0</v>
      </c>
      <c r="O793" t="s">
        <v>1395</v>
      </c>
      <c r="P793" t="s">
        <v>310</v>
      </c>
      <c r="Q793" t="s">
        <v>310</v>
      </c>
      <c r="R793" t="s">
        <v>310</v>
      </c>
      <c r="S793">
        <v>9</v>
      </c>
      <c r="T793" t="s">
        <v>310</v>
      </c>
      <c r="U793">
        <v>9</v>
      </c>
      <c r="V793">
        <v>9</v>
      </c>
      <c r="W793">
        <v>0</v>
      </c>
      <c r="X793">
        <v>0</v>
      </c>
      <c r="Y793">
        <v>0</v>
      </c>
      <c r="Z793">
        <v>0</v>
      </c>
      <c r="AA793">
        <v>9</v>
      </c>
      <c r="AB793">
        <v>9</v>
      </c>
      <c r="AC793" t="s">
        <v>310</v>
      </c>
      <c r="AD793">
        <v>9</v>
      </c>
      <c r="AE793" t="s">
        <v>1396</v>
      </c>
      <c r="AF793">
        <v>30000000</v>
      </c>
      <c r="AG793" t="s">
        <v>310</v>
      </c>
      <c r="AH793">
        <f>SUM((MID(Dyno_Data[[#This Row],[Team]],4,5))+(Dyno_Data[[#This Row],[Match]]/100))</f>
        <v>3419.13</v>
      </c>
      <c r="AI793" s="76">
        <f>ROUND(SUM(IF(Dyno_Data[[#This Row],[AcqCenter]]&gt;0,Dyno_Data[[#This Row],[Time]]-SUMIFS(Dyno_Data[Time],Dyno_Data[Team],Dyno_Data[[#This Row],[Team]],Dyno_Data[RecordType],"StartMatch",Dyno_Data[Match],Dyno_Data[[#This Row],[Match]]),0)*86400),0)</f>
        <v>0</v>
      </c>
    </row>
    <row r="794" spans="1:35" x14ac:dyDescent="0.3">
      <c r="A794">
        <v>793</v>
      </c>
      <c r="B794" t="s">
        <v>360</v>
      </c>
      <c r="C794">
        <v>13</v>
      </c>
      <c r="D794" s="105">
        <v>45373.449199155089</v>
      </c>
      <c r="E794" t="s">
        <v>312</v>
      </c>
      <c r="F794" t="s">
        <v>1402</v>
      </c>
      <c r="G794">
        <v>0</v>
      </c>
      <c r="H794" t="s">
        <v>315</v>
      </c>
      <c r="I794">
        <v>0</v>
      </c>
      <c r="J794">
        <v>0</v>
      </c>
      <c r="K794">
        <v>0</v>
      </c>
      <c r="L794" t="s">
        <v>241</v>
      </c>
      <c r="M794" t="s">
        <v>101</v>
      </c>
      <c r="N794">
        <v>0</v>
      </c>
      <c r="O794" t="s">
        <v>1389</v>
      </c>
      <c r="P794" t="s">
        <v>310</v>
      </c>
      <c r="Q794" t="s">
        <v>310</v>
      </c>
      <c r="R794" t="s">
        <v>310</v>
      </c>
      <c r="S794">
        <v>9</v>
      </c>
      <c r="T794" t="s">
        <v>310</v>
      </c>
      <c r="U794">
        <v>9</v>
      </c>
      <c r="V794">
        <v>9</v>
      </c>
      <c r="W794">
        <v>0</v>
      </c>
      <c r="X794">
        <v>0</v>
      </c>
      <c r="Y794">
        <v>0</v>
      </c>
      <c r="Z794">
        <v>0</v>
      </c>
      <c r="AA794">
        <v>9</v>
      </c>
      <c r="AB794">
        <v>9</v>
      </c>
      <c r="AC794" t="s">
        <v>310</v>
      </c>
      <c r="AD794">
        <v>9</v>
      </c>
      <c r="AE794" t="s">
        <v>1388</v>
      </c>
      <c r="AF794">
        <v>70003000</v>
      </c>
      <c r="AG794" t="s">
        <v>310</v>
      </c>
      <c r="AH794">
        <f>SUM((MID(Dyno_Data[[#This Row],[Team]],4,5))+(Dyno_Data[[#This Row],[Match]]/100))</f>
        <v>1796.13</v>
      </c>
      <c r="AI794" s="76">
        <f>ROUND(SUM(IF(Dyno_Data[[#This Row],[AcqCenter]]&gt;0,Dyno_Data[[#This Row],[Time]]-SUMIFS(Dyno_Data[Time],Dyno_Data[Team],Dyno_Data[[#This Row],[Team]],Dyno_Data[RecordType],"StartMatch",Dyno_Data[Match],Dyno_Data[[#This Row],[Match]]),0)*86400),0)</f>
        <v>0</v>
      </c>
    </row>
    <row r="795" spans="1:35" x14ac:dyDescent="0.3">
      <c r="A795">
        <v>794</v>
      </c>
      <c r="B795" t="s">
        <v>360</v>
      </c>
      <c r="C795">
        <v>13</v>
      </c>
      <c r="D795" s="105">
        <v>45373.449370023147</v>
      </c>
      <c r="E795" t="s">
        <v>312</v>
      </c>
      <c r="F795" t="s">
        <v>1402</v>
      </c>
      <c r="G795">
        <v>0</v>
      </c>
      <c r="H795" t="s">
        <v>315</v>
      </c>
      <c r="I795">
        <v>0</v>
      </c>
      <c r="J795">
        <v>0</v>
      </c>
      <c r="K795">
        <v>0</v>
      </c>
      <c r="L795" t="s">
        <v>241</v>
      </c>
      <c r="M795" t="s">
        <v>101</v>
      </c>
      <c r="N795">
        <v>0</v>
      </c>
      <c r="O795" t="s">
        <v>1389</v>
      </c>
      <c r="P795" t="s">
        <v>310</v>
      </c>
      <c r="Q795" t="s">
        <v>310</v>
      </c>
      <c r="R795" t="s">
        <v>310</v>
      </c>
      <c r="S795">
        <v>9</v>
      </c>
      <c r="T795" t="s">
        <v>310</v>
      </c>
      <c r="U795">
        <v>9</v>
      </c>
      <c r="V795">
        <v>9</v>
      </c>
      <c r="W795">
        <v>0</v>
      </c>
      <c r="X795">
        <v>0</v>
      </c>
      <c r="Y795">
        <v>0</v>
      </c>
      <c r="Z795">
        <v>0</v>
      </c>
      <c r="AA795">
        <v>9</v>
      </c>
      <c r="AB795">
        <v>9</v>
      </c>
      <c r="AC795" t="s">
        <v>310</v>
      </c>
      <c r="AD795">
        <v>9</v>
      </c>
      <c r="AE795" t="s">
        <v>1388</v>
      </c>
      <c r="AF795">
        <v>80003000</v>
      </c>
      <c r="AG795" t="s">
        <v>310</v>
      </c>
      <c r="AH795">
        <f>SUM((MID(Dyno_Data[[#This Row],[Team]],4,5))+(Dyno_Data[[#This Row],[Match]]/100))</f>
        <v>1796.13</v>
      </c>
      <c r="AI795" s="76">
        <f>ROUND(SUM(IF(Dyno_Data[[#This Row],[AcqCenter]]&gt;0,Dyno_Data[[#This Row],[Time]]-SUMIFS(Dyno_Data[Time],Dyno_Data[Team],Dyno_Data[[#This Row],[Team]],Dyno_Data[RecordType],"StartMatch",Dyno_Data[Match],Dyno_Data[[#This Row],[Match]]),0)*86400),0)</f>
        <v>0</v>
      </c>
    </row>
    <row r="796" spans="1:35" x14ac:dyDescent="0.3">
      <c r="A796">
        <v>795</v>
      </c>
      <c r="B796" t="s">
        <v>1314</v>
      </c>
      <c r="C796">
        <v>13</v>
      </c>
      <c r="D796" s="105">
        <v>45373.449426354164</v>
      </c>
      <c r="E796" t="s">
        <v>312</v>
      </c>
      <c r="F796" t="s">
        <v>1402</v>
      </c>
      <c r="G796">
        <v>0</v>
      </c>
      <c r="H796" t="s">
        <v>315</v>
      </c>
      <c r="I796">
        <v>0</v>
      </c>
      <c r="J796">
        <v>0</v>
      </c>
      <c r="K796">
        <v>0</v>
      </c>
      <c r="L796" t="s">
        <v>241</v>
      </c>
      <c r="M796" t="s">
        <v>1398</v>
      </c>
      <c r="N796">
        <v>0</v>
      </c>
      <c r="O796" t="s">
        <v>1395</v>
      </c>
      <c r="P796" t="s">
        <v>310</v>
      </c>
      <c r="Q796" t="s">
        <v>310</v>
      </c>
      <c r="R796" t="s">
        <v>310</v>
      </c>
      <c r="S796">
        <v>9</v>
      </c>
      <c r="T796" t="s">
        <v>310</v>
      </c>
      <c r="U796">
        <v>9</v>
      </c>
      <c r="V796">
        <v>9</v>
      </c>
      <c r="W796">
        <v>0</v>
      </c>
      <c r="X796">
        <v>0</v>
      </c>
      <c r="Y796">
        <v>0</v>
      </c>
      <c r="Z796">
        <v>0</v>
      </c>
      <c r="AA796">
        <v>9</v>
      </c>
      <c r="AB796">
        <v>9</v>
      </c>
      <c r="AC796" t="s">
        <v>310</v>
      </c>
      <c r="AD796">
        <v>9</v>
      </c>
      <c r="AE796" t="s">
        <v>1396</v>
      </c>
      <c r="AF796">
        <v>40000000</v>
      </c>
      <c r="AG796" t="s">
        <v>310</v>
      </c>
      <c r="AH796">
        <f>SUM((MID(Dyno_Data[[#This Row],[Team]],4,5))+(Dyno_Data[[#This Row],[Match]]/100))</f>
        <v>3419.13</v>
      </c>
      <c r="AI796" s="76">
        <f>ROUND(SUM(IF(Dyno_Data[[#This Row],[AcqCenter]]&gt;0,Dyno_Data[[#This Row],[Time]]-SUMIFS(Dyno_Data[Time],Dyno_Data[Team],Dyno_Data[[#This Row],[Team]],Dyno_Data[RecordType],"StartMatch",Dyno_Data[Match],Dyno_Data[[#This Row],[Match]]),0)*86400),0)</f>
        <v>0</v>
      </c>
    </row>
    <row r="797" spans="1:35" x14ac:dyDescent="0.3">
      <c r="A797">
        <v>796</v>
      </c>
      <c r="B797" t="s">
        <v>1310</v>
      </c>
      <c r="C797">
        <v>13</v>
      </c>
      <c r="D797" s="105">
        <v>45373.44949417824</v>
      </c>
      <c r="E797" t="s">
        <v>312</v>
      </c>
      <c r="F797" t="s">
        <v>1402</v>
      </c>
      <c r="G797">
        <v>0</v>
      </c>
      <c r="H797" t="s">
        <v>315</v>
      </c>
      <c r="I797">
        <v>0</v>
      </c>
      <c r="J797">
        <v>0</v>
      </c>
      <c r="K797">
        <v>0</v>
      </c>
      <c r="L797" t="s">
        <v>241</v>
      </c>
      <c r="M797" t="s">
        <v>101</v>
      </c>
      <c r="N797">
        <v>0</v>
      </c>
      <c r="O797" t="s">
        <v>311</v>
      </c>
      <c r="P797" t="s">
        <v>310</v>
      </c>
      <c r="Q797" t="s">
        <v>310</v>
      </c>
      <c r="R797" t="s">
        <v>310</v>
      </c>
      <c r="S797">
        <v>9</v>
      </c>
      <c r="T797" t="s">
        <v>310</v>
      </c>
      <c r="U797">
        <v>9</v>
      </c>
      <c r="V797">
        <v>9</v>
      </c>
      <c r="W797">
        <v>0</v>
      </c>
      <c r="X797">
        <v>0</v>
      </c>
      <c r="Y797">
        <v>0</v>
      </c>
      <c r="Z797">
        <v>0</v>
      </c>
      <c r="AA797">
        <v>9</v>
      </c>
      <c r="AB797">
        <v>9</v>
      </c>
      <c r="AC797" t="s">
        <v>310</v>
      </c>
      <c r="AD797">
        <v>9</v>
      </c>
      <c r="AE797" t="s">
        <v>1413</v>
      </c>
      <c r="AF797">
        <v>40000000</v>
      </c>
      <c r="AG797" t="s">
        <v>310</v>
      </c>
      <c r="AH797">
        <f>SUM((MID(Dyno_Data[[#This Row],[Team]],4,5))+(Dyno_Data[[#This Row],[Match]]/100))</f>
        <v>6621.13</v>
      </c>
      <c r="AI797" s="76">
        <f>ROUND(SUM(IF(Dyno_Data[[#This Row],[AcqCenter]]&gt;0,Dyno_Data[[#This Row],[Time]]-SUMIFS(Dyno_Data[Time],Dyno_Data[Team],Dyno_Data[[#This Row],[Team]],Dyno_Data[RecordType],"StartMatch",Dyno_Data[Match],Dyno_Data[[#This Row],[Match]]),0)*86400),0)</f>
        <v>0</v>
      </c>
    </row>
    <row r="798" spans="1:35" x14ac:dyDescent="0.3">
      <c r="A798">
        <v>797</v>
      </c>
      <c r="B798" t="s">
        <v>1314</v>
      </c>
      <c r="C798">
        <v>13</v>
      </c>
      <c r="D798" s="105">
        <v>45373.449535416665</v>
      </c>
      <c r="E798" t="s">
        <v>312</v>
      </c>
      <c r="F798" t="s">
        <v>1402</v>
      </c>
      <c r="G798">
        <v>0</v>
      </c>
      <c r="H798" t="s">
        <v>315</v>
      </c>
      <c r="I798">
        <v>0</v>
      </c>
      <c r="J798">
        <v>0</v>
      </c>
      <c r="K798">
        <v>0</v>
      </c>
      <c r="L798" t="s">
        <v>241</v>
      </c>
      <c r="M798" t="s">
        <v>1398</v>
      </c>
      <c r="N798">
        <v>0</v>
      </c>
      <c r="O798" t="s">
        <v>1395</v>
      </c>
      <c r="P798" t="s">
        <v>310</v>
      </c>
      <c r="Q798" t="s">
        <v>310</v>
      </c>
      <c r="R798" t="s">
        <v>310</v>
      </c>
      <c r="S798">
        <v>9</v>
      </c>
      <c r="T798" t="s">
        <v>310</v>
      </c>
      <c r="U798">
        <v>9</v>
      </c>
      <c r="V798">
        <v>9</v>
      </c>
      <c r="W798">
        <v>0</v>
      </c>
      <c r="X798">
        <v>0</v>
      </c>
      <c r="Y798">
        <v>0</v>
      </c>
      <c r="Z798">
        <v>0</v>
      </c>
      <c r="AA798">
        <v>9</v>
      </c>
      <c r="AB798">
        <v>9</v>
      </c>
      <c r="AC798" t="s">
        <v>310</v>
      </c>
      <c r="AD798">
        <v>9</v>
      </c>
      <c r="AE798" t="s">
        <v>1396</v>
      </c>
      <c r="AF798">
        <v>50000000</v>
      </c>
      <c r="AG798" t="s">
        <v>310</v>
      </c>
      <c r="AH798">
        <f>SUM((MID(Dyno_Data[[#This Row],[Team]],4,5))+(Dyno_Data[[#This Row],[Match]]/100))</f>
        <v>3419.13</v>
      </c>
      <c r="AI798" s="76">
        <f>ROUND(SUM(IF(Dyno_Data[[#This Row],[AcqCenter]]&gt;0,Dyno_Data[[#This Row],[Time]]-SUMIFS(Dyno_Data[Time],Dyno_Data[Team],Dyno_Data[[#This Row],[Team]],Dyno_Data[RecordType],"StartMatch",Dyno_Data[Match],Dyno_Data[[#This Row],[Match]]),0)*86400),0)</f>
        <v>0</v>
      </c>
    </row>
    <row r="799" spans="1:35" x14ac:dyDescent="0.3">
      <c r="A799">
        <v>798</v>
      </c>
      <c r="B799" t="s">
        <v>360</v>
      </c>
      <c r="C799">
        <v>13</v>
      </c>
      <c r="D799" s="105">
        <v>45373.449565821757</v>
      </c>
      <c r="E799" t="s">
        <v>312</v>
      </c>
      <c r="F799" t="s">
        <v>1402</v>
      </c>
      <c r="G799">
        <v>0</v>
      </c>
      <c r="H799" t="s">
        <v>315</v>
      </c>
      <c r="I799">
        <v>0</v>
      </c>
      <c r="J799">
        <v>0</v>
      </c>
      <c r="K799">
        <v>0</v>
      </c>
      <c r="L799" t="s">
        <v>241</v>
      </c>
      <c r="M799" t="s">
        <v>241</v>
      </c>
      <c r="N799">
        <v>0</v>
      </c>
      <c r="O799" t="s">
        <v>1389</v>
      </c>
      <c r="P799" t="s">
        <v>310</v>
      </c>
      <c r="Q799" t="s">
        <v>310</v>
      </c>
      <c r="R799" t="s">
        <v>310</v>
      </c>
      <c r="S799">
        <v>9</v>
      </c>
      <c r="T799" t="s">
        <v>310</v>
      </c>
      <c r="U799">
        <v>9</v>
      </c>
      <c r="V799">
        <v>9</v>
      </c>
      <c r="W799">
        <v>0</v>
      </c>
      <c r="X799">
        <v>0</v>
      </c>
      <c r="Y799">
        <v>0</v>
      </c>
      <c r="Z799">
        <v>0</v>
      </c>
      <c r="AA799">
        <v>9</v>
      </c>
      <c r="AB799">
        <v>9</v>
      </c>
      <c r="AC799" t="s">
        <v>310</v>
      </c>
      <c r="AD799">
        <v>9</v>
      </c>
      <c r="AE799" t="s">
        <v>1388</v>
      </c>
      <c r="AF799">
        <v>90003000</v>
      </c>
      <c r="AG799" t="s">
        <v>310</v>
      </c>
      <c r="AH799">
        <f>SUM((MID(Dyno_Data[[#This Row],[Team]],4,5))+(Dyno_Data[[#This Row],[Match]]/100))</f>
        <v>1796.13</v>
      </c>
      <c r="AI799" s="76">
        <f>ROUND(SUM(IF(Dyno_Data[[#This Row],[AcqCenter]]&gt;0,Dyno_Data[[#This Row],[Time]]-SUMIFS(Dyno_Data[Time],Dyno_Data[Team],Dyno_Data[[#This Row],[Team]],Dyno_Data[RecordType],"StartMatch",Dyno_Data[Match],Dyno_Data[[#This Row],[Match]]),0)*86400),0)</f>
        <v>0</v>
      </c>
    </row>
    <row r="800" spans="1:35" x14ac:dyDescent="0.3">
      <c r="A800">
        <v>799</v>
      </c>
      <c r="B800" t="s">
        <v>360</v>
      </c>
      <c r="C800">
        <v>13</v>
      </c>
      <c r="D800" s="105">
        <v>45373.449642557869</v>
      </c>
      <c r="E800" t="s">
        <v>312</v>
      </c>
      <c r="F800" t="s">
        <v>1402</v>
      </c>
      <c r="G800">
        <v>0</v>
      </c>
      <c r="H800" t="s">
        <v>315</v>
      </c>
      <c r="I800">
        <v>0</v>
      </c>
      <c r="J800">
        <v>0</v>
      </c>
      <c r="K800">
        <v>0</v>
      </c>
      <c r="L800" t="s">
        <v>241</v>
      </c>
      <c r="M800" t="s">
        <v>101</v>
      </c>
      <c r="N800">
        <v>0</v>
      </c>
      <c r="O800" t="s">
        <v>1389</v>
      </c>
      <c r="P800" t="s">
        <v>310</v>
      </c>
      <c r="Q800" t="s">
        <v>310</v>
      </c>
      <c r="R800" t="s">
        <v>310</v>
      </c>
      <c r="S800">
        <v>9</v>
      </c>
      <c r="T800" t="s">
        <v>310</v>
      </c>
      <c r="U800">
        <v>9</v>
      </c>
      <c r="V800">
        <v>9</v>
      </c>
      <c r="W800">
        <v>0</v>
      </c>
      <c r="X800">
        <v>0</v>
      </c>
      <c r="Y800">
        <v>0</v>
      </c>
      <c r="Z800">
        <v>0</v>
      </c>
      <c r="AA800">
        <v>9</v>
      </c>
      <c r="AB800">
        <v>9</v>
      </c>
      <c r="AC800" t="s">
        <v>310</v>
      </c>
      <c r="AD800">
        <v>9</v>
      </c>
      <c r="AE800" t="s">
        <v>1388</v>
      </c>
      <c r="AF800">
        <v>100003000</v>
      </c>
      <c r="AG800" t="s">
        <v>310</v>
      </c>
      <c r="AH800">
        <f>SUM((MID(Dyno_Data[[#This Row],[Team]],4,5))+(Dyno_Data[[#This Row],[Match]]/100))</f>
        <v>1796.13</v>
      </c>
      <c r="AI800" s="76">
        <f>ROUND(SUM(IF(Dyno_Data[[#This Row],[AcqCenter]]&gt;0,Dyno_Data[[#This Row],[Time]]-SUMIFS(Dyno_Data[Time],Dyno_Data[Team],Dyno_Data[[#This Row],[Team]],Dyno_Data[RecordType],"StartMatch",Dyno_Data[Match],Dyno_Data[[#This Row],[Match]]),0)*86400),0)</f>
        <v>0</v>
      </c>
    </row>
    <row r="801" spans="1:35" x14ac:dyDescent="0.3">
      <c r="A801">
        <v>800</v>
      </c>
      <c r="B801" t="s">
        <v>1310</v>
      </c>
      <c r="C801">
        <v>13</v>
      </c>
      <c r="D801" s="105">
        <v>45373.449753622685</v>
      </c>
      <c r="E801" t="s">
        <v>312</v>
      </c>
      <c r="F801" t="s">
        <v>1402</v>
      </c>
      <c r="G801">
        <v>0</v>
      </c>
      <c r="H801" t="s">
        <v>315</v>
      </c>
      <c r="I801">
        <v>0</v>
      </c>
      <c r="J801">
        <v>0</v>
      </c>
      <c r="K801">
        <v>0</v>
      </c>
      <c r="L801" t="s">
        <v>241</v>
      </c>
      <c r="M801" t="s">
        <v>101</v>
      </c>
      <c r="N801">
        <v>0</v>
      </c>
      <c r="O801" t="s">
        <v>311</v>
      </c>
      <c r="P801" t="s">
        <v>310</v>
      </c>
      <c r="Q801" t="s">
        <v>310</v>
      </c>
      <c r="R801" t="s">
        <v>310</v>
      </c>
      <c r="S801">
        <v>9</v>
      </c>
      <c r="T801" t="s">
        <v>310</v>
      </c>
      <c r="U801">
        <v>9</v>
      </c>
      <c r="V801">
        <v>9</v>
      </c>
      <c r="W801">
        <v>0</v>
      </c>
      <c r="X801">
        <v>0</v>
      </c>
      <c r="Y801">
        <v>0</v>
      </c>
      <c r="Z801">
        <v>0</v>
      </c>
      <c r="AA801">
        <v>9</v>
      </c>
      <c r="AB801">
        <v>9</v>
      </c>
      <c r="AC801" t="s">
        <v>310</v>
      </c>
      <c r="AD801">
        <v>9</v>
      </c>
      <c r="AE801" t="s">
        <v>1413</v>
      </c>
      <c r="AF801">
        <v>50000000</v>
      </c>
      <c r="AG801" t="s">
        <v>310</v>
      </c>
      <c r="AH801">
        <f>SUM((MID(Dyno_Data[[#This Row],[Team]],4,5))+(Dyno_Data[[#This Row],[Match]]/100))</f>
        <v>6621.13</v>
      </c>
      <c r="AI801" s="76">
        <f>ROUND(SUM(IF(Dyno_Data[[#This Row],[AcqCenter]]&gt;0,Dyno_Data[[#This Row],[Time]]-SUMIFS(Dyno_Data[Time],Dyno_Data[Team],Dyno_Data[[#This Row],[Team]],Dyno_Data[RecordType],"StartMatch",Dyno_Data[Match],Dyno_Data[[#This Row],[Match]]),0)*86400),0)</f>
        <v>0</v>
      </c>
    </row>
    <row r="802" spans="1:35" x14ac:dyDescent="0.3">
      <c r="A802">
        <v>801</v>
      </c>
      <c r="B802" t="s">
        <v>360</v>
      </c>
      <c r="C802">
        <v>13</v>
      </c>
      <c r="D802" s="105">
        <v>45373.449791979168</v>
      </c>
      <c r="E802" t="s">
        <v>312</v>
      </c>
      <c r="F802" t="s">
        <v>1402</v>
      </c>
      <c r="G802">
        <v>0</v>
      </c>
      <c r="H802" t="s">
        <v>315</v>
      </c>
      <c r="I802">
        <v>0</v>
      </c>
      <c r="J802">
        <v>0</v>
      </c>
      <c r="K802">
        <v>0</v>
      </c>
      <c r="L802" t="s">
        <v>241</v>
      </c>
      <c r="M802" t="s">
        <v>101</v>
      </c>
      <c r="N802">
        <v>0</v>
      </c>
      <c r="O802" t="s">
        <v>1389</v>
      </c>
      <c r="P802" t="s">
        <v>310</v>
      </c>
      <c r="Q802" t="s">
        <v>310</v>
      </c>
      <c r="R802" t="s">
        <v>310</v>
      </c>
      <c r="S802">
        <v>9</v>
      </c>
      <c r="T802" t="s">
        <v>310</v>
      </c>
      <c r="U802">
        <v>9</v>
      </c>
      <c r="V802">
        <v>9</v>
      </c>
      <c r="W802">
        <v>0</v>
      </c>
      <c r="X802">
        <v>0</v>
      </c>
      <c r="Y802">
        <v>0</v>
      </c>
      <c r="Z802">
        <v>0</v>
      </c>
      <c r="AA802">
        <v>9</v>
      </c>
      <c r="AB802">
        <v>9</v>
      </c>
      <c r="AC802" t="s">
        <v>310</v>
      </c>
      <c r="AD802">
        <v>9</v>
      </c>
      <c r="AE802" t="s">
        <v>1388</v>
      </c>
      <c r="AF802">
        <v>110003000</v>
      </c>
      <c r="AG802" t="s">
        <v>310</v>
      </c>
      <c r="AH802">
        <f>SUM((MID(Dyno_Data[[#This Row],[Team]],4,5))+(Dyno_Data[[#This Row],[Match]]/100))</f>
        <v>1796.13</v>
      </c>
      <c r="AI802" s="76">
        <f>ROUND(SUM(IF(Dyno_Data[[#This Row],[AcqCenter]]&gt;0,Dyno_Data[[#This Row],[Time]]-SUMIFS(Dyno_Data[Time],Dyno_Data[Team],Dyno_Data[[#This Row],[Team]],Dyno_Data[RecordType],"StartMatch",Dyno_Data[Match],Dyno_Data[[#This Row],[Match]]),0)*86400),0)</f>
        <v>0</v>
      </c>
    </row>
    <row r="803" spans="1:35" x14ac:dyDescent="0.3">
      <c r="A803">
        <v>802</v>
      </c>
      <c r="B803" t="s">
        <v>1290</v>
      </c>
      <c r="C803">
        <v>13</v>
      </c>
      <c r="D803" s="105">
        <v>45373.449897650462</v>
      </c>
      <c r="E803" t="s">
        <v>312</v>
      </c>
      <c r="F803" t="s">
        <v>1402</v>
      </c>
      <c r="G803">
        <v>0</v>
      </c>
      <c r="H803" t="s">
        <v>315</v>
      </c>
      <c r="I803">
        <v>0</v>
      </c>
      <c r="J803">
        <v>0</v>
      </c>
      <c r="K803">
        <v>0</v>
      </c>
      <c r="L803" t="s">
        <v>241</v>
      </c>
      <c r="M803" t="s">
        <v>1398</v>
      </c>
      <c r="N803">
        <v>0</v>
      </c>
      <c r="O803" t="s">
        <v>1391</v>
      </c>
      <c r="P803" t="s">
        <v>310</v>
      </c>
      <c r="Q803" t="s">
        <v>310</v>
      </c>
      <c r="R803" t="s">
        <v>310</v>
      </c>
      <c r="S803">
        <v>9</v>
      </c>
      <c r="T803" t="s">
        <v>310</v>
      </c>
      <c r="U803">
        <v>9</v>
      </c>
      <c r="V803">
        <v>9</v>
      </c>
      <c r="W803">
        <v>0</v>
      </c>
      <c r="X803">
        <v>0</v>
      </c>
      <c r="Y803">
        <v>0</v>
      </c>
      <c r="Z803">
        <v>0</v>
      </c>
      <c r="AA803">
        <v>9</v>
      </c>
      <c r="AB803">
        <v>9</v>
      </c>
      <c r="AC803" t="s">
        <v>310</v>
      </c>
      <c r="AD803">
        <v>9</v>
      </c>
      <c r="AE803" t="s">
        <v>1414</v>
      </c>
      <c r="AF803">
        <v>40100000</v>
      </c>
      <c r="AG803" t="s">
        <v>310</v>
      </c>
      <c r="AH803">
        <f>SUM((MID(Dyno_Data[[#This Row],[Team]],4,5))+(Dyno_Data[[#This Row],[Match]]/100))</f>
        <v>5881.13</v>
      </c>
      <c r="AI803" s="76">
        <f>ROUND(SUM(IF(Dyno_Data[[#This Row],[AcqCenter]]&gt;0,Dyno_Data[[#This Row],[Time]]-SUMIFS(Dyno_Data[Time],Dyno_Data[Team],Dyno_Data[[#This Row],[Team]],Dyno_Data[RecordType],"StartMatch",Dyno_Data[Match],Dyno_Data[[#This Row],[Match]]),0)*86400),0)</f>
        <v>0</v>
      </c>
    </row>
    <row r="804" spans="1:35" x14ac:dyDescent="0.3">
      <c r="A804">
        <v>803</v>
      </c>
      <c r="B804" t="s">
        <v>1310</v>
      </c>
      <c r="C804">
        <v>13</v>
      </c>
      <c r="D804" s="105">
        <v>45373.44998449074</v>
      </c>
      <c r="E804" t="s">
        <v>312</v>
      </c>
      <c r="F804" t="s">
        <v>1402</v>
      </c>
      <c r="G804">
        <v>0</v>
      </c>
      <c r="H804" t="s">
        <v>315</v>
      </c>
      <c r="I804">
        <v>0</v>
      </c>
      <c r="J804">
        <v>0</v>
      </c>
      <c r="K804">
        <v>0</v>
      </c>
      <c r="L804" t="s">
        <v>241</v>
      </c>
      <c r="M804" t="s">
        <v>1398</v>
      </c>
      <c r="N804">
        <v>1</v>
      </c>
      <c r="O804" t="s">
        <v>311</v>
      </c>
      <c r="P804" t="s">
        <v>310</v>
      </c>
      <c r="Q804" t="s">
        <v>310</v>
      </c>
      <c r="R804" t="s">
        <v>310</v>
      </c>
      <c r="S804">
        <v>9</v>
      </c>
      <c r="T804" t="s">
        <v>310</v>
      </c>
      <c r="U804">
        <v>9</v>
      </c>
      <c r="V804">
        <v>9</v>
      </c>
      <c r="W804">
        <v>0</v>
      </c>
      <c r="X804">
        <v>0</v>
      </c>
      <c r="Y804">
        <v>0</v>
      </c>
      <c r="Z804">
        <v>0</v>
      </c>
      <c r="AA804">
        <v>9</v>
      </c>
      <c r="AB804">
        <v>9</v>
      </c>
      <c r="AC804" t="s">
        <v>310</v>
      </c>
      <c r="AD804">
        <v>9</v>
      </c>
      <c r="AE804" t="s">
        <v>1413</v>
      </c>
      <c r="AF804">
        <v>60000000</v>
      </c>
      <c r="AG804" t="s">
        <v>310</v>
      </c>
      <c r="AH804">
        <f>SUM((MID(Dyno_Data[[#This Row],[Team]],4,5))+(Dyno_Data[[#This Row],[Match]]/100))</f>
        <v>6621.13</v>
      </c>
      <c r="AI804" s="76">
        <f>ROUND(SUM(IF(Dyno_Data[[#This Row],[AcqCenter]]&gt;0,Dyno_Data[[#This Row],[Time]]-SUMIFS(Dyno_Data[Time],Dyno_Data[Team],Dyno_Data[[#This Row],[Team]],Dyno_Data[RecordType],"StartMatch",Dyno_Data[Match],Dyno_Data[[#This Row],[Match]]),0)*86400),0)</f>
        <v>0</v>
      </c>
    </row>
    <row r="805" spans="1:35" x14ac:dyDescent="0.3">
      <c r="A805">
        <v>804</v>
      </c>
      <c r="B805" t="s">
        <v>1290</v>
      </c>
      <c r="C805">
        <v>13</v>
      </c>
      <c r="D805" s="105">
        <v>45373.450087152778</v>
      </c>
      <c r="E805" t="s">
        <v>312</v>
      </c>
      <c r="F805" t="s">
        <v>1402</v>
      </c>
      <c r="G805">
        <v>0</v>
      </c>
      <c r="H805" t="s">
        <v>315</v>
      </c>
      <c r="I805">
        <v>0</v>
      </c>
      <c r="J805">
        <v>0</v>
      </c>
      <c r="K805">
        <v>0</v>
      </c>
      <c r="L805" t="s">
        <v>241</v>
      </c>
      <c r="M805" t="s">
        <v>1398</v>
      </c>
      <c r="N805">
        <v>1</v>
      </c>
      <c r="O805" t="s">
        <v>1391</v>
      </c>
      <c r="P805" t="s">
        <v>310</v>
      </c>
      <c r="Q805" t="s">
        <v>310</v>
      </c>
      <c r="R805" t="s">
        <v>310</v>
      </c>
      <c r="S805">
        <v>9</v>
      </c>
      <c r="T805" t="s">
        <v>310</v>
      </c>
      <c r="U805">
        <v>9</v>
      </c>
      <c r="V805">
        <v>9</v>
      </c>
      <c r="W805">
        <v>0</v>
      </c>
      <c r="X805">
        <v>0</v>
      </c>
      <c r="Y805">
        <v>0</v>
      </c>
      <c r="Z805">
        <v>0</v>
      </c>
      <c r="AA805">
        <v>9</v>
      </c>
      <c r="AB805">
        <v>9</v>
      </c>
      <c r="AC805" t="s">
        <v>310</v>
      </c>
      <c r="AD805">
        <v>9</v>
      </c>
      <c r="AE805" t="s">
        <v>1414</v>
      </c>
      <c r="AF805">
        <v>50100000</v>
      </c>
      <c r="AG805" t="s">
        <v>310</v>
      </c>
      <c r="AH805">
        <f>SUM((MID(Dyno_Data[[#This Row],[Team]],4,5))+(Dyno_Data[[#This Row],[Match]]/100))</f>
        <v>5881.13</v>
      </c>
      <c r="AI805" s="76">
        <f>ROUND(SUM(IF(Dyno_Data[[#This Row],[AcqCenter]]&gt;0,Dyno_Data[[#This Row],[Time]]-SUMIFS(Dyno_Data[Time],Dyno_Data[Team],Dyno_Data[[#This Row],[Team]],Dyno_Data[RecordType],"StartMatch",Dyno_Data[Match],Dyno_Data[[#This Row],[Match]]),0)*86400),0)</f>
        <v>0</v>
      </c>
    </row>
    <row r="806" spans="1:35" x14ac:dyDescent="0.3">
      <c r="A806">
        <v>805</v>
      </c>
      <c r="B806" t="s">
        <v>360</v>
      </c>
      <c r="C806">
        <v>13</v>
      </c>
      <c r="D806" s="105">
        <v>45373.450095173612</v>
      </c>
      <c r="E806" t="s">
        <v>312</v>
      </c>
      <c r="F806" t="s">
        <v>317</v>
      </c>
      <c r="G806">
        <v>0</v>
      </c>
      <c r="H806" t="s">
        <v>315</v>
      </c>
      <c r="I806">
        <v>0</v>
      </c>
      <c r="J806">
        <v>0</v>
      </c>
      <c r="K806">
        <v>0</v>
      </c>
      <c r="L806" t="s">
        <v>1410</v>
      </c>
      <c r="M806" t="s">
        <v>153</v>
      </c>
      <c r="N806">
        <v>0</v>
      </c>
      <c r="O806" t="s">
        <v>1389</v>
      </c>
      <c r="P806" t="s">
        <v>310</v>
      </c>
      <c r="Q806" t="s">
        <v>310</v>
      </c>
      <c r="R806" t="s">
        <v>310</v>
      </c>
      <c r="S806">
        <v>9</v>
      </c>
      <c r="T806" t="s">
        <v>310</v>
      </c>
      <c r="U806">
        <v>9</v>
      </c>
      <c r="V806">
        <v>9</v>
      </c>
      <c r="W806">
        <v>0</v>
      </c>
      <c r="X806">
        <v>0</v>
      </c>
      <c r="Y806">
        <v>0</v>
      </c>
      <c r="Z806">
        <v>0</v>
      </c>
      <c r="AA806">
        <v>9</v>
      </c>
      <c r="AB806">
        <v>9</v>
      </c>
      <c r="AC806" t="s">
        <v>310</v>
      </c>
      <c r="AD806">
        <v>9</v>
      </c>
      <c r="AE806" t="s">
        <v>1388</v>
      </c>
      <c r="AF806">
        <v>120003000</v>
      </c>
      <c r="AG806" t="s">
        <v>310</v>
      </c>
      <c r="AH806">
        <f>SUM((MID(Dyno_Data[[#This Row],[Team]],4,5))+(Dyno_Data[[#This Row],[Match]]/100))</f>
        <v>1796.13</v>
      </c>
      <c r="AI806" s="76">
        <f>ROUND(SUM(IF(Dyno_Data[[#This Row],[AcqCenter]]&gt;0,Dyno_Data[[#This Row],[Time]]-SUMIFS(Dyno_Data[Time],Dyno_Data[Team],Dyno_Data[[#This Row],[Team]],Dyno_Data[RecordType],"StartMatch",Dyno_Data[Match],Dyno_Data[[#This Row],[Match]]),0)*86400),0)</f>
        <v>0</v>
      </c>
    </row>
    <row r="807" spans="1:35" x14ac:dyDescent="0.3">
      <c r="A807">
        <v>806</v>
      </c>
      <c r="B807" t="s">
        <v>1314</v>
      </c>
      <c r="C807">
        <v>13</v>
      </c>
      <c r="D807" s="105">
        <v>45373.450111840277</v>
      </c>
      <c r="E807" t="s">
        <v>1403</v>
      </c>
      <c r="F807" t="s">
        <v>1402</v>
      </c>
      <c r="G807">
        <v>0</v>
      </c>
      <c r="H807" t="s">
        <v>310</v>
      </c>
      <c r="I807">
        <v>0</v>
      </c>
      <c r="J807">
        <v>0</v>
      </c>
      <c r="K807">
        <v>0</v>
      </c>
      <c r="L807" t="s">
        <v>310</v>
      </c>
      <c r="M807" t="s">
        <v>310</v>
      </c>
      <c r="N807">
        <v>0</v>
      </c>
      <c r="O807" t="s">
        <v>1395</v>
      </c>
      <c r="P807" t="s">
        <v>310</v>
      </c>
      <c r="Q807" t="s">
        <v>310</v>
      </c>
      <c r="R807" t="s">
        <v>310</v>
      </c>
      <c r="S807">
        <v>9</v>
      </c>
      <c r="T807" t="s">
        <v>310</v>
      </c>
      <c r="U807">
        <v>9</v>
      </c>
      <c r="V807">
        <v>9</v>
      </c>
      <c r="W807">
        <v>0</v>
      </c>
      <c r="X807">
        <v>0</v>
      </c>
      <c r="Y807">
        <v>0</v>
      </c>
      <c r="Z807">
        <v>0</v>
      </c>
      <c r="AA807">
        <v>9</v>
      </c>
      <c r="AB807">
        <v>9</v>
      </c>
      <c r="AC807" t="s">
        <v>310</v>
      </c>
      <c r="AD807">
        <v>9</v>
      </c>
      <c r="AE807" t="s">
        <v>1396</v>
      </c>
      <c r="AF807">
        <v>120003000</v>
      </c>
      <c r="AG807" t="s">
        <v>249</v>
      </c>
      <c r="AH807">
        <f>SUM((MID(Dyno_Data[[#This Row],[Team]],4,5))+(Dyno_Data[[#This Row],[Match]]/100))</f>
        <v>3419.13</v>
      </c>
      <c r="AI807" s="76">
        <f>ROUND(SUM(IF(Dyno_Data[[#This Row],[AcqCenter]]&gt;0,Dyno_Data[[#This Row],[Time]]-SUMIFS(Dyno_Data[Time],Dyno_Data[Team],Dyno_Data[[#This Row],[Team]],Dyno_Data[RecordType],"StartMatch",Dyno_Data[Match],Dyno_Data[[#This Row],[Match]]),0)*86400),0)</f>
        <v>0</v>
      </c>
    </row>
    <row r="808" spans="1:35" x14ac:dyDescent="0.3">
      <c r="A808">
        <v>807</v>
      </c>
      <c r="B808" t="s">
        <v>1310</v>
      </c>
      <c r="C808">
        <v>13</v>
      </c>
      <c r="D808" s="105">
        <v>45373.451143020837</v>
      </c>
      <c r="E808" t="s">
        <v>316</v>
      </c>
      <c r="F808" t="s">
        <v>317</v>
      </c>
      <c r="G808">
        <v>0</v>
      </c>
      <c r="H808" t="s">
        <v>310</v>
      </c>
      <c r="I808">
        <v>0</v>
      </c>
      <c r="J808">
        <v>0</v>
      </c>
      <c r="K808">
        <v>0</v>
      </c>
      <c r="L808" t="s">
        <v>310</v>
      </c>
      <c r="M808" t="s">
        <v>310</v>
      </c>
      <c r="N808">
        <v>0</v>
      </c>
      <c r="O808" t="s">
        <v>311</v>
      </c>
      <c r="P808" t="s">
        <v>1401</v>
      </c>
      <c r="Q808" t="s">
        <v>1400</v>
      </c>
      <c r="R808" t="s">
        <v>1405</v>
      </c>
      <c r="S808">
        <v>1</v>
      </c>
      <c r="T808" t="s">
        <v>1406</v>
      </c>
      <c r="U808">
        <v>0</v>
      </c>
      <c r="V808">
        <v>0</v>
      </c>
      <c r="W808">
        <v>10.8701975</v>
      </c>
      <c r="X808">
        <v>21.333344699999998</v>
      </c>
      <c r="Y808">
        <v>13.2644696</v>
      </c>
      <c r="Z808">
        <v>84.466282899999996</v>
      </c>
      <c r="AA808">
        <v>0</v>
      </c>
      <c r="AB808">
        <v>3</v>
      </c>
      <c r="AC808" t="s">
        <v>174</v>
      </c>
      <c r="AD808">
        <v>9</v>
      </c>
      <c r="AE808" t="s">
        <v>1413</v>
      </c>
      <c r="AF808">
        <v>60000000</v>
      </c>
      <c r="AG808" t="s">
        <v>310</v>
      </c>
      <c r="AH808">
        <f>SUM((MID(Dyno_Data[[#This Row],[Team]],4,5))+(Dyno_Data[[#This Row],[Match]]/100))</f>
        <v>6621.13</v>
      </c>
      <c r="AI808" s="76">
        <f>ROUND(SUM(IF(Dyno_Data[[#This Row],[AcqCenter]]&gt;0,Dyno_Data[[#This Row],[Time]]-SUMIFS(Dyno_Data[Time],Dyno_Data[Team],Dyno_Data[[#This Row],[Team]],Dyno_Data[RecordType],"StartMatch",Dyno_Data[Match],Dyno_Data[[#This Row],[Match]]),0)*86400),0)</f>
        <v>0</v>
      </c>
    </row>
    <row r="809" spans="1:35" x14ac:dyDescent="0.3">
      <c r="A809">
        <v>808</v>
      </c>
      <c r="B809" t="s">
        <v>1290</v>
      </c>
      <c r="C809">
        <v>13</v>
      </c>
      <c r="D809" s="105">
        <v>45373.451143171296</v>
      </c>
      <c r="E809" t="s">
        <v>316</v>
      </c>
      <c r="F809" t="s">
        <v>317</v>
      </c>
      <c r="G809">
        <v>1</v>
      </c>
      <c r="H809" t="s">
        <v>310</v>
      </c>
      <c r="I809">
        <v>0</v>
      </c>
      <c r="J809">
        <v>0</v>
      </c>
      <c r="K809">
        <v>0</v>
      </c>
      <c r="L809" t="s">
        <v>310</v>
      </c>
      <c r="M809" t="s">
        <v>310</v>
      </c>
      <c r="N809">
        <v>0</v>
      </c>
      <c r="O809" t="s">
        <v>1391</v>
      </c>
      <c r="P809" t="s">
        <v>240</v>
      </c>
      <c r="Q809" t="s">
        <v>1400</v>
      </c>
      <c r="R809" t="s">
        <v>1405</v>
      </c>
      <c r="S809">
        <v>1</v>
      </c>
      <c r="T809" t="s">
        <v>1407</v>
      </c>
      <c r="U809">
        <v>0</v>
      </c>
      <c r="V809">
        <v>0</v>
      </c>
      <c r="W809">
        <v>1.8727130999999999</v>
      </c>
      <c r="X809">
        <v>24.65474</v>
      </c>
      <c r="Y809">
        <v>29.281707299999997</v>
      </c>
      <c r="Z809">
        <v>73.255912600000002</v>
      </c>
      <c r="AA809">
        <v>1</v>
      </c>
      <c r="AB809">
        <v>1</v>
      </c>
      <c r="AC809" t="s">
        <v>174</v>
      </c>
      <c r="AD809">
        <v>9</v>
      </c>
      <c r="AE809" t="s">
        <v>1414</v>
      </c>
      <c r="AF809">
        <v>50100000</v>
      </c>
      <c r="AG809" t="s">
        <v>310</v>
      </c>
      <c r="AH809">
        <f>SUM((MID(Dyno_Data[[#This Row],[Team]],4,5))+(Dyno_Data[[#This Row],[Match]]/100))</f>
        <v>5881.13</v>
      </c>
      <c r="AI809" s="76">
        <f>ROUND(SUM(IF(Dyno_Data[[#This Row],[AcqCenter]]&gt;0,Dyno_Data[[#This Row],[Time]]-SUMIFS(Dyno_Data[Time],Dyno_Data[Team],Dyno_Data[[#This Row],[Team]],Dyno_Data[RecordType],"StartMatch",Dyno_Data[Match],Dyno_Data[[#This Row],[Match]]),0)*86400),0)</f>
        <v>0</v>
      </c>
    </row>
    <row r="810" spans="1:35" x14ac:dyDescent="0.3">
      <c r="A810">
        <v>809</v>
      </c>
      <c r="B810" t="s">
        <v>368</v>
      </c>
      <c r="C810">
        <v>13</v>
      </c>
      <c r="D810" s="105">
        <v>45373.451143252314</v>
      </c>
      <c r="E810" t="s">
        <v>316</v>
      </c>
      <c r="F810" t="s">
        <v>317</v>
      </c>
      <c r="G810">
        <v>0</v>
      </c>
      <c r="H810" t="s">
        <v>310</v>
      </c>
      <c r="I810">
        <v>0</v>
      </c>
      <c r="J810">
        <v>0</v>
      </c>
      <c r="K810">
        <v>0</v>
      </c>
      <c r="L810" t="s">
        <v>310</v>
      </c>
      <c r="M810" t="s">
        <v>310</v>
      </c>
      <c r="N810">
        <v>0</v>
      </c>
      <c r="O810" t="s">
        <v>319</v>
      </c>
      <c r="P810" t="s">
        <v>101</v>
      </c>
      <c r="Q810" t="s">
        <v>1399</v>
      </c>
      <c r="R810" t="s">
        <v>1404</v>
      </c>
      <c r="S810">
        <v>-1</v>
      </c>
      <c r="T810" t="s">
        <v>105</v>
      </c>
      <c r="U810">
        <v>9</v>
      </c>
      <c r="V810">
        <v>9</v>
      </c>
      <c r="W810">
        <v>21.925470399999998</v>
      </c>
      <c r="X810">
        <v>42.444657899999996</v>
      </c>
      <c r="Y810">
        <v>40.825649999999996</v>
      </c>
      <c r="Z810">
        <v>29.556090399999999</v>
      </c>
      <c r="AA810">
        <v>0</v>
      </c>
      <c r="AB810">
        <v>2</v>
      </c>
      <c r="AC810" t="s">
        <v>167</v>
      </c>
      <c r="AD810">
        <v>0</v>
      </c>
      <c r="AE810" t="s">
        <v>1390</v>
      </c>
      <c r="AF810">
        <v>0</v>
      </c>
      <c r="AG810" t="s">
        <v>310</v>
      </c>
      <c r="AH810">
        <f>SUM((MID(Dyno_Data[[#This Row],[Team]],4,5))+(Dyno_Data[[#This Row],[Match]]/100))</f>
        <v>6401.13</v>
      </c>
      <c r="AI810" s="76">
        <f>ROUND(SUM(IF(Dyno_Data[[#This Row],[AcqCenter]]&gt;0,Dyno_Data[[#This Row],[Time]]-SUMIFS(Dyno_Data[Time],Dyno_Data[Team],Dyno_Data[[#This Row],[Team]],Dyno_Data[RecordType],"StartMatch",Dyno_Data[Match],Dyno_Data[[#This Row],[Match]]),0)*86400),0)</f>
        <v>0</v>
      </c>
    </row>
    <row r="811" spans="1:35" x14ac:dyDescent="0.3">
      <c r="A811">
        <v>810</v>
      </c>
      <c r="B811" t="s">
        <v>366</v>
      </c>
      <c r="C811">
        <v>13</v>
      </c>
      <c r="D811" s="105">
        <v>45373.451143368053</v>
      </c>
      <c r="E811" t="s">
        <v>316</v>
      </c>
      <c r="F811" t="s">
        <v>317</v>
      </c>
      <c r="G811">
        <v>0</v>
      </c>
      <c r="H811" t="s">
        <v>310</v>
      </c>
      <c r="I811">
        <v>0</v>
      </c>
      <c r="J811">
        <v>0</v>
      </c>
      <c r="K811">
        <v>0</v>
      </c>
      <c r="L811" t="s">
        <v>310</v>
      </c>
      <c r="M811" t="s">
        <v>310</v>
      </c>
      <c r="N811">
        <v>0</v>
      </c>
      <c r="O811" t="s">
        <v>1393</v>
      </c>
      <c r="P811" t="s">
        <v>101</v>
      </c>
      <c r="Q811" t="s">
        <v>1400</v>
      </c>
      <c r="R811" t="s">
        <v>1404</v>
      </c>
      <c r="S811">
        <v>0</v>
      </c>
      <c r="T811" t="s">
        <v>105</v>
      </c>
      <c r="U811">
        <v>9</v>
      </c>
      <c r="V811">
        <v>9</v>
      </c>
      <c r="W811">
        <v>0</v>
      </c>
      <c r="X811">
        <v>10.015668099999999</v>
      </c>
      <c r="Y811">
        <v>34.732824799999996</v>
      </c>
      <c r="Z811">
        <v>90.183737499999992</v>
      </c>
      <c r="AA811">
        <v>2</v>
      </c>
      <c r="AB811">
        <v>0</v>
      </c>
      <c r="AC811" t="s">
        <v>173</v>
      </c>
      <c r="AD811">
        <v>9</v>
      </c>
      <c r="AE811" t="s">
        <v>1412</v>
      </c>
      <c r="AF811">
        <v>20000000</v>
      </c>
      <c r="AG811" t="s">
        <v>310</v>
      </c>
      <c r="AH811">
        <f>SUM((MID(Dyno_Data[[#This Row],[Team]],4,5))+(Dyno_Data[[#This Row],[Match]]/100))</f>
        <v>4122.13</v>
      </c>
      <c r="AI811" s="76">
        <f>ROUND(SUM(IF(Dyno_Data[[#This Row],[AcqCenter]]&gt;0,Dyno_Data[[#This Row],[Time]]-SUMIFS(Dyno_Data[Time],Dyno_Data[Team],Dyno_Data[[#This Row],[Team]],Dyno_Data[RecordType],"StartMatch",Dyno_Data[Match],Dyno_Data[[#This Row],[Match]]),0)*86400),0)</f>
        <v>0</v>
      </c>
    </row>
    <row r="812" spans="1:35" x14ac:dyDescent="0.3">
      <c r="A812">
        <v>811</v>
      </c>
      <c r="B812" t="s">
        <v>360</v>
      </c>
      <c r="C812">
        <v>13</v>
      </c>
      <c r="D812" s="105">
        <v>45373.451143483799</v>
      </c>
      <c r="E812" t="s">
        <v>316</v>
      </c>
      <c r="F812" t="s">
        <v>317</v>
      </c>
      <c r="G812">
        <v>1</v>
      </c>
      <c r="H812" t="s">
        <v>310</v>
      </c>
      <c r="I812">
        <v>0</v>
      </c>
      <c r="J812">
        <v>0</v>
      </c>
      <c r="K812">
        <v>0</v>
      </c>
      <c r="L812" t="s">
        <v>310</v>
      </c>
      <c r="M812" t="s">
        <v>310</v>
      </c>
      <c r="N812">
        <v>0</v>
      </c>
      <c r="O812" t="s">
        <v>1389</v>
      </c>
      <c r="P812" t="s">
        <v>240</v>
      </c>
      <c r="Q812" t="s">
        <v>1399</v>
      </c>
      <c r="R812" t="s">
        <v>1405</v>
      </c>
      <c r="S812">
        <v>1</v>
      </c>
      <c r="T812" t="s">
        <v>1407</v>
      </c>
      <c r="U812">
        <v>0</v>
      </c>
      <c r="V812">
        <v>0</v>
      </c>
      <c r="W812">
        <v>7.0685085999999995</v>
      </c>
      <c r="X812">
        <v>39.954089699999997</v>
      </c>
      <c r="Y812">
        <v>20.213847099999999</v>
      </c>
      <c r="Z812">
        <v>44.576704899999996</v>
      </c>
      <c r="AA812">
        <v>0</v>
      </c>
      <c r="AB812">
        <v>0</v>
      </c>
      <c r="AC812" t="s">
        <v>1408</v>
      </c>
      <c r="AD812">
        <v>1</v>
      </c>
      <c r="AE812" t="s">
        <v>1388</v>
      </c>
      <c r="AF812">
        <v>120003000</v>
      </c>
      <c r="AG812" t="s">
        <v>310</v>
      </c>
      <c r="AH812">
        <f>SUM((MID(Dyno_Data[[#This Row],[Team]],4,5))+(Dyno_Data[[#This Row],[Match]]/100))</f>
        <v>1796.13</v>
      </c>
      <c r="AI812" s="76">
        <f>ROUND(SUM(IF(Dyno_Data[[#This Row],[AcqCenter]]&gt;0,Dyno_Data[[#This Row],[Time]]-SUMIFS(Dyno_Data[Time],Dyno_Data[Team],Dyno_Data[[#This Row],[Team]],Dyno_Data[RecordType],"StartMatch",Dyno_Data[Match],Dyno_Data[[#This Row],[Match]]),0)*86400),0)</f>
        <v>0</v>
      </c>
    </row>
    <row r="813" spans="1:35" x14ac:dyDescent="0.3">
      <c r="A813">
        <v>812</v>
      </c>
      <c r="B813" t="s">
        <v>1314</v>
      </c>
      <c r="C813">
        <v>13</v>
      </c>
      <c r="D813" s="105">
        <v>45373.45114355324</v>
      </c>
      <c r="E813" t="s">
        <v>316</v>
      </c>
      <c r="F813" t="s">
        <v>317</v>
      </c>
      <c r="G813">
        <v>1</v>
      </c>
      <c r="H813" t="s">
        <v>310</v>
      </c>
      <c r="I813">
        <v>0</v>
      </c>
      <c r="J813">
        <v>0</v>
      </c>
      <c r="K813">
        <v>0</v>
      </c>
      <c r="L813" t="s">
        <v>310</v>
      </c>
      <c r="M813" t="s">
        <v>310</v>
      </c>
      <c r="N813">
        <v>0</v>
      </c>
      <c r="O813" t="s">
        <v>1395</v>
      </c>
      <c r="P813" t="s">
        <v>1401</v>
      </c>
      <c r="Q813" t="s">
        <v>1400</v>
      </c>
      <c r="R813" t="s">
        <v>321</v>
      </c>
      <c r="S813">
        <v>0</v>
      </c>
      <c r="T813" t="s">
        <v>105</v>
      </c>
      <c r="U813">
        <v>9</v>
      </c>
      <c r="V813">
        <v>9</v>
      </c>
      <c r="W813">
        <v>0</v>
      </c>
      <c r="X813">
        <v>19.019682700000001</v>
      </c>
      <c r="Y813">
        <v>15.797098099999999</v>
      </c>
      <c r="Z813">
        <v>100.17324259999999</v>
      </c>
      <c r="AA813">
        <v>0</v>
      </c>
      <c r="AB813">
        <v>0</v>
      </c>
      <c r="AC813" t="s">
        <v>174</v>
      </c>
      <c r="AD813">
        <v>9</v>
      </c>
      <c r="AE813" t="s">
        <v>1396</v>
      </c>
      <c r="AF813">
        <v>50000000</v>
      </c>
      <c r="AG813" t="s">
        <v>310</v>
      </c>
      <c r="AH813">
        <f>SUM((MID(Dyno_Data[[#This Row],[Team]],4,5))+(Dyno_Data[[#This Row],[Match]]/100))</f>
        <v>3419.13</v>
      </c>
      <c r="AI813" s="76">
        <f>ROUND(SUM(IF(Dyno_Data[[#This Row],[AcqCenter]]&gt;0,Dyno_Data[[#This Row],[Time]]-SUMIFS(Dyno_Data[Time],Dyno_Data[Team],Dyno_Data[[#This Row],[Team]],Dyno_Data[RecordType],"StartMatch",Dyno_Data[Match],Dyno_Data[[#This Row],[Match]]),0)*86400),0)</f>
        <v>0</v>
      </c>
    </row>
    <row r="814" spans="1:35" x14ac:dyDescent="0.3">
      <c r="A814">
        <v>819</v>
      </c>
      <c r="B814" t="s">
        <v>1289</v>
      </c>
      <c r="C814">
        <v>14</v>
      </c>
      <c r="D814" s="105">
        <v>45373.454324224535</v>
      </c>
      <c r="E814" t="s">
        <v>308</v>
      </c>
      <c r="F814" t="s">
        <v>309</v>
      </c>
      <c r="G814">
        <v>0</v>
      </c>
      <c r="H814" t="s">
        <v>310</v>
      </c>
      <c r="I814">
        <v>0</v>
      </c>
      <c r="J814">
        <v>0</v>
      </c>
      <c r="K814">
        <v>0</v>
      </c>
      <c r="L814" t="s">
        <v>310</v>
      </c>
      <c r="M814" t="s">
        <v>310</v>
      </c>
      <c r="N814">
        <v>0</v>
      </c>
      <c r="O814" t="s">
        <v>311</v>
      </c>
      <c r="P814" t="s">
        <v>310</v>
      </c>
      <c r="Q814" t="s">
        <v>310</v>
      </c>
      <c r="R814" t="s">
        <v>310</v>
      </c>
      <c r="S814">
        <v>9</v>
      </c>
      <c r="T814" t="s">
        <v>310</v>
      </c>
      <c r="U814">
        <v>9</v>
      </c>
      <c r="V814">
        <v>9</v>
      </c>
      <c r="W814">
        <v>0</v>
      </c>
      <c r="X814">
        <v>0</v>
      </c>
      <c r="Y814">
        <v>0</v>
      </c>
      <c r="Z814">
        <v>0</v>
      </c>
      <c r="AA814">
        <v>9</v>
      </c>
      <c r="AB814">
        <v>9</v>
      </c>
      <c r="AC814" t="s">
        <v>310</v>
      </c>
      <c r="AD814">
        <v>9</v>
      </c>
      <c r="AE814" t="s">
        <v>1413</v>
      </c>
      <c r="AF814">
        <v>0</v>
      </c>
      <c r="AG814" t="s">
        <v>310</v>
      </c>
      <c r="AH814">
        <f>SUM((MID(Dyno_Data[[#This Row],[Team]],4,5))+(Dyno_Data[[#This Row],[Match]]/100))</f>
        <v>6648.14</v>
      </c>
      <c r="AI814" s="76">
        <f>ROUND(SUM(IF(Dyno_Data[[#This Row],[AcqCenter]]&gt;0,Dyno_Data[[#This Row],[Time]]-SUMIFS(Dyno_Data[Time],Dyno_Data[Team],Dyno_Data[[#This Row],[Team]],Dyno_Data[RecordType],"StartMatch",Dyno_Data[Match],Dyno_Data[[#This Row],[Match]]),0)*86400),0)</f>
        <v>0</v>
      </c>
    </row>
    <row r="815" spans="1:35" x14ac:dyDescent="0.3">
      <c r="A815">
        <v>821</v>
      </c>
      <c r="B815" t="s">
        <v>1309</v>
      </c>
      <c r="C815">
        <v>14</v>
      </c>
      <c r="D815" s="105">
        <v>45373.454324305552</v>
      </c>
      <c r="E815" t="s">
        <v>308</v>
      </c>
      <c r="F815" t="s">
        <v>309</v>
      </c>
      <c r="G815">
        <v>0</v>
      </c>
      <c r="H815" t="s">
        <v>310</v>
      </c>
      <c r="I815">
        <v>0</v>
      </c>
      <c r="J815">
        <v>0</v>
      </c>
      <c r="K815">
        <v>0</v>
      </c>
      <c r="L815" t="s">
        <v>310</v>
      </c>
      <c r="M815" t="s">
        <v>310</v>
      </c>
      <c r="N815">
        <v>0</v>
      </c>
      <c r="O815" t="s">
        <v>1391</v>
      </c>
      <c r="P815" t="s">
        <v>310</v>
      </c>
      <c r="Q815" t="s">
        <v>310</v>
      </c>
      <c r="R815" t="s">
        <v>310</v>
      </c>
      <c r="S815">
        <v>9</v>
      </c>
      <c r="T815" t="s">
        <v>310</v>
      </c>
      <c r="U815">
        <v>9</v>
      </c>
      <c r="V815">
        <v>9</v>
      </c>
      <c r="W815">
        <v>0</v>
      </c>
      <c r="X815">
        <v>0</v>
      </c>
      <c r="Y815">
        <v>0</v>
      </c>
      <c r="Z815">
        <v>0</v>
      </c>
      <c r="AA815">
        <v>9</v>
      </c>
      <c r="AB815">
        <v>9</v>
      </c>
      <c r="AC815" t="s">
        <v>310</v>
      </c>
      <c r="AD815">
        <v>9</v>
      </c>
      <c r="AE815" t="s">
        <v>1416</v>
      </c>
      <c r="AF815">
        <v>0</v>
      </c>
      <c r="AG815" t="s">
        <v>310</v>
      </c>
      <c r="AH815">
        <f>SUM((MID(Dyno_Data[[#This Row],[Team]],4,5))+(Dyno_Data[[#This Row],[Match]]/100))</f>
        <v>3550.14</v>
      </c>
      <c r="AI815" s="76">
        <f>ROUND(SUM(IF(Dyno_Data[[#This Row],[AcqCenter]]&gt;0,Dyno_Data[[#This Row],[Time]]-SUMIFS(Dyno_Data[Time],Dyno_Data[Team],Dyno_Data[[#This Row],[Team]],Dyno_Data[RecordType],"StartMatch",Dyno_Data[Match],Dyno_Data[[#This Row],[Match]]),0)*86400),0)</f>
        <v>0</v>
      </c>
    </row>
    <row r="816" spans="1:35" x14ac:dyDescent="0.3">
      <c r="A816">
        <v>823</v>
      </c>
      <c r="B816" t="s">
        <v>364</v>
      </c>
      <c r="C816">
        <v>14</v>
      </c>
      <c r="D816" s="105">
        <v>45373.45432434028</v>
      </c>
      <c r="E816" t="s">
        <v>308</v>
      </c>
      <c r="F816" t="s">
        <v>309</v>
      </c>
      <c r="G816">
        <v>0</v>
      </c>
      <c r="H816" t="s">
        <v>310</v>
      </c>
      <c r="I816">
        <v>0</v>
      </c>
      <c r="J816">
        <v>0</v>
      </c>
      <c r="K816">
        <v>0</v>
      </c>
      <c r="L816" t="s">
        <v>310</v>
      </c>
      <c r="M816" t="s">
        <v>310</v>
      </c>
      <c r="N816">
        <v>0</v>
      </c>
      <c r="O816" t="s">
        <v>1389</v>
      </c>
      <c r="P816" t="s">
        <v>310</v>
      </c>
      <c r="Q816" t="s">
        <v>310</v>
      </c>
      <c r="R816" t="s">
        <v>310</v>
      </c>
      <c r="S816">
        <v>9</v>
      </c>
      <c r="T816" t="s">
        <v>310</v>
      </c>
      <c r="U816">
        <v>9</v>
      </c>
      <c r="V816">
        <v>9</v>
      </c>
      <c r="W816">
        <v>0</v>
      </c>
      <c r="X816">
        <v>0</v>
      </c>
      <c r="Y816">
        <v>0</v>
      </c>
      <c r="Z816">
        <v>0</v>
      </c>
      <c r="AA816">
        <v>9</v>
      </c>
      <c r="AB816">
        <v>9</v>
      </c>
      <c r="AC816" t="s">
        <v>310</v>
      </c>
      <c r="AD816">
        <v>9</v>
      </c>
      <c r="AE816" t="s">
        <v>1412</v>
      </c>
      <c r="AF816">
        <v>10000000</v>
      </c>
      <c r="AG816" t="s">
        <v>310</v>
      </c>
      <c r="AH816">
        <f>SUM((MID(Dyno_Data[[#This Row],[Team]],4,5))+(Dyno_Data[[#This Row],[Match]]/100))</f>
        <v>2791.14</v>
      </c>
      <c r="AI816" s="76">
        <f>ROUND(SUM(IF(Dyno_Data[[#This Row],[AcqCenter]]&gt;0,Dyno_Data[[#This Row],[Time]]-SUMIFS(Dyno_Data[Time],Dyno_Data[Team],Dyno_Data[[#This Row],[Team]],Dyno_Data[RecordType],"StartMatch",Dyno_Data[Match],Dyno_Data[[#This Row],[Match]]),0)*86400),0)</f>
        <v>0</v>
      </c>
    </row>
    <row r="817" spans="1:35" x14ac:dyDescent="0.3">
      <c r="A817">
        <v>825</v>
      </c>
      <c r="B817" t="s">
        <v>1317</v>
      </c>
      <c r="C817">
        <v>14</v>
      </c>
      <c r="D817" s="105">
        <v>45373.454336111114</v>
      </c>
      <c r="E817" t="s">
        <v>308</v>
      </c>
      <c r="F817" t="s">
        <v>309</v>
      </c>
      <c r="G817">
        <v>0</v>
      </c>
      <c r="H817" t="s">
        <v>310</v>
      </c>
      <c r="I817">
        <v>0</v>
      </c>
      <c r="J817">
        <v>0</v>
      </c>
      <c r="K817">
        <v>0</v>
      </c>
      <c r="L817" t="s">
        <v>310</v>
      </c>
      <c r="M817" t="s">
        <v>310</v>
      </c>
      <c r="N817">
        <v>0</v>
      </c>
      <c r="O817" t="s">
        <v>1395</v>
      </c>
      <c r="P817" t="s">
        <v>310</v>
      </c>
      <c r="Q817" t="s">
        <v>310</v>
      </c>
      <c r="R817" t="s">
        <v>310</v>
      </c>
      <c r="S817">
        <v>9</v>
      </c>
      <c r="T817" t="s">
        <v>310</v>
      </c>
      <c r="U817">
        <v>9</v>
      </c>
      <c r="V817">
        <v>9</v>
      </c>
      <c r="W817">
        <v>0</v>
      </c>
      <c r="X817">
        <v>0</v>
      </c>
      <c r="Y817">
        <v>0</v>
      </c>
      <c r="Z817">
        <v>0</v>
      </c>
      <c r="AA817">
        <v>9</v>
      </c>
      <c r="AB817">
        <v>9</v>
      </c>
      <c r="AC817" t="s">
        <v>310</v>
      </c>
      <c r="AD817">
        <v>9</v>
      </c>
      <c r="AE817" t="s">
        <v>1414</v>
      </c>
      <c r="AF817">
        <v>0</v>
      </c>
      <c r="AG817" t="s">
        <v>310</v>
      </c>
      <c r="AH817">
        <f>SUM((MID(Dyno_Data[[#This Row],[Team]],4,5))+(Dyno_Data[[#This Row],[Match]]/100))</f>
        <v>296.14</v>
      </c>
      <c r="AI817" s="76">
        <f>ROUND(SUM(IF(Dyno_Data[[#This Row],[AcqCenter]]&gt;0,Dyno_Data[[#This Row],[Time]]-SUMIFS(Dyno_Data[Time],Dyno_Data[Team],Dyno_Data[[#This Row],[Team]],Dyno_Data[RecordType],"StartMatch",Dyno_Data[Match],Dyno_Data[[#This Row],[Match]]),0)*86400),0)</f>
        <v>0</v>
      </c>
    </row>
    <row r="818" spans="1:35" x14ac:dyDescent="0.3">
      <c r="A818">
        <v>813</v>
      </c>
      <c r="B818" t="s">
        <v>364</v>
      </c>
      <c r="C818">
        <v>14</v>
      </c>
      <c r="D818" s="105">
        <v>45373.454336111114</v>
      </c>
      <c r="E818" t="s">
        <v>312</v>
      </c>
      <c r="F818" t="s">
        <v>309</v>
      </c>
      <c r="G818">
        <v>0</v>
      </c>
      <c r="H818" t="s">
        <v>1397</v>
      </c>
      <c r="I818">
        <v>0</v>
      </c>
      <c r="J818">
        <v>0</v>
      </c>
      <c r="K818">
        <v>0</v>
      </c>
      <c r="L818" t="s">
        <v>240</v>
      </c>
      <c r="M818" t="s">
        <v>1398</v>
      </c>
      <c r="N818">
        <v>0</v>
      </c>
      <c r="O818" t="s">
        <v>1389</v>
      </c>
      <c r="P818" t="s">
        <v>310</v>
      </c>
      <c r="Q818" t="s">
        <v>310</v>
      </c>
      <c r="R818" t="s">
        <v>310</v>
      </c>
      <c r="S818">
        <v>9</v>
      </c>
      <c r="T818" t="s">
        <v>310</v>
      </c>
      <c r="U818">
        <v>9</v>
      </c>
      <c r="V818">
        <v>9</v>
      </c>
      <c r="W818">
        <v>0</v>
      </c>
      <c r="X818">
        <v>0</v>
      </c>
      <c r="Y818">
        <v>0</v>
      </c>
      <c r="Z818">
        <v>0</v>
      </c>
      <c r="AA818">
        <v>9</v>
      </c>
      <c r="AB818">
        <v>9</v>
      </c>
      <c r="AC818" t="s">
        <v>310</v>
      </c>
      <c r="AD818">
        <v>9</v>
      </c>
      <c r="AE818" t="s">
        <v>1412</v>
      </c>
      <c r="AF818">
        <v>0</v>
      </c>
      <c r="AG818" t="s">
        <v>310</v>
      </c>
      <c r="AH818">
        <f>SUM((MID(Dyno_Data[[#This Row],[Team]],4,5))+(Dyno_Data[[#This Row],[Match]]/100))</f>
        <v>2791.14</v>
      </c>
      <c r="AI818" s="76">
        <f>ROUND(SUM(IF(Dyno_Data[[#This Row],[AcqCenter]]&gt;0,Dyno_Data[[#This Row],[Time]]-SUMIFS(Dyno_Data[Time],Dyno_Data[Team],Dyno_Data[[#This Row],[Team]],Dyno_Data[RecordType],"StartMatch",Dyno_Data[Match],Dyno_Data[[#This Row],[Match]]),0)*86400),0)</f>
        <v>0</v>
      </c>
    </row>
    <row r="819" spans="1:35" x14ac:dyDescent="0.3">
      <c r="A819">
        <v>827</v>
      </c>
      <c r="B819" t="s">
        <v>372</v>
      </c>
      <c r="C819">
        <v>14</v>
      </c>
      <c r="D819" s="105">
        <v>45373.454341817131</v>
      </c>
      <c r="E819" t="s">
        <v>308</v>
      </c>
      <c r="F819" t="s">
        <v>309</v>
      </c>
      <c r="G819">
        <v>0</v>
      </c>
      <c r="H819" t="s">
        <v>310</v>
      </c>
      <c r="I819">
        <v>0</v>
      </c>
      <c r="J819">
        <v>0</v>
      </c>
      <c r="K819">
        <v>0</v>
      </c>
      <c r="L819" t="s">
        <v>310</v>
      </c>
      <c r="M819" t="s">
        <v>310</v>
      </c>
      <c r="N819">
        <v>0</v>
      </c>
      <c r="O819" t="s">
        <v>319</v>
      </c>
      <c r="P819" t="s">
        <v>310</v>
      </c>
      <c r="Q819" t="s">
        <v>310</v>
      </c>
      <c r="R819" t="s">
        <v>310</v>
      </c>
      <c r="S819">
        <v>9</v>
      </c>
      <c r="T819" t="s">
        <v>310</v>
      </c>
      <c r="U819">
        <v>9</v>
      </c>
      <c r="V819">
        <v>9</v>
      </c>
      <c r="W819">
        <v>0</v>
      </c>
      <c r="X819">
        <v>0</v>
      </c>
      <c r="Y819">
        <v>0</v>
      </c>
      <c r="Z819">
        <v>0</v>
      </c>
      <c r="AA819">
        <v>9</v>
      </c>
      <c r="AB819">
        <v>9</v>
      </c>
      <c r="AC819" t="s">
        <v>310</v>
      </c>
      <c r="AD819">
        <v>9</v>
      </c>
      <c r="AE819" t="s">
        <v>1417</v>
      </c>
      <c r="AF819">
        <v>0</v>
      </c>
      <c r="AG819" t="s">
        <v>310</v>
      </c>
      <c r="AH819">
        <f>SUM((MID(Dyno_Data[[#This Row],[Team]],4,5))+(Dyno_Data[[#This Row],[Match]]/100))</f>
        <v>7504.14</v>
      </c>
      <c r="AI819" s="76">
        <f>ROUND(SUM(IF(Dyno_Data[[#This Row],[AcqCenter]]&gt;0,Dyno_Data[[#This Row],[Time]]-SUMIFS(Dyno_Data[Time],Dyno_Data[Team],Dyno_Data[[#This Row],[Team]],Dyno_Data[RecordType],"StartMatch",Dyno_Data[Match],Dyno_Data[[#This Row],[Match]]),0)*86400),0)</f>
        <v>0</v>
      </c>
    </row>
    <row r="820" spans="1:35" x14ac:dyDescent="0.3">
      <c r="A820">
        <v>814</v>
      </c>
      <c r="B820" t="s">
        <v>1309</v>
      </c>
      <c r="C820">
        <v>14</v>
      </c>
      <c r="D820" s="105">
        <v>45373.454343668978</v>
      </c>
      <c r="E820" t="s">
        <v>312</v>
      </c>
      <c r="F820" t="s">
        <v>309</v>
      </c>
      <c r="G820">
        <v>0</v>
      </c>
      <c r="H820" t="s">
        <v>1397</v>
      </c>
      <c r="I820">
        <v>0</v>
      </c>
      <c r="J820">
        <v>0</v>
      </c>
      <c r="K820">
        <v>0</v>
      </c>
      <c r="L820" t="s">
        <v>240</v>
      </c>
      <c r="M820" t="s">
        <v>1398</v>
      </c>
      <c r="N820">
        <v>0</v>
      </c>
      <c r="O820" t="s">
        <v>1391</v>
      </c>
      <c r="P820" t="s">
        <v>310</v>
      </c>
      <c r="Q820" t="s">
        <v>310</v>
      </c>
      <c r="R820" t="s">
        <v>310</v>
      </c>
      <c r="S820">
        <v>9</v>
      </c>
      <c r="T820" t="s">
        <v>310</v>
      </c>
      <c r="U820">
        <v>9</v>
      </c>
      <c r="V820">
        <v>9</v>
      </c>
      <c r="W820">
        <v>0</v>
      </c>
      <c r="X820">
        <v>0</v>
      </c>
      <c r="Y820">
        <v>0</v>
      </c>
      <c r="Z820">
        <v>0</v>
      </c>
      <c r="AA820">
        <v>9</v>
      </c>
      <c r="AB820">
        <v>9</v>
      </c>
      <c r="AC820" t="s">
        <v>310</v>
      </c>
      <c r="AD820">
        <v>9</v>
      </c>
      <c r="AE820" t="s">
        <v>1416</v>
      </c>
      <c r="AF820">
        <v>0</v>
      </c>
      <c r="AG820" t="s">
        <v>310</v>
      </c>
      <c r="AH820">
        <f>SUM((MID(Dyno_Data[[#This Row],[Team]],4,5))+(Dyno_Data[[#This Row],[Match]]/100))</f>
        <v>3550.14</v>
      </c>
      <c r="AI820" s="76">
        <f>ROUND(SUM(IF(Dyno_Data[[#This Row],[AcqCenter]]&gt;0,Dyno_Data[[#This Row],[Time]]-SUMIFS(Dyno_Data[Time],Dyno_Data[Team],Dyno_Data[[#This Row],[Team]],Dyno_Data[RecordType],"StartMatch",Dyno_Data[Match],Dyno_Data[[#This Row],[Match]]),0)*86400),0)</f>
        <v>0</v>
      </c>
    </row>
    <row r="821" spans="1:35" x14ac:dyDescent="0.3">
      <c r="A821">
        <v>829</v>
      </c>
      <c r="B821" t="s">
        <v>1298</v>
      </c>
      <c r="C821">
        <v>14</v>
      </c>
      <c r="D821" s="105">
        <v>45373.454343981481</v>
      </c>
      <c r="E821" t="s">
        <v>308</v>
      </c>
      <c r="F821" t="s">
        <v>309</v>
      </c>
      <c r="G821">
        <v>0</v>
      </c>
      <c r="H821" t="s">
        <v>310</v>
      </c>
      <c r="I821">
        <v>0</v>
      </c>
      <c r="J821">
        <v>0</v>
      </c>
      <c r="K821">
        <v>0</v>
      </c>
      <c r="L821" t="s">
        <v>310</v>
      </c>
      <c r="M821" t="s">
        <v>310</v>
      </c>
      <c r="N821">
        <v>0</v>
      </c>
      <c r="O821" t="s">
        <v>1393</v>
      </c>
      <c r="P821" t="s">
        <v>310</v>
      </c>
      <c r="Q821" t="s">
        <v>310</v>
      </c>
      <c r="R821" t="s">
        <v>310</v>
      </c>
      <c r="S821">
        <v>9</v>
      </c>
      <c r="T821" t="s">
        <v>310</v>
      </c>
      <c r="U821">
        <v>9</v>
      </c>
      <c r="V821">
        <v>9</v>
      </c>
      <c r="W821">
        <v>0</v>
      </c>
      <c r="X821">
        <v>0</v>
      </c>
      <c r="Y821">
        <v>0</v>
      </c>
      <c r="Z821">
        <v>0</v>
      </c>
      <c r="AA821">
        <v>9</v>
      </c>
      <c r="AB821">
        <v>9</v>
      </c>
      <c r="AC821" t="s">
        <v>310</v>
      </c>
      <c r="AD821">
        <v>9</v>
      </c>
      <c r="AE821" t="s">
        <v>1418</v>
      </c>
      <c r="AF821">
        <v>0</v>
      </c>
      <c r="AG821" t="s">
        <v>310</v>
      </c>
      <c r="AH821">
        <f>SUM((MID(Dyno_Data[[#This Row],[Team]],4,5))+(Dyno_Data[[#This Row],[Match]]/100))</f>
        <v>9624.14</v>
      </c>
      <c r="AI821" s="76">
        <f>ROUND(SUM(IF(Dyno_Data[[#This Row],[AcqCenter]]&gt;0,Dyno_Data[[#This Row],[Time]]-SUMIFS(Dyno_Data[Time],Dyno_Data[Team],Dyno_Data[[#This Row],[Team]],Dyno_Data[RecordType],"StartMatch",Dyno_Data[Match],Dyno_Data[[#This Row],[Match]]),0)*86400),0)</f>
        <v>0</v>
      </c>
    </row>
    <row r="822" spans="1:35" x14ac:dyDescent="0.3">
      <c r="A822">
        <v>815</v>
      </c>
      <c r="B822" t="s">
        <v>372</v>
      </c>
      <c r="C822">
        <v>14</v>
      </c>
      <c r="D822" s="105">
        <v>45373.454344363425</v>
      </c>
      <c r="E822" t="s">
        <v>312</v>
      </c>
      <c r="F822" t="s">
        <v>309</v>
      </c>
      <c r="G822">
        <v>0</v>
      </c>
      <c r="H822" t="s">
        <v>1397</v>
      </c>
      <c r="I822">
        <v>0</v>
      </c>
      <c r="J822">
        <v>0</v>
      </c>
      <c r="K822">
        <v>0</v>
      </c>
      <c r="L822" t="s">
        <v>240</v>
      </c>
      <c r="M822" t="s">
        <v>1398</v>
      </c>
      <c r="N822">
        <v>0</v>
      </c>
      <c r="O822" t="s">
        <v>319</v>
      </c>
      <c r="P822" t="s">
        <v>310</v>
      </c>
      <c r="Q822" t="s">
        <v>310</v>
      </c>
      <c r="R822" t="s">
        <v>310</v>
      </c>
      <c r="S822">
        <v>9</v>
      </c>
      <c r="T822" t="s">
        <v>310</v>
      </c>
      <c r="U822">
        <v>9</v>
      </c>
      <c r="V822">
        <v>9</v>
      </c>
      <c r="W822">
        <v>0</v>
      </c>
      <c r="X822">
        <v>0</v>
      </c>
      <c r="Y822">
        <v>0</v>
      </c>
      <c r="Z822">
        <v>0</v>
      </c>
      <c r="AA822">
        <v>9</v>
      </c>
      <c r="AB822">
        <v>9</v>
      </c>
      <c r="AC822" t="s">
        <v>310</v>
      </c>
      <c r="AD822">
        <v>9</v>
      </c>
      <c r="AE822" t="s">
        <v>1417</v>
      </c>
      <c r="AF822">
        <v>0</v>
      </c>
      <c r="AG822" t="s">
        <v>310</v>
      </c>
      <c r="AH822">
        <f>SUM((MID(Dyno_Data[[#This Row],[Team]],4,5))+(Dyno_Data[[#This Row],[Match]]/100))</f>
        <v>7504.14</v>
      </c>
      <c r="AI822" s="76">
        <f>ROUND(SUM(IF(Dyno_Data[[#This Row],[AcqCenter]]&gt;0,Dyno_Data[[#This Row],[Time]]-SUMIFS(Dyno_Data[Time],Dyno_Data[Team],Dyno_Data[[#This Row],[Team]],Dyno_Data[RecordType],"StartMatch",Dyno_Data[Match],Dyno_Data[[#This Row],[Match]]),0)*86400),0)</f>
        <v>0</v>
      </c>
    </row>
    <row r="823" spans="1:35" x14ac:dyDescent="0.3">
      <c r="A823">
        <v>816</v>
      </c>
      <c r="B823" t="s">
        <v>1317</v>
      </c>
      <c r="C823">
        <v>14</v>
      </c>
      <c r="D823" s="105">
        <v>45373.454350115739</v>
      </c>
      <c r="E823" t="s">
        <v>312</v>
      </c>
      <c r="F823" t="s">
        <v>309</v>
      </c>
      <c r="G823">
        <v>0</v>
      </c>
      <c r="H823" t="s">
        <v>1397</v>
      </c>
      <c r="I823">
        <v>0</v>
      </c>
      <c r="J823">
        <v>0</v>
      </c>
      <c r="K823">
        <v>0</v>
      </c>
      <c r="L823" t="s">
        <v>241</v>
      </c>
      <c r="M823" t="s">
        <v>1398</v>
      </c>
      <c r="N823">
        <v>0</v>
      </c>
      <c r="O823" t="s">
        <v>1395</v>
      </c>
      <c r="P823" t="s">
        <v>310</v>
      </c>
      <c r="Q823" t="s">
        <v>310</v>
      </c>
      <c r="R823" t="s">
        <v>310</v>
      </c>
      <c r="S823">
        <v>9</v>
      </c>
      <c r="T823" t="s">
        <v>310</v>
      </c>
      <c r="U823">
        <v>9</v>
      </c>
      <c r="V823">
        <v>9</v>
      </c>
      <c r="W823">
        <v>0</v>
      </c>
      <c r="X823">
        <v>0</v>
      </c>
      <c r="Y823">
        <v>0</v>
      </c>
      <c r="Z823">
        <v>0</v>
      </c>
      <c r="AA823">
        <v>9</v>
      </c>
      <c r="AB823">
        <v>9</v>
      </c>
      <c r="AC823" t="s">
        <v>310</v>
      </c>
      <c r="AD823">
        <v>9</v>
      </c>
      <c r="AE823" t="s">
        <v>1414</v>
      </c>
      <c r="AF823">
        <v>0</v>
      </c>
      <c r="AG823" t="s">
        <v>310</v>
      </c>
      <c r="AH823">
        <f>SUM((MID(Dyno_Data[[#This Row],[Team]],4,5))+(Dyno_Data[[#This Row],[Match]]/100))</f>
        <v>296.14</v>
      </c>
      <c r="AI823" s="76">
        <f>ROUND(SUM(IF(Dyno_Data[[#This Row],[AcqCenter]]&gt;0,Dyno_Data[[#This Row],[Time]]-SUMIFS(Dyno_Data[Time],Dyno_Data[Team],Dyno_Data[[#This Row],[Team]],Dyno_Data[RecordType],"StartMatch",Dyno_Data[Match],Dyno_Data[[#This Row],[Match]]),0)*86400),0)</f>
        <v>0</v>
      </c>
    </row>
    <row r="824" spans="1:35" x14ac:dyDescent="0.3">
      <c r="A824">
        <v>817</v>
      </c>
      <c r="B824" t="s">
        <v>1298</v>
      </c>
      <c r="C824">
        <v>14</v>
      </c>
      <c r="D824" s="105">
        <v>45373.454358796298</v>
      </c>
      <c r="E824" t="s">
        <v>312</v>
      </c>
      <c r="F824" t="s">
        <v>309</v>
      </c>
      <c r="G824">
        <v>0</v>
      </c>
      <c r="H824" t="s">
        <v>1397</v>
      </c>
      <c r="I824">
        <v>0</v>
      </c>
      <c r="J824">
        <v>0</v>
      </c>
      <c r="K824">
        <v>0</v>
      </c>
      <c r="L824" t="s">
        <v>241</v>
      </c>
      <c r="M824" t="s">
        <v>1398</v>
      </c>
      <c r="N824">
        <v>0</v>
      </c>
      <c r="O824" t="s">
        <v>1393</v>
      </c>
      <c r="P824" t="s">
        <v>310</v>
      </c>
      <c r="Q824" t="s">
        <v>310</v>
      </c>
      <c r="R824" t="s">
        <v>310</v>
      </c>
      <c r="S824">
        <v>9</v>
      </c>
      <c r="T824" t="s">
        <v>310</v>
      </c>
      <c r="U824">
        <v>9</v>
      </c>
      <c r="V824">
        <v>9</v>
      </c>
      <c r="W824">
        <v>0</v>
      </c>
      <c r="X824">
        <v>0</v>
      </c>
      <c r="Y824">
        <v>0</v>
      </c>
      <c r="Z824">
        <v>0</v>
      </c>
      <c r="AA824">
        <v>9</v>
      </c>
      <c r="AB824">
        <v>9</v>
      </c>
      <c r="AC824" t="s">
        <v>310</v>
      </c>
      <c r="AD824">
        <v>9</v>
      </c>
      <c r="AE824" t="s">
        <v>1418</v>
      </c>
      <c r="AF824">
        <v>0</v>
      </c>
      <c r="AG824" t="s">
        <v>310</v>
      </c>
      <c r="AH824">
        <f>SUM((MID(Dyno_Data[[#This Row],[Team]],4,5))+(Dyno_Data[[#This Row],[Match]]/100))</f>
        <v>9624.14</v>
      </c>
      <c r="AI824" s="76">
        <f>ROUND(SUM(IF(Dyno_Data[[#This Row],[AcqCenter]]&gt;0,Dyno_Data[[#This Row],[Time]]-SUMIFS(Dyno_Data[Time],Dyno_Data[Team],Dyno_Data[[#This Row],[Team]],Dyno_Data[RecordType],"StartMatch",Dyno_Data[Match],Dyno_Data[[#This Row],[Match]]),0)*86400),0)</f>
        <v>0</v>
      </c>
    </row>
    <row r="825" spans="1:35" x14ac:dyDescent="0.3">
      <c r="A825">
        <v>818</v>
      </c>
      <c r="B825" t="s">
        <v>364</v>
      </c>
      <c r="C825">
        <v>14</v>
      </c>
      <c r="D825" s="105">
        <v>45373.45441755787</v>
      </c>
      <c r="E825" t="s">
        <v>312</v>
      </c>
      <c r="F825" t="s">
        <v>309</v>
      </c>
      <c r="G825">
        <v>0</v>
      </c>
      <c r="H825" t="s">
        <v>315</v>
      </c>
      <c r="I825">
        <v>0</v>
      </c>
      <c r="J825">
        <v>0</v>
      </c>
      <c r="K825">
        <v>0</v>
      </c>
      <c r="L825" t="s">
        <v>240</v>
      </c>
      <c r="M825" t="s">
        <v>1398</v>
      </c>
      <c r="N825">
        <v>0</v>
      </c>
      <c r="O825" t="s">
        <v>1389</v>
      </c>
      <c r="P825" t="s">
        <v>310</v>
      </c>
      <c r="Q825" t="s">
        <v>310</v>
      </c>
      <c r="R825" t="s">
        <v>310</v>
      </c>
      <c r="S825">
        <v>9</v>
      </c>
      <c r="T825" t="s">
        <v>310</v>
      </c>
      <c r="U825">
        <v>9</v>
      </c>
      <c r="V825">
        <v>9</v>
      </c>
      <c r="W825">
        <v>0</v>
      </c>
      <c r="X825">
        <v>0</v>
      </c>
      <c r="Y825">
        <v>0</v>
      </c>
      <c r="Z825">
        <v>0</v>
      </c>
      <c r="AA825">
        <v>9</v>
      </c>
      <c r="AB825">
        <v>9</v>
      </c>
      <c r="AC825" t="s">
        <v>310</v>
      </c>
      <c r="AD825">
        <v>9</v>
      </c>
      <c r="AE825" t="s">
        <v>1412</v>
      </c>
      <c r="AF825">
        <v>10000000</v>
      </c>
      <c r="AG825" t="s">
        <v>310</v>
      </c>
      <c r="AH825">
        <f>SUM((MID(Dyno_Data[[#This Row],[Team]],4,5))+(Dyno_Data[[#This Row],[Match]]/100))</f>
        <v>2791.14</v>
      </c>
      <c r="AI825" s="76">
        <f>ROUND(SUM(IF(Dyno_Data[[#This Row],[AcqCenter]]&gt;0,Dyno_Data[[#This Row],[Time]]-SUMIFS(Dyno_Data[Time],Dyno_Data[Team],Dyno_Data[[#This Row],[Team]],Dyno_Data[RecordType],"StartMatch",Dyno_Data[Match],Dyno_Data[[#This Row],[Match]]),0)*86400),0)</f>
        <v>0</v>
      </c>
    </row>
    <row r="826" spans="1:35" x14ac:dyDescent="0.3">
      <c r="A826">
        <v>820</v>
      </c>
      <c r="B826" t="s">
        <v>1289</v>
      </c>
      <c r="C826">
        <v>14</v>
      </c>
      <c r="D826" s="105">
        <v>45373.454532557873</v>
      </c>
      <c r="E826" t="s">
        <v>314</v>
      </c>
      <c r="F826" t="s">
        <v>309</v>
      </c>
      <c r="G826">
        <v>0</v>
      </c>
      <c r="H826" t="s">
        <v>310</v>
      </c>
      <c r="I826">
        <v>0</v>
      </c>
      <c r="J826">
        <v>0</v>
      </c>
      <c r="K826">
        <v>0</v>
      </c>
      <c r="L826" t="s">
        <v>310</v>
      </c>
      <c r="M826" t="s">
        <v>310</v>
      </c>
      <c r="N826">
        <v>0</v>
      </c>
      <c r="O826" t="s">
        <v>311</v>
      </c>
      <c r="P826" t="s">
        <v>101</v>
      </c>
      <c r="Q826" t="s">
        <v>1399</v>
      </c>
      <c r="R826" t="s">
        <v>310</v>
      </c>
      <c r="S826">
        <v>9</v>
      </c>
      <c r="T826" t="s">
        <v>310</v>
      </c>
      <c r="U826">
        <v>9</v>
      </c>
      <c r="V826">
        <v>9</v>
      </c>
      <c r="W826">
        <v>0</v>
      </c>
      <c r="X826">
        <v>0</v>
      </c>
      <c r="Y826">
        <v>0</v>
      </c>
      <c r="Z826">
        <v>0</v>
      </c>
      <c r="AA826">
        <v>9</v>
      </c>
      <c r="AB826">
        <v>9</v>
      </c>
      <c r="AC826" t="s">
        <v>310</v>
      </c>
      <c r="AD826">
        <v>9</v>
      </c>
      <c r="AE826" t="s">
        <v>1413</v>
      </c>
      <c r="AF826">
        <v>0</v>
      </c>
      <c r="AG826" t="s">
        <v>310</v>
      </c>
      <c r="AH826">
        <f>SUM((MID(Dyno_Data[[#This Row],[Team]],4,5))+(Dyno_Data[[#This Row],[Match]]/100))</f>
        <v>6648.14</v>
      </c>
      <c r="AI826" s="76">
        <f>ROUND(SUM(IF(Dyno_Data[[#This Row],[AcqCenter]]&gt;0,Dyno_Data[[#This Row],[Time]]-SUMIFS(Dyno_Data[Time],Dyno_Data[Team],Dyno_Data[[#This Row],[Team]],Dyno_Data[RecordType],"StartMatch",Dyno_Data[Match],Dyno_Data[[#This Row],[Match]]),0)*86400),0)</f>
        <v>0</v>
      </c>
    </row>
    <row r="827" spans="1:35" x14ac:dyDescent="0.3">
      <c r="A827">
        <v>822</v>
      </c>
      <c r="B827" t="s">
        <v>1309</v>
      </c>
      <c r="C827">
        <v>14</v>
      </c>
      <c r="D827" s="105">
        <v>45373.454532638891</v>
      </c>
      <c r="E827" t="s">
        <v>314</v>
      </c>
      <c r="F827" t="s">
        <v>309</v>
      </c>
      <c r="G827">
        <v>0</v>
      </c>
      <c r="H827" t="s">
        <v>310</v>
      </c>
      <c r="I827">
        <v>0</v>
      </c>
      <c r="J827">
        <v>0</v>
      </c>
      <c r="K827">
        <v>0</v>
      </c>
      <c r="L827" t="s">
        <v>310</v>
      </c>
      <c r="M827" t="s">
        <v>310</v>
      </c>
      <c r="N827">
        <v>0</v>
      </c>
      <c r="O827" t="s">
        <v>1391</v>
      </c>
      <c r="P827" t="s">
        <v>1401</v>
      </c>
      <c r="Q827" t="s">
        <v>1400</v>
      </c>
      <c r="R827" t="s">
        <v>310</v>
      </c>
      <c r="S827">
        <v>9</v>
      </c>
      <c r="T827" t="s">
        <v>310</v>
      </c>
      <c r="U827">
        <v>9</v>
      </c>
      <c r="V827">
        <v>9</v>
      </c>
      <c r="W827">
        <v>0</v>
      </c>
      <c r="X827">
        <v>0</v>
      </c>
      <c r="Y827">
        <v>0</v>
      </c>
      <c r="Z827">
        <v>0</v>
      </c>
      <c r="AA827">
        <v>9</v>
      </c>
      <c r="AB827">
        <v>9</v>
      </c>
      <c r="AC827" t="s">
        <v>310</v>
      </c>
      <c r="AD827">
        <v>9</v>
      </c>
      <c r="AE827" t="s">
        <v>1416</v>
      </c>
      <c r="AF827">
        <v>0</v>
      </c>
      <c r="AG827" t="s">
        <v>310</v>
      </c>
      <c r="AH827">
        <f>SUM((MID(Dyno_Data[[#This Row],[Team]],4,5))+(Dyno_Data[[#This Row],[Match]]/100))</f>
        <v>3550.14</v>
      </c>
      <c r="AI827" s="76">
        <f>ROUND(SUM(IF(Dyno_Data[[#This Row],[AcqCenter]]&gt;0,Dyno_Data[[#This Row],[Time]]-SUMIFS(Dyno_Data[Time],Dyno_Data[Team],Dyno_Data[[#This Row],[Team]],Dyno_Data[RecordType],"StartMatch",Dyno_Data[Match],Dyno_Data[[#This Row],[Match]]),0)*86400),0)</f>
        <v>0</v>
      </c>
    </row>
    <row r="828" spans="1:35" x14ac:dyDescent="0.3">
      <c r="A828">
        <v>824</v>
      </c>
      <c r="B828" t="s">
        <v>364</v>
      </c>
      <c r="C828">
        <v>14</v>
      </c>
      <c r="D828" s="105">
        <v>45373.454532673612</v>
      </c>
      <c r="E828" t="s">
        <v>314</v>
      </c>
      <c r="F828" t="s">
        <v>309</v>
      </c>
      <c r="G828">
        <v>1</v>
      </c>
      <c r="H828" t="s">
        <v>310</v>
      </c>
      <c r="I828">
        <v>0</v>
      </c>
      <c r="J828">
        <v>0</v>
      </c>
      <c r="K828">
        <v>0</v>
      </c>
      <c r="L828" t="s">
        <v>310</v>
      </c>
      <c r="M828" t="s">
        <v>310</v>
      </c>
      <c r="N828">
        <v>0</v>
      </c>
      <c r="O828" t="s">
        <v>1389</v>
      </c>
      <c r="P828" t="s">
        <v>101</v>
      </c>
      <c r="Q828" t="s">
        <v>1400</v>
      </c>
      <c r="R828" t="s">
        <v>310</v>
      </c>
      <c r="S828">
        <v>9</v>
      </c>
      <c r="T828" t="s">
        <v>310</v>
      </c>
      <c r="U828">
        <v>9</v>
      </c>
      <c r="V828">
        <v>9</v>
      </c>
      <c r="W828">
        <v>0</v>
      </c>
      <c r="X828">
        <v>0</v>
      </c>
      <c r="Y828">
        <v>0</v>
      </c>
      <c r="Z828">
        <v>0</v>
      </c>
      <c r="AA828">
        <v>9</v>
      </c>
      <c r="AB828">
        <v>9</v>
      </c>
      <c r="AC828" t="s">
        <v>310</v>
      </c>
      <c r="AD828">
        <v>9</v>
      </c>
      <c r="AE828" t="s">
        <v>1412</v>
      </c>
      <c r="AF828">
        <v>10000000</v>
      </c>
      <c r="AG828" t="s">
        <v>310</v>
      </c>
      <c r="AH828">
        <f>SUM((MID(Dyno_Data[[#This Row],[Team]],4,5))+(Dyno_Data[[#This Row],[Match]]/100))</f>
        <v>2791.14</v>
      </c>
      <c r="AI828" s="76">
        <f>ROUND(SUM(IF(Dyno_Data[[#This Row],[AcqCenter]]&gt;0,Dyno_Data[[#This Row],[Time]]-SUMIFS(Dyno_Data[Time],Dyno_Data[Team],Dyno_Data[[#This Row],[Team]],Dyno_Data[RecordType],"StartMatch",Dyno_Data[Match],Dyno_Data[[#This Row],[Match]]),0)*86400),0)</f>
        <v>0</v>
      </c>
    </row>
    <row r="829" spans="1:35" x14ac:dyDescent="0.3">
      <c r="A829">
        <v>826</v>
      </c>
      <c r="B829" t="s">
        <v>1317</v>
      </c>
      <c r="C829">
        <v>14</v>
      </c>
      <c r="D829" s="105">
        <v>45373.454544444445</v>
      </c>
      <c r="E829" t="s">
        <v>314</v>
      </c>
      <c r="F829" t="s">
        <v>309</v>
      </c>
      <c r="G829">
        <v>1</v>
      </c>
      <c r="H829" t="s">
        <v>310</v>
      </c>
      <c r="I829">
        <v>0</v>
      </c>
      <c r="J829">
        <v>0</v>
      </c>
      <c r="K829">
        <v>0</v>
      </c>
      <c r="L829" t="s">
        <v>310</v>
      </c>
      <c r="M829" t="s">
        <v>310</v>
      </c>
      <c r="N829">
        <v>0</v>
      </c>
      <c r="O829" t="s">
        <v>1395</v>
      </c>
      <c r="P829" t="s">
        <v>1401</v>
      </c>
      <c r="Q829" t="s">
        <v>1400</v>
      </c>
      <c r="R829" t="s">
        <v>310</v>
      </c>
      <c r="S829">
        <v>9</v>
      </c>
      <c r="T829" t="s">
        <v>310</v>
      </c>
      <c r="U829">
        <v>9</v>
      </c>
      <c r="V829">
        <v>9</v>
      </c>
      <c r="W829">
        <v>0</v>
      </c>
      <c r="X829">
        <v>0</v>
      </c>
      <c r="Y829">
        <v>0</v>
      </c>
      <c r="Z829">
        <v>0</v>
      </c>
      <c r="AA829">
        <v>9</v>
      </c>
      <c r="AB829">
        <v>9</v>
      </c>
      <c r="AC829" t="s">
        <v>310</v>
      </c>
      <c r="AD829">
        <v>9</v>
      </c>
      <c r="AE829" t="s">
        <v>1414</v>
      </c>
      <c r="AF829">
        <v>0</v>
      </c>
      <c r="AG829" t="s">
        <v>310</v>
      </c>
      <c r="AH829">
        <f>SUM((MID(Dyno_Data[[#This Row],[Team]],4,5))+(Dyno_Data[[#This Row],[Match]]/100))</f>
        <v>296.14</v>
      </c>
      <c r="AI829" s="76">
        <f>ROUND(SUM(IF(Dyno_Data[[#This Row],[AcqCenter]]&gt;0,Dyno_Data[[#This Row],[Time]]-SUMIFS(Dyno_Data[Time],Dyno_Data[Team],Dyno_Data[[#This Row],[Team]],Dyno_Data[RecordType],"StartMatch",Dyno_Data[Match],Dyno_Data[[#This Row],[Match]]),0)*86400),0)</f>
        <v>0</v>
      </c>
    </row>
    <row r="830" spans="1:35" x14ac:dyDescent="0.3">
      <c r="A830">
        <v>828</v>
      </c>
      <c r="B830" t="s">
        <v>372</v>
      </c>
      <c r="C830">
        <v>14</v>
      </c>
      <c r="D830" s="105">
        <v>45373.454550150462</v>
      </c>
      <c r="E830" t="s">
        <v>314</v>
      </c>
      <c r="F830" t="s">
        <v>309</v>
      </c>
      <c r="G830">
        <v>1</v>
      </c>
      <c r="H830" t="s">
        <v>310</v>
      </c>
      <c r="I830">
        <v>0</v>
      </c>
      <c r="J830">
        <v>0</v>
      </c>
      <c r="K830">
        <v>0</v>
      </c>
      <c r="L830" t="s">
        <v>310</v>
      </c>
      <c r="M830" t="s">
        <v>310</v>
      </c>
      <c r="N830">
        <v>0</v>
      </c>
      <c r="O830" t="s">
        <v>319</v>
      </c>
      <c r="P830" t="s">
        <v>240</v>
      </c>
      <c r="Q830" t="s">
        <v>1400</v>
      </c>
      <c r="R830" t="s">
        <v>310</v>
      </c>
      <c r="S830">
        <v>9</v>
      </c>
      <c r="T830" t="s">
        <v>310</v>
      </c>
      <c r="U830">
        <v>9</v>
      </c>
      <c r="V830">
        <v>9</v>
      </c>
      <c r="W830">
        <v>0</v>
      </c>
      <c r="X830">
        <v>0</v>
      </c>
      <c r="Y830">
        <v>0</v>
      </c>
      <c r="Z830">
        <v>0</v>
      </c>
      <c r="AA830">
        <v>9</v>
      </c>
      <c r="AB830">
        <v>9</v>
      </c>
      <c r="AC830" t="s">
        <v>310</v>
      </c>
      <c r="AD830">
        <v>9</v>
      </c>
      <c r="AE830" t="s">
        <v>1417</v>
      </c>
      <c r="AF830">
        <v>0</v>
      </c>
      <c r="AG830" t="s">
        <v>310</v>
      </c>
      <c r="AH830">
        <f>SUM((MID(Dyno_Data[[#This Row],[Team]],4,5))+(Dyno_Data[[#This Row],[Match]]/100))</f>
        <v>7504.14</v>
      </c>
      <c r="AI830" s="76">
        <f>ROUND(SUM(IF(Dyno_Data[[#This Row],[AcqCenter]]&gt;0,Dyno_Data[[#This Row],[Time]]-SUMIFS(Dyno_Data[Time],Dyno_Data[Team],Dyno_Data[[#This Row],[Team]],Dyno_Data[RecordType],"StartMatch",Dyno_Data[Match],Dyno_Data[[#This Row],[Match]]),0)*86400),0)</f>
        <v>0</v>
      </c>
    </row>
    <row r="831" spans="1:35" x14ac:dyDescent="0.3">
      <c r="A831">
        <v>830</v>
      </c>
      <c r="B831" t="s">
        <v>1298</v>
      </c>
      <c r="C831">
        <v>14</v>
      </c>
      <c r="D831" s="105">
        <v>45373.454552314812</v>
      </c>
      <c r="E831" t="s">
        <v>314</v>
      </c>
      <c r="F831" t="s">
        <v>309</v>
      </c>
      <c r="G831">
        <v>1</v>
      </c>
      <c r="H831" t="s">
        <v>310</v>
      </c>
      <c r="I831">
        <v>0</v>
      </c>
      <c r="J831">
        <v>0</v>
      </c>
      <c r="K831">
        <v>0</v>
      </c>
      <c r="L831" t="s">
        <v>310</v>
      </c>
      <c r="M831" t="s">
        <v>310</v>
      </c>
      <c r="N831">
        <v>0</v>
      </c>
      <c r="O831" t="s">
        <v>1393</v>
      </c>
      <c r="P831" t="s">
        <v>240</v>
      </c>
      <c r="Q831" t="s">
        <v>1399</v>
      </c>
      <c r="R831" t="s">
        <v>310</v>
      </c>
      <c r="S831">
        <v>9</v>
      </c>
      <c r="T831" t="s">
        <v>310</v>
      </c>
      <c r="U831">
        <v>9</v>
      </c>
      <c r="V831">
        <v>9</v>
      </c>
      <c r="W831">
        <v>0</v>
      </c>
      <c r="X831">
        <v>0</v>
      </c>
      <c r="Y831">
        <v>0</v>
      </c>
      <c r="Z831">
        <v>0</v>
      </c>
      <c r="AA831">
        <v>9</v>
      </c>
      <c r="AB831">
        <v>9</v>
      </c>
      <c r="AC831" t="s">
        <v>310</v>
      </c>
      <c r="AD831">
        <v>9</v>
      </c>
      <c r="AE831" t="s">
        <v>1418</v>
      </c>
      <c r="AF831">
        <v>0</v>
      </c>
      <c r="AG831" t="s">
        <v>310</v>
      </c>
      <c r="AH831">
        <f>SUM((MID(Dyno_Data[[#This Row],[Team]],4,5))+(Dyno_Data[[#This Row],[Match]]/100))</f>
        <v>9624.14</v>
      </c>
      <c r="AI831" s="76">
        <f>ROUND(SUM(IF(Dyno_Data[[#This Row],[AcqCenter]]&gt;0,Dyno_Data[[#This Row],[Time]]-SUMIFS(Dyno_Data[Time],Dyno_Data[Team],Dyno_Data[[#This Row],[Team]],Dyno_Data[RecordType],"StartMatch",Dyno_Data[Match],Dyno_Data[[#This Row],[Match]]),0)*86400),0)</f>
        <v>0</v>
      </c>
    </row>
    <row r="832" spans="1:35" x14ac:dyDescent="0.3">
      <c r="A832">
        <v>831</v>
      </c>
      <c r="B832" t="s">
        <v>1317</v>
      </c>
      <c r="C832">
        <v>14</v>
      </c>
      <c r="D832" s="105">
        <v>45373.454615937502</v>
      </c>
      <c r="E832" t="s">
        <v>312</v>
      </c>
      <c r="F832" t="s">
        <v>1402</v>
      </c>
      <c r="G832">
        <v>0</v>
      </c>
      <c r="H832" t="s">
        <v>315</v>
      </c>
      <c r="I832">
        <v>0</v>
      </c>
      <c r="J832">
        <v>0</v>
      </c>
      <c r="K832">
        <v>0</v>
      </c>
      <c r="L832" t="s">
        <v>241</v>
      </c>
      <c r="M832" t="s">
        <v>1398</v>
      </c>
      <c r="N832">
        <v>0</v>
      </c>
      <c r="O832" t="s">
        <v>1395</v>
      </c>
      <c r="P832" t="s">
        <v>310</v>
      </c>
      <c r="Q832" t="s">
        <v>310</v>
      </c>
      <c r="R832" t="s">
        <v>310</v>
      </c>
      <c r="S832">
        <v>9</v>
      </c>
      <c r="T832" t="s">
        <v>310</v>
      </c>
      <c r="U832">
        <v>9</v>
      </c>
      <c r="V832">
        <v>9</v>
      </c>
      <c r="W832">
        <v>0</v>
      </c>
      <c r="X832">
        <v>0</v>
      </c>
      <c r="Y832">
        <v>0</v>
      </c>
      <c r="Z832">
        <v>0</v>
      </c>
      <c r="AA832">
        <v>9</v>
      </c>
      <c r="AB832">
        <v>9</v>
      </c>
      <c r="AC832" t="s">
        <v>310</v>
      </c>
      <c r="AD832">
        <v>9</v>
      </c>
      <c r="AE832" t="s">
        <v>1414</v>
      </c>
      <c r="AF832">
        <v>10000000</v>
      </c>
      <c r="AG832" t="s">
        <v>310</v>
      </c>
      <c r="AH832">
        <f>SUM((MID(Dyno_Data[[#This Row],[Team]],4,5))+(Dyno_Data[[#This Row],[Match]]/100))</f>
        <v>296.14</v>
      </c>
      <c r="AI832" s="76">
        <f>ROUND(SUM(IF(Dyno_Data[[#This Row],[AcqCenter]]&gt;0,Dyno_Data[[#This Row],[Time]]-SUMIFS(Dyno_Data[Time],Dyno_Data[Team],Dyno_Data[[#This Row],[Team]],Dyno_Data[RecordType],"StartMatch",Dyno_Data[Match],Dyno_Data[[#This Row],[Match]]),0)*86400),0)</f>
        <v>0</v>
      </c>
    </row>
    <row r="833" spans="1:35" x14ac:dyDescent="0.3">
      <c r="A833">
        <v>832</v>
      </c>
      <c r="B833" t="s">
        <v>364</v>
      </c>
      <c r="C833">
        <v>14</v>
      </c>
      <c r="D833" s="105">
        <v>45373.454646030092</v>
      </c>
      <c r="E833" t="s">
        <v>312</v>
      </c>
      <c r="F833" t="s">
        <v>1402</v>
      </c>
      <c r="G833">
        <v>0</v>
      </c>
      <c r="H833" t="s">
        <v>315</v>
      </c>
      <c r="I833">
        <v>0</v>
      </c>
      <c r="J833">
        <v>0</v>
      </c>
      <c r="K833">
        <v>0</v>
      </c>
      <c r="L833" t="s">
        <v>241</v>
      </c>
      <c r="M833" t="s">
        <v>1398</v>
      </c>
      <c r="N833">
        <v>0</v>
      </c>
      <c r="O833" t="s">
        <v>1389</v>
      </c>
      <c r="P833" t="s">
        <v>310</v>
      </c>
      <c r="Q833" t="s">
        <v>310</v>
      </c>
      <c r="R833" t="s">
        <v>310</v>
      </c>
      <c r="S833">
        <v>9</v>
      </c>
      <c r="T833" t="s">
        <v>310</v>
      </c>
      <c r="U833">
        <v>9</v>
      </c>
      <c r="V833">
        <v>9</v>
      </c>
      <c r="W833">
        <v>0</v>
      </c>
      <c r="X833">
        <v>0</v>
      </c>
      <c r="Y833">
        <v>0</v>
      </c>
      <c r="Z833">
        <v>0</v>
      </c>
      <c r="AA833">
        <v>9</v>
      </c>
      <c r="AB833">
        <v>9</v>
      </c>
      <c r="AC833" t="s">
        <v>310</v>
      </c>
      <c r="AD833">
        <v>9</v>
      </c>
      <c r="AE833" t="s">
        <v>1412</v>
      </c>
      <c r="AF833">
        <v>20000000</v>
      </c>
      <c r="AG833" t="s">
        <v>310</v>
      </c>
      <c r="AH833">
        <f>SUM((MID(Dyno_Data[[#This Row],[Team]],4,5))+(Dyno_Data[[#This Row],[Match]]/100))</f>
        <v>2791.14</v>
      </c>
      <c r="AI833" s="76">
        <f>ROUND(SUM(IF(Dyno_Data[[#This Row],[AcqCenter]]&gt;0,Dyno_Data[[#This Row],[Time]]-SUMIFS(Dyno_Data[Time],Dyno_Data[Team],Dyno_Data[[#This Row],[Team]],Dyno_Data[RecordType],"StartMatch",Dyno_Data[Match],Dyno_Data[[#This Row],[Match]]),0)*86400),0)</f>
        <v>0</v>
      </c>
    </row>
    <row r="834" spans="1:35" x14ac:dyDescent="0.3">
      <c r="A834">
        <v>833</v>
      </c>
      <c r="B834" t="s">
        <v>1298</v>
      </c>
      <c r="C834">
        <v>14</v>
      </c>
      <c r="D834" s="105">
        <v>45373.454652511573</v>
      </c>
      <c r="E834" t="s">
        <v>312</v>
      </c>
      <c r="F834" t="s">
        <v>1402</v>
      </c>
      <c r="G834">
        <v>0</v>
      </c>
      <c r="H834" t="s">
        <v>315</v>
      </c>
      <c r="I834">
        <v>0</v>
      </c>
      <c r="J834">
        <v>0</v>
      </c>
      <c r="K834">
        <v>0</v>
      </c>
      <c r="L834" t="s">
        <v>241</v>
      </c>
      <c r="M834" t="s">
        <v>1398</v>
      </c>
      <c r="N834">
        <v>1</v>
      </c>
      <c r="O834" t="s">
        <v>1393</v>
      </c>
      <c r="P834" t="s">
        <v>310</v>
      </c>
      <c r="Q834" t="s">
        <v>310</v>
      </c>
      <c r="R834" t="s">
        <v>310</v>
      </c>
      <c r="S834">
        <v>9</v>
      </c>
      <c r="T834" t="s">
        <v>310</v>
      </c>
      <c r="U834">
        <v>9</v>
      </c>
      <c r="V834">
        <v>9</v>
      </c>
      <c r="W834">
        <v>0</v>
      </c>
      <c r="X834">
        <v>0</v>
      </c>
      <c r="Y834">
        <v>0</v>
      </c>
      <c r="Z834">
        <v>0</v>
      </c>
      <c r="AA834">
        <v>9</v>
      </c>
      <c r="AB834">
        <v>9</v>
      </c>
      <c r="AC834" t="s">
        <v>310</v>
      </c>
      <c r="AD834">
        <v>9</v>
      </c>
      <c r="AE834" t="s">
        <v>1418</v>
      </c>
      <c r="AF834">
        <v>10000000</v>
      </c>
      <c r="AG834" t="s">
        <v>310</v>
      </c>
      <c r="AH834">
        <f>SUM((MID(Dyno_Data[[#This Row],[Team]],4,5))+(Dyno_Data[[#This Row],[Match]]/100))</f>
        <v>9624.14</v>
      </c>
      <c r="AI834" s="76">
        <f>ROUND(SUM(IF(Dyno_Data[[#This Row],[AcqCenter]]&gt;0,Dyno_Data[[#This Row],[Time]]-SUMIFS(Dyno_Data[Time],Dyno_Data[Team],Dyno_Data[[#This Row],[Team]],Dyno_Data[RecordType],"StartMatch",Dyno_Data[Match],Dyno_Data[[#This Row],[Match]]),0)*86400),0)</f>
        <v>0</v>
      </c>
    </row>
    <row r="835" spans="1:35" x14ac:dyDescent="0.3">
      <c r="A835">
        <v>834</v>
      </c>
      <c r="B835" t="s">
        <v>1289</v>
      </c>
      <c r="C835">
        <v>14</v>
      </c>
      <c r="D835" s="105">
        <v>45373.454682210649</v>
      </c>
      <c r="E835" t="s">
        <v>312</v>
      </c>
      <c r="F835" t="s">
        <v>1402</v>
      </c>
      <c r="G835">
        <v>0</v>
      </c>
      <c r="H835" t="s">
        <v>1397</v>
      </c>
      <c r="I835">
        <v>0</v>
      </c>
      <c r="J835">
        <v>0</v>
      </c>
      <c r="K835">
        <v>0</v>
      </c>
      <c r="L835" t="s">
        <v>240</v>
      </c>
      <c r="M835" t="s">
        <v>101</v>
      </c>
      <c r="N835">
        <v>1</v>
      </c>
      <c r="O835" t="s">
        <v>311</v>
      </c>
      <c r="P835" t="s">
        <v>310</v>
      </c>
      <c r="Q835" t="s">
        <v>310</v>
      </c>
      <c r="R835" t="s">
        <v>310</v>
      </c>
      <c r="S835">
        <v>9</v>
      </c>
      <c r="T835" t="s">
        <v>310</v>
      </c>
      <c r="U835">
        <v>9</v>
      </c>
      <c r="V835">
        <v>9</v>
      </c>
      <c r="W835">
        <v>0</v>
      </c>
      <c r="X835">
        <v>0</v>
      </c>
      <c r="Y835">
        <v>0</v>
      </c>
      <c r="Z835">
        <v>0</v>
      </c>
      <c r="AA835">
        <v>9</v>
      </c>
      <c r="AB835">
        <v>9</v>
      </c>
      <c r="AC835" t="s">
        <v>310</v>
      </c>
      <c r="AD835">
        <v>9</v>
      </c>
      <c r="AE835" t="s">
        <v>1413</v>
      </c>
      <c r="AF835">
        <v>0</v>
      </c>
      <c r="AG835" t="s">
        <v>310</v>
      </c>
      <c r="AH835">
        <f>SUM((MID(Dyno_Data[[#This Row],[Team]],4,5))+(Dyno_Data[[#This Row],[Match]]/100))</f>
        <v>6648.14</v>
      </c>
      <c r="AI835" s="76">
        <f>ROUND(SUM(IF(Dyno_Data[[#This Row],[AcqCenter]]&gt;0,Dyno_Data[[#This Row],[Time]]-SUMIFS(Dyno_Data[Time],Dyno_Data[Team],Dyno_Data[[#This Row],[Team]],Dyno_Data[RecordType],"StartMatch",Dyno_Data[Match],Dyno_Data[[#This Row],[Match]]),0)*86400),0)</f>
        <v>0</v>
      </c>
    </row>
    <row r="836" spans="1:35" x14ac:dyDescent="0.3">
      <c r="A836">
        <v>835</v>
      </c>
      <c r="B836" t="s">
        <v>372</v>
      </c>
      <c r="C836">
        <v>14</v>
      </c>
      <c r="D836" s="105">
        <v>45373.454687187499</v>
      </c>
      <c r="E836" t="s">
        <v>312</v>
      </c>
      <c r="F836" t="s">
        <v>1402</v>
      </c>
      <c r="G836">
        <v>0</v>
      </c>
      <c r="H836" t="s">
        <v>315</v>
      </c>
      <c r="I836">
        <v>0</v>
      </c>
      <c r="J836">
        <v>0</v>
      </c>
      <c r="K836">
        <v>0</v>
      </c>
      <c r="L836" t="s">
        <v>240</v>
      </c>
      <c r="M836" t="s">
        <v>1398</v>
      </c>
      <c r="N836">
        <v>0</v>
      </c>
      <c r="O836" t="s">
        <v>319</v>
      </c>
      <c r="P836" t="s">
        <v>310</v>
      </c>
      <c r="Q836" t="s">
        <v>310</v>
      </c>
      <c r="R836" t="s">
        <v>310</v>
      </c>
      <c r="S836">
        <v>9</v>
      </c>
      <c r="T836" t="s">
        <v>310</v>
      </c>
      <c r="U836">
        <v>9</v>
      </c>
      <c r="V836">
        <v>9</v>
      </c>
      <c r="W836">
        <v>0</v>
      </c>
      <c r="X836">
        <v>0</v>
      </c>
      <c r="Y836">
        <v>0</v>
      </c>
      <c r="Z836">
        <v>0</v>
      </c>
      <c r="AA836">
        <v>9</v>
      </c>
      <c r="AB836">
        <v>9</v>
      </c>
      <c r="AC836" t="s">
        <v>310</v>
      </c>
      <c r="AD836">
        <v>9</v>
      </c>
      <c r="AE836" t="s">
        <v>1417</v>
      </c>
      <c r="AF836">
        <v>10000000</v>
      </c>
      <c r="AG836" t="s">
        <v>310</v>
      </c>
      <c r="AH836">
        <f>SUM((MID(Dyno_Data[[#This Row],[Team]],4,5))+(Dyno_Data[[#This Row],[Match]]/100))</f>
        <v>7504.14</v>
      </c>
      <c r="AI836" s="76">
        <f>ROUND(SUM(IF(Dyno_Data[[#This Row],[AcqCenter]]&gt;0,Dyno_Data[[#This Row],[Time]]-SUMIFS(Dyno_Data[Time],Dyno_Data[Team],Dyno_Data[[#This Row],[Team]],Dyno_Data[RecordType],"StartMatch",Dyno_Data[Match],Dyno_Data[[#This Row],[Match]]),0)*86400),0)</f>
        <v>0</v>
      </c>
    </row>
    <row r="837" spans="1:35" x14ac:dyDescent="0.3">
      <c r="A837">
        <v>836</v>
      </c>
      <c r="B837" t="s">
        <v>1309</v>
      </c>
      <c r="C837">
        <v>14</v>
      </c>
      <c r="D837" s="105">
        <v>45373.454696527777</v>
      </c>
      <c r="E837" t="s">
        <v>312</v>
      </c>
      <c r="F837" t="s">
        <v>1402</v>
      </c>
      <c r="G837">
        <v>0</v>
      </c>
      <c r="H837" t="s">
        <v>315</v>
      </c>
      <c r="I837">
        <v>0</v>
      </c>
      <c r="J837">
        <v>0</v>
      </c>
      <c r="K837">
        <v>0</v>
      </c>
      <c r="L837" t="s">
        <v>242</v>
      </c>
      <c r="M837" t="s">
        <v>241</v>
      </c>
      <c r="N837">
        <v>1</v>
      </c>
      <c r="O837" t="s">
        <v>1391</v>
      </c>
      <c r="P837" t="s">
        <v>310</v>
      </c>
      <c r="Q837" t="s">
        <v>310</v>
      </c>
      <c r="R837" t="s">
        <v>310</v>
      </c>
      <c r="S837">
        <v>9</v>
      </c>
      <c r="T837" t="s">
        <v>310</v>
      </c>
      <c r="U837">
        <v>9</v>
      </c>
      <c r="V837">
        <v>9</v>
      </c>
      <c r="W837">
        <v>0</v>
      </c>
      <c r="X837">
        <v>0</v>
      </c>
      <c r="Y837">
        <v>0</v>
      </c>
      <c r="Z837">
        <v>0</v>
      </c>
      <c r="AA837">
        <v>9</v>
      </c>
      <c r="AB837">
        <v>9</v>
      </c>
      <c r="AC837" t="s">
        <v>310</v>
      </c>
      <c r="AD837">
        <v>9</v>
      </c>
      <c r="AE837" t="s">
        <v>1416</v>
      </c>
      <c r="AF837">
        <v>10000000</v>
      </c>
      <c r="AG837" t="s">
        <v>310</v>
      </c>
      <c r="AH837">
        <f>SUM((MID(Dyno_Data[[#This Row],[Team]],4,5))+(Dyno_Data[[#This Row],[Match]]/100))</f>
        <v>3550.14</v>
      </c>
      <c r="AI837" s="76">
        <f>ROUND(SUM(IF(Dyno_Data[[#This Row],[AcqCenter]]&gt;0,Dyno_Data[[#This Row],[Time]]-SUMIFS(Dyno_Data[Time],Dyno_Data[Team],Dyno_Data[[#This Row],[Team]],Dyno_Data[RecordType],"StartMatch",Dyno_Data[Match],Dyno_Data[[#This Row],[Match]]),0)*86400),0)</f>
        <v>0</v>
      </c>
    </row>
    <row r="838" spans="1:35" x14ac:dyDescent="0.3">
      <c r="A838">
        <v>837</v>
      </c>
      <c r="B838" t="s">
        <v>364</v>
      </c>
      <c r="C838">
        <v>14</v>
      </c>
      <c r="D838" s="105">
        <v>45373.454793900462</v>
      </c>
      <c r="E838" t="s">
        <v>312</v>
      </c>
      <c r="F838" t="s">
        <v>1402</v>
      </c>
      <c r="G838">
        <v>0</v>
      </c>
      <c r="H838" t="s">
        <v>315</v>
      </c>
      <c r="I838">
        <v>0</v>
      </c>
      <c r="J838">
        <v>0</v>
      </c>
      <c r="K838">
        <v>0</v>
      </c>
      <c r="L838" t="s">
        <v>241</v>
      </c>
      <c r="M838" t="s">
        <v>1398</v>
      </c>
      <c r="N838">
        <v>0</v>
      </c>
      <c r="O838" t="s">
        <v>1389</v>
      </c>
      <c r="P838" t="s">
        <v>310</v>
      </c>
      <c r="Q838" t="s">
        <v>310</v>
      </c>
      <c r="R838" t="s">
        <v>310</v>
      </c>
      <c r="S838">
        <v>9</v>
      </c>
      <c r="T838" t="s">
        <v>310</v>
      </c>
      <c r="U838">
        <v>9</v>
      </c>
      <c r="V838">
        <v>9</v>
      </c>
      <c r="W838">
        <v>0</v>
      </c>
      <c r="X838">
        <v>0</v>
      </c>
      <c r="Y838">
        <v>0</v>
      </c>
      <c r="Z838">
        <v>0</v>
      </c>
      <c r="AA838">
        <v>9</v>
      </c>
      <c r="AB838">
        <v>9</v>
      </c>
      <c r="AC838" t="s">
        <v>310</v>
      </c>
      <c r="AD838">
        <v>9</v>
      </c>
      <c r="AE838" t="s">
        <v>1412</v>
      </c>
      <c r="AF838">
        <v>30000000</v>
      </c>
      <c r="AG838" t="s">
        <v>310</v>
      </c>
      <c r="AH838">
        <f>SUM((MID(Dyno_Data[[#This Row],[Team]],4,5))+(Dyno_Data[[#This Row],[Match]]/100))</f>
        <v>2791.14</v>
      </c>
      <c r="AI838" s="76">
        <f>ROUND(SUM(IF(Dyno_Data[[#This Row],[AcqCenter]]&gt;0,Dyno_Data[[#This Row],[Time]]-SUMIFS(Dyno_Data[Time],Dyno_Data[Team],Dyno_Data[[#This Row],[Team]],Dyno_Data[RecordType],"StartMatch",Dyno_Data[Match],Dyno_Data[[#This Row],[Match]]),0)*86400),0)</f>
        <v>0</v>
      </c>
    </row>
    <row r="839" spans="1:35" x14ac:dyDescent="0.3">
      <c r="A839">
        <v>838</v>
      </c>
      <c r="B839" t="s">
        <v>372</v>
      </c>
      <c r="C839">
        <v>14</v>
      </c>
      <c r="D839" s="105">
        <v>45373.454895486109</v>
      </c>
      <c r="E839" t="s">
        <v>312</v>
      </c>
      <c r="F839" t="s">
        <v>1402</v>
      </c>
      <c r="G839">
        <v>0</v>
      </c>
      <c r="H839" t="s">
        <v>315</v>
      </c>
      <c r="I839">
        <v>0</v>
      </c>
      <c r="J839">
        <v>0</v>
      </c>
      <c r="K839">
        <v>0</v>
      </c>
      <c r="L839" t="s">
        <v>241</v>
      </c>
      <c r="M839" t="s">
        <v>101</v>
      </c>
      <c r="N839">
        <v>0</v>
      </c>
      <c r="O839" t="s">
        <v>319</v>
      </c>
      <c r="P839" t="s">
        <v>310</v>
      </c>
      <c r="Q839" t="s">
        <v>310</v>
      </c>
      <c r="R839" t="s">
        <v>310</v>
      </c>
      <c r="S839">
        <v>9</v>
      </c>
      <c r="T839" t="s">
        <v>310</v>
      </c>
      <c r="U839">
        <v>9</v>
      </c>
      <c r="V839">
        <v>9</v>
      </c>
      <c r="W839">
        <v>0</v>
      </c>
      <c r="X839">
        <v>0</v>
      </c>
      <c r="Y839">
        <v>0</v>
      </c>
      <c r="Z839">
        <v>0</v>
      </c>
      <c r="AA839">
        <v>9</v>
      </c>
      <c r="AB839">
        <v>9</v>
      </c>
      <c r="AC839" t="s">
        <v>310</v>
      </c>
      <c r="AD839">
        <v>9</v>
      </c>
      <c r="AE839" t="s">
        <v>1417</v>
      </c>
      <c r="AF839">
        <v>20000000</v>
      </c>
      <c r="AG839" t="s">
        <v>310</v>
      </c>
      <c r="AH839">
        <f>SUM((MID(Dyno_Data[[#This Row],[Team]],4,5))+(Dyno_Data[[#This Row],[Match]]/100))</f>
        <v>7504.14</v>
      </c>
      <c r="AI839" s="76">
        <f>ROUND(SUM(IF(Dyno_Data[[#This Row],[AcqCenter]]&gt;0,Dyno_Data[[#This Row],[Time]]-SUMIFS(Dyno_Data[Time],Dyno_Data[Team],Dyno_Data[[#This Row],[Team]],Dyno_Data[RecordType],"StartMatch",Dyno_Data[Match],Dyno_Data[[#This Row],[Match]]),0)*86400),0)</f>
        <v>0</v>
      </c>
    </row>
    <row r="840" spans="1:35" x14ac:dyDescent="0.3">
      <c r="A840">
        <v>839</v>
      </c>
      <c r="B840" t="s">
        <v>1298</v>
      </c>
      <c r="C840">
        <v>14</v>
      </c>
      <c r="D840" s="105">
        <v>45373.454961342592</v>
      </c>
      <c r="E840" t="s">
        <v>1403</v>
      </c>
      <c r="F840" t="s">
        <v>1402</v>
      </c>
      <c r="G840">
        <v>0</v>
      </c>
      <c r="H840" t="s">
        <v>310</v>
      </c>
      <c r="I840">
        <v>0</v>
      </c>
      <c r="J840">
        <v>0</v>
      </c>
      <c r="K840">
        <v>0</v>
      </c>
      <c r="L840" t="s">
        <v>310</v>
      </c>
      <c r="M840" t="s">
        <v>310</v>
      </c>
      <c r="N840">
        <v>0</v>
      </c>
      <c r="O840" t="s">
        <v>1393</v>
      </c>
      <c r="P840" t="s">
        <v>310</v>
      </c>
      <c r="Q840" t="s">
        <v>310</v>
      </c>
      <c r="R840" t="s">
        <v>310</v>
      </c>
      <c r="S840">
        <v>9</v>
      </c>
      <c r="T840" t="s">
        <v>310</v>
      </c>
      <c r="U840">
        <v>9</v>
      </c>
      <c r="V840">
        <v>9</v>
      </c>
      <c r="W840">
        <v>0</v>
      </c>
      <c r="X840">
        <v>0</v>
      </c>
      <c r="Y840">
        <v>0</v>
      </c>
      <c r="Z840">
        <v>0</v>
      </c>
      <c r="AA840">
        <v>9</v>
      </c>
      <c r="AB840">
        <v>9</v>
      </c>
      <c r="AC840" t="s">
        <v>310</v>
      </c>
      <c r="AD840">
        <v>9</v>
      </c>
      <c r="AE840" t="s">
        <v>1418</v>
      </c>
      <c r="AF840">
        <v>20000000</v>
      </c>
      <c r="AG840" t="s">
        <v>249</v>
      </c>
      <c r="AH840">
        <f>SUM((MID(Dyno_Data[[#This Row],[Team]],4,5))+(Dyno_Data[[#This Row],[Match]]/100))</f>
        <v>9624.14</v>
      </c>
      <c r="AI840" s="76">
        <f>ROUND(SUM(IF(Dyno_Data[[#This Row],[AcqCenter]]&gt;0,Dyno_Data[[#This Row],[Time]]-SUMIFS(Dyno_Data[Time],Dyno_Data[Team],Dyno_Data[[#This Row],[Team]],Dyno_Data[RecordType],"StartMatch",Dyno_Data[Match],Dyno_Data[[#This Row],[Match]]),0)*86400),0)</f>
        <v>0</v>
      </c>
    </row>
    <row r="841" spans="1:35" x14ac:dyDescent="0.3">
      <c r="A841">
        <v>840</v>
      </c>
      <c r="B841" t="s">
        <v>364</v>
      </c>
      <c r="C841">
        <v>14</v>
      </c>
      <c r="D841" s="105">
        <v>45373.455053206017</v>
      </c>
      <c r="E841" t="s">
        <v>312</v>
      </c>
      <c r="F841" t="s">
        <v>1402</v>
      </c>
      <c r="G841">
        <v>0</v>
      </c>
      <c r="H841" t="s">
        <v>315</v>
      </c>
      <c r="I841">
        <v>0</v>
      </c>
      <c r="J841">
        <v>0</v>
      </c>
      <c r="K841">
        <v>0</v>
      </c>
      <c r="L841" t="s">
        <v>241</v>
      </c>
      <c r="M841" t="s">
        <v>1398</v>
      </c>
      <c r="N841">
        <v>0</v>
      </c>
      <c r="O841" t="s">
        <v>1389</v>
      </c>
      <c r="P841" t="s">
        <v>310</v>
      </c>
      <c r="Q841" t="s">
        <v>310</v>
      </c>
      <c r="R841" t="s">
        <v>310</v>
      </c>
      <c r="S841">
        <v>9</v>
      </c>
      <c r="T841" t="s">
        <v>310</v>
      </c>
      <c r="U841">
        <v>9</v>
      </c>
      <c r="V841">
        <v>9</v>
      </c>
      <c r="W841">
        <v>0</v>
      </c>
      <c r="X841">
        <v>0</v>
      </c>
      <c r="Y841">
        <v>0</v>
      </c>
      <c r="Z841">
        <v>0</v>
      </c>
      <c r="AA841">
        <v>9</v>
      </c>
      <c r="AB841">
        <v>9</v>
      </c>
      <c r="AC841" t="s">
        <v>310</v>
      </c>
      <c r="AD841">
        <v>9</v>
      </c>
      <c r="AE841" t="s">
        <v>1412</v>
      </c>
      <c r="AF841">
        <v>40000000</v>
      </c>
      <c r="AG841" t="s">
        <v>310</v>
      </c>
      <c r="AH841">
        <f>SUM((MID(Dyno_Data[[#This Row],[Team]],4,5))+(Dyno_Data[[#This Row],[Match]]/100))</f>
        <v>2791.14</v>
      </c>
      <c r="AI841" s="76">
        <f>ROUND(SUM(IF(Dyno_Data[[#This Row],[AcqCenter]]&gt;0,Dyno_Data[[#This Row],[Time]]-SUMIFS(Dyno_Data[Time],Dyno_Data[Team],Dyno_Data[[#This Row],[Team]],Dyno_Data[RecordType],"StartMatch",Dyno_Data[Match],Dyno_Data[[#This Row],[Match]]),0)*86400),0)</f>
        <v>0</v>
      </c>
    </row>
    <row r="842" spans="1:35" x14ac:dyDescent="0.3">
      <c r="A842">
        <v>841</v>
      </c>
      <c r="B842" t="s">
        <v>1317</v>
      </c>
      <c r="C842">
        <v>14</v>
      </c>
      <c r="D842" s="105">
        <v>45373.455126238427</v>
      </c>
      <c r="E842" t="s">
        <v>1403</v>
      </c>
      <c r="F842" t="s">
        <v>1402</v>
      </c>
      <c r="G842">
        <v>0</v>
      </c>
      <c r="H842" t="s">
        <v>310</v>
      </c>
      <c r="I842">
        <v>0</v>
      </c>
      <c r="J842">
        <v>0</v>
      </c>
      <c r="K842">
        <v>0</v>
      </c>
      <c r="L842" t="s">
        <v>310</v>
      </c>
      <c r="M842" t="s">
        <v>310</v>
      </c>
      <c r="N842">
        <v>0</v>
      </c>
      <c r="O842" t="s">
        <v>1395</v>
      </c>
      <c r="P842" t="s">
        <v>310</v>
      </c>
      <c r="Q842" t="s">
        <v>310</v>
      </c>
      <c r="R842" t="s">
        <v>310</v>
      </c>
      <c r="S842">
        <v>9</v>
      </c>
      <c r="T842" t="s">
        <v>310</v>
      </c>
      <c r="U842">
        <v>9</v>
      </c>
      <c r="V842">
        <v>9</v>
      </c>
      <c r="W842">
        <v>0</v>
      </c>
      <c r="X842">
        <v>0</v>
      </c>
      <c r="Y842">
        <v>0</v>
      </c>
      <c r="Z842">
        <v>0</v>
      </c>
      <c r="AA842">
        <v>9</v>
      </c>
      <c r="AB842">
        <v>9</v>
      </c>
      <c r="AC842" t="s">
        <v>310</v>
      </c>
      <c r="AD842">
        <v>9</v>
      </c>
      <c r="AE842" t="s">
        <v>1414</v>
      </c>
      <c r="AF842">
        <v>40000000</v>
      </c>
      <c r="AG842" t="s">
        <v>249</v>
      </c>
      <c r="AH842">
        <f>SUM((MID(Dyno_Data[[#This Row],[Team]],4,5))+(Dyno_Data[[#This Row],[Match]]/100))</f>
        <v>296.14</v>
      </c>
      <c r="AI842" s="76">
        <f>ROUND(SUM(IF(Dyno_Data[[#This Row],[AcqCenter]]&gt;0,Dyno_Data[[#This Row],[Time]]-SUMIFS(Dyno_Data[Time],Dyno_Data[Team],Dyno_Data[[#This Row],[Team]],Dyno_Data[RecordType],"StartMatch",Dyno_Data[Match],Dyno_Data[[#This Row],[Match]]),0)*86400),0)</f>
        <v>0</v>
      </c>
    </row>
    <row r="843" spans="1:35" x14ac:dyDescent="0.3">
      <c r="A843">
        <v>842</v>
      </c>
      <c r="B843" t="s">
        <v>1309</v>
      </c>
      <c r="C843">
        <v>14</v>
      </c>
      <c r="D843" s="105">
        <v>45373.455147337962</v>
      </c>
      <c r="E843" t="s">
        <v>1403</v>
      </c>
      <c r="F843" t="s">
        <v>1402</v>
      </c>
      <c r="G843">
        <v>0</v>
      </c>
      <c r="H843" t="s">
        <v>310</v>
      </c>
      <c r="I843">
        <v>0</v>
      </c>
      <c r="J843">
        <v>0</v>
      </c>
      <c r="K843">
        <v>0</v>
      </c>
      <c r="L843" t="s">
        <v>310</v>
      </c>
      <c r="M843" t="s">
        <v>310</v>
      </c>
      <c r="N843">
        <v>0</v>
      </c>
      <c r="O843" t="s">
        <v>1391</v>
      </c>
      <c r="P843" t="s">
        <v>310</v>
      </c>
      <c r="Q843" t="s">
        <v>310</v>
      </c>
      <c r="R843" t="s">
        <v>310</v>
      </c>
      <c r="S843">
        <v>9</v>
      </c>
      <c r="T843" t="s">
        <v>310</v>
      </c>
      <c r="U843">
        <v>9</v>
      </c>
      <c r="V843">
        <v>9</v>
      </c>
      <c r="W843">
        <v>0</v>
      </c>
      <c r="X843">
        <v>0</v>
      </c>
      <c r="Y843">
        <v>0</v>
      </c>
      <c r="Z843">
        <v>0</v>
      </c>
      <c r="AA843">
        <v>9</v>
      </c>
      <c r="AB843">
        <v>9</v>
      </c>
      <c r="AC843" t="s">
        <v>310</v>
      </c>
      <c r="AD843">
        <v>9</v>
      </c>
      <c r="AE843" t="s">
        <v>1416</v>
      </c>
      <c r="AF843">
        <v>40000000</v>
      </c>
      <c r="AG843" t="s">
        <v>252</v>
      </c>
      <c r="AH843">
        <f>SUM((MID(Dyno_Data[[#This Row],[Team]],4,5))+(Dyno_Data[[#This Row],[Match]]/100))</f>
        <v>3550.14</v>
      </c>
      <c r="AI843" s="76">
        <f>ROUND(SUM(IF(Dyno_Data[[#This Row],[AcqCenter]]&gt;0,Dyno_Data[[#This Row],[Time]]-SUMIFS(Dyno_Data[Time],Dyno_Data[Team],Dyno_Data[[#This Row],[Team]],Dyno_Data[RecordType],"StartMatch",Dyno_Data[Match],Dyno_Data[[#This Row],[Match]]),0)*86400),0)</f>
        <v>0</v>
      </c>
    </row>
    <row r="844" spans="1:35" x14ac:dyDescent="0.3">
      <c r="A844">
        <v>843</v>
      </c>
      <c r="B844" t="s">
        <v>372</v>
      </c>
      <c r="C844">
        <v>14</v>
      </c>
      <c r="D844" s="105">
        <v>45373.455213078705</v>
      </c>
      <c r="E844" t="s">
        <v>312</v>
      </c>
      <c r="F844" t="s">
        <v>1402</v>
      </c>
      <c r="G844">
        <v>0</v>
      </c>
      <c r="H844" t="s">
        <v>315</v>
      </c>
      <c r="I844">
        <v>0</v>
      </c>
      <c r="J844">
        <v>0</v>
      </c>
      <c r="K844">
        <v>0</v>
      </c>
      <c r="L844" t="s">
        <v>241</v>
      </c>
      <c r="M844" t="s">
        <v>101</v>
      </c>
      <c r="N844">
        <v>0</v>
      </c>
      <c r="O844" t="s">
        <v>319</v>
      </c>
      <c r="P844" t="s">
        <v>310</v>
      </c>
      <c r="Q844" t="s">
        <v>310</v>
      </c>
      <c r="R844" t="s">
        <v>310</v>
      </c>
      <c r="S844">
        <v>9</v>
      </c>
      <c r="T844" t="s">
        <v>310</v>
      </c>
      <c r="U844">
        <v>9</v>
      </c>
      <c r="V844">
        <v>9</v>
      </c>
      <c r="W844">
        <v>0</v>
      </c>
      <c r="X844">
        <v>0</v>
      </c>
      <c r="Y844">
        <v>0</v>
      </c>
      <c r="Z844">
        <v>0</v>
      </c>
      <c r="AA844">
        <v>9</v>
      </c>
      <c r="AB844">
        <v>9</v>
      </c>
      <c r="AC844" t="s">
        <v>310</v>
      </c>
      <c r="AD844">
        <v>9</v>
      </c>
      <c r="AE844" t="s">
        <v>1417</v>
      </c>
      <c r="AF844">
        <v>30000000</v>
      </c>
      <c r="AG844" t="s">
        <v>310</v>
      </c>
      <c r="AH844">
        <f>SUM((MID(Dyno_Data[[#This Row],[Team]],4,5))+(Dyno_Data[[#This Row],[Match]]/100))</f>
        <v>7504.14</v>
      </c>
      <c r="AI844" s="76">
        <f>ROUND(SUM(IF(Dyno_Data[[#This Row],[AcqCenter]]&gt;0,Dyno_Data[[#This Row],[Time]]-SUMIFS(Dyno_Data[Time],Dyno_Data[Team],Dyno_Data[[#This Row],[Team]],Dyno_Data[RecordType],"StartMatch",Dyno_Data[Match],Dyno_Data[[#This Row],[Match]]),0)*86400),0)</f>
        <v>0</v>
      </c>
    </row>
    <row r="845" spans="1:35" x14ac:dyDescent="0.3">
      <c r="A845">
        <v>844</v>
      </c>
      <c r="B845" t="s">
        <v>364</v>
      </c>
      <c r="C845">
        <v>14</v>
      </c>
      <c r="D845" s="105">
        <v>45373.455251006948</v>
      </c>
      <c r="E845" t="s">
        <v>312</v>
      </c>
      <c r="F845" t="s">
        <v>1402</v>
      </c>
      <c r="G845">
        <v>0</v>
      </c>
      <c r="H845" t="s">
        <v>315</v>
      </c>
      <c r="I845">
        <v>0</v>
      </c>
      <c r="J845">
        <v>0</v>
      </c>
      <c r="K845">
        <v>0</v>
      </c>
      <c r="L845" t="s">
        <v>241</v>
      </c>
      <c r="M845" t="s">
        <v>1398</v>
      </c>
      <c r="N845">
        <v>0</v>
      </c>
      <c r="O845" t="s">
        <v>1389</v>
      </c>
      <c r="P845" t="s">
        <v>310</v>
      </c>
      <c r="Q845" t="s">
        <v>310</v>
      </c>
      <c r="R845" t="s">
        <v>310</v>
      </c>
      <c r="S845">
        <v>9</v>
      </c>
      <c r="T845" t="s">
        <v>310</v>
      </c>
      <c r="U845">
        <v>9</v>
      </c>
      <c r="V845">
        <v>9</v>
      </c>
      <c r="W845">
        <v>0</v>
      </c>
      <c r="X845">
        <v>0</v>
      </c>
      <c r="Y845">
        <v>0</v>
      </c>
      <c r="Z845">
        <v>0</v>
      </c>
      <c r="AA845">
        <v>9</v>
      </c>
      <c r="AB845">
        <v>9</v>
      </c>
      <c r="AC845" t="s">
        <v>310</v>
      </c>
      <c r="AD845">
        <v>9</v>
      </c>
      <c r="AE845" t="s">
        <v>1412</v>
      </c>
      <c r="AF845">
        <v>50000000</v>
      </c>
      <c r="AG845" t="s">
        <v>310</v>
      </c>
      <c r="AH845">
        <f>SUM((MID(Dyno_Data[[#This Row],[Team]],4,5))+(Dyno_Data[[#This Row],[Match]]/100))</f>
        <v>2791.14</v>
      </c>
      <c r="AI845" s="76">
        <f>ROUND(SUM(IF(Dyno_Data[[#This Row],[AcqCenter]]&gt;0,Dyno_Data[[#This Row],[Time]]-SUMIFS(Dyno_Data[Time],Dyno_Data[Team],Dyno_Data[[#This Row],[Team]],Dyno_Data[RecordType],"StartMatch",Dyno_Data[Match],Dyno_Data[[#This Row],[Match]]),0)*86400),0)</f>
        <v>0</v>
      </c>
    </row>
    <row r="846" spans="1:35" x14ac:dyDescent="0.3">
      <c r="A846">
        <v>845</v>
      </c>
      <c r="B846" t="s">
        <v>372</v>
      </c>
      <c r="C846">
        <v>14</v>
      </c>
      <c r="D846" s="105">
        <v>45373.455343784721</v>
      </c>
      <c r="E846" t="s">
        <v>312</v>
      </c>
      <c r="F846" t="s">
        <v>1402</v>
      </c>
      <c r="G846">
        <v>0</v>
      </c>
      <c r="H846" t="s">
        <v>315</v>
      </c>
      <c r="I846">
        <v>0</v>
      </c>
      <c r="J846">
        <v>0</v>
      </c>
      <c r="K846">
        <v>0</v>
      </c>
      <c r="L846" t="s">
        <v>241</v>
      </c>
      <c r="M846" t="s">
        <v>101</v>
      </c>
      <c r="N846">
        <v>0</v>
      </c>
      <c r="O846" t="s">
        <v>319</v>
      </c>
      <c r="P846" t="s">
        <v>310</v>
      </c>
      <c r="Q846" t="s">
        <v>310</v>
      </c>
      <c r="R846" t="s">
        <v>310</v>
      </c>
      <c r="S846">
        <v>9</v>
      </c>
      <c r="T846" t="s">
        <v>310</v>
      </c>
      <c r="U846">
        <v>9</v>
      </c>
      <c r="V846">
        <v>9</v>
      </c>
      <c r="W846">
        <v>0</v>
      </c>
      <c r="X846">
        <v>0</v>
      </c>
      <c r="Y846">
        <v>0</v>
      </c>
      <c r="Z846">
        <v>0</v>
      </c>
      <c r="AA846">
        <v>9</v>
      </c>
      <c r="AB846">
        <v>9</v>
      </c>
      <c r="AC846" t="s">
        <v>310</v>
      </c>
      <c r="AD846">
        <v>9</v>
      </c>
      <c r="AE846" t="s">
        <v>1417</v>
      </c>
      <c r="AF846">
        <v>40000000</v>
      </c>
      <c r="AG846" t="s">
        <v>310</v>
      </c>
      <c r="AH846">
        <f>SUM((MID(Dyno_Data[[#This Row],[Team]],4,5))+(Dyno_Data[[#This Row],[Match]]/100))</f>
        <v>7504.14</v>
      </c>
      <c r="AI846" s="76">
        <f>ROUND(SUM(IF(Dyno_Data[[#This Row],[AcqCenter]]&gt;0,Dyno_Data[[#This Row],[Time]]-SUMIFS(Dyno_Data[Time],Dyno_Data[Team],Dyno_Data[[#This Row],[Team]],Dyno_Data[RecordType],"StartMatch",Dyno_Data[Match],Dyno_Data[[#This Row],[Match]]),0)*86400),0)</f>
        <v>0</v>
      </c>
    </row>
    <row r="847" spans="1:35" x14ac:dyDescent="0.3">
      <c r="A847">
        <v>846</v>
      </c>
      <c r="B847" t="s">
        <v>372</v>
      </c>
      <c r="C847">
        <v>14</v>
      </c>
      <c r="D847" s="105">
        <v>45373.455374039353</v>
      </c>
      <c r="E847" t="s">
        <v>312</v>
      </c>
      <c r="F847" t="s">
        <v>1402</v>
      </c>
      <c r="G847">
        <v>0</v>
      </c>
      <c r="H847" t="s">
        <v>315</v>
      </c>
      <c r="I847">
        <v>0</v>
      </c>
      <c r="J847">
        <v>0</v>
      </c>
      <c r="K847">
        <v>0</v>
      </c>
      <c r="L847" t="s">
        <v>241</v>
      </c>
      <c r="M847" t="s">
        <v>1398</v>
      </c>
      <c r="N847">
        <v>0</v>
      </c>
      <c r="O847" t="s">
        <v>319</v>
      </c>
      <c r="P847" t="s">
        <v>310</v>
      </c>
      <c r="Q847" t="s">
        <v>310</v>
      </c>
      <c r="R847" t="s">
        <v>310</v>
      </c>
      <c r="S847">
        <v>9</v>
      </c>
      <c r="T847" t="s">
        <v>310</v>
      </c>
      <c r="U847">
        <v>9</v>
      </c>
      <c r="V847">
        <v>9</v>
      </c>
      <c r="W847">
        <v>0</v>
      </c>
      <c r="X847">
        <v>0</v>
      </c>
      <c r="Y847">
        <v>0</v>
      </c>
      <c r="Z847">
        <v>0</v>
      </c>
      <c r="AA847">
        <v>9</v>
      </c>
      <c r="AB847">
        <v>9</v>
      </c>
      <c r="AC847" t="s">
        <v>310</v>
      </c>
      <c r="AD847">
        <v>9</v>
      </c>
      <c r="AE847" t="s">
        <v>1417</v>
      </c>
      <c r="AF847">
        <v>50000000</v>
      </c>
      <c r="AG847" t="s">
        <v>310</v>
      </c>
      <c r="AH847">
        <f>SUM((MID(Dyno_Data[[#This Row],[Team]],4,5))+(Dyno_Data[[#This Row],[Match]]/100))</f>
        <v>7504.14</v>
      </c>
      <c r="AI847" s="76">
        <f>ROUND(SUM(IF(Dyno_Data[[#This Row],[AcqCenter]]&gt;0,Dyno_Data[[#This Row],[Time]]-SUMIFS(Dyno_Data[Time],Dyno_Data[Team],Dyno_Data[[#This Row],[Team]],Dyno_Data[RecordType],"StartMatch",Dyno_Data[Match],Dyno_Data[[#This Row],[Match]]),0)*86400),0)</f>
        <v>0</v>
      </c>
    </row>
    <row r="848" spans="1:35" x14ac:dyDescent="0.3">
      <c r="A848">
        <v>847</v>
      </c>
      <c r="B848" t="s">
        <v>364</v>
      </c>
      <c r="C848">
        <v>14</v>
      </c>
      <c r="D848" s="105">
        <v>45373.455508761574</v>
      </c>
      <c r="E848" t="s">
        <v>312</v>
      </c>
      <c r="F848" t="s">
        <v>1402</v>
      </c>
      <c r="G848">
        <v>0</v>
      </c>
      <c r="H848" t="s">
        <v>315</v>
      </c>
      <c r="I848">
        <v>0</v>
      </c>
      <c r="J848">
        <v>0</v>
      </c>
      <c r="K848">
        <v>0</v>
      </c>
      <c r="L848" t="s">
        <v>240</v>
      </c>
      <c r="M848" t="s">
        <v>1398</v>
      </c>
      <c r="N848">
        <v>0</v>
      </c>
      <c r="O848" t="s">
        <v>1389</v>
      </c>
      <c r="P848" t="s">
        <v>310</v>
      </c>
      <c r="Q848" t="s">
        <v>310</v>
      </c>
      <c r="R848" t="s">
        <v>310</v>
      </c>
      <c r="S848">
        <v>9</v>
      </c>
      <c r="T848" t="s">
        <v>310</v>
      </c>
      <c r="U848">
        <v>9</v>
      </c>
      <c r="V848">
        <v>9</v>
      </c>
      <c r="W848">
        <v>0</v>
      </c>
      <c r="X848">
        <v>0</v>
      </c>
      <c r="Y848">
        <v>0</v>
      </c>
      <c r="Z848">
        <v>0</v>
      </c>
      <c r="AA848">
        <v>9</v>
      </c>
      <c r="AB848">
        <v>9</v>
      </c>
      <c r="AC848" t="s">
        <v>310</v>
      </c>
      <c r="AD848">
        <v>9</v>
      </c>
      <c r="AE848" t="s">
        <v>1412</v>
      </c>
      <c r="AF848">
        <v>60000000</v>
      </c>
      <c r="AG848" t="s">
        <v>310</v>
      </c>
      <c r="AH848">
        <f>SUM((MID(Dyno_Data[[#This Row],[Team]],4,5))+(Dyno_Data[[#This Row],[Match]]/100))</f>
        <v>2791.14</v>
      </c>
      <c r="AI848" s="76">
        <f>ROUND(SUM(IF(Dyno_Data[[#This Row],[AcqCenter]]&gt;0,Dyno_Data[[#This Row],[Time]]-SUMIFS(Dyno_Data[Time],Dyno_Data[Team],Dyno_Data[[#This Row],[Team]],Dyno_Data[RecordType],"StartMatch",Dyno_Data[Match],Dyno_Data[[#This Row],[Match]]),0)*86400),0)</f>
        <v>0</v>
      </c>
    </row>
    <row r="849" spans="1:35" x14ac:dyDescent="0.3">
      <c r="A849">
        <v>848</v>
      </c>
      <c r="B849" t="s">
        <v>372</v>
      </c>
      <c r="C849">
        <v>14</v>
      </c>
      <c r="D849" s="105">
        <v>45373.455630555552</v>
      </c>
      <c r="E849" t="s">
        <v>312</v>
      </c>
      <c r="F849" t="s">
        <v>1402</v>
      </c>
      <c r="G849">
        <v>0</v>
      </c>
      <c r="H849" t="s">
        <v>315</v>
      </c>
      <c r="I849">
        <v>0</v>
      </c>
      <c r="J849">
        <v>0</v>
      </c>
      <c r="K849">
        <v>0</v>
      </c>
      <c r="L849" t="s">
        <v>241</v>
      </c>
      <c r="M849" t="s">
        <v>1398</v>
      </c>
      <c r="N849">
        <v>0</v>
      </c>
      <c r="O849" t="s">
        <v>319</v>
      </c>
      <c r="P849" t="s">
        <v>310</v>
      </c>
      <c r="Q849" t="s">
        <v>310</v>
      </c>
      <c r="R849" t="s">
        <v>310</v>
      </c>
      <c r="S849">
        <v>9</v>
      </c>
      <c r="T849" t="s">
        <v>310</v>
      </c>
      <c r="U849">
        <v>9</v>
      </c>
      <c r="V849">
        <v>9</v>
      </c>
      <c r="W849">
        <v>0</v>
      </c>
      <c r="X849">
        <v>0</v>
      </c>
      <c r="Y849">
        <v>0</v>
      </c>
      <c r="Z849">
        <v>0</v>
      </c>
      <c r="AA849">
        <v>9</v>
      </c>
      <c r="AB849">
        <v>9</v>
      </c>
      <c r="AC849" t="s">
        <v>310</v>
      </c>
      <c r="AD849">
        <v>9</v>
      </c>
      <c r="AE849" t="s">
        <v>1417</v>
      </c>
      <c r="AF849">
        <v>60000000</v>
      </c>
      <c r="AG849" t="s">
        <v>310</v>
      </c>
      <c r="AH849">
        <f>SUM((MID(Dyno_Data[[#This Row],[Team]],4,5))+(Dyno_Data[[#This Row],[Match]]/100))</f>
        <v>7504.14</v>
      </c>
      <c r="AI849" s="76">
        <f>ROUND(SUM(IF(Dyno_Data[[#This Row],[AcqCenter]]&gt;0,Dyno_Data[[#This Row],[Time]]-SUMIFS(Dyno_Data[Time],Dyno_Data[Team],Dyno_Data[[#This Row],[Team]],Dyno_Data[RecordType],"StartMatch",Dyno_Data[Match],Dyno_Data[[#This Row],[Match]]),0)*86400),0)</f>
        <v>0</v>
      </c>
    </row>
    <row r="850" spans="1:35" x14ac:dyDescent="0.3">
      <c r="A850">
        <v>849</v>
      </c>
      <c r="B850" t="s">
        <v>1317</v>
      </c>
      <c r="C850">
        <v>14</v>
      </c>
      <c r="D850" s="105">
        <v>45373.455727395834</v>
      </c>
      <c r="E850" t="s">
        <v>312</v>
      </c>
      <c r="F850" t="s">
        <v>1402</v>
      </c>
      <c r="G850">
        <v>0</v>
      </c>
      <c r="H850" t="s">
        <v>315</v>
      </c>
      <c r="I850">
        <v>0</v>
      </c>
      <c r="J850">
        <v>0</v>
      </c>
      <c r="K850">
        <v>0</v>
      </c>
      <c r="L850" t="s">
        <v>241</v>
      </c>
      <c r="M850" t="s">
        <v>1398</v>
      </c>
      <c r="N850">
        <v>1</v>
      </c>
      <c r="O850" t="s">
        <v>1395</v>
      </c>
      <c r="P850" t="s">
        <v>310</v>
      </c>
      <c r="Q850" t="s">
        <v>310</v>
      </c>
      <c r="R850" t="s">
        <v>310</v>
      </c>
      <c r="S850">
        <v>9</v>
      </c>
      <c r="T850" t="s">
        <v>310</v>
      </c>
      <c r="U850">
        <v>9</v>
      </c>
      <c r="V850">
        <v>9</v>
      </c>
      <c r="W850">
        <v>0</v>
      </c>
      <c r="X850">
        <v>0</v>
      </c>
      <c r="Y850">
        <v>0</v>
      </c>
      <c r="Z850">
        <v>0</v>
      </c>
      <c r="AA850">
        <v>9</v>
      </c>
      <c r="AB850">
        <v>9</v>
      </c>
      <c r="AC850" t="s">
        <v>310</v>
      </c>
      <c r="AD850">
        <v>9</v>
      </c>
      <c r="AE850" t="s">
        <v>1414</v>
      </c>
      <c r="AF850">
        <v>20000000</v>
      </c>
      <c r="AG850" t="s">
        <v>310</v>
      </c>
      <c r="AH850">
        <f>SUM((MID(Dyno_Data[[#This Row],[Team]],4,5))+(Dyno_Data[[#This Row],[Match]]/100))</f>
        <v>296.14</v>
      </c>
      <c r="AI850" s="76">
        <f>ROUND(SUM(IF(Dyno_Data[[#This Row],[AcqCenter]]&gt;0,Dyno_Data[[#This Row],[Time]]-SUMIFS(Dyno_Data[Time],Dyno_Data[Team],Dyno_Data[[#This Row],[Team]],Dyno_Data[RecordType],"StartMatch",Dyno_Data[Match],Dyno_Data[[#This Row],[Match]]),0)*86400),0)</f>
        <v>0</v>
      </c>
    </row>
    <row r="851" spans="1:35" x14ac:dyDescent="0.3">
      <c r="A851">
        <v>850</v>
      </c>
      <c r="B851" t="s">
        <v>364</v>
      </c>
      <c r="C851">
        <v>14</v>
      </c>
      <c r="D851" s="105">
        <v>45373.455780243057</v>
      </c>
      <c r="E851" t="s">
        <v>312</v>
      </c>
      <c r="F851" t="s">
        <v>1402</v>
      </c>
      <c r="G851">
        <v>0</v>
      </c>
      <c r="H851" t="s">
        <v>315</v>
      </c>
      <c r="I851">
        <v>0</v>
      </c>
      <c r="J851">
        <v>0</v>
      </c>
      <c r="K851">
        <v>0</v>
      </c>
      <c r="L851" t="s">
        <v>241</v>
      </c>
      <c r="M851" t="s">
        <v>1398</v>
      </c>
      <c r="N851">
        <v>0</v>
      </c>
      <c r="O851" t="s">
        <v>1389</v>
      </c>
      <c r="P851" t="s">
        <v>310</v>
      </c>
      <c r="Q851" t="s">
        <v>310</v>
      </c>
      <c r="R851" t="s">
        <v>310</v>
      </c>
      <c r="S851">
        <v>9</v>
      </c>
      <c r="T851" t="s">
        <v>310</v>
      </c>
      <c r="U851">
        <v>9</v>
      </c>
      <c r="V851">
        <v>9</v>
      </c>
      <c r="W851">
        <v>0</v>
      </c>
      <c r="X851">
        <v>0</v>
      </c>
      <c r="Y851">
        <v>0</v>
      </c>
      <c r="Z851">
        <v>0</v>
      </c>
      <c r="AA851">
        <v>9</v>
      </c>
      <c r="AB851">
        <v>9</v>
      </c>
      <c r="AC851" t="s">
        <v>310</v>
      </c>
      <c r="AD851">
        <v>9</v>
      </c>
      <c r="AE851" t="s">
        <v>1412</v>
      </c>
      <c r="AF851">
        <v>70000000</v>
      </c>
      <c r="AG851" t="s">
        <v>310</v>
      </c>
      <c r="AH851">
        <f>SUM((MID(Dyno_Data[[#This Row],[Team]],4,5))+(Dyno_Data[[#This Row],[Match]]/100))</f>
        <v>2791.14</v>
      </c>
      <c r="AI851" s="76">
        <f>ROUND(SUM(IF(Dyno_Data[[#This Row],[AcqCenter]]&gt;0,Dyno_Data[[#This Row],[Time]]-SUMIFS(Dyno_Data[Time],Dyno_Data[Team],Dyno_Data[[#This Row],[Team]],Dyno_Data[RecordType],"StartMatch",Dyno_Data[Match],Dyno_Data[[#This Row],[Match]]),0)*86400),0)</f>
        <v>0</v>
      </c>
    </row>
    <row r="852" spans="1:35" x14ac:dyDescent="0.3">
      <c r="A852">
        <v>851</v>
      </c>
      <c r="B852" t="s">
        <v>372</v>
      </c>
      <c r="C852">
        <v>14</v>
      </c>
      <c r="D852" s="105">
        <v>45373.455875729167</v>
      </c>
      <c r="E852" t="s">
        <v>312</v>
      </c>
      <c r="F852" t="s">
        <v>1402</v>
      </c>
      <c r="G852">
        <v>0</v>
      </c>
      <c r="H852" t="s">
        <v>315</v>
      </c>
      <c r="I852">
        <v>0</v>
      </c>
      <c r="J852">
        <v>0</v>
      </c>
      <c r="K852">
        <v>0</v>
      </c>
      <c r="L852" t="s">
        <v>241</v>
      </c>
      <c r="M852" t="s">
        <v>1398</v>
      </c>
      <c r="N852">
        <v>0</v>
      </c>
      <c r="O852" t="s">
        <v>319</v>
      </c>
      <c r="P852" t="s">
        <v>310</v>
      </c>
      <c r="Q852" t="s">
        <v>310</v>
      </c>
      <c r="R852" t="s">
        <v>310</v>
      </c>
      <c r="S852">
        <v>9</v>
      </c>
      <c r="T852" t="s">
        <v>310</v>
      </c>
      <c r="U852">
        <v>9</v>
      </c>
      <c r="V852">
        <v>9</v>
      </c>
      <c r="W852">
        <v>0</v>
      </c>
      <c r="X852">
        <v>0</v>
      </c>
      <c r="Y852">
        <v>0</v>
      </c>
      <c r="Z852">
        <v>0</v>
      </c>
      <c r="AA852">
        <v>9</v>
      </c>
      <c r="AB852">
        <v>9</v>
      </c>
      <c r="AC852" t="s">
        <v>310</v>
      </c>
      <c r="AD852">
        <v>9</v>
      </c>
      <c r="AE852" t="s">
        <v>1417</v>
      </c>
      <c r="AF852">
        <v>70000000</v>
      </c>
      <c r="AG852" t="s">
        <v>310</v>
      </c>
      <c r="AH852">
        <f>SUM((MID(Dyno_Data[[#This Row],[Team]],4,5))+(Dyno_Data[[#This Row],[Match]]/100))</f>
        <v>7504.14</v>
      </c>
      <c r="AI852" s="76">
        <f>ROUND(SUM(IF(Dyno_Data[[#This Row],[AcqCenter]]&gt;0,Dyno_Data[[#This Row],[Time]]-SUMIFS(Dyno_Data[Time],Dyno_Data[Team],Dyno_Data[[#This Row],[Team]],Dyno_Data[RecordType],"StartMatch",Dyno_Data[Match],Dyno_Data[[#This Row],[Match]]),0)*86400),0)</f>
        <v>0</v>
      </c>
    </row>
    <row r="853" spans="1:35" x14ac:dyDescent="0.3">
      <c r="A853">
        <v>852</v>
      </c>
      <c r="B853" t="s">
        <v>364</v>
      </c>
      <c r="C853">
        <v>14</v>
      </c>
      <c r="D853" s="105">
        <v>45373.456004016203</v>
      </c>
      <c r="E853" t="s">
        <v>312</v>
      </c>
      <c r="F853" t="s">
        <v>1402</v>
      </c>
      <c r="G853">
        <v>0</v>
      </c>
      <c r="H853" t="s">
        <v>315</v>
      </c>
      <c r="I853">
        <v>0</v>
      </c>
      <c r="J853">
        <v>0</v>
      </c>
      <c r="K853">
        <v>0</v>
      </c>
      <c r="L853" t="s">
        <v>241</v>
      </c>
      <c r="M853" t="s">
        <v>1398</v>
      </c>
      <c r="N853">
        <v>0</v>
      </c>
      <c r="O853" t="s">
        <v>1389</v>
      </c>
      <c r="P853" t="s">
        <v>310</v>
      </c>
      <c r="Q853" t="s">
        <v>310</v>
      </c>
      <c r="R853" t="s">
        <v>310</v>
      </c>
      <c r="S853">
        <v>9</v>
      </c>
      <c r="T853" t="s">
        <v>310</v>
      </c>
      <c r="U853">
        <v>9</v>
      </c>
      <c r="V853">
        <v>9</v>
      </c>
      <c r="W853">
        <v>0</v>
      </c>
      <c r="X853">
        <v>0</v>
      </c>
      <c r="Y853">
        <v>0</v>
      </c>
      <c r="Z853">
        <v>0</v>
      </c>
      <c r="AA853">
        <v>9</v>
      </c>
      <c r="AB853">
        <v>9</v>
      </c>
      <c r="AC853" t="s">
        <v>310</v>
      </c>
      <c r="AD853">
        <v>9</v>
      </c>
      <c r="AE853" t="s">
        <v>1412</v>
      </c>
      <c r="AF853">
        <v>80000000</v>
      </c>
      <c r="AG853" t="s">
        <v>310</v>
      </c>
      <c r="AH853">
        <f>SUM((MID(Dyno_Data[[#This Row],[Team]],4,5))+(Dyno_Data[[#This Row],[Match]]/100))</f>
        <v>2791.14</v>
      </c>
      <c r="AI853" s="76">
        <f>ROUND(SUM(IF(Dyno_Data[[#This Row],[AcqCenter]]&gt;0,Dyno_Data[[#This Row],[Time]]-SUMIFS(Dyno_Data[Time],Dyno_Data[Team],Dyno_Data[[#This Row],[Team]],Dyno_Data[RecordType],"StartMatch",Dyno_Data[Match],Dyno_Data[[#This Row],[Match]]),0)*86400),0)</f>
        <v>0</v>
      </c>
    </row>
    <row r="854" spans="1:35" x14ac:dyDescent="0.3">
      <c r="A854">
        <v>853</v>
      </c>
      <c r="B854" t="s">
        <v>1289</v>
      </c>
      <c r="C854">
        <v>14</v>
      </c>
      <c r="D854" s="105">
        <v>45373.458269212962</v>
      </c>
      <c r="E854" t="s">
        <v>316</v>
      </c>
      <c r="F854" t="s">
        <v>317</v>
      </c>
      <c r="G854">
        <v>0</v>
      </c>
      <c r="H854" t="s">
        <v>310</v>
      </c>
      <c r="I854">
        <v>0</v>
      </c>
      <c r="J854">
        <v>0</v>
      </c>
      <c r="K854">
        <v>0</v>
      </c>
      <c r="L854" t="s">
        <v>310</v>
      </c>
      <c r="M854" t="s">
        <v>310</v>
      </c>
      <c r="N854">
        <v>0</v>
      </c>
      <c r="O854" t="s">
        <v>311</v>
      </c>
      <c r="P854" t="s">
        <v>101</v>
      </c>
      <c r="Q854" t="s">
        <v>1399</v>
      </c>
      <c r="R854" t="s">
        <v>1404</v>
      </c>
      <c r="S854">
        <v>0</v>
      </c>
      <c r="T854" t="s">
        <v>105</v>
      </c>
      <c r="U854">
        <v>9</v>
      </c>
      <c r="V854">
        <v>9</v>
      </c>
      <c r="W854">
        <v>0</v>
      </c>
      <c r="X854">
        <v>22.031511999999999</v>
      </c>
      <c r="Y854">
        <v>9.0312514999999998</v>
      </c>
      <c r="Z854">
        <v>105.84275359999999</v>
      </c>
      <c r="AA854">
        <v>3</v>
      </c>
      <c r="AB854">
        <v>0</v>
      </c>
      <c r="AC854" t="s">
        <v>170</v>
      </c>
      <c r="AD854">
        <v>1</v>
      </c>
      <c r="AE854" t="s">
        <v>1413</v>
      </c>
      <c r="AF854">
        <v>0</v>
      </c>
      <c r="AG854" t="s">
        <v>310</v>
      </c>
      <c r="AH854">
        <f>SUM((MID(Dyno_Data[[#This Row],[Team]],4,5))+(Dyno_Data[[#This Row],[Match]]/100))</f>
        <v>6648.14</v>
      </c>
      <c r="AI854" s="76">
        <f>ROUND(SUM(IF(Dyno_Data[[#This Row],[AcqCenter]]&gt;0,Dyno_Data[[#This Row],[Time]]-SUMIFS(Dyno_Data[Time],Dyno_Data[Team],Dyno_Data[[#This Row],[Team]],Dyno_Data[RecordType],"StartMatch",Dyno_Data[Match],Dyno_Data[[#This Row],[Match]]),0)*86400),0)</f>
        <v>0</v>
      </c>
    </row>
    <row r="855" spans="1:35" x14ac:dyDescent="0.3">
      <c r="A855">
        <v>854</v>
      </c>
      <c r="B855" t="s">
        <v>1309</v>
      </c>
      <c r="C855">
        <v>14</v>
      </c>
      <c r="D855" s="105">
        <v>45373.458269328701</v>
      </c>
      <c r="E855" t="s">
        <v>316</v>
      </c>
      <c r="F855" t="s">
        <v>317</v>
      </c>
      <c r="G855">
        <v>0</v>
      </c>
      <c r="H855" t="s">
        <v>310</v>
      </c>
      <c r="I855">
        <v>0</v>
      </c>
      <c r="J855">
        <v>0</v>
      </c>
      <c r="K855">
        <v>0</v>
      </c>
      <c r="L855" t="s">
        <v>310</v>
      </c>
      <c r="M855" t="s">
        <v>310</v>
      </c>
      <c r="N855">
        <v>0</v>
      </c>
      <c r="O855" t="s">
        <v>1391</v>
      </c>
      <c r="P855" t="s">
        <v>1401</v>
      </c>
      <c r="Q855" t="s">
        <v>1400</v>
      </c>
      <c r="R855" t="s">
        <v>1404</v>
      </c>
      <c r="S855">
        <v>-1</v>
      </c>
      <c r="T855" t="s">
        <v>105</v>
      </c>
      <c r="U855">
        <v>9</v>
      </c>
      <c r="V855">
        <v>9</v>
      </c>
      <c r="W855">
        <v>12.0612224</v>
      </c>
      <c r="X855">
        <v>10.232575599999999</v>
      </c>
      <c r="Y855">
        <v>27.103381199999998</v>
      </c>
      <c r="Z855">
        <v>78.521997999999996</v>
      </c>
      <c r="AA855">
        <v>0</v>
      </c>
      <c r="AB855">
        <v>0</v>
      </c>
      <c r="AC855" t="s">
        <v>174</v>
      </c>
      <c r="AD855">
        <v>9</v>
      </c>
      <c r="AE855" t="s">
        <v>1416</v>
      </c>
      <c r="AF855">
        <v>10000000</v>
      </c>
      <c r="AG855" t="s">
        <v>310</v>
      </c>
      <c r="AH855">
        <f>SUM((MID(Dyno_Data[[#This Row],[Team]],4,5))+(Dyno_Data[[#This Row],[Match]]/100))</f>
        <v>3550.14</v>
      </c>
      <c r="AI855" s="76">
        <f>ROUND(SUM(IF(Dyno_Data[[#This Row],[AcqCenter]]&gt;0,Dyno_Data[[#This Row],[Time]]-SUMIFS(Dyno_Data[Time],Dyno_Data[Team],Dyno_Data[[#This Row],[Team]],Dyno_Data[RecordType],"StartMatch",Dyno_Data[Match],Dyno_Data[[#This Row],[Match]]),0)*86400),0)</f>
        <v>0</v>
      </c>
    </row>
    <row r="856" spans="1:35" x14ac:dyDescent="0.3">
      <c r="A856">
        <v>855</v>
      </c>
      <c r="B856" t="s">
        <v>372</v>
      </c>
      <c r="C856">
        <v>14</v>
      </c>
      <c r="D856" s="105">
        <v>45373.458269444447</v>
      </c>
      <c r="E856" t="s">
        <v>316</v>
      </c>
      <c r="F856" t="s">
        <v>317</v>
      </c>
      <c r="G856">
        <v>1</v>
      </c>
      <c r="H856" t="s">
        <v>310</v>
      </c>
      <c r="I856">
        <v>0</v>
      </c>
      <c r="J856">
        <v>0</v>
      </c>
      <c r="K856">
        <v>0</v>
      </c>
      <c r="L856" t="s">
        <v>310</v>
      </c>
      <c r="M856" t="s">
        <v>310</v>
      </c>
      <c r="N856">
        <v>0</v>
      </c>
      <c r="O856" t="s">
        <v>319</v>
      </c>
      <c r="P856" t="s">
        <v>240</v>
      </c>
      <c r="Q856" t="s">
        <v>1400</v>
      </c>
      <c r="R856" t="s">
        <v>1404</v>
      </c>
      <c r="S856">
        <v>-1</v>
      </c>
      <c r="T856" t="s">
        <v>105</v>
      </c>
      <c r="U856">
        <v>9</v>
      </c>
      <c r="V856">
        <v>9</v>
      </c>
      <c r="W856">
        <v>14.971331299999999</v>
      </c>
      <c r="X856">
        <v>13.7050027</v>
      </c>
      <c r="Y856">
        <v>26.904339399999998</v>
      </c>
      <c r="Z856">
        <v>77.726688600000003</v>
      </c>
      <c r="AA856">
        <v>0</v>
      </c>
      <c r="AB856">
        <v>0</v>
      </c>
      <c r="AC856" t="s">
        <v>174</v>
      </c>
      <c r="AD856">
        <v>9</v>
      </c>
      <c r="AE856" t="s">
        <v>1417</v>
      </c>
      <c r="AF856">
        <v>70000000</v>
      </c>
      <c r="AG856" t="s">
        <v>310</v>
      </c>
      <c r="AH856">
        <f>SUM((MID(Dyno_Data[[#This Row],[Team]],4,5))+(Dyno_Data[[#This Row],[Match]]/100))</f>
        <v>7504.14</v>
      </c>
      <c r="AI856" s="76">
        <f>ROUND(SUM(IF(Dyno_Data[[#This Row],[AcqCenter]]&gt;0,Dyno_Data[[#This Row],[Time]]-SUMIFS(Dyno_Data[Time],Dyno_Data[Team],Dyno_Data[[#This Row],[Team]],Dyno_Data[RecordType],"StartMatch",Dyno_Data[Match],Dyno_Data[[#This Row],[Match]]),0)*86400),0)</f>
        <v>0</v>
      </c>
    </row>
    <row r="857" spans="1:35" x14ac:dyDescent="0.3">
      <c r="A857">
        <v>856</v>
      </c>
      <c r="B857" t="s">
        <v>1298</v>
      </c>
      <c r="C857">
        <v>14</v>
      </c>
      <c r="D857" s="105">
        <v>45373.458269525465</v>
      </c>
      <c r="E857" t="s">
        <v>316</v>
      </c>
      <c r="F857" t="s">
        <v>317</v>
      </c>
      <c r="G857">
        <v>1</v>
      </c>
      <c r="H857" t="s">
        <v>310</v>
      </c>
      <c r="I857">
        <v>0</v>
      </c>
      <c r="J857">
        <v>0</v>
      </c>
      <c r="K857">
        <v>0</v>
      </c>
      <c r="L857" t="s">
        <v>310</v>
      </c>
      <c r="M857" t="s">
        <v>310</v>
      </c>
      <c r="N857">
        <v>0</v>
      </c>
      <c r="O857" t="s">
        <v>1393</v>
      </c>
      <c r="P857" t="s">
        <v>240</v>
      </c>
      <c r="Q857" t="s">
        <v>1399</v>
      </c>
      <c r="R857" t="s">
        <v>321</v>
      </c>
      <c r="S857">
        <v>0</v>
      </c>
      <c r="T857" t="s">
        <v>105</v>
      </c>
      <c r="U857">
        <v>9</v>
      </c>
      <c r="V857">
        <v>9</v>
      </c>
      <c r="W857">
        <v>0</v>
      </c>
      <c r="X857">
        <v>0</v>
      </c>
      <c r="Y857">
        <v>0</v>
      </c>
      <c r="Z857">
        <v>133.55304749999999</v>
      </c>
      <c r="AA857">
        <v>0</v>
      </c>
      <c r="AB857">
        <v>0</v>
      </c>
      <c r="AC857" t="s">
        <v>167</v>
      </c>
      <c r="AD857">
        <v>0</v>
      </c>
      <c r="AE857" t="s">
        <v>1418</v>
      </c>
      <c r="AF857">
        <v>10200000</v>
      </c>
      <c r="AG857" t="s">
        <v>310</v>
      </c>
      <c r="AH857">
        <f>SUM((MID(Dyno_Data[[#This Row],[Team]],4,5))+(Dyno_Data[[#This Row],[Match]]/100))</f>
        <v>9624.14</v>
      </c>
      <c r="AI857" s="76">
        <f>ROUND(SUM(IF(Dyno_Data[[#This Row],[AcqCenter]]&gt;0,Dyno_Data[[#This Row],[Time]]-SUMIFS(Dyno_Data[Time],Dyno_Data[Team],Dyno_Data[[#This Row],[Team]],Dyno_Data[RecordType],"StartMatch",Dyno_Data[Match],Dyno_Data[[#This Row],[Match]]),0)*86400),0)</f>
        <v>0</v>
      </c>
    </row>
    <row r="858" spans="1:35" x14ac:dyDescent="0.3">
      <c r="A858">
        <v>857</v>
      </c>
      <c r="B858" t="s">
        <v>364</v>
      </c>
      <c r="C858">
        <v>14</v>
      </c>
      <c r="D858" s="105">
        <v>45373.458269641204</v>
      </c>
      <c r="E858" t="s">
        <v>316</v>
      </c>
      <c r="F858" t="s">
        <v>317</v>
      </c>
      <c r="G858">
        <v>1</v>
      </c>
      <c r="H858" t="s">
        <v>310</v>
      </c>
      <c r="I858">
        <v>0</v>
      </c>
      <c r="J858">
        <v>0</v>
      </c>
      <c r="K858">
        <v>0</v>
      </c>
      <c r="L858" t="s">
        <v>310</v>
      </c>
      <c r="M858" t="s">
        <v>310</v>
      </c>
      <c r="N858">
        <v>0</v>
      </c>
      <c r="O858" t="s">
        <v>1389</v>
      </c>
      <c r="P858" t="s">
        <v>101</v>
      </c>
      <c r="Q858" t="s">
        <v>1400</v>
      </c>
      <c r="R858" t="s">
        <v>1405</v>
      </c>
      <c r="S858">
        <v>1</v>
      </c>
      <c r="T858" t="s">
        <v>1409</v>
      </c>
      <c r="U858">
        <v>0</v>
      </c>
      <c r="V858">
        <v>0</v>
      </c>
      <c r="W858">
        <v>7.5796858</v>
      </c>
      <c r="X858">
        <v>31.159631999999998</v>
      </c>
      <c r="Y858">
        <v>23.0667075</v>
      </c>
      <c r="Z858">
        <v>73.77450429999999</v>
      </c>
      <c r="AA858">
        <v>0</v>
      </c>
      <c r="AB858">
        <v>1</v>
      </c>
      <c r="AC858" t="s">
        <v>174</v>
      </c>
      <c r="AD858">
        <v>9</v>
      </c>
      <c r="AE858" t="s">
        <v>1412</v>
      </c>
      <c r="AF858">
        <v>80000000</v>
      </c>
      <c r="AG858" t="s">
        <v>310</v>
      </c>
      <c r="AH858">
        <f>SUM((MID(Dyno_Data[[#This Row],[Team]],4,5))+(Dyno_Data[[#This Row],[Match]]/100))</f>
        <v>2791.14</v>
      </c>
      <c r="AI858" s="76">
        <f>ROUND(SUM(IF(Dyno_Data[[#This Row],[AcqCenter]]&gt;0,Dyno_Data[[#This Row],[Time]]-SUMIFS(Dyno_Data[Time],Dyno_Data[Team],Dyno_Data[[#This Row],[Team]],Dyno_Data[RecordType],"StartMatch",Dyno_Data[Match],Dyno_Data[[#This Row],[Match]]),0)*86400),0)</f>
        <v>0</v>
      </c>
    </row>
    <row r="859" spans="1:35" x14ac:dyDescent="0.3">
      <c r="A859">
        <v>858</v>
      </c>
      <c r="B859" t="s">
        <v>1317</v>
      </c>
      <c r="C859">
        <v>14</v>
      </c>
      <c r="D859" s="105">
        <v>45373.458269710645</v>
      </c>
      <c r="E859" t="s">
        <v>316</v>
      </c>
      <c r="F859" t="s">
        <v>317</v>
      </c>
      <c r="G859">
        <v>1</v>
      </c>
      <c r="H859" t="s">
        <v>310</v>
      </c>
      <c r="I859">
        <v>0</v>
      </c>
      <c r="J859">
        <v>0</v>
      </c>
      <c r="K859">
        <v>0</v>
      </c>
      <c r="L859" t="s">
        <v>310</v>
      </c>
      <c r="M859" t="s">
        <v>310</v>
      </c>
      <c r="N859">
        <v>0</v>
      </c>
      <c r="O859" t="s">
        <v>1395</v>
      </c>
      <c r="P859" t="s">
        <v>1401</v>
      </c>
      <c r="Q859" t="s">
        <v>1400</v>
      </c>
      <c r="R859" t="s">
        <v>1404</v>
      </c>
      <c r="S859">
        <v>-1</v>
      </c>
      <c r="T859" t="s">
        <v>105</v>
      </c>
      <c r="U859">
        <v>9</v>
      </c>
      <c r="V859">
        <v>9</v>
      </c>
      <c r="W859">
        <v>18.1644568</v>
      </c>
      <c r="X859">
        <v>0</v>
      </c>
      <c r="Y859">
        <v>7.8251929999999996</v>
      </c>
      <c r="Z859">
        <v>104.6292397</v>
      </c>
      <c r="AA859">
        <v>0</v>
      </c>
      <c r="AB859">
        <v>1</v>
      </c>
      <c r="AC859" t="s">
        <v>174</v>
      </c>
      <c r="AD859">
        <v>9</v>
      </c>
      <c r="AE859" t="s">
        <v>1414</v>
      </c>
      <c r="AF859">
        <v>20000000</v>
      </c>
      <c r="AG859" t="s">
        <v>310</v>
      </c>
      <c r="AH859">
        <f>SUM((MID(Dyno_Data[[#This Row],[Team]],4,5))+(Dyno_Data[[#This Row],[Match]]/100))</f>
        <v>296.14</v>
      </c>
      <c r="AI859" s="76">
        <f>ROUND(SUM(IF(Dyno_Data[[#This Row],[AcqCenter]]&gt;0,Dyno_Data[[#This Row],[Time]]-SUMIFS(Dyno_Data[Time],Dyno_Data[Team],Dyno_Data[[#This Row],[Team]],Dyno_Data[RecordType],"StartMatch",Dyno_Data[Match],Dyno_Data[[#This Row],[Match]]),0)*86400),0)</f>
        <v>0</v>
      </c>
    </row>
    <row r="860" spans="1:35" x14ac:dyDescent="0.3">
      <c r="A860">
        <v>869</v>
      </c>
      <c r="B860" t="s">
        <v>369</v>
      </c>
      <c r="C860">
        <v>15</v>
      </c>
      <c r="D860" s="105">
        <v>45373.45983417824</v>
      </c>
      <c r="E860" t="s">
        <v>308</v>
      </c>
      <c r="F860" t="s">
        <v>309</v>
      </c>
      <c r="G860">
        <v>0</v>
      </c>
      <c r="H860" t="s">
        <v>310</v>
      </c>
      <c r="I860">
        <v>0</v>
      </c>
      <c r="J860">
        <v>0</v>
      </c>
      <c r="K860">
        <v>0</v>
      </c>
      <c r="L860" t="s">
        <v>310</v>
      </c>
      <c r="M860" t="s">
        <v>310</v>
      </c>
      <c r="N860">
        <v>0</v>
      </c>
      <c r="O860" t="s">
        <v>311</v>
      </c>
      <c r="P860" t="s">
        <v>310</v>
      </c>
      <c r="Q860" t="s">
        <v>310</v>
      </c>
      <c r="R860" t="s">
        <v>310</v>
      </c>
      <c r="S860">
        <v>9</v>
      </c>
      <c r="T860" t="s">
        <v>310</v>
      </c>
      <c r="U860">
        <v>9</v>
      </c>
      <c r="V860">
        <v>9</v>
      </c>
      <c r="W860">
        <v>0</v>
      </c>
      <c r="X860">
        <v>0</v>
      </c>
      <c r="Y860">
        <v>0</v>
      </c>
      <c r="Z860">
        <v>0</v>
      </c>
      <c r="AA860">
        <v>9</v>
      </c>
      <c r="AB860">
        <v>9</v>
      </c>
      <c r="AC860" t="s">
        <v>310</v>
      </c>
      <c r="AD860">
        <v>9</v>
      </c>
      <c r="AE860" t="s">
        <v>1413</v>
      </c>
      <c r="AF860">
        <v>0</v>
      </c>
      <c r="AG860" t="s">
        <v>310</v>
      </c>
      <c r="AH860">
        <f>SUM((MID(Dyno_Data[[#This Row],[Team]],4,5))+(Dyno_Data[[#This Row],[Match]]/100))</f>
        <v>6463.15</v>
      </c>
      <c r="AI860" s="76">
        <f>ROUND(SUM(IF(Dyno_Data[[#This Row],[AcqCenter]]&gt;0,Dyno_Data[[#This Row],[Time]]-SUMIFS(Dyno_Data[Time],Dyno_Data[Team],Dyno_Data[[#This Row],[Team]],Dyno_Data[RecordType],"StartMatch",Dyno_Data[Match],Dyno_Data[[#This Row],[Match]]),0)*86400),0)</f>
        <v>0</v>
      </c>
    </row>
    <row r="861" spans="1:35" x14ac:dyDescent="0.3">
      <c r="A861">
        <v>871</v>
      </c>
      <c r="B861" t="s">
        <v>1301</v>
      </c>
      <c r="C861">
        <v>15</v>
      </c>
      <c r="D861" s="105">
        <v>45373.459835648151</v>
      </c>
      <c r="E861" t="s">
        <v>308</v>
      </c>
      <c r="F861" t="s">
        <v>309</v>
      </c>
      <c r="G861">
        <v>0</v>
      </c>
      <c r="H861" t="s">
        <v>310</v>
      </c>
      <c r="I861">
        <v>0</v>
      </c>
      <c r="J861">
        <v>0</v>
      </c>
      <c r="K861">
        <v>0</v>
      </c>
      <c r="L861" t="s">
        <v>310</v>
      </c>
      <c r="M861" t="s">
        <v>310</v>
      </c>
      <c r="N861">
        <v>0</v>
      </c>
      <c r="O861" t="s">
        <v>319</v>
      </c>
      <c r="P861" t="s">
        <v>310</v>
      </c>
      <c r="Q861" t="s">
        <v>310</v>
      </c>
      <c r="R861" t="s">
        <v>310</v>
      </c>
      <c r="S861">
        <v>9</v>
      </c>
      <c r="T861" t="s">
        <v>310</v>
      </c>
      <c r="U861">
        <v>9</v>
      </c>
      <c r="V861">
        <v>9</v>
      </c>
      <c r="W861">
        <v>0</v>
      </c>
      <c r="X861">
        <v>0</v>
      </c>
      <c r="Y861">
        <v>0</v>
      </c>
      <c r="Z861">
        <v>0</v>
      </c>
      <c r="AA861">
        <v>9</v>
      </c>
      <c r="AB861">
        <v>9</v>
      </c>
      <c r="AC861" t="s">
        <v>310</v>
      </c>
      <c r="AD861">
        <v>9</v>
      </c>
      <c r="AE861" t="s">
        <v>1416</v>
      </c>
      <c r="AF861">
        <v>0</v>
      </c>
      <c r="AG861" t="s">
        <v>310</v>
      </c>
      <c r="AH861">
        <f>SUM((MID(Dyno_Data[[#This Row],[Team]],4,5))+(Dyno_Data[[#This Row],[Match]]/100))</f>
        <v>7031.15</v>
      </c>
      <c r="AI861" s="76">
        <f>ROUND(SUM(IF(Dyno_Data[[#This Row],[AcqCenter]]&gt;0,Dyno_Data[[#This Row],[Time]]-SUMIFS(Dyno_Data[Time],Dyno_Data[Team],Dyno_Data[[#This Row],[Team]],Dyno_Data[RecordType],"StartMatch",Dyno_Data[Match],Dyno_Data[[#This Row],[Match]]),0)*86400),0)</f>
        <v>0</v>
      </c>
    </row>
    <row r="862" spans="1:35" x14ac:dyDescent="0.3">
      <c r="A862">
        <v>873</v>
      </c>
      <c r="B862" t="s">
        <v>1308</v>
      </c>
      <c r="C862">
        <v>15</v>
      </c>
      <c r="D862" s="105">
        <v>45373.459840127318</v>
      </c>
      <c r="E862" t="s">
        <v>308</v>
      </c>
      <c r="F862" t="s">
        <v>309</v>
      </c>
      <c r="G862">
        <v>0</v>
      </c>
      <c r="H862" t="s">
        <v>310</v>
      </c>
      <c r="I862">
        <v>0</v>
      </c>
      <c r="J862">
        <v>0</v>
      </c>
      <c r="K862">
        <v>0</v>
      </c>
      <c r="L862" t="s">
        <v>310</v>
      </c>
      <c r="M862" t="s">
        <v>310</v>
      </c>
      <c r="N862">
        <v>0</v>
      </c>
      <c r="O862" t="s">
        <v>1395</v>
      </c>
      <c r="P862" t="s">
        <v>310</v>
      </c>
      <c r="Q862" t="s">
        <v>310</v>
      </c>
      <c r="R862" t="s">
        <v>310</v>
      </c>
      <c r="S862">
        <v>9</v>
      </c>
      <c r="T862" t="s">
        <v>310</v>
      </c>
      <c r="U862">
        <v>9</v>
      </c>
      <c r="V862">
        <v>9</v>
      </c>
      <c r="W862">
        <v>0</v>
      </c>
      <c r="X862">
        <v>0</v>
      </c>
      <c r="Y862">
        <v>0</v>
      </c>
      <c r="Z862">
        <v>0</v>
      </c>
      <c r="AA862">
        <v>9</v>
      </c>
      <c r="AB862">
        <v>9</v>
      </c>
      <c r="AC862" t="s">
        <v>310</v>
      </c>
      <c r="AD862">
        <v>9</v>
      </c>
      <c r="AE862" t="s">
        <v>1414</v>
      </c>
      <c r="AF862">
        <v>0</v>
      </c>
      <c r="AG862" t="s">
        <v>310</v>
      </c>
      <c r="AH862">
        <f>SUM((MID(Dyno_Data[[#This Row],[Team]],4,5))+(Dyno_Data[[#This Row],[Match]]/100))</f>
        <v>3799.15</v>
      </c>
      <c r="AI862" s="76">
        <f>ROUND(SUM(IF(Dyno_Data[[#This Row],[AcqCenter]]&gt;0,Dyno_Data[[#This Row],[Time]]-SUMIFS(Dyno_Data[Time],Dyno_Data[Team],Dyno_Data[[#This Row],[Team]],Dyno_Data[RecordType],"StartMatch",Dyno_Data[Match],Dyno_Data[[#This Row],[Match]]),0)*86400),0)</f>
        <v>0</v>
      </c>
    </row>
    <row r="863" spans="1:35" x14ac:dyDescent="0.3">
      <c r="A863">
        <v>876</v>
      </c>
      <c r="B863" t="s">
        <v>1277</v>
      </c>
      <c r="C863">
        <v>15</v>
      </c>
      <c r="D863" s="105">
        <v>45373.459845138888</v>
      </c>
      <c r="E863" t="s">
        <v>308</v>
      </c>
      <c r="F863" t="s">
        <v>309</v>
      </c>
      <c r="G863">
        <v>0</v>
      </c>
      <c r="H863" t="s">
        <v>310</v>
      </c>
      <c r="I863">
        <v>0</v>
      </c>
      <c r="J863">
        <v>0</v>
      </c>
      <c r="K863">
        <v>0</v>
      </c>
      <c r="L863" t="s">
        <v>310</v>
      </c>
      <c r="M863" t="s">
        <v>310</v>
      </c>
      <c r="N863">
        <v>0</v>
      </c>
      <c r="O863" t="s">
        <v>1391</v>
      </c>
      <c r="P863" t="s">
        <v>310</v>
      </c>
      <c r="Q863" t="s">
        <v>310</v>
      </c>
      <c r="R863" t="s">
        <v>310</v>
      </c>
      <c r="S863">
        <v>9</v>
      </c>
      <c r="T863" t="s">
        <v>310</v>
      </c>
      <c r="U863">
        <v>9</v>
      </c>
      <c r="V863">
        <v>9</v>
      </c>
      <c r="W863">
        <v>0</v>
      </c>
      <c r="X863">
        <v>0</v>
      </c>
      <c r="Y863">
        <v>0</v>
      </c>
      <c r="Z863">
        <v>0</v>
      </c>
      <c r="AA863">
        <v>9</v>
      </c>
      <c r="AB863">
        <v>9</v>
      </c>
      <c r="AC863" t="s">
        <v>310</v>
      </c>
      <c r="AD863">
        <v>9</v>
      </c>
      <c r="AE863" t="s">
        <v>1418</v>
      </c>
      <c r="AF863">
        <v>30000000</v>
      </c>
      <c r="AG863" t="s">
        <v>310</v>
      </c>
      <c r="AH863">
        <f>SUM((MID(Dyno_Data[[#This Row],[Team]],4,5))+(Dyno_Data[[#This Row],[Match]]/100))</f>
        <v>3360.15</v>
      </c>
      <c r="AI863" s="76">
        <f>ROUND(SUM(IF(Dyno_Data[[#This Row],[AcqCenter]]&gt;0,Dyno_Data[[#This Row],[Time]]-SUMIFS(Dyno_Data[Time],Dyno_Data[Team],Dyno_Data[[#This Row],[Team]],Dyno_Data[RecordType],"StartMatch",Dyno_Data[Match],Dyno_Data[[#This Row],[Match]]),0)*86400),0)</f>
        <v>0</v>
      </c>
    </row>
    <row r="864" spans="1:35" x14ac:dyDescent="0.3">
      <c r="A864">
        <v>878</v>
      </c>
      <c r="B864" t="s">
        <v>1286</v>
      </c>
      <c r="C864">
        <v>15</v>
      </c>
      <c r="D864" s="105">
        <v>45373.459848726852</v>
      </c>
      <c r="E864" t="s">
        <v>308</v>
      </c>
      <c r="F864" t="s">
        <v>309</v>
      </c>
      <c r="G864">
        <v>0</v>
      </c>
      <c r="H864" t="s">
        <v>310</v>
      </c>
      <c r="I864">
        <v>0</v>
      </c>
      <c r="J864">
        <v>0</v>
      </c>
      <c r="K864">
        <v>0</v>
      </c>
      <c r="L864" t="s">
        <v>310</v>
      </c>
      <c r="M864" t="s">
        <v>310</v>
      </c>
      <c r="N864">
        <v>0</v>
      </c>
      <c r="O864" t="s">
        <v>1389</v>
      </c>
      <c r="P864" t="s">
        <v>310</v>
      </c>
      <c r="Q864" t="s">
        <v>310</v>
      </c>
      <c r="R864" t="s">
        <v>310</v>
      </c>
      <c r="S864">
        <v>9</v>
      </c>
      <c r="T864" t="s">
        <v>310</v>
      </c>
      <c r="U864">
        <v>9</v>
      </c>
      <c r="V864">
        <v>9</v>
      </c>
      <c r="W864">
        <v>0</v>
      </c>
      <c r="X864">
        <v>0</v>
      </c>
      <c r="Y864">
        <v>0</v>
      </c>
      <c r="Z864">
        <v>0</v>
      </c>
      <c r="AA864">
        <v>9</v>
      </c>
      <c r="AB864">
        <v>9</v>
      </c>
      <c r="AC864" t="s">
        <v>310</v>
      </c>
      <c r="AD864">
        <v>9</v>
      </c>
      <c r="AE864" t="s">
        <v>1412</v>
      </c>
      <c r="AF864">
        <v>20000000</v>
      </c>
      <c r="AG864" t="s">
        <v>310</v>
      </c>
      <c r="AH864">
        <f>SUM((MID(Dyno_Data[[#This Row],[Team]],4,5))+(Dyno_Data[[#This Row],[Match]]/100))</f>
        <v>1591.15</v>
      </c>
      <c r="AI864" s="76">
        <f>ROUND(SUM(IF(Dyno_Data[[#This Row],[AcqCenter]]&gt;0,Dyno_Data[[#This Row],[Time]]-SUMIFS(Dyno_Data[Time],Dyno_Data[Team],Dyno_Data[[#This Row],[Team]],Dyno_Data[RecordType],"StartMatch",Dyno_Data[Match],Dyno_Data[[#This Row],[Match]]),0)*86400),0)</f>
        <v>0</v>
      </c>
    </row>
    <row r="865" spans="1:35" x14ac:dyDescent="0.3">
      <c r="A865">
        <v>859</v>
      </c>
      <c r="B865" t="s">
        <v>363</v>
      </c>
      <c r="C865">
        <v>15</v>
      </c>
      <c r="D865" s="105">
        <v>45373.459856597219</v>
      </c>
      <c r="E865" t="s">
        <v>312</v>
      </c>
      <c r="F865" t="s">
        <v>309</v>
      </c>
      <c r="G865">
        <v>0</v>
      </c>
      <c r="H865" t="s">
        <v>1397</v>
      </c>
      <c r="I865">
        <v>0</v>
      </c>
      <c r="J865">
        <v>0</v>
      </c>
      <c r="K865">
        <v>0</v>
      </c>
      <c r="L865" t="s">
        <v>241</v>
      </c>
      <c r="M865" t="s">
        <v>1398</v>
      </c>
      <c r="N865">
        <v>0</v>
      </c>
      <c r="O865" t="s">
        <v>1393</v>
      </c>
      <c r="P865" t="s">
        <v>310</v>
      </c>
      <c r="Q865" t="s">
        <v>310</v>
      </c>
      <c r="R865" t="s">
        <v>310</v>
      </c>
      <c r="S865">
        <v>9</v>
      </c>
      <c r="T865" t="s">
        <v>310</v>
      </c>
      <c r="U865">
        <v>9</v>
      </c>
      <c r="V865">
        <v>9</v>
      </c>
      <c r="W865">
        <v>0</v>
      </c>
      <c r="X865">
        <v>0</v>
      </c>
      <c r="Y865">
        <v>0</v>
      </c>
      <c r="Z865">
        <v>0</v>
      </c>
      <c r="AA865">
        <v>9</v>
      </c>
      <c r="AB865">
        <v>9</v>
      </c>
      <c r="AC865" t="s">
        <v>310</v>
      </c>
      <c r="AD865">
        <v>9</v>
      </c>
      <c r="AE865" t="s">
        <v>1417</v>
      </c>
      <c r="AF865">
        <v>0</v>
      </c>
      <c r="AG865" t="s">
        <v>310</v>
      </c>
      <c r="AH865">
        <f>SUM((MID(Dyno_Data[[#This Row],[Team]],4,5))+(Dyno_Data[[#This Row],[Match]]/100))</f>
        <v>2601.15</v>
      </c>
      <c r="AI865" s="76">
        <f>ROUND(SUM(IF(Dyno_Data[[#This Row],[AcqCenter]]&gt;0,Dyno_Data[[#This Row],[Time]]-SUMIFS(Dyno_Data[Time],Dyno_Data[Team],Dyno_Data[[#This Row],[Team]],Dyno_Data[RecordType],"StartMatch",Dyno_Data[Match],Dyno_Data[[#This Row],[Match]]),0)*86400),0)</f>
        <v>0</v>
      </c>
    </row>
    <row r="866" spans="1:35" x14ac:dyDescent="0.3">
      <c r="A866">
        <v>860</v>
      </c>
      <c r="B866" t="s">
        <v>1286</v>
      </c>
      <c r="C866">
        <v>15</v>
      </c>
      <c r="D866" s="105">
        <v>45373.459857407404</v>
      </c>
      <c r="E866" t="s">
        <v>312</v>
      </c>
      <c r="F866" t="s">
        <v>309</v>
      </c>
      <c r="G866">
        <v>0</v>
      </c>
      <c r="H866" t="s">
        <v>1397</v>
      </c>
      <c r="I866">
        <v>0</v>
      </c>
      <c r="J866">
        <v>0</v>
      </c>
      <c r="K866">
        <v>0</v>
      </c>
      <c r="L866" t="s">
        <v>240</v>
      </c>
      <c r="M866" t="s">
        <v>1398</v>
      </c>
      <c r="N866">
        <v>0</v>
      </c>
      <c r="O866" t="s">
        <v>1389</v>
      </c>
      <c r="P866" t="s">
        <v>310</v>
      </c>
      <c r="Q866" t="s">
        <v>310</v>
      </c>
      <c r="R866" t="s">
        <v>310</v>
      </c>
      <c r="S866">
        <v>9</v>
      </c>
      <c r="T866" t="s">
        <v>310</v>
      </c>
      <c r="U866">
        <v>9</v>
      </c>
      <c r="V866">
        <v>9</v>
      </c>
      <c r="W866">
        <v>0</v>
      </c>
      <c r="X866">
        <v>0</v>
      </c>
      <c r="Y866">
        <v>0</v>
      </c>
      <c r="Z866">
        <v>0</v>
      </c>
      <c r="AA866">
        <v>9</v>
      </c>
      <c r="AB866">
        <v>9</v>
      </c>
      <c r="AC866" t="s">
        <v>310</v>
      </c>
      <c r="AD866">
        <v>9</v>
      </c>
      <c r="AE866" t="s">
        <v>1412</v>
      </c>
      <c r="AF866">
        <v>0</v>
      </c>
      <c r="AG866" t="s">
        <v>310</v>
      </c>
      <c r="AH866">
        <f>SUM((MID(Dyno_Data[[#This Row],[Team]],4,5))+(Dyno_Data[[#This Row],[Match]]/100))</f>
        <v>1591.15</v>
      </c>
      <c r="AI866" s="76">
        <f>ROUND(SUM(IF(Dyno_Data[[#This Row],[AcqCenter]]&gt;0,Dyno_Data[[#This Row],[Time]]-SUMIFS(Dyno_Data[Time],Dyno_Data[Team],Dyno_Data[[#This Row],[Team]],Dyno_Data[RecordType],"StartMatch",Dyno_Data[Match],Dyno_Data[[#This Row],[Match]]),0)*86400),0)</f>
        <v>0</v>
      </c>
    </row>
    <row r="867" spans="1:35" x14ac:dyDescent="0.3">
      <c r="A867">
        <v>861</v>
      </c>
      <c r="B867" t="s">
        <v>1277</v>
      </c>
      <c r="C867">
        <v>15</v>
      </c>
      <c r="D867" s="105">
        <v>45373.459865393517</v>
      </c>
      <c r="E867" t="s">
        <v>312</v>
      </c>
      <c r="F867" t="s">
        <v>309</v>
      </c>
      <c r="G867">
        <v>0</v>
      </c>
      <c r="H867" t="s">
        <v>1397</v>
      </c>
      <c r="I867">
        <v>0</v>
      </c>
      <c r="J867">
        <v>0</v>
      </c>
      <c r="K867">
        <v>0</v>
      </c>
      <c r="L867" t="s">
        <v>240</v>
      </c>
      <c r="M867" t="s">
        <v>1398</v>
      </c>
      <c r="N867">
        <v>0</v>
      </c>
      <c r="O867" t="s">
        <v>1391</v>
      </c>
      <c r="P867" t="s">
        <v>310</v>
      </c>
      <c r="Q867" t="s">
        <v>310</v>
      </c>
      <c r="R867" t="s">
        <v>310</v>
      </c>
      <c r="S867">
        <v>9</v>
      </c>
      <c r="T867" t="s">
        <v>310</v>
      </c>
      <c r="U867">
        <v>9</v>
      </c>
      <c r="V867">
        <v>9</v>
      </c>
      <c r="W867">
        <v>0</v>
      </c>
      <c r="X867">
        <v>0</v>
      </c>
      <c r="Y867">
        <v>0</v>
      </c>
      <c r="Z867">
        <v>0</v>
      </c>
      <c r="AA867">
        <v>9</v>
      </c>
      <c r="AB867">
        <v>9</v>
      </c>
      <c r="AC867" t="s">
        <v>310</v>
      </c>
      <c r="AD867">
        <v>9</v>
      </c>
      <c r="AE867" t="s">
        <v>1418</v>
      </c>
      <c r="AF867">
        <v>0</v>
      </c>
      <c r="AG867" t="s">
        <v>310</v>
      </c>
      <c r="AH867">
        <f>SUM((MID(Dyno_Data[[#This Row],[Team]],4,5))+(Dyno_Data[[#This Row],[Match]]/100))</f>
        <v>3360.15</v>
      </c>
      <c r="AI867" s="76">
        <f>ROUND(SUM(IF(Dyno_Data[[#This Row],[AcqCenter]]&gt;0,Dyno_Data[[#This Row],[Time]]-SUMIFS(Dyno_Data[Time],Dyno_Data[Team],Dyno_Data[[#This Row],[Team]],Dyno_Data[RecordType],"StartMatch",Dyno_Data[Match],Dyno_Data[[#This Row],[Match]]),0)*86400),0)</f>
        <v>0</v>
      </c>
    </row>
    <row r="868" spans="1:35" x14ac:dyDescent="0.3">
      <c r="A868">
        <v>862</v>
      </c>
      <c r="B868" t="s">
        <v>1286</v>
      </c>
      <c r="C868">
        <v>15</v>
      </c>
      <c r="D868" s="105">
        <v>45373.459874687498</v>
      </c>
      <c r="E868" t="s">
        <v>312</v>
      </c>
      <c r="F868" t="s">
        <v>309</v>
      </c>
      <c r="G868">
        <v>0</v>
      </c>
      <c r="H868" t="s">
        <v>315</v>
      </c>
      <c r="I868">
        <v>0</v>
      </c>
      <c r="J868">
        <v>0</v>
      </c>
      <c r="K868">
        <v>0</v>
      </c>
      <c r="L868" t="s">
        <v>240</v>
      </c>
      <c r="M868" t="s">
        <v>1398</v>
      </c>
      <c r="N868">
        <v>0</v>
      </c>
      <c r="O868" t="s">
        <v>1389</v>
      </c>
      <c r="P868" t="s">
        <v>310</v>
      </c>
      <c r="Q868" t="s">
        <v>310</v>
      </c>
      <c r="R868" t="s">
        <v>310</v>
      </c>
      <c r="S868">
        <v>9</v>
      </c>
      <c r="T868" t="s">
        <v>310</v>
      </c>
      <c r="U868">
        <v>9</v>
      </c>
      <c r="V868">
        <v>9</v>
      </c>
      <c r="W868">
        <v>0</v>
      </c>
      <c r="X868">
        <v>0</v>
      </c>
      <c r="Y868">
        <v>0</v>
      </c>
      <c r="Z868">
        <v>0</v>
      </c>
      <c r="AA868">
        <v>9</v>
      </c>
      <c r="AB868">
        <v>9</v>
      </c>
      <c r="AC868" t="s">
        <v>310</v>
      </c>
      <c r="AD868">
        <v>9</v>
      </c>
      <c r="AE868" t="s">
        <v>1412</v>
      </c>
      <c r="AF868">
        <v>10000000</v>
      </c>
      <c r="AG868" t="s">
        <v>310</v>
      </c>
      <c r="AH868">
        <f>SUM((MID(Dyno_Data[[#This Row],[Team]],4,5))+(Dyno_Data[[#This Row],[Match]]/100))</f>
        <v>1591.15</v>
      </c>
      <c r="AI868" s="76">
        <f>ROUND(SUM(IF(Dyno_Data[[#This Row],[AcqCenter]]&gt;0,Dyno_Data[[#This Row],[Time]]-SUMIFS(Dyno_Data[Time],Dyno_Data[Team],Dyno_Data[[#This Row],[Team]],Dyno_Data[RecordType],"StartMatch",Dyno_Data[Match],Dyno_Data[[#This Row],[Match]]),0)*86400),0)</f>
        <v>0</v>
      </c>
    </row>
    <row r="869" spans="1:35" x14ac:dyDescent="0.3">
      <c r="A869">
        <v>863</v>
      </c>
      <c r="B869" t="s">
        <v>1308</v>
      </c>
      <c r="C869">
        <v>15</v>
      </c>
      <c r="D869" s="105">
        <v>45373.45988047454</v>
      </c>
      <c r="E869" t="s">
        <v>312</v>
      </c>
      <c r="F869" t="s">
        <v>309</v>
      </c>
      <c r="G869">
        <v>0</v>
      </c>
      <c r="H869" t="s">
        <v>1397</v>
      </c>
      <c r="I869">
        <v>0</v>
      </c>
      <c r="J869">
        <v>0</v>
      </c>
      <c r="K869">
        <v>0</v>
      </c>
      <c r="L869" t="s">
        <v>240</v>
      </c>
      <c r="M869" t="s">
        <v>1398</v>
      </c>
      <c r="N869">
        <v>0</v>
      </c>
      <c r="O869" t="s">
        <v>1395</v>
      </c>
      <c r="P869" t="s">
        <v>310</v>
      </c>
      <c r="Q869" t="s">
        <v>310</v>
      </c>
      <c r="R869" t="s">
        <v>310</v>
      </c>
      <c r="S869">
        <v>9</v>
      </c>
      <c r="T869" t="s">
        <v>310</v>
      </c>
      <c r="U869">
        <v>9</v>
      </c>
      <c r="V869">
        <v>9</v>
      </c>
      <c r="W869">
        <v>0</v>
      </c>
      <c r="X869">
        <v>0</v>
      </c>
      <c r="Y869">
        <v>0</v>
      </c>
      <c r="Z869">
        <v>0</v>
      </c>
      <c r="AA869">
        <v>9</v>
      </c>
      <c r="AB869">
        <v>9</v>
      </c>
      <c r="AC869" t="s">
        <v>310</v>
      </c>
      <c r="AD869">
        <v>9</v>
      </c>
      <c r="AE869" t="s">
        <v>1414</v>
      </c>
      <c r="AF869">
        <v>0</v>
      </c>
      <c r="AG869" t="s">
        <v>310</v>
      </c>
      <c r="AH869">
        <f>SUM((MID(Dyno_Data[[#This Row],[Team]],4,5))+(Dyno_Data[[#This Row],[Match]]/100))</f>
        <v>3799.15</v>
      </c>
      <c r="AI869" s="76">
        <f>ROUND(SUM(IF(Dyno_Data[[#This Row],[AcqCenter]]&gt;0,Dyno_Data[[#This Row],[Time]]-SUMIFS(Dyno_Data[Time],Dyno_Data[Team],Dyno_Data[[#This Row],[Team]],Dyno_Data[RecordType],"StartMatch",Dyno_Data[Match],Dyno_Data[[#This Row],[Match]]),0)*86400),0)</f>
        <v>0</v>
      </c>
    </row>
    <row r="870" spans="1:35" x14ac:dyDescent="0.3">
      <c r="A870">
        <v>881</v>
      </c>
      <c r="B870" t="s">
        <v>363</v>
      </c>
      <c r="C870">
        <v>15</v>
      </c>
      <c r="D870" s="105">
        <v>45373.45988422454</v>
      </c>
      <c r="E870" t="s">
        <v>308</v>
      </c>
      <c r="F870" t="s">
        <v>309</v>
      </c>
      <c r="G870">
        <v>0</v>
      </c>
      <c r="H870" t="s">
        <v>310</v>
      </c>
      <c r="I870">
        <v>0</v>
      </c>
      <c r="J870">
        <v>0</v>
      </c>
      <c r="K870">
        <v>0</v>
      </c>
      <c r="L870" t="s">
        <v>310</v>
      </c>
      <c r="M870" t="s">
        <v>310</v>
      </c>
      <c r="N870">
        <v>0</v>
      </c>
      <c r="O870" t="s">
        <v>1393</v>
      </c>
      <c r="P870" t="s">
        <v>310</v>
      </c>
      <c r="Q870" t="s">
        <v>310</v>
      </c>
      <c r="R870" t="s">
        <v>310</v>
      </c>
      <c r="S870">
        <v>9</v>
      </c>
      <c r="T870" t="s">
        <v>310</v>
      </c>
      <c r="U870">
        <v>9</v>
      </c>
      <c r="V870">
        <v>9</v>
      </c>
      <c r="W870">
        <v>0</v>
      </c>
      <c r="X870">
        <v>0</v>
      </c>
      <c r="Y870">
        <v>0</v>
      </c>
      <c r="Z870">
        <v>0</v>
      </c>
      <c r="AA870">
        <v>9</v>
      </c>
      <c r="AB870">
        <v>9</v>
      </c>
      <c r="AC870" t="s">
        <v>310</v>
      </c>
      <c r="AD870">
        <v>9</v>
      </c>
      <c r="AE870" t="s">
        <v>1417</v>
      </c>
      <c r="AF870">
        <v>0</v>
      </c>
      <c r="AG870" t="s">
        <v>310</v>
      </c>
      <c r="AH870">
        <f>SUM((MID(Dyno_Data[[#This Row],[Team]],4,5))+(Dyno_Data[[#This Row],[Match]]/100))</f>
        <v>2601.15</v>
      </c>
      <c r="AI870" s="76">
        <f>ROUND(SUM(IF(Dyno_Data[[#This Row],[AcqCenter]]&gt;0,Dyno_Data[[#This Row],[Time]]-SUMIFS(Dyno_Data[Time],Dyno_Data[Team],Dyno_Data[[#This Row],[Team]],Dyno_Data[RecordType],"StartMatch",Dyno_Data[Match],Dyno_Data[[#This Row],[Match]]),0)*86400),0)</f>
        <v>0</v>
      </c>
    </row>
    <row r="871" spans="1:35" x14ac:dyDescent="0.3">
      <c r="A871">
        <v>864</v>
      </c>
      <c r="B871" t="s">
        <v>1286</v>
      </c>
      <c r="C871">
        <v>15</v>
      </c>
      <c r="D871" s="105">
        <v>45373.459915312502</v>
      </c>
      <c r="E871" t="s">
        <v>312</v>
      </c>
      <c r="F871" t="s">
        <v>309</v>
      </c>
      <c r="G871">
        <v>0</v>
      </c>
      <c r="H871" t="s">
        <v>315</v>
      </c>
      <c r="I871">
        <v>0</v>
      </c>
      <c r="J871">
        <v>0</v>
      </c>
      <c r="K871">
        <v>0</v>
      </c>
      <c r="L871" t="s">
        <v>240</v>
      </c>
      <c r="M871" t="s">
        <v>1398</v>
      </c>
      <c r="N871">
        <v>0</v>
      </c>
      <c r="O871" t="s">
        <v>1389</v>
      </c>
      <c r="P871" t="s">
        <v>310</v>
      </c>
      <c r="Q871" t="s">
        <v>310</v>
      </c>
      <c r="R871" t="s">
        <v>310</v>
      </c>
      <c r="S871">
        <v>9</v>
      </c>
      <c r="T871" t="s">
        <v>310</v>
      </c>
      <c r="U871">
        <v>9</v>
      </c>
      <c r="V871">
        <v>9</v>
      </c>
      <c r="W871">
        <v>0</v>
      </c>
      <c r="X871">
        <v>0</v>
      </c>
      <c r="Y871">
        <v>0</v>
      </c>
      <c r="Z871">
        <v>0</v>
      </c>
      <c r="AA871">
        <v>9</v>
      </c>
      <c r="AB871">
        <v>9</v>
      </c>
      <c r="AC871" t="s">
        <v>310</v>
      </c>
      <c r="AD871">
        <v>9</v>
      </c>
      <c r="AE871" t="s">
        <v>1412</v>
      </c>
      <c r="AF871">
        <v>20000000</v>
      </c>
      <c r="AG871" t="s">
        <v>310</v>
      </c>
      <c r="AH871">
        <f>SUM((MID(Dyno_Data[[#This Row],[Team]],4,5))+(Dyno_Data[[#This Row],[Match]]/100))</f>
        <v>1591.15</v>
      </c>
      <c r="AI871" s="76">
        <f>ROUND(SUM(IF(Dyno_Data[[#This Row],[AcqCenter]]&gt;0,Dyno_Data[[#This Row],[Time]]-SUMIFS(Dyno_Data[Time],Dyno_Data[Team],Dyno_Data[[#This Row],[Team]],Dyno_Data[RecordType],"StartMatch",Dyno_Data[Match],Dyno_Data[[#This Row],[Match]]),0)*86400),0)</f>
        <v>0</v>
      </c>
    </row>
    <row r="872" spans="1:35" x14ac:dyDescent="0.3">
      <c r="A872">
        <v>865</v>
      </c>
      <c r="B872" t="s">
        <v>1277</v>
      </c>
      <c r="C872">
        <v>15</v>
      </c>
      <c r="D872" s="105">
        <v>45373.459918206019</v>
      </c>
      <c r="E872" t="s">
        <v>312</v>
      </c>
      <c r="F872" t="s">
        <v>309</v>
      </c>
      <c r="G872">
        <v>0</v>
      </c>
      <c r="H872" t="s">
        <v>315</v>
      </c>
      <c r="I872">
        <v>0</v>
      </c>
      <c r="J872">
        <v>0</v>
      </c>
      <c r="K872">
        <v>0</v>
      </c>
      <c r="L872" t="s">
        <v>240</v>
      </c>
      <c r="M872" t="s">
        <v>1398</v>
      </c>
      <c r="N872">
        <v>0</v>
      </c>
      <c r="O872" t="s">
        <v>1391</v>
      </c>
      <c r="P872" t="s">
        <v>310</v>
      </c>
      <c r="Q872" t="s">
        <v>310</v>
      </c>
      <c r="R872" t="s">
        <v>310</v>
      </c>
      <c r="S872">
        <v>9</v>
      </c>
      <c r="T872" t="s">
        <v>310</v>
      </c>
      <c r="U872">
        <v>9</v>
      </c>
      <c r="V872">
        <v>9</v>
      </c>
      <c r="W872">
        <v>0</v>
      </c>
      <c r="X872">
        <v>0</v>
      </c>
      <c r="Y872">
        <v>0</v>
      </c>
      <c r="Z872">
        <v>0</v>
      </c>
      <c r="AA872">
        <v>9</v>
      </c>
      <c r="AB872">
        <v>9</v>
      </c>
      <c r="AC872" t="s">
        <v>310</v>
      </c>
      <c r="AD872">
        <v>9</v>
      </c>
      <c r="AE872" t="s">
        <v>1418</v>
      </c>
      <c r="AF872">
        <v>10000000</v>
      </c>
      <c r="AG872" t="s">
        <v>310</v>
      </c>
      <c r="AH872">
        <f>SUM((MID(Dyno_Data[[#This Row],[Team]],4,5))+(Dyno_Data[[#This Row],[Match]]/100))</f>
        <v>3360.15</v>
      </c>
      <c r="AI872" s="76">
        <f>ROUND(SUM(IF(Dyno_Data[[#This Row],[AcqCenter]]&gt;0,Dyno_Data[[#This Row],[Time]]-SUMIFS(Dyno_Data[Time],Dyno_Data[Team],Dyno_Data[[#This Row],[Team]],Dyno_Data[RecordType],"StartMatch",Dyno_Data[Match],Dyno_Data[[#This Row],[Match]]),0)*86400),0)</f>
        <v>0</v>
      </c>
    </row>
    <row r="873" spans="1:35" x14ac:dyDescent="0.3">
      <c r="A873">
        <v>866</v>
      </c>
      <c r="B873" t="s">
        <v>1277</v>
      </c>
      <c r="C873">
        <v>15</v>
      </c>
      <c r="D873" s="105">
        <v>45373.459952199075</v>
      </c>
      <c r="E873" t="s">
        <v>312</v>
      </c>
      <c r="F873" t="s">
        <v>309</v>
      </c>
      <c r="G873">
        <v>0</v>
      </c>
      <c r="H873" t="s">
        <v>315</v>
      </c>
      <c r="I873">
        <v>0</v>
      </c>
      <c r="J873">
        <v>0</v>
      </c>
      <c r="K873">
        <v>0</v>
      </c>
      <c r="L873" t="s">
        <v>240</v>
      </c>
      <c r="M873" t="s">
        <v>1398</v>
      </c>
      <c r="N873">
        <v>0</v>
      </c>
      <c r="O873" t="s">
        <v>1391</v>
      </c>
      <c r="P873" t="s">
        <v>310</v>
      </c>
      <c r="Q873" t="s">
        <v>310</v>
      </c>
      <c r="R873" t="s">
        <v>310</v>
      </c>
      <c r="S873">
        <v>9</v>
      </c>
      <c r="T873" t="s">
        <v>310</v>
      </c>
      <c r="U873">
        <v>9</v>
      </c>
      <c r="V873">
        <v>9</v>
      </c>
      <c r="W873">
        <v>0</v>
      </c>
      <c r="X873">
        <v>0</v>
      </c>
      <c r="Y873">
        <v>0</v>
      </c>
      <c r="Z873">
        <v>0</v>
      </c>
      <c r="AA873">
        <v>9</v>
      </c>
      <c r="AB873">
        <v>9</v>
      </c>
      <c r="AC873" t="s">
        <v>310</v>
      </c>
      <c r="AD873">
        <v>9</v>
      </c>
      <c r="AE873" t="s">
        <v>1418</v>
      </c>
      <c r="AF873">
        <v>20000000</v>
      </c>
      <c r="AG873" t="s">
        <v>310</v>
      </c>
      <c r="AH873">
        <f>SUM((MID(Dyno_Data[[#This Row],[Team]],4,5))+(Dyno_Data[[#This Row],[Match]]/100))</f>
        <v>3360.15</v>
      </c>
      <c r="AI873" s="76">
        <f>ROUND(SUM(IF(Dyno_Data[[#This Row],[AcqCenter]]&gt;0,Dyno_Data[[#This Row],[Time]]-SUMIFS(Dyno_Data[Time],Dyno_Data[Team],Dyno_Data[[#This Row],[Team]],Dyno_Data[RecordType],"StartMatch",Dyno_Data[Match],Dyno_Data[[#This Row],[Match]]),0)*86400),0)</f>
        <v>0</v>
      </c>
    </row>
    <row r="874" spans="1:35" x14ac:dyDescent="0.3">
      <c r="A874">
        <v>868</v>
      </c>
      <c r="B874" t="s">
        <v>1286</v>
      </c>
      <c r="C874">
        <v>15</v>
      </c>
      <c r="D874" s="105">
        <v>45373.459968020834</v>
      </c>
      <c r="E874" t="s">
        <v>312</v>
      </c>
      <c r="F874" t="s">
        <v>309</v>
      </c>
      <c r="G874">
        <v>0</v>
      </c>
      <c r="H874" t="s">
        <v>143</v>
      </c>
      <c r="I874">
        <v>5</v>
      </c>
      <c r="J874">
        <v>1</v>
      </c>
      <c r="K874">
        <v>0</v>
      </c>
      <c r="L874" t="s">
        <v>310</v>
      </c>
      <c r="M874" t="s">
        <v>310</v>
      </c>
      <c r="N874">
        <v>0</v>
      </c>
      <c r="O874" t="s">
        <v>1389</v>
      </c>
      <c r="P874" t="s">
        <v>310</v>
      </c>
      <c r="Q874" t="s">
        <v>310</v>
      </c>
      <c r="R874" t="s">
        <v>310</v>
      </c>
      <c r="S874">
        <v>9</v>
      </c>
      <c r="T874" t="s">
        <v>310</v>
      </c>
      <c r="U874">
        <v>9</v>
      </c>
      <c r="V874">
        <v>9</v>
      </c>
      <c r="W874">
        <v>0</v>
      </c>
      <c r="X874">
        <v>0</v>
      </c>
      <c r="Y874">
        <v>0</v>
      </c>
      <c r="Z874">
        <v>0</v>
      </c>
      <c r="AA874">
        <v>9</v>
      </c>
      <c r="AB874">
        <v>9</v>
      </c>
      <c r="AC874" t="s">
        <v>310</v>
      </c>
      <c r="AD874">
        <v>9</v>
      </c>
      <c r="AE874" t="s">
        <v>1412</v>
      </c>
      <c r="AF874">
        <v>20000000</v>
      </c>
      <c r="AG874" t="s">
        <v>310</v>
      </c>
      <c r="AH874">
        <f>SUM((MID(Dyno_Data[[#This Row],[Team]],4,5))+(Dyno_Data[[#This Row],[Match]]/100))</f>
        <v>1591.15</v>
      </c>
      <c r="AI874" s="76">
        <f>ROUND(SUM(IF(Dyno_Data[[#This Row],[AcqCenter]]&gt;0,Dyno_Data[[#This Row],[Time]]-SUMIFS(Dyno_Data[Time],Dyno_Data[Team],Dyno_Data[[#This Row],[Team]],Dyno_Data[RecordType],"StartMatch",Dyno_Data[Match],Dyno_Data[[#This Row],[Match]]),0)*86400),0)</f>
        <v>10</v>
      </c>
    </row>
    <row r="875" spans="1:35" x14ac:dyDescent="0.3">
      <c r="A875">
        <v>867</v>
      </c>
      <c r="B875" t="s">
        <v>1277</v>
      </c>
      <c r="C875">
        <v>15</v>
      </c>
      <c r="D875" s="105">
        <v>45373.460012118056</v>
      </c>
      <c r="E875" t="s">
        <v>312</v>
      </c>
      <c r="F875" t="s">
        <v>309</v>
      </c>
      <c r="G875">
        <v>0</v>
      </c>
      <c r="H875" t="s">
        <v>315</v>
      </c>
      <c r="I875">
        <v>0</v>
      </c>
      <c r="J875">
        <v>0</v>
      </c>
      <c r="K875">
        <v>0</v>
      </c>
      <c r="L875" t="s">
        <v>240</v>
      </c>
      <c r="M875" t="s">
        <v>101</v>
      </c>
      <c r="N875">
        <v>0</v>
      </c>
      <c r="O875" t="s">
        <v>1391</v>
      </c>
      <c r="P875" t="s">
        <v>310</v>
      </c>
      <c r="Q875" t="s">
        <v>310</v>
      </c>
      <c r="R875" t="s">
        <v>310</v>
      </c>
      <c r="S875">
        <v>9</v>
      </c>
      <c r="T875" t="s">
        <v>310</v>
      </c>
      <c r="U875">
        <v>9</v>
      </c>
      <c r="V875">
        <v>9</v>
      </c>
      <c r="W875">
        <v>0</v>
      </c>
      <c r="X875">
        <v>0</v>
      </c>
      <c r="Y875">
        <v>0</v>
      </c>
      <c r="Z875">
        <v>0</v>
      </c>
      <c r="AA875">
        <v>9</v>
      </c>
      <c r="AB875">
        <v>9</v>
      </c>
      <c r="AC875" t="s">
        <v>310</v>
      </c>
      <c r="AD875">
        <v>9</v>
      </c>
      <c r="AE875" t="s">
        <v>1418</v>
      </c>
      <c r="AF875">
        <v>30000000</v>
      </c>
      <c r="AG875" t="s">
        <v>310</v>
      </c>
      <c r="AH875">
        <f>SUM((MID(Dyno_Data[[#This Row],[Team]],4,5))+(Dyno_Data[[#This Row],[Match]]/100))</f>
        <v>3360.15</v>
      </c>
      <c r="AI875" s="76">
        <f>ROUND(SUM(IF(Dyno_Data[[#This Row],[AcqCenter]]&gt;0,Dyno_Data[[#This Row],[Time]]-SUMIFS(Dyno_Data[Time],Dyno_Data[Team],Dyno_Data[[#This Row],[Team]],Dyno_Data[RecordType],"StartMatch",Dyno_Data[Match],Dyno_Data[[#This Row],[Match]]),0)*86400),0)</f>
        <v>0</v>
      </c>
    </row>
    <row r="876" spans="1:35" x14ac:dyDescent="0.3">
      <c r="A876">
        <v>870</v>
      </c>
      <c r="B876" t="s">
        <v>369</v>
      </c>
      <c r="C876">
        <v>15</v>
      </c>
      <c r="D876" s="105">
        <v>45373.460042511571</v>
      </c>
      <c r="E876" t="s">
        <v>314</v>
      </c>
      <c r="F876" t="s">
        <v>309</v>
      </c>
      <c r="G876">
        <v>0</v>
      </c>
      <c r="H876" t="s">
        <v>310</v>
      </c>
      <c r="I876">
        <v>0</v>
      </c>
      <c r="J876">
        <v>0</v>
      </c>
      <c r="K876">
        <v>0</v>
      </c>
      <c r="L876" t="s">
        <v>310</v>
      </c>
      <c r="M876" t="s">
        <v>310</v>
      </c>
      <c r="N876">
        <v>0</v>
      </c>
      <c r="O876" t="s">
        <v>311</v>
      </c>
      <c r="P876" t="s">
        <v>320</v>
      </c>
      <c r="Q876" t="s">
        <v>1400</v>
      </c>
      <c r="R876" t="s">
        <v>310</v>
      </c>
      <c r="S876">
        <v>9</v>
      </c>
      <c r="T876" t="s">
        <v>310</v>
      </c>
      <c r="U876">
        <v>9</v>
      </c>
      <c r="V876">
        <v>9</v>
      </c>
      <c r="W876">
        <v>0</v>
      </c>
      <c r="X876">
        <v>0</v>
      </c>
      <c r="Y876">
        <v>0</v>
      </c>
      <c r="Z876">
        <v>0</v>
      </c>
      <c r="AA876">
        <v>9</v>
      </c>
      <c r="AB876">
        <v>9</v>
      </c>
      <c r="AC876" t="s">
        <v>310</v>
      </c>
      <c r="AD876">
        <v>9</v>
      </c>
      <c r="AE876" t="s">
        <v>1413</v>
      </c>
      <c r="AF876">
        <v>0</v>
      </c>
      <c r="AG876" t="s">
        <v>310</v>
      </c>
      <c r="AH876">
        <f>SUM((MID(Dyno_Data[[#This Row],[Team]],4,5))+(Dyno_Data[[#This Row],[Match]]/100))</f>
        <v>6463.15</v>
      </c>
      <c r="AI876" s="76">
        <f>ROUND(SUM(IF(Dyno_Data[[#This Row],[AcqCenter]]&gt;0,Dyno_Data[[#This Row],[Time]]-SUMIFS(Dyno_Data[Time],Dyno_Data[Team],Dyno_Data[[#This Row],[Team]],Dyno_Data[RecordType],"StartMatch",Dyno_Data[Match],Dyno_Data[[#This Row],[Match]]),0)*86400),0)</f>
        <v>0</v>
      </c>
    </row>
    <row r="877" spans="1:35" x14ac:dyDescent="0.3">
      <c r="A877">
        <v>872</v>
      </c>
      <c r="B877" t="s">
        <v>1301</v>
      </c>
      <c r="C877">
        <v>15</v>
      </c>
      <c r="D877" s="105">
        <v>45373.460043981482</v>
      </c>
      <c r="E877" t="s">
        <v>314</v>
      </c>
      <c r="F877" t="s">
        <v>309</v>
      </c>
      <c r="G877">
        <v>0</v>
      </c>
      <c r="H877" t="s">
        <v>310</v>
      </c>
      <c r="I877">
        <v>0</v>
      </c>
      <c r="J877">
        <v>0</v>
      </c>
      <c r="K877">
        <v>0</v>
      </c>
      <c r="L877" t="s">
        <v>310</v>
      </c>
      <c r="M877" t="s">
        <v>310</v>
      </c>
      <c r="N877">
        <v>0</v>
      </c>
      <c r="O877" t="s">
        <v>319</v>
      </c>
      <c r="P877" t="s">
        <v>320</v>
      </c>
      <c r="Q877" t="s">
        <v>1400</v>
      </c>
      <c r="R877" t="s">
        <v>310</v>
      </c>
      <c r="S877">
        <v>9</v>
      </c>
      <c r="T877" t="s">
        <v>310</v>
      </c>
      <c r="U877">
        <v>9</v>
      </c>
      <c r="V877">
        <v>9</v>
      </c>
      <c r="W877">
        <v>0</v>
      </c>
      <c r="X877">
        <v>0</v>
      </c>
      <c r="Y877">
        <v>0</v>
      </c>
      <c r="Z877">
        <v>0</v>
      </c>
      <c r="AA877">
        <v>9</v>
      </c>
      <c r="AB877">
        <v>9</v>
      </c>
      <c r="AC877" t="s">
        <v>310</v>
      </c>
      <c r="AD877">
        <v>9</v>
      </c>
      <c r="AE877" t="s">
        <v>1416</v>
      </c>
      <c r="AF877">
        <v>0</v>
      </c>
      <c r="AG877" t="s">
        <v>310</v>
      </c>
      <c r="AH877">
        <f>SUM((MID(Dyno_Data[[#This Row],[Team]],4,5))+(Dyno_Data[[#This Row],[Match]]/100))</f>
        <v>7031.15</v>
      </c>
      <c r="AI877" s="76">
        <f>ROUND(SUM(IF(Dyno_Data[[#This Row],[AcqCenter]]&gt;0,Dyno_Data[[#This Row],[Time]]-SUMIFS(Dyno_Data[Time],Dyno_Data[Team],Dyno_Data[[#This Row],[Team]],Dyno_Data[RecordType],"StartMatch",Dyno_Data[Match],Dyno_Data[[#This Row],[Match]]),0)*86400),0)</f>
        <v>0</v>
      </c>
    </row>
    <row r="878" spans="1:35" x14ac:dyDescent="0.3">
      <c r="A878">
        <v>874</v>
      </c>
      <c r="B878" t="s">
        <v>1308</v>
      </c>
      <c r="C878">
        <v>15</v>
      </c>
      <c r="D878" s="105">
        <v>45373.460048460649</v>
      </c>
      <c r="E878" t="s">
        <v>314</v>
      </c>
      <c r="F878" t="s">
        <v>309</v>
      </c>
      <c r="G878">
        <v>0</v>
      </c>
      <c r="H878" t="s">
        <v>310</v>
      </c>
      <c r="I878">
        <v>0</v>
      </c>
      <c r="J878">
        <v>0</v>
      </c>
      <c r="K878">
        <v>0</v>
      </c>
      <c r="L878" t="s">
        <v>310</v>
      </c>
      <c r="M878" t="s">
        <v>310</v>
      </c>
      <c r="N878">
        <v>0</v>
      </c>
      <c r="O878" t="s">
        <v>1395</v>
      </c>
      <c r="P878" t="s">
        <v>101</v>
      </c>
      <c r="Q878" t="s">
        <v>1400</v>
      </c>
      <c r="R878" t="s">
        <v>310</v>
      </c>
      <c r="S878">
        <v>9</v>
      </c>
      <c r="T878" t="s">
        <v>310</v>
      </c>
      <c r="U878">
        <v>9</v>
      </c>
      <c r="V878">
        <v>9</v>
      </c>
      <c r="W878">
        <v>0</v>
      </c>
      <c r="X878">
        <v>0</v>
      </c>
      <c r="Y878">
        <v>0</v>
      </c>
      <c r="Z878">
        <v>0</v>
      </c>
      <c r="AA878">
        <v>9</v>
      </c>
      <c r="AB878">
        <v>9</v>
      </c>
      <c r="AC878" t="s">
        <v>310</v>
      </c>
      <c r="AD878">
        <v>9</v>
      </c>
      <c r="AE878" t="s">
        <v>1414</v>
      </c>
      <c r="AF878">
        <v>0</v>
      </c>
      <c r="AG878" t="s">
        <v>310</v>
      </c>
      <c r="AH878">
        <f>SUM((MID(Dyno_Data[[#This Row],[Team]],4,5))+(Dyno_Data[[#This Row],[Match]]/100))</f>
        <v>3799.15</v>
      </c>
      <c r="AI878" s="76">
        <f>ROUND(SUM(IF(Dyno_Data[[#This Row],[AcqCenter]]&gt;0,Dyno_Data[[#This Row],[Time]]-SUMIFS(Dyno_Data[Time],Dyno_Data[Team],Dyno_Data[[#This Row],[Team]],Dyno_Data[RecordType],"StartMatch",Dyno_Data[Match],Dyno_Data[[#This Row],[Match]]),0)*86400),0)</f>
        <v>0</v>
      </c>
    </row>
    <row r="879" spans="1:35" x14ac:dyDescent="0.3">
      <c r="A879">
        <v>875</v>
      </c>
      <c r="B879" t="s">
        <v>1286</v>
      </c>
      <c r="C879">
        <v>15</v>
      </c>
      <c r="D879" s="105">
        <v>45373.460052743052</v>
      </c>
      <c r="E879" t="s">
        <v>312</v>
      </c>
      <c r="F879" t="s">
        <v>309</v>
      </c>
      <c r="G879">
        <v>0</v>
      </c>
      <c r="H879" t="s">
        <v>143</v>
      </c>
      <c r="I879">
        <v>0</v>
      </c>
      <c r="J879">
        <v>0</v>
      </c>
      <c r="K879">
        <v>0</v>
      </c>
      <c r="L879" t="s">
        <v>241</v>
      </c>
      <c r="M879" t="s">
        <v>1398</v>
      </c>
      <c r="N879">
        <v>0</v>
      </c>
      <c r="O879" t="s">
        <v>1389</v>
      </c>
      <c r="P879" t="s">
        <v>310</v>
      </c>
      <c r="Q879" t="s">
        <v>310</v>
      </c>
      <c r="R879" t="s">
        <v>310</v>
      </c>
      <c r="S879">
        <v>9</v>
      </c>
      <c r="T879" t="s">
        <v>310</v>
      </c>
      <c r="U879">
        <v>9</v>
      </c>
      <c r="V879">
        <v>9</v>
      </c>
      <c r="W879">
        <v>0</v>
      </c>
      <c r="X879">
        <v>0</v>
      </c>
      <c r="Y879">
        <v>0</v>
      </c>
      <c r="Z879">
        <v>0</v>
      </c>
      <c r="AA879">
        <v>9</v>
      </c>
      <c r="AB879">
        <v>9</v>
      </c>
      <c r="AC879" t="s">
        <v>310</v>
      </c>
      <c r="AD879">
        <v>9</v>
      </c>
      <c r="AE879" t="s">
        <v>1412</v>
      </c>
      <c r="AF879">
        <v>20000000</v>
      </c>
      <c r="AG879" t="s">
        <v>310</v>
      </c>
      <c r="AH879">
        <f>SUM((MID(Dyno_Data[[#This Row],[Team]],4,5))+(Dyno_Data[[#This Row],[Match]]/100))</f>
        <v>1591.15</v>
      </c>
      <c r="AI879" s="76">
        <f>ROUND(SUM(IF(Dyno_Data[[#This Row],[AcqCenter]]&gt;0,Dyno_Data[[#This Row],[Time]]-SUMIFS(Dyno_Data[Time],Dyno_Data[Team],Dyno_Data[[#This Row],[Team]],Dyno_Data[RecordType],"StartMatch",Dyno_Data[Match],Dyno_Data[[#This Row],[Match]]),0)*86400),0)</f>
        <v>0</v>
      </c>
    </row>
    <row r="880" spans="1:35" x14ac:dyDescent="0.3">
      <c r="A880">
        <v>877</v>
      </c>
      <c r="B880" t="s">
        <v>1277</v>
      </c>
      <c r="C880">
        <v>15</v>
      </c>
      <c r="D880" s="105">
        <v>45373.460053472219</v>
      </c>
      <c r="E880" t="s">
        <v>314</v>
      </c>
      <c r="F880" t="s">
        <v>309</v>
      </c>
      <c r="G880">
        <v>1</v>
      </c>
      <c r="H880" t="s">
        <v>310</v>
      </c>
      <c r="I880">
        <v>0</v>
      </c>
      <c r="J880">
        <v>0</v>
      </c>
      <c r="K880">
        <v>0</v>
      </c>
      <c r="L880" t="s">
        <v>310</v>
      </c>
      <c r="M880" t="s">
        <v>310</v>
      </c>
      <c r="N880">
        <v>0</v>
      </c>
      <c r="O880" t="s">
        <v>1391</v>
      </c>
      <c r="P880" t="s">
        <v>240</v>
      </c>
      <c r="Q880" t="s">
        <v>1399</v>
      </c>
      <c r="R880" t="s">
        <v>310</v>
      </c>
      <c r="S880">
        <v>9</v>
      </c>
      <c r="T880" t="s">
        <v>310</v>
      </c>
      <c r="U880">
        <v>9</v>
      </c>
      <c r="V880">
        <v>9</v>
      </c>
      <c r="W880">
        <v>0</v>
      </c>
      <c r="X880">
        <v>0</v>
      </c>
      <c r="Y880">
        <v>0</v>
      </c>
      <c r="Z880">
        <v>0</v>
      </c>
      <c r="AA880">
        <v>9</v>
      </c>
      <c r="AB880">
        <v>9</v>
      </c>
      <c r="AC880" t="s">
        <v>310</v>
      </c>
      <c r="AD880">
        <v>9</v>
      </c>
      <c r="AE880" t="s">
        <v>1418</v>
      </c>
      <c r="AF880">
        <v>30000000</v>
      </c>
      <c r="AG880" t="s">
        <v>310</v>
      </c>
      <c r="AH880">
        <f>SUM((MID(Dyno_Data[[#This Row],[Team]],4,5))+(Dyno_Data[[#This Row],[Match]]/100))</f>
        <v>3360.15</v>
      </c>
      <c r="AI880" s="76">
        <f>ROUND(SUM(IF(Dyno_Data[[#This Row],[AcqCenter]]&gt;0,Dyno_Data[[#This Row],[Time]]-SUMIFS(Dyno_Data[Time],Dyno_Data[Team],Dyno_Data[[#This Row],[Team]],Dyno_Data[RecordType],"StartMatch",Dyno_Data[Match],Dyno_Data[[#This Row],[Match]]),0)*86400),0)</f>
        <v>0</v>
      </c>
    </row>
    <row r="881" spans="1:35" x14ac:dyDescent="0.3">
      <c r="A881">
        <v>879</v>
      </c>
      <c r="B881" t="s">
        <v>1286</v>
      </c>
      <c r="C881">
        <v>15</v>
      </c>
      <c r="D881" s="105">
        <v>45373.460057060183</v>
      </c>
      <c r="E881" t="s">
        <v>314</v>
      </c>
      <c r="F881" t="s">
        <v>309</v>
      </c>
      <c r="G881">
        <v>1</v>
      </c>
      <c r="H881" t="s">
        <v>310</v>
      </c>
      <c r="I881">
        <v>0</v>
      </c>
      <c r="J881">
        <v>0</v>
      </c>
      <c r="K881">
        <v>0</v>
      </c>
      <c r="L881" t="s">
        <v>310</v>
      </c>
      <c r="M881" t="s">
        <v>310</v>
      </c>
      <c r="N881">
        <v>0</v>
      </c>
      <c r="O881" t="s">
        <v>1389</v>
      </c>
      <c r="P881" t="s">
        <v>240</v>
      </c>
      <c r="Q881" t="s">
        <v>1400</v>
      </c>
      <c r="R881" t="s">
        <v>310</v>
      </c>
      <c r="S881">
        <v>9</v>
      </c>
      <c r="T881" t="s">
        <v>310</v>
      </c>
      <c r="U881">
        <v>9</v>
      </c>
      <c r="V881">
        <v>9</v>
      </c>
      <c r="W881">
        <v>0</v>
      </c>
      <c r="X881">
        <v>0</v>
      </c>
      <c r="Y881">
        <v>0</v>
      </c>
      <c r="Z881">
        <v>0</v>
      </c>
      <c r="AA881">
        <v>9</v>
      </c>
      <c r="AB881">
        <v>9</v>
      </c>
      <c r="AC881" t="s">
        <v>310</v>
      </c>
      <c r="AD881">
        <v>9</v>
      </c>
      <c r="AE881" t="s">
        <v>1412</v>
      </c>
      <c r="AF881">
        <v>20000000</v>
      </c>
      <c r="AG881" t="s">
        <v>310</v>
      </c>
      <c r="AH881">
        <f>SUM((MID(Dyno_Data[[#This Row],[Team]],4,5))+(Dyno_Data[[#This Row],[Match]]/100))</f>
        <v>1591.15</v>
      </c>
      <c r="AI881" s="76">
        <f>ROUND(SUM(IF(Dyno_Data[[#This Row],[AcqCenter]]&gt;0,Dyno_Data[[#This Row],[Time]]-SUMIFS(Dyno_Data[Time],Dyno_Data[Team],Dyno_Data[[#This Row],[Team]],Dyno_Data[RecordType],"StartMatch",Dyno_Data[Match],Dyno_Data[[#This Row],[Match]]),0)*86400),0)</f>
        <v>0</v>
      </c>
    </row>
    <row r="882" spans="1:35" x14ac:dyDescent="0.3">
      <c r="A882">
        <v>880</v>
      </c>
      <c r="B882" t="s">
        <v>363</v>
      </c>
      <c r="C882">
        <v>15</v>
      </c>
      <c r="D882" s="105">
        <v>45373.460069409724</v>
      </c>
      <c r="E882" t="s">
        <v>312</v>
      </c>
      <c r="F882" t="s">
        <v>309</v>
      </c>
      <c r="G882">
        <v>0</v>
      </c>
      <c r="H882" t="s">
        <v>143</v>
      </c>
      <c r="I882">
        <v>1</v>
      </c>
      <c r="J882">
        <v>-1</v>
      </c>
      <c r="K882">
        <v>0</v>
      </c>
      <c r="L882" t="s">
        <v>310</v>
      </c>
      <c r="M882" t="s">
        <v>310</v>
      </c>
      <c r="N882">
        <v>0</v>
      </c>
      <c r="O882" t="s">
        <v>1393</v>
      </c>
      <c r="P882" t="s">
        <v>310</v>
      </c>
      <c r="Q882" t="s">
        <v>310</v>
      </c>
      <c r="R882" t="s">
        <v>310</v>
      </c>
      <c r="S882">
        <v>9</v>
      </c>
      <c r="T882" t="s">
        <v>310</v>
      </c>
      <c r="U882">
        <v>9</v>
      </c>
      <c r="V882">
        <v>9</v>
      </c>
      <c r="W882">
        <v>0</v>
      </c>
      <c r="X882">
        <v>0</v>
      </c>
      <c r="Y882">
        <v>0</v>
      </c>
      <c r="Z882">
        <v>0</v>
      </c>
      <c r="AA882">
        <v>9</v>
      </c>
      <c r="AB882">
        <v>9</v>
      </c>
      <c r="AC882" t="s">
        <v>310</v>
      </c>
      <c r="AD882">
        <v>9</v>
      </c>
      <c r="AE882" t="s">
        <v>1417</v>
      </c>
      <c r="AF882">
        <v>0</v>
      </c>
      <c r="AG882" t="s">
        <v>310</v>
      </c>
      <c r="AH882">
        <f>SUM((MID(Dyno_Data[[#This Row],[Team]],4,5))+(Dyno_Data[[#This Row],[Match]]/100))</f>
        <v>2601.15</v>
      </c>
      <c r="AI882" s="76">
        <f>ROUND(SUM(IF(Dyno_Data[[#This Row],[AcqCenter]]&gt;0,Dyno_Data[[#This Row],[Time]]-SUMIFS(Dyno_Data[Time],Dyno_Data[Team],Dyno_Data[[#This Row],[Team]],Dyno_Data[RecordType],"StartMatch",Dyno_Data[Match],Dyno_Data[[#This Row],[Match]]),0)*86400),0)</f>
        <v>16</v>
      </c>
    </row>
    <row r="883" spans="1:35" x14ac:dyDescent="0.3">
      <c r="A883">
        <v>882</v>
      </c>
      <c r="B883" t="s">
        <v>363</v>
      </c>
      <c r="C883">
        <v>15</v>
      </c>
      <c r="D883" s="105">
        <v>45373.460092557871</v>
      </c>
      <c r="E883" t="s">
        <v>314</v>
      </c>
      <c r="F883" t="s">
        <v>309</v>
      </c>
      <c r="G883">
        <v>1</v>
      </c>
      <c r="H883" t="s">
        <v>310</v>
      </c>
      <c r="I883">
        <v>0</v>
      </c>
      <c r="J883">
        <v>0</v>
      </c>
      <c r="K883">
        <v>0</v>
      </c>
      <c r="L883" t="s">
        <v>310</v>
      </c>
      <c r="M883" t="s">
        <v>310</v>
      </c>
      <c r="N883">
        <v>0</v>
      </c>
      <c r="O883" t="s">
        <v>1393</v>
      </c>
      <c r="P883" t="s">
        <v>1401</v>
      </c>
      <c r="Q883" t="s">
        <v>1399</v>
      </c>
      <c r="R883" t="s">
        <v>310</v>
      </c>
      <c r="S883">
        <v>9</v>
      </c>
      <c r="T883" t="s">
        <v>310</v>
      </c>
      <c r="U883">
        <v>9</v>
      </c>
      <c r="V883">
        <v>9</v>
      </c>
      <c r="W883">
        <v>0</v>
      </c>
      <c r="X883">
        <v>0</v>
      </c>
      <c r="Y883">
        <v>0</v>
      </c>
      <c r="Z883">
        <v>0</v>
      </c>
      <c r="AA883">
        <v>9</v>
      </c>
      <c r="AB883">
        <v>9</v>
      </c>
      <c r="AC883" t="s">
        <v>310</v>
      </c>
      <c r="AD883">
        <v>9</v>
      </c>
      <c r="AE883" t="s">
        <v>1417</v>
      </c>
      <c r="AF883">
        <v>0</v>
      </c>
      <c r="AG883" t="s">
        <v>310</v>
      </c>
      <c r="AH883">
        <f>SUM((MID(Dyno_Data[[#This Row],[Team]],4,5))+(Dyno_Data[[#This Row],[Match]]/100))</f>
        <v>2601.15</v>
      </c>
      <c r="AI883" s="76">
        <f>ROUND(SUM(IF(Dyno_Data[[#This Row],[AcqCenter]]&gt;0,Dyno_Data[[#This Row],[Time]]-SUMIFS(Dyno_Data[Time],Dyno_Data[Team],Dyno_Data[[#This Row],[Team]],Dyno_Data[RecordType],"StartMatch",Dyno_Data[Match],Dyno_Data[[#This Row],[Match]]),0)*86400),0)</f>
        <v>0</v>
      </c>
    </row>
    <row r="884" spans="1:35" x14ac:dyDescent="0.3">
      <c r="A884">
        <v>883</v>
      </c>
      <c r="B884" t="s">
        <v>1286</v>
      </c>
      <c r="C884">
        <v>15</v>
      </c>
      <c r="D884" s="105">
        <v>45373.460164236109</v>
      </c>
      <c r="E884" t="s">
        <v>312</v>
      </c>
      <c r="F884" t="s">
        <v>1402</v>
      </c>
      <c r="G884">
        <v>0</v>
      </c>
      <c r="H884" t="s">
        <v>315</v>
      </c>
      <c r="I884">
        <v>0</v>
      </c>
      <c r="J884">
        <v>0</v>
      </c>
      <c r="K884">
        <v>0</v>
      </c>
      <c r="L884" t="s">
        <v>241</v>
      </c>
      <c r="M884" t="s">
        <v>101</v>
      </c>
      <c r="N884">
        <v>0</v>
      </c>
      <c r="O884" t="s">
        <v>1389</v>
      </c>
      <c r="P884" t="s">
        <v>310</v>
      </c>
      <c r="Q884" t="s">
        <v>310</v>
      </c>
      <c r="R884" t="s">
        <v>310</v>
      </c>
      <c r="S884">
        <v>9</v>
      </c>
      <c r="T884" t="s">
        <v>310</v>
      </c>
      <c r="U884">
        <v>9</v>
      </c>
      <c r="V884">
        <v>9</v>
      </c>
      <c r="W884">
        <v>0</v>
      </c>
      <c r="X884">
        <v>0</v>
      </c>
      <c r="Y884">
        <v>0</v>
      </c>
      <c r="Z884">
        <v>0</v>
      </c>
      <c r="AA884">
        <v>9</v>
      </c>
      <c r="AB884">
        <v>9</v>
      </c>
      <c r="AC884" t="s">
        <v>310</v>
      </c>
      <c r="AD884">
        <v>9</v>
      </c>
      <c r="AE884" t="s">
        <v>1412</v>
      </c>
      <c r="AF884">
        <v>30000000</v>
      </c>
      <c r="AG884" t="s">
        <v>310</v>
      </c>
      <c r="AH884">
        <f>SUM((MID(Dyno_Data[[#This Row],[Team]],4,5))+(Dyno_Data[[#This Row],[Match]]/100))</f>
        <v>1591.15</v>
      </c>
      <c r="AI884" s="76">
        <f>ROUND(SUM(IF(Dyno_Data[[#This Row],[AcqCenter]]&gt;0,Dyno_Data[[#This Row],[Time]]-SUMIFS(Dyno_Data[Time],Dyno_Data[Team],Dyno_Data[[#This Row],[Team]],Dyno_Data[RecordType],"StartMatch",Dyno_Data[Match],Dyno_Data[[#This Row],[Match]]),0)*86400),0)</f>
        <v>0</v>
      </c>
    </row>
    <row r="885" spans="1:35" x14ac:dyDescent="0.3">
      <c r="A885">
        <v>884</v>
      </c>
      <c r="B885" t="s">
        <v>1308</v>
      </c>
      <c r="C885">
        <v>15</v>
      </c>
      <c r="D885" s="105">
        <v>45373.460174386571</v>
      </c>
      <c r="E885" t="s">
        <v>312</v>
      </c>
      <c r="F885" t="s">
        <v>1402</v>
      </c>
      <c r="G885">
        <v>0</v>
      </c>
      <c r="H885" t="s">
        <v>315</v>
      </c>
      <c r="I885">
        <v>0</v>
      </c>
      <c r="J885">
        <v>0</v>
      </c>
      <c r="K885">
        <v>0</v>
      </c>
      <c r="L885" t="s">
        <v>241</v>
      </c>
      <c r="M885" t="s">
        <v>1398</v>
      </c>
      <c r="N885">
        <v>0</v>
      </c>
      <c r="O885" t="s">
        <v>1395</v>
      </c>
      <c r="P885" t="s">
        <v>310</v>
      </c>
      <c r="Q885" t="s">
        <v>310</v>
      </c>
      <c r="R885" t="s">
        <v>310</v>
      </c>
      <c r="S885">
        <v>9</v>
      </c>
      <c r="T885" t="s">
        <v>310</v>
      </c>
      <c r="U885">
        <v>9</v>
      </c>
      <c r="V885">
        <v>9</v>
      </c>
      <c r="W885">
        <v>0</v>
      </c>
      <c r="X885">
        <v>0</v>
      </c>
      <c r="Y885">
        <v>0</v>
      </c>
      <c r="Z885">
        <v>0</v>
      </c>
      <c r="AA885">
        <v>9</v>
      </c>
      <c r="AB885">
        <v>9</v>
      </c>
      <c r="AC885" t="s">
        <v>310</v>
      </c>
      <c r="AD885">
        <v>9</v>
      </c>
      <c r="AE885" t="s">
        <v>1414</v>
      </c>
      <c r="AF885">
        <v>10000000</v>
      </c>
      <c r="AG885" t="s">
        <v>310</v>
      </c>
      <c r="AH885">
        <f>SUM((MID(Dyno_Data[[#This Row],[Team]],4,5))+(Dyno_Data[[#This Row],[Match]]/100))</f>
        <v>3799.15</v>
      </c>
      <c r="AI885" s="76">
        <f>ROUND(SUM(IF(Dyno_Data[[#This Row],[AcqCenter]]&gt;0,Dyno_Data[[#This Row],[Time]]-SUMIFS(Dyno_Data[Time],Dyno_Data[Team],Dyno_Data[[#This Row],[Team]],Dyno_Data[RecordType],"StartMatch",Dyno_Data[Match],Dyno_Data[[#This Row],[Match]]),0)*86400),0)</f>
        <v>0</v>
      </c>
    </row>
    <row r="886" spans="1:35" x14ac:dyDescent="0.3">
      <c r="A886">
        <v>885</v>
      </c>
      <c r="B886" t="s">
        <v>363</v>
      </c>
      <c r="C886">
        <v>15</v>
      </c>
      <c r="D886" s="105">
        <v>45373.460199687499</v>
      </c>
      <c r="E886" t="s">
        <v>312</v>
      </c>
      <c r="F886" t="s">
        <v>1402</v>
      </c>
      <c r="G886">
        <v>0</v>
      </c>
      <c r="H886" t="s">
        <v>315</v>
      </c>
      <c r="I886">
        <v>0</v>
      </c>
      <c r="J886">
        <v>0</v>
      </c>
      <c r="K886">
        <v>0</v>
      </c>
      <c r="L886" t="s">
        <v>241</v>
      </c>
      <c r="M886" t="s">
        <v>1398</v>
      </c>
      <c r="N886">
        <v>0</v>
      </c>
      <c r="O886" t="s">
        <v>1393</v>
      </c>
      <c r="P886" t="s">
        <v>310</v>
      </c>
      <c r="Q886" t="s">
        <v>310</v>
      </c>
      <c r="R886" t="s">
        <v>310</v>
      </c>
      <c r="S886">
        <v>9</v>
      </c>
      <c r="T886" t="s">
        <v>310</v>
      </c>
      <c r="U886">
        <v>9</v>
      </c>
      <c r="V886">
        <v>9</v>
      </c>
      <c r="W886">
        <v>0</v>
      </c>
      <c r="X886">
        <v>0</v>
      </c>
      <c r="Y886">
        <v>0</v>
      </c>
      <c r="Z886">
        <v>0</v>
      </c>
      <c r="AA886">
        <v>9</v>
      </c>
      <c r="AB886">
        <v>9</v>
      </c>
      <c r="AC886" t="s">
        <v>310</v>
      </c>
      <c r="AD886">
        <v>9</v>
      </c>
      <c r="AE886" t="s">
        <v>1417</v>
      </c>
      <c r="AF886">
        <v>10000000</v>
      </c>
      <c r="AG886" t="s">
        <v>310</v>
      </c>
      <c r="AH886">
        <f>SUM((MID(Dyno_Data[[#This Row],[Team]],4,5))+(Dyno_Data[[#This Row],[Match]]/100))</f>
        <v>2601.15</v>
      </c>
      <c r="AI886" s="76">
        <f>ROUND(SUM(IF(Dyno_Data[[#This Row],[AcqCenter]]&gt;0,Dyno_Data[[#This Row],[Time]]-SUMIFS(Dyno_Data[Time],Dyno_Data[Team],Dyno_Data[[#This Row],[Team]],Dyno_Data[RecordType],"StartMatch",Dyno_Data[Match],Dyno_Data[[#This Row],[Match]]),0)*86400),0)</f>
        <v>0</v>
      </c>
    </row>
    <row r="887" spans="1:35" x14ac:dyDescent="0.3">
      <c r="A887">
        <v>886</v>
      </c>
      <c r="B887" t="s">
        <v>1277</v>
      </c>
      <c r="C887">
        <v>15</v>
      </c>
      <c r="D887" s="105">
        <v>45373.460245520837</v>
      </c>
      <c r="E887" t="s">
        <v>312</v>
      </c>
      <c r="F887" t="s">
        <v>1402</v>
      </c>
      <c r="G887">
        <v>0</v>
      </c>
      <c r="H887" t="s">
        <v>315</v>
      </c>
      <c r="I887">
        <v>0</v>
      </c>
      <c r="J887">
        <v>0</v>
      </c>
      <c r="K887">
        <v>0</v>
      </c>
      <c r="L887" t="s">
        <v>241</v>
      </c>
      <c r="M887" t="s">
        <v>101</v>
      </c>
      <c r="N887">
        <v>0</v>
      </c>
      <c r="O887" t="s">
        <v>1391</v>
      </c>
      <c r="P887" t="s">
        <v>310</v>
      </c>
      <c r="Q887" t="s">
        <v>310</v>
      </c>
      <c r="R887" t="s">
        <v>310</v>
      </c>
      <c r="S887">
        <v>9</v>
      </c>
      <c r="T887" t="s">
        <v>310</v>
      </c>
      <c r="U887">
        <v>9</v>
      </c>
      <c r="V887">
        <v>9</v>
      </c>
      <c r="W887">
        <v>0</v>
      </c>
      <c r="X887">
        <v>0</v>
      </c>
      <c r="Y887">
        <v>0</v>
      </c>
      <c r="Z887">
        <v>0</v>
      </c>
      <c r="AA887">
        <v>9</v>
      </c>
      <c r="AB887">
        <v>9</v>
      </c>
      <c r="AC887" t="s">
        <v>310</v>
      </c>
      <c r="AD887">
        <v>9</v>
      </c>
      <c r="AE887" t="s">
        <v>1418</v>
      </c>
      <c r="AF887">
        <v>40000000</v>
      </c>
      <c r="AG887" t="s">
        <v>310</v>
      </c>
      <c r="AH887">
        <f>SUM((MID(Dyno_Data[[#This Row],[Team]],4,5))+(Dyno_Data[[#This Row],[Match]]/100))</f>
        <v>3360.15</v>
      </c>
      <c r="AI887" s="76">
        <f>ROUND(SUM(IF(Dyno_Data[[#This Row],[AcqCenter]]&gt;0,Dyno_Data[[#This Row],[Time]]-SUMIFS(Dyno_Data[Time],Dyno_Data[Team],Dyno_Data[[#This Row],[Team]],Dyno_Data[RecordType],"StartMatch",Dyno_Data[Match],Dyno_Data[[#This Row],[Match]]),0)*86400),0)</f>
        <v>0</v>
      </c>
    </row>
    <row r="888" spans="1:35" x14ac:dyDescent="0.3">
      <c r="A888">
        <v>887</v>
      </c>
      <c r="B888" t="s">
        <v>1427</v>
      </c>
      <c r="C888">
        <v>15</v>
      </c>
      <c r="D888" s="105">
        <v>45373.46027152778</v>
      </c>
      <c r="E888" t="s">
        <v>312</v>
      </c>
      <c r="F888" t="s">
        <v>1402</v>
      </c>
      <c r="G888">
        <v>0</v>
      </c>
      <c r="H888" t="s">
        <v>1397</v>
      </c>
      <c r="I888">
        <v>0</v>
      </c>
      <c r="J888">
        <v>0</v>
      </c>
      <c r="K888">
        <v>0</v>
      </c>
      <c r="L888" t="s">
        <v>241</v>
      </c>
      <c r="M888" t="s">
        <v>101</v>
      </c>
      <c r="N888">
        <v>1</v>
      </c>
      <c r="O888" t="s">
        <v>319</v>
      </c>
      <c r="P888" t="s">
        <v>310</v>
      </c>
      <c r="Q888" t="s">
        <v>310</v>
      </c>
      <c r="R888" t="s">
        <v>310</v>
      </c>
      <c r="S888">
        <v>9</v>
      </c>
      <c r="T888" t="s">
        <v>310</v>
      </c>
      <c r="U888">
        <v>9</v>
      </c>
      <c r="V888">
        <v>9</v>
      </c>
      <c r="W888">
        <v>0</v>
      </c>
      <c r="X888">
        <v>0</v>
      </c>
      <c r="Y888">
        <v>0</v>
      </c>
      <c r="Z888">
        <v>0</v>
      </c>
      <c r="AA888">
        <v>9</v>
      </c>
      <c r="AB888">
        <v>9</v>
      </c>
      <c r="AC888" t="s">
        <v>310</v>
      </c>
      <c r="AD888">
        <v>9</v>
      </c>
      <c r="AE888" t="s">
        <v>1416</v>
      </c>
      <c r="AF888">
        <v>0</v>
      </c>
      <c r="AG888" t="s">
        <v>310</v>
      </c>
      <c r="AH888">
        <f>SUM((MID(Dyno_Data[[#This Row],[Team]],4,5))+(Dyno_Data[[#This Row],[Match]]/100))</f>
        <v>99999.15</v>
      </c>
      <c r="AI888" s="76">
        <f>ROUND(SUM(IF(Dyno_Data[[#This Row],[AcqCenter]]&gt;0,Dyno_Data[[#This Row],[Time]]-SUMIFS(Dyno_Data[Time],Dyno_Data[Team],Dyno_Data[[#This Row],[Team]],Dyno_Data[RecordType],"StartMatch",Dyno_Data[Match],Dyno_Data[[#This Row],[Match]]),0)*86400),0)</f>
        <v>0</v>
      </c>
    </row>
    <row r="889" spans="1:35" x14ac:dyDescent="0.3">
      <c r="A889">
        <v>888</v>
      </c>
      <c r="B889" t="s">
        <v>1286</v>
      </c>
      <c r="C889">
        <v>15</v>
      </c>
      <c r="D889" s="105">
        <v>45373.460303356478</v>
      </c>
      <c r="E889" t="s">
        <v>312</v>
      </c>
      <c r="F889" t="s">
        <v>1402</v>
      </c>
      <c r="G889">
        <v>0</v>
      </c>
      <c r="H889" t="s">
        <v>315</v>
      </c>
      <c r="I889">
        <v>0</v>
      </c>
      <c r="J889">
        <v>0</v>
      </c>
      <c r="K889">
        <v>0</v>
      </c>
      <c r="L889" t="s">
        <v>241</v>
      </c>
      <c r="M889" t="s">
        <v>1398</v>
      </c>
      <c r="N889">
        <v>0</v>
      </c>
      <c r="O889" t="s">
        <v>1389</v>
      </c>
      <c r="P889" t="s">
        <v>310</v>
      </c>
      <c r="Q889" t="s">
        <v>310</v>
      </c>
      <c r="R889" t="s">
        <v>310</v>
      </c>
      <c r="S889">
        <v>9</v>
      </c>
      <c r="T889" t="s">
        <v>310</v>
      </c>
      <c r="U889">
        <v>9</v>
      </c>
      <c r="V889">
        <v>9</v>
      </c>
      <c r="W889">
        <v>0</v>
      </c>
      <c r="X889">
        <v>0</v>
      </c>
      <c r="Y889">
        <v>0</v>
      </c>
      <c r="Z889">
        <v>0</v>
      </c>
      <c r="AA889">
        <v>9</v>
      </c>
      <c r="AB889">
        <v>9</v>
      </c>
      <c r="AC889" t="s">
        <v>310</v>
      </c>
      <c r="AD889">
        <v>9</v>
      </c>
      <c r="AE889" t="s">
        <v>1412</v>
      </c>
      <c r="AF889">
        <v>40000000</v>
      </c>
      <c r="AG889" t="s">
        <v>310</v>
      </c>
      <c r="AH889">
        <f>SUM((MID(Dyno_Data[[#This Row],[Team]],4,5))+(Dyno_Data[[#This Row],[Match]]/100))</f>
        <v>1591.15</v>
      </c>
      <c r="AI889" s="76">
        <f>ROUND(SUM(IF(Dyno_Data[[#This Row],[AcqCenter]]&gt;0,Dyno_Data[[#This Row],[Time]]-SUMIFS(Dyno_Data[Time],Dyno_Data[Team],Dyno_Data[[#This Row],[Team]],Dyno_Data[RecordType],"StartMatch",Dyno_Data[Match],Dyno_Data[[#This Row],[Match]]),0)*86400),0)</f>
        <v>0</v>
      </c>
    </row>
    <row r="890" spans="1:35" x14ac:dyDescent="0.3">
      <c r="A890">
        <v>889</v>
      </c>
      <c r="B890" t="s">
        <v>363</v>
      </c>
      <c r="C890">
        <v>15</v>
      </c>
      <c r="D890" s="105">
        <v>45373.460369247689</v>
      </c>
      <c r="E890" t="s">
        <v>312</v>
      </c>
      <c r="F890" t="s">
        <v>1402</v>
      </c>
      <c r="G890">
        <v>0</v>
      </c>
      <c r="H890" t="s">
        <v>315</v>
      </c>
      <c r="I890">
        <v>0</v>
      </c>
      <c r="J890">
        <v>0</v>
      </c>
      <c r="K890">
        <v>0</v>
      </c>
      <c r="L890" t="s">
        <v>241</v>
      </c>
      <c r="M890" t="s">
        <v>1398</v>
      </c>
      <c r="N890">
        <v>0</v>
      </c>
      <c r="O890" t="s">
        <v>1393</v>
      </c>
      <c r="P890" t="s">
        <v>310</v>
      </c>
      <c r="Q890" t="s">
        <v>310</v>
      </c>
      <c r="R890" t="s">
        <v>310</v>
      </c>
      <c r="S890">
        <v>9</v>
      </c>
      <c r="T890" t="s">
        <v>310</v>
      </c>
      <c r="U890">
        <v>9</v>
      </c>
      <c r="V890">
        <v>9</v>
      </c>
      <c r="W890">
        <v>0</v>
      </c>
      <c r="X890">
        <v>0</v>
      </c>
      <c r="Y890">
        <v>0</v>
      </c>
      <c r="Z890">
        <v>0</v>
      </c>
      <c r="AA890">
        <v>9</v>
      </c>
      <c r="AB890">
        <v>9</v>
      </c>
      <c r="AC890" t="s">
        <v>310</v>
      </c>
      <c r="AD890">
        <v>9</v>
      </c>
      <c r="AE890" t="s">
        <v>1417</v>
      </c>
      <c r="AF890">
        <v>20000000</v>
      </c>
      <c r="AG890" t="s">
        <v>310</v>
      </c>
      <c r="AH890">
        <f>SUM((MID(Dyno_Data[[#This Row],[Team]],4,5))+(Dyno_Data[[#This Row],[Match]]/100))</f>
        <v>2601.15</v>
      </c>
      <c r="AI890" s="76">
        <f>ROUND(SUM(IF(Dyno_Data[[#This Row],[AcqCenter]]&gt;0,Dyno_Data[[#This Row],[Time]]-SUMIFS(Dyno_Data[Time],Dyno_Data[Team],Dyno_Data[[#This Row],[Team]],Dyno_Data[RecordType],"StartMatch",Dyno_Data[Match],Dyno_Data[[#This Row],[Match]]),0)*86400),0)</f>
        <v>0</v>
      </c>
    </row>
    <row r="891" spans="1:35" x14ac:dyDescent="0.3">
      <c r="A891">
        <v>890</v>
      </c>
      <c r="B891" t="s">
        <v>1286</v>
      </c>
      <c r="C891">
        <v>15</v>
      </c>
      <c r="D891" s="105">
        <v>45373.460372881942</v>
      </c>
      <c r="E891" t="s">
        <v>312</v>
      </c>
      <c r="F891" t="s">
        <v>1402</v>
      </c>
      <c r="G891">
        <v>0</v>
      </c>
      <c r="H891" t="s">
        <v>315</v>
      </c>
      <c r="I891">
        <v>0</v>
      </c>
      <c r="J891">
        <v>0</v>
      </c>
      <c r="K891">
        <v>0</v>
      </c>
      <c r="L891" t="s">
        <v>241</v>
      </c>
      <c r="M891" t="s">
        <v>1398</v>
      </c>
      <c r="N891">
        <v>0</v>
      </c>
      <c r="O891" t="s">
        <v>1389</v>
      </c>
      <c r="P891" t="s">
        <v>310</v>
      </c>
      <c r="Q891" t="s">
        <v>310</v>
      </c>
      <c r="R891" t="s">
        <v>310</v>
      </c>
      <c r="S891">
        <v>9</v>
      </c>
      <c r="T891" t="s">
        <v>310</v>
      </c>
      <c r="U891">
        <v>9</v>
      </c>
      <c r="V891">
        <v>9</v>
      </c>
      <c r="W891">
        <v>0</v>
      </c>
      <c r="X891">
        <v>0</v>
      </c>
      <c r="Y891">
        <v>0</v>
      </c>
      <c r="Z891">
        <v>0</v>
      </c>
      <c r="AA891">
        <v>9</v>
      </c>
      <c r="AB891">
        <v>9</v>
      </c>
      <c r="AC891" t="s">
        <v>310</v>
      </c>
      <c r="AD891">
        <v>9</v>
      </c>
      <c r="AE891" t="s">
        <v>1412</v>
      </c>
      <c r="AF891">
        <v>50000000</v>
      </c>
      <c r="AG891" t="s">
        <v>310</v>
      </c>
      <c r="AH891">
        <f>SUM((MID(Dyno_Data[[#This Row],[Team]],4,5))+(Dyno_Data[[#This Row],[Match]]/100))</f>
        <v>1591.15</v>
      </c>
      <c r="AI891" s="76">
        <f>ROUND(SUM(IF(Dyno_Data[[#This Row],[AcqCenter]]&gt;0,Dyno_Data[[#This Row],[Time]]-SUMIFS(Dyno_Data[Time],Dyno_Data[Team],Dyno_Data[[#This Row],[Team]],Dyno_Data[RecordType],"StartMatch",Dyno_Data[Match],Dyno_Data[[#This Row],[Match]]),0)*86400),0)</f>
        <v>0</v>
      </c>
    </row>
    <row r="892" spans="1:35" x14ac:dyDescent="0.3">
      <c r="A892">
        <v>891</v>
      </c>
      <c r="B892" t="s">
        <v>1308</v>
      </c>
      <c r="C892">
        <v>15</v>
      </c>
      <c r="D892" s="105">
        <v>45373.460425578705</v>
      </c>
      <c r="E892" t="s">
        <v>312</v>
      </c>
      <c r="F892" t="s">
        <v>1402</v>
      </c>
      <c r="G892">
        <v>0</v>
      </c>
      <c r="H892" t="s">
        <v>315</v>
      </c>
      <c r="I892">
        <v>0</v>
      </c>
      <c r="J892">
        <v>0</v>
      </c>
      <c r="K892">
        <v>0</v>
      </c>
      <c r="L892" t="s">
        <v>241</v>
      </c>
      <c r="M892" t="s">
        <v>1398</v>
      </c>
      <c r="N892">
        <v>0</v>
      </c>
      <c r="O892" t="s">
        <v>1395</v>
      </c>
      <c r="P892" t="s">
        <v>310</v>
      </c>
      <c r="Q892" t="s">
        <v>310</v>
      </c>
      <c r="R892" t="s">
        <v>310</v>
      </c>
      <c r="S892">
        <v>9</v>
      </c>
      <c r="T892" t="s">
        <v>310</v>
      </c>
      <c r="U892">
        <v>9</v>
      </c>
      <c r="V892">
        <v>9</v>
      </c>
      <c r="W892">
        <v>0</v>
      </c>
      <c r="X892">
        <v>0</v>
      </c>
      <c r="Y892">
        <v>0</v>
      </c>
      <c r="Z892">
        <v>0</v>
      </c>
      <c r="AA892">
        <v>9</v>
      </c>
      <c r="AB892">
        <v>9</v>
      </c>
      <c r="AC892" t="s">
        <v>310</v>
      </c>
      <c r="AD892">
        <v>9</v>
      </c>
      <c r="AE892" t="s">
        <v>1414</v>
      </c>
      <c r="AF892">
        <v>20000000</v>
      </c>
      <c r="AG892" t="s">
        <v>310</v>
      </c>
      <c r="AH892">
        <f>SUM((MID(Dyno_Data[[#This Row],[Team]],4,5))+(Dyno_Data[[#This Row],[Match]]/100))</f>
        <v>3799.15</v>
      </c>
      <c r="AI892" s="76">
        <f>ROUND(SUM(IF(Dyno_Data[[#This Row],[AcqCenter]]&gt;0,Dyno_Data[[#This Row],[Time]]-SUMIFS(Dyno_Data[Time],Dyno_Data[Team],Dyno_Data[[#This Row],[Team]],Dyno_Data[RecordType],"StartMatch",Dyno_Data[Match],Dyno_Data[[#This Row],[Match]]),0)*86400),0)</f>
        <v>0</v>
      </c>
    </row>
    <row r="893" spans="1:35" x14ac:dyDescent="0.3">
      <c r="A893">
        <v>892</v>
      </c>
      <c r="B893" t="s">
        <v>1286</v>
      </c>
      <c r="C893">
        <v>15</v>
      </c>
      <c r="D893" s="105">
        <v>45373.460499502318</v>
      </c>
      <c r="E893" t="s">
        <v>312</v>
      </c>
      <c r="F893" t="s">
        <v>1402</v>
      </c>
      <c r="G893">
        <v>0</v>
      </c>
      <c r="H893" t="s">
        <v>315</v>
      </c>
      <c r="I893">
        <v>0</v>
      </c>
      <c r="J893">
        <v>0</v>
      </c>
      <c r="K893">
        <v>0</v>
      </c>
      <c r="L893" t="s">
        <v>241</v>
      </c>
      <c r="M893" t="s">
        <v>1398</v>
      </c>
      <c r="N893">
        <v>0</v>
      </c>
      <c r="O893" t="s">
        <v>1389</v>
      </c>
      <c r="P893" t="s">
        <v>310</v>
      </c>
      <c r="Q893" t="s">
        <v>310</v>
      </c>
      <c r="R893" t="s">
        <v>310</v>
      </c>
      <c r="S893">
        <v>9</v>
      </c>
      <c r="T893" t="s">
        <v>310</v>
      </c>
      <c r="U893">
        <v>9</v>
      </c>
      <c r="V893">
        <v>9</v>
      </c>
      <c r="W893">
        <v>0</v>
      </c>
      <c r="X893">
        <v>0</v>
      </c>
      <c r="Y893">
        <v>0</v>
      </c>
      <c r="Z893">
        <v>0</v>
      </c>
      <c r="AA893">
        <v>9</v>
      </c>
      <c r="AB893">
        <v>9</v>
      </c>
      <c r="AC893" t="s">
        <v>310</v>
      </c>
      <c r="AD893">
        <v>9</v>
      </c>
      <c r="AE893" t="s">
        <v>1412</v>
      </c>
      <c r="AF893">
        <v>60000000</v>
      </c>
      <c r="AG893" t="s">
        <v>310</v>
      </c>
      <c r="AH893">
        <f>SUM((MID(Dyno_Data[[#This Row],[Team]],4,5))+(Dyno_Data[[#This Row],[Match]]/100))</f>
        <v>1591.15</v>
      </c>
      <c r="AI893" s="76">
        <f>ROUND(SUM(IF(Dyno_Data[[#This Row],[AcqCenter]]&gt;0,Dyno_Data[[#This Row],[Time]]-SUMIFS(Dyno_Data[Time],Dyno_Data[Team],Dyno_Data[[#This Row],[Team]],Dyno_Data[RecordType],"StartMatch",Dyno_Data[Match],Dyno_Data[[#This Row],[Match]]),0)*86400),0)</f>
        <v>0</v>
      </c>
    </row>
    <row r="894" spans="1:35" x14ac:dyDescent="0.3">
      <c r="A894">
        <v>893</v>
      </c>
      <c r="B894" t="s">
        <v>1308</v>
      </c>
      <c r="C894">
        <v>15</v>
      </c>
      <c r="D894" s="105">
        <v>45373.460523379632</v>
      </c>
      <c r="E894" t="s">
        <v>312</v>
      </c>
      <c r="F894" t="s">
        <v>1402</v>
      </c>
      <c r="G894">
        <v>0</v>
      </c>
      <c r="H894" t="s">
        <v>315</v>
      </c>
      <c r="I894">
        <v>0</v>
      </c>
      <c r="J894">
        <v>0</v>
      </c>
      <c r="K894">
        <v>0</v>
      </c>
      <c r="L894" t="s">
        <v>240</v>
      </c>
      <c r="M894" t="s">
        <v>1398</v>
      </c>
      <c r="N894">
        <v>0</v>
      </c>
      <c r="O894" t="s">
        <v>1395</v>
      </c>
      <c r="P894" t="s">
        <v>310</v>
      </c>
      <c r="Q894" t="s">
        <v>310</v>
      </c>
      <c r="R894" t="s">
        <v>310</v>
      </c>
      <c r="S894">
        <v>9</v>
      </c>
      <c r="T894" t="s">
        <v>310</v>
      </c>
      <c r="U894">
        <v>9</v>
      </c>
      <c r="V894">
        <v>9</v>
      </c>
      <c r="W894">
        <v>0</v>
      </c>
      <c r="X894">
        <v>0</v>
      </c>
      <c r="Y894">
        <v>0</v>
      </c>
      <c r="Z894">
        <v>0</v>
      </c>
      <c r="AA894">
        <v>9</v>
      </c>
      <c r="AB894">
        <v>9</v>
      </c>
      <c r="AC894" t="s">
        <v>310</v>
      </c>
      <c r="AD894">
        <v>9</v>
      </c>
      <c r="AE894" t="s">
        <v>1414</v>
      </c>
      <c r="AF894">
        <v>30100000</v>
      </c>
      <c r="AG894" t="s">
        <v>310</v>
      </c>
      <c r="AH894">
        <f>SUM((MID(Dyno_Data[[#This Row],[Team]],4,5))+(Dyno_Data[[#This Row],[Match]]/100))</f>
        <v>3799.15</v>
      </c>
      <c r="AI894" s="76">
        <f>ROUND(SUM(IF(Dyno_Data[[#This Row],[AcqCenter]]&gt;0,Dyno_Data[[#This Row],[Time]]-SUMIFS(Dyno_Data[Time],Dyno_Data[Team],Dyno_Data[[#This Row],[Team]],Dyno_Data[RecordType],"StartMatch",Dyno_Data[Match],Dyno_Data[[#This Row],[Match]]),0)*86400),0)</f>
        <v>0</v>
      </c>
    </row>
    <row r="895" spans="1:35" x14ac:dyDescent="0.3">
      <c r="A895">
        <v>894</v>
      </c>
      <c r="B895" t="s">
        <v>1277</v>
      </c>
      <c r="C895">
        <v>15</v>
      </c>
      <c r="D895" s="105">
        <v>45373.460536689818</v>
      </c>
      <c r="E895" t="s">
        <v>312</v>
      </c>
      <c r="F895" t="s">
        <v>1402</v>
      </c>
      <c r="G895">
        <v>0</v>
      </c>
      <c r="H895" t="s">
        <v>315</v>
      </c>
      <c r="I895">
        <v>0</v>
      </c>
      <c r="J895">
        <v>0</v>
      </c>
      <c r="K895">
        <v>0</v>
      </c>
      <c r="L895" t="s">
        <v>241</v>
      </c>
      <c r="M895" t="s">
        <v>101</v>
      </c>
      <c r="N895">
        <v>0</v>
      </c>
      <c r="O895" t="s">
        <v>1391</v>
      </c>
      <c r="P895" t="s">
        <v>310</v>
      </c>
      <c r="Q895" t="s">
        <v>310</v>
      </c>
      <c r="R895" t="s">
        <v>310</v>
      </c>
      <c r="S895">
        <v>9</v>
      </c>
      <c r="T895" t="s">
        <v>310</v>
      </c>
      <c r="U895">
        <v>9</v>
      </c>
      <c r="V895">
        <v>9</v>
      </c>
      <c r="W895">
        <v>0</v>
      </c>
      <c r="X895">
        <v>0</v>
      </c>
      <c r="Y895">
        <v>0</v>
      </c>
      <c r="Z895">
        <v>0</v>
      </c>
      <c r="AA895">
        <v>9</v>
      </c>
      <c r="AB895">
        <v>9</v>
      </c>
      <c r="AC895" t="s">
        <v>310</v>
      </c>
      <c r="AD895">
        <v>9</v>
      </c>
      <c r="AE895" t="s">
        <v>1418</v>
      </c>
      <c r="AF895">
        <v>50000000</v>
      </c>
      <c r="AG895" t="s">
        <v>310</v>
      </c>
      <c r="AH895">
        <f>SUM((MID(Dyno_Data[[#This Row],[Team]],4,5))+(Dyno_Data[[#This Row],[Match]]/100))</f>
        <v>3360.15</v>
      </c>
      <c r="AI895" s="76">
        <f>ROUND(SUM(IF(Dyno_Data[[#This Row],[AcqCenter]]&gt;0,Dyno_Data[[#This Row],[Time]]-SUMIFS(Dyno_Data[Time],Dyno_Data[Team],Dyno_Data[[#This Row],[Team]],Dyno_Data[RecordType],"StartMatch",Dyno_Data[Match],Dyno_Data[[#This Row],[Match]]),0)*86400),0)</f>
        <v>0</v>
      </c>
    </row>
    <row r="896" spans="1:35" x14ac:dyDescent="0.3">
      <c r="A896">
        <v>895</v>
      </c>
      <c r="B896" t="s">
        <v>363</v>
      </c>
      <c r="C896">
        <v>15</v>
      </c>
      <c r="D896" s="105">
        <v>45373.460591585645</v>
      </c>
      <c r="E896" t="s">
        <v>312</v>
      </c>
      <c r="F896" t="s">
        <v>1402</v>
      </c>
      <c r="G896">
        <v>0</v>
      </c>
      <c r="H896" t="s">
        <v>315</v>
      </c>
      <c r="I896">
        <v>0</v>
      </c>
      <c r="J896">
        <v>0</v>
      </c>
      <c r="K896">
        <v>0</v>
      </c>
      <c r="L896" t="s">
        <v>241</v>
      </c>
      <c r="M896" t="s">
        <v>1398</v>
      </c>
      <c r="N896">
        <v>0</v>
      </c>
      <c r="O896" t="s">
        <v>1393</v>
      </c>
      <c r="P896" t="s">
        <v>310</v>
      </c>
      <c r="Q896" t="s">
        <v>310</v>
      </c>
      <c r="R896" t="s">
        <v>310</v>
      </c>
      <c r="S896">
        <v>9</v>
      </c>
      <c r="T896" t="s">
        <v>310</v>
      </c>
      <c r="U896">
        <v>9</v>
      </c>
      <c r="V896">
        <v>9</v>
      </c>
      <c r="W896">
        <v>0</v>
      </c>
      <c r="X896">
        <v>0</v>
      </c>
      <c r="Y896">
        <v>0</v>
      </c>
      <c r="Z896">
        <v>0</v>
      </c>
      <c r="AA896">
        <v>9</v>
      </c>
      <c r="AB896">
        <v>9</v>
      </c>
      <c r="AC896" t="s">
        <v>310</v>
      </c>
      <c r="AD896">
        <v>9</v>
      </c>
      <c r="AE896" t="s">
        <v>1417</v>
      </c>
      <c r="AF896">
        <v>30000000</v>
      </c>
      <c r="AG896" t="s">
        <v>310</v>
      </c>
      <c r="AH896">
        <f>SUM((MID(Dyno_Data[[#This Row],[Team]],4,5))+(Dyno_Data[[#This Row],[Match]]/100))</f>
        <v>2601.15</v>
      </c>
      <c r="AI896" s="76">
        <f>ROUND(SUM(IF(Dyno_Data[[#This Row],[AcqCenter]]&gt;0,Dyno_Data[[#This Row],[Time]]-SUMIFS(Dyno_Data[Time],Dyno_Data[Team],Dyno_Data[[#This Row],[Team]],Dyno_Data[RecordType],"StartMatch",Dyno_Data[Match],Dyno_Data[[#This Row],[Match]]),0)*86400),0)</f>
        <v>0</v>
      </c>
    </row>
    <row r="897" spans="1:35" x14ac:dyDescent="0.3">
      <c r="A897">
        <v>896</v>
      </c>
      <c r="B897" t="s">
        <v>1286</v>
      </c>
      <c r="C897">
        <v>15</v>
      </c>
      <c r="D897" s="105">
        <v>45373.460629942128</v>
      </c>
      <c r="E897" t="s">
        <v>312</v>
      </c>
      <c r="F897" t="s">
        <v>1402</v>
      </c>
      <c r="G897">
        <v>0</v>
      </c>
      <c r="H897" t="s">
        <v>315</v>
      </c>
      <c r="I897">
        <v>0</v>
      </c>
      <c r="J897">
        <v>0</v>
      </c>
      <c r="K897">
        <v>0</v>
      </c>
      <c r="L897" t="s">
        <v>241</v>
      </c>
      <c r="M897" t="s">
        <v>1398</v>
      </c>
      <c r="N897">
        <v>0</v>
      </c>
      <c r="O897" t="s">
        <v>1389</v>
      </c>
      <c r="P897" t="s">
        <v>310</v>
      </c>
      <c r="Q897" t="s">
        <v>310</v>
      </c>
      <c r="R897" t="s">
        <v>310</v>
      </c>
      <c r="S897">
        <v>9</v>
      </c>
      <c r="T897" t="s">
        <v>310</v>
      </c>
      <c r="U897">
        <v>9</v>
      </c>
      <c r="V897">
        <v>9</v>
      </c>
      <c r="W897">
        <v>0</v>
      </c>
      <c r="X897">
        <v>0</v>
      </c>
      <c r="Y897">
        <v>0</v>
      </c>
      <c r="Z897">
        <v>0</v>
      </c>
      <c r="AA897">
        <v>9</v>
      </c>
      <c r="AB897">
        <v>9</v>
      </c>
      <c r="AC897" t="s">
        <v>310</v>
      </c>
      <c r="AD897">
        <v>9</v>
      </c>
      <c r="AE897" t="s">
        <v>1412</v>
      </c>
      <c r="AF897">
        <v>70000000</v>
      </c>
      <c r="AG897" t="s">
        <v>310</v>
      </c>
      <c r="AH897">
        <f>SUM((MID(Dyno_Data[[#This Row],[Team]],4,5))+(Dyno_Data[[#This Row],[Match]]/100))</f>
        <v>1591.15</v>
      </c>
      <c r="AI897" s="76">
        <f>ROUND(SUM(IF(Dyno_Data[[#This Row],[AcqCenter]]&gt;0,Dyno_Data[[#This Row],[Time]]-SUMIFS(Dyno_Data[Time],Dyno_Data[Team],Dyno_Data[[#This Row],[Team]],Dyno_Data[RecordType],"StartMatch",Dyno_Data[Match],Dyno_Data[[#This Row],[Match]]),0)*86400),0)</f>
        <v>0</v>
      </c>
    </row>
    <row r="898" spans="1:35" x14ac:dyDescent="0.3">
      <c r="A898">
        <v>897</v>
      </c>
      <c r="B898" t="s">
        <v>1308</v>
      </c>
      <c r="C898">
        <v>15</v>
      </c>
      <c r="D898" s="105">
        <v>45373.460764814816</v>
      </c>
      <c r="E898" t="s">
        <v>312</v>
      </c>
      <c r="F898" t="s">
        <v>1402</v>
      </c>
      <c r="G898">
        <v>0</v>
      </c>
      <c r="H898" t="s">
        <v>315</v>
      </c>
      <c r="I898">
        <v>0</v>
      </c>
      <c r="J898">
        <v>0</v>
      </c>
      <c r="K898">
        <v>0</v>
      </c>
      <c r="L898" t="s">
        <v>240</v>
      </c>
      <c r="M898" t="s">
        <v>1398</v>
      </c>
      <c r="N898">
        <v>0</v>
      </c>
      <c r="O898" t="s">
        <v>1395</v>
      </c>
      <c r="P898" t="s">
        <v>310</v>
      </c>
      <c r="Q898" t="s">
        <v>310</v>
      </c>
      <c r="R898" t="s">
        <v>310</v>
      </c>
      <c r="S898">
        <v>9</v>
      </c>
      <c r="T898" t="s">
        <v>310</v>
      </c>
      <c r="U898">
        <v>9</v>
      </c>
      <c r="V898">
        <v>9</v>
      </c>
      <c r="W898">
        <v>0</v>
      </c>
      <c r="X898">
        <v>0</v>
      </c>
      <c r="Y898">
        <v>0</v>
      </c>
      <c r="Z898">
        <v>0</v>
      </c>
      <c r="AA898">
        <v>9</v>
      </c>
      <c r="AB898">
        <v>9</v>
      </c>
      <c r="AC898" t="s">
        <v>310</v>
      </c>
      <c r="AD898">
        <v>9</v>
      </c>
      <c r="AE898" t="s">
        <v>1414</v>
      </c>
      <c r="AF898">
        <v>40100000</v>
      </c>
      <c r="AG898" t="s">
        <v>310</v>
      </c>
      <c r="AH898">
        <f>SUM((MID(Dyno_Data[[#This Row],[Team]],4,5))+(Dyno_Data[[#This Row],[Match]]/100))</f>
        <v>3799.15</v>
      </c>
      <c r="AI898" s="76">
        <f>ROUND(SUM(IF(Dyno_Data[[#This Row],[AcqCenter]]&gt;0,Dyno_Data[[#This Row],[Time]]-SUMIFS(Dyno_Data[Time],Dyno_Data[Team],Dyno_Data[[#This Row],[Team]],Dyno_Data[RecordType],"StartMatch",Dyno_Data[Match],Dyno_Data[[#This Row],[Match]]),0)*86400),0)</f>
        <v>0</v>
      </c>
    </row>
    <row r="899" spans="1:35" x14ac:dyDescent="0.3">
      <c r="A899">
        <v>898</v>
      </c>
      <c r="B899" t="s">
        <v>1286</v>
      </c>
      <c r="C899">
        <v>15</v>
      </c>
      <c r="D899" s="105">
        <v>45373.460804016206</v>
      </c>
      <c r="E899" t="s">
        <v>312</v>
      </c>
      <c r="F899" t="s">
        <v>1402</v>
      </c>
      <c r="G899">
        <v>0</v>
      </c>
      <c r="H899" t="s">
        <v>315</v>
      </c>
      <c r="I899">
        <v>0</v>
      </c>
      <c r="J899">
        <v>0</v>
      </c>
      <c r="K899">
        <v>0</v>
      </c>
      <c r="L899" t="s">
        <v>241</v>
      </c>
      <c r="M899" t="s">
        <v>1398</v>
      </c>
      <c r="N899">
        <v>0</v>
      </c>
      <c r="O899" t="s">
        <v>1389</v>
      </c>
      <c r="P899" t="s">
        <v>310</v>
      </c>
      <c r="Q899" t="s">
        <v>310</v>
      </c>
      <c r="R899" t="s">
        <v>310</v>
      </c>
      <c r="S899">
        <v>9</v>
      </c>
      <c r="T899" t="s">
        <v>310</v>
      </c>
      <c r="U899">
        <v>9</v>
      </c>
      <c r="V899">
        <v>9</v>
      </c>
      <c r="W899">
        <v>0</v>
      </c>
      <c r="X899">
        <v>0</v>
      </c>
      <c r="Y899">
        <v>0</v>
      </c>
      <c r="Z899">
        <v>0</v>
      </c>
      <c r="AA899">
        <v>9</v>
      </c>
      <c r="AB899">
        <v>9</v>
      </c>
      <c r="AC899" t="s">
        <v>310</v>
      </c>
      <c r="AD899">
        <v>9</v>
      </c>
      <c r="AE899" t="s">
        <v>1412</v>
      </c>
      <c r="AF899">
        <v>80000000</v>
      </c>
      <c r="AG899" t="s">
        <v>310</v>
      </c>
      <c r="AH899">
        <f>SUM((MID(Dyno_Data[[#This Row],[Team]],4,5))+(Dyno_Data[[#This Row],[Match]]/100))</f>
        <v>1591.15</v>
      </c>
      <c r="AI899" s="76">
        <f>ROUND(SUM(IF(Dyno_Data[[#This Row],[AcqCenter]]&gt;0,Dyno_Data[[#This Row],[Time]]-SUMIFS(Dyno_Data[Time],Dyno_Data[Team],Dyno_Data[[#This Row],[Team]],Dyno_Data[RecordType],"StartMatch",Dyno_Data[Match],Dyno_Data[[#This Row],[Match]]),0)*86400),0)</f>
        <v>0</v>
      </c>
    </row>
    <row r="900" spans="1:35" x14ac:dyDescent="0.3">
      <c r="A900">
        <v>899</v>
      </c>
      <c r="B900" t="s">
        <v>363</v>
      </c>
      <c r="C900">
        <v>15</v>
      </c>
      <c r="D900" s="105">
        <v>45373.46082349537</v>
      </c>
      <c r="E900" t="s">
        <v>312</v>
      </c>
      <c r="F900" t="s">
        <v>1402</v>
      </c>
      <c r="G900">
        <v>0</v>
      </c>
      <c r="H900" t="s">
        <v>315</v>
      </c>
      <c r="I900">
        <v>0</v>
      </c>
      <c r="J900">
        <v>0</v>
      </c>
      <c r="K900">
        <v>0</v>
      </c>
      <c r="L900" t="s">
        <v>241</v>
      </c>
      <c r="M900" t="s">
        <v>1398</v>
      </c>
      <c r="N900">
        <v>0</v>
      </c>
      <c r="O900" t="s">
        <v>1393</v>
      </c>
      <c r="P900" t="s">
        <v>310</v>
      </c>
      <c r="Q900" t="s">
        <v>310</v>
      </c>
      <c r="R900" t="s">
        <v>310</v>
      </c>
      <c r="S900">
        <v>9</v>
      </c>
      <c r="T900" t="s">
        <v>310</v>
      </c>
      <c r="U900">
        <v>9</v>
      </c>
      <c r="V900">
        <v>9</v>
      </c>
      <c r="W900">
        <v>0</v>
      </c>
      <c r="X900">
        <v>0</v>
      </c>
      <c r="Y900">
        <v>0</v>
      </c>
      <c r="Z900">
        <v>0</v>
      </c>
      <c r="AA900">
        <v>9</v>
      </c>
      <c r="AB900">
        <v>9</v>
      </c>
      <c r="AC900" t="s">
        <v>310</v>
      </c>
      <c r="AD900">
        <v>9</v>
      </c>
      <c r="AE900" t="s">
        <v>1417</v>
      </c>
      <c r="AF900">
        <v>40000000</v>
      </c>
      <c r="AG900" t="s">
        <v>310</v>
      </c>
      <c r="AH900">
        <f>SUM((MID(Dyno_Data[[#This Row],[Team]],4,5))+(Dyno_Data[[#This Row],[Match]]/100))</f>
        <v>2601.15</v>
      </c>
      <c r="AI900" s="76">
        <f>ROUND(SUM(IF(Dyno_Data[[#This Row],[AcqCenter]]&gt;0,Dyno_Data[[#This Row],[Time]]-SUMIFS(Dyno_Data[Time],Dyno_Data[Team],Dyno_Data[[#This Row],[Team]],Dyno_Data[RecordType],"StartMatch",Dyno_Data[Match],Dyno_Data[[#This Row],[Match]]),0)*86400),0)</f>
        <v>0</v>
      </c>
    </row>
    <row r="901" spans="1:35" x14ac:dyDescent="0.3">
      <c r="A901">
        <v>900</v>
      </c>
      <c r="B901" t="s">
        <v>1301</v>
      </c>
      <c r="C901">
        <v>15</v>
      </c>
      <c r="D901" s="105">
        <v>45373.460832789351</v>
      </c>
      <c r="E901" t="s">
        <v>1403</v>
      </c>
      <c r="F901" t="s">
        <v>1402</v>
      </c>
      <c r="G901">
        <v>0</v>
      </c>
      <c r="H901" t="s">
        <v>310</v>
      </c>
      <c r="I901">
        <v>0</v>
      </c>
      <c r="J901">
        <v>0</v>
      </c>
      <c r="K901">
        <v>0</v>
      </c>
      <c r="L901" t="s">
        <v>310</v>
      </c>
      <c r="M901" t="s">
        <v>310</v>
      </c>
      <c r="N901">
        <v>0</v>
      </c>
      <c r="O901" t="s">
        <v>319</v>
      </c>
      <c r="P901" t="s">
        <v>310</v>
      </c>
      <c r="Q901" t="s">
        <v>310</v>
      </c>
      <c r="R901" t="s">
        <v>310</v>
      </c>
      <c r="S901">
        <v>9</v>
      </c>
      <c r="T901" t="s">
        <v>310</v>
      </c>
      <c r="U901">
        <v>9</v>
      </c>
      <c r="V901">
        <v>9</v>
      </c>
      <c r="W901">
        <v>0</v>
      </c>
      <c r="X901">
        <v>0</v>
      </c>
      <c r="Y901">
        <v>0</v>
      </c>
      <c r="Z901">
        <v>0</v>
      </c>
      <c r="AA901">
        <v>9</v>
      </c>
      <c r="AB901">
        <v>9</v>
      </c>
      <c r="AC901" t="s">
        <v>310</v>
      </c>
      <c r="AD901">
        <v>9</v>
      </c>
      <c r="AE901" t="s">
        <v>1416</v>
      </c>
      <c r="AF901">
        <v>40000000</v>
      </c>
      <c r="AG901" t="s">
        <v>249</v>
      </c>
      <c r="AH901">
        <f>SUM((MID(Dyno_Data[[#This Row],[Team]],4,5))+(Dyno_Data[[#This Row],[Match]]/100))</f>
        <v>7031.15</v>
      </c>
      <c r="AI901" s="76">
        <f>ROUND(SUM(IF(Dyno_Data[[#This Row],[AcqCenter]]&gt;0,Dyno_Data[[#This Row],[Time]]-SUMIFS(Dyno_Data[Time],Dyno_Data[Team],Dyno_Data[[#This Row],[Team]],Dyno_Data[RecordType],"StartMatch",Dyno_Data[Match],Dyno_Data[[#This Row],[Match]]),0)*86400),0)</f>
        <v>0</v>
      </c>
    </row>
    <row r="902" spans="1:35" x14ac:dyDescent="0.3">
      <c r="A902">
        <v>901</v>
      </c>
      <c r="B902" t="s">
        <v>1277</v>
      </c>
      <c r="C902">
        <v>15</v>
      </c>
      <c r="D902" s="105">
        <v>45373.4608878125</v>
      </c>
      <c r="E902" t="s">
        <v>312</v>
      </c>
      <c r="F902" t="s">
        <v>1402</v>
      </c>
      <c r="G902">
        <v>0</v>
      </c>
      <c r="H902" t="s">
        <v>315</v>
      </c>
      <c r="I902">
        <v>0</v>
      </c>
      <c r="J902">
        <v>0</v>
      </c>
      <c r="K902">
        <v>0</v>
      </c>
      <c r="L902" t="s">
        <v>241</v>
      </c>
      <c r="M902" t="s">
        <v>101</v>
      </c>
      <c r="N902">
        <v>0</v>
      </c>
      <c r="O902" t="s">
        <v>1391</v>
      </c>
      <c r="P902" t="s">
        <v>310</v>
      </c>
      <c r="Q902" t="s">
        <v>310</v>
      </c>
      <c r="R902" t="s">
        <v>310</v>
      </c>
      <c r="S902">
        <v>9</v>
      </c>
      <c r="T902" t="s">
        <v>310</v>
      </c>
      <c r="U902">
        <v>9</v>
      </c>
      <c r="V902">
        <v>9</v>
      </c>
      <c r="W902">
        <v>0</v>
      </c>
      <c r="X902">
        <v>0</v>
      </c>
      <c r="Y902">
        <v>0</v>
      </c>
      <c r="Z902">
        <v>0</v>
      </c>
      <c r="AA902">
        <v>9</v>
      </c>
      <c r="AB902">
        <v>9</v>
      </c>
      <c r="AC902" t="s">
        <v>310</v>
      </c>
      <c r="AD902">
        <v>9</v>
      </c>
      <c r="AE902" t="s">
        <v>1418</v>
      </c>
      <c r="AF902">
        <v>60000000</v>
      </c>
      <c r="AG902" t="s">
        <v>310</v>
      </c>
      <c r="AH902">
        <f>SUM((MID(Dyno_Data[[#This Row],[Team]],4,5))+(Dyno_Data[[#This Row],[Match]]/100))</f>
        <v>3360.15</v>
      </c>
      <c r="AI902" s="76">
        <f>ROUND(SUM(IF(Dyno_Data[[#This Row],[AcqCenter]]&gt;0,Dyno_Data[[#This Row],[Time]]-SUMIFS(Dyno_Data[Time],Dyno_Data[Team],Dyno_Data[[#This Row],[Team]],Dyno_Data[RecordType],"StartMatch",Dyno_Data[Match],Dyno_Data[[#This Row],[Match]]),0)*86400),0)</f>
        <v>0</v>
      </c>
    </row>
    <row r="903" spans="1:35" x14ac:dyDescent="0.3">
      <c r="A903">
        <v>902</v>
      </c>
      <c r="B903" t="s">
        <v>1308</v>
      </c>
      <c r="C903">
        <v>15</v>
      </c>
      <c r="D903" s="105">
        <v>45373.460964583333</v>
      </c>
      <c r="E903" t="s">
        <v>312</v>
      </c>
      <c r="F903" t="s">
        <v>1402</v>
      </c>
      <c r="G903">
        <v>0</v>
      </c>
      <c r="H903" t="s">
        <v>315</v>
      </c>
      <c r="I903">
        <v>0</v>
      </c>
      <c r="J903">
        <v>0</v>
      </c>
      <c r="K903">
        <v>0</v>
      </c>
      <c r="L903" t="s">
        <v>240</v>
      </c>
      <c r="M903" t="s">
        <v>1398</v>
      </c>
      <c r="N903">
        <v>0</v>
      </c>
      <c r="O903" t="s">
        <v>1395</v>
      </c>
      <c r="P903" t="s">
        <v>310</v>
      </c>
      <c r="Q903" t="s">
        <v>310</v>
      </c>
      <c r="R903" t="s">
        <v>310</v>
      </c>
      <c r="S903">
        <v>9</v>
      </c>
      <c r="T903" t="s">
        <v>310</v>
      </c>
      <c r="U903">
        <v>9</v>
      </c>
      <c r="V903">
        <v>9</v>
      </c>
      <c r="W903">
        <v>0</v>
      </c>
      <c r="X903">
        <v>0</v>
      </c>
      <c r="Y903">
        <v>0</v>
      </c>
      <c r="Z903">
        <v>0</v>
      </c>
      <c r="AA903">
        <v>9</v>
      </c>
      <c r="AB903">
        <v>9</v>
      </c>
      <c r="AC903" t="s">
        <v>310</v>
      </c>
      <c r="AD903">
        <v>9</v>
      </c>
      <c r="AE903" t="s">
        <v>1414</v>
      </c>
      <c r="AF903">
        <v>50100000</v>
      </c>
      <c r="AG903" t="s">
        <v>310</v>
      </c>
      <c r="AH903">
        <f>SUM((MID(Dyno_Data[[#This Row],[Team]],4,5))+(Dyno_Data[[#This Row],[Match]]/100))</f>
        <v>3799.15</v>
      </c>
      <c r="AI903" s="76">
        <f>ROUND(SUM(IF(Dyno_Data[[#This Row],[AcqCenter]]&gt;0,Dyno_Data[[#This Row],[Time]]-SUMIFS(Dyno_Data[Time],Dyno_Data[Team],Dyno_Data[[#This Row],[Team]],Dyno_Data[RecordType],"StartMatch",Dyno_Data[Match],Dyno_Data[[#This Row],[Match]]),0)*86400),0)</f>
        <v>0</v>
      </c>
    </row>
    <row r="904" spans="1:35" x14ac:dyDescent="0.3">
      <c r="A904">
        <v>903</v>
      </c>
      <c r="B904" t="s">
        <v>1286</v>
      </c>
      <c r="C904">
        <v>15</v>
      </c>
      <c r="D904" s="105">
        <v>45373.460986192127</v>
      </c>
      <c r="E904" t="s">
        <v>312</v>
      </c>
      <c r="F904" t="s">
        <v>1402</v>
      </c>
      <c r="G904">
        <v>0</v>
      </c>
      <c r="H904" t="s">
        <v>315</v>
      </c>
      <c r="I904">
        <v>0</v>
      </c>
      <c r="J904">
        <v>0</v>
      </c>
      <c r="K904">
        <v>0</v>
      </c>
      <c r="L904" t="s">
        <v>241</v>
      </c>
      <c r="M904" t="s">
        <v>1398</v>
      </c>
      <c r="N904">
        <v>0</v>
      </c>
      <c r="O904" t="s">
        <v>1389</v>
      </c>
      <c r="P904" t="s">
        <v>310</v>
      </c>
      <c r="Q904" t="s">
        <v>310</v>
      </c>
      <c r="R904" t="s">
        <v>310</v>
      </c>
      <c r="S904">
        <v>9</v>
      </c>
      <c r="T904" t="s">
        <v>310</v>
      </c>
      <c r="U904">
        <v>9</v>
      </c>
      <c r="V904">
        <v>9</v>
      </c>
      <c r="W904">
        <v>0</v>
      </c>
      <c r="X904">
        <v>0</v>
      </c>
      <c r="Y904">
        <v>0</v>
      </c>
      <c r="Z904">
        <v>0</v>
      </c>
      <c r="AA904">
        <v>9</v>
      </c>
      <c r="AB904">
        <v>9</v>
      </c>
      <c r="AC904" t="s">
        <v>310</v>
      </c>
      <c r="AD904">
        <v>9</v>
      </c>
      <c r="AE904" t="s">
        <v>1412</v>
      </c>
      <c r="AF904">
        <v>90000000</v>
      </c>
      <c r="AG904" t="s">
        <v>310</v>
      </c>
      <c r="AH904">
        <f>SUM((MID(Dyno_Data[[#This Row],[Team]],4,5))+(Dyno_Data[[#This Row],[Match]]/100))</f>
        <v>1591.15</v>
      </c>
      <c r="AI904" s="76">
        <f>ROUND(SUM(IF(Dyno_Data[[#This Row],[AcqCenter]]&gt;0,Dyno_Data[[#This Row],[Time]]-SUMIFS(Dyno_Data[Time],Dyno_Data[Team],Dyno_Data[[#This Row],[Team]],Dyno_Data[RecordType],"StartMatch",Dyno_Data[Match],Dyno_Data[[#This Row],[Match]]),0)*86400),0)</f>
        <v>0</v>
      </c>
    </row>
    <row r="905" spans="1:35" x14ac:dyDescent="0.3">
      <c r="A905">
        <v>904</v>
      </c>
      <c r="B905" t="s">
        <v>363</v>
      </c>
      <c r="C905">
        <v>15</v>
      </c>
      <c r="D905" s="105">
        <v>45373.461016666668</v>
      </c>
      <c r="E905" t="s">
        <v>312</v>
      </c>
      <c r="F905" t="s">
        <v>1402</v>
      </c>
      <c r="G905">
        <v>0</v>
      </c>
      <c r="H905" t="s">
        <v>315</v>
      </c>
      <c r="I905">
        <v>0</v>
      </c>
      <c r="J905">
        <v>0</v>
      </c>
      <c r="K905">
        <v>0</v>
      </c>
      <c r="L905" t="s">
        <v>241</v>
      </c>
      <c r="M905" t="s">
        <v>1398</v>
      </c>
      <c r="N905">
        <v>0</v>
      </c>
      <c r="O905" t="s">
        <v>1393</v>
      </c>
      <c r="P905" t="s">
        <v>310</v>
      </c>
      <c r="Q905" t="s">
        <v>310</v>
      </c>
      <c r="R905" t="s">
        <v>310</v>
      </c>
      <c r="S905">
        <v>9</v>
      </c>
      <c r="T905" t="s">
        <v>310</v>
      </c>
      <c r="U905">
        <v>9</v>
      </c>
      <c r="V905">
        <v>9</v>
      </c>
      <c r="W905">
        <v>0</v>
      </c>
      <c r="X905">
        <v>0</v>
      </c>
      <c r="Y905">
        <v>0</v>
      </c>
      <c r="Z905">
        <v>0</v>
      </c>
      <c r="AA905">
        <v>9</v>
      </c>
      <c r="AB905">
        <v>9</v>
      </c>
      <c r="AC905" t="s">
        <v>310</v>
      </c>
      <c r="AD905">
        <v>9</v>
      </c>
      <c r="AE905" t="s">
        <v>1417</v>
      </c>
      <c r="AF905">
        <v>50000000</v>
      </c>
      <c r="AG905" t="s">
        <v>310</v>
      </c>
      <c r="AH905">
        <f>SUM((MID(Dyno_Data[[#This Row],[Team]],4,5))+(Dyno_Data[[#This Row],[Match]]/100))</f>
        <v>2601.15</v>
      </c>
      <c r="AI905" s="76">
        <f>ROUND(SUM(IF(Dyno_Data[[#This Row],[AcqCenter]]&gt;0,Dyno_Data[[#This Row],[Time]]-SUMIFS(Dyno_Data[Time],Dyno_Data[Team],Dyno_Data[[#This Row],[Team]],Dyno_Data[RecordType],"StartMatch",Dyno_Data[Match],Dyno_Data[[#This Row],[Match]]),0)*86400),0)</f>
        <v>0</v>
      </c>
    </row>
    <row r="906" spans="1:35" x14ac:dyDescent="0.3">
      <c r="A906">
        <v>905</v>
      </c>
      <c r="B906" t="s">
        <v>1308</v>
      </c>
      <c r="C906">
        <v>15</v>
      </c>
      <c r="D906" s="105">
        <v>45373.461126886577</v>
      </c>
      <c r="E906" t="s">
        <v>312</v>
      </c>
      <c r="F906" t="s">
        <v>1402</v>
      </c>
      <c r="G906">
        <v>0</v>
      </c>
      <c r="H906" t="s">
        <v>315</v>
      </c>
      <c r="I906">
        <v>0</v>
      </c>
      <c r="J906">
        <v>0</v>
      </c>
      <c r="K906">
        <v>0</v>
      </c>
      <c r="L906" t="s">
        <v>241</v>
      </c>
      <c r="M906" t="s">
        <v>1398</v>
      </c>
      <c r="N906">
        <v>0</v>
      </c>
      <c r="O906" t="s">
        <v>1395</v>
      </c>
      <c r="P906" t="s">
        <v>310</v>
      </c>
      <c r="Q906" t="s">
        <v>310</v>
      </c>
      <c r="R906" t="s">
        <v>310</v>
      </c>
      <c r="S906">
        <v>9</v>
      </c>
      <c r="T906" t="s">
        <v>310</v>
      </c>
      <c r="U906">
        <v>9</v>
      </c>
      <c r="V906">
        <v>9</v>
      </c>
      <c r="W906">
        <v>0</v>
      </c>
      <c r="X906">
        <v>0</v>
      </c>
      <c r="Y906">
        <v>0</v>
      </c>
      <c r="Z906">
        <v>0</v>
      </c>
      <c r="AA906">
        <v>9</v>
      </c>
      <c r="AB906">
        <v>9</v>
      </c>
      <c r="AC906" t="s">
        <v>310</v>
      </c>
      <c r="AD906">
        <v>9</v>
      </c>
      <c r="AE906" t="s">
        <v>1414</v>
      </c>
      <c r="AF906">
        <v>60100000</v>
      </c>
      <c r="AG906" t="s">
        <v>310</v>
      </c>
      <c r="AH906">
        <f>SUM((MID(Dyno_Data[[#This Row],[Team]],4,5))+(Dyno_Data[[#This Row],[Match]]/100))</f>
        <v>3799.15</v>
      </c>
      <c r="AI906" s="76">
        <f>ROUND(SUM(IF(Dyno_Data[[#This Row],[AcqCenter]]&gt;0,Dyno_Data[[#This Row],[Time]]-SUMIFS(Dyno_Data[Time],Dyno_Data[Team],Dyno_Data[[#This Row],[Team]],Dyno_Data[RecordType],"StartMatch",Dyno_Data[Match],Dyno_Data[[#This Row],[Match]]),0)*86400),0)</f>
        <v>0</v>
      </c>
    </row>
    <row r="907" spans="1:35" x14ac:dyDescent="0.3">
      <c r="A907">
        <v>906</v>
      </c>
      <c r="B907" t="s">
        <v>1286</v>
      </c>
      <c r="C907">
        <v>15</v>
      </c>
      <c r="D907" s="105">
        <v>45373.461161724539</v>
      </c>
      <c r="E907" t="s">
        <v>312</v>
      </c>
      <c r="F907" t="s">
        <v>1402</v>
      </c>
      <c r="G907">
        <v>0</v>
      </c>
      <c r="H907" t="s">
        <v>315</v>
      </c>
      <c r="I907">
        <v>0</v>
      </c>
      <c r="J907">
        <v>0</v>
      </c>
      <c r="K907">
        <v>0</v>
      </c>
      <c r="L907" t="s">
        <v>241</v>
      </c>
      <c r="M907" t="s">
        <v>1398</v>
      </c>
      <c r="N907">
        <v>0</v>
      </c>
      <c r="O907" t="s">
        <v>1389</v>
      </c>
      <c r="P907" t="s">
        <v>310</v>
      </c>
      <c r="Q907" t="s">
        <v>310</v>
      </c>
      <c r="R907" t="s">
        <v>310</v>
      </c>
      <c r="S907">
        <v>9</v>
      </c>
      <c r="T907" t="s">
        <v>310</v>
      </c>
      <c r="U907">
        <v>9</v>
      </c>
      <c r="V907">
        <v>9</v>
      </c>
      <c r="W907">
        <v>0</v>
      </c>
      <c r="X907">
        <v>0</v>
      </c>
      <c r="Y907">
        <v>0</v>
      </c>
      <c r="Z907">
        <v>0</v>
      </c>
      <c r="AA907">
        <v>9</v>
      </c>
      <c r="AB907">
        <v>9</v>
      </c>
      <c r="AC907" t="s">
        <v>310</v>
      </c>
      <c r="AD907">
        <v>9</v>
      </c>
      <c r="AE907" t="s">
        <v>1412</v>
      </c>
      <c r="AF907">
        <v>100000000</v>
      </c>
      <c r="AG907" t="s">
        <v>310</v>
      </c>
      <c r="AH907">
        <f>SUM((MID(Dyno_Data[[#This Row],[Team]],4,5))+(Dyno_Data[[#This Row],[Match]]/100))</f>
        <v>1591.15</v>
      </c>
      <c r="AI907" s="76">
        <f>ROUND(SUM(IF(Dyno_Data[[#This Row],[AcqCenter]]&gt;0,Dyno_Data[[#This Row],[Time]]-SUMIFS(Dyno_Data[Time],Dyno_Data[Team],Dyno_Data[[#This Row],[Team]],Dyno_Data[RecordType],"StartMatch",Dyno_Data[Match],Dyno_Data[[#This Row],[Match]]),0)*86400),0)</f>
        <v>0</v>
      </c>
    </row>
    <row r="908" spans="1:35" x14ac:dyDescent="0.3">
      <c r="A908">
        <v>907</v>
      </c>
      <c r="B908" t="s">
        <v>363</v>
      </c>
      <c r="C908">
        <v>15</v>
      </c>
      <c r="D908" s="105">
        <v>45373.461242442128</v>
      </c>
      <c r="E908" t="s">
        <v>312</v>
      </c>
      <c r="F908" t="s">
        <v>1402</v>
      </c>
      <c r="G908">
        <v>0</v>
      </c>
      <c r="H908" t="s">
        <v>315</v>
      </c>
      <c r="I908">
        <v>0</v>
      </c>
      <c r="J908">
        <v>0</v>
      </c>
      <c r="K908">
        <v>0</v>
      </c>
      <c r="L908" t="s">
        <v>241</v>
      </c>
      <c r="M908" t="s">
        <v>1398</v>
      </c>
      <c r="N908">
        <v>0</v>
      </c>
      <c r="O908" t="s">
        <v>1393</v>
      </c>
      <c r="P908" t="s">
        <v>310</v>
      </c>
      <c r="Q908" t="s">
        <v>310</v>
      </c>
      <c r="R908" t="s">
        <v>310</v>
      </c>
      <c r="S908">
        <v>9</v>
      </c>
      <c r="T908" t="s">
        <v>310</v>
      </c>
      <c r="U908">
        <v>9</v>
      </c>
      <c r="V908">
        <v>9</v>
      </c>
      <c r="W908">
        <v>0</v>
      </c>
      <c r="X908">
        <v>0</v>
      </c>
      <c r="Y908">
        <v>0</v>
      </c>
      <c r="Z908">
        <v>0</v>
      </c>
      <c r="AA908">
        <v>9</v>
      </c>
      <c r="AB908">
        <v>9</v>
      </c>
      <c r="AC908" t="s">
        <v>310</v>
      </c>
      <c r="AD908">
        <v>9</v>
      </c>
      <c r="AE908" t="s">
        <v>1417</v>
      </c>
      <c r="AF908">
        <v>60000000</v>
      </c>
      <c r="AG908" t="s">
        <v>310</v>
      </c>
      <c r="AH908">
        <f>SUM((MID(Dyno_Data[[#This Row],[Team]],4,5))+(Dyno_Data[[#This Row],[Match]]/100))</f>
        <v>2601.15</v>
      </c>
      <c r="AI908" s="76">
        <f>ROUND(SUM(IF(Dyno_Data[[#This Row],[AcqCenter]]&gt;0,Dyno_Data[[#This Row],[Time]]-SUMIFS(Dyno_Data[Time],Dyno_Data[Team],Dyno_Data[[#This Row],[Team]],Dyno_Data[RecordType],"StartMatch",Dyno_Data[Match],Dyno_Data[[#This Row],[Match]]),0)*86400),0)</f>
        <v>0</v>
      </c>
    </row>
    <row r="909" spans="1:35" x14ac:dyDescent="0.3">
      <c r="A909">
        <v>908</v>
      </c>
      <c r="B909" t="s">
        <v>1286</v>
      </c>
      <c r="C909">
        <v>15</v>
      </c>
      <c r="D909" s="105">
        <v>45373.461289965278</v>
      </c>
      <c r="E909" t="s">
        <v>312</v>
      </c>
      <c r="F909" t="s">
        <v>1402</v>
      </c>
      <c r="G909">
        <v>0</v>
      </c>
      <c r="H909" t="s">
        <v>315</v>
      </c>
      <c r="I909">
        <v>0</v>
      </c>
      <c r="J909">
        <v>0</v>
      </c>
      <c r="K909">
        <v>0</v>
      </c>
      <c r="L909" t="s">
        <v>241</v>
      </c>
      <c r="M909" t="s">
        <v>1398</v>
      </c>
      <c r="N909">
        <v>0</v>
      </c>
      <c r="O909" t="s">
        <v>1389</v>
      </c>
      <c r="P909" t="s">
        <v>310</v>
      </c>
      <c r="Q909" t="s">
        <v>310</v>
      </c>
      <c r="R909" t="s">
        <v>310</v>
      </c>
      <c r="S909">
        <v>9</v>
      </c>
      <c r="T909" t="s">
        <v>310</v>
      </c>
      <c r="U909">
        <v>9</v>
      </c>
      <c r="V909">
        <v>9</v>
      </c>
      <c r="W909">
        <v>0</v>
      </c>
      <c r="X909">
        <v>0</v>
      </c>
      <c r="Y909">
        <v>0</v>
      </c>
      <c r="Z909">
        <v>0</v>
      </c>
      <c r="AA909">
        <v>9</v>
      </c>
      <c r="AB909">
        <v>9</v>
      </c>
      <c r="AC909" t="s">
        <v>310</v>
      </c>
      <c r="AD909">
        <v>9</v>
      </c>
      <c r="AE909" t="s">
        <v>1412</v>
      </c>
      <c r="AF909">
        <v>110000000</v>
      </c>
      <c r="AG909" t="s">
        <v>310</v>
      </c>
      <c r="AH909">
        <f>SUM((MID(Dyno_Data[[#This Row],[Team]],4,5))+(Dyno_Data[[#This Row],[Match]]/100))</f>
        <v>1591.15</v>
      </c>
      <c r="AI909" s="76">
        <f>ROUND(SUM(IF(Dyno_Data[[#This Row],[AcqCenter]]&gt;0,Dyno_Data[[#This Row],[Time]]-SUMIFS(Dyno_Data[Time],Dyno_Data[Team],Dyno_Data[[#This Row],[Team]],Dyno_Data[RecordType],"StartMatch",Dyno_Data[Match],Dyno_Data[[#This Row],[Match]]),0)*86400),0)</f>
        <v>0</v>
      </c>
    </row>
    <row r="910" spans="1:35" x14ac:dyDescent="0.3">
      <c r="A910">
        <v>909</v>
      </c>
      <c r="B910" t="s">
        <v>1308</v>
      </c>
      <c r="C910">
        <v>15</v>
      </c>
      <c r="D910" s="105">
        <v>45373.46132978009</v>
      </c>
      <c r="E910" t="s">
        <v>312</v>
      </c>
      <c r="F910" t="s">
        <v>1402</v>
      </c>
      <c r="G910">
        <v>0</v>
      </c>
      <c r="H910" t="s">
        <v>315</v>
      </c>
      <c r="I910">
        <v>0</v>
      </c>
      <c r="J910">
        <v>0</v>
      </c>
      <c r="K910">
        <v>0</v>
      </c>
      <c r="L910" t="s">
        <v>241</v>
      </c>
      <c r="M910" t="s">
        <v>1398</v>
      </c>
      <c r="N910">
        <v>0</v>
      </c>
      <c r="O910" t="s">
        <v>1395</v>
      </c>
      <c r="P910" t="s">
        <v>310</v>
      </c>
      <c r="Q910" t="s">
        <v>310</v>
      </c>
      <c r="R910" t="s">
        <v>310</v>
      </c>
      <c r="S910">
        <v>9</v>
      </c>
      <c r="T910" t="s">
        <v>310</v>
      </c>
      <c r="U910">
        <v>9</v>
      </c>
      <c r="V910">
        <v>9</v>
      </c>
      <c r="W910">
        <v>0</v>
      </c>
      <c r="X910">
        <v>0</v>
      </c>
      <c r="Y910">
        <v>0</v>
      </c>
      <c r="Z910">
        <v>0</v>
      </c>
      <c r="AA910">
        <v>9</v>
      </c>
      <c r="AB910">
        <v>9</v>
      </c>
      <c r="AC910" t="s">
        <v>310</v>
      </c>
      <c r="AD910">
        <v>9</v>
      </c>
      <c r="AE910" t="s">
        <v>1414</v>
      </c>
      <c r="AF910">
        <v>70100000</v>
      </c>
      <c r="AG910" t="s">
        <v>310</v>
      </c>
      <c r="AH910">
        <f>SUM((MID(Dyno_Data[[#This Row],[Team]],4,5))+(Dyno_Data[[#This Row],[Match]]/100))</f>
        <v>3799.15</v>
      </c>
      <c r="AI910" s="76">
        <f>ROUND(SUM(IF(Dyno_Data[[#This Row],[AcqCenter]]&gt;0,Dyno_Data[[#This Row],[Time]]-SUMIFS(Dyno_Data[Time],Dyno_Data[Team],Dyno_Data[[#This Row],[Team]],Dyno_Data[RecordType],"StartMatch",Dyno_Data[Match],Dyno_Data[[#This Row],[Match]]),0)*86400),0)</f>
        <v>0</v>
      </c>
    </row>
    <row r="911" spans="1:35" x14ac:dyDescent="0.3">
      <c r="A911">
        <v>910</v>
      </c>
      <c r="B911" t="s">
        <v>1277</v>
      </c>
      <c r="C911">
        <v>15</v>
      </c>
      <c r="D911" s="105">
        <v>45373.461335613429</v>
      </c>
      <c r="E911" t="s">
        <v>312</v>
      </c>
      <c r="F911" t="s">
        <v>1402</v>
      </c>
      <c r="G911">
        <v>0</v>
      </c>
      <c r="H911" t="s">
        <v>315</v>
      </c>
      <c r="I911">
        <v>0</v>
      </c>
      <c r="J911">
        <v>0</v>
      </c>
      <c r="K911">
        <v>0</v>
      </c>
      <c r="L911" t="s">
        <v>241</v>
      </c>
      <c r="M911" t="s">
        <v>1398</v>
      </c>
      <c r="N911">
        <v>0</v>
      </c>
      <c r="O911" t="s">
        <v>1391</v>
      </c>
      <c r="P911" t="s">
        <v>310</v>
      </c>
      <c r="Q911" t="s">
        <v>310</v>
      </c>
      <c r="R911" t="s">
        <v>310</v>
      </c>
      <c r="S911">
        <v>9</v>
      </c>
      <c r="T911" t="s">
        <v>310</v>
      </c>
      <c r="U911">
        <v>9</v>
      </c>
      <c r="V911">
        <v>9</v>
      </c>
      <c r="W911">
        <v>0</v>
      </c>
      <c r="X911">
        <v>0</v>
      </c>
      <c r="Y911">
        <v>0</v>
      </c>
      <c r="Z911">
        <v>0</v>
      </c>
      <c r="AA911">
        <v>9</v>
      </c>
      <c r="AB911">
        <v>9</v>
      </c>
      <c r="AC911" t="s">
        <v>310</v>
      </c>
      <c r="AD911">
        <v>9</v>
      </c>
      <c r="AE911" t="s">
        <v>1418</v>
      </c>
      <c r="AF911">
        <v>70000000</v>
      </c>
      <c r="AG911" t="s">
        <v>310</v>
      </c>
      <c r="AH911">
        <f>SUM((MID(Dyno_Data[[#This Row],[Team]],4,5))+(Dyno_Data[[#This Row],[Match]]/100))</f>
        <v>3360.15</v>
      </c>
      <c r="AI911" s="76">
        <f>ROUND(SUM(IF(Dyno_Data[[#This Row],[AcqCenter]]&gt;0,Dyno_Data[[#This Row],[Time]]-SUMIFS(Dyno_Data[Time],Dyno_Data[Team],Dyno_Data[[#This Row],[Team]],Dyno_Data[RecordType],"StartMatch",Dyno_Data[Match],Dyno_Data[[#This Row],[Match]]),0)*86400),0)</f>
        <v>0</v>
      </c>
    </row>
    <row r="912" spans="1:35" x14ac:dyDescent="0.3">
      <c r="A912">
        <v>911</v>
      </c>
      <c r="B912" t="s">
        <v>1277</v>
      </c>
      <c r="C912">
        <v>15</v>
      </c>
      <c r="D912" s="105">
        <v>45373.461383761576</v>
      </c>
      <c r="E912" t="s">
        <v>312</v>
      </c>
      <c r="F912" t="s">
        <v>1402</v>
      </c>
      <c r="G912">
        <v>0</v>
      </c>
      <c r="H912" t="s">
        <v>315</v>
      </c>
      <c r="I912">
        <v>0</v>
      </c>
      <c r="J912">
        <v>0</v>
      </c>
      <c r="K912">
        <v>0</v>
      </c>
      <c r="L912" t="s">
        <v>241</v>
      </c>
      <c r="M912" t="s">
        <v>1398</v>
      </c>
      <c r="N912">
        <v>0</v>
      </c>
      <c r="O912" t="s">
        <v>1391</v>
      </c>
      <c r="P912" t="s">
        <v>310</v>
      </c>
      <c r="Q912" t="s">
        <v>310</v>
      </c>
      <c r="R912" t="s">
        <v>310</v>
      </c>
      <c r="S912">
        <v>9</v>
      </c>
      <c r="T912" t="s">
        <v>310</v>
      </c>
      <c r="U912">
        <v>9</v>
      </c>
      <c r="V912">
        <v>9</v>
      </c>
      <c r="W912">
        <v>0</v>
      </c>
      <c r="X912">
        <v>0</v>
      </c>
      <c r="Y912">
        <v>0</v>
      </c>
      <c r="Z912">
        <v>0</v>
      </c>
      <c r="AA912">
        <v>9</v>
      </c>
      <c r="AB912">
        <v>9</v>
      </c>
      <c r="AC912" t="s">
        <v>310</v>
      </c>
      <c r="AD912">
        <v>9</v>
      </c>
      <c r="AE912" t="s">
        <v>1418</v>
      </c>
      <c r="AF912">
        <v>80000000</v>
      </c>
      <c r="AG912" t="s">
        <v>310</v>
      </c>
      <c r="AH912">
        <f>SUM((MID(Dyno_Data[[#This Row],[Team]],4,5))+(Dyno_Data[[#This Row],[Match]]/100))</f>
        <v>3360.15</v>
      </c>
      <c r="AI912" s="76">
        <f>ROUND(SUM(IF(Dyno_Data[[#This Row],[AcqCenter]]&gt;0,Dyno_Data[[#This Row],[Time]]-SUMIFS(Dyno_Data[Time],Dyno_Data[Team],Dyno_Data[[#This Row],[Team]],Dyno_Data[RecordType],"StartMatch",Dyno_Data[Match],Dyno_Data[[#This Row],[Match]]),0)*86400),0)</f>
        <v>0</v>
      </c>
    </row>
    <row r="913" spans="1:35" x14ac:dyDescent="0.3">
      <c r="A913">
        <v>912</v>
      </c>
      <c r="B913" t="s">
        <v>1277</v>
      </c>
      <c r="C913">
        <v>15</v>
      </c>
      <c r="D913" s="105">
        <v>45373.461549537038</v>
      </c>
      <c r="E913" t="s">
        <v>312</v>
      </c>
      <c r="F913" t="s">
        <v>1402</v>
      </c>
      <c r="G913">
        <v>0</v>
      </c>
      <c r="H913" t="s">
        <v>315</v>
      </c>
      <c r="I913">
        <v>0</v>
      </c>
      <c r="J913">
        <v>0</v>
      </c>
      <c r="K913">
        <v>0</v>
      </c>
      <c r="L913" t="s">
        <v>241</v>
      </c>
      <c r="M913" t="s">
        <v>1398</v>
      </c>
      <c r="N913">
        <v>0</v>
      </c>
      <c r="O913" t="s">
        <v>1391</v>
      </c>
      <c r="P913" t="s">
        <v>310</v>
      </c>
      <c r="Q913" t="s">
        <v>310</v>
      </c>
      <c r="R913" t="s">
        <v>310</v>
      </c>
      <c r="S913">
        <v>9</v>
      </c>
      <c r="T913" t="s">
        <v>310</v>
      </c>
      <c r="U913">
        <v>9</v>
      </c>
      <c r="V913">
        <v>9</v>
      </c>
      <c r="W913">
        <v>0</v>
      </c>
      <c r="X913">
        <v>0</v>
      </c>
      <c r="Y913">
        <v>0</v>
      </c>
      <c r="Z913">
        <v>0</v>
      </c>
      <c r="AA913">
        <v>9</v>
      </c>
      <c r="AB913">
        <v>9</v>
      </c>
      <c r="AC913" t="s">
        <v>310</v>
      </c>
      <c r="AD913">
        <v>9</v>
      </c>
      <c r="AE913" t="s">
        <v>1418</v>
      </c>
      <c r="AF913">
        <v>90000000</v>
      </c>
      <c r="AG913" t="s">
        <v>310</v>
      </c>
      <c r="AH913">
        <f>SUM((MID(Dyno_Data[[#This Row],[Team]],4,5))+(Dyno_Data[[#This Row],[Match]]/100))</f>
        <v>3360.15</v>
      </c>
      <c r="AI913" s="76">
        <f>ROUND(SUM(IF(Dyno_Data[[#This Row],[AcqCenter]]&gt;0,Dyno_Data[[#This Row],[Time]]-SUMIFS(Dyno_Data[Time],Dyno_Data[Team],Dyno_Data[[#This Row],[Team]],Dyno_Data[RecordType],"StartMatch",Dyno_Data[Match],Dyno_Data[[#This Row],[Match]]),0)*86400),0)</f>
        <v>0</v>
      </c>
    </row>
    <row r="914" spans="1:35" x14ac:dyDescent="0.3">
      <c r="A914">
        <v>913</v>
      </c>
      <c r="B914" t="s">
        <v>369</v>
      </c>
      <c r="C914">
        <v>15</v>
      </c>
      <c r="D914" s="105">
        <v>45373.464287233794</v>
      </c>
      <c r="E914" t="s">
        <v>316</v>
      </c>
      <c r="F914" t="s">
        <v>317</v>
      </c>
      <c r="G914">
        <v>0</v>
      </c>
      <c r="H914" t="s">
        <v>310</v>
      </c>
      <c r="I914">
        <v>0</v>
      </c>
      <c r="J914">
        <v>0</v>
      </c>
      <c r="K914">
        <v>0</v>
      </c>
      <c r="L914" t="s">
        <v>310</v>
      </c>
      <c r="M914" t="s">
        <v>310</v>
      </c>
      <c r="N914">
        <v>0</v>
      </c>
      <c r="O914" t="s">
        <v>311</v>
      </c>
      <c r="P914" t="s">
        <v>320</v>
      </c>
      <c r="Q914" t="s">
        <v>1400</v>
      </c>
      <c r="R914" t="s">
        <v>321</v>
      </c>
      <c r="S914">
        <v>0</v>
      </c>
      <c r="T914" t="s">
        <v>105</v>
      </c>
      <c r="U914">
        <v>9</v>
      </c>
      <c r="V914">
        <v>9</v>
      </c>
      <c r="W914">
        <v>0</v>
      </c>
      <c r="X914">
        <v>95.8305984</v>
      </c>
      <c r="Y914">
        <v>37.686518199999995</v>
      </c>
      <c r="Z914">
        <v>2.8692365999999998</v>
      </c>
      <c r="AA914">
        <v>3</v>
      </c>
      <c r="AB914">
        <v>0</v>
      </c>
      <c r="AC914" t="s">
        <v>170</v>
      </c>
      <c r="AD914">
        <v>9</v>
      </c>
      <c r="AE914" t="s">
        <v>1413</v>
      </c>
      <c r="AF914">
        <v>0</v>
      </c>
      <c r="AG914" t="s">
        <v>310</v>
      </c>
      <c r="AH914">
        <f>SUM((MID(Dyno_Data[[#This Row],[Team]],4,5))+(Dyno_Data[[#This Row],[Match]]/100))</f>
        <v>6463.15</v>
      </c>
      <c r="AI914" s="76">
        <f>ROUND(SUM(IF(Dyno_Data[[#This Row],[AcqCenter]]&gt;0,Dyno_Data[[#This Row],[Time]]-SUMIFS(Dyno_Data[Time],Dyno_Data[Team],Dyno_Data[[#This Row],[Team]],Dyno_Data[RecordType],"StartMatch",Dyno_Data[Match],Dyno_Data[[#This Row],[Match]]),0)*86400),0)</f>
        <v>0</v>
      </c>
    </row>
    <row r="915" spans="1:35" x14ac:dyDescent="0.3">
      <c r="A915">
        <v>914</v>
      </c>
      <c r="B915" t="s">
        <v>1277</v>
      </c>
      <c r="C915">
        <v>15</v>
      </c>
      <c r="D915" s="105">
        <v>45373.46428734954</v>
      </c>
      <c r="E915" t="s">
        <v>316</v>
      </c>
      <c r="F915" t="s">
        <v>317</v>
      </c>
      <c r="G915">
        <v>1</v>
      </c>
      <c r="H915" t="s">
        <v>310</v>
      </c>
      <c r="I915">
        <v>0</v>
      </c>
      <c r="J915">
        <v>0</v>
      </c>
      <c r="K915">
        <v>0</v>
      </c>
      <c r="L915" t="s">
        <v>310</v>
      </c>
      <c r="M915" t="s">
        <v>310</v>
      </c>
      <c r="N915">
        <v>0</v>
      </c>
      <c r="O915" t="s">
        <v>1391</v>
      </c>
      <c r="P915" t="s">
        <v>240</v>
      </c>
      <c r="Q915" t="s">
        <v>1399</v>
      </c>
      <c r="R915" t="s">
        <v>1404</v>
      </c>
      <c r="S915">
        <v>0</v>
      </c>
      <c r="T915" t="s">
        <v>105</v>
      </c>
      <c r="U915">
        <v>9</v>
      </c>
      <c r="V915">
        <v>9</v>
      </c>
      <c r="W915">
        <v>0</v>
      </c>
      <c r="X915">
        <v>42.338616399999999</v>
      </c>
      <c r="Y915">
        <v>32.577637599999996</v>
      </c>
      <c r="Z915">
        <v>60.723513999999994</v>
      </c>
      <c r="AA915">
        <v>0</v>
      </c>
      <c r="AB915">
        <v>0</v>
      </c>
      <c r="AC915" t="s">
        <v>174</v>
      </c>
      <c r="AD915">
        <v>0</v>
      </c>
      <c r="AE915" t="s">
        <v>1418</v>
      </c>
      <c r="AF915">
        <v>90000000</v>
      </c>
      <c r="AG915" t="s">
        <v>310</v>
      </c>
      <c r="AH915">
        <f>SUM((MID(Dyno_Data[[#This Row],[Team]],4,5))+(Dyno_Data[[#This Row],[Match]]/100))</f>
        <v>3360.15</v>
      </c>
      <c r="AI915" s="76">
        <f>ROUND(SUM(IF(Dyno_Data[[#This Row],[AcqCenter]]&gt;0,Dyno_Data[[#This Row],[Time]]-SUMIFS(Dyno_Data[Time],Dyno_Data[Team],Dyno_Data[[#This Row],[Team]],Dyno_Data[RecordType],"StartMatch",Dyno_Data[Match],Dyno_Data[[#This Row],[Match]]),0)*86400),0)</f>
        <v>0</v>
      </c>
    </row>
    <row r="916" spans="1:35" x14ac:dyDescent="0.3">
      <c r="A916">
        <v>915</v>
      </c>
      <c r="B916" t="s">
        <v>1301</v>
      </c>
      <c r="C916">
        <v>15</v>
      </c>
      <c r="D916" s="105">
        <v>45373.464287465278</v>
      </c>
      <c r="E916" t="s">
        <v>316</v>
      </c>
      <c r="F916" t="s">
        <v>317</v>
      </c>
      <c r="G916">
        <v>0</v>
      </c>
      <c r="H916" t="s">
        <v>310</v>
      </c>
      <c r="I916">
        <v>0</v>
      </c>
      <c r="J916">
        <v>0</v>
      </c>
      <c r="K916">
        <v>0</v>
      </c>
      <c r="L916" t="s">
        <v>310</v>
      </c>
      <c r="M916" t="s">
        <v>310</v>
      </c>
      <c r="N916">
        <v>0</v>
      </c>
      <c r="O916" t="s">
        <v>319</v>
      </c>
      <c r="P916" t="s">
        <v>320</v>
      </c>
      <c r="Q916" t="s">
        <v>1400</v>
      </c>
      <c r="R916" t="s">
        <v>1404</v>
      </c>
      <c r="S916">
        <v>0</v>
      </c>
      <c r="T916" t="s">
        <v>105</v>
      </c>
      <c r="U916">
        <v>9</v>
      </c>
      <c r="V916">
        <v>9</v>
      </c>
      <c r="W916">
        <v>0</v>
      </c>
      <c r="X916">
        <v>0</v>
      </c>
      <c r="Y916">
        <v>81.6031184</v>
      </c>
      <c r="Z916">
        <v>57.348993399999998</v>
      </c>
      <c r="AA916">
        <v>0</v>
      </c>
      <c r="AB916">
        <v>0</v>
      </c>
      <c r="AC916" t="s">
        <v>167</v>
      </c>
      <c r="AD916">
        <v>9</v>
      </c>
      <c r="AE916" t="s">
        <v>1416</v>
      </c>
      <c r="AF916">
        <v>0</v>
      </c>
      <c r="AG916" t="s">
        <v>310</v>
      </c>
      <c r="AH916">
        <f>SUM((MID(Dyno_Data[[#This Row],[Team]],4,5))+(Dyno_Data[[#This Row],[Match]]/100))</f>
        <v>7031.15</v>
      </c>
      <c r="AI916" s="76">
        <f>ROUND(SUM(IF(Dyno_Data[[#This Row],[AcqCenter]]&gt;0,Dyno_Data[[#This Row],[Time]]-SUMIFS(Dyno_Data[Time],Dyno_Data[Team],Dyno_Data[[#This Row],[Team]],Dyno_Data[RecordType],"StartMatch",Dyno_Data[Match],Dyno_Data[[#This Row],[Match]]),0)*86400),0)</f>
        <v>0</v>
      </c>
    </row>
    <row r="917" spans="1:35" x14ac:dyDescent="0.3">
      <c r="A917">
        <v>916</v>
      </c>
      <c r="B917" t="s">
        <v>363</v>
      </c>
      <c r="C917">
        <v>15</v>
      </c>
      <c r="D917" s="105">
        <v>45373.46428753472</v>
      </c>
      <c r="E917" t="s">
        <v>316</v>
      </c>
      <c r="F917" t="s">
        <v>317</v>
      </c>
      <c r="G917">
        <v>1</v>
      </c>
      <c r="H917" t="s">
        <v>310</v>
      </c>
      <c r="I917">
        <v>0</v>
      </c>
      <c r="J917">
        <v>0</v>
      </c>
      <c r="K917">
        <v>0</v>
      </c>
      <c r="L917" t="s">
        <v>310</v>
      </c>
      <c r="M917" t="s">
        <v>310</v>
      </c>
      <c r="N917">
        <v>0</v>
      </c>
      <c r="O917" t="s">
        <v>1393</v>
      </c>
      <c r="P917" t="s">
        <v>1401</v>
      </c>
      <c r="Q917" t="s">
        <v>1399</v>
      </c>
      <c r="R917" t="s">
        <v>1405</v>
      </c>
      <c r="S917">
        <v>1</v>
      </c>
      <c r="T917" t="s">
        <v>1407</v>
      </c>
      <c r="U917">
        <v>0</v>
      </c>
      <c r="V917">
        <v>1</v>
      </c>
      <c r="W917">
        <v>11.7344261</v>
      </c>
      <c r="X917">
        <v>44.073602099999995</v>
      </c>
      <c r="Y917">
        <v>21.417432299999998</v>
      </c>
      <c r="Z917">
        <v>43.717856300000001</v>
      </c>
      <c r="AA917">
        <v>0</v>
      </c>
      <c r="AB917">
        <v>0</v>
      </c>
      <c r="AC917" t="s">
        <v>174</v>
      </c>
      <c r="AD917">
        <v>1</v>
      </c>
      <c r="AE917" t="s">
        <v>1417</v>
      </c>
      <c r="AF917">
        <v>60000000</v>
      </c>
      <c r="AG917" t="s">
        <v>310</v>
      </c>
      <c r="AH917">
        <f>SUM((MID(Dyno_Data[[#This Row],[Team]],4,5))+(Dyno_Data[[#This Row],[Match]]/100))</f>
        <v>2601.15</v>
      </c>
      <c r="AI917" s="76">
        <f>ROUND(SUM(IF(Dyno_Data[[#This Row],[AcqCenter]]&gt;0,Dyno_Data[[#This Row],[Time]]-SUMIFS(Dyno_Data[Time],Dyno_Data[Team],Dyno_Data[[#This Row],[Team]],Dyno_Data[RecordType],"StartMatch",Dyno_Data[Match],Dyno_Data[[#This Row],[Match]]),0)*86400),0)</f>
        <v>0</v>
      </c>
    </row>
    <row r="918" spans="1:35" x14ac:dyDescent="0.3">
      <c r="A918">
        <v>917</v>
      </c>
      <c r="B918" t="s">
        <v>1286</v>
      </c>
      <c r="C918">
        <v>15</v>
      </c>
      <c r="D918" s="105">
        <v>45373.464287650466</v>
      </c>
      <c r="E918" t="s">
        <v>316</v>
      </c>
      <c r="F918" t="s">
        <v>317</v>
      </c>
      <c r="G918">
        <v>1</v>
      </c>
      <c r="H918" t="s">
        <v>310</v>
      </c>
      <c r="I918">
        <v>0</v>
      </c>
      <c r="J918">
        <v>0</v>
      </c>
      <c r="K918">
        <v>0</v>
      </c>
      <c r="L918" t="s">
        <v>310</v>
      </c>
      <c r="M918" t="s">
        <v>310</v>
      </c>
      <c r="N918">
        <v>0</v>
      </c>
      <c r="O918" t="s">
        <v>1389</v>
      </c>
      <c r="P918" t="s">
        <v>240</v>
      </c>
      <c r="Q918" t="s">
        <v>1400</v>
      </c>
      <c r="R918" t="s">
        <v>1405</v>
      </c>
      <c r="S918">
        <v>1</v>
      </c>
      <c r="T918" t="s">
        <v>1406</v>
      </c>
      <c r="U918">
        <v>1</v>
      </c>
      <c r="V918">
        <v>0</v>
      </c>
      <c r="W918">
        <v>16.543976199999999</v>
      </c>
      <c r="X918">
        <v>35.924963499999997</v>
      </c>
      <c r="Y918">
        <v>17.219394299999998</v>
      </c>
      <c r="Z918">
        <v>55.4469657</v>
      </c>
      <c r="AA918">
        <v>0</v>
      </c>
      <c r="AB918">
        <v>1</v>
      </c>
      <c r="AC918" t="s">
        <v>174</v>
      </c>
      <c r="AD918">
        <v>9</v>
      </c>
      <c r="AE918" t="s">
        <v>1412</v>
      </c>
      <c r="AF918">
        <v>110000000</v>
      </c>
      <c r="AG918" t="s">
        <v>310</v>
      </c>
      <c r="AH918">
        <f>SUM((MID(Dyno_Data[[#This Row],[Team]],4,5))+(Dyno_Data[[#This Row],[Match]]/100))</f>
        <v>1591.15</v>
      </c>
      <c r="AI918" s="76">
        <f>ROUND(SUM(IF(Dyno_Data[[#This Row],[AcqCenter]]&gt;0,Dyno_Data[[#This Row],[Time]]-SUMIFS(Dyno_Data[Time],Dyno_Data[Team],Dyno_Data[[#This Row],[Team]],Dyno_Data[RecordType],"StartMatch",Dyno_Data[Match],Dyno_Data[[#This Row],[Match]]),0)*86400),0)</f>
        <v>0</v>
      </c>
    </row>
    <row r="919" spans="1:35" x14ac:dyDescent="0.3">
      <c r="A919">
        <v>918</v>
      </c>
      <c r="B919" t="s">
        <v>1308</v>
      </c>
      <c r="C919">
        <v>15</v>
      </c>
      <c r="D919" s="105">
        <v>45373.464287766205</v>
      </c>
      <c r="E919" t="s">
        <v>316</v>
      </c>
      <c r="F919" t="s">
        <v>317</v>
      </c>
      <c r="G919">
        <v>0</v>
      </c>
      <c r="H919" t="s">
        <v>310</v>
      </c>
      <c r="I919">
        <v>0</v>
      </c>
      <c r="J919">
        <v>0</v>
      </c>
      <c r="K919">
        <v>0</v>
      </c>
      <c r="L919" t="s">
        <v>310</v>
      </c>
      <c r="M919" t="s">
        <v>310</v>
      </c>
      <c r="N919">
        <v>0</v>
      </c>
      <c r="O919" t="s">
        <v>1395</v>
      </c>
      <c r="P919" t="s">
        <v>101</v>
      </c>
      <c r="Q919" t="s">
        <v>1400</v>
      </c>
      <c r="R919" t="s">
        <v>1405</v>
      </c>
      <c r="S919">
        <v>1</v>
      </c>
      <c r="T919" t="s">
        <v>1406</v>
      </c>
      <c r="U919">
        <v>1</v>
      </c>
      <c r="V919">
        <v>0</v>
      </c>
      <c r="W919">
        <v>3.3705628999999999</v>
      </c>
      <c r="X919">
        <v>41.600759799999999</v>
      </c>
      <c r="Y919">
        <v>17.427111499999999</v>
      </c>
      <c r="Z919">
        <v>65.6737076</v>
      </c>
      <c r="AA919">
        <v>1</v>
      </c>
      <c r="AB919">
        <v>1</v>
      </c>
      <c r="AC919" t="s">
        <v>174</v>
      </c>
      <c r="AD919">
        <v>9</v>
      </c>
      <c r="AE919" t="s">
        <v>1414</v>
      </c>
      <c r="AF919">
        <v>70100000</v>
      </c>
      <c r="AG919" t="s">
        <v>310</v>
      </c>
      <c r="AH919">
        <f>SUM((MID(Dyno_Data[[#This Row],[Team]],4,5))+(Dyno_Data[[#This Row],[Match]]/100))</f>
        <v>3799.15</v>
      </c>
      <c r="AI919" s="76">
        <f>ROUND(SUM(IF(Dyno_Data[[#This Row],[AcqCenter]]&gt;0,Dyno_Data[[#This Row],[Time]]-SUMIFS(Dyno_Data[Time],Dyno_Data[Team],Dyno_Data[[#This Row],[Team]],Dyno_Data[RecordType],"StartMatch",Dyno_Data[Match],Dyno_Data[[#This Row],[Match]]),0)*86400),0)</f>
        <v>0</v>
      </c>
    </row>
    <row r="920" spans="1:35" x14ac:dyDescent="0.3">
      <c r="A920">
        <v>925</v>
      </c>
      <c r="B920" t="s">
        <v>1306</v>
      </c>
      <c r="C920">
        <v>16</v>
      </c>
      <c r="D920" s="105">
        <v>45373.468064849534</v>
      </c>
      <c r="E920" t="s">
        <v>308</v>
      </c>
      <c r="F920" t="s">
        <v>309</v>
      </c>
      <c r="G920">
        <v>0</v>
      </c>
      <c r="H920" t="s">
        <v>310</v>
      </c>
      <c r="I920">
        <v>0</v>
      </c>
      <c r="J920">
        <v>0</v>
      </c>
      <c r="K920">
        <v>0</v>
      </c>
      <c r="L920" t="s">
        <v>310</v>
      </c>
      <c r="M920" t="s">
        <v>310</v>
      </c>
      <c r="N920">
        <v>0</v>
      </c>
      <c r="O920" t="s">
        <v>311</v>
      </c>
      <c r="P920" t="s">
        <v>310</v>
      </c>
      <c r="Q920" t="s">
        <v>310</v>
      </c>
      <c r="R920" t="s">
        <v>310</v>
      </c>
      <c r="S920">
        <v>9</v>
      </c>
      <c r="T920" t="s">
        <v>310</v>
      </c>
      <c r="U920">
        <v>9</v>
      </c>
      <c r="V920">
        <v>9</v>
      </c>
      <c r="W920">
        <v>0</v>
      </c>
      <c r="X920">
        <v>0</v>
      </c>
      <c r="Y920">
        <v>0</v>
      </c>
      <c r="Z920">
        <v>0</v>
      </c>
      <c r="AA920">
        <v>9</v>
      </c>
      <c r="AB920">
        <v>9</v>
      </c>
      <c r="AC920" t="s">
        <v>310</v>
      </c>
      <c r="AD920">
        <v>9</v>
      </c>
      <c r="AE920" t="s">
        <v>1416</v>
      </c>
      <c r="AF920">
        <v>0</v>
      </c>
      <c r="AG920" t="s">
        <v>310</v>
      </c>
      <c r="AH920">
        <f>SUM((MID(Dyno_Data[[#This Row],[Team]],4,5))+(Dyno_Data[[#This Row],[Match]]/100))</f>
        <v>3986.16</v>
      </c>
      <c r="AI920" s="76">
        <f>ROUND(SUM(IF(Dyno_Data[[#This Row],[AcqCenter]]&gt;0,Dyno_Data[[#This Row],[Time]]-SUMIFS(Dyno_Data[Time],Dyno_Data[Team],Dyno_Data[[#This Row],[Team]],Dyno_Data[RecordType],"StartMatch",Dyno_Data[Match],Dyno_Data[[#This Row],[Match]]),0)*86400),0)</f>
        <v>0</v>
      </c>
    </row>
    <row r="921" spans="1:35" x14ac:dyDescent="0.3">
      <c r="A921">
        <v>927</v>
      </c>
      <c r="B921" t="s">
        <v>1295</v>
      </c>
      <c r="C921">
        <v>16</v>
      </c>
      <c r="D921" s="105">
        <v>45373.468085069442</v>
      </c>
      <c r="E921" t="s">
        <v>308</v>
      </c>
      <c r="F921" t="s">
        <v>309</v>
      </c>
      <c r="G921">
        <v>0</v>
      </c>
      <c r="H921" t="s">
        <v>310</v>
      </c>
      <c r="I921">
        <v>0</v>
      </c>
      <c r="J921">
        <v>0</v>
      </c>
      <c r="K921">
        <v>0</v>
      </c>
      <c r="L921" t="s">
        <v>310</v>
      </c>
      <c r="M921" t="s">
        <v>310</v>
      </c>
      <c r="N921">
        <v>0</v>
      </c>
      <c r="O921" t="s">
        <v>1389</v>
      </c>
      <c r="P921" t="s">
        <v>310</v>
      </c>
      <c r="Q921" t="s">
        <v>310</v>
      </c>
      <c r="R921" t="s">
        <v>310</v>
      </c>
      <c r="S921">
        <v>9</v>
      </c>
      <c r="T921" t="s">
        <v>310</v>
      </c>
      <c r="U921">
        <v>9</v>
      </c>
      <c r="V921">
        <v>9</v>
      </c>
      <c r="W921">
        <v>0</v>
      </c>
      <c r="X921">
        <v>0</v>
      </c>
      <c r="Y921">
        <v>0</v>
      </c>
      <c r="Z921">
        <v>0</v>
      </c>
      <c r="AA921">
        <v>9</v>
      </c>
      <c r="AB921">
        <v>9</v>
      </c>
      <c r="AC921" t="s">
        <v>310</v>
      </c>
      <c r="AD921">
        <v>9</v>
      </c>
      <c r="AE921" t="s">
        <v>1412</v>
      </c>
      <c r="AF921">
        <v>20000000</v>
      </c>
      <c r="AG921" t="s">
        <v>310</v>
      </c>
      <c r="AH921">
        <f>SUM((MID(Dyno_Data[[#This Row],[Team]],4,5))+(Dyno_Data[[#This Row],[Match]]/100))</f>
        <v>6300.16</v>
      </c>
      <c r="AI921" s="76">
        <f>ROUND(SUM(IF(Dyno_Data[[#This Row],[AcqCenter]]&gt;0,Dyno_Data[[#This Row],[Time]]-SUMIFS(Dyno_Data[Time],Dyno_Data[Team],Dyno_Data[[#This Row],[Team]],Dyno_Data[RecordType],"StartMatch",Dyno_Data[Match],Dyno_Data[[#This Row],[Match]]),0)*86400),0)</f>
        <v>0</v>
      </c>
    </row>
    <row r="922" spans="1:35" x14ac:dyDescent="0.3">
      <c r="A922">
        <v>929</v>
      </c>
      <c r="B922" t="s">
        <v>1315</v>
      </c>
      <c r="C922">
        <v>16</v>
      </c>
      <c r="D922" s="105">
        <v>45373.468085763889</v>
      </c>
      <c r="E922" t="s">
        <v>308</v>
      </c>
      <c r="F922" t="s">
        <v>309</v>
      </c>
      <c r="G922">
        <v>0</v>
      </c>
      <c r="H922" t="s">
        <v>310</v>
      </c>
      <c r="I922">
        <v>0</v>
      </c>
      <c r="J922">
        <v>0</v>
      </c>
      <c r="K922">
        <v>0</v>
      </c>
      <c r="L922" t="s">
        <v>310</v>
      </c>
      <c r="M922" t="s">
        <v>310</v>
      </c>
      <c r="N922">
        <v>0</v>
      </c>
      <c r="O922" t="s">
        <v>319</v>
      </c>
      <c r="P922" t="s">
        <v>310</v>
      </c>
      <c r="Q922" t="s">
        <v>310</v>
      </c>
      <c r="R922" t="s">
        <v>310</v>
      </c>
      <c r="S922">
        <v>9</v>
      </c>
      <c r="T922" t="s">
        <v>310</v>
      </c>
      <c r="U922">
        <v>9</v>
      </c>
      <c r="V922">
        <v>9</v>
      </c>
      <c r="W922">
        <v>0</v>
      </c>
      <c r="X922">
        <v>0</v>
      </c>
      <c r="Y922">
        <v>0</v>
      </c>
      <c r="Z922">
        <v>0</v>
      </c>
      <c r="AA922">
        <v>9</v>
      </c>
      <c r="AB922">
        <v>9</v>
      </c>
      <c r="AC922" t="s">
        <v>310</v>
      </c>
      <c r="AD922">
        <v>9</v>
      </c>
      <c r="AE922" t="s">
        <v>1413</v>
      </c>
      <c r="AF922">
        <v>0</v>
      </c>
      <c r="AG922" t="s">
        <v>310</v>
      </c>
      <c r="AH922">
        <f>SUM((MID(Dyno_Data[[#This Row],[Team]],4,5))+(Dyno_Data[[#This Row],[Match]]/100))</f>
        <v>1511.16</v>
      </c>
      <c r="AI922" s="76">
        <f>ROUND(SUM(IF(Dyno_Data[[#This Row],[AcqCenter]]&gt;0,Dyno_Data[[#This Row],[Time]]-SUMIFS(Dyno_Data[Time],Dyno_Data[Team],Dyno_Data[[#This Row],[Team]],Dyno_Data[RecordType],"StartMatch",Dyno_Data[Match],Dyno_Data[[#This Row],[Match]]),0)*86400),0)</f>
        <v>0</v>
      </c>
    </row>
    <row r="923" spans="1:35" x14ac:dyDescent="0.3">
      <c r="A923">
        <v>931</v>
      </c>
      <c r="B923" t="s">
        <v>1311</v>
      </c>
      <c r="C923">
        <v>16</v>
      </c>
      <c r="D923" s="105">
        <v>45373.46809008102</v>
      </c>
      <c r="E923" t="s">
        <v>308</v>
      </c>
      <c r="F923" t="s">
        <v>309</v>
      </c>
      <c r="G923">
        <v>0</v>
      </c>
      <c r="H923" t="s">
        <v>310</v>
      </c>
      <c r="I923">
        <v>0</v>
      </c>
      <c r="J923">
        <v>0</v>
      </c>
      <c r="K923">
        <v>0</v>
      </c>
      <c r="L923" t="s">
        <v>310</v>
      </c>
      <c r="M923" t="s">
        <v>310</v>
      </c>
      <c r="N923">
        <v>0</v>
      </c>
      <c r="O923" t="s">
        <v>1395</v>
      </c>
      <c r="P923" t="s">
        <v>310</v>
      </c>
      <c r="Q923" t="s">
        <v>310</v>
      </c>
      <c r="R923" t="s">
        <v>310</v>
      </c>
      <c r="S923">
        <v>9</v>
      </c>
      <c r="T923" t="s">
        <v>310</v>
      </c>
      <c r="U923">
        <v>9</v>
      </c>
      <c r="V923">
        <v>9</v>
      </c>
      <c r="W923">
        <v>0</v>
      </c>
      <c r="X923">
        <v>0</v>
      </c>
      <c r="Y923">
        <v>0</v>
      </c>
      <c r="Z923">
        <v>0</v>
      </c>
      <c r="AA923">
        <v>9</v>
      </c>
      <c r="AB923">
        <v>9</v>
      </c>
      <c r="AC923" t="s">
        <v>310</v>
      </c>
      <c r="AD923">
        <v>9</v>
      </c>
      <c r="AE923" t="s">
        <v>1417</v>
      </c>
      <c r="AF923">
        <v>0</v>
      </c>
      <c r="AG923" t="s">
        <v>310</v>
      </c>
      <c r="AH923">
        <f>SUM((MID(Dyno_Data[[#This Row],[Team]],4,5))+(Dyno_Data[[#This Row],[Match]]/100))</f>
        <v>2234.16</v>
      </c>
      <c r="AI923" s="76">
        <f>ROUND(SUM(IF(Dyno_Data[[#This Row],[AcqCenter]]&gt;0,Dyno_Data[[#This Row],[Time]]-SUMIFS(Dyno_Data[Time],Dyno_Data[Team],Dyno_Data[[#This Row],[Team]],Dyno_Data[RecordType],"StartMatch",Dyno_Data[Match],Dyno_Data[[#This Row],[Match]]),0)*86400),0)</f>
        <v>0</v>
      </c>
    </row>
    <row r="924" spans="1:35" x14ac:dyDescent="0.3">
      <c r="A924">
        <v>933</v>
      </c>
      <c r="B924" t="s">
        <v>1280</v>
      </c>
      <c r="C924">
        <v>16</v>
      </c>
      <c r="D924" s="105">
        <v>45373.468098148151</v>
      </c>
      <c r="E924" t="s">
        <v>308</v>
      </c>
      <c r="F924" t="s">
        <v>309</v>
      </c>
      <c r="G924">
        <v>0</v>
      </c>
      <c r="H924" t="s">
        <v>310</v>
      </c>
      <c r="I924">
        <v>0</v>
      </c>
      <c r="J924">
        <v>0</v>
      </c>
      <c r="K924">
        <v>0</v>
      </c>
      <c r="L924" t="s">
        <v>310</v>
      </c>
      <c r="M924" t="s">
        <v>310</v>
      </c>
      <c r="N924">
        <v>0</v>
      </c>
      <c r="O924" t="s">
        <v>1391</v>
      </c>
      <c r="P924" t="s">
        <v>310</v>
      </c>
      <c r="Q924" t="s">
        <v>310</v>
      </c>
      <c r="R924" t="s">
        <v>310</v>
      </c>
      <c r="S924">
        <v>9</v>
      </c>
      <c r="T924" t="s">
        <v>310</v>
      </c>
      <c r="U924">
        <v>9</v>
      </c>
      <c r="V924">
        <v>9</v>
      </c>
      <c r="W924">
        <v>0</v>
      </c>
      <c r="X924">
        <v>0</v>
      </c>
      <c r="Y924">
        <v>0</v>
      </c>
      <c r="Z924">
        <v>0</v>
      </c>
      <c r="AA924">
        <v>9</v>
      </c>
      <c r="AB924">
        <v>9</v>
      </c>
      <c r="AC924" t="s">
        <v>310</v>
      </c>
      <c r="AD924">
        <v>9</v>
      </c>
      <c r="AE924" t="s">
        <v>1418</v>
      </c>
      <c r="AF924">
        <v>0</v>
      </c>
      <c r="AG924" t="s">
        <v>310</v>
      </c>
      <c r="AH924">
        <f>SUM((MID(Dyno_Data[[#This Row],[Team]],4,5))+(Dyno_Data[[#This Row],[Match]]/100))</f>
        <v>1559.16</v>
      </c>
      <c r="AI924" s="76">
        <f>ROUND(SUM(IF(Dyno_Data[[#This Row],[AcqCenter]]&gt;0,Dyno_Data[[#This Row],[Time]]-SUMIFS(Dyno_Data[Time],Dyno_Data[Team],Dyno_Data[[#This Row],[Team]],Dyno_Data[RecordType],"StartMatch",Dyno_Data[Match],Dyno_Data[[#This Row],[Match]]),0)*86400),0)</f>
        <v>0</v>
      </c>
    </row>
    <row r="925" spans="1:35" x14ac:dyDescent="0.3">
      <c r="A925">
        <v>935</v>
      </c>
      <c r="B925" t="s">
        <v>1318</v>
      </c>
      <c r="C925">
        <v>16</v>
      </c>
      <c r="D925" s="105">
        <v>45373.46809829861</v>
      </c>
      <c r="E925" t="s">
        <v>308</v>
      </c>
      <c r="F925" t="s">
        <v>309</v>
      </c>
      <c r="G925">
        <v>0</v>
      </c>
      <c r="H925" t="s">
        <v>310</v>
      </c>
      <c r="I925">
        <v>0</v>
      </c>
      <c r="J925">
        <v>0</v>
      </c>
      <c r="K925">
        <v>0</v>
      </c>
      <c r="L925" t="s">
        <v>310</v>
      </c>
      <c r="M925" t="s">
        <v>310</v>
      </c>
      <c r="N925">
        <v>0</v>
      </c>
      <c r="O925" t="s">
        <v>1393</v>
      </c>
      <c r="P925" t="s">
        <v>310</v>
      </c>
      <c r="Q925" t="s">
        <v>310</v>
      </c>
      <c r="R925" t="s">
        <v>310</v>
      </c>
      <c r="S925">
        <v>9</v>
      </c>
      <c r="T925" t="s">
        <v>310</v>
      </c>
      <c r="U925">
        <v>9</v>
      </c>
      <c r="V925">
        <v>9</v>
      </c>
      <c r="W925">
        <v>0</v>
      </c>
      <c r="X925">
        <v>0</v>
      </c>
      <c r="Y925">
        <v>0</v>
      </c>
      <c r="Z925">
        <v>0</v>
      </c>
      <c r="AA925">
        <v>9</v>
      </c>
      <c r="AB925">
        <v>9</v>
      </c>
      <c r="AC925" t="s">
        <v>310</v>
      </c>
      <c r="AD925">
        <v>9</v>
      </c>
      <c r="AE925" t="s">
        <v>1414</v>
      </c>
      <c r="AF925">
        <v>0</v>
      </c>
      <c r="AG925" t="s">
        <v>310</v>
      </c>
      <c r="AH925">
        <f>SUM((MID(Dyno_Data[[#This Row],[Team]],4,5))+(Dyno_Data[[#This Row],[Match]]/100))</f>
        <v>7709.16</v>
      </c>
      <c r="AI925" s="76">
        <f>ROUND(SUM(IF(Dyno_Data[[#This Row],[AcqCenter]]&gt;0,Dyno_Data[[#This Row],[Time]]-SUMIFS(Dyno_Data[Time],Dyno_Data[Team],Dyno_Data[[#This Row],[Team]],Dyno_Data[RecordType],"StartMatch",Dyno_Data[Match],Dyno_Data[[#This Row],[Match]]),0)*86400),0)</f>
        <v>0</v>
      </c>
    </row>
    <row r="926" spans="1:35" x14ac:dyDescent="0.3">
      <c r="A926">
        <v>919</v>
      </c>
      <c r="B926" t="s">
        <v>1295</v>
      </c>
      <c r="C926">
        <v>16</v>
      </c>
      <c r="D926" s="105">
        <v>45373.468102233797</v>
      </c>
      <c r="E926" t="s">
        <v>312</v>
      </c>
      <c r="F926" t="s">
        <v>309</v>
      </c>
      <c r="G926">
        <v>0</v>
      </c>
      <c r="H926" t="s">
        <v>1397</v>
      </c>
      <c r="I926">
        <v>0</v>
      </c>
      <c r="J926">
        <v>0</v>
      </c>
      <c r="K926">
        <v>0</v>
      </c>
      <c r="L926" t="s">
        <v>240</v>
      </c>
      <c r="M926" t="s">
        <v>1398</v>
      </c>
      <c r="N926">
        <v>0</v>
      </c>
      <c r="O926" t="s">
        <v>1389</v>
      </c>
      <c r="P926" t="s">
        <v>310</v>
      </c>
      <c r="Q926" t="s">
        <v>310</v>
      </c>
      <c r="R926" t="s">
        <v>310</v>
      </c>
      <c r="S926">
        <v>9</v>
      </c>
      <c r="T926" t="s">
        <v>310</v>
      </c>
      <c r="U926">
        <v>9</v>
      </c>
      <c r="V926">
        <v>9</v>
      </c>
      <c r="W926">
        <v>0</v>
      </c>
      <c r="X926">
        <v>0</v>
      </c>
      <c r="Y926">
        <v>0</v>
      </c>
      <c r="Z926">
        <v>0</v>
      </c>
      <c r="AA926">
        <v>9</v>
      </c>
      <c r="AB926">
        <v>9</v>
      </c>
      <c r="AC926" t="s">
        <v>310</v>
      </c>
      <c r="AD926">
        <v>9</v>
      </c>
      <c r="AE926" t="s">
        <v>1412</v>
      </c>
      <c r="AF926">
        <v>0</v>
      </c>
      <c r="AG926" t="s">
        <v>310</v>
      </c>
      <c r="AH926">
        <f>SUM((MID(Dyno_Data[[#This Row],[Team]],4,5))+(Dyno_Data[[#This Row],[Match]]/100))</f>
        <v>6300.16</v>
      </c>
      <c r="AI926" s="76">
        <f>ROUND(SUM(IF(Dyno_Data[[#This Row],[AcqCenter]]&gt;0,Dyno_Data[[#This Row],[Time]]-SUMIFS(Dyno_Data[Time],Dyno_Data[Team],Dyno_Data[[#This Row],[Team]],Dyno_Data[RecordType],"StartMatch",Dyno_Data[Match],Dyno_Data[[#This Row],[Match]]),0)*86400),0)</f>
        <v>0</v>
      </c>
    </row>
    <row r="927" spans="1:35" x14ac:dyDescent="0.3">
      <c r="A927">
        <v>920</v>
      </c>
      <c r="B927" t="s">
        <v>1315</v>
      </c>
      <c r="C927">
        <v>16</v>
      </c>
      <c r="D927" s="105">
        <v>45373.468125381944</v>
      </c>
      <c r="E927" t="s">
        <v>312</v>
      </c>
      <c r="F927" t="s">
        <v>309</v>
      </c>
      <c r="G927">
        <v>0</v>
      </c>
      <c r="H927" t="s">
        <v>1397</v>
      </c>
      <c r="I927">
        <v>0</v>
      </c>
      <c r="J927">
        <v>0</v>
      </c>
      <c r="K927">
        <v>0</v>
      </c>
      <c r="L927" t="s">
        <v>240</v>
      </c>
      <c r="M927" t="s">
        <v>1398</v>
      </c>
      <c r="N927">
        <v>0</v>
      </c>
      <c r="O927" t="s">
        <v>319</v>
      </c>
      <c r="P927" t="s">
        <v>310</v>
      </c>
      <c r="Q927" t="s">
        <v>310</v>
      </c>
      <c r="R927" t="s">
        <v>310</v>
      </c>
      <c r="S927">
        <v>9</v>
      </c>
      <c r="T927" t="s">
        <v>310</v>
      </c>
      <c r="U927">
        <v>9</v>
      </c>
      <c r="V927">
        <v>9</v>
      </c>
      <c r="W927">
        <v>0</v>
      </c>
      <c r="X927">
        <v>0</v>
      </c>
      <c r="Y927">
        <v>0</v>
      </c>
      <c r="Z927">
        <v>0</v>
      </c>
      <c r="AA927">
        <v>9</v>
      </c>
      <c r="AB927">
        <v>9</v>
      </c>
      <c r="AC927" t="s">
        <v>310</v>
      </c>
      <c r="AD927">
        <v>9</v>
      </c>
      <c r="AE927" t="s">
        <v>1413</v>
      </c>
      <c r="AF927">
        <v>0</v>
      </c>
      <c r="AG927" t="s">
        <v>310</v>
      </c>
      <c r="AH927">
        <f>SUM((MID(Dyno_Data[[#This Row],[Team]],4,5))+(Dyno_Data[[#This Row],[Match]]/100))</f>
        <v>1511.16</v>
      </c>
      <c r="AI927" s="76">
        <f>ROUND(SUM(IF(Dyno_Data[[#This Row],[AcqCenter]]&gt;0,Dyno_Data[[#This Row],[Time]]-SUMIFS(Dyno_Data[Time],Dyno_Data[Team],Dyno_Data[[#This Row],[Team]],Dyno_Data[RecordType],"StartMatch",Dyno_Data[Match],Dyno_Data[[#This Row],[Match]]),0)*86400),0)</f>
        <v>0</v>
      </c>
    </row>
    <row r="928" spans="1:35" x14ac:dyDescent="0.3">
      <c r="A928">
        <v>922</v>
      </c>
      <c r="B928" t="s">
        <v>1306</v>
      </c>
      <c r="C928">
        <v>16</v>
      </c>
      <c r="D928" s="105">
        <v>45373.468150775465</v>
      </c>
      <c r="E928" t="s">
        <v>312</v>
      </c>
      <c r="F928" t="s">
        <v>309</v>
      </c>
      <c r="G928">
        <v>0</v>
      </c>
      <c r="H928" t="s">
        <v>143</v>
      </c>
      <c r="I928">
        <v>1</v>
      </c>
      <c r="J928">
        <v>1</v>
      </c>
      <c r="K928">
        <v>0</v>
      </c>
      <c r="L928" t="s">
        <v>310</v>
      </c>
      <c r="M928" t="s">
        <v>310</v>
      </c>
      <c r="N928">
        <v>0</v>
      </c>
      <c r="O928" t="s">
        <v>311</v>
      </c>
      <c r="P928" t="s">
        <v>310</v>
      </c>
      <c r="Q928" t="s">
        <v>310</v>
      </c>
      <c r="R928" t="s">
        <v>310</v>
      </c>
      <c r="S928">
        <v>9</v>
      </c>
      <c r="T928" t="s">
        <v>310</v>
      </c>
      <c r="U928">
        <v>9</v>
      </c>
      <c r="V928">
        <v>9</v>
      </c>
      <c r="W928">
        <v>0</v>
      </c>
      <c r="X928">
        <v>0</v>
      </c>
      <c r="Y928">
        <v>0</v>
      </c>
      <c r="Z928">
        <v>0</v>
      </c>
      <c r="AA928">
        <v>9</v>
      </c>
      <c r="AB928">
        <v>9</v>
      </c>
      <c r="AC928" t="s">
        <v>310</v>
      </c>
      <c r="AD928">
        <v>9</v>
      </c>
      <c r="AE928" t="s">
        <v>1416</v>
      </c>
      <c r="AF928">
        <v>0</v>
      </c>
      <c r="AG928" t="s">
        <v>310</v>
      </c>
      <c r="AH928">
        <f>SUM((MID(Dyno_Data[[#This Row],[Team]],4,5))+(Dyno_Data[[#This Row],[Match]]/100))</f>
        <v>3986.16</v>
      </c>
      <c r="AI928" s="76">
        <f>ROUND(SUM(IF(Dyno_Data[[#This Row],[AcqCenter]]&gt;0,Dyno_Data[[#This Row],[Time]]-SUMIFS(Dyno_Data[Time],Dyno_Data[Team],Dyno_Data[[#This Row],[Team]],Dyno_Data[RecordType],"StartMatch",Dyno_Data[Match],Dyno_Data[[#This Row],[Match]]),0)*86400),0)</f>
        <v>7</v>
      </c>
    </row>
    <row r="929" spans="1:35" x14ac:dyDescent="0.3">
      <c r="A929">
        <v>921</v>
      </c>
      <c r="B929" t="s">
        <v>1295</v>
      </c>
      <c r="C929">
        <v>16</v>
      </c>
      <c r="D929" s="105">
        <v>45373.468154363429</v>
      </c>
      <c r="E929" t="s">
        <v>312</v>
      </c>
      <c r="F929" t="s">
        <v>309</v>
      </c>
      <c r="G929">
        <v>0</v>
      </c>
      <c r="H929" t="s">
        <v>315</v>
      </c>
      <c r="I929">
        <v>0</v>
      </c>
      <c r="J929">
        <v>0</v>
      </c>
      <c r="K929">
        <v>0</v>
      </c>
      <c r="L929" t="s">
        <v>240</v>
      </c>
      <c r="M929" t="s">
        <v>1398</v>
      </c>
      <c r="N929">
        <v>0</v>
      </c>
      <c r="O929" t="s">
        <v>1389</v>
      </c>
      <c r="P929" t="s">
        <v>310</v>
      </c>
      <c r="Q929" t="s">
        <v>310</v>
      </c>
      <c r="R929" t="s">
        <v>310</v>
      </c>
      <c r="S929">
        <v>9</v>
      </c>
      <c r="T929" t="s">
        <v>310</v>
      </c>
      <c r="U929">
        <v>9</v>
      </c>
      <c r="V929">
        <v>9</v>
      </c>
      <c r="W929">
        <v>0</v>
      </c>
      <c r="X929">
        <v>0</v>
      </c>
      <c r="Y929">
        <v>0</v>
      </c>
      <c r="Z929">
        <v>0</v>
      </c>
      <c r="AA929">
        <v>9</v>
      </c>
      <c r="AB929">
        <v>9</v>
      </c>
      <c r="AC929" t="s">
        <v>310</v>
      </c>
      <c r="AD929">
        <v>9</v>
      </c>
      <c r="AE929" t="s">
        <v>1412</v>
      </c>
      <c r="AF929">
        <v>10000000</v>
      </c>
      <c r="AG929" t="s">
        <v>310</v>
      </c>
      <c r="AH929">
        <f>SUM((MID(Dyno_Data[[#This Row],[Team]],4,5))+(Dyno_Data[[#This Row],[Match]]/100))</f>
        <v>6300.16</v>
      </c>
      <c r="AI929" s="76">
        <f>ROUND(SUM(IF(Dyno_Data[[#This Row],[AcqCenter]]&gt;0,Dyno_Data[[#This Row],[Time]]-SUMIFS(Dyno_Data[Time],Dyno_Data[Team],Dyno_Data[[#This Row],[Team]],Dyno_Data[RecordType],"StartMatch",Dyno_Data[Match],Dyno_Data[[#This Row],[Match]]),0)*86400),0)</f>
        <v>0</v>
      </c>
    </row>
    <row r="930" spans="1:35" x14ac:dyDescent="0.3">
      <c r="A930">
        <v>923</v>
      </c>
      <c r="B930" t="s">
        <v>1315</v>
      </c>
      <c r="C930">
        <v>16</v>
      </c>
      <c r="D930" s="105">
        <v>45373.468186261576</v>
      </c>
      <c r="E930" t="s">
        <v>312</v>
      </c>
      <c r="F930" t="s">
        <v>309</v>
      </c>
      <c r="G930">
        <v>0</v>
      </c>
      <c r="H930" t="s">
        <v>1415</v>
      </c>
      <c r="I930">
        <v>0</v>
      </c>
      <c r="J930">
        <v>0</v>
      </c>
      <c r="K930">
        <v>0</v>
      </c>
      <c r="L930" t="s">
        <v>241</v>
      </c>
      <c r="M930" t="s">
        <v>1398</v>
      </c>
      <c r="N930">
        <v>0</v>
      </c>
      <c r="O930" t="s">
        <v>319</v>
      </c>
      <c r="P930" t="s">
        <v>310</v>
      </c>
      <c r="Q930" t="s">
        <v>310</v>
      </c>
      <c r="R930" t="s">
        <v>310</v>
      </c>
      <c r="S930">
        <v>9</v>
      </c>
      <c r="T930" t="s">
        <v>310</v>
      </c>
      <c r="U930">
        <v>9</v>
      </c>
      <c r="V930">
        <v>9</v>
      </c>
      <c r="W930">
        <v>0</v>
      </c>
      <c r="X930">
        <v>0</v>
      </c>
      <c r="Y930">
        <v>0</v>
      </c>
      <c r="Z930">
        <v>0</v>
      </c>
      <c r="AA930">
        <v>9</v>
      </c>
      <c r="AB930">
        <v>9</v>
      </c>
      <c r="AC930" t="s">
        <v>310</v>
      </c>
      <c r="AD930">
        <v>9</v>
      </c>
      <c r="AE930" t="s">
        <v>1413</v>
      </c>
      <c r="AF930">
        <v>0</v>
      </c>
      <c r="AG930" t="s">
        <v>310</v>
      </c>
      <c r="AH930">
        <f>SUM((MID(Dyno_Data[[#This Row],[Team]],4,5))+(Dyno_Data[[#This Row],[Match]]/100))</f>
        <v>1511.16</v>
      </c>
      <c r="AI930" s="76">
        <f>ROUND(SUM(IF(Dyno_Data[[#This Row],[AcqCenter]]&gt;0,Dyno_Data[[#This Row],[Time]]-SUMIFS(Dyno_Data[Time],Dyno_Data[Team],Dyno_Data[[#This Row],[Team]],Dyno_Data[RecordType],"StartMatch",Dyno_Data[Match],Dyno_Data[[#This Row],[Match]]),0)*86400),0)</f>
        <v>0</v>
      </c>
    </row>
    <row r="931" spans="1:35" x14ac:dyDescent="0.3">
      <c r="A931">
        <v>924</v>
      </c>
      <c r="B931" t="s">
        <v>1295</v>
      </c>
      <c r="C931">
        <v>16</v>
      </c>
      <c r="D931" s="105">
        <v>45373.468259953705</v>
      </c>
      <c r="E931" t="s">
        <v>312</v>
      </c>
      <c r="F931" t="s">
        <v>309</v>
      </c>
      <c r="G931">
        <v>0</v>
      </c>
      <c r="H931" t="s">
        <v>315</v>
      </c>
      <c r="I931">
        <v>0</v>
      </c>
      <c r="J931">
        <v>0</v>
      </c>
      <c r="K931">
        <v>0</v>
      </c>
      <c r="L931" t="s">
        <v>241</v>
      </c>
      <c r="M931" t="s">
        <v>1398</v>
      </c>
      <c r="N931">
        <v>0</v>
      </c>
      <c r="O931" t="s">
        <v>1389</v>
      </c>
      <c r="P931" t="s">
        <v>310</v>
      </c>
      <c r="Q931" t="s">
        <v>310</v>
      </c>
      <c r="R931" t="s">
        <v>310</v>
      </c>
      <c r="S931">
        <v>9</v>
      </c>
      <c r="T931" t="s">
        <v>310</v>
      </c>
      <c r="U931">
        <v>9</v>
      </c>
      <c r="V931">
        <v>9</v>
      </c>
      <c r="W931">
        <v>0</v>
      </c>
      <c r="X931">
        <v>0</v>
      </c>
      <c r="Y931">
        <v>0</v>
      </c>
      <c r="Z931">
        <v>0</v>
      </c>
      <c r="AA931">
        <v>9</v>
      </c>
      <c r="AB931">
        <v>9</v>
      </c>
      <c r="AC931" t="s">
        <v>310</v>
      </c>
      <c r="AD931">
        <v>9</v>
      </c>
      <c r="AE931" t="s">
        <v>1412</v>
      </c>
      <c r="AF931">
        <v>20000000</v>
      </c>
      <c r="AG931" t="s">
        <v>310</v>
      </c>
      <c r="AH931">
        <f>SUM((MID(Dyno_Data[[#This Row],[Team]],4,5))+(Dyno_Data[[#This Row],[Match]]/100))</f>
        <v>6300.16</v>
      </c>
      <c r="AI931" s="76">
        <f>ROUND(SUM(IF(Dyno_Data[[#This Row],[AcqCenter]]&gt;0,Dyno_Data[[#This Row],[Time]]-SUMIFS(Dyno_Data[Time],Dyno_Data[Team],Dyno_Data[[#This Row],[Team]],Dyno_Data[RecordType],"StartMatch",Dyno_Data[Match],Dyno_Data[[#This Row],[Match]]),0)*86400),0)</f>
        <v>0</v>
      </c>
    </row>
    <row r="932" spans="1:35" x14ac:dyDescent="0.3">
      <c r="A932">
        <v>926</v>
      </c>
      <c r="B932" t="s">
        <v>1306</v>
      </c>
      <c r="C932">
        <v>16</v>
      </c>
      <c r="D932" s="105">
        <v>45373.468273182873</v>
      </c>
      <c r="E932" t="s">
        <v>314</v>
      </c>
      <c r="F932" t="s">
        <v>309</v>
      </c>
      <c r="G932">
        <v>1</v>
      </c>
      <c r="H932" t="s">
        <v>310</v>
      </c>
      <c r="I932">
        <v>0</v>
      </c>
      <c r="J932">
        <v>0</v>
      </c>
      <c r="K932">
        <v>0</v>
      </c>
      <c r="L932" t="s">
        <v>310</v>
      </c>
      <c r="M932" t="s">
        <v>310</v>
      </c>
      <c r="N932">
        <v>0</v>
      </c>
      <c r="O932" t="s">
        <v>311</v>
      </c>
      <c r="P932" t="s">
        <v>320</v>
      </c>
      <c r="Q932" t="s">
        <v>1400</v>
      </c>
      <c r="R932" t="s">
        <v>310</v>
      </c>
      <c r="S932">
        <v>9</v>
      </c>
      <c r="T932" t="s">
        <v>310</v>
      </c>
      <c r="U932">
        <v>9</v>
      </c>
      <c r="V932">
        <v>9</v>
      </c>
      <c r="W932">
        <v>0</v>
      </c>
      <c r="X932">
        <v>0</v>
      </c>
      <c r="Y932">
        <v>0</v>
      </c>
      <c r="Z932">
        <v>0</v>
      </c>
      <c r="AA932">
        <v>9</v>
      </c>
      <c r="AB932">
        <v>9</v>
      </c>
      <c r="AC932" t="s">
        <v>310</v>
      </c>
      <c r="AD932">
        <v>9</v>
      </c>
      <c r="AE932" t="s">
        <v>1416</v>
      </c>
      <c r="AF932">
        <v>0</v>
      </c>
      <c r="AG932" t="s">
        <v>310</v>
      </c>
      <c r="AH932">
        <f>SUM((MID(Dyno_Data[[#This Row],[Team]],4,5))+(Dyno_Data[[#This Row],[Match]]/100))</f>
        <v>3986.16</v>
      </c>
      <c r="AI932" s="76">
        <f>ROUND(SUM(IF(Dyno_Data[[#This Row],[AcqCenter]]&gt;0,Dyno_Data[[#This Row],[Time]]-SUMIFS(Dyno_Data[Time],Dyno_Data[Team],Dyno_Data[[#This Row],[Team]],Dyno_Data[RecordType],"StartMatch",Dyno_Data[Match],Dyno_Data[[#This Row],[Match]]),0)*86400),0)</f>
        <v>0</v>
      </c>
    </row>
    <row r="933" spans="1:35" x14ac:dyDescent="0.3">
      <c r="A933">
        <v>928</v>
      </c>
      <c r="B933" t="s">
        <v>1295</v>
      </c>
      <c r="C933">
        <v>16</v>
      </c>
      <c r="D933" s="105">
        <v>45373.468293402781</v>
      </c>
      <c r="E933" t="s">
        <v>314</v>
      </c>
      <c r="F933" t="s">
        <v>309</v>
      </c>
      <c r="G933">
        <v>1</v>
      </c>
      <c r="H933" t="s">
        <v>310</v>
      </c>
      <c r="I933">
        <v>0</v>
      </c>
      <c r="J933">
        <v>0</v>
      </c>
      <c r="K933">
        <v>0</v>
      </c>
      <c r="L933" t="s">
        <v>310</v>
      </c>
      <c r="M933" t="s">
        <v>310</v>
      </c>
      <c r="N933">
        <v>0</v>
      </c>
      <c r="O933" t="s">
        <v>1389</v>
      </c>
      <c r="P933" t="s">
        <v>1401</v>
      </c>
      <c r="Q933" t="s">
        <v>1400</v>
      </c>
      <c r="R933" t="s">
        <v>310</v>
      </c>
      <c r="S933">
        <v>9</v>
      </c>
      <c r="T933" t="s">
        <v>310</v>
      </c>
      <c r="U933">
        <v>9</v>
      </c>
      <c r="V933">
        <v>9</v>
      </c>
      <c r="W933">
        <v>0</v>
      </c>
      <c r="X933">
        <v>0</v>
      </c>
      <c r="Y933">
        <v>0</v>
      </c>
      <c r="Z933">
        <v>0</v>
      </c>
      <c r="AA933">
        <v>9</v>
      </c>
      <c r="AB933">
        <v>9</v>
      </c>
      <c r="AC933" t="s">
        <v>310</v>
      </c>
      <c r="AD933">
        <v>9</v>
      </c>
      <c r="AE933" t="s">
        <v>1412</v>
      </c>
      <c r="AF933">
        <v>20000000</v>
      </c>
      <c r="AG933" t="s">
        <v>310</v>
      </c>
      <c r="AH933">
        <f>SUM((MID(Dyno_Data[[#This Row],[Team]],4,5))+(Dyno_Data[[#This Row],[Match]]/100))</f>
        <v>6300.16</v>
      </c>
      <c r="AI933" s="76">
        <f>ROUND(SUM(IF(Dyno_Data[[#This Row],[AcqCenter]]&gt;0,Dyno_Data[[#This Row],[Time]]-SUMIFS(Dyno_Data[Time],Dyno_Data[Team],Dyno_Data[[#This Row],[Team]],Dyno_Data[RecordType],"StartMatch",Dyno_Data[Match],Dyno_Data[[#This Row],[Match]]),0)*86400),0)</f>
        <v>0</v>
      </c>
    </row>
    <row r="934" spans="1:35" x14ac:dyDescent="0.3">
      <c r="A934">
        <v>930</v>
      </c>
      <c r="B934" t="s">
        <v>1315</v>
      </c>
      <c r="C934">
        <v>16</v>
      </c>
      <c r="D934" s="105">
        <v>45373.46829409722</v>
      </c>
      <c r="E934" t="s">
        <v>314</v>
      </c>
      <c r="F934" t="s">
        <v>309</v>
      </c>
      <c r="G934">
        <v>0</v>
      </c>
      <c r="H934" t="s">
        <v>310</v>
      </c>
      <c r="I934">
        <v>0</v>
      </c>
      <c r="J934">
        <v>0</v>
      </c>
      <c r="K934">
        <v>0</v>
      </c>
      <c r="L934" t="s">
        <v>310</v>
      </c>
      <c r="M934" t="s">
        <v>310</v>
      </c>
      <c r="N934">
        <v>0</v>
      </c>
      <c r="O934" t="s">
        <v>319</v>
      </c>
      <c r="P934" t="s">
        <v>240</v>
      </c>
      <c r="Q934" t="s">
        <v>1399</v>
      </c>
      <c r="R934" t="s">
        <v>310</v>
      </c>
      <c r="S934">
        <v>9</v>
      </c>
      <c r="T934" t="s">
        <v>310</v>
      </c>
      <c r="U934">
        <v>9</v>
      </c>
      <c r="V934">
        <v>9</v>
      </c>
      <c r="W934">
        <v>0</v>
      </c>
      <c r="X934">
        <v>0</v>
      </c>
      <c r="Y934">
        <v>0</v>
      </c>
      <c r="Z934">
        <v>0</v>
      </c>
      <c r="AA934">
        <v>9</v>
      </c>
      <c r="AB934">
        <v>9</v>
      </c>
      <c r="AC934" t="s">
        <v>310</v>
      </c>
      <c r="AD934">
        <v>9</v>
      </c>
      <c r="AE934" t="s">
        <v>1413</v>
      </c>
      <c r="AF934">
        <v>0</v>
      </c>
      <c r="AG934" t="s">
        <v>310</v>
      </c>
      <c r="AH934">
        <f>SUM((MID(Dyno_Data[[#This Row],[Team]],4,5))+(Dyno_Data[[#This Row],[Match]]/100))</f>
        <v>1511.16</v>
      </c>
      <c r="AI934" s="76">
        <f>ROUND(SUM(IF(Dyno_Data[[#This Row],[AcqCenter]]&gt;0,Dyno_Data[[#This Row],[Time]]-SUMIFS(Dyno_Data[Time],Dyno_Data[Team],Dyno_Data[[#This Row],[Team]],Dyno_Data[RecordType],"StartMatch",Dyno_Data[Match],Dyno_Data[[#This Row],[Match]]),0)*86400),0)</f>
        <v>0</v>
      </c>
    </row>
    <row r="935" spans="1:35" x14ac:dyDescent="0.3">
      <c r="A935">
        <v>932</v>
      </c>
      <c r="B935" t="s">
        <v>1311</v>
      </c>
      <c r="C935">
        <v>16</v>
      </c>
      <c r="D935" s="105">
        <v>45373.468298414351</v>
      </c>
      <c r="E935" t="s">
        <v>314</v>
      </c>
      <c r="F935" t="s">
        <v>309</v>
      </c>
      <c r="G935">
        <v>1</v>
      </c>
      <c r="H935" t="s">
        <v>310</v>
      </c>
      <c r="I935">
        <v>0</v>
      </c>
      <c r="J935">
        <v>0</v>
      </c>
      <c r="K935">
        <v>0</v>
      </c>
      <c r="L935" t="s">
        <v>310</v>
      </c>
      <c r="M935" t="s">
        <v>310</v>
      </c>
      <c r="N935">
        <v>0</v>
      </c>
      <c r="O935" t="s">
        <v>1395</v>
      </c>
      <c r="P935" t="s">
        <v>320</v>
      </c>
      <c r="Q935" t="s">
        <v>1400</v>
      </c>
      <c r="R935" t="s">
        <v>310</v>
      </c>
      <c r="S935">
        <v>9</v>
      </c>
      <c r="T935" t="s">
        <v>310</v>
      </c>
      <c r="U935">
        <v>9</v>
      </c>
      <c r="V935">
        <v>9</v>
      </c>
      <c r="W935">
        <v>0</v>
      </c>
      <c r="X935">
        <v>0</v>
      </c>
      <c r="Y935">
        <v>0</v>
      </c>
      <c r="Z935">
        <v>0</v>
      </c>
      <c r="AA935">
        <v>9</v>
      </c>
      <c r="AB935">
        <v>9</v>
      </c>
      <c r="AC935" t="s">
        <v>310</v>
      </c>
      <c r="AD935">
        <v>9</v>
      </c>
      <c r="AE935" t="s">
        <v>1417</v>
      </c>
      <c r="AF935">
        <v>0</v>
      </c>
      <c r="AG935" t="s">
        <v>310</v>
      </c>
      <c r="AH935">
        <f>SUM((MID(Dyno_Data[[#This Row],[Team]],4,5))+(Dyno_Data[[#This Row],[Match]]/100))</f>
        <v>2234.16</v>
      </c>
      <c r="AI935" s="76">
        <f>ROUND(SUM(IF(Dyno_Data[[#This Row],[AcqCenter]]&gt;0,Dyno_Data[[#This Row],[Time]]-SUMIFS(Dyno_Data[Time],Dyno_Data[Team],Dyno_Data[[#This Row],[Team]],Dyno_Data[RecordType],"StartMatch",Dyno_Data[Match],Dyno_Data[[#This Row],[Match]]),0)*86400),0)</f>
        <v>0</v>
      </c>
    </row>
    <row r="936" spans="1:35" x14ac:dyDescent="0.3">
      <c r="A936">
        <v>934</v>
      </c>
      <c r="B936" t="s">
        <v>1280</v>
      </c>
      <c r="C936">
        <v>16</v>
      </c>
      <c r="D936" s="105">
        <v>45373.468306481482</v>
      </c>
      <c r="E936" t="s">
        <v>314</v>
      </c>
      <c r="F936" t="s">
        <v>309</v>
      </c>
      <c r="G936">
        <v>1</v>
      </c>
      <c r="H936" t="s">
        <v>310</v>
      </c>
      <c r="I936">
        <v>0</v>
      </c>
      <c r="J936">
        <v>0</v>
      </c>
      <c r="K936">
        <v>0</v>
      </c>
      <c r="L936" t="s">
        <v>310</v>
      </c>
      <c r="M936" t="s">
        <v>310</v>
      </c>
      <c r="N936">
        <v>0</v>
      </c>
      <c r="O936" t="s">
        <v>1391</v>
      </c>
      <c r="P936" t="s">
        <v>101</v>
      </c>
      <c r="Q936" t="s">
        <v>1400</v>
      </c>
      <c r="R936" t="s">
        <v>310</v>
      </c>
      <c r="S936">
        <v>9</v>
      </c>
      <c r="T936" t="s">
        <v>310</v>
      </c>
      <c r="U936">
        <v>9</v>
      </c>
      <c r="V936">
        <v>9</v>
      </c>
      <c r="W936">
        <v>0</v>
      </c>
      <c r="X936">
        <v>0</v>
      </c>
      <c r="Y936">
        <v>0</v>
      </c>
      <c r="Z936">
        <v>0</v>
      </c>
      <c r="AA936">
        <v>9</v>
      </c>
      <c r="AB936">
        <v>9</v>
      </c>
      <c r="AC936" t="s">
        <v>310</v>
      </c>
      <c r="AD936">
        <v>9</v>
      </c>
      <c r="AE936" t="s">
        <v>1418</v>
      </c>
      <c r="AF936">
        <v>0</v>
      </c>
      <c r="AG936" t="s">
        <v>310</v>
      </c>
      <c r="AH936">
        <f>SUM((MID(Dyno_Data[[#This Row],[Team]],4,5))+(Dyno_Data[[#This Row],[Match]]/100))</f>
        <v>1559.16</v>
      </c>
      <c r="AI936" s="76">
        <f>ROUND(SUM(IF(Dyno_Data[[#This Row],[AcqCenter]]&gt;0,Dyno_Data[[#This Row],[Time]]-SUMIFS(Dyno_Data[Time],Dyno_Data[Team],Dyno_Data[[#This Row],[Team]],Dyno_Data[RecordType],"StartMatch",Dyno_Data[Match],Dyno_Data[[#This Row],[Match]]),0)*86400),0)</f>
        <v>0</v>
      </c>
    </row>
    <row r="937" spans="1:35" x14ac:dyDescent="0.3">
      <c r="A937">
        <v>936</v>
      </c>
      <c r="B937" t="s">
        <v>1318</v>
      </c>
      <c r="C937">
        <v>16</v>
      </c>
      <c r="D937" s="105">
        <v>45373.468306631941</v>
      </c>
      <c r="E937" t="s">
        <v>314</v>
      </c>
      <c r="F937" t="s">
        <v>309</v>
      </c>
      <c r="G937">
        <v>0</v>
      </c>
      <c r="H937" t="s">
        <v>310</v>
      </c>
      <c r="I937">
        <v>0</v>
      </c>
      <c r="J937">
        <v>0</v>
      </c>
      <c r="K937">
        <v>0</v>
      </c>
      <c r="L937" t="s">
        <v>310</v>
      </c>
      <c r="M937" t="s">
        <v>310</v>
      </c>
      <c r="N937">
        <v>0</v>
      </c>
      <c r="O937" t="s">
        <v>1393</v>
      </c>
      <c r="P937" t="s">
        <v>101</v>
      </c>
      <c r="Q937" t="s">
        <v>1399</v>
      </c>
      <c r="R937" t="s">
        <v>310</v>
      </c>
      <c r="S937">
        <v>9</v>
      </c>
      <c r="T937" t="s">
        <v>310</v>
      </c>
      <c r="U937">
        <v>9</v>
      </c>
      <c r="V937">
        <v>9</v>
      </c>
      <c r="W937">
        <v>0</v>
      </c>
      <c r="X937">
        <v>0</v>
      </c>
      <c r="Y937">
        <v>0</v>
      </c>
      <c r="Z937">
        <v>0</v>
      </c>
      <c r="AA937">
        <v>9</v>
      </c>
      <c r="AB937">
        <v>9</v>
      </c>
      <c r="AC937" t="s">
        <v>310</v>
      </c>
      <c r="AD937">
        <v>9</v>
      </c>
      <c r="AE937" t="s">
        <v>1414</v>
      </c>
      <c r="AF937">
        <v>0</v>
      </c>
      <c r="AG937" t="s">
        <v>310</v>
      </c>
      <c r="AH937">
        <f>SUM((MID(Dyno_Data[[#This Row],[Team]],4,5))+(Dyno_Data[[#This Row],[Match]]/100))</f>
        <v>7709.16</v>
      </c>
      <c r="AI937" s="76">
        <f>ROUND(SUM(IF(Dyno_Data[[#This Row],[AcqCenter]]&gt;0,Dyno_Data[[#This Row],[Time]]-SUMIFS(Dyno_Data[Time],Dyno_Data[Team],Dyno_Data[[#This Row],[Team]],Dyno_Data[RecordType],"StartMatch",Dyno_Data[Match],Dyno_Data[[#This Row],[Match]]),0)*86400),0)</f>
        <v>0</v>
      </c>
    </row>
    <row r="938" spans="1:35" x14ac:dyDescent="0.3">
      <c r="A938">
        <v>937</v>
      </c>
      <c r="B938" t="s">
        <v>1295</v>
      </c>
      <c r="C938">
        <v>16</v>
      </c>
      <c r="D938" s="105">
        <v>45373.46837696759</v>
      </c>
      <c r="E938" t="s">
        <v>312</v>
      </c>
      <c r="F938" t="s">
        <v>1402</v>
      </c>
      <c r="G938">
        <v>0</v>
      </c>
      <c r="H938" t="s">
        <v>315</v>
      </c>
      <c r="I938">
        <v>0</v>
      </c>
      <c r="J938">
        <v>0</v>
      </c>
      <c r="K938">
        <v>0</v>
      </c>
      <c r="L938" t="s">
        <v>241</v>
      </c>
      <c r="M938" t="s">
        <v>101</v>
      </c>
      <c r="N938">
        <v>0</v>
      </c>
      <c r="O938" t="s">
        <v>1389</v>
      </c>
      <c r="P938" t="s">
        <v>310</v>
      </c>
      <c r="Q938" t="s">
        <v>310</v>
      </c>
      <c r="R938" t="s">
        <v>310</v>
      </c>
      <c r="S938">
        <v>9</v>
      </c>
      <c r="T938" t="s">
        <v>310</v>
      </c>
      <c r="U938">
        <v>9</v>
      </c>
      <c r="V938">
        <v>9</v>
      </c>
      <c r="W938">
        <v>0</v>
      </c>
      <c r="X938">
        <v>0</v>
      </c>
      <c r="Y938">
        <v>0</v>
      </c>
      <c r="Z938">
        <v>0</v>
      </c>
      <c r="AA938">
        <v>9</v>
      </c>
      <c r="AB938">
        <v>9</v>
      </c>
      <c r="AC938" t="s">
        <v>310</v>
      </c>
      <c r="AD938">
        <v>9</v>
      </c>
      <c r="AE938" t="s">
        <v>1412</v>
      </c>
      <c r="AF938">
        <v>30000000</v>
      </c>
      <c r="AG938" t="s">
        <v>310</v>
      </c>
      <c r="AH938">
        <f>SUM((MID(Dyno_Data[[#This Row],[Team]],4,5))+(Dyno_Data[[#This Row],[Match]]/100))</f>
        <v>6300.16</v>
      </c>
      <c r="AI938" s="76">
        <f>ROUND(SUM(IF(Dyno_Data[[#This Row],[AcqCenter]]&gt;0,Dyno_Data[[#This Row],[Time]]-SUMIFS(Dyno_Data[Time],Dyno_Data[Team],Dyno_Data[[#This Row],[Team]],Dyno_Data[RecordType],"StartMatch",Dyno_Data[Match],Dyno_Data[[#This Row],[Match]]),0)*86400),0)</f>
        <v>0</v>
      </c>
    </row>
    <row r="939" spans="1:35" x14ac:dyDescent="0.3">
      <c r="A939">
        <v>938</v>
      </c>
      <c r="B939" t="s">
        <v>1315</v>
      </c>
      <c r="C939">
        <v>16</v>
      </c>
      <c r="D939" s="105">
        <v>45373.468418206015</v>
      </c>
      <c r="E939" t="s">
        <v>312</v>
      </c>
      <c r="F939" t="s">
        <v>1402</v>
      </c>
      <c r="G939">
        <v>0</v>
      </c>
      <c r="H939" t="s">
        <v>315</v>
      </c>
      <c r="I939">
        <v>0</v>
      </c>
      <c r="J939">
        <v>0</v>
      </c>
      <c r="K939">
        <v>0</v>
      </c>
      <c r="L939" t="s">
        <v>241</v>
      </c>
      <c r="M939" t="s">
        <v>101</v>
      </c>
      <c r="N939">
        <v>0</v>
      </c>
      <c r="O939" t="s">
        <v>319</v>
      </c>
      <c r="P939" t="s">
        <v>310</v>
      </c>
      <c r="Q939" t="s">
        <v>310</v>
      </c>
      <c r="R939" t="s">
        <v>310</v>
      </c>
      <c r="S939">
        <v>9</v>
      </c>
      <c r="T939" t="s">
        <v>310</v>
      </c>
      <c r="U939">
        <v>9</v>
      </c>
      <c r="V939">
        <v>9</v>
      </c>
      <c r="W939">
        <v>0</v>
      </c>
      <c r="X939">
        <v>0</v>
      </c>
      <c r="Y939">
        <v>0</v>
      </c>
      <c r="Z939">
        <v>0</v>
      </c>
      <c r="AA939">
        <v>9</v>
      </c>
      <c r="AB939">
        <v>9</v>
      </c>
      <c r="AC939" t="s">
        <v>310</v>
      </c>
      <c r="AD939">
        <v>9</v>
      </c>
      <c r="AE939" t="s">
        <v>1413</v>
      </c>
      <c r="AF939">
        <v>10000000</v>
      </c>
      <c r="AG939" t="s">
        <v>310</v>
      </c>
      <c r="AH939">
        <f>SUM((MID(Dyno_Data[[#This Row],[Team]],4,5))+(Dyno_Data[[#This Row],[Match]]/100))</f>
        <v>1511.16</v>
      </c>
      <c r="AI939" s="76">
        <f>ROUND(SUM(IF(Dyno_Data[[#This Row],[AcqCenter]]&gt;0,Dyno_Data[[#This Row],[Time]]-SUMIFS(Dyno_Data[Time],Dyno_Data[Team],Dyno_Data[[#This Row],[Team]],Dyno_Data[RecordType],"StartMatch",Dyno_Data[Match],Dyno_Data[[#This Row],[Match]]),0)*86400),0)</f>
        <v>0</v>
      </c>
    </row>
    <row r="940" spans="1:35" x14ac:dyDescent="0.3">
      <c r="A940">
        <v>939</v>
      </c>
      <c r="B940" t="s">
        <v>1318</v>
      </c>
      <c r="C940">
        <v>16</v>
      </c>
      <c r="D940" s="105">
        <v>45373.468460914351</v>
      </c>
      <c r="E940" t="s">
        <v>312</v>
      </c>
      <c r="F940" t="s">
        <v>1402</v>
      </c>
      <c r="G940">
        <v>0</v>
      </c>
      <c r="H940" t="s">
        <v>1397</v>
      </c>
      <c r="I940">
        <v>0</v>
      </c>
      <c r="J940">
        <v>0</v>
      </c>
      <c r="K940">
        <v>0</v>
      </c>
      <c r="L940" t="s">
        <v>242</v>
      </c>
      <c r="M940" t="s">
        <v>241</v>
      </c>
      <c r="N940">
        <v>1</v>
      </c>
      <c r="O940" t="s">
        <v>1393</v>
      </c>
      <c r="P940" t="s">
        <v>310</v>
      </c>
      <c r="Q940" t="s">
        <v>310</v>
      </c>
      <c r="R940" t="s">
        <v>310</v>
      </c>
      <c r="S940">
        <v>9</v>
      </c>
      <c r="T940" t="s">
        <v>310</v>
      </c>
      <c r="U940">
        <v>9</v>
      </c>
      <c r="V940">
        <v>9</v>
      </c>
      <c r="W940">
        <v>0</v>
      </c>
      <c r="X940">
        <v>0</v>
      </c>
      <c r="Y940">
        <v>0</v>
      </c>
      <c r="Z940">
        <v>0</v>
      </c>
      <c r="AA940">
        <v>9</v>
      </c>
      <c r="AB940">
        <v>9</v>
      </c>
      <c r="AC940" t="s">
        <v>310</v>
      </c>
      <c r="AD940">
        <v>9</v>
      </c>
      <c r="AE940" t="s">
        <v>1414</v>
      </c>
      <c r="AF940">
        <v>0</v>
      </c>
      <c r="AG940" t="s">
        <v>310</v>
      </c>
      <c r="AH940">
        <f>SUM((MID(Dyno_Data[[#This Row],[Team]],4,5))+(Dyno_Data[[#This Row],[Match]]/100))</f>
        <v>7709.16</v>
      </c>
      <c r="AI940" s="76">
        <f>ROUND(SUM(IF(Dyno_Data[[#This Row],[AcqCenter]]&gt;0,Dyno_Data[[#This Row],[Time]]-SUMIFS(Dyno_Data[Time],Dyno_Data[Team],Dyno_Data[[#This Row],[Team]],Dyno_Data[RecordType],"StartMatch",Dyno_Data[Match],Dyno_Data[[#This Row],[Match]]),0)*86400),0)</f>
        <v>0</v>
      </c>
    </row>
    <row r="941" spans="1:35" x14ac:dyDescent="0.3">
      <c r="A941">
        <v>940</v>
      </c>
      <c r="B941" t="s">
        <v>1295</v>
      </c>
      <c r="C941">
        <v>16</v>
      </c>
      <c r="D941" s="105">
        <v>45373.468471064814</v>
      </c>
      <c r="E941" t="s">
        <v>312</v>
      </c>
      <c r="F941" t="s">
        <v>1402</v>
      </c>
      <c r="G941">
        <v>0</v>
      </c>
      <c r="H941" t="s">
        <v>315</v>
      </c>
      <c r="I941">
        <v>0</v>
      </c>
      <c r="J941">
        <v>0</v>
      </c>
      <c r="K941">
        <v>0</v>
      </c>
      <c r="L941" t="s">
        <v>241</v>
      </c>
      <c r="M941" t="s">
        <v>1398</v>
      </c>
      <c r="N941">
        <v>0</v>
      </c>
      <c r="O941" t="s">
        <v>1389</v>
      </c>
      <c r="P941" t="s">
        <v>310</v>
      </c>
      <c r="Q941" t="s">
        <v>310</v>
      </c>
      <c r="R941" t="s">
        <v>310</v>
      </c>
      <c r="S941">
        <v>9</v>
      </c>
      <c r="T941" t="s">
        <v>310</v>
      </c>
      <c r="U941">
        <v>9</v>
      </c>
      <c r="V941">
        <v>9</v>
      </c>
      <c r="W941">
        <v>0</v>
      </c>
      <c r="X941">
        <v>0</v>
      </c>
      <c r="Y941">
        <v>0</v>
      </c>
      <c r="Z941">
        <v>0</v>
      </c>
      <c r="AA941">
        <v>9</v>
      </c>
      <c r="AB941">
        <v>9</v>
      </c>
      <c r="AC941" t="s">
        <v>310</v>
      </c>
      <c r="AD941">
        <v>9</v>
      </c>
      <c r="AE941" t="s">
        <v>1412</v>
      </c>
      <c r="AF941">
        <v>40000000</v>
      </c>
      <c r="AG941" t="s">
        <v>310</v>
      </c>
      <c r="AH941">
        <f>SUM((MID(Dyno_Data[[#This Row],[Team]],4,5))+(Dyno_Data[[#This Row],[Match]]/100))</f>
        <v>6300.16</v>
      </c>
      <c r="AI941" s="76">
        <f>ROUND(SUM(IF(Dyno_Data[[#This Row],[AcqCenter]]&gt;0,Dyno_Data[[#This Row],[Time]]-SUMIFS(Dyno_Data[Time],Dyno_Data[Team],Dyno_Data[[#This Row],[Team]],Dyno_Data[RecordType],"StartMatch",Dyno_Data[Match],Dyno_Data[[#This Row],[Match]]),0)*86400),0)</f>
        <v>0</v>
      </c>
    </row>
    <row r="942" spans="1:35" x14ac:dyDescent="0.3">
      <c r="A942">
        <v>941</v>
      </c>
      <c r="B942" t="s">
        <v>1315</v>
      </c>
      <c r="C942">
        <v>16</v>
      </c>
      <c r="D942" s="105">
        <v>45373.468493402775</v>
      </c>
      <c r="E942" t="s">
        <v>312</v>
      </c>
      <c r="F942" t="s">
        <v>1402</v>
      </c>
      <c r="G942">
        <v>0</v>
      </c>
      <c r="H942" t="s">
        <v>315</v>
      </c>
      <c r="I942">
        <v>0</v>
      </c>
      <c r="J942">
        <v>0</v>
      </c>
      <c r="K942">
        <v>0</v>
      </c>
      <c r="L942" t="s">
        <v>241</v>
      </c>
      <c r="M942" t="s">
        <v>101</v>
      </c>
      <c r="N942">
        <v>0</v>
      </c>
      <c r="O942" t="s">
        <v>319</v>
      </c>
      <c r="P942" t="s">
        <v>310</v>
      </c>
      <c r="Q942" t="s">
        <v>310</v>
      </c>
      <c r="R942" t="s">
        <v>310</v>
      </c>
      <c r="S942">
        <v>9</v>
      </c>
      <c r="T942" t="s">
        <v>310</v>
      </c>
      <c r="U942">
        <v>9</v>
      </c>
      <c r="V942">
        <v>9</v>
      </c>
      <c r="W942">
        <v>0</v>
      </c>
      <c r="X942">
        <v>0</v>
      </c>
      <c r="Y942">
        <v>0</v>
      </c>
      <c r="Z942">
        <v>0</v>
      </c>
      <c r="AA942">
        <v>9</v>
      </c>
      <c r="AB942">
        <v>9</v>
      </c>
      <c r="AC942" t="s">
        <v>310</v>
      </c>
      <c r="AD942">
        <v>9</v>
      </c>
      <c r="AE942" t="s">
        <v>1413</v>
      </c>
      <c r="AF942">
        <v>20000000</v>
      </c>
      <c r="AG942" t="s">
        <v>310</v>
      </c>
      <c r="AH942">
        <f>SUM((MID(Dyno_Data[[#This Row],[Team]],4,5))+(Dyno_Data[[#This Row],[Match]]/100))</f>
        <v>1511.16</v>
      </c>
      <c r="AI942" s="76">
        <f>ROUND(SUM(IF(Dyno_Data[[#This Row],[AcqCenter]]&gt;0,Dyno_Data[[#This Row],[Time]]-SUMIFS(Dyno_Data[Time],Dyno_Data[Team],Dyno_Data[[#This Row],[Team]],Dyno_Data[RecordType],"StartMatch",Dyno_Data[Match],Dyno_Data[[#This Row],[Match]]),0)*86400),0)</f>
        <v>0</v>
      </c>
    </row>
    <row r="943" spans="1:35" x14ac:dyDescent="0.3">
      <c r="A943">
        <v>942</v>
      </c>
      <c r="B943" t="s">
        <v>1318</v>
      </c>
      <c r="C943">
        <v>16</v>
      </c>
      <c r="D943" s="105">
        <v>45373.468495717592</v>
      </c>
      <c r="E943" t="s">
        <v>312</v>
      </c>
      <c r="F943" t="s">
        <v>1402</v>
      </c>
      <c r="G943">
        <v>0</v>
      </c>
      <c r="H943" t="s">
        <v>315</v>
      </c>
      <c r="I943">
        <v>0</v>
      </c>
      <c r="J943">
        <v>0</v>
      </c>
      <c r="K943">
        <v>0</v>
      </c>
      <c r="L943" t="s">
        <v>242</v>
      </c>
      <c r="M943" t="s">
        <v>241</v>
      </c>
      <c r="N943">
        <v>0</v>
      </c>
      <c r="O943" t="s">
        <v>1393</v>
      </c>
      <c r="P943" t="s">
        <v>310</v>
      </c>
      <c r="Q943" t="s">
        <v>310</v>
      </c>
      <c r="R943" t="s">
        <v>310</v>
      </c>
      <c r="S943">
        <v>9</v>
      </c>
      <c r="T943" t="s">
        <v>310</v>
      </c>
      <c r="U943">
        <v>9</v>
      </c>
      <c r="V943">
        <v>9</v>
      </c>
      <c r="W943">
        <v>0</v>
      </c>
      <c r="X943">
        <v>0</v>
      </c>
      <c r="Y943">
        <v>0</v>
      </c>
      <c r="Z943">
        <v>0</v>
      </c>
      <c r="AA943">
        <v>9</v>
      </c>
      <c r="AB943">
        <v>9</v>
      </c>
      <c r="AC943" t="s">
        <v>310</v>
      </c>
      <c r="AD943">
        <v>9</v>
      </c>
      <c r="AE943" t="s">
        <v>1414</v>
      </c>
      <c r="AF943">
        <v>10000000</v>
      </c>
      <c r="AG943" t="s">
        <v>310</v>
      </c>
      <c r="AH943">
        <f>SUM((MID(Dyno_Data[[#This Row],[Team]],4,5))+(Dyno_Data[[#This Row],[Match]]/100))</f>
        <v>7709.16</v>
      </c>
      <c r="AI943" s="76">
        <f>ROUND(SUM(IF(Dyno_Data[[#This Row],[AcqCenter]]&gt;0,Dyno_Data[[#This Row],[Time]]-SUMIFS(Dyno_Data[Time],Dyno_Data[Team],Dyno_Data[[#This Row],[Team]],Dyno_Data[RecordType],"StartMatch",Dyno_Data[Match],Dyno_Data[[#This Row],[Match]]),0)*86400),0)</f>
        <v>0</v>
      </c>
    </row>
    <row r="944" spans="1:35" x14ac:dyDescent="0.3">
      <c r="A944">
        <v>943</v>
      </c>
      <c r="B944" t="s">
        <v>1280</v>
      </c>
      <c r="C944">
        <v>16</v>
      </c>
      <c r="D944" s="105">
        <v>45373.468545451389</v>
      </c>
      <c r="E944" t="s">
        <v>312</v>
      </c>
      <c r="F944" t="s">
        <v>1402</v>
      </c>
      <c r="G944">
        <v>0</v>
      </c>
      <c r="H944" t="s">
        <v>1397</v>
      </c>
      <c r="I944">
        <v>0</v>
      </c>
      <c r="J944">
        <v>0</v>
      </c>
      <c r="K944">
        <v>0</v>
      </c>
      <c r="L944" t="s">
        <v>241</v>
      </c>
      <c r="M944" t="s">
        <v>1398</v>
      </c>
      <c r="N944">
        <v>0</v>
      </c>
      <c r="O944" t="s">
        <v>1391</v>
      </c>
      <c r="P944" t="s">
        <v>310</v>
      </c>
      <c r="Q944" t="s">
        <v>310</v>
      </c>
      <c r="R944" t="s">
        <v>310</v>
      </c>
      <c r="S944">
        <v>9</v>
      </c>
      <c r="T944" t="s">
        <v>310</v>
      </c>
      <c r="U944">
        <v>9</v>
      </c>
      <c r="V944">
        <v>9</v>
      </c>
      <c r="W944">
        <v>0</v>
      </c>
      <c r="X944">
        <v>0</v>
      </c>
      <c r="Y944">
        <v>0</v>
      </c>
      <c r="Z944">
        <v>0</v>
      </c>
      <c r="AA944">
        <v>9</v>
      </c>
      <c r="AB944">
        <v>9</v>
      </c>
      <c r="AC944" t="s">
        <v>310</v>
      </c>
      <c r="AD944">
        <v>9</v>
      </c>
      <c r="AE944" t="s">
        <v>1418</v>
      </c>
      <c r="AF944">
        <v>0</v>
      </c>
      <c r="AG944" t="s">
        <v>310</v>
      </c>
      <c r="AH944">
        <f>SUM((MID(Dyno_Data[[#This Row],[Team]],4,5))+(Dyno_Data[[#This Row],[Match]]/100))</f>
        <v>1559.16</v>
      </c>
      <c r="AI944" s="76">
        <f>ROUND(SUM(IF(Dyno_Data[[#This Row],[AcqCenter]]&gt;0,Dyno_Data[[#This Row],[Time]]-SUMIFS(Dyno_Data[Time],Dyno_Data[Team],Dyno_Data[[#This Row],[Team]],Dyno_Data[RecordType],"StartMatch",Dyno_Data[Match],Dyno_Data[[#This Row],[Match]]),0)*86400),0)</f>
        <v>0</v>
      </c>
    </row>
    <row r="945" spans="1:35" x14ac:dyDescent="0.3">
      <c r="A945">
        <v>944</v>
      </c>
      <c r="B945" t="s">
        <v>1315</v>
      </c>
      <c r="C945">
        <v>16</v>
      </c>
      <c r="D945" s="105">
        <v>45373.46862792824</v>
      </c>
      <c r="E945" t="s">
        <v>312</v>
      </c>
      <c r="F945" t="s">
        <v>1402</v>
      </c>
      <c r="G945">
        <v>0</v>
      </c>
      <c r="H945" t="s">
        <v>315</v>
      </c>
      <c r="I945">
        <v>0</v>
      </c>
      <c r="J945">
        <v>0</v>
      </c>
      <c r="K945">
        <v>0</v>
      </c>
      <c r="L945" t="s">
        <v>241</v>
      </c>
      <c r="M945" t="s">
        <v>101</v>
      </c>
      <c r="N945">
        <v>0</v>
      </c>
      <c r="O945" t="s">
        <v>319</v>
      </c>
      <c r="P945" t="s">
        <v>310</v>
      </c>
      <c r="Q945" t="s">
        <v>310</v>
      </c>
      <c r="R945" t="s">
        <v>310</v>
      </c>
      <c r="S945">
        <v>9</v>
      </c>
      <c r="T945" t="s">
        <v>310</v>
      </c>
      <c r="U945">
        <v>9</v>
      </c>
      <c r="V945">
        <v>9</v>
      </c>
      <c r="W945">
        <v>0</v>
      </c>
      <c r="X945">
        <v>0</v>
      </c>
      <c r="Y945">
        <v>0</v>
      </c>
      <c r="Z945">
        <v>0</v>
      </c>
      <c r="AA945">
        <v>9</v>
      </c>
      <c r="AB945">
        <v>9</v>
      </c>
      <c r="AC945" t="s">
        <v>310</v>
      </c>
      <c r="AD945">
        <v>9</v>
      </c>
      <c r="AE945" t="s">
        <v>1413</v>
      </c>
      <c r="AF945">
        <v>30000000</v>
      </c>
      <c r="AG945" t="s">
        <v>310</v>
      </c>
      <c r="AH945">
        <f>SUM((MID(Dyno_Data[[#This Row],[Team]],4,5))+(Dyno_Data[[#This Row],[Match]]/100))</f>
        <v>1511.16</v>
      </c>
      <c r="AI945" s="76">
        <f>ROUND(SUM(IF(Dyno_Data[[#This Row],[AcqCenter]]&gt;0,Dyno_Data[[#This Row],[Time]]-SUMIFS(Dyno_Data[Time],Dyno_Data[Team],Dyno_Data[[#This Row],[Team]],Dyno_Data[RecordType],"StartMatch",Dyno_Data[Match],Dyno_Data[[#This Row],[Match]]),0)*86400),0)</f>
        <v>0</v>
      </c>
    </row>
    <row r="946" spans="1:35" x14ac:dyDescent="0.3">
      <c r="A946">
        <v>945</v>
      </c>
      <c r="B946" t="s">
        <v>1295</v>
      </c>
      <c r="C946">
        <v>16</v>
      </c>
      <c r="D946" s="105">
        <v>45373.468647766204</v>
      </c>
      <c r="E946" t="s">
        <v>312</v>
      </c>
      <c r="F946" t="s">
        <v>1402</v>
      </c>
      <c r="G946">
        <v>0</v>
      </c>
      <c r="H946" t="s">
        <v>315</v>
      </c>
      <c r="I946">
        <v>0</v>
      </c>
      <c r="J946">
        <v>0</v>
      </c>
      <c r="K946">
        <v>0</v>
      </c>
      <c r="L946" t="s">
        <v>241</v>
      </c>
      <c r="M946" t="s">
        <v>101</v>
      </c>
      <c r="N946">
        <v>0</v>
      </c>
      <c r="O946" t="s">
        <v>1389</v>
      </c>
      <c r="P946" t="s">
        <v>310</v>
      </c>
      <c r="Q946" t="s">
        <v>310</v>
      </c>
      <c r="R946" t="s">
        <v>310</v>
      </c>
      <c r="S946">
        <v>9</v>
      </c>
      <c r="T946" t="s">
        <v>310</v>
      </c>
      <c r="U946">
        <v>9</v>
      </c>
      <c r="V946">
        <v>9</v>
      </c>
      <c r="W946">
        <v>0</v>
      </c>
      <c r="X946">
        <v>0</v>
      </c>
      <c r="Y946">
        <v>0</v>
      </c>
      <c r="Z946">
        <v>0</v>
      </c>
      <c r="AA946">
        <v>9</v>
      </c>
      <c r="AB946">
        <v>9</v>
      </c>
      <c r="AC946" t="s">
        <v>310</v>
      </c>
      <c r="AD946">
        <v>9</v>
      </c>
      <c r="AE946" t="s">
        <v>1412</v>
      </c>
      <c r="AF946">
        <v>50000000</v>
      </c>
      <c r="AG946" t="s">
        <v>310</v>
      </c>
      <c r="AH946">
        <f>SUM((MID(Dyno_Data[[#This Row],[Team]],4,5))+(Dyno_Data[[#This Row],[Match]]/100))</f>
        <v>6300.16</v>
      </c>
      <c r="AI946" s="76">
        <f>ROUND(SUM(IF(Dyno_Data[[#This Row],[AcqCenter]]&gt;0,Dyno_Data[[#This Row],[Time]]-SUMIFS(Dyno_Data[Time],Dyno_Data[Team],Dyno_Data[[#This Row],[Team]],Dyno_Data[RecordType],"StartMatch",Dyno_Data[Match],Dyno_Data[[#This Row],[Match]]),0)*86400),0)</f>
        <v>0</v>
      </c>
    </row>
    <row r="947" spans="1:35" x14ac:dyDescent="0.3">
      <c r="A947">
        <v>946</v>
      </c>
      <c r="B947" t="s">
        <v>1318</v>
      </c>
      <c r="C947">
        <v>16</v>
      </c>
      <c r="D947" s="105">
        <v>45373.468667939815</v>
      </c>
      <c r="E947" t="s">
        <v>312</v>
      </c>
      <c r="F947" t="s">
        <v>1402</v>
      </c>
      <c r="G947">
        <v>0</v>
      </c>
      <c r="H947" t="s">
        <v>315</v>
      </c>
      <c r="I947">
        <v>0</v>
      </c>
      <c r="J947">
        <v>0</v>
      </c>
      <c r="K947">
        <v>0</v>
      </c>
      <c r="L947" t="s">
        <v>240</v>
      </c>
      <c r="M947" t="s">
        <v>1398</v>
      </c>
      <c r="N947">
        <v>0</v>
      </c>
      <c r="O947" t="s">
        <v>1393</v>
      </c>
      <c r="P947" t="s">
        <v>310</v>
      </c>
      <c r="Q947" t="s">
        <v>310</v>
      </c>
      <c r="R947" t="s">
        <v>310</v>
      </c>
      <c r="S947">
        <v>9</v>
      </c>
      <c r="T947" t="s">
        <v>310</v>
      </c>
      <c r="U947">
        <v>9</v>
      </c>
      <c r="V947">
        <v>9</v>
      </c>
      <c r="W947">
        <v>0</v>
      </c>
      <c r="X947">
        <v>0</v>
      </c>
      <c r="Y947">
        <v>0</v>
      </c>
      <c r="Z947">
        <v>0</v>
      </c>
      <c r="AA947">
        <v>9</v>
      </c>
      <c r="AB947">
        <v>9</v>
      </c>
      <c r="AC947" t="s">
        <v>310</v>
      </c>
      <c r="AD947">
        <v>9</v>
      </c>
      <c r="AE947" t="s">
        <v>1414</v>
      </c>
      <c r="AF947">
        <v>20000000</v>
      </c>
      <c r="AG947" t="s">
        <v>310</v>
      </c>
      <c r="AH947">
        <f>SUM((MID(Dyno_Data[[#This Row],[Team]],4,5))+(Dyno_Data[[#This Row],[Match]]/100))</f>
        <v>7709.16</v>
      </c>
      <c r="AI947" s="76">
        <f>ROUND(SUM(IF(Dyno_Data[[#This Row],[AcqCenter]]&gt;0,Dyno_Data[[#This Row],[Time]]-SUMIFS(Dyno_Data[Time],Dyno_Data[Team],Dyno_Data[[#This Row],[Team]],Dyno_Data[RecordType],"StartMatch",Dyno_Data[Match],Dyno_Data[[#This Row],[Match]]),0)*86400),0)</f>
        <v>0</v>
      </c>
    </row>
    <row r="948" spans="1:35" x14ac:dyDescent="0.3">
      <c r="A948">
        <v>947</v>
      </c>
      <c r="B948" t="s">
        <v>1295</v>
      </c>
      <c r="C948">
        <v>16</v>
      </c>
      <c r="D948" s="105">
        <v>45373.468783217591</v>
      </c>
      <c r="E948" t="s">
        <v>312</v>
      </c>
      <c r="F948" t="s">
        <v>1402</v>
      </c>
      <c r="G948">
        <v>0</v>
      </c>
      <c r="H948" t="s">
        <v>315</v>
      </c>
      <c r="I948">
        <v>0</v>
      </c>
      <c r="J948">
        <v>0</v>
      </c>
      <c r="K948">
        <v>0</v>
      </c>
      <c r="L948" t="s">
        <v>241</v>
      </c>
      <c r="M948" t="s">
        <v>101</v>
      </c>
      <c r="N948">
        <v>0</v>
      </c>
      <c r="O948" t="s">
        <v>1389</v>
      </c>
      <c r="P948" t="s">
        <v>310</v>
      </c>
      <c r="Q948" t="s">
        <v>310</v>
      </c>
      <c r="R948" t="s">
        <v>310</v>
      </c>
      <c r="S948">
        <v>9</v>
      </c>
      <c r="T948" t="s">
        <v>310</v>
      </c>
      <c r="U948">
        <v>9</v>
      </c>
      <c r="V948">
        <v>9</v>
      </c>
      <c r="W948">
        <v>0</v>
      </c>
      <c r="X948">
        <v>0</v>
      </c>
      <c r="Y948">
        <v>0</v>
      </c>
      <c r="Z948">
        <v>0</v>
      </c>
      <c r="AA948">
        <v>9</v>
      </c>
      <c r="AB948">
        <v>9</v>
      </c>
      <c r="AC948" t="s">
        <v>310</v>
      </c>
      <c r="AD948">
        <v>9</v>
      </c>
      <c r="AE948" t="s">
        <v>1412</v>
      </c>
      <c r="AF948">
        <v>60000000</v>
      </c>
      <c r="AG948" t="s">
        <v>310</v>
      </c>
      <c r="AH948">
        <f>SUM((MID(Dyno_Data[[#This Row],[Team]],4,5))+(Dyno_Data[[#This Row],[Match]]/100))</f>
        <v>6300.16</v>
      </c>
      <c r="AI948" s="76">
        <f>ROUND(SUM(IF(Dyno_Data[[#This Row],[AcqCenter]]&gt;0,Dyno_Data[[#This Row],[Time]]-SUMIFS(Dyno_Data[Time],Dyno_Data[Team],Dyno_Data[[#This Row],[Team]],Dyno_Data[RecordType],"StartMatch",Dyno_Data[Match],Dyno_Data[[#This Row],[Match]]),0)*86400),0)</f>
        <v>0</v>
      </c>
    </row>
    <row r="949" spans="1:35" x14ac:dyDescent="0.3">
      <c r="A949">
        <v>948</v>
      </c>
      <c r="B949" t="s">
        <v>1315</v>
      </c>
      <c r="C949">
        <v>16</v>
      </c>
      <c r="D949" s="105">
        <v>45373.468815706015</v>
      </c>
      <c r="E949" t="s">
        <v>312</v>
      </c>
      <c r="F949" t="s">
        <v>1402</v>
      </c>
      <c r="G949">
        <v>0</v>
      </c>
      <c r="H949" t="s">
        <v>315</v>
      </c>
      <c r="I949">
        <v>0</v>
      </c>
      <c r="J949">
        <v>0</v>
      </c>
      <c r="K949">
        <v>0</v>
      </c>
      <c r="L949" t="s">
        <v>240</v>
      </c>
      <c r="M949" t="s">
        <v>1398</v>
      </c>
      <c r="N949">
        <v>0</v>
      </c>
      <c r="O949" t="s">
        <v>319</v>
      </c>
      <c r="P949" t="s">
        <v>310</v>
      </c>
      <c r="Q949" t="s">
        <v>310</v>
      </c>
      <c r="R949" t="s">
        <v>310</v>
      </c>
      <c r="S949">
        <v>9</v>
      </c>
      <c r="T949" t="s">
        <v>310</v>
      </c>
      <c r="U949">
        <v>9</v>
      </c>
      <c r="V949">
        <v>9</v>
      </c>
      <c r="W949">
        <v>0</v>
      </c>
      <c r="X949">
        <v>0</v>
      </c>
      <c r="Y949">
        <v>0</v>
      </c>
      <c r="Z949">
        <v>0</v>
      </c>
      <c r="AA949">
        <v>9</v>
      </c>
      <c r="AB949">
        <v>9</v>
      </c>
      <c r="AC949" t="s">
        <v>310</v>
      </c>
      <c r="AD949">
        <v>9</v>
      </c>
      <c r="AE949" t="s">
        <v>1413</v>
      </c>
      <c r="AF949">
        <v>40000000</v>
      </c>
      <c r="AG949" t="s">
        <v>310</v>
      </c>
      <c r="AH949">
        <f>SUM((MID(Dyno_Data[[#This Row],[Team]],4,5))+(Dyno_Data[[#This Row],[Match]]/100))</f>
        <v>1511.16</v>
      </c>
      <c r="AI949" s="76">
        <f>ROUND(SUM(IF(Dyno_Data[[#This Row],[AcqCenter]]&gt;0,Dyno_Data[[#This Row],[Time]]-SUMIFS(Dyno_Data[Time],Dyno_Data[Team],Dyno_Data[[#This Row],[Team]],Dyno_Data[RecordType],"StartMatch",Dyno_Data[Match],Dyno_Data[[#This Row],[Match]]),0)*86400),0)</f>
        <v>0</v>
      </c>
    </row>
    <row r="950" spans="1:35" x14ac:dyDescent="0.3">
      <c r="A950">
        <v>949</v>
      </c>
      <c r="B950" t="s">
        <v>1280</v>
      </c>
      <c r="C950">
        <v>16</v>
      </c>
      <c r="D950" s="105">
        <v>45373.468837615743</v>
      </c>
      <c r="E950" t="s">
        <v>312</v>
      </c>
      <c r="F950" t="s">
        <v>1402</v>
      </c>
      <c r="G950">
        <v>0</v>
      </c>
      <c r="H950" t="s">
        <v>315</v>
      </c>
      <c r="I950">
        <v>0</v>
      </c>
      <c r="J950">
        <v>0</v>
      </c>
      <c r="K950">
        <v>0</v>
      </c>
      <c r="L950" t="s">
        <v>241</v>
      </c>
      <c r="M950" t="s">
        <v>1398</v>
      </c>
      <c r="N950">
        <v>0</v>
      </c>
      <c r="O950" t="s">
        <v>1391</v>
      </c>
      <c r="P950" t="s">
        <v>310</v>
      </c>
      <c r="Q950" t="s">
        <v>310</v>
      </c>
      <c r="R950" t="s">
        <v>310</v>
      </c>
      <c r="S950">
        <v>9</v>
      </c>
      <c r="T950" t="s">
        <v>310</v>
      </c>
      <c r="U950">
        <v>9</v>
      </c>
      <c r="V950">
        <v>9</v>
      </c>
      <c r="W950">
        <v>0</v>
      </c>
      <c r="X950">
        <v>0</v>
      </c>
      <c r="Y950">
        <v>0</v>
      </c>
      <c r="Z950">
        <v>0</v>
      </c>
      <c r="AA950">
        <v>9</v>
      </c>
      <c r="AB950">
        <v>9</v>
      </c>
      <c r="AC950" t="s">
        <v>310</v>
      </c>
      <c r="AD950">
        <v>9</v>
      </c>
      <c r="AE950" t="s">
        <v>1418</v>
      </c>
      <c r="AF950">
        <v>10000000</v>
      </c>
      <c r="AG950" t="s">
        <v>310</v>
      </c>
      <c r="AH950">
        <f>SUM((MID(Dyno_Data[[#This Row],[Team]],4,5))+(Dyno_Data[[#This Row],[Match]]/100))</f>
        <v>1559.16</v>
      </c>
      <c r="AI950" s="76">
        <f>ROUND(SUM(IF(Dyno_Data[[#This Row],[AcqCenter]]&gt;0,Dyno_Data[[#This Row],[Time]]-SUMIFS(Dyno_Data[Time],Dyno_Data[Team],Dyno_Data[[#This Row],[Team]],Dyno_Data[RecordType],"StartMatch",Dyno_Data[Match],Dyno_Data[[#This Row],[Match]]),0)*86400),0)</f>
        <v>0</v>
      </c>
    </row>
    <row r="951" spans="1:35" x14ac:dyDescent="0.3">
      <c r="A951">
        <v>950</v>
      </c>
      <c r="B951" t="s">
        <v>1318</v>
      </c>
      <c r="C951">
        <v>16</v>
      </c>
      <c r="D951" s="105">
        <v>45373.468851273145</v>
      </c>
      <c r="E951" t="s">
        <v>312</v>
      </c>
      <c r="F951" t="s">
        <v>1402</v>
      </c>
      <c r="G951">
        <v>0</v>
      </c>
      <c r="H951" t="s">
        <v>315</v>
      </c>
      <c r="I951">
        <v>0</v>
      </c>
      <c r="J951">
        <v>0</v>
      </c>
      <c r="K951">
        <v>0</v>
      </c>
      <c r="L951" t="s">
        <v>240</v>
      </c>
      <c r="M951" t="s">
        <v>1398</v>
      </c>
      <c r="N951">
        <v>1</v>
      </c>
      <c r="O951" t="s">
        <v>1393</v>
      </c>
      <c r="P951" t="s">
        <v>310</v>
      </c>
      <c r="Q951" t="s">
        <v>310</v>
      </c>
      <c r="R951" t="s">
        <v>310</v>
      </c>
      <c r="S951">
        <v>9</v>
      </c>
      <c r="T951" t="s">
        <v>310</v>
      </c>
      <c r="U951">
        <v>9</v>
      </c>
      <c r="V951">
        <v>9</v>
      </c>
      <c r="W951">
        <v>0</v>
      </c>
      <c r="X951">
        <v>0</v>
      </c>
      <c r="Y951">
        <v>0</v>
      </c>
      <c r="Z951">
        <v>0</v>
      </c>
      <c r="AA951">
        <v>9</v>
      </c>
      <c r="AB951">
        <v>9</v>
      </c>
      <c r="AC951" t="s">
        <v>310</v>
      </c>
      <c r="AD951">
        <v>9</v>
      </c>
      <c r="AE951" t="s">
        <v>1414</v>
      </c>
      <c r="AF951">
        <v>30000000</v>
      </c>
      <c r="AG951" t="s">
        <v>310</v>
      </c>
      <c r="AH951">
        <f>SUM((MID(Dyno_Data[[#This Row],[Team]],4,5))+(Dyno_Data[[#This Row],[Match]]/100))</f>
        <v>7709.16</v>
      </c>
      <c r="AI951" s="76">
        <f>ROUND(SUM(IF(Dyno_Data[[#This Row],[AcqCenter]]&gt;0,Dyno_Data[[#This Row],[Time]]-SUMIFS(Dyno_Data[Time],Dyno_Data[Team],Dyno_Data[[#This Row],[Team]],Dyno_Data[RecordType],"StartMatch",Dyno_Data[Match],Dyno_Data[[#This Row],[Match]]),0)*86400),0)</f>
        <v>0</v>
      </c>
    </row>
    <row r="952" spans="1:35" x14ac:dyDescent="0.3">
      <c r="A952">
        <v>951</v>
      </c>
      <c r="B952" t="s">
        <v>1295</v>
      </c>
      <c r="C952">
        <v>16</v>
      </c>
      <c r="D952" s="105">
        <v>45373.468878819447</v>
      </c>
      <c r="E952" t="s">
        <v>312</v>
      </c>
      <c r="F952" t="s">
        <v>1402</v>
      </c>
      <c r="G952">
        <v>0</v>
      </c>
      <c r="H952" t="s">
        <v>315</v>
      </c>
      <c r="I952">
        <v>0</v>
      </c>
      <c r="J952">
        <v>0</v>
      </c>
      <c r="K952">
        <v>0</v>
      </c>
      <c r="L952" t="s">
        <v>241</v>
      </c>
      <c r="M952" t="s">
        <v>101</v>
      </c>
      <c r="N952">
        <v>0</v>
      </c>
      <c r="O952" t="s">
        <v>1389</v>
      </c>
      <c r="P952" t="s">
        <v>310</v>
      </c>
      <c r="Q952" t="s">
        <v>310</v>
      </c>
      <c r="R952" t="s">
        <v>310</v>
      </c>
      <c r="S952">
        <v>9</v>
      </c>
      <c r="T952" t="s">
        <v>310</v>
      </c>
      <c r="U952">
        <v>9</v>
      </c>
      <c r="V952">
        <v>9</v>
      </c>
      <c r="W952">
        <v>0</v>
      </c>
      <c r="X952">
        <v>0</v>
      </c>
      <c r="Y952">
        <v>0</v>
      </c>
      <c r="Z952">
        <v>0</v>
      </c>
      <c r="AA952">
        <v>9</v>
      </c>
      <c r="AB952">
        <v>9</v>
      </c>
      <c r="AC952" t="s">
        <v>310</v>
      </c>
      <c r="AD952">
        <v>9</v>
      </c>
      <c r="AE952" t="s">
        <v>1412</v>
      </c>
      <c r="AF952">
        <v>70000000</v>
      </c>
      <c r="AG952" t="s">
        <v>310</v>
      </c>
      <c r="AH952">
        <f>SUM((MID(Dyno_Data[[#This Row],[Team]],4,5))+(Dyno_Data[[#This Row],[Match]]/100))</f>
        <v>6300.16</v>
      </c>
      <c r="AI952" s="76">
        <f>ROUND(SUM(IF(Dyno_Data[[#This Row],[AcqCenter]]&gt;0,Dyno_Data[[#This Row],[Time]]-SUMIFS(Dyno_Data[Time],Dyno_Data[Team],Dyno_Data[[#This Row],[Team]],Dyno_Data[RecordType],"StartMatch",Dyno_Data[Match],Dyno_Data[[#This Row],[Match]]),0)*86400),0)</f>
        <v>0</v>
      </c>
    </row>
    <row r="953" spans="1:35" x14ac:dyDescent="0.3">
      <c r="A953">
        <v>952</v>
      </c>
      <c r="B953" t="s">
        <v>1306</v>
      </c>
      <c r="C953">
        <v>16</v>
      </c>
      <c r="D953" s="105">
        <v>45373.468938194441</v>
      </c>
      <c r="E953" t="s">
        <v>312</v>
      </c>
      <c r="F953" t="s">
        <v>1402</v>
      </c>
      <c r="G953">
        <v>0</v>
      </c>
      <c r="H953" t="s">
        <v>143</v>
      </c>
      <c r="I953">
        <v>0</v>
      </c>
      <c r="J953">
        <v>0</v>
      </c>
      <c r="K953">
        <v>0</v>
      </c>
      <c r="L953" t="s">
        <v>313</v>
      </c>
      <c r="M953" t="s">
        <v>242</v>
      </c>
      <c r="N953">
        <v>0</v>
      </c>
      <c r="O953" t="s">
        <v>311</v>
      </c>
      <c r="P953" t="s">
        <v>310</v>
      </c>
      <c r="Q953" t="s">
        <v>310</v>
      </c>
      <c r="R953" t="s">
        <v>310</v>
      </c>
      <c r="S953">
        <v>9</v>
      </c>
      <c r="T953" t="s">
        <v>310</v>
      </c>
      <c r="U953">
        <v>9</v>
      </c>
      <c r="V953">
        <v>9</v>
      </c>
      <c r="W953">
        <v>0</v>
      </c>
      <c r="X953">
        <v>0</v>
      </c>
      <c r="Y953">
        <v>0</v>
      </c>
      <c r="Z953">
        <v>0</v>
      </c>
      <c r="AA953">
        <v>9</v>
      </c>
      <c r="AB953">
        <v>9</v>
      </c>
      <c r="AC953" t="s">
        <v>310</v>
      </c>
      <c r="AD953">
        <v>9</v>
      </c>
      <c r="AE953" t="s">
        <v>1416</v>
      </c>
      <c r="AF953">
        <v>0</v>
      </c>
      <c r="AG953" t="s">
        <v>310</v>
      </c>
      <c r="AH953">
        <f>SUM((MID(Dyno_Data[[#This Row],[Team]],4,5))+(Dyno_Data[[#This Row],[Match]]/100))</f>
        <v>3986.16</v>
      </c>
      <c r="AI953" s="76">
        <f>ROUND(SUM(IF(Dyno_Data[[#This Row],[AcqCenter]]&gt;0,Dyno_Data[[#This Row],[Time]]-SUMIFS(Dyno_Data[Time],Dyno_Data[Team],Dyno_Data[[#This Row],[Team]],Dyno_Data[RecordType],"StartMatch",Dyno_Data[Match],Dyno_Data[[#This Row],[Match]]),0)*86400),0)</f>
        <v>0</v>
      </c>
    </row>
    <row r="954" spans="1:35" x14ac:dyDescent="0.3">
      <c r="A954">
        <v>953</v>
      </c>
      <c r="B954" t="s">
        <v>1306</v>
      </c>
      <c r="C954">
        <v>16</v>
      </c>
      <c r="D954" s="105">
        <v>45373.468977974539</v>
      </c>
      <c r="E954" t="s">
        <v>1403</v>
      </c>
      <c r="F954" t="s">
        <v>1402</v>
      </c>
      <c r="G954">
        <v>0</v>
      </c>
      <c r="H954" t="s">
        <v>310</v>
      </c>
      <c r="I954">
        <v>0</v>
      </c>
      <c r="J954">
        <v>0</v>
      </c>
      <c r="K954">
        <v>0</v>
      </c>
      <c r="L954" t="s">
        <v>310</v>
      </c>
      <c r="M954" t="s">
        <v>310</v>
      </c>
      <c r="N954">
        <v>0</v>
      </c>
      <c r="O954" t="s">
        <v>311</v>
      </c>
      <c r="P954" t="s">
        <v>310</v>
      </c>
      <c r="Q954" t="s">
        <v>310</v>
      </c>
      <c r="R954" t="s">
        <v>310</v>
      </c>
      <c r="S954">
        <v>9</v>
      </c>
      <c r="T954" t="s">
        <v>310</v>
      </c>
      <c r="U954">
        <v>9</v>
      </c>
      <c r="V954">
        <v>9</v>
      </c>
      <c r="W954">
        <v>0</v>
      </c>
      <c r="X954">
        <v>0</v>
      </c>
      <c r="Y954">
        <v>0</v>
      </c>
      <c r="Z954">
        <v>0</v>
      </c>
      <c r="AA954">
        <v>9</v>
      </c>
      <c r="AB954">
        <v>9</v>
      </c>
      <c r="AC954" t="s">
        <v>310</v>
      </c>
      <c r="AD954">
        <v>9</v>
      </c>
      <c r="AE954" t="s">
        <v>1416</v>
      </c>
      <c r="AF954">
        <v>0</v>
      </c>
      <c r="AG954" t="s">
        <v>258</v>
      </c>
      <c r="AH954">
        <f>SUM((MID(Dyno_Data[[#This Row],[Team]],4,5))+(Dyno_Data[[#This Row],[Match]]/100))</f>
        <v>3986.16</v>
      </c>
      <c r="AI954" s="76">
        <f>ROUND(SUM(IF(Dyno_Data[[#This Row],[AcqCenter]]&gt;0,Dyno_Data[[#This Row],[Time]]-SUMIFS(Dyno_Data[Time],Dyno_Data[Team],Dyno_Data[[#This Row],[Team]],Dyno_Data[RecordType],"StartMatch",Dyno_Data[Match],Dyno_Data[[#This Row],[Match]]),0)*86400),0)</f>
        <v>0</v>
      </c>
    </row>
    <row r="955" spans="1:35" x14ac:dyDescent="0.3">
      <c r="A955">
        <v>954</v>
      </c>
      <c r="B955" t="s">
        <v>1295</v>
      </c>
      <c r="C955">
        <v>16</v>
      </c>
      <c r="D955" s="105">
        <v>45373.46898302083</v>
      </c>
      <c r="E955" t="s">
        <v>312</v>
      </c>
      <c r="F955" t="s">
        <v>1402</v>
      </c>
      <c r="G955">
        <v>0</v>
      </c>
      <c r="H955" t="s">
        <v>315</v>
      </c>
      <c r="I955">
        <v>0</v>
      </c>
      <c r="J955">
        <v>0</v>
      </c>
      <c r="K955">
        <v>0</v>
      </c>
      <c r="L955" t="s">
        <v>241</v>
      </c>
      <c r="M955" t="s">
        <v>1398</v>
      </c>
      <c r="N955">
        <v>0</v>
      </c>
      <c r="O955" t="s">
        <v>1389</v>
      </c>
      <c r="P955" t="s">
        <v>310</v>
      </c>
      <c r="Q955" t="s">
        <v>310</v>
      </c>
      <c r="R955" t="s">
        <v>310</v>
      </c>
      <c r="S955">
        <v>9</v>
      </c>
      <c r="T955" t="s">
        <v>310</v>
      </c>
      <c r="U955">
        <v>9</v>
      </c>
      <c r="V955">
        <v>9</v>
      </c>
      <c r="W955">
        <v>0</v>
      </c>
      <c r="X955">
        <v>0</v>
      </c>
      <c r="Y955">
        <v>0</v>
      </c>
      <c r="Z955">
        <v>0</v>
      </c>
      <c r="AA955">
        <v>9</v>
      </c>
      <c r="AB955">
        <v>9</v>
      </c>
      <c r="AC955" t="s">
        <v>310</v>
      </c>
      <c r="AD955">
        <v>9</v>
      </c>
      <c r="AE955" t="s">
        <v>1412</v>
      </c>
      <c r="AF955">
        <v>80000000</v>
      </c>
      <c r="AG955" t="s">
        <v>310</v>
      </c>
      <c r="AH955">
        <f>SUM((MID(Dyno_Data[[#This Row],[Team]],4,5))+(Dyno_Data[[#This Row],[Match]]/100))</f>
        <v>6300.16</v>
      </c>
      <c r="AI955" s="76">
        <f>ROUND(SUM(IF(Dyno_Data[[#This Row],[AcqCenter]]&gt;0,Dyno_Data[[#This Row],[Time]]-SUMIFS(Dyno_Data[Time],Dyno_Data[Team],Dyno_Data[[#This Row],[Team]],Dyno_Data[RecordType],"StartMatch",Dyno_Data[Match],Dyno_Data[[#This Row],[Match]]),0)*86400),0)</f>
        <v>0</v>
      </c>
    </row>
    <row r="956" spans="1:35" x14ac:dyDescent="0.3">
      <c r="A956">
        <v>955</v>
      </c>
      <c r="B956" t="s">
        <v>1318</v>
      </c>
      <c r="C956">
        <v>16</v>
      </c>
      <c r="D956" s="105">
        <v>45373.469048761574</v>
      </c>
      <c r="E956" t="s">
        <v>312</v>
      </c>
      <c r="F956" t="s">
        <v>1402</v>
      </c>
      <c r="G956">
        <v>0</v>
      </c>
      <c r="H956" t="s">
        <v>315</v>
      </c>
      <c r="I956">
        <v>0</v>
      </c>
      <c r="J956">
        <v>0</v>
      </c>
      <c r="K956">
        <v>0</v>
      </c>
      <c r="L956" t="s">
        <v>240</v>
      </c>
      <c r="M956" t="s">
        <v>1398</v>
      </c>
      <c r="N956">
        <v>0</v>
      </c>
      <c r="O956" t="s">
        <v>1393</v>
      </c>
      <c r="P956" t="s">
        <v>310</v>
      </c>
      <c r="Q956" t="s">
        <v>310</v>
      </c>
      <c r="R956" t="s">
        <v>310</v>
      </c>
      <c r="S956">
        <v>9</v>
      </c>
      <c r="T956" t="s">
        <v>310</v>
      </c>
      <c r="U956">
        <v>9</v>
      </c>
      <c r="V956">
        <v>9</v>
      </c>
      <c r="W956">
        <v>0</v>
      </c>
      <c r="X956">
        <v>0</v>
      </c>
      <c r="Y956">
        <v>0</v>
      </c>
      <c r="Z956">
        <v>0</v>
      </c>
      <c r="AA956">
        <v>9</v>
      </c>
      <c r="AB956">
        <v>9</v>
      </c>
      <c r="AC956" t="s">
        <v>310</v>
      </c>
      <c r="AD956">
        <v>9</v>
      </c>
      <c r="AE956" t="s">
        <v>1414</v>
      </c>
      <c r="AF956">
        <v>40000000</v>
      </c>
      <c r="AG956" t="s">
        <v>310</v>
      </c>
      <c r="AH956">
        <f>SUM((MID(Dyno_Data[[#This Row],[Team]],4,5))+(Dyno_Data[[#This Row],[Match]]/100))</f>
        <v>7709.16</v>
      </c>
      <c r="AI956" s="76">
        <f>ROUND(SUM(IF(Dyno_Data[[#This Row],[AcqCenter]]&gt;0,Dyno_Data[[#This Row],[Time]]-SUMIFS(Dyno_Data[Time],Dyno_Data[Team],Dyno_Data[[#This Row],[Team]],Dyno_Data[RecordType],"StartMatch",Dyno_Data[Match],Dyno_Data[[#This Row],[Match]]),0)*86400),0)</f>
        <v>0</v>
      </c>
    </row>
    <row r="957" spans="1:35" x14ac:dyDescent="0.3">
      <c r="A957">
        <v>956</v>
      </c>
      <c r="B957" t="s">
        <v>1315</v>
      </c>
      <c r="C957">
        <v>16</v>
      </c>
      <c r="D957" s="105">
        <v>45373.469087187499</v>
      </c>
      <c r="E957" t="s">
        <v>312</v>
      </c>
      <c r="F957" t="s">
        <v>1402</v>
      </c>
      <c r="G957">
        <v>0</v>
      </c>
      <c r="H957" t="s">
        <v>315</v>
      </c>
      <c r="I957">
        <v>0</v>
      </c>
      <c r="J957">
        <v>0</v>
      </c>
      <c r="K957">
        <v>0</v>
      </c>
      <c r="L957" t="s">
        <v>241</v>
      </c>
      <c r="M957" t="s">
        <v>1398</v>
      </c>
      <c r="N957">
        <v>0</v>
      </c>
      <c r="O957" t="s">
        <v>319</v>
      </c>
      <c r="P957" t="s">
        <v>310</v>
      </c>
      <c r="Q957" t="s">
        <v>310</v>
      </c>
      <c r="R957" t="s">
        <v>310</v>
      </c>
      <c r="S957">
        <v>9</v>
      </c>
      <c r="T957" t="s">
        <v>310</v>
      </c>
      <c r="U957">
        <v>9</v>
      </c>
      <c r="V957">
        <v>9</v>
      </c>
      <c r="W957">
        <v>0</v>
      </c>
      <c r="X957">
        <v>0</v>
      </c>
      <c r="Y957">
        <v>0</v>
      </c>
      <c r="Z957">
        <v>0</v>
      </c>
      <c r="AA957">
        <v>9</v>
      </c>
      <c r="AB957">
        <v>9</v>
      </c>
      <c r="AC957" t="s">
        <v>310</v>
      </c>
      <c r="AD957">
        <v>9</v>
      </c>
      <c r="AE957" t="s">
        <v>1413</v>
      </c>
      <c r="AF957">
        <v>50000000</v>
      </c>
      <c r="AG957" t="s">
        <v>310</v>
      </c>
      <c r="AH957">
        <f>SUM((MID(Dyno_Data[[#This Row],[Team]],4,5))+(Dyno_Data[[#This Row],[Match]]/100))</f>
        <v>1511.16</v>
      </c>
      <c r="AI957" s="76">
        <f>ROUND(SUM(IF(Dyno_Data[[#This Row],[AcqCenter]]&gt;0,Dyno_Data[[#This Row],[Time]]-SUMIFS(Dyno_Data[Time],Dyno_Data[Team],Dyno_Data[[#This Row],[Team]],Dyno_Data[RecordType],"StartMatch",Dyno_Data[Match],Dyno_Data[[#This Row],[Match]]),0)*86400),0)</f>
        <v>0</v>
      </c>
    </row>
    <row r="958" spans="1:35" x14ac:dyDescent="0.3">
      <c r="A958">
        <v>957</v>
      </c>
      <c r="B958" t="s">
        <v>1280</v>
      </c>
      <c r="C958">
        <v>16</v>
      </c>
      <c r="D958" s="105">
        <v>45373.469097256944</v>
      </c>
      <c r="E958" t="s">
        <v>312</v>
      </c>
      <c r="F958" t="s">
        <v>1402</v>
      </c>
      <c r="G958">
        <v>0</v>
      </c>
      <c r="H958" t="s">
        <v>315</v>
      </c>
      <c r="I958">
        <v>0</v>
      </c>
      <c r="J958">
        <v>0</v>
      </c>
      <c r="K958">
        <v>0</v>
      </c>
      <c r="L958" t="s">
        <v>241</v>
      </c>
      <c r="M958" t="s">
        <v>1398</v>
      </c>
      <c r="N958">
        <v>0</v>
      </c>
      <c r="O958" t="s">
        <v>1391</v>
      </c>
      <c r="P958" t="s">
        <v>310</v>
      </c>
      <c r="Q958" t="s">
        <v>310</v>
      </c>
      <c r="R958" t="s">
        <v>310</v>
      </c>
      <c r="S958">
        <v>9</v>
      </c>
      <c r="T958" t="s">
        <v>310</v>
      </c>
      <c r="U958">
        <v>9</v>
      </c>
      <c r="V958">
        <v>9</v>
      </c>
      <c r="W958">
        <v>0</v>
      </c>
      <c r="X958">
        <v>0</v>
      </c>
      <c r="Y958">
        <v>0</v>
      </c>
      <c r="Z958">
        <v>0</v>
      </c>
      <c r="AA958">
        <v>9</v>
      </c>
      <c r="AB958">
        <v>9</v>
      </c>
      <c r="AC958" t="s">
        <v>310</v>
      </c>
      <c r="AD958">
        <v>9</v>
      </c>
      <c r="AE958" t="s">
        <v>1418</v>
      </c>
      <c r="AF958">
        <v>20000000</v>
      </c>
      <c r="AG958" t="s">
        <v>310</v>
      </c>
      <c r="AH958">
        <f>SUM((MID(Dyno_Data[[#This Row],[Team]],4,5))+(Dyno_Data[[#This Row],[Match]]/100))</f>
        <v>1559.16</v>
      </c>
      <c r="AI958" s="76">
        <f>ROUND(SUM(IF(Dyno_Data[[#This Row],[AcqCenter]]&gt;0,Dyno_Data[[#This Row],[Time]]-SUMIFS(Dyno_Data[Time],Dyno_Data[Team],Dyno_Data[[#This Row],[Team]],Dyno_Data[RecordType],"StartMatch",Dyno_Data[Match],Dyno_Data[[#This Row],[Match]]),0)*86400),0)</f>
        <v>0</v>
      </c>
    </row>
    <row r="959" spans="1:35" x14ac:dyDescent="0.3">
      <c r="A959">
        <v>958</v>
      </c>
      <c r="B959" t="s">
        <v>1295</v>
      </c>
      <c r="C959">
        <v>16</v>
      </c>
      <c r="D959" s="105">
        <v>45373.46918255787</v>
      </c>
      <c r="E959" t="s">
        <v>312</v>
      </c>
      <c r="F959" t="s">
        <v>1402</v>
      </c>
      <c r="G959">
        <v>0</v>
      </c>
      <c r="H959" t="s">
        <v>315</v>
      </c>
      <c r="I959">
        <v>0</v>
      </c>
      <c r="J959">
        <v>0</v>
      </c>
      <c r="K959">
        <v>0</v>
      </c>
      <c r="L959" t="s">
        <v>241</v>
      </c>
      <c r="M959" t="s">
        <v>1398</v>
      </c>
      <c r="N959">
        <v>0</v>
      </c>
      <c r="O959" t="s">
        <v>1389</v>
      </c>
      <c r="P959" t="s">
        <v>310</v>
      </c>
      <c r="Q959" t="s">
        <v>310</v>
      </c>
      <c r="R959" t="s">
        <v>310</v>
      </c>
      <c r="S959">
        <v>9</v>
      </c>
      <c r="T959" t="s">
        <v>310</v>
      </c>
      <c r="U959">
        <v>9</v>
      </c>
      <c r="V959">
        <v>9</v>
      </c>
      <c r="W959">
        <v>0</v>
      </c>
      <c r="X959">
        <v>0</v>
      </c>
      <c r="Y959">
        <v>0</v>
      </c>
      <c r="Z959">
        <v>0</v>
      </c>
      <c r="AA959">
        <v>9</v>
      </c>
      <c r="AB959">
        <v>9</v>
      </c>
      <c r="AC959" t="s">
        <v>310</v>
      </c>
      <c r="AD959">
        <v>9</v>
      </c>
      <c r="AE959" t="s">
        <v>1412</v>
      </c>
      <c r="AF959">
        <v>90000000</v>
      </c>
      <c r="AG959" t="s">
        <v>310</v>
      </c>
      <c r="AH959">
        <f>SUM((MID(Dyno_Data[[#This Row],[Team]],4,5))+(Dyno_Data[[#This Row],[Match]]/100))</f>
        <v>6300.16</v>
      </c>
      <c r="AI959" s="76">
        <f>ROUND(SUM(IF(Dyno_Data[[#This Row],[AcqCenter]]&gt;0,Dyno_Data[[#This Row],[Time]]-SUMIFS(Dyno_Data[Time],Dyno_Data[Team],Dyno_Data[[#This Row],[Team]],Dyno_Data[RecordType],"StartMatch",Dyno_Data[Match],Dyno_Data[[#This Row],[Match]]),0)*86400),0)</f>
        <v>0</v>
      </c>
    </row>
    <row r="960" spans="1:35" x14ac:dyDescent="0.3">
      <c r="A960">
        <v>959</v>
      </c>
      <c r="B960" t="s">
        <v>1318</v>
      </c>
      <c r="C960">
        <v>16</v>
      </c>
      <c r="D960" s="105">
        <v>45373.469250891205</v>
      </c>
      <c r="E960" t="s">
        <v>312</v>
      </c>
      <c r="F960" t="s">
        <v>1402</v>
      </c>
      <c r="G960">
        <v>0</v>
      </c>
      <c r="H960" t="s">
        <v>315</v>
      </c>
      <c r="I960">
        <v>0</v>
      </c>
      <c r="J960">
        <v>0</v>
      </c>
      <c r="K960">
        <v>0</v>
      </c>
      <c r="L960" t="s">
        <v>240</v>
      </c>
      <c r="M960" t="s">
        <v>1398</v>
      </c>
      <c r="N960">
        <v>0</v>
      </c>
      <c r="O960" t="s">
        <v>1393</v>
      </c>
      <c r="P960" t="s">
        <v>310</v>
      </c>
      <c r="Q960" t="s">
        <v>310</v>
      </c>
      <c r="R960" t="s">
        <v>310</v>
      </c>
      <c r="S960">
        <v>9</v>
      </c>
      <c r="T960" t="s">
        <v>310</v>
      </c>
      <c r="U960">
        <v>9</v>
      </c>
      <c r="V960">
        <v>9</v>
      </c>
      <c r="W960">
        <v>0</v>
      </c>
      <c r="X960">
        <v>0</v>
      </c>
      <c r="Y960">
        <v>0</v>
      </c>
      <c r="Z960">
        <v>0</v>
      </c>
      <c r="AA960">
        <v>9</v>
      </c>
      <c r="AB960">
        <v>9</v>
      </c>
      <c r="AC960" t="s">
        <v>310</v>
      </c>
      <c r="AD960">
        <v>9</v>
      </c>
      <c r="AE960" t="s">
        <v>1414</v>
      </c>
      <c r="AF960">
        <v>50000000</v>
      </c>
      <c r="AG960" t="s">
        <v>310</v>
      </c>
      <c r="AH960">
        <f>SUM((MID(Dyno_Data[[#This Row],[Team]],4,5))+(Dyno_Data[[#This Row],[Match]]/100))</f>
        <v>7709.16</v>
      </c>
      <c r="AI960" s="76">
        <f>ROUND(SUM(IF(Dyno_Data[[#This Row],[AcqCenter]]&gt;0,Dyno_Data[[#This Row],[Time]]-SUMIFS(Dyno_Data[Time],Dyno_Data[Team],Dyno_Data[[#This Row],[Team]],Dyno_Data[RecordType],"StartMatch",Dyno_Data[Match],Dyno_Data[[#This Row],[Match]]),0)*86400),0)</f>
        <v>0</v>
      </c>
    </row>
    <row r="961" spans="1:35" x14ac:dyDescent="0.3">
      <c r="A961">
        <v>960</v>
      </c>
      <c r="B961" t="s">
        <v>1315</v>
      </c>
      <c r="C961">
        <v>16</v>
      </c>
      <c r="D961" s="105">
        <v>45373.469289270834</v>
      </c>
      <c r="E961" t="s">
        <v>312</v>
      </c>
      <c r="F961" t="s">
        <v>1402</v>
      </c>
      <c r="G961">
        <v>0</v>
      </c>
      <c r="H961" t="s">
        <v>315</v>
      </c>
      <c r="I961">
        <v>0</v>
      </c>
      <c r="J961">
        <v>0</v>
      </c>
      <c r="K961">
        <v>0</v>
      </c>
      <c r="L961" t="s">
        <v>241</v>
      </c>
      <c r="M961" t="s">
        <v>1398</v>
      </c>
      <c r="N961">
        <v>0</v>
      </c>
      <c r="O961" t="s">
        <v>319</v>
      </c>
      <c r="P961" t="s">
        <v>310</v>
      </c>
      <c r="Q961" t="s">
        <v>310</v>
      </c>
      <c r="R961" t="s">
        <v>310</v>
      </c>
      <c r="S961">
        <v>9</v>
      </c>
      <c r="T961" t="s">
        <v>310</v>
      </c>
      <c r="U961">
        <v>9</v>
      </c>
      <c r="V961">
        <v>9</v>
      </c>
      <c r="W961">
        <v>0</v>
      </c>
      <c r="X961">
        <v>0</v>
      </c>
      <c r="Y961">
        <v>0</v>
      </c>
      <c r="Z961">
        <v>0</v>
      </c>
      <c r="AA961">
        <v>9</v>
      </c>
      <c r="AB961">
        <v>9</v>
      </c>
      <c r="AC961" t="s">
        <v>310</v>
      </c>
      <c r="AD961">
        <v>9</v>
      </c>
      <c r="AE961" t="s">
        <v>1413</v>
      </c>
      <c r="AF961">
        <v>60000000</v>
      </c>
      <c r="AG961" t="s">
        <v>310</v>
      </c>
      <c r="AH961">
        <f>SUM((MID(Dyno_Data[[#This Row],[Team]],4,5))+(Dyno_Data[[#This Row],[Match]]/100))</f>
        <v>1511.16</v>
      </c>
      <c r="AI961" s="76">
        <f>ROUND(SUM(IF(Dyno_Data[[#This Row],[AcqCenter]]&gt;0,Dyno_Data[[#This Row],[Time]]-SUMIFS(Dyno_Data[Time],Dyno_Data[Team],Dyno_Data[[#This Row],[Team]],Dyno_Data[RecordType],"StartMatch",Dyno_Data[Match],Dyno_Data[[#This Row],[Match]]),0)*86400),0)</f>
        <v>0</v>
      </c>
    </row>
    <row r="962" spans="1:35" x14ac:dyDescent="0.3">
      <c r="A962">
        <v>961</v>
      </c>
      <c r="B962" t="s">
        <v>1295</v>
      </c>
      <c r="C962">
        <v>16</v>
      </c>
      <c r="D962" s="105">
        <v>45373.469372256943</v>
      </c>
      <c r="E962" t="s">
        <v>312</v>
      </c>
      <c r="F962" t="s">
        <v>1402</v>
      </c>
      <c r="G962">
        <v>0</v>
      </c>
      <c r="H962" t="s">
        <v>315</v>
      </c>
      <c r="I962">
        <v>0</v>
      </c>
      <c r="J962">
        <v>0</v>
      </c>
      <c r="K962">
        <v>0</v>
      </c>
      <c r="L962" t="s">
        <v>241</v>
      </c>
      <c r="M962" t="s">
        <v>1398</v>
      </c>
      <c r="N962">
        <v>0</v>
      </c>
      <c r="O962" t="s">
        <v>1389</v>
      </c>
      <c r="P962" t="s">
        <v>310</v>
      </c>
      <c r="Q962" t="s">
        <v>310</v>
      </c>
      <c r="R962" t="s">
        <v>310</v>
      </c>
      <c r="S962">
        <v>9</v>
      </c>
      <c r="T962" t="s">
        <v>310</v>
      </c>
      <c r="U962">
        <v>9</v>
      </c>
      <c r="V962">
        <v>9</v>
      </c>
      <c r="W962">
        <v>0</v>
      </c>
      <c r="X962">
        <v>0</v>
      </c>
      <c r="Y962">
        <v>0</v>
      </c>
      <c r="Z962">
        <v>0</v>
      </c>
      <c r="AA962">
        <v>9</v>
      </c>
      <c r="AB962">
        <v>9</v>
      </c>
      <c r="AC962" t="s">
        <v>310</v>
      </c>
      <c r="AD962">
        <v>9</v>
      </c>
      <c r="AE962" t="s">
        <v>1412</v>
      </c>
      <c r="AF962">
        <v>100000000</v>
      </c>
      <c r="AG962" t="s">
        <v>310</v>
      </c>
      <c r="AH962">
        <f>SUM((MID(Dyno_Data[[#This Row],[Team]],4,5))+(Dyno_Data[[#This Row],[Match]]/100))</f>
        <v>6300.16</v>
      </c>
      <c r="AI962" s="76">
        <f>ROUND(SUM(IF(Dyno_Data[[#This Row],[AcqCenter]]&gt;0,Dyno_Data[[#This Row],[Time]]-SUMIFS(Dyno_Data[Time],Dyno_Data[Team],Dyno_Data[[#This Row],[Team]],Dyno_Data[RecordType],"StartMatch",Dyno_Data[Match],Dyno_Data[[#This Row],[Match]]),0)*86400),0)</f>
        <v>0</v>
      </c>
    </row>
    <row r="963" spans="1:35" x14ac:dyDescent="0.3">
      <c r="A963">
        <v>962</v>
      </c>
      <c r="B963" t="s">
        <v>1315</v>
      </c>
      <c r="C963">
        <v>16</v>
      </c>
      <c r="D963" s="105">
        <v>45373.469428854165</v>
      </c>
      <c r="E963" t="s">
        <v>312</v>
      </c>
      <c r="F963" t="s">
        <v>1402</v>
      </c>
      <c r="G963">
        <v>0</v>
      </c>
      <c r="H963" t="s">
        <v>315</v>
      </c>
      <c r="I963">
        <v>0</v>
      </c>
      <c r="J963">
        <v>0</v>
      </c>
      <c r="K963">
        <v>0</v>
      </c>
      <c r="L963" t="s">
        <v>241</v>
      </c>
      <c r="M963" t="s">
        <v>1398</v>
      </c>
      <c r="N963">
        <v>0</v>
      </c>
      <c r="O963" t="s">
        <v>319</v>
      </c>
      <c r="P963" t="s">
        <v>310</v>
      </c>
      <c r="Q963" t="s">
        <v>310</v>
      </c>
      <c r="R963" t="s">
        <v>310</v>
      </c>
      <c r="S963">
        <v>9</v>
      </c>
      <c r="T963" t="s">
        <v>310</v>
      </c>
      <c r="U963">
        <v>9</v>
      </c>
      <c r="V963">
        <v>9</v>
      </c>
      <c r="W963">
        <v>0</v>
      </c>
      <c r="X963">
        <v>0</v>
      </c>
      <c r="Y963">
        <v>0</v>
      </c>
      <c r="Z963">
        <v>0</v>
      </c>
      <c r="AA963">
        <v>9</v>
      </c>
      <c r="AB963">
        <v>9</v>
      </c>
      <c r="AC963" t="s">
        <v>310</v>
      </c>
      <c r="AD963">
        <v>9</v>
      </c>
      <c r="AE963" t="s">
        <v>1413</v>
      </c>
      <c r="AF963">
        <v>70000000</v>
      </c>
      <c r="AG963" t="s">
        <v>310</v>
      </c>
      <c r="AH963">
        <f>SUM((MID(Dyno_Data[[#This Row],[Team]],4,5))+(Dyno_Data[[#This Row],[Match]]/100))</f>
        <v>1511.16</v>
      </c>
      <c r="AI963" s="76">
        <f>ROUND(SUM(IF(Dyno_Data[[#This Row],[AcqCenter]]&gt;0,Dyno_Data[[#This Row],[Time]]-SUMIFS(Dyno_Data[Time],Dyno_Data[Team],Dyno_Data[[#This Row],[Team]],Dyno_Data[RecordType],"StartMatch",Dyno_Data[Match],Dyno_Data[[#This Row],[Match]]),0)*86400),0)</f>
        <v>0</v>
      </c>
    </row>
    <row r="964" spans="1:35" x14ac:dyDescent="0.3">
      <c r="A964">
        <v>963</v>
      </c>
      <c r="B964" t="s">
        <v>1280</v>
      </c>
      <c r="C964">
        <v>16</v>
      </c>
      <c r="D964" s="105">
        <v>45373.469485914349</v>
      </c>
      <c r="E964" t="s">
        <v>312</v>
      </c>
      <c r="F964" t="s">
        <v>1402</v>
      </c>
      <c r="G964">
        <v>0</v>
      </c>
      <c r="H964" t="s">
        <v>315</v>
      </c>
      <c r="I964">
        <v>0</v>
      </c>
      <c r="J964">
        <v>0</v>
      </c>
      <c r="K964">
        <v>0</v>
      </c>
      <c r="L964" t="s">
        <v>241</v>
      </c>
      <c r="M964" t="s">
        <v>1398</v>
      </c>
      <c r="N964">
        <v>1</v>
      </c>
      <c r="O964" t="s">
        <v>1391</v>
      </c>
      <c r="P964" t="s">
        <v>310</v>
      </c>
      <c r="Q964" t="s">
        <v>310</v>
      </c>
      <c r="R964" t="s">
        <v>310</v>
      </c>
      <c r="S964">
        <v>9</v>
      </c>
      <c r="T964" t="s">
        <v>310</v>
      </c>
      <c r="U964">
        <v>9</v>
      </c>
      <c r="V964">
        <v>9</v>
      </c>
      <c r="W964">
        <v>0</v>
      </c>
      <c r="X964">
        <v>0</v>
      </c>
      <c r="Y964">
        <v>0</v>
      </c>
      <c r="Z964">
        <v>0</v>
      </c>
      <c r="AA964">
        <v>9</v>
      </c>
      <c r="AB964">
        <v>9</v>
      </c>
      <c r="AC964" t="s">
        <v>310</v>
      </c>
      <c r="AD964">
        <v>9</v>
      </c>
      <c r="AE964" t="s">
        <v>1418</v>
      </c>
      <c r="AF964">
        <v>30000000</v>
      </c>
      <c r="AG964" t="s">
        <v>310</v>
      </c>
      <c r="AH964">
        <f>SUM((MID(Dyno_Data[[#This Row],[Team]],4,5))+(Dyno_Data[[#This Row],[Match]]/100))</f>
        <v>1559.16</v>
      </c>
      <c r="AI964" s="76">
        <f>ROUND(SUM(IF(Dyno_Data[[#This Row],[AcqCenter]]&gt;0,Dyno_Data[[#This Row],[Time]]-SUMIFS(Dyno_Data[Time],Dyno_Data[Team],Dyno_Data[[#This Row],[Team]],Dyno_Data[RecordType],"StartMatch",Dyno_Data[Match],Dyno_Data[[#This Row],[Match]]),0)*86400),0)</f>
        <v>0</v>
      </c>
    </row>
    <row r="965" spans="1:35" x14ac:dyDescent="0.3">
      <c r="A965">
        <v>964</v>
      </c>
      <c r="B965" t="s">
        <v>1318</v>
      </c>
      <c r="C965">
        <v>16</v>
      </c>
      <c r="D965" s="105">
        <v>45373.469512731484</v>
      </c>
      <c r="E965" t="s">
        <v>312</v>
      </c>
      <c r="F965" t="s">
        <v>1402</v>
      </c>
      <c r="G965">
        <v>0</v>
      </c>
      <c r="H965" t="s">
        <v>315</v>
      </c>
      <c r="I965">
        <v>0</v>
      </c>
      <c r="J965">
        <v>0</v>
      </c>
      <c r="K965">
        <v>0</v>
      </c>
      <c r="L965" t="s">
        <v>240</v>
      </c>
      <c r="M965" t="s">
        <v>1398</v>
      </c>
      <c r="N965">
        <v>0</v>
      </c>
      <c r="O965" t="s">
        <v>1393</v>
      </c>
      <c r="P965" t="s">
        <v>310</v>
      </c>
      <c r="Q965" t="s">
        <v>310</v>
      </c>
      <c r="R965" t="s">
        <v>310</v>
      </c>
      <c r="S965">
        <v>9</v>
      </c>
      <c r="T965" t="s">
        <v>310</v>
      </c>
      <c r="U965">
        <v>9</v>
      </c>
      <c r="V965">
        <v>9</v>
      </c>
      <c r="W965">
        <v>0</v>
      </c>
      <c r="X965">
        <v>0</v>
      </c>
      <c r="Y965">
        <v>0</v>
      </c>
      <c r="Z965">
        <v>0</v>
      </c>
      <c r="AA965">
        <v>9</v>
      </c>
      <c r="AB965">
        <v>9</v>
      </c>
      <c r="AC965" t="s">
        <v>310</v>
      </c>
      <c r="AD965">
        <v>9</v>
      </c>
      <c r="AE965" t="s">
        <v>1414</v>
      </c>
      <c r="AF965">
        <v>60100000</v>
      </c>
      <c r="AG965" t="s">
        <v>310</v>
      </c>
      <c r="AH965">
        <f>SUM((MID(Dyno_Data[[#This Row],[Team]],4,5))+(Dyno_Data[[#This Row],[Match]]/100))</f>
        <v>7709.16</v>
      </c>
      <c r="AI965" s="76">
        <f>ROUND(SUM(IF(Dyno_Data[[#This Row],[AcqCenter]]&gt;0,Dyno_Data[[#This Row],[Time]]-SUMIFS(Dyno_Data[Time],Dyno_Data[Team],Dyno_Data[[#This Row],[Team]],Dyno_Data[RecordType],"StartMatch",Dyno_Data[Match],Dyno_Data[[#This Row],[Match]]),0)*86400),0)</f>
        <v>0</v>
      </c>
    </row>
    <row r="966" spans="1:35" x14ac:dyDescent="0.3">
      <c r="A966">
        <v>965</v>
      </c>
      <c r="B966" t="s">
        <v>1295</v>
      </c>
      <c r="C966">
        <v>16</v>
      </c>
      <c r="D966" s="105">
        <v>45373.469554247684</v>
      </c>
      <c r="E966" t="s">
        <v>312</v>
      </c>
      <c r="F966" t="s">
        <v>1402</v>
      </c>
      <c r="G966">
        <v>0</v>
      </c>
      <c r="H966" t="s">
        <v>315</v>
      </c>
      <c r="I966">
        <v>0</v>
      </c>
      <c r="J966">
        <v>0</v>
      </c>
      <c r="K966">
        <v>0</v>
      </c>
      <c r="L966" t="s">
        <v>241</v>
      </c>
      <c r="M966" t="s">
        <v>1398</v>
      </c>
      <c r="N966">
        <v>0</v>
      </c>
      <c r="O966" t="s">
        <v>1389</v>
      </c>
      <c r="P966" t="s">
        <v>310</v>
      </c>
      <c r="Q966" t="s">
        <v>310</v>
      </c>
      <c r="R966" t="s">
        <v>310</v>
      </c>
      <c r="S966">
        <v>9</v>
      </c>
      <c r="T966" t="s">
        <v>310</v>
      </c>
      <c r="U966">
        <v>9</v>
      </c>
      <c r="V966">
        <v>9</v>
      </c>
      <c r="W966">
        <v>0</v>
      </c>
      <c r="X966">
        <v>0</v>
      </c>
      <c r="Y966">
        <v>0</v>
      </c>
      <c r="Z966">
        <v>0</v>
      </c>
      <c r="AA966">
        <v>9</v>
      </c>
      <c r="AB966">
        <v>9</v>
      </c>
      <c r="AC966" t="s">
        <v>310</v>
      </c>
      <c r="AD966">
        <v>9</v>
      </c>
      <c r="AE966" t="s">
        <v>1412</v>
      </c>
      <c r="AF966">
        <v>110000000</v>
      </c>
      <c r="AG966" t="s">
        <v>310</v>
      </c>
      <c r="AH966">
        <f>SUM((MID(Dyno_Data[[#This Row],[Team]],4,5))+(Dyno_Data[[#This Row],[Match]]/100))</f>
        <v>6300.16</v>
      </c>
      <c r="AI966" s="76">
        <f>ROUND(SUM(IF(Dyno_Data[[#This Row],[AcqCenter]]&gt;0,Dyno_Data[[#This Row],[Time]]-SUMIFS(Dyno_Data[Time],Dyno_Data[Team],Dyno_Data[[#This Row],[Team]],Dyno_Data[RecordType],"StartMatch",Dyno_Data[Match],Dyno_Data[[#This Row],[Match]]),0)*86400),0)</f>
        <v>0</v>
      </c>
    </row>
    <row r="967" spans="1:35" x14ac:dyDescent="0.3">
      <c r="A967">
        <v>966</v>
      </c>
      <c r="B967" t="s">
        <v>1315</v>
      </c>
      <c r="C967">
        <v>16</v>
      </c>
      <c r="D967" s="105">
        <v>45373.469580358797</v>
      </c>
      <c r="E967" t="s">
        <v>312</v>
      </c>
      <c r="F967" t="s">
        <v>1402</v>
      </c>
      <c r="G967">
        <v>0</v>
      </c>
      <c r="H967" t="s">
        <v>315</v>
      </c>
      <c r="I967">
        <v>0</v>
      </c>
      <c r="J967">
        <v>0</v>
      </c>
      <c r="K967">
        <v>0</v>
      </c>
      <c r="L967" t="s">
        <v>241</v>
      </c>
      <c r="M967" t="s">
        <v>101</v>
      </c>
      <c r="N967">
        <v>0</v>
      </c>
      <c r="O967" t="s">
        <v>319</v>
      </c>
      <c r="P967" t="s">
        <v>310</v>
      </c>
      <c r="Q967" t="s">
        <v>310</v>
      </c>
      <c r="R967" t="s">
        <v>310</v>
      </c>
      <c r="S967">
        <v>9</v>
      </c>
      <c r="T967" t="s">
        <v>310</v>
      </c>
      <c r="U967">
        <v>9</v>
      </c>
      <c r="V967">
        <v>9</v>
      </c>
      <c r="W967">
        <v>0</v>
      </c>
      <c r="X967">
        <v>0</v>
      </c>
      <c r="Y967">
        <v>0</v>
      </c>
      <c r="Z967">
        <v>0</v>
      </c>
      <c r="AA967">
        <v>9</v>
      </c>
      <c r="AB967">
        <v>9</v>
      </c>
      <c r="AC967" t="s">
        <v>310</v>
      </c>
      <c r="AD967">
        <v>9</v>
      </c>
      <c r="AE967" t="s">
        <v>1413</v>
      </c>
      <c r="AF967">
        <v>80000000</v>
      </c>
      <c r="AG967" t="s">
        <v>310</v>
      </c>
      <c r="AH967">
        <f>SUM((MID(Dyno_Data[[#This Row],[Team]],4,5))+(Dyno_Data[[#This Row],[Match]]/100))</f>
        <v>1511.16</v>
      </c>
      <c r="AI967" s="76">
        <f>ROUND(SUM(IF(Dyno_Data[[#This Row],[AcqCenter]]&gt;0,Dyno_Data[[#This Row],[Time]]-SUMIFS(Dyno_Data[Time],Dyno_Data[Team],Dyno_Data[[#This Row],[Team]],Dyno_Data[RecordType],"StartMatch",Dyno_Data[Match],Dyno_Data[[#This Row],[Match]]),0)*86400),0)</f>
        <v>0</v>
      </c>
    </row>
    <row r="968" spans="1:35" x14ac:dyDescent="0.3">
      <c r="A968">
        <v>967</v>
      </c>
      <c r="B968" t="s">
        <v>1295</v>
      </c>
      <c r="C968">
        <v>16</v>
      </c>
      <c r="D968" s="105">
        <v>45373.469689664351</v>
      </c>
      <c r="E968" t="s">
        <v>312</v>
      </c>
      <c r="F968" t="s">
        <v>1402</v>
      </c>
      <c r="G968">
        <v>0</v>
      </c>
      <c r="H968" t="s">
        <v>315</v>
      </c>
      <c r="I968">
        <v>0</v>
      </c>
      <c r="J968">
        <v>0</v>
      </c>
      <c r="K968">
        <v>0</v>
      </c>
      <c r="L968" t="s">
        <v>241</v>
      </c>
      <c r="M968" t="s">
        <v>1398</v>
      </c>
      <c r="N968">
        <v>0</v>
      </c>
      <c r="O968" t="s">
        <v>1389</v>
      </c>
      <c r="P968" t="s">
        <v>310</v>
      </c>
      <c r="Q968" t="s">
        <v>310</v>
      </c>
      <c r="R968" t="s">
        <v>310</v>
      </c>
      <c r="S968">
        <v>9</v>
      </c>
      <c r="T968" t="s">
        <v>310</v>
      </c>
      <c r="U968">
        <v>9</v>
      </c>
      <c r="V968">
        <v>9</v>
      </c>
      <c r="W968">
        <v>0</v>
      </c>
      <c r="X968">
        <v>0</v>
      </c>
      <c r="Y968">
        <v>0</v>
      </c>
      <c r="Z968">
        <v>0</v>
      </c>
      <c r="AA968">
        <v>9</v>
      </c>
      <c r="AB968">
        <v>9</v>
      </c>
      <c r="AC968" t="s">
        <v>310</v>
      </c>
      <c r="AD968">
        <v>9</v>
      </c>
      <c r="AE968" t="s">
        <v>1412</v>
      </c>
      <c r="AF968">
        <v>120000000</v>
      </c>
      <c r="AG968" t="s">
        <v>310</v>
      </c>
      <c r="AH968">
        <f>SUM((MID(Dyno_Data[[#This Row],[Team]],4,5))+(Dyno_Data[[#This Row],[Match]]/100))</f>
        <v>6300.16</v>
      </c>
      <c r="AI968" s="76">
        <f>ROUND(SUM(IF(Dyno_Data[[#This Row],[AcqCenter]]&gt;0,Dyno_Data[[#This Row],[Time]]-SUMIFS(Dyno_Data[Time],Dyno_Data[Team],Dyno_Data[[#This Row],[Team]],Dyno_Data[RecordType],"StartMatch",Dyno_Data[Match],Dyno_Data[[#This Row],[Match]]),0)*86400),0)</f>
        <v>0</v>
      </c>
    </row>
    <row r="969" spans="1:35" x14ac:dyDescent="0.3">
      <c r="A969">
        <v>968</v>
      </c>
      <c r="B969" t="s">
        <v>1318</v>
      </c>
      <c r="C969">
        <v>16</v>
      </c>
      <c r="D969" s="105">
        <v>45373.469698182867</v>
      </c>
      <c r="E969" t="s">
        <v>312</v>
      </c>
      <c r="F969" t="s">
        <v>1402</v>
      </c>
      <c r="G969">
        <v>0</v>
      </c>
      <c r="H969" t="s">
        <v>315</v>
      </c>
      <c r="I969">
        <v>0</v>
      </c>
      <c r="J969">
        <v>0</v>
      </c>
      <c r="K969">
        <v>0</v>
      </c>
      <c r="L969" t="s">
        <v>241</v>
      </c>
      <c r="M969" t="s">
        <v>1398</v>
      </c>
      <c r="N969">
        <v>0</v>
      </c>
      <c r="O969" t="s">
        <v>1393</v>
      </c>
      <c r="P969" t="s">
        <v>310</v>
      </c>
      <c r="Q969" t="s">
        <v>310</v>
      </c>
      <c r="R969" t="s">
        <v>310</v>
      </c>
      <c r="S969">
        <v>9</v>
      </c>
      <c r="T969" t="s">
        <v>310</v>
      </c>
      <c r="U969">
        <v>9</v>
      </c>
      <c r="V969">
        <v>9</v>
      </c>
      <c r="W969">
        <v>0</v>
      </c>
      <c r="X969">
        <v>0</v>
      </c>
      <c r="Y969">
        <v>0</v>
      </c>
      <c r="Z969">
        <v>0</v>
      </c>
      <c r="AA969">
        <v>9</v>
      </c>
      <c r="AB969">
        <v>9</v>
      </c>
      <c r="AC969" t="s">
        <v>310</v>
      </c>
      <c r="AD969">
        <v>9</v>
      </c>
      <c r="AE969" t="s">
        <v>1414</v>
      </c>
      <c r="AF969">
        <v>70200000</v>
      </c>
      <c r="AG969" t="s">
        <v>310</v>
      </c>
      <c r="AH969">
        <f>SUM((MID(Dyno_Data[[#This Row],[Team]],4,5))+(Dyno_Data[[#This Row],[Match]]/100))</f>
        <v>7709.16</v>
      </c>
      <c r="AI969" s="76">
        <f>ROUND(SUM(IF(Dyno_Data[[#This Row],[AcqCenter]]&gt;0,Dyno_Data[[#This Row],[Time]]-SUMIFS(Dyno_Data[Time],Dyno_Data[Team],Dyno_Data[[#This Row],[Team]],Dyno_Data[RecordType],"StartMatch",Dyno_Data[Match],Dyno_Data[[#This Row],[Match]]),0)*86400),0)</f>
        <v>0</v>
      </c>
    </row>
    <row r="970" spans="1:35" x14ac:dyDescent="0.3">
      <c r="A970">
        <v>969</v>
      </c>
      <c r="B970" t="s">
        <v>1318</v>
      </c>
      <c r="C970">
        <v>16</v>
      </c>
      <c r="D970" s="105">
        <v>45373.46977048611</v>
      </c>
      <c r="E970" t="s">
        <v>312</v>
      </c>
      <c r="F970" t="s">
        <v>1402</v>
      </c>
      <c r="G970">
        <v>0</v>
      </c>
      <c r="H970" t="s">
        <v>315</v>
      </c>
      <c r="I970">
        <v>0</v>
      </c>
      <c r="J970">
        <v>0</v>
      </c>
      <c r="K970">
        <v>0</v>
      </c>
      <c r="L970" t="s">
        <v>240</v>
      </c>
      <c r="M970" t="s">
        <v>1398</v>
      </c>
      <c r="N970">
        <v>0</v>
      </c>
      <c r="O970" t="s">
        <v>1393</v>
      </c>
      <c r="P970" t="s">
        <v>310</v>
      </c>
      <c r="Q970" t="s">
        <v>310</v>
      </c>
      <c r="R970" t="s">
        <v>310</v>
      </c>
      <c r="S970">
        <v>9</v>
      </c>
      <c r="T970" t="s">
        <v>310</v>
      </c>
      <c r="U970">
        <v>9</v>
      </c>
      <c r="V970">
        <v>9</v>
      </c>
      <c r="W970">
        <v>0</v>
      </c>
      <c r="X970">
        <v>0</v>
      </c>
      <c r="Y970">
        <v>0</v>
      </c>
      <c r="Z970">
        <v>0</v>
      </c>
      <c r="AA970">
        <v>9</v>
      </c>
      <c r="AB970">
        <v>9</v>
      </c>
      <c r="AC970" t="s">
        <v>310</v>
      </c>
      <c r="AD970">
        <v>9</v>
      </c>
      <c r="AE970" t="s">
        <v>1414</v>
      </c>
      <c r="AF970">
        <v>80200000</v>
      </c>
      <c r="AG970" t="s">
        <v>310</v>
      </c>
      <c r="AH970">
        <f>SUM((MID(Dyno_Data[[#This Row],[Team]],4,5))+(Dyno_Data[[#This Row],[Match]]/100))</f>
        <v>7709.16</v>
      </c>
      <c r="AI970" s="76">
        <f>ROUND(SUM(IF(Dyno_Data[[#This Row],[AcqCenter]]&gt;0,Dyno_Data[[#This Row],[Time]]-SUMIFS(Dyno_Data[Time],Dyno_Data[Team],Dyno_Data[[#This Row],[Team]],Dyno_Data[RecordType],"StartMatch",Dyno_Data[Match],Dyno_Data[[#This Row],[Match]]),0)*86400),0)</f>
        <v>0</v>
      </c>
    </row>
    <row r="971" spans="1:35" x14ac:dyDescent="0.3">
      <c r="A971">
        <v>970</v>
      </c>
      <c r="B971" t="s">
        <v>1318</v>
      </c>
      <c r="C971">
        <v>16</v>
      </c>
      <c r="D971" s="105">
        <v>45373.470154780094</v>
      </c>
      <c r="E971" t="s">
        <v>1403</v>
      </c>
      <c r="F971" t="s">
        <v>317</v>
      </c>
      <c r="G971">
        <v>0</v>
      </c>
      <c r="H971" t="s">
        <v>310</v>
      </c>
      <c r="I971">
        <v>0</v>
      </c>
      <c r="J971">
        <v>0</v>
      </c>
      <c r="K971">
        <v>0</v>
      </c>
      <c r="L971" t="s">
        <v>310</v>
      </c>
      <c r="M971" t="s">
        <v>310</v>
      </c>
      <c r="N971">
        <v>0</v>
      </c>
      <c r="O971" t="s">
        <v>1393</v>
      </c>
      <c r="P971" t="s">
        <v>310</v>
      </c>
      <c r="Q971" t="s">
        <v>310</v>
      </c>
      <c r="R971" t="s">
        <v>310</v>
      </c>
      <c r="S971">
        <v>9</v>
      </c>
      <c r="T971" t="s">
        <v>310</v>
      </c>
      <c r="U971">
        <v>9</v>
      </c>
      <c r="V971">
        <v>9</v>
      </c>
      <c r="W971">
        <v>0</v>
      </c>
      <c r="X971">
        <v>0</v>
      </c>
      <c r="Y971">
        <v>0</v>
      </c>
      <c r="Z971">
        <v>0</v>
      </c>
      <c r="AA971">
        <v>9</v>
      </c>
      <c r="AB971">
        <v>9</v>
      </c>
      <c r="AC971" t="s">
        <v>310</v>
      </c>
      <c r="AD971">
        <v>9</v>
      </c>
      <c r="AE971" t="s">
        <v>1414</v>
      </c>
      <c r="AF971">
        <v>80200000</v>
      </c>
      <c r="AG971" t="s">
        <v>248</v>
      </c>
      <c r="AH971">
        <f>SUM((MID(Dyno_Data[[#This Row],[Team]],4,5))+(Dyno_Data[[#This Row],[Match]]/100))</f>
        <v>7709.16</v>
      </c>
      <c r="AI971" s="76">
        <f>ROUND(SUM(IF(Dyno_Data[[#This Row],[AcqCenter]]&gt;0,Dyno_Data[[#This Row],[Time]]-SUMIFS(Dyno_Data[Time],Dyno_Data[Team],Dyno_Data[[#This Row],[Team]],Dyno_Data[RecordType],"StartMatch",Dyno_Data[Match],Dyno_Data[[#This Row],[Match]]),0)*86400),0)</f>
        <v>0</v>
      </c>
    </row>
    <row r="972" spans="1:35" x14ac:dyDescent="0.3">
      <c r="A972">
        <v>971</v>
      </c>
      <c r="B972" t="s">
        <v>1306</v>
      </c>
      <c r="C972">
        <v>16</v>
      </c>
      <c r="D972" s="105">
        <v>45373.471525462963</v>
      </c>
      <c r="E972" t="s">
        <v>316</v>
      </c>
      <c r="F972" t="s">
        <v>317</v>
      </c>
      <c r="G972">
        <v>1</v>
      </c>
      <c r="H972" t="s">
        <v>310</v>
      </c>
      <c r="I972">
        <v>0</v>
      </c>
      <c r="J972">
        <v>0</v>
      </c>
      <c r="K972">
        <v>0</v>
      </c>
      <c r="L972" t="s">
        <v>310</v>
      </c>
      <c r="M972" t="s">
        <v>310</v>
      </c>
      <c r="N972">
        <v>0</v>
      </c>
      <c r="O972" t="s">
        <v>311</v>
      </c>
      <c r="P972" t="s">
        <v>320</v>
      </c>
      <c r="Q972" t="s">
        <v>1400</v>
      </c>
      <c r="R972" t="s">
        <v>321</v>
      </c>
      <c r="S972">
        <v>0</v>
      </c>
      <c r="T972" t="s">
        <v>105</v>
      </c>
      <c r="U972">
        <v>9</v>
      </c>
      <c r="V972">
        <v>9</v>
      </c>
      <c r="W972">
        <v>0</v>
      </c>
      <c r="X972">
        <v>101.822902</v>
      </c>
      <c r="Y972">
        <v>6.8058212999999999</v>
      </c>
      <c r="Z972">
        <v>28.728598399999999</v>
      </c>
      <c r="AA972">
        <v>3</v>
      </c>
      <c r="AB972">
        <v>0</v>
      </c>
      <c r="AC972" t="s">
        <v>170</v>
      </c>
      <c r="AD972">
        <v>9</v>
      </c>
      <c r="AE972" t="s">
        <v>1416</v>
      </c>
      <c r="AF972">
        <v>0</v>
      </c>
      <c r="AG972" t="s">
        <v>310</v>
      </c>
      <c r="AH972">
        <f>SUM((MID(Dyno_Data[[#This Row],[Team]],4,5))+(Dyno_Data[[#This Row],[Match]]/100))</f>
        <v>3986.16</v>
      </c>
      <c r="AI972" s="76">
        <f>ROUND(SUM(IF(Dyno_Data[[#This Row],[AcqCenter]]&gt;0,Dyno_Data[[#This Row],[Time]]-SUMIFS(Dyno_Data[Time],Dyno_Data[Team],Dyno_Data[[#This Row],[Team]],Dyno_Data[RecordType],"StartMatch",Dyno_Data[Match],Dyno_Data[[#This Row],[Match]]),0)*86400),0)</f>
        <v>0</v>
      </c>
    </row>
    <row r="973" spans="1:35" x14ac:dyDescent="0.3">
      <c r="A973">
        <v>972</v>
      </c>
      <c r="B973" t="s">
        <v>1280</v>
      </c>
      <c r="C973">
        <v>16</v>
      </c>
      <c r="D973" s="105">
        <v>45373.471525578701</v>
      </c>
      <c r="E973" t="s">
        <v>316</v>
      </c>
      <c r="F973" t="s">
        <v>317</v>
      </c>
      <c r="G973">
        <v>1</v>
      </c>
      <c r="H973" t="s">
        <v>310</v>
      </c>
      <c r="I973">
        <v>0</v>
      </c>
      <c r="J973">
        <v>0</v>
      </c>
      <c r="K973">
        <v>0</v>
      </c>
      <c r="L973" t="s">
        <v>310</v>
      </c>
      <c r="M973" t="s">
        <v>310</v>
      </c>
      <c r="N973">
        <v>0</v>
      </c>
      <c r="O973" t="s">
        <v>1391</v>
      </c>
      <c r="P973" t="s">
        <v>101</v>
      </c>
      <c r="Q973" t="s">
        <v>1400</v>
      </c>
      <c r="R973" t="s">
        <v>1405</v>
      </c>
      <c r="S973">
        <v>1</v>
      </c>
      <c r="T973" t="s">
        <v>1406</v>
      </c>
      <c r="U973">
        <v>0</v>
      </c>
      <c r="V973">
        <v>0</v>
      </c>
      <c r="W973">
        <v>2.2699265999999998</v>
      </c>
      <c r="X973">
        <v>47.9125972</v>
      </c>
      <c r="Y973">
        <v>11.567718599999999</v>
      </c>
      <c r="Z973">
        <v>46.315389499999995</v>
      </c>
      <c r="AA973">
        <v>0</v>
      </c>
      <c r="AB973">
        <v>2</v>
      </c>
      <c r="AC973" t="s">
        <v>174</v>
      </c>
      <c r="AD973">
        <v>9</v>
      </c>
      <c r="AE973" t="s">
        <v>1418</v>
      </c>
      <c r="AF973">
        <v>30000000</v>
      </c>
      <c r="AG973" t="s">
        <v>310</v>
      </c>
      <c r="AH973">
        <f>SUM((MID(Dyno_Data[[#This Row],[Team]],4,5))+(Dyno_Data[[#This Row],[Match]]/100))</f>
        <v>1559.16</v>
      </c>
      <c r="AI973" s="76">
        <f>ROUND(SUM(IF(Dyno_Data[[#This Row],[AcqCenter]]&gt;0,Dyno_Data[[#This Row],[Time]]-SUMIFS(Dyno_Data[Time],Dyno_Data[Team],Dyno_Data[[#This Row],[Team]],Dyno_Data[RecordType],"StartMatch",Dyno_Data[Match],Dyno_Data[[#This Row],[Match]]),0)*86400),0)</f>
        <v>0</v>
      </c>
    </row>
    <row r="974" spans="1:35" x14ac:dyDescent="0.3">
      <c r="A974">
        <v>973</v>
      </c>
      <c r="B974" t="s">
        <v>1315</v>
      </c>
      <c r="C974">
        <v>16</v>
      </c>
      <c r="D974" s="105">
        <v>45373.471525694447</v>
      </c>
      <c r="E974" t="s">
        <v>316</v>
      </c>
      <c r="F974" t="s">
        <v>317</v>
      </c>
      <c r="G974">
        <v>0</v>
      </c>
      <c r="H974" t="s">
        <v>310</v>
      </c>
      <c r="I974">
        <v>0</v>
      </c>
      <c r="J974">
        <v>0</v>
      </c>
      <c r="K974">
        <v>0</v>
      </c>
      <c r="L974" t="s">
        <v>310</v>
      </c>
      <c r="M974" t="s">
        <v>310</v>
      </c>
      <c r="N974">
        <v>0</v>
      </c>
      <c r="O974" t="s">
        <v>319</v>
      </c>
      <c r="P974" t="s">
        <v>240</v>
      </c>
      <c r="Q974" t="s">
        <v>1399</v>
      </c>
      <c r="R974" t="s">
        <v>1404</v>
      </c>
      <c r="S974">
        <v>0</v>
      </c>
      <c r="T974" t="s">
        <v>105</v>
      </c>
      <c r="U974">
        <v>9</v>
      </c>
      <c r="V974">
        <v>9</v>
      </c>
      <c r="W974">
        <v>0</v>
      </c>
      <c r="X974">
        <v>34.672804899999996</v>
      </c>
      <c r="Y974">
        <v>20.395621899999998</v>
      </c>
      <c r="Z974">
        <v>77.448165099999997</v>
      </c>
      <c r="AA974">
        <v>0</v>
      </c>
      <c r="AB974">
        <v>1</v>
      </c>
      <c r="AC974" t="s">
        <v>174</v>
      </c>
      <c r="AD974">
        <v>1</v>
      </c>
      <c r="AE974" t="s">
        <v>1413</v>
      </c>
      <c r="AF974">
        <v>80000000</v>
      </c>
      <c r="AG974" t="s">
        <v>310</v>
      </c>
      <c r="AH974">
        <f>SUM((MID(Dyno_Data[[#This Row],[Team]],4,5))+(Dyno_Data[[#This Row],[Match]]/100))</f>
        <v>1511.16</v>
      </c>
      <c r="AI974" s="76">
        <f>ROUND(SUM(IF(Dyno_Data[[#This Row],[AcqCenter]]&gt;0,Dyno_Data[[#This Row],[Time]]-SUMIFS(Dyno_Data[Time],Dyno_Data[Team],Dyno_Data[[#This Row],[Team]],Dyno_Data[RecordType],"StartMatch",Dyno_Data[Match],Dyno_Data[[#This Row],[Match]]),0)*86400),0)</f>
        <v>0</v>
      </c>
    </row>
    <row r="975" spans="1:35" x14ac:dyDescent="0.3">
      <c r="A975">
        <v>974</v>
      </c>
      <c r="B975" t="s">
        <v>1318</v>
      </c>
      <c r="C975">
        <v>16</v>
      </c>
      <c r="D975" s="105">
        <v>45373.471525810186</v>
      </c>
      <c r="E975" t="s">
        <v>316</v>
      </c>
      <c r="F975" t="s">
        <v>317</v>
      </c>
      <c r="G975">
        <v>0</v>
      </c>
      <c r="H975" t="s">
        <v>310</v>
      </c>
      <c r="I975">
        <v>0</v>
      </c>
      <c r="J975">
        <v>0</v>
      </c>
      <c r="K975">
        <v>0</v>
      </c>
      <c r="L975" t="s">
        <v>310</v>
      </c>
      <c r="M975" t="s">
        <v>310</v>
      </c>
      <c r="N975">
        <v>0</v>
      </c>
      <c r="O975" t="s">
        <v>1393</v>
      </c>
      <c r="P975" t="s">
        <v>101</v>
      </c>
      <c r="Q975" t="s">
        <v>1399</v>
      </c>
      <c r="R975" t="s">
        <v>321</v>
      </c>
      <c r="S975">
        <v>0</v>
      </c>
      <c r="T975" t="s">
        <v>105</v>
      </c>
      <c r="U975">
        <v>9</v>
      </c>
      <c r="V975">
        <v>9</v>
      </c>
      <c r="W975">
        <v>0</v>
      </c>
      <c r="X975">
        <v>31.445748099999999</v>
      </c>
      <c r="Y975">
        <v>33.835610799999998</v>
      </c>
      <c r="Z975">
        <v>72.893384900000001</v>
      </c>
      <c r="AA975">
        <v>1</v>
      </c>
      <c r="AB975">
        <v>0</v>
      </c>
      <c r="AC975" t="s">
        <v>174</v>
      </c>
      <c r="AD975">
        <v>0</v>
      </c>
      <c r="AE975" t="s">
        <v>1414</v>
      </c>
      <c r="AF975">
        <v>80400000</v>
      </c>
      <c r="AG975" t="s">
        <v>310</v>
      </c>
      <c r="AH975">
        <f>SUM((MID(Dyno_Data[[#This Row],[Team]],4,5))+(Dyno_Data[[#This Row],[Match]]/100))</f>
        <v>7709.16</v>
      </c>
      <c r="AI975" s="76">
        <f>ROUND(SUM(IF(Dyno_Data[[#This Row],[AcqCenter]]&gt;0,Dyno_Data[[#This Row],[Time]]-SUMIFS(Dyno_Data[Time],Dyno_Data[Team],Dyno_Data[[#This Row],[Team]],Dyno_Data[RecordType],"StartMatch",Dyno_Data[Match],Dyno_Data[[#This Row],[Match]]),0)*86400),0)</f>
        <v>0</v>
      </c>
    </row>
    <row r="976" spans="1:35" x14ac:dyDescent="0.3">
      <c r="A976">
        <v>975</v>
      </c>
      <c r="B976" t="s">
        <v>1295</v>
      </c>
      <c r="C976">
        <v>16</v>
      </c>
      <c r="D976" s="105">
        <v>45373.471525891204</v>
      </c>
      <c r="E976" t="s">
        <v>316</v>
      </c>
      <c r="F976" t="s">
        <v>317</v>
      </c>
      <c r="G976">
        <v>1</v>
      </c>
      <c r="H976" t="s">
        <v>310</v>
      </c>
      <c r="I976">
        <v>0</v>
      </c>
      <c r="J976">
        <v>0</v>
      </c>
      <c r="K976">
        <v>0</v>
      </c>
      <c r="L976" t="s">
        <v>310</v>
      </c>
      <c r="M976" t="s">
        <v>310</v>
      </c>
      <c r="N976">
        <v>0</v>
      </c>
      <c r="O976" t="s">
        <v>1389</v>
      </c>
      <c r="P976" t="s">
        <v>1401</v>
      </c>
      <c r="Q976" t="s">
        <v>1400</v>
      </c>
      <c r="R976" t="s">
        <v>1404</v>
      </c>
      <c r="S976">
        <v>-1</v>
      </c>
      <c r="T976" t="s">
        <v>105</v>
      </c>
      <c r="U976">
        <v>9</v>
      </c>
      <c r="V976">
        <v>9</v>
      </c>
      <c r="W976">
        <v>7.0435428</v>
      </c>
      <c r="X976">
        <v>16.974126899999998</v>
      </c>
      <c r="Y976">
        <v>12.293234799999999</v>
      </c>
      <c r="Z976">
        <v>98.162991199999993</v>
      </c>
      <c r="AA976">
        <v>0</v>
      </c>
      <c r="AB976">
        <v>0</v>
      </c>
      <c r="AC976" t="s">
        <v>173</v>
      </c>
      <c r="AD976">
        <v>9</v>
      </c>
      <c r="AE976" t="s">
        <v>1412</v>
      </c>
      <c r="AF976">
        <v>120000000</v>
      </c>
      <c r="AG976" t="s">
        <v>310</v>
      </c>
      <c r="AH976">
        <f>SUM((MID(Dyno_Data[[#This Row],[Team]],4,5))+(Dyno_Data[[#This Row],[Match]]/100))</f>
        <v>6300.16</v>
      </c>
      <c r="AI976" s="76">
        <f>ROUND(SUM(IF(Dyno_Data[[#This Row],[AcqCenter]]&gt;0,Dyno_Data[[#This Row],[Time]]-SUMIFS(Dyno_Data[Time],Dyno_Data[Team],Dyno_Data[[#This Row],[Team]],Dyno_Data[RecordType],"StartMatch",Dyno_Data[Match],Dyno_Data[[#This Row],[Match]]),0)*86400),0)</f>
        <v>0</v>
      </c>
    </row>
    <row r="977" spans="1:35" x14ac:dyDescent="0.3">
      <c r="A977">
        <v>976</v>
      </c>
      <c r="B977" t="s">
        <v>1311</v>
      </c>
      <c r="C977">
        <v>16</v>
      </c>
      <c r="D977" s="105">
        <v>45373.471526006942</v>
      </c>
      <c r="E977" t="s">
        <v>316</v>
      </c>
      <c r="F977" t="s">
        <v>317</v>
      </c>
      <c r="G977">
        <v>1</v>
      </c>
      <c r="H977" t="s">
        <v>310</v>
      </c>
      <c r="I977">
        <v>0</v>
      </c>
      <c r="J977">
        <v>0</v>
      </c>
      <c r="K977">
        <v>0</v>
      </c>
      <c r="L977" t="s">
        <v>310</v>
      </c>
      <c r="M977" t="s">
        <v>310</v>
      </c>
      <c r="N977">
        <v>0</v>
      </c>
      <c r="O977" t="s">
        <v>1395</v>
      </c>
      <c r="P977" t="s">
        <v>320</v>
      </c>
      <c r="Q977" t="s">
        <v>1400</v>
      </c>
      <c r="R977" t="s">
        <v>1404</v>
      </c>
      <c r="S977">
        <v>-1</v>
      </c>
      <c r="T977" t="s">
        <v>105</v>
      </c>
      <c r="U977">
        <v>9</v>
      </c>
      <c r="V977">
        <v>9</v>
      </c>
      <c r="W977">
        <v>4.3115607000000002</v>
      </c>
      <c r="X977">
        <v>0</v>
      </c>
      <c r="Y977">
        <v>15.854542799999999</v>
      </c>
      <c r="Z977">
        <v>117.5088816</v>
      </c>
      <c r="AA977">
        <v>3</v>
      </c>
      <c r="AB977">
        <v>0</v>
      </c>
      <c r="AC977" t="s">
        <v>170</v>
      </c>
      <c r="AD977">
        <v>9</v>
      </c>
      <c r="AE977" t="s">
        <v>1417</v>
      </c>
      <c r="AF977">
        <v>0</v>
      </c>
      <c r="AG977" t="s">
        <v>310</v>
      </c>
      <c r="AH977">
        <f>SUM((MID(Dyno_Data[[#This Row],[Team]],4,5))+(Dyno_Data[[#This Row],[Match]]/100))</f>
        <v>2234.16</v>
      </c>
      <c r="AI977" s="76">
        <f>ROUND(SUM(IF(Dyno_Data[[#This Row],[AcqCenter]]&gt;0,Dyno_Data[[#This Row],[Time]]-SUMIFS(Dyno_Data[Time],Dyno_Data[Team],Dyno_Data[[#This Row],[Team]],Dyno_Data[RecordType],"StartMatch",Dyno_Data[Match],Dyno_Data[[#This Row],[Match]]),0)*86400),0)</f>
        <v>0</v>
      </c>
    </row>
    <row r="978" spans="1:35" x14ac:dyDescent="0.3">
      <c r="A978">
        <v>987</v>
      </c>
      <c r="B978" t="s">
        <v>1278</v>
      </c>
      <c r="C978">
        <v>17</v>
      </c>
      <c r="D978" s="105">
        <v>45373.473572951392</v>
      </c>
      <c r="E978" t="s">
        <v>308</v>
      </c>
      <c r="F978" t="s">
        <v>309</v>
      </c>
      <c r="G978">
        <v>0</v>
      </c>
      <c r="H978" t="s">
        <v>310</v>
      </c>
      <c r="I978">
        <v>0</v>
      </c>
      <c r="J978">
        <v>0</v>
      </c>
      <c r="K978">
        <v>0</v>
      </c>
      <c r="L978" t="s">
        <v>310</v>
      </c>
      <c r="M978" t="s">
        <v>310</v>
      </c>
      <c r="N978">
        <v>0</v>
      </c>
      <c r="O978" t="s">
        <v>1391</v>
      </c>
      <c r="P978" t="s">
        <v>310</v>
      </c>
      <c r="Q978" t="s">
        <v>310</v>
      </c>
      <c r="R978" t="s">
        <v>310</v>
      </c>
      <c r="S978">
        <v>9</v>
      </c>
      <c r="T978" t="s">
        <v>310</v>
      </c>
      <c r="U978">
        <v>9</v>
      </c>
      <c r="V978">
        <v>9</v>
      </c>
      <c r="W978">
        <v>0</v>
      </c>
      <c r="X978">
        <v>0</v>
      </c>
      <c r="Y978">
        <v>0</v>
      </c>
      <c r="Z978">
        <v>0</v>
      </c>
      <c r="AA978">
        <v>9</v>
      </c>
      <c r="AB978">
        <v>9</v>
      </c>
      <c r="AC978" t="s">
        <v>310</v>
      </c>
      <c r="AD978">
        <v>9</v>
      </c>
      <c r="AE978" t="s">
        <v>1412</v>
      </c>
      <c r="AF978">
        <v>0</v>
      </c>
      <c r="AG978" t="s">
        <v>310</v>
      </c>
      <c r="AH978">
        <f>SUM((MID(Dyno_Data[[#This Row],[Team]],4,5))+(Dyno_Data[[#This Row],[Match]]/100))</f>
        <v>3951.17</v>
      </c>
      <c r="AI978" s="76">
        <f>ROUND(SUM(IF(Dyno_Data[[#This Row],[AcqCenter]]&gt;0,Dyno_Data[[#This Row],[Time]]-SUMIFS(Dyno_Data[Time],Dyno_Data[Team],Dyno_Data[[#This Row],[Team]],Dyno_Data[RecordType],"StartMatch",Dyno_Data[Match],Dyno_Data[[#This Row],[Match]]),0)*86400),0)</f>
        <v>0</v>
      </c>
    </row>
    <row r="979" spans="1:35" x14ac:dyDescent="0.3">
      <c r="A979">
        <v>989</v>
      </c>
      <c r="B979" t="s">
        <v>361</v>
      </c>
      <c r="C979">
        <v>17</v>
      </c>
      <c r="D979" s="105">
        <v>45373.473575925927</v>
      </c>
      <c r="E979" t="s">
        <v>308</v>
      </c>
      <c r="F979" t="s">
        <v>309</v>
      </c>
      <c r="G979">
        <v>0</v>
      </c>
      <c r="H979" t="s">
        <v>310</v>
      </c>
      <c r="I979">
        <v>0</v>
      </c>
      <c r="J979">
        <v>0</v>
      </c>
      <c r="K979">
        <v>0</v>
      </c>
      <c r="L979" t="s">
        <v>310</v>
      </c>
      <c r="M979" t="s">
        <v>310</v>
      </c>
      <c r="N979">
        <v>0</v>
      </c>
      <c r="O979" t="s">
        <v>311</v>
      </c>
      <c r="P979" t="s">
        <v>310</v>
      </c>
      <c r="Q979" t="s">
        <v>310</v>
      </c>
      <c r="R979" t="s">
        <v>310</v>
      </c>
      <c r="S979">
        <v>9</v>
      </c>
      <c r="T979" t="s">
        <v>310</v>
      </c>
      <c r="U979">
        <v>9</v>
      </c>
      <c r="V979">
        <v>9</v>
      </c>
      <c r="W979">
        <v>0</v>
      </c>
      <c r="X979">
        <v>0</v>
      </c>
      <c r="Y979">
        <v>0</v>
      </c>
      <c r="Z979">
        <v>0</v>
      </c>
      <c r="AA979">
        <v>9</v>
      </c>
      <c r="AB979">
        <v>9</v>
      </c>
      <c r="AC979" t="s">
        <v>310</v>
      </c>
      <c r="AD979">
        <v>9</v>
      </c>
      <c r="AE979" t="s">
        <v>1416</v>
      </c>
      <c r="AF979">
        <v>20001000</v>
      </c>
      <c r="AG979" t="s">
        <v>310</v>
      </c>
      <c r="AH979">
        <f>SUM((MID(Dyno_Data[[#This Row],[Team]],4,5))+(Dyno_Data[[#This Row],[Match]]/100))</f>
        <v>20.170000000000002</v>
      </c>
      <c r="AI979" s="76">
        <f>ROUND(SUM(IF(Dyno_Data[[#This Row],[AcqCenter]]&gt;0,Dyno_Data[[#This Row],[Time]]-SUMIFS(Dyno_Data[Time],Dyno_Data[Team],Dyno_Data[[#This Row],[Team]],Dyno_Data[RecordType],"StartMatch",Dyno_Data[Match],Dyno_Data[[#This Row],[Match]]),0)*86400),0)</f>
        <v>0</v>
      </c>
    </row>
    <row r="980" spans="1:35" x14ac:dyDescent="0.3">
      <c r="A980">
        <v>991</v>
      </c>
      <c r="B980" t="s">
        <v>1282</v>
      </c>
      <c r="C980">
        <v>17</v>
      </c>
      <c r="D980" s="105">
        <v>45373.473576655095</v>
      </c>
      <c r="E980" t="s">
        <v>308</v>
      </c>
      <c r="F980" t="s">
        <v>309</v>
      </c>
      <c r="G980">
        <v>0</v>
      </c>
      <c r="H980" t="s">
        <v>310</v>
      </c>
      <c r="I980">
        <v>0</v>
      </c>
      <c r="J980">
        <v>0</v>
      </c>
      <c r="K980">
        <v>0</v>
      </c>
      <c r="L980" t="s">
        <v>310</v>
      </c>
      <c r="M980" t="s">
        <v>310</v>
      </c>
      <c r="N980">
        <v>0</v>
      </c>
      <c r="O980" t="s">
        <v>1395</v>
      </c>
      <c r="P980" t="s">
        <v>310</v>
      </c>
      <c r="Q980" t="s">
        <v>310</v>
      </c>
      <c r="R980" t="s">
        <v>310</v>
      </c>
      <c r="S980">
        <v>9</v>
      </c>
      <c r="T980" t="s">
        <v>310</v>
      </c>
      <c r="U980">
        <v>9</v>
      </c>
      <c r="V980">
        <v>9</v>
      </c>
      <c r="W980">
        <v>0</v>
      </c>
      <c r="X980">
        <v>0</v>
      </c>
      <c r="Y980">
        <v>0</v>
      </c>
      <c r="Z980">
        <v>0</v>
      </c>
      <c r="AA980">
        <v>9</v>
      </c>
      <c r="AB980">
        <v>9</v>
      </c>
      <c r="AC980" t="s">
        <v>310</v>
      </c>
      <c r="AD980">
        <v>9</v>
      </c>
      <c r="AE980" t="s">
        <v>1417</v>
      </c>
      <c r="AF980">
        <v>0</v>
      </c>
      <c r="AG980" t="s">
        <v>310</v>
      </c>
      <c r="AH980">
        <f>SUM((MID(Dyno_Data[[#This Row],[Team]],4,5))+(Dyno_Data[[#This Row],[Match]]/100))</f>
        <v>333.17</v>
      </c>
      <c r="AI980" s="76">
        <f>ROUND(SUM(IF(Dyno_Data[[#This Row],[AcqCenter]]&gt;0,Dyno_Data[[#This Row],[Time]]-SUMIFS(Dyno_Data[Time],Dyno_Data[Team],Dyno_Data[[#This Row],[Team]],Dyno_Data[RecordType],"StartMatch",Dyno_Data[Match],Dyno_Data[[#This Row],[Match]]),0)*86400),0)</f>
        <v>0</v>
      </c>
    </row>
    <row r="981" spans="1:35" x14ac:dyDescent="0.3">
      <c r="A981">
        <v>993</v>
      </c>
      <c r="B981" t="s">
        <v>318</v>
      </c>
      <c r="C981">
        <v>17</v>
      </c>
      <c r="D981" s="105">
        <v>45373.473580983795</v>
      </c>
      <c r="E981" t="s">
        <v>308</v>
      </c>
      <c r="F981" t="s">
        <v>309</v>
      </c>
      <c r="G981">
        <v>0</v>
      </c>
      <c r="H981" t="s">
        <v>310</v>
      </c>
      <c r="I981">
        <v>0</v>
      </c>
      <c r="J981">
        <v>0</v>
      </c>
      <c r="K981">
        <v>0</v>
      </c>
      <c r="L981" t="s">
        <v>310</v>
      </c>
      <c r="M981" t="s">
        <v>310</v>
      </c>
      <c r="N981">
        <v>0</v>
      </c>
      <c r="O981" t="s">
        <v>319</v>
      </c>
      <c r="P981" t="s">
        <v>310</v>
      </c>
      <c r="Q981" t="s">
        <v>310</v>
      </c>
      <c r="R981" t="s">
        <v>310</v>
      </c>
      <c r="S981">
        <v>9</v>
      </c>
      <c r="T981" t="s">
        <v>310</v>
      </c>
      <c r="U981">
        <v>9</v>
      </c>
      <c r="V981">
        <v>9</v>
      </c>
      <c r="W981">
        <v>0</v>
      </c>
      <c r="X981">
        <v>0</v>
      </c>
      <c r="Y981">
        <v>0</v>
      </c>
      <c r="Z981">
        <v>0</v>
      </c>
      <c r="AA981">
        <v>9</v>
      </c>
      <c r="AB981">
        <v>9</v>
      </c>
      <c r="AC981" t="s">
        <v>310</v>
      </c>
      <c r="AD981">
        <v>9</v>
      </c>
      <c r="AE981" t="s">
        <v>1413</v>
      </c>
      <c r="AF981">
        <v>0</v>
      </c>
      <c r="AG981" t="s">
        <v>310</v>
      </c>
      <c r="AH981">
        <f>SUM((MID(Dyno_Data[[#This Row],[Team]],4,5))+(Dyno_Data[[#This Row],[Match]]/100))</f>
        <v>639.16999999999996</v>
      </c>
      <c r="AI981" s="76">
        <f>ROUND(SUM(IF(Dyno_Data[[#This Row],[AcqCenter]]&gt;0,Dyno_Data[[#This Row],[Time]]-SUMIFS(Dyno_Data[Time],Dyno_Data[Team],Dyno_Data[[#This Row],[Team]],Dyno_Data[RecordType],"StartMatch",Dyno_Data[Match],Dyno_Data[[#This Row],[Match]]),0)*86400),0)</f>
        <v>0</v>
      </c>
    </row>
    <row r="982" spans="1:35" x14ac:dyDescent="0.3">
      <c r="A982">
        <v>995</v>
      </c>
      <c r="B982" t="s">
        <v>373</v>
      </c>
      <c r="C982">
        <v>17</v>
      </c>
      <c r="D982" s="105">
        <v>45373.473585266205</v>
      </c>
      <c r="E982" t="s">
        <v>308</v>
      </c>
      <c r="F982" t="s">
        <v>309</v>
      </c>
      <c r="G982">
        <v>0</v>
      </c>
      <c r="H982" t="s">
        <v>310</v>
      </c>
      <c r="I982">
        <v>0</v>
      </c>
      <c r="J982">
        <v>0</v>
      </c>
      <c r="K982">
        <v>0</v>
      </c>
      <c r="L982" t="s">
        <v>310</v>
      </c>
      <c r="M982" t="s">
        <v>310</v>
      </c>
      <c r="N982">
        <v>0</v>
      </c>
      <c r="O982" t="s">
        <v>1389</v>
      </c>
      <c r="P982" t="s">
        <v>310</v>
      </c>
      <c r="Q982" t="s">
        <v>310</v>
      </c>
      <c r="R982" t="s">
        <v>310</v>
      </c>
      <c r="S982">
        <v>9</v>
      </c>
      <c r="T982" t="s">
        <v>310</v>
      </c>
      <c r="U982">
        <v>9</v>
      </c>
      <c r="V982">
        <v>9</v>
      </c>
      <c r="W982">
        <v>0</v>
      </c>
      <c r="X982">
        <v>0</v>
      </c>
      <c r="Y982">
        <v>0</v>
      </c>
      <c r="Z982">
        <v>0</v>
      </c>
      <c r="AA982">
        <v>9</v>
      </c>
      <c r="AB982">
        <v>9</v>
      </c>
      <c r="AC982" t="s">
        <v>310</v>
      </c>
      <c r="AD982">
        <v>9</v>
      </c>
      <c r="AE982" t="s">
        <v>1418</v>
      </c>
      <c r="AF982">
        <v>0</v>
      </c>
      <c r="AG982" t="s">
        <v>310</v>
      </c>
      <c r="AH982">
        <f>SUM((MID(Dyno_Data[[#This Row],[Team]],4,5))+(Dyno_Data[[#This Row],[Match]]/100))</f>
        <v>7718.17</v>
      </c>
      <c r="AI982" s="76">
        <f>ROUND(SUM(IF(Dyno_Data[[#This Row],[AcqCenter]]&gt;0,Dyno_Data[[#This Row],[Time]]-SUMIFS(Dyno_Data[Time],Dyno_Data[Team],Dyno_Data[[#This Row],[Team]],Dyno_Data[RecordType],"StartMatch",Dyno_Data[Match],Dyno_Data[[#This Row],[Match]]),0)*86400),0)</f>
        <v>0</v>
      </c>
    </row>
    <row r="983" spans="1:35" x14ac:dyDescent="0.3">
      <c r="A983">
        <v>977</v>
      </c>
      <c r="B983" t="s">
        <v>361</v>
      </c>
      <c r="C983">
        <v>17</v>
      </c>
      <c r="D983" s="105">
        <v>45373.473590937501</v>
      </c>
      <c r="E983" t="s">
        <v>312</v>
      </c>
      <c r="F983" t="s">
        <v>309</v>
      </c>
      <c r="G983">
        <v>0</v>
      </c>
      <c r="H983" t="s">
        <v>1397</v>
      </c>
      <c r="I983">
        <v>0</v>
      </c>
      <c r="J983">
        <v>0</v>
      </c>
      <c r="K983">
        <v>0</v>
      </c>
      <c r="L983" t="s">
        <v>241</v>
      </c>
      <c r="M983" t="s">
        <v>1398</v>
      </c>
      <c r="N983">
        <v>0</v>
      </c>
      <c r="O983" t="s">
        <v>311</v>
      </c>
      <c r="P983" t="s">
        <v>310</v>
      </c>
      <c r="Q983" t="s">
        <v>310</v>
      </c>
      <c r="R983" t="s">
        <v>310</v>
      </c>
      <c r="S983">
        <v>9</v>
      </c>
      <c r="T983" t="s">
        <v>310</v>
      </c>
      <c r="U983">
        <v>9</v>
      </c>
      <c r="V983">
        <v>9</v>
      </c>
      <c r="W983">
        <v>0</v>
      </c>
      <c r="X983">
        <v>0</v>
      </c>
      <c r="Y983">
        <v>0</v>
      </c>
      <c r="Z983">
        <v>0</v>
      </c>
      <c r="AA983">
        <v>9</v>
      </c>
      <c r="AB983">
        <v>9</v>
      </c>
      <c r="AC983" t="s">
        <v>310</v>
      </c>
      <c r="AD983">
        <v>9</v>
      </c>
      <c r="AE983" t="s">
        <v>1416</v>
      </c>
      <c r="AF983">
        <v>0</v>
      </c>
      <c r="AG983" t="s">
        <v>310</v>
      </c>
      <c r="AH983">
        <f>SUM((MID(Dyno_Data[[#This Row],[Team]],4,5))+(Dyno_Data[[#This Row],[Match]]/100))</f>
        <v>20.170000000000002</v>
      </c>
      <c r="AI983" s="76">
        <f>ROUND(SUM(IF(Dyno_Data[[#This Row],[AcqCenter]]&gt;0,Dyno_Data[[#This Row],[Time]]-SUMIFS(Dyno_Data[Time],Dyno_Data[Team],Dyno_Data[[#This Row],[Team]],Dyno_Data[RecordType],"StartMatch",Dyno_Data[Match],Dyno_Data[[#This Row],[Match]]),0)*86400),0)</f>
        <v>0</v>
      </c>
    </row>
    <row r="984" spans="1:35" x14ac:dyDescent="0.3">
      <c r="A984">
        <v>997</v>
      </c>
      <c r="B984" t="s">
        <v>1312</v>
      </c>
      <c r="C984">
        <v>17</v>
      </c>
      <c r="D984" s="105">
        <v>45373.473609953704</v>
      </c>
      <c r="E984" t="s">
        <v>308</v>
      </c>
      <c r="F984" t="s">
        <v>309</v>
      </c>
      <c r="G984">
        <v>0</v>
      </c>
      <c r="H984" t="s">
        <v>310</v>
      </c>
      <c r="I984">
        <v>0</v>
      </c>
      <c r="J984">
        <v>0</v>
      </c>
      <c r="K984">
        <v>0</v>
      </c>
      <c r="L984" t="s">
        <v>310</v>
      </c>
      <c r="M984" t="s">
        <v>310</v>
      </c>
      <c r="N984">
        <v>0</v>
      </c>
      <c r="O984" t="s">
        <v>1393</v>
      </c>
      <c r="P984" t="s">
        <v>310</v>
      </c>
      <c r="Q984" t="s">
        <v>310</v>
      </c>
      <c r="R984" t="s">
        <v>310</v>
      </c>
      <c r="S984">
        <v>9</v>
      </c>
      <c r="T984" t="s">
        <v>310</v>
      </c>
      <c r="U984">
        <v>9</v>
      </c>
      <c r="V984">
        <v>9</v>
      </c>
      <c r="W984">
        <v>0</v>
      </c>
      <c r="X984">
        <v>0</v>
      </c>
      <c r="Y984">
        <v>0</v>
      </c>
      <c r="Z984">
        <v>0</v>
      </c>
      <c r="AA984">
        <v>9</v>
      </c>
      <c r="AB984">
        <v>9</v>
      </c>
      <c r="AC984" t="s">
        <v>310</v>
      </c>
      <c r="AD984">
        <v>9</v>
      </c>
      <c r="AE984" t="s">
        <v>1414</v>
      </c>
      <c r="AF984">
        <v>10001000</v>
      </c>
      <c r="AG984" t="s">
        <v>310</v>
      </c>
      <c r="AH984">
        <f>SUM((MID(Dyno_Data[[#This Row],[Team]],4,5))+(Dyno_Data[[#This Row],[Match]]/100))</f>
        <v>2053.17</v>
      </c>
      <c r="AI984" s="76">
        <f>ROUND(SUM(IF(Dyno_Data[[#This Row],[AcqCenter]]&gt;0,Dyno_Data[[#This Row],[Time]]-SUMIFS(Dyno_Data[Time],Dyno_Data[Team],Dyno_Data[[#This Row],[Team]],Dyno_Data[RecordType],"StartMatch",Dyno_Data[Match],Dyno_Data[[#This Row],[Match]]),0)*86400),0)</f>
        <v>0</v>
      </c>
    </row>
    <row r="985" spans="1:35" x14ac:dyDescent="0.3">
      <c r="A985">
        <v>978</v>
      </c>
      <c r="B985" t="s">
        <v>361</v>
      </c>
      <c r="C985">
        <v>17</v>
      </c>
      <c r="D985" s="105">
        <v>45373.473640775461</v>
      </c>
      <c r="E985" t="s">
        <v>312</v>
      </c>
      <c r="F985" t="s">
        <v>309</v>
      </c>
      <c r="G985">
        <v>0</v>
      </c>
      <c r="H985" t="s">
        <v>315</v>
      </c>
      <c r="I985">
        <v>0</v>
      </c>
      <c r="J985">
        <v>0</v>
      </c>
      <c r="K985">
        <v>0</v>
      </c>
      <c r="L985" t="s">
        <v>241</v>
      </c>
      <c r="M985" t="s">
        <v>1398</v>
      </c>
      <c r="N985">
        <v>0</v>
      </c>
      <c r="O985" t="s">
        <v>311</v>
      </c>
      <c r="P985" t="s">
        <v>310</v>
      </c>
      <c r="Q985" t="s">
        <v>310</v>
      </c>
      <c r="R985" t="s">
        <v>310</v>
      </c>
      <c r="S985">
        <v>9</v>
      </c>
      <c r="T985" t="s">
        <v>310</v>
      </c>
      <c r="U985">
        <v>9</v>
      </c>
      <c r="V985">
        <v>9</v>
      </c>
      <c r="W985">
        <v>0</v>
      </c>
      <c r="X985">
        <v>0</v>
      </c>
      <c r="Y985">
        <v>0</v>
      </c>
      <c r="Z985">
        <v>0</v>
      </c>
      <c r="AA985">
        <v>9</v>
      </c>
      <c r="AB985">
        <v>9</v>
      </c>
      <c r="AC985" t="s">
        <v>310</v>
      </c>
      <c r="AD985">
        <v>9</v>
      </c>
      <c r="AE985" t="s">
        <v>1416</v>
      </c>
      <c r="AF985">
        <v>10000000</v>
      </c>
      <c r="AG985" t="s">
        <v>310</v>
      </c>
      <c r="AH985">
        <f>SUM((MID(Dyno_Data[[#This Row],[Team]],4,5))+(Dyno_Data[[#This Row],[Match]]/100))</f>
        <v>20.170000000000002</v>
      </c>
      <c r="AI985" s="76">
        <f>ROUND(SUM(IF(Dyno_Data[[#This Row],[AcqCenter]]&gt;0,Dyno_Data[[#This Row],[Time]]-SUMIFS(Dyno_Data[Time],Dyno_Data[Team],Dyno_Data[[#This Row],[Team]],Dyno_Data[RecordType],"StartMatch",Dyno_Data[Match],Dyno_Data[[#This Row],[Match]]),0)*86400),0)</f>
        <v>0</v>
      </c>
    </row>
    <row r="986" spans="1:35" x14ac:dyDescent="0.3">
      <c r="A986">
        <v>979</v>
      </c>
      <c r="B986" t="s">
        <v>1278</v>
      </c>
      <c r="C986">
        <v>17</v>
      </c>
      <c r="D986" s="105">
        <v>45373.473644444442</v>
      </c>
      <c r="E986" t="s">
        <v>312</v>
      </c>
      <c r="F986" t="s">
        <v>309</v>
      </c>
      <c r="G986">
        <v>0</v>
      </c>
      <c r="H986" t="s">
        <v>1397</v>
      </c>
      <c r="I986">
        <v>0</v>
      </c>
      <c r="J986">
        <v>0</v>
      </c>
      <c r="K986">
        <v>0</v>
      </c>
      <c r="L986" t="s">
        <v>240</v>
      </c>
      <c r="M986" t="s">
        <v>1398</v>
      </c>
      <c r="N986">
        <v>0</v>
      </c>
      <c r="O986" t="s">
        <v>1391</v>
      </c>
      <c r="P986" t="s">
        <v>310</v>
      </c>
      <c r="Q986" t="s">
        <v>310</v>
      </c>
      <c r="R986" t="s">
        <v>310</v>
      </c>
      <c r="S986">
        <v>9</v>
      </c>
      <c r="T986" t="s">
        <v>310</v>
      </c>
      <c r="U986">
        <v>9</v>
      </c>
      <c r="V986">
        <v>9</v>
      </c>
      <c r="W986">
        <v>0</v>
      </c>
      <c r="X986">
        <v>0</v>
      </c>
      <c r="Y986">
        <v>0</v>
      </c>
      <c r="Z986">
        <v>0</v>
      </c>
      <c r="AA986">
        <v>9</v>
      </c>
      <c r="AB986">
        <v>9</v>
      </c>
      <c r="AC986" t="s">
        <v>310</v>
      </c>
      <c r="AD986">
        <v>9</v>
      </c>
      <c r="AE986" t="s">
        <v>1412</v>
      </c>
      <c r="AF986">
        <v>0</v>
      </c>
      <c r="AG986" t="s">
        <v>310</v>
      </c>
      <c r="AH986">
        <f>SUM((MID(Dyno_Data[[#This Row],[Team]],4,5))+(Dyno_Data[[#This Row],[Match]]/100))</f>
        <v>3951.17</v>
      </c>
      <c r="AI986" s="76">
        <f>ROUND(SUM(IF(Dyno_Data[[#This Row],[AcqCenter]]&gt;0,Dyno_Data[[#This Row],[Time]]-SUMIFS(Dyno_Data[Time],Dyno_Data[Team],Dyno_Data[[#This Row],[Team]],Dyno_Data[RecordType],"StartMatch",Dyno_Data[Match],Dyno_Data[[#This Row],[Match]]),0)*86400),0)</f>
        <v>0</v>
      </c>
    </row>
    <row r="987" spans="1:35" x14ac:dyDescent="0.3">
      <c r="A987">
        <v>980</v>
      </c>
      <c r="B987" t="s">
        <v>1312</v>
      </c>
      <c r="C987">
        <v>17</v>
      </c>
      <c r="D987" s="105">
        <v>45373.473653043984</v>
      </c>
      <c r="E987" t="s">
        <v>312</v>
      </c>
      <c r="F987" t="s">
        <v>309</v>
      </c>
      <c r="G987">
        <v>0</v>
      </c>
      <c r="H987" t="s">
        <v>1397</v>
      </c>
      <c r="I987">
        <v>0</v>
      </c>
      <c r="J987">
        <v>0</v>
      </c>
      <c r="K987">
        <v>0</v>
      </c>
      <c r="L987" t="s">
        <v>313</v>
      </c>
      <c r="M987" t="s">
        <v>1398</v>
      </c>
      <c r="N987">
        <v>1</v>
      </c>
      <c r="O987" t="s">
        <v>1393</v>
      </c>
      <c r="P987" t="s">
        <v>310</v>
      </c>
      <c r="Q987" t="s">
        <v>310</v>
      </c>
      <c r="R987" t="s">
        <v>310</v>
      </c>
      <c r="S987">
        <v>9</v>
      </c>
      <c r="T987" t="s">
        <v>310</v>
      </c>
      <c r="U987">
        <v>9</v>
      </c>
      <c r="V987">
        <v>9</v>
      </c>
      <c r="W987">
        <v>0</v>
      </c>
      <c r="X987">
        <v>0</v>
      </c>
      <c r="Y987">
        <v>0</v>
      </c>
      <c r="Z987">
        <v>0</v>
      </c>
      <c r="AA987">
        <v>9</v>
      </c>
      <c r="AB987">
        <v>9</v>
      </c>
      <c r="AC987" t="s">
        <v>310</v>
      </c>
      <c r="AD987">
        <v>9</v>
      </c>
      <c r="AE987" t="s">
        <v>1414</v>
      </c>
      <c r="AF987">
        <v>0</v>
      </c>
      <c r="AG987" t="s">
        <v>310</v>
      </c>
      <c r="AH987">
        <f>SUM((MID(Dyno_Data[[#This Row],[Team]],4,5))+(Dyno_Data[[#This Row],[Match]]/100))</f>
        <v>2053.17</v>
      </c>
      <c r="AI987" s="76">
        <f>ROUND(SUM(IF(Dyno_Data[[#This Row],[AcqCenter]]&gt;0,Dyno_Data[[#This Row],[Time]]-SUMIFS(Dyno_Data[Time],Dyno_Data[Team],Dyno_Data[[#This Row],[Team]],Dyno_Data[RecordType],"StartMatch",Dyno_Data[Match],Dyno_Data[[#This Row],[Match]]),0)*86400),0)</f>
        <v>0</v>
      </c>
    </row>
    <row r="988" spans="1:35" x14ac:dyDescent="0.3">
      <c r="A988">
        <v>981</v>
      </c>
      <c r="B988" t="s">
        <v>1282</v>
      </c>
      <c r="C988">
        <v>17</v>
      </c>
      <c r="D988" s="105">
        <v>45373.473667557868</v>
      </c>
      <c r="E988" t="s">
        <v>312</v>
      </c>
      <c r="F988" t="s">
        <v>309</v>
      </c>
      <c r="G988">
        <v>0</v>
      </c>
      <c r="H988" t="s">
        <v>1397</v>
      </c>
      <c r="I988">
        <v>0</v>
      </c>
      <c r="J988">
        <v>0</v>
      </c>
      <c r="K988">
        <v>0</v>
      </c>
      <c r="L988" t="s">
        <v>240</v>
      </c>
      <c r="M988" t="s">
        <v>1398</v>
      </c>
      <c r="N988">
        <v>0</v>
      </c>
      <c r="O988" t="s">
        <v>1395</v>
      </c>
      <c r="P988" t="s">
        <v>310</v>
      </c>
      <c r="Q988" t="s">
        <v>310</v>
      </c>
      <c r="R988" t="s">
        <v>310</v>
      </c>
      <c r="S988">
        <v>9</v>
      </c>
      <c r="T988" t="s">
        <v>310</v>
      </c>
      <c r="U988">
        <v>9</v>
      </c>
      <c r="V988">
        <v>9</v>
      </c>
      <c r="W988">
        <v>0</v>
      </c>
      <c r="X988">
        <v>0</v>
      </c>
      <c r="Y988">
        <v>0</v>
      </c>
      <c r="Z988">
        <v>0</v>
      </c>
      <c r="AA988">
        <v>9</v>
      </c>
      <c r="AB988">
        <v>9</v>
      </c>
      <c r="AC988" t="s">
        <v>310</v>
      </c>
      <c r="AD988">
        <v>9</v>
      </c>
      <c r="AE988" t="s">
        <v>1417</v>
      </c>
      <c r="AF988">
        <v>0</v>
      </c>
      <c r="AG988" t="s">
        <v>310</v>
      </c>
      <c r="AH988">
        <f>SUM((MID(Dyno_Data[[#This Row],[Team]],4,5))+(Dyno_Data[[#This Row],[Match]]/100))</f>
        <v>333.17</v>
      </c>
      <c r="AI988" s="76">
        <f>ROUND(SUM(IF(Dyno_Data[[#This Row],[AcqCenter]]&gt;0,Dyno_Data[[#This Row],[Time]]-SUMIFS(Dyno_Data[Time],Dyno_Data[Team],Dyno_Data[[#This Row],[Team]],Dyno_Data[RecordType],"StartMatch",Dyno_Data[Match],Dyno_Data[[#This Row],[Match]]),0)*86400),0)</f>
        <v>0</v>
      </c>
    </row>
    <row r="989" spans="1:35" x14ac:dyDescent="0.3">
      <c r="A989">
        <v>982</v>
      </c>
      <c r="B989" t="s">
        <v>1312</v>
      </c>
      <c r="C989">
        <v>17</v>
      </c>
      <c r="D989" s="105">
        <v>45373.473679201386</v>
      </c>
      <c r="E989" t="s">
        <v>312</v>
      </c>
      <c r="F989" t="s">
        <v>309</v>
      </c>
      <c r="G989">
        <v>0</v>
      </c>
      <c r="H989" t="s">
        <v>315</v>
      </c>
      <c r="I989">
        <v>0</v>
      </c>
      <c r="J989">
        <v>0</v>
      </c>
      <c r="K989">
        <v>0</v>
      </c>
      <c r="L989" t="s">
        <v>313</v>
      </c>
      <c r="M989" t="s">
        <v>1398</v>
      </c>
      <c r="N989">
        <v>1</v>
      </c>
      <c r="O989" t="s">
        <v>1393</v>
      </c>
      <c r="P989" t="s">
        <v>310</v>
      </c>
      <c r="Q989" t="s">
        <v>310</v>
      </c>
      <c r="R989" t="s">
        <v>310</v>
      </c>
      <c r="S989">
        <v>9</v>
      </c>
      <c r="T989" t="s">
        <v>310</v>
      </c>
      <c r="U989">
        <v>9</v>
      </c>
      <c r="V989">
        <v>9</v>
      </c>
      <c r="W989">
        <v>0</v>
      </c>
      <c r="X989">
        <v>0</v>
      </c>
      <c r="Y989">
        <v>0</v>
      </c>
      <c r="Z989">
        <v>0</v>
      </c>
      <c r="AA989">
        <v>9</v>
      </c>
      <c r="AB989">
        <v>9</v>
      </c>
      <c r="AC989" t="s">
        <v>310</v>
      </c>
      <c r="AD989">
        <v>9</v>
      </c>
      <c r="AE989" t="s">
        <v>1414</v>
      </c>
      <c r="AF989">
        <v>10000000</v>
      </c>
      <c r="AG989" t="s">
        <v>310</v>
      </c>
      <c r="AH989">
        <f>SUM((MID(Dyno_Data[[#This Row],[Team]],4,5))+(Dyno_Data[[#This Row],[Match]]/100))</f>
        <v>2053.17</v>
      </c>
      <c r="AI989" s="76">
        <f>ROUND(SUM(IF(Dyno_Data[[#This Row],[AcqCenter]]&gt;0,Dyno_Data[[#This Row],[Time]]-SUMIFS(Dyno_Data[Time],Dyno_Data[Team],Dyno_Data[[#This Row],[Team]],Dyno_Data[RecordType],"StartMatch",Dyno_Data[Match],Dyno_Data[[#This Row],[Match]]),0)*86400),0)</f>
        <v>0</v>
      </c>
    </row>
    <row r="990" spans="1:35" x14ac:dyDescent="0.3">
      <c r="A990">
        <v>984</v>
      </c>
      <c r="B990" t="s">
        <v>1282</v>
      </c>
      <c r="C990">
        <v>17</v>
      </c>
      <c r="D990" s="105">
        <v>45373.473711886574</v>
      </c>
      <c r="E990" t="s">
        <v>312</v>
      </c>
      <c r="F990" t="s">
        <v>309</v>
      </c>
      <c r="G990">
        <v>0</v>
      </c>
      <c r="H990" t="s">
        <v>143</v>
      </c>
      <c r="I990">
        <v>1</v>
      </c>
      <c r="J990">
        <v>-1</v>
      </c>
      <c r="K990">
        <v>0</v>
      </c>
      <c r="L990" t="s">
        <v>310</v>
      </c>
      <c r="M990" t="s">
        <v>310</v>
      </c>
      <c r="N990">
        <v>0</v>
      </c>
      <c r="O990" t="s">
        <v>1395</v>
      </c>
      <c r="P990" t="s">
        <v>310</v>
      </c>
      <c r="Q990" t="s">
        <v>310</v>
      </c>
      <c r="R990" t="s">
        <v>310</v>
      </c>
      <c r="S990">
        <v>9</v>
      </c>
      <c r="T990" t="s">
        <v>310</v>
      </c>
      <c r="U990">
        <v>9</v>
      </c>
      <c r="V990">
        <v>9</v>
      </c>
      <c r="W990">
        <v>0</v>
      </c>
      <c r="X990">
        <v>0</v>
      </c>
      <c r="Y990">
        <v>0</v>
      </c>
      <c r="Z990">
        <v>0</v>
      </c>
      <c r="AA990">
        <v>9</v>
      </c>
      <c r="AB990">
        <v>9</v>
      </c>
      <c r="AC990" t="s">
        <v>310</v>
      </c>
      <c r="AD990">
        <v>9</v>
      </c>
      <c r="AE990" t="s">
        <v>1417</v>
      </c>
      <c r="AF990">
        <v>0</v>
      </c>
      <c r="AG990" t="s">
        <v>310</v>
      </c>
      <c r="AH990">
        <f>SUM((MID(Dyno_Data[[#This Row],[Team]],4,5))+(Dyno_Data[[#This Row],[Match]]/100))</f>
        <v>333.17</v>
      </c>
      <c r="AI990" s="76">
        <f>ROUND(SUM(IF(Dyno_Data[[#This Row],[AcqCenter]]&gt;0,Dyno_Data[[#This Row],[Time]]-SUMIFS(Dyno_Data[Time],Dyno_Data[Team],Dyno_Data[[#This Row],[Team]],Dyno_Data[RecordType],"StartMatch",Dyno_Data[Match],Dyno_Data[[#This Row],[Match]]),0)*86400),0)</f>
        <v>12</v>
      </c>
    </row>
    <row r="991" spans="1:35" x14ac:dyDescent="0.3">
      <c r="A991">
        <v>983</v>
      </c>
      <c r="B991" t="s">
        <v>361</v>
      </c>
      <c r="C991">
        <v>17</v>
      </c>
      <c r="D991" s="105">
        <v>45373.473733715276</v>
      </c>
      <c r="E991" t="s">
        <v>312</v>
      </c>
      <c r="F991" t="s">
        <v>309</v>
      </c>
      <c r="G991">
        <v>0</v>
      </c>
      <c r="H991" t="s">
        <v>315</v>
      </c>
      <c r="I991">
        <v>0</v>
      </c>
      <c r="J991">
        <v>0</v>
      </c>
      <c r="K991">
        <v>0</v>
      </c>
      <c r="L991" t="s">
        <v>241</v>
      </c>
      <c r="M991" t="s">
        <v>1398</v>
      </c>
      <c r="N991">
        <v>0</v>
      </c>
      <c r="O991" t="s">
        <v>311</v>
      </c>
      <c r="P991" t="s">
        <v>310</v>
      </c>
      <c r="Q991" t="s">
        <v>310</v>
      </c>
      <c r="R991" t="s">
        <v>310</v>
      </c>
      <c r="S991">
        <v>9</v>
      </c>
      <c r="T991" t="s">
        <v>310</v>
      </c>
      <c r="U991">
        <v>9</v>
      </c>
      <c r="V991">
        <v>9</v>
      </c>
      <c r="W991">
        <v>0</v>
      </c>
      <c r="X991">
        <v>0</v>
      </c>
      <c r="Y991">
        <v>0</v>
      </c>
      <c r="Z991">
        <v>0</v>
      </c>
      <c r="AA991">
        <v>9</v>
      </c>
      <c r="AB991">
        <v>9</v>
      </c>
      <c r="AC991" t="s">
        <v>310</v>
      </c>
      <c r="AD991">
        <v>9</v>
      </c>
      <c r="AE991" t="s">
        <v>1416</v>
      </c>
      <c r="AF991">
        <v>20000000</v>
      </c>
      <c r="AG991" t="s">
        <v>310</v>
      </c>
      <c r="AH991">
        <f>SUM((MID(Dyno_Data[[#This Row],[Team]],4,5))+(Dyno_Data[[#This Row],[Match]]/100))</f>
        <v>20.170000000000002</v>
      </c>
      <c r="AI991" s="76">
        <f>ROUND(SUM(IF(Dyno_Data[[#This Row],[AcqCenter]]&gt;0,Dyno_Data[[#This Row],[Time]]-SUMIFS(Dyno_Data[Time],Dyno_Data[Team],Dyno_Data[[#This Row],[Team]],Dyno_Data[RecordType],"StartMatch",Dyno_Data[Match],Dyno_Data[[#This Row],[Match]]),0)*86400),0)</f>
        <v>0</v>
      </c>
    </row>
    <row r="992" spans="1:35" x14ac:dyDescent="0.3">
      <c r="A992">
        <v>985</v>
      </c>
      <c r="B992" t="s">
        <v>361</v>
      </c>
      <c r="C992">
        <v>17</v>
      </c>
      <c r="D992" s="105">
        <v>45373.473752395832</v>
      </c>
      <c r="E992" t="s">
        <v>312</v>
      </c>
      <c r="F992" t="s">
        <v>309</v>
      </c>
      <c r="G992">
        <v>0</v>
      </c>
      <c r="H992" t="s">
        <v>143</v>
      </c>
      <c r="I992">
        <v>5</v>
      </c>
      <c r="J992">
        <v>-1</v>
      </c>
      <c r="K992">
        <v>0</v>
      </c>
      <c r="L992" t="s">
        <v>310</v>
      </c>
      <c r="M992" t="s">
        <v>310</v>
      </c>
      <c r="N992">
        <v>0</v>
      </c>
      <c r="O992" t="s">
        <v>311</v>
      </c>
      <c r="P992" t="s">
        <v>310</v>
      </c>
      <c r="Q992" t="s">
        <v>310</v>
      </c>
      <c r="R992" t="s">
        <v>310</v>
      </c>
      <c r="S992">
        <v>9</v>
      </c>
      <c r="T992" t="s">
        <v>310</v>
      </c>
      <c r="U992">
        <v>9</v>
      </c>
      <c r="V992">
        <v>9</v>
      </c>
      <c r="W992">
        <v>0</v>
      </c>
      <c r="X992">
        <v>0</v>
      </c>
      <c r="Y992">
        <v>0</v>
      </c>
      <c r="Z992">
        <v>0</v>
      </c>
      <c r="AA992">
        <v>9</v>
      </c>
      <c r="AB992">
        <v>9</v>
      </c>
      <c r="AC992" t="s">
        <v>310</v>
      </c>
      <c r="AD992">
        <v>9</v>
      </c>
      <c r="AE992" t="s">
        <v>1416</v>
      </c>
      <c r="AF992">
        <v>20001000</v>
      </c>
      <c r="AG992" t="s">
        <v>310</v>
      </c>
      <c r="AH992">
        <f>SUM((MID(Dyno_Data[[#This Row],[Team]],4,5))+(Dyno_Data[[#This Row],[Match]]/100))</f>
        <v>20.170000000000002</v>
      </c>
      <c r="AI992" s="76">
        <f>ROUND(SUM(IF(Dyno_Data[[#This Row],[AcqCenter]]&gt;0,Dyno_Data[[#This Row],[Time]]-SUMIFS(Dyno_Data[Time],Dyno_Data[Team],Dyno_Data[[#This Row],[Team]],Dyno_Data[RecordType],"StartMatch",Dyno_Data[Match],Dyno_Data[[#This Row],[Match]]),0)*86400),0)</f>
        <v>15</v>
      </c>
    </row>
    <row r="993" spans="1:35" x14ac:dyDescent="0.3">
      <c r="A993">
        <v>986</v>
      </c>
      <c r="B993" t="s">
        <v>1312</v>
      </c>
      <c r="C993">
        <v>17</v>
      </c>
      <c r="D993" s="105">
        <v>45373.473773414349</v>
      </c>
      <c r="E993" t="s">
        <v>312</v>
      </c>
      <c r="F993" t="s">
        <v>309</v>
      </c>
      <c r="G993">
        <v>0</v>
      </c>
      <c r="H993" t="s">
        <v>143</v>
      </c>
      <c r="I993">
        <v>3</v>
      </c>
      <c r="J993">
        <v>1</v>
      </c>
      <c r="K993">
        <v>0</v>
      </c>
      <c r="L993" t="s">
        <v>310</v>
      </c>
      <c r="M993" t="s">
        <v>310</v>
      </c>
      <c r="N993">
        <v>0</v>
      </c>
      <c r="O993" t="s">
        <v>1393</v>
      </c>
      <c r="P993" t="s">
        <v>310</v>
      </c>
      <c r="Q993" t="s">
        <v>310</v>
      </c>
      <c r="R993" t="s">
        <v>310</v>
      </c>
      <c r="S993">
        <v>9</v>
      </c>
      <c r="T993" t="s">
        <v>310</v>
      </c>
      <c r="U993">
        <v>9</v>
      </c>
      <c r="V993">
        <v>9</v>
      </c>
      <c r="W993">
        <v>0</v>
      </c>
      <c r="X993">
        <v>0</v>
      </c>
      <c r="Y993">
        <v>0</v>
      </c>
      <c r="Z993">
        <v>0</v>
      </c>
      <c r="AA993">
        <v>9</v>
      </c>
      <c r="AB993">
        <v>9</v>
      </c>
      <c r="AC993" t="s">
        <v>310</v>
      </c>
      <c r="AD993">
        <v>9</v>
      </c>
      <c r="AE993" t="s">
        <v>1414</v>
      </c>
      <c r="AF993">
        <v>10001000</v>
      </c>
      <c r="AG993" t="s">
        <v>310</v>
      </c>
      <c r="AH993">
        <f>SUM((MID(Dyno_Data[[#This Row],[Team]],4,5))+(Dyno_Data[[#This Row],[Match]]/100))</f>
        <v>2053.17</v>
      </c>
      <c r="AI993" s="76">
        <f>ROUND(SUM(IF(Dyno_Data[[#This Row],[AcqCenter]]&gt;0,Dyno_Data[[#This Row],[Time]]-SUMIFS(Dyno_Data[Time],Dyno_Data[Team],Dyno_Data[[#This Row],[Team]],Dyno_Data[RecordType],"StartMatch",Dyno_Data[Match],Dyno_Data[[#This Row],[Match]]),0)*86400),0)</f>
        <v>14</v>
      </c>
    </row>
    <row r="994" spans="1:35" x14ac:dyDescent="0.3">
      <c r="A994">
        <v>988</v>
      </c>
      <c r="B994" t="s">
        <v>1278</v>
      </c>
      <c r="C994">
        <v>17</v>
      </c>
      <c r="D994" s="105">
        <v>45373.473781284723</v>
      </c>
      <c r="E994" t="s">
        <v>314</v>
      </c>
      <c r="F994" t="s">
        <v>309</v>
      </c>
      <c r="G994">
        <v>0</v>
      </c>
      <c r="H994" t="s">
        <v>310</v>
      </c>
      <c r="I994">
        <v>0</v>
      </c>
      <c r="J994">
        <v>0</v>
      </c>
      <c r="K994">
        <v>0</v>
      </c>
      <c r="L994" t="s">
        <v>310</v>
      </c>
      <c r="M994" t="s">
        <v>310</v>
      </c>
      <c r="N994">
        <v>0</v>
      </c>
      <c r="O994" t="s">
        <v>1391</v>
      </c>
      <c r="P994" t="s">
        <v>240</v>
      </c>
      <c r="Q994" t="s">
        <v>1399</v>
      </c>
      <c r="R994" t="s">
        <v>310</v>
      </c>
      <c r="S994">
        <v>9</v>
      </c>
      <c r="T994" t="s">
        <v>310</v>
      </c>
      <c r="U994">
        <v>9</v>
      </c>
      <c r="V994">
        <v>9</v>
      </c>
      <c r="W994">
        <v>0</v>
      </c>
      <c r="X994">
        <v>0</v>
      </c>
      <c r="Y994">
        <v>0</v>
      </c>
      <c r="Z994">
        <v>0</v>
      </c>
      <c r="AA994">
        <v>9</v>
      </c>
      <c r="AB994">
        <v>9</v>
      </c>
      <c r="AC994" t="s">
        <v>310</v>
      </c>
      <c r="AD994">
        <v>9</v>
      </c>
      <c r="AE994" t="s">
        <v>1412</v>
      </c>
      <c r="AF994">
        <v>0</v>
      </c>
      <c r="AG994" t="s">
        <v>310</v>
      </c>
      <c r="AH994">
        <f>SUM((MID(Dyno_Data[[#This Row],[Team]],4,5))+(Dyno_Data[[#This Row],[Match]]/100))</f>
        <v>3951.17</v>
      </c>
      <c r="AI994" s="76">
        <f>ROUND(SUM(IF(Dyno_Data[[#This Row],[AcqCenter]]&gt;0,Dyno_Data[[#This Row],[Time]]-SUMIFS(Dyno_Data[Time],Dyno_Data[Team],Dyno_Data[[#This Row],[Team]],Dyno_Data[RecordType],"StartMatch",Dyno_Data[Match],Dyno_Data[[#This Row],[Match]]),0)*86400),0)</f>
        <v>0</v>
      </c>
    </row>
    <row r="995" spans="1:35" x14ac:dyDescent="0.3">
      <c r="A995">
        <v>990</v>
      </c>
      <c r="B995" t="s">
        <v>361</v>
      </c>
      <c r="C995">
        <v>17</v>
      </c>
      <c r="D995" s="105">
        <v>45373.473784259259</v>
      </c>
      <c r="E995" t="s">
        <v>314</v>
      </c>
      <c r="F995" t="s">
        <v>309</v>
      </c>
      <c r="G995">
        <v>1</v>
      </c>
      <c r="H995" t="s">
        <v>310</v>
      </c>
      <c r="I995">
        <v>0</v>
      </c>
      <c r="J995">
        <v>0</v>
      </c>
      <c r="K995">
        <v>0</v>
      </c>
      <c r="L995" t="s">
        <v>310</v>
      </c>
      <c r="M995" t="s">
        <v>310</v>
      </c>
      <c r="N995">
        <v>0</v>
      </c>
      <c r="O995" t="s">
        <v>311</v>
      </c>
      <c r="P995" t="s">
        <v>1401</v>
      </c>
      <c r="Q995" t="s">
        <v>1400</v>
      </c>
      <c r="R995" t="s">
        <v>310</v>
      </c>
      <c r="S995">
        <v>9</v>
      </c>
      <c r="T995" t="s">
        <v>310</v>
      </c>
      <c r="U995">
        <v>9</v>
      </c>
      <c r="V995">
        <v>9</v>
      </c>
      <c r="W995">
        <v>0</v>
      </c>
      <c r="X995">
        <v>0</v>
      </c>
      <c r="Y995">
        <v>0</v>
      </c>
      <c r="Z995">
        <v>0</v>
      </c>
      <c r="AA995">
        <v>9</v>
      </c>
      <c r="AB995">
        <v>9</v>
      </c>
      <c r="AC995" t="s">
        <v>310</v>
      </c>
      <c r="AD995">
        <v>9</v>
      </c>
      <c r="AE995" t="s">
        <v>1416</v>
      </c>
      <c r="AF995">
        <v>20001000</v>
      </c>
      <c r="AG995" t="s">
        <v>310</v>
      </c>
      <c r="AH995">
        <f>SUM((MID(Dyno_Data[[#This Row],[Team]],4,5))+(Dyno_Data[[#This Row],[Match]]/100))</f>
        <v>20.170000000000002</v>
      </c>
      <c r="AI995" s="76">
        <f>ROUND(SUM(IF(Dyno_Data[[#This Row],[AcqCenter]]&gt;0,Dyno_Data[[#This Row],[Time]]-SUMIFS(Dyno_Data[Time],Dyno_Data[Team],Dyno_Data[[#This Row],[Team]],Dyno_Data[RecordType],"StartMatch",Dyno_Data[Match],Dyno_Data[[#This Row],[Match]]),0)*86400),0)</f>
        <v>0</v>
      </c>
    </row>
    <row r="996" spans="1:35" x14ac:dyDescent="0.3">
      <c r="A996">
        <v>992</v>
      </c>
      <c r="B996" t="s">
        <v>1282</v>
      </c>
      <c r="C996">
        <v>17</v>
      </c>
      <c r="D996" s="105">
        <v>45373.473784988426</v>
      </c>
      <c r="E996" t="s">
        <v>314</v>
      </c>
      <c r="F996" t="s">
        <v>309</v>
      </c>
      <c r="G996">
        <v>1</v>
      </c>
      <c r="H996" t="s">
        <v>310</v>
      </c>
      <c r="I996">
        <v>0</v>
      </c>
      <c r="J996">
        <v>0</v>
      </c>
      <c r="K996">
        <v>0</v>
      </c>
      <c r="L996" t="s">
        <v>310</v>
      </c>
      <c r="M996" t="s">
        <v>310</v>
      </c>
      <c r="N996">
        <v>0</v>
      </c>
      <c r="O996" t="s">
        <v>1395</v>
      </c>
      <c r="P996" t="s">
        <v>240</v>
      </c>
      <c r="Q996" t="s">
        <v>1400</v>
      </c>
      <c r="R996" t="s">
        <v>310</v>
      </c>
      <c r="S996">
        <v>9</v>
      </c>
      <c r="T996" t="s">
        <v>310</v>
      </c>
      <c r="U996">
        <v>9</v>
      </c>
      <c r="V996">
        <v>9</v>
      </c>
      <c r="W996">
        <v>0</v>
      </c>
      <c r="X996">
        <v>0</v>
      </c>
      <c r="Y996">
        <v>0</v>
      </c>
      <c r="Z996">
        <v>0</v>
      </c>
      <c r="AA996">
        <v>9</v>
      </c>
      <c r="AB996">
        <v>9</v>
      </c>
      <c r="AC996" t="s">
        <v>310</v>
      </c>
      <c r="AD996">
        <v>9</v>
      </c>
      <c r="AE996" t="s">
        <v>1417</v>
      </c>
      <c r="AF996">
        <v>0</v>
      </c>
      <c r="AG996" t="s">
        <v>310</v>
      </c>
      <c r="AH996">
        <f>SUM((MID(Dyno_Data[[#This Row],[Team]],4,5))+(Dyno_Data[[#This Row],[Match]]/100))</f>
        <v>333.17</v>
      </c>
      <c r="AI996" s="76">
        <f>ROUND(SUM(IF(Dyno_Data[[#This Row],[AcqCenter]]&gt;0,Dyno_Data[[#This Row],[Time]]-SUMIFS(Dyno_Data[Time],Dyno_Data[Team],Dyno_Data[[#This Row],[Team]],Dyno_Data[RecordType],"StartMatch",Dyno_Data[Match],Dyno_Data[[#This Row],[Match]]),0)*86400),0)</f>
        <v>0</v>
      </c>
    </row>
    <row r="997" spans="1:35" x14ac:dyDescent="0.3">
      <c r="A997">
        <v>994</v>
      </c>
      <c r="B997" t="s">
        <v>318</v>
      </c>
      <c r="C997">
        <v>17</v>
      </c>
      <c r="D997" s="105">
        <v>45373.473789317133</v>
      </c>
      <c r="E997" t="s">
        <v>314</v>
      </c>
      <c r="F997" t="s">
        <v>309</v>
      </c>
      <c r="G997">
        <v>0</v>
      </c>
      <c r="H997" t="s">
        <v>310</v>
      </c>
      <c r="I997">
        <v>0</v>
      </c>
      <c r="J997">
        <v>0</v>
      </c>
      <c r="K997">
        <v>0</v>
      </c>
      <c r="L997" t="s">
        <v>310</v>
      </c>
      <c r="M997" t="s">
        <v>310</v>
      </c>
      <c r="N997">
        <v>0</v>
      </c>
      <c r="O997" t="s">
        <v>319</v>
      </c>
      <c r="P997" t="s">
        <v>101</v>
      </c>
      <c r="Q997" t="s">
        <v>1400</v>
      </c>
      <c r="R997" t="s">
        <v>310</v>
      </c>
      <c r="S997">
        <v>9</v>
      </c>
      <c r="T997" t="s">
        <v>310</v>
      </c>
      <c r="U997">
        <v>9</v>
      </c>
      <c r="V997">
        <v>9</v>
      </c>
      <c r="W997">
        <v>0</v>
      </c>
      <c r="X997">
        <v>0</v>
      </c>
      <c r="Y997">
        <v>0</v>
      </c>
      <c r="Z997">
        <v>0</v>
      </c>
      <c r="AA997">
        <v>9</v>
      </c>
      <c r="AB997">
        <v>9</v>
      </c>
      <c r="AC997" t="s">
        <v>310</v>
      </c>
      <c r="AD997">
        <v>9</v>
      </c>
      <c r="AE997" t="s">
        <v>1413</v>
      </c>
      <c r="AF997">
        <v>0</v>
      </c>
      <c r="AG997" t="s">
        <v>310</v>
      </c>
      <c r="AH997">
        <f>SUM((MID(Dyno_Data[[#This Row],[Team]],4,5))+(Dyno_Data[[#This Row],[Match]]/100))</f>
        <v>639.16999999999996</v>
      </c>
      <c r="AI997" s="76">
        <f>ROUND(SUM(IF(Dyno_Data[[#This Row],[AcqCenter]]&gt;0,Dyno_Data[[#This Row],[Time]]-SUMIFS(Dyno_Data[Time],Dyno_Data[Team],Dyno_Data[[#This Row],[Team]],Dyno_Data[RecordType],"StartMatch",Dyno_Data[Match],Dyno_Data[[#This Row],[Match]]),0)*86400),0)</f>
        <v>0</v>
      </c>
    </row>
    <row r="998" spans="1:35" x14ac:dyDescent="0.3">
      <c r="A998">
        <v>996</v>
      </c>
      <c r="B998" t="s">
        <v>373</v>
      </c>
      <c r="C998">
        <v>17</v>
      </c>
      <c r="D998" s="105">
        <v>45373.473793599536</v>
      </c>
      <c r="E998" t="s">
        <v>314</v>
      </c>
      <c r="F998" t="s">
        <v>309</v>
      </c>
      <c r="G998">
        <v>0</v>
      </c>
      <c r="H998" t="s">
        <v>310</v>
      </c>
      <c r="I998">
        <v>0</v>
      </c>
      <c r="J998">
        <v>0</v>
      </c>
      <c r="K998">
        <v>0</v>
      </c>
      <c r="L998" t="s">
        <v>310</v>
      </c>
      <c r="M998" t="s">
        <v>310</v>
      </c>
      <c r="N998">
        <v>0</v>
      </c>
      <c r="O998" t="s">
        <v>1389</v>
      </c>
      <c r="P998" t="s">
        <v>1401</v>
      </c>
      <c r="Q998" t="s">
        <v>1399</v>
      </c>
      <c r="R998" t="s">
        <v>310</v>
      </c>
      <c r="S998">
        <v>9</v>
      </c>
      <c r="T998" t="s">
        <v>310</v>
      </c>
      <c r="U998">
        <v>9</v>
      </c>
      <c r="V998">
        <v>9</v>
      </c>
      <c r="W998">
        <v>0</v>
      </c>
      <c r="X998">
        <v>0</v>
      </c>
      <c r="Y998">
        <v>0</v>
      </c>
      <c r="Z998">
        <v>0</v>
      </c>
      <c r="AA998">
        <v>9</v>
      </c>
      <c r="AB998">
        <v>9</v>
      </c>
      <c r="AC998" t="s">
        <v>310</v>
      </c>
      <c r="AD998">
        <v>9</v>
      </c>
      <c r="AE998" t="s">
        <v>1418</v>
      </c>
      <c r="AF998">
        <v>0</v>
      </c>
      <c r="AG998" t="s">
        <v>310</v>
      </c>
      <c r="AH998">
        <f>SUM((MID(Dyno_Data[[#This Row],[Team]],4,5))+(Dyno_Data[[#This Row],[Match]]/100))</f>
        <v>7718.17</v>
      </c>
      <c r="AI998" s="76">
        <f>ROUND(SUM(IF(Dyno_Data[[#This Row],[AcqCenter]]&gt;0,Dyno_Data[[#This Row],[Time]]-SUMIFS(Dyno_Data[Time],Dyno_Data[Team],Dyno_Data[[#This Row],[Team]],Dyno_Data[RecordType],"StartMatch",Dyno_Data[Match],Dyno_Data[[#This Row],[Match]]),0)*86400),0)</f>
        <v>0</v>
      </c>
    </row>
    <row r="999" spans="1:35" x14ac:dyDescent="0.3">
      <c r="A999">
        <v>998</v>
      </c>
      <c r="B999" t="s">
        <v>1312</v>
      </c>
      <c r="C999">
        <v>17</v>
      </c>
      <c r="D999" s="105">
        <v>45373.473818287035</v>
      </c>
      <c r="E999" t="s">
        <v>314</v>
      </c>
      <c r="F999" t="s">
        <v>309</v>
      </c>
      <c r="G999">
        <v>1</v>
      </c>
      <c r="H999" t="s">
        <v>310</v>
      </c>
      <c r="I999">
        <v>0</v>
      </c>
      <c r="J999">
        <v>0</v>
      </c>
      <c r="K999">
        <v>0</v>
      </c>
      <c r="L999" t="s">
        <v>310</v>
      </c>
      <c r="M999" t="s">
        <v>310</v>
      </c>
      <c r="N999">
        <v>0</v>
      </c>
      <c r="O999" t="s">
        <v>1393</v>
      </c>
      <c r="P999" t="s">
        <v>240</v>
      </c>
      <c r="Q999" t="s">
        <v>1400</v>
      </c>
      <c r="R999" t="s">
        <v>310</v>
      </c>
      <c r="S999">
        <v>9</v>
      </c>
      <c r="T999" t="s">
        <v>310</v>
      </c>
      <c r="U999">
        <v>9</v>
      </c>
      <c r="V999">
        <v>9</v>
      </c>
      <c r="W999">
        <v>0</v>
      </c>
      <c r="X999">
        <v>0</v>
      </c>
      <c r="Y999">
        <v>0</v>
      </c>
      <c r="Z999">
        <v>0</v>
      </c>
      <c r="AA999">
        <v>9</v>
      </c>
      <c r="AB999">
        <v>9</v>
      </c>
      <c r="AC999" t="s">
        <v>310</v>
      </c>
      <c r="AD999">
        <v>9</v>
      </c>
      <c r="AE999" t="s">
        <v>1414</v>
      </c>
      <c r="AF999">
        <v>10001000</v>
      </c>
      <c r="AG999" t="s">
        <v>310</v>
      </c>
      <c r="AH999">
        <f>SUM((MID(Dyno_Data[[#This Row],[Team]],4,5))+(Dyno_Data[[#This Row],[Match]]/100))</f>
        <v>2053.17</v>
      </c>
      <c r="AI999" s="76">
        <f>ROUND(SUM(IF(Dyno_Data[[#This Row],[AcqCenter]]&gt;0,Dyno_Data[[#This Row],[Time]]-SUMIFS(Dyno_Data[Time],Dyno_Data[Team],Dyno_Data[[#This Row],[Team]],Dyno_Data[RecordType],"StartMatch",Dyno_Data[Match],Dyno_Data[[#This Row],[Match]]),0)*86400),0)</f>
        <v>0</v>
      </c>
    </row>
    <row r="1000" spans="1:35" x14ac:dyDescent="0.3">
      <c r="A1000">
        <v>999</v>
      </c>
      <c r="B1000" t="s">
        <v>361</v>
      </c>
      <c r="C1000">
        <v>17</v>
      </c>
      <c r="D1000" s="105">
        <v>45373.473829050927</v>
      </c>
      <c r="E1000" t="s">
        <v>312</v>
      </c>
      <c r="F1000" t="s">
        <v>1402</v>
      </c>
      <c r="G1000">
        <v>0</v>
      </c>
      <c r="H1000" t="s">
        <v>315</v>
      </c>
      <c r="I1000">
        <v>0</v>
      </c>
      <c r="J1000">
        <v>0</v>
      </c>
      <c r="K1000">
        <v>0</v>
      </c>
      <c r="L1000" t="s">
        <v>241</v>
      </c>
      <c r="M1000" t="s">
        <v>1398</v>
      </c>
      <c r="N1000">
        <v>0</v>
      </c>
      <c r="O1000" t="s">
        <v>311</v>
      </c>
      <c r="P1000" t="s">
        <v>310</v>
      </c>
      <c r="Q1000" t="s">
        <v>310</v>
      </c>
      <c r="R1000" t="s">
        <v>310</v>
      </c>
      <c r="S1000">
        <v>9</v>
      </c>
      <c r="T1000" t="s">
        <v>310</v>
      </c>
      <c r="U1000">
        <v>9</v>
      </c>
      <c r="V1000">
        <v>9</v>
      </c>
      <c r="W1000">
        <v>0</v>
      </c>
      <c r="X1000">
        <v>0</v>
      </c>
      <c r="Y1000">
        <v>0</v>
      </c>
      <c r="Z1000">
        <v>0</v>
      </c>
      <c r="AA1000">
        <v>9</v>
      </c>
      <c r="AB1000">
        <v>9</v>
      </c>
      <c r="AC1000" t="s">
        <v>310</v>
      </c>
      <c r="AD1000">
        <v>9</v>
      </c>
      <c r="AE1000" t="s">
        <v>1416</v>
      </c>
      <c r="AF1000">
        <v>30001000</v>
      </c>
      <c r="AG1000" t="s">
        <v>310</v>
      </c>
      <c r="AH1000">
        <f>SUM((MID(Dyno_Data[[#This Row],[Team]],4,5))+(Dyno_Data[[#This Row],[Match]]/100))</f>
        <v>20.170000000000002</v>
      </c>
      <c r="AI1000" s="76">
        <f>ROUND(SUM(IF(Dyno_Data[[#This Row],[AcqCenter]]&gt;0,Dyno_Data[[#This Row],[Time]]-SUMIFS(Dyno_Data[Time],Dyno_Data[Team],Dyno_Data[[#This Row],[Team]],Dyno_Data[RecordType],"StartMatch",Dyno_Data[Match],Dyno_Data[[#This Row],[Match]]),0)*86400),0)</f>
        <v>0</v>
      </c>
    </row>
    <row r="1001" spans="1:35" x14ac:dyDescent="0.3">
      <c r="A1001">
        <v>1000</v>
      </c>
      <c r="B1001" t="s">
        <v>1278</v>
      </c>
      <c r="C1001">
        <v>17</v>
      </c>
      <c r="D1001" s="105">
        <v>45373.473864965279</v>
      </c>
      <c r="E1001" t="s">
        <v>1403</v>
      </c>
      <c r="F1001" t="s">
        <v>1402</v>
      </c>
      <c r="G1001">
        <v>0</v>
      </c>
      <c r="H1001" t="s">
        <v>310</v>
      </c>
      <c r="I1001">
        <v>0</v>
      </c>
      <c r="J1001">
        <v>0</v>
      </c>
      <c r="K1001">
        <v>0</v>
      </c>
      <c r="L1001" t="s">
        <v>310</v>
      </c>
      <c r="M1001" t="s">
        <v>310</v>
      </c>
      <c r="N1001">
        <v>0</v>
      </c>
      <c r="O1001" t="s">
        <v>1391</v>
      </c>
      <c r="P1001" t="s">
        <v>310</v>
      </c>
      <c r="Q1001" t="s">
        <v>310</v>
      </c>
      <c r="R1001" t="s">
        <v>310</v>
      </c>
      <c r="S1001">
        <v>9</v>
      </c>
      <c r="T1001" t="s">
        <v>310</v>
      </c>
      <c r="U1001">
        <v>9</v>
      </c>
      <c r="V1001">
        <v>9</v>
      </c>
      <c r="W1001">
        <v>0</v>
      </c>
      <c r="X1001">
        <v>0</v>
      </c>
      <c r="Y1001">
        <v>0</v>
      </c>
      <c r="Z1001">
        <v>0</v>
      </c>
      <c r="AA1001">
        <v>9</v>
      </c>
      <c r="AB1001">
        <v>9</v>
      </c>
      <c r="AC1001" t="s">
        <v>310</v>
      </c>
      <c r="AD1001">
        <v>9</v>
      </c>
      <c r="AE1001" t="s">
        <v>1412</v>
      </c>
      <c r="AF1001">
        <v>30001000</v>
      </c>
      <c r="AG1001" t="s">
        <v>252</v>
      </c>
      <c r="AH1001">
        <f>SUM((MID(Dyno_Data[[#This Row],[Team]],4,5))+(Dyno_Data[[#This Row],[Match]]/100))</f>
        <v>3951.17</v>
      </c>
      <c r="AI1001" s="76">
        <f>ROUND(SUM(IF(Dyno_Data[[#This Row],[AcqCenter]]&gt;0,Dyno_Data[[#This Row],[Time]]-SUMIFS(Dyno_Data[Time],Dyno_Data[Team],Dyno_Data[[#This Row],[Team]],Dyno_Data[RecordType],"StartMatch",Dyno_Data[Match],Dyno_Data[[#This Row],[Match]]),0)*86400),0)</f>
        <v>0</v>
      </c>
    </row>
    <row r="1002" spans="1:35" x14ac:dyDescent="0.3">
      <c r="A1002">
        <v>1001</v>
      </c>
      <c r="B1002" t="s">
        <v>318</v>
      </c>
      <c r="C1002">
        <v>17</v>
      </c>
      <c r="D1002" s="105">
        <v>45373.473888692133</v>
      </c>
      <c r="E1002" t="s">
        <v>312</v>
      </c>
      <c r="F1002" t="s">
        <v>1402</v>
      </c>
      <c r="G1002">
        <v>0</v>
      </c>
      <c r="H1002" t="s">
        <v>1397</v>
      </c>
      <c r="I1002">
        <v>0</v>
      </c>
      <c r="J1002">
        <v>0</v>
      </c>
      <c r="K1002">
        <v>0</v>
      </c>
      <c r="L1002" t="s">
        <v>240</v>
      </c>
      <c r="M1002" t="s">
        <v>1398</v>
      </c>
      <c r="N1002">
        <v>0</v>
      </c>
      <c r="O1002" t="s">
        <v>319</v>
      </c>
      <c r="P1002" t="s">
        <v>310</v>
      </c>
      <c r="Q1002" t="s">
        <v>310</v>
      </c>
      <c r="R1002" t="s">
        <v>310</v>
      </c>
      <c r="S1002">
        <v>9</v>
      </c>
      <c r="T1002" t="s">
        <v>310</v>
      </c>
      <c r="U1002">
        <v>9</v>
      </c>
      <c r="V1002">
        <v>9</v>
      </c>
      <c r="W1002">
        <v>0</v>
      </c>
      <c r="X1002">
        <v>0</v>
      </c>
      <c r="Y1002">
        <v>0</v>
      </c>
      <c r="Z1002">
        <v>0</v>
      </c>
      <c r="AA1002">
        <v>9</v>
      </c>
      <c r="AB1002">
        <v>9</v>
      </c>
      <c r="AC1002" t="s">
        <v>310</v>
      </c>
      <c r="AD1002">
        <v>9</v>
      </c>
      <c r="AE1002" t="s">
        <v>1413</v>
      </c>
      <c r="AF1002">
        <v>0</v>
      </c>
      <c r="AG1002" t="s">
        <v>310</v>
      </c>
      <c r="AH1002">
        <f>SUM((MID(Dyno_Data[[#This Row],[Team]],4,5))+(Dyno_Data[[#This Row],[Match]]/100))</f>
        <v>639.16999999999996</v>
      </c>
      <c r="AI1002" s="76">
        <f>ROUND(SUM(IF(Dyno_Data[[#This Row],[AcqCenter]]&gt;0,Dyno_Data[[#This Row],[Time]]-SUMIFS(Dyno_Data[Time],Dyno_Data[Team],Dyno_Data[[#This Row],[Team]],Dyno_Data[RecordType],"StartMatch",Dyno_Data[Match],Dyno_Data[[#This Row],[Match]]),0)*86400),0)</f>
        <v>0</v>
      </c>
    </row>
    <row r="1003" spans="1:35" x14ac:dyDescent="0.3">
      <c r="A1003">
        <v>1002</v>
      </c>
      <c r="B1003" t="s">
        <v>361</v>
      </c>
      <c r="C1003">
        <v>17</v>
      </c>
      <c r="D1003" s="105">
        <v>45373.47390251157</v>
      </c>
      <c r="E1003" t="s">
        <v>312</v>
      </c>
      <c r="F1003" t="s">
        <v>1402</v>
      </c>
      <c r="G1003">
        <v>0</v>
      </c>
      <c r="H1003" t="s">
        <v>315</v>
      </c>
      <c r="I1003">
        <v>0</v>
      </c>
      <c r="J1003">
        <v>0</v>
      </c>
      <c r="K1003">
        <v>0</v>
      </c>
      <c r="L1003" t="s">
        <v>241</v>
      </c>
      <c r="M1003" t="s">
        <v>1398</v>
      </c>
      <c r="N1003">
        <v>0</v>
      </c>
      <c r="O1003" t="s">
        <v>311</v>
      </c>
      <c r="P1003" t="s">
        <v>310</v>
      </c>
      <c r="Q1003" t="s">
        <v>310</v>
      </c>
      <c r="R1003" t="s">
        <v>310</v>
      </c>
      <c r="S1003">
        <v>9</v>
      </c>
      <c r="T1003" t="s">
        <v>310</v>
      </c>
      <c r="U1003">
        <v>9</v>
      </c>
      <c r="V1003">
        <v>9</v>
      </c>
      <c r="W1003">
        <v>0</v>
      </c>
      <c r="X1003">
        <v>0</v>
      </c>
      <c r="Y1003">
        <v>0</v>
      </c>
      <c r="Z1003">
        <v>0</v>
      </c>
      <c r="AA1003">
        <v>9</v>
      </c>
      <c r="AB1003">
        <v>9</v>
      </c>
      <c r="AC1003" t="s">
        <v>310</v>
      </c>
      <c r="AD1003">
        <v>9</v>
      </c>
      <c r="AE1003" t="s">
        <v>1416</v>
      </c>
      <c r="AF1003">
        <v>40001000</v>
      </c>
      <c r="AG1003" t="s">
        <v>310</v>
      </c>
      <c r="AH1003">
        <f>SUM((MID(Dyno_Data[[#This Row],[Team]],4,5))+(Dyno_Data[[#This Row],[Match]]/100))</f>
        <v>20.170000000000002</v>
      </c>
      <c r="AI1003" s="76">
        <f>ROUND(SUM(IF(Dyno_Data[[#This Row],[AcqCenter]]&gt;0,Dyno_Data[[#This Row],[Time]]-SUMIFS(Dyno_Data[Time],Dyno_Data[Team],Dyno_Data[[#This Row],[Team]],Dyno_Data[RecordType],"StartMatch",Dyno_Data[Match],Dyno_Data[[#This Row],[Match]]),0)*86400),0)</f>
        <v>0</v>
      </c>
    </row>
    <row r="1004" spans="1:35" x14ac:dyDescent="0.3">
      <c r="A1004">
        <v>1003</v>
      </c>
      <c r="B1004" t="s">
        <v>1312</v>
      </c>
      <c r="C1004">
        <v>17</v>
      </c>
      <c r="D1004" s="105">
        <v>45373.473927164348</v>
      </c>
      <c r="E1004" t="s">
        <v>312</v>
      </c>
      <c r="F1004" t="s">
        <v>1402</v>
      </c>
      <c r="G1004">
        <v>0</v>
      </c>
      <c r="H1004" t="s">
        <v>143</v>
      </c>
      <c r="I1004">
        <v>0</v>
      </c>
      <c r="J1004">
        <v>0</v>
      </c>
      <c r="K1004">
        <v>0</v>
      </c>
      <c r="L1004" t="s">
        <v>241</v>
      </c>
      <c r="M1004" t="s">
        <v>101</v>
      </c>
      <c r="N1004">
        <v>0</v>
      </c>
      <c r="O1004" t="s">
        <v>1393</v>
      </c>
      <c r="P1004" t="s">
        <v>310</v>
      </c>
      <c r="Q1004" t="s">
        <v>310</v>
      </c>
      <c r="R1004" t="s">
        <v>310</v>
      </c>
      <c r="S1004">
        <v>9</v>
      </c>
      <c r="T1004" t="s">
        <v>310</v>
      </c>
      <c r="U1004">
        <v>9</v>
      </c>
      <c r="V1004">
        <v>9</v>
      </c>
      <c r="W1004">
        <v>0</v>
      </c>
      <c r="X1004">
        <v>0</v>
      </c>
      <c r="Y1004">
        <v>0</v>
      </c>
      <c r="Z1004">
        <v>0</v>
      </c>
      <c r="AA1004">
        <v>9</v>
      </c>
      <c r="AB1004">
        <v>9</v>
      </c>
      <c r="AC1004" t="s">
        <v>310</v>
      </c>
      <c r="AD1004">
        <v>9</v>
      </c>
      <c r="AE1004" t="s">
        <v>1414</v>
      </c>
      <c r="AF1004">
        <v>10001000</v>
      </c>
      <c r="AG1004" t="s">
        <v>310</v>
      </c>
      <c r="AH1004">
        <f>SUM((MID(Dyno_Data[[#This Row],[Team]],4,5))+(Dyno_Data[[#This Row],[Match]]/100))</f>
        <v>2053.17</v>
      </c>
      <c r="AI1004" s="76">
        <f>ROUND(SUM(IF(Dyno_Data[[#This Row],[AcqCenter]]&gt;0,Dyno_Data[[#This Row],[Time]]-SUMIFS(Dyno_Data[Time],Dyno_Data[Team],Dyno_Data[[#This Row],[Team]],Dyno_Data[RecordType],"StartMatch",Dyno_Data[Match],Dyno_Data[[#This Row],[Match]]),0)*86400),0)</f>
        <v>0</v>
      </c>
    </row>
    <row r="1005" spans="1:35" x14ac:dyDescent="0.3">
      <c r="A1005">
        <v>1004</v>
      </c>
      <c r="B1005" t="s">
        <v>361</v>
      </c>
      <c r="C1005">
        <v>17</v>
      </c>
      <c r="D1005" s="105">
        <v>45373.473985219905</v>
      </c>
      <c r="E1005" t="s">
        <v>312</v>
      </c>
      <c r="F1005" t="s">
        <v>1402</v>
      </c>
      <c r="G1005">
        <v>0</v>
      </c>
      <c r="H1005" t="s">
        <v>315</v>
      </c>
      <c r="I1005">
        <v>0</v>
      </c>
      <c r="J1005">
        <v>0</v>
      </c>
      <c r="K1005">
        <v>0</v>
      </c>
      <c r="L1005" t="s">
        <v>241</v>
      </c>
      <c r="M1005" t="s">
        <v>1398</v>
      </c>
      <c r="N1005">
        <v>1</v>
      </c>
      <c r="O1005" t="s">
        <v>311</v>
      </c>
      <c r="P1005" t="s">
        <v>310</v>
      </c>
      <c r="Q1005" t="s">
        <v>310</v>
      </c>
      <c r="R1005" t="s">
        <v>310</v>
      </c>
      <c r="S1005">
        <v>9</v>
      </c>
      <c r="T1005" t="s">
        <v>310</v>
      </c>
      <c r="U1005">
        <v>9</v>
      </c>
      <c r="V1005">
        <v>9</v>
      </c>
      <c r="W1005">
        <v>0</v>
      </c>
      <c r="X1005">
        <v>0</v>
      </c>
      <c r="Y1005">
        <v>0</v>
      </c>
      <c r="Z1005">
        <v>0</v>
      </c>
      <c r="AA1005">
        <v>9</v>
      </c>
      <c r="AB1005">
        <v>9</v>
      </c>
      <c r="AC1005" t="s">
        <v>310</v>
      </c>
      <c r="AD1005">
        <v>9</v>
      </c>
      <c r="AE1005" t="s">
        <v>1416</v>
      </c>
      <c r="AF1005">
        <v>50001000</v>
      </c>
      <c r="AG1005" t="s">
        <v>310</v>
      </c>
      <c r="AH1005">
        <f>SUM((MID(Dyno_Data[[#This Row],[Team]],4,5))+(Dyno_Data[[#This Row],[Match]]/100))</f>
        <v>20.170000000000002</v>
      </c>
      <c r="AI1005" s="76">
        <f>ROUND(SUM(IF(Dyno_Data[[#This Row],[AcqCenter]]&gt;0,Dyno_Data[[#This Row],[Time]]-SUMIFS(Dyno_Data[Time],Dyno_Data[Team],Dyno_Data[[#This Row],[Team]],Dyno_Data[RecordType],"StartMatch",Dyno_Data[Match],Dyno_Data[[#This Row],[Match]]),0)*86400),0)</f>
        <v>0</v>
      </c>
    </row>
    <row r="1006" spans="1:35" x14ac:dyDescent="0.3">
      <c r="A1006">
        <v>1005</v>
      </c>
      <c r="B1006" t="s">
        <v>318</v>
      </c>
      <c r="C1006">
        <v>17</v>
      </c>
      <c r="D1006" s="105">
        <v>45373.473994594904</v>
      </c>
      <c r="E1006" t="s">
        <v>312</v>
      </c>
      <c r="F1006" t="s">
        <v>1402</v>
      </c>
      <c r="G1006">
        <v>0</v>
      </c>
      <c r="H1006" t="s">
        <v>315</v>
      </c>
      <c r="I1006">
        <v>0</v>
      </c>
      <c r="J1006">
        <v>0</v>
      </c>
      <c r="K1006">
        <v>0</v>
      </c>
      <c r="L1006" t="s">
        <v>240</v>
      </c>
      <c r="M1006" t="s">
        <v>1398</v>
      </c>
      <c r="N1006">
        <v>0</v>
      </c>
      <c r="O1006" t="s">
        <v>319</v>
      </c>
      <c r="P1006" t="s">
        <v>310</v>
      </c>
      <c r="Q1006" t="s">
        <v>310</v>
      </c>
      <c r="R1006" t="s">
        <v>310</v>
      </c>
      <c r="S1006">
        <v>9</v>
      </c>
      <c r="T1006" t="s">
        <v>310</v>
      </c>
      <c r="U1006">
        <v>9</v>
      </c>
      <c r="V1006">
        <v>9</v>
      </c>
      <c r="W1006">
        <v>0</v>
      </c>
      <c r="X1006">
        <v>0</v>
      </c>
      <c r="Y1006">
        <v>0</v>
      </c>
      <c r="Z1006">
        <v>0</v>
      </c>
      <c r="AA1006">
        <v>9</v>
      </c>
      <c r="AB1006">
        <v>9</v>
      </c>
      <c r="AC1006" t="s">
        <v>310</v>
      </c>
      <c r="AD1006">
        <v>9</v>
      </c>
      <c r="AE1006" t="s">
        <v>1413</v>
      </c>
      <c r="AF1006">
        <v>10000000</v>
      </c>
      <c r="AG1006" t="s">
        <v>310</v>
      </c>
      <c r="AH1006">
        <f>SUM((MID(Dyno_Data[[#This Row],[Team]],4,5))+(Dyno_Data[[#This Row],[Match]]/100))</f>
        <v>639.16999999999996</v>
      </c>
      <c r="AI1006" s="76">
        <f>ROUND(SUM(IF(Dyno_Data[[#This Row],[AcqCenter]]&gt;0,Dyno_Data[[#This Row],[Time]]-SUMIFS(Dyno_Data[Time],Dyno_Data[Team],Dyno_Data[[#This Row],[Team]],Dyno_Data[RecordType],"StartMatch",Dyno_Data[Match],Dyno_Data[[#This Row],[Match]]),0)*86400),0)</f>
        <v>0</v>
      </c>
    </row>
    <row r="1007" spans="1:35" x14ac:dyDescent="0.3">
      <c r="A1007">
        <v>1006</v>
      </c>
      <c r="B1007" t="s">
        <v>1282</v>
      </c>
      <c r="C1007">
        <v>17</v>
      </c>
      <c r="D1007" s="105">
        <v>45373.47404155093</v>
      </c>
      <c r="E1007" t="s">
        <v>312</v>
      </c>
      <c r="F1007" t="s">
        <v>1402</v>
      </c>
      <c r="G1007">
        <v>0</v>
      </c>
      <c r="H1007" t="s">
        <v>315</v>
      </c>
      <c r="I1007">
        <v>0</v>
      </c>
      <c r="J1007">
        <v>0</v>
      </c>
      <c r="K1007">
        <v>0</v>
      </c>
      <c r="L1007" t="s">
        <v>241</v>
      </c>
      <c r="M1007" t="s">
        <v>101</v>
      </c>
      <c r="N1007">
        <v>0</v>
      </c>
      <c r="O1007" t="s">
        <v>1395</v>
      </c>
      <c r="P1007" t="s">
        <v>310</v>
      </c>
      <c r="Q1007" t="s">
        <v>310</v>
      </c>
      <c r="R1007" t="s">
        <v>310</v>
      </c>
      <c r="S1007">
        <v>9</v>
      </c>
      <c r="T1007" t="s">
        <v>310</v>
      </c>
      <c r="U1007">
        <v>9</v>
      </c>
      <c r="V1007">
        <v>9</v>
      </c>
      <c r="W1007">
        <v>0</v>
      </c>
      <c r="X1007">
        <v>0</v>
      </c>
      <c r="Y1007">
        <v>0</v>
      </c>
      <c r="Z1007">
        <v>0</v>
      </c>
      <c r="AA1007">
        <v>9</v>
      </c>
      <c r="AB1007">
        <v>9</v>
      </c>
      <c r="AC1007" t="s">
        <v>310</v>
      </c>
      <c r="AD1007">
        <v>9</v>
      </c>
      <c r="AE1007" t="s">
        <v>1417</v>
      </c>
      <c r="AF1007">
        <v>10000000</v>
      </c>
      <c r="AG1007" t="s">
        <v>310</v>
      </c>
      <c r="AH1007">
        <f>SUM((MID(Dyno_Data[[#This Row],[Team]],4,5))+(Dyno_Data[[#This Row],[Match]]/100))</f>
        <v>333.17</v>
      </c>
      <c r="AI1007" s="76">
        <f>ROUND(SUM(IF(Dyno_Data[[#This Row],[AcqCenter]]&gt;0,Dyno_Data[[#This Row],[Time]]-SUMIFS(Dyno_Data[Time],Dyno_Data[Team],Dyno_Data[[#This Row],[Team]],Dyno_Data[RecordType],"StartMatch",Dyno_Data[Match],Dyno_Data[[#This Row],[Match]]),0)*86400),0)</f>
        <v>0</v>
      </c>
    </row>
    <row r="1008" spans="1:35" x14ac:dyDescent="0.3">
      <c r="A1008">
        <v>1007</v>
      </c>
      <c r="B1008" t="s">
        <v>1278</v>
      </c>
      <c r="C1008">
        <v>17</v>
      </c>
      <c r="D1008" s="105">
        <v>45373.474098692132</v>
      </c>
      <c r="E1008" t="s">
        <v>312</v>
      </c>
      <c r="F1008" t="s">
        <v>1402</v>
      </c>
      <c r="G1008">
        <v>0</v>
      </c>
      <c r="H1008" t="s">
        <v>315</v>
      </c>
      <c r="I1008">
        <v>0</v>
      </c>
      <c r="J1008">
        <v>0</v>
      </c>
      <c r="K1008">
        <v>0</v>
      </c>
      <c r="L1008" t="s">
        <v>241</v>
      </c>
      <c r="M1008" t="s">
        <v>101</v>
      </c>
      <c r="N1008">
        <v>0</v>
      </c>
      <c r="O1008" t="s">
        <v>1391</v>
      </c>
      <c r="P1008" t="s">
        <v>310</v>
      </c>
      <c r="Q1008" t="s">
        <v>310</v>
      </c>
      <c r="R1008" t="s">
        <v>310</v>
      </c>
      <c r="S1008">
        <v>9</v>
      </c>
      <c r="T1008" t="s">
        <v>310</v>
      </c>
      <c r="U1008">
        <v>9</v>
      </c>
      <c r="V1008">
        <v>9</v>
      </c>
      <c r="W1008">
        <v>0</v>
      </c>
      <c r="X1008">
        <v>0</v>
      </c>
      <c r="Y1008">
        <v>0</v>
      </c>
      <c r="Z1008">
        <v>0</v>
      </c>
      <c r="AA1008">
        <v>9</v>
      </c>
      <c r="AB1008">
        <v>9</v>
      </c>
      <c r="AC1008" t="s">
        <v>310</v>
      </c>
      <c r="AD1008">
        <v>9</v>
      </c>
      <c r="AE1008" t="s">
        <v>1412</v>
      </c>
      <c r="AF1008">
        <v>10000000</v>
      </c>
      <c r="AG1008" t="s">
        <v>310</v>
      </c>
      <c r="AH1008">
        <f>SUM((MID(Dyno_Data[[#This Row],[Team]],4,5))+(Dyno_Data[[#This Row],[Match]]/100))</f>
        <v>3951.17</v>
      </c>
      <c r="AI1008" s="76">
        <f>ROUND(SUM(IF(Dyno_Data[[#This Row],[AcqCenter]]&gt;0,Dyno_Data[[#This Row],[Time]]-SUMIFS(Dyno_Data[Time],Dyno_Data[Team],Dyno_Data[[#This Row],[Team]],Dyno_Data[RecordType],"StartMatch",Dyno_Data[Match],Dyno_Data[[#This Row],[Match]]),0)*86400),0)</f>
        <v>0</v>
      </c>
    </row>
    <row r="1009" spans="1:35" x14ac:dyDescent="0.3">
      <c r="A1009">
        <v>1008</v>
      </c>
      <c r="B1009" t="s">
        <v>1312</v>
      </c>
      <c r="C1009">
        <v>17</v>
      </c>
      <c r="D1009" s="105">
        <v>45373.474103159722</v>
      </c>
      <c r="E1009" t="s">
        <v>312</v>
      </c>
      <c r="F1009" t="s">
        <v>1402</v>
      </c>
      <c r="G1009">
        <v>0</v>
      </c>
      <c r="H1009" t="s">
        <v>315</v>
      </c>
      <c r="I1009">
        <v>0</v>
      </c>
      <c r="J1009">
        <v>0</v>
      </c>
      <c r="K1009">
        <v>0</v>
      </c>
      <c r="L1009" t="s">
        <v>241</v>
      </c>
      <c r="M1009" t="s">
        <v>101</v>
      </c>
      <c r="N1009">
        <v>0</v>
      </c>
      <c r="O1009" t="s">
        <v>1393</v>
      </c>
      <c r="P1009" t="s">
        <v>310</v>
      </c>
      <c r="Q1009" t="s">
        <v>310</v>
      </c>
      <c r="R1009" t="s">
        <v>310</v>
      </c>
      <c r="S1009">
        <v>9</v>
      </c>
      <c r="T1009" t="s">
        <v>310</v>
      </c>
      <c r="U1009">
        <v>9</v>
      </c>
      <c r="V1009">
        <v>9</v>
      </c>
      <c r="W1009">
        <v>0</v>
      </c>
      <c r="X1009">
        <v>0</v>
      </c>
      <c r="Y1009">
        <v>0</v>
      </c>
      <c r="Z1009">
        <v>0</v>
      </c>
      <c r="AA1009">
        <v>9</v>
      </c>
      <c r="AB1009">
        <v>9</v>
      </c>
      <c r="AC1009" t="s">
        <v>310</v>
      </c>
      <c r="AD1009">
        <v>9</v>
      </c>
      <c r="AE1009" t="s">
        <v>1414</v>
      </c>
      <c r="AF1009">
        <v>20001000</v>
      </c>
      <c r="AG1009" t="s">
        <v>310</v>
      </c>
      <c r="AH1009">
        <f>SUM((MID(Dyno_Data[[#This Row],[Team]],4,5))+(Dyno_Data[[#This Row],[Match]]/100))</f>
        <v>2053.17</v>
      </c>
      <c r="AI1009" s="76">
        <f>ROUND(SUM(IF(Dyno_Data[[#This Row],[AcqCenter]]&gt;0,Dyno_Data[[#This Row],[Time]]-SUMIFS(Dyno_Data[Time],Dyno_Data[Team],Dyno_Data[[#This Row],[Team]],Dyno_Data[RecordType],"StartMatch",Dyno_Data[Match],Dyno_Data[[#This Row],[Match]]),0)*86400),0)</f>
        <v>0</v>
      </c>
    </row>
    <row r="1010" spans="1:35" x14ac:dyDescent="0.3">
      <c r="A1010">
        <v>1009</v>
      </c>
      <c r="B1010" t="s">
        <v>361</v>
      </c>
      <c r="C1010">
        <v>17</v>
      </c>
      <c r="D1010" s="105">
        <v>45373.474117557867</v>
      </c>
      <c r="E1010" t="s">
        <v>312</v>
      </c>
      <c r="F1010" t="s">
        <v>1402</v>
      </c>
      <c r="G1010">
        <v>0</v>
      </c>
      <c r="H1010" t="s">
        <v>315</v>
      </c>
      <c r="I1010">
        <v>0</v>
      </c>
      <c r="J1010">
        <v>0</v>
      </c>
      <c r="K1010">
        <v>0</v>
      </c>
      <c r="L1010" t="s">
        <v>242</v>
      </c>
      <c r="M1010" t="s">
        <v>241</v>
      </c>
      <c r="N1010">
        <v>0</v>
      </c>
      <c r="O1010" t="s">
        <v>311</v>
      </c>
      <c r="P1010" t="s">
        <v>310</v>
      </c>
      <c r="Q1010" t="s">
        <v>310</v>
      </c>
      <c r="R1010" t="s">
        <v>310</v>
      </c>
      <c r="S1010">
        <v>9</v>
      </c>
      <c r="T1010" t="s">
        <v>310</v>
      </c>
      <c r="U1010">
        <v>9</v>
      </c>
      <c r="V1010">
        <v>9</v>
      </c>
      <c r="W1010">
        <v>0</v>
      </c>
      <c r="X1010">
        <v>0</v>
      </c>
      <c r="Y1010">
        <v>0</v>
      </c>
      <c r="Z1010">
        <v>0</v>
      </c>
      <c r="AA1010">
        <v>9</v>
      </c>
      <c r="AB1010">
        <v>9</v>
      </c>
      <c r="AC1010" t="s">
        <v>310</v>
      </c>
      <c r="AD1010">
        <v>9</v>
      </c>
      <c r="AE1010" t="s">
        <v>1416</v>
      </c>
      <c r="AF1010">
        <v>60001000</v>
      </c>
      <c r="AG1010" t="s">
        <v>310</v>
      </c>
      <c r="AH1010">
        <f>SUM((MID(Dyno_Data[[#This Row],[Team]],4,5))+(Dyno_Data[[#This Row],[Match]]/100))</f>
        <v>20.170000000000002</v>
      </c>
      <c r="AI1010" s="76">
        <f>ROUND(SUM(IF(Dyno_Data[[#This Row],[AcqCenter]]&gt;0,Dyno_Data[[#This Row],[Time]]-SUMIFS(Dyno_Data[Time],Dyno_Data[Team],Dyno_Data[[#This Row],[Team]],Dyno_Data[RecordType],"StartMatch",Dyno_Data[Match],Dyno_Data[[#This Row],[Match]]),0)*86400),0)</f>
        <v>0</v>
      </c>
    </row>
    <row r="1011" spans="1:35" x14ac:dyDescent="0.3">
      <c r="A1011">
        <v>1010</v>
      </c>
      <c r="B1011" t="s">
        <v>361</v>
      </c>
      <c r="C1011">
        <v>17</v>
      </c>
      <c r="D1011" s="105">
        <v>45373.474202465281</v>
      </c>
      <c r="E1011" t="s">
        <v>312</v>
      </c>
      <c r="F1011" t="s">
        <v>1402</v>
      </c>
      <c r="G1011">
        <v>0</v>
      </c>
      <c r="H1011" t="s">
        <v>315</v>
      </c>
      <c r="I1011">
        <v>0</v>
      </c>
      <c r="J1011">
        <v>0</v>
      </c>
      <c r="K1011">
        <v>0</v>
      </c>
      <c r="L1011" t="s">
        <v>242</v>
      </c>
      <c r="M1011" t="s">
        <v>241</v>
      </c>
      <c r="N1011">
        <v>0</v>
      </c>
      <c r="O1011" t="s">
        <v>311</v>
      </c>
      <c r="P1011" t="s">
        <v>310</v>
      </c>
      <c r="Q1011" t="s">
        <v>310</v>
      </c>
      <c r="R1011" t="s">
        <v>310</v>
      </c>
      <c r="S1011">
        <v>9</v>
      </c>
      <c r="T1011" t="s">
        <v>310</v>
      </c>
      <c r="U1011">
        <v>9</v>
      </c>
      <c r="V1011">
        <v>9</v>
      </c>
      <c r="W1011">
        <v>0</v>
      </c>
      <c r="X1011">
        <v>0</v>
      </c>
      <c r="Y1011">
        <v>0</v>
      </c>
      <c r="Z1011">
        <v>0</v>
      </c>
      <c r="AA1011">
        <v>9</v>
      </c>
      <c r="AB1011">
        <v>9</v>
      </c>
      <c r="AC1011" t="s">
        <v>310</v>
      </c>
      <c r="AD1011">
        <v>9</v>
      </c>
      <c r="AE1011" t="s">
        <v>1416</v>
      </c>
      <c r="AF1011">
        <v>70001000</v>
      </c>
      <c r="AG1011" t="s">
        <v>310</v>
      </c>
      <c r="AH1011">
        <f>SUM((MID(Dyno_Data[[#This Row],[Team]],4,5))+(Dyno_Data[[#This Row],[Match]]/100))</f>
        <v>20.170000000000002</v>
      </c>
      <c r="AI1011" s="76">
        <f>ROUND(SUM(IF(Dyno_Data[[#This Row],[AcqCenter]]&gt;0,Dyno_Data[[#This Row],[Time]]-SUMIFS(Dyno_Data[Time],Dyno_Data[Team],Dyno_Data[[#This Row],[Team]],Dyno_Data[RecordType],"StartMatch",Dyno_Data[Match],Dyno_Data[[#This Row],[Match]]),0)*86400),0)</f>
        <v>0</v>
      </c>
    </row>
    <row r="1012" spans="1:35" x14ac:dyDescent="0.3">
      <c r="A1012">
        <v>1011</v>
      </c>
      <c r="B1012" t="s">
        <v>318</v>
      </c>
      <c r="C1012">
        <v>17</v>
      </c>
      <c r="D1012" s="105">
        <v>45373.474203784725</v>
      </c>
      <c r="E1012" t="s">
        <v>312</v>
      </c>
      <c r="F1012" t="s">
        <v>1402</v>
      </c>
      <c r="G1012">
        <v>0</v>
      </c>
      <c r="H1012" t="s">
        <v>315</v>
      </c>
      <c r="I1012">
        <v>0</v>
      </c>
      <c r="J1012">
        <v>0</v>
      </c>
      <c r="K1012">
        <v>0</v>
      </c>
      <c r="L1012" t="s">
        <v>241</v>
      </c>
      <c r="M1012" t="s">
        <v>1398</v>
      </c>
      <c r="N1012">
        <v>0</v>
      </c>
      <c r="O1012" t="s">
        <v>319</v>
      </c>
      <c r="P1012" t="s">
        <v>310</v>
      </c>
      <c r="Q1012" t="s">
        <v>310</v>
      </c>
      <c r="R1012" t="s">
        <v>310</v>
      </c>
      <c r="S1012">
        <v>9</v>
      </c>
      <c r="T1012" t="s">
        <v>310</v>
      </c>
      <c r="U1012">
        <v>9</v>
      </c>
      <c r="V1012">
        <v>9</v>
      </c>
      <c r="W1012">
        <v>0</v>
      </c>
      <c r="X1012">
        <v>0</v>
      </c>
      <c r="Y1012">
        <v>0</v>
      </c>
      <c r="Z1012">
        <v>0</v>
      </c>
      <c r="AA1012">
        <v>9</v>
      </c>
      <c r="AB1012">
        <v>9</v>
      </c>
      <c r="AC1012" t="s">
        <v>310</v>
      </c>
      <c r="AD1012">
        <v>9</v>
      </c>
      <c r="AE1012" t="s">
        <v>1413</v>
      </c>
      <c r="AF1012">
        <v>20000000</v>
      </c>
      <c r="AG1012" t="s">
        <v>310</v>
      </c>
      <c r="AH1012">
        <f>SUM((MID(Dyno_Data[[#This Row],[Team]],4,5))+(Dyno_Data[[#This Row],[Match]]/100))</f>
        <v>639.16999999999996</v>
      </c>
      <c r="AI1012" s="76">
        <f>ROUND(SUM(IF(Dyno_Data[[#This Row],[AcqCenter]]&gt;0,Dyno_Data[[#This Row],[Time]]-SUMIFS(Dyno_Data[Time],Dyno_Data[Team],Dyno_Data[[#This Row],[Team]],Dyno_Data[RecordType],"StartMatch",Dyno_Data[Match],Dyno_Data[[#This Row],[Match]]),0)*86400),0)</f>
        <v>0</v>
      </c>
    </row>
    <row r="1013" spans="1:35" x14ac:dyDescent="0.3">
      <c r="A1013">
        <v>1012</v>
      </c>
      <c r="B1013" t="s">
        <v>1312</v>
      </c>
      <c r="C1013">
        <v>17</v>
      </c>
      <c r="D1013" s="105">
        <v>45373.474258796297</v>
      </c>
      <c r="E1013" t="s">
        <v>312</v>
      </c>
      <c r="F1013" t="s">
        <v>1402</v>
      </c>
      <c r="G1013">
        <v>0</v>
      </c>
      <c r="H1013" t="s">
        <v>315</v>
      </c>
      <c r="I1013">
        <v>0</v>
      </c>
      <c r="J1013">
        <v>0</v>
      </c>
      <c r="K1013">
        <v>0</v>
      </c>
      <c r="L1013" t="s">
        <v>241</v>
      </c>
      <c r="M1013" t="s">
        <v>101</v>
      </c>
      <c r="N1013">
        <v>0</v>
      </c>
      <c r="O1013" t="s">
        <v>1393</v>
      </c>
      <c r="P1013" t="s">
        <v>310</v>
      </c>
      <c r="Q1013" t="s">
        <v>310</v>
      </c>
      <c r="R1013" t="s">
        <v>310</v>
      </c>
      <c r="S1013">
        <v>9</v>
      </c>
      <c r="T1013" t="s">
        <v>310</v>
      </c>
      <c r="U1013">
        <v>9</v>
      </c>
      <c r="V1013">
        <v>9</v>
      </c>
      <c r="W1013">
        <v>0</v>
      </c>
      <c r="X1013">
        <v>0</v>
      </c>
      <c r="Y1013">
        <v>0</v>
      </c>
      <c r="Z1013">
        <v>0</v>
      </c>
      <c r="AA1013">
        <v>9</v>
      </c>
      <c r="AB1013">
        <v>9</v>
      </c>
      <c r="AC1013" t="s">
        <v>310</v>
      </c>
      <c r="AD1013">
        <v>9</v>
      </c>
      <c r="AE1013" t="s">
        <v>1414</v>
      </c>
      <c r="AF1013">
        <v>30001000</v>
      </c>
      <c r="AG1013" t="s">
        <v>310</v>
      </c>
      <c r="AH1013">
        <f>SUM((MID(Dyno_Data[[#This Row],[Team]],4,5))+(Dyno_Data[[#This Row],[Match]]/100))</f>
        <v>2053.17</v>
      </c>
      <c r="AI1013" s="76">
        <f>ROUND(SUM(IF(Dyno_Data[[#This Row],[AcqCenter]]&gt;0,Dyno_Data[[#This Row],[Time]]-SUMIFS(Dyno_Data[Time],Dyno_Data[Team],Dyno_Data[[#This Row],[Team]],Dyno_Data[RecordType],"StartMatch",Dyno_Data[Match],Dyno_Data[[#This Row],[Match]]),0)*86400),0)</f>
        <v>0</v>
      </c>
    </row>
    <row r="1014" spans="1:35" x14ac:dyDescent="0.3">
      <c r="A1014">
        <v>1013</v>
      </c>
      <c r="B1014" t="s">
        <v>361</v>
      </c>
      <c r="C1014">
        <v>17</v>
      </c>
      <c r="D1014" s="105">
        <v>45373.474292939813</v>
      </c>
      <c r="E1014" t="s">
        <v>312</v>
      </c>
      <c r="F1014" t="s">
        <v>1402</v>
      </c>
      <c r="G1014">
        <v>0</v>
      </c>
      <c r="H1014" t="s">
        <v>315</v>
      </c>
      <c r="I1014">
        <v>0</v>
      </c>
      <c r="J1014">
        <v>0</v>
      </c>
      <c r="K1014">
        <v>0</v>
      </c>
      <c r="L1014" t="s">
        <v>242</v>
      </c>
      <c r="M1014" t="s">
        <v>241</v>
      </c>
      <c r="N1014">
        <v>0</v>
      </c>
      <c r="O1014" t="s">
        <v>311</v>
      </c>
      <c r="P1014" t="s">
        <v>310</v>
      </c>
      <c r="Q1014" t="s">
        <v>310</v>
      </c>
      <c r="R1014" t="s">
        <v>310</v>
      </c>
      <c r="S1014">
        <v>9</v>
      </c>
      <c r="T1014" t="s">
        <v>310</v>
      </c>
      <c r="U1014">
        <v>9</v>
      </c>
      <c r="V1014">
        <v>9</v>
      </c>
      <c r="W1014">
        <v>0</v>
      </c>
      <c r="X1014">
        <v>0</v>
      </c>
      <c r="Y1014">
        <v>0</v>
      </c>
      <c r="Z1014">
        <v>0</v>
      </c>
      <c r="AA1014">
        <v>9</v>
      </c>
      <c r="AB1014">
        <v>9</v>
      </c>
      <c r="AC1014" t="s">
        <v>310</v>
      </c>
      <c r="AD1014">
        <v>9</v>
      </c>
      <c r="AE1014" t="s">
        <v>1416</v>
      </c>
      <c r="AF1014">
        <v>80001000</v>
      </c>
      <c r="AG1014" t="s">
        <v>310</v>
      </c>
      <c r="AH1014">
        <f>SUM((MID(Dyno_Data[[#This Row],[Team]],4,5))+(Dyno_Data[[#This Row],[Match]]/100))</f>
        <v>20.170000000000002</v>
      </c>
      <c r="AI1014" s="76">
        <f>ROUND(SUM(IF(Dyno_Data[[#This Row],[AcqCenter]]&gt;0,Dyno_Data[[#This Row],[Time]]-SUMIFS(Dyno_Data[Time],Dyno_Data[Team],Dyno_Data[[#This Row],[Team]],Dyno_Data[RecordType],"StartMatch",Dyno_Data[Match],Dyno_Data[[#This Row],[Match]]),0)*86400),0)</f>
        <v>0</v>
      </c>
    </row>
    <row r="1015" spans="1:35" x14ac:dyDescent="0.3">
      <c r="A1015">
        <v>1014</v>
      </c>
      <c r="B1015" t="s">
        <v>318</v>
      </c>
      <c r="C1015">
        <v>17</v>
      </c>
      <c r="D1015" s="105">
        <v>45373.474319016204</v>
      </c>
      <c r="E1015" t="s">
        <v>312</v>
      </c>
      <c r="F1015" t="s">
        <v>1402</v>
      </c>
      <c r="G1015">
        <v>0</v>
      </c>
      <c r="H1015" t="s">
        <v>315</v>
      </c>
      <c r="I1015">
        <v>0</v>
      </c>
      <c r="J1015">
        <v>0</v>
      </c>
      <c r="K1015">
        <v>0</v>
      </c>
      <c r="L1015" t="s">
        <v>241</v>
      </c>
      <c r="M1015" t="s">
        <v>1398</v>
      </c>
      <c r="N1015">
        <v>0</v>
      </c>
      <c r="O1015" t="s">
        <v>319</v>
      </c>
      <c r="P1015" t="s">
        <v>310</v>
      </c>
      <c r="Q1015" t="s">
        <v>310</v>
      </c>
      <c r="R1015" t="s">
        <v>310</v>
      </c>
      <c r="S1015">
        <v>9</v>
      </c>
      <c r="T1015" t="s">
        <v>310</v>
      </c>
      <c r="U1015">
        <v>9</v>
      </c>
      <c r="V1015">
        <v>9</v>
      </c>
      <c r="W1015">
        <v>0</v>
      </c>
      <c r="X1015">
        <v>0</v>
      </c>
      <c r="Y1015">
        <v>0</v>
      </c>
      <c r="Z1015">
        <v>0</v>
      </c>
      <c r="AA1015">
        <v>9</v>
      </c>
      <c r="AB1015">
        <v>9</v>
      </c>
      <c r="AC1015" t="s">
        <v>310</v>
      </c>
      <c r="AD1015">
        <v>9</v>
      </c>
      <c r="AE1015" t="s">
        <v>1413</v>
      </c>
      <c r="AF1015">
        <v>30000000</v>
      </c>
      <c r="AG1015" t="s">
        <v>310</v>
      </c>
      <c r="AH1015">
        <f>SUM((MID(Dyno_Data[[#This Row],[Team]],4,5))+(Dyno_Data[[#This Row],[Match]]/100))</f>
        <v>639.16999999999996</v>
      </c>
      <c r="AI1015" s="76">
        <f>ROUND(SUM(IF(Dyno_Data[[#This Row],[AcqCenter]]&gt;0,Dyno_Data[[#This Row],[Time]]-SUMIFS(Dyno_Data[Time],Dyno_Data[Team],Dyno_Data[[#This Row],[Team]],Dyno_Data[RecordType],"StartMatch",Dyno_Data[Match],Dyno_Data[[#This Row],[Match]]),0)*86400),0)</f>
        <v>0</v>
      </c>
    </row>
    <row r="1016" spans="1:35" x14ac:dyDescent="0.3">
      <c r="A1016">
        <v>1015</v>
      </c>
      <c r="B1016" t="s">
        <v>1282</v>
      </c>
      <c r="C1016">
        <v>17</v>
      </c>
      <c r="D1016" s="105">
        <v>45373.474325613424</v>
      </c>
      <c r="E1016" t="s">
        <v>312</v>
      </c>
      <c r="F1016" t="s">
        <v>1402</v>
      </c>
      <c r="G1016">
        <v>0</v>
      </c>
      <c r="H1016" t="s">
        <v>315</v>
      </c>
      <c r="I1016">
        <v>0</v>
      </c>
      <c r="J1016">
        <v>0</v>
      </c>
      <c r="K1016">
        <v>0</v>
      </c>
      <c r="L1016" t="s">
        <v>241</v>
      </c>
      <c r="M1016" t="s">
        <v>101</v>
      </c>
      <c r="N1016">
        <v>0</v>
      </c>
      <c r="O1016" t="s">
        <v>1395</v>
      </c>
      <c r="P1016" t="s">
        <v>310</v>
      </c>
      <c r="Q1016" t="s">
        <v>310</v>
      </c>
      <c r="R1016" t="s">
        <v>310</v>
      </c>
      <c r="S1016">
        <v>9</v>
      </c>
      <c r="T1016" t="s">
        <v>310</v>
      </c>
      <c r="U1016">
        <v>9</v>
      </c>
      <c r="V1016">
        <v>9</v>
      </c>
      <c r="W1016">
        <v>0</v>
      </c>
      <c r="X1016">
        <v>0</v>
      </c>
      <c r="Y1016">
        <v>0</v>
      </c>
      <c r="Z1016">
        <v>0</v>
      </c>
      <c r="AA1016">
        <v>9</v>
      </c>
      <c r="AB1016">
        <v>9</v>
      </c>
      <c r="AC1016" t="s">
        <v>310</v>
      </c>
      <c r="AD1016">
        <v>9</v>
      </c>
      <c r="AE1016" t="s">
        <v>1417</v>
      </c>
      <c r="AF1016">
        <v>20000000</v>
      </c>
      <c r="AG1016" t="s">
        <v>310</v>
      </c>
      <c r="AH1016">
        <f>SUM((MID(Dyno_Data[[#This Row],[Team]],4,5))+(Dyno_Data[[#This Row],[Match]]/100))</f>
        <v>333.17</v>
      </c>
      <c r="AI1016" s="76">
        <f>ROUND(SUM(IF(Dyno_Data[[#This Row],[AcqCenter]]&gt;0,Dyno_Data[[#This Row],[Time]]-SUMIFS(Dyno_Data[Time],Dyno_Data[Team],Dyno_Data[[#This Row],[Team]],Dyno_Data[RecordType],"StartMatch",Dyno_Data[Match],Dyno_Data[[#This Row],[Match]]),0)*86400),0)</f>
        <v>0</v>
      </c>
    </row>
    <row r="1017" spans="1:35" x14ac:dyDescent="0.3">
      <c r="A1017">
        <v>1016</v>
      </c>
      <c r="B1017" t="s">
        <v>1278</v>
      </c>
      <c r="C1017">
        <v>17</v>
      </c>
      <c r="D1017" s="105">
        <v>45373.474394560188</v>
      </c>
      <c r="E1017" t="s">
        <v>312</v>
      </c>
      <c r="F1017" t="s">
        <v>1402</v>
      </c>
      <c r="G1017">
        <v>0</v>
      </c>
      <c r="H1017" t="s">
        <v>315</v>
      </c>
      <c r="I1017">
        <v>0</v>
      </c>
      <c r="J1017">
        <v>0</v>
      </c>
      <c r="K1017">
        <v>0</v>
      </c>
      <c r="L1017" t="s">
        <v>241</v>
      </c>
      <c r="M1017" t="s">
        <v>101</v>
      </c>
      <c r="N1017">
        <v>0</v>
      </c>
      <c r="O1017" t="s">
        <v>1391</v>
      </c>
      <c r="P1017" t="s">
        <v>310</v>
      </c>
      <c r="Q1017" t="s">
        <v>310</v>
      </c>
      <c r="R1017" t="s">
        <v>310</v>
      </c>
      <c r="S1017">
        <v>9</v>
      </c>
      <c r="T1017" t="s">
        <v>310</v>
      </c>
      <c r="U1017">
        <v>9</v>
      </c>
      <c r="V1017">
        <v>9</v>
      </c>
      <c r="W1017">
        <v>0</v>
      </c>
      <c r="X1017">
        <v>0</v>
      </c>
      <c r="Y1017">
        <v>0</v>
      </c>
      <c r="Z1017">
        <v>0</v>
      </c>
      <c r="AA1017">
        <v>9</v>
      </c>
      <c r="AB1017">
        <v>9</v>
      </c>
      <c r="AC1017" t="s">
        <v>310</v>
      </c>
      <c r="AD1017">
        <v>9</v>
      </c>
      <c r="AE1017" t="s">
        <v>1412</v>
      </c>
      <c r="AF1017">
        <v>20000000</v>
      </c>
      <c r="AG1017" t="s">
        <v>310</v>
      </c>
      <c r="AH1017">
        <f>SUM((MID(Dyno_Data[[#This Row],[Team]],4,5))+(Dyno_Data[[#This Row],[Match]]/100))</f>
        <v>3951.17</v>
      </c>
      <c r="AI1017" s="76">
        <f>ROUND(SUM(IF(Dyno_Data[[#This Row],[AcqCenter]]&gt;0,Dyno_Data[[#This Row],[Time]]-SUMIFS(Dyno_Data[Time],Dyno_Data[Team],Dyno_Data[[#This Row],[Team]],Dyno_Data[RecordType],"StartMatch",Dyno_Data[Match],Dyno_Data[[#This Row],[Match]]),0)*86400),0)</f>
        <v>0</v>
      </c>
    </row>
    <row r="1018" spans="1:35" x14ac:dyDescent="0.3">
      <c r="A1018">
        <v>1017</v>
      </c>
      <c r="B1018" t="s">
        <v>361</v>
      </c>
      <c r="C1018">
        <v>17</v>
      </c>
      <c r="D1018" s="105">
        <v>45373.474477430558</v>
      </c>
      <c r="E1018" t="s">
        <v>312</v>
      </c>
      <c r="F1018" t="s">
        <v>1402</v>
      </c>
      <c r="G1018">
        <v>0</v>
      </c>
      <c r="H1018" t="s">
        <v>315</v>
      </c>
      <c r="I1018">
        <v>0</v>
      </c>
      <c r="J1018">
        <v>0</v>
      </c>
      <c r="K1018">
        <v>0</v>
      </c>
      <c r="L1018" t="s">
        <v>241</v>
      </c>
      <c r="M1018" t="s">
        <v>1398</v>
      </c>
      <c r="N1018">
        <v>1</v>
      </c>
      <c r="O1018" t="s">
        <v>311</v>
      </c>
      <c r="P1018" t="s">
        <v>310</v>
      </c>
      <c r="Q1018" t="s">
        <v>310</v>
      </c>
      <c r="R1018" t="s">
        <v>310</v>
      </c>
      <c r="S1018">
        <v>9</v>
      </c>
      <c r="T1018" t="s">
        <v>310</v>
      </c>
      <c r="U1018">
        <v>9</v>
      </c>
      <c r="V1018">
        <v>9</v>
      </c>
      <c r="W1018">
        <v>0</v>
      </c>
      <c r="X1018">
        <v>0</v>
      </c>
      <c r="Y1018">
        <v>0</v>
      </c>
      <c r="Z1018">
        <v>0</v>
      </c>
      <c r="AA1018">
        <v>9</v>
      </c>
      <c r="AB1018">
        <v>9</v>
      </c>
      <c r="AC1018" t="s">
        <v>310</v>
      </c>
      <c r="AD1018">
        <v>9</v>
      </c>
      <c r="AE1018" t="s">
        <v>1416</v>
      </c>
      <c r="AF1018">
        <v>90001000</v>
      </c>
      <c r="AG1018" t="s">
        <v>310</v>
      </c>
      <c r="AH1018">
        <f>SUM((MID(Dyno_Data[[#This Row],[Team]],4,5))+(Dyno_Data[[#This Row],[Match]]/100))</f>
        <v>20.170000000000002</v>
      </c>
      <c r="AI1018" s="76">
        <f>ROUND(SUM(IF(Dyno_Data[[#This Row],[AcqCenter]]&gt;0,Dyno_Data[[#This Row],[Time]]-SUMIFS(Dyno_Data[Time],Dyno_Data[Team],Dyno_Data[[#This Row],[Team]],Dyno_Data[RecordType],"StartMatch",Dyno_Data[Match],Dyno_Data[[#This Row],[Match]]),0)*86400),0)</f>
        <v>0</v>
      </c>
    </row>
    <row r="1019" spans="1:35" x14ac:dyDescent="0.3">
      <c r="A1019">
        <v>1018</v>
      </c>
      <c r="B1019" t="s">
        <v>318</v>
      </c>
      <c r="C1019">
        <v>17</v>
      </c>
      <c r="D1019" s="105">
        <v>45373.474492592592</v>
      </c>
      <c r="E1019" t="s">
        <v>312</v>
      </c>
      <c r="F1019" t="s">
        <v>1402</v>
      </c>
      <c r="G1019">
        <v>0</v>
      </c>
      <c r="H1019" t="s">
        <v>315</v>
      </c>
      <c r="I1019">
        <v>0</v>
      </c>
      <c r="J1019">
        <v>0</v>
      </c>
      <c r="K1019">
        <v>0</v>
      </c>
      <c r="L1019" t="s">
        <v>241</v>
      </c>
      <c r="M1019" t="s">
        <v>1398</v>
      </c>
      <c r="N1019">
        <v>0</v>
      </c>
      <c r="O1019" t="s">
        <v>319</v>
      </c>
      <c r="P1019" t="s">
        <v>310</v>
      </c>
      <c r="Q1019" t="s">
        <v>310</v>
      </c>
      <c r="R1019" t="s">
        <v>310</v>
      </c>
      <c r="S1019">
        <v>9</v>
      </c>
      <c r="T1019" t="s">
        <v>310</v>
      </c>
      <c r="U1019">
        <v>9</v>
      </c>
      <c r="V1019">
        <v>9</v>
      </c>
      <c r="W1019">
        <v>0</v>
      </c>
      <c r="X1019">
        <v>0</v>
      </c>
      <c r="Y1019">
        <v>0</v>
      </c>
      <c r="Z1019">
        <v>0</v>
      </c>
      <c r="AA1019">
        <v>9</v>
      </c>
      <c r="AB1019">
        <v>9</v>
      </c>
      <c r="AC1019" t="s">
        <v>310</v>
      </c>
      <c r="AD1019">
        <v>9</v>
      </c>
      <c r="AE1019" t="s">
        <v>1413</v>
      </c>
      <c r="AF1019">
        <v>40000000</v>
      </c>
      <c r="AG1019" t="s">
        <v>310</v>
      </c>
      <c r="AH1019">
        <f>SUM((MID(Dyno_Data[[#This Row],[Team]],4,5))+(Dyno_Data[[#This Row],[Match]]/100))</f>
        <v>639.16999999999996</v>
      </c>
      <c r="AI1019" s="76">
        <f>ROUND(SUM(IF(Dyno_Data[[#This Row],[AcqCenter]]&gt;0,Dyno_Data[[#This Row],[Time]]-SUMIFS(Dyno_Data[Time],Dyno_Data[Team],Dyno_Data[[#This Row],[Team]],Dyno_Data[RecordType],"StartMatch",Dyno_Data[Match],Dyno_Data[[#This Row],[Match]]),0)*86400),0)</f>
        <v>0</v>
      </c>
    </row>
    <row r="1020" spans="1:35" x14ac:dyDescent="0.3">
      <c r="A1020">
        <v>1019</v>
      </c>
      <c r="B1020" t="s">
        <v>1278</v>
      </c>
      <c r="C1020">
        <v>17</v>
      </c>
      <c r="D1020" s="105">
        <v>45373.474523761572</v>
      </c>
      <c r="E1020" t="s">
        <v>312</v>
      </c>
      <c r="F1020" t="s">
        <v>1402</v>
      </c>
      <c r="G1020">
        <v>0</v>
      </c>
      <c r="H1020" t="s">
        <v>315</v>
      </c>
      <c r="I1020">
        <v>0</v>
      </c>
      <c r="J1020">
        <v>0</v>
      </c>
      <c r="K1020">
        <v>0</v>
      </c>
      <c r="L1020" t="s">
        <v>241</v>
      </c>
      <c r="M1020" t="s">
        <v>101</v>
      </c>
      <c r="N1020">
        <v>0</v>
      </c>
      <c r="O1020" t="s">
        <v>1391</v>
      </c>
      <c r="P1020" t="s">
        <v>310</v>
      </c>
      <c r="Q1020" t="s">
        <v>310</v>
      </c>
      <c r="R1020" t="s">
        <v>310</v>
      </c>
      <c r="S1020">
        <v>9</v>
      </c>
      <c r="T1020" t="s">
        <v>310</v>
      </c>
      <c r="U1020">
        <v>9</v>
      </c>
      <c r="V1020">
        <v>9</v>
      </c>
      <c r="W1020">
        <v>0</v>
      </c>
      <c r="X1020">
        <v>0</v>
      </c>
      <c r="Y1020">
        <v>0</v>
      </c>
      <c r="Z1020">
        <v>0</v>
      </c>
      <c r="AA1020">
        <v>9</v>
      </c>
      <c r="AB1020">
        <v>9</v>
      </c>
      <c r="AC1020" t="s">
        <v>310</v>
      </c>
      <c r="AD1020">
        <v>9</v>
      </c>
      <c r="AE1020" t="s">
        <v>1412</v>
      </c>
      <c r="AF1020">
        <v>30000000</v>
      </c>
      <c r="AG1020" t="s">
        <v>310</v>
      </c>
      <c r="AH1020">
        <f>SUM((MID(Dyno_Data[[#This Row],[Team]],4,5))+(Dyno_Data[[#This Row],[Match]]/100))</f>
        <v>3951.17</v>
      </c>
      <c r="AI1020" s="76">
        <f>ROUND(SUM(IF(Dyno_Data[[#This Row],[AcqCenter]]&gt;0,Dyno_Data[[#This Row],[Time]]-SUMIFS(Dyno_Data[Time],Dyno_Data[Team],Dyno_Data[[#This Row],[Team]],Dyno_Data[RecordType],"StartMatch",Dyno_Data[Match],Dyno_Data[[#This Row],[Match]]),0)*86400),0)</f>
        <v>0</v>
      </c>
    </row>
    <row r="1021" spans="1:35" x14ac:dyDescent="0.3">
      <c r="A1021">
        <v>1020</v>
      </c>
      <c r="B1021" t="s">
        <v>1312</v>
      </c>
      <c r="C1021">
        <v>17</v>
      </c>
      <c r="D1021" s="105">
        <v>45373.474588078701</v>
      </c>
      <c r="E1021" t="s">
        <v>312</v>
      </c>
      <c r="F1021" t="s">
        <v>1402</v>
      </c>
      <c r="G1021">
        <v>0</v>
      </c>
      <c r="H1021" t="s">
        <v>315</v>
      </c>
      <c r="I1021">
        <v>0</v>
      </c>
      <c r="J1021">
        <v>0</v>
      </c>
      <c r="K1021">
        <v>0</v>
      </c>
      <c r="L1021" t="s">
        <v>241</v>
      </c>
      <c r="M1021" t="s">
        <v>1398</v>
      </c>
      <c r="N1021">
        <v>0</v>
      </c>
      <c r="O1021" t="s">
        <v>1393</v>
      </c>
      <c r="P1021" t="s">
        <v>310</v>
      </c>
      <c r="Q1021" t="s">
        <v>310</v>
      </c>
      <c r="R1021" t="s">
        <v>310</v>
      </c>
      <c r="S1021">
        <v>9</v>
      </c>
      <c r="T1021" t="s">
        <v>310</v>
      </c>
      <c r="U1021">
        <v>9</v>
      </c>
      <c r="V1021">
        <v>9</v>
      </c>
      <c r="W1021">
        <v>0</v>
      </c>
      <c r="X1021">
        <v>0</v>
      </c>
      <c r="Y1021">
        <v>0</v>
      </c>
      <c r="Z1021">
        <v>0</v>
      </c>
      <c r="AA1021">
        <v>9</v>
      </c>
      <c r="AB1021">
        <v>9</v>
      </c>
      <c r="AC1021" t="s">
        <v>310</v>
      </c>
      <c r="AD1021">
        <v>9</v>
      </c>
      <c r="AE1021" t="s">
        <v>1414</v>
      </c>
      <c r="AF1021">
        <v>40001000</v>
      </c>
      <c r="AG1021" t="s">
        <v>310</v>
      </c>
      <c r="AH1021">
        <f>SUM((MID(Dyno_Data[[#This Row],[Team]],4,5))+(Dyno_Data[[#This Row],[Match]]/100))</f>
        <v>2053.17</v>
      </c>
      <c r="AI1021" s="76">
        <f>ROUND(SUM(IF(Dyno_Data[[#This Row],[AcqCenter]]&gt;0,Dyno_Data[[#This Row],[Time]]-SUMIFS(Dyno_Data[Time],Dyno_Data[Team],Dyno_Data[[#This Row],[Team]],Dyno_Data[RecordType],"StartMatch",Dyno_Data[Match],Dyno_Data[[#This Row],[Match]]),0)*86400),0)</f>
        <v>0</v>
      </c>
    </row>
    <row r="1022" spans="1:35" x14ac:dyDescent="0.3">
      <c r="A1022">
        <v>1021</v>
      </c>
      <c r="B1022" t="s">
        <v>318</v>
      </c>
      <c r="C1022">
        <v>17</v>
      </c>
      <c r="D1022" s="105">
        <v>45373.474588923615</v>
      </c>
      <c r="E1022" t="s">
        <v>312</v>
      </c>
      <c r="F1022" t="s">
        <v>1402</v>
      </c>
      <c r="G1022">
        <v>0</v>
      </c>
      <c r="H1022" t="s">
        <v>315</v>
      </c>
      <c r="I1022">
        <v>0</v>
      </c>
      <c r="J1022">
        <v>0</v>
      </c>
      <c r="K1022">
        <v>0</v>
      </c>
      <c r="L1022" t="s">
        <v>241</v>
      </c>
      <c r="M1022" t="s">
        <v>1398</v>
      </c>
      <c r="N1022">
        <v>0</v>
      </c>
      <c r="O1022" t="s">
        <v>319</v>
      </c>
      <c r="P1022" t="s">
        <v>310</v>
      </c>
      <c r="Q1022" t="s">
        <v>310</v>
      </c>
      <c r="R1022" t="s">
        <v>310</v>
      </c>
      <c r="S1022">
        <v>9</v>
      </c>
      <c r="T1022" t="s">
        <v>310</v>
      </c>
      <c r="U1022">
        <v>9</v>
      </c>
      <c r="V1022">
        <v>9</v>
      </c>
      <c r="W1022">
        <v>0</v>
      </c>
      <c r="X1022">
        <v>0</v>
      </c>
      <c r="Y1022">
        <v>0</v>
      </c>
      <c r="Z1022">
        <v>0</v>
      </c>
      <c r="AA1022">
        <v>9</v>
      </c>
      <c r="AB1022">
        <v>9</v>
      </c>
      <c r="AC1022" t="s">
        <v>310</v>
      </c>
      <c r="AD1022">
        <v>9</v>
      </c>
      <c r="AE1022" t="s">
        <v>1413</v>
      </c>
      <c r="AF1022">
        <v>50000000</v>
      </c>
      <c r="AG1022" t="s">
        <v>310</v>
      </c>
      <c r="AH1022">
        <f>SUM((MID(Dyno_Data[[#This Row],[Team]],4,5))+(Dyno_Data[[#This Row],[Match]]/100))</f>
        <v>639.16999999999996</v>
      </c>
      <c r="AI1022" s="76">
        <f>ROUND(SUM(IF(Dyno_Data[[#This Row],[AcqCenter]]&gt;0,Dyno_Data[[#This Row],[Time]]-SUMIFS(Dyno_Data[Time],Dyno_Data[Team],Dyno_Data[[#This Row],[Team]],Dyno_Data[RecordType],"StartMatch",Dyno_Data[Match],Dyno_Data[[#This Row],[Match]]),0)*86400),0)</f>
        <v>0</v>
      </c>
    </row>
    <row r="1023" spans="1:35" x14ac:dyDescent="0.3">
      <c r="A1023">
        <v>1022</v>
      </c>
      <c r="B1023" t="s">
        <v>1282</v>
      </c>
      <c r="C1023">
        <v>17</v>
      </c>
      <c r="D1023" s="105">
        <v>45373.47460833333</v>
      </c>
      <c r="E1023" t="s">
        <v>312</v>
      </c>
      <c r="F1023" t="s">
        <v>1402</v>
      </c>
      <c r="G1023">
        <v>0</v>
      </c>
      <c r="H1023" t="s">
        <v>315</v>
      </c>
      <c r="I1023">
        <v>0</v>
      </c>
      <c r="J1023">
        <v>0</v>
      </c>
      <c r="K1023">
        <v>0</v>
      </c>
      <c r="L1023" t="s">
        <v>241</v>
      </c>
      <c r="M1023" t="s">
        <v>1398</v>
      </c>
      <c r="N1023">
        <v>0</v>
      </c>
      <c r="O1023" t="s">
        <v>1395</v>
      </c>
      <c r="P1023" t="s">
        <v>310</v>
      </c>
      <c r="Q1023" t="s">
        <v>310</v>
      </c>
      <c r="R1023" t="s">
        <v>310</v>
      </c>
      <c r="S1023">
        <v>9</v>
      </c>
      <c r="T1023" t="s">
        <v>310</v>
      </c>
      <c r="U1023">
        <v>9</v>
      </c>
      <c r="V1023">
        <v>9</v>
      </c>
      <c r="W1023">
        <v>0</v>
      </c>
      <c r="X1023">
        <v>0</v>
      </c>
      <c r="Y1023">
        <v>0</v>
      </c>
      <c r="Z1023">
        <v>0</v>
      </c>
      <c r="AA1023">
        <v>9</v>
      </c>
      <c r="AB1023">
        <v>9</v>
      </c>
      <c r="AC1023" t="s">
        <v>310</v>
      </c>
      <c r="AD1023">
        <v>9</v>
      </c>
      <c r="AE1023" t="s">
        <v>1417</v>
      </c>
      <c r="AF1023">
        <v>30000000</v>
      </c>
      <c r="AG1023" t="s">
        <v>310</v>
      </c>
      <c r="AH1023">
        <f>SUM((MID(Dyno_Data[[#This Row],[Team]],4,5))+(Dyno_Data[[#This Row],[Match]]/100))</f>
        <v>333.17</v>
      </c>
      <c r="AI1023" s="76">
        <f>ROUND(SUM(IF(Dyno_Data[[#This Row],[AcqCenter]]&gt;0,Dyno_Data[[#This Row],[Time]]-SUMIFS(Dyno_Data[Time],Dyno_Data[Team],Dyno_Data[[#This Row],[Team]],Dyno_Data[RecordType],"StartMatch",Dyno_Data[Match],Dyno_Data[[#This Row],[Match]]),0)*86400),0)</f>
        <v>0</v>
      </c>
    </row>
    <row r="1024" spans="1:35" x14ac:dyDescent="0.3">
      <c r="A1024">
        <v>1023</v>
      </c>
      <c r="B1024" t="s">
        <v>361</v>
      </c>
      <c r="C1024">
        <v>17</v>
      </c>
      <c r="D1024" s="105">
        <v>45373.474808993058</v>
      </c>
      <c r="E1024" t="s">
        <v>312</v>
      </c>
      <c r="F1024" t="s">
        <v>1402</v>
      </c>
      <c r="G1024">
        <v>0</v>
      </c>
      <c r="H1024" t="s">
        <v>315</v>
      </c>
      <c r="I1024">
        <v>0</v>
      </c>
      <c r="J1024">
        <v>0</v>
      </c>
      <c r="K1024">
        <v>0</v>
      </c>
      <c r="L1024" t="s">
        <v>240</v>
      </c>
      <c r="M1024" t="s">
        <v>1398</v>
      </c>
      <c r="N1024">
        <v>0</v>
      </c>
      <c r="O1024" t="s">
        <v>311</v>
      </c>
      <c r="P1024" t="s">
        <v>310</v>
      </c>
      <c r="Q1024" t="s">
        <v>310</v>
      </c>
      <c r="R1024" t="s">
        <v>310</v>
      </c>
      <c r="S1024">
        <v>9</v>
      </c>
      <c r="T1024" t="s">
        <v>310</v>
      </c>
      <c r="U1024">
        <v>9</v>
      </c>
      <c r="V1024">
        <v>9</v>
      </c>
      <c r="W1024">
        <v>0</v>
      </c>
      <c r="X1024">
        <v>0</v>
      </c>
      <c r="Y1024">
        <v>0</v>
      </c>
      <c r="Z1024">
        <v>0</v>
      </c>
      <c r="AA1024">
        <v>9</v>
      </c>
      <c r="AB1024">
        <v>9</v>
      </c>
      <c r="AC1024" t="s">
        <v>310</v>
      </c>
      <c r="AD1024">
        <v>9</v>
      </c>
      <c r="AE1024" t="s">
        <v>1416</v>
      </c>
      <c r="AF1024">
        <v>100001000</v>
      </c>
      <c r="AG1024" t="s">
        <v>310</v>
      </c>
      <c r="AH1024">
        <f>SUM((MID(Dyno_Data[[#This Row],[Team]],4,5))+(Dyno_Data[[#This Row],[Match]]/100))</f>
        <v>20.170000000000002</v>
      </c>
      <c r="AI1024" s="76">
        <f>ROUND(SUM(IF(Dyno_Data[[#This Row],[AcqCenter]]&gt;0,Dyno_Data[[#This Row],[Time]]-SUMIFS(Dyno_Data[Time],Dyno_Data[Team],Dyno_Data[[#This Row],[Team]],Dyno_Data[RecordType],"StartMatch",Dyno_Data[Match],Dyno_Data[[#This Row],[Match]]),0)*86400),0)</f>
        <v>0</v>
      </c>
    </row>
    <row r="1025" spans="1:35" x14ac:dyDescent="0.3">
      <c r="A1025">
        <v>1024</v>
      </c>
      <c r="B1025" t="s">
        <v>1312</v>
      </c>
      <c r="C1025">
        <v>17</v>
      </c>
      <c r="D1025" s="105">
        <v>45373.474818252318</v>
      </c>
      <c r="E1025" t="s">
        <v>312</v>
      </c>
      <c r="F1025" t="s">
        <v>1402</v>
      </c>
      <c r="G1025">
        <v>0</v>
      </c>
      <c r="H1025" t="s">
        <v>315</v>
      </c>
      <c r="I1025">
        <v>0</v>
      </c>
      <c r="J1025">
        <v>0</v>
      </c>
      <c r="K1025">
        <v>0</v>
      </c>
      <c r="L1025" t="s">
        <v>241</v>
      </c>
      <c r="M1025" t="s">
        <v>101</v>
      </c>
      <c r="N1025">
        <v>0</v>
      </c>
      <c r="O1025" t="s">
        <v>1393</v>
      </c>
      <c r="P1025" t="s">
        <v>310</v>
      </c>
      <c r="Q1025" t="s">
        <v>310</v>
      </c>
      <c r="R1025" t="s">
        <v>310</v>
      </c>
      <c r="S1025">
        <v>9</v>
      </c>
      <c r="T1025" t="s">
        <v>310</v>
      </c>
      <c r="U1025">
        <v>9</v>
      </c>
      <c r="V1025">
        <v>9</v>
      </c>
      <c r="W1025">
        <v>0</v>
      </c>
      <c r="X1025">
        <v>0</v>
      </c>
      <c r="Y1025">
        <v>0</v>
      </c>
      <c r="Z1025">
        <v>0</v>
      </c>
      <c r="AA1025">
        <v>9</v>
      </c>
      <c r="AB1025">
        <v>9</v>
      </c>
      <c r="AC1025" t="s">
        <v>310</v>
      </c>
      <c r="AD1025">
        <v>9</v>
      </c>
      <c r="AE1025" t="s">
        <v>1414</v>
      </c>
      <c r="AF1025">
        <v>50001000</v>
      </c>
      <c r="AG1025" t="s">
        <v>310</v>
      </c>
      <c r="AH1025">
        <f>SUM((MID(Dyno_Data[[#This Row],[Team]],4,5))+(Dyno_Data[[#This Row],[Match]]/100))</f>
        <v>2053.17</v>
      </c>
      <c r="AI1025" s="76">
        <f>ROUND(SUM(IF(Dyno_Data[[#This Row],[AcqCenter]]&gt;0,Dyno_Data[[#This Row],[Time]]-SUMIFS(Dyno_Data[Time],Dyno_Data[Team],Dyno_Data[[#This Row],[Team]],Dyno_Data[RecordType],"StartMatch",Dyno_Data[Match],Dyno_Data[[#This Row],[Match]]),0)*86400),0)</f>
        <v>0</v>
      </c>
    </row>
    <row r="1026" spans="1:35" x14ac:dyDescent="0.3">
      <c r="A1026">
        <v>1025</v>
      </c>
      <c r="B1026" t="s">
        <v>318</v>
      </c>
      <c r="C1026">
        <v>17</v>
      </c>
      <c r="D1026" s="105">
        <v>45373.474858368056</v>
      </c>
      <c r="E1026" t="s">
        <v>312</v>
      </c>
      <c r="F1026" t="s">
        <v>1402</v>
      </c>
      <c r="G1026">
        <v>0</v>
      </c>
      <c r="H1026" t="s">
        <v>315</v>
      </c>
      <c r="I1026">
        <v>0</v>
      </c>
      <c r="J1026">
        <v>0</v>
      </c>
      <c r="K1026">
        <v>0</v>
      </c>
      <c r="L1026" t="s">
        <v>241</v>
      </c>
      <c r="M1026" t="s">
        <v>1398</v>
      </c>
      <c r="N1026">
        <v>0</v>
      </c>
      <c r="O1026" t="s">
        <v>319</v>
      </c>
      <c r="P1026" t="s">
        <v>310</v>
      </c>
      <c r="Q1026" t="s">
        <v>310</v>
      </c>
      <c r="R1026" t="s">
        <v>310</v>
      </c>
      <c r="S1026">
        <v>9</v>
      </c>
      <c r="T1026" t="s">
        <v>310</v>
      </c>
      <c r="U1026">
        <v>9</v>
      </c>
      <c r="V1026">
        <v>9</v>
      </c>
      <c r="W1026">
        <v>0</v>
      </c>
      <c r="X1026">
        <v>0</v>
      </c>
      <c r="Y1026">
        <v>0</v>
      </c>
      <c r="Z1026">
        <v>0</v>
      </c>
      <c r="AA1026">
        <v>9</v>
      </c>
      <c r="AB1026">
        <v>9</v>
      </c>
      <c r="AC1026" t="s">
        <v>310</v>
      </c>
      <c r="AD1026">
        <v>9</v>
      </c>
      <c r="AE1026" t="s">
        <v>1413</v>
      </c>
      <c r="AF1026">
        <v>60000000</v>
      </c>
      <c r="AG1026" t="s">
        <v>310</v>
      </c>
      <c r="AH1026">
        <f>SUM((MID(Dyno_Data[[#This Row],[Team]],4,5))+(Dyno_Data[[#This Row],[Match]]/100))</f>
        <v>639.16999999999996</v>
      </c>
      <c r="AI1026" s="76">
        <f>ROUND(SUM(IF(Dyno_Data[[#This Row],[AcqCenter]]&gt;0,Dyno_Data[[#This Row],[Time]]-SUMIFS(Dyno_Data[Time],Dyno_Data[Team],Dyno_Data[[#This Row],[Team]],Dyno_Data[RecordType],"StartMatch",Dyno_Data[Match],Dyno_Data[[#This Row],[Match]]),0)*86400),0)</f>
        <v>0</v>
      </c>
    </row>
    <row r="1027" spans="1:35" x14ac:dyDescent="0.3">
      <c r="A1027">
        <v>1026</v>
      </c>
      <c r="B1027" t="s">
        <v>1278</v>
      </c>
      <c r="C1027">
        <v>17</v>
      </c>
      <c r="D1027" s="105">
        <v>45373.474912500002</v>
      </c>
      <c r="E1027" t="s">
        <v>312</v>
      </c>
      <c r="F1027" t="s">
        <v>1402</v>
      </c>
      <c r="G1027">
        <v>0</v>
      </c>
      <c r="H1027" t="s">
        <v>315</v>
      </c>
      <c r="I1027">
        <v>0</v>
      </c>
      <c r="J1027">
        <v>0</v>
      </c>
      <c r="K1027">
        <v>0</v>
      </c>
      <c r="L1027" t="s">
        <v>241</v>
      </c>
      <c r="M1027" t="s">
        <v>101</v>
      </c>
      <c r="N1027">
        <v>0</v>
      </c>
      <c r="O1027" t="s">
        <v>1391</v>
      </c>
      <c r="P1027" t="s">
        <v>310</v>
      </c>
      <c r="Q1027" t="s">
        <v>310</v>
      </c>
      <c r="R1027" t="s">
        <v>310</v>
      </c>
      <c r="S1027">
        <v>9</v>
      </c>
      <c r="T1027" t="s">
        <v>310</v>
      </c>
      <c r="U1027">
        <v>9</v>
      </c>
      <c r="V1027">
        <v>9</v>
      </c>
      <c r="W1027">
        <v>0</v>
      </c>
      <c r="X1027">
        <v>0</v>
      </c>
      <c r="Y1027">
        <v>0</v>
      </c>
      <c r="Z1027">
        <v>0</v>
      </c>
      <c r="AA1027">
        <v>9</v>
      </c>
      <c r="AB1027">
        <v>9</v>
      </c>
      <c r="AC1027" t="s">
        <v>310</v>
      </c>
      <c r="AD1027">
        <v>9</v>
      </c>
      <c r="AE1027" t="s">
        <v>1412</v>
      </c>
      <c r="AF1027">
        <v>40000000</v>
      </c>
      <c r="AG1027" t="s">
        <v>310</v>
      </c>
      <c r="AH1027">
        <f>SUM((MID(Dyno_Data[[#This Row],[Team]],4,5))+(Dyno_Data[[#This Row],[Match]]/100))</f>
        <v>3951.17</v>
      </c>
      <c r="AI1027" s="76">
        <f>ROUND(SUM(IF(Dyno_Data[[#This Row],[AcqCenter]]&gt;0,Dyno_Data[[#This Row],[Time]]-SUMIFS(Dyno_Data[Time],Dyno_Data[Team],Dyno_Data[[#This Row],[Team]],Dyno_Data[RecordType],"StartMatch",Dyno_Data[Match],Dyno_Data[[#This Row],[Match]]),0)*86400),0)</f>
        <v>0</v>
      </c>
    </row>
    <row r="1028" spans="1:35" x14ac:dyDescent="0.3">
      <c r="A1028">
        <v>1027</v>
      </c>
      <c r="B1028" t="s">
        <v>1282</v>
      </c>
      <c r="C1028">
        <v>17</v>
      </c>
      <c r="D1028" s="105">
        <v>45373.47495520833</v>
      </c>
      <c r="E1028" t="s">
        <v>312</v>
      </c>
      <c r="F1028" t="s">
        <v>1402</v>
      </c>
      <c r="G1028">
        <v>0</v>
      </c>
      <c r="H1028" t="s">
        <v>315</v>
      </c>
      <c r="I1028">
        <v>0</v>
      </c>
      <c r="J1028">
        <v>0</v>
      </c>
      <c r="K1028">
        <v>0</v>
      </c>
      <c r="L1028" t="s">
        <v>241</v>
      </c>
      <c r="M1028" t="s">
        <v>1398</v>
      </c>
      <c r="N1028">
        <v>0</v>
      </c>
      <c r="O1028" t="s">
        <v>1395</v>
      </c>
      <c r="P1028" t="s">
        <v>310</v>
      </c>
      <c r="Q1028" t="s">
        <v>310</v>
      </c>
      <c r="R1028" t="s">
        <v>310</v>
      </c>
      <c r="S1028">
        <v>9</v>
      </c>
      <c r="T1028" t="s">
        <v>310</v>
      </c>
      <c r="U1028">
        <v>9</v>
      </c>
      <c r="V1028">
        <v>9</v>
      </c>
      <c r="W1028">
        <v>0</v>
      </c>
      <c r="X1028">
        <v>0</v>
      </c>
      <c r="Y1028">
        <v>0</v>
      </c>
      <c r="Z1028">
        <v>0</v>
      </c>
      <c r="AA1028">
        <v>9</v>
      </c>
      <c r="AB1028">
        <v>9</v>
      </c>
      <c r="AC1028" t="s">
        <v>310</v>
      </c>
      <c r="AD1028">
        <v>9</v>
      </c>
      <c r="AE1028" t="s">
        <v>1417</v>
      </c>
      <c r="AF1028">
        <v>40000000</v>
      </c>
      <c r="AG1028" t="s">
        <v>310</v>
      </c>
      <c r="AH1028">
        <f>SUM((MID(Dyno_Data[[#This Row],[Team]],4,5))+(Dyno_Data[[#This Row],[Match]]/100))</f>
        <v>333.17</v>
      </c>
      <c r="AI1028" s="76">
        <f>ROUND(SUM(IF(Dyno_Data[[#This Row],[AcqCenter]]&gt;0,Dyno_Data[[#This Row],[Time]]-SUMIFS(Dyno_Data[Time],Dyno_Data[Team],Dyno_Data[[#This Row],[Team]],Dyno_Data[RecordType],"StartMatch",Dyno_Data[Match],Dyno_Data[[#This Row],[Match]]),0)*86400),0)</f>
        <v>0</v>
      </c>
    </row>
    <row r="1029" spans="1:35" x14ac:dyDescent="0.3">
      <c r="A1029">
        <v>1028</v>
      </c>
      <c r="B1029" t="s">
        <v>361</v>
      </c>
      <c r="C1029">
        <v>17</v>
      </c>
      <c r="D1029" s="105">
        <v>45373.475000115737</v>
      </c>
      <c r="E1029" t="s">
        <v>312</v>
      </c>
      <c r="F1029" t="s">
        <v>1402</v>
      </c>
      <c r="G1029">
        <v>0</v>
      </c>
      <c r="H1029" t="s">
        <v>315</v>
      </c>
      <c r="I1029">
        <v>0</v>
      </c>
      <c r="J1029">
        <v>0</v>
      </c>
      <c r="K1029">
        <v>0</v>
      </c>
      <c r="L1029" t="s">
        <v>241</v>
      </c>
      <c r="M1029" t="s">
        <v>1398</v>
      </c>
      <c r="N1029">
        <v>0</v>
      </c>
      <c r="O1029" t="s">
        <v>311</v>
      </c>
      <c r="P1029" t="s">
        <v>310</v>
      </c>
      <c r="Q1029" t="s">
        <v>310</v>
      </c>
      <c r="R1029" t="s">
        <v>310</v>
      </c>
      <c r="S1029">
        <v>9</v>
      </c>
      <c r="T1029" t="s">
        <v>310</v>
      </c>
      <c r="U1029">
        <v>9</v>
      </c>
      <c r="V1029">
        <v>9</v>
      </c>
      <c r="W1029">
        <v>0</v>
      </c>
      <c r="X1029">
        <v>0</v>
      </c>
      <c r="Y1029">
        <v>0</v>
      </c>
      <c r="Z1029">
        <v>0</v>
      </c>
      <c r="AA1029">
        <v>9</v>
      </c>
      <c r="AB1029">
        <v>9</v>
      </c>
      <c r="AC1029" t="s">
        <v>310</v>
      </c>
      <c r="AD1029">
        <v>9</v>
      </c>
      <c r="AE1029" t="s">
        <v>1416</v>
      </c>
      <c r="AF1029">
        <v>110001000</v>
      </c>
      <c r="AG1029" t="s">
        <v>310</v>
      </c>
      <c r="AH1029">
        <f>SUM((MID(Dyno_Data[[#This Row],[Team]],4,5))+(Dyno_Data[[#This Row],[Match]]/100))</f>
        <v>20.170000000000002</v>
      </c>
      <c r="AI1029" s="76">
        <f>ROUND(SUM(IF(Dyno_Data[[#This Row],[AcqCenter]]&gt;0,Dyno_Data[[#This Row],[Time]]-SUMIFS(Dyno_Data[Time],Dyno_Data[Team],Dyno_Data[[#This Row],[Team]],Dyno_Data[RecordType],"StartMatch",Dyno_Data[Match],Dyno_Data[[#This Row],[Match]]),0)*86400),0)</f>
        <v>0</v>
      </c>
    </row>
    <row r="1030" spans="1:35" x14ac:dyDescent="0.3">
      <c r="A1030">
        <v>1029</v>
      </c>
      <c r="B1030" t="s">
        <v>1312</v>
      </c>
      <c r="C1030">
        <v>17</v>
      </c>
      <c r="D1030" s="105">
        <v>45373.4750369213</v>
      </c>
      <c r="E1030" t="s">
        <v>312</v>
      </c>
      <c r="F1030" t="s">
        <v>1402</v>
      </c>
      <c r="G1030">
        <v>0</v>
      </c>
      <c r="H1030" t="s">
        <v>315</v>
      </c>
      <c r="I1030">
        <v>0</v>
      </c>
      <c r="J1030">
        <v>0</v>
      </c>
      <c r="K1030">
        <v>0</v>
      </c>
      <c r="L1030" t="s">
        <v>241</v>
      </c>
      <c r="M1030" t="s">
        <v>101</v>
      </c>
      <c r="N1030">
        <v>0</v>
      </c>
      <c r="O1030" t="s">
        <v>1393</v>
      </c>
      <c r="P1030" t="s">
        <v>310</v>
      </c>
      <c r="Q1030" t="s">
        <v>310</v>
      </c>
      <c r="R1030" t="s">
        <v>310</v>
      </c>
      <c r="S1030">
        <v>9</v>
      </c>
      <c r="T1030" t="s">
        <v>310</v>
      </c>
      <c r="U1030">
        <v>9</v>
      </c>
      <c r="V1030">
        <v>9</v>
      </c>
      <c r="W1030">
        <v>0</v>
      </c>
      <c r="X1030">
        <v>0</v>
      </c>
      <c r="Y1030">
        <v>0</v>
      </c>
      <c r="Z1030">
        <v>0</v>
      </c>
      <c r="AA1030">
        <v>9</v>
      </c>
      <c r="AB1030">
        <v>9</v>
      </c>
      <c r="AC1030" t="s">
        <v>310</v>
      </c>
      <c r="AD1030">
        <v>9</v>
      </c>
      <c r="AE1030" t="s">
        <v>1414</v>
      </c>
      <c r="AF1030">
        <v>60101000</v>
      </c>
      <c r="AG1030" t="s">
        <v>310</v>
      </c>
      <c r="AH1030">
        <f>SUM((MID(Dyno_Data[[#This Row],[Team]],4,5))+(Dyno_Data[[#This Row],[Match]]/100))</f>
        <v>2053.17</v>
      </c>
      <c r="AI1030" s="76">
        <f>ROUND(SUM(IF(Dyno_Data[[#This Row],[AcqCenter]]&gt;0,Dyno_Data[[#This Row],[Time]]-SUMIFS(Dyno_Data[Time],Dyno_Data[Team],Dyno_Data[[#This Row],[Team]],Dyno_Data[RecordType],"StartMatch",Dyno_Data[Match],Dyno_Data[[#This Row],[Match]]),0)*86400),0)</f>
        <v>0</v>
      </c>
    </row>
    <row r="1031" spans="1:35" x14ac:dyDescent="0.3">
      <c r="A1031">
        <v>1030</v>
      </c>
      <c r="B1031" t="s">
        <v>318</v>
      </c>
      <c r="C1031">
        <v>17</v>
      </c>
      <c r="D1031" s="105">
        <v>45373.47503908565</v>
      </c>
      <c r="E1031" t="s">
        <v>312</v>
      </c>
      <c r="F1031" t="s">
        <v>1402</v>
      </c>
      <c r="G1031">
        <v>0</v>
      </c>
      <c r="H1031" t="s">
        <v>315</v>
      </c>
      <c r="I1031">
        <v>0</v>
      </c>
      <c r="J1031">
        <v>0</v>
      </c>
      <c r="K1031">
        <v>0</v>
      </c>
      <c r="L1031" t="s">
        <v>241</v>
      </c>
      <c r="M1031" t="s">
        <v>1398</v>
      </c>
      <c r="N1031">
        <v>0</v>
      </c>
      <c r="O1031" t="s">
        <v>319</v>
      </c>
      <c r="P1031" t="s">
        <v>310</v>
      </c>
      <c r="Q1031" t="s">
        <v>310</v>
      </c>
      <c r="R1031" t="s">
        <v>310</v>
      </c>
      <c r="S1031">
        <v>9</v>
      </c>
      <c r="T1031" t="s">
        <v>310</v>
      </c>
      <c r="U1031">
        <v>9</v>
      </c>
      <c r="V1031">
        <v>9</v>
      </c>
      <c r="W1031">
        <v>0</v>
      </c>
      <c r="X1031">
        <v>0</v>
      </c>
      <c r="Y1031">
        <v>0</v>
      </c>
      <c r="Z1031">
        <v>0</v>
      </c>
      <c r="AA1031">
        <v>9</v>
      </c>
      <c r="AB1031">
        <v>9</v>
      </c>
      <c r="AC1031" t="s">
        <v>310</v>
      </c>
      <c r="AD1031">
        <v>9</v>
      </c>
      <c r="AE1031" t="s">
        <v>1413</v>
      </c>
      <c r="AF1031">
        <v>70000000</v>
      </c>
      <c r="AG1031" t="s">
        <v>310</v>
      </c>
      <c r="AH1031">
        <f>SUM((MID(Dyno_Data[[#This Row],[Team]],4,5))+(Dyno_Data[[#This Row],[Match]]/100))</f>
        <v>639.16999999999996</v>
      </c>
      <c r="AI1031" s="76">
        <f>ROUND(SUM(IF(Dyno_Data[[#This Row],[AcqCenter]]&gt;0,Dyno_Data[[#This Row],[Time]]-SUMIFS(Dyno_Data[Time],Dyno_Data[Team],Dyno_Data[[#This Row],[Team]],Dyno_Data[RecordType],"StartMatch",Dyno_Data[Match],Dyno_Data[[#This Row],[Match]]),0)*86400),0)</f>
        <v>0</v>
      </c>
    </row>
    <row r="1032" spans="1:35" x14ac:dyDescent="0.3">
      <c r="A1032">
        <v>1031</v>
      </c>
      <c r="B1032" t="s">
        <v>318</v>
      </c>
      <c r="C1032">
        <v>17</v>
      </c>
      <c r="D1032" s="105">
        <v>45373.475106597223</v>
      </c>
      <c r="E1032" t="s">
        <v>312</v>
      </c>
      <c r="F1032" t="s">
        <v>1402</v>
      </c>
      <c r="G1032">
        <v>0</v>
      </c>
      <c r="H1032" t="s">
        <v>315</v>
      </c>
      <c r="I1032">
        <v>0</v>
      </c>
      <c r="J1032">
        <v>0</v>
      </c>
      <c r="K1032">
        <v>0</v>
      </c>
      <c r="L1032" t="s">
        <v>241</v>
      </c>
      <c r="M1032" t="s">
        <v>1398</v>
      </c>
      <c r="N1032">
        <v>0</v>
      </c>
      <c r="O1032" t="s">
        <v>319</v>
      </c>
      <c r="P1032" t="s">
        <v>310</v>
      </c>
      <c r="Q1032" t="s">
        <v>310</v>
      </c>
      <c r="R1032" t="s">
        <v>310</v>
      </c>
      <c r="S1032">
        <v>9</v>
      </c>
      <c r="T1032" t="s">
        <v>310</v>
      </c>
      <c r="U1032">
        <v>9</v>
      </c>
      <c r="V1032">
        <v>9</v>
      </c>
      <c r="W1032">
        <v>0</v>
      </c>
      <c r="X1032">
        <v>0</v>
      </c>
      <c r="Y1032">
        <v>0</v>
      </c>
      <c r="Z1032">
        <v>0</v>
      </c>
      <c r="AA1032">
        <v>9</v>
      </c>
      <c r="AB1032">
        <v>9</v>
      </c>
      <c r="AC1032" t="s">
        <v>310</v>
      </c>
      <c r="AD1032">
        <v>9</v>
      </c>
      <c r="AE1032" t="s">
        <v>1413</v>
      </c>
      <c r="AF1032">
        <v>80000000</v>
      </c>
      <c r="AG1032" t="s">
        <v>310</v>
      </c>
      <c r="AH1032">
        <f>SUM((MID(Dyno_Data[[#This Row],[Team]],4,5))+(Dyno_Data[[#This Row],[Match]]/100))</f>
        <v>639.16999999999996</v>
      </c>
      <c r="AI1032" s="76">
        <f>ROUND(SUM(IF(Dyno_Data[[#This Row],[AcqCenter]]&gt;0,Dyno_Data[[#This Row],[Time]]-SUMIFS(Dyno_Data[Time],Dyno_Data[Team],Dyno_Data[[#This Row],[Team]],Dyno_Data[RecordType],"StartMatch",Dyno_Data[Match],Dyno_Data[[#This Row],[Match]]),0)*86400),0)</f>
        <v>0</v>
      </c>
    </row>
    <row r="1033" spans="1:35" x14ac:dyDescent="0.3">
      <c r="A1033">
        <v>1032</v>
      </c>
      <c r="B1033" t="s">
        <v>361</v>
      </c>
      <c r="C1033">
        <v>17</v>
      </c>
      <c r="D1033" s="105">
        <v>45373.475177430555</v>
      </c>
      <c r="E1033" t="s">
        <v>312</v>
      </c>
      <c r="F1033" t="s">
        <v>1402</v>
      </c>
      <c r="G1033">
        <v>0</v>
      </c>
      <c r="H1033" t="s">
        <v>315</v>
      </c>
      <c r="I1033">
        <v>0</v>
      </c>
      <c r="J1033">
        <v>0</v>
      </c>
      <c r="K1033">
        <v>0</v>
      </c>
      <c r="L1033" t="s">
        <v>241</v>
      </c>
      <c r="M1033" t="s">
        <v>1398</v>
      </c>
      <c r="N1033">
        <v>0</v>
      </c>
      <c r="O1033" t="s">
        <v>311</v>
      </c>
      <c r="P1033" t="s">
        <v>310</v>
      </c>
      <c r="Q1033" t="s">
        <v>310</v>
      </c>
      <c r="R1033" t="s">
        <v>310</v>
      </c>
      <c r="S1033">
        <v>9</v>
      </c>
      <c r="T1033" t="s">
        <v>310</v>
      </c>
      <c r="U1033">
        <v>9</v>
      </c>
      <c r="V1033">
        <v>9</v>
      </c>
      <c r="W1033">
        <v>0</v>
      </c>
      <c r="X1033">
        <v>0</v>
      </c>
      <c r="Y1033">
        <v>0</v>
      </c>
      <c r="Z1033">
        <v>0</v>
      </c>
      <c r="AA1033">
        <v>9</v>
      </c>
      <c r="AB1033">
        <v>9</v>
      </c>
      <c r="AC1033" t="s">
        <v>310</v>
      </c>
      <c r="AD1033">
        <v>9</v>
      </c>
      <c r="AE1033" t="s">
        <v>1416</v>
      </c>
      <c r="AF1033">
        <v>120001000</v>
      </c>
      <c r="AG1033" t="s">
        <v>310</v>
      </c>
      <c r="AH1033">
        <f>SUM((MID(Dyno_Data[[#This Row],[Team]],4,5))+(Dyno_Data[[#This Row],[Match]]/100))</f>
        <v>20.170000000000002</v>
      </c>
      <c r="AI1033" s="76">
        <f>ROUND(SUM(IF(Dyno_Data[[#This Row],[AcqCenter]]&gt;0,Dyno_Data[[#This Row],[Time]]-SUMIFS(Dyno_Data[Time],Dyno_Data[Team],Dyno_Data[[#This Row],[Team]],Dyno_Data[RecordType],"StartMatch",Dyno_Data[Match],Dyno_Data[[#This Row],[Match]]),0)*86400),0)</f>
        <v>0</v>
      </c>
    </row>
    <row r="1034" spans="1:35" x14ac:dyDescent="0.3">
      <c r="A1034">
        <v>1033</v>
      </c>
      <c r="B1034" t="s">
        <v>1312</v>
      </c>
      <c r="C1034">
        <v>17</v>
      </c>
      <c r="D1034" s="105">
        <v>45373.47523556713</v>
      </c>
      <c r="E1034" t="s">
        <v>312</v>
      </c>
      <c r="F1034" t="s">
        <v>1402</v>
      </c>
      <c r="G1034">
        <v>0</v>
      </c>
      <c r="H1034" t="s">
        <v>315</v>
      </c>
      <c r="I1034">
        <v>0</v>
      </c>
      <c r="J1034">
        <v>0</v>
      </c>
      <c r="K1034">
        <v>0</v>
      </c>
      <c r="L1034" t="s">
        <v>241</v>
      </c>
      <c r="M1034" t="s">
        <v>1398</v>
      </c>
      <c r="N1034">
        <v>1</v>
      </c>
      <c r="O1034" t="s">
        <v>1393</v>
      </c>
      <c r="P1034" t="s">
        <v>310</v>
      </c>
      <c r="Q1034" t="s">
        <v>310</v>
      </c>
      <c r="R1034" t="s">
        <v>310</v>
      </c>
      <c r="S1034">
        <v>9</v>
      </c>
      <c r="T1034" t="s">
        <v>310</v>
      </c>
      <c r="U1034">
        <v>9</v>
      </c>
      <c r="V1034">
        <v>9</v>
      </c>
      <c r="W1034">
        <v>0</v>
      </c>
      <c r="X1034">
        <v>0</v>
      </c>
      <c r="Y1034">
        <v>0</v>
      </c>
      <c r="Z1034">
        <v>0</v>
      </c>
      <c r="AA1034">
        <v>9</v>
      </c>
      <c r="AB1034">
        <v>9</v>
      </c>
      <c r="AC1034" t="s">
        <v>310</v>
      </c>
      <c r="AD1034">
        <v>9</v>
      </c>
      <c r="AE1034" t="s">
        <v>1414</v>
      </c>
      <c r="AF1034">
        <v>70301000</v>
      </c>
      <c r="AG1034" t="s">
        <v>310</v>
      </c>
      <c r="AH1034">
        <f>SUM((MID(Dyno_Data[[#This Row],[Team]],4,5))+(Dyno_Data[[#This Row],[Match]]/100))</f>
        <v>2053.17</v>
      </c>
      <c r="AI1034" s="76">
        <f>ROUND(SUM(IF(Dyno_Data[[#This Row],[AcqCenter]]&gt;0,Dyno_Data[[#This Row],[Time]]-SUMIFS(Dyno_Data[Time],Dyno_Data[Team],Dyno_Data[[#This Row],[Team]],Dyno_Data[RecordType],"StartMatch",Dyno_Data[Match],Dyno_Data[[#This Row],[Match]]),0)*86400),0)</f>
        <v>0</v>
      </c>
    </row>
    <row r="1035" spans="1:35" x14ac:dyDescent="0.3">
      <c r="A1035">
        <v>1034</v>
      </c>
      <c r="B1035" t="s">
        <v>361</v>
      </c>
      <c r="C1035">
        <v>17</v>
      </c>
      <c r="D1035" s="105">
        <v>45373.47614097222</v>
      </c>
      <c r="E1035" t="s">
        <v>316</v>
      </c>
      <c r="F1035" t="s">
        <v>317</v>
      </c>
      <c r="G1035">
        <v>1</v>
      </c>
      <c r="H1035" t="s">
        <v>310</v>
      </c>
      <c r="I1035">
        <v>0</v>
      </c>
      <c r="J1035">
        <v>0</v>
      </c>
      <c r="K1035">
        <v>0</v>
      </c>
      <c r="L1035" t="s">
        <v>310</v>
      </c>
      <c r="M1035" t="s">
        <v>310</v>
      </c>
      <c r="N1035">
        <v>0</v>
      </c>
      <c r="O1035" t="s">
        <v>311</v>
      </c>
      <c r="P1035" t="s">
        <v>1401</v>
      </c>
      <c r="Q1035" t="s">
        <v>1400</v>
      </c>
      <c r="R1035" t="s">
        <v>1405</v>
      </c>
      <c r="S1035">
        <v>1</v>
      </c>
      <c r="T1035" t="s">
        <v>1407</v>
      </c>
      <c r="U1035">
        <v>0</v>
      </c>
      <c r="V1035">
        <v>0</v>
      </c>
      <c r="W1035">
        <v>5.3142683000000002</v>
      </c>
      <c r="X1035">
        <v>48.157598499999999</v>
      </c>
      <c r="Y1035">
        <v>36.839543999999997</v>
      </c>
      <c r="Z1035">
        <v>37.2072875</v>
      </c>
      <c r="AA1035">
        <v>0</v>
      </c>
      <c r="AB1035">
        <v>1</v>
      </c>
      <c r="AC1035" t="s">
        <v>174</v>
      </c>
      <c r="AD1035">
        <v>9</v>
      </c>
      <c r="AE1035" t="s">
        <v>1416</v>
      </c>
      <c r="AF1035">
        <v>120001000</v>
      </c>
      <c r="AG1035" t="s">
        <v>310</v>
      </c>
      <c r="AH1035">
        <f>SUM((MID(Dyno_Data[[#This Row],[Team]],4,5))+(Dyno_Data[[#This Row],[Match]]/100))</f>
        <v>20.170000000000002</v>
      </c>
      <c r="AI1035" s="76">
        <f>ROUND(SUM(IF(Dyno_Data[[#This Row],[AcqCenter]]&gt;0,Dyno_Data[[#This Row],[Time]]-SUMIFS(Dyno_Data[Time],Dyno_Data[Team],Dyno_Data[[#This Row],[Team]],Dyno_Data[RecordType],"StartMatch",Dyno_Data[Match],Dyno_Data[[#This Row],[Match]]),0)*86400),0)</f>
        <v>0</v>
      </c>
    </row>
    <row r="1036" spans="1:35" x14ac:dyDescent="0.3">
      <c r="A1036">
        <v>1035</v>
      </c>
      <c r="B1036" t="s">
        <v>1278</v>
      </c>
      <c r="C1036">
        <v>17</v>
      </c>
      <c r="D1036" s="105">
        <v>45373.476141122686</v>
      </c>
      <c r="E1036" t="s">
        <v>316</v>
      </c>
      <c r="F1036" t="s">
        <v>317</v>
      </c>
      <c r="G1036">
        <v>0</v>
      </c>
      <c r="H1036" t="s">
        <v>310</v>
      </c>
      <c r="I1036">
        <v>0</v>
      </c>
      <c r="J1036">
        <v>0</v>
      </c>
      <c r="K1036">
        <v>0</v>
      </c>
      <c r="L1036" t="s">
        <v>310</v>
      </c>
      <c r="M1036" t="s">
        <v>310</v>
      </c>
      <c r="N1036">
        <v>0</v>
      </c>
      <c r="O1036" t="s">
        <v>1391</v>
      </c>
      <c r="P1036" t="s">
        <v>240</v>
      </c>
      <c r="Q1036" t="s">
        <v>1399</v>
      </c>
      <c r="R1036" t="s">
        <v>1404</v>
      </c>
      <c r="S1036">
        <v>0</v>
      </c>
      <c r="T1036" t="s">
        <v>105</v>
      </c>
      <c r="U1036">
        <v>9</v>
      </c>
      <c r="V1036">
        <v>9</v>
      </c>
      <c r="W1036">
        <v>0</v>
      </c>
      <c r="X1036">
        <v>12.605853399999999</v>
      </c>
      <c r="Y1036">
        <v>5.9637209999999996</v>
      </c>
      <c r="Z1036">
        <v>104.7703774</v>
      </c>
      <c r="AA1036">
        <v>0</v>
      </c>
      <c r="AB1036">
        <v>0</v>
      </c>
      <c r="AC1036" t="s">
        <v>173</v>
      </c>
      <c r="AD1036">
        <v>1</v>
      </c>
      <c r="AE1036" t="s">
        <v>1412</v>
      </c>
      <c r="AF1036">
        <v>40000000</v>
      </c>
      <c r="AG1036" t="s">
        <v>310</v>
      </c>
      <c r="AH1036">
        <f>SUM((MID(Dyno_Data[[#This Row],[Team]],4,5))+(Dyno_Data[[#This Row],[Match]]/100))</f>
        <v>3951.17</v>
      </c>
      <c r="AI1036" s="76">
        <f>ROUND(SUM(IF(Dyno_Data[[#This Row],[AcqCenter]]&gt;0,Dyno_Data[[#This Row],[Time]]-SUMIFS(Dyno_Data[Time],Dyno_Data[Team],Dyno_Data[[#This Row],[Team]],Dyno_Data[RecordType],"StartMatch",Dyno_Data[Match],Dyno_Data[[#This Row],[Match]]),0)*86400),0)</f>
        <v>0</v>
      </c>
    </row>
    <row r="1037" spans="1:35" x14ac:dyDescent="0.3">
      <c r="A1037">
        <v>1036</v>
      </c>
      <c r="B1037" t="s">
        <v>318</v>
      </c>
      <c r="C1037">
        <v>17</v>
      </c>
      <c r="D1037" s="105">
        <v>45373.476141203704</v>
      </c>
      <c r="E1037" t="s">
        <v>316</v>
      </c>
      <c r="F1037" t="s">
        <v>317</v>
      </c>
      <c r="G1037">
        <v>0</v>
      </c>
      <c r="H1037" t="s">
        <v>310</v>
      </c>
      <c r="I1037">
        <v>0</v>
      </c>
      <c r="J1037">
        <v>0</v>
      </c>
      <c r="K1037">
        <v>0</v>
      </c>
      <c r="L1037" t="s">
        <v>310</v>
      </c>
      <c r="M1037" t="s">
        <v>310</v>
      </c>
      <c r="N1037">
        <v>0</v>
      </c>
      <c r="O1037" t="s">
        <v>319</v>
      </c>
      <c r="P1037" t="s">
        <v>101</v>
      </c>
      <c r="Q1037" t="s">
        <v>1400</v>
      </c>
      <c r="R1037" t="s">
        <v>1404</v>
      </c>
      <c r="S1037">
        <v>-1</v>
      </c>
      <c r="T1037" t="s">
        <v>105</v>
      </c>
      <c r="U1037">
        <v>9</v>
      </c>
      <c r="V1037">
        <v>9</v>
      </c>
      <c r="W1037">
        <v>16.330018599999999</v>
      </c>
      <c r="X1037">
        <v>34.505620100000002</v>
      </c>
      <c r="Y1037">
        <v>19.905557399999999</v>
      </c>
      <c r="Z1037">
        <v>63.902189699999994</v>
      </c>
      <c r="AA1037">
        <v>0</v>
      </c>
      <c r="AB1037">
        <v>0</v>
      </c>
      <c r="AC1037" t="s">
        <v>174</v>
      </c>
      <c r="AD1037">
        <v>9</v>
      </c>
      <c r="AE1037" t="s">
        <v>1413</v>
      </c>
      <c r="AF1037">
        <v>80000000</v>
      </c>
      <c r="AG1037" t="s">
        <v>310</v>
      </c>
      <c r="AH1037">
        <f>SUM((MID(Dyno_Data[[#This Row],[Team]],4,5))+(Dyno_Data[[#This Row],[Match]]/100))</f>
        <v>639.16999999999996</v>
      </c>
      <c r="AI1037" s="76">
        <f>ROUND(SUM(IF(Dyno_Data[[#This Row],[AcqCenter]]&gt;0,Dyno_Data[[#This Row],[Time]]-SUMIFS(Dyno_Data[Time],Dyno_Data[Team],Dyno_Data[[#This Row],[Team]],Dyno_Data[RecordType],"StartMatch",Dyno_Data[Match],Dyno_Data[[#This Row],[Match]]),0)*86400),0)</f>
        <v>0</v>
      </c>
    </row>
    <row r="1038" spans="1:35" x14ac:dyDescent="0.3">
      <c r="A1038">
        <v>1037</v>
      </c>
      <c r="B1038" t="s">
        <v>1312</v>
      </c>
      <c r="C1038">
        <v>17</v>
      </c>
      <c r="D1038" s="105">
        <v>45373.476141319443</v>
      </c>
      <c r="E1038" t="s">
        <v>316</v>
      </c>
      <c r="F1038" t="s">
        <v>317</v>
      </c>
      <c r="G1038">
        <v>1</v>
      </c>
      <c r="H1038" t="s">
        <v>310</v>
      </c>
      <c r="I1038">
        <v>0</v>
      </c>
      <c r="J1038">
        <v>0</v>
      </c>
      <c r="K1038">
        <v>0</v>
      </c>
      <c r="L1038" t="s">
        <v>310</v>
      </c>
      <c r="M1038" t="s">
        <v>310</v>
      </c>
      <c r="N1038">
        <v>0</v>
      </c>
      <c r="O1038" t="s">
        <v>1393</v>
      </c>
      <c r="P1038" t="s">
        <v>240</v>
      </c>
      <c r="Q1038" t="s">
        <v>1400</v>
      </c>
      <c r="R1038" t="s">
        <v>1404</v>
      </c>
      <c r="S1038">
        <v>-1</v>
      </c>
      <c r="T1038" t="s">
        <v>105</v>
      </c>
      <c r="U1038">
        <v>9</v>
      </c>
      <c r="V1038">
        <v>9</v>
      </c>
      <c r="W1038">
        <v>0.1843774</v>
      </c>
      <c r="X1038">
        <v>36.049422199999995</v>
      </c>
      <c r="Y1038">
        <v>18.657697299999999</v>
      </c>
      <c r="Z1038">
        <v>77.930810100000002</v>
      </c>
      <c r="AA1038">
        <v>1</v>
      </c>
      <c r="AB1038">
        <v>0</v>
      </c>
      <c r="AC1038" t="s">
        <v>174</v>
      </c>
      <c r="AD1038">
        <v>9</v>
      </c>
      <c r="AE1038" t="s">
        <v>1414</v>
      </c>
      <c r="AF1038">
        <v>70301000</v>
      </c>
      <c r="AG1038" t="s">
        <v>310</v>
      </c>
      <c r="AH1038">
        <f>SUM((MID(Dyno_Data[[#This Row],[Team]],4,5))+(Dyno_Data[[#This Row],[Match]]/100))</f>
        <v>2053.17</v>
      </c>
      <c r="AI1038" s="76">
        <f>ROUND(SUM(IF(Dyno_Data[[#This Row],[AcqCenter]]&gt;0,Dyno_Data[[#This Row],[Time]]-SUMIFS(Dyno_Data[Time],Dyno_Data[Team],Dyno_Data[[#This Row],[Team]],Dyno_Data[RecordType],"StartMatch",Dyno_Data[Match],Dyno_Data[[#This Row],[Match]]),0)*86400),0)</f>
        <v>0</v>
      </c>
    </row>
    <row r="1039" spans="1:35" x14ac:dyDescent="0.3">
      <c r="A1039">
        <v>1038</v>
      </c>
      <c r="B1039" t="s">
        <v>373</v>
      </c>
      <c r="C1039">
        <v>17</v>
      </c>
      <c r="D1039" s="105">
        <v>45373.476141435189</v>
      </c>
      <c r="E1039" t="s">
        <v>316</v>
      </c>
      <c r="F1039" t="s">
        <v>317</v>
      </c>
      <c r="G1039">
        <v>0</v>
      </c>
      <c r="H1039" t="s">
        <v>310</v>
      </c>
      <c r="I1039">
        <v>0</v>
      </c>
      <c r="J1039">
        <v>0</v>
      </c>
      <c r="K1039">
        <v>0</v>
      </c>
      <c r="L1039" t="s">
        <v>310</v>
      </c>
      <c r="M1039" t="s">
        <v>310</v>
      </c>
      <c r="N1039">
        <v>0</v>
      </c>
      <c r="O1039" t="s">
        <v>1389</v>
      </c>
      <c r="P1039" t="s">
        <v>1401</v>
      </c>
      <c r="Q1039" t="s">
        <v>1399</v>
      </c>
      <c r="R1039" t="s">
        <v>1404</v>
      </c>
      <c r="S1039">
        <v>-1</v>
      </c>
      <c r="T1039" t="s">
        <v>105</v>
      </c>
      <c r="U1039">
        <v>9</v>
      </c>
      <c r="V1039">
        <v>9</v>
      </c>
      <c r="W1039">
        <v>13.0777629</v>
      </c>
      <c r="X1039">
        <v>0</v>
      </c>
      <c r="Y1039">
        <v>39.536111999999996</v>
      </c>
      <c r="Z1039">
        <v>72.081060800000003</v>
      </c>
      <c r="AA1039">
        <v>1</v>
      </c>
      <c r="AB1039">
        <v>0</v>
      </c>
      <c r="AC1039" t="s">
        <v>170</v>
      </c>
      <c r="AD1039">
        <v>0</v>
      </c>
      <c r="AE1039" t="s">
        <v>1418</v>
      </c>
      <c r="AF1039">
        <v>0</v>
      </c>
      <c r="AG1039" t="s">
        <v>310</v>
      </c>
      <c r="AH1039">
        <f>SUM((MID(Dyno_Data[[#This Row],[Team]],4,5))+(Dyno_Data[[#This Row],[Match]]/100))</f>
        <v>7718.17</v>
      </c>
      <c r="AI1039" s="76">
        <f>ROUND(SUM(IF(Dyno_Data[[#This Row],[AcqCenter]]&gt;0,Dyno_Data[[#This Row],[Time]]-SUMIFS(Dyno_Data[Time],Dyno_Data[Team],Dyno_Data[[#This Row],[Team]],Dyno_Data[RecordType],"StartMatch",Dyno_Data[Match],Dyno_Data[[#This Row],[Match]]),0)*86400),0)</f>
        <v>0</v>
      </c>
    </row>
    <row r="1040" spans="1:35" x14ac:dyDescent="0.3">
      <c r="A1040">
        <v>1039</v>
      </c>
      <c r="B1040" t="s">
        <v>1282</v>
      </c>
      <c r="C1040">
        <v>17</v>
      </c>
      <c r="D1040" s="105">
        <v>45373.476141550927</v>
      </c>
      <c r="E1040" t="s">
        <v>316</v>
      </c>
      <c r="F1040" t="s">
        <v>317</v>
      </c>
      <c r="G1040">
        <v>1</v>
      </c>
      <c r="H1040" t="s">
        <v>310</v>
      </c>
      <c r="I1040">
        <v>0</v>
      </c>
      <c r="J1040">
        <v>0</v>
      </c>
      <c r="K1040">
        <v>0</v>
      </c>
      <c r="L1040" t="s">
        <v>310</v>
      </c>
      <c r="M1040" t="s">
        <v>310</v>
      </c>
      <c r="N1040">
        <v>0</v>
      </c>
      <c r="O1040" t="s">
        <v>1395</v>
      </c>
      <c r="P1040" t="s">
        <v>240</v>
      </c>
      <c r="Q1040" t="s">
        <v>1400</v>
      </c>
      <c r="R1040" t="s">
        <v>1404</v>
      </c>
      <c r="S1040">
        <v>-1</v>
      </c>
      <c r="T1040" t="s">
        <v>105</v>
      </c>
      <c r="U1040">
        <v>9</v>
      </c>
      <c r="V1040">
        <v>9</v>
      </c>
      <c r="W1040">
        <v>25.9026633</v>
      </c>
      <c r="X1040">
        <v>15.046293799999999</v>
      </c>
      <c r="Y1040">
        <v>20.093516599999997</v>
      </c>
      <c r="Z1040">
        <v>74.530004300000002</v>
      </c>
      <c r="AA1040">
        <v>0</v>
      </c>
      <c r="AB1040">
        <v>0</v>
      </c>
      <c r="AC1040" t="s">
        <v>174</v>
      </c>
      <c r="AD1040">
        <v>9</v>
      </c>
      <c r="AE1040" t="s">
        <v>1417</v>
      </c>
      <c r="AF1040">
        <v>40000000</v>
      </c>
      <c r="AG1040" t="s">
        <v>310</v>
      </c>
      <c r="AH1040">
        <f>SUM((MID(Dyno_Data[[#This Row],[Team]],4,5))+(Dyno_Data[[#This Row],[Match]]/100))</f>
        <v>333.17</v>
      </c>
      <c r="AI1040" s="76">
        <f>ROUND(SUM(IF(Dyno_Data[[#This Row],[AcqCenter]]&gt;0,Dyno_Data[[#This Row],[Time]]-SUMIFS(Dyno_Data[Time],Dyno_Data[Team],Dyno_Data[[#This Row],[Team]],Dyno_Data[RecordType],"StartMatch",Dyno_Data[Match],Dyno_Data[[#This Row],[Match]]),0)*86400),0)</f>
        <v>0</v>
      </c>
    </row>
    <row r="1041" spans="1:35" x14ac:dyDescent="0.3">
      <c r="A1041">
        <v>1047</v>
      </c>
      <c r="B1041" t="s">
        <v>1310</v>
      </c>
      <c r="C1041">
        <v>18</v>
      </c>
      <c r="D1041" s="105">
        <v>45373.478250925924</v>
      </c>
      <c r="E1041" t="s">
        <v>308</v>
      </c>
      <c r="F1041" t="s">
        <v>309</v>
      </c>
      <c r="G1041">
        <v>0</v>
      </c>
      <c r="H1041" t="s">
        <v>310</v>
      </c>
      <c r="I1041">
        <v>0</v>
      </c>
      <c r="J1041">
        <v>0</v>
      </c>
      <c r="K1041">
        <v>0</v>
      </c>
      <c r="L1041" t="s">
        <v>310</v>
      </c>
      <c r="M1041" t="s">
        <v>310</v>
      </c>
      <c r="N1041">
        <v>0</v>
      </c>
      <c r="O1041" t="s">
        <v>1391</v>
      </c>
      <c r="P1041" t="s">
        <v>310</v>
      </c>
      <c r="Q1041" t="s">
        <v>310</v>
      </c>
      <c r="R1041" t="s">
        <v>310</v>
      </c>
      <c r="S1041">
        <v>9</v>
      </c>
      <c r="T1041" t="s">
        <v>310</v>
      </c>
      <c r="U1041">
        <v>9</v>
      </c>
      <c r="V1041">
        <v>9</v>
      </c>
      <c r="W1041">
        <v>0</v>
      </c>
      <c r="X1041">
        <v>0</v>
      </c>
      <c r="Y1041">
        <v>0</v>
      </c>
      <c r="Z1041">
        <v>0</v>
      </c>
      <c r="AA1041">
        <v>9</v>
      </c>
      <c r="AB1041">
        <v>9</v>
      </c>
      <c r="AC1041" t="s">
        <v>310</v>
      </c>
      <c r="AD1041">
        <v>9</v>
      </c>
      <c r="AE1041" t="s">
        <v>1412</v>
      </c>
      <c r="AF1041">
        <v>0</v>
      </c>
      <c r="AG1041" t="s">
        <v>310</v>
      </c>
      <c r="AH1041">
        <f>SUM((MID(Dyno_Data[[#This Row],[Team]],4,5))+(Dyno_Data[[#This Row],[Match]]/100))</f>
        <v>6621.18</v>
      </c>
      <c r="AI1041" s="76">
        <f>ROUND(SUM(IF(Dyno_Data[[#This Row],[AcqCenter]]&gt;0,Dyno_Data[[#This Row],[Time]]-SUMIFS(Dyno_Data[Time],Dyno_Data[Team],Dyno_Data[[#This Row],[Team]],Dyno_Data[RecordType],"StartMatch",Dyno_Data[Match],Dyno_Data[[#This Row],[Match]]),0)*86400),0)</f>
        <v>0</v>
      </c>
    </row>
    <row r="1042" spans="1:35" x14ac:dyDescent="0.3">
      <c r="A1042">
        <v>1049</v>
      </c>
      <c r="B1042" t="s">
        <v>365</v>
      </c>
      <c r="C1042">
        <v>18</v>
      </c>
      <c r="D1042" s="105">
        <v>45373.478255358794</v>
      </c>
      <c r="E1042" t="s">
        <v>308</v>
      </c>
      <c r="F1042" t="s">
        <v>309</v>
      </c>
      <c r="G1042">
        <v>0</v>
      </c>
      <c r="H1042" t="s">
        <v>310</v>
      </c>
      <c r="I1042">
        <v>0</v>
      </c>
      <c r="J1042">
        <v>0</v>
      </c>
      <c r="K1042">
        <v>0</v>
      </c>
      <c r="L1042" t="s">
        <v>310</v>
      </c>
      <c r="M1042" t="s">
        <v>310</v>
      </c>
      <c r="N1042">
        <v>0</v>
      </c>
      <c r="O1042" t="s">
        <v>319</v>
      </c>
      <c r="P1042" t="s">
        <v>310</v>
      </c>
      <c r="Q1042" t="s">
        <v>310</v>
      </c>
      <c r="R1042" t="s">
        <v>310</v>
      </c>
      <c r="S1042">
        <v>9</v>
      </c>
      <c r="T1042" t="s">
        <v>310</v>
      </c>
      <c r="U1042">
        <v>9</v>
      </c>
      <c r="V1042">
        <v>9</v>
      </c>
      <c r="W1042">
        <v>0</v>
      </c>
      <c r="X1042">
        <v>0</v>
      </c>
      <c r="Y1042">
        <v>0</v>
      </c>
      <c r="Z1042">
        <v>0</v>
      </c>
      <c r="AA1042">
        <v>9</v>
      </c>
      <c r="AB1042">
        <v>9</v>
      </c>
      <c r="AC1042" t="s">
        <v>310</v>
      </c>
      <c r="AD1042">
        <v>9</v>
      </c>
      <c r="AE1042" t="s">
        <v>1413</v>
      </c>
      <c r="AF1042">
        <v>10000000</v>
      </c>
      <c r="AG1042" t="s">
        <v>310</v>
      </c>
      <c r="AH1042">
        <f>SUM((MID(Dyno_Data[[#This Row],[Team]],4,5))+(Dyno_Data[[#This Row],[Match]]/100))</f>
        <v>3171.18</v>
      </c>
      <c r="AI1042" s="76">
        <f>ROUND(SUM(IF(Dyno_Data[[#This Row],[AcqCenter]]&gt;0,Dyno_Data[[#This Row],[Time]]-SUMIFS(Dyno_Data[Time],Dyno_Data[Team],Dyno_Data[[#This Row],[Team]],Dyno_Data[RecordType],"StartMatch",Dyno_Data[Match],Dyno_Data[[#This Row],[Match]]),0)*86400),0)</f>
        <v>0</v>
      </c>
    </row>
    <row r="1043" spans="1:35" x14ac:dyDescent="0.3">
      <c r="A1043">
        <v>1051</v>
      </c>
      <c r="B1043" t="s">
        <v>1290</v>
      </c>
      <c r="C1043">
        <v>18</v>
      </c>
      <c r="D1043" s="105">
        <v>45373.478256678238</v>
      </c>
      <c r="E1043" t="s">
        <v>308</v>
      </c>
      <c r="F1043" t="s">
        <v>309</v>
      </c>
      <c r="G1043">
        <v>0</v>
      </c>
      <c r="H1043" t="s">
        <v>310</v>
      </c>
      <c r="I1043">
        <v>0</v>
      </c>
      <c r="J1043">
        <v>0</v>
      </c>
      <c r="K1043">
        <v>0</v>
      </c>
      <c r="L1043" t="s">
        <v>310</v>
      </c>
      <c r="M1043" t="s">
        <v>310</v>
      </c>
      <c r="N1043">
        <v>0</v>
      </c>
      <c r="O1043" t="s">
        <v>1395</v>
      </c>
      <c r="P1043" t="s">
        <v>310</v>
      </c>
      <c r="Q1043" t="s">
        <v>310</v>
      </c>
      <c r="R1043" t="s">
        <v>310</v>
      </c>
      <c r="S1043">
        <v>9</v>
      </c>
      <c r="T1043" t="s">
        <v>310</v>
      </c>
      <c r="U1043">
        <v>9</v>
      </c>
      <c r="V1043">
        <v>9</v>
      </c>
      <c r="W1043">
        <v>0</v>
      </c>
      <c r="X1043">
        <v>0</v>
      </c>
      <c r="Y1043">
        <v>0</v>
      </c>
      <c r="Z1043">
        <v>0</v>
      </c>
      <c r="AA1043">
        <v>9</v>
      </c>
      <c r="AB1043">
        <v>9</v>
      </c>
      <c r="AC1043" t="s">
        <v>310</v>
      </c>
      <c r="AD1043">
        <v>9</v>
      </c>
      <c r="AE1043" t="s">
        <v>1417</v>
      </c>
      <c r="AF1043">
        <v>0</v>
      </c>
      <c r="AG1043" t="s">
        <v>310</v>
      </c>
      <c r="AH1043">
        <f>SUM((MID(Dyno_Data[[#This Row],[Team]],4,5))+(Dyno_Data[[#This Row],[Match]]/100))</f>
        <v>5881.18</v>
      </c>
      <c r="AI1043" s="76">
        <f>ROUND(SUM(IF(Dyno_Data[[#This Row],[AcqCenter]]&gt;0,Dyno_Data[[#This Row],[Time]]-SUMIFS(Dyno_Data[Time],Dyno_Data[Team],Dyno_Data[[#This Row],[Team]],Dyno_Data[RecordType],"StartMatch",Dyno_Data[Match],Dyno_Data[[#This Row],[Match]]),0)*86400),0)</f>
        <v>0</v>
      </c>
    </row>
    <row r="1044" spans="1:35" x14ac:dyDescent="0.3">
      <c r="A1044">
        <v>1053</v>
      </c>
      <c r="B1044" t="s">
        <v>1291</v>
      </c>
      <c r="C1044">
        <v>18</v>
      </c>
      <c r="D1044" s="105">
        <v>45373.478260335651</v>
      </c>
      <c r="E1044" t="s">
        <v>308</v>
      </c>
      <c r="F1044" t="s">
        <v>309</v>
      </c>
      <c r="G1044">
        <v>0</v>
      </c>
      <c r="H1044" t="s">
        <v>310</v>
      </c>
      <c r="I1044">
        <v>0</v>
      </c>
      <c r="J1044">
        <v>0</v>
      </c>
      <c r="K1044">
        <v>0</v>
      </c>
      <c r="L1044" t="s">
        <v>310</v>
      </c>
      <c r="M1044" t="s">
        <v>310</v>
      </c>
      <c r="N1044">
        <v>0</v>
      </c>
      <c r="O1044" t="s">
        <v>1389</v>
      </c>
      <c r="P1044" t="s">
        <v>310</v>
      </c>
      <c r="Q1044" t="s">
        <v>310</v>
      </c>
      <c r="R1044" t="s">
        <v>310</v>
      </c>
      <c r="S1044">
        <v>9</v>
      </c>
      <c r="T1044" t="s">
        <v>310</v>
      </c>
      <c r="U1044">
        <v>9</v>
      </c>
      <c r="V1044">
        <v>9</v>
      </c>
      <c r="W1044">
        <v>0</v>
      </c>
      <c r="X1044">
        <v>0</v>
      </c>
      <c r="Y1044">
        <v>0</v>
      </c>
      <c r="Z1044">
        <v>0</v>
      </c>
      <c r="AA1044">
        <v>9</v>
      </c>
      <c r="AB1044">
        <v>9</v>
      </c>
      <c r="AC1044" t="s">
        <v>310</v>
      </c>
      <c r="AD1044">
        <v>9</v>
      </c>
      <c r="AE1044" t="s">
        <v>1418</v>
      </c>
      <c r="AF1044">
        <v>20000000</v>
      </c>
      <c r="AG1044" t="s">
        <v>310</v>
      </c>
      <c r="AH1044">
        <f>SUM((MID(Dyno_Data[[#This Row],[Team]],4,5))+(Dyno_Data[[#This Row],[Match]]/100))</f>
        <v>1493.18</v>
      </c>
      <c r="AI1044" s="76">
        <f>ROUND(SUM(IF(Dyno_Data[[#This Row],[AcqCenter]]&gt;0,Dyno_Data[[#This Row],[Time]]-SUMIFS(Dyno_Data[Time],Dyno_Data[Team],Dyno_Data[[#This Row],[Team]],Dyno_Data[RecordType],"StartMatch",Dyno_Data[Match],Dyno_Data[[#This Row],[Match]]),0)*86400),0)</f>
        <v>0</v>
      </c>
    </row>
    <row r="1045" spans="1:35" x14ac:dyDescent="0.3">
      <c r="A1045">
        <v>1055</v>
      </c>
      <c r="B1045" t="s">
        <v>1294</v>
      </c>
      <c r="C1045">
        <v>18</v>
      </c>
      <c r="D1045" s="105">
        <v>45373.478263229168</v>
      </c>
      <c r="E1045" t="s">
        <v>308</v>
      </c>
      <c r="F1045" t="s">
        <v>309</v>
      </c>
      <c r="G1045">
        <v>0</v>
      </c>
      <c r="H1045" t="s">
        <v>310</v>
      </c>
      <c r="I1045">
        <v>0</v>
      </c>
      <c r="J1045">
        <v>0</v>
      </c>
      <c r="K1045">
        <v>0</v>
      </c>
      <c r="L1045" t="s">
        <v>310</v>
      </c>
      <c r="M1045" t="s">
        <v>310</v>
      </c>
      <c r="N1045">
        <v>0</v>
      </c>
      <c r="O1045" t="s">
        <v>311</v>
      </c>
      <c r="P1045" t="s">
        <v>310</v>
      </c>
      <c r="Q1045" t="s">
        <v>310</v>
      </c>
      <c r="R1045" t="s">
        <v>310</v>
      </c>
      <c r="S1045">
        <v>9</v>
      </c>
      <c r="T1045" t="s">
        <v>310</v>
      </c>
      <c r="U1045">
        <v>9</v>
      </c>
      <c r="V1045">
        <v>9</v>
      </c>
      <c r="W1045">
        <v>0</v>
      </c>
      <c r="X1045">
        <v>0</v>
      </c>
      <c r="Y1045">
        <v>0</v>
      </c>
      <c r="Z1045">
        <v>0</v>
      </c>
      <c r="AA1045">
        <v>9</v>
      </c>
      <c r="AB1045">
        <v>9</v>
      </c>
      <c r="AC1045" t="s">
        <v>310</v>
      </c>
      <c r="AD1045">
        <v>9</v>
      </c>
      <c r="AE1045" t="s">
        <v>1416</v>
      </c>
      <c r="AF1045">
        <v>0</v>
      </c>
      <c r="AG1045" t="s">
        <v>310</v>
      </c>
      <c r="AH1045">
        <f>SUM((MID(Dyno_Data[[#This Row],[Team]],4,5))+(Dyno_Data[[#This Row],[Match]]/100))</f>
        <v>9076.18</v>
      </c>
      <c r="AI1045" s="76">
        <f>ROUND(SUM(IF(Dyno_Data[[#This Row],[AcqCenter]]&gt;0,Dyno_Data[[#This Row],[Time]]-SUMIFS(Dyno_Data[Time],Dyno_Data[Team],Dyno_Data[[#This Row],[Team]],Dyno_Data[RecordType],"StartMatch",Dyno_Data[Match],Dyno_Data[[#This Row],[Match]]),0)*86400),0)</f>
        <v>0</v>
      </c>
    </row>
    <row r="1046" spans="1:35" x14ac:dyDescent="0.3">
      <c r="A1046">
        <v>1057</v>
      </c>
      <c r="B1046" t="s">
        <v>371</v>
      </c>
      <c r="C1046">
        <v>18</v>
      </c>
      <c r="D1046" s="105">
        <v>45373.478269756946</v>
      </c>
      <c r="E1046" t="s">
        <v>308</v>
      </c>
      <c r="F1046" t="s">
        <v>309</v>
      </c>
      <c r="G1046">
        <v>0</v>
      </c>
      <c r="H1046" t="s">
        <v>310</v>
      </c>
      <c r="I1046">
        <v>0</v>
      </c>
      <c r="J1046">
        <v>0</v>
      </c>
      <c r="K1046">
        <v>0</v>
      </c>
      <c r="L1046" t="s">
        <v>310</v>
      </c>
      <c r="M1046" t="s">
        <v>310</v>
      </c>
      <c r="N1046">
        <v>0</v>
      </c>
      <c r="O1046" t="s">
        <v>1393</v>
      </c>
      <c r="P1046" t="s">
        <v>310</v>
      </c>
      <c r="Q1046" t="s">
        <v>310</v>
      </c>
      <c r="R1046" t="s">
        <v>310</v>
      </c>
      <c r="S1046">
        <v>9</v>
      </c>
      <c r="T1046" t="s">
        <v>310</v>
      </c>
      <c r="U1046">
        <v>9</v>
      </c>
      <c r="V1046">
        <v>9</v>
      </c>
      <c r="W1046">
        <v>0</v>
      </c>
      <c r="X1046">
        <v>0</v>
      </c>
      <c r="Y1046">
        <v>0</v>
      </c>
      <c r="Z1046">
        <v>0</v>
      </c>
      <c r="AA1046">
        <v>9</v>
      </c>
      <c r="AB1046">
        <v>9</v>
      </c>
      <c r="AC1046" t="s">
        <v>310</v>
      </c>
      <c r="AD1046">
        <v>9</v>
      </c>
      <c r="AE1046" t="s">
        <v>1414</v>
      </c>
      <c r="AF1046">
        <v>0</v>
      </c>
      <c r="AG1046" t="s">
        <v>310</v>
      </c>
      <c r="AH1046">
        <f>SUM((MID(Dyno_Data[[#This Row],[Team]],4,5))+(Dyno_Data[[#This Row],[Match]]/100))</f>
        <v>6969.18</v>
      </c>
      <c r="AI1046" s="76">
        <f>ROUND(SUM(IF(Dyno_Data[[#This Row],[AcqCenter]]&gt;0,Dyno_Data[[#This Row],[Time]]-SUMIFS(Dyno_Data[Time],Dyno_Data[Team],Dyno_Data[[#This Row],[Team]],Dyno_Data[RecordType],"StartMatch",Dyno_Data[Match],Dyno_Data[[#This Row],[Match]]),0)*86400),0)</f>
        <v>0</v>
      </c>
    </row>
    <row r="1047" spans="1:35" x14ac:dyDescent="0.3">
      <c r="A1047">
        <v>1040</v>
      </c>
      <c r="B1047" t="s">
        <v>1310</v>
      </c>
      <c r="C1047">
        <v>18</v>
      </c>
      <c r="D1047" s="105">
        <v>45373.478284178243</v>
      </c>
      <c r="E1047" t="s">
        <v>312</v>
      </c>
      <c r="F1047" t="s">
        <v>309</v>
      </c>
      <c r="G1047">
        <v>0</v>
      </c>
      <c r="H1047" t="s">
        <v>1397</v>
      </c>
      <c r="I1047">
        <v>0</v>
      </c>
      <c r="J1047">
        <v>0</v>
      </c>
      <c r="K1047">
        <v>0</v>
      </c>
      <c r="L1047" t="s">
        <v>241</v>
      </c>
      <c r="M1047" t="s">
        <v>1398</v>
      </c>
      <c r="N1047">
        <v>0</v>
      </c>
      <c r="O1047" t="s">
        <v>1391</v>
      </c>
      <c r="P1047" t="s">
        <v>310</v>
      </c>
      <c r="Q1047" t="s">
        <v>310</v>
      </c>
      <c r="R1047" t="s">
        <v>310</v>
      </c>
      <c r="S1047">
        <v>9</v>
      </c>
      <c r="T1047" t="s">
        <v>310</v>
      </c>
      <c r="U1047">
        <v>9</v>
      </c>
      <c r="V1047">
        <v>9</v>
      </c>
      <c r="W1047">
        <v>0</v>
      </c>
      <c r="X1047">
        <v>0</v>
      </c>
      <c r="Y1047">
        <v>0</v>
      </c>
      <c r="Z1047">
        <v>0</v>
      </c>
      <c r="AA1047">
        <v>9</v>
      </c>
      <c r="AB1047">
        <v>9</v>
      </c>
      <c r="AC1047" t="s">
        <v>310</v>
      </c>
      <c r="AD1047">
        <v>9</v>
      </c>
      <c r="AE1047" t="s">
        <v>1412</v>
      </c>
      <c r="AF1047">
        <v>0</v>
      </c>
      <c r="AG1047" t="s">
        <v>310</v>
      </c>
      <c r="AH1047">
        <f>SUM((MID(Dyno_Data[[#This Row],[Team]],4,5))+(Dyno_Data[[#This Row],[Match]]/100))</f>
        <v>6621.18</v>
      </c>
      <c r="AI1047" s="76">
        <f>ROUND(SUM(IF(Dyno_Data[[#This Row],[AcqCenter]]&gt;0,Dyno_Data[[#This Row],[Time]]-SUMIFS(Dyno_Data[Time],Dyno_Data[Team],Dyno_Data[[#This Row],[Team]],Dyno_Data[RecordType],"StartMatch",Dyno_Data[Match],Dyno_Data[[#This Row],[Match]]),0)*86400),0)</f>
        <v>0</v>
      </c>
    </row>
    <row r="1048" spans="1:35" x14ac:dyDescent="0.3">
      <c r="A1048">
        <v>1041</v>
      </c>
      <c r="B1048" t="s">
        <v>1291</v>
      </c>
      <c r="C1048">
        <v>18</v>
      </c>
      <c r="D1048" s="105">
        <v>45373.478305983794</v>
      </c>
      <c r="E1048" t="s">
        <v>312</v>
      </c>
      <c r="F1048" t="s">
        <v>309</v>
      </c>
      <c r="G1048">
        <v>0</v>
      </c>
      <c r="H1048" t="s">
        <v>1397</v>
      </c>
      <c r="I1048">
        <v>0</v>
      </c>
      <c r="J1048">
        <v>0</v>
      </c>
      <c r="K1048">
        <v>0</v>
      </c>
      <c r="L1048" t="s">
        <v>240</v>
      </c>
      <c r="M1048" t="s">
        <v>1398</v>
      </c>
      <c r="N1048">
        <v>0</v>
      </c>
      <c r="O1048" t="s">
        <v>1389</v>
      </c>
      <c r="P1048" t="s">
        <v>310</v>
      </c>
      <c r="Q1048" t="s">
        <v>310</v>
      </c>
      <c r="R1048" t="s">
        <v>310</v>
      </c>
      <c r="S1048">
        <v>9</v>
      </c>
      <c r="T1048" t="s">
        <v>310</v>
      </c>
      <c r="U1048">
        <v>9</v>
      </c>
      <c r="V1048">
        <v>9</v>
      </c>
      <c r="W1048">
        <v>0</v>
      </c>
      <c r="X1048">
        <v>0</v>
      </c>
      <c r="Y1048">
        <v>0</v>
      </c>
      <c r="Z1048">
        <v>0</v>
      </c>
      <c r="AA1048">
        <v>9</v>
      </c>
      <c r="AB1048">
        <v>9</v>
      </c>
      <c r="AC1048" t="s">
        <v>310</v>
      </c>
      <c r="AD1048">
        <v>9</v>
      </c>
      <c r="AE1048" t="s">
        <v>1418</v>
      </c>
      <c r="AF1048">
        <v>0</v>
      </c>
      <c r="AG1048" t="s">
        <v>310</v>
      </c>
      <c r="AH1048">
        <f>SUM((MID(Dyno_Data[[#This Row],[Team]],4,5))+(Dyno_Data[[#This Row],[Match]]/100))</f>
        <v>1493.18</v>
      </c>
      <c r="AI1048" s="76">
        <f>ROUND(SUM(IF(Dyno_Data[[#This Row],[AcqCenter]]&gt;0,Dyno_Data[[#This Row],[Time]]-SUMIFS(Dyno_Data[Time],Dyno_Data[Team],Dyno_Data[[#This Row],[Team]],Dyno_Data[RecordType],"StartMatch",Dyno_Data[Match],Dyno_Data[[#This Row],[Match]]),0)*86400),0)</f>
        <v>0</v>
      </c>
    </row>
    <row r="1049" spans="1:35" x14ac:dyDescent="0.3">
      <c r="A1049">
        <v>1042</v>
      </c>
      <c r="B1049" t="s">
        <v>1291</v>
      </c>
      <c r="C1049">
        <v>18</v>
      </c>
      <c r="D1049" s="105">
        <v>45373.478318900467</v>
      </c>
      <c r="E1049" t="s">
        <v>312</v>
      </c>
      <c r="F1049" t="s">
        <v>309</v>
      </c>
      <c r="G1049">
        <v>0</v>
      </c>
      <c r="H1049" t="s">
        <v>315</v>
      </c>
      <c r="I1049">
        <v>0</v>
      </c>
      <c r="J1049">
        <v>0</v>
      </c>
      <c r="K1049">
        <v>0</v>
      </c>
      <c r="L1049" t="s">
        <v>240</v>
      </c>
      <c r="M1049" t="s">
        <v>1398</v>
      </c>
      <c r="N1049">
        <v>0</v>
      </c>
      <c r="O1049" t="s">
        <v>1389</v>
      </c>
      <c r="P1049" t="s">
        <v>310</v>
      </c>
      <c r="Q1049" t="s">
        <v>310</v>
      </c>
      <c r="R1049" t="s">
        <v>310</v>
      </c>
      <c r="S1049">
        <v>9</v>
      </c>
      <c r="T1049" t="s">
        <v>310</v>
      </c>
      <c r="U1049">
        <v>9</v>
      </c>
      <c r="V1049">
        <v>9</v>
      </c>
      <c r="W1049">
        <v>0</v>
      </c>
      <c r="X1049">
        <v>0</v>
      </c>
      <c r="Y1049">
        <v>0</v>
      </c>
      <c r="Z1049">
        <v>0</v>
      </c>
      <c r="AA1049">
        <v>9</v>
      </c>
      <c r="AB1049">
        <v>9</v>
      </c>
      <c r="AC1049" t="s">
        <v>310</v>
      </c>
      <c r="AD1049">
        <v>9</v>
      </c>
      <c r="AE1049" t="s">
        <v>1418</v>
      </c>
      <c r="AF1049">
        <v>10000000</v>
      </c>
      <c r="AG1049" t="s">
        <v>310</v>
      </c>
      <c r="AH1049">
        <f>SUM((MID(Dyno_Data[[#This Row],[Team]],4,5))+(Dyno_Data[[#This Row],[Match]]/100))</f>
        <v>1493.18</v>
      </c>
      <c r="AI1049" s="76">
        <f>ROUND(SUM(IF(Dyno_Data[[#This Row],[AcqCenter]]&gt;0,Dyno_Data[[#This Row],[Time]]-SUMIFS(Dyno_Data[Time],Dyno_Data[Team],Dyno_Data[[#This Row],[Team]],Dyno_Data[RecordType],"StartMatch",Dyno_Data[Match],Dyno_Data[[#This Row],[Match]]),0)*86400),0)</f>
        <v>0</v>
      </c>
    </row>
    <row r="1050" spans="1:35" x14ac:dyDescent="0.3">
      <c r="A1050">
        <v>1043</v>
      </c>
      <c r="B1050" t="s">
        <v>365</v>
      </c>
      <c r="C1050">
        <v>18</v>
      </c>
      <c r="D1050" s="105">
        <v>45373.478328622688</v>
      </c>
      <c r="E1050" t="s">
        <v>312</v>
      </c>
      <c r="F1050" t="s">
        <v>309</v>
      </c>
      <c r="G1050">
        <v>0</v>
      </c>
      <c r="H1050" t="s">
        <v>1397</v>
      </c>
      <c r="I1050">
        <v>0</v>
      </c>
      <c r="J1050">
        <v>0</v>
      </c>
      <c r="K1050">
        <v>0</v>
      </c>
      <c r="L1050" t="s">
        <v>240</v>
      </c>
      <c r="M1050" t="s">
        <v>1398</v>
      </c>
      <c r="N1050">
        <v>0</v>
      </c>
      <c r="O1050" t="s">
        <v>319</v>
      </c>
      <c r="P1050" t="s">
        <v>310</v>
      </c>
      <c r="Q1050" t="s">
        <v>310</v>
      </c>
      <c r="R1050" t="s">
        <v>310</v>
      </c>
      <c r="S1050">
        <v>9</v>
      </c>
      <c r="T1050" t="s">
        <v>310</v>
      </c>
      <c r="U1050">
        <v>9</v>
      </c>
      <c r="V1050">
        <v>9</v>
      </c>
      <c r="W1050">
        <v>0</v>
      </c>
      <c r="X1050">
        <v>0</v>
      </c>
      <c r="Y1050">
        <v>0</v>
      </c>
      <c r="Z1050">
        <v>0</v>
      </c>
      <c r="AA1050">
        <v>9</v>
      </c>
      <c r="AB1050">
        <v>9</v>
      </c>
      <c r="AC1050" t="s">
        <v>310</v>
      </c>
      <c r="AD1050">
        <v>9</v>
      </c>
      <c r="AE1050" t="s">
        <v>1413</v>
      </c>
      <c r="AF1050">
        <v>0</v>
      </c>
      <c r="AG1050" t="s">
        <v>310</v>
      </c>
      <c r="AH1050">
        <f>SUM((MID(Dyno_Data[[#This Row],[Team]],4,5))+(Dyno_Data[[#This Row],[Match]]/100))</f>
        <v>3171.18</v>
      </c>
      <c r="AI1050" s="76">
        <f>ROUND(SUM(IF(Dyno_Data[[#This Row],[AcqCenter]]&gt;0,Dyno_Data[[#This Row],[Time]]-SUMIFS(Dyno_Data[Time],Dyno_Data[Team],Dyno_Data[[#This Row],[Team]],Dyno_Data[RecordType],"StartMatch",Dyno_Data[Match],Dyno_Data[[#This Row],[Match]]),0)*86400),0)</f>
        <v>0</v>
      </c>
    </row>
    <row r="1051" spans="1:35" x14ac:dyDescent="0.3">
      <c r="A1051">
        <v>1044</v>
      </c>
      <c r="B1051" t="s">
        <v>1291</v>
      </c>
      <c r="C1051">
        <v>18</v>
      </c>
      <c r="D1051" s="105">
        <v>45373.478367048614</v>
      </c>
      <c r="E1051" t="s">
        <v>312</v>
      </c>
      <c r="F1051" t="s">
        <v>309</v>
      </c>
      <c r="G1051">
        <v>0</v>
      </c>
      <c r="H1051" t="s">
        <v>315</v>
      </c>
      <c r="I1051">
        <v>0</v>
      </c>
      <c r="J1051">
        <v>0</v>
      </c>
      <c r="K1051">
        <v>0</v>
      </c>
      <c r="L1051" t="s">
        <v>240</v>
      </c>
      <c r="M1051" t="s">
        <v>1398</v>
      </c>
      <c r="N1051">
        <v>0</v>
      </c>
      <c r="O1051" t="s">
        <v>1389</v>
      </c>
      <c r="P1051" t="s">
        <v>310</v>
      </c>
      <c r="Q1051" t="s">
        <v>310</v>
      </c>
      <c r="R1051" t="s">
        <v>310</v>
      </c>
      <c r="S1051">
        <v>9</v>
      </c>
      <c r="T1051" t="s">
        <v>310</v>
      </c>
      <c r="U1051">
        <v>9</v>
      </c>
      <c r="V1051">
        <v>9</v>
      </c>
      <c r="W1051">
        <v>0</v>
      </c>
      <c r="X1051">
        <v>0</v>
      </c>
      <c r="Y1051">
        <v>0</v>
      </c>
      <c r="Z1051">
        <v>0</v>
      </c>
      <c r="AA1051">
        <v>9</v>
      </c>
      <c r="AB1051">
        <v>9</v>
      </c>
      <c r="AC1051" t="s">
        <v>310</v>
      </c>
      <c r="AD1051">
        <v>9</v>
      </c>
      <c r="AE1051" t="s">
        <v>1418</v>
      </c>
      <c r="AF1051">
        <v>20000000</v>
      </c>
      <c r="AG1051" t="s">
        <v>310</v>
      </c>
      <c r="AH1051">
        <f>SUM((MID(Dyno_Data[[#This Row],[Team]],4,5))+(Dyno_Data[[#This Row],[Match]]/100))</f>
        <v>1493.18</v>
      </c>
      <c r="AI1051" s="76">
        <f>ROUND(SUM(IF(Dyno_Data[[#This Row],[AcqCenter]]&gt;0,Dyno_Data[[#This Row],[Time]]-SUMIFS(Dyno_Data[Time],Dyno_Data[Team],Dyno_Data[[#This Row],[Team]],Dyno_Data[RecordType],"StartMatch",Dyno_Data[Match],Dyno_Data[[#This Row],[Match]]),0)*86400),0)</f>
        <v>0</v>
      </c>
    </row>
    <row r="1052" spans="1:35" x14ac:dyDescent="0.3">
      <c r="A1052">
        <v>1045</v>
      </c>
      <c r="B1052" t="s">
        <v>365</v>
      </c>
      <c r="C1052">
        <v>18</v>
      </c>
      <c r="D1052" s="105">
        <v>45373.478392743054</v>
      </c>
      <c r="E1052" t="s">
        <v>312</v>
      </c>
      <c r="F1052" t="s">
        <v>309</v>
      </c>
      <c r="G1052">
        <v>0</v>
      </c>
      <c r="H1052" t="s">
        <v>315</v>
      </c>
      <c r="I1052">
        <v>0</v>
      </c>
      <c r="J1052">
        <v>0</v>
      </c>
      <c r="K1052">
        <v>0</v>
      </c>
      <c r="L1052" t="s">
        <v>240</v>
      </c>
      <c r="M1052" t="s">
        <v>1398</v>
      </c>
      <c r="N1052">
        <v>0</v>
      </c>
      <c r="O1052" t="s">
        <v>319</v>
      </c>
      <c r="P1052" t="s">
        <v>310</v>
      </c>
      <c r="Q1052" t="s">
        <v>310</v>
      </c>
      <c r="R1052" t="s">
        <v>310</v>
      </c>
      <c r="S1052">
        <v>9</v>
      </c>
      <c r="T1052" t="s">
        <v>310</v>
      </c>
      <c r="U1052">
        <v>9</v>
      </c>
      <c r="V1052">
        <v>9</v>
      </c>
      <c r="W1052">
        <v>0</v>
      </c>
      <c r="X1052">
        <v>0</v>
      </c>
      <c r="Y1052">
        <v>0</v>
      </c>
      <c r="Z1052">
        <v>0</v>
      </c>
      <c r="AA1052">
        <v>9</v>
      </c>
      <c r="AB1052">
        <v>9</v>
      </c>
      <c r="AC1052" t="s">
        <v>310</v>
      </c>
      <c r="AD1052">
        <v>9</v>
      </c>
      <c r="AE1052" t="s">
        <v>1413</v>
      </c>
      <c r="AF1052">
        <v>10000000</v>
      </c>
      <c r="AG1052" t="s">
        <v>310</v>
      </c>
      <c r="AH1052">
        <f>SUM((MID(Dyno_Data[[#This Row],[Team]],4,5))+(Dyno_Data[[#This Row],[Match]]/100))</f>
        <v>3171.18</v>
      </c>
      <c r="AI1052" s="76">
        <f>ROUND(SUM(IF(Dyno_Data[[#This Row],[AcqCenter]]&gt;0,Dyno_Data[[#This Row],[Time]]-SUMIFS(Dyno_Data[Time],Dyno_Data[Team],Dyno_Data[[#This Row],[Team]],Dyno_Data[RecordType],"StartMatch",Dyno_Data[Match],Dyno_Data[[#This Row],[Match]]),0)*86400),0)</f>
        <v>0</v>
      </c>
    </row>
    <row r="1053" spans="1:35" x14ac:dyDescent="0.3">
      <c r="A1053">
        <v>1046</v>
      </c>
      <c r="B1053" t="s">
        <v>1290</v>
      </c>
      <c r="C1053">
        <v>18</v>
      </c>
      <c r="D1053" s="105">
        <v>45373.478449074071</v>
      </c>
      <c r="E1053" t="s">
        <v>312</v>
      </c>
      <c r="F1053" t="s">
        <v>309</v>
      </c>
      <c r="G1053">
        <v>0</v>
      </c>
      <c r="H1053" t="s">
        <v>1397</v>
      </c>
      <c r="I1053">
        <v>0</v>
      </c>
      <c r="J1053">
        <v>0</v>
      </c>
      <c r="K1053">
        <v>0</v>
      </c>
      <c r="L1053" t="s">
        <v>241</v>
      </c>
      <c r="M1053" t="s">
        <v>1398</v>
      </c>
      <c r="N1053">
        <v>0</v>
      </c>
      <c r="O1053" t="s">
        <v>1395</v>
      </c>
      <c r="P1053" t="s">
        <v>310</v>
      </c>
      <c r="Q1053" t="s">
        <v>310</v>
      </c>
      <c r="R1053" t="s">
        <v>310</v>
      </c>
      <c r="S1053">
        <v>9</v>
      </c>
      <c r="T1053" t="s">
        <v>310</v>
      </c>
      <c r="U1053">
        <v>9</v>
      </c>
      <c r="V1053">
        <v>9</v>
      </c>
      <c r="W1053">
        <v>0</v>
      </c>
      <c r="X1053">
        <v>0</v>
      </c>
      <c r="Y1053">
        <v>0</v>
      </c>
      <c r="Z1053">
        <v>0</v>
      </c>
      <c r="AA1053">
        <v>9</v>
      </c>
      <c r="AB1053">
        <v>9</v>
      </c>
      <c r="AC1053" t="s">
        <v>310</v>
      </c>
      <c r="AD1053">
        <v>9</v>
      </c>
      <c r="AE1053" t="s">
        <v>1417</v>
      </c>
      <c r="AF1053">
        <v>0</v>
      </c>
      <c r="AG1053" t="s">
        <v>310</v>
      </c>
      <c r="AH1053">
        <f>SUM((MID(Dyno_Data[[#This Row],[Team]],4,5))+(Dyno_Data[[#This Row],[Match]]/100))</f>
        <v>5881.18</v>
      </c>
      <c r="AI1053" s="76">
        <f>ROUND(SUM(IF(Dyno_Data[[#This Row],[AcqCenter]]&gt;0,Dyno_Data[[#This Row],[Time]]-SUMIFS(Dyno_Data[Time],Dyno_Data[Team],Dyno_Data[[#This Row],[Team]],Dyno_Data[RecordType],"StartMatch",Dyno_Data[Match],Dyno_Data[[#This Row],[Match]]),0)*86400),0)</f>
        <v>0</v>
      </c>
    </row>
    <row r="1054" spans="1:35" x14ac:dyDescent="0.3">
      <c r="A1054">
        <v>1048</v>
      </c>
      <c r="B1054" t="s">
        <v>1310</v>
      </c>
      <c r="C1054">
        <v>18</v>
      </c>
      <c r="D1054" s="105">
        <v>45373.478459259262</v>
      </c>
      <c r="E1054" t="s">
        <v>314</v>
      </c>
      <c r="F1054" t="s">
        <v>309</v>
      </c>
      <c r="G1054">
        <v>1</v>
      </c>
      <c r="H1054" t="s">
        <v>310</v>
      </c>
      <c r="I1054">
        <v>0</v>
      </c>
      <c r="J1054">
        <v>0</v>
      </c>
      <c r="K1054">
        <v>0</v>
      </c>
      <c r="L1054" t="s">
        <v>310</v>
      </c>
      <c r="M1054" t="s">
        <v>310</v>
      </c>
      <c r="N1054">
        <v>0</v>
      </c>
      <c r="O1054" t="s">
        <v>1391</v>
      </c>
      <c r="P1054" t="s">
        <v>1401</v>
      </c>
      <c r="Q1054" t="s">
        <v>1400</v>
      </c>
      <c r="R1054" t="s">
        <v>310</v>
      </c>
      <c r="S1054">
        <v>9</v>
      </c>
      <c r="T1054" t="s">
        <v>310</v>
      </c>
      <c r="U1054">
        <v>9</v>
      </c>
      <c r="V1054">
        <v>9</v>
      </c>
      <c r="W1054">
        <v>0</v>
      </c>
      <c r="X1054">
        <v>0</v>
      </c>
      <c r="Y1054">
        <v>0</v>
      </c>
      <c r="Z1054">
        <v>0</v>
      </c>
      <c r="AA1054">
        <v>9</v>
      </c>
      <c r="AB1054">
        <v>9</v>
      </c>
      <c r="AC1054" t="s">
        <v>310</v>
      </c>
      <c r="AD1054">
        <v>9</v>
      </c>
      <c r="AE1054" t="s">
        <v>1412</v>
      </c>
      <c r="AF1054">
        <v>0</v>
      </c>
      <c r="AG1054" t="s">
        <v>310</v>
      </c>
      <c r="AH1054">
        <f>SUM((MID(Dyno_Data[[#This Row],[Team]],4,5))+(Dyno_Data[[#This Row],[Match]]/100))</f>
        <v>6621.18</v>
      </c>
      <c r="AI1054" s="76">
        <f>ROUND(SUM(IF(Dyno_Data[[#This Row],[AcqCenter]]&gt;0,Dyno_Data[[#This Row],[Time]]-SUMIFS(Dyno_Data[Time],Dyno_Data[Team],Dyno_Data[[#This Row],[Team]],Dyno_Data[RecordType],"StartMatch",Dyno_Data[Match],Dyno_Data[[#This Row],[Match]]),0)*86400),0)</f>
        <v>0</v>
      </c>
    </row>
    <row r="1055" spans="1:35" x14ac:dyDescent="0.3">
      <c r="A1055">
        <v>1050</v>
      </c>
      <c r="B1055" t="s">
        <v>365</v>
      </c>
      <c r="C1055">
        <v>18</v>
      </c>
      <c r="D1055" s="105">
        <v>45373.478463692132</v>
      </c>
      <c r="E1055" t="s">
        <v>314</v>
      </c>
      <c r="F1055" t="s">
        <v>309</v>
      </c>
      <c r="G1055">
        <v>1</v>
      </c>
      <c r="H1055" t="s">
        <v>310</v>
      </c>
      <c r="I1055">
        <v>0</v>
      </c>
      <c r="J1055">
        <v>0</v>
      </c>
      <c r="K1055">
        <v>0</v>
      </c>
      <c r="L1055" t="s">
        <v>310</v>
      </c>
      <c r="M1055" t="s">
        <v>310</v>
      </c>
      <c r="N1055">
        <v>0</v>
      </c>
      <c r="O1055" t="s">
        <v>319</v>
      </c>
      <c r="P1055" t="s">
        <v>240</v>
      </c>
      <c r="Q1055" t="s">
        <v>1399</v>
      </c>
      <c r="R1055" t="s">
        <v>310</v>
      </c>
      <c r="S1055">
        <v>9</v>
      </c>
      <c r="T1055" t="s">
        <v>310</v>
      </c>
      <c r="U1055">
        <v>9</v>
      </c>
      <c r="V1055">
        <v>9</v>
      </c>
      <c r="W1055">
        <v>0</v>
      </c>
      <c r="X1055">
        <v>0</v>
      </c>
      <c r="Y1055">
        <v>0</v>
      </c>
      <c r="Z1055">
        <v>0</v>
      </c>
      <c r="AA1055">
        <v>9</v>
      </c>
      <c r="AB1055">
        <v>9</v>
      </c>
      <c r="AC1055" t="s">
        <v>310</v>
      </c>
      <c r="AD1055">
        <v>9</v>
      </c>
      <c r="AE1055" t="s">
        <v>1413</v>
      </c>
      <c r="AF1055">
        <v>10000000</v>
      </c>
      <c r="AG1055" t="s">
        <v>310</v>
      </c>
      <c r="AH1055">
        <f>SUM((MID(Dyno_Data[[#This Row],[Team]],4,5))+(Dyno_Data[[#This Row],[Match]]/100))</f>
        <v>3171.18</v>
      </c>
      <c r="AI1055" s="76">
        <f>ROUND(SUM(IF(Dyno_Data[[#This Row],[AcqCenter]]&gt;0,Dyno_Data[[#This Row],[Time]]-SUMIFS(Dyno_Data[Time],Dyno_Data[Team],Dyno_Data[[#This Row],[Team]],Dyno_Data[RecordType],"StartMatch",Dyno_Data[Match],Dyno_Data[[#This Row],[Match]]),0)*86400),0)</f>
        <v>0</v>
      </c>
    </row>
    <row r="1056" spans="1:35" x14ac:dyDescent="0.3">
      <c r="A1056">
        <v>1052</v>
      </c>
      <c r="B1056" t="s">
        <v>1290</v>
      </c>
      <c r="C1056">
        <v>18</v>
      </c>
      <c r="D1056" s="105">
        <v>45373.478465011576</v>
      </c>
      <c r="E1056" t="s">
        <v>314</v>
      </c>
      <c r="F1056" t="s">
        <v>309</v>
      </c>
      <c r="G1056">
        <v>0</v>
      </c>
      <c r="H1056" t="s">
        <v>310</v>
      </c>
      <c r="I1056">
        <v>0</v>
      </c>
      <c r="J1056">
        <v>0</v>
      </c>
      <c r="K1056">
        <v>0</v>
      </c>
      <c r="L1056" t="s">
        <v>310</v>
      </c>
      <c r="M1056" t="s">
        <v>310</v>
      </c>
      <c r="N1056">
        <v>0</v>
      </c>
      <c r="O1056" t="s">
        <v>1395</v>
      </c>
      <c r="P1056" t="s">
        <v>101</v>
      </c>
      <c r="Q1056" t="s">
        <v>1400</v>
      </c>
      <c r="R1056" t="s">
        <v>310</v>
      </c>
      <c r="S1056">
        <v>9</v>
      </c>
      <c r="T1056" t="s">
        <v>310</v>
      </c>
      <c r="U1056">
        <v>9</v>
      </c>
      <c r="V1056">
        <v>9</v>
      </c>
      <c r="W1056">
        <v>0</v>
      </c>
      <c r="X1056">
        <v>0</v>
      </c>
      <c r="Y1056">
        <v>0</v>
      </c>
      <c r="Z1056">
        <v>0</v>
      </c>
      <c r="AA1056">
        <v>9</v>
      </c>
      <c r="AB1056">
        <v>9</v>
      </c>
      <c r="AC1056" t="s">
        <v>310</v>
      </c>
      <c r="AD1056">
        <v>9</v>
      </c>
      <c r="AE1056" t="s">
        <v>1417</v>
      </c>
      <c r="AF1056">
        <v>0</v>
      </c>
      <c r="AG1056" t="s">
        <v>310</v>
      </c>
      <c r="AH1056">
        <f>SUM((MID(Dyno_Data[[#This Row],[Team]],4,5))+(Dyno_Data[[#This Row],[Match]]/100))</f>
        <v>5881.18</v>
      </c>
      <c r="AI1056" s="76">
        <f>ROUND(SUM(IF(Dyno_Data[[#This Row],[AcqCenter]]&gt;0,Dyno_Data[[#This Row],[Time]]-SUMIFS(Dyno_Data[Time],Dyno_Data[Team],Dyno_Data[[#This Row],[Team]],Dyno_Data[RecordType],"StartMatch",Dyno_Data[Match],Dyno_Data[[#This Row],[Match]]),0)*86400),0)</f>
        <v>0</v>
      </c>
    </row>
    <row r="1057" spans="1:35" x14ac:dyDescent="0.3">
      <c r="A1057">
        <v>1054</v>
      </c>
      <c r="B1057" t="s">
        <v>1291</v>
      </c>
      <c r="C1057">
        <v>18</v>
      </c>
      <c r="D1057" s="105">
        <v>45373.478468668982</v>
      </c>
      <c r="E1057" t="s">
        <v>314</v>
      </c>
      <c r="F1057" t="s">
        <v>309</v>
      </c>
      <c r="G1057">
        <v>1</v>
      </c>
      <c r="H1057" t="s">
        <v>310</v>
      </c>
      <c r="I1057">
        <v>0</v>
      </c>
      <c r="J1057">
        <v>0</v>
      </c>
      <c r="K1057">
        <v>0</v>
      </c>
      <c r="L1057" t="s">
        <v>310</v>
      </c>
      <c r="M1057" t="s">
        <v>310</v>
      </c>
      <c r="N1057">
        <v>0</v>
      </c>
      <c r="O1057" t="s">
        <v>1389</v>
      </c>
      <c r="P1057" t="s">
        <v>240</v>
      </c>
      <c r="Q1057" t="s">
        <v>1400</v>
      </c>
      <c r="R1057" t="s">
        <v>310</v>
      </c>
      <c r="S1057">
        <v>9</v>
      </c>
      <c r="T1057" t="s">
        <v>310</v>
      </c>
      <c r="U1057">
        <v>9</v>
      </c>
      <c r="V1057">
        <v>9</v>
      </c>
      <c r="W1057">
        <v>0</v>
      </c>
      <c r="X1057">
        <v>0</v>
      </c>
      <c r="Y1057">
        <v>0</v>
      </c>
      <c r="Z1057">
        <v>0</v>
      </c>
      <c r="AA1057">
        <v>9</v>
      </c>
      <c r="AB1057">
        <v>9</v>
      </c>
      <c r="AC1057" t="s">
        <v>310</v>
      </c>
      <c r="AD1057">
        <v>9</v>
      </c>
      <c r="AE1057" t="s">
        <v>1418</v>
      </c>
      <c r="AF1057">
        <v>20000000</v>
      </c>
      <c r="AG1057" t="s">
        <v>310</v>
      </c>
      <c r="AH1057">
        <f>SUM((MID(Dyno_Data[[#This Row],[Team]],4,5))+(Dyno_Data[[#This Row],[Match]]/100))</f>
        <v>1493.18</v>
      </c>
      <c r="AI1057" s="76">
        <f>ROUND(SUM(IF(Dyno_Data[[#This Row],[AcqCenter]]&gt;0,Dyno_Data[[#This Row],[Time]]-SUMIFS(Dyno_Data[Time],Dyno_Data[Team],Dyno_Data[[#This Row],[Team]],Dyno_Data[RecordType],"StartMatch",Dyno_Data[Match],Dyno_Data[[#This Row],[Match]]),0)*86400),0)</f>
        <v>0</v>
      </c>
    </row>
    <row r="1058" spans="1:35" x14ac:dyDescent="0.3">
      <c r="A1058">
        <v>1056</v>
      </c>
      <c r="B1058" t="s">
        <v>1294</v>
      </c>
      <c r="C1058">
        <v>18</v>
      </c>
      <c r="D1058" s="105">
        <v>45373.478471562499</v>
      </c>
      <c r="E1058" t="s">
        <v>314</v>
      </c>
      <c r="F1058" t="s">
        <v>309</v>
      </c>
      <c r="G1058">
        <v>0</v>
      </c>
      <c r="H1058" t="s">
        <v>310</v>
      </c>
      <c r="I1058">
        <v>0</v>
      </c>
      <c r="J1058">
        <v>0</v>
      </c>
      <c r="K1058">
        <v>0</v>
      </c>
      <c r="L1058" t="s">
        <v>310</v>
      </c>
      <c r="M1058" t="s">
        <v>310</v>
      </c>
      <c r="N1058">
        <v>0</v>
      </c>
      <c r="O1058" t="s">
        <v>311</v>
      </c>
      <c r="P1058" t="s">
        <v>320</v>
      </c>
      <c r="Q1058" t="s">
        <v>1400</v>
      </c>
      <c r="R1058" t="s">
        <v>310</v>
      </c>
      <c r="S1058">
        <v>9</v>
      </c>
      <c r="T1058" t="s">
        <v>310</v>
      </c>
      <c r="U1058">
        <v>9</v>
      </c>
      <c r="V1058">
        <v>9</v>
      </c>
      <c r="W1058">
        <v>0</v>
      </c>
      <c r="X1058">
        <v>0</v>
      </c>
      <c r="Y1058">
        <v>0</v>
      </c>
      <c r="Z1058">
        <v>0</v>
      </c>
      <c r="AA1058">
        <v>9</v>
      </c>
      <c r="AB1058">
        <v>9</v>
      </c>
      <c r="AC1058" t="s">
        <v>310</v>
      </c>
      <c r="AD1058">
        <v>9</v>
      </c>
      <c r="AE1058" t="s">
        <v>1416</v>
      </c>
      <c r="AF1058">
        <v>0</v>
      </c>
      <c r="AG1058" t="s">
        <v>310</v>
      </c>
      <c r="AH1058">
        <f>SUM((MID(Dyno_Data[[#This Row],[Team]],4,5))+(Dyno_Data[[#This Row],[Match]]/100))</f>
        <v>9076.18</v>
      </c>
      <c r="AI1058" s="76">
        <f>ROUND(SUM(IF(Dyno_Data[[#This Row],[AcqCenter]]&gt;0,Dyno_Data[[#This Row],[Time]]-SUMIFS(Dyno_Data[Time],Dyno_Data[Team],Dyno_Data[[#This Row],[Team]],Dyno_Data[RecordType],"StartMatch",Dyno_Data[Match],Dyno_Data[[#This Row],[Match]]),0)*86400),0)</f>
        <v>0</v>
      </c>
    </row>
    <row r="1059" spans="1:35" x14ac:dyDescent="0.3">
      <c r="A1059">
        <v>1058</v>
      </c>
      <c r="B1059" t="s">
        <v>371</v>
      </c>
      <c r="C1059">
        <v>18</v>
      </c>
      <c r="D1059" s="105">
        <v>45373.478478090277</v>
      </c>
      <c r="E1059" t="s">
        <v>314</v>
      </c>
      <c r="F1059" t="s">
        <v>309</v>
      </c>
      <c r="G1059">
        <v>0</v>
      </c>
      <c r="H1059" t="s">
        <v>310</v>
      </c>
      <c r="I1059">
        <v>0</v>
      </c>
      <c r="J1059">
        <v>0</v>
      </c>
      <c r="K1059">
        <v>0</v>
      </c>
      <c r="L1059" t="s">
        <v>310</v>
      </c>
      <c r="M1059" t="s">
        <v>310</v>
      </c>
      <c r="N1059">
        <v>0</v>
      </c>
      <c r="O1059" t="s">
        <v>1393</v>
      </c>
      <c r="P1059" t="s">
        <v>320</v>
      </c>
      <c r="Q1059" t="s">
        <v>1399</v>
      </c>
      <c r="R1059" t="s">
        <v>310</v>
      </c>
      <c r="S1059">
        <v>9</v>
      </c>
      <c r="T1059" t="s">
        <v>310</v>
      </c>
      <c r="U1059">
        <v>9</v>
      </c>
      <c r="V1059">
        <v>9</v>
      </c>
      <c r="W1059">
        <v>0</v>
      </c>
      <c r="X1059">
        <v>0</v>
      </c>
      <c r="Y1059">
        <v>0</v>
      </c>
      <c r="Z1059">
        <v>0</v>
      </c>
      <c r="AA1059">
        <v>9</v>
      </c>
      <c r="AB1059">
        <v>9</v>
      </c>
      <c r="AC1059" t="s">
        <v>310</v>
      </c>
      <c r="AD1059">
        <v>9</v>
      </c>
      <c r="AE1059" t="s">
        <v>1414</v>
      </c>
      <c r="AF1059">
        <v>0</v>
      </c>
      <c r="AG1059" t="s">
        <v>310</v>
      </c>
      <c r="AH1059">
        <f>SUM((MID(Dyno_Data[[#This Row],[Team]],4,5))+(Dyno_Data[[#This Row],[Match]]/100))</f>
        <v>6969.18</v>
      </c>
      <c r="AI1059" s="76">
        <f>ROUND(SUM(IF(Dyno_Data[[#This Row],[AcqCenter]]&gt;0,Dyno_Data[[#This Row],[Time]]-SUMIFS(Dyno_Data[Time],Dyno_Data[Team],Dyno_Data[[#This Row],[Team]],Dyno_Data[RecordType],"StartMatch",Dyno_Data[Match],Dyno_Data[[#This Row],[Match]]),0)*86400),0)</f>
        <v>0</v>
      </c>
    </row>
    <row r="1060" spans="1:35" x14ac:dyDescent="0.3">
      <c r="A1060">
        <v>1059</v>
      </c>
      <c r="B1060" t="s">
        <v>365</v>
      </c>
      <c r="C1060">
        <v>18</v>
      </c>
      <c r="D1060" s="105">
        <v>45373.47848888889</v>
      </c>
      <c r="E1060" t="s">
        <v>312</v>
      </c>
      <c r="F1060" t="s">
        <v>1402</v>
      </c>
      <c r="G1060">
        <v>0</v>
      </c>
      <c r="H1060" t="s">
        <v>315</v>
      </c>
      <c r="I1060">
        <v>0</v>
      </c>
      <c r="J1060">
        <v>0</v>
      </c>
      <c r="K1060">
        <v>0</v>
      </c>
      <c r="L1060" t="s">
        <v>240</v>
      </c>
      <c r="M1060" t="s">
        <v>1398</v>
      </c>
      <c r="N1060">
        <v>0</v>
      </c>
      <c r="O1060" t="s">
        <v>319</v>
      </c>
      <c r="P1060" t="s">
        <v>310</v>
      </c>
      <c r="Q1060" t="s">
        <v>310</v>
      </c>
      <c r="R1060" t="s">
        <v>310</v>
      </c>
      <c r="S1060">
        <v>9</v>
      </c>
      <c r="T1060" t="s">
        <v>310</v>
      </c>
      <c r="U1060">
        <v>9</v>
      </c>
      <c r="V1060">
        <v>9</v>
      </c>
      <c r="W1060">
        <v>0</v>
      </c>
      <c r="X1060">
        <v>0</v>
      </c>
      <c r="Y1060">
        <v>0</v>
      </c>
      <c r="Z1060">
        <v>0</v>
      </c>
      <c r="AA1060">
        <v>9</v>
      </c>
      <c r="AB1060">
        <v>9</v>
      </c>
      <c r="AC1060" t="s">
        <v>310</v>
      </c>
      <c r="AD1060">
        <v>9</v>
      </c>
      <c r="AE1060" t="s">
        <v>1413</v>
      </c>
      <c r="AF1060">
        <v>20000000</v>
      </c>
      <c r="AG1060" t="s">
        <v>310</v>
      </c>
      <c r="AH1060">
        <f>SUM((MID(Dyno_Data[[#This Row],[Team]],4,5))+(Dyno_Data[[#This Row],[Match]]/100))</f>
        <v>3171.18</v>
      </c>
      <c r="AI1060" s="76">
        <f>ROUND(SUM(IF(Dyno_Data[[#This Row],[AcqCenter]]&gt;0,Dyno_Data[[#This Row],[Time]]-SUMIFS(Dyno_Data[Time],Dyno_Data[Team],Dyno_Data[[#This Row],[Team]],Dyno_Data[RecordType],"StartMatch",Dyno_Data[Match],Dyno_Data[[#This Row],[Match]]),0)*86400),0)</f>
        <v>0</v>
      </c>
    </row>
    <row r="1061" spans="1:35" x14ac:dyDescent="0.3">
      <c r="A1061">
        <v>1060</v>
      </c>
      <c r="B1061" t="s">
        <v>1310</v>
      </c>
      <c r="C1061">
        <v>18</v>
      </c>
      <c r="D1061" s="105">
        <v>45373.478517326388</v>
      </c>
      <c r="E1061" t="s">
        <v>312</v>
      </c>
      <c r="F1061" t="s">
        <v>1402</v>
      </c>
      <c r="G1061">
        <v>0</v>
      </c>
      <c r="H1061" t="s">
        <v>315</v>
      </c>
      <c r="I1061">
        <v>0</v>
      </c>
      <c r="J1061">
        <v>0</v>
      </c>
      <c r="K1061">
        <v>0</v>
      </c>
      <c r="L1061" t="s">
        <v>241</v>
      </c>
      <c r="M1061" t="s">
        <v>1398</v>
      </c>
      <c r="N1061">
        <v>0</v>
      </c>
      <c r="O1061" t="s">
        <v>1391</v>
      </c>
      <c r="P1061" t="s">
        <v>310</v>
      </c>
      <c r="Q1061" t="s">
        <v>310</v>
      </c>
      <c r="R1061" t="s">
        <v>310</v>
      </c>
      <c r="S1061">
        <v>9</v>
      </c>
      <c r="T1061" t="s">
        <v>310</v>
      </c>
      <c r="U1061">
        <v>9</v>
      </c>
      <c r="V1061">
        <v>9</v>
      </c>
      <c r="W1061">
        <v>0</v>
      </c>
      <c r="X1061">
        <v>0</v>
      </c>
      <c r="Y1061">
        <v>0</v>
      </c>
      <c r="Z1061">
        <v>0</v>
      </c>
      <c r="AA1061">
        <v>9</v>
      </c>
      <c r="AB1061">
        <v>9</v>
      </c>
      <c r="AC1061" t="s">
        <v>310</v>
      </c>
      <c r="AD1061">
        <v>9</v>
      </c>
      <c r="AE1061" t="s">
        <v>1412</v>
      </c>
      <c r="AF1061">
        <v>10000000</v>
      </c>
      <c r="AG1061" t="s">
        <v>310</v>
      </c>
      <c r="AH1061">
        <f>SUM((MID(Dyno_Data[[#This Row],[Team]],4,5))+(Dyno_Data[[#This Row],[Match]]/100))</f>
        <v>6621.18</v>
      </c>
      <c r="AI1061" s="76">
        <f>ROUND(SUM(IF(Dyno_Data[[#This Row],[AcqCenter]]&gt;0,Dyno_Data[[#This Row],[Time]]-SUMIFS(Dyno_Data[Time],Dyno_Data[Team],Dyno_Data[[#This Row],[Team]],Dyno_Data[RecordType],"StartMatch",Dyno_Data[Match],Dyno_Data[[#This Row],[Match]]),0)*86400),0)</f>
        <v>0</v>
      </c>
    </row>
    <row r="1062" spans="1:35" x14ac:dyDescent="0.3">
      <c r="A1062">
        <v>1061</v>
      </c>
      <c r="B1062" t="s">
        <v>1294</v>
      </c>
      <c r="C1062">
        <v>18</v>
      </c>
      <c r="D1062" s="105">
        <v>45373.478591782405</v>
      </c>
      <c r="E1062" t="s">
        <v>312</v>
      </c>
      <c r="F1062" t="s">
        <v>1402</v>
      </c>
      <c r="G1062">
        <v>0</v>
      </c>
      <c r="H1062" t="s">
        <v>1397</v>
      </c>
      <c r="I1062">
        <v>0</v>
      </c>
      <c r="J1062">
        <v>0</v>
      </c>
      <c r="K1062">
        <v>0</v>
      </c>
      <c r="L1062" t="s">
        <v>240</v>
      </c>
      <c r="M1062" t="s">
        <v>1398</v>
      </c>
      <c r="N1062">
        <v>1</v>
      </c>
      <c r="O1062" t="s">
        <v>311</v>
      </c>
      <c r="P1062" t="s">
        <v>310</v>
      </c>
      <c r="Q1062" t="s">
        <v>310</v>
      </c>
      <c r="R1062" t="s">
        <v>310</v>
      </c>
      <c r="S1062">
        <v>9</v>
      </c>
      <c r="T1062" t="s">
        <v>310</v>
      </c>
      <c r="U1062">
        <v>9</v>
      </c>
      <c r="V1062">
        <v>9</v>
      </c>
      <c r="W1062">
        <v>0</v>
      </c>
      <c r="X1062">
        <v>0</v>
      </c>
      <c r="Y1062">
        <v>0</v>
      </c>
      <c r="Z1062">
        <v>0</v>
      </c>
      <c r="AA1062">
        <v>9</v>
      </c>
      <c r="AB1062">
        <v>9</v>
      </c>
      <c r="AC1062" t="s">
        <v>310</v>
      </c>
      <c r="AD1062">
        <v>9</v>
      </c>
      <c r="AE1062" t="s">
        <v>1416</v>
      </c>
      <c r="AF1062">
        <v>0</v>
      </c>
      <c r="AG1062" t="s">
        <v>310</v>
      </c>
      <c r="AH1062">
        <f>SUM((MID(Dyno_Data[[#This Row],[Team]],4,5))+(Dyno_Data[[#This Row],[Match]]/100))</f>
        <v>9076.18</v>
      </c>
      <c r="AI1062" s="76">
        <f>ROUND(SUM(IF(Dyno_Data[[#This Row],[AcqCenter]]&gt;0,Dyno_Data[[#This Row],[Time]]-SUMIFS(Dyno_Data[Time],Dyno_Data[Team],Dyno_Data[[#This Row],[Team]],Dyno_Data[RecordType],"StartMatch",Dyno_Data[Match],Dyno_Data[[#This Row],[Match]]),0)*86400),0)</f>
        <v>0</v>
      </c>
    </row>
    <row r="1063" spans="1:35" x14ac:dyDescent="0.3">
      <c r="A1063">
        <v>1062</v>
      </c>
      <c r="B1063" t="s">
        <v>1310</v>
      </c>
      <c r="C1063">
        <v>18</v>
      </c>
      <c r="D1063" s="105">
        <v>45373.478591817133</v>
      </c>
      <c r="E1063" t="s">
        <v>312</v>
      </c>
      <c r="F1063" t="s">
        <v>1402</v>
      </c>
      <c r="G1063">
        <v>0</v>
      </c>
      <c r="H1063" t="s">
        <v>315</v>
      </c>
      <c r="I1063">
        <v>0</v>
      </c>
      <c r="J1063">
        <v>0</v>
      </c>
      <c r="K1063">
        <v>0</v>
      </c>
      <c r="L1063" t="s">
        <v>241</v>
      </c>
      <c r="M1063" t="s">
        <v>1398</v>
      </c>
      <c r="N1063">
        <v>0</v>
      </c>
      <c r="O1063" t="s">
        <v>1391</v>
      </c>
      <c r="P1063" t="s">
        <v>310</v>
      </c>
      <c r="Q1063" t="s">
        <v>310</v>
      </c>
      <c r="R1063" t="s">
        <v>310</v>
      </c>
      <c r="S1063">
        <v>9</v>
      </c>
      <c r="T1063" t="s">
        <v>310</v>
      </c>
      <c r="U1063">
        <v>9</v>
      </c>
      <c r="V1063">
        <v>9</v>
      </c>
      <c r="W1063">
        <v>0</v>
      </c>
      <c r="X1063">
        <v>0</v>
      </c>
      <c r="Y1063">
        <v>0</v>
      </c>
      <c r="Z1063">
        <v>0</v>
      </c>
      <c r="AA1063">
        <v>9</v>
      </c>
      <c r="AB1063">
        <v>9</v>
      </c>
      <c r="AC1063" t="s">
        <v>310</v>
      </c>
      <c r="AD1063">
        <v>9</v>
      </c>
      <c r="AE1063" t="s">
        <v>1412</v>
      </c>
      <c r="AF1063">
        <v>20000000</v>
      </c>
      <c r="AG1063" t="s">
        <v>310</v>
      </c>
      <c r="AH1063">
        <f>SUM((MID(Dyno_Data[[#This Row],[Team]],4,5))+(Dyno_Data[[#This Row],[Match]]/100))</f>
        <v>6621.18</v>
      </c>
      <c r="AI1063" s="76">
        <f>ROUND(SUM(IF(Dyno_Data[[#This Row],[AcqCenter]]&gt;0,Dyno_Data[[#This Row],[Time]]-SUMIFS(Dyno_Data[Time],Dyno_Data[Team],Dyno_Data[[#This Row],[Team]],Dyno_Data[RecordType],"StartMatch",Dyno_Data[Match],Dyno_Data[[#This Row],[Match]]),0)*86400),0)</f>
        <v>0</v>
      </c>
    </row>
    <row r="1064" spans="1:35" x14ac:dyDescent="0.3">
      <c r="A1064">
        <v>1063</v>
      </c>
      <c r="B1064" t="s">
        <v>1291</v>
      </c>
      <c r="C1064">
        <v>18</v>
      </c>
      <c r="D1064" s="105">
        <v>45373.478593946762</v>
      </c>
      <c r="E1064" t="s">
        <v>312</v>
      </c>
      <c r="F1064" t="s">
        <v>1402</v>
      </c>
      <c r="G1064">
        <v>0</v>
      </c>
      <c r="H1064" t="s">
        <v>315</v>
      </c>
      <c r="I1064">
        <v>0</v>
      </c>
      <c r="J1064">
        <v>0</v>
      </c>
      <c r="K1064">
        <v>0</v>
      </c>
      <c r="L1064" t="s">
        <v>241</v>
      </c>
      <c r="M1064" t="s">
        <v>101</v>
      </c>
      <c r="N1064">
        <v>0</v>
      </c>
      <c r="O1064" t="s">
        <v>1389</v>
      </c>
      <c r="P1064" t="s">
        <v>310</v>
      </c>
      <c r="Q1064" t="s">
        <v>310</v>
      </c>
      <c r="R1064" t="s">
        <v>310</v>
      </c>
      <c r="S1064">
        <v>9</v>
      </c>
      <c r="T1064" t="s">
        <v>310</v>
      </c>
      <c r="U1064">
        <v>9</v>
      </c>
      <c r="V1064">
        <v>9</v>
      </c>
      <c r="W1064">
        <v>0</v>
      </c>
      <c r="X1064">
        <v>0</v>
      </c>
      <c r="Y1064">
        <v>0</v>
      </c>
      <c r="Z1064">
        <v>0</v>
      </c>
      <c r="AA1064">
        <v>9</v>
      </c>
      <c r="AB1064">
        <v>9</v>
      </c>
      <c r="AC1064" t="s">
        <v>310</v>
      </c>
      <c r="AD1064">
        <v>9</v>
      </c>
      <c r="AE1064" t="s">
        <v>1418</v>
      </c>
      <c r="AF1064">
        <v>30000000</v>
      </c>
      <c r="AG1064" t="s">
        <v>310</v>
      </c>
      <c r="AH1064">
        <f>SUM((MID(Dyno_Data[[#This Row],[Team]],4,5))+(Dyno_Data[[#This Row],[Match]]/100))</f>
        <v>1493.18</v>
      </c>
      <c r="AI1064" s="76">
        <f>ROUND(SUM(IF(Dyno_Data[[#This Row],[AcqCenter]]&gt;0,Dyno_Data[[#This Row],[Time]]-SUMIFS(Dyno_Data[Time],Dyno_Data[Team],Dyno_Data[[#This Row],[Team]],Dyno_Data[RecordType],"StartMatch",Dyno_Data[Match],Dyno_Data[[#This Row],[Match]]),0)*86400),0)</f>
        <v>0</v>
      </c>
    </row>
    <row r="1065" spans="1:35" x14ac:dyDescent="0.3">
      <c r="A1065">
        <v>1064</v>
      </c>
      <c r="B1065" t="s">
        <v>365</v>
      </c>
      <c r="C1065">
        <v>18</v>
      </c>
      <c r="D1065" s="105">
        <v>45373.478596875</v>
      </c>
      <c r="E1065" t="s">
        <v>312</v>
      </c>
      <c r="F1065" t="s">
        <v>1402</v>
      </c>
      <c r="G1065">
        <v>0</v>
      </c>
      <c r="H1065" t="s">
        <v>315</v>
      </c>
      <c r="I1065">
        <v>0</v>
      </c>
      <c r="J1065">
        <v>0</v>
      </c>
      <c r="K1065">
        <v>0</v>
      </c>
      <c r="L1065" t="s">
        <v>240</v>
      </c>
      <c r="M1065" t="s">
        <v>101</v>
      </c>
      <c r="N1065">
        <v>0</v>
      </c>
      <c r="O1065" t="s">
        <v>319</v>
      </c>
      <c r="P1065" t="s">
        <v>310</v>
      </c>
      <c r="Q1065" t="s">
        <v>310</v>
      </c>
      <c r="R1065" t="s">
        <v>310</v>
      </c>
      <c r="S1065">
        <v>9</v>
      </c>
      <c r="T1065" t="s">
        <v>310</v>
      </c>
      <c r="U1065">
        <v>9</v>
      </c>
      <c r="V1065">
        <v>9</v>
      </c>
      <c r="W1065">
        <v>0</v>
      </c>
      <c r="X1065">
        <v>0</v>
      </c>
      <c r="Y1065">
        <v>0</v>
      </c>
      <c r="Z1065">
        <v>0</v>
      </c>
      <c r="AA1065">
        <v>9</v>
      </c>
      <c r="AB1065">
        <v>9</v>
      </c>
      <c r="AC1065" t="s">
        <v>310</v>
      </c>
      <c r="AD1065">
        <v>9</v>
      </c>
      <c r="AE1065" t="s">
        <v>1413</v>
      </c>
      <c r="AF1065">
        <v>30000000</v>
      </c>
      <c r="AG1065" t="s">
        <v>310</v>
      </c>
      <c r="AH1065">
        <f>SUM((MID(Dyno_Data[[#This Row],[Team]],4,5))+(Dyno_Data[[#This Row],[Match]]/100))</f>
        <v>3171.18</v>
      </c>
      <c r="AI1065" s="76">
        <f>ROUND(SUM(IF(Dyno_Data[[#This Row],[AcqCenter]]&gt;0,Dyno_Data[[#This Row],[Time]]-SUMIFS(Dyno_Data[Time],Dyno_Data[Team],Dyno_Data[[#This Row],[Team]],Dyno_Data[RecordType],"StartMatch",Dyno_Data[Match],Dyno_Data[[#This Row],[Match]]),0)*86400),0)</f>
        <v>0</v>
      </c>
    </row>
    <row r="1066" spans="1:35" x14ac:dyDescent="0.3">
      <c r="A1066">
        <v>1065</v>
      </c>
      <c r="B1066" t="s">
        <v>1290</v>
      </c>
      <c r="C1066">
        <v>18</v>
      </c>
      <c r="D1066" s="105">
        <v>45373.478628668985</v>
      </c>
      <c r="E1066" t="s">
        <v>312</v>
      </c>
      <c r="F1066" t="s">
        <v>1402</v>
      </c>
      <c r="G1066">
        <v>0</v>
      </c>
      <c r="H1066" t="s">
        <v>315</v>
      </c>
      <c r="I1066">
        <v>0</v>
      </c>
      <c r="J1066">
        <v>0</v>
      </c>
      <c r="K1066">
        <v>0</v>
      </c>
      <c r="L1066" t="s">
        <v>241</v>
      </c>
      <c r="M1066" t="s">
        <v>1398</v>
      </c>
      <c r="N1066">
        <v>0</v>
      </c>
      <c r="O1066" t="s">
        <v>1395</v>
      </c>
      <c r="P1066" t="s">
        <v>310</v>
      </c>
      <c r="Q1066" t="s">
        <v>310</v>
      </c>
      <c r="R1066" t="s">
        <v>310</v>
      </c>
      <c r="S1066">
        <v>9</v>
      </c>
      <c r="T1066" t="s">
        <v>310</v>
      </c>
      <c r="U1066">
        <v>9</v>
      </c>
      <c r="V1066">
        <v>9</v>
      </c>
      <c r="W1066">
        <v>0</v>
      </c>
      <c r="X1066">
        <v>0</v>
      </c>
      <c r="Y1066">
        <v>0</v>
      </c>
      <c r="Z1066">
        <v>0</v>
      </c>
      <c r="AA1066">
        <v>9</v>
      </c>
      <c r="AB1066">
        <v>9</v>
      </c>
      <c r="AC1066" t="s">
        <v>310</v>
      </c>
      <c r="AD1066">
        <v>9</v>
      </c>
      <c r="AE1066" t="s">
        <v>1417</v>
      </c>
      <c r="AF1066">
        <v>10000000</v>
      </c>
      <c r="AG1066" t="s">
        <v>310</v>
      </c>
      <c r="AH1066">
        <f>SUM((MID(Dyno_Data[[#This Row],[Team]],4,5))+(Dyno_Data[[#This Row],[Match]]/100))</f>
        <v>5881.18</v>
      </c>
      <c r="AI1066" s="76">
        <f>ROUND(SUM(IF(Dyno_Data[[#This Row],[AcqCenter]]&gt;0,Dyno_Data[[#This Row],[Time]]-SUMIFS(Dyno_Data[Time],Dyno_Data[Team],Dyno_Data[[#This Row],[Team]],Dyno_Data[RecordType],"StartMatch",Dyno_Data[Match],Dyno_Data[[#This Row],[Match]]),0)*86400),0)</f>
        <v>0</v>
      </c>
    </row>
    <row r="1067" spans="1:35" x14ac:dyDescent="0.3">
      <c r="A1067">
        <v>1066</v>
      </c>
      <c r="B1067" t="s">
        <v>371</v>
      </c>
      <c r="C1067">
        <v>18</v>
      </c>
      <c r="D1067" s="105">
        <v>45373.478642476854</v>
      </c>
      <c r="E1067" t="s">
        <v>1403</v>
      </c>
      <c r="F1067" t="s">
        <v>1402</v>
      </c>
      <c r="G1067">
        <v>0</v>
      </c>
      <c r="H1067" t="s">
        <v>310</v>
      </c>
      <c r="I1067">
        <v>0</v>
      </c>
      <c r="J1067">
        <v>0</v>
      </c>
      <c r="K1067">
        <v>0</v>
      </c>
      <c r="L1067" t="s">
        <v>310</v>
      </c>
      <c r="M1067" t="s">
        <v>310</v>
      </c>
      <c r="N1067">
        <v>0</v>
      </c>
      <c r="O1067" t="s">
        <v>1393</v>
      </c>
      <c r="P1067" t="s">
        <v>310</v>
      </c>
      <c r="Q1067" t="s">
        <v>310</v>
      </c>
      <c r="R1067" t="s">
        <v>310</v>
      </c>
      <c r="S1067">
        <v>9</v>
      </c>
      <c r="T1067" t="s">
        <v>310</v>
      </c>
      <c r="U1067">
        <v>9</v>
      </c>
      <c r="V1067">
        <v>9</v>
      </c>
      <c r="W1067">
        <v>0</v>
      </c>
      <c r="X1067">
        <v>0</v>
      </c>
      <c r="Y1067">
        <v>0</v>
      </c>
      <c r="Z1067">
        <v>0</v>
      </c>
      <c r="AA1067">
        <v>9</v>
      </c>
      <c r="AB1067">
        <v>9</v>
      </c>
      <c r="AC1067" t="s">
        <v>310</v>
      </c>
      <c r="AD1067">
        <v>9</v>
      </c>
      <c r="AE1067" t="s">
        <v>1414</v>
      </c>
      <c r="AF1067">
        <v>10000000</v>
      </c>
      <c r="AG1067" t="s">
        <v>249</v>
      </c>
      <c r="AH1067">
        <f>SUM((MID(Dyno_Data[[#This Row],[Team]],4,5))+(Dyno_Data[[#This Row],[Match]]/100))</f>
        <v>6969.18</v>
      </c>
      <c r="AI1067" s="76">
        <f>ROUND(SUM(IF(Dyno_Data[[#This Row],[AcqCenter]]&gt;0,Dyno_Data[[#This Row],[Time]]-SUMIFS(Dyno_Data[Time],Dyno_Data[Team],Dyno_Data[[#This Row],[Team]],Dyno_Data[RecordType],"StartMatch",Dyno_Data[Match],Dyno_Data[[#This Row],[Match]]),0)*86400),0)</f>
        <v>0</v>
      </c>
    </row>
    <row r="1068" spans="1:35" x14ac:dyDescent="0.3">
      <c r="A1068">
        <v>1067</v>
      </c>
      <c r="B1068" t="s">
        <v>365</v>
      </c>
      <c r="C1068">
        <v>18</v>
      </c>
      <c r="D1068" s="105">
        <v>45373.478661956018</v>
      </c>
      <c r="E1068" t="s">
        <v>312</v>
      </c>
      <c r="F1068" t="s">
        <v>1402</v>
      </c>
      <c r="G1068">
        <v>0</v>
      </c>
      <c r="H1068" t="s">
        <v>315</v>
      </c>
      <c r="I1068">
        <v>0</v>
      </c>
      <c r="J1068">
        <v>0</v>
      </c>
      <c r="K1068">
        <v>0</v>
      </c>
      <c r="L1068" t="s">
        <v>240</v>
      </c>
      <c r="M1068" t="s">
        <v>101</v>
      </c>
      <c r="N1068">
        <v>0</v>
      </c>
      <c r="O1068" t="s">
        <v>319</v>
      </c>
      <c r="P1068" t="s">
        <v>310</v>
      </c>
      <c r="Q1068" t="s">
        <v>310</v>
      </c>
      <c r="R1068" t="s">
        <v>310</v>
      </c>
      <c r="S1068">
        <v>9</v>
      </c>
      <c r="T1068" t="s">
        <v>310</v>
      </c>
      <c r="U1068">
        <v>9</v>
      </c>
      <c r="V1068">
        <v>9</v>
      </c>
      <c r="W1068">
        <v>0</v>
      </c>
      <c r="X1068">
        <v>0</v>
      </c>
      <c r="Y1068">
        <v>0</v>
      </c>
      <c r="Z1068">
        <v>0</v>
      </c>
      <c r="AA1068">
        <v>9</v>
      </c>
      <c r="AB1068">
        <v>9</v>
      </c>
      <c r="AC1068" t="s">
        <v>310</v>
      </c>
      <c r="AD1068">
        <v>9</v>
      </c>
      <c r="AE1068" t="s">
        <v>1413</v>
      </c>
      <c r="AF1068">
        <v>40000000</v>
      </c>
      <c r="AG1068" t="s">
        <v>310</v>
      </c>
      <c r="AH1068">
        <f>SUM((MID(Dyno_Data[[#This Row],[Team]],4,5))+(Dyno_Data[[#This Row],[Match]]/100))</f>
        <v>3171.18</v>
      </c>
      <c r="AI1068" s="76">
        <f>ROUND(SUM(IF(Dyno_Data[[#This Row],[AcqCenter]]&gt;0,Dyno_Data[[#This Row],[Time]]-SUMIFS(Dyno_Data[Time],Dyno_Data[Team],Dyno_Data[[#This Row],[Team]],Dyno_Data[RecordType],"StartMatch",Dyno_Data[Match],Dyno_Data[[#This Row],[Match]]),0)*86400),0)</f>
        <v>0</v>
      </c>
    </row>
    <row r="1069" spans="1:35" x14ac:dyDescent="0.3">
      <c r="A1069">
        <v>1068</v>
      </c>
      <c r="B1069" t="s">
        <v>1310</v>
      </c>
      <c r="C1069">
        <v>18</v>
      </c>
      <c r="D1069" s="105">
        <v>45373.478677974534</v>
      </c>
      <c r="E1069" t="s">
        <v>312</v>
      </c>
      <c r="F1069" t="s">
        <v>1402</v>
      </c>
      <c r="G1069">
        <v>0</v>
      </c>
      <c r="H1069" t="s">
        <v>315</v>
      </c>
      <c r="I1069">
        <v>0</v>
      </c>
      <c r="J1069">
        <v>0</v>
      </c>
      <c r="K1069">
        <v>0</v>
      </c>
      <c r="L1069" t="s">
        <v>241</v>
      </c>
      <c r="M1069" t="s">
        <v>1398</v>
      </c>
      <c r="N1069">
        <v>0</v>
      </c>
      <c r="O1069" t="s">
        <v>1391</v>
      </c>
      <c r="P1069" t="s">
        <v>310</v>
      </c>
      <c r="Q1069" t="s">
        <v>310</v>
      </c>
      <c r="R1069" t="s">
        <v>310</v>
      </c>
      <c r="S1069">
        <v>9</v>
      </c>
      <c r="T1069" t="s">
        <v>310</v>
      </c>
      <c r="U1069">
        <v>9</v>
      </c>
      <c r="V1069">
        <v>9</v>
      </c>
      <c r="W1069">
        <v>0</v>
      </c>
      <c r="X1069">
        <v>0</v>
      </c>
      <c r="Y1069">
        <v>0</v>
      </c>
      <c r="Z1069">
        <v>0</v>
      </c>
      <c r="AA1069">
        <v>9</v>
      </c>
      <c r="AB1069">
        <v>9</v>
      </c>
      <c r="AC1069" t="s">
        <v>310</v>
      </c>
      <c r="AD1069">
        <v>9</v>
      </c>
      <c r="AE1069" t="s">
        <v>1412</v>
      </c>
      <c r="AF1069">
        <v>30000000</v>
      </c>
      <c r="AG1069" t="s">
        <v>310</v>
      </c>
      <c r="AH1069">
        <f>SUM((MID(Dyno_Data[[#This Row],[Team]],4,5))+(Dyno_Data[[#This Row],[Match]]/100))</f>
        <v>6621.18</v>
      </c>
      <c r="AI1069" s="76">
        <f>ROUND(SUM(IF(Dyno_Data[[#This Row],[AcqCenter]]&gt;0,Dyno_Data[[#This Row],[Time]]-SUMIFS(Dyno_Data[Time],Dyno_Data[Team],Dyno_Data[[#This Row],[Team]],Dyno_Data[RecordType],"StartMatch",Dyno_Data[Match],Dyno_Data[[#This Row],[Match]]),0)*86400),0)</f>
        <v>0</v>
      </c>
    </row>
    <row r="1070" spans="1:35" x14ac:dyDescent="0.3">
      <c r="A1070">
        <v>1069</v>
      </c>
      <c r="B1070" t="s">
        <v>1291</v>
      </c>
      <c r="C1070">
        <v>18</v>
      </c>
      <c r="D1070" s="105">
        <v>45373.478740856481</v>
      </c>
      <c r="E1070" t="s">
        <v>312</v>
      </c>
      <c r="F1070" t="s">
        <v>1402</v>
      </c>
      <c r="G1070">
        <v>0</v>
      </c>
      <c r="H1070" t="s">
        <v>315</v>
      </c>
      <c r="I1070">
        <v>0</v>
      </c>
      <c r="J1070">
        <v>0</v>
      </c>
      <c r="K1070">
        <v>0</v>
      </c>
      <c r="L1070" t="s">
        <v>241</v>
      </c>
      <c r="M1070" t="s">
        <v>101</v>
      </c>
      <c r="N1070">
        <v>0</v>
      </c>
      <c r="O1070" t="s">
        <v>1389</v>
      </c>
      <c r="P1070" t="s">
        <v>310</v>
      </c>
      <c r="Q1070" t="s">
        <v>310</v>
      </c>
      <c r="R1070" t="s">
        <v>310</v>
      </c>
      <c r="S1070">
        <v>9</v>
      </c>
      <c r="T1070" t="s">
        <v>310</v>
      </c>
      <c r="U1070">
        <v>9</v>
      </c>
      <c r="V1070">
        <v>9</v>
      </c>
      <c r="W1070">
        <v>0</v>
      </c>
      <c r="X1070">
        <v>0</v>
      </c>
      <c r="Y1070">
        <v>0</v>
      </c>
      <c r="Z1070">
        <v>0</v>
      </c>
      <c r="AA1070">
        <v>9</v>
      </c>
      <c r="AB1070">
        <v>9</v>
      </c>
      <c r="AC1070" t="s">
        <v>310</v>
      </c>
      <c r="AD1070">
        <v>9</v>
      </c>
      <c r="AE1070" t="s">
        <v>1418</v>
      </c>
      <c r="AF1070">
        <v>40000000</v>
      </c>
      <c r="AG1070" t="s">
        <v>310</v>
      </c>
      <c r="AH1070">
        <f>SUM((MID(Dyno_Data[[#This Row],[Team]],4,5))+(Dyno_Data[[#This Row],[Match]]/100))</f>
        <v>1493.18</v>
      </c>
      <c r="AI1070" s="76">
        <f>ROUND(SUM(IF(Dyno_Data[[#This Row],[AcqCenter]]&gt;0,Dyno_Data[[#This Row],[Time]]-SUMIFS(Dyno_Data[Time],Dyno_Data[Team],Dyno_Data[[#This Row],[Team]],Dyno_Data[RecordType],"StartMatch",Dyno_Data[Match],Dyno_Data[[#This Row],[Match]]),0)*86400),0)</f>
        <v>0</v>
      </c>
    </row>
    <row r="1071" spans="1:35" x14ac:dyDescent="0.3">
      <c r="A1071">
        <v>1070</v>
      </c>
      <c r="B1071" t="s">
        <v>1290</v>
      </c>
      <c r="C1071">
        <v>18</v>
      </c>
      <c r="D1071" s="105">
        <v>45373.478761886574</v>
      </c>
      <c r="E1071" t="s">
        <v>312</v>
      </c>
      <c r="F1071" t="s">
        <v>1402</v>
      </c>
      <c r="G1071">
        <v>0</v>
      </c>
      <c r="H1071" t="s">
        <v>315</v>
      </c>
      <c r="I1071">
        <v>0</v>
      </c>
      <c r="J1071">
        <v>0</v>
      </c>
      <c r="K1071">
        <v>0</v>
      </c>
      <c r="L1071" t="s">
        <v>241</v>
      </c>
      <c r="M1071" t="s">
        <v>1398</v>
      </c>
      <c r="N1071">
        <v>0</v>
      </c>
      <c r="O1071" t="s">
        <v>1395</v>
      </c>
      <c r="P1071" t="s">
        <v>310</v>
      </c>
      <c r="Q1071" t="s">
        <v>310</v>
      </c>
      <c r="R1071" t="s">
        <v>310</v>
      </c>
      <c r="S1071">
        <v>9</v>
      </c>
      <c r="T1071" t="s">
        <v>310</v>
      </c>
      <c r="U1071">
        <v>9</v>
      </c>
      <c r="V1071">
        <v>9</v>
      </c>
      <c r="W1071">
        <v>0</v>
      </c>
      <c r="X1071">
        <v>0</v>
      </c>
      <c r="Y1071">
        <v>0</v>
      </c>
      <c r="Z1071">
        <v>0</v>
      </c>
      <c r="AA1071">
        <v>9</v>
      </c>
      <c r="AB1071">
        <v>9</v>
      </c>
      <c r="AC1071" t="s">
        <v>310</v>
      </c>
      <c r="AD1071">
        <v>9</v>
      </c>
      <c r="AE1071" t="s">
        <v>1417</v>
      </c>
      <c r="AF1071">
        <v>20000000</v>
      </c>
      <c r="AG1071" t="s">
        <v>310</v>
      </c>
      <c r="AH1071">
        <f>SUM((MID(Dyno_Data[[#This Row],[Team]],4,5))+(Dyno_Data[[#This Row],[Match]]/100))</f>
        <v>5881.18</v>
      </c>
      <c r="AI1071" s="76">
        <f>ROUND(SUM(IF(Dyno_Data[[#This Row],[AcqCenter]]&gt;0,Dyno_Data[[#This Row],[Time]]-SUMIFS(Dyno_Data[Time],Dyno_Data[Team],Dyno_Data[[#This Row],[Team]],Dyno_Data[RecordType],"StartMatch",Dyno_Data[Match],Dyno_Data[[#This Row],[Match]]),0)*86400),0)</f>
        <v>0</v>
      </c>
    </row>
    <row r="1072" spans="1:35" x14ac:dyDescent="0.3">
      <c r="A1072">
        <v>1071</v>
      </c>
      <c r="B1072" t="s">
        <v>1294</v>
      </c>
      <c r="C1072">
        <v>18</v>
      </c>
      <c r="D1072" s="105">
        <v>45373.478844594909</v>
      </c>
      <c r="E1072" t="s">
        <v>312</v>
      </c>
      <c r="F1072" t="s">
        <v>1402</v>
      </c>
      <c r="G1072">
        <v>0</v>
      </c>
      <c r="H1072" t="s">
        <v>315</v>
      </c>
      <c r="I1072">
        <v>0</v>
      </c>
      <c r="J1072">
        <v>0</v>
      </c>
      <c r="K1072">
        <v>0</v>
      </c>
      <c r="L1072" t="s">
        <v>240</v>
      </c>
      <c r="M1072" t="s">
        <v>1398</v>
      </c>
      <c r="N1072">
        <v>1</v>
      </c>
      <c r="O1072" t="s">
        <v>311</v>
      </c>
      <c r="P1072" t="s">
        <v>310</v>
      </c>
      <c r="Q1072" t="s">
        <v>310</v>
      </c>
      <c r="R1072" t="s">
        <v>310</v>
      </c>
      <c r="S1072">
        <v>9</v>
      </c>
      <c r="T1072" t="s">
        <v>310</v>
      </c>
      <c r="U1072">
        <v>9</v>
      </c>
      <c r="V1072">
        <v>9</v>
      </c>
      <c r="W1072">
        <v>0</v>
      </c>
      <c r="X1072">
        <v>0</v>
      </c>
      <c r="Y1072">
        <v>0</v>
      </c>
      <c r="Z1072">
        <v>0</v>
      </c>
      <c r="AA1072">
        <v>9</v>
      </c>
      <c r="AB1072">
        <v>9</v>
      </c>
      <c r="AC1072" t="s">
        <v>310</v>
      </c>
      <c r="AD1072">
        <v>9</v>
      </c>
      <c r="AE1072" t="s">
        <v>1416</v>
      </c>
      <c r="AF1072">
        <v>10000000</v>
      </c>
      <c r="AG1072" t="s">
        <v>310</v>
      </c>
      <c r="AH1072">
        <f>SUM((MID(Dyno_Data[[#This Row],[Team]],4,5))+(Dyno_Data[[#This Row],[Match]]/100))</f>
        <v>9076.18</v>
      </c>
      <c r="AI1072" s="76">
        <f>ROUND(SUM(IF(Dyno_Data[[#This Row],[AcqCenter]]&gt;0,Dyno_Data[[#This Row],[Time]]-SUMIFS(Dyno_Data[Time],Dyno_Data[Team],Dyno_Data[[#This Row],[Team]],Dyno_Data[RecordType],"StartMatch",Dyno_Data[Match],Dyno_Data[[#This Row],[Match]]),0)*86400),0)</f>
        <v>0</v>
      </c>
    </row>
    <row r="1073" spans="1:35" x14ac:dyDescent="0.3">
      <c r="A1073">
        <v>1072</v>
      </c>
      <c r="B1073" t="s">
        <v>1291</v>
      </c>
      <c r="C1073">
        <v>18</v>
      </c>
      <c r="D1073" s="105">
        <v>45373.478889502316</v>
      </c>
      <c r="E1073" t="s">
        <v>312</v>
      </c>
      <c r="F1073" t="s">
        <v>1402</v>
      </c>
      <c r="G1073">
        <v>0</v>
      </c>
      <c r="H1073" t="s">
        <v>315</v>
      </c>
      <c r="I1073">
        <v>0</v>
      </c>
      <c r="J1073">
        <v>0</v>
      </c>
      <c r="K1073">
        <v>0</v>
      </c>
      <c r="L1073" t="s">
        <v>242</v>
      </c>
      <c r="M1073" t="s">
        <v>242</v>
      </c>
      <c r="N1073">
        <v>0</v>
      </c>
      <c r="O1073" t="s">
        <v>1389</v>
      </c>
      <c r="P1073" t="s">
        <v>310</v>
      </c>
      <c r="Q1073" t="s">
        <v>310</v>
      </c>
      <c r="R1073" t="s">
        <v>310</v>
      </c>
      <c r="S1073">
        <v>9</v>
      </c>
      <c r="T1073" t="s">
        <v>310</v>
      </c>
      <c r="U1073">
        <v>9</v>
      </c>
      <c r="V1073">
        <v>9</v>
      </c>
      <c r="W1073">
        <v>0</v>
      </c>
      <c r="X1073">
        <v>0</v>
      </c>
      <c r="Y1073">
        <v>0</v>
      </c>
      <c r="Z1073">
        <v>0</v>
      </c>
      <c r="AA1073">
        <v>9</v>
      </c>
      <c r="AB1073">
        <v>9</v>
      </c>
      <c r="AC1073" t="s">
        <v>310</v>
      </c>
      <c r="AD1073">
        <v>9</v>
      </c>
      <c r="AE1073" t="s">
        <v>1418</v>
      </c>
      <c r="AF1073">
        <v>50000000</v>
      </c>
      <c r="AG1073" t="s">
        <v>310</v>
      </c>
      <c r="AH1073">
        <f>SUM((MID(Dyno_Data[[#This Row],[Team]],4,5))+(Dyno_Data[[#This Row],[Match]]/100))</f>
        <v>1493.18</v>
      </c>
      <c r="AI1073" s="76">
        <f>ROUND(SUM(IF(Dyno_Data[[#This Row],[AcqCenter]]&gt;0,Dyno_Data[[#This Row],[Time]]-SUMIFS(Dyno_Data[Time],Dyno_Data[Team],Dyno_Data[[#This Row],[Team]],Dyno_Data[RecordType],"StartMatch",Dyno_Data[Match],Dyno_Data[[#This Row],[Match]]),0)*86400),0)</f>
        <v>0</v>
      </c>
    </row>
    <row r="1074" spans="1:35" x14ac:dyDescent="0.3">
      <c r="A1074">
        <v>1073</v>
      </c>
      <c r="B1074" t="s">
        <v>1310</v>
      </c>
      <c r="C1074">
        <v>18</v>
      </c>
      <c r="D1074" s="105">
        <v>45373.478914432868</v>
      </c>
      <c r="E1074" t="s">
        <v>312</v>
      </c>
      <c r="F1074" t="s">
        <v>1402</v>
      </c>
      <c r="G1074">
        <v>0</v>
      </c>
      <c r="H1074" t="s">
        <v>315</v>
      </c>
      <c r="I1074">
        <v>0</v>
      </c>
      <c r="J1074">
        <v>0</v>
      </c>
      <c r="K1074">
        <v>0</v>
      </c>
      <c r="L1074" t="s">
        <v>241</v>
      </c>
      <c r="M1074" t="s">
        <v>1398</v>
      </c>
      <c r="N1074">
        <v>0</v>
      </c>
      <c r="O1074" t="s">
        <v>1391</v>
      </c>
      <c r="P1074" t="s">
        <v>310</v>
      </c>
      <c r="Q1074" t="s">
        <v>310</v>
      </c>
      <c r="R1074" t="s">
        <v>310</v>
      </c>
      <c r="S1074">
        <v>9</v>
      </c>
      <c r="T1074" t="s">
        <v>310</v>
      </c>
      <c r="U1074">
        <v>9</v>
      </c>
      <c r="V1074">
        <v>9</v>
      </c>
      <c r="W1074">
        <v>0</v>
      </c>
      <c r="X1074">
        <v>0</v>
      </c>
      <c r="Y1074">
        <v>0</v>
      </c>
      <c r="Z1074">
        <v>0</v>
      </c>
      <c r="AA1074">
        <v>9</v>
      </c>
      <c r="AB1074">
        <v>9</v>
      </c>
      <c r="AC1074" t="s">
        <v>310</v>
      </c>
      <c r="AD1074">
        <v>9</v>
      </c>
      <c r="AE1074" t="s">
        <v>1412</v>
      </c>
      <c r="AF1074">
        <v>40000000</v>
      </c>
      <c r="AG1074" t="s">
        <v>310</v>
      </c>
      <c r="AH1074">
        <f>SUM((MID(Dyno_Data[[#This Row],[Team]],4,5))+(Dyno_Data[[#This Row],[Match]]/100))</f>
        <v>6621.18</v>
      </c>
      <c r="AI1074" s="76">
        <f>ROUND(SUM(IF(Dyno_Data[[#This Row],[AcqCenter]]&gt;0,Dyno_Data[[#This Row],[Time]]-SUMIFS(Dyno_Data[Time],Dyno_Data[Team],Dyno_Data[[#This Row],[Team]],Dyno_Data[RecordType],"StartMatch",Dyno_Data[Match],Dyno_Data[[#This Row],[Match]]),0)*86400),0)</f>
        <v>0</v>
      </c>
    </row>
    <row r="1075" spans="1:35" x14ac:dyDescent="0.3">
      <c r="A1075">
        <v>1074</v>
      </c>
      <c r="B1075" t="s">
        <v>1291</v>
      </c>
      <c r="C1075">
        <v>18</v>
      </c>
      <c r="D1075" s="105">
        <v>45373.478972997684</v>
      </c>
      <c r="E1075" t="s">
        <v>312</v>
      </c>
      <c r="F1075" t="s">
        <v>1402</v>
      </c>
      <c r="G1075">
        <v>0</v>
      </c>
      <c r="H1075" t="s">
        <v>315</v>
      </c>
      <c r="I1075">
        <v>0</v>
      </c>
      <c r="J1075">
        <v>0</v>
      </c>
      <c r="K1075">
        <v>0</v>
      </c>
      <c r="L1075" t="s">
        <v>242</v>
      </c>
      <c r="M1075" t="s">
        <v>241</v>
      </c>
      <c r="N1075">
        <v>0</v>
      </c>
      <c r="O1075" t="s">
        <v>1389</v>
      </c>
      <c r="P1075" t="s">
        <v>310</v>
      </c>
      <c r="Q1075" t="s">
        <v>310</v>
      </c>
      <c r="R1075" t="s">
        <v>310</v>
      </c>
      <c r="S1075">
        <v>9</v>
      </c>
      <c r="T1075" t="s">
        <v>310</v>
      </c>
      <c r="U1075">
        <v>9</v>
      </c>
      <c r="V1075">
        <v>9</v>
      </c>
      <c r="W1075">
        <v>0</v>
      </c>
      <c r="X1075">
        <v>0</v>
      </c>
      <c r="Y1075">
        <v>0</v>
      </c>
      <c r="Z1075">
        <v>0</v>
      </c>
      <c r="AA1075">
        <v>9</v>
      </c>
      <c r="AB1075">
        <v>9</v>
      </c>
      <c r="AC1075" t="s">
        <v>310</v>
      </c>
      <c r="AD1075">
        <v>9</v>
      </c>
      <c r="AE1075" t="s">
        <v>1418</v>
      </c>
      <c r="AF1075">
        <v>60000000</v>
      </c>
      <c r="AG1075" t="s">
        <v>310</v>
      </c>
      <c r="AH1075">
        <f>SUM((MID(Dyno_Data[[#This Row],[Team]],4,5))+(Dyno_Data[[#This Row],[Match]]/100))</f>
        <v>1493.18</v>
      </c>
      <c r="AI1075" s="76">
        <f>ROUND(SUM(IF(Dyno_Data[[#This Row],[AcqCenter]]&gt;0,Dyno_Data[[#This Row],[Time]]-SUMIFS(Dyno_Data[Time],Dyno_Data[Team],Dyno_Data[[#This Row],[Team]],Dyno_Data[RecordType],"StartMatch",Dyno_Data[Match],Dyno_Data[[#This Row],[Match]]),0)*86400),0)</f>
        <v>0</v>
      </c>
    </row>
    <row r="1076" spans="1:35" x14ac:dyDescent="0.3">
      <c r="A1076">
        <v>1075</v>
      </c>
      <c r="B1076" t="s">
        <v>1310</v>
      </c>
      <c r="C1076">
        <v>18</v>
      </c>
      <c r="D1076" s="105">
        <v>45373.479034108794</v>
      </c>
      <c r="E1076" t="s">
        <v>312</v>
      </c>
      <c r="F1076" t="s">
        <v>1402</v>
      </c>
      <c r="G1076">
        <v>0</v>
      </c>
      <c r="H1076" t="s">
        <v>315</v>
      </c>
      <c r="I1076">
        <v>0</v>
      </c>
      <c r="J1076">
        <v>0</v>
      </c>
      <c r="K1076">
        <v>0</v>
      </c>
      <c r="L1076" t="s">
        <v>241</v>
      </c>
      <c r="M1076" t="s">
        <v>1398</v>
      </c>
      <c r="N1076">
        <v>0</v>
      </c>
      <c r="O1076" t="s">
        <v>1391</v>
      </c>
      <c r="P1076" t="s">
        <v>310</v>
      </c>
      <c r="Q1076" t="s">
        <v>310</v>
      </c>
      <c r="R1076" t="s">
        <v>310</v>
      </c>
      <c r="S1076">
        <v>9</v>
      </c>
      <c r="T1076" t="s">
        <v>310</v>
      </c>
      <c r="U1076">
        <v>9</v>
      </c>
      <c r="V1076">
        <v>9</v>
      </c>
      <c r="W1076">
        <v>0</v>
      </c>
      <c r="X1076">
        <v>0</v>
      </c>
      <c r="Y1076">
        <v>0</v>
      </c>
      <c r="Z1076">
        <v>0</v>
      </c>
      <c r="AA1076">
        <v>9</v>
      </c>
      <c r="AB1076">
        <v>9</v>
      </c>
      <c r="AC1076" t="s">
        <v>310</v>
      </c>
      <c r="AD1076">
        <v>9</v>
      </c>
      <c r="AE1076" t="s">
        <v>1412</v>
      </c>
      <c r="AF1076">
        <v>50000000</v>
      </c>
      <c r="AG1076" t="s">
        <v>310</v>
      </c>
      <c r="AH1076">
        <f>SUM((MID(Dyno_Data[[#This Row],[Team]],4,5))+(Dyno_Data[[#This Row],[Match]]/100))</f>
        <v>6621.18</v>
      </c>
      <c r="AI1076" s="76">
        <f>ROUND(SUM(IF(Dyno_Data[[#This Row],[AcqCenter]]&gt;0,Dyno_Data[[#This Row],[Time]]-SUMIFS(Dyno_Data[Time],Dyno_Data[Team],Dyno_Data[[#This Row],[Team]],Dyno_Data[RecordType],"StartMatch",Dyno_Data[Match],Dyno_Data[[#This Row],[Match]]),0)*86400),0)</f>
        <v>0</v>
      </c>
    </row>
    <row r="1077" spans="1:35" x14ac:dyDescent="0.3">
      <c r="A1077">
        <v>1076</v>
      </c>
      <c r="B1077" t="s">
        <v>1294</v>
      </c>
      <c r="C1077">
        <v>18</v>
      </c>
      <c r="D1077" s="105">
        <v>45373.479062303239</v>
      </c>
      <c r="E1077" t="s">
        <v>312</v>
      </c>
      <c r="F1077" t="s">
        <v>1402</v>
      </c>
      <c r="G1077">
        <v>0</v>
      </c>
      <c r="H1077" t="s">
        <v>315</v>
      </c>
      <c r="I1077">
        <v>0</v>
      </c>
      <c r="J1077">
        <v>0</v>
      </c>
      <c r="K1077">
        <v>0</v>
      </c>
      <c r="L1077" t="s">
        <v>240</v>
      </c>
      <c r="M1077" t="s">
        <v>1398</v>
      </c>
      <c r="N1077">
        <v>0</v>
      </c>
      <c r="O1077" t="s">
        <v>311</v>
      </c>
      <c r="P1077" t="s">
        <v>310</v>
      </c>
      <c r="Q1077" t="s">
        <v>310</v>
      </c>
      <c r="R1077" t="s">
        <v>310</v>
      </c>
      <c r="S1077">
        <v>9</v>
      </c>
      <c r="T1077" t="s">
        <v>310</v>
      </c>
      <c r="U1077">
        <v>9</v>
      </c>
      <c r="V1077">
        <v>9</v>
      </c>
      <c r="W1077">
        <v>0</v>
      </c>
      <c r="X1077">
        <v>0</v>
      </c>
      <c r="Y1077">
        <v>0</v>
      </c>
      <c r="Z1077">
        <v>0</v>
      </c>
      <c r="AA1077">
        <v>9</v>
      </c>
      <c r="AB1077">
        <v>9</v>
      </c>
      <c r="AC1077" t="s">
        <v>310</v>
      </c>
      <c r="AD1077">
        <v>9</v>
      </c>
      <c r="AE1077" t="s">
        <v>1416</v>
      </c>
      <c r="AF1077">
        <v>20000000</v>
      </c>
      <c r="AG1077" t="s">
        <v>310</v>
      </c>
      <c r="AH1077">
        <f>SUM((MID(Dyno_Data[[#This Row],[Team]],4,5))+(Dyno_Data[[#This Row],[Match]]/100))</f>
        <v>9076.18</v>
      </c>
      <c r="AI1077" s="76">
        <f>ROUND(SUM(IF(Dyno_Data[[#This Row],[AcqCenter]]&gt;0,Dyno_Data[[#This Row],[Time]]-SUMIFS(Dyno_Data[Time],Dyno_Data[Team],Dyno_Data[[#This Row],[Team]],Dyno_Data[RecordType],"StartMatch",Dyno_Data[Match],Dyno_Data[[#This Row],[Match]]),0)*86400),0)</f>
        <v>0</v>
      </c>
    </row>
    <row r="1078" spans="1:35" x14ac:dyDescent="0.3">
      <c r="A1078">
        <v>1077</v>
      </c>
      <c r="B1078" t="s">
        <v>1290</v>
      </c>
      <c r="C1078">
        <v>18</v>
      </c>
      <c r="D1078" s="105">
        <v>45373.479069594905</v>
      </c>
      <c r="E1078" t="s">
        <v>312</v>
      </c>
      <c r="F1078" t="s">
        <v>1402</v>
      </c>
      <c r="G1078">
        <v>0</v>
      </c>
      <c r="H1078" t="s">
        <v>315</v>
      </c>
      <c r="I1078">
        <v>0</v>
      </c>
      <c r="J1078">
        <v>0</v>
      </c>
      <c r="K1078">
        <v>0</v>
      </c>
      <c r="L1078" t="s">
        <v>241</v>
      </c>
      <c r="M1078" t="s">
        <v>1398</v>
      </c>
      <c r="N1078">
        <v>1</v>
      </c>
      <c r="O1078" t="s">
        <v>1395</v>
      </c>
      <c r="P1078" t="s">
        <v>310</v>
      </c>
      <c r="Q1078" t="s">
        <v>310</v>
      </c>
      <c r="R1078" t="s">
        <v>310</v>
      </c>
      <c r="S1078">
        <v>9</v>
      </c>
      <c r="T1078" t="s">
        <v>310</v>
      </c>
      <c r="U1078">
        <v>9</v>
      </c>
      <c r="V1078">
        <v>9</v>
      </c>
      <c r="W1078">
        <v>0</v>
      </c>
      <c r="X1078">
        <v>0</v>
      </c>
      <c r="Y1078">
        <v>0</v>
      </c>
      <c r="Z1078">
        <v>0</v>
      </c>
      <c r="AA1078">
        <v>9</v>
      </c>
      <c r="AB1078">
        <v>9</v>
      </c>
      <c r="AC1078" t="s">
        <v>310</v>
      </c>
      <c r="AD1078">
        <v>9</v>
      </c>
      <c r="AE1078" t="s">
        <v>1417</v>
      </c>
      <c r="AF1078">
        <v>30000000</v>
      </c>
      <c r="AG1078" t="s">
        <v>310</v>
      </c>
      <c r="AH1078">
        <f>SUM((MID(Dyno_Data[[#This Row],[Team]],4,5))+(Dyno_Data[[#This Row],[Match]]/100))</f>
        <v>5881.18</v>
      </c>
      <c r="AI1078" s="76">
        <f>ROUND(SUM(IF(Dyno_Data[[#This Row],[AcqCenter]]&gt;0,Dyno_Data[[#This Row],[Time]]-SUMIFS(Dyno_Data[Time],Dyno_Data[Team],Dyno_Data[[#This Row],[Team]],Dyno_Data[RecordType],"StartMatch",Dyno_Data[Match],Dyno_Data[[#This Row],[Match]]),0)*86400),0)</f>
        <v>0</v>
      </c>
    </row>
    <row r="1079" spans="1:35" x14ac:dyDescent="0.3">
      <c r="A1079">
        <v>1078</v>
      </c>
      <c r="B1079" t="s">
        <v>1291</v>
      </c>
      <c r="C1079">
        <v>18</v>
      </c>
      <c r="D1079" s="105">
        <v>45373.479115277776</v>
      </c>
      <c r="E1079" t="s">
        <v>312</v>
      </c>
      <c r="F1079" t="s">
        <v>1402</v>
      </c>
      <c r="G1079">
        <v>0</v>
      </c>
      <c r="H1079" t="s">
        <v>315</v>
      </c>
      <c r="I1079">
        <v>0</v>
      </c>
      <c r="J1079">
        <v>0</v>
      </c>
      <c r="K1079">
        <v>0</v>
      </c>
      <c r="L1079" t="s">
        <v>241</v>
      </c>
      <c r="M1079" t="s">
        <v>101</v>
      </c>
      <c r="N1079">
        <v>0</v>
      </c>
      <c r="O1079" t="s">
        <v>1389</v>
      </c>
      <c r="P1079" t="s">
        <v>310</v>
      </c>
      <c r="Q1079" t="s">
        <v>310</v>
      </c>
      <c r="R1079" t="s">
        <v>310</v>
      </c>
      <c r="S1079">
        <v>9</v>
      </c>
      <c r="T1079" t="s">
        <v>310</v>
      </c>
      <c r="U1079">
        <v>9</v>
      </c>
      <c r="V1079">
        <v>9</v>
      </c>
      <c r="W1079">
        <v>0</v>
      </c>
      <c r="X1079">
        <v>0</v>
      </c>
      <c r="Y1079">
        <v>0</v>
      </c>
      <c r="Z1079">
        <v>0</v>
      </c>
      <c r="AA1079">
        <v>9</v>
      </c>
      <c r="AB1079">
        <v>9</v>
      </c>
      <c r="AC1079" t="s">
        <v>310</v>
      </c>
      <c r="AD1079">
        <v>9</v>
      </c>
      <c r="AE1079" t="s">
        <v>1418</v>
      </c>
      <c r="AF1079">
        <v>70000000</v>
      </c>
      <c r="AG1079" t="s">
        <v>310</v>
      </c>
      <c r="AH1079">
        <f>SUM((MID(Dyno_Data[[#This Row],[Team]],4,5))+(Dyno_Data[[#This Row],[Match]]/100))</f>
        <v>1493.18</v>
      </c>
      <c r="AI1079" s="76">
        <f>ROUND(SUM(IF(Dyno_Data[[#This Row],[AcqCenter]]&gt;0,Dyno_Data[[#This Row],[Time]]-SUMIFS(Dyno_Data[Time],Dyno_Data[Team],Dyno_Data[[#This Row],[Team]],Dyno_Data[RecordType],"StartMatch",Dyno_Data[Match],Dyno_Data[[#This Row],[Match]]),0)*86400),0)</f>
        <v>0</v>
      </c>
    </row>
    <row r="1080" spans="1:35" x14ac:dyDescent="0.3">
      <c r="A1080">
        <v>1079</v>
      </c>
      <c r="B1080" t="s">
        <v>365</v>
      </c>
      <c r="C1080">
        <v>18</v>
      </c>
      <c r="D1080" s="105">
        <v>45373.479188194447</v>
      </c>
      <c r="E1080" t="s">
        <v>312</v>
      </c>
      <c r="F1080" t="s">
        <v>1402</v>
      </c>
      <c r="G1080">
        <v>0</v>
      </c>
      <c r="H1080" t="s">
        <v>315</v>
      </c>
      <c r="I1080">
        <v>0</v>
      </c>
      <c r="J1080">
        <v>0</v>
      </c>
      <c r="K1080">
        <v>0</v>
      </c>
      <c r="L1080" t="s">
        <v>241</v>
      </c>
      <c r="M1080" t="s">
        <v>101</v>
      </c>
      <c r="N1080">
        <v>0</v>
      </c>
      <c r="O1080" t="s">
        <v>319</v>
      </c>
      <c r="P1080" t="s">
        <v>310</v>
      </c>
      <c r="Q1080" t="s">
        <v>310</v>
      </c>
      <c r="R1080" t="s">
        <v>310</v>
      </c>
      <c r="S1080">
        <v>9</v>
      </c>
      <c r="T1080" t="s">
        <v>310</v>
      </c>
      <c r="U1080">
        <v>9</v>
      </c>
      <c r="V1080">
        <v>9</v>
      </c>
      <c r="W1080">
        <v>0</v>
      </c>
      <c r="X1080">
        <v>0</v>
      </c>
      <c r="Y1080">
        <v>0</v>
      </c>
      <c r="Z1080">
        <v>0</v>
      </c>
      <c r="AA1080">
        <v>9</v>
      </c>
      <c r="AB1080">
        <v>9</v>
      </c>
      <c r="AC1080" t="s">
        <v>310</v>
      </c>
      <c r="AD1080">
        <v>9</v>
      </c>
      <c r="AE1080" t="s">
        <v>1413</v>
      </c>
      <c r="AF1080">
        <v>50000000</v>
      </c>
      <c r="AG1080" t="s">
        <v>310</v>
      </c>
      <c r="AH1080">
        <f>SUM((MID(Dyno_Data[[#This Row],[Team]],4,5))+(Dyno_Data[[#This Row],[Match]]/100))</f>
        <v>3171.18</v>
      </c>
      <c r="AI1080" s="76">
        <f>ROUND(SUM(IF(Dyno_Data[[#This Row],[AcqCenter]]&gt;0,Dyno_Data[[#This Row],[Time]]-SUMIFS(Dyno_Data[Time],Dyno_Data[Team],Dyno_Data[[#This Row],[Team]],Dyno_Data[RecordType],"StartMatch",Dyno_Data[Match],Dyno_Data[[#This Row],[Match]]),0)*86400),0)</f>
        <v>0</v>
      </c>
    </row>
    <row r="1081" spans="1:35" x14ac:dyDescent="0.3">
      <c r="A1081">
        <v>1080</v>
      </c>
      <c r="B1081" t="s">
        <v>1291</v>
      </c>
      <c r="C1081">
        <v>18</v>
      </c>
      <c r="D1081" s="105">
        <v>45373.479219409724</v>
      </c>
      <c r="E1081" t="s">
        <v>312</v>
      </c>
      <c r="F1081" t="s">
        <v>1402</v>
      </c>
      <c r="G1081">
        <v>0</v>
      </c>
      <c r="H1081" t="s">
        <v>315</v>
      </c>
      <c r="I1081">
        <v>0</v>
      </c>
      <c r="J1081">
        <v>0</v>
      </c>
      <c r="K1081">
        <v>0</v>
      </c>
      <c r="L1081" t="s">
        <v>241</v>
      </c>
      <c r="M1081" t="s">
        <v>1398</v>
      </c>
      <c r="N1081">
        <v>1</v>
      </c>
      <c r="O1081" t="s">
        <v>1389</v>
      </c>
      <c r="P1081" t="s">
        <v>310</v>
      </c>
      <c r="Q1081" t="s">
        <v>310</v>
      </c>
      <c r="R1081" t="s">
        <v>310</v>
      </c>
      <c r="S1081">
        <v>9</v>
      </c>
      <c r="T1081" t="s">
        <v>310</v>
      </c>
      <c r="U1081">
        <v>9</v>
      </c>
      <c r="V1081">
        <v>9</v>
      </c>
      <c r="W1081">
        <v>0</v>
      </c>
      <c r="X1081">
        <v>0</v>
      </c>
      <c r="Y1081">
        <v>0</v>
      </c>
      <c r="Z1081">
        <v>0</v>
      </c>
      <c r="AA1081">
        <v>9</v>
      </c>
      <c r="AB1081">
        <v>9</v>
      </c>
      <c r="AC1081" t="s">
        <v>310</v>
      </c>
      <c r="AD1081">
        <v>9</v>
      </c>
      <c r="AE1081" t="s">
        <v>1418</v>
      </c>
      <c r="AF1081">
        <v>80000000</v>
      </c>
      <c r="AG1081" t="s">
        <v>310</v>
      </c>
      <c r="AH1081">
        <f>SUM((MID(Dyno_Data[[#This Row],[Team]],4,5))+(Dyno_Data[[#This Row],[Match]]/100))</f>
        <v>1493.18</v>
      </c>
      <c r="AI1081" s="76">
        <f>ROUND(SUM(IF(Dyno_Data[[#This Row],[AcqCenter]]&gt;0,Dyno_Data[[#This Row],[Time]]-SUMIFS(Dyno_Data[Time],Dyno_Data[Team],Dyno_Data[[#This Row],[Team]],Dyno_Data[RecordType],"StartMatch",Dyno_Data[Match],Dyno_Data[[#This Row],[Match]]),0)*86400),0)</f>
        <v>0</v>
      </c>
    </row>
    <row r="1082" spans="1:35" x14ac:dyDescent="0.3">
      <c r="A1082">
        <v>1081</v>
      </c>
      <c r="B1082" t="s">
        <v>1290</v>
      </c>
      <c r="C1082">
        <v>18</v>
      </c>
      <c r="D1082" s="105">
        <v>45373.47924390046</v>
      </c>
      <c r="E1082" t="s">
        <v>312</v>
      </c>
      <c r="F1082" t="s">
        <v>1402</v>
      </c>
      <c r="G1082">
        <v>0</v>
      </c>
      <c r="H1082" t="s">
        <v>315</v>
      </c>
      <c r="I1082">
        <v>0</v>
      </c>
      <c r="J1082">
        <v>0</v>
      </c>
      <c r="K1082">
        <v>0</v>
      </c>
      <c r="L1082" t="s">
        <v>241</v>
      </c>
      <c r="M1082" t="s">
        <v>1398</v>
      </c>
      <c r="N1082">
        <v>1</v>
      </c>
      <c r="O1082" t="s">
        <v>1395</v>
      </c>
      <c r="P1082" t="s">
        <v>310</v>
      </c>
      <c r="Q1082" t="s">
        <v>310</v>
      </c>
      <c r="R1082" t="s">
        <v>310</v>
      </c>
      <c r="S1082">
        <v>9</v>
      </c>
      <c r="T1082" t="s">
        <v>310</v>
      </c>
      <c r="U1082">
        <v>9</v>
      </c>
      <c r="V1082">
        <v>9</v>
      </c>
      <c r="W1082">
        <v>0</v>
      </c>
      <c r="X1082">
        <v>0</v>
      </c>
      <c r="Y1082">
        <v>0</v>
      </c>
      <c r="Z1082">
        <v>0</v>
      </c>
      <c r="AA1082">
        <v>9</v>
      </c>
      <c r="AB1082">
        <v>9</v>
      </c>
      <c r="AC1082" t="s">
        <v>310</v>
      </c>
      <c r="AD1082">
        <v>9</v>
      </c>
      <c r="AE1082" t="s">
        <v>1417</v>
      </c>
      <c r="AF1082">
        <v>40000000</v>
      </c>
      <c r="AG1082" t="s">
        <v>310</v>
      </c>
      <c r="AH1082">
        <f>SUM((MID(Dyno_Data[[#This Row],[Team]],4,5))+(Dyno_Data[[#This Row],[Match]]/100))</f>
        <v>5881.18</v>
      </c>
      <c r="AI1082" s="76">
        <f>ROUND(SUM(IF(Dyno_Data[[#This Row],[AcqCenter]]&gt;0,Dyno_Data[[#This Row],[Time]]-SUMIFS(Dyno_Data[Time],Dyno_Data[Team],Dyno_Data[[#This Row],[Team]],Dyno_Data[RecordType],"StartMatch",Dyno_Data[Match],Dyno_Data[[#This Row],[Match]]),0)*86400),0)</f>
        <v>0</v>
      </c>
    </row>
    <row r="1083" spans="1:35" x14ac:dyDescent="0.3">
      <c r="A1083">
        <v>1082</v>
      </c>
      <c r="B1083" t="s">
        <v>1310</v>
      </c>
      <c r="C1083">
        <v>18</v>
      </c>
      <c r="D1083" s="105">
        <v>45373.479245335649</v>
      </c>
      <c r="E1083" t="s">
        <v>312</v>
      </c>
      <c r="F1083" t="s">
        <v>1402</v>
      </c>
      <c r="G1083">
        <v>0</v>
      </c>
      <c r="H1083" t="s">
        <v>315</v>
      </c>
      <c r="I1083">
        <v>0</v>
      </c>
      <c r="J1083">
        <v>0</v>
      </c>
      <c r="K1083">
        <v>0</v>
      </c>
      <c r="L1083" t="s">
        <v>241</v>
      </c>
      <c r="M1083" t="s">
        <v>1398</v>
      </c>
      <c r="N1083">
        <v>0</v>
      </c>
      <c r="O1083" t="s">
        <v>1391</v>
      </c>
      <c r="P1083" t="s">
        <v>310</v>
      </c>
      <c r="Q1083" t="s">
        <v>310</v>
      </c>
      <c r="R1083" t="s">
        <v>310</v>
      </c>
      <c r="S1083">
        <v>9</v>
      </c>
      <c r="T1083" t="s">
        <v>310</v>
      </c>
      <c r="U1083">
        <v>9</v>
      </c>
      <c r="V1083">
        <v>9</v>
      </c>
      <c r="W1083">
        <v>0</v>
      </c>
      <c r="X1083">
        <v>0</v>
      </c>
      <c r="Y1083">
        <v>0</v>
      </c>
      <c r="Z1083">
        <v>0</v>
      </c>
      <c r="AA1083">
        <v>9</v>
      </c>
      <c r="AB1083">
        <v>9</v>
      </c>
      <c r="AC1083" t="s">
        <v>310</v>
      </c>
      <c r="AD1083">
        <v>9</v>
      </c>
      <c r="AE1083" t="s">
        <v>1412</v>
      </c>
      <c r="AF1083">
        <v>60000000</v>
      </c>
      <c r="AG1083" t="s">
        <v>310</v>
      </c>
      <c r="AH1083">
        <f>SUM((MID(Dyno_Data[[#This Row],[Team]],4,5))+(Dyno_Data[[#This Row],[Match]]/100))</f>
        <v>6621.18</v>
      </c>
      <c r="AI1083" s="76">
        <f>ROUND(SUM(IF(Dyno_Data[[#This Row],[AcqCenter]]&gt;0,Dyno_Data[[#This Row],[Time]]-SUMIFS(Dyno_Data[Time],Dyno_Data[Team],Dyno_Data[[#This Row],[Team]],Dyno_Data[RecordType],"StartMatch",Dyno_Data[Match],Dyno_Data[[#This Row],[Match]]),0)*86400),0)</f>
        <v>0</v>
      </c>
    </row>
    <row r="1084" spans="1:35" x14ac:dyDescent="0.3">
      <c r="A1084">
        <v>1083</v>
      </c>
      <c r="B1084" t="s">
        <v>1294</v>
      </c>
      <c r="C1084">
        <v>18</v>
      </c>
      <c r="D1084" s="105">
        <v>45373.479246064817</v>
      </c>
      <c r="E1084" t="s">
        <v>312</v>
      </c>
      <c r="F1084" t="s">
        <v>1402</v>
      </c>
      <c r="G1084">
        <v>0</v>
      </c>
      <c r="H1084" t="s">
        <v>315</v>
      </c>
      <c r="I1084">
        <v>0</v>
      </c>
      <c r="J1084">
        <v>0</v>
      </c>
      <c r="K1084">
        <v>0</v>
      </c>
      <c r="L1084" t="s">
        <v>240</v>
      </c>
      <c r="M1084" t="s">
        <v>1398</v>
      </c>
      <c r="N1084">
        <v>1</v>
      </c>
      <c r="O1084" t="s">
        <v>311</v>
      </c>
      <c r="P1084" t="s">
        <v>310</v>
      </c>
      <c r="Q1084" t="s">
        <v>310</v>
      </c>
      <c r="R1084" t="s">
        <v>310</v>
      </c>
      <c r="S1084">
        <v>9</v>
      </c>
      <c r="T1084" t="s">
        <v>310</v>
      </c>
      <c r="U1084">
        <v>9</v>
      </c>
      <c r="V1084">
        <v>9</v>
      </c>
      <c r="W1084">
        <v>0</v>
      </c>
      <c r="X1084">
        <v>0</v>
      </c>
      <c r="Y1084">
        <v>0</v>
      </c>
      <c r="Z1084">
        <v>0</v>
      </c>
      <c r="AA1084">
        <v>9</v>
      </c>
      <c r="AB1084">
        <v>9</v>
      </c>
      <c r="AC1084" t="s">
        <v>310</v>
      </c>
      <c r="AD1084">
        <v>9</v>
      </c>
      <c r="AE1084" t="s">
        <v>1416</v>
      </c>
      <c r="AF1084">
        <v>30000000</v>
      </c>
      <c r="AG1084" t="s">
        <v>310</v>
      </c>
      <c r="AH1084">
        <f>SUM((MID(Dyno_Data[[#This Row],[Team]],4,5))+(Dyno_Data[[#This Row],[Match]]/100))</f>
        <v>9076.18</v>
      </c>
      <c r="AI1084" s="76">
        <f>ROUND(SUM(IF(Dyno_Data[[#This Row],[AcqCenter]]&gt;0,Dyno_Data[[#This Row],[Time]]-SUMIFS(Dyno_Data[Time],Dyno_Data[Team],Dyno_Data[[#This Row],[Team]],Dyno_Data[RecordType],"StartMatch",Dyno_Data[Match],Dyno_Data[[#This Row],[Match]]),0)*86400),0)</f>
        <v>0</v>
      </c>
    </row>
    <row r="1085" spans="1:35" x14ac:dyDescent="0.3">
      <c r="A1085">
        <v>1084</v>
      </c>
      <c r="B1085" t="s">
        <v>365</v>
      </c>
      <c r="C1085">
        <v>18</v>
      </c>
      <c r="D1085" s="105">
        <v>45373.479263425928</v>
      </c>
      <c r="E1085" t="s">
        <v>312</v>
      </c>
      <c r="F1085" t="s">
        <v>1402</v>
      </c>
      <c r="G1085">
        <v>0</v>
      </c>
      <c r="H1085" t="s">
        <v>315</v>
      </c>
      <c r="I1085">
        <v>0</v>
      </c>
      <c r="J1085">
        <v>0</v>
      </c>
      <c r="K1085">
        <v>0</v>
      </c>
      <c r="L1085" t="s">
        <v>241</v>
      </c>
      <c r="M1085" t="s">
        <v>101</v>
      </c>
      <c r="N1085">
        <v>0</v>
      </c>
      <c r="O1085" t="s">
        <v>319</v>
      </c>
      <c r="P1085" t="s">
        <v>310</v>
      </c>
      <c r="Q1085" t="s">
        <v>310</v>
      </c>
      <c r="R1085" t="s">
        <v>310</v>
      </c>
      <c r="S1085">
        <v>9</v>
      </c>
      <c r="T1085" t="s">
        <v>310</v>
      </c>
      <c r="U1085">
        <v>9</v>
      </c>
      <c r="V1085">
        <v>9</v>
      </c>
      <c r="W1085">
        <v>0</v>
      </c>
      <c r="X1085">
        <v>0</v>
      </c>
      <c r="Y1085">
        <v>0</v>
      </c>
      <c r="Z1085">
        <v>0</v>
      </c>
      <c r="AA1085">
        <v>9</v>
      </c>
      <c r="AB1085">
        <v>9</v>
      </c>
      <c r="AC1085" t="s">
        <v>310</v>
      </c>
      <c r="AD1085">
        <v>9</v>
      </c>
      <c r="AE1085" t="s">
        <v>1413</v>
      </c>
      <c r="AF1085">
        <v>60000000</v>
      </c>
      <c r="AG1085" t="s">
        <v>310</v>
      </c>
      <c r="AH1085">
        <f>SUM((MID(Dyno_Data[[#This Row],[Team]],4,5))+(Dyno_Data[[#This Row],[Match]]/100))</f>
        <v>3171.18</v>
      </c>
      <c r="AI1085" s="76">
        <f>ROUND(SUM(IF(Dyno_Data[[#This Row],[AcqCenter]]&gt;0,Dyno_Data[[#This Row],[Time]]-SUMIFS(Dyno_Data[Time],Dyno_Data[Team],Dyno_Data[[#This Row],[Team]],Dyno_Data[RecordType],"StartMatch",Dyno_Data[Match],Dyno_Data[[#This Row],[Match]]),0)*86400),0)</f>
        <v>0</v>
      </c>
    </row>
    <row r="1086" spans="1:35" x14ac:dyDescent="0.3">
      <c r="A1086">
        <v>1085</v>
      </c>
      <c r="B1086" t="s">
        <v>1310</v>
      </c>
      <c r="C1086">
        <v>18</v>
      </c>
      <c r="D1086" s="105">
        <v>45373.479381597223</v>
      </c>
      <c r="E1086" t="s">
        <v>312</v>
      </c>
      <c r="F1086" t="s">
        <v>1402</v>
      </c>
      <c r="G1086">
        <v>0</v>
      </c>
      <c r="H1086" t="s">
        <v>315</v>
      </c>
      <c r="I1086">
        <v>0</v>
      </c>
      <c r="J1086">
        <v>0</v>
      </c>
      <c r="K1086">
        <v>0</v>
      </c>
      <c r="L1086" t="s">
        <v>241</v>
      </c>
      <c r="M1086" t="s">
        <v>1398</v>
      </c>
      <c r="N1086">
        <v>0</v>
      </c>
      <c r="O1086" t="s">
        <v>1391</v>
      </c>
      <c r="P1086" t="s">
        <v>310</v>
      </c>
      <c r="Q1086" t="s">
        <v>310</v>
      </c>
      <c r="R1086" t="s">
        <v>310</v>
      </c>
      <c r="S1086">
        <v>9</v>
      </c>
      <c r="T1086" t="s">
        <v>310</v>
      </c>
      <c r="U1086">
        <v>9</v>
      </c>
      <c r="V1086">
        <v>9</v>
      </c>
      <c r="W1086">
        <v>0</v>
      </c>
      <c r="X1086">
        <v>0</v>
      </c>
      <c r="Y1086">
        <v>0</v>
      </c>
      <c r="Z1086">
        <v>0</v>
      </c>
      <c r="AA1086">
        <v>9</v>
      </c>
      <c r="AB1086">
        <v>9</v>
      </c>
      <c r="AC1086" t="s">
        <v>310</v>
      </c>
      <c r="AD1086">
        <v>9</v>
      </c>
      <c r="AE1086" t="s">
        <v>1412</v>
      </c>
      <c r="AF1086">
        <v>70000000</v>
      </c>
      <c r="AG1086" t="s">
        <v>310</v>
      </c>
      <c r="AH1086">
        <f>SUM((MID(Dyno_Data[[#This Row],[Team]],4,5))+(Dyno_Data[[#This Row],[Match]]/100))</f>
        <v>6621.18</v>
      </c>
      <c r="AI1086" s="76">
        <f>ROUND(SUM(IF(Dyno_Data[[#This Row],[AcqCenter]]&gt;0,Dyno_Data[[#This Row],[Time]]-SUMIFS(Dyno_Data[Time],Dyno_Data[Team],Dyno_Data[[#This Row],[Team]],Dyno_Data[RecordType],"StartMatch",Dyno_Data[Match],Dyno_Data[[#This Row],[Match]]),0)*86400),0)</f>
        <v>0</v>
      </c>
    </row>
    <row r="1087" spans="1:35" x14ac:dyDescent="0.3">
      <c r="A1087">
        <v>1086</v>
      </c>
      <c r="B1087" t="s">
        <v>1291</v>
      </c>
      <c r="C1087">
        <v>18</v>
      </c>
      <c r="D1087" s="105">
        <v>45373.479382986108</v>
      </c>
      <c r="E1087" t="s">
        <v>312</v>
      </c>
      <c r="F1087" t="s">
        <v>1402</v>
      </c>
      <c r="G1087">
        <v>0</v>
      </c>
      <c r="H1087" t="s">
        <v>315</v>
      </c>
      <c r="I1087">
        <v>0</v>
      </c>
      <c r="J1087">
        <v>0</v>
      </c>
      <c r="K1087">
        <v>0</v>
      </c>
      <c r="L1087" t="s">
        <v>241</v>
      </c>
      <c r="M1087" t="s">
        <v>1398</v>
      </c>
      <c r="N1087">
        <v>0</v>
      </c>
      <c r="O1087" t="s">
        <v>1389</v>
      </c>
      <c r="P1087" t="s">
        <v>310</v>
      </c>
      <c r="Q1087" t="s">
        <v>310</v>
      </c>
      <c r="R1087" t="s">
        <v>310</v>
      </c>
      <c r="S1087">
        <v>9</v>
      </c>
      <c r="T1087" t="s">
        <v>310</v>
      </c>
      <c r="U1087">
        <v>9</v>
      </c>
      <c r="V1087">
        <v>9</v>
      </c>
      <c r="W1087">
        <v>0</v>
      </c>
      <c r="X1087">
        <v>0</v>
      </c>
      <c r="Y1087">
        <v>0</v>
      </c>
      <c r="Z1087">
        <v>0</v>
      </c>
      <c r="AA1087">
        <v>9</v>
      </c>
      <c r="AB1087">
        <v>9</v>
      </c>
      <c r="AC1087" t="s">
        <v>310</v>
      </c>
      <c r="AD1087">
        <v>9</v>
      </c>
      <c r="AE1087" t="s">
        <v>1418</v>
      </c>
      <c r="AF1087">
        <v>90000000</v>
      </c>
      <c r="AG1087" t="s">
        <v>310</v>
      </c>
      <c r="AH1087">
        <f>SUM((MID(Dyno_Data[[#This Row],[Team]],4,5))+(Dyno_Data[[#This Row],[Match]]/100))</f>
        <v>1493.18</v>
      </c>
      <c r="AI1087" s="76">
        <f>ROUND(SUM(IF(Dyno_Data[[#This Row],[AcqCenter]]&gt;0,Dyno_Data[[#This Row],[Time]]-SUMIFS(Dyno_Data[Time],Dyno_Data[Team],Dyno_Data[[#This Row],[Team]],Dyno_Data[RecordType],"StartMatch",Dyno_Data[Match],Dyno_Data[[#This Row],[Match]]),0)*86400),0)</f>
        <v>0</v>
      </c>
    </row>
    <row r="1088" spans="1:35" x14ac:dyDescent="0.3">
      <c r="A1088">
        <v>1087</v>
      </c>
      <c r="B1088" t="s">
        <v>1294</v>
      </c>
      <c r="C1088">
        <v>18</v>
      </c>
      <c r="D1088" s="105">
        <v>45373.479433796296</v>
      </c>
      <c r="E1088" t="s">
        <v>312</v>
      </c>
      <c r="F1088" t="s">
        <v>1402</v>
      </c>
      <c r="G1088">
        <v>0</v>
      </c>
      <c r="H1088" t="s">
        <v>315</v>
      </c>
      <c r="I1088">
        <v>0</v>
      </c>
      <c r="J1088">
        <v>0</v>
      </c>
      <c r="K1088">
        <v>0</v>
      </c>
      <c r="L1088" t="s">
        <v>240</v>
      </c>
      <c r="M1088" t="s">
        <v>1398</v>
      </c>
      <c r="N1088">
        <v>1</v>
      </c>
      <c r="O1088" t="s">
        <v>311</v>
      </c>
      <c r="P1088" t="s">
        <v>310</v>
      </c>
      <c r="Q1088" t="s">
        <v>310</v>
      </c>
      <c r="R1088" t="s">
        <v>310</v>
      </c>
      <c r="S1088">
        <v>9</v>
      </c>
      <c r="T1088" t="s">
        <v>310</v>
      </c>
      <c r="U1088">
        <v>9</v>
      </c>
      <c r="V1088">
        <v>9</v>
      </c>
      <c r="W1088">
        <v>0</v>
      </c>
      <c r="X1088">
        <v>0</v>
      </c>
      <c r="Y1088">
        <v>0</v>
      </c>
      <c r="Z1088">
        <v>0</v>
      </c>
      <c r="AA1088">
        <v>9</v>
      </c>
      <c r="AB1088">
        <v>9</v>
      </c>
      <c r="AC1088" t="s">
        <v>310</v>
      </c>
      <c r="AD1088">
        <v>9</v>
      </c>
      <c r="AE1088" t="s">
        <v>1416</v>
      </c>
      <c r="AF1088">
        <v>40000000</v>
      </c>
      <c r="AG1088" t="s">
        <v>310</v>
      </c>
      <c r="AH1088">
        <f>SUM((MID(Dyno_Data[[#This Row],[Team]],4,5))+(Dyno_Data[[#This Row],[Match]]/100))</f>
        <v>9076.18</v>
      </c>
      <c r="AI1088" s="76">
        <f>ROUND(SUM(IF(Dyno_Data[[#This Row],[AcqCenter]]&gt;0,Dyno_Data[[#This Row],[Time]]-SUMIFS(Dyno_Data[Time],Dyno_Data[Team],Dyno_Data[[#This Row],[Team]],Dyno_Data[RecordType],"StartMatch",Dyno_Data[Match],Dyno_Data[[#This Row],[Match]]),0)*86400),0)</f>
        <v>0</v>
      </c>
    </row>
    <row r="1089" spans="1:35" x14ac:dyDescent="0.3">
      <c r="A1089">
        <v>1088</v>
      </c>
      <c r="B1089" t="s">
        <v>365</v>
      </c>
      <c r="C1089">
        <v>18</v>
      </c>
      <c r="D1089" s="105">
        <v>45373.479436805559</v>
      </c>
      <c r="E1089" t="s">
        <v>312</v>
      </c>
      <c r="F1089" t="s">
        <v>1402</v>
      </c>
      <c r="G1089">
        <v>0</v>
      </c>
      <c r="H1089" t="s">
        <v>315</v>
      </c>
      <c r="I1089">
        <v>0</v>
      </c>
      <c r="J1089">
        <v>0</v>
      </c>
      <c r="K1089">
        <v>0</v>
      </c>
      <c r="L1089" t="s">
        <v>241</v>
      </c>
      <c r="M1089" t="s">
        <v>1398</v>
      </c>
      <c r="N1089">
        <v>0</v>
      </c>
      <c r="O1089" t="s">
        <v>319</v>
      </c>
      <c r="P1089" t="s">
        <v>310</v>
      </c>
      <c r="Q1089" t="s">
        <v>310</v>
      </c>
      <c r="R1089" t="s">
        <v>310</v>
      </c>
      <c r="S1089">
        <v>9</v>
      </c>
      <c r="T1089" t="s">
        <v>310</v>
      </c>
      <c r="U1089">
        <v>9</v>
      </c>
      <c r="V1089">
        <v>9</v>
      </c>
      <c r="W1089">
        <v>0</v>
      </c>
      <c r="X1089">
        <v>0</v>
      </c>
      <c r="Y1089">
        <v>0</v>
      </c>
      <c r="Z1089">
        <v>0</v>
      </c>
      <c r="AA1089">
        <v>9</v>
      </c>
      <c r="AB1089">
        <v>9</v>
      </c>
      <c r="AC1089" t="s">
        <v>310</v>
      </c>
      <c r="AD1089">
        <v>9</v>
      </c>
      <c r="AE1089" t="s">
        <v>1413</v>
      </c>
      <c r="AF1089">
        <v>70000000</v>
      </c>
      <c r="AG1089" t="s">
        <v>310</v>
      </c>
      <c r="AH1089">
        <f>SUM((MID(Dyno_Data[[#This Row],[Team]],4,5))+(Dyno_Data[[#This Row],[Match]]/100))</f>
        <v>3171.18</v>
      </c>
      <c r="AI1089" s="76">
        <f>ROUND(SUM(IF(Dyno_Data[[#This Row],[AcqCenter]]&gt;0,Dyno_Data[[#This Row],[Time]]-SUMIFS(Dyno_Data[Time],Dyno_Data[Team],Dyno_Data[[#This Row],[Team]],Dyno_Data[RecordType],"StartMatch",Dyno_Data[Match],Dyno_Data[[#This Row],[Match]]),0)*86400),0)</f>
        <v>0</v>
      </c>
    </row>
    <row r="1090" spans="1:35" x14ac:dyDescent="0.3">
      <c r="A1090">
        <v>1089</v>
      </c>
      <c r="B1090" t="s">
        <v>1310</v>
      </c>
      <c r="C1090">
        <v>18</v>
      </c>
      <c r="D1090" s="105">
        <v>45373.479517858796</v>
      </c>
      <c r="E1090" t="s">
        <v>312</v>
      </c>
      <c r="F1090" t="s">
        <v>1402</v>
      </c>
      <c r="G1090">
        <v>0</v>
      </c>
      <c r="H1090" t="s">
        <v>315</v>
      </c>
      <c r="I1090">
        <v>0</v>
      </c>
      <c r="J1090">
        <v>0</v>
      </c>
      <c r="K1090">
        <v>0</v>
      </c>
      <c r="L1090" t="s">
        <v>241</v>
      </c>
      <c r="M1090" t="s">
        <v>1398</v>
      </c>
      <c r="N1090">
        <v>0</v>
      </c>
      <c r="O1090" t="s">
        <v>1391</v>
      </c>
      <c r="P1090" t="s">
        <v>310</v>
      </c>
      <c r="Q1090" t="s">
        <v>310</v>
      </c>
      <c r="R1090" t="s">
        <v>310</v>
      </c>
      <c r="S1090">
        <v>9</v>
      </c>
      <c r="T1090" t="s">
        <v>310</v>
      </c>
      <c r="U1090">
        <v>9</v>
      </c>
      <c r="V1090">
        <v>9</v>
      </c>
      <c r="W1090">
        <v>0</v>
      </c>
      <c r="X1090">
        <v>0</v>
      </c>
      <c r="Y1090">
        <v>0</v>
      </c>
      <c r="Z1090">
        <v>0</v>
      </c>
      <c r="AA1090">
        <v>9</v>
      </c>
      <c r="AB1090">
        <v>9</v>
      </c>
      <c r="AC1090" t="s">
        <v>310</v>
      </c>
      <c r="AD1090">
        <v>9</v>
      </c>
      <c r="AE1090" t="s">
        <v>1412</v>
      </c>
      <c r="AF1090">
        <v>80000000</v>
      </c>
      <c r="AG1090" t="s">
        <v>310</v>
      </c>
      <c r="AH1090">
        <f>SUM((MID(Dyno_Data[[#This Row],[Team]],4,5))+(Dyno_Data[[#This Row],[Match]]/100))</f>
        <v>6621.18</v>
      </c>
      <c r="AI1090" s="76">
        <f>ROUND(SUM(IF(Dyno_Data[[#This Row],[AcqCenter]]&gt;0,Dyno_Data[[#This Row],[Time]]-SUMIFS(Dyno_Data[Time],Dyno_Data[Team],Dyno_Data[[#This Row],[Team]],Dyno_Data[RecordType],"StartMatch",Dyno_Data[Match],Dyno_Data[[#This Row],[Match]]),0)*86400),0)</f>
        <v>0</v>
      </c>
    </row>
    <row r="1091" spans="1:35" x14ac:dyDescent="0.3">
      <c r="A1091">
        <v>1090</v>
      </c>
      <c r="B1091" t="s">
        <v>1291</v>
      </c>
      <c r="C1091">
        <v>18</v>
      </c>
      <c r="D1091" s="105">
        <v>45373.479573645833</v>
      </c>
      <c r="E1091" t="s">
        <v>312</v>
      </c>
      <c r="F1091" t="s">
        <v>1402</v>
      </c>
      <c r="G1091">
        <v>0</v>
      </c>
      <c r="H1091" t="s">
        <v>315</v>
      </c>
      <c r="I1091">
        <v>0</v>
      </c>
      <c r="J1091">
        <v>0</v>
      </c>
      <c r="K1091">
        <v>0</v>
      </c>
      <c r="L1091" t="s">
        <v>241</v>
      </c>
      <c r="M1091" t="s">
        <v>1398</v>
      </c>
      <c r="N1091">
        <v>0</v>
      </c>
      <c r="O1091" t="s">
        <v>1389</v>
      </c>
      <c r="P1091" t="s">
        <v>310</v>
      </c>
      <c r="Q1091" t="s">
        <v>310</v>
      </c>
      <c r="R1091" t="s">
        <v>310</v>
      </c>
      <c r="S1091">
        <v>9</v>
      </c>
      <c r="T1091" t="s">
        <v>310</v>
      </c>
      <c r="U1091">
        <v>9</v>
      </c>
      <c r="V1091">
        <v>9</v>
      </c>
      <c r="W1091">
        <v>0</v>
      </c>
      <c r="X1091">
        <v>0</v>
      </c>
      <c r="Y1091">
        <v>0</v>
      </c>
      <c r="Z1091">
        <v>0</v>
      </c>
      <c r="AA1091">
        <v>9</v>
      </c>
      <c r="AB1091">
        <v>9</v>
      </c>
      <c r="AC1091" t="s">
        <v>310</v>
      </c>
      <c r="AD1091">
        <v>9</v>
      </c>
      <c r="AE1091" t="s">
        <v>1418</v>
      </c>
      <c r="AF1091">
        <v>100000000</v>
      </c>
      <c r="AG1091" t="s">
        <v>310</v>
      </c>
      <c r="AH1091">
        <f>SUM((MID(Dyno_Data[[#This Row],[Team]],4,5))+(Dyno_Data[[#This Row],[Match]]/100))</f>
        <v>1493.18</v>
      </c>
      <c r="AI1091" s="76">
        <f>ROUND(SUM(IF(Dyno_Data[[#This Row],[AcqCenter]]&gt;0,Dyno_Data[[#This Row],[Time]]-SUMIFS(Dyno_Data[Time],Dyno_Data[Team],Dyno_Data[[#This Row],[Team]],Dyno_Data[RecordType],"StartMatch",Dyno_Data[Match],Dyno_Data[[#This Row],[Match]]),0)*86400),0)</f>
        <v>0</v>
      </c>
    </row>
    <row r="1092" spans="1:35" x14ac:dyDescent="0.3">
      <c r="A1092">
        <v>1091</v>
      </c>
      <c r="B1092" t="s">
        <v>1310</v>
      </c>
      <c r="C1092">
        <v>18</v>
      </c>
      <c r="D1092" s="105">
        <v>45373.479700381948</v>
      </c>
      <c r="E1092" t="s">
        <v>312</v>
      </c>
      <c r="F1092" t="s">
        <v>1402</v>
      </c>
      <c r="G1092">
        <v>0</v>
      </c>
      <c r="H1092" t="s">
        <v>315</v>
      </c>
      <c r="I1092">
        <v>0</v>
      </c>
      <c r="J1092">
        <v>0</v>
      </c>
      <c r="K1092">
        <v>0</v>
      </c>
      <c r="L1092" t="s">
        <v>241</v>
      </c>
      <c r="M1092" t="s">
        <v>1398</v>
      </c>
      <c r="N1092">
        <v>0</v>
      </c>
      <c r="O1092" t="s">
        <v>1391</v>
      </c>
      <c r="P1092" t="s">
        <v>310</v>
      </c>
      <c r="Q1092" t="s">
        <v>310</v>
      </c>
      <c r="R1092" t="s">
        <v>310</v>
      </c>
      <c r="S1092">
        <v>9</v>
      </c>
      <c r="T1092" t="s">
        <v>310</v>
      </c>
      <c r="U1092">
        <v>9</v>
      </c>
      <c r="V1092">
        <v>9</v>
      </c>
      <c r="W1092">
        <v>0</v>
      </c>
      <c r="X1092">
        <v>0</v>
      </c>
      <c r="Y1092">
        <v>0</v>
      </c>
      <c r="Z1092">
        <v>0</v>
      </c>
      <c r="AA1092">
        <v>9</v>
      </c>
      <c r="AB1092">
        <v>9</v>
      </c>
      <c r="AC1092" t="s">
        <v>310</v>
      </c>
      <c r="AD1092">
        <v>9</v>
      </c>
      <c r="AE1092" t="s">
        <v>1412</v>
      </c>
      <c r="AF1092">
        <v>90000000</v>
      </c>
      <c r="AG1092" t="s">
        <v>310</v>
      </c>
      <c r="AH1092">
        <f>SUM((MID(Dyno_Data[[#This Row],[Team]],4,5))+(Dyno_Data[[#This Row],[Match]]/100))</f>
        <v>6621.18</v>
      </c>
      <c r="AI1092" s="76">
        <f>ROUND(SUM(IF(Dyno_Data[[#This Row],[AcqCenter]]&gt;0,Dyno_Data[[#This Row],[Time]]-SUMIFS(Dyno_Data[Time],Dyno_Data[Team],Dyno_Data[[#This Row],[Team]],Dyno_Data[RecordType],"StartMatch",Dyno_Data[Match],Dyno_Data[[#This Row],[Match]]),0)*86400),0)</f>
        <v>0</v>
      </c>
    </row>
    <row r="1093" spans="1:35" x14ac:dyDescent="0.3">
      <c r="A1093">
        <v>1092</v>
      </c>
      <c r="B1093" t="s">
        <v>365</v>
      </c>
      <c r="C1093">
        <v>18</v>
      </c>
      <c r="D1093" s="105">
        <v>45373.479705405094</v>
      </c>
      <c r="E1093" t="s">
        <v>312</v>
      </c>
      <c r="F1093" t="s">
        <v>1402</v>
      </c>
      <c r="G1093">
        <v>0</v>
      </c>
      <c r="H1093" t="s">
        <v>315</v>
      </c>
      <c r="I1093">
        <v>0</v>
      </c>
      <c r="J1093">
        <v>0</v>
      </c>
      <c r="K1093">
        <v>0</v>
      </c>
      <c r="L1093" t="s">
        <v>241</v>
      </c>
      <c r="M1093" t="s">
        <v>1398</v>
      </c>
      <c r="N1093">
        <v>0</v>
      </c>
      <c r="O1093" t="s">
        <v>319</v>
      </c>
      <c r="P1093" t="s">
        <v>310</v>
      </c>
      <c r="Q1093" t="s">
        <v>310</v>
      </c>
      <c r="R1093" t="s">
        <v>310</v>
      </c>
      <c r="S1093">
        <v>9</v>
      </c>
      <c r="T1093" t="s">
        <v>310</v>
      </c>
      <c r="U1093">
        <v>9</v>
      </c>
      <c r="V1093">
        <v>9</v>
      </c>
      <c r="W1093">
        <v>0</v>
      </c>
      <c r="X1093">
        <v>0</v>
      </c>
      <c r="Y1093">
        <v>0</v>
      </c>
      <c r="Z1093">
        <v>0</v>
      </c>
      <c r="AA1093">
        <v>9</v>
      </c>
      <c r="AB1093">
        <v>9</v>
      </c>
      <c r="AC1093" t="s">
        <v>310</v>
      </c>
      <c r="AD1093">
        <v>9</v>
      </c>
      <c r="AE1093" t="s">
        <v>1413</v>
      </c>
      <c r="AF1093">
        <v>80000000</v>
      </c>
      <c r="AG1093" t="s">
        <v>310</v>
      </c>
      <c r="AH1093">
        <f>SUM((MID(Dyno_Data[[#This Row],[Team]],4,5))+(Dyno_Data[[#This Row],[Match]]/100))</f>
        <v>3171.18</v>
      </c>
      <c r="AI1093" s="76">
        <f>ROUND(SUM(IF(Dyno_Data[[#This Row],[AcqCenter]]&gt;0,Dyno_Data[[#This Row],[Time]]-SUMIFS(Dyno_Data[Time],Dyno_Data[Team],Dyno_Data[[#This Row],[Team]],Dyno_Data[RecordType],"StartMatch",Dyno_Data[Match],Dyno_Data[[#This Row],[Match]]),0)*86400),0)</f>
        <v>0</v>
      </c>
    </row>
    <row r="1094" spans="1:35" x14ac:dyDescent="0.3">
      <c r="A1094">
        <v>1093</v>
      </c>
      <c r="B1094" t="s">
        <v>1294</v>
      </c>
      <c r="C1094">
        <v>18</v>
      </c>
      <c r="D1094" s="105">
        <v>45373.479733715278</v>
      </c>
      <c r="E1094" t="s">
        <v>312</v>
      </c>
      <c r="F1094" t="s">
        <v>1402</v>
      </c>
      <c r="G1094">
        <v>0</v>
      </c>
      <c r="H1094" t="s">
        <v>315</v>
      </c>
      <c r="I1094">
        <v>0</v>
      </c>
      <c r="J1094">
        <v>0</v>
      </c>
      <c r="K1094">
        <v>0</v>
      </c>
      <c r="L1094" t="s">
        <v>240</v>
      </c>
      <c r="M1094" t="s">
        <v>1398</v>
      </c>
      <c r="N1094">
        <v>1</v>
      </c>
      <c r="O1094" t="s">
        <v>311</v>
      </c>
      <c r="P1094" t="s">
        <v>310</v>
      </c>
      <c r="Q1094" t="s">
        <v>310</v>
      </c>
      <c r="R1094" t="s">
        <v>310</v>
      </c>
      <c r="S1094">
        <v>9</v>
      </c>
      <c r="T1094" t="s">
        <v>310</v>
      </c>
      <c r="U1094">
        <v>9</v>
      </c>
      <c r="V1094">
        <v>9</v>
      </c>
      <c r="W1094">
        <v>0</v>
      </c>
      <c r="X1094">
        <v>0</v>
      </c>
      <c r="Y1094">
        <v>0</v>
      </c>
      <c r="Z1094">
        <v>0</v>
      </c>
      <c r="AA1094">
        <v>9</v>
      </c>
      <c r="AB1094">
        <v>9</v>
      </c>
      <c r="AC1094" t="s">
        <v>310</v>
      </c>
      <c r="AD1094">
        <v>9</v>
      </c>
      <c r="AE1094" t="s">
        <v>1416</v>
      </c>
      <c r="AF1094">
        <v>50000000</v>
      </c>
      <c r="AG1094" t="s">
        <v>310</v>
      </c>
      <c r="AH1094">
        <f>SUM((MID(Dyno_Data[[#This Row],[Team]],4,5))+(Dyno_Data[[#This Row],[Match]]/100))</f>
        <v>9076.18</v>
      </c>
      <c r="AI1094" s="76">
        <f>ROUND(SUM(IF(Dyno_Data[[#This Row],[AcqCenter]]&gt;0,Dyno_Data[[#This Row],[Time]]-SUMIFS(Dyno_Data[Time],Dyno_Data[Team],Dyno_Data[[#This Row],[Team]],Dyno_Data[RecordType],"StartMatch",Dyno_Data[Match],Dyno_Data[[#This Row],[Match]]),0)*86400),0)</f>
        <v>0</v>
      </c>
    </row>
    <row r="1095" spans="1:35" x14ac:dyDescent="0.3">
      <c r="A1095">
        <v>1094</v>
      </c>
      <c r="B1095" t="s">
        <v>1290</v>
      </c>
      <c r="C1095">
        <v>18</v>
      </c>
      <c r="D1095" s="105">
        <v>45373.479758333335</v>
      </c>
      <c r="E1095" t="s">
        <v>312</v>
      </c>
      <c r="F1095" t="s">
        <v>1402</v>
      </c>
      <c r="G1095">
        <v>0</v>
      </c>
      <c r="H1095" t="s">
        <v>315</v>
      </c>
      <c r="I1095">
        <v>0</v>
      </c>
      <c r="J1095">
        <v>0</v>
      </c>
      <c r="K1095">
        <v>0</v>
      </c>
      <c r="L1095" t="s">
        <v>241</v>
      </c>
      <c r="M1095" t="s">
        <v>1398</v>
      </c>
      <c r="N1095">
        <v>0</v>
      </c>
      <c r="O1095" t="s">
        <v>1395</v>
      </c>
      <c r="P1095" t="s">
        <v>310</v>
      </c>
      <c r="Q1095" t="s">
        <v>310</v>
      </c>
      <c r="R1095" t="s">
        <v>310</v>
      </c>
      <c r="S1095">
        <v>9</v>
      </c>
      <c r="T1095" t="s">
        <v>310</v>
      </c>
      <c r="U1095">
        <v>9</v>
      </c>
      <c r="V1095">
        <v>9</v>
      </c>
      <c r="W1095">
        <v>0</v>
      </c>
      <c r="X1095">
        <v>0</v>
      </c>
      <c r="Y1095">
        <v>0</v>
      </c>
      <c r="Z1095">
        <v>0</v>
      </c>
      <c r="AA1095">
        <v>9</v>
      </c>
      <c r="AB1095">
        <v>9</v>
      </c>
      <c r="AC1095" t="s">
        <v>310</v>
      </c>
      <c r="AD1095">
        <v>9</v>
      </c>
      <c r="AE1095" t="s">
        <v>1417</v>
      </c>
      <c r="AF1095">
        <v>50000000</v>
      </c>
      <c r="AG1095" t="s">
        <v>310</v>
      </c>
      <c r="AH1095">
        <f>SUM((MID(Dyno_Data[[#This Row],[Team]],4,5))+(Dyno_Data[[#This Row],[Match]]/100))</f>
        <v>5881.18</v>
      </c>
      <c r="AI1095" s="76">
        <f>ROUND(SUM(IF(Dyno_Data[[#This Row],[AcqCenter]]&gt;0,Dyno_Data[[#This Row],[Time]]-SUMIFS(Dyno_Data[Time],Dyno_Data[Team],Dyno_Data[[#This Row],[Team]],Dyno_Data[RecordType],"StartMatch",Dyno_Data[Match],Dyno_Data[[#This Row],[Match]]),0)*86400),0)</f>
        <v>0</v>
      </c>
    </row>
    <row r="1096" spans="1:35" x14ac:dyDescent="0.3">
      <c r="A1096">
        <v>1095</v>
      </c>
      <c r="B1096" t="s">
        <v>1291</v>
      </c>
      <c r="C1096">
        <v>18</v>
      </c>
      <c r="D1096" s="105">
        <v>45373.479775694446</v>
      </c>
      <c r="E1096" t="s">
        <v>312</v>
      </c>
      <c r="F1096" t="s">
        <v>1402</v>
      </c>
      <c r="G1096">
        <v>0</v>
      </c>
      <c r="H1096" t="s">
        <v>315</v>
      </c>
      <c r="I1096">
        <v>0</v>
      </c>
      <c r="J1096">
        <v>0</v>
      </c>
      <c r="K1096">
        <v>0</v>
      </c>
      <c r="L1096" t="s">
        <v>241</v>
      </c>
      <c r="M1096" t="s">
        <v>1398</v>
      </c>
      <c r="N1096">
        <v>0</v>
      </c>
      <c r="O1096" t="s">
        <v>1389</v>
      </c>
      <c r="P1096" t="s">
        <v>310</v>
      </c>
      <c r="Q1096" t="s">
        <v>310</v>
      </c>
      <c r="R1096" t="s">
        <v>310</v>
      </c>
      <c r="S1096">
        <v>9</v>
      </c>
      <c r="T1096" t="s">
        <v>310</v>
      </c>
      <c r="U1096">
        <v>9</v>
      </c>
      <c r="V1096">
        <v>9</v>
      </c>
      <c r="W1096">
        <v>0</v>
      </c>
      <c r="X1096">
        <v>0</v>
      </c>
      <c r="Y1096">
        <v>0</v>
      </c>
      <c r="Z1096">
        <v>0</v>
      </c>
      <c r="AA1096">
        <v>9</v>
      </c>
      <c r="AB1096">
        <v>9</v>
      </c>
      <c r="AC1096" t="s">
        <v>310</v>
      </c>
      <c r="AD1096">
        <v>9</v>
      </c>
      <c r="AE1096" t="s">
        <v>1418</v>
      </c>
      <c r="AF1096">
        <v>110000000</v>
      </c>
      <c r="AG1096" t="s">
        <v>310</v>
      </c>
      <c r="AH1096">
        <f>SUM((MID(Dyno_Data[[#This Row],[Team]],4,5))+(Dyno_Data[[#This Row],[Match]]/100))</f>
        <v>1493.18</v>
      </c>
      <c r="AI1096" s="76">
        <f>ROUND(SUM(IF(Dyno_Data[[#This Row],[AcqCenter]]&gt;0,Dyno_Data[[#This Row],[Time]]-SUMIFS(Dyno_Data[Time],Dyno_Data[Team],Dyno_Data[[#This Row],[Team]],Dyno_Data[RecordType],"StartMatch",Dyno_Data[Match],Dyno_Data[[#This Row],[Match]]),0)*86400),0)</f>
        <v>0</v>
      </c>
    </row>
    <row r="1097" spans="1:35" x14ac:dyDescent="0.3">
      <c r="A1097">
        <v>1096</v>
      </c>
      <c r="B1097" t="s">
        <v>1310</v>
      </c>
      <c r="C1097">
        <v>18</v>
      </c>
      <c r="D1097" s="105">
        <v>45373.479844409725</v>
      </c>
      <c r="E1097" t="s">
        <v>312</v>
      </c>
      <c r="F1097" t="s">
        <v>1402</v>
      </c>
      <c r="G1097">
        <v>0</v>
      </c>
      <c r="H1097" t="s">
        <v>315</v>
      </c>
      <c r="I1097">
        <v>0</v>
      </c>
      <c r="J1097">
        <v>0</v>
      </c>
      <c r="K1097">
        <v>0</v>
      </c>
      <c r="L1097" t="s">
        <v>241</v>
      </c>
      <c r="M1097" t="s">
        <v>1398</v>
      </c>
      <c r="N1097">
        <v>0</v>
      </c>
      <c r="O1097" t="s">
        <v>1391</v>
      </c>
      <c r="P1097" t="s">
        <v>310</v>
      </c>
      <c r="Q1097" t="s">
        <v>310</v>
      </c>
      <c r="R1097" t="s">
        <v>310</v>
      </c>
      <c r="S1097">
        <v>9</v>
      </c>
      <c r="T1097" t="s">
        <v>310</v>
      </c>
      <c r="U1097">
        <v>9</v>
      </c>
      <c r="V1097">
        <v>9</v>
      </c>
      <c r="W1097">
        <v>0</v>
      </c>
      <c r="X1097">
        <v>0</v>
      </c>
      <c r="Y1097">
        <v>0</v>
      </c>
      <c r="Z1097">
        <v>0</v>
      </c>
      <c r="AA1097">
        <v>9</v>
      </c>
      <c r="AB1097">
        <v>9</v>
      </c>
      <c r="AC1097" t="s">
        <v>310</v>
      </c>
      <c r="AD1097">
        <v>9</v>
      </c>
      <c r="AE1097" t="s">
        <v>1412</v>
      </c>
      <c r="AF1097">
        <v>100000000</v>
      </c>
      <c r="AG1097" t="s">
        <v>310</v>
      </c>
      <c r="AH1097">
        <f>SUM((MID(Dyno_Data[[#This Row],[Team]],4,5))+(Dyno_Data[[#This Row],[Match]]/100))</f>
        <v>6621.18</v>
      </c>
      <c r="AI1097" s="76">
        <f>ROUND(SUM(IF(Dyno_Data[[#This Row],[AcqCenter]]&gt;0,Dyno_Data[[#This Row],[Time]]-SUMIFS(Dyno_Data[Time],Dyno_Data[Team],Dyno_Data[[#This Row],[Team]],Dyno_Data[RecordType],"StartMatch",Dyno_Data[Match],Dyno_Data[[#This Row],[Match]]),0)*86400),0)</f>
        <v>0</v>
      </c>
    </row>
    <row r="1098" spans="1:35" x14ac:dyDescent="0.3">
      <c r="A1098">
        <v>1097</v>
      </c>
      <c r="B1098" t="s">
        <v>1291</v>
      </c>
      <c r="C1098">
        <v>18</v>
      </c>
      <c r="D1098" s="105">
        <v>45373.479851701391</v>
      </c>
      <c r="E1098" t="s">
        <v>312</v>
      </c>
      <c r="F1098" t="s">
        <v>1402</v>
      </c>
      <c r="G1098">
        <v>0</v>
      </c>
      <c r="H1098" t="s">
        <v>315</v>
      </c>
      <c r="I1098">
        <v>0</v>
      </c>
      <c r="J1098">
        <v>0</v>
      </c>
      <c r="K1098">
        <v>0</v>
      </c>
      <c r="L1098" t="s">
        <v>241</v>
      </c>
      <c r="M1098" t="s">
        <v>1398</v>
      </c>
      <c r="N1098">
        <v>0</v>
      </c>
      <c r="O1098" t="s">
        <v>1389</v>
      </c>
      <c r="P1098" t="s">
        <v>310</v>
      </c>
      <c r="Q1098" t="s">
        <v>310</v>
      </c>
      <c r="R1098" t="s">
        <v>310</v>
      </c>
      <c r="S1098">
        <v>9</v>
      </c>
      <c r="T1098" t="s">
        <v>310</v>
      </c>
      <c r="U1098">
        <v>9</v>
      </c>
      <c r="V1098">
        <v>9</v>
      </c>
      <c r="W1098">
        <v>0</v>
      </c>
      <c r="X1098">
        <v>0</v>
      </c>
      <c r="Y1098">
        <v>0</v>
      </c>
      <c r="Z1098">
        <v>0</v>
      </c>
      <c r="AA1098">
        <v>9</v>
      </c>
      <c r="AB1098">
        <v>9</v>
      </c>
      <c r="AC1098" t="s">
        <v>310</v>
      </c>
      <c r="AD1098">
        <v>9</v>
      </c>
      <c r="AE1098" t="s">
        <v>1418</v>
      </c>
      <c r="AF1098">
        <v>120000000</v>
      </c>
      <c r="AG1098" t="s">
        <v>310</v>
      </c>
      <c r="AH1098">
        <f>SUM((MID(Dyno_Data[[#This Row],[Team]],4,5))+(Dyno_Data[[#This Row],[Match]]/100))</f>
        <v>1493.18</v>
      </c>
      <c r="AI1098" s="76">
        <f>ROUND(SUM(IF(Dyno_Data[[#This Row],[AcqCenter]]&gt;0,Dyno_Data[[#This Row],[Time]]-SUMIFS(Dyno_Data[Time],Dyno_Data[Team],Dyno_Data[[#This Row],[Team]],Dyno_Data[RecordType],"StartMatch",Dyno_Data[Match],Dyno_Data[[#This Row],[Match]]),0)*86400),0)</f>
        <v>0</v>
      </c>
    </row>
    <row r="1099" spans="1:35" x14ac:dyDescent="0.3">
      <c r="A1099">
        <v>1098</v>
      </c>
      <c r="B1099" t="s">
        <v>1294</v>
      </c>
      <c r="C1099">
        <v>18</v>
      </c>
      <c r="D1099" s="105">
        <v>45373.479885567132</v>
      </c>
      <c r="E1099" t="s">
        <v>312</v>
      </c>
      <c r="F1099" t="s">
        <v>1402</v>
      </c>
      <c r="G1099">
        <v>0</v>
      </c>
      <c r="H1099" t="s">
        <v>315</v>
      </c>
      <c r="I1099">
        <v>0</v>
      </c>
      <c r="J1099">
        <v>0</v>
      </c>
      <c r="K1099">
        <v>0</v>
      </c>
      <c r="L1099" t="s">
        <v>240</v>
      </c>
      <c r="M1099" t="s">
        <v>1398</v>
      </c>
      <c r="N1099">
        <v>0</v>
      </c>
      <c r="O1099" t="s">
        <v>311</v>
      </c>
      <c r="P1099" t="s">
        <v>310</v>
      </c>
      <c r="Q1099" t="s">
        <v>310</v>
      </c>
      <c r="R1099" t="s">
        <v>310</v>
      </c>
      <c r="S1099">
        <v>9</v>
      </c>
      <c r="T1099" t="s">
        <v>310</v>
      </c>
      <c r="U1099">
        <v>9</v>
      </c>
      <c r="V1099">
        <v>9</v>
      </c>
      <c r="W1099">
        <v>0</v>
      </c>
      <c r="X1099">
        <v>0</v>
      </c>
      <c r="Y1099">
        <v>0</v>
      </c>
      <c r="Z1099">
        <v>0</v>
      </c>
      <c r="AA1099">
        <v>9</v>
      </c>
      <c r="AB1099">
        <v>9</v>
      </c>
      <c r="AC1099" t="s">
        <v>310</v>
      </c>
      <c r="AD1099">
        <v>9</v>
      </c>
      <c r="AE1099" t="s">
        <v>1416</v>
      </c>
      <c r="AF1099">
        <v>60000000</v>
      </c>
      <c r="AG1099" t="s">
        <v>310</v>
      </c>
      <c r="AH1099">
        <f>SUM((MID(Dyno_Data[[#This Row],[Team]],4,5))+(Dyno_Data[[#This Row],[Match]]/100))</f>
        <v>9076.18</v>
      </c>
      <c r="AI1099" s="76">
        <f>ROUND(SUM(IF(Dyno_Data[[#This Row],[AcqCenter]]&gt;0,Dyno_Data[[#This Row],[Time]]-SUMIFS(Dyno_Data[Time],Dyno_Data[Team],Dyno_Data[[#This Row],[Team]],Dyno_Data[RecordType],"StartMatch",Dyno_Data[Match],Dyno_Data[[#This Row],[Match]]),0)*86400),0)</f>
        <v>0</v>
      </c>
    </row>
    <row r="1100" spans="1:35" x14ac:dyDescent="0.3">
      <c r="A1100">
        <v>1099</v>
      </c>
      <c r="B1100" t="s">
        <v>365</v>
      </c>
      <c r="C1100">
        <v>18</v>
      </c>
      <c r="D1100" s="105">
        <v>45373.479922569444</v>
      </c>
      <c r="E1100" t="s">
        <v>1403</v>
      </c>
      <c r="F1100" t="s">
        <v>1402</v>
      </c>
      <c r="G1100">
        <v>0</v>
      </c>
      <c r="H1100" t="s">
        <v>310</v>
      </c>
      <c r="I1100">
        <v>0</v>
      </c>
      <c r="J1100">
        <v>0</v>
      </c>
      <c r="K1100">
        <v>0</v>
      </c>
      <c r="L1100" t="s">
        <v>310</v>
      </c>
      <c r="M1100" t="s">
        <v>310</v>
      </c>
      <c r="N1100">
        <v>0</v>
      </c>
      <c r="O1100" t="s">
        <v>319</v>
      </c>
      <c r="P1100" t="s">
        <v>310</v>
      </c>
      <c r="Q1100" t="s">
        <v>310</v>
      </c>
      <c r="R1100" t="s">
        <v>310</v>
      </c>
      <c r="S1100">
        <v>9</v>
      </c>
      <c r="T1100" t="s">
        <v>310</v>
      </c>
      <c r="U1100">
        <v>9</v>
      </c>
      <c r="V1100">
        <v>9</v>
      </c>
      <c r="W1100">
        <v>0</v>
      </c>
      <c r="X1100">
        <v>0</v>
      </c>
      <c r="Y1100">
        <v>0</v>
      </c>
      <c r="Z1100">
        <v>0</v>
      </c>
      <c r="AA1100">
        <v>9</v>
      </c>
      <c r="AB1100">
        <v>9</v>
      </c>
      <c r="AC1100" t="s">
        <v>310</v>
      </c>
      <c r="AD1100">
        <v>9</v>
      </c>
      <c r="AE1100" t="s">
        <v>1413</v>
      </c>
      <c r="AF1100">
        <v>60000000</v>
      </c>
      <c r="AG1100" t="s">
        <v>249</v>
      </c>
      <c r="AH1100">
        <f>SUM((MID(Dyno_Data[[#This Row],[Team]],4,5))+(Dyno_Data[[#This Row],[Match]]/100))</f>
        <v>3171.18</v>
      </c>
      <c r="AI1100" s="76">
        <f>ROUND(SUM(IF(Dyno_Data[[#This Row],[AcqCenter]]&gt;0,Dyno_Data[[#This Row],[Time]]-SUMIFS(Dyno_Data[Time],Dyno_Data[Team],Dyno_Data[[#This Row],[Team]],Dyno_Data[RecordType],"StartMatch",Dyno_Data[Match],Dyno_Data[[#This Row],[Match]]),0)*86400),0)</f>
        <v>0</v>
      </c>
    </row>
    <row r="1101" spans="1:35" x14ac:dyDescent="0.3">
      <c r="A1101">
        <v>1100</v>
      </c>
      <c r="B1101" t="s">
        <v>1310</v>
      </c>
      <c r="C1101">
        <v>18</v>
      </c>
      <c r="D1101" s="105">
        <v>45373.479981168981</v>
      </c>
      <c r="E1101" t="s">
        <v>312</v>
      </c>
      <c r="F1101" t="s">
        <v>1402</v>
      </c>
      <c r="G1101">
        <v>0</v>
      </c>
      <c r="H1101" t="s">
        <v>315</v>
      </c>
      <c r="I1101">
        <v>0</v>
      </c>
      <c r="J1101">
        <v>0</v>
      </c>
      <c r="K1101">
        <v>0</v>
      </c>
      <c r="L1101" t="s">
        <v>241</v>
      </c>
      <c r="M1101" t="s">
        <v>1398</v>
      </c>
      <c r="N1101">
        <v>0</v>
      </c>
      <c r="O1101" t="s">
        <v>1391</v>
      </c>
      <c r="P1101" t="s">
        <v>310</v>
      </c>
      <c r="Q1101" t="s">
        <v>310</v>
      </c>
      <c r="R1101" t="s">
        <v>310</v>
      </c>
      <c r="S1101">
        <v>9</v>
      </c>
      <c r="T1101" t="s">
        <v>310</v>
      </c>
      <c r="U1101">
        <v>9</v>
      </c>
      <c r="V1101">
        <v>9</v>
      </c>
      <c r="W1101">
        <v>0</v>
      </c>
      <c r="X1101">
        <v>0</v>
      </c>
      <c r="Y1101">
        <v>0</v>
      </c>
      <c r="Z1101">
        <v>0</v>
      </c>
      <c r="AA1101">
        <v>9</v>
      </c>
      <c r="AB1101">
        <v>9</v>
      </c>
      <c r="AC1101" t="s">
        <v>310</v>
      </c>
      <c r="AD1101">
        <v>9</v>
      </c>
      <c r="AE1101" t="s">
        <v>1412</v>
      </c>
      <c r="AF1101">
        <v>110000000</v>
      </c>
      <c r="AG1101" t="s">
        <v>310</v>
      </c>
      <c r="AH1101">
        <f>SUM((MID(Dyno_Data[[#This Row],[Team]],4,5))+(Dyno_Data[[#This Row],[Match]]/100))</f>
        <v>6621.18</v>
      </c>
      <c r="AI1101" s="76">
        <f>ROUND(SUM(IF(Dyno_Data[[#This Row],[AcqCenter]]&gt;0,Dyno_Data[[#This Row],[Time]]-SUMIFS(Dyno_Data[Time],Dyno_Data[Team],Dyno_Data[[#This Row],[Team]],Dyno_Data[RecordType],"StartMatch",Dyno_Data[Match],Dyno_Data[[#This Row],[Match]]),0)*86400),0)</f>
        <v>0</v>
      </c>
    </row>
    <row r="1102" spans="1:35" x14ac:dyDescent="0.3">
      <c r="A1102">
        <v>1101</v>
      </c>
      <c r="B1102" t="s">
        <v>1290</v>
      </c>
      <c r="C1102">
        <v>18</v>
      </c>
      <c r="D1102" s="105">
        <v>45373.480015162037</v>
      </c>
      <c r="E1102" t="s">
        <v>312</v>
      </c>
      <c r="F1102" t="s">
        <v>1402</v>
      </c>
      <c r="G1102">
        <v>0</v>
      </c>
      <c r="H1102" t="s">
        <v>315</v>
      </c>
      <c r="I1102">
        <v>0</v>
      </c>
      <c r="J1102">
        <v>0</v>
      </c>
      <c r="K1102">
        <v>0</v>
      </c>
      <c r="L1102" t="s">
        <v>241</v>
      </c>
      <c r="M1102" t="s">
        <v>1398</v>
      </c>
      <c r="N1102">
        <v>1</v>
      </c>
      <c r="O1102" t="s">
        <v>1395</v>
      </c>
      <c r="P1102" t="s">
        <v>310</v>
      </c>
      <c r="Q1102" t="s">
        <v>310</v>
      </c>
      <c r="R1102" t="s">
        <v>310</v>
      </c>
      <c r="S1102">
        <v>9</v>
      </c>
      <c r="T1102" t="s">
        <v>310</v>
      </c>
      <c r="U1102">
        <v>9</v>
      </c>
      <c r="V1102">
        <v>9</v>
      </c>
      <c r="W1102">
        <v>0</v>
      </c>
      <c r="X1102">
        <v>0</v>
      </c>
      <c r="Y1102">
        <v>0</v>
      </c>
      <c r="Z1102">
        <v>0</v>
      </c>
      <c r="AA1102">
        <v>9</v>
      </c>
      <c r="AB1102">
        <v>9</v>
      </c>
      <c r="AC1102" t="s">
        <v>310</v>
      </c>
      <c r="AD1102">
        <v>9</v>
      </c>
      <c r="AE1102" t="s">
        <v>1417</v>
      </c>
      <c r="AF1102">
        <v>60000000</v>
      </c>
      <c r="AG1102" t="s">
        <v>310</v>
      </c>
      <c r="AH1102">
        <f>SUM((MID(Dyno_Data[[#This Row],[Team]],4,5))+(Dyno_Data[[#This Row],[Match]]/100))</f>
        <v>5881.18</v>
      </c>
      <c r="AI1102" s="76">
        <f>ROUND(SUM(IF(Dyno_Data[[#This Row],[AcqCenter]]&gt;0,Dyno_Data[[#This Row],[Time]]-SUMIFS(Dyno_Data[Time],Dyno_Data[Team],Dyno_Data[[#This Row],[Team]],Dyno_Data[RecordType],"StartMatch",Dyno_Data[Match],Dyno_Data[[#This Row],[Match]]),0)*86400),0)</f>
        <v>0</v>
      </c>
    </row>
    <row r="1103" spans="1:35" x14ac:dyDescent="0.3">
      <c r="A1103">
        <v>1102</v>
      </c>
      <c r="B1103" t="s">
        <v>1291</v>
      </c>
      <c r="C1103">
        <v>18</v>
      </c>
      <c r="D1103" s="105">
        <v>45373.480020173614</v>
      </c>
      <c r="E1103" t="s">
        <v>312</v>
      </c>
      <c r="F1103" t="s">
        <v>1402</v>
      </c>
      <c r="G1103">
        <v>0</v>
      </c>
      <c r="H1103" t="s">
        <v>315</v>
      </c>
      <c r="I1103">
        <v>0</v>
      </c>
      <c r="J1103">
        <v>0</v>
      </c>
      <c r="K1103">
        <v>0</v>
      </c>
      <c r="L1103" t="s">
        <v>241</v>
      </c>
      <c r="M1103" t="s">
        <v>1398</v>
      </c>
      <c r="N1103">
        <v>0</v>
      </c>
      <c r="O1103" t="s">
        <v>1389</v>
      </c>
      <c r="P1103" t="s">
        <v>310</v>
      </c>
      <c r="Q1103" t="s">
        <v>310</v>
      </c>
      <c r="R1103" t="s">
        <v>310</v>
      </c>
      <c r="S1103">
        <v>9</v>
      </c>
      <c r="T1103" t="s">
        <v>310</v>
      </c>
      <c r="U1103">
        <v>9</v>
      </c>
      <c r="V1103">
        <v>9</v>
      </c>
      <c r="W1103">
        <v>0</v>
      </c>
      <c r="X1103">
        <v>0</v>
      </c>
      <c r="Y1103">
        <v>0</v>
      </c>
      <c r="Z1103">
        <v>0</v>
      </c>
      <c r="AA1103">
        <v>9</v>
      </c>
      <c r="AB1103">
        <v>9</v>
      </c>
      <c r="AC1103" t="s">
        <v>310</v>
      </c>
      <c r="AD1103">
        <v>9</v>
      </c>
      <c r="AE1103" t="s">
        <v>1418</v>
      </c>
      <c r="AF1103">
        <v>130000000</v>
      </c>
      <c r="AG1103" t="s">
        <v>310</v>
      </c>
      <c r="AH1103">
        <f>SUM((MID(Dyno_Data[[#This Row],[Team]],4,5))+(Dyno_Data[[#This Row],[Match]]/100))</f>
        <v>1493.18</v>
      </c>
      <c r="AI1103" s="76">
        <f>ROUND(SUM(IF(Dyno_Data[[#This Row],[AcqCenter]]&gt;0,Dyno_Data[[#This Row],[Time]]-SUMIFS(Dyno_Data[Time],Dyno_Data[Team],Dyno_Data[[#This Row],[Team]],Dyno_Data[RecordType],"StartMatch",Dyno_Data[Match],Dyno_Data[[#This Row],[Match]]),0)*86400),0)</f>
        <v>0</v>
      </c>
    </row>
    <row r="1104" spans="1:35" x14ac:dyDescent="0.3">
      <c r="A1104">
        <v>1103</v>
      </c>
      <c r="B1104" t="s">
        <v>1294</v>
      </c>
      <c r="C1104">
        <v>18</v>
      </c>
      <c r="D1104" s="105">
        <v>45373.480970567129</v>
      </c>
      <c r="E1104" t="s">
        <v>316</v>
      </c>
      <c r="F1104" t="s">
        <v>317</v>
      </c>
      <c r="G1104">
        <v>0</v>
      </c>
      <c r="H1104" t="s">
        <v>310</v>
      </c>
      <c r="I1104">
        <v>0</v>
      </c>
      <c r="J1104">
        <v>0</v>
      </c>
      <c r="K1104">
        <v>0</v>
      </c>
      <c r="L1104" t="s">
        <v>310</v>
      </c>
      <c r="M1104" t="s">
        <v>310</v>
      </c>
      <c r="N1104">
        <v>0</v>
      </c>
      <c r="O1104" t="s">
        <v>311</v>
      </c>
      <c r="P1104" t="s">
        <v>320</v>
      </c>
      <c r="Q1104" t="s">
        <v>1400</v>
      </c>
      <c r="R1104" t="s">
        <v>1404</v>
      </c>
      <c r="S1104">
        <v>-1</v>
      </c>
      <c r="T1104" t="s">
        <v>105</v>
      </c>
      <c r="U1104">
        <v>9</v>
      </c>
      <c r="V1104">
        <v>9</v>
      </c>
      <c r="W1104">
        <v>5.8205923999999998</v>
      </c>
      <c r="X1104">
        <v>0</v>
      </c>
      <c r="Y1104">
        <v>0</v>
      </c>
      <c r="Z1104">
        <v>130.61326199999999</v>
      </c>
      <c r="AA1104">
        <v>0</v>
      </c>
      <c r="AB1104">
        <v>0</v>
      </c>
      <c r="AC1104" t="s">
        <v>174</v>
      </c>
      <c r="AD1104">
        <v>9</v>
      </c>
      <c r="AE1104" t="s">
        <v>1416</v>
      </c>
      <c r="AF1104">
        <v>60000000</v>
      </c>
      <c r="AG1104" t="s">
        <v>310</v>
      </c>
      <c r="AH1104">
        <f>SUM((MID(Dyno_Data[[#This Row],[Team]],4,5))+(Dyno_Data[[#This Row],[Match]]/100))</f>
        <v>9076.18</v>
      </c>
      <c r="AI1104" s="76">
        <f>ROUND(SUM(IF(Dyno_Data[[#This Row],[AcqCenter]]&gt;0,Dyno_Data[[#This Row],[Time]]-SUMIFS(Dyno_Data[Time],Dyno_Data[Team],Dyno_Data[[#This Row],[Team]],Dyno_Data[RecordType],"StartMatch",Dyno_Data[Match],Dyno_Data[[#This Row],[Match]]),0)*86400),0)</f>
        <v>0</v>
      </c>
    </row>
    <row r="1105" spans="1:35" x14ac:dyDescent="0.3">
      <c r="A1105">
        <v>1104</v>
      </c>
      <c r="B1105" t="s">
        <v>1310</v>
      </c>
      <c r="C1105">
        <v>18</v>
      </c>
      <c r="D1105" s="105">
        <v>45373.480970682867</v>
      </c>
      <c r="E1105" t="s">
        <v>316</v>
      </c>
      <c r="F1105" t="s">
        <v>317</v>
      </c>
      <c r="G1105">
        <v>1</v>
      </c>
      <c r="H1105" t="s">
        <v>310</v>
      </c>
      <c r="I1105">
        <v>0</v>
      </c>
      <c r="J1105">
        <v>0</v>
      </c>
      <c r="K1105">
        <v>0</v>
      </c>
      <c r="L1105" t="s">
        <v>310</v>
      </c>
      <c r="M1105" t="s">
        <v>310</v>
      </c>
      <c r="N1105">
        <v>0</v>
      </c>
      <c r="O1105" t="s">
        <v>1391</v>
      </c>
      <c r="P1105" t="s">
        <v>1401</v>
      </c>
      <c r="Q1105" t="s">
        <v>1400</v>
      </c>
      <c r="R1105" t="s">
        <v>1404</v>
      </c>
      <c r="S1105">
        <v>-1</v>
      </c>
      <c r="T1105" t="s">
        <v>105</v>
      </c>
      <c r="U1105">
        <v>9</v>
      </c>
      <c r="V1105">
        <v>9</v>
      </c>
      <c r="W1105">
        <v>2.7449502999999997</v>
      </c>
      <c r="X1105">
        <v>28.862688799999997</v>
      </c>
      <c r="Y1105">
        <v>20.958608599999998</v>
      </c>
      <c r="Z1105">
        <v>83.107420399999995</v>
      </c>
      <c r="AA1105">
        <v>0</v>
      </c>
      <c r="AB1105">
        <v>0</v>
      </c>
      <c r="AC1105" t="s">
        <v>173</v>
      </c>
      <c r="AD1105">
        <v>9</v>
      </c>
      <c r="AE1105" t="s">
        <v>1412</v>
      </c>
      <c r="AF1105">
        <v>110000000</v>
      </c>
      <c r="AG1105" t="s">
        <v>310</v>
      </c>
      <c r="AH1105">
        <f>SUM((MID(Dyno_Data[[#This Row],[Team]],4,5))+(Dyno_Data[[#This Row],[Match]]/100))</f>
        <v>6621.18</v>
      </c>
      <c r="AI1105" s="76">
        <f>ROUND(SUM(IF(Dyno_Data[[#This Row],[AcqCenter]]&gt;0,Dyno_Data[[#This Row],[Time]]-SUMIFS(Dyno_Data[Time],Dyno_Data[Team],Dyno_Data[[#This Row],[Team]],Dyno_Data[RecordType],"StartMatch",Dyno_Data[Match],Dyno_Data[[#This Row],[Match]]),0)*86400),0)</f>
        <v>0</v>
      </c>
    </row>
    <row r="1106" spans="1:35" x14ac:dyDescent="0.3">
      <c r="A1106">
        <v>1105</v>
      </c>
      <c r="B1106" t="s">
        <v>365</v>
      </c>
      <c r="C1106">
        <v>18</v>
      </c>
      <c r="D1106" s="105">
        <v>45373.480970798613</v>
      </c>
      <c r="E1106" t="s">
        <v>316</v>
      </c>
      <c r="F1106" t="s">
        <v>317</v>
      </c>
      <c r="G1106">
        <v>1</v>
      </c>
      <c r="H1106" t="s">
        <v>310</v>
      </c>
      <c r="I1106">
        <v>0</v>
      </c>
      <c r="J1106">
        <v>0</v>
      </c>
      <c r="K1106">
        <v>0</v>
      </c>
      <c r="L1106" t="s">
        <v>310</v>
      </c>
      <c r="M1106" t="s">
        <v>310</v>
      </c>
      <c r="N1106">
        <v>0</v>
      </c>
      <c r="O1106" t="s">
        <v>319</v>
      </c>
      <c r="P1106" t="s">
        <v>240</v>
      </c>
      <c r="Q1106" t="s">
        <v>1399</v>
      </c>
      <c r="R1106" t="s">
        <v>1404</v>
      </c>
      <c r="S1106">
        <v>0</v>
      </c>
      <c r="T1106" t="s">
        <v>105</v>
      </c>
      <c r="U1106">
        <v>9</v>
      </c>
      <c r="V1106">
        <v>9</v>
      </c>
      <c r="W1106">
        <v>0</v>
      </c>
      <c r="X1106">
        <v>57.328654799999995</v>
      </c>
      <c r="Y1106">
        <v>21.676994999999998</v>
      </c>
      <c r="Z1106">
        <v>59.5436926</v>
      </c>
      <c r="AA1106">
        <v>0</v>
      </c>
      <c r="AB1106">
        <v>0</v>
      </c>
      <c r="AC1106" t="s">
        <v>174</v>
      </c>
      <c r="AD1106">
        <v>1</v>
      </c>
      <c r="AE1106" t="s">
        <v>1413</v>
      </c>
      <c r="AF1106">
        <v>80000000</v>
      </c>
      <c r="AG1106" t="s">
        <v>310</v>
      </c>
      <c r="AH1106">
        <f>SUM((MID(Dyno_Data[[#This Row],[Team]],4,5))+(Dyno_Data[[#This Row],[Match]]/100))</f>
        <v>3171.18</v>
      </c>
      <c r="AI1106" s="76">
        <f>ROUND(SUM(IF(Dyno_Data[[#This Row],[AcqCenter]]&gt;0,Dyno_Data[[#This Row],[Time]]-SUMIFS(Dyno_Data[Time],Dyno_Data[Team],Dyno_Data[[#This Row],[Team]],Dyno_Data[RecordType],"StartMatch",Dyno_Data[Match],Dyno_Data[[#This Row],[Match]]),0)*86400),0)</f>
        <v>0</v>
      </c>
    </row>
    <row r="1107" spans="1:35" x14ac:dyDescent="0.3">
      <c r="A1107">
        <v>1106</v>
      </c>
      <c r="B1107" t="s">
        <v>371</v>
      </c>
      <c r="C1107">
        <v>18</v>
      </c>
      <c r="D1107" s="105">
        <v>45373.480970914352</v>
      </c>
      <c r="E1107" t="s">
        <v>316</v>
      </c>
      <c r="F1107" t="s">
        <v>317</v>
      </c>
      <c r="G1107">
        <v>0</v>
      </c>
      <c r="H1107" t="s">
        <v>310</v>
      </c>
      <c r="I1107">
        <v>0</v>
      </c>
      <c r="J1107">
        <v>0</v>
      </c>
      <c r="K1107">
        <v>0</v>
      </c>
      <c r="L1107" t="s">
        <v>310</v>
      </c>
      <c r="M1107" t="s">
        <v>310</v>
      </c>
      <c r="N1107">
        <v>0</v>
      </c>
      <c r="O1107" t="s">
        <v>1393</v>
      </c>
      <c r="P1107" t="s">
        <v>320</v>
      </c>
      <c r="Q1107" t="s">
        <v>1399</v>
      </c>
      <c r="R1107" t="s">
        <v>321</v>
      </c>
      <c r="S1107">
        <v>0</v>
      </c>
      <c r="T1107" t="s">
        <v>105</v>
      </c>
      <c r="U1107">
        <v>9</v>
      </c>
      <c r="V1107">
        <v>9</v>
      </c>
      <c r="W1107">
        <v>0</v>
      </c>
      <c r="X1107">
        <v>0</v>
      </c>
      <c r="Y1107">
        <v>0</v>
      </c>
      <c r="Z1107">
        <v>136.74451449999998</v>
      </c>
      <c r="AA1107">
        <v>0</v>
      </c>
      <c r="AB1107">
        <v>1</v>
      </c>
      <c r="AC1107" t="s">
        <v>167</v>
      </c>
      <c r="AD1107">
        <v>0</v>
      </c>
      <c r="AE1107" t="s">
        <v>1414</v>
      </c>
      <c r="AF1107">
        <v>0</v>
      </c>
      <c r="AG1107" t="s">
        <v>310</v>
      </c>
      <c r="AH1107">
        <f>SUM((MID(Dyno_Data[[#This Row],[Team]],4,5))+(Dyno_Data[[#This Row],[Match]]/100))</f>
        <v>6969.18</v>
      </c>
      <c r="AI1107" s="76">
        <f>ROUND(SUM(IF(Dyno_Data[[#This Row],[AcqCenter]]&gt;0,Dyno_Data[[#This Row],[Time]]-SUMIFS(Dyno_Data[Time],Dyno_Data[Team],Dyno_Data[[#This Row],[Team]],Dyno_Data[RecordType],"StartMatch",Dyno_Data[Match],Dyno_Data[[#This Row],[Match]]),0)*86400),0)</f>
        <v>0</v>
      </c>
    </row>
    <row r="1108" spans="1:35" x14ac:dyDescent="0.3">
      <c r="A1108">
        <v>1107</v>
      </c>
      <c r="B1108" t="s">
        <v>1291</v>
      </c>
      <c r="C1108">
        <v>18</v>
      </c>
      <c r="D1108" s="105">
        <v>45373.480970983794</v>
      </c>
      <c r="E1108" t="s">
        <v>316</v>
      </c>
      <c r="F1108" t="s">
        <v>317</v>
      </c>
      <c r="G1108">
        <v>1</v>
      </c>
      <c r="H1108" t="s">
        <v>310</v>
      </c>
      <c r="I1108">
        <v>0</v>
      </c>
      <c r="J1108">
        <v>0</v>
      </c>
      <c r="K1108">
        <v>0</v>
      </c>
      <c r="L1108" t="s">
        <v>310</v>
      </c>
      <c r="M1108" t="s">
        <v>310</v>
      </c>
      <c r="N1108">
        <v>0</v>
      </c>
      <c r="O1108" t="s">
        <v>1389</v>
      </c>
      <c r="P1108" t="s">
        <v>240</v>
      </c>
      <c r="Q1108" t="s">
        <v>1400</v>
      </c>
      <c r="R1108" t="s">
        <v>321</v>
      </c>
      <c r="S1108">
        <v>0</v>
      </c>
      <c r="T1108" t="s">
        <v>105</v>
      </c>
      <c r="U1108">
        <v>9</v>
      </c>
      <c r="V1108">
        <v>9</v>
      </c>
      <c r="W1108">
        <v>0</v>
      </c>
      <c r="X1108">
        <v>28.781019599999997</v>
      </c>
      <c r="Y1108">
        <v>33.024901499999999</v>
      </c>
      <c r="Z1108">
        <v>74.614331399999998</v>
      </c>
      <c r="AA1108">
        <v>0</v>
      </c>
      <c r="AB1108">
        <v>0</v>
      </c>
      <c r="AC1108" t="s">
        <v>174</v>
      </c>
      <c r="AD1108">
        <v>9</v>
      </c>
      <c r="AE1108" t="s">
        <v>1418</v>
      </c>
      <c r="AF1108">
        <v>130000000</v>
      </c>
      <c r="AG1108" t="s">
        <v>310</v>
      </c>
      <c r="AH1108">
        <f>SUM((MID(Dyno_Data[[#This Row],[Team]],4,5))+(Dyno_Data[[#This Row],[Match]]/100))</f>
        <v>1493.18</v>
      </c>
      <c r="AI1108" s="76">
        <f>ROUND(SUM(IF(Dyno_Data[[#This Row],[AcqCenter]]&gt;0,Dyno_Data[[#This Row],[Time]]-SUMIFS(Dyno_Data[Time],Dyno_Data[Team],Dyno_Data[[#This Row],[Team]],Dyno_Data[RecordType],"StartMatch",Dyno_Data[Match],Dyno_Data[[#This Row],[Match]]),0)*86400),0)</f>
        <v>0</v>
      </c>
    </row>
    <row r="1109" spans="1:35" x14ac:dyDescent="0.3">
      <c r="A1109">
        <v>1108</v>
      </c>
      <c r="B1109" t="s">
        <v>1290</v>
      </c>
      <c r="C1109">
        <v>18</v>
      </c>
      <c r="D1109" s="105">
        <v>45373.48097109954</v>
      </c>
      <c r="E1109" t="s">
        <v>316</v>
      </c>
      <c r="F1109" t="s">
        <v>317</v>
      </c>
      <c r="G1109">
        <v>0</v>
      </c>
      <c r="H1109" t="s">
        <v>310</v>
      </c>
      <c r="I1109">
        <v>0</v>
      </c>
      <c r="J1109">
        <v>0</v>
      </c>
      <c r="K1109">
        <v>0</v>
      </c>
      <c r="L1109" t="s">
        <v>310</v>
      </c>
      <c r="M1109" t="s">
        <v>310</v>
      </c>
      <c r="N1109">
        <v>0</v>
      </c>
      <c r="O1109" t="s">
        <v>1395</v>
      </c>
      <c r="P1109" t="s">
        <v>101</v>
      </c>
      <c r="Q1109" t="s">
        <v>1400</v>
      </c>
      <c r="R1109" t="s">
        <v>1404</v>
      </c>
      <c r="S1109">
        <v>0</v>
      </c>
      <c r="T1109" t="s">
        <v>105</v>
      </c>
      <c r="U1109">
        <v>9</v>
      </c>
      <c r="V1109">
        <v>9</v>
      </c>
      <c r="W1109">
        <v>0</v>
      </c>
      <c r="X1109">
        <v>18.855120100000001</v>
      </c>
      <c r="Y1109">
        <v>15.756474899999999</v>
      </c>
      <c r="Z1109">
        <v>100.80262549999999</v>
      </c>
      <c r="AA1109">
        <v>0</v>
      </c>
      <c r="AB1109">
        <v>0</v>
      </c>
      <c r="AC1109" t="s">
        <v>174</v>
      </c>
      <c r="AD1109">
        <v>9</v>
      </c>
      <c r="AE1109" t="s">
        <v>1417</v>
      </c>
      <c r="AF1109">
        <v>60000000</v>
      </c>
      <c r="AG1109" t="s">
        <v>310</v>
      </c>
      <c r="AH1109">
        <f>SUM((MID(Dyno_Data[[#This Row],[Team]],4,5))+(Dyno_Data[[#This Row],[Match]]/100))</f>
        <v>5881.18</v>
      </c>
      <c r="AI1109" s="76">
        <f>ROUND(SUM(IF(Dyno_Data[[#This Row],[AcqCenter]]&gt;0,Dyno_Data[[#This Row],[Time]]-SUMIFS(Dyno_Data[Time],Dyno_Data[Team],Dyno_Data[[#This Row],[Team]],Dyno_Data[RecordType],"StartMatch",Dyno_Data[Match],Dyno_Data[[#This Row],[Match]]),0)*86400),0)</f>
        <v>0</v>
      </c>
    </row>
    <row r="1110" spans="1:35" x14ac:dyDescent="0.3">
      <c r="A1110">
        <v>1119</v>
      </c>
      <c r="B1110" t="s">
        <v>1298</v>
      </c>
      <c r="C1110">
        <v>19</v>
      </c>
      <c r="D1110" s="105">
        <v>45373.483150081018</v>
      </c>
      <c r="E1110" t="s">
        <v>308</v>
      </c>
      <c r="F1110" t="s">
        <v>309</v>
      </c>
      <c r="G1110">
        <v>0</v>
      </c>
      <c r="H1110" t="s">
        <v>310</v>
      </c>
      <c r="I1110">
        <v>0</v>
      </c>
      <c r="J1110">
        <v>0</v>
      </c>
      <c r="K1110">
        <v>0</v>
      </c>
      <c r="L1110" t="s">
        <v>310</v>
      </c>
      <c r="M1110" t="s">
        <v>310</v>
      </c>
      <c r="N1110">
        <v>0</v>
      </c>
      <c r="O1110" t="s">
        <v>1389</v>
      </c>
      <c r="P1110" t="s">
        <v>310</v>
      </c>
      <c r="Q1110" t="s">
        <v>310</v>
      </c>
      <c r="R1110" t="s">
        <v>310</v>
      </c>
      <c r="S1110">
        <v>9</v>
      </c>
      <c r="T1110" t="s">
        <v>310</v>
      </c>
      <c r="U1110">
        <v>9</v>
      </c>
      <c r="V1110">
        <v>9</v>
      </c>
      <c r="W1110">
        <v>0</v>
      </c>
      <c r="X1110">
        <v>0</v>
      </c>
      <c r="Y1110">
        <v>0</v>
      </c>
      <c r="Z1110">
        <v>0</v>
      </c>
      <c r="AA1110">
        <v>9</v>
      </c>
      <c r="AB1110">
        <v>9</v>
      </c>
      <c r="AC1110" t="s">
        <v>310</v>
      </c>
      <c r="AD1110">
        <v>9</v>
      </c>
      <c r="AE1110" t="s">
        <v>1418</v>
      </c>
      <c r="AF1110">
        <v>10000000</v>
      </c>
      <c r="AG1110" t="s">
        <v>310</v>
      </c>
      <c r="AH1110">
        <f>SUM((MID(Dyno_Data[[#This Row],[Team]],4,5))+(Dyno_Data[[#This Row],[Match]]/100))</f>
        <v>9624.19</v>
      </c>
      <c r="AI1110" s="76">
        <f>ROUND(SUM(IF(Dyno_Data[[#This Row],[AcqCenter]]&gt;0,Dyno_Data[[#This Row],[Time]]-SUMIFS(Dyno_Data[Time],Dyno_Data[Team],Dyno_Data[[#This Row],[Team]],Dyno_Data[RecordType],"StartMatch",Dyno_Data[Match],Dyno_Data[[#This Row],[Match]]),0)*86400),0)</f>
        <v>0</v>
      </c>
    </row>
    <row r="1111" spans="1:35" x14ac:dyDescent="0.3">
      <c r="A1111">
        <v>1125</v>
      </c>
      <c r="B1111" t="s">
        <v>1303</v>
      </c>
      <c r="C1111">
        <v>19</v>
      </c>
      <c r="D1111" s="105">
        <v>45373.483204201388</v>
      </c>
      <c r="E1111" t="s">
        <v>308</v>
      </c>
      <c r="F1111" t="s">
        <v>309</v>
      </c>
      <c r="G1111">
        <v>0</v>
      </c>
      <c r="H1111" t="s">
        <v>310</v>
      </c>
      <c r="I1111">
        <v>0</v>
      </c>
      <c r="J1111">
        <v>0</v>
      </c>
      <c r="K1111">
        <v>0</v>
      </c>
      <c r="L1111" t="s">
        <v>310</v>
      </c>
      <c r="M1111" t="s">
        <v>310</v>
      </c>
      <c r="N1111">
        <v>0</v>
      </c>
      <c r="O1111" t="s">
        <v>1391</v>
      </c>
      <c r="P1111" t="s">
        <v>310</v>
      </c>
      <c r="Q1111" t="s">
        <v>310</v>
      </c>
      <c r="R1111" t="s">
        <v>310</v>
      </c>
      <c r="S1111">
        <v>9</v>
      </c>
      <c r="T1111" t="s">
        <v>310</v>
      </c>
      <c r="U1111">
        <v>9</v>
      </c>
      <c r="V1111">
        <v>9</v>
      </c>
      <c r="W1111">
        <v>0</v>
      </c>
      <c r="X1111">
        <v>0</v>
      </c>
      <c r="Y1111">
        <v>0</v>
      </c>
      <c r="Z1111">
        <v>0</v>
      </c>
      <c r="AA1111">
        <v>9</v>
      </c>
      <c r="AB1111">
        <v>9</v>
      </c>
      <c r="AC1111" t="s">
        <v>310</v>
      </c>
      <c r="AD1111">
        <v>9</v>
      </c>
      <c r="AE1111" t="s">
        <v>1412</v>
      </c>
      <c r="AF1111">
        <v>10000000</v>
      </c>
      <c r="AG1111" t="s">
        <v>310</v>
      </c>
      <c r="AH1111">
        <f>SUM((MID(Dyno_Data[[#This Row],[Team]],4,5))+(Dyno_Data[[#This Row],[Match]]/100))</f>
        <v>7605.19</v>
      </c>
      <c r="AI1111" s="76">
        <f>ROUND(SUM(IF(Dyno_Data[[#This Row],[AcqCenter]]&gt;0,Dyno_Data[[#This Row],[Time]]-SUMIFS(Dyno_Data[Time],Dyno_Data[Team],Dyno_Data[[#This Row],[Team]],Dyno_Data[RecordType],"StartMatch",Dyno_Data[Match],Dyno_Data[[#This Row],[Match]]),0)*86400),0)</f>
        <v>0</v>
      </c>
    </row>
    <row r="1112" spans="1:35" x14ac:dyDescent="0.3">
      <c r="A1112">
        <v>1127</v>
      </c>
      <c r="B1112" t="s">
        <v>364</v>
      </c>
      <c r="C1112">
        <v>19</v>
      </c>
      <c r="D1112" s="105">
        <v>45373.483205358796</v>
      </c>
      <c r="E1112" t="s">
        <v>308</v>
      </c>
      <c r="F1112" t="s">
        <v>309</v>
      </c>
      <c r="G1112">
        <v>0</v>
      </c>
      <c r="H1112" t="s">
        <v>310</v>
      </c>
      <c r="I1112">
        <v>0</v>
      </c>
      <c r="J1112">
        <v>0</v>
      </c>
      <c r="K1112">
        <v>0</v>
      </c>
      <c r="L1112" t="s">
        <v>310</v>
      </c>
      <c r="M1112" t="s">
        <v>310</v>
      </c>
      <c r="N1112">
        <v>0</v>
      </c>
      <c r="O1112" t="s">
        <v>319</v>
      </c>
      <c r="P1112" t="s">
        <v>310</v>
      </c>
      <c r="Q1112" t="s">
        <v>310</v>
      </c>
      <c r="R1112" t="s">
        <v>310</v>
      </c>
      <c r="S1112">
        <v>9</v>
      </c>
      <c r="T1112" t="s">
        <v>310</v>
      </c>
      <c r="U1112">
        <v>9</v>
      </c>
      <c r="V1112">
        <v>9</v>
      </c>
      <c r="W1112">
        <v>0</v>
      </c>
      <c r="X1112">
        <v>0</v>
      </c>
      <c r="Y1112">
        <v>0</v>
      </c>
      <c r="Z1112">
        <v>0</v>
      </c>
      <c r="AA1112">
        <v>9</v>
      </c>
      <c r="AB1112">
        <v>9</v>
      </c>
      <c r="AC1112" t="s">
        <v>310</v>
      </c>
      <c r="AD1112">
        <v>9</v>
      </c>
      <c r="AE1112" t="s">
        <v>1416</v>
      </c>
      <c r="AF1112">
        <v>1000</v>
      </c>
      <c r="AG1112" t="s">
        <v>310</v>
      </c>
      <c r="AH1112">
        <f>SUM((MID(Dyno_Data[[#This Row],[Team]],4,5))+(Dyno_Data[[#This Row],[Match]]/100))</f>
        <v>2791.19</v>
      </c>
      <c r="AI1112" s="76">
        <f>ROUND(SUM(IF(Dyno_Data[[#This Row],[AcqCenter]]&gt;0,Dyno_Data[[#This Row],[Time]]-SUMIFS(Dyno_Data[Time],Dyno_Data[Team],Dyno_Data[[#This Row],[Team]],Dyno_Data[RecordType],"StartMatch",Dyno_Data[Match],Dyno_Data[[#This Row],[Match]]),0)*86400),0)</f>
        <v>0</v>
      </c>
    </row>
    <row r="1113" spans="1:35" x14ac:dyDescent="0.3">
      <c r="A1113">
        <v>1129</v>
      </c>
      <c r="B1113" t="s">
        <v>370</v>
      </c>
      <c r="C1113">
        <v>19</v>
      </c>
      <c r="D1113" s="105">
        <v>45373.483209259262</v>
      </c>
      <c r="E1113" t="s">
        <v>308</v>
      </c>
      <c r="F1113" t="s">
        <v>309</v>
      </c>
      <c r="G1113">
        <v>0</v>
      </c>
      <c r="H1113" t="s">
        <v>310</v>
      </c>
      <c r="I1113">
        <v>0</v>
      </c>
      <c r="J1113">
        <v>0</v>
      </c>
      <c r="K1113">
        <v>0</v>
      </c>
      <c r="L1113" t="s">
        <v>310</v>
      </c>
      <c r="M1113" t="s">
        <v>310</v>
      </c>
      <c r="N1113">
        <v>0</v>
      </c>
      <c r="O1113" t="s">
        <v>311</v>
      </c>
      <c r="P1113" t="s">
        <v>310</v>
      </c>
      <c r="Q1113" t="s">
        <v>310</v>
      </c>
      <c r="R1113" t="s">
        <v>310</v>
      </c>
      <c r="S1113">
        <v>9</v>
      </c>
      <c r="T1113" t="s">
        <v>310</v>
      </c>
      <c r="U1113">
        <v>9</v>
      </c>
      <c r="V1113">
        <v>9</v>
      </c>
      <c r="W1113">
        <v>0</v>
      </c>
      <c r="X1113">
        <v>0</v>
      </c>
      <c r="Y1113">
        <v>0</v>
      </c>
      <c r="Z1113">
        <v>0</v>
      </c>
      <c r="AA1113">
        <v>9</v>
      </c>
      <c r="AB1113">
        <v>9</v>
      </c>
      <c r="AC1113" t="s">
        <v>310</v>
      </c>
      <c r="AD1113">
        <v>9</v>
      </c>
      <c r="AE1113" t="s">
        <v>1413</v>
      </c>
      <c r="AF1113">
        <v>0</v>
      </c>
      <c r="AG1113" t="s">
        <v>310</v>
      </c>
      <c r="AH1113">
        <f>SUM((MID(Dyno_Data[[#This Row],[Team]],4,5))+(Dyno_Data[[#This Row],[Match]]/100))</f>
        <v>6911.19</v>
      </c>
      <c r="AI1113" s="76">
        <f>ROUND(SUM(IF(Dyno_Data[[#This Row],[AcqCenter]]&gt;0,Dyno_Data[[#This Row],[Time]]-SUMIFS(Dyno_Data[Time],Dyno_Data[Team],Dyno_Data[[#This Row],[Team]],Dyno_Data[RecordType],"StartMatch",Dyno_Data[Match],Dyno_Data[[#This Row],[Match]]),0)*86400),0)</f>
        <v>0</v>
      </c>
    </row>
    <row r="1114" spans="1:35" x14ac:dyDescent="0.3">
      <c r="A1114">
        <v>1131</v>
      </c>
      <c r="B1114" t="s">
        <v>1292</v>
      </c>
      <c r="C1114">
        <v>19</v>
      </c>
      <c r="D1114" s="105">
        <v>45373.483219409725</v>
      </c>
      <c r="E1114" t="s">
        <v>308</v>
      </c>
      <c r="F1114" t="s">
        <v>309</v>
      </c>
      <c r="G1114">
        <v>0</v>
      </c>
      <c r="H1114" t="s">
        <v>310</v>
      </c>
      <c r="I1114">
        <v>0</v>
      </c>
      <c r="J1114">
        <v>0</v>
      </c>
      <c r="K1114">
        <v>0</v>
      </c>
      <c r="L1114" t="s">
        <v>310</v>
      </c>
      <c r="M1114" t="s">
        <v>310</v>
      </c>
      <c r="N1114">
        <v>0</v>
      </c>
      <c r="O1114" t="s">
        <v>1393</v>
      </c>
      <c r="P1114" t="s">
        <v>310</v>
      </c>
      <c r="Q1114" t="s">
        <v>310</v>
      </c>
      <c r="R1114" t="s">
        <v>310</v>
      </c>
      <c r="S1114">
        <v>9</v>
      </c>
      <c r="T1114" t="s">
        <v>310</v>
      </c>
      <c r="U1114">
        <v>9</v>
      </c>
      <c r="V1114">
        <v>9</v>
      </c>
      <c r="W1114">
        <v>0</v>
      </c>
      <c r="X1114">
        <v>0</v>
      </c>
      <c r="Y1114">
        <v>0</v>
      </c>
      <c r="Z1114">
        <v>0</v>
      </c>
      <c r="AA1114">
        <v>9</v>
      </c>
      <c r="AB1114">
        <v>9</v>
      </c>
      <c r="AC1114" t="s">
        <v>310</v>
      </c>
      <c r="AD1114">
        <v>9</v>
      </c>
      <c r="AE1114" t="s">
        <v>1414</v>
      </c>
      <c r="AF1114">
        <v>0</v>
      </c>
      <c r="AG1114" t="s">
        <v>310</v>
      </c>
      <c r="AH1114">
        <f>SUM((MID(Dyno_Data[[#This Row],[Team]],4,5))+(Dyno_Data[[#This Row],[Match]]/100))</f>
        <v>7030.19</v>
      </c>
      <c r="AI1114" s="76">
        <f>ROUND(SUM(IF(Dyno_Data[[#This Row],[AcqCenter]]&gt;0,Dyno_Data[[#This Row],[Time]]-SUMIFS(Dyno_Data[Time],Dyno_Data[Team],Dyno_Data[[#This Row],[Team]],Dyno_Data[RecordType],"StartMatch",Dyno_Data[Match],Dyno_Data[[#This Row],[Match]]),0)*86400),0)</f>
        <v>0</v>
      </c>
    </row>
    <row r="1115" spans="1:35" x14ac:dyDescent="0.3">
      <c r="A1115">
        <v>1109</v>
      </c>
      <c r="B1115" t="s">
        <v>1288</v>
      </c>
      <c r="C1115">
        <v>19</v>
      </c>
      <c r="D1115" s="105">
        <v>45373.483221377312</v>
      </c>
      <c r="E1115" t="s">
        <v>312</v>
      </c>
      <c r="F1115" t="s">
        <v>309</v>
      </c>
      <c r="G1115">
        <v>0</v>
      </c>
      <c r="H1115" t="s">
        <v>1397</v>
      </c>
      <c r="I1115">
        <v>0</v>
      </c>
      <c r="J1115">
        <v>0</v>
      </c>
      <c r="K1115">
        <v>0</v>
      </c>
      <c r="L1115" t="s">
        <v>241</v>
      </c>
      <c r="M1115" t="s">
        <v>1398</v>
      </c>
      <c r="N1115">
        <v>0</v>
      </c>
      <c r="O1115" t="s">
        <v>1395</v>
      </c>
      <c r="P1115" t="s">
        <v>310</v>
      </c>
      <c r="Q1115" t="s">
        <v>310</v>
      </c>
      <c r="R1115" t="s">
        <v>310</v>
      </c>
      <c r="S1115">
        <v>9</v>
      </c>
      <c r="T1115" t="s">
        <v>310</v>
      </c>
      <c r="U1115">
        <v>9</v>
      </c>
      <c r="V1115">
        <v>9</v>
      </c>
      <c r="W1115">
        <v>0</v>
      </c>
      <c r="X1115">
        <v>0</v>
      </c>
      <c r="Y1115">
        <v>0</v>
      </c>
      <c r="Z1115">
        <v>0</v>
      </c>
      <c r="AA1115">
        <v>9</v>
      </c>
      <c r="AB1115">
        <v>9</v>
      </c>
      <c r="AC1115" t="s">
        <v>310</v>
      </c>
      <c r="AD1115">
        <v>9</v>
      </c>
      <c r="AE1115" t="s">
        <v>1417</v>
      </c>
      <c r="AF1115">
        <v>0</v>
      </c>
      <c r="AG1115" t="s">
        <v>310</v>
      </c>
      <c r="AH1115">
        <f>SUM((MID(Dyno_Data[[#This Row],[Team]],4,5))+(Dyno_Data[[#This Row],[Match]]/100))</f>
        <v>3181.19</v>
      </c>
      <c r="AI1115" s="76">
        <f>ROUND(SUM(IF(Dyno_Data[[#This Row],[AcqCenter]]&gt;0,Dyno_Data[[#This Row],[Time]]-SUMIFS(Dyno_Data[Time],Dyno_Data[Team],Dyno_Data[[#This Row],[Team]],Dyno_Data[RecordType],"StartMatch",Dyno_Data[Match],Dyno_Data[[#This Row],[Match]]),0)*86400),0)</f>
        <v>0</v>
      </c>
    </row>
    <row r="1116" spans="1:35" x14ac:dyDescent="0.3">
      <c r="A1116">
        <v>1110</v>
      </c>
      <c r="B1116" t="s">
        <v>364</v>
      </c>
      <c r="C1116">
        <v>19</v>
      </c>
      <c r="D1116" s="105">
        <v>45373.483224421296</v>
      </c>
      <c r="E1116" t="s">
        <v>312</v>
      </c>
      <c r="F1116" t="s">
        <v>309</v>
      </c>
      <c r="G1116">
        <v>0</v>
      </c>
      <c r="H1116" t="s">
        <v>1397</v>
      </c>
      <c r="I1116">
        <v>0</v>
      </c>
      <c r="J1116">
        <v>0</v>
      </c>
      <c r="K1116">
        <v>0</v>
      </c>
      <c r="L1116" t="s">
        <v>240</v>
      </c>
      <c r="M1116" t="s">
        <v>1398</v>
      </c>
      <c r="N1116">
        <v>0</v>
      </c>
      <c r="O1116" t="s">
        <v>319</v>
      </c>
      <c r="P1116" t="s">
        <v>310</v>
      </c>
      <c r="Q1116" t="s">
        <v>310</v>
      </c>
      <c r="R1116" t="s">
        <v>310</v>
      </c>
      <c r="S1116">
        <v>9</v>
      </c>
      <c r="T1116" t="s">
        <v>310</v>
      </c>
      <c r="U1116">
        <v>9</v>
      </c>
      <c r="V1116">
        <v>9</v>
      </c>
      <c r="W1116">
        <v>0</v>
      </c>
      <c r="X1116">
        <v>0</v>
      </c>
      <c r="Y1116">
        <v>0</v>
      </c>
      <c r="Z1116">
        <v>0</v>
      </c>
      <c r="AA1116">
        <v>9</v>
      </c>
      <c r="AB1116">
        <v>9</v>
      </c>
      <c r="AC1116" t="s">
        <v>310</v>
      </c>
      <c r="AD1116">
        <v>9</v>
      </c>
      <c r="AE1116" t="s">
        <v>1416</v>
      </c>
      <c r="AF1116">
        <v>0</v>
      </c>
      <c r="AG1116" t="s">
        <v>310</v>
      </c>
      <c r="AH1116">
        <f>SUM((MID(Dyno_Data[[#This Row],[Team]],4,5))+(Dyno_Data[[#This Row],[Match]]/100))</f>
        <v>2791.19</v>
      </c>
      <c r="AI1116" s="76">
        <f>ROUND(SUM(IF(Dyno_Data[[#This Row],[AcqCenter]]&gt;0,Dyno_Data[[#This Row],[Time]]-SUMIFS(Dyno_Data[Time],Dyno_Data[Team],Dyno_Data[[#This Row],[Team]],Dyno_Data[RecordType],"StartMatch",Dyno_Data[Match],Dyno_Data[[#This Row],[Match]]),0)*86400),0)</f>
        <v>0</v>
      </c>
    </row>
    <row r="1117" spans="1:35" x14ac:dyDescent="0.3">
      <c r="A1117">
        <v>1133</v>
      </c>
      <c r="B1117" t="s">
        <v>1288</v>
      </c>
      <c r="C1117">
        <v>19</v>
      </c>
      <c r="D1117" s="105">
        <v>45373.483228356483</v>
      </c>
      <c r="E1117" t="s">
        <v>308</v>
      </c>
      <c r="F1117" t="s">
        <v>309</v>
      </c>
      <c r="G1117">
        <v>0</v>
      </c>
      <c r="H1117" t="s">
        <v>310</v>
      </c>
      <c r="I1117">
        <v>0</v>
      </c>
      <c r="J1117">
        <v>0</v>
      </c>
      <c r="K1117">
        <v>0</v>
      </c>
      <c r="L1117" t="s">
        <v>310</v>
      </c>
      <c r="M1117" t="s">
        <v>310</v>
      </c>
      <c r="N1117">
        <v>0</v>
      </c>
      <c r="O1117" t="s">
        <v>1395</v>
      </c>
      <c r="P1117" t="s">
        <v>310</v>
      </c>
      <c r="Q1117" t="s">
        <v>310</v>
      </c>
      <c r="R1117" t="s">
        <v>310</v>
      </c>
      <c r="S1117">
        <v>9</v>
      </c>
      <c r="T1117" t="s">
        <v>310</v>
      </c>
      <c r="U1117">
        <v>9</v>
      </c>
      <c r="V1117">
        <v>9</v>
      </c>
      <c r="W1117">
        <v>0</v>
      </c>
      <c r="X1117">
        <v>0</v>
      </c>
      <c r="Y1117">
        <v>0</v>
      </c>
      <c r="Z1117">
        <v>0</v>
      </c>
      <c r="AA1117">
        <v>9</v>
      </c>
      <c r="AB1117">
        <v>9</v>
      </c>
      <c r="AC1117" t="s">
        <v>310</v>
      </c>
      <c r="AD1117">
        <v>9</v>
      </c>
      <c r="AE1117" t="s">
        <v>1417</v>
      </c>
      <c r="AF1117">
        <v>10000000</v>
      </c>
      <c r="AG1117" t="s">
        <v>310</v>
      </c>
      <c r="AH1117">
        <f>SUM((MID(Dyno_Data[[#This Row],[Team]],4,5))+(Dyno_Data[[#This Row],[Match]]/100))</f>
        <v>3181.19</v>
      </c>
      <c r="AI1117" s="76">
        <f>ROUND(SUM(IF(Dyno_Data[[#This Row],[AcqCenter]]&gt;0,Dyno_Data[[#This Row],[Time]]-SUMIFS(Dyno_Data[Time],Dyno_Data[Team],Dyno_Data[[#This Row],[Team]],Dyno_Data[RecordType],"StartMatch",Dyno_Data[Match],Dyno_Data[[#This Row],[Match]]),0)*86400),0)</f>
        <v>0</v>
      </c>
    </row>
    <row r="1118" spans="1:35" x14ac:dyDescent="0.3">
      <c r="A1118">
        <v>1111</v>
      </c>
      <c r="B1118" t="s">
        <v>1303</v>
      </c>
      <c r="C1118">
        <v>19</v>
      </c>
      <c r="D1118" s="105">
        <v>45373.483239733796</v>
      </c>
      <c r="E1118" t="s">
        <v>312</v>
      </c>
      <c r="F1118" t="s">
        <v>309</v>
      </c>
      <c r="G1118">
        <v>0</v>
      </c>
      <c r="H1118" t="s">
        <v>1397</v>
      </c>
      <c r="I1118">
        <v>0</v>
      </c>
      <c r="J1118">
        <v>0</v>
      </c>
      <c r="K1118">
        <v>0</v>
      </c>
      <c r="L1118" t="s">
        <v>241</v>
      </c>
      <c r="M1118" t="s">
        <v>1398</v>
      </c>
      <c r="N1118">
        <v>0</v>
      </c>
      <c r="O1118" t="s">
        <v>1391</v>
      </c>
      <c r="P1118" t="s">
        <v>310</v>
      </c>
      <c r="Q1118" t="s">
        <v>310</v>
      </c>
      <c r="R1118" t="s">
        <v>310</v>
      </c>
      <c r="S1118">
        <v>9</v>
      </c>
      <c r="T1118" t="s">
        <v>310</v>
      </c>
      <c r="U1118">
        <v>9</v>
      </c>
      <c r="V1118">
        <v>9</v>
      </c>
      <c r="W1118">
        <v>0</v>
      </c>
      <c r="X1118">
        <v>0</v>
      </c>
      <c r="Y1118">
        <v>0</v>
      </c>
      <c r="Z1118">
        <v>0</v>
      </c>
      <c r="AA1118">
        <v>9</v>
      </c>
      <c r="AB1118">
        <v>9</v>
      </c>
      <c r="AC1118" t="s">
        <v>310</v>
      </c>
      <c r="AD1118">
        <v>9</v>
      </c>
      <c r="AE1118" t="s">
        <v>1412</v>
      </c>
      <c r="AF1118">
        <v>0</v>
      </c>
      <c r="AG1118" t="s">
        <v>310</v>
      </c>
      <c r="AH1118">
        <f>SUM((MID(Dyno_Data[[#This Row],[Team]],4,5))+(Dyno_Data[[#This Row],[Match]]/100))</f>
        <v>7605.19</v>
      </c>
      <c r="AI1118" s="76">
        <f>ROUND(SUM(IF(Dyno_Data[[#This Row],[AcqCenter]]&gt;0,Dyno_Data[[#This Row],[Time]]-SUMIFS(Dyno_Data[Time],Dyno_Data[Team],Dyno_Data[[#This Row],[Team]],Dyno_Data[RecordType],"StartMatch",Dyno_Data[Match],Dyno_Data[[#This Row],[Match]]),0)*86400),0)</f>
        <v>0</v>
      </c>
    </row>
    <row r="1119" spans="1:35" x14ac:dyDescent="0.3">
      <c r="A1119">
        <v>1112</v>
      </c>
      <c r="B1119" t="s">
        <v>370</v>
      </c>
      <c r="C1119">
        <v>19</v>
      </c>
      <c r="D1119" s="105">
        <v>45373.4832622338</v>
      </c>
      <c r="E1119" t="s">
        <v>312</v>
      </c>
      <c r="F1119" t="s">
        <v>309</v>
      </c>
      <c r="G1119">
        <v>0</v>
      </c>
      <c r="H1119" t="s">
        <v>1397</v>
      </c>
      <c r="I1119">
        <v>0</v>
      </c>
      <c r="J1119">
        <v>0</v>
      </c>
      <c r="K1119">
        <v>0</v>
      </c>
      <c r="L1119" t="s">
        <v>241</v>
      </c>
      <c r="M1119" t="s">
        <v>1398</v>
      </c>
      <c r="N1119">
        <v>1</v>
      </c>
      <c r="O1119" t="s">
        <v>311</v>
      </c>
      <c r="P1119" t="s">
        <v>310</v>
      </c>
      <c r="Q1119" t="s">
        <v>310</v>
      </c>
      <c r="R1119" t="s">
        <v>310</v>
      </c>
      <c r="S1119">
        <v>9</v>
      </c>
      <c r="T1119" t="s">
        <v>310</v>
      </c>
      <c r="U1119">
        <v>9</v>
      </c>
      <c r="V1119">
        <v>9</v>
      </c>
      <c r="W1119">
        <v>0</v>
      </c>
      <c r="X1119">
        <v>0</v>
      </c>
      <c r="Y1119">
        <v>0</v>
      </c>
      <c r="Z1119">
        <v>0</v>
      </c>
      <c r="AA1119">
        <v>9</v>
      </c>
      <c r="AB1119">
        <v>9</v>
      </c>
      <c r="AC1119" t="s">
        <v>310</v>
      </c>
      <c r="AD1119">
        <v>9</v>
      </c>
      <c r="AE1119" t="s">
        <v>1413</v>
      </c>
      <c r="AF1119">
        <v>0</v>
      </c>
      <c r="AG1119" t="s">
        <v>310</v>
      </c>
      <c r="AH1119">
        <f>SUM((MID(Dyno_Data[[#This Row],[Team]],4,5))+(Dyno_Data[[#This Row],[Match]]/100))</f>
        <v>6911.19</v>
      </c>
      <c r="AI1119" s="76">
        <f>ROUND(SUM(IF(Dyno_Data[[#This Row],[AcqCenter]]&gt;0,Dyno_Data[[#This Row],[Time]]-SUMIFS(Dyno_Data[Time],Dyno_Data[Team],Dyno_Data[[#This Row],[Team]],Dyno_Data[RecordType],"StartMatch",Dyno_Data[Match],Dyno_Data[[#This Row],[Match]]),0)*86400),0)</f>
        <v>0</v>
      </c>
    </row>
    <row r="1120" spans="1:35" x14ac:dyDescent="0.3">
      <c r="A1120">
        <v>1113</v>
      </c>
      <c r="B1120" t="s">
        <v>1298</v>
      </c>
      <c r="C1120">
        <v>19</v>
      </c>
      <c r="D1120" s="105">
        <v>45373.483266516203</v>
      </c>
      <c r="E1120" t="s">
        <v>312</v>
      </c>
      <c r="F1120" t="s">
        <v>309</v>
      </c>
      <c r="G1120">
        <v>0</v>
      </c>
      <c r="H1120" t="s">
        <v>1397</v>
      </c>
      <c r="I1120">
        <v>0</v>
      </c>
      <c r="J1120">
        <v>0</v>
      </c>
      <c r="K1120">
        <v>0</v>
      </c>
      <c r="L1120" t="s">
        <v>240</v>
      </c>
      <c r="M1120" t="s">
        <v>1398</v>
      </c>
      <c r="N1120">
        <v>0</v>
      </c>
      <c r="O1120" t="s">
        <v>1389</v>
      </c>
      <c r="P1120" t="s">
        <v>310</v>
      </c>
      <c r="Q1120" t="s">
        <v>310</v>
      </c>
      <c r="R1120" t="s">
        <v>310</v>
      </c>
      <c r="S1120">
        <v>9</v>
      </c>
      <c r="T1120" t="s">
        <v>310</v>
      </c>
      <c r="U1120">
        <v>9</v>
      </c>
      <c r="V1120">
        <v>9</v>
      </c>
      <c r="W1120">
        <v>0</v>
      </c>
      <c r="X1120">
        <v>0</v>
      </c>
      <c r="Y1120">
        <v>0</v>
      </c>
      <c r="Z1120">
        <v>0</v>
      </c>
      <c r="AA1120">
        <v>9</v>
      </c>
      <c r="AB1120">
        <v>9</v>
      </c>
      <c r="AC1120" t="s">
        <v>310</v>
      </c>
      <c r="AD1120">
        <v>9</v>
      </c>
      <c r="AE1120" t="s">
        <v>1418</v>
      </c>
      <c r="AF1120">
        <v>0</v>
      </c>
      <c r="AG1120" t="s">
        <v>310</v>
      </c>
      <c r="AH1120">
        <f>SUM((MID(Dyno_Data[[#This Row],[Team]],4,5))+(Dyno_Data[[#This Row],[Match]]/100))</f>
        <v>9624.19</v>
      </c>
      <c r="AI1120" s="76">
        <f>ROUND(SUM(IF(Dyno_Data[[#This Row],[AcqCenter]]&gt;0,Dyno_Data[[#This Row],[Time]]-SUMIFS(Dyno_Data[Time],Dyno_Data[Team],Dyno_Data[[#This Row],[Team]],Dyno_Data[RecordType],"StartMatch",Dyno_Data[Match],Dyno_Data[[#This Row],[Match]]),0)*86400),0)</f>
        <v>0</v>
      </c>
    </row>
    <row r="1121" spans="1:35" x14ac:dyDescent="0.3">
      <c r="A1121">
        <v>1114</v>
      </c>
      <c r="B1121" t="s">
        <v>1303</v>
      </c>
      <c r="C1121">
        <v>19</v>
      </c>
      <c r="D1121" s="105">
        <v>45373.483268634256</v>
      </c>
      <c r="E1121" t="s">
        <v>312</v>
      </c>
      <c r="F1121" t="s">
        <v>309</v>
      </c>
      <c r="G1121">
        <v>0</v>
      </c>
      <c r="H1121" t="s">
        <v>315</v>
      </c>
      <c r="I1121">
        <v>0</v>
      </c>
      <c r="J1121">
        <v>0</v>
      </c>
      <c r="K1121">
        <v>0</v>
      </c>
      <c r="L1121" t="s">
        <v>241</v>
      </c>
      <c r="M1121" t="s">
        <v>1398</v>
      </c>
      <c r="N1121">
        <v>0</v>
      </c>
      <c r="O1121" t="s">
        <v>1391</v>
      </c>
      <c r="P1121" t="s">
        <v>310</v>
      </c>
      <c r="Q1121" t="s">
        <v>310</v>
      </c>
      <c r="R1121" t="s">
        <v>310</v>
      </c>
      <c r="S1121">
        <v>9</v>
      </c>
      <c r="T1121" t="s">
        <v>310</v>
      </c>
      <c r="U1121">
        <v>9</v>
      </c>
      <c r="V1121">
        <v>9</v>
      </c>
      <c r="W1121">
        <v>0</v>
      </c>
      <c r="X1121">
        <v>0</v>
      </c>
      <c r="Y1121">
        <v>0</v>
      </c>
      <c r="Z1121">
        <v>0</v>
      </c>
      <c r="AA1121">
        <v>9</v>
      </c>
      <c r="AB1121">
        <v>9</v>
      </c>
      <c r="AC1121" t="s">
        <v>310</v>
      </c>
      <c r="AD1121">
        <v>9</v>
      </c>
      <c r="AE1121" t="s">
        <v>1412</v>
      </c>
      <c r="AF1121">
        <v>10000000</v>
      </c>
      <c r="AG1121" t="s">
        <v>310</v>
      </c>
      <c r="AH1121">
        <f>SUM((MID(Dyno_Data[[#This Row],[Team]],4,5))+(Dyno_Data[[#This Row],[Match]]/100))</f>
        <v>7605.19</v>
      </c>
      <c r="AI1121" s="76">
        <f>ROUND(SUM(IF(Dyno_Data[[#This Row],[AcqCenter]]&gt;0,Dyno_Data[[#This Row],[Time]]-SUMIFS(Dyno_Data[Time],Dyno_Data[Team],Dyno_Data[[#This Row],[Team]],Dyno_Data[RecordType],"StartMatch",Dyno_Data[Match],Dyno_Data[[#This Row],[Match]]),0)*86400),0)</f>
        <v>0</v>
      </c>
    </row>
    <row r="1122" spans="1:35" x14ac:dyDescent="0.3">
      <c r="A1122">
        <v>1115</v>
      </c>
      <c r="B1122" t="s">
        <v>1298</v>
      </c>
      <c r="C1122">
        <v>19</v>
      </c>
      <c r="D1122" s="105">
        <v>45373.483305555557</v>
      </c>
      <c r="E1122" t="s">
        <v>312</v>
      </c>
      <c r="F1122" t="s">
        <v>309</v>
      </c>
      <c r="G1122">
        <v>0</v>
      </c>
      <c r="H1122" t="s">
        <v>315</v>
      </c>
      <c r="I1122">
        <v>0</v>
      </c>
      <c r="J1122">
        <v>0</v>
      </c>
      <c r="K1122">
        <v>0</v>
      </c>
      <c r="L1122" t="s">
        <v>240</v>
      </c>
      <c r="M1122" t="s">
        <v>1398</v>
      </c>
      <c r="N1122">
        <v>0</v>
      </c>
      <c r="O1122" t="s">
        <v>1389</v>
      </c>
      <c r="P1122" t="s">
        <v>310</v>
      </c>
      <c r="Q1122" t="s">
        <v>310</v>
      </c>
      <c r="R1122" t="s">
        <v>310</v>
      </c>
      <c r="S1122">
        <v>9</v>
      </c>
      <c r="T1122" t="s">
        <v>310</v>
      </c>
      <c r="U1122">
        <v>9</v>
      </c>
      <c r="V1122">
        <v>9</v>
      </c>
      <c r="W1122">
        <v>0</v>
      </c>
      <c r="X1122">
        <v>0</v>
      </c>
      <c r="Y1122">
        <v>0</v>
      </c>
      <c r="Z1122">
        <v>0</v>
      </c>
      <c r="AA1122">
        <v>9</v>
      </c>
      <c r="AB1122">
        <v>9</v>
      </c>
      <c r="AC1122" t="s">
        <v>310</v>
      </c>
      <c r="AD1122">
        <v>9</v>
      </c>
      <c r="AE1122" t="s">
        <v>1418</v>
      </c>
      <c r="AF1122">
        <v>10000000</v>
      </c>
      <c r="AG1122" t="s">
        <v>310</v>
      </c>
      <c r="AH1122">
        <f>SUM((MID(Dyno_Data[[#This Row],[Team]],4,5))+(Dyno_Data[[#This Row],[Match]]/100))</f>
        <v>9624.19</v>
      </c>
      <c r="AI1122" s="76">
        <f>ROUND(SUM(IF(Dyno_Data[[#This Row],[AcqCenter]]&gt;0,Dyno_Data[[#This Row],[Time]]-SUMIFS(Dyno_Data[Time],Dyno_Data[Team],Dyno_Data[[#This Row],[Team]],Dyno_Data[RecordType],"StartMatch",Dyno_Data[Match],Dyno_Data[[#This Row],[Match]]),0)*86400),0)</f>
        <v>0</v>
      </c>
    </row>
    <row r="1123" spans="1:35" x14ac:dyDescent="0.3">
      <c r="A1123">
        <v>1116</v>
      </c>
      <c r="B1123" t="s">
        <v>1303</v>
      </c>
      <c r="C1123">
        <v>19</v>
      </c>
      <c r="D1123" s="105">
        <v>45373.483308414354</v>
      </c>
      <c r="E1123" t="s">
        <v>312</v>
      </c>
      <c r="F1123" t="s">
        <v>309</v>
      </c>
      <c r="G1123">
        <v>0</v>
      </c>
      <c r="H1123" t="s">
        <v>143</v>
      </c>
      <c r="I1123">
        <v>5</v>
      </c>
      <c r="J1123">
        <v>1</v>
      </c>
      <c r="K1123">
        <v>0</v>
      </c>
      <c r="L1123" t="s">
        <v>310</v>
      </c>
      <c r="M1123" t="s">
        <v>310</v>
      </c>
      <c r="N1123">
        <v>0</v>
      </c>
      <c r="O1123" t="s">
        <v>1391</v>
      </c>
      <c r="P1123" t="s">
        <v>310</v>
      </c>
      <c r="Q1123" t="s">
        <v>310</v>
      </c>
      <c r="R1123" t="s">
        <v>310</v>
      </c>
      <c r="S1123">
        <v>9</v>
      </c>
      <c r="T1123" t="s">
        <v>310</v>
      </c>
      <c r="U1123">
        <v>9</v>
      </c>
      <c r="V1123">
        <v>9</v>
      </c>
      <c r="W1123">
        <v>0</v>
      </c>
      <c r="X1123">
        <v>0</v>
      </c>
      <c r="Y1123">
        <v>0</v>
      </c>
      <c r="Z1123">
        <v>0</v>
      </c>
      <c r="AA1123">
        <v>9</v>
      </c>
      <c r="AB1123">
        <v>9</v>
      </c>
      <c r="AC1123" t="s">
        <v>310</v>
      </c>
      <c r="AD1123">
        <v>9</v>
      </c>
      <c r="AE1123" t="s">
        <v>1412</v>
      </c>
      <c r="AF1123">
        <v>10000000</v>
      </c>
      <c r="AG1123" t="s">
        <v>310</v>
      </c>
      <c r="AH1123">
        <f>SUM((MID(Dyno_Data[[#This Row],[Team]],4,5))+(Dyno_Data[[#This Row],[Match]]/100))</f>
        <v>7605.19</v>
      </c>
      <c r="AI1123" s="76">
        <f>ROUND(SUM(IF(Dyno_Data[[#This Row],[AcqCenter]]&gt;0,Dyno_Data[[#This Row],[Time]]-SUMIFS(Dyno_Data[Time],Dyno_Data[Team],Dyno_Data[[#This Row],[Team]],Dyno_Data[RecordType],"StartMatch",Dyno_Data[Match],Dyno_Data[[#This Row],[Match]]),0)*86400),0)</f>
        <v>9</v>
      </c>
    </row>
    <row r="1124" spans="1:35" x14ac:dyDescent="0.3">
      <c r="A1124">
        <v>1117</v>
      </c>
      <c r="B1124" t="s">
        <v>364</v>
      </c>
      <c r="C1124">
        <v>19</v>
      </c>
      <c r="D1124" s="105">
        <v>45373.483319247687</v>
      </c>
      <c r="E1124" t="s">
        <v>312</v>
      </c>
      <c r="F1124" t="s">
        <v>309</v>
      </c>
      <c r="G1124">
        <v>0</v>
      </c>
      <c r="H1124" t="s">
        <v>143</v>
      </c>
      <c r="I1124">
        <v>3</v>
      </c>
      <c r="J1124">
        <v>1</v>
      </c>
      <c r="K1124">
        <v>0</v>
      </c>
      <c r="L1124" t="s">
        <v>310</v>
      </c>
      <c r="M1124" t="s">
        <v>310</v>
      </c>
      <c r="N1124">
        <v>0</v>
      </c>
      <c r="O1124" t="s">
        <v>319</v>
      </c>
      <c r="P1124" t="s">
        <v>310</v>
      </c>
      <c r="Q1124" t="s">
        <v>310</v>
      </c>
      <c r="R1124" t="s">
        <v>310</v>
      </c>
      <c r="S1124">
        <v>9</v>
      </c>
      <c r="T1124" t="s">
        <v>310</v>
      </c>
      <c r="U1124">
        <v>9</v>
      </c>
      <c r="V1124">
        <v>9</v>
      </c>
      <c r="W1124">
        <v>0</v>
      </c>
      <c r="X1124">
        <v>0</v>
      </c>
      <c r="Y1124">
        <v>0</v>
      </c>
      <c r="Z1124">
        <v>0</v>
      </c>
      <c r="AA1124">
        <v>9</v>
      </c>
      <c r="AB1124">
        <v>9</v>
      </c>
      <c r="AC1124" t="s">
        <v>310</v>
      </c>
      <c r="AD1124">
        <v>9</v>
      </c>
      <c r="AE1124" t="s">
        <v>1416</v>
      </c>
      <c r="AF1124">
        <v>1000</v>
      </c>
      <c r="AG1124" t="s">
        <v>310</v>
      </c>
      <c r="AH1124">
        <f>SUM((MID(Dyno_Data[[#This Row],[Team]],4,5))+(Dyno_Data[[#This Row],[Match]]/100))</f>
        <v>2791.19</v>
      </c>
      <c r="AI1124" s="76">
        <f>ROUND(SUM(IF(Dyno_Data[[#This Row],[AcqCenter]]&gt;0,Dyno_Data[[#This Row],[Time]]-SUMIFS(Dyno_Data[Time],Dyno_Data[Team],Dyno_Data[[#This Row],[Team]],Dyno_Data[RecordType],"StartMatch",Dyno_Data[Match],Dyno_Data[[#This Row],[Match]]),0)*86400),0)</f>
        <v>10</v>
      </c>
    </row>
    <row r="1125" spans="1:35" x14ac:dyDescent="0.3">
      <c r="A1125">
        <v>1118</v>
      </c>
      <c r="B1125" t="s">
        <v>1303</v>
      </c>
      <c r="C1125">
        <v>19</v>
      </c>
      <c r="D1125" s="105">
        <v>45373.483343136577</v>
      </c>
      <c r="E1125" t="s">
        <v>312</v>
      </c>
      <c r="F1125" t="s">
        <v>309</v>
      </c>
      <c r="G1125">
        <v>0</v>
      </c>
      <c r="H1125" t="s">
        <v>143</v>
      </c>
      <c r="I1125">
        <v>0</v>
      </c>
      <c r="J1125">
        <v>0</v>
      </c>
      <c r="K1125">
        <v>0</v>
      </c>
      <c r="L1125" t="s">
        <v>241</v>
      </c>
      <c r="M1125" t="s">
        <v>1398</v>
      </c>
      <c r="N1125">
        <v>0</v>
      </c>
      <c r="O1125" t="s">
        <v>1391</v>
      </c>
      <c r="P1125" t="s">
        <v>310</v>
      </c>
      <c r="Q1125" t="s">
        <v>310</v>
      </c>
      <c r="R1125" t="s">
        <v>310</v>
      </c>
      <c r="S1125">
        <v>9</v>
      </c>
      <c r="T1125" t="s">
        <v>310</v>
      </c>
      <c r="U1125">
        <v>9</v>
      </c>
      <c r="V1125">
        <v>9</v>
      </c>
      <c r="W1125">
        <v>0</v>
      </c>
      <c r="X1125">
        <v>0</v>
      </c>
      <c r="Y1125">
        <v>0</v>
      </c>
      <c r="Z1125">
        <v>0</v>
      </c>
      <c r="AA1125">
        <v>9</v>
      </c>
      <c r="AB1125">
        <v>9</v>
      </c>
      <c r="AC1125" t="s">
        <v>310</v>
      </c>
      <c r="AD1125">
        <v>9</v>
      </c>
      <c r="AE1125" t="s">
        <v>1412</v>
      </c>
      <c r="AF1125">
        <v>10000000</v>
      </c>
      <c r="AG1125" t="s">
        <v>310</v>
      </c>
      <c r="AH1125">
        <f>SUM((MID(Dyno_Data[[#This Row],[Team]],4,5))+(Dyno_Data[[#This Row],[Match]]/100))</f>
        <v>7605.19</v>
      </c>
      <c r="AI1125" s="76">
        <f>ROUND(SUM(IF(Dyno_Data[[#This Row],[AcqCenter]]&gt;0,Dyno_Data[[#This Row],[Time]]-SUMIFS(Dyno_Data[Time],Dyno_Data[Team],Dyno_Data[[#This Row],[Team]],Dyno_Data[RecordType],"StartMatch",Dyno_Data[Match],Dyno_Data[[#This Row],[Match]]),0)*86400),0)</f>
        <v>0</v>
      </c>
    </row>
    <row r="1126" spans="1:35" x14ac:dyDescent="0.3">
      <c r="A1126">
        <v>1121</v>
      </c>
      <c r="B1126" t="s">
        <v>1288</v>
      </c>
      <c r="C1126">
        <v>19</v>
      </c>
      <c r="D1126" s="105">
        <v>45373.483357638892</v>
      </c>
      <c r="E1126" t="s">
        <v>312</v>
      </c>
      <c r="F1126" t="s">
        <v>309</v>
      </c>
      <c r="G1126">
        <v>0</v>
      </c>
      <c r="H1126" t="s">
        <v>143</v>
      </c>
      <c r="I1126">
        <v>3</v>
      </c>
      <c r="J1126">
        <v>-1</v>
      </c>
      <c r="K1126">
        <v>0</v>
      </c>
      <c r="L1126" t="s">
        <v>310</v>
      </c>
      <c r="M1126" t="s">
        <v>310</v>
      </c>
      <c r="N1126">
        <v>0</v>
      </c>
      <c r="O1126" t="s">
        <v>1395</v>
      </c>
      <c r="P1126" t="s">
        <v>310</v>
      </c>
      <c r="Q1126" t="s">
        <v>310</v>
      </c>
      <c r="R1126" t="s">
        <v>310</v>
      </c>
      <c r="S1126">
        <v>9</v>
      </c>
      <c r="T1126" t="s">
        <v>310</v>
      </c>
      <c r="U1126">
        <v>9</v>
      </c>
      <c r="V1126">
        <v>9</v>
      </c>
      <c r="W1126">
        <v>0</v>
      </c>
      <c r="X1126">
        <v>0</v>
      </c>
      <c r="Y1126">
        <v>0</v>
      </c>
      <c r="Z1126">
        <v>0</v>
      </c>
      <c r="AA1126">
        <v>9</v>
      </c>
      <c r="AB1126">
        <v>9</v>
      </c>
      <c r="AC1126" t="s">
        <v>310</v>
      </c>
      <c r="AD1126">
        <v>9</v>
      </c>
      <c r="AE1126" t="s">
        <v>1417</v>
      </c>
      <c r="AF1126">
        <v>0</v>
      </c>
      <c r="AG1126" t="s">
        <v>310</v>
      </c>
      <c r="AH1126">
        <f>SUM((MID(Dyno_Data[[#This Row],[Team]],4,5))+(Dyno_Data[[#This Row],[Match]]/100))</f>
        <v>3181.19</v>
      </c>
      <c r="AI1126" s="76">
        <f>ROUND(SUM(IF(Dyno_Data[[#This Row],[AcqCenter]]&gt;0,Dyno_Data[[#This Row],[Time]]-SUMIFS(Dyno_Data[Time],Dyno_Data[Team],Dyno_Data[[#This Row],[Team]],Dyno_Data[RecordType],"StartMatch",Dyno_Data[Match],Dyno_Data[[#This Row],[Match]]),0)*86400),0)</f>
        <v>11</v>
      </c>
    </row>
    <row r="1127" spans="1:35" x14ac:dyDescent="0.3">
      <c r="A1127">
        <v>1120</v>
      </c>
      <c r="B1127" t="s">
        <v>1298</v>
      </c>
      <c r="C1127">
        <v>19</v>
      </c>
      <c r="D1127" s="105">
        <v>45373.483358414349</v>
      </c>
      <c r="E1127" t="s">
        <v>314</v>
      </c>
      <c r="F1127" t="s">
        <v>309</v>
      </c>
      <c r="G1127">
        <v>0</v>
      </c>
      <c r="H1127" t="s">
        <v>310</v>
      </c>
      <c r="I1127">
        <v>0</v>
      </c>
      <c r="J1127">
        <v>0</v>
      </c>
      <c r="K1127">
        <v>0</v>
      </c>
      <c r="L1127" t="s">
        <v>310</v>
      </c>
      <c r="M1127" t="s">
        <v>310</v>
      </c>
      <c r="N1127">
        <v>0</v>
      </c>
      <c r="O1127" t="s">
        <v>1389</v>
      </c>
      <c r="P1127" t="s">
        <v>240</v>
      </c>
      <c r="Q1127" t="s">
        <v>1399</v>
      </c>
      <c r="R1127" t="s">
        <v>310</v>
      </c>
      <c r="S1127">
        <v>9</v>
      </c>
      <c r="T1127" t="s">
        <v>310</v>
      </c>
      <c r="U1127">
        <v>9</v>
      </c>
      <c r="V1127">
        <v>9</v>
      </c>
      <c r="W1127">
        <v>0</v>
      </c>
      <c r="X1127">
        <v>0</v>
      </c>
      <c r="Y1127">
        <v>0</v>
      </c>
      <c r="Z1127">
        <v>0</v>
      </c>
      <c r="AA1127">
        <v>9</v>
      </c>
      <c r="AB1127">
        <v>9</v>
      </c>
      <c r="AC1127" t="s">
        <v>310</v>
      </c>
      <c r="AD1127">
        <v>9</v>
      </c>
      <c r="AE1127" t="s">
        <v>1418</v>
      </c>
      <c r="AF1127">
        <v>10000000</v>
      </c>
      <c r="AG1127" t="s">
        <v>310</v>
      </c>
      <c r="AH1127">
        <f>SUM((MID(Dyno_Data[[#This Row],[Team]],4,5))+(Dyno_Data[[#This Row],[Match]]/100))</f>
        <v>9624.19</v>
      </c>
      <c r="AI1127" s="76">
        <f>ROUND(SUM(IF(Dyno_Data[[#This Row],[AcqCenter]]&gt;0,Dyno_Data[[#This Row],[Time]]-SUMIFS(Dyno_Data[Time],Dyno_Data[Team],Dyno_Data[[#This Row],[Team]],Dyno_Data[RecordType],"StartMatch",Dyno_Data[Match],Dyno_Data[[#This Row],[Match]]),0)*86400),0)</f>
        <v>0</v>
      </c>
    </row>
    <row r="1128" spans="1:35" x14ac:dyDescent="0.3">
      <c r="A1128">
        <v>1122</v>
      </c>
      <c r="B1128" t="s">
        <v>1303</v>
      </c>
      <c r="C1128">
        <v>19</v>
      </c>
      <c r="D1128" s="105">
        <v>45373.483379317127</v>
      </c>
      <c r="E1128" t="s">
        <v>312</v>
      </c>
      <c r="F1128" t="s">
        <v>309</v>
      </c>
      <c r="G1128">
        <v>0</v>
      </c>
      <c r="H1128" t="s">
        <v>143</v>
      </c>
      <c r="I1128">
        <v>4</v>
      </c>
      <c r="J1128">
        <v>1</v>
      </c>
      <c r="K1128">
        <v>0</v>
      </c>
      <c r="L1128" t="s">
        <v>310</v>
      </c>
      <c r="M1128" t="s">
        <v>310</v>
      </c>
      <c r="N1128">
        <v>0</v>
      </c>
      <c r="O1128" t="s">
        <v>1391</v>
      </c>
      <c r="P1128" t="s">
        <v>310</v>
      </c>
      <c r="Q1128" t="s">
        <v>310</v>
      </c>
      <c r="R1128" t="s">
        <v>310</v>
      </c>
      <c r="S1128">
        <v>9</v>
      </c>
      <c r="T1128" t="s">
        <v>310</v>
      </c>
      <c r="U1128">
        <v>9</v>
      </c>
      <c r="V1128">
        <v>9</v>
      </c>
      <c r="W1128">
        <v>0</v>
      </c>
      <c r="X1128">
        <v>0</v>
      </c>
      <c r="Y1128">
        <v>0</v>
      </c>
      <c r="Z1128">
        <v>0</v>
      </c>
      <c r="AA1128">
        <v>9</v>
      </c>
      <c r="AB1128">
        <v>9</v>
      </c>
      <c r="AC1128" t="s">
        <v>310</v>
      </c>
      <c r="AD1128">
        <v>9</v>
      </c>
      <c r="AE1128" t="s">
        <v>1412</v>
      </c>
      <c r="AF1128">
        <v>10000000</v>
      </c>
      <c r="AG1128" t="s">
        <v>310</v>
      </c>
      <c r="AH1128">
        <f>SUM((MID(Dyno_Data[[#This Row],[Team]],4,5))+(Dyno_Data[[#This Row],[Match]]/100))</f>
        <v>7605.19</v>
      </c>
      <c r="AI1128" s="76">
        <f>ROUND(SUM(IF(Dyno_Data[[#This Row],[AcqCenter]]&gt;0,Dyno_Data[[#This Row],[Time]]-SUMIFS(Dyno_Data[Time],Dyno_Data[Team],Dyno_Data[[#This Row],[Team]],Dyno_Data[RecordType],"StartMatch",Dyno_Data[Match],Dyno_Data[[#This Row],[Match]]),0)*86400),0)</f>
        <v>15</v>
      </c>
    </row>
    <row r="1129" spans="1:35" x14ac:dyDescent="0.3">
      <c r="A1129">
        <v>1123</v>
      </c>
      <c r="B1129" t="s">
        <v>1288</v>
      </c>
      <c r="C1129">
        <v>19</v>
      </c>
      <c r="D1129" s="105">
        <v>45373.48340459491</v>
      </c>
      <c r="E1129" t="s">
        <v>312</v>
      </c>
      <c r="F1129" t="s">
        <v>309</v>
      </c>
      <c r="G1129">
        <v>0</v>
      </c>
      <c r="H1129" t="s">
        <v>315</v>
      </c>
      <c r="I1129">
        <v>0</v>
      </c>
      <c r="J1129">
        <v>0</v>
      </c>
      <c r="K1129">
        <v>0</v>
      </c>
      <c r="L1129" t="s">
        <v>242</v>
      </c>
      <c r="M1129" t="s">
        <v>1398</v>
      </c>
      <c r="N1129">
        <v>0</v>
      </c>
      <c r="O1129" t="s">
        <v>1395</v>
      </c>
      <c r="P1129" t="s">
        <v>310</v>
      </c>
      <c r="Q1129" t="s">
        <v>310</v>
      </c>
      <c r="R1129" t="s">
        <v>310</v>
      </c>
      <c r="S1129">
        <v>9</v>
      </c>
      <c r="T1129" t="s">
        <v>310</v>
      </c>
      <c r="U1129">
        <v>9</v>
      </c>
      <c r="V1129">
        <v>9</v>
      </c>
      <c r="W1129">
        <v>0</v>
      </c>
      <c r="X1129">
        <v>0</v>
      </c>
      <c r="Y1129">
        <v>0</v>
      </c>
      <c r="Z1129">
        <v>0</v>
      </c>
      <c r="AA1129">
        <v>9</v>
      </c>
      <c r="AB1129">
        <v>9</v>
      </c>
      <c r="AC1129" t="s">
        <v>310</v>
      </c>
      <c r="AD1129">
        <v>9</v>
      </c>
      <c r="AE1129" t="s">
        <v>1417</v>
      </c>
      <c r="AF1129">
        <v>10000000</v>
      </c>
      <c r="AG1129" t="s">
        <v>310</v>
      </c>
      <c r="AH1129">
        <f>SUM((MID(Dyno_Data[[#This Row],[Team]],4,5))+(Dyno_Data[[#This Row],[Match]]/100))</f>
        <v>3181.19</v>
      </c>
      <c r="AI1129" s="76">
        <f>ROUND(SUM(IF(Dyno_Data[[#This Row],[AcqCenter]]&gt;0,Dyno_Data[[#This Row],[Time]]-SUMIFS(Dyno_Data[Time],Dyno_Data[Team],Dyno_Data[[#This Row],[Team]],Dyno_Data[RecordType],"StartMatch",Dyno_Data[Match],Dyno_Data[[#This Row],[Match]]),0)*86400),0)</f>
        <v>0</v>
      </c>
    </row>
    <row r="1130" spans="1:35" x14ac:dyDescent="0.3">
      <c r="A1130">
        <v>1124</v>
      </c>
      <c r="B1130" t="s">
        <v>1303</v>
      </c>
      <c r="C1130">
        <v>19</v>
      </c>
      <c r="D1130" s="105">
        <v>45373.483405405095</v>
      </c>
      <c r="E1130" t="s">
        <v>312</v>
      </c>
      <c r="F1130" t="s">
        <v>309</v>
      </c>
      <c r="G1130">
        <v>0</v>
      </c>
      <c r="H1130" t="s">
        <v>143</v>
      </c>
      <c r="I1130">
        <v>0</v>
      </c>
      <c r="J1130">
        <v>0</v>
      </c>
      <c r="K1130">
        <v>0</v>
      </c>
      <c r="L1130" t="s">
        <v>241</v>
      </c>
      <c r="M1130" t="s">
        <v>1398</v>
      </c>
      <c r="N1130">
        <v>0</v>
      </c>
      <c r="O1130" t="s">
        <v>1391</v>
      </c>
      <c r="P1130" t="s">
        <v>310</v>
      </c>
      <c r="Q1130" t="s">
        <v>310</v>
      </c>
      <c r="R1130" t="s">
        <v>310</v>
      </c>
      <c r="S1130">
        <v>9</v>
      </c>
      <c r="T1130" t="s">
        <v>310</v>
      </c>
      <c r="U1130">
        <v>9</v>
      </c>
      <c r="V1130">
        <v>9</v>
      </c>
      <c r="W1130">
        <v>0</v>
      </c>
      <c r="X1130">
        <v>0</v>
      </c>
      <c r="Y1130">
        <v>0</v>
      </c>
      <c r="Z1130">
        <v>0</v>
      </c>
      <c r="AA1130">
        <v>9</v>
      </c>
      <c r="AB1130">
        <v>9</v>
      </c>
      <c r="AC1130" t="s">
        <v>310</v>
      </c>
      <c r="AD1130">
        <v>9</v>
      </c>
      <c r="AE1130" t="s">
        <v>1412</v>
      </c>
      <c r="AF1130">
        <v>10000000</v>
      </c>
      <c r="AG1130" t="s">
        <v>310</v>
      </c>
      <c r="AH1130">
        <f>SUM((MID(Dyno_Data[[#This Row],[Team]],4,5))+(Dyno_Data[[#This Row],[Match]]/100))</f>
        <v>7605.19</v>
      </c>
      <c r="AI1130" s="76">
        <f>ROUND(SUM(IF(Dyno_Data[[#This Row],[AcqCenter]]&gt;0,Dyno_Data[[#This Row],[Time]]-SUMIFS(Dyno_Data[Time],Dyno_Data[Team],Dyno_Data[[#This Row],[Team]],Dyno_Data[RecordType],"StartMatch",Dyno_Data[Match],Dyno_Data[[#This Row],[Match]]),0)*86400),0)</f>
        <v>0</v>
      </c>
    </row>
    <row r="1131" spans="1:35" x14ac:dyDescent="0.3">
      <c r="A1131">
        <v>1126</v>
      </c>
      <c r="B1131" t="s">
        <v>1303</v>
      </c>
      <c r="C1131">
        <v>19</v>
      </c>
      <c r="D1131" s="105">
        <v>45373.483412534719</v>
      </c>
      <c r="E1131" t="s">
        <v>314</v>
      </c>
      <c r="F1131" t="s">
        <v>309</v>
      </c>
      <c r="G1131">
        <v>1</v>
      </c>
      <c r="H1131" t="s">
        <v>310</v>
      </c>
      <c r="I1131">
        <v>0</v>
      </c>
      <c r="J1131">
        <v>0</v>
      </c>
      <c r="K1131">
        <v>0</v>
      </c>
      <c r="L1131" t="s">
        <v>310</v>
      </c>
      <c r="M1131" t="s">
        <v>310</v>
      </c>
      <c r="N1131">
        <v>0</v>
      </c>
      <c r="O1131" t="s">
        <v>1391</v>
      </c>
      <c r="P1131" t="s">
        <v>101</v>
      </c>
      <c r="Q1131" t="s">
        <v>1400</v>
      </c>
      <c r="R1131" t="s">
        <v>310</v>
      </c>
      <c r="S1131">
        <v>9</v>
      </c>
      <c r="T1131" t="s">
        <v>310</v>
      </c>
      <c r="U1131">
        <v>9</v>
      </c>
      <c r="V1131">
        <v>9</v>
      </c>
      <c r="W1131">
        <v>0</v>
      </c>
      <c r="X1131">
        <v>0</v>
      </c>
      <c r="Y1131">
        <v>0</v>
      </c>
      <c r="Z1131">
        <v>0</v>
      </c>
      <c r="AA1131">
        <v>9</v>
      </c>
      <c r="AB1131">
        <v>9</v>
      </c>
      <c r="AC1131" t="s">
        <v>310</v>
      </c>
      <c r="AD1131">
        <v>9</v>
      </c>
      <c r="AE1131" t="s">
        <v>1412</v>
      </c>
      <c r="AF1131">
        <v>10000000</v>
      </c>
      <c r="AG1131" t="s">
        <v>310</v>
      </c>
      <c r="AH1131">
        <f>SUM((MID(Dyno_Data[[#This Row],[Team]],4,5))+(Dyno_Data[[#This Row],[Match]]/100))</f>
        <v>7605.19</v>
      </c>
      <c r="AI1131" s="76">
        <f>ROUND(SUM(IF(Dyno_Data[[#This Row],[AcqCenter]]&gt;0,Dyno_Data[[#This Row],[Time]]-SUMIFS(Dyno_Data[Time],Dyno_Data[Team],Dyno_Data[[#This Row],[Team]],Dyno_Data[RecordType],"StartMatch",Dyno_Data[Match],Dyno_Data[[#This Row],[Match]]),0)*86400),0)</f>
        <v>0</v>
      </c>
    </row>
    <row r="1132" spans="1:35" x14ac:dyDescent="0.3">
      <c r="A1132">
        <v>1128</v>
      </c>
      <c r="B1132" t="s">
        <v>364</v>
      </c>
      <c r="C1132">
        <v>19</v>
      </c>
      <c r="D1132" s="105">
        <v>45373.483413692127</v>
      </c>
      <c r="E1132" t="s">
        <v>314</v>
      </c>
      <c r="F1132" t="s">
        <v>309</v>
      </c>
      <c r="G1132">
        <v>1</v>
      </c>
      <c r="H1132" t="s">
        <v>310</v>
      </c>
      <c r="I1132">
        <v>0</v>
      </c>
      <c r="J1132">
        <v>0</v>
      </c>
      <c r="K1132">
        <v>0</v>
      </c>
      <c r="L1132" t="s">
        <v>310</v>
      </c>
      <c r="M1132" t="s">
        <v>310</v>
      </c>
      <c r="N1132">
        <v>0</v>
      </c>
      <c r="O1132" t="s">
        <v>319</v>
      </c>
      <c r="P1132" t="s">
        <v>240</v>
      </c>
      <c r="Q1132" t="s">
        <v>1399</v>
      </c>
      <c r="R1132" t="s">
        <v>310</v>
      </c>
      <c r="S1132">
        <v>9</v>
      </c>
      <c r="T1132" t="s">
        <v>310</v>
      </c>
      <c r="U1132">
        <v>9</v>
      </c>
      <c r="V1132">
        <v>9</v>
      </c>
      <c r="W1132">
        <v>0</v>
      </c>
      <c r="X1132">
        <v>0</v>
      </c>
      <c r="Y1132">
        <v>0</v>
      </c>
      <c r="Z1132">
        <v>0</v>
      </c>
      <c r="AA1132">
        <v>9</v>
      </c>
      <c r="AB1132">
        <v>9</v>
      </c>
      <c r="AC1132" t="s">
        <v>310</v>
      </c>
      <c r="AD1132">
        <v>9</v>
      </c>
      <c r="AE1132" t="s">
        <v>1416</v>
      </c>
      <c r="AF1132">
        <v>1000</v>
      </c>
      <c r="AG1132" t="s">
        <v>310</v>
      </c>
      <c r="AH1132">
        <f>SUM((MID(Dyno_Data[[#This Row],[Team]],4,5))+(Dyno_Data[[#This Row],[Match]]/100))</f>
        <v>2791.19</v>
      </c>
      <c r="AI1132" s="76">
        <f>ROUND(SUM(IF(Dyno_Data[[#This Row],[AcqCenter]]&gt;0,Dyno_Data[[#This Row],[Time]]-SUMIFS(Dyno_Data[Time],Dyno_Data[Team],Dyno_Data[[#This Row],[Team]],Dyno_Data[RecordType],"StartMatch",Dyno_Data[Match],Dyno_Data[[#This Row],[Match]]),0)*86400),0)</f>
        <v>0</v>
      </c>
    </row>
    <row r="1133" spans="1:35" x14ac:dyDescent="0.3">
      <c r="A1133">
        <v>1130</v>
      </c>
      <c r="B1133" t="s">
        <v>370</v>
      </c>
      <c r="C1133">
        <v>19</v>
      </c>
      <c r="D1133" s="105">
        <v>45373.483417592593</v>
      </c>
      <c r="E1133" t="s">
        <v>314</v>
      </c>
      <c r="F1133" t="s">
        <v>309</v>
      </c>
      <c r="G1133">
        <v>1</v>
      </c>
      <c r="H1133" t="s">
        <v>310</v>
      </c>
      <c r="I1133">
        <v>0</v>
      </c>
      <c r="J1133">
        <v>0</v>
      </c>
      <c r="K1133">
        <v>0</v>
      </c>
      <c r="L1133" t="s">
        <v>310</v>
      </c>
      <c r="M1133" t="s">
        <v>310</v>
      </c>
      <c r="N1133">
        <v>0</v>
      </c>
      <c r="O1133" t="s">
        <v>311</v>
      </c>
      <c r="P1133" t="s">
        <v>1401</v>
      </c>
      <c r="Q1133" t="s">
        <v>1400</v>
      </c>
      <c r="R1133" t="s">
        <v>310</v>
      </c>
      <c r="S1133">
        <v>9</v>
      </c>
      <c r="T1133" t="s">
        <v>310</v>
      </c>
      <c r="U1133">
        <v>9</v>
      </c>
      <c r="V1133">
        <v>9</v>
      </c>
      <c r="W1133">
        <v>0</v>
      </c>
      <c r="X1133">
        <v>0</v>
      </c>
      <c r="Y1133">
        <v>0</v>
      </c>
      <c r="Z1133">
        <v>0</v>
      </c>
      <c r="AA1133">
        <v>9</v>
      </c>
      <c r="AB1133">
        <v>9</v>
      </c>
      <c r="AC1133" t="s">
        <v>310</v>
      </c>
      <c r="AD1133">
        <v>9</v>
      </c>
      <c r="AE1133" t="s">
        <v>1413</v>
      </c>
      <c r="AF1133">
        <v>0</v>
      </c>
      <c r="AG1133" t="s">
        <v>310</v>
      </c>
      <c r="AH1133">
        <f>SUM((MID(Dyno_Data[[#This Row],[Team]],4,5))+(Dyno_Data[[#This Row],[Match]]/100))</f>
        <v>6911.19</v>
      </c>
      <c r="AI1133" s="76">
        <f>ROUND(SUM(IF(Dyno_Data[[#This Row],[AcqCenter]]&gt;0,Dyno_Data[[#This Row],[Time]]-SUMIFS(Dyno_Data[Time],Dyno_Data[Team],Dyno_Data[[#This Row],[Team]],Dyno_Data[RecordType],"StartMatch",Dyno_Data[Match],Dyno_Data[[#This Row],[Match]]),0)*86400),0)</f>
        <v>0</v>
      </c>
    </row>
    <row r="1134" spans="1:35" x14ac:dyDescent="0.3">
      <c r="A1134">
        <v>1132</v>
      </c>
      <c r="B1134" t="s">
        <v>1292</v>
      </c>
      <c r="C1134">
        <v>19</v>
      </c>
      <c r="D1134" s="105">
        <v>45373.483427743056</v>
      </c>
      <c r="E1134" t="s">
        <v>314</v>
      </c>
      <c r="F1134" t="s">
        <v>309</v>
      </c>
      <c r="G1134">
        <v>0</v>
      </c>
      <c r="H1134" t="s">
        <v>310</v>
      </c>
      <c r="I1134">
        <v>0</v>
      </c>
      <c r="J1134">
        <v>0</v>
      </c>
      <c r="K1134">
        <v>0</v>
      </c>
      <c r="L1134" t="s">
        <v>310</v>
      </c>
      <c r="M1134" t="s">
        <v>310</v>
      </c>
      <c r="N1134">
        <v>0</v>
      </c>
      <c r="O1134" t="s">
        <v>1393</v>
      </c>
      <c r="P1134" t="s">
        <v>320</v>
      </c>
      <c r="Q1134" t="s">
        <v>1400</v>
      </c>
      <c r="R1134" t="s">
        <v>310</v>
      </c>
      <c r="S1134">
        <v>9</v>
      </c>
      <c r="T1134" t="s">
        <v>310</v>
      </c>
      <c r="U1134">
        <v>9</v>
      </c>
      <c r="V1134">
        <v>9</v>
      </c>
      <c r="W1134">
        <v>0</v>
      </c>
      <c r="X1134">
        <v>0</v>
      </c>
      <c r="Y1134">
        <v>0</v>
      </c>
      <c r="Z1134">
        <v>0</v>
      </c>
      <c r="AA1134">
        <v>9</v>
      </c>
      <c r="AB1134">
        <v>9</v>
      </c>
      <c r="AC1134" t="s">
        <v>310</v>
      </c>
      <c r="AD1134">
        <v>9</v>
      </c>
      <c r="AE1134" t="s">
        <v>1414</v>
      </c>
      <c r="AF1134">
        <v>0</v>
      </c>
      <c r="AG1134" t="s">
        <v>310</v>
      </c>
      <c r="AH1134">
        <f>SUM((MID(Dyno_Data[[#This Row],[Team]],4,5))+(Dyno_Data[[#This Row],[Match]]/100))</f>
        <v>7030.19</v>
      </c>
      <c r="AI1134" s="76">
        <f>ROUND(SUM(IF(Dyno_Data[[#This Row],[AcqCenter]]&gt;0,Dyno_Data[[#This Row],[Time]]-SUMIFS(Dyno_Data[Time],Dyno_Data[Team],Dyno_Data[[#This Row],[Team]],Dyno_Data[RecordType],"StartMatch",Dyno_Data[Match],Dyno_Data[[#This Row],[Match]]),0)*86400),0)</f>
        <v>0</v>
      </c>
    </row>
    <row r="1135" spans="1:35" x14ac:dyDescent="0.3">
      <c r="A1135">
        <v>1134</v>
      </c>
      <c r="B1135" t="s">
        <v>1288</v>
      </c>
      <c r="C1135">
        <v>19</v>
      </c>
      <c r="D1135" s="105">
        <v>45373.483436689814</v>
      </c>
      <c r="E1135" t="s">
        <v>314</v>
      </c>
      <c r="F1135" t="s">
        <v>309</v>
      </c>
      <c r="G1135">
        <v>1</v>
      </c>
      <c r="H1135" t="s">
        <v>310</v>
      </c>
      <c r="I1135">
        <v>0</v>
      </c>
      <c r="J1135">
        <v>0</v>
      </c>
      <c r="K1135">
        <v>0</v>
      </c>
      <c r="L1135" t="s">
        <v>310</v>
      </c>
      <c r="M1135" t="s">
        <v>310</v>
      </c>
      <c r="N1135">
        <v>0</v>
      </c>
      <c r="O1135" t="s">
        <v>1395</v>
      </c>
      <c r="P1135" t="s">
        <v>1401</v>
      </c>
      <c r="Q1135" t="s">
        <v>1400</v>
      </c>
      <c r="R1135" t="s">
        <v>310</v>
      </c>
      <c r="S1135">
        <v>9</v>
      </c>
      <c r="T1135" t="s">
        <v>310</v>
      </c>
      <c r="U1135">
        <v>9</v>
      </c>
      <c r="V1135">
        <v>9</v>
      </c>
      <c r="W1135">
        <v>0</v>
      </c>
      <c r="X1135">
        <v>0</v>
      </c>
      <c r="Y1135">
        <v>0</v>
      </c>
      <c r="Z1135">
        <v>0</v>
      </c>
      <c r="AA1135">
        <v>9</v>
      </c>
      <c r="AB1135">
        <v>9</v>
      </c>
      <c r="AC1135" t="s">
        <v>310</v>
      </c>
      <c r="AD1135">
        <v>9</v>
      </c>
      <c r="AE1135" t="s">
        <v>1417</v>
      </c>
      <c r="AF1135">
        <v>10000000</v>
      </c>
      <c r="AG1135" t="s">
        <v>310</v>
      </c>
      <c r="AH1135">
        <f>SUM((MID(Dyno_Data[[#This Row],[Team]],4,5))+(Dyno_Data[[#This Row],[Match]]/100))</f>
        <v>3181.19</v>
      </c>
      <c r="AI1135" s="76">
        <f>ROUND(SUM(IF(Dyno_Data[[#This Row],[AcqCenter]]&gt;0,Dyno_Data[[#This Row],[Time]]-SUMIFS(Dyno_Data[Time],Dyno_Data[Team],Dyno_Data[[#This Row],[Team]],Dyno_Data[RecordType],"StartMatch",Dyno_Data[Match],Dyno_Data[[#This Row],[Match]]),0)*86400),0)</f>
        <v>0</v>
      </c>
    </row>
    <row r="1136" spans="1:35" x14ac:dyDescent="0.3">
      <c r="A1136">
        <v>1135</v>
      </c>
      <c r="B1136" t="s">
        <v>370</v>
      </c>
      <c r="C1136">
        <v>19</v>
      </c>
      <c r="D1136" s="105">
        <v>45373.483454745372</v>
      </c>
      <c r="E1136" t="s">
        <v>312</v>
      </c>
      <c r="F1136" t="s">
        <v>1402</v>
      </c>
      <c r="G1136">
        <v>0</v>
      </c>
      <c r="H1136" t="s">
        <v>315</v>
      </c>
      <c r="I1136">
        <v>0</v>
      </c>
      <c r="J1136">
        <v>0</v>
      </c>
      <c r="K1136">
        <v>0</v>
      </c>
      <c r="L1136" t="s">
        <v>241</v>
      </c>
      <c r="M1136" t="s">
        <v>1398</v>
      </c>
      <c r="N1136">
        <v>0</v>
      </c>
      <c r="O1136" t="s">
        <v>311</v>
      </c>
      <c r="P1136" t="s">
        <v>310</v>
      </c>
      <c r="Q1136" t="s">
        <v>310</v>
      </c>
      <c r="R1136" t="s">
        <v>310</v>
      </c>
      <c r="S1136">
        <v>9</v>
      </c>
      <c r="T1136" t="s">
        <v>310</v>
      </c>
      <c r="U1136">
        <v>9</v>
      </c>
      <c r="V1136">
        <v>9</v>
      </c>
      <c r="W1136">
        <v>0</v>
      </c>
      <c r="X1136">
        <v>0</v>
      </c>
      <c r="Y1136">
        <v>0</v>
      </c>
      <c r="Z1136">
        <v>0</v>
      </c>
      <c r="AA1136">
        <v>9</v>
      </c>
      <c r="AB1136">
        <v>9</v>
      </c>
      <c r="AC1136" t="s">
        <v>310</v>
      </c>
      <c r="AD1136">
        <v>9</v>
      </c>
      <c r="AE1136" t="s">
        <v>1413</v>
      </c>
      <c r="AF1136">
        <v>10000000</v>
      </c>
      <c r="AG1136" t="s">
        <v>310</v>
      </c>
      <c r="AH1136">
        <f>SUM((MID(Dyno_Data[[#This Row],[Team]],4,5))+(Dyno_Data[[#This Row],[Match]]/100))</f>
        <v>6911.19</v>
      </c>
      <c r="AI1136" s="76">
        <f>ROUND(SUM(IF(Dyno_Data[[#This Row],[AcqCenter]]&gt;0,Dyno_Data[[#This Row],[Time]]-SUMIFS(Dyno_Data[Time],Dyno_Data[Team],Dyno_Data[[#This Row],[Team]],Dyno_Data[RecordType],"StartMatch",Dyno_Data[Match],Dyno_Data[[#This Row],[Match]]),0)*86400),0)</f>
        <v>0</v>
      </c>
    </row>
    <row r="1137" spans="1:35" x14ac:dyDescent="0.3">
      <c r="A1137">
        <v>1136</v>
      </c>
      <c r="B1137" t="s">
        <v>364</v>
      </c>
      <c r="C1137">
        <v>19</v>
      </c>
      <c r="D1137" s="105">
        <v>45373.483474270834</v>
      </c>
      <c r="E1137" t="s">
        <v>312</v>
      </c>
      <c r="F1137" t="s">
        <v>1402</v>
      </c>
      <c r="G1137">
        <v>0</v>
      </c>
      <c r="H1137" t="s">
        <v>143</v>
      </c>
      <c r="I1137">
        <v>0</v>
      </c>
      <c r="J1137">
        <v>0</v>
      </c>
      <c r="K1137">
        <v>0</v>
      </c>
      <c r="L1137" t="s">
        <v>241</v>
      </c>
      <c r="M1137" t="s">
        <v>101</v>
      </c>
      <c r="N1137">
        <v>0</v>
      </c>
      <c r="O1137" t="s">
        <v>319</v>
      </c>
      <c r="P1137" t="s">
        <v>310</v>
      </c>
      <c r="Q1137" t="s">
        <v>310</v>
      </c>
      <c r="R1137" t="s">
        <v>310</v>
      </c>
      <c r="S1137">
        <v>9</v>
      </c>
      <c r="T1137" t="s">
        <v>310</v>
      </c>
      <c r="U1137">
        <v>9</v>
      </c>
      <c r="V1137">
        <v>9</v>
      </c>
      <c r="W1137">
        <v>0</v>
      </c>
      <c r="X1137">
        <v>0</v>
      </c>
      <c r="Y1137">
        <v>0</v>
      </c>
      <c r="Z1137">
        <v>0</v>
      </c>
      <c r="AA1137">
        <v>9</v>
      </c>
      <c r="AB1137">
        <v>9</v>
      </c>
      <c r="AC1137" t="s">
        <v>310</v>
      </c>
      <c r="AD1137">
        <v>9</v>
      </c>
      <c r="AE1137" t="s">
        <v>1416</v>
      </c>
      <c r="AF1137">
        <v>1000</v>
      </c>
      <c r="AG1137" t="s">
        <v>310</v>
      </c>
      <c r="AH1137">
        <f>SUM((MID(Dyno_Data[[#This Row],[Team]],4,5))+(Dyno_Data[[#This Row],[Match]]/100))</f>
        <v>2791.19</v>
      </c>
      <c r="AI1137" s="76">
        <f>ROUND(SUM(IF(Dyno_Data[[#This Row],[AcqCenter]]&gt;0,Dyno_Data[[#This Row],[Time]]-SUMIFS(Dyno_Data[Time],Dyno_Data[Team],Dyno_Data[[#This Row],[Team]],Dyno_Data[RecordType],"StartMatch",Dyno_Data[Match],Dyno_Data[[#This Row],[Match]]),0)*86400),0)</f>
        <v>0</v>
      </c>
    </row>
    <row r="1138" spans="1:35" x14ac:dyDescent="0.3">
      <c r="A1138">
        <v>1137</v>
      </c>
      <c r="B1138" t="s">
        <v>1303</v>
      </c>
      <c r="C1138">
        <v>19</v>
      </c>
      <c r="D1138" s="105">
        <v>45373.483540775465</v>
      </c>
      <c r="E1138" t="s">
        <v>312</v>
      </c>
      <c r="F1138" t="s">
        <v>1402</v>
      </c>
      <c r="G1138">
        <v>0</v>
      </c>
      <c r="H1138" t="s">
        <v>315</v>
      </c>
      <c r="I1138">
        <v>0</v>
      </c>
      <c r="J1138">
        <v>0</v>
      </c>
      <c r="K1138">
        <v>0</v>
      </c>
      <c r="L1138" t="s">
        <v>241</v>
      </c>
      <c r="M1138" t="s">
        <v>1398</v>
      </c>
      <c r="N1138">
        <v>0</v>
      </c>
      <c r="O1138" t="s">
        <v>1391</v>
      </c>
      <c r="P1138" t="s">
        <v>310</v>
      </c>
      <c r="Q1138" t="s">
        <v>310</v>
      </c>
      <c r="R1138" t="s">
        <v>310</v>
      </c>
      <c r="S1138">
        <v>9</v>
      </c>
      <c r="T1138" t="s">
        <v>310</v>
      </c>
      <c r="U1138">
        <v>9</v>
      </c>
      <c r="V1138">
        <v>9</v>
      </c>
      <c r="W1138">
        <v>0</v>
      </c>
      <c r="X1138">
        <v>0</v>
      </c>
      <c r="Y1138">
        <v>0</v>
      </c>
      <c r="Z1138">
        <v>0</v>
      </c>
      <c r="AA1138">
        <v>9</v>
      </c>
      <c r="AB1138">
        <v>9</v>
      </c>
      <c r="AC1138" t="s">
        <v>310</v>
      </c>
      <c r="AD1138">
        <v>9</v>
      </c>
      <c r="AE1138" t="s">
        <v>1412</v>
      </c>
      <c r="AF1138">
        <v>20000000</v>
      </c>
      <c r="AG1138" t="s">
        <v>310</v>
      </c>
      <c r="AH1138">
        <f>SUM((MID(Dyno_Data[[#This Row],[Team]],4,5))+(Dyno_Data[[#This Row],[Match]]/100))</f>
        <v>7605.19</v>
      </c>
      <c r="AI1138" s="76">
        <f>ROUND(SUM(IF(Dyno_Data[[#This Row],[AcqCenter]]&gt;0,Dyno_Data[[#This Row],[Time]]-SUMIFS(Dyno_Data[Time],Dyno_Data[Team],Dyno_Data[[#This Row],[Team]],Dyno_Data[RecordType],"StartMatch",Dyno_Data[Match],Dyno_Data[[#This Row],[Match]]),0)*86400),0)</f>
        <v>0</v>
      </c>
    </row>
    <row r="1139" spans="1:35" x14ac:dyDescent="0.3">
      <c r="A1139">
        <v>1138</v>
      </c>
      <c r="B1139" t="s">
        <v>1298</v>
      </c>
      <c r="C1139">
        <v>19</v>
      </c>
      <c r="D1139" s="105">
        <v>45373.483556747684</v>
      </c>
      <c r="E1139" t="s">
        <v>312</v>
      </c>
      <c r="F1139" t="s">
        <v>1402</v>
      </c>
      <c r="G1139">
        <v>0</v>
      </c>
      <c r="H1139" t="s">
        <v>315</v>
      </c>
      <c r="I1139">
        <v>0</v>
      </c>
      <c r="J1139">
        <v>0</v>
      </c>
      <c r="K1139">
        <v>0</v>
      </c>
      <c r="L1139" t="s">
        <v>240</v>
      </c>
      <c r="M1139" t="s">
        <v>1398</v>
      </c>
      <c r="N1139">
        <v>0</v>
      </c>
      <c r="O1139" t="s">
        <v>1389</v>
      </c>
      <c r="P1139" t="s">
        <v>310</v>
      </c>
      <c r="Q1139" t="s">
        <v>310</v>
      </c>
      <c r="R1139" t="s">
        <v>310</v>
      </c>
      <c r="S1139">
        <v>9</v>
      </c>
      <c r="T1139" t="s">
        <v>310</v>
      </c>
      <c r="U1139">
        <v>9</v>
      </c>
      <c r="V1139">
        <v>9</v>
      </c>
      <c r="W1139">
        <v>0</v>
      </c>
      <c r="X1139">
        <v>0</v>
      </c>
      <c r="Y1139">
        <v>0</v>
      </c>
      <c r="Z1139">
        <v>0</v>
      </c>
      <c r="AA1139">
        <v>9</v>
      </c>
      <c r="AB1139">
        <v>9</v>
      </c>
      <c r="AC1139" t="s">
        <v>310</v>
      </c>
      <c r="AD1139">
        <v>9</v>
      </c>
      <c r="AE1139" t="s">
        <v>1418</v>
      </c>
      <c r="AF1139">
        <v>20000000</v>
      </c>
      <c r="AG1139" t="s">
        <v>310</v>
      </c>
      <c r="AH1139">
        <f>SUM((MID(Dyno_Data[[#This Row],[Team]],4,5))+(Dyno_Data[[#This Row],[Match]]/100))</f>
        <v>9624.19</v>
      </c>
      <c r="AI1139" s="76">
        <f>ROUND(SUM(IF(Dyno_Data[[#This Row],[AcqCenter]]&gt;0,Dyno_Data[[#This Row],[Time]]-SUMIFS(Dyno_Data[Time],Dyno_Data[Team],Dyno_Data[[#This Row],[Team]],Dyno_Data[RecordType],"StartMatch",Dyno_Data[Match],Dyno_Data[[#This Row],[Match]]),0)*86400),0)</f>
        <v>0</v>
      </c>
    </row>
    <row r="1140" spans="1:35" x14ac:dyDescent="0.3">
      <c r="A1140">
        <v>1139</v>
      </c>
      <c r="B1140" t="s">
        <v>370</v>
      </c>
      <c r="C1140">
        <v>19</v>
      </c>
      <c r="D1140" s="105">
        <v>45373.483642129628</v>
      </c>
      <c r="E1140" t="s">
        <v>312</v>
      </c>
      <c r="F1140" t="s">
        <v>1402</v>
      </c>
      <c r="G1140">
        <v>0</v>
      </c>
      <c r="H1140" t="s">
        <v>315</v>
      </c>
      <c r="I1140">
        <v>0</v>
      </c>
      <c r="J1140">
        <v>0</v>
      </c>
      <c r="K1140">
        <v>0</v>
      </c>
      <c r="L1140" t="s">
        <v>241</v>
      </c>
      <c r="M1140" t="s">
        <v>1398</v>
      </c>
      <c r="N1140">
        <v>0</v>
      </c>
      <c r="O1140" t="s">
        <v>311</v>
      </c>
      <c r="P1140" t="s">
        <v>310</v>
      </c>
      <c r="Q1140" t="s">
        <v>310</v>
      </c>
      <c r="R1140" t="s">
        <v>310</v>
      </c>
      <c r="S1140">
        <v>9</v>
      </c>
      <c r="T1140" t="s">
        <v>310</v>
      </c>
      <c r="U1140">
        <v>9</v>
      </c>
      <c r="V1140">
        <v>9</v>
      </c>
      <c r="W1140">
        <v>0</v>
      </c>
      <c r="X1140">
        <v>0</v>
      </c>
      <c r="Y1140">
        <v>0</v>
      </c>
      <c r="Z1140">
        <v>0</v>
      </c>
      <c r="AA1140">
        <v>9</v>
      </c>
      <c r="AB1140">
        <v>9</v>
      </c>
      <c r="AC1140" t="s">
        <v>310</v>
      </c>
      <c r="AD1140">
        <v>9</v>
      </c>
      <c r="AE1140" t="s">
        <v>1413</v>
      </c>
      <c r="AF1140">
        <v>20000000</v>
      </c>
      <c r="AG1140" t="s">
        <v>310</v>
      </c>
      <c r="AH1140">
        <f>SUM((MID(Dyno_Data[[#This Row],[Team]],4,5))+(Dyno_Data[[#This Row],[Match]]/100))</f>
        <v>6911.19</v>
      </c>
      <c r="AI1140" s="76">
        <f>ROUND(SUM(IF(Dyno_Data[[#This Row],[AcqCenter]]&gt;0,Dyno_Data[[#This Row],[Time]]-SUMIFS(Dyno_Data[Time],Dyno_Data[Team],Dyno_Data[[#This Row],[Team]],Dyno_Data[RecordType],"StartMatch",Dyno_Data[Match],Dyno_Data[[#This Row],[Match]]),0)*86400),0)</f>
        <v>0</v>
      </c>
    </row>
    <row r="1141" spans="1:35" x14ac:dyDescent="0.3">
      <c r="A1141">
        <v>1140</v>
      </c>
      <c r="B1141" t="s">
        <v>1298</v>
      </c>
      <c r="C1141">
        <v>19</v>
      </c>
      <c r="D1141" s="105">
        <v>45373.483700925928</v>
      </c>
      <c r="E1141" t="s">
        <v>312</v>
      </c>
      <c r="F1141" t="s">
        <v>1402</v>
      </c>
      <c r="G1141">
        <v>0</v>
      </c>
      <c r="H1141" t="s">
        <v>315</v>
      </c>
      <c r="I1141">
        <v>0</v>
      </c>
      <c r="J1141">
        <v>0</v>
      </c>
      <c r="K1141">
        <v>0</v>
      </c>
      <c r="L1141" t="s">
        <v>313</v>
      </c>
      <c r="M1141" t="s">
        <v>1398</v>
      </c>
      <c r="N1141">
        <v>0</v>
      </c>
      <c r="O1141" t="s">
        <v>1389</v>
      </c>
      <c r="P1141" t="s">
        <v>310</v>
      </c>
      <c r="Q1141" t="s">
        <v>310</v>
      </c>
      <c r="R1141" t="s">
        <v>310</v>
      </c>
      <c r="S1141">
        <v>9</v>
      </c>
      <c r="T1141" t="s">
        <v>310</v>
      </c>
      <c r="U1141">
        <v>9</v>
      </c>
      <c r="V1141">
        <v>9</v>
      </c>
      <c r="W1141">
        <v>0</v>
      </c>
      <c r="X1141">
        <v>0</v>
      </c>
      <c r="Y1141">
        <v>0</v>
      </c>
      <c r="Z1141">
        <v>0</v>
      </c>
      <c r="AA1141">
        <v>9</v>
      </c>
      <c r="AB1141">
        <v>9</v>
      </c>
      <c r="AC1141" t="s">
        <v>310</v>
      </c>
      <c r="AD1141">
        <v>9</v>
      </c>
      <c r="AE1141" t="s">
        <v>1418</v>
      </c>
      <c r="AF1141">
        <v>30000000</v>
      </c>
      <c r="AG1141" t="s">
        <v>310</v>
      </c>
      <c r="AH1141">
        <f>SUM((MID(Dyno_Data[[#This Row],[Team]],4,5))+(Dyno_Data[[#This Row],[Match]]/100))</f>
        <v>9624.19</v>
      </c>
      <c r="AI1141" s="76">
        <f>ROUND(SUM(IF(Dyno_Data[[#This Row],[AcqCenter]]&gt;0,Dyno_Data[[#This Row],[Time]]-SUMIFS(Dyno_Data[Time],Dyno_Data[Team],Dyno_Data[[#This Row],[Team]],Dyno_Data[RecordType],"StartMatch",Dyno_Data[Match],Dyno_Data[[#This Row],[Match]]),0)*86400),0)</f>
        <v>0</v>
      </c>
    </row>
    <row r="1142" spans="1:35" x14ac:dyDescent="0.3">
      <c r="A1142">
        <v>1141</v>
      </c>
      <c r="B1142" t="s">
        <v>1303</v>
      </c>
      <c r="C1142">
        <v>19</v>
      </c>
      <c r="D1142" s="105">
        <v>45373.483706678242</v>
      </c>
      <c r="E1142" t="s">
        <v>312</v>
      </c>
      <c r="F1142" t="s">
        <v>1402</v>
      </c>
      <c r="G1142">
        <v>0</v>
      </c>
      <c r="H1142" t="s">
        <v>315</v>
      </c>
      <c r="I1142">
        <v>0</v>
      </c>
      <c r="J1142">
        <v>0</v>
      </c>
      <c r="K1142">
        <v>0</v>
      </c>
      <c r="L1142" t="s">
        <v>241</v>
      </c>
      <c r="M1142" t="s">
        <v>1398</v>
      </c>
      <c r="N1142">
        <v>0</v>
      </c>
      <c r="O1142" t="s">
        <v>1391</v>
      </c>
      <c r="P1142" t="s">
        <v>310</v>
      </c>
      <c r="Q1142" t="s">
        <v>310</v>
      </c>
      <c r="R1142" t="s">
        <v>310</v>
      </c>
      <c r="S1142">
        <v>9</v>
      </c>
      <c r="T1142" t="s">
        <v>310</v>
      </c>
      <c r="U1142">
        <v>9</v>
      </c>
      <c r="V1142">
        <v>9</v>
      </c>
      <c r="W1142">
        <v>0</v>
      </c>
      <c r="X1142">
        <v>0</v>
      </c>
      <c r="Y1142">
        <v>0</v>
      </c>
      <c r="Z1142">
        <v>0</v>
      </c>
      <c r="AA1142">
        <v>9</v>
      </c>
      <c r="AB1142">
        <v>9</v>
      </c>
      <c r="AC1142" t="s">
        <v>310</v>
      </c>
      <c r="AD1142">
        <v>9</v>
      </c>
      <c r="AE1142" t="s">
        <v>1412</v>
      </c>
      <c r="AF1142">
        <v>30000000</v>
      </c>
      <c r="AG1142" t="s">
        <v>310</v>
      </c>
      <c r="AH1142">
        <f>SUM((MID(Dyno_Data[[#This Row],[Team]],4,5))+(Dyno_Data[[#This Row],[Match]]/100))</f>
        <v>7605.19</v>
      </c>
      <c r="AI1142" s="76">
        <f>ROUND(SUM(IF(Dyno_Data[[#This Row],[AcqCenter]]&gt;0,Dyno_Data[[#This Row],[Time]]-SUMIFS(Dyno_Data[Time],Dyno_Data[Team],Dyno_Data[[#This Row],[Team]],Dyno_Data[RecordType],"StartMatch",Dyno_Data[Match],Dyno_Data[[#This Row],[Match]]),0)*86400),0)</f>
        <v>0</v>
      </c>
    </row>
    <row r="1143" spans="1:35" x14ac:dyDescent="0.3">
      <c r="A1143">
        <v>1142</v>
      </c>
      <c r="B1143" t="s">
        <v>364</v>
      </c>
      <c r="C1143">
        <v>19</v>
      </c>
      <c r="D1143" s="105">
        <v>45373.483723379628</v>
      </c>
      <c r="E1143" t="s">
        <v>312</v>
      </c>
      <c r="F1143" t="s">
        <v>1402</v>
      </c>
      <c r="G1143">
        <v>0</v>
      </c>
      <c r="H1143" t="s">
        <v>315</v>
      </c>
      <c r="I1143">
        <v>0</v>
      </c>
      <c r="J1143">
        <v>0</v>
      </c>
      <c r="K1143">
        <v>0</v>
      </c>
      <c r="L1143" t="s">
        <v>241</v>
      </c>
      <c r="M1143" t="s">
        <v>101</v>
      </c>
      <c r="N1143">
        <v>0</v>
      </c>
      <c r="O1143" t="s">
        <v>319</v>
      </c>
      <c r="P1143" t="s">
        <v>310</v>
      </c>
      <c r="Q1143" t="s">
        <v>310</v>
      </c>
      <c r="R1143" t="s">
        <v>310</v>
      </c>
      <c r="S1143">
        <v>9</v>
      </c>
      <c r="T1143" t="s">
        <v>310</v>
      </c>
      <c r="U1143">
        <v>9</v>
      </c>
      <c r="V1143">
        <v>9</v>
      </c>
      <c r="W1143">
        <v>0</v>
      </c>
      <c r="X1143">
        <v>0</v>
      </c>
      <c r="Y1143">
        <v>0</v>
      </c>
      <c r="Z1143">
        <v>0</v>
      </c>
      <c r="AA1143">
        <v>9</v>
      </c>
      <c r="AB1143">
        <v>9</v>
      </c>
      <c r="AC1143" t="s">
        <v>310</v>
      </c>
      <c r="AD1143">
        <v>9</v>
      </c>
      <c r="AE1143" t="s">
        <v>1416</v>
      </c>
      <c r="AF1143">
        <v>10101000</v>
      </c>
      <c r="AG1143" t="s">
        <v>310</v>
      </c>
      <c r="AH1143">
        <f>SUM((MID(Dyno_Data[[#This Row],[Team]],4,5))+(Dyno_Data[[#This Row],[Match]]/100))</f>
        <v>2791.19</v>
      </c>
      <c r="AI1143" s="76">
        <f>ROUND(SUM(IF(Dyno_Data[[#This Row],[AcqCenter]]&gt;0,Dyno_Data[[#This Row],[Time]]-SUMIFS(Dyno_Data[Time],Dyno_Data[Team],Dyno_Data[[#This Row],[Team]],Dyno_Data[RecordType],"StartMatch",Dyno_Data[Match],Dyno_Data[[#This Row],[Match]]),0)*86400),0)</f>
        <v>0</v>
      </c>
    </row>
    <row r="1144" spans="1:35" x14ac:dyDescent="0.3">
      <c r="A1144">
        <v>1143</v>
      </c>
      <c r="B1144" t="s">
        <v>370</v>
      </c>
      <c r="C1144">
        <v>19</v>
      </c>
      <c r="D1144" s="105">
        <v>45373.483732673609</v>
      </c>
      <c r="E1144" t="s">
        <v>312</v>
      </c>
      <c r="F1144" t="s">
        <v>1402</v>
      </c>
      <c r="G1144">
        <v>0</v>
      </c>
      <c r="H1144" t="s">
        <v>315</v>
      </c>
      <c r="I1144">
        <v>0</v>
      </c>
      <c r="J1144">
        <v>0</v>
      </c>
      <c r="K1144">
        <v>0</v>
      </c>
      <c r="L1144" t="s">
        <v>241</v>
      </c>
      <c r="M1144" t="s">
        <v>1398</v>
      </c>
      <c r="N1144">
        <v>0</v>
      </c>
      <c r="O1144" t="s">
        <v>311</v>
      </c>
      <c r="P1144" t="s">
        <v>310</v>
      </c>
      <c r="Q1144" t="s">
        <v>310</v>
      </c>
      <c r="R1144" t="s">
        <v>310</v>
      </c>
      <c r="S1144">
        <v>9</v>
      </c>
      <c r="T1144" t="s">
        <v>310</v>
      </c>
      <c r="U1144">
        <v>9</v>
      </c>
      <c r="V1144">
        <v>9</v>
      </c>
      <c r="W1144">
        <v>0</v>
      </c>
      <c r="X1144">
        <v>0</v>
      </c>
      <c r="Y1144">
        <v>0</v>
      </c>
      <c r="Z1144">
        <v>0</v>
      </c>
      <c r="AA1144">
        <v>9</v>
      </c>
      <c r="AB1144">
        <v>9</v>
      </c>
      <c r="AC1144" t="s">
        <v>310</v>
      </c>
      <c r="AD1144">
        <v>9</v>
      </c>
      <c r="AE1144" t="s">
        <v>1413</v>
      </c>
      <c r="AF1144">
        <v>30000000</v>
      </c>
      <c r="AG1144" t="s">
        <v>310</v>
      </c>
      <c r="AH1144">
        <f>SUM((MID(Dyno_Data[[#This Row],[Team]],4,5))+(Dyno_Data[[#This Row],[Match]]/100))</f>
        <v>6911.19</v>
      </c>
      <c r="AI1144" s="76">
        <f>ROUND(SUM(IF(Dyno_Data[[#This Row],[AcqCenter]]&gt;0,Dyno_Data[[#This Row],[Time]]-SUMIFS(Dyno_Data[Time],Dyno_Data[Team],Dyno_Data[[#This Row],[Team]],Dyno_Data[RecordType],"StartMatch",Dyno_Data[Match],Dyno_Data[[#This Row],[Match]]),0)*86400),0)</f>
        <v>0</v>
      </c>
    </row>
    <row r="1145" spans="1:35" x14ac:dyDescent="0.3">
      <c r="A1145">
        <v>1144</v>
      </c>
      <c r="B1145" t="s">
        <v>1303</v>
      </c>
      <c r="C1145">
        <v>19</v>
      </c>
      <c r="D1145" s="105">
        <v>45373.483922997686</v>
      </c>
      <c r="E1145" t="s">
        <v>312</v>
      </c>
      <c r="F1145" t="s">
        <v>1402</v>
      </c>
      <c r="G1145">
        <v>0</v>
      </c>
      <c r="H1145" t="s">
        <v>315</v>
      </c>
      <c r="I1145">
        <v>0</v>
      </c>
      <c r="J1145">
        <v>0</v>
      </c>
      <c r="K1145">
        <v>0</v>
      </c>
      <c r="L1145" t="s">
        <v>241</v>
      </c>
      <c r="M1145" t="s">
        <v>1398</v>
      </c>
      <c r="N1145">
        <v>0</v>
      </c>
      <c r="O1145" t="s">
        <v>1391</v>
      </c>
      <c r="P1145" t="s">
        <v>310</v>
      </c>
      <c r="Q1145" t="s">
        <v>310</v>
      </c>
      <c r="R1145" t="s">
        <v>310</v>
      </c>
      <c r="S1145">
        <v>9</v>
      </c>
      <c r="T1145" t="s">
        <v>310</v>
      </c>
      <c r="U1145">
        <v>9</v>
      </c>
      <c r="V1145">
        <v>9</v>
      </c>
      <c r="W1145">
        <v>0</v>
      </c>
      <c r="X1145">
        <v>0</v>
      </c>
      <c r="Y1145">
        <v>0</v>
      </c>
      <c r="Z1145">
        <v>0</v>
      </c>
      <c r="AA1145">
        <v>9</v>
      </c>
      <c r="AB1145">
        <v>9</v>
      </c>
      <c r="AC1145" t="s">
        <v>310</v>
      </c>
      <c r="AD1145">
        <v>9</v>
      </c>
      <c r="AE1145" t="s">
        <v>1412</v>
      </c>
      <c r="AF1145">
        <v>40000000</v>
      </c>
      <c r="AG1145" t="s">
        <v>310</v>
      </c>
      <c r="AH1145">
        <f>SUM((MID(Dyno_Data[[#This Row],[Team]],4,5))+(Dyno_Data[[#This Row],[Match]]/100))</f>
        <v>7605.19</v>
      </c>
      <c r="AI1145" s="76">
        <f>ROUND(SUM(IF(Dyno_Data[[#This Row],[AcqCenter]]&gt;0,Dyno_Data[[#This Row],[Time]]-SUMIFS(Dyno_Data[Time],Dyno_Data[Team],Dyno_Data[[#This Row],[Team]],Dyno_Data[RecordType],"StartMatch",Dyno_Data[Match],Dyno_Data[[#This Row],[Match]]),0)*86400),0)</f>
        <v>0</v>
      </c>
    </row>
    <row r="1146" spans="1:35" x14ac:dyDescent="0.3">
      <c r="A1146">
        <v>1145</v>
      </c>
      <c r="B1146" t="s">
        <v>370</v>
      </c>
      <c r="C1146">
        <v>19</v>
      </c>
      <c r="D1146" s="105">
        <v>45373.483933761578</v>
      </c>
      <c r="E1146" t="s">
        <v>312</v>
      </c>
      <c r="F1146" t="s">
        <v>1402</v>
      </c>
      <c r="G1146">
        <v>0</v>
      </c>
      <c r="H1146" t="s">
        <v>315</v>
      </c>
      <c r="I1146">
        <v>0</v>
      </c>
      <c r="J1146">
        <v>0</v>
      </c>
      <c r="K1146">
        <v>0</v>
      </c>
      <c r="L1146" t="s">
        <v>241</v>
      </c>
      <c r="M1146" t="s">
        <v>1398</v>
      </c>
      <c r="N1146">
        <v>1</v>
      </c>
      <c r="O1146" t="s">
        <v>311</v>
      </c>
      <c r="P1146" t="s">
        <v>310</v>
      </c>
      <c r="Q1146" t="s">
        <v>310</v>
      </c>
      <c r="R1146" t="s">
        <v>310</v>
      </c>
      <c r="S1146">
        <v>9</v>
      </c>
      <c r="T1146" t="s">
        <v>310</v>
      </c>
      <c r="U1146">
        <v>9</v>
      </c>
      <c r="V1146">
        <v>9</v>
      </c>
      <c r="W1146">
        <v>0</v>
      </c>
      <c r="X1146">
        <v>0</v>
      </c>
      <c r="Y1146">
        <v>0</v>
      </c>
      <c r="Z1146">
        <v>0</v>
      </c>
      <c r="AA1146">
        <v>9</v>
      </c>
      <c r="AB1146">
        <v>9</v>
      </c>
      <c r="AC1146" t="s">
        <v>310</v>
      </c>
      <c r="AD1146">
        <v>9</v>
      </c>
      <c r="AE1146" t="s">
        <v>1413</v>
      </c>
      <c r="AF1146">
        <v>40000000</v>
      </c>
      <c r="AG1146" t="s">
        <v>310</v>
      </c>
      <c r="AH1146">
        <f>SUM((MID(Dyno_Data[[#This Row],[Team]],4,5))+(Dyno_Data[[#This Row],[Match]]/100))</f>
        <v>6911.19</v>
      </c>
      <c r="AI1146" s="76">
        <f>ROUND(SUM(IF(Dyno_Data[[#This Row],[AcqCenter]]&gt;0,Dyno_Data[[#This Row],[Time]]-SUMIFS(Dyno_Data[Time],Dyno_Data[Team],Dyno_Data[[#This Row],[Team]],Dyno_Data[RecordType],"StartMatch",Dyno_Data[Match],Dyno_Data[[#This Row],[Match]]),0)*86400),0)</f>
        <v>0</v>
      </c>
    </row>
    <row r="1147" spans="1:35" x14ac:dyDescent="0.3">
      <c r="A1147">
        <v>1146</v>
      </c>
      <c r="B1147" t="s">
        <v>1298</v>
      </c>
      <c r="C1147">
        <v>19</v>
      </c>
      <c r="D1147" s="105">
        <v>45373.484012847221</v>
      </c>
      <c r="E1147" t="s">
        <v>312</v>
      </c>
      <c r="F1147" t="s">
        <v>1402</v>
      </c>
      <c r="G1147">
        <v>0</v>
      </c>
      <c r="H1147" t="s">
        <v>315</v>
      </c>
      <c r="I1147">
        <v>0</v>
      </c>
      <c r="J1147">
        <v>0</v>
      </c>
      <c r="K1147">
        <v>0</v>
      </c>
      <c r="L1147" t="s">
        <v>242</v>
      </c>
      <c r="M1147" t="s">
        <v>1398</v>
      </c>
      <c r="N1147">
        <v>0</v>
      </c>
      <c r="O1147" t="s">
        <v>1389</v>
      </c>
      <c r="P1147" t="s">
        <v>310</v>
      </c>
      <c r="Q1147" t="s">
        <v>310</v>
      </c>
      <c r="R1147" t="s">
        <v>310</v>
      </c>
      <c r="S1147">
        <v>9</v>
      </c>
      <c r="T1147" t="s">
        <v>310</v>
      </c>
      <c r="U1147">
        <v>9</v>
      </c>
      <c r="V1147">
        <v>9</v>
      </c>
      <c r="W1147">
        <v>0</v>
      </c>
      <c r="X1147">
        <v>0</v>
      </c>
      <c r="Y1147">
        <v>0</v>
      </c>
      <c r="Z1147">
        <v>0</v>
      </c>
      <c r="AA1147">
        <v>9</v>
      </c>
      <c r="AB1147">
        <v>9</v>
      </c>
      <c r="AC1147" t="s">
        <v>310</v>
      </c>
      <c r="AD1147">
        <v>9</v>
      </c>
      <c r="AE1147" t="s">
        <v>1418</v>
      </c>
      <c r="AF1147">
        <v>40000000</v>
      </c>
      <c r="AG1147" t="s">
        <v>310</v>
      </c>
      <c r="AH1147">
        <f>SUM((MID(Dyno_Data[[#This Row],[Team]],4,5))+(Dyno_Data[[#This Row],[Match]]/100))</f>
        <v>9624.19</v>
      </c>
      <c r="AI1147" s="76">
        <f>ROUND(SUM(IF(Dyno_Data[[#This Row],[AcqCenter]]&gt;0,Dyno_Data[[#This Row],[Time]]-SUMIFS(Dyno_Data[Time],Dyno_Data[Team],Dyno_Data[[#This Row],[Team]],Dyno_Data[RecordType],"StartMatch",Dyno_Data[Match],Dyno_Data[[#This Row],[Match]]),0)*86400),0)</f>
        <v>0</v>
      </c>
    </row>
    <row r="1148" spans="1:35" x14ac:dyDescent="0.3">
      <c r="A1148">
        <v>1147</v>
      </c>
      <c r="B1148" t="s">
        <v>364</v>
      </c>
      <c r="C1148">
        <v>19</v>
      </c>
      <c r="D1148" s="105">
        <v>45373.484044641205</v>
      </c>
      <c r="E1148" t="s">
        <v>312</v>
      </c>
      <c r="F1148" t="s">
        <v>1402</v>
      </c>
      <c r="G1148">
        <v>0</v>
      </c>
      <c r="H1148" t="s">
        <v>315</v>
      </c>
      <c r="I1148">
        <v>0</v>
      </c>
      <c r="J1148">
        <v>0</v>
      </c>
      <c r="K1148">
        <v>0</v>
      </c>
      <c r="L1148" t="s">
        <v>240</v>
      </c>
      <c r="M1148" t="s">
        <v>1398</v>
      </c>
      <c r="N1148">
        <v>0</v>
      </c>
      <c r="O1148" t="s">
        <v>319</v>
      </c>
      <c r="P1148" t="s">
        <v>310</v>
      </c>
      <c r="Q1148" t="s">
        <v>310</v>
      </c>
      <c r="R1148" t="s">
        <v>310</v>
      </c>
      <c r="S1148">
        <v>9</v>
      </c>
      <c r="T1148" t="s">
        <v>310</v>
      </c>
      <c r="U1148">
        <v>9</v>
      </c>
      <c r="V1148">
        <v>9</v>
      </c>
      <c r="W1148">
        <v>0</v>
      </c>
      <c r="X1148">
        <v>0</v>
      </c>
      <c r="Y1148">
        <v>0</v>
      </c>
      <c r="Z1148">
        <v>0</v>
      </c>
      <c r="AA1148">
        <v>9</v>
      </c>
      <c r="AB1148">
        <v>9</v>
      </c>
      <c r="AC1148" t="s">
        <v>310</v>
      </c>
      <c r="AD1148">
        <v>9</v>
      </c>
      <c r="AE1148" t="s">
        <v>1416</v>
      </c>
      <c r="AF1148">
        <v>20101000</v>
      </c>
      <c r="AG1148" t="s">
        <v>310</v>
      </c>
      <c r="AH1148">
        <f>SUM((MID(Dyno_Data[[#This Row],[Team]],4,5))+(Dyno_Data[[#This Row],[Match]]/100))</f>
        <v>2791.19</v>
      </c>
      <c r="AI1148" s="76">
        <f>ROUND(SUM(IF(Dyno_Data[[#This Row],[AcqCenter]]&gt;0,Dyno_Data[[#This Row],[Time]]-SUMIFS(Dyno_Data[Time],Dyno_Data[Team],Dyno_Data[[#This Row],[Team]],Dyno_Data[RecordType],"StartMatch",Dyno_Data[Match],Dyno_Data[[#This Row],[Match]]),0)*86400),0)</f>
        <v>0</v>
      </c>
    </row>
    <row r="1149" spans="1:35" x14ac:dyDescent="0.3">
      <c r="A1149">
        <v>1148</v>
      </c>
      <c r="B1149" t="s">
        <v>370</v>
      </c>
      <c r="C1149">
        <v>19</v>
      </c>
      <c r="D1149" s="105">
        <v>45373.484097025466</v>
      </c>
      <c r="E1149" t="s">
        <v>312</v>
      </c>
      <c r="F1149" t="s">
        <v>1402</v>
      </c>
      <c r="G1149">
        <v>0</v>
      </c>
      <c r="H1149" t="s">
        <v>315</v>
      </c>
      <c r="I1149">
        <v>0</v>
      </c>
      <c r="J1149">
        <v>0</v>
      </c>
      <c r="K1149">
        <v>0</v>
      </c>
      <c r="L1149" t="s">
        <v>241</v>
      </c>
      <c r="M1149" t="s">
        <v>1398</v>
      </c>
      <c r="N1149">
        <v>0</v>
      </c>
      <c r="O1149" t="s">
        <v>311</v>
      </c>
      <c r="P1149" t="s">
        <v>310</v>
      </c>
      <c r="Q1149" t="s">
        <v>310</v>
      </c>
      <c r="R1149" t="s">
        <v>310</v>
      </c>
      <c r="S1149">
        <v>9</v>
      </c>
      <c r="T1149" t="s">
        <v>310</v>
      </c>
      <c r="U1149">
        <v>9</v>
      </c>
      <c r="V1149">
        <v>9</v>
      </c>
      <c r="W1149">
        <v>0</v>
      </c>
      <c r="X1149">
        <v>0</v>
      </c>
      <c r="Y1149">
        <v>0</v>
      </c>
      <c r="Z1149">
        <v>0</v>
      </c>
      <c r="AA1149">
        <v>9</v>
      </c>
      <c r="AB1149">
        <v>9</v>
      </c>
      <c r="AC1149" t="s">
        <v>310</v>
      </c>
      <c r="AD1149">
        <v>9</v>
      </c>
      <c r="AE1149" t="s">
        <v>1413</v>
      </c>
      <c r="AF1149">
        <v>50000000</v>
      </c>
      <c r="AG1149" t="s">
        <v>310</v>
      </c>
      <c r="AH1149">
        <f>SUM((MID(Dyno_Data[[#This Row],[Team]],4,5))+(Dyno_Data[[#This Row],[Match]]/100))</f>
        <v>6911.19</v>
      </c>
      <c r="AI1149" s="76">
        <f>ROUND(SUM(IF(Dyno_Data[[#This Row],[AcqCenter]]&gt;0,Dyno_Data[[#This Row],[Time]]-SUMIFS(Dyno_Data[Time],Dyno_Data[Team],Dyno_Data[[#This Row],[Team]],Dyno_Data[RecordType],"StartMatch",Dyno_Data[Match],Dyno_Data[[#This Row],[Match]]),0)*86400),0)</f>
        <v>0</v>
      </c>
    </row>
    <row r="1150" spans="1:35" x14ac:dyDescent="0.3">
      <c r="A1150">
        <v>1149</v>
      </c>
      <c r="B1150" t="s">
        <v>364</v>
      </c>
      <c r="C1150">
        <v>19</v>
      </c>
      <c r="D1150" s="105">
        <v>45373.484287303239</v>
      </c>
      <c r="E1150" t="s">
        <v>312</v>
      </c>
      <c r="F1150" t="s">
        <v>1402</v>
      </c>
      <c r="G1150">
        <v>0</v>
      </c>
      <c r="H1150" t="s">
        <v>315</v>
      </c>
      <c r="I1150">
        <v>0</v>
      </c>
      <c r="J1150">
        <v>0</v>
      </c>
      <c r="K1150">
        <v>0</v>
      </c>
      <c r="L1150" t="s">
        <v>241</v>
      </c>
      <c r="M1150" t="s">
        <v>101</v>
      </c>
      <c r="N1150">
        <v>0</v>
      </c>
      <c r="O1150" t="s">
        <v>319</v>
      </c>
      <c r="P1150" t="s">
        <v>310</v>
      </c>
      <c r="Q1150" t="s">
        <v>310</v>
      </c>
      <c r="R1150" t="s">
        <v>310</v>
      </c>
      <c r="S1150">
        <v>9</v>
      </c>
      <c r="T1150" t="s">
        <v>310</v>
      </c>
      <c r="U1150">
        <v>9</v>
      </c>
      <c r="V1150">
        <v>9</v>
      </c>
      <c r="W1150">
        <v>0</v>
      </c>
      <c r="X1150">
        <v>0</v>
      </c>
      <c r="Y1150">
        <v>0</v>
      </c>
      <c r="Z1150">
        <v>0</v>
      </c>
      <c r="AA1150">
        <v>9</v>
      </c>
      <c r="AB1150">
        <v>9</v>
      </c>
      <c r="AC1150" t="s">
        <v>310</v>
      </c>
      <c r="AD1150">
        <v>9</v>
      </c>
      <c r="AE1150" t="s">
        <v>1416</v>
      </c>
      <c r="AF1150">
        <v>30101000</v>
      </c>
      <c r="AG1150" t="s">
        <v>310</v>
      </c>
      <c r="AH1150">
        <f>SUM((MID(Dyno_Data[[#This Row],[Team]],4,5))+(Dyno_Data[[#This Row],[Match]]/100))</f>
        <v>2791.19</v>
      </c>
      <c r="AI1150" s="76">
        <f>ROUND(SUM(IF(Dyno_Data[[#This Row],[AcqCenter]]&gt;0,Dyno_Data[[#This Row],[Time]]-SUMIFS(Dyno_Data[Time],Dyno_Data[Team],Dyno_Data[[#This Row],[Team]],Dyno_Data[RecordType],"StartMatch",Dyno_Data[Match],Dyno_Data[[#This Row],[Match]]),0)*86400),0)</f>
        <v>0</v>
      </c>
    </row>
    <row r="1151" spans="1:35" x14ac:dyDescent="0.3">
      <c r="A1151">
        <v>1150</v>
      </c>
      <c r="B1151" t="s">
        <v>1303</v>
      </c>
      <c r="C1151">
        <v>19</v>
      </c>
      <c r="D1151" s="105">
        <v>45373.484316238428</v>
      </c>
      <c r="E1151" t="s">
        <v>312</v>
      </c>
      <c r="F1151" t="s">
        <v>1402</v>
      </c>
      <c r="G1151">
        <v>0</v>
      </c>
      <c r="H1151" t="s">
        <v>315</v>
      </c>
      <c r="I1151">
        <v>0</v>
      </c>
      <c r="J1151">
        <v>0</v>
      </c>
      <c r="K1151">
        <v>0</v>
      </c>
      <c r="L1151" t="s">
        <v>241</v>
      </c>
      <c r="M1151" t="s">
        <v>1398</v>
      </c>
      <c r="N1151">
        <v>0</v>
      </c>
      <c r="O1151" t="s">
        <v>1391</v>
      </c>
      <c r="P1151" t="s">
        <v>310</v>
      </c>
      <c r="Q1151" t="s">
        <v>310</v>
      </c>
      <c r="R1151" t="s">
        <v>310</v>
      </c>
      <c r="S1151">
        <v>9</v>
      </c>
      <c r="T1151" t="s">
        <v>310</v>
      </c>
      <c r="U1151">
        <v>9</v>
      </c>
      <c r="V1151">
        <v>9</v>
      </c>
      <c r="W1151">
        <v>0</v>
      </c>
      <c r="X1151">
        <v>0</v>
      </c>
      <c r="Y1151">
        <v>0</v>
      </c>
      <c r="Z1151">
        <v>0</v>
      </c>
      <c r="AA1151">
        <v>9</v>
      </c>
      <c r="AB1151">
        <v>9</v>
      </c>
      <c r="AC1151" t="s">
        <v>310</v>
      </c>
      <c r="AD1151">
        <v>9</v>
      </c>
      <c r="AE1151" t="s">
        <v>1412</v>
      </c>
      <c r="AF1151">
        <v>50000000</v>
      </c>
      <c r="AG1151" t="s">
        <v>310</v>
      </c>
      <c r="AH1151">
        <f>SUM((MID(Dyno_Data[[#This Row],[Team]],4,5))+(Dyno_Data[[#This Row],[Match]]/100))</f>
        <v>7605.19</v>
      </c>
      <c r="AI1151" s="76">
        <f>ROUND(SUM(IF(Dyno_Data[[#This Row],[AcqCenter]]&gt;0,Dyno_Data[[#This Row],[Time]]-SUMIFS(Dyno_Data[Time],Dyno_Data[Team],Dyno_Data[[#This Row],[Team]],Dyno_Data[RecordType],"StartMatch",Dyno_Data[Match],Dyno_Data[[#This Row],[Match]]),0)*86400),0)</f>
        <v>0</v>
      </c>
    </row>
    <row r="1152" spans="1:35" x14ac:dyDescent="0.3">
      <c r="A1152">
        <v>1151</v>
      </c>
      <c r="B1152" t="s">
        <v>370</v>
      </c>
      <c r="C1152">
        <v>19</v>
      </c>
      <c r="D1152" s="105">
        <v>45373.484358912036</v>
      </c>
      <c r="E1152" t="s">
        <v>312</v>
      </c>
      <c r="F1152" t="s">
        <v>1402</v>
      </c>
      <c r="G1152">
        <v>0</v>
      </c>
      <c r="H1152" t="s">
        <v>315</v>
      </c>
      <c r="I1152">
        <v>0</v>
      </c>
      <c r="J1152">
        <v>0</v>
      </c>
      <c r="K1152">
        <v>0</v>
      </c>
      <c r="L1152" t="s">
        <v>241</v>
      </c>
      <c r="M1152" t="s">
        <v>1398</v>
      </c>
      <c r="N1152">
        <v>0</v>
      </c>
      <c r="O1152" t="s">
        <v>311</v>
      </c>
      <c r="P1152" t="s">
        <v>310</v>
      </c>
      <c r="Q1152" t="s">
        <v>310</v>
      </c>
      <c r="R1152" t="s">
        <v>310</v>
      </c>
      <c r="S1152">
        <v>9</v>
      </c>
      <c r="T1152" t="s">
        <v>310</v>
      </c>
      <c r="U1152">
        <v>9</v>
      </c>
      <c r="V1152">
        <v>9</v>
      </c>
      <c r="W1152">
        <v>0</v>
      </c>
      <c r="X1152">
        <v>0</v>
      </c>
      <c r="Y1152">
        <v>0</v>
      </c>
      <c r="Z1152">
        <v>0</v>
      </c>
      <c r="AA1152">
        <v>9</v>
      </c>
      <c r="AB1152">
        <v>9</v>
      </c>
      <c r="AC1152" t="s">
        <v>310</v>
      </c>
      <c r="AD1152">
        <v>9</v>
      </c>
      <c r="AE1152" t="s">
        <v>1413</v>
      </c>
      <c r="AF1152">
        <v>60000000</v>
      </c>
      <c r="AG1152" t="s">
        <v>310</v>
      </c>
      <c r="AH1152">
        <f>SUM((MID(Dyno_Data[[#This Row],[Team]],4,5))+(Dyno_Data[[#This Row],[Match]]/100))</f>
        <v>6911.19</v>
      </c>
      <c r="AI1152" s="76">
        <f>ROUND(SUM(IF(Dyno_Data[[#This Row],[AcqCenter]]&gt;0,Dyno_Data[[#This Row],[Time]]-SUMIFS(Dyno_Data[Time],Dyno_Data[Team],Dyno_Data[[#This Row],[Team]],Dyno_Data[RecordType],"StartMatch",Dyno_Data[Match],Dyno_Data[[#This Row],[Match]]),0)*86400),0)</f>
        <v>0</v>
      </c>
    </row>
    <row r="1153" spans="1:35" x14ac:dyDescent="0.3">
      <c r="A1153">
        <v>1152</v>
      </c>
      <c r="B1153" t="s">
        <v>364</v>
      </c>
      <c r="C1153">
        <v>19</v>
      </c>
      <c r="D1153" s="105">
        <v>45373.484383067131</v>
      </c>
      <c r="E1153" t="s">
        <v>312</v>
      </c>
      <c r="F1153" t="s">
        <v>1402</v>
      </c>
      <c r="G1153">
        <v>0</v>
      </c>
      <c r="H1153" t="s">
        <v>315</v>
      </c>
      <c r="I1153">
        <v>0</v>
      </c>
      <c r="J1153">
        <v>0</v>
      </c>
      <c r="K1153">
        <v>0</v>
      </c>
      <c r="L1153" t="s">
        <v>241</v>
      </c>
      <c r="M1153" t="s">
        <v>101</v>
      </c>
      <c r="N1153">
        <v>0</v>
      </c>
      <c r="O1153" t="s">
        <v>319</v>
      </c>
      <c r="P1153" t="s">
        <v>310</v>
      </c>
      <c r="Q1153" t="s">
        <v>310</v>
      </c>
      <c r="R1153" t="s">
        <v>310</v>
      </c>
      <c r="S1153">
        <v>9</v>
      </c>
      <c r="T1153" t="s">
        <v>310</v>
      </c>
      <c r="U1153">
        <v>9</v>
      </c>
      <c r="V1153">
        <v>9</v>
      </c>
      <c r="W1153">
        <v>0</v>
      </c>
      <c r="X1153">
        <v>0</v>
      </c>
      <c r="Y1153">
        <v>0</v>
      </c>
      <c r="Z1153">
        <v>0</v>
      </c>
      <c r="AA1153">
        <v>9</v>
      </c>
      <c r="AB1153">
        <v>9</v>
      </c>
      <c r="AC1153" t="s">
        <v>310</v>
      </c>
      <c r="AD1153">
        <v>9</v>
      </c>
      <c r="AE1153" t="s">
        <v>1416</v>
      </c>
      <c r="AF1153">
        <v>40101000</v>
      </c>
      <c r="AG1153" t="s">
        <v>310</v>
      </c>
      <c r="AH1153">
        <f>SUM((MID(Dyno_Data[[#This Row],[Team]],4,5))+(Dyno_Data[[#This Row],[Match]]/100))</f>
        <v>2791.19</v>
      </c>
      <c r="AI1153" s="76">
        <f>ROUND(SUM(IF(Dyno_Data[[#This Row],[AcqCenter]]&gt;0,Dyno_Data[[#This Row],[Time]]-SUMIFS(Dyno_Data[Time],Dyno_Data[Team],Dyno_Data[[#This Row],[Team]],Dyno_Data[RecordType],"StartMatch",Dyno_Data[Match],Dyno_Data[[#This Row],[Match]]),0)*86400),0)</f>
        <v>0</v>
      </c>
    </row>
    <row r="1154" spans="1:35" x14ac:dyDescent="0.3">
      <c r="A1154">
        <v>1153</v>
      </c>
      <c r="B1154" t="s">
        <v>1298</v>
      </c>
      <c r="C1154">
        <v>19</v>
      </c>
      <c r="D1154" s="105">
        <v>45373.484424918985</v>
      </c>
      <c r="E1154" t="s">
        <v>312</v>
      </c>
      <c r="F1154" t="s">
        <v>1402</v>
      </c>
      <c r="G1154">
        <v>0</v>
      </c>
      <c r="H1154" t="s">
        <v>315</v>
      </c>
      <c r="I1154">
        <v>0</v>
      </c>
      <c r="J1154">
        <v>0</v>
      </c>
      <c r="K1154">
        <v>0</v>
      </c>
      <c r="L1154" t="s">
        <v>313</v>
      </c>
      <c r="M1154" t="s">
        <v>1398</v>
      </c>
      <c r="N1154">
        <v>0</v>
      </c>
      <c r="O1154" t="s">
        <v>1389</v>
      </c>
      <c r="P1154" t="s">
        <v>310</v>
      </c>
      <c r="Q1154" t="s">
        <v>310</v>
      </c>
      <c r="R1154" t="s">
        <v>310</v>
      </c>
      <c r="S1154">
        <v>9</v>
      </c>
      <c r="T1154" t="s">
        <v>310</v>
      </c>
      <c r="U1154">
        <v>9</v>
      </c>
      <c r="V1154">
        <v>9</v>
      </c>
      <c r="W1154">
        <v>0</v>
      </c>
      <c r="X1154">
        <v>0</v>
      </c>
      <c r="Y1154">
        <v>0</v>
      </c>
      <c r="Z1154">
        <v>0</v>
      </c>
      <c r="AA1154">
        <v>9</v>
      </c>
      <c r="AB1154">
        <v>9</v>
      </c>
      <c r="AC1154" t="s">
        <v>310</v>
      </c>
      <c r="AD1154">
        <v>9</v>
      </c>
      <c r="AE1154" t="s">
        <v>1418</v>
      </c>
      <c r="AF1154">
        <v>50000000</v>
      </c>
      <c r="AG1154" t="s">
        <v>310</v>
      </c>
      <c r="AH1154">
        <f>SUM((MID(Dyno_Data[[#This Row],[Team]],4,5))+(Dyno_Data[[#This Row],[Match]]/100))</f>
        <v>9624.19</v>
      </c>
      <c r="AI1154" s="76">
        <f>ROUND(SUM(IF(Dyno_Data[[#This Row],[AcqCenter]]&gt;0,Dyno_Data[[#This Row],[Time]]-SUMIFS(Dyno_Data[Time],Dyno_Data[Team],Dyno_Data[[#This Row],[Team]],Dyno_Data[RecordType],"StartMatch",Dyno_Data[Match],Dyno_Data[[#This Row],[Match]]),0)*86400),0)</f>
        <v>0</v>
      </c>
    </row>
    <row r="1155" spans="1:35" x14ac:dyDescent="0.3">
      <c r="A1155">
        <v>1154</v>
      </c>
      <c r="B1155" t="s">
        <v>1298</v>
      </c>
      <c r="C1155">
        <v>19</v>
      </c>
      <c r="D1155" s="105">
        <v>45373.484609571758</v>
      </c>
      <c r="E1155" t="s">
        <v>312</v>
      </c>
      <c r="F1155" t="s">
        <v>1402</v>
      </c>
      <c r="G1155">
        <v>0</v>
      </c>
      <c r="H1155" t="s">
        <v>315</v>
      </c>
      <c r="I1155">
        <v>0</v>
      </c>
      <c r="J1155">
        <v>0</v>
      </c>
      <c r="K1155">
        <v>0</v>
      </c>
      <c r="L1155" t="s">
        <v>313</v>
      </c>
      <c r="M1155" t="s">
        <v>1398</v>
      </c>
      <c r="N1155">
        <v>0</v>
      </c>
      <c r="O1155" t="s">
        <v>1389</v>
      </c>
      <c r="P1155" t="s">
        <v>310</v>
      </c>
      <c r="Q1155" t="s">
        <v>310</v>
      </c>
      <c r="R1155" t="s">
        <v>310</v>
      </c>
      <c r="S1155">
        <v>9</v>
      </c>
      <c r="T1155" t="s">
        <v>310</v>
      </c>
      <c r="U1155">
        <v>9</v>
      </c>
      <c r="V1155">
        <v>9</v>
      </c>
      <c r="W1155">
        <v>0</v>
      </c>
      <c r="X1155">
        <v>0</v>
      </c>
      <c r="Y1155">
        <v>0</v>
      </c>
      <c r="Z1155">
        <v>0</v>
      </c>
      <c r="AA1155">
        <v>9</v>
      </c>
      <c r="AB1155">
        <v>9</v>
      </c>
      <c r="AC1155" t="s">
        <v>310</v>
      </c>
      <c r="AD1155">
        <v>9</v>
      </c>
      <c r="AE1155" t="s">
        <v>1418</v>
      </c>
      <c r="AF1155">
        <v>60000000</v>
      </c>
      <c r="AG1155" t="s">
        <v>310</v>
      </c>
      <c r="AH1155">
        <f>SUM((MID(Dyno_Data[[#This Row],[Team]],4,5))+(Dyno_Data[[#This Row],[Match]]/100))</f>
        <v>9624.19</v>
      </c>
      <c r="AI1155" s="76">
        <f>ROUND(SUM(IF(Dyno_Data[[#This Row],[AcqCenter]]&gt;0,Dyno_Data[[#This Row],[Time]]-SUMIFS(Dyno_Data[Time],Dyno_Data[Team],Dyno_Data[[#This Row],[Team]],Dyno_Data[RecordType],"StartMatch",Dyno_Data[Match],Dyno_Data[[#This Row],[Match]]),0)*86400),0)</f>
        <v>0</v>
      </c>
    </row>
    <row r="1156" spans="1:35" x14ac:dyDescent="0.3">
      <c r="A1156">
        <v>1155</v>
      </c>
      <c r="B1156" t="s">
        <v>364</v>
      </c>
      <c r="C1156">
        <v>19</v>
      </c>
      <c r="D1156" s="105">
        <v>45373.484620405092</v>
      </c>
      <c r="E1156" t="s">
        <v>312</v>
      </c>
      <c r="F1156" t="s">
        <v>1402</v>
      </c>
      <c r="G1156">
        <v>0</v>
      </c>
      <c r="H1156" t="s">
        <v>315</v>
      </c>
      <c r="I1156">
        <v>0</v>
      </c>
      <c r="J1156">
        <v>0</v>
      </c>
      <c r="K1156">
        <v>0</v>
      </c>
      <c r="L1156" t="s">
        <v>240</v>
      </c>
      <c r="M1156" t="s">
        <v>1398</v>
      </c>
      <c r="N1156">
        <v>0</v>
      </c>
      <c r="O1156" t="s">
        <v>319</v>
      </c>
      <c r="P1156" t="s">
        <v>310</v>
      </c>
      <c r="Q1156" t="s">
        <v>310</v>
      </c>
      <c r="R1156" t="s">
        <v>310</v>
      </c>
      <c r="S1156">
        <v>9</v>
      </c>
      <c r="T1156" t="s">
        <v>310</v>
      </c>
      <c r="U1156">
        <v>9</v>
      </c>
      <c r="V1156">
        <v>9</v>
      </c>
      <c r="W1156">
        <v>0</v>
      </c>
      <c r="X1156">
        <v>0</v>
      </c>
      <c r="Y1156">
        <v>0</v>
      </c>
      <c r="Z1156">
        <v>0</v>
      </c>
      <c r="AA1156">
        <v>9</v>
      </c>
      <c r="AB1156">
        <v>9</v>
      </c>
      <c r="AC1156" t="s">
        <v>310</v>
      </c>
      <c r="AD1156">
        <v>9</v>
      </c>
      <c r="AE1156" t="s">
        <v>1416</v>
      </c>
      <c r="AF1156">
        <v>50101000</v>
      </c>
      <c r="AG1156" t="s">
        <v>310</v>
      </c>
      <c r="AH1156">
        <f>SUM((MID(Dyno_Data[[#This Row],[Team]],4,5))+(Dyno_Data[[#This Row],[Match]]/100))</f>
        <v>2791.19</v>
      </c>
      <c r="AI1156" s="76">
        <f>ROUND(SUM(IF(Dyno_Data[[#This Row],[AcqCenter]]&gt;0,Dyno_Data[[#This Row],[Time]]-SUMIFS(Dyno_Data[Time],Dyno_Data[Team],Dyno_Data[[#This Row],[Team]],Dyno_Data[RecordType],"StartMatch",Dyno_Data[Match],Dyno_Data[[#This Row],[Match]]),0)*86400),0)</f>
        <v>0</v>
      </c>
    </row>
    <row r="1157" spans="1:35" x14ac:dyDescent="0.3">
      <c r="A1157">
        <v>1156</v>
      </c>
      <c r="B1157" t="s">
        <v>370</v>
      </c>
      <c r="C1157">
        <v>19</v>
      </c>
      <c r="D1157" s="105">
        <v>45373.485833298611</v>
      </c>
      <c r="E1157" t="s">
        <v>316</v>
      </c>
      <c r="F1157" t="s">
        <v>317</v>
      </c>
      <c r="G1157">
        <v>1</v>
      </c>
      <c r="H1157" t="s">
        <v>310</v>
      </c>
      <c r="I1157">
        <v>0</v>
      </c>
      <c r="J1157">
        <v>0</v>
      </c>
      <c r="K1157">
        <v>0</v>
      </c>
      <c r="L1157" t="s">
        <v>310</v>
      </c>
      <c r="M1157" t="s">
        <v>310</v>
      </c>
      <c r="N1157">
        <v>0</v>
      </c>
      <c r="O1157" t="s">
        <v>311</v>
      </c>
      <c r="P1157" t="s">
        <v>1401</v>
      </c>
      <c r="Q1157" t="s">
        <v>1400</v>
      </c>
      <c r="R1157" t="s">
        <v>1405</v>
      </c>
      <c r="S1157">
        <v>1</v>
      </c>
      <c r="T1157" t="s">
        <v>1406</v>
      </c>
      <c r="U1157">
        <v>1</v>
      </c>
      <c r="V1157">
        <v>0</v>
      </c>
      <c r="W1157">
        <v>26.8994961</v>
      </c>
      <c r="X1157">
        <v>18.566584899999999</v>
      </c>
      <c r="Y1157">
        <v>26.119009699999999</v>
      </c>
      <c r="Z1157">
        <v>54.980634199999997</v>
      </c>
      <c r="AA1157">
        <v>0</v>
      </c>
      <c r="AB1157">
        <v>1</v>
      </c>
      <c r="AC1157" t="s">
        <v>174</v>
      </c>
      <c r="AD1157">
        <v>9</v>
      </c>
      <c r="AE1157" t="s">
        <v>1413</v>
      </c>
      <c r="AF1157">
        <v>60000000</v>
      </c>
      <c r="AG1157" t="s">
        <v>310</v>
      </c>
      <c r="AH1157">
        <f>SUM((MID(Dyno_Data[[#This Row],[Team]],4,5))+(Dyno_Data[[#This Row],[Match]]/100))</f>
        <v>6911.19</v>
      </c>
      <c r="AI1157" s="76">
        <f>ROUND(SUM(IF(Dyno_Data[[#This Row],[AcqCenter]]&gt;0,Dyno_Data[[#This Row],[Time]]-SUMIFS(Dyno_Data[Time],Dyno_Data[Team],Dyno_Data[[#This Row],[Team]],Dyno_Data[RecordType],"StartMatch",Dyno_Data[Match],Dyno_Data[[#This Row],[Match]]),0)*86400),0)</f>
        <v>0</v>
      </c>
    </row>
    <row r="1158" spans="1:35" x14ac:dyDescent="0.3">
      <c r="A1158">
        <v>1157</v>
      </c>
      <c r="B1158" t="s">
        <v>1303</v>
      </c>
      <c r="C1158">
        <v>19</v>
      </c>
      <c r="D1158" s="105">
        <v>45373.48583341435</v>
      </c>
      <c r="E1158" t="s">
        <v>316</v>
      </c>
      <c r="F1158" t="s">
        <v>317</v>
      </c>
      <c r="G1158">
        <v>1</v>
      </c>
      <c r="H1158" t="s">
        <v>310</v>
      </c>
      <c r="I1158">
        <v>0</v>
      </c>
      <c r="J1158">
        <v>0</v>
      </c>
      <c r="K1158">
        <v>0</v>
      </c>
      <c r="L1158" t="s">
        <v>310</v>
      </c>
      <c r="M1158" t="s">
        <v>310</v>
      </c>
      <c r="N1158">
        <v>0</v>
      </c>
      <c r="O1158" t="s">
        <v>1391</v>
      </c>
      <c r="P1158" t="s">
        <v>101</v>
      </c>
      <c r="Q1158" t="s">
        <v>1400</v>
      </c>
      <c r="R1158" t="s">
        <v>1405</v>
      </c>
      <c r="S1158">
        <v>1</v>
      </c>
      <c r="T1158" t="s">
        <v>1407</v>
      </c>
      <c r="U1158">
        <v>0</v>
      </c>
      <c r="V1158">
        <v>0</v>
      </c>
      <c r="W1158">
        <v>6.5594469999999996</v>
      </c>
      <c r="X1158">
        <v>51.403816299999995</v>
      </c>
      <c r="Y1158">
        <v>21.211812899999998</v>
      </c>
      <c r="Z1158">
        <v>30.337225799999999</v>
      </c>
      <c r="AA1158">
        <v>0</v>
      </c>
      <c r="AB1158">
        <v>1</v>
      </c>
      <c r="AC1158" t="s">
        <v>174</v>
      </c>
      <c r="AD1158">
        <v>9</v>
      </c>
      <c r="AE1158" t="s">
        <v>1412</v>
      </c>
      <c r="AF1158">
        <v>50000000</v>
      </c>
      <c r="AG1158" t="s">
        <v>310</v>
      </c>
      <c r="AH1158">
        <f>SUM((MID(Dyno_Data[[#This Row],[Team]],4,5))+(Dyno_Data[[#This Row],[Match]]/100))</f>
        <v>7605.19</v>
      </c>
      <c r="AI1158" s="76">
        <f>ROUND(SUM(IF(Dyno_Data[[#This Row],[AcqCenter]]&gt;0,Dyno_Data[[#This Row],[Time]]-SUMIFS(Dyno_Data[Time],Dyno_Data[Team],Dyno_Data[[#This Row],[Team]],Dyno_Data[RecordType],"StartMatch",Dyno_Data[Match],Dyno_Data[[#This Row],[Match]]),0)*86400),0)</f>
        <v>0</v>
      </c>
    </row>
    <row r="1159" spans="1:35" x14ac:dyDescent="0.3">
      <c r="A1159">
        <v>1158</v>
      </c>
      <c r="B1159" t="s">
        <v>364</v>
      </c>
      <c r="C1159">
        <v>19</v>
      </c>
      <c r="D1159" s="105">
        <v>45373.485833483799</v>
      </c>
      <c r="E1159" t="s">
        <v>316</v>
      </c>
      <c r="F1159" t="s">
        <v>317</v>
      </c>
      <c r="G1159">
        <v>1</v>
      </c>
      <c r="H1159" t="s">
        <v>310</v>
      </c>
      <c r="I1159">
        <v>0</v>
      </c>
      <c r="J1159">
        <v>0</v>
      </c>
      <c r="K1159">
        <v>0</v>
      </c>
      <c r="L1159" t="s">
        <v>310</v>
      </c>
      <c r="M1159" t="s">
        <v>310</v>
      </c>
      <c r="N1159">
        <v>0</v>
      </c>
      <c r="O1159" t="s">
        <v>319</v>
      </c>
      <c r="P1159" t="s">
        <v>240</v>
      </c>
      <c r="Q1159" t="s">
        <v>1399</v>
      </c>
      <c r="R1159" t="s">
        <v>1405</v>
      </c>
      <c r="S1159">
        <v>1</v>
      </c>
      <c r="T1159" t="s">
        <v>1406</v>
      </c>
      <c r="U1159">
        <v>1</v>
      </c>
      <c r="V1159">
        <v>0</v>
      </c>
      <c r="W1159">
        <v>19.7140424</v>
      </c>
      <c r="X1159">
        <v>32.937038099999995</v>
      </c>
      <c r="Y1159">
        <v>17.8568231</v>
      </c>
      <c r="Z1159">
        <v>56.107944199999999</v>
      </c>
      <c r="AA1159">
        <v>0</v>
      </c>
      <c r="AB1159">
        <v>1</v>
      </c>
      <c r="AC1159" t="s">
        <v>174</v>
      </c>
      <c r="AD1159">
        <v>0</v>
      </c>
      <c r="AE1159" t="s">
        <v>1416</v>
      </c>
      <c r="AF1159">
        <v>50101000</v>
      </c>
      <c r="AG1159" t="s">
        <v>310</v>
      </c>
      <c r="AH1159">
        <f>SUM((MID(Dyno_Data[[#This Row],[Team]],4,5))+(Dyno_Data[[#This Row],[Match]]/100))</f>
        <v>2791.19</v>
      </c>
      <c r="AI1159" s="76">
        <f>ROUND(SUM(IF(Dyno_Data[[#This Row],[AcqCenter]]&gt;0,Dyno_Data[[#This Row],[Time]]-SUMIFS(Dyno_Data[Time],Dyno_Data[Team],Dyno_Data[[#This Row],[Team]],Dyno_Data[RecordType],"StartMatch",Dyno_Data[Match],Dyno_Data[[#This Row],[Match]]),0)*86400),0)</f>
        <v>0</v>
      </c>
    </row>
    <row r="1160" spans="1:35" x14ac:dyDescent="0.3">
      <c r="A1160">
        <v>1159</v>
      </c>
      <c r="B1160" t="s">
        <v>1292</v>
      </c>
      <c r="C1160">
        <v>19</v>
      </c>
      <c r="D1160" s="105">
        <v>45373.485833599538</v>
      </c>
      <c r="E1160" t="s">
        <v>316</v>
      </c>
      <c r="F1160" t="s">
        <v>317</v>
      </c>
      <c r="G1160">
        <v>0</v>
      </c>
      <c r="H1160" t="s">
        <v>310</v>
      </c>
      <c r="I1160">
        <v>0</v>
      </c>
      <c r="J1160">
        <v>0</v>
      </c>
      <c r="K1160">
        <v>0</v>
      </c>
      <c r="L1160" t="s">
        <v>310</v>
      </c>
      <c r="M1160" t="s">
        <v>310</v>
      </c>
      <c r="N1160">
        <v>0</v>
      </c>
      <c r="O1160" t="s">
        <v>1393</v>
      </c>
      <c r="P1160" t="s">
        <v>320</v>
      </c>
      <c r="Q1160" t="s">
        <v>1400</v>
      </c>
      <c r="R1160" t="s">
        <v>1404</v>
      </c>
      <c r="S1160">
        <v>0</v>
      </c>
      <c r="T1160" t="s">
        <v>105</v>
      </c>
      <c r="U1160">
        <v>9</v>
      </c>
      <c r="V1160">
        <v>9</v>
      </c>
      <c r="W1160">
        <v>0</v>
      </c>
      <c r="X1160">
        <v>0</v>
      </c>
      <c r="Y1160">
        <v>89.851017499999998</v>
      </c>
      <c r="Z1160">
        <v>44.5485215</v>
      </c>
      <c r="AA1160">
        <v>2</v>
      </c>
      <c r="AB1160">
        <v>0</v>
      </c>
      <c r="AC1160" t="s">
        <v>170</v>
      </c>
      <c r="AD1160">
        <v>9</v>
      </c>
      <c r="AE1160" t="s">
        <v>1414</v>
      </c>
      <c r="AF1160">
        <v>0</v>
      </c>
      <c r="AG1160" t="s">
        <v>310</v>
      </c>
      <c r="AH1160">
        <f>SUM((MID(Dyno_Data[[#This Row],[Team]],4,5))+(Dyno_Data[[#This Row],[Match]]/100))</f>
        <v>7030.19</v>
      </c>
      <c r="AI1160" s="76">
        <f>ROUND(SUM(IF(Dyno_Data[[#This Row],[AcqCenter]]&gt;0,Dyno_Data[[#This Row],[Time]]-SUMIFS(Dyno_Data[Time],Dyno_Data[Team],Dyno_Data[[#This Row],[Team]],Dyno_Data[RecordType],"StartMatch",Dyno_Data[Match],Dyno_Data[[#This Row],[Match]]),0)*86400),0)</f>
        <v>0</v>
      </c>
    </row>
    <row r="1161" spans="1:35" x14ac:dyDescent="0.3">
      <c r="A1161">
        <v>1160</v>
      </c>
      <c r="B1161" t="s">
        <v>1298</v>
      </c>
      <c r="C1161">
        <v>19</v>
      </c>
      <c r="D1161" s="105">
        <v>45373.485833715276</v>
      </c>
      <c r="E1161" t="s">
        <v>316</v>
      </c>
      <c r="F1161" t="s">
        <v>317</v>
      </c>
      <c r="G1161">
        <v>0</v>
      </c>
      <c r="H1161" t="s">
        <v>310</v>
      </c>
      <c r="I1161">
        <v>0</v>
      </c>
      <c r="J1161">
        <v>0</v>
      </c>
      <c r="K1161">
        <v>0</v>
      </c>
      <c r="L1161" t="s">
        <v>310</v>
      </c>
      <c r="M1161" t="s">
        <v>310</v>
      </c>
      <c r="N1161">
        <v>0</v>
      </c>
      <c r="O1161" t="s">
        <v>1389</v>
      </c>
      <c r="P1161" t="s">
        <v>240</v>
      </c>
      <c r="Q1161" t="s">
        <v>1399</v>
      </c>
      <c r="R1161" t="s">
        <v>1404</v>
      </c>
      <c r="S1161">
        <v>-1</v>
      </c>
      <c r="T1161" t="s">
        <v>105</v>
      </c>
      <c r="U1161">
        <v>9</v>
      </c>
      <c r="V1161">
        <v>9</v>
      </c>
      <c r="W1161">
        <v>0.24144739999999998</v>
      </c>
      <c r="X1161">
        <v>62.874082999999999</v>
      </c>
      <c r="Y1161">
        <v>25.4790557</v>
      </c>
      <c r="Z1161">
        <v>51.365396599999997</v>
      </c>
      <c r="AA1161">
        <v>0</v>
      </c>
      <c r="AB1161">
        <v>0</v>
      </c>
      <c r="AC1161" t="s">
        <v>174</v>
      </c>
      <c r="AD1161">
        <v>0</v>
      </c>
      <c r="AE1161" t="s">
        <v>1418</v>
      </c>
      <c r="AF1161">
        <v>60000000</v>
      </c>
      <c r="AG1161" t="s">
        <v>310</v>
      </c>
      <c r="AH1161">
        <f>SUM((MID(Dyno_Data[[#This Row],[Team]],4,5))+(Dyno_Data[[#This Row],[Match]]/100))</f>
        <v>9624.19</v>
      </c>
      <c r="AI1161" s="76">
        <f>ROUND(SUM(IF(Dyno_Data[[#This Row],[AcqCenter]]&gt;0,Dyno_Data[[#This Row],[Time]]-SUMIFS(Dyno_Data[Time],Dyno_Data[Team],Dyno_Data[[#This Row],[Team]],Dyno_Data[RecordType],"StartMatch",Dyno_Data[Match],Dyno_Data[[#This Row],[Match]]),0)*86400),0)</f>
        <v>0</v>
      </c>
    </row>
    <row r="1162" spans="1:35" x14ac:dyDescent="0.3">
      <c r="A1162">
        <v>1161</v>
      </c>
      <c r="B1162" t="s">
        <v>1288</v>
      </c>
      <c r="C1162">
        <v>19</v>
      </c>
      <c r="D1162" s="105">
        <v>45373.485833796294</v>
      </c>
      <c r="E1162" t="s">
        <v>316</v>
      </c>
      <c r="F1162" t="s">
        <v>317</v>
      </c>
      <c r="G1162">
        <v>1</v>
      </c>
      <c r="H1162" t="s">
        <v>310</v>
      </c>
      <c r="I1162">
        <v>0</v>
      </c>
      <c r="J1162">
        <v>0</v>
      </c>
      <c r="K1162">
        <v>0</v>
      </c>
      <c r="L1162" t="s">
        <v>310</v>
      </c>
      <c r="M1162" t="s">
        <v>310</v>
      </c>
      <c r="N1162">
        <v>0</v>
      </c>
      <c r="O1162" t="s">
        <v>1395</v>
      </c>
      <c r="P1162" t="s">
        <v>1401</v>
      </c>
      <c r="Q1162" t="s">
        <v>1400</v>
      </c>
      <c r="R1162" t="s">
        <v>1405</v>
      </c>
      <c r="S1162">
        <v>1</v>
      </c>
      <c r="T1162" t="s">
        <v>1406</v>
      </c>
      <c r="U1162">
        <v>0</v>
      </c>
      <c r="V1162">
        <v>0</v>
      </c>
      <c r="W1162">
        <v>6.7446899999999994</v>
      </c>
      <c r="X1162">
        <v>19.211180199999998</v>
      </c>
      <c r="Y1162">
        <v>35.843882299999997</v>
      </c>
      <c r="Z1162">
        <v>55.798890699999994</v>
      </c>
      <c r="AA1162">
        <v>3</v>
      </c>
      <c r="AB1162">
        <v>0</v>
      </c>
      <c r="AC1162" t="s">
        <v>170</v>
      </c>
      <c r="AD1162">
        <v>9</v>
      </c>
      <c r="AE1162" t="s">
        <v>1417</v>
      </c>
      <c r="AF1162">
        <v>10000000</v>
      </c>
      <c r="AG1162" t="s">
        <v>310</v>
      </c>
      <c r="AH1162">
        <f>SUM((MID(Dyno_Data[[#This Row],[Team]],4,5))+(Dyno_Data[[#This Row],[Match]]/100))</f>
        <v>3181.19</v>
      </c>
      <c r="AI1162" s="76">
        <f>ROUND(SUM(IF(Dyno_Data[[#This Row],[AcqCenter]]&gt;0,Dyno_Data[[#This Row],[Time]]-SUMIFS(Dyno_Data[Time],Dyno_Data[Team],Dyno_Data[[#This Row],[Team]],Dyno_Data[RecordType],"StartMatch",Dyno_Data[Match],Dyno_Data[[#This Row],[Match]]),0)*86400),0)</f>
        <v>0</v>
      </c>
    </row>
    <row r="1163" spans="1:35" x14ac:dyDescent="0.3">
      <c r="A1163">
        <v>1166</v>
      </c>
      <c r="B1163" t="s">
        <v>1317</v>
      </c>
      <c r="C1163">
        <v>20</v>
      </c>
      <c r="D1163" s="105">
        <v>45373.489245682867</v>
      </c>
      <c r="E1163" t="s">
        <v>308</v>
      </c>
      <c r="F1163" t="s">
        <v>309</v>
      </c>
      <c r="G1163">
        <v>0</v>
      </c>
      <c r="H1163" t="s">
        <v>310</v>
      </c>
      <c r="I1163">
        <v>0</v>
      </c>
      <c r="J1163">
        <v>0</v>
      </c>
      <c r="K1163">
        <v>0</v>
      </c>
      <c r="L1163" t="s">
        <v>310</v>
      </c>
      <c r="M1163" t="s">
        <v>310</v>
      </c>
      <c r="N1163">
        <v>0</v>
      </c>
      <c r="O1163" t="s">
        <v>311</v>
      </c>
      <c r="P1163" t="s">
        <v>310</v>
      </c>
      <c r="Q1163" t="s">
        <v>310</v>
      </c>
      <c r="R1163" t="s">
        <v>310</v>
      </c>
      <c r="S1163">
        <v>9</v>
      </c>
      <c r="T1163" t="s">
        <v>310</v>
      </c>
      <c r="U1163">
        <v>9</v>
      </c>
      <c r="V1163">
        <v>9</v>
      </c>
      <c r="W1163">
        <v>0</v>
      </c>
      <c r="X1163">
        <v>0</v>
      </c>
      <c r="Y1163">
        <v>0</v>
      </c>
      <c r="Z1163">
        <v>0</v>
      </c>
      <c r="AA1163">
        <v>9</v>
      </c>
      <c r="AB1163">
        <v>9</v>
      </c>
      <c r="AC1163" t="s">
        <v>310</v>
      </c>
      <c r="AD1163">
        <v>9</v>
      </c>
      <c r="AE1163" t="s">
        <v>1412</v>
      </c>
      <c r="AF1163">
        <v>10000000</v>
      </c>
      <c r="AG1163" t="s">
        <v>310</v>
      </c>
      <c r="AH1163">
        <f>SUM((MID(Dyno_Data[[#This Row],[Team]],4,5))+(Dyno_Data[[#This Row],[Match]]/100))</f>
        <v>296.2</v>
      </c>
      <c r="AI1163" s="76">
        <f>ROUND(SUM(IF(Dyno_Data[[#This Row],[AcqCenter]]&gt;0,Dyno_Data[[#This Row],[Time]]-SUMIFS(Dyno_Data[Time],Dyno_Data[Team],Dyno_Data[[#This Row],[Team]],Dyno_Data[RecordType],"StartMatch",Dyno_Data[Match],Dyno_Data[[#This Row],[Match]]),0)*86400),0)</f>
        <v>0</v>
      </c>
    </row>
    <row r="1164" spans="1:35" x14ac:dyDescent="0.3">
      <c r="A1164">
        <v>1168</v>
      </c>
      <c r="B1164" t="s">
        <v>362</v>
      </c>
      <c r="C1164">
        <v>20</v>
      </c>
      <c r="D1164" s="105">
        <v>45373.489246296296</v>
      </c>
      <c r="E1164" t="s">
        <v>308</v>
      </c>
      <c r="F1164" t="s">
        <v>309</v>
      </c>
      <c r="G1164">
        <v>0</v>
      </c>
      <c r="H1164" t="s">
        <v>310</v>
      </c>
      <c r="I1164">
        <v>0</v>
      </c>
      <c r="J1164">
        <v>0</v>
      </c>
      <c r="K1164">
        <v>0</v>
      </c>
      <c r="L1164" t="s">
        <v>310</v>
      </c>
      <c r="M1164" t="s">
        <v>310</v>
      </c>
      <c r="N1164">
        <v>0</v>
      </c>
      <c r="O1164" t="s">
        <v>1391</v>
      </c>
      <c r="P1164" t="s">
        <v>310</v>
      </c>
      <c r="Q1164" t="s">
        <v>310</v>
      </c>
      <c r="R1164" t="s">
        <v>310</v>
      </c>
      <c r="S1164">
        <v>9</v>
      </c>
      <c r="T1164" t="s">
        <v>310</v>
      </c>
      <c r="U1164">
        <v>9</v>
      </c>
      <c r="V1164">
        <v>9</v>
      </c>
      <c r="W1164">
        <v>0</v>
      </c>
      <c r="X1164">
        <v>0</v>
      </c>
      <c r="Y1164">
        <v>0</v>
      </c>
      <c r="Z1164">
        <v>0</v>
      </c>
      <c r="AA1164">
        <v>9</v>
      </c>
      <c r="AB1164">
        <v>9</v>
      </c>
      <c r="AC1164" t="s">
        <v>310</v>
      </c>
      <c r="AD1164">
        <v>9</v>
      </c>
      <c r="AE1164" t="s">
        <v>1416</v>
      </c>
      <c r="AF1164">
        <v>0</v>
      </c>
      <c r="AG1164" t="s">
        <v>310</v>
      </c>
      <c r="AH1164">
        <f>SUM((MID(Dyno_Data[[#This Row],[Team]],4,5))+(Dyno_Data[[#This Row],[Match]]/100))</f>
        <v>250.2</v>
      </c>
      <c r="AI1164" s="76">
        <f>ROUND(SUM(IF(Dyno_Data[[#This Row],[AcqCenter]]&gt;0,Dyno_Data[[#This Row],[Time]]-SUMIFS(Dyno_Data[Time],Dyno_Data[Team],Dyno_Data[[#This Row],[Team]],Dyno_Data[RecordType],"StartMatch",Dyno_Data[Match],Dyno_Data[[#This Row],[Match]]),0)*86400),0)</f>
        <v>0</v>
      </c>
    </row>
    <row r="1165" spans="1:35" x14ac:dyDescent="0.3">
      <c r="A1165">
        <v>1170</v>
      </c>
      <c r="B1165" t="s">
        <v>1308</v>
      </c>
      <c r="C1165">
        <v>20</v>
      </c>
      <c r="D1165" s="105">
        <v>45373.489253472224</v>
      </c>
      <c r="E1165" t="s">
        <v>308</v>
      </c>
      <c r="F1165" t="s">
        <v>309</v>
      </c>
      <c r="G1165">
        <v>0</v>
      </c>
      <c r="H1165" t="s">
        <v>310</v>
      </c>
      <c r="I1165">
        <v>0</v>
      </c>
      <c r="J1165">
        <v>0</v>
      </c>
      <c r="K1165">
        <v>0</v>
      </c>
      <c r="L1165" t="s">
        <v>310</v>
      </c>
      <c r="M1165" t="s">
        <v>310</v>
      </c>
      <c r="N1165">
        <v>0</v>
      </c>
      <c r="O1165" t="s">
        <v>1393</v>
      </c>
      <c r="P1165" t="s">
        <v>310</v>
      </c>
      <c r="Q1165" t="s">
        <v>310</v>
      </c>
      <c r="R1165" t="s">
        <v>310</v>
      </c>
      <c r="S1165">
        <v>9</v>
      </c>
      <c r="T1165" t="s">
        <v>310</v>
      </c>
      <c r="U1165">
        <v>9</v>
      </c>
      <c r="V1165">
        <v>9</v>
      </c>
      <c r="W1165">
        <v>0</v>
      </c>
      <c r="X1165">
        <v>0</v>
      </c>
      <c r="Y1165">
        <v>0</v>
      </c>
      <c r="Z1165">
        <v>0</v>
      </c>
      <c r="AA1165">
        <v>9</v>
      </c>
      <c r="AB1165">
        <v>9</v>
      </c>
      <c r="AC1165" t="s">
        <v>310</v>
      </c>
      <c r="AD1165">
        <v>9</v>
      </c>
      <c r="AE1165" t="s">
        <v>1414</v>
      </c>
      <c r="AF1165">
        <v>0</v>
      </c>
      <c r="AG1165" t="s">
        <v>310</v>
      </c>
      <c r="AH1165">
        <f>SUM((MID(Dyno_Data[[#This Row],[Team]],4,5))+(Dyno_Data[[#This Row],[Match]]/100))</f>
        <v>3799.2</v>
      </c>
      <c r="AI1165" s="76">
        <f>ROUND(SUM(IF(Dyno_Data[[#This Row],[AcqCenter]]&gt;0,Dyno_Data[[#This Row],[Time]]-SUMIFS(Dyno_Data[Time],Dyno_Data[Team],Dyno_Data[[#This Row],[Team]],Dyno_Data[RecordType],"StartMatch",Dyno_Data[Match],Dyno_Data[[#This Row],[Match]]),0)*86400),0)</f>
        <v>0</v>
      </c>
    </row>
    <row r="1166" spans="1:35" x14ac:dyDescent="0.3">
      <c r="A1166">
        <v>1172</v>
      </c>
      <c r="B1166" t="s">
        <v>367</v>
      </c>
      <c r="C1166">
        <v>20</v>
      </c>
      <c r="D1166" s="105">
        <v>45373.489254976848</v>
      </c>
      <c r="E1166" t="s">
        <v>308</v>
      </c>
      <c r="F1166" t="s">
        <v>309</v>
      </c>
      <c r="G1166">
        <v>0</v>
      </c>
      <c r="H1166" t="s">
        <v>310</v>
      </c>
      <c r="I1166">
        <v>0</v>
      </c>
      <c r="J1166">
        <v>0</v>
      </c>
      <c r="K1166">
        <v>0</v>
      </c>
      <c r="L1166" t="s">
        <v>310</v>
      </c>
      <c r="M1166" t="s">
        <v>310</v>
      </c>
      <c r="N1166">
        <v>0</v>
      </c>
      <c r="O1166" t="s">
        <v>319</v>
      </c>
      <c r="P1166" t="s">
        <v>310</v>
      </c>
      <c r="Q1166" t="s">
        <v>310</v>
      </c>
      <c r="R1166" t="s">
        <v>310</v>
      </c>
      <c r="S1166">
        <v>9</v>
      </c>
      <c r="T1166" t="s">
        <v>310</v>
      </c>
      <c r="U1166">
        <v>9</v>
      </c>
      <c r="V1166">
        <v>9</v>
      </c>
      <c r="W1166">
        <v>0</v>
      </c>
      <c r="X1166">
        <v>0</v>
      </c>
      <c r="Y1166">
        <v>0</v>
      </c>
      <c r="Z1166">
        <v>0</v>
      </c>
      <c r="AA1166">
        <v>9</v>
      </c>
      <c r="AB1166">
        <v>9</v>
      </c>
      <c r="AC1166" t="s">
        <v>310</v>
      </c>
      <c r="AD1166">
        <v>9</v>
      </c>
      <c r="AE1166" t="s">
        <v>1413</v>
      </c>
      <c r="AF1166">
        <v>0</v>
      </c>
      <c r="AG1166" t="s">
        <v>310</v>
      </c>
      <c r="AH1166">
        <f>SUM((MID(Dyno_Data[[#This Row],[Team]],4,5))+(Dyno_Data[[#This Row],[Match]]/100))</f>
        <v>5016.2</v>
      </c>
      <c r="AI1166" s="76">
        <f>ROUND(SUM(IF(Dyno_Data[[#This Row],[AcqCenter]]&gt;0,Dyno_Data[[#This Row],[Time]]-SUMIFS(Dyno_Data[Time],Dyno_Data[Team],Dyno_Data[[#This Row],[Team]],Dyno_Data[RecordType],"StartMatch",Dyno_Data[Match],Dyno_Data[[#This Row],[Match]]),0)*86400),0)</f>
        <v>0</v>
      </c>
    </row>
    <row r="1167" spans="1:35" x14ac:dyDescent="0.3">
      <c r="A1167">
        <v>1174</v>
      </c>
      <c r="B1167" t="s">
        <v>368</v>
      </c>
      <c r="C1167">
        <v>20</v>
      </c>
      <c r="D1167" s="105">
        <v>45373.489265046293</v>
      </c>
      <c r="E1167" t="s">
        <v>308</v>
      </c>
      <c r="F1167" t="s">
        <v>309</v>
      </c>
      <c r="G1167">
        <v>0</v>
      </c>
      <c r="H1167" t="s">
        <v>310</v>
      </c>
      <c r="I1167">
        <v>0</v>
      </c>
      <c r="J1167">
        <v>0</v>
      </c>
      <c r="K1167">
        <v>0</v>
      </c>
      <c r="L1167" t="s">
        <v>310</v>
      </c>
      <c r="M1167" t="s">
        <v>310</v>
      </c>
      <c r="N1167">
        <v>0</v>
      </c>
      <c r="O1167" t="s">
        <v>1389</v>
      </c>
      <c r="P1167" t="s">
        <v>310</v>
      </c>
      <c r="Q1167" t="s">
        <v>310</v>
      </c>
      <c r="R1167" t="s">
        <v>310</v>
      </c>
      <c r="S1167">
        <v>9</v>
      </c>
      <c r="T1167" t="s">
        <v>310</v>
      </c>
      <c r="U1167">
        <v>9</v>
      </c>
      <c r="V1167">
        <v>9</v>
      </c>
      <c r="W1167">
        <v>0</v>
      </c>
      <c r="X1167">
        <v>0</v>
      </c>
      <c r="Y1167">
        <v>0</v>
      </c>
      <c r="Z1167">
        <v>0</v>
      </c>
      <c r="AA1167">
        <v>9</v>
      </c>
      <c r="AB1167">
        <v>9</v>
      </c>
      <c r="AC1167" t="s">
        <v>310</v>
      </c>
      <c r="AD1167">
        <v>9</v>
      </c>
      <c r="AE1167" t="s">
        <v>1418</v>
      </c>
      <c r="AF1167">
        <v>0</v>
      </c>
      <c r="AG1167" t="s">
        <v>310</v>
      </c>
      <c r="AH1167">
        <f>SUM((MID(Dyno_Data[[#This Row],[Team]],4,5))+(Dyno_Data[[#This Row],[Match]]/100))</f>
        <v>6401.2</v>
      </c>
      <c r="AI1167" s="76">
        <f>ROUND(SUM(IF(Dyno_Data[[#This Row],[AcqCenter]]&gt;0,Dyno_Data[[#This Row],[Time]]-SUMIFS(Dyno_Data[Time],Dyno_Data[Team],Dyno_Data[[#This Row],[Team]],Dyno_Data[RecordType],"StartMatch",Dyno_Data[Match],Dyno_Data[[#This Row],[Match]]),0)*86400),0)</f>
        <v>0</v>
      </c>
    </row>
    <row r="1168" spans="1:35" x14ac:dyDescent="0.3">
      <c r="A1168">
        <v>1176</v>
      </c>
      <c r="B1168" t="s">
        <v>1277</v>
      </c>
      <c r="C1168">
        <v>20</v>
      </c>
      <c r="D1168" s="105">
        <v>45373.489267974539</v>
      </c>
      <c r="E1168" t="s">
        <v>308</v>
      </c>
      <c r="F1168" t="s">
        <v>309</v>
      </c>
      <c r="G1168">
        <v>0</v>
      </c>
      <c r="H1168" t="s">
        <v>310</v>
      </c>
      <c r="I1168">
        <v>0</v>
      </c>
      <c r="J1168">
        <v>0</v>
      </c>
      <c r="K1168">
        <v>0</v>
      </c>
      <c r="L1168" t="s">
        <v>310</v>
      </c>
      <c r="M1168" t="s">
        <v>310</v>
      </c>
      <c r="N1168">
        <v>0</v>
      </c>
      <c r="O1168" t="s">
        <v>1395</v>
      </c>
      <c r="P1168" t="s">
        <v>310</v>
      </c>
      <c r="Q1168" t="s">
        <v>310</v>
      </c>
      <c r="R1168" t="s">
        <v>310</v>
      </c>
      <c r="S1168">
        <v>9</v>
      </c>
      <c r="T1168" t="s">
        <v>310</v>
      </c>
      <c r="U1168">
        <v>9</v>
      </c>
      <c r="V1168">
        <v>9</v>
      </c>
      <c r="W1168">
        <v>0</v>
      </c>
      <c r="X1168">
        <v>0</v>
      </c>
      <c r="Y1168">
        <v>0</v>
      </c>
      <c r="Z1168">
        <v>0</v>
      </c>
      <c r="AA1168">
        <v>9</v>
      </c>
      <c r="AB1168">
        <v>9</v>
      </c>
      <c r="AC1168" t="s">
        <v>310</v>
      </c>
      <c r="AD1168">
        <v>9</v>
      </c>
      <c r="AE1168" t="s">
        <v>1417</v>
      </c>
      <c r="AF1168">
        <v>0</v>
      </c>
      <c r="AG1168" t="s">
        <v>310</v>
      </c>
      <c r="AH1168">
        <f>SUM((MID(Dyno_Data[[#This Row],[Team]],4,5))+(Dyno_Data[[#This Row],[Match]]/100))</f>
        <v>3360.2</v>
      </c>
      <c r="AI1168" s="76">
        <f>ROUND(SUM(IF(Dyno_Data[[#This Row],[AcqCenter]]&gt;0,Dyno_Data[[#This Row],[Time]]-SUMIFS(Dyno_Data[Time],Dyno_Data[Team],Dyno_Data[[#This Row],[Team]],Dyno_Data[RecordType],"StartMatch",Dyno_Data[Match],Dyno_Data[[#This Row],[Match]]),0)*86400),0)</f>
        <v>0</v>
      </c>
    </row>
    <row r="1169" spans="1:35" x14ac:dyDescent="0.3">
      <c r="A1169">
        <v>1162</v>
      </c>
      <c r="B1169" t="s">
        <v>1308</v>
      </c>
      <c r="C1169">
        <v>20</v>
      </c>
      <c r="D1169" s="105">
        <v>45373.489280127316</v>
      </c>
      <c r="E1169" t="s">
        <v>312</v>
      </c>
      <c r="F1169" t="s">
        <v>309</v>
      </c>
      <c r="G1169">
        <v>0</v>
      </c>
      <c r="H1169" t="s">
        <v>1397</v>
      </c>
      <c r="I1169">
        <v>0</v>
      </c>
      <c r="J1169">
        <v>0</v>
      </c>
      <c r="K1169">
        <v>0</v>
      </c>
      <c r="L1169" t="s">
        <v>241</v>
      </c>
      <c r="M1169" t="s">
        <v>1398</v>
      </c>
      <c r="N1169">
        <v>0</v>
      </c>
      <c r="O1169" t="s">
        <v>1393</v>
      </c>
      <c r="P1169" t="s">
        <v>310</v>
      </c>
      <c r="Q1169" t="s">
        <v>310</v>
      </c>
      <c r="R1169" t="s">
        <v>310</v>
      </c>
      <c r="S1169">
        <v>9</v>
      </c>
      <c r="T1169" t="s">
        <v>310</v>
      </c>
      <c r="U1169">
        <v>9</v>
      </c>
      <c r="V1169">
        <v>9</v>
      </c>
      <c r="W1169">
        <v>0</v>
      </c>
      <c r="X1169">
        <v>0</v>
      </c>
      <c r="Y1169">
        <v>0</v>
      </c>
      <c r="Z1169">
        <v>0</v>
      </c>
      <c r="AA1169">
        <v>9</v>
      </c>
      <c r="AB1169">
        <v>9</v>
      </c>
      <c r="AC1169" t="s">
        <v>310</v>
      </c>
      <c r="AD1169">
        <v>9</v>
      </c>
      <c r="AE1169" t="s">
        <v>1414</v>
      </c>
      <c r="AF1169">
        <v>0</v>
      </c>
      <c r="AG1169" t="s">
        <v>310</v>
      </c>
      <c r="AH1169">
        <f>SUM((MID(Dyno_Data[[#This Row],[Team]],4,5))+(Dyno_Data[[#This Row],[Match]]/100))</f>
        <v>3799.2</v>
      </c>
      <c r="AI1169" s="76">
        <f>ROUND(SUM(IF(Dyno_Data[[#This Row],[AcqCenter]]&gt;0,Dyno_Data[[#This Row],[Time]]-SUMIFS(Dyno_Data[Time],Dyno_Data[Team],Dyno_Data[[#This Row],[Team]],Dyno_Data[RecordType],"StartMatch",Dyno_Data[Match],Dyno_Data[[#This Row],[Match]]),0)*86400),0)</f>
        <v>0</v>
      </c>
    </row>
    <row r="1170" spans="1:35" x14ac:dyDescent="0.3">
      <c r="A1170">
        <v>1163</v>
      </c>
      <c r="B1170" t="s">
        <v>1317</v>
      </c>
      <c r="C1170">
        <v>20</v>
      </c>
      <c r="D1170" s="105">
        <v>45373.489284409719</v>
      </c>
      <c r="E1170" t="s">
        <v>312</v>
      </c>
      <c r="F1170" t="s">
        <v>309</v>
      </c>
      <c r="G1170">
        <v>0</v>
      </c>
      <c r="H1170" t="s">
        <v>1397</v>
      </c>
      <c r="I1170">
        <v>0</v>
      </c>
      <c r="J1170">
        <v>0</v>
      </c>
      <c r="K1170">
        <v>0</v>
      </c>
      <c r="L1170" t="s">
        <v>240</v>
      </c>
      <c r="M1170" t="s">
        <v>1398</v>
      </c>
      <c r="N1170">
        <v>0</v>
      </c>
      <c r="O1170" t="s">
        <v>311</v>
      </c>
      <c r="P1170" t="s">
        <v>310</v>
      </c>
      <c r="Q1170" t="s">
        <v>310</v>
      </c>
      <c r="R1170" t="s">
        <v>310</v>
      </c>
      <c r="S1170">
        <v>9</v>
      </c>
      <c r="T1170" t="s">
        <v>310</v>
      </c>
      <c r="U1170">
        <v>9</v>
      </c>
      <c r="V1170">
        <v>9</v>
      </c>
      <c r="W1170">
        <v>0</v>
      </c>
      <c r="X1170">
        <v>0</v>
      </c>
      <c r="Y1170">
        <v>0</v>
      </c>
      <c r="Z1170">
        <v>0</v>
      </c>
      <c r="AA1170">
        <v>9</v>
      </c>
      <c r="AB1170">
        <v>9</v>
      </c>
      <c r="AC1170" t="s">
        <v>310</v>
      </c>
      <c r="AD1170">
        <v>9</v>
      </c>
      <c r="AE1170" t="s">
        <v>1412</v>
      </c>
      <c r="AF1170">
        <v>0</v>
      </c>
      <c r="AG1170" t="s">
        <v>310</v>
      </c>
      <c r="AH1170">
        <f>SUM((MID(Dyno_Data[[#This Row],[Team]],4,5))+(Dyno_Data[[#This Row],[Match]]/100))</f>
        <v>296.2</v>
      </c>
      <c r="AI1170" s="76">
        <f>ROUND(SUM(IF(Dyno_Data[[#This Row],[AcqCenter]]&gt;0,Dyno_Data[[#This Row],[Time]]-SUMIFS(Dyno_Data[Time],Dyno_Data[Team],Dyno_Data[[#This Row],[Team]],Dyno_Data[RecordType],"StartMatch",Dyno_Data[Match],Dyno_Data[[#This Row],[Match]]),0)*86400),0)</f>
        <v>0</v>
      </c>
    </row>
    <row r="1171" spans="1:35" x14ac:dyDescent="0.3">
      <c r="A1171">
        <v>1164</v>
      </c>
      <c r="B1171" t="s">
        <v>367</v>
      </c>
      <c r="C1171">
        <v>20</v>
      </c>
      <c r="D1171" s="105">
        <v>45373.489289467594</v>
      </c>
      <c r="E1171" t="s">
        <v>312</v>
      </c>
      <c r="F1171" t="s">
        <v>309</v>
      </c>
      <c r="G1171">
        <v>0</v>
      </c>
      <c r="H1171" t="s">
        <v>1397</v>
      </c>
      <c r="I1171">
        <v>0</v>
      </c>
      <c r="J1171">
        <v>0</v>
      </c>
      <c r="K1171">
        <v>0</v>
      </c>
      <c r="L1171" t="s">
        <v>240</v>
      </c>
      <c r="M1171" t="s">
        <v>1398</v>
      </c>
      <c r="N1171">
        <v>0</v>
      </c>
      <c r="O1171" t="s">
        <v>319</v>
      </c>
      <c r="P1171" t="s">
        <v>310</v>
      </c>
      <c r="Q1171" t="s">
        <v>310</v>
      </c>
      <c r="R1171" t="s">
        <v>310</v>
      </c>
      <c r="S1171">
        <v>9</v>
      </c>
      <c r="T1171" t="s">
        <v>310</v>
      </c>
      <c r="U1171">
        <v>9</v>
      </c>
      <c r="V1171">
        <v>9</v>
      </c>
      <c r="W1171">
        <v>0</v>
      </c>
      <c r="X1171">
        <v>0</v>
      </c>
      <c r="Y1171">
        <v>0</v>
      </c>
      <c r="Z1171">
        <v>0</v>
      </c>
      <c r="AA1171">
        <v>9</v>
      </c>
      <c r="AB1171">
        <v>9</v>
      </c>
      <c r="AC1171" t="s">
        <v>310</v>
      </c>
      <c r="AD1171">
        <v>9</v>
      </c>
      <c r="AE1171" t="s">
        <v>1413</v>
      </c>
      <c r="AF1171">
        <v>0</v>
      </c>
      <c r="AG1171" t="s">
        <v>310</v>
      </c>
      <c r="AH1171">
        <f>SUM((MID(Dyno_Data[[#This Row],[Team]],4,5))+(Dyno_Data[[#This Row],[Match]]/100))</f>
        <v>5016.2</v>
      </c>
      <c r="AI1171" s="76">
        <f>ROUND(SUM(IF(Dyno_Data[[#This Row],[AcqCenter]]&gt;0,Dyno_Data[[#This Row],[Time]]-SUMIFS(Dyno_Data[Time],Dyno_Data[Team],Dyno_Data[[#This Row],[Team]],Dyno_Data[RecordType],"StartMatch",Dyno_Data[Match],Dyno_Data[[#This Row],[Match]]),0)*86400),0)</f>
        <v>0</v>
      </c>
    </row>
    <row r="1172" spans="1:35" x14ac:dyDescent="0.3">
      <c r="A1172">
        <v>1165</v>
      </c>
      <c r="B1172" t="s">
        <v>1317</v>
      </c>
      <c r="C1172">
        <v>20</v>
      </c>
      <c r="D1172" s="105">
        <v>45373.48934521991</v>
      </c>
      <c r="E1172" t="s">
        <v>312</v>
      </c>
      <c r="F1172" t="s">
        <v>309</v>
      </c>
      <c r="G1172">
        <v>0</v>
      </c>
      <c r="H1172" t="s">
        <v>315</v>
      </c>
      <c r="I1172">
        <v>0</v>
      </c>
      <c r="J1172">
        <v>0</v>
      </c>
      <c r="K1172">
        <v>0</v>
      </c>
      <c r="L1172" t="s">
        <v>240</v>
      </c>
      <c r="M1172" t="s">
        <v>1398</v>
      </c>
      <c r="N1172">
        <v>0</v>
      </c>
      <c r="O1172" t="s">
        <v>311</v>
      </c>
      <c r="P1172" t="s">
        <v>310</v>
      </c>
      <c r="Q1172" t="s">
        <v>310</v>
      </c>
      <c r="R1172" t="s">
        <v>310</v>
      </c>
      <c r="S1172">
        <v>9</v>
      </c>
      <c r="T1172" t="s">
        <v>310</v>
      </c>
      <c r="U1172">
        <v>9</v>
      </c>
      <c r="V1172">
        <v>9</v>
      </c>
      <c r="W1172">
        <v>0</v>
      </c>
      <c r="X1172">
        <v>0</v>
      </c>
      <c r="Y1172">
        <v>0</v>
      </c>
      <c r="Z1172">
        <v>0</v>
      </c>
      <c r="AA1172">
        <v>9</v>
      </c>
      <c r="AB1172">
        <v>9</v>
      </c>
      <c r="AC1172" t="s">
        <v>310</v>
      </c>
      <c r="AD1172">
        <v>9</v>
      </c>
      <c r="AE1172" t="s">
        <v>1412</v>
      </c>
      <c r="AF1172">
        <v>10000000</v>
      </c>
      <c r="AG1172" t="s">
        <v>310</v>
      </c>
      <c r="AH1172">
        <f>SUM((MID(Dyno_Data[[#This Row],[Team]],4,5))+(Dyno_Data[[#This Row],[Match]]/100))</f>
        <v>296.2</v>
      </c>
      <c r="AI1172" s="76">
        <f>ROUND(SUM(IF(Dyno_Data[[#This Row],[AcqCenter]]&gt;0,Dyno_Data[[#This Row],[Time]]-SUMIFS(Dyno_Data[Time],Dyno_Data[Team],Dyno_Data[[#This Row],[Team]],Dyno_Data[RecordType],"StartMatch",Dyno_Data[Match],Dyno_Data[[#This Row],[Match]]),0)*86400),0)</f>
        <v>0</v>
      </c>
    </row>
    <row r="1173" spans="1:35" x14ac:dyDescent="0.3">
      <c r="A1173">
        <v>1167</v>
      </c>
      <c r="B1173" t="s">
        <v>1317</v>
      </c>
      <c r="C1173">
        <v>20</v>
      </c>
      <c r="D1173" s="105">
        <v>45373.489454016206</v>
      </c>
      <c r="E1173" t="s">
        <v>314</v>
      </c>
      <c r="F1173" t="s">
        <v>309</v>
      </c>
      <c r="G1173">
        <v>1</v>
      </c>
      <c r="H1173" t="s">
        <v>310</v>
      </c>
      <c r="I1173">
        <v>0</v>
      </c>
      <c r="J1173">
        <v>0</v>
      </c>
      <c r="K1173">
        <v>0</v>
      </c>
      <c r="L1173" t="s">
        <v>310</v>
      </c>
      <c r="M1173" t="s">
        <v>310</v>
      </c>
      <c r="N1173">
        <v>0</v>
      </c>
      <c r="O1173" t="s">
        <v>311</v>
      </c>
      <c r="P1173" t="s">
        <v>240</v>
      </c>
      <c r="Q1173" t="s">
        <v>1399</v>
      </c>
      <c r="R1173" t="s">
        <v>310</v>
      </c>
      <c r="S1173">
        <v>9</v>
      </c>
      <c r="T1173" t="s">
        <v>310</v>
      </c>
      <c r="U1173">
        <v>9</v>
      </c>
      <c r="V1173">
        <v>9</v>
      </c>
      <c r="W1173">
        <v>0</v>
      </c>
      <c r="X1173">
        <v>0</v>
      </c>
      <c r="Y1173">
        <v>0</v>
      </c>
      <c r="Z1173">
        <v>0</v>
      </c>
      <c r="AA1173">
        <v>9</v>
      </c>
      <c r="AB1173">
        <v>9</v>
      </c>
      <c r="AC1173" t="s">
        <v>310</v>
      </c>
      <c r="AD1173">
        <v>9</v>
      </c>
      <c r="AE1173" t="s">
        <v>1412</v>
      </c>
      <c r="AF1173">
        <v>10000000</v>
      </c>
      <c r="AG1173" t="s">
        <v>310</v>
      </c>
      <c r="AH1173">
        <f>SUM((MID(Dyno_Data[[#This Row],[Team]],4,5))+(Dyno_Data[[#This Row],[Match]]/100))</f>
        <v>296.2</v>
      </c>
      <c r="AI1173" s="76">
        <f>ROUND(SUM(IF(Dyno_Data[[#This Row],[AcqCenter]]&gt;0,Dyno_Data[[#This Row],[Time]]-SUMIFS(Dyno_Data[Time],Dyno_Data[Team],Dyno_Data[[#This Row],[Team]],Dyno_Data[RecordType],"StartMatch",Dyno_Data[Match],Dyno_Data[[#This Row],[Match]]),0)*86400),0)</f>
        <v>0</v>
      </c>
    </row>
    <row r="1174" spans="1:35" x14ac:dyDescent="0.3">
      <c r="A1174">
        <v>1169</v>
      </c>
      <c r="B1174" t="s">
        <v>362</v>
      </c>
      <c r="C1174">
        <v>20</v>
      </c>
      <c r="D1174" s="105">
        <v>45373.489454629627</v>
      </c>
      <c r="E1174" t="s">
        <v>314</v>
      </c>
      <c r="F1174" t="s">
        <v>309</v>
      </c>
      <c r="G1174">
        <v>1</v>
      </c>
      <c r="H1174" t="s">
        <v>310</v>
      </c>
      <c r="I1174">
        <v>0</v>
      </c>
      <c r="J1174">
        <v>0</v>
      </c>
      <c r="K1174">
        <v>0</v>
      </c>
      <c r="L1174" t="s">
        <v>310</v>
      </c>
      <c r="M1174" t="s">
        <v>310</v>
      </c>
      <c r="N1174">
        <v>0</v>
      </c>
      <c r="O1174" t="s">
        <v>1391</v>
      </c>
      <c r="P1174" t="s">
        <v>320</v>
      </c>
      <c r="Q1174" t="s">
        <v>1400</v>
      </c>
      <c r="R1174" t="s">
        <v>310</v>
      </c>
      <c r="S1174">
        <v>9</v>
      </c>
      <c r="T1174" t="s">
        <v>310</v>
      </c>
      <c r="U1174">
        <v>9</v>
      </c>
      <c r="V1174">
        <v>9</v>
      </c>
      <c r="W1174">
        <v>0</v>
      </c>
      <c r="X1174">
        <v>0</v>
      </c>
      <c r="Y1174">
        <v>0</v>
      </c>
      <c r="Z1174">
        <v>0</v>
      </c>
      <c r="AA1174">
        <v>9</v>
      </c>
      <c r="AB1174">
        <v>9</v>
      </c>
      <c r="AC1174" t="s">
        <v>310</v>
      </c>
      <c r="AD1174">
        <v>9</v>
      </c>
      <c r="AE1174" t="s">
        <v>1416</v>
      </c>
      <c r="AF1174">
        <v>0</v>
      </c>
      <c r="AG1174" t="s">
        <v>310</v>
      </c>
      <c r="AH1174">
        <f>SUM((MID(Dyno_Data[[#This Row],[Team]],4,5))+(Dyno_Data[[#This Row],[Match]]/100))</f>
        <v>250.2</v>
      </c>
      <c r="AI1174" s="76">
        <f>ROUND(SUM(IF(Dyno_Data[[#This Row],[AcqCenter]]&gt;0,Dyno_Data[[#This Row],[Time]]-SUMIFS(Dyno_Data[Time],Dyno_Data[Team],Dyno_Data[[#This Row],[Team]],Dyno_Data[RecordType],"StartMatch",Dyno_Data[Match],Dyno_Data[[#This Row],[Match]]),0)*86400),0)</f>
        <v>0</v>
      </c>
    </row>
    <row r="1175" spans="1:35" x14ac:dyDescent="0.3">
      <c r="A1175">
        <v>1171</v>
      </c>
      <c r="B1175" t="s">
        <v>1308</v>
      </c>
      <c r="C1175">
        <v>20</v>
      </c>
      <c r="D1175" s="105">
        <v>45373.489461805555</v>
      </c>
      <c r="E1175" t="s">
        <v>314</v>
      </c>
      <c r="F1175" t="s">
        <v>309</v>
      </c>
      <c r="G1175">
        <v>0</v>
      </c>
      <c r="H1175" t="s">
        <v>310</v>
      </c>
      <c r="I1175">
        <v>0</v>
      </c>
      <c r="J1175">
        <v>0</v>
      </c>
      <c r="K1175">
        <v>0</v>
      </c>
      <c r="L1175" t="s">
        <v>310</v>
      </c>
      <c r="M1175" t="s">
        <v>310</v>
      </c>
      <c r="N1175">
        <v>0</v>
      </c>
      <c r="O1175" t="s">
        <v>1393</v>
      </c>
      <c r="P1175" t="s">
        <v>1401</v>
      </c>
      <c r="Q1175" t="s">
        <v>1400</v>
      </c>
      <c r="R1175" t="s">
        <v>310</v>
      </c>
      <c r="S1175">
        <v>9</v>
      </c>
      <c r="T1175" t="s">
        <v>310</v>
      </c>
      <c r="U1175">
        <v>9</v>
      </c>
      <c r="V1175">
        <v>9</v>
      </c>
      <c r="W1175">
        <v>0</v>
      </c>
      <c r="X1175">
        <v>0</v>
      </c>
      <c r="Y1175">
        <v>0</v>
      </c>
      <c r="Z1175">
        <v>0</v>
      </c>
      <c r="AA1175">
        <v>9</v>
      </c>
      <c r="AB1175">
        <v>9</v>
      </c>
      <c r="AC1175" t="s">
        <v>310</v>
      </c>
      <c r="AD1175">
        <v>9</v>
      </c>
      <c r="AE1175" t="s">
        <v>1414</v>
      </c>
      <c r="AF1175">
        <v>0</v>
      </c>
      <c r="AG1175" t="s">
        <v>310</v>
      </c>
      <c r="AH1175">
        <f>SUM((MID(Dyno_Data[[#This Row],[Team]],4,5))+(Dyno_Data[[#This Row],[Match]]/100))</f>
        <v>3799.2</v>
      </c>
      <c r="AI1175" s="76">
        <f>ROUND(SUM(IF(Dyno_Data[[#This Row],[AcqCenter]]&gt;0,Dyno_Data[[#This Row],[Time]]-SUMIFS(Dyno_Data[Time],Dyno_Data[Team],Dyno_Data[[#This Row],[Team]],Dyno_Data[RecordType],"StartMatch",Dyno_Data[Match],Dyno_Data[[#This Row],[Match]]),0)*86400),0)</f>
        <v>0</v>
      </c>
    </row>
    <row r="1176" spans="1:35" x14ac:dyDescent="0.3">
      <c r="A1176">
        <v>1173</v>
      </c>
      <c r="B1176" t="s">
        <v>367</v>
      </c>
      <c r="C1176">
        <v>20</v>
      </c>
      <c r="D1176" s="105">
        <v>45373.489463310187</v>
      </c>
      <c r="E1176" t="s">
        <v>314</v>
      </c>
      <c r="F1176" t="s">
        <v>309</v>
      </c>
      <c r="G1176">
        <v>0</v>
      </c>
      <c r="H1176" t="s">
        <v>310</v>
      </c>
      <c r="I1176">
        <v>0</v>
      </c>
      <c r="J1176">
        <v>0</v>
      </c>
      <c r="K1176">
        <v>0</v>
      </c>
      <c r="L1176" t="s">
        <v>310</v>
      </c>
      <c r="M1176" t="s">
        <v>310</v>
      </c>
      <c r="N1176">
        <v>0</v>
      </c>
      <c r="O1176" t="s">
        <v>319</v>
      </c>
      <c r="P1176" t="s">
        <v>101</v>
      </c>
      <c r="Q1176" t="s">
        <v>1400</v>
      </c>
      <c r="R1176" t="s">
        <v>310</v>
      </c>
      <c r="S1176">
        <v>9</v>
      </c>
      <c r="T1176" t="s">
        <v>310</v>
      </c>
      <c r="U1176">
        <v>9</v>
      </c>
      <c r="V1176">
        <v>9</v>
      </c>
      <c r="W1176">
        <v>0</v>
      </c>
      <c r="X1176">
        <v>0</v>
      </c>
      <c r="Y1176">
        <v>0</v>
      </c>
      <c r="Z1176">
        <v>0</v>
      </c>
      <c r="AA1176">
        <v>9</v>
      </c>
      <c r="AB1176">
        <v>9</v>
      </c>
      <c r="AC1176" t="s">
        <v>310</v>
      </c>
      <c r="AD1176">
        <v>9</v>
      </c>
      <c r="AE1176" t="s">
        <v>1413</v>
      </c>
      <c r="AF1176">
        <v>0</v>
      </c>
      <c r="AG1176" t="s">
        <v>310</v>
      </c>
      <c r="AH1176">
        <f>SUM((MID(Dyno_Data[[#This Row],[Team]],4,5))+(Dyno_Data[[#This Row],[Match]]/100))</f>
        <v>5016.2</v>
      </c>
      <c r="AI1176" s="76">
        <f>ROUND(SUM(IF(Dyno_Data[[#This Row],[AcqCenter]]&gt;0,Dyno_Data[[#This Row],[Time]]-SUMIFS(Dyno_Data[Time],Dyno_Data[Team],Dyno_Data[[#This Row],[Team]],Dyno_Data[RecordType],"StartMatch",Dyno_Data[Match],Dyno_Data[[#This Row],[Match]]),0)*86400),0)</f>
        <v>0</v>
      </c>
    </row>
    <row r="1177" spans="1:35" x14ac:dyDescent="0.3">
      <c r="A1177">
        <v>1175</v>
      </c>
      <c r="B1177" t="s">
        <v>368</v>
      </c>
      <c r="C1177">
        <v>20</v>
      </c>
      <c r="D1177" s="105">
        <v>45373.489473379632</v>
      </c>
      <c r="E1177" t="s">
        <v>314</v>
      </c>
      <c r="F1177" t="s">
        <v>309</v>
      </c>
      <c r="G1177">
        <v>1</v>
      </c>
      <c r="H1177" t="s">
        <v>310</v>
      </c>
      <c r="I1177">
        <v>0</v>
      </c>
      <c r="J1177">
        <v>0</v>
      </c>
      <c r="K1177">
        <v>0</v>
      </c>
      <c r="L1177" t="s">
        <v>310</v>
      </c>
      <c r="M1177" t="s">
        <v>310</v>
      </c>
      <c r="N1177">
        <v>0</v>
      </c>
      <c r="O1177" t="s">
        <v>1389</v>
      </c>
      <c r="P1177" t="s">
        <v>320</v>
      </c>
      <c r="Q1177" t="s">
        <v>1400</v>
      </c>
      <c r="R1177" t="s">
        <v>310</v>
      </c>
      <c r="S1177">
        <v>9</v>
      </c>
      <c r="T1177" t="s">
        <v>310</v>
      </c>
      <c r="U1177">
        <v>9</v>
      </c>
      <c r="V1177">
        <v>9</v>
      </c>
      <c r="W1177">
        <v>0</v>
      </c>
      <c r="X1177">
        <v>0</v>
      </c>
      <c r="Y1177">
        <v>0</v>
      </c>
      <c r="Z1177">
        <v>0</v>
      </c>
      <c r="AA1177">
        <v>9</v>
      </c>
      <c r="AB1177">
        <v>9</v>
      </c>
      <c r="AC1177" t="s">
        <v>310</v>
      </c>
      <c r="AD1177">
        <v>9</v>
      </c>
      <c r="AE1177" t="s">
        <v>1418</v>
      </c>
      <c r="AF1177">
        <v>0</v>
      </c>
      <c r="AG1177" t="s">
        <v>310</v>
      </c>
      <c r="AH1177">
        <f>SUM((MID(Dyno_Data[[#This Row],[Team]],4,5))+(Dyno_Data[[#This Row],[Match]]/100))</f>
        <v>6401.2</v>
      </c>
      <c r="AI1177" s="76">
        <f>ROUND(SUM(IF(Dyno_Data[[#This Row],[AcqCenter]]&gt;0,Dyno_Data[[#This Row],[Time]]-SUMIFS(Dyno_Data[Time],Dyno_Data[Team],Dyno_Data[[#This Row],[Team]],Dyno_Data[RecordType],"StartMatch",Dyno_Data[Match],Dyno_Data[[#This Row],[Match]]),0)*86400),0)</f>
        <v>0</v>
      </c>
    </row>
    <row r="1178" spans="1:35" x14ac:dyDescent="0.3">
      <c r="A1178">
        <v>1177</v>
      </c>
      <c r="B1178" t="s">
        <v>1277</v>
      </c>
      <c r="C1178">
        <v>20</v>
      </c>
      <c r="D1178" s="105">
        <v>45373.48947630787</v>
      </c>
      <c r="E1178" t="s">
        <v>314</v>
      </c>
      <c r="F1178" t="s">
        <v>309</v>
      </c>
      <c r="G1178">
        <v>0</v>
      </c>
      <c r="H1178" t="s">
        <v>310</v>
      </c>
      <c r="I1178">
        <v>0</v>
      </c>
      <c r="J1178">
        <v>0</v>
      </c>
      <c r="K1178">
        <v>0</v>
      </c>
      <c r="L1178" t="s">
        <v>310</v>
      </c>
      <c r="M1178" t="s">
        <v>310</v>
      </c>
      <c r="N1178">
        <v>0</v>
      </c>
      <c r="O1178" t="s">
        <v>1395</v>
      </c>
      <c r="P1178" t="s">
        <v>101</v>
      </c>
      <c r="Q1178" t="s">
        <v>1399</v>
      </c>
      <c r="R1178" t="s">
        <v>310</v>
      </c>
      <c r="S1178">
        <v>9</v>
      </c>
      <c r="T1178" t="s">
        <v>310</v>
      </c>
      <c r="U1178">
        <v>9</v>
      </c>
      <c r="V1178">
        <v>9</v>
      </c>
      <c r="W1178">
        <v>0</v>
      </c>
      <c r="X1178">
        <v>0</v>
      </c>
      <c r="Y1178">
        <v>0</v>
      </c>
      <c r="Z1178">
        <v>0</v>
      </c>
      <c r="AA1178">
        <v>9</v>
      </c>
      <c r="AB1178">
        <v>9</v>
      </c>
      <c r="AC1178" t="s">
        <v>310</v>
      </c>
      <c r="AD1178">
        <v>9</v>
      </c>
      <c r="AE1178" t="s">
        <v>1417</v>
      </c>
      <c r="AF1178">
        <v>0</v>
      </c>
      <c r="AG1178" t="s">
        <v>310</v>
      </c>
      <c r="AH1178">
        <f>SUM((MID(Dyno_Data[[#This Row],[Team]],4,5))+(Dyno_Data[[#This Row],[Match]]/100))</f>
        <v>3360.2</v>
      </c>
      <c r="AI1178" s="76">
        <f>ROUND(SUM(IF(Dyno_Data[[#This Row],[AcqCenter]]&gt;0,Dyno_Data[[#This Row],[Time]]-SUMIFS(Dyno_Data[Time],Dyno_Data[Team],Dyno_Data[[#This Row],[Team]],Dyno_Data[RecordType],"StartMatch",Dyno_Data[Match],Dyno_Data[[#This Row],[Match]]),0)*86400),0)</f>
        <v>0</v>
      </c>
    </row>
    <row r="1179" spans="1:35" x14ac:dyDescent="0.3">
      <c r="A1179">
        <v>1178</v>
      </c>
      <c r="B1179" t="s">
        <v>362</v>
      </c>
      <c r="C1179">
        <v>20</v>
      </c>
      <c r="D1179" s="105">
        <v>45373.489579085646</v>
      </c>
      <c r="E1179" t="s">
        <v>312</v>
      </c>
      <c r="F1179" t="s">
        <v>1402</v>
      </c>
      <c r="G1179">
        <v>0</v>
      </c>
      <c r="H1179" t="s">
        <v>1397</v>
      </c>
      <c r="I1179">
        <v>0</v>
      </c>
      <c r="J1179">
        <v>0</v>
      </c>
      <c r="K1179">
        <v>0</v>
      </c>
      <c r="L1179" t="s">
        <v>242</v>
      </c>
      <c r="M1179" t="s">
        <v>241</v>
      </c>
      <c r="N1179">
        <v>1</v>
      </c>
      <c r="O1179" t="s">
        <v>1391</v>
      </c>
      <c r="P1179" t="s">
        <v>310</v>
      </c>
      <c r="Q1179" t="s">
        <v>310</v>
      </c>
      <c r="R1179" t="s">
        <v>310</v>
      </c>
      <c r="S1179">
        <v>9</v>
      </c>
      <c r="T1179" t="s">
        <v>310</v>
      </c>
      <c r="U1179">
        <v>9</v>
      </c>
      <c r="V1179">
        <v>9</v>
      </c>
      <c r="W1179">
        <v>0</v>
      </c>
      <c r="X1179">
        <v>0</v>
      </c>
      <c r="Y1179">
        <v>0</v>
      </c>
      <c r="Z1179">
        <v>0</v>
      </c>
      <c r="AA1179">
        <v>9</v>
      </c>
      <c r="AB1179">
        <v>9</v>
      </c>
      <c r="AC1179" t="s">
        <v>310</v>
      </c>
      <c r="AD1179">
        <v>9</v>
      </c>
      <c r="AE1179" t="s">
        <v>1416</v>
      </c>
      <c r="AF1179">
        <v>0</v>
      </c>
      <c r="AG1179" t="s">
        <v>310</v>
      </c>
      <c r="AH1179">
        <f>SUM((MID(Dyno_Data[[#This Row],[Team]],4,5))+(Dyno_Data[[#This Row],[Match]]/100))</f>
        <v>250.2</v>
      </c>
      <c r="AI1179" s="76">
        <f>ROUND(SUM(IF(Dyno_Data[[#This Row],[AcqCenter]]&gt;0,Dyno_Data[[#This Row],[Time]]-SUMIFS(Dyno_Data[Time],Dyno_Data[Team],Dyno_Data[[#This Row],[Team]],Dyno_Data[RecordType],"StartMatch",Dyno_Data[Match],Dyno_Data[[#This Row],[Match]]),0)*86400),0)</f>
        <v>0</v>
      </c>
    </row>
    <row r="1180" spans="1:35" x14ac:dyDescent="0.3">
      <c r="A1180">
        <v>1179</v>
      </c>
      <c r="B1180" t="s">
        <v>1317</v>
      </c>
      <c r="C1180">
        <v>20</v>
      </c>
      <c r="D1180" s="105">
        <v>45373.489593749997</v>
      </c>
      <c r="E1180" t="s">
        <v>312</v>
      </c>
      <c r="F1180" t="s">
        <v>1402</v>
      </c>
      <c r="G1180">
        <v>0</v>
      </c>
      <c r="H1180" t="s">
        <v>315</v>
      </c>
      <c r="I1180">
        <v>0</v>
      </c>
      <c r="J1180">
        <v>0</v>
      </c>
      <c r="K1180">
        <v>0</v>
      </c>
      <c r="L1180" t="s">
        <v>240</v>
      </c>
      <c r="M1180" t="s">
        <v>1398</v>
      </c>
      <c r="N1180">
        <v>0</v>
      </c>
      <c r="O1180" t="s">
        <v>311</v>
      </c>
      <c r="P1180" t="s">
        <v>310</v>
      </c>
      <c r="Q1180" t="s">
        <v>310</v>
      </c>
      <c r="R1180" t="s">
        <v>310</v>
      </c>
      <c r="S1180">
        <v>9</v>
      </c>
      <c r="T1180" t="s">
        <v>310</v>
      </c>
      <c r="U1180">
        <v>9</v>
      </c>
      <c r="V1180">
        <v>9</v>
      </c>
      <c r="W1180">
        <v>0</v>
      </c>
      <c r="X1180">
        <v>0</v>
      </c>
      <c r="Y1180">
        <v>0</v>
      </c>
      <c r="Z1180">
        <v>0</v>
      </c>
      <c r="AA1180">
        <v>9</v>
      </c>
      <c r="AB1180">
        <v>9</v>
      </c>
      <c r="AC1180" t="s">
        <v>310</v>
      </c>
      <c r="AD1180">
        <v>9</v>
      </c>
      <c r="AE1180" t="s">
        <v>1412</v>
      </c>
      <c r="AF1180">
        <v>20000000</v>
      </c>
      <c r="AG1180" t="s">
        <v>310</v>
      </c>
      <c r="AH1180">
        <f>SUM((MID(Dyno_Data[[#This Row],[Team]],4,5))+(Dyno_Data[[#This Row],[Match]]/100))</f>
        <v>296.2</v>
      </c>
      <c r="AI1180" s="76">
        <f>ROUND(SUM(IF(Dyno_Data[[#This Row],[AcqCenter]]&gt;0,Dyno_Data[[#This Row],[Time]]-SUMIFS(Dyno_Data[Time],Dyno_Data[Team],Dyno_Data[[#This Row],[Team]],Dyno_Data[RecordType],"StartMatch",Dyno_Data[Match],Dyno_Data[[#This Row],[Match]]),0)*86400),0)</f>
        <v>0</v>
      </c>
    </row>
    <row r="1181" spans="1:35" x14ac:dyDescent="0.3">
      <c r="A1181">
        <v>1180</v>
      </c>
      <c r="B1181" t="s">
        <v>368</v>
      </c>
      <c r="C1181">
        <v>20</v>
      </c>
      <c r="D1181" s="105">
        <v>45373.489598032407</v>
      </c>
      <c r="E1181" t="s">
        <v>312</v>
      </c>
      <c r="F1181" t="s">
        <v>1402</v>
      </c>
      <c r="G1181">
        <v>0</v>
      </c>
      <c r="H1181" t="s">
        <v>1397</v>
      </c>
      <c r="I1181">
        <v>0</v>
      </c>
      <c r="J1181">
        <v>0</v>
      </c>
      <c r="K1181">
        <v>0</v>
      </c>
      <c r="L1181" t="s">
        <v>241</v>
      </c>
      <c r="M1181" t="s">
        <v>1398</v>
      </c>
      <c r="N1181">
        <v>0</v>
      </c>
      <c r="O1181" t="s">
        <v>1389</v>
      </c>
      <c r="P1181" t="s">
        <v>310</v>
      </c>
      <c r="Q1181" t="s">
        <v>310</v>
      </c>
      <c r="R1181" t="s">
        <v>310</v>
      </c>
      <c r="S1181">
        <v>9</v>
      </c>
      <c r="T1181" t="s">
        <v>310</v>
      </c>
      <c r="U1181">
        <v>9</v>
      </c>
      <c r="V1181">
        <v>9</v>
      </c>
      <c r="W1181">
        <v>0</v>
      </c>
      <c r="X1181">
        <v>0</v>
      </c>
      <c r="Y1181">
        <v>0</v>
      </c>
      <c r="Z1181">
        <v>0</v>
      </c>
      <c r="AA1181">
        <v>9</v>
      </c>
      <c r="AB1181">
        <v>9</v>
      </c>
      <c r="AC1181" t="s">
        <v>310</v>
      </c>
      <c r="AD1181">
        <v>9</v>
      </c>
      <c r="AE1181" t="s">
        <v>1418</v>
      </c>
      <c r="AF1181">
        <v>0</v>
      </c>
      <c r="AG1181" t="s">
        <v>310</v>
      </c>
      <c r="AH1181">
        <f>SUM((MID(Dyno_Data[[#This Row],[Team]],4,5))+(Dyno_Data[[#This Row],[Match]]/100))</f>
        <v>6401.2</v>
      </c>
      <c r="AI1181" s="76">
        <f>ROUND(SUM(IF(Dyno_Data[[#This Row],[AcqCenter]]&gt;0,Dyno_Data[[#This Row],[Time]]-SUMIFS(Dyno_Data[Time],Dyno_Data[Team],Dyno_Data[[#This Row],[Team]],Dyno_Data[RecordType],"StartMatch",Dyno_Data[Match],Dyno_Data[[#This Row],[Match]]),0)*86400),0)</f>
        <v>0</v>
      </c>
    </row>
    <row r="1182" spans="1:35" x14ac:dyDescent="0.3">
      <c r="A1182">
        <v>1181</v>
      </c>
      <c r="B1182" t="s">
        <v>367</v>
      </c>
      <c r="C1182">
        <v>20</v>
      </c>
      <c r="D1182" s="105">
        <v>45373.489641469911</v>
      </c>
      <c r="E1182" t="s">
        <v>312</v>
      </c>
      <c r="F1182" t="s">
        <v>1402</v>
      </c>
      <c r="G1182">
        <v>0</v>
      </c>
      <c r="H1182" t="s">
        <v>315</v>
      </c>
      <c r="I1182">
        <v>0</v>
      </c>
      <c r="J1182">
        <v>0</v>
      </c>
      <c r="K1182">
        <v>0</v>
      </c>
      <c r="L1182" t="s">
        <v>241</v>
      </c>
      <c r="M1182" t="s">
        <v>1398</v>
      </c>
      <c r="N1182">
        <v>0</v>
      </c>
      <c r="O1182" t="s">
        <v>319</v>
      </c>
      <c r="P1182" t="s">
        <v>310</v>
      </c>
      <c r="Q1182" t="s">
        <v>310</v>
      </c>
      <c r="R1182" t="s">
        <v>310</v>
      </c>
      <c r="S1182">
        <v>9</v>
      </c>
      <c r="T1182" t="s">
        <v>310</v>
      </c>
      <c r="U1182">
        <v>9</v>
      </c>
      <c r="V1182">
        <v>9</v>
      </c>
      <c r="W1182">
        <v>0</v>
      </c>
      <c r="X1182">
        <v>0</v>
      </c>
      <c r="Y1182">
        <v>0</v>
      </c>
      <c r="Z1182">
        <v>0</v>
      </c>
      <c r="AA1182">
        <v>9</v>
      </c>
      <c r="AB1182">
        <v>9</v>
      </c>
      <c r="AC1182" t="s">
        <v>310</v>
      </c>
      <c r="AD1182">
        <v>9</v>
      </c>
      <c r="AE1182" t="s">
        <v>1413</v>
      </c>
      <c r="AF1182">
        <v>10000000</v>
      </c>
      <c r="AG1182" t="s">
        <v>310</v>
      </c>
      <c r="AH1182">
        <f>SUM((MID(Dyno_Data[[#This Row],[Team]],4,5))+(Dyno_Data[[#This Row],[Match]]/100))</f>
        <v>5016.2</v>
      </c>
      <c r="AI1182" s="76">
        <f>ROUND(SUM(IF(Dyno_Data[[#This Row],[AcqCenter]]&gt;0,Dyno_Data[[#This Row],[Time]]-SUMIFS(Dyno_Data[Time],Dyno_Data[Team],Dyno_Data[[#This Row],[Team]],Dyno_Data[RecordType],"StartMatch",Dyno_Data[Match],Dyno_Data[[#This Row],[Match]]),0)*86400),0)</f>
        <v>0</v>
      </c>
    </row>
    <row r="1183" spans="1:35" x14ac:dyDescent="0.3">
      <c r="A1183">
        <v>1182</v>
      </c>
      <c r="B1183" t="s">
        <v>1308</v>
      </c>
      <c r="C1183">
        <v>20</v>
      </c>
      <c r="D1183" s="105">
        <v>45373.489652280092</v>
      </c>
      <c r="E1183" t="s">
        <v>312</v>
      </c>
      <c r="F1183" t="s">
        <v>1402</v>
      </c>
      <c r="G1183">
        <v>0</v>
      </c>
      <c r="H1183" t="s">
        <v>315</v>
      </c>
      <c r="I1183">
        <v>0</v>
      </c>
      <c r="J1183">
        <v>0</v>
      </c>
      <c r="K1183">
        <v>0</v>
      </c>
      <c r="L1183" t="s">
        <v>313</v>
      </c>
      <c r="M1183" t="s">
        <v>101</v>
      </c>
      <c r="N1183">
        <v>0</v>
      </c>
      <c r="O1183" t="s">
        <v>1393</v>
      </c>
      <c r="P1183" t="s">
        <v>310</v>
      </c>
      <c r="Q1183" t="s">
        <v>310</v>
      </c>
      <c r="R1183" t="s">
        <v>310</v>
      </c>
      <c r="S1183">
        <v>9</v>
      </c>
      <c r="T1183" t="s">
        <v>310</v>
      </c>
      <c r="U1183">
        <v>9</v>
      </c>
      <c r="V1183">
        <v>9</v>
      </c>
      <c r="W1183">
        <v>0</v>
      </c>
      <c r="X1183">
        <v>0</v>
      </c>
      <c r="Y1183">
        <v>0</v>
      </c>
      <c r="Z1183">
        <v>0</v>
      </c>
      <c r="AA1183">
        <v>9</v>
      </c>
      <c r="AB1183">
        <v>9</v>
      </c>
      <c r="AC1183" t="s">
        <v>310</v>
      </c>
      <c r="AD1183">
        <v>9</v>
      </c>
      <c r="AE1183" t="s">
        <v>1414</v>
      </c>
      <c r="AF1183">
        <v>10000000</v>
      </c>
      <c r="AG1183" t="s">
        <v>310</v>
      </c>
      <c r="AH1183">
        <f>SUM((MID(Dyno_Data[[#This Row],[Team]],4,5))+(Dyno_Data[[#This Row],[Match]]/100))</f>
        <v>3799.2</v>
      </c>
      <c r="AI1183" s="76">
        <f>ROUND(SUM(IF(Dyno_Data[[#This Row],[AcqCenter]]&gt;0,Dyno_Data[[#This Row],[Time]]-SUMIFS(Dyno_Data[Time],Dyno_Data[Team],Dyno_Data[[#This Row],[Team]],Dyno_Data[RecordType],"StartMatch",Dyno_Data[Match],Dyno_Data[[#This Row],[Match]]),0)*86400),0)</f>
        <v>0</v>
      </c>
    </row>
    <row r="1184" spans="1:35" x14ac:dyDescent="0.3">
      <c r="A1184">
        <v>1183</v>
      </c>
      <c r="B1184" t="s">
        <v>1277</v>
      </c>
      <c r="C1184">
        <v>20</v>
      </c>
      <c r="D1184" s="105">
        <v>45373.489653738427</v>
      </c>
      <c r="E1184" t="s">
        <v>312</v>
      </c>
      <c r="F1184" t="s">
        <v>1402</v>
      </c>
      <c r="G1184">
        <v>0</v>
      </c>
      <c r="H1184" t="s">
        <v>1397</v>
      </c>
      <c r="I1184">
        <v>0</v>
      </c>
      <c r="J1184">
        <v>0</v>
      </c>
      <c r="K1184">
        <v>0</v>
      </c>
      <c r="L1184" t="s">
        <v>241</v>
      </c>
      <c r="M1184" t="s">
        <v>101</v>
      </c>
      <c r="N1184">
        <v>0</v>
      </c>
      <c r="O1184" t="s">
        <v>1395</v>
      </c>
      <c r="P1184" t="s">
        <v>310</v>
      </c>
      <c r="Q1184" t="s">
        <v>310</v>
      </c>
      <c r="R1184" t="s">
        <v>310</v>
      </c>
      <c r="S1184">
        <v>9</v>
      </c>
      <c r="T1184" t="s">
        <v>310</v>
      </c>
      <c r="U1184">
        <v>9</v>
      </c>
      <c r="V1184">
        <v>9</v>
      </c>
      <c r="W1184">
        <v>0</v>
      </c>
      <c r="X1184">
        <v>0</v>
      </c>
      <c r="Y1184">
        <v>0</v>
      </c>
      <c r="Z1184">
        <v>0</v>
      </c>
      <c r="AA1184">
        <v>9</v>
      </c>
      <c r="AB1184">
        <v>9</v>
      </c>
      <c r="AC1184" t="s">
        <v>310</v>
      </c>
      <c r="AD1184">
        <v>9</v>
      </c>
      <c r="AE1184" t="s">
        <v>1417</v>
      </c>
      <c r="AF1184">
        <v>0</v>
      </c>
      <c r="AG1184" t="s">
        <v>310</v>
      </c>
      <c r="AH1184">
        <f>SUM((MID(Dyno_Data[[#This Row],[Team]],4,5))+(Dyno_Data[[#This Row],[Match]]/100))</f>
        <v>3360.2</v>
      </c>
      <c r="AI1184" s="76">
        <f>ROUND(SUM(IF(Dyno_Data[[#This Row],[AcqCenter]]&gt;0,Dyno_Data[[#This Row],[Time]]-SUMIFS(Dyno_Data[Time],Dyno_Data[Team],Dyno_Data[[#This Row],[Team]],Dyno_Data[RecordType],"StartMatch",Dyno_Data[Match],Dyno_Data[[#This Row],[Match]]),0)*86400),0)</f>
        <v>0</v>
      </c>
    </row>
    <row r="1185" spans="1:35" x14ac:dyDescent="0.3">
      <c r="A1185">
        <v>1184</v>
      </c>
      <c r="B1185" t="s">
        <v>362</v>
      </c>
      <c r="C1185">
        <v>20</v>
      </c>
      <c r="D1185" s="105">
        <v>45373.489682025465</v>
      </c>
      <c r="E1185" t="s">
        <v>312</v>
      </c>
      <c r="F1185" t="s">
        <v>1402</v>
      </c>
      <c r="G1185">
        <v>0</v>
      </c>
      <c r="H1185" t="s">
        <v>315</v>
      </c>
      <c r="I1185">
        <v>0</v>
      </c>
      <c r="J1185">
        <v>0</v>
      </c>
      <c r="K1185">
        <v>0</v>
      </c>
      <c r="L1185" t="s">
        <v>242</v>
      </c>
      <c r="M1185" t="s">
        <v>241</v>
      </c>
      <c r="N1185">
        <v>0</v>
      </c>
      <c r="O1185" t="s">
        <v>1391</v>
      </c>
      <c r="P1185" t="s">
        <v>310</v>
      </c>
      <c r="Q1185" t="s">
        <v>310</v>
      </c>
      <c r="R1185" t="s">
        <v>310</v>
      </c>
      <c r="S1185">
        <v>9</v>
      </c>
      <c r="T1185" t="s">
        <v>310</v>
      </c>
      <c r="U1185">
        <v>9</v>
      </c>
      <c r="V1185">
        <v>9</v>
      </c>
      <c r="W1185">
        <v>0</v>
      </c>
      <c r="X1185">
        <v>0</v>
      </c>
      <c r="Y1185">
        <v>0</v>
      </c>
      <c r="Z1185">
        <v>0</v>
      </c>
      <c r="AA1185">
        <v>9</v>
      </c>
      <c r="AB1185">
        <v>9</v>
      </c>
      <c r="AC1185" t="s">
        <v>310</v>
      </c>
      <c r="AD1185">
        <v>9</v>
      </c>
      <c r="AE1185" t="s">
        <v>1416</v>
      </c>
      <c r="AF1185">
        <v>10000000</v>
      </c>
      <c r="AG1185" t="s">
        <v>310</v>
      </c>
      <c r="AH1185">
        <f>SUM((MID(Dyno_Data[[#This Row],[Team]],4,5))+(Dyno_Data[[#This Row],[Match]]/100))</f>
        <v>250.2</v>
      </c>
      <c r="AI1185" s="76">
        <f>ROUND(SUM(IF(Dyno_Data[[#This Row],[AcqCenter]]&gt;0,Dyno_Data[[#This Row],[Time]]-SUMIFS(Dyno_Data[Time],Dyno_Data[Team],Dyno_Data[[#This Row],[Team]],Dyno_Data[RecordType],"StartMatch",Dyno_Data[Match],Dyno_Data[[#This Row],[Match]]),0)*86400),0)</f>
        <v>0</v>
      </c>
    </row>
    <row r="1186" spans="1:35" x14ac:dyDescent="0.3">
      <c r="A1186">
        <v>1185</v>
      </c>
      <c r="B1186" t="s">
        <v>1317</v>
      </c>
      <c r="C1186">
        <v>20</v>
      </c>
      <c r="D1186" s="105">
        <v>45373.489705208332</v>
      </c>
      <c r="E1186" t="s">
        <v>312</v>
      </c>
      <c r="F1186" t="s">
        <v>1402</v>
      </c>
      <c r="G1186">
        <v>0</v>
      </c>
      <c r="H1186" t="s">
        <v>315</v>
      </c>
      <c r="I1186">
        <v>0</v>
      </c>
      <c r="J1186">
        <v>0</v>
      </c>
      <c r="K1186">
        <v>0</v>
      </c>
      <c r="L1186" t="s">
        <v>241</v>
      </c>
      <c r="M1186" t="s">
        <v>1398</v>
      </c>
      <c r="N1186">
        <v>0</v>
      </c>
      <c r="O1186" t="s">
        <v>311</v>
      </c>
      <c r="P1186" t="s">
        <v>310</v>
      </c>
      <c r="Q1186" t="s">
        <v>310</v>
      </c>
      <c r="R1186" t="s">
        <v>310</v>
      </c>
      <c r="S1186">
        <v>9</v>
      </c>
      <c r="T1186" t="s">
        <v>310</v>
      </c>
      <c r="U1186">
        <v>9</v>
      </c>
      <c r="V1186">
        <v>9</v>
      </c>
      <c r="W1186">
        <v>0</v>
      </c>
      <c r="X1186">
        <v>0</v>
      </c>
      <c r="Y1186">
        <v>0</v>
      </c>
      <c r="Z1186">
        <v>0</v>
      </c>
      <c r="AA1186">
        <v>9</v>
      </c>
      <c r="AB1186">
        <v>9</v>
      </c>
      <c r="AC1186" t="s">
        <v>310</v>
      </c>
      <c r="AD1186">
        <v>9</v>
      </c>
      <c r="AE1186" t="s">
        <v>1412</v>
      </c>
      <c r="AF1186">
        <v>30000000</v>
      </c>
      <c r="AG1186" t="s">
        <v>310</v>
      </c>
      <c r="AH1186">
        <f>SUM((MID(Dyno_Data[[#This Row],[Team]],4,5))+(Dyno_Data[[#This Row],[Match]]/100))</f>
        <v>296.2</v>
      </c>
      <c r="AI1186" s="76">
        <f>ROUND(SUM(IF(Dyno_Data[[#This Row],[AcqCenter]]&gt;0,Dyno_Data[[#This Row],[Time]]-SUMIFS(Dyno_Data[Time],Dyno_Data[Team],Dyno_Data[[#This Row],[Team]],Dyno_Data[RecordType],"StartMatch",Dyno_Data[Match],Dyno_Data[[#This Row],[Match]]),0)*86400),0)</f>
        <v>0</v>
      </c>
    </row>
    <row r="1187" spans="1:35" x14ac:dyDescent="0.3">
      <c r="A1187">
        <v>1186</v>
      </c>
      <c r="B1187" t="s">
        <v>1308</v>
      </c>
      <c r="C1187">
        <v>20</v>
      </c>
      <c r="D1187" s="105">
        <v>45373.489733333336</v>
      </c>
      <c r="E1187" t="s">
        <v>312</v>
      </c>
      <c r="F1187" t="s">
        <v>1402</v>
      </c>
      <c r="G1187">
        <v>0</v>
      </c>
      <c r="H1187" t="s">
        <v>315</v>
      </c>
      <c r="I1187">
        <v>0</v>
      </c>
      <c r="J1187">
        <v>0</v>
      </c>
      <c r="K1187">
        <v>0</v>
      </c>
      <c r="L1187" t="s">
        <v>241</v>
      </c>
      <c r="M1187" t="s">
        <v>1398</v>
      </c>
      <c r="N1187">
        <v>0</v>
      </c>
      <c r="O1187" t="s">
        <v>1393</v>
      </c>
      <c r="P1187" t="s">
        <v>310</v>
      </c>
      <c r="Q1187" t="s">
        <v>310</v>
      </c>
      <c r="R1187" t="s">
        <v>310</v>
      </c>
      <c r="S1187">
        <v>9</v>
      </c>
      <c r="T1187" t="s">
        <v>310</v>
      </c>
      <c r="U1187">
        <v>9</v>
      </c>
      <c r="V1187">
        <v>9</v>
      </c>
      <c r="W1187">
        <v>0</v>
      </c>
      <c r="X1187">
        <v>0</v>
      </c>
      <c r="Y1187">
        <v>0</v>
      </c>
      <c r="Z1187">
        <v>0</v>
      </c>
      <c r="AA1187">
        <v>9</v>
      </c>
      <c r="AB1187">
        <v>9</v>
      </c>
      <c r="AC1187" t="s">
        <v>310</v>
      </c>
      <c r="AD1187">
        <v>9</v>
      </c>
      <c r="AE1187" t="s">
        <v>1414</v>
      </c>
      <c r="AF1187">
        <v>20000000</v>
      </c>
      <c r="AG1187" t="s">
        <v>310</v>
      </c>
      <c r="AH1187">
        <f>SUM((MID(Dyno_Data[[#This Row],[Team]],4,5))+(Dyno_Data[[#This Row],[Match]]/100))</f>
        <v>3799.2</v>
      </c>
      <c r="AI1187" s="76">
        <f>ROUND(SUM(IF(Dyno_Data[[#This Row],[AcqCenter]]&gt;0,Dyno_Data[[#This Row],[Time]]-SUMIFS(Dyno_Data[Time],Dyno_Data[Team],Dyno_Data[[#This Row],[Team]],Dyno_Data[RecordType],"StartMatch",Dyno_Data[Match],Dyno_Data[[#This Row],[Match]]),0)*86400),0)</f>
        <v>0</v>
      </c>
    </row>
    <row r="1188" spans="1:35" x14ac:dyDescent="0.3">
      <c r="A1188">
        <v>1187</v>
      </c>
      <c r="B1188" t="s">
        <v>1308</v>
      </c>
      <c r="C1188">
        <v>20</v>
      </c>
      <c r="D1188" s="105">
        <v>45373.489860844908</v>
      </c>
      <c r="E1188" t="s">
        <v>312</v>
      </c>
      <c r="F1188" t="s">
        <v>1402</v>
      </c>
      <c r="G1188">
        <v>0</v>
      </c>
      <c r="H1188" t="s">
        <v>315</v>
      </c>
      <c r="I1188">
        <v>0</v>
      </c>
      <c r="J1188">
        <v>0</v>
      </c>
      <c r="K1188">
        <v>0</v>
      </c>
      <c r="L1188" t="s">
        <v>240</v>
      </c>
      <c r="M1188" t="s">
        <v>1398</v>
      </c>
      <c r="N1188">
        <v>0</v>
      </c>
      <c r="O1188" t="s">
        <v>1393</v>
      </c>
      <c r="P1188" t="s">
        <v>310</v>
      </c>
      <c r="Q1188" t="s">
        <v>310</v>
      </c>
      <c r="R1188" t="s">
        <v>310</v>
      </c>
      <c r="S1188">
        <v>9</v>
      </c>
      <c r="T1188" t="s">
        <v>310</v>
      </c>
      <c r="U1188">
        <v>9</v>
      </c>
      <c r="V1188">
        <v>9</v>
      </c>
      <c r="W1188">
        <v>0</v>
      </c>
      <c r="X1188">
        <v>0</v>
      </c>
      <c r="Y1188">
        <v>0</v>
      </c>
      <c r="Z1188">
        <v>0</v>
      </c>
      <c r="AA1188">
        <v>9</v>
      </c>
      <c r="AB1188">
        <v>9</v>
      </c>
      <c r="AC1188" t="s">
        <v>310</v>
      </c>
      <c r="AD1188">
        <v>9</v>
      </c>
      <c r="AE1188" t="s">
        <v>1414</v>
      </c>
      <c r="AF1188">
        <v>30000000</v>
      </c>
      <c r="AG1188" t="s">
        <v>310</v>
      </c>
      <c r="AH1188">
        <f>SUM((MID(Dyno_Data[[#This Row],[Team]],4,5))+(Dyno_Data[[#This Row],[Match]]/100))</f>
        <v>3799.2</v>
      </c>
      <c r="AI1188" s="76">
        <f>ROUND(SUM(IF(Dyno_Data[[#This Row],[AcqCenter]]&gt;0,Dyno_Data[[#This Row],[Time]]-SUMIFS(Dyno_Data[Time],Dyno_Data[Team],Dyno_Data[[#This Row],[Team]],Dyno_Data[RecordType],"StartMatch",Dyno_Data[Match],Dyno_Data[[#This Row],[Match]]),0)*86400),0)</f>
        <v>0</v>
      </c>
    </row>
    <row r="1189" spans="1:35" x14ac:dyDescent="0.3">
      <c r="A1189">
        <v>1188</v>
      </c>
      <c r="B1189" t="s">
        <v>1277</v>
      </c>
      <c r="C1189">
        <v>20</v>
      </c>
      <c r="D1189" s="105">
        <v>45373.489865162039</v>
      </c>
      <c r="E1189" t="s">
        <v>312</v>
      </c>
      <c r="F1189" t="s">
        <v>1402</v>
      </c>
      <c r="G1189">
        <v>0</v>
      </c>
      <c r="H1189" t="s">
        <v>315</v>
      </c>
      <c r="I1189">
        <v>0</v>
      </c>
      <c r="J1189">
        <v>0</v>
      </c>
      <c r="K1189">
        <v>0</v>
      </c>
      <c r="L1189" t="s">
        <v>241</v>
      </c>
      <c r="M1189" t="s">
        <v>1398</v>
      </c>
      <c r="N1189">
        <v>0</v>
      </c>
      <c r="O1189" t="s">
        <v>1395</v>
      </c>
      <c r="P1189" t="s">
        <v>310</v>
      </c>
      <c r="Q1189" t="s">
        <v>310</v>
      </c>
      <c r="R1189" t="s">
        <v>310</v>
      </c>
      <c r="S1189">
        <v>9</v>
      </c>
      <c r="T1189" t="s">
        <v>310</v>
      </c>
      <c r="U1189">
        <v>9</v>
      </c>
      <c r="V1189">
        <v>9</v>
      </c>
      <c r="W1189">
        <v>0</v>
      </c>
      <c r="X1189">
        <v>0</v>
      </c>
      <c r="Y1189">
        <v>0</v>
      </c>
      <c r="Z1189">
        <v>0</v>
      </c>
      <c r="AA1189">
        <v>9</v>
      </c>
      <c r="AB1189">
        <v>9</v>
      </c>
      <c r="AC1189" t="s">
        <v>310</v>
      </c>
      <c r="AD1189">
        <v>9</v>
      </c>
      <c r="AE1189" t="s">
        <v>1417</v>
      </c>
      <c r="AF1189">
        <v>10000000</v>
      </c>
      <c r="AG1189" t="s">
        <v>310</v>
      </c>
      <c r="AH1189">
        <f>SUM((MID(Dyno_Data[[#This Row],[Team]],4,5))+(Dyno_Data[[#This Row],[Match]]/100))</f>
        <v>3360.2</v>
      </c>
      <c r="AI1189" s="76">
        <f>ROUND(SUM(IF(Dyno_Data[[#This Row],[AcqCenter]]&gt;0,Dyno_Data[[#This Row],[Time]]-SUMIFS(Dyno_Data[Time],Dyno_Data[Team],Dyno_Data[[#This Row],[Team]],Dyno_Data[RecordType],"StartMatch",Dyno_Data[Match],Dyno_Data[[#This Row],[Match]]),0)*86400),0)</f>
        <v>0</v>
      </c>
    </row>
    <row r="1190" spans="1:35" x14ac:dyDescent="0.3">
      <c r="A1190">
        <v>1189</v>
      </c>
      <c r="B1190" t="s">
        <v>367</v>
      </c>
      <c r="C1190">
        <v>20</v>
      </c>
      <c r="D1190" s="105">
        <v>45373.489923761575</v>
      </c>
      <c r="E1190" t="s">
        <v>312</v>
      </c>
      <c r="F1190" t="s">
        <v>1402</v>
      </c>
      <c r="G1190">
        <v>0</v>
      </c>
      <c r="H1190" t="s">
        <v>315</v>
      </c>
      <c r="I1190">
        <v>0</v>
      </c>
      <c r="J1190">
        <v>0</v>
      </c>
      <c r="K1190">
        <v>0</v>
      </c>
      <c r="L1190" t="s">
        <v>241</v>
      </c>
      <c r="M1190" t="s">
        <v>101</v>
      </c>
      <c r="N1190">
        <v>0</v>
      </c>
      <c r="O1190" t="s">
        <v>319</v>
      </c>
      <c r="P1190" t="s">
        <v>310</v>
      </c>
      <c r="Q1190" t="s">
        <v>310</v>
      </c>
      <c r="R1190" t="s">
        <v>310</v>
      </c>
      <c r="S1190">
        <v>9</v>
      </c>
      <c r="T1190" t="s">
        <v>310</v>
      </c>
      <c r="U1190">
        <v>9</v>
      </c>
      <c r="V1190">
        <v>9</v>
      </c>
      <c r="W1190">
        <v>0</v>
      </c>
      <c r="X1190">
        <v>0</v>
      </c>
      <c r="Y1190">
        <v>0</v>
      </c>
      <c r="Z1190">
        <v>0</v>
      </c>
      <c r="AA1190">
        <v>9</v>
      </c>
      <c r="AB1190">
        <v>9</v>
      </c>
      <c r="AC1190" t="s">
        <v>310</v>
      </c>
      <c r="AD1190">
        <v>9</v>
      </c>
      <c r="AE1190" t="s">
        <v>1413</v>
      </c>
      <c r="AF1190">
        <v>20000000</v>
      </c>
      <c r="AG1190" t="s">
        <v>310</v>
      </c>
      <c r="AH1190">
        <f>SUM((MID(Dyno_Data[[#This Row],[Team]],4,5))+(Dyno_Data[[#This Row],[Match]]/100))</f>
        <v>5016.2</v>
      </c>
      <c r="AI1190" s="76">
        <f>ROUND(SUM(IF(Dyno_Data[[#This Row],[AcqCenter]]&gt;0,Dyno_Data[[#This Row],[Time]]-SUMIFS(Dyno_Data[Time],Dyno_Data[Team],Dyno_Data[[#This Row],[Team]],Dyno_Data[RecordType],"StartMatch",Dyno_Data[Match],Dyno_Data[[#This Row],[Match]]),0)*86400),0)</f>
        <v>0</v>
      </c>
    </row>
    <row r="1191" spans="1:35" x14ac:dyDescent="0.3">
      <c r="A1191">
        <v>1190</v>
      </c>
      <c r="B1191" t="s">
        <v>362</v>
      </c>
      <c r="C1191">
        <v>20</v>
      </c>
      <c r="D1191" s="105">
        <v>45373.4899377662</v>
      </c>
      <c r="E1191" t="s">
        <v>312</v>
      </c>
      <c r="F1191" t="s">
        <v>1402</v>
      </c>
      <c r="G1191">
        <v>0</v>
      </c>
      <c r="H1191" t="s">
        <v>315</v>
      </c>
      <c r="I1191">
        <v>0</v>
      </c>
      <c r="J1191">
        <v>0</v>
      </c>
      <c r="K1191">
        <v>0</v>
      </c>
      <c r="L1191" t="s">
        <v>241</v>
      </c>
      <c r="M1191" t="s">
        <v>1398</v>
      </c>
      <c r="N1191">
        <v>0</v>
      </c>
      <c r="O1191" t="s">
        <v>1391</v>
      </c>
      <c r="P1191" t="s">
        <v>310</v>
      </c>
      <c r="Q1191" t="s">
        <v>310</v>
      </c>
      <c r="R1191" t="s">
        <v>310</v>
      </c>
      <c r="S1191">
        <v>9</v>
      </c>
      <c r="T1191" t="s">
        <v>310</v>
      </c>
      <c r="U1191">
        <v>9</v>
      </c>
      <c r="V1191">
        <v>9</v>
      </c>
      <c r="W1191">
        <v>0</v>
      </c>
      <c r="X1191">
        <v>0</v>
      </c>
      <c r="Y1191">
        <v>0</v>
      </c>
      <c r="Z1191">
        <v>0</v>
      </c>
      <c r="AA1191">
        <v>9</v>
      </c>
      <c r="AB1191">
        <v>9</v>
      </c>
      <c r="AC1191" t="s">
        <v>310</v>
      </c>
      <c r="AD1191">
        <v>9</v>
      </c>
      <c r="AE1191" t="s">
        <v>1416</v>
      </c>
      <c r="AF1191">
        <v>20000000</v>
      </c>
      <c r="AG1191" t="s">
        <v>310</v>
      </c>
      <c r="AH1191">
        <f>SUM((MID(Dyno_Data[[#This Row],[Team]],4,5))+(Dyno_Data[[#This Row],[Match]]/100))</f>
        <v>250.2</v>
      </c>
      <c r="AI1191" s="76">
        <f>ROUND(SUM(IF(Dyno_Data[[#This Row],[AcqCenter]]&gt;0,Dyno_Data[[#This Row],[Time]]-SUMIFS(Dyno_Data[Time],Dyno_Data[Team],Dyno_Data[[#This Row],[Team]],Dyno_Data[RecordType],"StartMatch",Dyno_Data[Match],Dyno_Data[[#This Row],[Match]]),0)*86400),0)</f>
        <v>0</v>
      </c>
    </row>
    <row r="1192" spans="1:35" x14ac:dyDescent="0.3">
      <c r="A1192">
        <v>1191</v>
      </c>
      <c r="B1192" t="s">
        <v>368</v>
      </c>
      <c r="C1192">
        <v>20</v>
      </c>
      <c r="D1192" s="105">
        <v>45373.490049849534</v>
      </c>
      <c r="E1192" t="s">
        <v>312</v>
      </c>
      <c r="F1192" t="s">
        <v>1402</v>
      </c>
      <c r="G1192">
        <v>0</v>
      </c>
      <c r="H1192" t="s">
        <v>315</v>
      </c>
      <c r="I1192">
        <v>0</v>
      </c>
      <c r="J1192">
        <v>0</v>
      </c>
      <c r="K1192">
        <v>0</v>
      </c>
      <c r="L1192" t="s">
        <v>241</v>
      </c>
      <c r="M1192" t="s">
        <v>1398</v>
      </c>
      <c r="N1192">
        <v>1</v>
      </c>
      <c r="O1192" t="s">
        <v>1389</v>
      </c>
      <c r="P1192" t="s">
        <v>310</v>
      </c>
      <c r="Q1192" t="s">
        <v>310</v>
      </c>
      <c r="R1192" t="s">
        <v>310</v>
      </c>
      <c r="S1192">
        <v>9</v>
      </c>
      <c r="T1192" t="s">
        <v>310</v>
      </c>
      <c r="U1192">
        <v>9</v>
      </c>
      <c r="V1192">
        <v>9</v>
      </c>
      <c r="W1192">
        <v>0</v>
      </c>
      <c r="X1192">
        <v>0</v>
      </c>
      <c r="Y1192">
        <v>0</v>
      </c>
      <c r="Z1192">
        <v>0</v>
      </c>
      <c r="AA1192">
        <v>9</v>
      </c>
      <c r="AB1192">
        <v>9</v>
      </c>
      <c r="AC1192" t="s">
        <v>310</v>
      </c>
      <c r="AD1192">
        <v>9</v>
      </c>
      <c r="AE1192" t="s">
        <v>1418</v>
      </c>
      <c r="AF1192">
        <v>10000000</v>
      </c>
      <c r="AG1192" t="s">
        <v>310</v>
      </c>
      <c r="AH1192">
        <f>SUM((MID(Dyno_Data[[#This Row],[Team]],4,5))+(Dyno_Data[[#This Row],[Match]]/100))</f>
        <v>6401.2</v>
      </c>
      <c r="AI1192" s="76">
        <f>ROUND(SUM(IF(Dyno_Data[[#This Row],[AcqCenter]]&gt;0,Dyno_Data[[#This Row],[Time]]-SUMIFS(Dyno_Data[Time],Dyno_Data[Team],Dyno_Data[[#This Row],[Team]],Dyno_Data[RecordType],"StartMatch",Dyno_Data[Match],Dyno_Data[[#This Row],[Match]]),0)*86400),0)</f>
        <v>0</v>
      </c>
    </row>
    <row r="1193" spans="1:35" x14ac:dyDescent="0.3">
      <c r="A1193">
        <v>1192</v>
      </c>
      <c r="B1193" t="s">
        <v>1317</v>
      </c>
      <c r="C1193">
        <v>20</v>
      </c>
      <c r="D1193" s="105">
        <v>45373.490110497682</v>
      </c>
      <c r="E1193" t="s">
        <v>312</v>
      </c>
      <c r="F1193" t="s">
        <v>1402</v>
      </c>
      <c r="G1193">
        <v>0</v>
      </c>
      <c r="H1193" t="s">
        <v>315</v>
      </c>
      <c r="I1193">
        <v>0</v>
      </c>
      <c r="J1193">
        <v>0</v>
      </c>
      <c r="K1193">
        <v>0</v>
      </c>
      <c r="L1193" t="s">
        <v>241</v>
      </c>
      <c r="M1193" t="s">
        <v>1398</v>
      </c>
      <c r="N1193">
        <v>0</v>
      </c>
      <c r="O1193" t="s">
        <v>311</v>
      </c>
      <c r="P1193" t="s">
        <v>310</v>
      </c>
      <c r="Q1193" t="s">
        <v>310</v>
      </c>
      <c r="R1193" t="s">
        <v>310</v>
      </c>
      <c r="S1193">
        <v>9</v>
      </c>
      <c r="T1193" t="s">
        <v>310</v>
      </c>
      <c r="U1193">
        <v>9</v>
      </c>
      <c r="V1193">
        <v>9</v>
      </c>
      <c r="W1193">
        <v>0</v>
      </c>
      <c r="X1193">
        <v>0</v>
      </c>
      <c r="Y1193">
        <v>0</v>
      </c>
      <c r="Z1193">
        <v>0</v>
      </c>
      <c r="AA1193">
        <v>9</v>
      </c>
      <c r="AB1193">
        <v>9</v>
      </c>
      <c r="AC1193" t="s">
        <v>310</v>
      </c>
      <c r="AD1193">
        <v>9</v>
      </c>
      <c r="AE1193" t="s">
        <v>1412</v>
      </c>
      <c r="AF1193">
        <v>40000000</v>
      </c>
      <c r="AG1193" t="s">
        <v>310</v>
      </c>
      <c r="AH1193">
        <f>SUM((MID(Dyno_Data[[#This Row],[Team]],4,5))+(Dyno_Data[[#This Row],[Match]]/100))</f>
        <v>296.2</v>
      </c>
      <c r="AI1193" s="76">
        <f>ROUND(SUM(IF(Dyno_Data[[#This Row],[AcqCenter]]&gt;0,Dyno_Data[[#This Row],[Time]]-SUMIFS(Dyno_Data[Time],Dyno_Data[Team],Dyno_Data[[#This Row],[Team]],Dyno_Data[RecordType],"StartMatch",Dyno_Data[Match],Dyno_Data[[#This Row],[Match]]),0)*86400),0)</f>
        <v>0</v>
      </c>
    </row>
    <row r="1194" spans="1:35" x14ac:dyDescent="0.3">
      <c r="A1194">
        <v>1193</v>
      </c>
      <c r="B1194" t="s">
        <v>1308</v>
      </c>
      <c r="C1194">
        <v>20</v>
      </c>
      <c r="D1194" s="105">
        <v>45373.490122835647</v>
      </c>
      <c r="E1194" t="s">
        <v>312</v>
      </c>
      <c r="F1194" t="s">
        <v>1402</v>
      </c>
      <c r="G1194">
        <v>0</v>
      </c>
      <c r="H1194" t="s">
        <v>315</v>
      </c>
      <c r="I1194">
        <v>0</v>
      </c>
      <c r="J1194">
        <v>0</v>
      </c>
      <c r="K1194">
        <v>0</v>
      </c>
      <c r="L1194" t="s">
        <v>240</v>
      </c>
      <c r="M1194" t="s">
        <v>1398</v>
      </c>
      <c r="N1194">
        <v>0</v>
      </c>
      <c r="O1194" t="s">
        <v>1393</v>
      </c>
      <c r="P1194" t="s">
        <v>310</v>
      </c>
      <c r="Q1194" t="s">
        <v>310</v>
      </c>
      <c r="R1194" t="s">
        <v>310</v>
      </c>
      <c r="S1194">
        <v>9</v>
      </c>
      <c r="T1194" t="s">
        <v>310</v>
      </c>
      <c r="U1194">
        <v>9</v>
      </c>
      <c r="V1194">
        <v>9</v>
      </c>
      <c r="W1194">
        <v>0</v>
      </c>
      <c r="X1194">
        <v>0</v>
      </c>
      <c r="Y1194">
        <v>0</v>
      </c>
      <c r="Z1194">
        <v>0</v>
      </c>
      <c r="AA1194">
        <v>9</v>
      </c>
      <c r="AB1194">
        <v>9</v>
      </c>
      <c r="AC1194" t="s">
        <v>310</v>
      </c>
      <c r="AD1194">
        <v>9</v>
      </c>
      <c r="AE1194" t="s">
        <v>1414</v>
      </c>
      <c r="AF1194">
        <v>40000000</v>
      </c>
      <c r="AG1194" t="s">
        <v>310</v>
      </c>
      <c r="AH1194">
        <f>SUM((MID(Dyno_Data[[#This Row],[Team]],4,5))+(Dyno_Data[[#This Row],[Match]]/100))</f>
        <v>3799.2</v>
      </c>
      <c r="AI1194" s="76">
        <f>ROUND(SUM(IF(Dyno_Data[[#This Row],[AcqCenter]]&gt;0,Dyno_Data[[#This Row],[Time]]-SUMIFS(Dyno_Data[Time],Dyno_Data[Team],Dyno_Data[[#This Row],[Team]],Dyno_Data[RecordType],"StartMatch",Dyno_Data[Match],Dyno_Data[[#This Row],[Match]]),0)*86400),0)</f>
        <v>0</v>
      </c>
    </row>
    <row r="1195" spans="1:35" x14ac:dyDescent="0.3">
      <c r="A1195">
        <v>1194</v>
      </c>
      <c r="B1195" t="s">
        <v>362</v>
      </c>
      <c r="C1195">
        <v>20</v>
      </c>
      <c r="D1195" s="105">
        <v>45373.490164236115</v>
      </c>
      <c r="E1195" t="s">
        <v>312</v>
      </c>
      <c r="F1195" t="s">
        <v>1402</v>
      </c>
      <c r="G1195">
        <v>0</v>
      </c>
      <c r="H1195" t="s">
        <v>315</v>
      </c>
      <c r="I1195">
        <v>0</v>
      </c>
      <c r="J1195">
        <v>0</v>
      </c>
      <c r="K1195">
        <v>0</v>
      </c>
      <c r="L1195" t="s">
        <v>240</v>
      </c>
      <c r="M1195" t="s">
        <v>241</v>
      </c>
      <c r="N1195">
        <v>0</v>
      </c>
      <c r="O1195" t="s">
        <v>1391</v>
      </c>
      <c r="P1195" t="s">
        <v>310</v>
      </c>
      <c r="Q1195" t="s">
        <v>310</v>
      </c>
      <c r="R1195" t="s">
        <v>310</v>
      </c>
      <c r="S1195">
        <v>9</v>
      </c>
      <c r="T1195" t="s">
        <v>310</v>
      </c>
      <c r="U1195">
        <v>9</v>
      </c>
      <c r="V1195">
        <v>9</v>
      </c>
      <c r="W1195">
        <v>0</v>
      </c>
      <c r="X1195">
        <v>0</v>
      </c>
      <c r="Y1195">
        <v>0</v>
      </c>
      <c r="Z1195">
        <v>0</v>
      </c>
      <c r="AA1195">
        <v>9</v>
      </c>
      <c r="AB1195">
        <v>9</v>
      </c>
      <c r="AC1195" t="s">
        <v>310</v>
      </c>
      <c r="AD1195">
        <v>9</v>
      </c>
      <c r="AE1195" t="s">
        <v>1416</v>
      </c>
      <c r="AF1195">
        <v>30000000</v>
      </c>
      <c r="AG1195" t="s">
        <v>310</v>
      </c>
      <c r="AH1195">
        <f>SUM((MID(Dyno_Data[[#This Row],[Team]],4,5))+(Dyno_Data[[#This Row],[Match]]/100))</f>
        <v>250.2</v>
      </c>
      <c r="AI1195" s="76">
        <f>ROUND(SUM(IF(Dyno_Data[[#This Row],[AcqCenter]]&gt;0,Dyno_Data[[#This Row],[Time]]-SUMIFS(Dyno_Data[Time],Dyno_Data[Team],Dyno_Data[[#This Row],[Team]],Dyno_Data[RecordType],"StartMatch",Dyno_Data[Match],Dyno_Data[[#This Row],[Match]]),0)*86400),0)</f>
        <v>0</v>
      </c>
    </row>
    <row r="1196" spans="1:35" x14ac:dyDescent="0.3">
      <c r="A1196">
        <v>1195</v>
      </c>
      <c r="B1196" t="s">
        <v>1277</v>
      </c>
      <c r="C1196">
        <v>20</v>
      </c>
      <c r="D1196" s="105">
        <v>45373.490196145831</v>
      </c>
      <c r="E1196" t="s">
        <v>312</v>
      </c>
      <c r="F1196" t="s">
        <v>1402</v>
      </c>
      <c r="G1196">
        <v>0</v>
      </c>
      <c r="H1196" t="s">
        <v>315</v>
      </c>
      <c r="I1196">
        <v>0</v>
      </c>
      <c r="J1196">
        <v>0</v>
      </c>
      <c r="K1196">
        <v>0</v>
      </c>
      <c r="L1196" t="s">
        <v>241</v>
      </c>
      <c r="M1196" t="s">
        <v>1398</v>
      </c>
      <c r="N1196">
        <v>0</v>
      </c>
      <c r="O1196" t="s">
        <v>1395</v>
      </c>
      <c r="P1196" t="s">
        <v>310</v>
      </c>
      <c r="Q1196" t="s">
        <v>310</v>
      </c>
      <c r="R1196" t="s">
        <v>310</v>
      </c>
      <c r="S1196">
        <v>9</v>
      </c>
      <c r="T1196" t="s">
        <v>310</v>
      </c>
      <c r="U1196">
        <v>9</v>
      </c>
      <c r="V1196">
        <v>9</v>
      </c>
      <c r="W1196">
        <v>0</v>
      </c>
      <c r="X1196">
        <v>0</v>
      </c>
      <c r="Y1196">
        <v>0</v>
      </c>
      <c r="Z1196">
        <v>0</v>
      </c>
      <c r="AA1196">
        <v>9</v>
      </c>
      <c r="AB1196">
        <v>9</v>
      </c>
      <c r="AC1196" t="s">
        <v>310</v>
      </c>
      <c r="AD1196">
        <v>9</v>
      </c>
      <c r="AE1196" t="s">
        <v>1417</v>
      </c>
      <c r="AF1196">
        <v>20000000</v>
      </c>
      <c r="AG1196" t="s">
        <v>310</v>
      </c>
      <c r="AH1196">
        <f>SUM((MID(Dyno_Data[[#This Row],[Team]],4,5))+(Dyno_Data[[#This Row],[Match]]/100))</f>
        <v>3360.2</v>
      </c>
      <c r="AI1196" s="76">
        <f>ROUND(SUM(IF(Dyno_Data[[#This Row],[AcqCenter]]&gt;0,Dyno_Data[[#This Row],[Time]]-SUMIFS(Dyno_Data[Time],Dyno_Data[Team],Dyno_Data[[#This Row],[Team]],Dyno_Data[RecordType],"StartMatch",Dyno_Data[Match],Dyno_Data[[#This Row],[Match]]),0)*86400),0)</f>
        <v>0</v>
      </c>
    </row>
    <row r="1197" spans="1:35" x14ac:dyDescent="0.3">
      <c r="A1197">
        <v>1196</v>
      </c>
      <c r="B1197" t="s">
        <v>1308</v>
      </c>
      <c r="C1197">
        <v>20</v>
      </c>
      <c r="D1197" s="105">
        <v>45373.49028888889</v>
      </c>
      <c r="E1197" t="s">
        <v>312</v>
      </c>
      <c r="F1197" t="s">
        <v>1402</v>
      </c>
      <c r="G1197">
        <v>0</v>
      </c>
      <c r="H1197" t="s">
        <v>315</v>
      </c>
      <c r="I1197">
        <v>0</v>
      </c>
      <c r="J1197">
        <v>0</v>
      </c>
      <c r="K1197">
        <v>0</v>
      </c>
      <c r="L1197" t="s">
        <v>241</v>
      </c>
      <c r="M1197" t="s">
        <v>1398</v>
      </c>
      <c r="N1197">
        <v>0</v>
      </c>
      <c r="O1197" t="s">
        <v>1393</v>
      </c>
      <c r="P1197" t="s">
        <v>310</v>
      </c>
      <c r="Q1197" t="s">
        <v>310</v>
      </c>
      <c r="R1197" t="s">
        <v>310</v>
      </c>
      <c r="S1197">
        <v>9</v>
      </c>
      <c r="T1197" t="s">
        <v>310</v>
      </c>
      <c r="U1197">
        <v>9</v>
      </c>
      <c r="V1197">
        <v>9</v>
      </c>
      <c r="W1197">
        <v>0</v>
      </c>
      <c r="X1197">
        <v>0</v>
      </c>
      <c r="Y1197">
        <v>0</v>
      </c>
      <c r="Z1197">
        <v>0</v>
      </c>
      <c r="AA1197">
        <v>9</v>
      </c>
      <c r="AB1197">
        <v>9</v>
      </c>
      <c r="AC1197" t="s">
        <v>310</v>
      </c>
      <c r="AD1197">
        <v>9</v>
      </c>
      <c r="AE1197" t="s">
        <v>1414</v>
      </c>
      <c r="AF1197">
        <v>50000000</v>
      </c>
      <c r="AG1197" t="s">
        <v>310</v>
      </c>
      <c r="AH1197">
        <f>SUM((MID(Dyno_Data[[#This Row],[Team]],4,5))+(Dyno_Data[[#This Row],[Match]]/100))</f>
        <v>3799.2</v>
      </c>
      <c r="AI1197" s="76">
        <f>ROUND(SUM(IF(Dyno_Data[[#This Row],[AcqCenter]]&gt;0,Dyno_Data[[#This Row],[Time]]-SUMIFS(Dyno_Data[Time],Dyno_Data[Team],Dyno_Data[[#This Row],[Team]],Dyno_Data[RecordType],"StartMatch",Dyno_Data[Match],Dyno_Data[[#This Row],[Match]]),0)*86400),0)</f>
        <v>0</v>
      </c>
    </row>
    <row r="1198" spans="1:35" x14ac:dyDescent="0.3">
      <c r="A1198">
        <v>1197</v>
      </c>
      <c r="B1198" t="s">
        <v>367</v>
      </c>
      <c r="C1198">
        <v>20</v>
      </c>
      <c r="D1198" s="105">
        <v>45373.490297488424</v>
      </c>
      <c r="E1198" t="s">
        <v>312</v>
      </c>
      <c r="F1198" t="s">
        <v>1402</v>
      </c>
      <c r="G1198">
        <v>0</v>
      </c>
      <c r="H1198" t="s">
        <v>315</v>
      </c>
      <c r="I1198">
        <v>0</v>
      </c>
      <c r="J1198">
        <v>0</v>
      </c>
      <c r="K1198">
        <v>0</v>
      </c>
      <c r="L1198" t="s">
        <v>241</v>
      </c>
      <c r="M1198" t="s">
        <v>1398</v>
      </c>
      <c r="N1198">
        <v>0</v>
      </c>
      <c r="O1198" t="s">
        <v>319</v>
      </c>
      <c r="P1198" t="s">
        <v>310</v>
      </c>
      <c r="Q1198" t="s">
        <v>310</v>
      </c>
      <c r="R1198" t="s">
        <v>310</v>
      </c>
      <c r="S1198">
        <v>9</v>
      </c>
      <c r="T1198" t="s">
        <v>310</v>
      </c>
      <c r="U1198">
        <v>9</v>
      </c>
      <c r="V1198">
        <v>9</v>
      </c>
      <c r="W1198">
        <v>0</v>
      </c>
      <c r="X1198">
        <v>0</v>
      </c>
      <c r="Y1198">
        <v>0</v>
      </c>
      <c r="Z1198">
        <v>0</v>
      </c>
      <c r="AA1198">
        <v>9</v>
      </c>
      <c r="AB1198">
        <v>9</v>
      </c>
      <c r="AC1198" t="s">
        <v>310</v>
      </c>
      <c r="AD1198">
        <v>9</v>
      </c>
      <c r="AE1198" t="s">
        <v>1413</v>
      </c>
      <c r="AF1198">
        <v>30000000</v>
      </c>
      <c r="AG1198" t="s">
        <v>310</v>
      </c>
      <c r="AH1198">
        <f>SUM((MID(Dyno_Data[[#This Row],[Team]],4,5))+(Dyno_Data[[#This Row],[Match]]/100))</f>
        <v>5016.2</v>
      </c>
      <c r="AI1198" s="76">
        <f>ROUND(SUM(IF(Dyno_Data[[#This Row],[AcqCenter]]&gt;0,Dyno_Data[[#This Row],[Time]]-SUMIFS(Dyno_Data[Time],Dyno_Data[Team],Dyno_Data[[#This Row],[Team]],Dyno_Data[RecordType],"StartMatch",Dyno_Data[Match],Dyno_Data[[#This Row],[Match]]),0)*86400),0)</f>
        <v>0</v>
      </c>
    </row>
    <row r="1199" spans="1:35" x14ac:dyDescent="0.3">
      <c r="A1199">
        <v>1198</v>
      </c>
      <c r="B1199" t="s">
        <v>1317</v>
      </c>
      <c r="C1199">
        <v>20</v>
      </c>
      <c r="D1199" s="105">
        <v>45373.490406400466</v>
      </c>
      <c r="E1199" t="s">
        <v>312</v>
      </c>
      <c r="F1199" t="s">
        <v>1402</v>
      </c>
      <c r="G1199">
        <v>0</v>
      </c>
      <c r="H1199" t="s">
        <v>315</v>
      </c>
      <c r="I1199">
        <v>0</v>
      </c>
      <c r="J1199">
        <v>0</v>
      </c>
      <c r="K1199">
        <v>0</v>
      </c>
      <c r="L1199" t="s">
        <v>241</v>
      </c>
      <c r="M1199" t="s">
        <v>1398</v>
      </c>
      <c r="N1199">
        <v>0</v>
      </c>
      <c r="O1199" t="s">
        <v>311</v>
      </c>
      <c r="P1199" t="s">
        <v>310</v>
      </c>
      <c r="Q1199" t="s">
        <v>310</v>
      </c>
      <c r="R1199" t="s">
        <v>310</v>
      </c>
      <c r="S1199">
        <v>9</v>
      </c>
      <c r="T1199" t="s">
        <v>310</v>
      </c>
      <c r="U1199">
        <v>9</v>
      </c>
      <c r="V1199">
        <v>9</v>
      </c>
      <c r="W1199">
        <v>0</v>
      </c>
      <c r="X1199">
        <v>0</v>
      </c>
      <c r="Y1199">
        <v>0</v>
      </c>
      <c r="Z1199">
        <v>0</v>
      </c>
      <c r="AA1199">
        <v>9</v>
      </c>
      <c r="AB1199">
        <v>9</v>
      </c>
      <c r="AC1199" t="s">
        <v>310</v>
      </c>
      <c r="AD1199">
        <v>9</v>
      </c>
      <c r="AE1199" t="s">
        <v>1412</v>
      </c>
      <c r="AF1199">
        <v>50000000</v>
      </c>
      <c r="AG1199" t="s">
        <v>310</v>
      </c>
      <c r="AH1199">
        <f>SUM((MID(Dyno_Data[[#This Row],[Team]],4,5))+(Dyno_Data[[#This Row],[Match]]/100))</f>
        <v>296.2</v>
      </c>
      <c r="AI1199" s="76">
        <f>ROUND(SUM(IF(Dyno_Data[[#This Row],[AcqCenter]]&gt;0,Dyno_Data[[#This Row],[Time]]-SUMIFS(Dyno_Data[Time],Dyno_Data[Team],Dyno_Data[[#This Row],[Team]],Dyno_Data[RecordType],"StartMatch",Dyno_Data[Match],Dyno_Data[[#This Row],[Match]]),0)*86400),0)</f>
        <v>0</v>
      </c>
    </row>
    <row r="1200" spans="1:35" x14ac:dyDescent="0.3">
      <c r="A1200">
        <v>1199</v>
      </c>
      <c r="B1200" t="s">
        <v>1277</v>
      </c>
      <c r="C1200">
        <v>20</v>
      </c>
      <c r="D1200" s="105">
        <v>45373.490417245368</v>
      </c>
      <c r="E1200" t="s">
        <v>312</v>
      </c>
      <c r="F1200" t="s">
        <v>1402</v>
      </c>
      <c r="G1200">
        <v>0</v>
      </c>
      <c r="H1200" t="s">
        <v>315</v>
      </c>
      <c r="I1200">
        <v>0</v>
      </c>
      <c r="J1200">
        <v>0</v>
      </c>
      <c r="K1200">
        <v>0</v>
      </c>
      <c r="L1200" t="s">
        <v>241</v>
      </c>
      <c r="M1200" t="s">
        <v>101</v>
      </c>
      <c r="N1200">
        <v>0</v>
      </c>
      <c r="O1200" t="s">
        <v>1395</v>
      </c>
      <c r="P1200" t="s">
        <v>310</v>
      </c>
      <c r="Q1200" t="s">
        <v>310</v>
      </c>
      <c r="R1200" t="s">
        <v>310</v>
      </c>
      <c r="S1200">
        <v>9</v>
      </c>
      <c r="T1200" t="s">
        <v>310</v>
      </c>
      <c r="U1200">
        <v>9</v>
      </c>
      <c r="V1200">
        <v>9</v>
      </c>
      <c r="W1200">
        <v>0</v>
      </c>
      <c r="X1200">
        <v>0</v>
      </c>
      <c r="Y1200">
        <v>0</v>
      </c>
      <c r="Z1200">
        <v>0</v>
      </c>
      <c r="AA1200">
        <v>9</v>
      </c>
      <c r="AB1200">
        <v>9</v>
      </c>
      <c r="AC1200" t="s">
        <v>310</v>
      </c>
      <c r="AD1200">
        <v>9</v>
      </c>
      <c r="AE1200" t="s">
        <v>1417</v>
      </c>
      <c r="AF1200">
        <v>30000000</v>
      </c>
      <c r="AG1200" t="s">
        <v>310</v>
      </c>
      <c r="AH1200">
        <f>SUM((MID(Dyno_Data[[#This Row],[Team]],4,5))+(Dyno_Data[[#This Row],[Match]]/100))</f>
        <v>3360.2</v>
      </c>
      <c r="AI1200" s="76">
        <f>ROUND(SUM(IF(Dyno_Data[[#This Row],[AcqCenter]]&gt;0,Dyno_Data[[#This Row],[Time]]-SUMIFS(Dyno_Data[Time],Dyno_Data[Team],Dyno_Data[[#This Row],[Team]],Dyno_Data[RecordType],"StartMatch",Dyno_Data[Match],Dyno_Data[[#This Row],[Match]]),0)*86400),0)</f>
        <v>0</v>
      </c>
    </row>
    <row r="1201" spans="1:35" x14ac:dyDescent="0.3">
      <c r="A1201">
        <v>1200</v>
      </c>
      <c r="B1201" t="s">
        <v>1308</v>
      </c>
      <c r="C1201">
        <v>20</v>
      </c>
      <c r="D1201" s="105">
        <v>45373.490535879631</v>
      </c>
      <c r="E1201" t="s">
        <v>312</v>
      </c>
      <c r="F1201" t="s">
        <v>1402</v>
      </c>
      <c r="G1201">
        <v>0</v>
      </c>
      <c r="H1201" t="s">
        <v>315</v>
      </c>
      <c r="I1201">
        <v>0</v>
      </c>
      <c r="J1201">
        <v>0</v>
      </c>
      <c r="K1201">
        <v>0</v>
      </c>
      <c r="L1201" t="s">
        <v>241</v>
      </c>
      <c r="M1201" t="s">
        <v>1398</v>
      </c>
      <c r="N1201">
        <v>0</v>
      </c>
      <c r="O1201" t="s">
        <v>1393</v>
      </c>
      <c r="P1201" t="s">
        <v>310</v>
      </c>
      <c r="Q1201" t="s">
        <v>310</v>
      </c>
      <c r="R1201" t="s">
        <v>310</v>
      </c>
      <c r="S1201">
        <v>9</v>
      </c>
      <c r="T1201" t="s">
        <v>310</v>
      </c>
      <c r="U1201">
        <v>9</v>
      </c>
      <c r="V1201">
        <v>9</v>
      </c>
      <c r="W1201">
        <v>0</v>
      </c>
      <c r="X1201">
        <v>0</v>
      </c>
      <c r="Y1201">
        <v>0</v>
      </c>
      <c r="Z1201">
        <v>0</v>
      </c>
      <c r="AA1201">
        <v>9</v>
      </c>
      <c r="AB1201">
        <v>9</v>
      </c>
      <c r="AC1201" t="s">
        <v>310</v>
      </c>
      <c r="AD1201">
        <v>9</v>
      </c>
      <c r="AE1201" t="s">
        <v>1414</v>
      </c>
      <c r="AF1201">
        <v>60000000</v>
      </c>
      <c r="AG1201" t="s">
        <v>310</v>
      </c>
      <c r="AH1201">
        <f>SUM((MID(Dyno_Data[[#This Row],[Team]],4,5))+(Dyno_Data[[#This Row],[Match]]/100))</f>
        <v>3799.2</v>
      </c>
      <c r="AI1201" s="76">
        <f>ROUND(SUM(IF(Dyno_Data[[#This Row],[AcqCenter]]&gt;0,Dyno_Data[[#This Row],[Time]]-SUMIFS(Dyno_Data[Time],Dyno_Data[Team],Dyno_Data[[#This Row],[Team]],Dyno_Data[RecordType],"StartMatch",Dyno_Data[Match],Dyno_Data[[#This Row],[Match]]),0)*86400),0)</f>
        <v>0</v>
      </c>
    </row>
    <row r="1202" spans="1:35" x14ac:dyDescent="0.3">
      <c r="A1202">
        <v>1201</v>
      </c>
      <c r="B1202" t="s">
        <v>368</v>
      </c>
      <c r="C1202">
        <v>20</v>
      </c>
      <c r="D1202" s="105">
        <v>45373.490590428242</v>
      </c>
      <c r="E1202" t="s">
        <v>312</v>
      </c>
      <c r="F1202" t="s">
        <v>1402</v>
      </c>
      <c r="G1202">
        <v>0</v>
      </c>
      <c r="H1202" t="s">
        <v>315</v>
      </c>
      <c r="I1202">
        <v>0</v>
      </c>
      <c r="J1202">
        <v>0</v>
      </c>
      <c r="K1202">
        <v>0</v>
      </c>
      <c r="L1202" t="s">
        <v>241</v>
      </c>
      <c r="M1202" t="s">
        <v>1398</v>
      </c>
      <c r="N1202">
        <v>0</v>
      </c>
      <c r="O1202" t="s">
        <v>1389</v>
      </c>
      <c r="P1202" t="s">
        <v>310</v>
      </c>
      <c r="Q1202" t="s">
        <v>310</v>
      </c>
      <c r="R1202" t="s">
        <v>310</v>
      </c>
      <c r="S1202">
        <v>9</v>
      </c>
      <c r="T1202" t="s">
        <v>310</v>
      </c>
      <c r="U1202">
        <v>9</v>
      </c>
      <c r="V1202">
        <v>9</v>
      </c>
      <c r="W1202">
        <v>0</v>
      </c>
      <c r="X1202">
        <v>0</v>
      </c>
      <c r="Y1202">
        <v>0</v>
      </c>
      <c r="Z1202">
        <v>0</v>
      </c>
      <c r="AA1202">
        <v>9</v>
      </c>
      <c r="AB1202">
        <v>9</v>
      </c>
      <c r="AC1202" t="s">
        <v>310</v>
      </c>
      <c r="AD1202">
        <v>9</v>
      </c>
      <c r="AE1202" t="s">
        <v>1418</v>
      </c>
      <c r="AF1202">
        <v>20000000</v>
      </c>
      <c r="AG1202" t="s">
        <v>310</v>
      </c>
      <c r="AH1202">
        <f>SUM((MID(Dyno_Data[[#This Row],[Team]],4,5))+(Dyno_Data[[#This Row],[Match]]/100))</f>
        <v>6401.2</v>
      </c>
      <c r="AI1202" s="76">
        <f>ROUND(SUM(IF(Dyno_Data[[#This Row],[AcqCenter]]&gt;0,Dyno_Data[[#This Row],[Time]]-SUMIFS(Dyno_Data[Time],Dyno_Data[Team],Dyno_Data[[#This Row],[Team]],Dyno_Data[RecordType],"StartMatch",Dyno_Data[Match],Dyno_Data[[#This Row],[Match]]),0)*86400),0)</f>
        <v>0</v>
      </c>
    </row>
    <row r="1203" spans="1:35" x14ac:dyDescent="0.3">
      <c r="A1203">
        <v>1202</v>
      </c>
      <c r="B1203" t="s">
        <v>368</v>
      </c>
      <c r="C1203">
        <v>20</v>
      </c>
      <c r="D1203" s="105">
        <v>45373.490614386574</v>
      </c>
      <c r="E1203" t="s">
        <v>1403</v>
      </c>
      <c r="F1203" t="s">
        <v>1402</v>
      </c>
      <c r="G1203">
        <v>0</v>
      </c>
      <c r="H1203" t="s">
        <v>310</v>
      </c>
      <c r="I1203">
        <v>0</v>
      </c>
      <c r="J1203">
        <v>0</v>
      </c>
      <c r="K1203">
        <v>0</v>
      </c>
      <c r="L1203" t="s">
        <v>310</v>
      </c>
      <c r="M1203" t="s">
        <v>310</v>
      </c>
      <c r="N1203">
        <v>0</v>
      </c>
      <c r="O1203" t="s">
        <v>1389</v>
      </c>
      <c r="P1203" t="s">
        <v>310</v>
      </c>
      <c r="Q1203" t="s">
        <v>310</v>
      </c>
      <c r="R1203" t="s">
        <v>310</v>
      </c>
      <c r="S1203">
        <v>9</v>
      </c>
      <c r="T1203" t="s">
        <v>310</v>
      </c>
      <c r="U1203">
        <v>9</v>
      </c>
      <c r="V1203">
        <v>9</v>
      </c>
      <c r="W1203">
        <v>0</v>
      </c>
      <c r="X1203">
        <v>0</v>
      </c>
      <c r="Y1203">
        <v>0</v>
      </c>
      <c r="Z1203">
        <v>0</v>
      </c>
      <c r="AA1203">
        <v>9</v>
      </c>
      <c r="AB1203">
        <v>9</v>
      </c>
      <c r="AC1203" t="s">
        <v>310</v>
      </c>
      <c r="AD1203">
        <v>9</v>
      </c>
      <c r="AE1203" t="s">
        <v>1418</v>
      </c>
      <c r="AF1203">
        <v>20000000</v>
      </c>
      <c r="AG1203" t="s">
        <v>248</v>
      </c>
      <c r="AH1203">
        <f>SUM((MID(Dyno_Data[[#This Row],[Team]],4,5))+(Dyno_Data[[#This Row],[Match]]/100))</f>
        <v>6401.2</v>
      </c>
      <c r="AI1203" s="76">
        <f>ROUND(SUM(IF(Dyno_Data[[#This Row],[AcqCenter]]&gt;0,Dyno_Data[[#This Row],[Time]]-SUMIFS(Dyno_Data[Time],Dyno_Data[Team],Dyno_Data[[#This Row],[Team]],Dyno_Data[RecordType],"StartMatch",Dyno_Data[Match],Dyno_Data[[#This Row],[Match]]),0)*86400),0)</f>
        <v>0</v>
      </c>
    </row>
    <row r="1204" spans="1:35" x14ac:dyDescent="0.3">
      <c r="A1204">
        <v>1203</v>
      </c>
      <c r="B1204" t="s">
        <v>367</v>
      </c>
      <c r="C1204">
        <v>20</v>
      </c>
      <c r="D1204" s="105">
        <v>45373.490635381946</v>
      </c>
      <c r="E1204" t="s">
        <v>312</v>
      </c>
      <c r="F1204" t="s">
        <v>1402</v>
      </c>
      <c r="G1204">
        <v>0</v>
      </c>
      <c r="H1204" t="s">
        <v>315</v>
      </c>
      <c r="I1204">
        <v>0</v>
      </c>
      <c r="J1204">
        <v>0</v>
      </c>
      <c r="K1204">
        <v>0</v>
      </c>
      <c r="L1204" t="s">
        <v>240</v>
      </c>
      <c r="M1204" t="s">
        <v>1398</v>
      </c>
      <c r="N1204">
        <v>0</v>
      </c>
      <c r="O1204" t="s">
        <v>319</v>
      </c>
      <c r="P1204" t="s">
        <v>310</v>
      </c>
      <c r="Q1204" t="s">
        <v>310</v>
      </c>
      <c r="R1204" t="s">
        <v>310</v>
      </c>
      <c r="S1204">
        <v>9</v>
      </c>
      <c r="T1204" t="s">
        <v>310</v>
      </c>
      <c r="U1204">
        <v>9</v>
      </c>
      <c r="V1204">
        <v>9</v>
      </c>
      <c r="W1204">
        <v>0</v>
      </c>
      <c r="X1204">
        <v>0</v>
      </c>
      <c r="Y1204">
        <v>0</v>
      </c>
      <c r="Z1204">
        <v>0</v>
      </c>
      <c r="AA1204">
        <v>9</v>
      </c>
      <c r="AB1204">
        <v>9</v>
      </c>
      <c r="AC1204" t="s">
        <v>310</v>
      </c>
      <c r="AD1204">
        <v>9</v>
      </c>
      <c r="AE1204" t="s">
        <v>1413</v>
      </c>
      <c r="AF1204">
        <v>40000000</v>
      </c>
      <c r="AG1204" t="s">
        <v>310</v>
      </c>
      <c r="AH1204">
        <f>SUM((MID(Dyno_Data[[#This Row],[Team]],4,5))+(Dyno_Data[[#This Row],[Match]]/100))</f>
        <v>5016.2</v>
      </c>
      <c r="AI1204" s="76">
        <f>ROUND(SUM(IF(Dyno_Data[[#This Row],[AcqCenter]]&gt;0,Dyno_Data[[#This Row],[Time]]-SUMIFS(Dyno_Data[Time],Dyno_Data[Team],Dyno_Data[[#This Row],[Team]],Dyno_Data[RecordType],"StartMatch",Dyno_Data[Match],Dyno_Data[[#This Row],[Match]]),0)*86400),0)</f>
        <v>0</v>
      </c>
    </row>
    <row r="1205" spans="1:35" x14ac:dyDescent="0.3">
      <c r="A1205">
        <v>1204</v>
      </c>
      <c r="B1205" t="s">
        <v>1277</v>
      </c>
      <c r="C1205">
        <v>20</v>
      </c>
      <c r="D1205" s="105">
        <v>45373.490639699077</v>
      </c>
      <c r="E1205" t="s">
        <v>312</v>
      </c>
      <c r="F1205" t="s">
        <v>1402</v>
      </c>
      <c r="G1205">
        <v>0</v>
      </c>
      <c r="H1205" t="s">
        <v>315</v>
      </c>
      <c r="I1205">
        <v>0</v>
      </c>
      <c r="J1205">
        <v>0</v>
      </c>
      <c r="K1205">
        <v>0</v>
      </c>
      <c r="L1205" t="s">
        <v>241</v>
      </c>
      <c r="M1205" t="s">
        <v>101</v>
      </c>
      <c r="N1205">
        <v>0</v>
      </c>
      <c r="O1205" t="s">
        <v>1395</v>
      </c>
      <c r="P1205" t="s">
        <v>310</v>
      </c>
      <c r="Q1205" t="s">
        <v>310</v>
      </c>
      <c r="R1205" t="s">
        <v>310</v>
      </c>
      <c r="S1205">
        <v>9</v>
      </c>
      <c r="T1205" t="s">
        <v>310</v>
      </c>
      <c r="U1205">
        <v>9</v>
      </c>
      <c r="V1205">
        <v>9</v>
      </c>
      <c r="W1205">
        <v>0</v>
      </c>
      <c r="X1205">
        <v>0</v>
      </c>
      <c r="Y1205">
        <v>0</v>
      </c>
      <c r="Z1205">
        <v>0</v>
      </c>
      <c r="AA1205">
        <v>9</v>
      </c>
      <c r="AB1205">
        <v>9</v>
      </c>
      <c r="AC1205" t="s">
        <v>310</v>
      </c>
      <c r="AD1205">
        <v>9</v>
      </c>
      <c r="AE1205" t="s">
        <v>1417</v>
      </c>
      <c r="AF1205">
        <v>40000000</v>
      </c>
      <c r="AG1205" t="s">
        <v>310</v>
      </c>
      <c r="AH1205">
        <f>SUM((MID(Dyno_Data[[#This Row],[Team]],4,5))+(Dyno_Data[[#This Row],[Match]]/100))</f>
        <v>3360.2</v>
      </c>
      <c r="AI1205" s="76">
        <f>ROUND(SUM(IF(Dyno_Data[[#This Row],[AcqCenter]]&gt;0,Dyno_Data[[#This Row],[Time]]-SUMIFS(Dyno_Data[Time],Dyno_Data[Team],Dyno_Data[[#This Row],[Team]],Dyno_Data[RecordType],"StartMatch",Dyno_Data[Match],Dyno_Data[[#This Row],[Match]]),0)*86400),0)</f>
        <v>0</v>
      </c>
    </row>
    <row r="1206" spans="1:35" x14ac:dyDescent="0.3">
      <c r="A1206">
        <v>1205</v>
      </c>
      <c r="B1206" t="s">
        <v>1317</v>
      </c>
      <c r="C1206">
        <v>20</v>
      </c>
      <c r="D1206" s="105">
        <v>45373.490769988428</v>
      </c>
      <c r="E1206" t="s">
        <v>312</v>
      </c>
      <c r="F1206" t="s">
        <v>1402</v>
      </c>
      <c r="G1206">
        <v>0</v>
      </c>
      <c r="H1206" t="s">
        <v>315</v>
      </c>
      <c r="I1206">
        <v>0</v>
      </c>
      <c r="J1206">
        <v>0</v>
      </c>
      <c r="K1206">
        <v>0</v>
      </c>
      <c r="L1206" t="s">
        <v>241</v>
      </c>
      <c r="M1206" t="s">
        <v>1398</v>
      </c>
      <c r="N1206">
        <v>0</v>
      </c>
      <c r="O1206" t="s">
        <v>311</v>
      </c>
      <c r="P1206" t="s">
        <v>310</v>
      </c>
      <c r="Q1206" t="s">
        <v>310</v>
      </c>
      <c r="R1206" t="s">
        <v>310</v>
      </c>
      <c r="S1206">
        <v>9</v>
      </c>
      <c r="T1206" t="s">
        <v>310</v>
      </c>
      <c r="U1206">
        <v>9</v>
      </c>
      <c r="V1206">
        <v>9</v>
      </c>
      <c r="W1206">
        <v>0</v>
      </c>
      <c r="X1206">
        <v>0</v>
      </c>
      <c r="Y1206">
        <v>0</v>
      </c>
      <c r="Z1206">
        <v>0</v>
      </c>
      <c r="AA1206">
        <v>9</v>
      </c>
      <c r="AB1206">
        <v>9</v>
      </c>
      <c r="AC1206" t="s">
        <v>310</v>
      </c>
      <c r="AD1206">
        <v>9</v>
      </c>
      <c r="AE1206" t="s">
        <v>1412</v>
      </c>
      <c r="AF1206">
        <v>60000000</v>
      </c>
      <c r="AG1206" t="s">
        <v>310</v>
      </c>
      <c r="AH1206">
        <f>SUM((MID(Dyno_Data[[#This Row],[Team]],4,5))+(Dyno_Data[[#This Row],[Match]]/100))</f>
        <v>296.2</v>
      </c>
      <c r="AI1206" s="76">
        <f>ROUND(SUM(IF(Dyno_Data[[#This Row],[AcqCenter]]&gt;0,Dyno_Data[[#This Row],[Time]]-SUMIFS(Dyno_Data[Time],Dyno_Data[Team],Dyno_Data[[#This Row],[Team]],Dyno_Data[RecordType],"StartMatch",Dyno_Data[Match],Dyno_Data[[#This Row],[Match]]),0)*86400),0)</f>
        <v>0</v>
      </c>
    </row>
    <row r="1207" spans="1:35" x14ac:dyDescent="0.3">
      <c r="A1207">
        <v>1206</v>
      </c>
      <c r="B1207" t="s">
        <v>1308</v>
      </c>
      <c r="C1207">
        <v>20</v>
      </c>
      <c r="D1207" s="105">
        <v>45373.490773576392</v>
      </c>
      <c r="E1207" t="s">
        <v>312</v>
      </c>
      <c r="F1207" t="s">
        <v>1402</v>
      </c>
      <c r="G1207">
        <v>0</v>
      </c>
      <c r="H1207" t="s">
        <v>315</v>
      </c>
      <c r="I1207">
        <v>0</v>
      </c>
      <c r="J1207">
        <v>0</v>
      </c>
      <c r="K1207">
        <v>0</v>
      </c>
      <c r="L1207" t="s">
        <v>241</v>
      </c>
      <c r="M1207" t="s">
        <v>1398</v>
      </c>
      <c r="N1207">
        <v>0</v>
      </c>
      <c r="O1207" t="s">
        <v>1393</v>
      </c>
      <c r="P1207" t="s">
        <v>310</v>
      </c>
      <c r="Q1207" t="s">
        <v>310</v>
      </c>
      <c r="R1207" t="s">
        <v>310</v>
      </c>
      <c r="S1207">
        <v>9</v>
      </c>
      <c r="T1207" t="s">
        <v>310</v>
      </c>
      <c r="U1207">
        <v>9</v>
      </c>
      <c r="V1207">
        <v>9</v>
      </c>
      <c r="W1207">
        <v>0</v>
      </c>
      <c r="X1207">
        <v>0</v>
      </c>
      <c r="Y1207">
        <v>0</v>
      </c>
      <c r="Z1207">
        <v>0</v>
      </c>
      <c r="AA1207">
        <v>9</v>
      </c>
      <c r="AB1207">
        <v>9</v>
      </c>
      <c r="AC1207" t="s">
        <v>310</v>
      </c>
      <c r="AD1207">
        <v>9</v>
      </c>
      <c r="AE1207" t="s">
        <v>1414</v>
      </c>
      <c r="AF1207">
        <v>70000000</v>
      </c>
      <c r="AG1207" t="s">
        <v>310</v>
      </c>
      <c r="AH1207">
        <f>SUM((MID(Dyno_Data[[#This Row],[Team]],4,5))+(Dyno_Data[[#This Row],[Match]]/100))</f>
        <v>3799.2</v>
      </c>
      <c r="AI1207" s="76">
        <f>ROUND(SUM(IF(Dyno_Data[[#This Row],[AcqCenter]]&gt;0,Dyno_Data[[#This Row],[Time]]-SUMIFS(Dyno_Data[Time],Dyno_Data[Team],Dyno_Data[[#This Row],[Team]],Dyno_Data[RecordType],"StartMatch",Dyno_Data[Match],Dyno_Data[[#This Row],[Match]]),0)*86400),0)</f>
        <v>0</v>
      </c>
    </row>
    <row r="1208" spans="1:35" x14ac:dyDescent="0.3">
      <c r="A1208">
        <v>1207</v>
      </c>
      <c r="B1208" t="s">
        <v>367</v>
      </c>
      <c r="C1208">
        <v>20</v>
      </c>
      <c r="D1208" s="105">
        <v>45373.490837152778</v>
      </c>
      <c r="E1208" t="s">
        <v>312</v>
      </c>
      <c r="F1208" t="s">
        <v>1402</v>
      </c>
      <c r="G1208">
        <v>0</v>
      </c>
      <c r="H1208" t="s">
        <v>315</v>
      </c>
      <c r="I1208">
        <v>0</v>
      </c>
      <c r="J1208">
        <v>0</v>
      </c>
      <c r="K1208">
        <v>0</v>
      </c>
      <c r="L1208" t="s">
        <v>241</v>
      </c>
      <c r="M1208" t="s">
        <v>1398</v>
      </c>
      <c r="N1208">
        <v>1</v>
      </c>
      <c r="O1208" t="s">
        <v>319</v>
      </c>
      <c r="P1208" t="s">
        <v>310</v>
      </c>
      <c r="Q1208" t="s">
        <v>310</v>
      </c>
      <c r="R1208" t="s">
        <v>310</v>
      </c>
      <c r="S1208">
        <v>9</v>
      </c>
      <c r="T1208" t="s">
        <v>310</v>
      </c>
      <c r="U1208">
        <v>9</v>
      </c>
      <c r="V1208">
        <v>9</v>
      </c>
      <c r="W1208">
        <v>0</v>
      </c>
      <c r="X1208">
        <v>0</v>
      </c>
      <c r="Y1208">
        <v>0</v>
      </c>
      <c r="Z1208">
        <v>0</v>
      </c>
      <c r="AA1208">
        <v>9</v>
      </c>
      <c r="AB1208">
        <v>9</v>
      </c>
      <c r="AC1208" t="s">
        <v>310</v>
      </c>
      <c r="AD1208">
        <v>9</v>
      </c>
      <c r="AE1208" t="s">
        <v>1413</v>
      </c>
      <c r="AF1208">
        <v>50000000</v>
      </c>
      <c r="AG1208" t="s">
        <v>310</v>
      </c>
      <c r="AH1208">
        <f>SUM((MID(Dyno_Data[[#This Row],[Team]],4,5))+(Dyno_Data[[#This Row],[Match]]/100))</f>
        <v>5016.2</v>
      </c>
      <c r="AI1208" s="76">
        <f>ROUND(SUM(IF(Dyno_Data[[#This Row],[AcqCenter]]&gt;0,Dyno_Data[[#This Row],[Time]]-SUMIFS(Dyno_Data[Time],Dyno_Data[Team],Dyno_Data[[#This Row],[Team]],Dyno_Data[RecordType],"StartMatch",Dyno_Data[Match],Dyno_Data[[#This Row],[Match]]),0)*86400),0)</f>
        <v>0</v>
      </c>
    </row>
    <row r="1209" spans="1:35" x14ac:dyDescent="0.3">
      <c r="A1209">
        <v>1208</v>
      </c>
      <c r="B1209" t="s">
        <v>1277</v>
      </c>
      <c r="C1209">
        <v>20</v>
      </c>
      <c r="D1209" s="105">
        <v>45373.490855555552</v>
      </c>
      <c r="E1209" t="s">
        <v>312</v>
      </c>
      <c r="F1209" t="s">
        <v>1402</v>
      </c>
      <c r="G1209">
        <v>0</v>
      </c>
      <c r="H1209" t="s">
        <v>315</v>
      </c>
      <c r="I1209">
        <v>0</v>
      </c>
      <c r="J1209">
        <v>0</v>
      </c>
      <c r="K1209">
        <v>0</v>
      </c>
      <c r="L1209" t="s">
        <v>241</v>
      </c>
      <c r="M1209" t="s">
        <v>1398</v>
      </c>
      <c r="N1209">
        <v>0</v>
      </c>
      <c r="O1209" t="s">
        <v>1395</v>
      </c>
      <c r="P1209" t="s">
        <v>310</v>
      </c>
      <c r="Q1209" t="s">
        <v>310</v>
      </c>
      <c r="R1209" t="s">
        <v>310</v>
      </c>
      <c r="S1209">
        <v>9</v>
      </c>
      <c r="T1209" t="s">
        <v>310</v>
      </c>
      <c r="U1209">
        <v>9</v>
      </c>
      <c r="V1209">
        <v>9</v>
      </c>
      <c r="W1209">
        <v>0</v>
      </c>
      <c r="X1209">
        <v>0</v>
      </c>
      <c r="Y1209">
        <v>0</v>
      </c>
      <c r="Z1209">
        <v>0</v>
      </c>
      <c r="AA1209">
        <v>9</v>
      </c>
      <c r="AB1209">
        <v>9</v>
      </c>
      <c r="AC1209" t="s">
        <v>310</v>
      </c>
      <c r="AD1209">
        <v>9</v>
      </c>
      <c r="AE1209" t="s">
        <v>1417</v>
      </c>
      <c r="AF1209">
        <v>50000000</v>
      </c>
      <c r="AG1209" t="s">
        <v>310</v>
      </c>
      <c r="AH1209">
        <f>SUM((MID(Dyno_Data[[#This Row],[Team]],4,5))+(Dyno_Data[[#This Row],[Match]]/100))</f>
        <v>3360.2</v>
      </c>
      <c r="AI1209" s="76">
        <f>ROUND(SUM(IF(Dyno_Data[[#This Row],[AcqCenter]]&gt;0,Dyno_Data[[#This Row],[Time]]-SUMIFS(Dyno_Data[Time],Dyno_Data[Team],Dyno_Data[[#This Row],[Team]],Dyno_Data[RecordType],"StartMatch",Dyno_Data[Match],Dyno_Data[[#This Row],[Match]]),0)*86400),0)</f>
        <v>0</v>
      </c>
    </row>
    <row r="1210" spans="1:35" x14ac:dyDescent="0.3">
      <c r="A1210">
        <v>1209</v>
      </c>
      <c r="B1210" t="s">
        <v>367</v>
      </c>
      <c r="C1210">
        <v>20</v>
      </c>
      <c r="D1210" s="105">
        <v>45373.490880752317</v>
      </c>
      <c r="E1210" t="s">
        <v>312</v>
      </c>
      <c r="F1210" t="s">
        <v>1402</v>
      </c>
      <c r="G1210">
        <v>0</v>
      </c>
      <c r="H1210" t="s">
        <v>315</v>
      </c>
      <c r="I1210">
        <v>0</v>
      </c>
      <c r="J1210">
        <v>0</v>
      </c>
      <c r="K1210">
        <v>0</v>
      </c>
      <c r="L1210" t="s">
        <v>241</v>
      </c>
      <c r="M1210" t="s">
        <v>1398</v>
      </c>
      <c r="N1210">
        <v>0</v>
      </c>
      <c r="O1210" t="s">
        <v>319</v>
      </c>
      <c r="P1210" t="s">
        <v>310</v>
      </c>
      <c r="Q1210" t="s">
        <v>310</v>
      </c>
      <c r="R1210" t="s">
        <v>310</v>
      </c>
      <c r="S1210">
        <v>9</v>
      </c>
      <c r="T1210" t="s">
        <v>310</v>
      </c>
      <c r="U1210">
        <v>9</v>
      </c>
      <c r="V1210">
        <v>9</v>
      </c>
      <c r="W1210">
        <v>0</v>
      </c>
      <c r="X1210">
        <v>0</v>
      </c>
      <c r="Y1210">
        <v>0</v>
      </c>
      <c r="Z1210">
        <v>0</v>
      </c>
      <c r="AA1210">
        <v>9</v>
      </c>
      <c r="AB1210">
        <v>9</v>
      </c>
      <c r="AC1210" t="s">
        <v>310</v>
      </c>
      <c r="AD1210">
        <v>9</v>
      </c>
      <c r="AE1210" t="s">
        <v>1413</v>
      </c>
      <c r="AF1210">
        <v>60000000</v>
      </c>
      <c r="AG1210" t="s">
        <v>310</v>
      </c>
      <c r="AH1210">
        <f>SUM((MID(Dyno_Data[[#This Row],[Team]],4,5))+(Dyno_Data[[#This Row],[Match]]/100))</f>
        <v>5016.2</v>
      </c>
      <c r="AI1210" s="76">
        <f>ROUND(SUM(IF(Dyno_Data[[#This Row],[AcqCenter]]&gt;0,Dyno_Data[[#This Row],[Time]]-SUMIFS(Dyno_Data[Time],Dyno_Data[Team],Dyno_Data[[#This Row],[Team]],Dyno_Data[RecordType],"StartMatch",Dyno_Data[Match],Dyno_Data[[#This Row],[Match]]),0)*86400),0)</f>
        <v>0</v>
      </c>
    </row>
    <row r="1211" spans="1:35" x14ac:dyDescent="0.3">
      <c r="A1211">
        <v>1210</v>
      </c>
      <c r="B1211" t="s">
        <v>1317</v>
      </c>
      <c r="C1211">
        <v>20</v>
      </c>
      <c r="D1211" s="105">
        <v>45373.492760763889</v>
      </c>
      <c r="E1211" t="s">
        <v>316</v>
      </c>
      <c r="F1211" t="s">
        <v>317</v>
      </c>
      <c r="G1211">
        <v>1</v>
      </c>
      <c r="H1211" t="s">
        <v>310</v>
      </c>
      <c r="I1211">
        <v>0</v>
      </c>
      <c r="J1211">
        <v>0</v>
      </c>
      <c r="K1211">
        <v>0</v>
      </c>
      <c r="L1211" t="s">
        <v>310</v>
      </c>
      <c r="M1211" t="s">
        <v>310</v>
      </c>
      <c r="N1211">
        <v>0</v>
      </c>
      <c r="O1211" t="s">
        <v>311</v>
      </c>
      <c r="P1211" t="s">
        <v>240</v>
      </c>
      <c r="Q1211" t="s">
        <v>1399</v>
      </c>
      <c r="R1211" t="s">
        <v>1404</v>
      </c>
      <c r="S1211">
        <v>-1</v>
      </c>
      <c r="T1211" t="s">
        <v>105</v>
      </c>
      <c r="U1211">
        <v>9</v>
      </c>
      <c r="V1211">
        <v>9</v>
      </c>
      <c r="W1211">
        <v>15.399913</v>
      </c>
      <c r="X1211">
        <v>29.882662799999999</v>
      </c>
      <c r="Y1211">
        <v>12.461206299999999</v>
      </c>
      <c r="Z1211">
        <v>79.362588399999993</v>
      </c>
      <c r="AA1211">
        <v>0</v>
      </c>
      <c r="AB1211">
        <v>0</v>
      </c>
      <c r="AC1211" t="s">
        <v>173</v>
      </c>
      <c r="AD1211">
        <v>0</v>
      </c>
      <c r="AE1211" t="s">
        <v>1412</v>
      </c>
      <c r="AF1211">
        <v>60000000</v>
      </c>
      <c r="AG1211" t="s">
        <v>310</v>
      </c>
      <c r="AH1211">
        <f>SUM((MID(Dyno_Data[[#This Row],[Team]],4,5))+(Dyno_Data[[#This Row],[Match]]/100))</f>
        <v>296.2</v>
      </c>
      <c r="AI1211" s="76">
        <f>ROUND(SUM(IF(Dyno_Data[[#This Row],[AcqCenter]]&gt;0,Dyno_Data[[#This Row],[Time]]-SUMIFS(Dyno_Data[Time],Dyno_Data[Team],Dyno_Data[[#This Row],[Team]],Dyno_Data[RecordType],"StartMatch",Dyno_Data[Match],Dyno_Data[[#This Row],[Match]]),0)*86400),0)</f>
        <v>0</v>
      </c>
    </row>
    <row r="1212" spans="1:35" x14ac:dyDescent="0.3">
      <c r="A1212">
        <v>1211</v>
      </c>
      <c r="B1212" t="s">
        <v>362</v>
      </c>
      <c r="C1212">
        <v>20</v>
      </c>
      <c r="D1212" s="105">
        <v>45373.492760995374</v>
      </c>
      <c r="E1212" t="s">
        <v>316</v>
      </c>
      <c r="F1212" t="s">
        <v>317</v>
      </c>
      <c r="G1212">
        <v>1</v>
      </c>
      <c r="H1212" t="s">
        <v>310</v>
      </c>
      <c r="I1212">
        <v>0</v>
      </c>
      <c r="J1212">
        <v>0</v>
      </c>
      <c r="K1212">
        <v>0</v>
      </c>
      <c r="L1212" t="s">
        <v>310</v>
      </c>
      <c r="M1212" t="s">
        <v>310</v>
      </c>
      <c r="N1212">
        <v>0</v>
      </c>
      <c r="O1212" t="s">
        <v>1391</v>
      </c>
      <c r="P1212" t="s">
        <v>320</v>
      </c>
      <c r="Q1212" t="s">
        <v>1400</v>
      </c>
      <c r="R1212" t="s">
        <v>1404</v>
      </c>
      <c r="S1212">
        <v>0</v>
      </c>
      <c r="T1212" t="s">
        <v>105</v>
      </c>
      <c r="U1212">
        <v>9</v>
      </c>
      <c r="V1212">
        <v>9</v>
      </c>
      <c r="W1212">
        <v>0</v>
      </c>
      <c r="X1212">
        <v>13.998425299999999</v>
      </c>
      <c r="Y1212">
        <v>38.672578999999999</v>
      </c>
      <c r="Z1212">
        <v>88.115526099999997</v>
      </c>
      <c r="AA1212">
        <v>3</v>
      </c>
      <c r="AB1212">
        <v>0</v>
      </c>
      <c r="AC1212" t="s">
        <v>170</v>
      </c>
      <c r="AD1212">
        <v>9</v>
      </c>
      <c r="AE1212" t="s">
        <v>1416</v>
      </c>
      <c r="AF1212">
        <v>30000000</v>
      </c>
      <c r="AG1212" t="s">
        <v>310</v>
      </c>
      <c r="AH1212">
        <f>SUM((MID(Dyno_Data[[#This Row],[Team]],4,5))+(Dyno_Data[[#This Row],[Match]]/100))</f>
        <v>250.2</v>
      </c>
      <c r="AI1212" s="76">
        <f>ROUND(SUM(IF(Dyno_Data[[#This Row],[AcqCenter]]&gt;0,Dyno_Data[[#This Row],[Time]]-SUMIFS(Dyno_Data[Time],Dyno_Data[Team],Dyno_Data[[#This Row],[Team]],Dyno_Data[RecordType],"StartMatch",Dyno_Data[Match],Dyno_Data[[#This Row],[Match]]),0)*86400),0)</f>
        <v>0</v>
      </c>
    </row>
    <row r="1213" spans="1:35" x14ac:dyDescent="0.3">
      <c r="A1213">
        <v>1212</v>
      </c>
      <c r="B1213" t="s">
        <v>367</v>
      </c>
      <c r="C1213">
        <v>20</v>
      </c>
      <c r="D1213" s="105">
        <v>45373.492761076392</v>
      </c>
      <c r="E1213" t="s">
        <v>316</v>
      </c>
      <c r="F1213" t="s">
        <v>317</v>
      </c>
      <c r="G1213">
        <v>0</v>
      </c>
      <c r="H1213" t="s">
        <v>310</v>
      </c>
      <c r="I1213">
        <v>0</v>
      </c>
      <c r="J1213">
        <v>0</v>
      </c>
      <c r="K1213">
        <v>0</v>
      </c>
      <c r="L1213" t="s">
        <v>310</v>
      </c>
      <c r="M1213" t="s">
        <v>310</v>
      </c>
      <c r="N1213">
        <v>0</v>
      </c>
      <c r="O1213" t="s">
        <v>319</v>
      </c>
      <c r="P1213" t="s">
        <v>101</v>
      </c>
      <c r="Q1213" t="s">
        <v>1400</v>
      </c>
      <c r="R1213" t="s">
        <v>1405</v>
      </c>
      <c r="S1213">
        <v>1</v>
      </c>
      <c r="T1213" t="s">
        <v>1406</v>
      </c>
      <c r="U1213">
        <v>0</v>
      </c>
      <c r="V1213">
        <v>0</v>
      </c>
      <c r="W1213">
        <v>5.3694274999999996</v>
      </c>
      <c r="X1213">
        <v>46.355094999999999</v>
      </c>
      <c r="Y1213">
        <v>24.366425499999998</v>
      </c>
      <c r="Z1213">
        <v>54.248209499999994</v>
      </c>
      <c r="AA1213">
        <v>0</v>
      </c>
      <c r="AB1213">
        <v>0</v>
      </c>
      <c r="AC1213" t="s">
        <v>174</v>
      </c>
      <c r="AD1213">
        <v>9</v>
      </c>
      <c r="AE1213" t="s">
        <v>1413</v>
      </c>
      <c r="AF1213">
        <v>60100000</v>
      </c>
      <c r="AG1213" t="s">
        <v>310</v>
      </c>
      <c r="AH1213">
        <f>SUM((MID(Dyno_Data[[#This Row],[Team]],4,5))+(Dyno_Data[[#This Row],[Match]]/100))</f>
        <v>5016.2</v>
      </c>
      <c r="AI1213" s="76">
        <f>ROUND(SUM(IF(Dyno_Data[[#This Row],[AcqCenter]]&gt;0,Dyno_Data[[#This Row],[Time]]-SUMIFS(Dyno_Data[Time],Dyno_Data[Team],Dyno_Data[[#This Row],[Team]],Dyno_Data[RecordType],"StartMatch",Dyno_Data[Match],Dyno_Data[[#This Row],[Match]]),0)*86400),0)</f>
        <v>0</v>
      </c>
    </row>
    <row r="1214" spans="1:35" x14ac:dyDescent="0.3">
      <c r="A1214">
        <v>1213</v>
      </c>
      <c r="B1214" t="s">
        <v>1308</v>
      </c>
      <c r="C1214">
        <v>20</v>
      </c>
      <c r="D1214" s="105">
        <v>45373.49276119213</v>
      </c>
      <c r="E1214" t="s">
        <v>316</v>
      </c>
      <c r="F1214" t="s">
        <v>317</v>
      </c>
      <c r="G1214">
        <v>0</v>
      </c>
      <c r="H1214" t="s">
        <v>310</v>
      </c>
      <c r="I1214">
        <v>0</v>
      </c>
      <c r="J1214">
        <v>0</v>
      </c>
      <c r="K1214">
        <v>0</v>
      </c>
      <c r="L1214" t="s">
        <v>310</v>
      </c>
      <c r="M1214" t="s">
        <v>310</v>
      </c>
      <c r="N1214">
        <v>0</v>
      </c>
      <c r="O1214" t="s">
        <v>1393</v>
      </c>
      <c r="P1214" t="s">
        <v>1401</v>
      </c>
      <c r="Q1214" t="s">
        <v>1400</v>
      </c>
      <c r="R1214" t="s">
        <v>1405</v>
      </c>
      <c r="S1214">
        <v>1</v>
      </c>
      <c r="T1214" t="s">
        <v>1407</v>
      </c>
      <c r="U1214">
        <v>1</v>
      </c>
      <c r="V1214">
        <v>0</v>
      </c>
      <c r="W1214">
        <v>3.8237915999999998</v>
      </c>
      <c r="X1214">
        <v>54.546390099999996</v>
      </c>
      <c r="Y1214">
        <v>18.809898</v>
      </c>
      <c r="Z1214">
        <v>46.792921</v>
      </c>
      <c r="AA1214">
        <v>1</v>
      </c>
      <c r="AB1214">
        <v>0</v>
      </c>
      <c r="AC1214" t="s">
        <v>174</v>
      </c>
      <c r="AD1214">
        <v>9</v>
      </c>
      <c r="AE1214" t="s">
        <v>1414</v>
      </c>
      <c r="AF1214">
        <v>70100000</v>
      </c>
      <c r="AG1214" t="s">
        <v>310</v>
      </c>
      <c r="AH1214">
        <f>SUM((MID(Dyno_Data[[#This Row],[Team]],4,5))+(Dyno_Data[[#This Row],[Match]]/100))</f>
        <v>3799.2</v>
      </c>
      <c r="AI1214" s="76">
        <f>ROUND(SUM(IF(Dyno_Data[[#This Row],[AcqCenter]]&gt;0,Dyno_Data[[#This Row],[Time]]-SUMIFS(Dyno_Data[Time],Dyno_Data[Team],Dyno_Data[[#This Row],[Team]],Dyno_Data[RecordType],"StartMatch",Dyno_Data[Match],Dyno_Data[[#This Row],[Match]]),0)*86400),0)</f>
        <v>0</v>
      </c>
    </row>
    <row r="1215" spans="1:35" x14ac:dyDescent="0.3">
      <c r="A1215">
        <v>1214</v>
      </c>
      <c r="B1215" t="s">
        <v>368</v>
      </c>
      <c r="C1215">
        <v>20</v>
      </c>
      <c r="D1215" s="105">
        <v>45373.492761307869</v>
      </c>
      <c r="E1215" t="s">
        <v>316</v>
      </c>
      <c r="F1215" t="s">
        <v>317</v>
      </c>
      <c r="G1215">
        <v>1</v>
      </c>
      <c r="H1215" t="s">
        <v>310</v>
      </c>
      <c r="I1215">
        <v>0</v>
      </c>
      <c r="J1215">
        <v>0</v>
      </c>
      <c r="K1215">
        <v>0</v>
      </c>
      <c r="L1215" t="s">
        <v>310</v>
      </c>
      <c r="M1215" t="s">
        <v>310</v>
      </c>
      <c r="N1215">
        <v>0</v>
      </c>
      <c r="O1215" t="s">
        <v>1389</v>
      </c>
      <c r="P1215" t="s">
        <v>320</v>
      </c>
      <c r="Q1215" t="s">
        <v>1400</v>
      </c>
      <c r="R1215" t="s">
        <v>1405</v>
      </c>
      <c r="S1215">
        <v>1</v>
      </c>
      <c r="T1215" t="s">
        <v>1407</v>
      </c>
      <c r="U1215">
        <v>1</v>
      </c>
      <c r="V1215">
        <v>0</v>
      </c>
      <c r="W1215">
        <v>11.877455099999999</v>
      </c>
      <c r="X1215">
        <v>38.9676787</v>
      </c>
      <c r="Y1215">
        <v>8.6873398999999996</v>
      </c>
      <c r="Z1215">
        <v>63.684725299999997</v>
      </c>
      <c r="AA1215">
        <v>0</v>
      </c>
      <c r="AB1215">
        <v>1</v>
      </c>
      <c r="AC1215" t="s">
        <v>174</v>
      </c>
      <c r="AD1215">
        <v>9</v>
      </c>
      <c r="AE1215" t="s">
        <v>1418</v>
      </c>
      <c r="AF1215">
        <v>20000000</v>
      </c>
      <c r="AG1215" t="s">
        <v>310</v>
      </c>
      <c r="AH1215">
        <f>SUM((MID(Dyno_Data[[#This Row],[Team]],4,5))+(Dyno_Data[[#This Row],[Match]]/100))</f>
        <v>6401.2</v>
      </c>
      <c r="AI1215" s="76">
        <f>ROUND(SUM(IF(Dyno_Data[[#This Row],[AcqCenter]]&gt;0,Dyno_Data[[#This Row],[Time]]-SUMIFS(Dyno_Data[Time],Dyno_Data[Team],Dyno_Data[[#This Row],[Team]],Dyno_Data[RecordType],"StartMatch",Dyno_Data[Match],Dyno_Data[[#This Row],[Match]]),0)*86400),0)</f>
        <v>0</v>
      </c>
    </row>
    <row r="1216" spans="1:35" x14ac:dyDescent="0.3">
      <c r="A1216">
        <v>1215</v>
      </c>
      <c r="B1216" t="s">
        <v>1277</v>
      </c>
      <c r="C1216">
        <v>20</v>
      </c>
      <c r="D1216" s="105">
        <v>45373.492761377318</v>
      </c>
      <c r="E1216" t="s">
        <v>316</v>
      </c>
      <c r="F1216" t="s">
        <v>317</v>
      </c>
      <c r="G1216">
        <v>0</v>
      </c>
      <c r="H1216" t="s">
        <v>310</v>
      </c>
      <c r="I1216">
        <v>0</v>
      </c>
      <c r="J1216">
        <v>0</v>
      </c>
      <c r="K1216">
        <v>0</v>
      </c>
      <c r="L1216" t="s">
        <v>310</v>
      </c>
      <c r="M1216" t="s">
        <v>310</v>
      </c>
      <c r="N1216">
        <v>0</v>
      </c>
      <c r="O1216" t="s">
        <v>1395</v>
      </c>
      <c r="P1216" t="s">
        <v>101</v>
      </c>
      <c r="Q1216" t="s">
        <v>1399</v>
      </c>
      <c r="R1216" t="s">
        <v>1404</v>
      </c>
      <c r="S1216">
        <v>-1</v>
      </c>
      <c r="T1216" t="s">
        <v>105</v>
      </c>
      <c r="U1216">
        <v>9</v>
      </c>
      <c r="V1216">
        <v>9</v>
      </c>
      <c r="W1216">
        <v>12.7635618</v>
      </c>
      <c r="X1216">
        <v>36.056156000000001</v>
      </c>
      <c r="Y1216">
        <v>24.912474799999998</v>
      </c>
      <c r="Z1216">
        <v>63.1254591</v>
      </c>
      <c r="AA1216">
        <v>0</v>
      </c>
      <c r="AB1216">
        <v>0</v>
      </c>
      <c r="AC1216" t="s">
        <v>174</v>
      </c>
      <c r="AD1216">
        <v>2</v>
      </c>
      <c r="AE1216" t="s">
        <v>1417</v>
      </c>
      <c r="AF1216">
        <v>50000000</v>
      </c>
      <c r="AG1216" t="s">
        <v>310</v>
      </c>
      <c r="AH1216">
        <f>SUM((MID(Dyno_Data[[#This Row],[Team]],4,5))+(Dyno_Data[[#This Row],[Match]]/100))</f>
        <v>3360.2</v>
      </c>
      <c r="AI1216" s="76">
        <f>ROUND(SUM(IF(Dyno_Data[[#This Row],[AcqCenter]]&gt;0,Dyno_Data[[#This Row],[Time]]-SUMIFS(Dyno_Data[Time],Dyno_Data[Team],Dyno_Data[[#This Row],[Team]],Dyno_Data[RecordType],"StartMatch",Dyno_Data[Match],Dyno_Data[[#This Row],[Match]]),0)*86400),0)</f>
        <v>0</v>
      </c>
    </row>
    <row r="1217" spans="1:35" x14ac:dyDescent="0.3">
      <c r="A1217">
        <v>1227</v>
      </c>
      <c r="B1217" t="s">
        <v>1318</v>
      </c>
      <c r="C1217">
        <v>21</v>
      </c>
      <c r="D1217" s="105">
        <v>45373.494282638887</v>
      </c>
      <c r="E1217" t="s">
        <v>308</v>
      </c>
      <c r="F1217" t="s">
        <v>309</v>
      </c>
      <c r="G1217">
        <v>0</v>
      </c>
      <c r="H1217" t="s">
        <v>310</v>
      </c>
      <c r="I1217">
        <v>0</v>
      </c>
      <c r="J1217">
        <v>0</v>
      </c>
      <c r="K1217">
        <v>0</v>
      </c>
      <c r="L1217" t="s">
        <v>310</v>
      </c>
      <c r="M1217" t="s">
        <v>310</v>
      </c>
      <c r="N1217">
        <v>0</v>
      </c>
      <c r="O1217" t="s">
        <v>319</v>
      </c>
      <c r="P1217" t="s">
        <v>310</v>
      </c>
      <c r="Q1217" t="s">
        <v>310</v>
      </c>
      <c r="R1217" t="s">
        <v>310</v>
      </c>
      <c r="S1217">
        <v>9</v>
      </c>
      <c r="T1217" t="s">
        <v>310</v>
      </c>
      <c r="U1217">
        <v>9</v>
      </c>
      <c r="V1217">
        <v>9</v>
      </c>
      <c r="W1217">
        <v>0</v>
      </c>
      <c r="X1217">
        <v>0</v>
      </c>
      <c r="Y1217">
        <v>0</v>
      </c>
      <c r="Z1217">
        <v>0</v>
      </c>
      <c r="AA1217">
        <v>9</v>
      </c>
      <c r="AB1217">
        <v>9</v>
      </c>
      <c r="AC1217" t="s">
        <v>310</v>
      </c>
      <c r="AD1217">
        <v>9</v>
      </c>
      <c r="AE1217" t="s">
        <v>1412</v>
      </c>
      <c r="AF1217">
        <v>0</v>
      </c>
      <c r="AG1217" t="s">
        <v>310</v>
      </c>
      <c r="AH1217">
        <f>SUM((MID(Dyno_Data[[#This Row],[Team]],4,5))+(Dyno_Data[[#This Row],[Match]]/100))</f>
        <v>7709.21</v>
      </c>
      <c r="AI1217" s="76">
        <f>ROUND(SUM(IF(Dyno_Data[[#This Row],[AcqCenter]]&gt;0,Dyno_Data[[#This Row],[Time]]-SUMIFS(Dyno_Data[Time],Dyno_Data[Team],Dyno_Data[[#This Row],[Team]],Dyno_Data[RecordType],"StartMatch",Dyno_Data[Match],Dyno_Data[[#This Row],[Match]]),0)*86400),0)</f>
        <v>0</v>
      </c>
    </row>
    <row r="1218" spans="1:35" x14ac:dyDescent="0.3">
      <c r="A1218">
        <v>1229</v>
      </c>
      <c r="B1218" t="s">
        <v>1286</v>
      </c>
      <c r="C1218">
        <v>21</v>
      </c>
      <c r="D1218" s="105">
        <v>45373.494283368054</v>
      </c>
      <c r="E1218" t="s">
        <v>308</v>
      </c>
      <c r="F1218" t="s">
        <v>309</v>
      </c>
      <c r="G1218">
        <v>0</v>
      </c>
      <c r="H1218" t="s">
        <v>310</v>
      </c>
      <c r="I1218">
        <v>0</v>
      </c>
      <c r="J1218">
        <v>0</v>
      </c>
      <c r="K1218">
        <v>0</v>
      </c>
      <c r="L1218" t="s">
        <v>310</v>
      </c>
      <c r="M1218" t="s">
        <v>310</v>
      </c>
      <c r="N1218">
        <v>0</v>
      </c>
      <c r="O1218" t="s">
        <v>1389</v>
      </c>
      <c r="P1218" t="s">
        <v>310</v>
      </c>
      <c r="Q1218" t="s">
        <v>310</v>
      </c>
      <c r="R1218" t="s">
        <v>310</v>
      </c>
      <c r="S1218">
        <v>9</v>
      </c>
      <c r="T1218" t="s">
        <v>310</v>
      </c>
      <c r="U1218">
        <v>9</v>
      </c>
      <c r="V1218">
        <v>9</v>
      </c>
      <c r="W1218">
        <v>0</v>
      </c>
      <c r="X1218">
        <v>0</v>
      </c>
      <c r="Y1218">
        <v>0</v>
      </c>
      <c r="Z1218">
        <v>0</v>
      </c>
      <c r="AA1218">
        <v>9</v>
      </c>
      <c r="AB1218">
        <v>9</v>
      </c>
      <c r="AC1218" t="s">
        <v>310</v>
      </c>
      <c r="AD1218">
        <v>9</v>
      </c>
      <c r="AE1218" t="s">
        <v>1414</v>
      </c>
      <c r="AF1218">
        <v>20002000</v>
      </c>
      <c r="AG1218" t="s">
        <v>310</v>
      </c>
      <c r="AH1218">
        <f>SUM((MID(Dyno_Data[[#This Row],[Team]],4,5))+(Dyno_Data[[#This Row],[Match]]/100))</f>
        <v>1591.21</v>
      </c>
      <c r="AI1218" s="76">
        <f>ROUND(SUM(IF(Dyno_Data[[#This Row],[AcqCenter]]&gt;0,Dyno_Data[[#This Row],[Time]]-SUMIFS(Dyno_Data[Time],Dyno_Data[Team],Dyno_Data[[#This Row],[Team]],Dyno_Data[RecordType],"StartMatch",Dyno_Data[Match],Dyno_Data[[#This Row],[Match]]),0)*86400),0)</f>
        <v>0</v>
      </c>
    </row>
    <row r="1219" spans="1:35" x14ac:dyDescent="0.3">
      <c r="A1219">
        <v>1231</v>
      </c>
      <c r="B1219" t="s">
        <v>363</v>
      </c>
      <c r="C1219">
        <v>21</v>
      </c>
      <c r="D1219" s="105">
        <v>45373.494284108798</v>
      </c>
      <c r="E1219" t="s">
        <v>308</v>
      </c>
      <c r="F1219" t="s">
        <v>309</v>
      </c>
      <c r="G1219">
        <v>0</v>
      </c>
      <c r="H1219" t="s">
        <v>310</v>
      </c>
      <c r="I1219">
        <v>0</v>
      </c>
      <c r="J1219">
        <v>0</v>
      </c>
      <c r="K1219">
        <v>0</v>
      </c>
      <c r="L1219" t="s">
        <v>310</v>
      </c>
      <c r="M1219" t="s">
        <v>310</v>
      </c>
      <c r="N1219">
        <v>0</v>
      </c>
      <c r="O1219" t="s">
        <v>1391</v>
      </c>
      <c r="P1219" t="s">
        <v>310</v>
      </c>
      <c r="Q1219" t="s">
        <v>310</v>
      </c>
      <c r="R1219" t="s">
        <v>310</v>
      </c>
      <c r="S1219">
        <v>9</v>
      </c>
      <c r="T1219" t="s">
        <v>310</v>
      </c>
      <c r="U1219">
        <v>9</v>
      </c>
      <c r="V1219">
        <v>9</v>
      </c>
      <c r="W1219">
        <v>0</v>
      </c>
      <c r="X1219">
        <v>0</v>
      </c>
      <c r="Y1219">
        <v>0</v>
      </c>
      <c r="Z1219">
        <v>0</v>
      </c>
      <c r="AA1219">
        <v>9</v>
      </c>
      <c r="AB1219">
        <v>9</v>
      </c>
      <c r="AC1219" t="s">
        <v>310</v>
      </c>
      <c r="AD1219">
        <v>9</v>
      </c>
      <c r="AE1219" t="s">
        <v>1416</v>
      </c>
      <c r="AF1219">
        <v>20000000</v>
      </c>
      <c r="AG1219" t="s">
        <v>310</v>
      </c>
      <c r="AH1219">
        <f>SUM((MID(Dyno_Data[[#This Row],[Team]],4,5))+(Dyno_Data[[#This Row],[Match]]/100))</f>
        <v>2601.21</v>
      </c>
      <c r="AI1219" s="76">
        <f>ROUND(SUM(IF(Dyno_Data[[#This Row],[AcqCenter]]&gt;0,Dyno_Data[[#This Row],[Time]]-SUMIFS(Dyno_Data[Time],Dyno_Data[Team],Dyno_Data[[#This Row],[Team]],Dyno_Data[RecordType],"StartMatch",Dyno_Data[Match],Dyno_Data[[#This Row],[Match]]),0)*86400),0)</f>
        <v>0</v>
      </c>
    </row>
    <row r="1220" spans="1:35" x14ac:dyDescent="0.3">
      <c r="A1220">
        <v>1233</v>
      </c>
      <c r="B1220" t="s">
        <v>1300</v>
      </c>
      <c r="C1220">
        <v>21</v>
      </c>
      <c r="D1220" s="105">
        <v>45373.494289814815</v>
      </c>
      <c r="E1220" t="s">
        <v>308</v>
      </c>
      <c r="F1220" t="s">
        <v>309</v>
      </c>
      <c r="G1220">
        <v>0</v>
      </c>
      <c r="H1220" t="s">
        <v>310</v>
      </c>
      <c r="I1220">
        <v>0</v>
      </c>
      <c r="J1220">
        <v>0</v>
      </c>
      <c r="K1220">
        <v>0</v>
      </c>
      <c r="L1220" t="s">
        <v>310</v>
      </c>
      <c r="M1220" t="s">
        <v>310</v>
      </c>
      <c r="N1220">
        <v>0</v>
      </c>
      <c r="O1220" t="s">
        <v>311</v>
      </c>
      <c r="P1220" t="s">
        <v>310</v>
      </c>
      <c r="Q1220" t="s">
        <v>310</v>
      </c>
      <c r="R1220" t="s">
        <v>310</v>
      </c>
      <c r="S1220">
        <v>9</v>
      </c>
      <c r="T1220" t="s">
        <v>310</v>
      </c>
      <c r="U1220">
        <v>9</v>
      </c>
      <c r="V1220">
        <v>9</v>
      </c>
      <c r="W1220">
        <v>0</v>
      </c>
      <c r="X1220">
        <v>0</v>
      </c>
      <c r="Y1220">
        <v>0</v>
      </c>
      <c r="Z1220">
        <v>0</v>
      </c>
      <c r="AA1220">
        <v>9</v>
      </c>
      <c r="AB1220">
        <v>9</v>
      </c>
      <c r="AC1220" t="s">
        <v>310</v>
      </c>
      <c r="AD1220">
        <v>9</v>
      </c>
      <c r="AE1220" t="s">
        <v>1413</v>
      </c>
      <c r="AF1220">
        <v>0</v>
      </c>
      <c r="AG1220" t="s">
        <v>310</v>
      </c>
      <c r="AH1220">
        <f>SUM((MID(Dyno_Data[[#This Row],[Team]],4,5))+(Dyno_Data[[#This Row],[Match]]/100))</f>
        <v>3044.21</v>
      </c>
      <c r="AI1220" s="76">
        <f>ROUND(SUM(IF(Dyno_Data[[#This Row],[AcqCenter]]&gt;0,Dyno_Data[[#This Row],[Time]]-SUMIFS(Dyno_Data[Time],Dyno_Data[Team],Dyno_Data[[#This Row],[Team]],Dyno_Data[RecordType],"StartMatch",Dyno_Data[Match],Dyno_Data[[#This Row],[Match]]),0)*86400),0)</f>
        <v>0</v>
      </c>
    </row>
    <row r="1221" spans="1:35" x14ac:dyDescent="0.3">
      <c r="A1221">
        <v>1235</v>
      </c>
      <c r="B1221" t="s">
        <v>1279</v>
      </c>
      <c r="C1221">
        <v>21</v>
      </c>
      <c r="D1221" s="105">
        <v>45373.494291284725</v>
      </c>
      <c r="E1221" t="s">
        <v>308</v>
      </c>
      <c r="F1221" t="s">
        <v>309</v>
      </c>
      <c r="G1221">
        <v>0</v>
      </c>
      <c r="H1221" t="s">
        <v>310</v>
      </c>
      <c r="I1221">
        <v>0</v>
      </c>
      <c r="J1221">
        <v>0</v>
      </c>
      <c r="K1221">
        <v>0</v>
      </c>
      <c r="L1221" t="s">
        <v>310</v>
      </c>
      <c r="M1221" t="s">
        <v>310</v>
      </c>
      <c r="N1221">
        <v>0</v>
      </c>
      <c r="O1221" t="s">
        <v>1393</v>
      </c>
      <c r="P1221" t="s">
        <v>310</v>
      </c>
      <c r="Q1221" t="s">
        <v>310</v>
      </c>
      <c r="R1221" t="s">
        <v>310</v>
      </c>
      <c r="S1221">
        <v>9</v>
      </c>
      <c r="T1221" t="s">
        <v>310</v>
      </c>
      <c r="U1221">
        <v>9</v>
      </c>
      <c r="V1221">
        <v>9</v>
      </c>
      <c r="W1221">
        <v>0</v>
      </c>
      <c r="X1221">
        <v>0</v>
      </c>
      <c r="Y1221">
        <v>0</v>
      </c>
      <c r="Z1221">
        <v>0</v>
      </c>
      <c r="AA1221">
        <v>9</v>
      </c>
      <c r="AB1221">
        <v>9</v>
      </c>
      <c r="AC1221" t="s">
        <v>310</v>
      </c>
      <c r="AD1221">
        <v>9</v>
      </c>
      <c r="AE1221" t="s">
        <v>1418</v>
      </c>
      <c r="AF1221">
        <v>0</v>
      </c>
      <c r="AG1221" t="s">
        <v>310</v>
      </c>
      <c r="AH1221">
        <f>SUM((MID(Dyno_Data[[#This Row],[Team]],4,5))+(Dyno_Data[[#This Row],[Match]]/100))</f>
        <v>5149.21</v>
      </c>
      <c r="AI1221" s="76">
        <f>ROUND(SUM(IF(Dyno_Data[[#This Row],[AcqCenter]]&gt;0,Dyno_Data[[#This Row],[Time]]-SUMIFS(Dyno_Data[Time],Dyno_Data[Team],Dyno_Data[[#This Row],[Team]],Dyno_Data[RecordType],"StartMatch",Dyno_Data[Match],Dyno_Data[[#This Row],[Match]]),0)*86400),0)</f>
        <v>0</v>
      </c>
    </row>
    <row r="1222" spans="1:35" x14ac:dyDescent="0.3">
      <c r="A1222">
        <v>1237</v>
      </c>
      <c r="B1222" t="s">
        <v>1311</v>
      </c>
      <c r="C1222">
        <v>21</v>
      </c>
      <c r="D1222" s="105">
        <v>45373.494297916666</v>
      </c>
      <c r="E1222" t="s">
        <v>308</v>
      </c>
      <c r="F1222" t="s">
        <v>309</v>
      </c>
      <c r="G1222">
        <v>0</v>
      </c>
      <c r="H1222" t="s">
        <v>310</v>
      </c>
      <c r="I1222">
        <v>0</v>
      </c>
      <c r="J1222">
        <v>0</v>
      </c>
      <c r="K1222">
        <v>0</v>
      </c>
      <c r="L1222" t="s">
        <v>310</v>
      </c>
      <c r="M1222" t="s">
        <v>310</v>
      </c>
      <c r="N1222">
        <v>0</v>
      </c>
      <c r="O1222" t="s">
        <v>1395</v>
      </c>
      <c r="P1222" t="s">
        <v>310</v>
      </c>
      <c r="Q1222" t="s">
        <v>310</v>
      </c>
      <c r="R1222" t="s">
        <v>310</v>
      </c>
      <c r="S1222">
        <v>9</v>
      </c>
      <c r="T1222" t="s">
        <v>310</v>
      </c>
      <c r="U1222">
        <v>9</v>
      </c>
      <c r="V1222">
        <v>9</v>
      </c>
      <c r="W1222">
        <v>0</v>
      </c>
      <c r="X1222">
        <v>0</v>
      </c>
      <c r="Y1222">
        <v>0</v>
      </c>
      <c r="Z1222">
        <v>0</v>
      </c>
      <c r="AA1222">
        <v>9</v>
      </c>
      <c r="AB1222">
        <v>9</v>
      </c>
      <c r="AC1222" t="s">
        <v>310</v>
      </c>
      <c r="AD1222">
        <v>9</v>
      </c>
      <c r="AE1222" t="s">
        <v>1417</v>
      </c>
      <c r="AF1222">
        <v>0</v>
      </c>
      <c r="AG1222" t="s">
        <v>310</v>
      </c>
      <c r="AH1222">
        <f>SUM((MID(Dyno_Data[[#This Row],[Team]],4,5))+(Dyno_Data[[#This Row],[Match]]/100))</f>
        <v>2234.21</v>
      </c>
      <c r="AI1222" s="76">
        <f>ROUND(SUM(IF(Dyno_Data[[#This Row],[AcqCenter]]&gt;0,Dyno_Data[[#This Row],[Time]]-SUMIFS(Dyno_Data[Time],Dyno_Data[Team],Dyno_Data[[#This Row],[Team]],Dyno_Data[RecordType],"StartMatch",Dyno_Data[Match],Dyno_Data[[#This Row],[Match]]),0)*86400),0)</f>
        <v>0</v>
      </c>
    </row>
    <row r="1223" spans="1:35" x14ac:dyDescent="0.3">
      <c r="A1223">
        <v>1216</v>
      </c>
      <c r="B1223" t="s">
        <v>363</v>
      </c>
      <c r="C1223">
        <v>21</v>
      </c>
      <c r="D1223" s="105">
        <v>45373.494299108796</v>
      </c>
      <c r="E1223" t="s">
        <v>312</v>
      </c>
      <c r="F1223" t="s">
        <v>309</v>
      </c>
      <c r="G1223">
        <v>0</v>
      </c>
      <c r="H1223" t="s">
        <v>1397</v>
      </c>
      <c r="I1223">
        <v>0</v>
      </c>
      <c r="J1223">
        <v>0</v>
      </c>
      <c r="K1223">
        <v>0</v>
      </c>
      <c r="L1223" t="s">
        <v>240</v>
      </c>
      <c r="M1223" t="s">
        <v>1398</v>
      </c>
      <c r="N1223">
        <v>0</v>
      </c>
      <c r="O1223" t="s">
        <v>1391</v>
      </c>
      <c r="P1223" t="s">
        <v>310</v>
      </c>
      <c r="Q1223" t="s">
        <v>310</v>
      </c>
      <c r="R1223" t="s">
        <v>310</v>
      </c>
      <c r="S1223">
        <v>9</v>
      </c>
      <c r="T1223" t="s">
        <v>310</v>
      </c>
      <c r="U1223">
        <v>9</v>
      </c>
      <c r="V1223">
        <v>9</v>
      </c>
      <c r="W1223">
        <v>0</v>
      </c>
      <c r="X1223">
        <v>0</v>
      </c>
      <c r="Y1223">
        <v>0</v>
      </c>
      <c r="Z1223">
        <v>0</v>
      </c>
      <c r="AA1223">
        <v>9</v>
      </c>
      <c r="AB1223">
        <v>9</v>
      </c>
      <c r="AC1223" t="s">
        <v>310</v>
      </c>
      <c r="AD1223">
        <v>9</v>
      </c>
      <c r="AE1223" t="s">
        <v>1416</v>
      </c>
      <c r="AF1223">
        <v>0</v>
      </c>
      <c r="AG1223" t="s">
        <v>310</v>
      </c>
      <c r="AH1223">
        <f>SUM((MID(Dyno_Data[[#This Row],[Team]],4,5))+(Dyno_Data[[#This Row],[Match]]/100))</f>
        <v>2601.21</v>
      </c>
      <c r="AI1223" s="76">
        <f>ROUND(SUM(IF(Dyno_Data[[#This Row],[AcqCenter]]&gt;0,Dyno_Data[[#This Row],[Time]]-SUMIFS(Dyno_Data[Time],Dyno_Data[Team],Dyno_Data[[#This Row],[Team]],Dyno_Data[RecordType],"StartMatch",Dyno_Data[Match],Dyno_Data[[#This Row],[Match]]),0)*86400),0)</f>
        <v>0</v>
      </c>
    </row>
    <row r="1224" spans="1:35" x14ac:dyDescent="0.3">
      <c r="A1224">
        <v>1217</v>
      </c>
      <c r="B1224" t="s">
        <v>1286</v>
      </c>
      <c r="C1224">
        <v>21</v>
      </c>
      <c r="D1224" s="105">
        <v>45373.494310034723</v>
      </c>
      <c r="E1224" t="s">
        <v>312</v>
      </c>
      <c r="F1224" t="s">
        <v>309</v>
      </c>
      <c r="G1224">
        <v>0</v>
      </c>
      <c r="H1224" t="s">
        <v>1397</v>
      </c>
      <c r="I1224">
        <v>0</v>
      </c>
      <c r="J1224">
        <v>0</v>
      </c>
      <c r="K1224">
        <v>0</v>
      </c>
      <c r="L1224" t="s">
        <v>240</v>
      </c>
      <c r="M1224" t="s">
        <v>1398</v>
      </c>
      <c r="N1224">
        <v>1</v>
      </c>
      <c r="O1224" t="s">
        <v>1389</v>
      </c>
      <c r="P1224" t="s">
        <v>310</v>
      </c>
      <c r="Q1224" t="s">
        <v>310</v>
      </c>
      <c r="R1224" t="s">
        <v>310</v>
      </c>
      <c r="S1224">
        <v>9</v>
      </c>
      <c r="T1224" t="s">
        <v>310</v>
      </c>
      <c r="U1224">
        <v>9</v>
      </c>
      <c r="V1224">
        <v>9</v>
      </c>
      <c r="W1224">
        <v>0</v>
      </c>
      <c r="X1224">
        <v>0</v>
      </c>
      <c r="Y1224">
        <v>0</v>
      </c>
      <c r="Z1224">
        <v>0</v>
      </c>
      <c r="AA1224">
        <v>9</v>
      </c>
      <c r="AB1224">
        <v>9</v>
      </c>
      <c r="AC1224" t="s">
        <v>310</v>
      </c>
      <c r="AD1224">
        <v>9</v>
      </c>
      <c r="AE1224" t="s">
        <v>1414</v>
      </c>
      <c r="AF1224">
        <v>0</v>
      </c>
      <c r="AG1224" t="s">
        <v>310</v>
      </c>
      <c r="AH1224">
        <f>SUM((MID(Dyno_Data[[#This Row],[Team]],4,5))+(Dyno_Data[[#This Row],[Match]]/100))</f>
        <v>1591.21</v>
      </c>
      <c r="AI1224" s="76">
        <f>ROUND(SUM(IF(Dyno_Data[[#This Row],[AcqCenter]]&gt;0,Dyno_Data[[#This Row],[Time]]-SUMIFS(Dyno_Data[Time],Dyno_Data[Team],Dyno_Data[[#This Row],[Team]],Dyno_Data[RecordType],"StartMatch",Dyno_Data[Match],Dyno_Data[[#This Row],[Match]]),0)*86400),0)</f>
        <v>0</v>
      </c>
    </row>
    <row r="1225" spans="1:35" x14ac:dyDescent="0.3">
      <c r="A1225">
        <v>1218</v>
      </c>
      <c r="B1225" t="s">
        <v>1300</v>
      </c>
      <c r="C1225">
        <v>21</v>
      </c>
      <c r="D1225" s="105">
        <v>45373.49431292824</v>
      </c>
      <c r="E1225" t="s">
        <v>312</v>
      </c>
      <c r="F1225" t="s">
        <v>309</v>
      </c>
      <c r="G1225">
        <v>0</v>
      </c>
      <c r="H1225" t="s">
        <v>1397</v>
      </c>
      <c r="I1225">
        <v>0</v>
      </c>
      <c r="J1225">
        <v>0</v>
      </c>
      <c r="K1225">
        <v>0</v>
      </c>
      <c r="L1225" t="s">
        <v>241</v>
      </c>
      <c r="M1225" t="s">
        <v>1398</v>
      </c>
      <c r="N1225">
        <v>1</v>
      </c>
      <c r="O1225" t="s">
        <v>311</v>
      </c>
      <c r="P1225" t="s">
        <v>310</v>
      </c>
      <c r="Q1225" t="s">
        <v>310</v>
      </c>
      <c r="R1225" t="s">
        <v>310</v>
      </c>
      <c r="S1225">
        <v>9</v>
      </c>
      <c r="T1225" t="s">
        <v>310</v>
      </c>
      <c r="U1225">
        <v>9</v>
      </c>
      <c r="V1225">
        <v>9</v>
      </c>
      <c r="W1225">
        <v>0</v>
      </c>
      <c r="X1225">
        <v>0</v>
      </c>
      <c r="Y1225">
        <v>0</v>
      </c>
      <c r="Z1225">
        <v>0</v>
      </c>
      <c r="AA1225">
        <v>9</v>
      </c>
      <c r="AB1225">
        <v>9</v>
      </c>
      <c r="AC1225" t="s">
        <v>310</v>
      </c>
      <c r="AD1225">
        <v>9</v>
      </c>
      <c r="AE1225" t="s">
        <v>1413</v>
      </c>
      <c r="AF1225">
        <v>0</v>
      </c>
      <c r="AG1225" t="s">
        <v>310</v>
      </c>
      <c r="AH1225">
        <f>SUM((MID(Dyno_Data[[#This Row],[Team]],4,5))+(Dyno_Data[[#This Row],[Match]]/100))</f>
        <v>3044.21</v>
      </c>
      <c r="AI1225" s="76">
        <f>ROUND(SUM(IF(Dyno_Data[[#This Row],[AcqCenter]]&gt;0,Dyno_Data[[#This Row],[Time]]-SUMIFS(Dyno_Data[Time],Dyno_Data[Team],Dyno_Data[[#This Row],[Team]],Dyno_Data[RecordType],"StartMatch",Dyno_Data[Match],Dyno_Data[[#This Row],[Match]]),0)*86400),0)</f>
        <v>0</v>
      </c>
    </row>
    <row r="1226" spans="1:35" x14ac:dyDescent="0.3">
      <c r="A1226">
        <v>1219</v>
      </c>
      <c r="B1226" t="s">
        <v>1318</v>
      </c>
      <c r="C1226">
        <v>21</v>
      </c>
      <c r="D1226" s="105">
        <v>45373.494325115738</v>
      </c>
      <c r="E1226" t="s">
        <v>312</v>
      </c>
      <c r="F1226" t="s">
        <v>309</v>
      </c>
      <c r="G1226">
        <v>0</v>
      </c>
      <c r="H1226" t="s">
        <v>1397</v>
      </c>
      <c r="I1226">
        <v>0</v>
      </c>
      <c r="J1226">
        <v>0</v>
      </c>
      <c r="K1226">
        <v>0</v>
      </c>
      <c r="L1226" t="s">
        <v>241</v>
      </c>
      <c r="M1226" t="s">
        <v>1398</v>
      </c>
      <c r="N1226">
        <v>0</v>
      </c>
      <c r="O1226" t="s">
        <v>319</v>
      </c>
      <c r="P1226" t="s">
        <v>310</v>
      </c>
      <c r="Q1226" t="s">
        <v>310</v>
      </c>
      <c r="R1226" t="s">
        <v>310</v>
      </c>
      <c r="S1226">
        <v>9</v>
      </c>
      <c r="T1226" t="s">
        <v>310</v>
      </c>
      <c r="U1226">
        <v>9</v>
      </c>
      <c r="V1226">
        <v>9</v>
      </c>
      <c r="W1226">
        <v>0</v>
      </c>
      <c r="X1226">
        <v>0</v>
      </c>
      <c r="Y1226">
        <v>0</v>
      </c>
      <c r="Z1226">
        <v>0</v>
      </c>
      <c r="AA1226">
        <v>9</v>
      </c>
      <c r="AB1226">
        <v>9</v>
      </c>
      <c r="AC1226" t="s">
        <v>310</v>
      </c>
      <c r="AD1226">
        <v>9</v>
      </c>
      <c r="AE1226" t="s">
        <v>1412</v>
      </c>
      <c r="AF1226">
        <v>0</v>
      </c>
      <c r="AG1226" t="s">
        <v>310</v>
      </c>
      <c r="AH1226">
        <f>SUM((MID(Dyno_Data[[#This Row],[Team]],4,5))+(Dyno_Data[[#This Row],[Match]]/100))</f>
        <v>7709.21</v>
      </c>
      <c r="AI1226" s="76">
        <f>ROUND(SUM(IF(Dyno_Data[[#This Row],[AcqCenter]]&gt;0,Dyno_Data[[#This Row],[Time]]-SUMIFS(Dyno_Data[Time],Dyno_Data[Team],Dyno_Data[[#This Row],[Team]],Dyno_Data[RecordType],"StartMatch",Dyno_Data[Match],Dyno_Data[[#This Row],[Match]]),0)*86400),0)</f>
        <v>0</v>
      </c>
    </row>
    <row r="1227" spans="1:35" x14ac:dyDescent="0.3">
      <c r="A1227">
        <v>1220</v>
      </c>
      <c r="B1227" t="s">
        <v>363</v>
      </c>
      <c r="C1227">
        <v>21</v>
      </c>
      <c r="D1227" s="105">
        <v>45373.494348263892</v>
      </c>
      <c r="E1227" t="s">
        <v>312</v>
      </c>
      <c r="F1227" t="s">
        <v>309</v>
      </c>
      <c r="G1227">
        <v>0</v>
      </c>
      <c r="H1227" t="s">
        <v>315</v>
      </c>
      <c r="I1227">
        <v>0</v>
      </c>
      <c r="J1227">
        <v>0</v>
      </c>
      <c r="K1227">
        <v>0</v>
      </c>
      <c r="L1227" t="s">
        <v>240</v>
      </c>
      <c r="M1227" t="s">
        <v>1398</v>
      </c>
      <c r="N1227">
        <v>1</v>
      </c>
      <c r="O1227" t="s">
        <v>1391</v>
      </c>
      <c r="P1227" t="s">
        <v>310</v>
      </c>
      <c r="Q1227" t="s">
        <v>310</v>
      </c>
      <c r="R1227" t="s">
        <v>310</v>
      </c>
      <c r="S1227">
        <v>9</v>
      </c>
      <c r="T1227" t="s">
        <v>310</v>
      </c>
      <c r="U1227">
        <v>9</v>
      </c>
      <c r="V1227">
        <v>9</v>
      </c>
      <c r="W1227">
        <v>0</v>
      </c>
      <c r="X1227">
        <v>0</v>
      </c>
      <c r="Y1227">
        <v>0</v>
      </c>
      <c r="Z1227">
        <v>0</v>
      </c>
      <c r="AA1227">
        <v>9</v>
      </c>
      <c r="AB1227">
        <v>9</v>
      </c>
      <c r="AC1227" t="s">
        <v>310</v>
      </c>
      <c r="AD1227">
        <v>9</v>
      </c>
      <c r="AE1227" t="s">
        <v>1416</v>
      </c>
      <c r="AF1227">
        <v>10000000</v>
      </c>
      <c r="AG1227" t="s">
        <v>310</v>
      </c>
      <c r="AH1227">
        <f>SUM((MID(Dyno_Data[[#This Row],[Team]],4,5))+(Dyno_Data[[#This Row],[Match]]/100))</f>
        <v>2601.21</v>
      </c>
      <c r="AI1227" s="76">
        <f>ROUND(SUM(IF(Dyno_Data[[#This Row],[AcqCenter]]&gt;0,Dyno_Data[[#This Row],[Time]]-SUMIFS(Dyno_Data[Time],Dyno_Data[Team],Dyno_Data[[#This Row],[Team]],Dyno_Data[RecordType],"StartMatch",Dyno_Data[Match],Dyno_Data[[#This Row],[Match]]),0)*86400),0)</f>
        <v>0</v>
      </c>
    </row>
    <row r="1228" spans="1:35" x14ac:dyDescent="0.3">
      <c r="A1228">
        <v>1221</v>
      </c>
      <c r="B1228" t="s">
        <v>1286</v>
      </c>
      <c r="C1228">
        <v>21</v>
      </c>
      <c r="D1228" s="105">
        <v>45373.494350428242</v>
      </c>
      <c r="E1228" t="s">
        <v>312</v>
      </c>
      <c r="F1228" t="s">
        <v>309</v>
      </c>
      <c r="G1228">
        <v>0</v>
      </c>
      <c r="H1228" t="s">
        <v>315</v>
      </c>
      <c r="I1228">
        <v>0</v>
      </c>
      <c r="J1228">
        <v>0</v>
      </c>
      <c r="K1228">
        <v>0</v>
      </c>
      <c r="L1228" t="s">
        <v>240</v>
      </c>
      <c r="M1228" t="s">
        <v>1398</v>
      </c>
      <c r="N1228">
        <v>0</v>
      </c>
      <c r="O1228" t="s">
        <v>1389</v>
      </c>
      <c r="P1228" t="s">
        <v>310</v>
      </c>
      <c r="Q1228" t="s">
        <v>310</v>
      </c>
      <c r="R1228" t="s">
        <v>310</v>
      </c>
      <c r="S1228">
        <v>9</v>
      </c>
      <c r="T1228" t="s">
        <v>310</v>
      </c>
      <c r="U1228">
        <v>9</v>
      </c>
      <c r="V1228">
        <v>9</v>
      </c>
      <c r="W1228">
        <v>0</v>
      </c>
      <c r="X1228">
        <v>0</v>
      </c>
      <c r="Y1228">
        <v>0</v>
      </c>
      <c r="Z1228">
        <v>0</v>
      </c>
      <c r="AA1228">
        <v>9</v>
      </c>
      <c r="AB1228">
        <v>9</v>
      </c>
      <c r="AC1228" t="s">
        <v>310</v>
      </c>
      <c r="AD1228">
        <v>9</v>
      </c>
      <c r="AE1228" t="s">
        <v>1414</v>
      </c>
      <c r="AF1228">
        <v>10000000</v>
      </c>
      <c r="AG1228" t="s">
        <v>310</v>
      </c>
      <c r="AH1228">
        <f>SUM((MID(Dyno_Data[[#This Row],[Team]],4,5))+(Dyno_Data[[#This Row],[Match]]/100))</f>
        <v>1591.21</v>
      </c>
      <c r="AI1228" s="76">
        <f>ROUND(SUM(IF(Dyno_Data[[#This Row],[AcqCenter]]&gt;0,Dyno_Data[[#This Row],[Time]]-SUMIFS(Dyno_Data[Time],Dyno_Data[Team],Dyno_Data[[#This Row],[Team]],Dyno_Data[RecordType],"StartMatch",Dyno_Data[Match],Dyno_Data[[#This Row],[Match]]),0)*86400),0)</f>
        <v>0</v>
      </c>
    </row>
    <row r="1229" spans="1:35" x14ac:dyDescent="0.3">
      <c r="A1229">
        <v>1222</v>
      </c>
      <c r="B1229" t="s">
        <v>1286</v>
      </c>
      <c r="C1229">
        <v>21</v>
      </c>
      <c r="D1229" s="105">
        <v>45373.494367824074</v>
      </c>
      <c r="E1229" t="s">
        <v>312</v>
      </c>
      <c r="F1229" t="s">
        <v>309</v>
      </c>
      <c r="G1229">
        <v>0</v>
      </c>
      <c r="H1229" t="s">
        <v>315</v>
      </c>
      <c r="I1229">
        <v>0</v>
      </c>
      <c r="J1229">
        <v>0</v>
      </c>
      <c r="K1229">
        <v>0</v>
      </c>
      <c r="L1229" t="s">
        <v>240</v>
      </c>
      <c r="M1229" t="s">
        <v>1398</v>
      </c>
      <c r="N1229">
        <v>0</v>
      </c>
      <c r="O1229" t="s">
        <v>1389</v>
      </c>
      <c r="P1229" t="s">
        <v>310</v>
      </c>
      <c r="Q1229" t="s">
        <v>310</v>
      </c>
      <c r="R1229" t="s">
        <v>310</v>
      </c>
      <c r="S1229">
        <v>9</v>
      </c>
      <c r="T1229" t="s">
        <v>310</v>
      </c>
      <c r="U1229">
        <v>9</v>
      </c>
      <c r="V1229">
        <v>9</v>
      </c>
      <c r="W1229">
        <v>0</v>
      </c>
      <c r="X1229">
        <v>0</v>
      </c>
      <c r="Y1229">
        <v>0</v>
      </c>
      <c r="Z1229">
        <v>0</v>
      </c>
      <c r="AA1229">
        <v>9</v>
      </c>
      <c r="AB1229">
        <v>9</v>
      </c>
      <c r="AC1229" t="s">
        <v>310</v>
      </c>
      <c r="AD1229">
        <v>9</v>
      </c>
      <c r="AE1229" t="s">
        <v>1414</v>
      </c>
      <c r="AF1229">
        <v>20000000</v>
      </c>
      <c r="AG1229" t="s">
        <v>310</v>
      </c>
      <c r="AH1229">
        <f>SUM((MID(Dyno_Data[[#This Row],[Team]],4,5))+(Dyno_Data[[#This Row],[Match]]/100))</f>
        <v>1591.21</v>
      </c>
      <c r="AI1229" s="76">
        <f>ROUND(SUM(IF(Dyno_Data[[#This Row],[AcqCenter]]&gt;0,Dyno_Data[[#This Row],[Time]]-SUMIFS(Dyno_Data[Time],Dyno_Data[Team],Dyno_Data[[#This Row],[Team]],Dyno_Data[RecordType],"StartMatch",Dyno_Data[Match],Dyno_Data[[#This Row],[Match]]),0)*86400),0)</f>
        <v>0</v>
      </c>
    </row>
    <row r="1230" spans="1:35" x14ac:dyDescent="0.3">
      <c r="A1230">
        <v>1223</v>
      </c>
      <c r="B1230" t="s">
        <v>1286</v>
      </c>
      <c r="C1230">
        <v>21</v>
      </c>
      <c r="D1230" s="105">
        <v>45373.494392395834</v>
      </c>
      <c r="E1230" t="s">
        <v>312</v>
      </c>
      <c r="F1230" t="s">
        <v>309</v>
      </c>
      <c r="G1230">
        <v>0</v>
      </c>
      <c r="H1230" t="s">
        <v>143</v>
      </c>
      <c r="I1230">
        <v>5</v>
      </c>
      <c r="J1230">
        <v>1</v>
      </c>
      <c r="K1230">
        <v>0</v>
      </c>
      <c r="L1230" t="s">
        <v>310</v>
      </c>
      <c r="M1230" t="s">
        <v>310</v>
      </c>
      <c r="N1230">
        <v>0</v>
      </c>
      <c r="O1230" t="s">
        <v>1389</v>
      </c>
      <c r="P1230" t="s">
        <v>310</v>
      </c>
      <c r="Q1230" t="s">
        <v>310</v>
      </c>
      <c r="R1230" t="s">
        <v>310</v>
      </c>
      <c r="S1230">
        <v>9</v>
      </c>
      <c r="T1230" t="s">
        <v>310</v>
      </c>
      <c r="U1230">
        <v>9</v>
      </c>
      <c r="V1230">
        <v>9</v>
      </c>
      <c r="W1230">
        <v>0</v>
      </c>
      <c r="X1230">
        <v>0</v>
      </c>
      <c r="Y1230">
        <v>0</v>
      </c>
      <c r="Z1230">
        <v>0</v>
      </c>
      <c r="AA1230">
        <v>9</v>
      </c>
      <c r="AB1230">
        <v>9</v>
      </c>
      <c r="AC1230" t="s">
        <v>310</v>
      </c>
      <c r="AD1230">
        <v>9</v>
      </c>
      <c r="AE1230" t="s">
        <v>1414</v>
      </c>
      <c r="AF1230">
        <v>20001000</v>
      </c>
      <c r="AG1230" t="s">
        <v>310</v>
      </c>
      <c r="AH1230">
        <f>SUM((MID(Dyno_Data[[#This Row],[Team]],4,5))+(Dyno_Data[[#This Row],[Match]]/100))</f>
        <v>1591.21</v>
      </c>
      <c r="AI1230" s="76">
        <f>ROUND(SUM(IF(Dyno_Data[[#This Row],[AcqCenter]]&gt;0,Dyno_Data[[#This Row],[Time]]-SUMIFS(Dyno_Data[Time],Dyno_Data[Team],Dyno_Data[[#This Row],[Team]],Dyno_Data[RecordType],"StartMatch",Dyno_Data[Match],Dyno_Data[[#This Row],[Match]]),0)*86400),0)</f>
        <v>9</v>
      </c>
    </row>
    <row r="1231" spans="1:35" x14ac:dyDescent="0.3">
      <c r="A1231">
        <v>1224</v>
      </c>
      <c r="B1231" t="s">
        <v>1286</v>
      </c>
      <c r="C1231">
        <v>21</v>
      </c>
      <c r="D1231" s="105">
        <v>45373.494435266206</v>
      </c>
      <c r="E1231" t="s">
        <v>312</v>
      </c>
      <c r="F1231" t="s">
        <v>309</v>
      </c>
      <c r="G1231">
        <v>0</v>
      </c>
      <c r="H1231" t="s">
        <v>143</v>
      </c>
      <c r="I1231">
        <v>0</v>
      </c>
      <c r="J1231">
        <v>0</v>
      </c>
      <c r="K1231">
        <v>0</v>
      </c>
      <c r="L1231" t="s">
        <v>240</v>
      </c>
      <c r="M1231" t="s">
        <v>1398</v>
      </c>
      <c r="N1231">
        <v>0</v>
      </c>
      <c r="O1231" t="s">
        <v>1389</v>
      </c>
      <c r="P1231" t="s">
        <v>310</v>
      </c>
      <c r="Q1231" t="s">
        <v>310</v>
      </c>
      <c r="R1231" t="s">
        <v>310</v>
      </c>
      <c r="S1231">
        <v>9</v>
      </c>
      <c r="T1231" t="s">
        <v>310</v>
      </c>
      <c r="U1231">
        <v>9</v>
      </c>
      <c r="V1231">
        <v>9</v>
      </c>
      <c r="W1231">
        <v>0</v>
      </c>
      <c r="X1231">
        <v>0</v>
      </c>
      <c r="Y1231">
        <v>0</v>
      </c>
      <c r="Z1231">
        <v>0</v>
      </c>
      <c r="AA1231">
        <v>9</v>
      </c>
      <c r="AB1231">
        <v>9</v>
      </c>
      <c r="AC1231" t="s">
        <v>310</v>
      </c>
      <c r="AD1231">
        <v>9</v>
      </c>
      <c r="AE1231" t="s">
        <v>1414</v>
      </c>
      <c r="AF1231">
        <v>20001000</v>
      </c>
      <c r="AG1231" t="s">
        <v>310</v>
      </c>
      <c r="AH1231">
        <f>SUM((MID(Dyno_Data[[#This Row],[Team]],4,5))+(Dyno_Data[[#This Row],[Match]]/100))</f>
        <v>1591.21</v>
      </c>
      <c r="AI1231" s="76">
        <f>ROUND(SUM(IF(Dyno_Data[[#This Row],[AcqCenter]]&gt;0,Dyno_Data[[#This Row],[Time]]-SUMIFS(Dyno_Data[Time],Dyno_Data[Team],Dyno_Data[[#This Row],[Team]],Dyno_Data[RecordType],"StartMatch",Dyno_Data[Match],Dyno_Data[[#This Row],[Match]]),0)*86400),0)</f>
        <v>0</v>
      </c>
    </row>
    <row r="1232" spans="1:35" x14ac:dyDescent="0.3">
      <c r="A1232">
        <v>1225</v>
      </c>
      <c r="B1232" t="s">
        <v>363</v>
      </c>
      <c r="C1232">
        <v>21</v>
      </c>
      <c r="D1232" s="105">
        <v>45373.494437465277</v>
      </c>
      <c r="E1232" t="s">
        <v>312</v>
      </c>
      <c r="F1232" t="s">
        <v>309</v>
      </c>
      <c r="G1232">
        <v>0</v>
      </c>
      <c r="H1232" t="s">
        <v>315</v>
      </c>
      <c r="I1232">
        <v>0</v>
      </c>
      <c r="J1232">
        <v>0</v>
      </c>
      <c r="K1232">
        <v>0</v>
      </c>
      <c r="L1232" t="s">
        <v>240</v>
      </c>
      <c r="M1232" t="s">
        <v>1398</v>
      </c>
      <c r="N1232">
        <v>0</v>
      </c>
      <c r="O1232" t="s">
        <v>1391</v>
      </c>
      <c r="P1232" t="s">
        <v>310</v>
      </c>
      <c r="Q1232" t="s">
        <v>310</v>
      </c>
      <c r="R1232" t="s">
        <v>310</v>
      </c>
      <c r="S1232">
        <v>9</v>
      </c>
      <c r="T1232" t="s">
        <v>310</v>
      </c>
      <c r="U1232">
        <v>9</v>
      </c>
      <c r="V1232">
        <v>9</v>
      </c>
      <c r="W1232">
        <v>0</v>
      </c>
      <c r="X1232">
        <v>0</v>
      </c>
      <c r="Y1232">
        <v>0</v>
      </c>
      <c r="Z1232">
        <v>0</v>
      </c>
      <c r="AA1232">
        <v>9</v>
      </c>
      <c r="AB1232">
        <v>9</v>
      </c>
      <c r="AC1232" t="s">
        <v>310</v>
      </c>
      <c r="AD1232">
        <v>9</v>
      </c>
      <c r="AE1232" t="s">
        <v>1416</v>
      </c>
      <c r="AF1232">
        <v>20000000</v>
      </c>
      <c r="AG1232" t="s">
        <v>310</v>
      </c>
      <c r="AH1232">
        <f>SUM((MID(Dyno_Data[[#This Row],[Team]],4,5))+(Dyno_Data[[#This Row],[Match]]/100))</f>
        <v>2601.21</v>
      </c>
      <c r="AI1232" s="76">
        <f>ROUND(SUM(IF(Dyno_Data[[#This Row],[AcqCenter]]&gt;0,Dyno_Data[[#This Row],[Time]]-SUMIFS(Dyno_Data[Time],Dyno_Data[Team],Dyno_Data[[#This Row],[Team]],Dyno_Data[RecordType],"StartMatch",Dyno_Data[Match],Dyno_Data[[#This Row],[Match]]),0)*86400),0)</f>
        <v>0</v>
      </c>
    </row>
    <row r="1233" spans="1:35" x14ac:dyDescent="0.3">
      <c r="A1233">
        <v>1226</v>
      </c>
      <c r="B1233" t="s">
        <v>1286</v>
      </c>
      <c r="C1233">
        <v>21</v>
      </c>
      <c r="D1233" s="105">
        <v>45373.494461342591</v>
      </c>
      <c r="E1233" t="s">
        <v>312</v>
      </c>
      <c r="F1233" t="s">
        <v>309</v>
      </c>
      <c r="G1233">
        <v>0</v>
      </c>
      <c r="H1233" t="s">
        <v>143</v>
      </c>
      <c r="I1233">
        <v>3</v>
      </c>
      <c r="J1233">
        <v>1</v>
      </c>
      <c r="K1233">
        <v>0</v>
      </c>
      <c r="L1233" t="s">
        <v>310</v>
      </c>
      <c r="M1233" t="s">
        <v>310</v>
      </c>
      <c r="N1233">
        <v>0</v>
      </c>
      <c r="O1233" t="s">
        <v>1389</v>
      </c>
      <c r="P1233" t="s">
        <v>310</v>
      </c>
      <c r="Q1233" t="s">
        <v>310</v>
      </c>
      <c r="R1233" t="s">
        <v>310</v>
      </c>
      <c r="S1233">
        <v>9</v>
      </c>
      <c r="T1233" t="s">
        <v>310</v>
      </c>
      <c r="U1233">
        <v>9</v>
      </c>
      <c r="V1233">
        <v>9</v>
      </c>
      <c r="W1233">
        <v>0</v>
      </c>
      <c r="X1233">
        <v>0</v>
      </c>
      <c r="Y1233">
        <v>0</v>
      </c>
      <c r="Z1233">
        <v>0</v>
      </c>
      <c r="AA1233">
        <v>9</v>
      </c>
      <c r="AB1233">
        <v>9</v>
      </c>
      <c r="AC1233" t="s">
        <v>310</v>
      </c>
      <c r="AD1233">
        <v>9</v>
      </c>
      <c r="AE1233" t="s">
        <v>1414</v>
      </c>
      <c r="AF1233">
        <v>20002000</v>
      </c>
      <c r="AG1233" t="s">
        <v>310</v>
      </c>
      <c r="AH1233">
        <f>SUM((MID(Dyno_Data[[#This Row],[Team]],4,5))+(Dyno_Data[[#This Row],[Match]]/100))</f>
        <v>1591.21</v>
      </c>
      <c r="AI1233" s="76">
        <f>ROUND(SUM(IF(Dyno_Data[[#This Row],[AcqCenter]]&gt;0,Dyno_Data[[#This Row],[Time]]-SUMIFS(Dyno_Data[Time],Dyno_Data[Team],Dyno_Data[[#This Row],[Team]],Dyno_Data[RecordType],"StartMatch",Dyno_Data[Match],Dyno_Data[[#This Row],[Match]]),0)*86400),0)</f>
        <v>15</v>
      </c>
    </row>
    <row r="1234" spans="1:35" x14ac:dyDescent="0.3">
      <c r="A1234">
        <v>1228</v>
      </c>
      <c r="B1234" t="s">
        <v>1318</v>
      </c>
      <c r="C1234">
        <v>21</v>
      </c>
      <c r="D1234" s="105">
        <v>45373.494490972225</v>
      </c>
      <c r="E1234" t="s">
        <v>314</v>
      </c>
      <c r="F1234" t="s">
        <v>309</v>
      </c>
      <c r="G1234">
        <v>0</v>
      </c>
      <c r="H1234" t="s">
        <v>310</v>
      </c>
      <c r="I1234">
        <v>0</v>
      </c>
      <c r="J1234">
        <v>0</v>
      </c>
      <c r="K1234">
        <v>0</v>
      </c>
      <c r="L1234" t="s">
        <v>310</v>
      </c>
      <c r="M1234" t="s">
        <v>310</v>
      </c>
      <c r="N1234">
        <v>0</v>
      </c>
      <c r="O1234" t="s">
        <v>319</v>
      </c>
      <c r="P1234" t="s">
        <v>101</v>
      </c>
      <c r="Q1234" t="s">
        <v>1400</v>
      </c>
      <c r="R1234" t="s">
        <v>310</v>
      </c>
      <c r="S1234">
        <v>9</v>
      </c>
      <c r="T1234" t="s">
        <v>310</v>
      </c>
      <c r="U1234">
        <v>9</v>
      </c>
      <c r="V1234">
        <v>9</v>
      </c>
      <c r="W1234">
        <v>0</v>
      </c>
      <c r="X1234">
        <v>0</v>
      </c>
      <c r="Y1234">
        <v>0</v>
      </c>
      <c r="Z1234">
        <v>0</v>
      </c>
      <c r="AA1234">
        <v>9</v>
      </c>
      <c r="AB1234">
        <v>9</v>
      </c>
      <c r="AC1234" t="s">
        <v>310</v>
      </c>
      <c r="AD1234">
        <v>9</v>
      </c>
      <c r="AE1234" t="s">
        <v>1412</v>
      </c>
      <c r="AF1234">
        <v>0</v>
      </c>
      <c r="AG1234" t="s">
        <v>310</v>
      </c>
      <c r="AH1234">
        <f>SUM((MID(Dyno_Data[[#This Row],[Team]],4,5))+(Dyno_Data[[#This Row],[Match]]/100))</f>
        <v>7709.21</v>
      </c>
      <c r="AI1234" s="76">
        <f>ROUND(SUM(IF(Dyno_Data[[#This Row],[AcqCenter]]&gt;0,Dyno_Data[[#This Row],[Time]]-SUMIFS(Dyno_Data[Time],Dyno_Data[Team],Dyno_Data[[#This Row],[Team]],Dyno_Data[RecordType],"StartMatch",Dyno_Data[Match],Dyno_Data[[#This Row],[Match]]),0)*86400),0)</f>
        <v>0</v>
      </c>
    </row>
    <row r="1235" spans="1:35" x14ac:dyDescent="0.3">
      <c r="A1235">
        <v>1230</v>
      </c>
      <c r="B1235" t="s">
        <v>1286</v>
      </c>
      <c r="C1235">
        <v>21</v>
      </c>
      <c r="D1235" s="105">
        <v>45373.494491701385</v>
      </c>
      <c r="E1235" t="s">
        <v>314</v>
      </c>
      <c r="F1235" t="s">
        <v>309</v>
      </c>
      <c r="G1235">
        <v>1</v>
      </c>
      <c r="H1235" t="s">
        <v>310</v>
      </c>
      <c r="I1235">
        <v>0</v>
      </c>
      <c r="J1235">
        <v>0</v>
      </c>
      <c r="K1235">
        <v>0</v>
      </c>
      <c r="L1235" t="s">
        <v>310</v>
      </c>
      <c r="M1235" t="s">
        <v>310</v>
      </c>
      <c r="N1235">
        <v>0</v>
      </c>
      <c r="O1235" t="s">
        <v>1389</v>
      </c>
      <c r="P1235" t="s">
        <v>240</v>
      </c>
      <c r="Q1235" t="s">
        <v>1400</v>
      </c>
      <c r="R1235" t="s">
        <v>310</v>
      </c>
      <c r="S1235">
        <v>9</v>
      </c>
      <c r="T1235" t="s">
        <v>310</v>
      </c>
      <c r="U1235">
        <v>9</v>
      </c>
      <c r="V1235">
        <v>9</v>
      </c>
      <c r="W1235">
        <v>0</v>
      </c>
      <c r="X1235">
        <v>0</v>
      </c>
      <c r="Y1235">
        <v>0</v>
      </c>
      <c r="Z1235">
        <v>0</v>
      </c>
      <c r="AA1235">
        <v>9</v>
      </c>
      <c r="AB1235">
        <v>9</v>
      </c>
      <c r="AC1235" t="s">
        <v>310</v>
      </c>
      <c r="AD1235">
        <v>9</v>
      </c>
      <c r="AE1235" t="s">
        <v>1414</v>
      </c>
      <c r="AF1235">
        <v>20002000</v>
      </c>
      <c r="AG1235" t="s">
        <v>310</v>
      </c>
      <c r="AH1235">
        <f>SUM((MID(Dyno_Data[[#This Row],[Team]],4,5))+(Dyno_Data[[#This Row],[Match]]/100))</f>
        <v>1591.21</v>
      </c>
      <c r="AI1235" s="76">
        <f>ROUND(SUM(IF(Dyno_Data[[#This Row],[AcqCenter]]&gt;0,Dyno_Data[[#This Row],[Time]]-SUMIFS(Dyno_Data[Time],Dyno_Data[Team],Dyno_Data[[#This Row],[Team]],Dyno_Data[RecordType],"StartMatch",Dyno_Data[Match],Dyno_Data[[#This Row],[Match]]),0)*86400),0)</f>
        <v>0</v>
      </c>
    </row>
    <row r="1236" spans="1:35" x14ac:dyDescent="0.3">
      <c r="A1236">
        <v>1232</v>
      </c>
      <c r="B1236" t="s">
        <v>363</v>
      </c>
      <c r="C1236">
        <v>21</v>
      </c>
      <c r="D1236" s="105">
        <v>45373.494492442129</v>
      </c>
      <c r="E1236" t="s">
        <v>314</v>
      </c>
      <c r="F1236" t="s">
        <v>309</v>
      </c>
      <c r="G1236">
        <v>1</v>
      </c>
      <c r="H1236" t="s">
        <v>310</v>
      </c>
      <c r="I1236">
        <v>0</v>
      </c>
      <c r="J1236">
        <v>0</v>
      </c>
      <c r="K1236">
        <v>0</v>
      </c>
      <c r="L1236" t="s">
        <v>310</v>
      </c>
      <c r="M1236" t="s">
        <v>310</v>
      </c>
      <c r="N1236">
        <v>0</v>
      </c>
      <c r="O1236" t="s">
        <v>1391</v>
      </c>
      <c r="P1236" t="s">
        <v>240</v>
      </c>
      <c r="Q1236" t="s">
        <v>1399</v>
      </c>
      <c r="R1236" t="s">
        <v>310</v>
      </c>
      <c r="S1236">
        <v>9</v>
      </c>
      <c r="T1236" t="s">
        <v>310</v>
      </c>
      <c r="U1236">
        <v>9</v>
      </c>
      <c r="V1236">
        <v>9</v>
      </c>
      <c r="W1236">
        <v>0</v>
      </c>
      <c r="X1236">
        <v>0</v>
      </c>
      <c r="Y1236">
        <v>0</v>
      </c>
      <c r="Z1236">
        <v>0</v>
      </c>
      <c r="AA1236">
        <v>9</v>
      </c>
      <c r="AB1236">
        <v>9</v>
      </c>
      <c r="AC1236" t="s">
        <v>310</v>
      </c>
      <c r="AD1236">
        <v>9</v>
      </c>
      <c r="AE1236" t="s">
        <v>1416</v>
      </c>
      <c r="AF1236">
        <v>20000000</v>
      </c>
      <c r="AG1236" t="s">
        <v>310</v>
      </c>
      <c r="AH1236">
        <f>SUM((MID(Dyno_Data[[#This Row],[Team]],4,5))+(Dyno_Data[[#This Row],[Match]]/100))</f>
        <v>2601.21</v>
      </c>
      <c r="AI1236" s="76">
        <f>ROUND(SUM(IF(Dyno_Data[[#This Row],[AcqCenter]]&gt;0,Dyno_Data[[#This Row],[Time]]-SUMIFS(Dyno_Data[Time],Dyno_Data[Team],Dyno_Data[[#This Row],[Team]],Dyno_Data[RecordType],"StartMatch",Dyno_Data[Match],Dyno_Data[[#This Row],[Match]]),0)*86400),0)</f>
        <v>0</v>
      </c>
    </row>
    <row r="1237" spans="1:35" x14ac:dyDescent="0.3">
      <c r="A1237">
        <v>1234</v>
      </c>
      <c r="B1237" t="s">
        <v>1300</v>
      </c>
      <c r="C1237">
        <v>21</v>
      </c>
      <c r="D1237" s="105">
        <v>45373.494498148146</v>
      </c>
      <c r="E1237" t="s">
        <v>314</v>
      </c>
      <c r="F1237" t="s">
        <v>309</v>
      </c>
      <c r="G1237">
        <v>1</v>
      </c>
      <c r="H1237" t="s">
        <v>310</v>
      </c>
      <c r="I1237">
        <v>0</v>
      </c>
      <c r="J1237">
        <v>0</v>
      </c>
      <c r="K1237">
        <v>0</v>
      </c>
      <c r="L1237" t="s">
        <v>310</v>
      </c>
      <c r="M1237" t="s">
        <v>310</v>
      </c>
      <c r="N1237">
        <v>0</v>
      </c>
      <c r="O1237" t="s">
        <v>311</v>
      </c>
      <c r="P1237" t="s">
        <v>320</v>
      </c>
      <c r="Q1237" t="s">
        <v>1400</v>
      </c>
      <c r="R1237" t="s">
        <v>310</v>
      </c>
      <c r="S1237">
        <v>9</v>
      </c>
      <c r="T1237" t="s">
        <v>310</v>
      </c>
      <c r="U1237">
        <v>9</v>
      </c>
      <c r="V1237">
        <v>9</v>
      </c>
      <c r="W1237">
        <v>0</v>
      </c>
      <c r="X1237">
        <v>0</v>
      </c>
      <c r="Y1237">
        <v>0</v>
      </c>
      <c r="Z1237">
        <v>0</v>
      </c>
      <c r="AA1237">
        <v>9</v>
      </c>
      <c r="AB1237">
        <v>9</v>
      </c>
      <c r="AC1237" t="s">
        <v>310</v>
      </c>
      <c r="AD1237">
        <v>9</v>
      </c>
      <c r="AE1237" t="s">
        <v>1413</v>
      </c>
      <c r="AF1237">
        <v>0</v>
      </c>
      <c r="AG1237" t="s">
        <v>310</v>
      </c>
      <c r="AH1237">
        <f>SUM((MID(Dyno_Data[[#This Row],[Team]],4,5))+(Dyno_Data[[#This Row],[Match]]/100))</f>
        <v>3044.21</v>
      </c>
      <c r="AI1237" s="76">
        <f>ROUND(SUM(IF(Dyno_Data[[#This Row],[AcqCenter]]&gt;0,Dyno_Data[[#This Row],[Time]]-SUMIFS(Dyno_Data[Time],Dyno_Data[Team],Dyno_Data[[#This Row],[Team]],Dyno_Data[RecordType],"StartMatch",Dyno_Data[Match],Dyno_Data[[#This Row],[Match]]),0)*86400),0)</f>
        <v>0</v>
      </c>
    </row>
    <row r="1238" spans="1:35" x14ac:dyDescent="0.3">
      <c r="A1238">
        <v>1236</v>
      </c>
      <c r="B1238" t="s">
        <v>1279</v>
      </c>
      <c r="C1238">
        <v>21</v>
      </c>
      <c r="D1238" s="105">
        <v>45373.494499618057</v>
      </c>
      <c r="E1238" t="s">
        <v>314</v>
      </c>
      <c r="F1238" t="s">
        <v>309</v>
      </c>
      <c r="G1238">
        <v>1</v>
      </c>
      <c r="H1238" t="s">
        <v>310</v>
      </c>
      <c r="I1238">
        <v>0</v>
      </c>
      <c r="J1238">
        <v>0</v>
      </c>
      <c r="K1238">
        <v>0</v>
      </c>
      <c r="L1238" t="s">
        <v>310</v>
      </c>
      <c r="M1238" t="s">
        <v>310</v>
      </c>
      <c r="N1238">
        <v>0</v>
      </c>
      <c r="O1238" t="s">
        <v>1393</v>
      </c>
      <c r="P1238" t="s">
        <v>320</v>
      </c>
      <c r="Q1238" t="s">
        <v>1399</v>
      </c>
      <c r="R1238" t="s">
        <v>310</v>
      </c>
      <c r="S1238">
        <v>9</v>
      </c>
      <c r="T1238" t="s">
        <v>310</v>
      </c>
      <c r="U1238">
        <v>9</v>
      </c>
      <c r="V1238">
        <v>9</v>
      </c>
      <c r="W1238">
        <v>0</v>
      </c>
      <c r="X1238">
        <v>0</v>
      </c>
      <c r="Y1238">
        <v>0</v>
      </c>
      <c r="Z1238">
        <v>0</v>
      </c>
      <c r="AA1238">
        <v>9</v>
      </c>
      <c r="AB1238">
        <v>9</v>
      </c>
      <c r="AC1238" t="s">
        <v>310</v>
      </c>
      <c r="AD1238">
        <v>9</v>
      </c>
      <c r="AE1238" t="s">
        <v>1418</v>
      </c>
      <c r="AF1238">
        <v>0</v>
      </c>
      <c r="AG1238" t="s">
        <v>310</v>
      </c>
      <c r="AH1238">
        <f>SUM((MID(Dyno_Data[[#This Row],[Team]],4,5))+(Dyno_Data[[#This Row],[Match]]/100))</f>
        <v>5149.21</v>
      </c>
      <c r="AI1238" s="76">
        <f>ROUND(SUM(IF(Dyno_Data[[#This Row],[AcqCenter]]&gt;0,Dyno_Data[[#This Row],[Time]]-SUMIFS(Dyno_Data[Time],Dyno_Data[Team],Dyno_Data[[#This Row],[Team]],Dyno_Data[RecordType],"StartMatch",Dyno_Data[Match],Dyno_Data[[#This Row],[Match]]),0)*86400),0)</f>
        <v>0</v>
      </c>
    </row>
    <row r="1239" spans="1:35" x14ac:dyDescent="0.3">
      <c r="A1239">
        <v>1238</v>
      </c>
      <c r="B1239" t="s">
        <v>1311</v>
      </c>
      <c r="C1239">
        <v>21</v>
      </c>
      <c r="D1239" s="105">
        <v>45373.494506249997</v>
      </c>
      <c r="E1239" t="s">
        <v>314</v>
      </c>
      <c r="F1239" t="s">
        <v>309</v>
      </c>
      <c r="G1239">
        <v>1</v>
      </c>
      <c r="H1239" t="s">
        <v>310</v>
      </c>
      <c r="I1239">
        <v>0</v>
      </c>
      <c r="J1239">
        <v>0</v>
      </c>
      <c r="K1239">
        <v>0</v>
      </c>
      <c r="L1239" t="s">
        <v>310</v>
      </c>
      <c r="M1239" t="s">
        <v>310</v>
      </c>
      <c r="N1239">
        <v>0</v>
      </c>
      <c r="O1239" t="s">
        <v>1395</v>
      </c>
      <c r="P1239" t="s">
        <v>320</v>
      </c>
      <c r="Q1239" t="s">
        <v>1400</v>
      </c>
      <c r="R1239" t="s">
        <v>310</v>
      </c>
      <c r="S1239">
        <v>9</v>
      </c>
      <c r="T1239" t="s">
        <v>310</v>
      </c>
      <c r="U1239">
        <v>9</v>
      </c>
      <c r="V1239">
        <v>9</v>
      </c>
      <c r="W1239">
        <v>0</v>
      </c>
      <c r="X1239">
        <v>0</v>
      </c>
      <c r="Y1239">
        <v>0</v>
      </c>
      <c r="Z1239">
        <v>0</v>
      </c>
      <c r="AA1239">
        <v>9</v>
      </c>
      <c r="AB1239">
        <v>9</v>
      </c>
      <c r="AC1239" t="s">
        <v>310</v>
      </c>
      <c r="AD1239">
        <v>9</v>
      </c>
      <c r="AE1239" t="s">
        <v>1417</v>
      </c>
      <c r="AF1239">
        <v>0</v>
      </c>
      <c r="AG1239" t="s">
        <v>310</v>
      </c>
      <c r="AH1239">
        <f>SUM((MID(Dyno_Data[[#This Row],[Team]],4,5))+(Dyno_Data[[#This Row],[Match]]/100))</f>
        <v>2234.21</v>
      </c>
      <c r="AI1239" s="76">
        <f>ROUND(SUM(IF(Dyno_Data[[#This Row],[AcqCenter]]&gt;0,Dyno_Data[[#This Row],[Time]]-SUMIFS(Dyno_Data[Time],Dyno_Data[Team],Dyno_Data[[#This Row],[Team]],Dyno_Data[RecordType],"StartMatch",Dyno_Data[Match],Dyno_Data[[#This Row],[Match]]),0)*86400),0)</f>
        <v>0</v>
      </c>
    </row>
    <row r="1240" spans="1:35" x14ac:dyDescent="0.3">
      <c r="A1240">
        <v>1239</v>
      </c>
      <c r="B1240" t="s">
        <v>1286</v>
      </c>
      <c r="C1240">
        <v>21</v>
      </c>
      <c r="D1240" s="105">
        <v>45373.494535914353</v>
      </c>
      <c r="E1240" t="s">
        <v>312</v>
      </c>
      <c r="F1240" t="s">
        <v>1402</v>
      </c>
      <c r="G1240">
        <v>0</v>
      </c>
      <c r="H1240" t="s">
        <v>143</v>
      </c>
      <c r="I1240">
        <v>0</v>
      </c>
      <c r="J1240">
        <v>0</v>
      </c>
      <c r="K1240">
        <v>0</v>
      </c>
      <c r="L1240" t="s">
        <v>241</v>
      </c>
      <c r="M1240" t="s">
        <v>101</v>
      </c>
      <c r="N1240">
        <v>0</v>
      </c>
      <c r="O1240" t="s">
        <v>1389</v>
      </c>
      <c r="P1240" t="s">
        <v>310</v>
      </c>
      <c r="Q1240" t="s">
        <v>310</v>
      </c>
      <c r="R1240" t="s">
        <v>310</v>
      </c>
      <c r="S1240">
        <v>9</v>
      </c>
      <c r="T1240" t="s">
        <v>310</v>
      </c>
      <c r="U1240">
        <v>9</v>
      </c>
      <c r="V1240">
        <v>9</v>
      </c>
      <c r="W1240">
        <v>0</v>
      </c>
      <c r="X1240">
        <v>0</v>
      </c>
      <c r="Y1240">
        <v>0</v>
      </c>
      <c r="Z1240">
        <v>0</v>
      </c>
      <c r="AA1240">
        <v>9</v>
      </c>
      <c r="AB1240">
        <v>9</v>
      </c>
      <c r="AC1240" t="s">
        <v>310</v>
      </c>
      <c r="AD1240">
        <v>9</v>
      </c>
      <c r="AE1240" t="s">
        <v>1414</v>
      </c>
      <c r="AF1240">
        <v>20002000</v>
      </c>
      <c r="AG1240" t="s">
        <v>310</v>
      </c>
      <c r="AH1240">
        <f>SUM((MID(Dyno_Data[[#This Row],[Team]],4,5))+(Dyno_Data[[#This Row],[Match]]/100))</f>
        <v>1591.21</v>
      </c>
      <c r="AI1240" s="76">
        <f>ROUND(SUM(IF(Dyno_Data[[#This Row],[AcqCenter]]&gt;0,Dyno_Data[[#This Row],[Time]]-SUMIFS(Dyno_Data[Time],Dyno_Data[Team],Dyno_Data[[#This Row],[Team]],Dyno_Data[RecordType],"StartMatch",Dyno_Data[Match],Dyno_Data[[#This Row],[Match]]),0)*86400),0)</f>
        <v>0</v>
      </c>
    </row>
    <row r="1241" spans="1:35" x14ac:dyDescent="0.3">
      <c r="A1241">
        <v>1240</v>
      </c>
      <c r="B1241" t="s">
        <v>1300</v>
      </c>
      <c r="C1241">
        <v>21</v>
      </c>
      <c r="D1241" s="105">
        <v>45373.494566979163</v>
      </c>
      <c r="E1241" t="s">
        <v>312</v>
      </c>
      <c r="F1241" t="s">
        <v>1402</v>
      </c>
      <c r="G1241">
        <v>0</v>
      </c>
      <c r="H1241" t="s">
        <v>143</v>
      </c>
      <c r="I1241">
        <v>0</v>
      </c>
      <c r="J1241">
        <v>0</v>
      </c>
      <c r="K1241">
        <v>0</v>
      </c>
      <c r="L1241" t="s">
        <v>242</v>
      </c>
      <c r="M1241" t="s">
        <v>1398</v>
      </c>
      <c r="N1241">
        <v>0</v>
      </c>
      <c r="O1241" t="s">
        <v>311</v>
      </c>
      <c r="P1241" t="s">
        <v>310</v>
      </c>
      <c r="Q1241" t="s">
        <v>310</v>
      </c>
      <c r="R1241" t="s">
        <v>310</v>
      </c>
      <c r="S1241">
        <v>9</v>
      </c>
      <c r="T1241" t="s">
        <v>310</v>
      </c>
      <c r="U1241">
        <v>9</v>
      </c>
      <c r="V1241">
        <v>9</v>
      </c>
      <c r="W1241">
        <v>0</v>
      </c>
      <c r="X1241">
        <v>0</v>
      </c>
      <c r="Y1241">
        <v>0</v>
      </c>
      <c r="Z1241">
        <v>0</v>
      </c>
      <c r="AA1241">
        <v>9</v>
      </c>
      <c r="AB1241">
        <v>9</v>
      </c>
      <c r="AC1241" t="s">
        <v>310</v>
      </c>
      <c r="AD1241">
        <v>9</v>
      </c>
      <c r="AE1241" t="s">
        <v>1413</v>
      </c>
      <c r="AF1241">
        <v>0</v>
      </c>
      <c r="AG1241" t="s">
        <v>310</v>
      </c>
      <c r="AH1241">
        <f>SUM((MID(Dyno_Data[[#This Row],[Team]],4,5))+(Dyno_Data[[#This Row],[Match]]/100))</f>
        <v>3044.21</v>
      </c>
      <c r="AI1241" s="76">
        <f>ROUND(SUM(IF(Dyno_Data[[#This Row],[AcqCenter]]&gt;0,Dyno_Data[[#This Row],[Time]]-SUMIFS(Dyno_Data[Time],Dyno_Data[Team],Dyno_Data[[#This Row],[Team]],Dyno_Data[RecordType],"StartMatch",Dyno_Data[Match],Dyno_Data[[#This Row],[Match]]),0)*86400),0)</f>
        <v>0</v>
      </c>
    </row>
    <row r="1242" spans="1:35" x14ac:dyDescent="0.3">
      <c r="A1242">
        <v>1241</v>
      </c>
      <c r="B1242" t="s">
        <v>1286</v>
      </c>
      <c r="C1242">
        <v>21</v>
      </c>
      <c r="D1242" s="105">
        <v>45373.494619363424</v>
      </c>
      <c r="E1242" t="s">
        <v>312</v>
      </c>
      <c r="F1242" t="s">
        <v>1402</v>
      </c>
      <c r="G1242">
        <v>0</v>
      </c>
      <c r="H1242" t="s">
        <v>315</v>
      </c>
      <c r="I1242">
        <v>0</v>
      </c>
      <c r="J1242">
        <v>0</v>
      </c>
      <c r="K1242">
        <v>0</v>
      </c>
      <c r="L1242" t="s">
        <v>241</v>
      </c>
      <c r="M1242" t="s">
        <v>101</v>
      </c>
      <c r="N1242">
        <v>0</v>
      </c>
      <c r="O1242" t="s">
        <v>1389</v>
      </c>
      <c r="P1242" t="s">
        <v>310</v>
      </c>
      <c r="Q1242" t="s">
        <v>310</v>
      </c>
      <c r="R1242" t="s">
        <v>310</v>
      </c>
      <c r="S1242">
        <v>9</v>
      </c>
      <c r="T1242" t="s">
        <v>310</v>
      </c>
      <c r="U1242">
        <v>9</v>
      </c>
      <c r="V1242">
        <v>9</v>
      </c>
      <c r="W1242">
        <v>0</v>
      </c>
      <c r="X1242">
        <v>0</v>
      </c>
      <c r="Y1242">
        <v>0</v>
      </c>
      <c r="Z1242">
        <v>0</v>
      </c>
      <c r="AA1242">
        <v>9</v>
      </c>
      <c r="AB1242">
        <v>9</v>
      </c>
      <c r="AC1242" t="s">
        <v>310</v>
      </c>
      <c r="AD1242">
        <v>9</v>
      </c>
      <c r="AE1242" t="s">
        <v>1414</v>
      </c>
      <c r="AF1242">
        <v>30402000</v>
      </c>
      <c r="AG1242" t="s">
        <v>310</v>
      </c>
      <c r="AH1242">
        <f>SUM((MID(Dyno_Data[[#This Row],[Team]],4,5))+(Dyno_Data[[#This Row],[Match]]/100))</f>
        <v>1591.21</v>
      </c>
      <c r="AI1242" s="76">
        <f>ROUND(SUM(IF(Dyno_Data[[#This Row],[AcqCenter]]&gt;0,Dyno_Data[[#This Row],[Time]]-SUMIFS(Dyno_Data[Time],Dyno_Data[Team],Dyno_Data[[#This Row],[Team]],Dyno_Data[RecordType],"StartMatch",Dyno_Data[Match],Dyno_Data[[#This Row],[Match]]),0)*86400),0)</f>
        <v>0</v>
      </c>
    </row>
    <row r="1243" spans="1:35" x14ac:dyDescent="0.3">
      <c r="A1243">
        <v>1242</v>
      </c>
      <c r="B1243" t="s">
        <v>1300</v>
      </c>
      <c r="C1243">
        <v>21</v>
      </c>
      <c r="D1243" s="105">
        <v>45373.494636689815</v>
      </c>
      <c r="E1243" t="s">
        <v>312</v>
      </c>
      <c r="F1243" t="s">
        <v>1402</v>
      </c>
      <c r="G1243">
        <v>0</v>
      </c>
      <c r="H1243" t="s">
        <v>315</v>
      </c>
      <c r="I1243">
        <v>0</v>
      </c>
      <c r="J1243">
        <v>0</v>
      </c>
      <c r="K1243">
        <v>0</v>
      </c>
      <c r="L1243" t="s">
        <v>242</v>
      </c>
      <c r="M1243" t="s">
        <v>1398</v>
      </c>
      <c r="N1243">
        <v>0</v>
      </c>
      <c r="O1243" t="s">
        <v>311</v>
      </c>
      <c r="P1243" t="s">
        <v>310</v>
      </c>
      <c r="Q1243" t="s">
        <v>310</v>
      </c>
      <c r="R1243" t="s">
        <v>310</v>
      </c>
      <c r="S1243">
        <v>9</v>
      </c>
      <c r="T1243" t="s">
        <v>310</v>
      </c>
      <c r="U1243">
        <v>9</v>
      </c>
      <c r="V1243">
        <v>9</v>
      </c>
      <c r="W1243">
        <v>0</v>
      </c>
      <c r="X1243">
        <v>0</v>
      </c>
      <c r="Y1243">
        <v>0</v>
      </c>
      <c r="Z1243">
        <v>0</v>
      </c>
      <c r="AA1243">
        <v>9</v>
      </c>
      <c r="AB1243">
        <v>9</v>
      </c>
      <c r="AC1243" t="s">
        <v>310</v>
      </c>
      <c r="AD1243">
        <v>9</v>
      </c>
      <c r="AE1243" t="s">
        <v>1413</v>
      </c>
      <c r="AF1243">
        <v>10000000</v>
      </c>
      <c r="AG1243" t="s">
        <v>310</v>
      </c>
      <c r="AH1243">
        <f>SUM((MID(Dyno_Data[[#This Row],[Team]],4,5))+(Dyno_Data[[#This Row],[Match]]/100))</f>
        <v>3044.21</v>
      </c>
      <c r="AI1243" s="76">
        <f>ROUND(SUM(IF(Dyno_Data[[#This Row],[AcqCenter]]&gt;0,Dyno_Data[[#This Row],[Time]]-SUMIFS(Dyno_Data[Time],Dyno_Data[Team],Dyno_Data[[#This Row],[Team]],Dyno_Data[RecordType],"StartMatch",Dyno_Data[Match],Dyno_Data[[#This Row],[Match]]),0)*86400),0)</f>
        <v>0</v>
      </c>
    </row>
    <row r="1244" spans="1:35" x14ac:dyDescent="0.3">
      <c r="A1244">
        <v>1243</v>
      </c>
      <c r="B1244" t="s">
        <v>1318</v>
      </c>
      <c r="C1244">
        <v>21</v>
      </c>
      <c r="D1244" s="105">
        <v>45373.494645486113</v>
      </c>
      <c r="E1244" t="s">
        <v>312</v>
      </c>
      <c r="F1244" t="s">
        <v>1402</v>
      </c>
      <c r="G1244">
        <v>0</v>
      </c>
      <c r="H1244" t="s">
        <v>315</v>
      </c>
      <c r="I1244">
        <v>0</v>
      </c>
      <c r="J1244">
        <v>0</v>
      </c>
      <c r="K1244">
        <v>0</v>
      </c>
      <c r="L1244" t="s">
        <v>241</v>
      </c>
      <c r="M1244" t="s">
        <v>101</v>
      </c>
      <c r="N1244">
        <v>0</v>
      </c>
      <c r="O1244" t="s">
        <v>319</v>
      </c>
      <c r="P1244" t="s">
        <v>310</v>
      </c>
      <c r="Q1244" t="s">
        <v>310</v>
      </c>
      <c r="R1244" t="s">
        <v>310</v>
      </c>
      <c r="S1244">
        <v>9</v>
      </c>
      <c r="T1244" t="s">
        <v>310</v>
      </c>
      <c r="U1244">
        <v>9</v>
      </c>
      <c r="V1244">
        <v>9</v>
      </c>
      <c r="W1244">
        <v>0</v>
      </c>
      <c r="X1244">
        <v>0</v>
      </c>
      <c r="Y1244">
        <v>0</v>
      </c>
      <c r="Z1244">
        <v>0</v>
      </c>
      <c r="AA1244">
        <v>9</v>
      </c>
      <c r="AB1244">
        <v>9</v>
      </c>
      <c r="AC1244" t="s">
        <v>310</v>
      </c>
      <c r="AD1244">
        <v>9</v>
      </c>
      <c r="AE1244" t="s">
        <v>1412</v>
      </c>
      <c r="AF1244">
        <v>10000000</v>
      </c>
      <c r="AG1244" t="s">
        <v>310</v>
      </c>
      <c r="AH1244">
        <f>SUM((MID(Dyno_Data[[#This Row],[Team]],4,5))+(Dyno_Data[[#This Row],[Match]]/100))</f>
        <v>7709.21</v>
      </c>
      <c r="AI1244" s="76">
        <f>ROUND(SUM(IF(Dyno_Data[[#This Row],[AcqCenter]]&gt;0,Dyno_Data[[#This Row],[Time]]-SUMIFS(Dyno_Data[Time],Dyno_Data[Team],Dyno_Data[[#This Row],[Team]],Dyno_Data[RecordType],"StartMatch",Dyno_Data[Match],Dyno_Data[[#This Row],[Match]]),0)*86400),0)</f>
        <v>0</v>
      </c>
    </row>
    <row r="1245" spans="1:35" x14ac:dyDescent="0.3">
      <c r="A1245">
        <v>1244</v>
      </c>
      <c r="B1245" t="s">
        <v>1286</v>
      </c>
      <c r="C1245">
        <v>21</v>
      </c>
      <c r="D1245" s="105">
        <v>45373.494679363423</v>
      </c>
      <c r="E1245" t="s">
        <v>312</v>
      </c>
      <c r="F1245" t="s">
        <v>1402</v>
      </c>
      <c r="G1245">
        <v>0</v>
      </c>
      <c r="H1245" t="s">
        <v>315</v>
      </c>
      <c r="I1245">
        <v>0</v>
      </c>
      <c r="J1245">
        <v>0</v>
      </c>
      <c r="K1245">
        <v>0</v>
      </c>
      <c r="L1245" t="s">
        <v>241</v>
      </c>
      <c r="M1245" t="s">
        <v>1398</v>
      </c>
      <c r="N1245">
        <v>0</v>
      </c>
      <c r="O1245" t="s">
        <v>1389</v>
      </c>
      <c r="P1245" t="s">
        <v>310</v>
      </c>
      <c r="Q1245" t="s">
        <v>310</v>
      </c>
      <c r="R1245" t="s">
        <v>310</v>
      </c>
      <c r="S1245">
        <v>9</v>
      </c>
      <c r="T1245" t="s">
        <v>310</v>
      </c>
      <c r="U1245">
        <v>9</v>
      </c>
      <c r="V1245">
        <v>9</v>
      </c>
      <c r="W1245">
        <v>0</v>
      </c>
      <c r="X1245">
        <v>0</v>
      </c>
      <c r="Y1245">
        <v>0</v>
      </c>
      <c r="Z1245">
        <v>0</v>
      </c>
      <c r="AA1245">
        <v>9</v>
      </c>
      <c r="AB1245">
        <v>9</v>
      </c>
      <c r="AC1245" t="s">
        <v>310</v>
      </c>
      <c r="AD1245">
        <v>9</v>
      </c>
      <c r="AE1245" t="s">
        <v>1414</v>
      </c>
      <c r="AF1245">
        <v>40502000</v>
      </c>
      <c r="AG1245" t="s">
        <v>310</v>
      </c>
      <c r="AH1245">
        <f>SUM((MID(Dyno_Data[[#This Row],[Team]],4,5))+(Dyno_Data[[#This Row],[Match]]/100))</f>
        <v>1591.21</v>
      </c>
      <c r="AI1245" s="76">
        <f>ROUND(SUM(IF(Dyno_Data[[#This Row],[AcqCenter]]&gt;0,Dyno_Data[[#This Row],[Time]]-SUMIFS(Dyno_Data[Time],Dyno_Data[Team],Dyno_Data[[#This Row],[Team]],Dyno_Data[RecordType],"StartMatch",Dyno_Data[Match],Dyno_Data[[#This Row],[Match]]),0)*86400),0)</f>
        <v>0</v>
      </c>
    </row>
    <row r="1246" spans="1:35" x14ac:dyDescent="0.3">
      <c r="A1246">
        <v>1245</v>
      </c>
      <c r="B1246" t="s">
        <v>1318</v>
      </c>
      <c r="C1246">
        <v>21</v>
      </c>
      <c r="D1246" s="105">
        <v>45373.494725775461</v>
      </c>
      <c r="E1246" t="s">
        <v>312</v>
      </c>
      <c r="F1246" t="s">
        <v>1402</v>
      </c>
      <c r="G1246">
        <v>0</v>
      </c>
      <c r="H1246" t="s">
        <v>315</v>
      </c>
      <c r="I1246">
        <v>0</v>
      </c>
      <c r="J1246">
        <v>0</v>
      </c>
      <c r="K1246">
        <v>0</v>
      </c>
      <c r="L1246" t="s">
        <v>241</v>
      </c>
      <c r="M1246" t="s">
        <v>101</v>
      </c>
      <c r="N1246">
        <v>0</v>
      </c>
      <c r="O1246" t="s">
        <v>319</v>
      </c>
      <c r="P1246" t="s">
        <v>310</v>
      </c>
      <c r="Q1246" t="s">
        <v>310</v>
      </c>
      <c r="R1246" t="s">
        <v>310</v>
      </c>
      <c r="S1246">
        <v>9</v>
      </c>
      <c r="T1246" t="s">
        <v>310</v>
      </c>
      <c r="U1246">
        <v>9</v>
      </c>
      <c r="V1246">
        <v>9</v>
      </c>
      <c r="W1246">
        <v>0</v>
      </c>
      <c r="X1246">
        <v>0</v>
      </c>
      <c r="Y1246">
        <v>0</v>
      </c>
      <c r="Z1246">
        <v>0</v>
      </c>
      <c r="AA1246">
        <v>9</v>
      </c>
      <c r="AB1246">
        <v>9</v>
      </c>
      <c r="AC1246" t="s">
        <v>310</v>
      </c>
      <c r="AD1246">
        <v>9</v>
      </c>
      <c r="AE1246" t="s">
        <v>1412</v>
      </c>
      <c r="AF1246">
        <v>20000000</v>
      </c>
      <c r="AG1246" t="s">
        <v>310</v>
      </c>
      <c r="AH1246">
        <f>SUM((MID(Dyno_Data[[#This Row],[Team]],4,5))+(Dyno_Data[[#This Row],[Match]]/100))</f>
        <v>7709.21</v>
      </c>
      <c r="AI1246" s="76">
        <f>ROUND(SUM(IF(Dyno_Data[[#This Row],[AcqCenter]]&gt;0,Dyno_Data[[#This Row],[Time]]-SUMIFS(Dyno_Data[Time],Dyno_Data[Team],Dyno_Data[[#This Row],[Team]],Dyno_Data[RecordType],"StartMatch",Dyno_Data[Match],Dyno_Data[[#This Row],[Match]]),0)*86400),0)</f>
        <v>0</v>
      </c>
    </row>
    <row r="1247" spans="1:35" x14ac:dyDescent="0.3">
      <c r="A1247">
        <v>1246</v>
      </c>
      <c r="B1247" t="s">
        <v>1286</v>
      </c>
      <c r="C1247">
        <v>21</v>
      </c>
      <c r="D1247" s="105">
        <v>45373.494737349538</v>
      </c>
      <c r="E1247" t="s">
        <v>312</v>
      </c>
      <c r="F1247" t="s">
        <v>1402</v>
      </c>
      <c r="G1247">
        <v>0</v>
      </c>
      <c r="H1247" t="s">
        <v>315</v>
      </c>
      <c r="I1247">
        <v>0</v>
      </c>
      <c r="J1247">
        <v>0</v>
      </c>
      <c r="K1247">
        <v>0</v>
      </c>
      <c r="L1247" t="s">
        <v>241</v>
      </c>
      <c r="M1247" t="s">
        <v>1398</v>
      </c>
      <c r="N1247">
        <v>0</v>
      </c>
      <c r="O1247" t="s">
        <v>1389</v>
      </c>
      <c r="P1247" t="s">
        <v>310</v>
      </c>
      <c r="Q1247" t="s">
        <v>310</v>
      </c>
      <c r="R1247" t="s">
        <v>310</v>
      </c>
      <c r="S1247">
        <v>9</v>
      </c>
      <c r="T1247" t="s">
        <v>310</v>
      </c>
      <c r="U1247">
        <v>9</v>
      </c>
      <c r="V1247">
        <v>9</v>
      </c>
      <c r="W1247">
        <v>0</v>
      </c>
      <c r="X1247">
        <v>0</v>
      </c>
      <c r="Y1247">
        <v>0</v>
      </c>
      <c r="Z1247">
        <v>0</v>
      </c>
      <c r="AA1247">
        <v>9</v>
      </c>
      <c r="AB1247">
        <v>9</v>
      </c>
      <c r="AC1247" t="s">
        <v>310</v>
      </c>
      <c r="AD1247">
        <v>9</v>
      </c>
      <c r="AE1247" t="s">
        <v>1414</v>
      </c>
      <c r="AF1247">
        <v>50502000</v>
      </c>
      <c r="AG1247" t="s">
        <v>310</v>
      </c>
      <c r="AH1247">
        <f>SUM((MID(Dyno_Data[[#This Row],[Team]],4,5))+(Dyno_Data[[#This Row],[Match]]/100))</f>
        <v>1591.21</v>
      </c>
      <c r="AI1247" s="76">
        <f>ROUND(SUM(IF(Dyno_Data[[#This Row],[AcqCenter]]&gt;0,Dyno_Data[[#This Row],[Time]]-SUMIFS(Dyno_Data[Time],Dyno_Data[Team],Dyno_Data[[#This Row],[Team]],Dyno_Data[RecordType],"StartMatch",Dyno_Data[Match],Dyno_Data[[#This Row],[Match]]),0)*86400),0)</f>
        <v>0</v>
      </c>
    </row>
    <row r="1248" spans="1:35" x14ac:dyDescent="0.3">
      <c r="A1248">
        <v>1247</v>
      </c>
      <c r="B1248" t="s">
        <v>1300</v>
      </c>
      <c r="C1248">
        <v>21</v>
      </c>
      <c r="D1248" s="105">
        <v>45373.494740162037</v>
      </c>
      <c r="E1248" t="s">
        <v>312</v>
      </c>
      <c r="F1248" t="s">
        <v>1402</v>
      </c>
      <c r="G1248">
        <v>0</v>
      </c>
      <c r="H1248" t="s">
        <v>315</v>
      </c>
      <c r="I1248">
        <v>0</v>
      </c>
      <c r="J1248">
        <v>0</v>
      </c>
      <c r="K1248">
        <v>0</v>
      </c>
      <c r="L1248" t="s">
        <v>242</v>
      </c>
      <c r="M1248" t="s">
        <v>1398</v>
      </c>
      <c r="N1248">
        <v>1</v>
      </c>
      <c r="O1248" t="s">
        <v>311</v>
      </c>
      <c r="P1248" t="s">
        <v>310</v>
      </c>
      <c r="Q1248" t="s">
        <v>310</v>
      </c>
      <c r="R1248" t="s">
        <v>310</v>
      </c>
      <c r="S1248">
        <v>9</v>
      </c>
      <c r="T1248" t="s">
        <v>310</v>
      </c>
      <c r="U1248">
        <v>9</v>
      </c>
      <c r="V1248">
        <v>9</v>
      </c>
      <c r="W1248">
        <v>0</v>
      </c>
      <c r="X1248">
        <v>0</v>
      </c>
      <c r="Y1248">
        <v>0</v>
      </c>
      <c r="Z1248">
        <v>0</v>
      </c>
      <c r="AA1248">
        <v>9</v>
      </c>
      <c r="AB1248">
        <v>9</v>
      </c>
      <c r="AC1248" t="s">
        <v>310</v>
      </c>
      <c r="AD1248">
        <v>9</v>
      </c>
      <c r="AE1248" t="s">
        <v>1413</v>
      </c>
      <c r="AF1248">
        <v>20000000</v>
      </c>
      <c r="AG1248" t="s">
        <v>310</v>
      </c>
      <c r="AH1248">
        <f>SUM((MID(Dyno_Data[[#This Row],[Team]],4,5))+(Dyno_Data[[#This Row],[Match]]/100))</f>
        <v>3044.21</v>
      </c>
      <c r="AI1248" s="76">
        <f>ROUND(SUM(IF(Dyno_Data[[#This Row],[AcqCenter]]&gt;0,Dyno_Data[[#This Row],[Time]]-SUMIFS(Dyno_Data[Time],Dyno_Data[Team],Dyno_Data[[#This Row],[Team]],Dyno_Data[RecordType],"StartMatch",Dyno_Data[Match],Dyno_Data[[#This Row],[Match]]),0)*86400),0)</f>
        <v>0</v>
      </c>
    </row>
    <row r="1249" spans="1:35" x14ac:dyDescent="0.3">
      <c r="A1249">
        <v>1248</v>
      </c>
      <c r="B1249" t="s">
        <v>363</v>
      </c>
      <c r="C1249">
        <v>21</v>
      </c>
      <c r="D1249" s="105">
        <v>45373.494763391202</v>
      </c>
      <c r="E1249" t="s">
        <v>312</v>
      </c>
      <c r="F1249" t="s">
        <v>1402</v>
      </c>
      <c r="G1249">
        <v>0</v>
      </c>
      <c r="H1249" t="s">
        <v>315</v>
      </c>
      <c r="I1249">
        <v>0</v>
      </c>
      <c r="J1249">
        <v>0</v>
      </c>
      <c r="K1249">
        <v>0</v>
      </c>
      <c r="L1249" t="s">
        <v>240</v>
      </c>
      <c r="M1249" t="s">
        <v>1398</v>
      </c>
      <c r="N1249">
        <v>0</v>
      </c>
      <c r="O1249" t="s">
        <v>1391</v>
      </c>
      <c r="P1249" t="s">
        <v>310</v>
      </c>
      <c r="Q1249" t="s">
        <v>310</v>
      </c>
      <c r="R1249" t="s">
        <v>310</v>
      </c>
      <c r="S1249">
        <v>9</v>
      </c>
      <c r="T1249" t="s">
        <v>310</v>
      </c>
      <c r="U1249">
        <v>9</v>
      </c>
      <c r="V1249">
        <v>9</v>
      </c>
      <c r="W1249">
        <v>0</v>
      </c>
      <c r="X1249">
        <v>0</v>
      </c>
      <c r="Y1249">
        <v>0</v>
      </c>
      <c r="Z1249">
        <v>0</v>
      </c>
      <c r="AA1249">
        <v>9</v>
      </c>
      <c r="AB1249">
        <v>9</v>
      </c>
      <c r="AC1249" t="s">
        <v>310</v>
      </c>
      <c r="AD1249">
        <v>9</v>
      </c>
      <c r="AE1249" t="s">
        <v>1416</v>
      </c>
      <c r="AF1249">
        <v>30000000</v>
      </c>
      <c r="AG1249" t="s">
        <v>310</v>
      </c>
      <c r="AH1249">
        <f>SUM((MID(Dyno_Data[[#This Row],[Team]],4,5))+(Dyno_Data[[#This Row],[Match]]/100))</f>
        <v>2601.21</v>
      </c>
      <c r="AI1249" s="76">
        <f>ROUND(SUM(IF(Dyno_Data[[#This Row],[AcqCenter]]&gt;0,Dyno_Data[[#This Row],[Time]]-SUMIFS(Dyno_Data[Time],Dyno_Data[Team],Dyno_Data[[#This Row],[Team]],Dyno_Data[RecordType],"StartMatch",Dyno_Data[Match],Dyno_Data[[#This Row],[Match]]),0)*86400),0)</f>
        <v>0</v>
      </c>
    </row>
    <row r="1250" spans="1:35" x14ac:dyDescent="0.3">
      <c r="A1250">
        <v>1249</v>
      </c>
      <c r="B1250" t="s">
        <v>1286</v>
      </c>
      <c r="C1250">
        <v>21</v>
      </c>
      <c r="D1250" s="105">
        <v>45373.494859062499</v>
      </c>
      <c r="E1250" t="s">
        <v>312</v>
      </c>
      <c r="F1250" t="s">
        <v>1402</v>
      </c>
      <c r="G1250">
        <v>0</v>
      </c>
      <c r="H1250" t="s">
        <v>315</v>
      </c>
      <c r="I1250">
        <v>0</v>
      </c>
      <c r="J1250">
        <v>0</v>
      </c>
      <c r="K1250">
        <v>0</v>
      </c>
      <c r="L1250" t="s">
        <v>241</v>
      </c>
      <c r="M1250" t="s">
        <v>1398</v>
      </c>
      <c r="N1250">
        <v>0</v>
      </c>
      <c r="O1250" t="s">
        <v>1389</v>
      </c>
      <c r="P1250" t="s">
        <v>310</v>
      </c>
      <c r="Q1250" t="s">
        <v>310</v>
      </c>
      <c r="R1250" t="s">
        <v>310</v>
      </c>
      <c r="S1250">
        <v>9</v>
      </c>
      <c r="T1250" t="s">
        <v>310</v>
      </c>
      <c r="U1250">
        <v>9</v>
      </c>
      <c r="V1250">
        <v>9</v>
      </c>
      <c r="W1250">
        <v>0</v>
      </c>
      <c r="X1250">
        <v>0</v>
      </c>
      <c r="Y1250">
        <v>0</v>
      </c>
      <c r="Z1250">
        <v>0</v>
      </c>
      <c r="AA1250">
        <v>9</v>
      </c>
      <c r="AB1250">
        <v>9</v>
      </c>
      <c r="AC1250" t="s">
        <v>310</v>
      </c>
      <c r="AD1250">
        <v>9</v>
      </c>
      <c r="AE1250" t="s">
        <v>1414</v>
      </c>
      <c r="AF1250">
        <v>60502000</v>
      </c>
      <c r="AG1250" t="s">
        <v>310</v>
      </c>
      <c r="AH1250">
        <f>SUM((MID(Dyno_Data[[#This Row],[Team]],4,5))+(Dyno_Data[[#This Row],[Match]]/100))</f>
        <v>1591.21</v>
      </c>
      <c r="AI1250" s="76">
        <f>ROUND(SUM(IF(Dyno_Data[[#This Row],[AcqCenter]]&gt;0,Dyno_Data[[#This Row],[Time]]-SUMIFS(Dyno_Data[Time],Dyno_Data[Team],Dyno_Data[[#This Row],[Team]],Dyno_Data[RecordType],"StartMatch",Dyno_Data[Match],Dyno_Data[[#This Row],[Match]]),0)*86400),0)</f>
        <v>0</v>
      </c>
    </row>
    <row r="1251" spans="1:35" x14ac:dyDescent="0.3">
      <c r="A1251">
        <v>1250</v>
      </c>
      <c r="B1251" t="s">
        <v>363</v>
      </c>
      <c r="C1251">
        <v>21</v>
      </c>
      <c r="D1251" s="105">
        <v>45373.494898877318</v>
      </c>
      <c r="E1251" t="s">
        <v>312</v>
      </c>
      <c r="F1251" t="s">
        <v>1402</v>
      </c>
      <c r="G1251">
        <v>0</v>
      </c>
      <c r="H1251" t="s">
        <v>315</v>
      </c>
      <c r="I1251">
        <v>0</v>
      </c>
      <c r="J1251">
        <v>0</v>
      </c>
      <c r="K1251">
        <v>0</v>
      </c>
      <c r="L1251" t="s">
        <v>240</v>
      </c>
      <c r="M1251" t="s">
        <v>1398</v>
      </c>
      <c r="N1251">
        <v>0</v>
      </c>
      <c r="O1251" t="s">
        <v>1391</v>
      </c>
      <c r="P1251" t="s">
        <v>310</v>
      </c>
      <c r="Q1251" t="s">
        <v>310</v>
      </c>
      <c r="R1251" t="s">
        <v>310</v>
      </c>
      <c r="S1251">
        <v>9</v>
      </c>
      <c r="T1251" t="s">
        <v>310</v>
      </c>
      <c r="U1251">
        <v>9</v>
      </c>
      <c r="V1251">
        <v>9</v>
      </c>
      <c r="W1251">
        <v>0</v>
      </c>
      <c r="X1251">
        <v>0</v>
      </c>
      <c r="Y1251">
        <v>0</v>
      </c>
      <c r="Z1251">
        <v>0</v>
      </c>
      <c r="AA1251">
        <v>9</v>
      </c>
      <c r="AB1251">
        <v>9</v>
      </c>
      <c r="AC1251" t="s">
        <v>310</v>
      </c>
      <c r="AD1251">
        <v>9</v>
      </c>
      <c r="AE1251" t="s">
        <v>1416</v>
      </c>
      <c r="AF1251">
        <v>40000000</v>
      </c>
      <c r="AG1251" t="s">
        <v>310</v>
      </c>
      <c r="AH1251">
        <f>SUM((MID(Dyno_Data[[#This Row],[Team]],4,5))+(Dyno_Data[[#This Row],[Match]]/100))</f>
        <v>2601.21</v>
      </c>
      <c r="AI1251" s="76">
        <f>ROUND(SUM(IF(Dyno_Data[[#This Row],[AcqCenter]]&gt;0,Dyno_Data[[#This Row],[Time]]-SUMIFS(Dyno_Data[Time],Dyno_Data[Team],Dyno_Data[[#This Row],[Team]],Dyno_Data[RecordType],"StartMatch",Dyno_Data[Match],Dyno_Data[[#This Row],[Match]]),0)*86400),0)</f>
        <v>0</v>
      </c>
    </row>
    <row r="1252" spans="1:35" x14ac:dyDescent="0.3">
      <c r="A1252">
        <v>1251</v>
      </c>
      <c r="B1252" t="s">
        <v>1300</v>
      </c>
      <c r="C1252">
        <v>21</v>
      </c>
      <c r="D1252" s="105">
        <v>45373.494930671295</v>
      </c>
      <c r="E1252" t="s">
        <v>312</v>
      </c>
      <c r="F1252" t="s">
        <v>1402</v>
      </c>
      <c r="G1252">
        <v>0</v>
      </c>
      <c r="H1252" t="s">
        <v>315</v>
      </c>
      <c r="I1252">
        <v>0</v>
      </c>
      <c r="J1252">
        <v>0</v>
      </c>
      <c r="K1252">
        <v>0</v>
      </c>
      <c r="L1252" t="s">
        <v>241</v>
      </c>
      <c r="M1252" t="s">
        <v>1398</v>
      </c>
      <c r="N1252">
        <v>1</v>
      </c>
      <c r="O1252" t="s">
        <v>311</v>
      </c>
      <c r="P1252" t="s">
        <v>310</v>
      </c>
      <c r="Q1252" t="s">
        <v>310</v>
      </c>
      <c r="R1252" t="s">
        <v>310</v>
      </c>
      <c r="S1252">
        <v>9</v>
      </c>
      <c r="T1252" t="s">
        <v>310</v>
      </c>
      <c r="U1252">
        <v>9</v>
      </c>
      <c r="V1252">
        <v>9</v>
      </c>
      <c r="W1252">
        <v>0</v>
      </c>
      <c r="X1252">
        <v>0</v>
      </c>
      <c r="Y1252">
        <v>0</v>
      </c>
      <c r="Z1252">
        <v>0</v>
      </c>
      <c r="AA1252">
        <v>9</v>
      </c>
      <c r="AB1252">
        <v>9</v>
      </c>
      <c r="AC1252" t="s">
        <v>310</v>
      </c>
      <c r="AD1252">
        <v>9</v>
      </c>
      <c r="AE1252" t="s">
        <v>1413</v>
      </c>
      <c r="AF1252">
        <v>30000000</v>
      </c>
      <c r="AG1252" t="s">
        <v>310</v>
      </c>
      <c r="AH1252">
        <f>SUM((MID(Dyno_Data[[#This Row],[Team]],4,5))+(Dyno_Data[[#This Row],[Match]]/100))</f>
        <v>3044.21</v>
      </c>
      <c r="AI1252" s="76">
        <f>ROUND(SUM(IF(Dyno_Data[[#This Row],[AcqCenter]]&gt;0,Dyno_Data[[#This Row],[Time]]-SUMIFS(Dyno_Data[Time],Dyno_Data[Team],Dyno_Data[[#This Row],[Team]],Dyno_Data[RecordType],"StartMatch",Dyno_Data[Match],Dyno_Data[[#This Row],[Match]]),0)*86400),0)</f>
        <v>0</v>
      </c>
    </row>
    <row r="1253" spans="1:35" x14ac:dyDescent="0.3">
      <c r="A1253">
        <v>1252</v>
      </c>
      <c r="B1253" t="s">
        <v>1286</v>
      </c>
      <c r="C1253">
        <v>21</v>
      </c>
      <c r="D1253" s="105">
        <v>45373.494976307869</v>
      </c>
      <c r="E1253" t="s">
        <v>312</v>
      </c>
      <c r="F1253" t="s">
        <v>1402</v>
      </c>
      <c r="G1253">
        <v>0</v>
      </c>
      <c r="H1253" t="s">
        <v>315</v>
      </c>
      <c r="I1253">
        <v>0</v>
      </c>
      <c r="J1253">
        <v>0</v>
      </c>
      <c r="K1253">
        <v>0</v>
      </c>
      <c r="L1253" t="s">
        <v>241</v>
      </c>
      <c r="M1253" t="s">
        <v>101</v>
      </c>
      <c r="N1253">
        <v>0</v>
      </c>
      <c r="O1253" t="s">
        <v>1389</v>
      </c>
      <c r="P1253" t="s">
        <v>310</v>
      </c>
      <c r="Q1253" t="s">
        <v>310</v>
      </c>
      <c r="R1253" t="s">
        <v>310</v>
      </c>
      <c r="S1253">
        <v>9</v>
      </c>
      <c r="T1253" t="s">
        <v>310</v>
      </c>
      <c r="U1253">
        <v>9</v>
      </c>
      <c r="V1253">
        <v>9</v>
      </c>
      <c r="W1253">
        <v>0</v>
      </c>
      <c r="X1253">
        <v>0</v>
      </c>
      <c r="Y1253">
        <v>0</v>
      </c>
      <c r="Z1253">
        <v>0</v>
      </c>
      <c r="AA1253">
        <v>9</v>
      </c>
      <c r="AB1253">
        <v>9</v>
      </c>
      <c r="AC1253" t="s">
        <v>310</v>
      </c>
      <c r="AD1253">
        <v>9</v>
      </c>
      <c r="AE1253" t="s">
        <v>1414</v>
      </c>
      <c r="AF1253">
        <v>70502000</v>
      </c>
      <c r="AG1253" t="s">
        <v>310</v>
      </c>
      <c r="AH1253">
        <f>SUM((MID(Dyno_Data[[#This Row],[Team]],4,5))+(Dyno_Data[[#This Row],[Match]]/100))</f>
        <v>1591.21</v>
      </c>
      <c r="AI1253" s="76">
        <f>ROUND(SUM(IF(Dyno_Data[[#This Row],[AcqCenter]]&gt;0,Dyno_Data[[#This Row],[Time]]-SUMIFS(Dyno_Data[Time],Dyno_Data[Team],Dyno_Data[[#This Row],[Team]],Dyno_Data[RecordType],"StartMatch",Dyno_Data[Match],Dyno_Data[[#This Row],[Match]]),0)*86400),0)</f>
        <v>0</v>
      </c>
    </row>
    <row r="1254" spans="1:35" x14ac:dyDescent="0.3">
      <c r="A1254">
        <v>1253</v>
      </c>
      <c r="B1254" t="s">
        <v>363</v>
      </c>
      <c r="C1254">
        <v>21</v>
      </c>
      <c r="D1254" s="105">
        <v>45373.495027696757</v>
      </c>
      <c r="E1254" t="s">
        <v>312</v>
      </c>
      <c r="F1254" t="s">
        <v>1402</v>
      </c>
      <c r="G1254">
        <v>0</v>
      </c>
      <c r="H1254" t="s">
        <v>315</v>
      </c>
      <c r="I1254">
        <v>0</v>
      </c>
      <c r="J1254">
        <v>0</v>
      </c>
      <c r="K1254">
        <v>0</v>
      </c>
      <c r="L1254" t="s">
        <v>240</v>
      </c>
      <c r="M1254" t="s">
        <v>1398</v>
      </c>
      <c r="N1254">
        <v>0</v>
      </c>
      <c r="O1254" t="s">
        <v>1391</v>
      </c>
      <c r="P1254" t="s">
        <v>310</v>
      </c>
      <c r="Q1254" t="s">
        <v>310</v>
      </c>
      <c r="R1254" t="s">
        <v>310</v>
      </c>
      <c r="S1254">
        <v>9</v>
      </c>
      <c r="T1254" t="s">
        <v>310</v>
      </c>
      <c r="U1254">
        <v>9</v>
      </c>
      <c r="V1254">
        <v>9</v>
      </c>
      <c r="W1254">
        <v>0</v>
      </c>
      <c r="X1254">
        <v>0</v>
      </c>
      <c r="Y1254">
        <v>0</v>
      </c>
      <c r="Z1254">
        <v>0</v>
      </c>
      <c r="AA1254">
        <v>9</v>
      </c>
      <c r="AB1254">
        <v>9</v>
      </c>
      <c r="AC1254" t="s">
        <v>310</v>
      </c>
      <c r="AD1254">
        <v>9</v>
      </c>
      <c r="AE1254" t="s">
        <v>1416</v>
      </c>
      <c r="AF1254">
        <v>50000000</v>
      </c>
      <c r="AG1254" t="s">
        <v>310</v>
      </c>
      <c r="AH1254">
        <f>SUM((MID(Dyno_Data[[#This Row],[Team]],4,5))+(Dyno_Data[[#This Row],[Match]]/100))</f>
        <v>2601.21</v>
      </c>
      <c r="AI1254" s="76">
        <f>ROUND(SUM(IF(Dyno_Data[[#This Row],[AcqCenter]]&gt;0,Dyno_Data[[#This Row],[Time]]-SUMIFS(Dyno_Data[Time],Dyno_Data[Team],Dyno_Data[[#This Row],[Team]],Dyno_Data[RecordType],"StartMatch",Dyno_Data[Match],Dyno_Data[[#This Row],[Match]]),0)*86400),0)</f>
        <v>0</v>
      </c>
    </row>
    <row r="1255" spans="1:35" x14ac:dyDescent="0.3">
      <c r="A1255">
        <v>1254</v>
      </c>
      <c r="B1255" t="s">
        <v>1318</v>
      </c>
      <c r="C1255">
        <v>21</v>
      </c>
      <c r="D1255" s="105">
        <v>45373.495061805559</v>
      </c>
      <c r="E1255" t="s">
        <v>312</v>
      </c>
      <c r="F1255" t="s">
        <v>1402</v>
      </c>
      <c r="G1255">
        <v>0</v>
      </c>
      <c r="H1255" t="s">
        <v>315</v>
      </c>
      <c r="I1255">
        <v>0</v>
      </c>
      <c r="J1255">
        <v>0</v>
      </c>
      <c r="K1255">
        <v>0</v>
      </c>
      <c r="L1255" t="s">
        <v>241</v>
      </c>
      <c r="M1255" t="s">
        <v>101</v>
      </c>
      <c r="N1255">
        <v>0</v>
      </c>
      <c r="O1255" t="s">
        <v>319</v>
      </c>
      <c r="P1255" t="s">
        <v>310</v>
      </c>
      <c r="Q1255" t="s">
        <v>310</v>
      </c>
      <c r="R1255" t="s">
        <v>310</v>
      </c>
      <c r="S1255">
        <v>9</v>
      </c>
      <c r="T1255" t="s">
        <v>310</v>
      </c>
      <c r="U1255">
        <v>9</v>
      </c>
      <c r="V1255">
        <v>9</v>
      </c>
      <c r="W1255">
        <v>0</v>
      </c>
      <c r="X1255">
        <v>0</v>
      </c>
      <c r="Y1255">
        <v>0</v>
      </c>
      <c r="Z1255">
        <v>0</v>
      </c>
      <c r="AA1255">
        <v>9</v>
      </c>
      <c r="AB1255">
        <v>9</v>
      </c>
      <c r="AC1255" t="s">
        <v>310</v>
      </c>
      <c r="AD1255">
        <v>9</v>
      </c>
      <c r="AE1255" t="s">
        <v>1412</v>
      </c>
      <c r="AF1255">
        <v>30000000</v>
      </c>
      <c r="AG1255" t="s">
        <v>310</v>
      </c>
      <c r="AH1255">
        <f>SUM((MID(Dyno_Data[[#This Row],[Team]],4,5))+(Dyno_Data[[#This Row],[Match]]/100))</f>
        <v>7709.21</v>
      </c>
      <c r="AI1255" s="76">
        <f>ROUND(SUM(IF(Dyno_Data[[#This Row],[AcqCenter]]&gt;0,Dyno_Data[[#This Row],[Time]]-SUMIFS(Dyno_Data[Time],Dyno_Data[Team],Dyno_Data[[#This Row],[Team]],Dyno_Data[RecordType],"StartMatch",Dyno_Data[Match],Dyno_Data[[#This Row],[Match]]),0)*86400),0)</f>
        <v>0</v>
      </c>
    </row>
    <row r="1256" spans="1:35" x14ac:dyDescent="0.3">
      <c r="A1256">
        <v>1255</v>
      </c>
      <c r="B1256" t="s">
        <v>1300</v>
      </c>
      <c r="C1256">
        <v>21</v>
      </c>
      <c r="D1256" s="105">
        <v>45373.495076886575</v>
      </c>
      <c r="E1256" t="s">
        <v>312</v>
      </c>
      <c r="F1256" t="s">
        <v>1402</v>
      </c>
      <c r="G1256">
        <v>0</v>
      </c>
      <c r="H1256" t="s">
        <v>315</v>
      </c>
      <c r="I1256">
        <v>0</v>
      </c>
      <c r="J1256">
        <v>0</v>
      </c>
      <c r="K1256">
        <v>0</v>
      </c>
      <c r="L1256" t="s">
        <v>241</v>
      </c>
      <c r="M1256" t="s">
        <v>1398</v>
      </c>
      <c r="N1256">
        <v>0</v>
      </c>
      <c r="O1256" t="s">
        <v>311</v>
      </c>
      <c r="P1256" t="s">
        <v>310</v>
      </c>
      <c r="Q1256" t="s">
        <v>310</v>
      </c>
      <c r="R1256" t="s">
        <v>310</v>
      </c>
      <c r="S1256">
        <v>9</v>
      </c>
      <c r="T1256" t="s">
        <v>310</v>
      </c>
      <c r="U1256">
        <v>9</v>
      </c>
      <c r="V1256">
        <v>9</v>
      </c>
      <c r="W1256">
        <v>0</v>
      </c>
      <c r="X1256">
        <v>0</v>
      </c>
      <c r="Y1256">
        <v>0</v>
      </c>
      <c r="Z1256">
        <v>0</v>
      </c>
      <c r="AA1256">
        <v>9</v>
      </c>
      <c r="AB1256">
        <v>9</v>
      </c>
      <c r="AC1256" t="s">
        <v>310</v>
      </c>
      <c r="AD1256">
        <v>9</v>
      </c>
      <c r="AE1256" t="s">
        <v>1413</v>
      </c>
      <c r="AF1256">
        <v>40000000</v>
      </c>
      <c r="AG1256" t="s">
        <v>310</v>
      </c>
      <c r="AH1256">
        <f>SUM((MID(Dyno_Data[[#This Row],[Team]],4,5))+(Dyno_Data[[#This Row],[Match]]/100))</f>
        <v>3044.21</v>
      </c>
      <c r="AI1256" s="76">
        <f>ROUND(SUM(IF(Dyno_Data[[#This Row],[AcqCenter]]&gt;0,Dyno_Data[[#This Row],[Time]]-SUMIFS(Dyno_Data[Time],Dyno_Data[Team],Dyno_Data[[#This Row],[Team]],Dyno_Data[RecordType],"StartMatch",Dyno_Data[Match],Dyno_Data[[#This Row],[Match]]),0)*86400),0)</f>
        <v>0</v>
      </c>
    </row>
    <row r="1257" spans="1:35" x14ac:dyDescent="0.3">
      <c r="A1257">
        <v>1256</v>
      </c>
      <c r="B1257" t="s">
        <v>1286</v>
      </c>
      <c r="C1257">
        <v>21</v>
      </c>
      <c r="D1257" s="105">
        <v>45373.495121099535</v>
      </c>
      <c r="E1257" t="s">
        <v>312</v>
      </c>
      <c r="F1257" t="s">
        <v>1402</v>
      </c>
      <c r="G1257">
        <v>0</v>
      </c>
      <c r="H1257" t="s">
        <v>315</v>
      </c>
      <c r="I1257">
        <v>0</v>
      </c>
      <c r="J1257">
        <v>0</v>
      </c>
      <c r="K1257">
        <v>0</v>
      </c>
      <c r="L1257" t="s">
        <v>241</v>
      </c>
      <c r="M1257" t="s">
        <v>1398</v>
      </c>
      <c r="N1257">
        <v>0</v>
      </c>
      <c r="O1257" t="s">
        <v>1389</v>
      </c>
      <c r="P1257" t="s">
        <v>310</v>
      </c>
      <c r="Q1257" t="s">
        <v>310</v>
      </c>
      <c r="R1257" t="s">
        <v>310</v>
      </c>
      <c r="S1257">
        <v>9</v>
      </c>
      <c r="T1257" t="s">
        <v>310</v>
      </c>
      <c r="U1257">
        <v>9</v>
      </c>
      <c r="V1257">
        <v>9</v>
      </c>
      <c r="W1257">
        <v>0</v>
      </c>
      <c r="X1257">
        <v>0</v>
      </c>
      <c r="Y1257">
        <v>0</v>
      </c>
      <c r="Z1257">
        <v>0</v>
      </c>
      <c r="AA1257">
        <v>9</v>
      </c>
      <c r="AB1257">
        <v>9</v>
      </c>
      <c r="AC1257" t="s">
        <v>310</v>
      </c>
      <c r="AD1257">
        <v>9</v>
      </c>
      <c r="AE1257" t="s">
        <v>1414</v>
      </c>
      <c r="AF1257">
        <v>80602000</v>
      </c>
      <c r="AG1257" t="s">
        <v>310</v>
      </c>
      <c r="AH1257">
        <f>SUM((MID(Dyno_Data[[#This Row],[Team]],4,5))+(Dyno_Data[[#This Row],[Match]]/100))</f>
        <v>1591.21</v>
      </c>
      <c r="AI1257" s="76">
        <f>ROUND(SUM(IF(Dyno_Data[[#This Row],[AcqCenter]]&gt;0,Dyno_Data[[#This Row],[Time]]-SUMIFS(Dyno_Data[Time],Dyno_Data[Team],Dyno_Data[[#This Row],[Team]],Dyno_Data[RecordType],"StartMatch",Dyno_Data[Match],Dyno_Data[[#This Row],[Match]]),0)*86400),0)</f>
        <v>0</v>
      </c>
    </row>
    <row r="1258" spans="1:35" x14ac:dyDescent="0.3">
      <c r="A1258">
        <v>1257</v>
      </c>
      <c r="B1258" t="s">
        <v>1300</v>
      </c>
      <c r="C1258">
        <v>21</v>
      </c>
      <c r="D1258" s="105">
        <v>45373.495230983797</v>
      </c>
      <c r="E1258" t="s">
        <v>312</v>
      </c>
      <c r="F1258" t="s">
        <v>1402</v>
      </c>
      <c r="G1258">
        <v>0</v>
      </c>
      <c r="H1258" t="s">
        <v>315</v>
      </c>
      <c r="I1258">
        <v>0</v>
      </c>
      <c r="J1258">
        <v>0</v>
      </c>
      <c r="K1258">
        <v>0</v>
      </c>
      <c r="L1258" t="s">
        <v>241</v>
      </c>
      <c r="M1258" t="s">
        <v>1398</v>
      </c>
      <c r="N1258">
        <v>0</v>
      </c>
      <c r="O1258" t="s">
        <v>311</v>
      </c>
      <c r="P1258" t="s">
        <v>310</v>
      </c>
      <c r="Q1258" t="s">
        <v>310</v>
      </c>
      <c r="R1258" t="s">
        <v>310</v>
      </c>
      <c r="S1258">
        <v>9</v>
      </c>
      <c r="T1258" t="s">
        <v>310</v>
      </c>
      <c r="U1258">
        <v>9</v>
      </c>
      <c r="V1258">
        <v>9</v>
      </c>
      <c r="W1258">
        <v>0</v>
      </c>
      <c r="X1258">
        <v>0</v>
      </c>
      <c r="Y1258">
        <v>0</v>
      </c>
      <c r="Z1258">
        <v>0</v>
      </c>
      <c r="AA1258">
        <v>9</v>
      </c>
      <c r="AB1258">
        <v>9</v>
      </c>
      <c r="AC1258" t="s">
        <v>310</v>
      </c>
      <c r="AD1258">
        <v>9</v>
      </c>
      <c r="AE1258" t="s">
        <v>1413</v>
      </c>
      <c r="AF1258">
        <v>50000000</v>
      </c>
      <c r="AG1258" t="s">
        <v>310</v>
      </c>
      <c r="AH1258">
        <f>SUM((MID(Dyno_Data[[#This Row],[Team]],4,5))+(Dyno_Data[[#This Row],[Match]]/100))</f>
        <v>3044.21</v>
      </c>
      <c r="AI1258" s="76">
        <f>ROUND(SUM(IF(Dyno_Data[[#This Row],[AcqCenter]]&gt;0,Dyno_Data[[#This Row],[Time]]-SUMIFS(Dyno_Data[Time],Dyno_Data[Team],Dyno_Data[[#This Row],[Team]],Dyno_Data[RecordType],"StartMatch",Dyno_Data[Match],Dyno_Data[[#This Row],[Match]]),0)*86400),0)</f>
        <v>0</v>
      </c>
    </row>
    <row r="1259" spans="1:35" x14ac:dyDescent="0.3">
      <c r="A1259">
        <v>1258</v>
      </c>
      <c r="B1259" t="s">
        <v>1286</v>
      </c>
      <c r="C1259">
        <v>21</v>
      </c>
      <c r="D1259" s="105">
        <v>45373.495274340276</v>
      </c>
      <c r="E1259" t="s">
        <v>312</v>
      </c>
      <c r="F1259" t="s">
        <v>1402</v>
      </c>
      <c r="G1259">
        <v>0</v>
      </c>
      <c r="H1259" t="s">
        <v>315</v>
      </c>
      <c r="I1259">
        <v>0</v>
      </c>
      <c r="J1259">
        <v>0</v>
      </c>
      <c r="K1259">
        <v>0</v>
      </c>
      <c r="L1259" t="s">
        <v>241</v>
      </c>
      <c r="M1259" t="s">
        <v>101</v>
      </c>
      <c r="N1259">
        <v>0</v>
      </c>
      <c r="O1259" t="s">
        <v>1389</v>
      </c>
      <c r="P1259" t="s">
        <v>310</v>
      </c>
      <c r="Q1259" t="s">
        <v>310</v>
      </c>
      <c r="R1259" t="s">
        <v>310</v>
      </c>
      <c r="S1259">
        <v>9</v>
      </c>
      <c r="T1259" t="s">
        <v>310</v>
      </c>
      <c r="U1259">
        <v>9</v>
      </c>
      <c r="V1259">
        <v>9</v>
      </c>
      <c r="W1259">
        <v>0</v>
      </c>
      <c r="X1259">
        <v>0</v>
      </c>
      <c r="Y1259">
        <v>0</v>
      </c>
      <c r="Z1259">
        <v>0</v>
      </c>
      <c r="AA1259">
        <v>9</v>
      </c>
      <c r="AB1259">
        <v>9</v>
      </c>
      <c r="AC1259" t="s">
        <v>310</v>
      </c>
      <c r="AD1259">
        <v>9</v>
      </c>
      <c r="AE1259" t="s">
        <v>1414</v>
      </c>
      <c r="AF1259">
        <v>90702000</v>
      </c>
      <c r="AG1259" t="s">
        <v>310</v>
      </c>
      <c r="AH1259">
        <f>SUM((MID(Dyno_Data[[#This Row],[Team]],4,5))+(Dyno_Data[[#This Row],[Match]]/100))</f>
        <v>1591.21</v>
      </c>
      <c r="AI1259" s="76">
        <f>ROUND(SUM(IF(Dyno_Data[[#This Row],[AcqCenter]]&gt;0,Dyno_Data[[#This Row],[Time]]-SUMIFS(Dyno_Data[Time],Dyno_Data[Team],Dyno_Data[[#This Row],[Team]],Dyno_Data[RecordType],"StartMatch",Dyno_Data[Match],Dyno_Data[[#This Row],[Match]]),0)*86400),0)</f>
        <v>0</v>
      </c>
    </row>
    <row r="1260" spans="1:35" x14ac:dyDescent="0.3">
      <c r="A1260">
        <v>1259</v>
      </c>
      <c r="B1260" t="s">
        <v>363</v>
      </c>
      <c r="C1260">
        <v>21</v>
      </c>
      <c r="D1260" s="105">
        <v>45373.495302696756</v>
      </c>
      <c r="E1260" t="s">
        <v>312</v>
      </c>
      <c r="F1260" t="s">
        <v>1402</v>
      </c>
      <c r="G1260">
        <v>0</v>
      </c>
      <c r="H1260" t="s">
        <v>315</v>
      </c>
      <c r="I1260">
        <v>0</v>
      </c>
      <c r="J1260">
        <v>0</v>
      </c>
      <c r="K1260">
        <v>0</v>
      </c>
      <c r="L1260" t="s">
        <v>240</v>
      </c>
      <c r="M1260" t="s">
        <v>1398</v>
      </c>
      <c r="N1260">
        <v>0</v>
      </c>
      <c r="O1260" t="s">
        <v>1391</v>
      </c>
      <c r="P1260" t="s">
        <v>310</v>
      </c>
      <c r="Q1260" t="s">
        <v>310</v>
      </c>
      <c r="R1260" t="s">
        <v>310</v>
      </c>
      <c r="S1260">
        <v>9</v>
      </c>
      <c r="T1260" t="s">
        <v>310</v>
      </c>
      <c r="U1260">
        <v>9</v>
      </c>
      <c r="V1260">
        <v>9</v>
      </c>
      <c r="W1260">
        <v>0</v>
      </c>
      <c r="X1260">
        <v>0</v>
      </c>
      <c r="Y1260">
        <v>0</v>
      </c>
      <c r="Z1260">
        <v>0</v>
      </c>
      <c r="AA1260">
        <v>9</v>
      </c>
      <c r="AB1260">
        <v>9</v>
      </c>
      <c r="AC1260" t="s">
        <v>310</v>
      </c>
      <c r="AD1260">
        <v>9</v>
      </c>
      <c r="AE1260" t="s">
        <v>1416</v>
      </c>
      <c r="AF1260">
        <v>60000000</v>
      </c>
      <c r="AG1260" t="s">
        <v>310</v>
      </c>
      <c r="AH1260">
        <f>SUM((MID(Dyno_Data[[#This Row],[Team]],4,5))+(Dyno_Data[[#This Row],[Match]]/100))</f>
        <v>2601.21</v>
      </c>
      <c r="AI1260" s="76">
        <f>ROUND(SUM(IF(Dyno_Data[[#This Row],[AcqCenter]]&gt;0,Dyno_Data[[#This Row],[Time]]-SUMIFS(Dyno_Data[Time],Dyno_Data[Team],Dyno_Data[[#This Row],[Team]],Dyno_Data[RecordType],"StartMatch",Dyno_Data[Match],Dyno_Data[[#This Row],[Match]]),0)*86400),0)</f>
        <v>0</v>
      </c>
    </row>
    <row r="1261" spans="1:35" x14ac:dyDescent="0.3">
      <c r="A1261">
        <v>1260</v>
      </c>
      <c r="B1261" t="s">
        <v>1286</v>
      </c>
      <c r="C1261">
        <v>21</v>
      </c>
      <c r="D1261" s="105">
        <v>45373.495417627317</v>
      </c>
      <c r="E1261" t="s">
        <v>312</v>
      </c>
      <c r="F1261" t="s">
        <v>1402</v>
      </c>
      <c r="G1261">
        <v>0</v>
      </c>
      <c r="H1261" t="s">
        <v>315</v>
      </c>
      <c r="I1261">
        <v>0</v>
      </c>
      <c r="J1261">
        <v>0</v>
      </c>
      <c r="K1261">
        <v>0</v>
      </c>
      <c r="L1261" t="s">
        <v>241</v>
      </c>
      <c r="M1261" t="s">
        <v>1398</v>
      </c>
      <c r="N1261">
        <v>0</v>
      </c>
      <c r="O1261" t="s">
        <v>1389</v>
      </c>
      <c r="P1261" t="s">
        <v>310</v>
      </c>
      <c r="Q1261" t="s">
        <v>310</v>
      </c>
      <c r="R1261" t="s">
        <v>310</v>
      </c>
      <c r="S1261">
        <v>9</v>
      </c>
      <c r="T1261" t="s">
        <v>310</v>
      </c>
      <c r="U1261">
        <v>9</v>
      </c>
      <c r="V1261">
        <v>9</v>
      </c>
      <c r="W1261">
        <v>0</v>
      </c>
      <c r="X1261">
        <v>0</v>
      </c>
      <c r="Y1261">
        <v>0</v>
      </c>
      <c r="Z1261">
        <v>0</v>
      </c>
      <c r="AA1261">
        <v>9</v>
      </c>
      <c r="AB1261">
        <v>9</v>
      </c>
      <c r="AC1261" t="s">
        <v>310</v>
      </c>
      <c r="AD1261">
        <v>9</v>
      </c>
      <c r="AE1261" t="s">
        <v>1414</v>
      </c>
      <c r="AF1261">
        <v>100702000</v>
      </c>
      <c r="AG1261" t="s">
        <v>310</v>
      </c>
      <c r="AH1261">
        <f>SUM((MID(Dyno_Data[[#This Row],[Team]],4,5))+(Dyno_Data[[#This Row],[Match]]/100))</f>
        <v>1591.21</v>
      </c>
      <c r="AI1261" s="76">
        <f>ROUND(SUM(IF(Dyno_Data[[#This Row],[AcqCenter]]&gt;0,Dyno_Data[[#This Row],[Time]]-SUMIFS(Dyno_Data[Time],Dyno_Data[Team],Dyno_Data[[#This Row],[Team]],Dyno_Data[RecordType],"StartMatch",Dyno_Data[Match],Dyno_Data[[#This Row],[Match]]),0)*86400),0)</f>
        <v>0</v>
      </c>
    </row>
    <row r="1262" spans="1:35" x14ac:dyDescent="0.3">
      <c r="A1262">
        <v>1261</v>
      </c>
      <c r="B1262" t="s">
        <v>1318</v>
      </c>
      <c r="C1262">
        <v>21</v>
      </c>
      <c r="D1262" s="105">
        <v>45373.495423379631</v>
      </c>
      <c r="E1262" t="s">
        <v>312</v>
      </c>
      <c r="F1262" t="s">
        <v>1402</v>
      </c>
      <c r="G1262">
        <v>0</v>
      </c>
      <c r="H1262" t="s">
        <v>315</v>
      </c>
      <c r="I1262">
        <v>0</v>
      </c>
      <c r="J1262">
        <v>0</v>
      </c>
      <c r="K1262">
        <v>0</v>
      </c>
      <c r="L1262" t="s">
        <v>241</v>
      </c>
      <c r="M1262" t="s">
        <v>101</v>
      </c>
      <c r="N1262">
        <v>0</v>
      </c>
      <c r="O1262" t="s">
        <v>319</v>
      </c>
      <c r="P1262" t="s">
        <v>310</v>
      </c>
      <c r="Q1262" t="s">
        <v>310</v>
      </c>
      <c r="R1262" t="s">
        <v>310</v>
      </c>
      <c r="S1262">
        <v>9</v>
      </c>
      <c r="T1262" t="s">
        <v>310</v>
      </c>
      <c r="U1262">
        <v>9</v>
      </c>
      <c r="V1262">
        <v>9</v>
      </c>
      <c r="W1262">
        <v>0</v>
      </c>
      <c r="X1262">
        <v>0</v>
      </c>
      <c r="Y1262">
        <v>0</v>
      </c>
      <c r="Z1262">
        <v>0</v>
      </c>
      <c r="AA1262">
        <v>9</v>
      </c>
      <c r="AB1262">
        <v>9</v>
      </c>
      <c r="AC1262" t="s">
        <v>310</v>
      </c>
      <c r="AD1262">
        <v>9</v>
      </c>
      <c r="AE1262" t="s">
        <v>1412</v>
      </c>
      <c r="AF1262">
        <v>40000000</v>
      </c>
      <c r="AG1262" t="s">
        <v>310</v>
      </c>
      <c r="AH1262">
        <f>SUM((MID(Dyno_Data[[#This Row],[Team]],4,5))+(Dyno_Data[[#This Row],[Match]]/100))</f>
        <v>7709.21</v>
      </c>
      <c r="AI1262" s="76">
        <f>ROUND(SUM(IF(Dyno_Data[[#This Row],[AcqCenter]]&gt;0,Dyno_Data[[#This Row],[Time]]-SUMIFS(Dyno_Data[Time],Dyno_Data[Team],Dyno_Data[[#This Row],[Team]],Dyno_Data[RecordType],"StartMatch",Dyno_Data[Match],Dyno_Data[[#This Row],[Match]]),0)*86400),0)</f>
        <v>0</v>
      </c>
    </row>
    <row r="1263" spans="1:35" x14ac:dyDescent="0.3">
      <c r="A1263">
        <v>1262</v>
      </c>
      <c r="B1263" t="s">
        <v>1300</v>
      </c>
      <c r="C1263">
        <v>21</v>
      </c>
      <c r="D1263" s="105">
        <v>45373.495455902776</v>
      </c>
      <c r="E1263" t="s">
        <v>312</v>
      </c>
      <c r="F1263" t="s">
        <v>1402</v>
      </c>
      <c r="G1263">
        <v>0</v>
      </c>
      <c r="H1263" t="s">
        <v>315</v>
      </c>
      <c r="I1263">
        <v>0</v>
      </c>
      <c r="J1263">
        <v>0</v>
      </c>
      <c r="K1263">
        <v>0</v>
      </c>
      <c r="L1263" t="s">
        <v>241</v>
      </c>
      <c r="M1263" t="s">
        <v>1398</v>
      </c>
      <c r="N1263">
        <v>1</v>
      </c>
      <c r="O1263" t="s">
        <v>311</v>
      </c>
      <c r="P1263" t="s">
        <v>310</v>
      </c>
      <c r="Q1263" t="s">
        <v>310</v>
      </c>
      <c r="R1263" t="s">
        <v>310</v>
      </c>
      <c r="S1263">
        <v>9</v>
      </c>
      <c r="T1263" t="s">
        <v>310</v>
      </c>
      <c r="U1263">
        <v>9</v>
      </c>
      <c r="V1263">
        <v>9</v>
      </c>
      <c r="W1263">
        <v>0</v>
      </c>
      <c r="X1263">
        <v>0</v>
      </c>
      <c r="Y1263">
        <v>0</v>
      </c>
      <c r="Z1263">
        <v>0</v>
      </c>
      <c r="AA1263">
        <v>9</v>
      </c>
      <c r="AB1263">
        <v>9</v>
      </c>
      <c r="AC1263" t="s">
        <v>310</v>
      </c>
      <c r="AD1263">
        <v>9</v>
      </c>
      <c r="AE1263" t="s">
        <v>1413</v>
      </c>
      <c r="AF1263">
        <v>60000000</v>
      </c>
      <c r="AG1263" t="s">
        <v>310</v>
      </c>
      <c r="AH1263">
        <f>SUM((MID(Dyno_Data[[#This Row],[Team]],4,5))+(Dyno_Data[[#This Row],[Match]]/100))</f>
        <v>3044.21</v>
      </c>
      <c r="AI1263" s="76">
        <f>ROUND(SUM(IF(Dyno_Data[[#This Row],[AcqCenter]]&gt;0,Dyno_Data[[#This Row],[Time]]-SUMIFS(Dyno_Data[Time],Dyno_Data[Team],Dyno_Data[[#This Row],[Team]],Dyno_Data[RecordType],"StartMatch",Dyno_Data[Match],Dyno_Data[[#This Row],[Match]]),0)*86400),0)</f>
        <v>0</v>
      </c>
    </row>
    <row r="1264" spans="1:35" x14ac:dyDescent="0.3">
      <c r="A1264">
        <v>1263</v>
      </c>
      <c r="B1264" t="s">
        <v>363</v>
      </c>
      <c r="C1264">
        <v>21</v>
      </c>
      <c r="D1264" s="105">
        <v>45373.495500775462</v>
      </c>
      <c r="E1264" t="s">
        <v>312</v>
      </c>
      <c r="F1264" t="s">
        <v>1402</v>
      </c>
      <c r="G1264">
        <v>0</v>
      </c>
      <c r="H1264" t="s">
        <v>315</v>
      </c>
      <c r="I1264">
        <v>0</v>
      </c>
      <c r="J1264">
        <v>0</v>
      </c>
      <c r="K1264">
        <v>0</v>
      </c>
      <c r="L1264" t="s">
        <v>240</v>
      </c>
      <c r="M1264" t="s">
        <v>1398</v>
      </c>
      <c r="N1264">
        <v>0</v>
      </c>
      <c r="O1264" t="s">
        <v>1391</v>
      </c>
      <c r="P1264" t="s">
        <v>310</v>
      </c>
      <c r="Q1264" t="s">
        <v>310</v>
      </c>
      <c r="R1264" t="s">
        <v>310</v>
      </c>
      <c r="S1264">
        <v>9</v>
      </c>
      <c r="T1264" t="s">
        <v>310</v>
      </c>
      <c r="U1264">
        <v>9</v>
      </c>
      <c r="V1264">
        <v>9</v>
      </c>
      <c r="W1264">
        <v>0</v>
      </c>
      <c r="X1264">
        <v>0</v>
      </c>
      <c r="Y1264">
        <v>0</v>
      </c>
      <c r="Z1264">
        <v>0</v>
      </c>
      <c r="AA1264">
        <v>9</v>
      </c>
      <c r="AB1264">
        <v>9</v>
      </c>
      <c r="AC1264" t="s">
        <v>310</v>
      </c>
      <c r="AD1264">
        <v>9</v>
      </c>
      <c r="AE1264" t="s">
        <v>1416</v>
      </c>
      <c r="AF1264">
        <v>70000000</v>
      </c>
      <c r="AG1264" t="s">
        <v>310</v>
      </c>
      <c r="AH1264">
        <f>SUM((MID(Dyno_Data[[#This Row],[Team]],4,5))+(Dyno_Data[[#This Row],[Match]]/100))</f>
        <v>2601.21</v>
      </c>
      <c r="AI1264" s="76">
        <f>ROUND(SUM(IF(Dyno_Data[[#This Row],[AcqCenter]]&gt;0,Dyno_Data[[#This Row],[Time]]-SUMIFS(Dyno_Data[Time],Dyno_Data[Team],Dyno_Data[[#This Row],[Team]],Dyno_Data[RecordType],"StartMatch",Dyno_Data[Match],Dyno_Data[[#This Row],[Match]]),0)*86400),0)</f>
        <v>0</v>
      </c>
    </row>
    <row r="1265" spans="1:35" x14ac:dyDescent="0.3">
      <c r="A1265">
        <v>1264</v>
      </c>
      <c r="B1265" t="s">
        <v>1286</v>
      </c>
      <c r="C1265">
        <v>21</v>
      </c>
      <c r="D1265" s="105">
        <v>45373.495545057871</v>
      </c>
      <c r="E1265" t="s">
        <v>312</v>
      </c>
      <c r="F1265" t="s">
        <v>1402</v>
      </c>
      <c r="G1265">
        <v>0</v>
      </c>
      <c r="H1265" t="s">
        <v>315</v>
      </c>
      <c r="I1265">
        <v>0</v>
      </c>
      <c r="J1265">
        <v>0</v>
      </c>
      <c r="K1265">
        <v>0</v>
      </c>
      <c r="L1265" t="s">
        <v>241</v>
      </c>
      <c r="M1265" t="s">
        <v>1398</v>
      </c>
      <c r="N1265">
        <v>0</v>
      </c>
      <c r="O1265" t="s">
        <v>1389</v>
      </c>
      <c r="P1265" t="s">
        <v>310</v>
      </c>
      <c r="Q1265" t="s">
        <v>310</v>
      </c>
      <c r="R1265" t="s">
        <v>310</v>
      </c>
      <c r="S1265">
        <v>9</v>
      </c>
      <c r="T1265" t="s">
        <v>310</v>
      </c>
      <c r="U1265">
        <v>9</v>
      </c>
      <c r="V1265">
        <v>9</v>
      </c>
      <c r="W1265">
        <v>0</v>
      </c>
      <c r="X1265">
        <v>0</v>
      </c>
      <c r="Y1265">
        <v>0</v>
      </c>
      <c r="Z1265">
        <v>0</v>
      </c>
      <c r="AA1265">
        <v>9</v>
      </c>
      <c r="AB1265">
        <v>9</v>
      </c>
      <c r="AC1265" t="s">
        <v>310</v>
      </c>
      <c r="AD1265">
        <v>9</v>
      </c>
      <c r="AE1265" t="s">
        <v>1414</v>
      </c>
      <c r="AF1265">
        <v>110702000</v>
      </c>
      <c r="AG1265" t="s">
        <v>310</v>
      </c>
      <c r="AH1265">
        <f>SUM((MID(Dyno_Data[[#This Row],[Team]],4,5))+(Dyno_Data[[#This Row],[Match]]/100))</f>
        <v>1591.21</v>
      </c>
      <c r="AI1265" s="76">
        <f>ROUND(SUM(IF(Dyno_Data[[#This Row],[AcqCenter]]&gt;0,Dyno_Data[[#This Row],[Time]]-SUMIFS(Dyno_Data[Time],Dyno_Data[Team],Dyno_Data[[#This Row],[Team]],Dyno_Data[RecordType],"StartMatch",Dyno_Data[Match],Dyno_Data[[#This Row],[Match]]),0)*86400),0)</f>
        <v>0</v>
      </c>
    </row>
    <row r="1266" spans="1:35" x14ac:dyDescent="0.3">
      <c r="A1266">
        <v>1265</v>
      </c>
      <c r="B1266" t="s">
        <v>363</v>
      </c>
      <c r="C1266">
        <v>21</v>
      </c>
      <c r="D1266" s="105">
        <v>45373.495575266206</v>
      </c>
      <c r="E1266" t="s">
        <v>312</v>
      </c>
      <c r="F1266" t="s">
        <v>1402</v>
      </c>
      <c r="G1266">
        <v>0</v>
      </c>
      <c r="H1266" t="s">
        <v>315</v>
      </c>
      <c r="I1266">
        <v>0</v>
      </c>
      <c r="J1266">
        <v>0</v>
      </c>
      <c r="K1266">
        <v>0</v>
      </c>
      <c r="L1266" t="s">
        <v>240</v>
      </c>
      <c r="M1266" t="s">
        <v>1398</v>
      </c>
      <c r="N1266">
        <v>0</v>
      </c>
      <c r="O1266" t="s">
        <v>1391</v>
      </c>
      <c r="P1266" t="s">
        <v>310</v>
      </c>
      <c r="Q1266" t="s">
        <v>310</v>
      </c>
      <c r="R1266" t="s">
        <v>310</v>
      </c>
      <c r="S1266">
        <v>9</v>
      </c>
      <c r="T1266" t="s">
        <v>310</v>
      </c>
      <c r="U1266">
        <v>9</v>
      </c>
      <c r="V1266">
        <v>9</v>
      </c>
      <c r="W1266">
        <v>0</v>
      </c>
      <c r="X1266">
        <v>0</v>
      </c>
      <c r="Y1266">
        <v>0</v>
      </c>
      <c r="Z1266">
        <v>0</v>
      </c>
      <c r="AA1266">
        <v>9</v>
      </c>
      <c r="AB1266">
        <v>9</v>
      </c>
      <c r="AC1266" t="s">
        <v>310</v>
      </c>
      <c r="AD1266">
        <v>9</v>
      </c>
      <c r="AE1266" t="s">
        <v>1416</v>
      </c>
      <c r="AF1266">
        <v>80000000</v>
      </c>
      <c r="AG1266" t="s">
        <v>310</v>
      </c>
      <c r="AH1266">
        <f>SUM((MID(Dyno_Data[[#This Row],[Team]],4,5))+(Dyno_Data[[#This Row],[Match]]/100))</f>
        <v>2601.21</v>
      </c>
      <c r="AI1266" s="76">
        <f>ROUND(SUM(IF(Dyno_Data[[#This Row],[AcqCenter]]&gt;0,Dyno_Data[[#This Row],[Time]]-SUMIFS(Dyno_Data[Time],Dyno_Data[Team],Dyno_Data[[#This Row],[Team]],Dyno_Data[RecordType],"StartMatch",Dyno_Data[Match],Dyno_Data[[#This Row],[Match]]),0)*86400),0)</f>
        <v>0</v>
      </c>
    </row>
    <row r="1267" spans="1:35" x14ac:dyDescent="0.3">
      <c r="A1267">
        <v>1266</v>
      </c>
      <c r="B1267" t="s">
        <v>1318</v>
      </c>
      <c r="C1267">
        <v>21</v>
      </c>
      <c r="D1267" s="105">
        <v>45373.495591979168</v>
      </c>
      <c r="E1267" t="s">
        <v>312</v>
      </c>
      <c r="F1267" t="s">
        <v>1402</v>
      </c>
      <c r="G1267">
        <v>0</v>
      </c>
      <c r="H1267" t="s">
        <v>315</v>
      </c>
      <c r="I1267">
        <v>0</v>
      </c>
      <c r="J1267">
        <v>0</v>
      </c>
      <c r="K1267">
        <v>0</v>
      </c>
      <c r="L1267" t="s">
        <v>241</v>
      </c>
      <c r="M1267" t="s">
        <v>101</v>
      </c>
      <c r="N1267">
        <v>0</v>
      </c>
      <c r="O1267" t="s">
        <v>319</v>
      </c>
      <c r="P1267" t="s">
        <v>310</v>
      </c>
      <c r="Q1267" t="s">
        <v>310</v>
      </c>
      <c r="R1267" t="s">
        <v>310</v>
      </c>
      <c r="S1267">
        <v>9</v>
      </c>
      <c r="T1267" t="s">
        <v>310</v>
      </c>
      <c r="U1267">
        <v>9</v>
      </c>
      <c r="V1267">
        <v>9</v>
      </c>
      <c r="W1267">
        <v>0</v>
      </c>
      <c r="X1267">
        <v>0</v>
      </c>
      <c r="Y1267">
        <v>0</v>
      </c>
      <c r="Z1267">
        <v>0</v>
      </c>
      <c r="AA1267">
        <v>9</v>
      </c>
      <c r="AB1267">
        <v>9</v>
      </c>
      <c r="AC1267" t="s">
        <v>310</v>
      </c>
      <c r="AD1267">
        <v>9</v>
      </c>
      <c r="AE1267" t="s">
        <v>1412</v>
      </c>
      <c r="AF1267">
        <v>50000000</v>
      </c>
      <c r="AG1267" t="s">
        <v>310</v>
      </c>
      <c r="AH1267">
        <f>SUM((MID(Dyno_Data[[#This Row],[Team]],4,5))+(Dyno_Data[[#This Row],[Match]]/100))</f>
        <v>7709.21</v>
      </c>
      <c r="AI1267" s="76">
        <f>ROUND(SUM(IF(Dyno_Data[[#This Row],[AcqCenter]]&gt;0,Dyno_Data[[#This Row],[Time]]-SUMIFS(Dyno_Data[Time],Dyno_Data[Team],Dyno_Data[[#This Row],[Team]],Dyno_Data[RecordType],"StartMatch",Dyno_Data[Match],Dyno_Data[[#This Row],[Match]]),0)*86400),0)</f>
        <v>0</v>
      </c>
    </row>
    <row r="1268" spans="1:35" x14ac:dyDescent="0.3">
      <c r="A1268">
        <v>1267</v>
      </c>
      <c r="B1268" t="s">
        <v>1286</v>
      </c>
      <c r="C1268">
        <v>21</v>
      </c>
      <c r="D1268" s="105">
        <v>45373.495670833334</v>
      </c>
      <c r="E1268" t="s">
        <v>312</v>
      </c>
      <c r="F1268" t="s">
        <v>1402</v>
      </c>
      <c r="G1268">
        <v>0</v>
      </c>
      <c r="H1268" t="s">
        <v>315</v>
      </c>
      <c r="I1268">
        <v>0</v>
      </c>
      <c r="J1268">
        <v>0</v>
      </c>
      <c r="K1268">
        <v>0</v>
      </c>
      <c r="L1268" t="s">
        <v>241</v>
      </c>
      <c r="M1268" t="s">
        <v>1398</v>
      </c>
      <c r="N1268">
        <v>0</v>
      </c>
      <c r="O1268" t="s">
        <v>1389</v>
      </c>
      <c r="P1268" t="s">
        <v>310</v>
      </c>
      <c r="Q1268" t="s">
        <v>310</v>
      </c>
      <c r="R1268" t="s">
        <v>310</v>
      </c>
      <c r="S1268">
        <v>9</v>
      </c>
      <c r="T1268" t="s">
        <v>310</v>
      </c>
      <c r="U1268">
        <v>9</v>
      </c>
      <c r="V1268">
        <v>9</v>
      </c>
      <c r="W1268">
        <v>0</v>
      </c>
      <c r="X1268">
        <v>0</v>
      </c>
      <c r="Y1268">
        <v>0</v>
      </c>
      <c r="Z1268">
        <v>0</v>
      </c>
      <c r="AA1268">
        <v>9</v>
      </c>
      <c r="AB1268">
        <v>9</v>
      </c>
      <c r="AC1268" t="s">
        <v>310</v>
      </c>
      <c r="AD1268">
        <v>9</v>
      </c>
      <c r="AE1268" t="s">
        <v>1414</v>
      </c>
      <c r="AF1268">
        <v>120702000</v>
      </c>
      <c r="AG1268" t="s">
        <v>310</v>
      </c>
      <c r="AH1268">
        <f>SUM((MID(Dyno_Data[[#This Row],[Team]],4,5))+(Dyno_Data[[#This Row],[Match]]/100))</f>
        <v>1591.21</v>
      </c>
      <c r="AI1268" s="76">
        <f>ROUND(SUM(IF(Dyno_Data[[#This Row],[AcqCenter]]&gt;0,Dyno_Data[[#This Row],[Time]]-SUMIFS(Dyno_Data[Time],Dyno_Data[Team],Dyno_Data[[#This Row],[Team]],Dyno_Data[RecordType],"StartMatch",Dyno_Data[Match],Dyno_Data[[#This Row],[Match]]),0)*86400),0)</f>
        <v>0</v>
      </c>
    </row>
    <row r="1269" spans="1:35" x14ac:dyDescent="0.3">
      <c r="A1269">
        <v>1268</v>
      </c>
      <c r="B1269" t="s">
        <v>1300</v>
      </c>
      <c r="C1269">
        <v>21</v>
      </c>
      <c r="D1269" s="105">
        <v>45373.495708599534</v>
      </c>
      <c r="E1269" t="s">
        <v>312</v>
      </c>
      <c r="F1269" t="s">
        <v>1402</v>
      </c>
      <c r="G1269">
        <v>0</v>
      </c>
      <c r="H1269" t="s">
        <v>315</v>
      </c>
      <c r="I1269">
        <v>0</v>
      </c>
      <c r="J1269">
        <v>0</v>
      </c>
      <c r="K1269">
        <v>0</v>
      </c>
      <c r="L1269" t="s">
        <v>241</v>
      </c>
      <c r="M1269" t="s">
        <v>1398</v>
      </c>
      <c r="N1269">
        <v>1</v>
      </c>
      <c r="O1269" t="s">
        <v>311</v>
      </c>
      <c r="P1269" t="s">
        <v>310</v>
      </c>
      <c r="Q1269" t="s">
        <v>310</v>
      </c>
      <c r="R1269" t="s">
        <v>310</v>
      </c>
      <c r="S1269">
        <v>9</v>
      </c>
      <c r="T1269" t="s">
        <v>310</v>
      </c>
      <c r="U1269">
        <v>9</v>
      </c>
      <c r="V1269">
        <v>9</v>
      </c>
      <c r="W1269">
        <v>0</v>
      </c>
      <c r="X1269">
        <v>0</v>
      </c>
      <c r="Y1269">
        <v>0</v>
      </c>
      <c r="Z1269">
        <v>0</v>
      </c>
      <c r="AA1269">
        <v>9</v>
      </c>
      <c r="AB1269">
        <v>9</v>
      </c>
      <c r="AC1269" t="s">
        <v>310</v>
      </c>
      <c r="AD1269">
        <v>9</v>
      </c>
      <c r="AE1269" t="s">
        <v>1413</v>
      </c>
      <c r="AF1269">
        <v>70000000</v>
      </c>
      <c r="AG1269" t="s">
        <v>310</v>
      </c>
      <c r="AH1269">
        <f>SUM((MID(Dyno_Data[[#This Row],[Team]],4,5))+(Dyno_Data[[#This Row],[Match]]/100))</f>
        <v>3044.21</v>
      </c>
      <c r="AI1269" s="76">
        <f>ROUND(SUM(IF(Dyno_Data[[#This Row],[AcqCenter]]&gt;0,Dyno_Data[[#This Row],[Time]]-SUMIFS(Dyno_Data[Time],Dyno_Data[Team],Dyno_Data[[#This Row],[Team]],Dyno_Data[RecordType],"StartMatch",Dyno_Data[Match],Dyno_Data[[#This Row],[Match]]),0)*86400),0)</f>
        <v>0</v>
      </c>
    </row>
    <row r="1270" spans="1:35" x14ac:dyDescent="0.3">
      <c r="A1270">
        <v>1269</v>
      </c>
      <c r="B1270" t="s">
        <v>1318</v>
      </c>
      <c r="C1270">
        <v>21</v>
      </c>
      <c r="D1270" s="105">
        <v>45373.495768055553</v>
      </c>
      <c r="E1270" t="s">
        <v>312</v>
      </c>
      <c r="F1270" t="s">
        <v>1402</v>
      </c>
      <c r="G1270">
        <v>0</v>
      </c>
      <c r="H1270" t="s">
        <v>315</v>
      </c>
      <c r="I1270">
        <v>0</v>
      </c>
      <c r="J1270">
        <v>0</v>
      </c>
      <c r="K1270">
        <v>0</v>
      </c>
      <c r="L1270" t="s">
        <v>241</v>
      </c>
      <c r="M1270" t="s">
        <v>101</v>
      </c>
      <c r="N1270">
        <v>0</v>
      </c>
      <c r="O1270" t="s">
        <v>319</v>
      </c>
      <c r="P1270" t="s">
        <v>310</v>
      </c>
      <c r="Q1270" t="s">
        <v>310</v>
      </c>
      <c r="R1270" t="s">
        <v>310</v>
      </c>
      <c r="S1270">
        <v>9</v>
      </c>
      <c r="T1270" t="s">
        <v>310</v>
      </c>
      <c r="U1270">
        <v>9</v>
      </c>
      <c r="V1270">
        <v>9</v>
      </c>
      <c r="W1270">
        <v>0</v>
      </c>
      <c r="X1270">
        <v>0</v>
      </c>
      <c r="Y1270">
        <v>0</v>
      </c>
      <c r="Z1270">
        <v>0</v>
      </c>
      <c r="AA1270">
        <v>9</v>
      </c>
      <c r="AB1270">
        <v>9</v>
      </c>
      <c r="AC1270" t="s">
        <v>310</v>
      </c>
      <c r="AD1270">
        <v>9</v>
      </c>
      <c r="AE1270" t="s">
        <v>1412</v>
      </c>
      <c r="AF1270">
        <v>60000000</v>
      </c>
      <c r="AG1270" t="s">
        <v>310</v>
      </c>
      <c r="AH1270">
        <f>SUM((MID(Dyno_Data[[#This Row],[Team]],4,5))+(Dyno_Data[[#This Row],[Match]]/100))</f>
        <v>7709.21</v>
      </c>
      <c r="AI1270" s="76">
        <f>ROUND(SUM(IF(Dyno_Data[[#This Row],[AcqCenter]]&gt;0,Dyno_Data[[#This Row],[Time]]-SUMIFS(Dyno_Data[Time],Dyno_Data[Team],Dyno_Data[[#This Row],[Team]],Dyno_Data[RecordType],"StartMatch",Dyno_Data[Match],Dyno_Data[[#This Row],[Match]]),0)*86400),0)</f>
        <v>0</v>
      </c>
    </row>
    <row r="1271" spans="1:35" x14ac:dyDescent="0.3">
      <c r="A1271">
        <v>1270</v>
      </c>
      <c r="B1271" t="s">
        <v>363</v>
      </c>
      <c r="C1271">
        <v>21</v>
      </c>
      <c r="D1271" s="105">
        <v>45373.495773923612</v>
      </c>
      <c r="E1271" t="s">
        <v>312</v>
      </c>
      <c r="F1271" t="s">
        <v>1402</v>
      </c>
      <c r="G1271">
        <v>0</v>
      </c>
      <c r="H1271" t="s">
        <v>315</v>
      </c>
      <c r="I1271">
        <v>0</v>
      </c>
      <c r="J1271">
        <v>0</v>
      </c>
      <c r="K1271">
        <v>0</v>
      </c>
      <c r="L1271" t="s">
        <v>240</v>
      </c>
      <c r="M1271" t="s">
        <v>1398</v>
      </c>
      <c r="N1271">
        <v>0</v>
      </c>
      <c r="O1271" t="s">
        <v>1391</v>
      </c>
      <c r="P1271" t="s">
        <v>310</v>
      </c>
      <c r="Q1271" t="s">
        <v>310</v>
      </c>
      <c r="R1271" t="s">
        <v>310</v>
      </c>
      <c r="S1271">
        <v>9</v>
      </c>
      <c r="T1271" t="s">
        <v>310</v>
      </c>
      <c r="U1271">
        <v>9</v>
      </c>
      <c r="V1271">
        <v>9</v>
      </c>
      <c r="W1271">
        <v>0</v>
      </c>
      <c r="X1271">
        <v>0</v>
      </c>
      <c r="Y1271">
        <v>0</v>
      </c>
      <c r="Z1271">
        <v>0</v>
      </c>
      <c r="AA1271">
        <v>9</v>
      </c>
      <c r="AB1271">
        <v>9</v>
      </c>
      <c r="AC1271" t="s">
        <v>310</v>
      </c>
      <c r="AD1271">
        <v>9</v>
      </c>
      <c r="AE1271" t="s">
        <v>1416</v>
      </c>
      <c r="AF1271">
        <v>90000000</v>
      </c>
      <c r="AG1271" t="s">
        <v>310</v>
      </c>
      <c r="AH1271">
        <f>SUM((MID(Dyno_Data[[#This Row],[Team]],4,5))+(Dyno_Data[[#This Row],[Match]]/100))</f>
        <v>2601.21</v>
      </c>
      <c r="AI1271" s="76">
        <f>ROUND(SUM(IF(Dyno_Data[[#This Row],[AcqCenter]]&gt;0,Dyno_Data[[#This Row],[Time]]-SUMIFS(Dyno_Data[Time],Dyno_Data[Team],Dyno_Data[[#This Row],[Team]],Dyno_Data[RecordType],"StartMatch",Dyno_Data[Match],Dyno_Data[[#This Row],[Match]]),0)*86400),0)</f>
        <v>0</v>
      </c>
    </row>
    <row r="1272" spans="1:35" x14ac:dyDescent="0.3">
      <c r="A1272">
        <v>1271</v>
      </c>
      <c r="B1272" t="s">
        <v>1300</v>
      </c>
      <c r="C1272">
        <v>21</v>
      </c>
      <c r="D1272" s="105">
        <v>45373.495778969911</v>
      </c>
      <c r="E1272" t="s">
        <v>312</v>
      </c>
      <c r="F1272" t="s">
        <v>1402</v>
      </c>
      <c r="G1272">
        <v>0</v>
      </c>
      <c r="H1272" t="s">
        <v>315</v>
      </c>
      <c r="I1272">
        <v>0</v>
      </c>
      <c r="J1272">
        <v>0</v>
      </c>
      <c r="K1272">
        <v>0</v>
      </c>
      <c r="L1272" t="s">
        <v>241</v>
      </c>
      <c r="M1272" t="s">
        <v>1398</v>
      </c>
      <c r="N1272">
        <v>1</v>
      </c>
      <c r="O1272" t="s">
        <v>311</v>
      </c>
      <c r="P1272" t="s">
        <v>310</v>
      </c>
      <c r="Q1272" t="s">
        <v>310</v>
      </c>
      <c r="R1272" t="s">
        <v>310</v>
      </c>
      <c r="S1272">
        <v>9</v>
      </c>
      <c r="T1272" t="s">
        <v>310</v>
      </c>
      <c r="U1272">
        <v>9</v>
      </c>
      <c r="V1272">
        <v>9</v>
      </c>
      <c r="W1272">
        <v>0</v>
      </c>
      <c r="X1272">
        <v>0</v>
      </c>
      <c r="Y1272">
        <v>0</v>
      </c>
      <c r="Z1272">
        <v>0</v>
      </c>
      <c r="AA1272">
        <v>9</v>
      </c>
      <c r="AB1272">
        <v>9</v>
      </c>
      <c r="AC1272" t="s">
        <v>310</v>
      </c>
      <c r="AD1272">
        <v>9</v>
      </c>
      <c r="AE1272" t="s">
        <v>1413</v>
      </c>
      <c r="AF1272">
        <v>80000000</v>
      </c>
      <c r="AG1272" t="s">
        <v>310</v>
      </c>
      <c r="AH1272">
        <f>SUM((MID(Dyno_Data[[#This Row],[Team]],4,5))+(Dyno_Data[[#This Row],[Match]]/100))</f>
        <v>3044.21</v>
      </c>
      <c r="AI1272" s="76">
        <f>ROUND(SUM(IF(Dyno_Data[[#This Row],[AcqCenter]]&gt;0,Dyno_Data[[#This Row],[Time]]-SUMIFS(Dyno_Data[Time],Dyno_Data[Team],Dyno_Data[[#This Row],[Team]],Dyno_Data[RecordType],"StartMatch",Dyno_Data[Match],Dyno_Data[[#This Row],[Match]]),0)*86400),0)</f>
        <v>0</v>
      </c>
    </row>
    <row r="1273" spans="1:35" x14ac:dyDescent="0.3">
      <c r="A1273">
        <v>1272</v>
      </c>
      <c r="B1273" t="s">
        <v>1286</v>
      </c>
      <c r="C1273">
        <v>21</v>
      </c>
      <c r="D1273" s="105">
        <v>45373.49582596065</v>
      </c>
      <c r="E1273" t="s">
        <v>312</v>
      </c>
      <c r="F1273" t="s">
        <v>1402</v>
      </c>
      <c r="G1273">
        <v>0</v>
      </c>
      <c r="H1273" t="s">
        <v>315</v>
      </c>
      <c r="I1273">
        <v>0</v>
      </c>
      <c r="J1273">
        <v>0</v>
      </c>
      <c r="K1273">
        <v>0</v>
      </c>
      <c r="L1273" t="s">
        <v>241</v>
      </c>
      <c r="M1273" t="s">
        <v>1398</v>
      </c>
      <c r="N1273">
        <v>0</v>
      </c>
      <c r="O1273" t="s">
        <v>1389</v>
      </c>
      <c r="P1273" t="s">
        <v>310</v>
      </c>
      <c r="Q1273" t="s">
        <v>310</v>
      </c>
      <c r="R1273" t="s">
        <v>310</v>
      </c>
      <c r="S1273">
        <v>9</v>
      </c>
      <c r="T1273" t="s">
        <v>310</v>
      </c>
      <c r="U1273">
        <v>9</v>
      </c>
      <c r="V1273">
        <v>9</v>
      </c>
      <c r="W1273">
        <v>0</v>
      </c>
      <c r="X1273">
        <v>0</v>
      </c>
      <c r="Y1273">
        <v>0</v>
      </c>
      <c r="Z1273">
        <v>0</v>
      </c>
      <c r="AA1273">
        <v>9</v>
      </c>
      <c r="AB1273">
        <v>9</v>
      </c>
      <c r="AC1273" t="s">
        <v>310</v>
      </c>
      <c r="AD1273">
        <v>9</v>
      </c>
      <c r="AE1273" t="s">
        <v>1414</v>
      </c>
      <c r="AF1273">
        <v>130702000</v>
      </c>
      <c r="AG1273" t="s">
        <v>310</v>
      </c>
      <c r="AH1273">
        <f>SUM((MID(Dyno_Data[[#This Row],[Team]],4,5))+(Dyno_Data[[#This Row],[Match]]/100))</f>
        <v>1591.21</v>
      </c>
      <c r="AI1273" s="76">
        <f>ROUND(SUM(IF(Dyno_Data[[#This Row],[AcqCenter]]&gt;0,Dyno_Data[[#This Row],[Time]]-SUMIFS(Dyno_Data[Time],Dyno_Data[Team],Dyno_Data[[#This Row],[Team]],Dyno_Data[RecordType],"StartMatch",Dyno_Data[Match],Dyno_Data[[#This Row],[Match]]),0)*86400),0)</f>
        <v>0</v>
      </c>
    </row>
    <row r="1274" spans="1:35" x14ac:dyDescent="0.3">
      <c r="A1274">
        <v>1273</v>
      </c>
      <c r="B1274" t="s">
        <v>1300</v>
      </c>
      <c r="C1274">
        <v>21</v>
      </c>
      <c r="D1274" s="105">
        <v>45373.495858449074</v>
      </c>
      <c r="E1274" t="s">
        <v>312</v>
      </c>
      <c r="F1274" t="s">
        <v>1402</v>
      </c>
      <c r="G1274">
        <v>0</v>
      </c>
      <c r="H1274" t="s">
        <v>315</v>
      </c>
      <c r="I1274">
        <v>0</v>
      </c>
      <c r="J1274">
        <v>0</v>
      </c>
      <c r="K1274">
        <v>0</v>
      </c>
      <c r="L1274" t="s">
        <v>241</v>
      </c>
      <c r="M1274" t="s">
        <v>1398</v>
      </c>
      <c r="N1274">
        <v>0</v>
      </c>
      <c r="O1274" t="s">
        <v>311</v>
      </c>
      <c r="P1274" t="s">
        <v>310</v>
      </c>
      <c r="Q1274" t="s">
        <v>310</v>
      </c>
      <c r="R1274" t="s">
        <v>310</v>
      </c>
      <c r="S1274">
        <v>9</v>
      </c>
      <c r="T1274" t="s">
        <v>310</v>
      </c>
      <c r="U1274">
        <v>9</v>
      </c>
      <c r="V1274">
        <v>9</v>
      </c>
      <c r="W1274">
        <v>0</v>
      </c>
      <c r="X1274">
        <v>0</v>
      </c>
      <c r="Y1274">
        <v>0</v>
      </c>
      <c r="Z1274">
        <v>0</v>
      </c>
      <c r="AA1274">
        <v>9</v>
      </c>
      <c r="AB1274">
        <v>9</v>
      </c>
      <c r="AC1274" t="s">
        <v>310</v>
      </c>
      <c r="AD1274">
        <v>9</v>
      </c>
      <c r="AE1274" t="s">
        <v>1413</v>
      </c>
      <c r="AF1274">
        <v>90000000</v>
      </c>
      <c r="AG1274" t="s">
        <v>310</v>
      </c>
      <c r="AH1274">
        <f>SUM((MID(Dyno_Data[[#This Row],[Team]],4,5))+(Dyno_Data[[#This Row],[Match]]/100))</f>
        <v>3044.21</v>
      </c>
      <c r="AI1274" s="76">
        <f>ROUND(SUM(IF(Dyno_Data[[#This Row],[AcqCenter]]&gt;0,Dyno_Data[[#This Row],[Time]]-SUMIFS(Dyno_Data[Time],Dyno_Data[Team],Dyno_Data[[#This Row],[Team]],Dyno_Data[RecordType],"StartMatch",Dyno_Data[Match],Dyno_Data[[#This Row],[Match]]),0)*86400),0)</f>
        <v>0</v>
      </c>
    </row>
    <row r="1275" spans="1:35" x14ac:dyDescent="0.3">
      <c r="A1275">
        <v>1274</v>
      </c>
      <c r="B1275" t="s">
        <v>1300</v>
      </c>
      <c r="C1275">
        <v>21</v>
      </c>
      <c r="D1275" s="105">
        <v>45373.495931597223</v>
      </c>
      <c r="E1275" t="s">
        <v>312</v>
      </c>
      <c r="F1275" t="s">
        <v>1402</v>
      </c>
      <c r="G1275">
        <v>0</v>
      </c>
      <c r="H1275" t="s">
        <v>315</v>
      </c>
      <c r="I1275">
        <v>0</v>
      </c>
      <c r="J1275">
        <v>0</v>
      </c>
      <c r="K1275">
        <v>0</v>
      </c>
      <c r="L1275" t="s">
        <v>241</v>
      </c>
      <c r="M1275" t="s">
        <v>1398</v>
      </c>
      <c r="N1275">
        <v>0</v>
      </c>
      <c r="O1275" t="s">
        <v>311</v>
      </c>
      <c r="P1275" t="s">
        <v>310</v>
      </c>
      <c r="Q1275" t="s">
        <v>310</v>
      </c>
      <c r="R1275" t="s">
        <v>310</v>
      </c>
      <c r="S1275">
        <v>9</v>
      </c>
      <c r="T1275" t="s">
        <v>310</v>
      </c>
      <c r="U1275">
        <v>9</v>
      </c>
      <c r="V1275">
        <v>9</v>
      </c>
      <c r="W1275">
        <v>0</v>
      </c>
      <c r="X1275">
        <v>0</v>
      </c>
      <c r="Y1275">
        <v>0</v>
      </c>
      <c r="Z1275">
        <v>0</v>
      </c>
      <c r="AA1275">
        <v>9</v>
      </c>
      <c r="AB1275">
        <v>9</v>
      </c>
      <c r="AC1275" t="s">
        <v>310</v>
      </c>
      <c r="AD1275">
        <v>9</v>
      </c>
      <c r="AE1275" t="s">
        <v>1413</v>
      </c>
      <c r="AF1275">
        <v>100000000</v>
      </c>
      <c r="AG1275" t="s">
        <v>310</v>
      </c>
      <c r="AH1275">
        <f>SUM((MID(Dyno_Data[[#This Row],[Team]],4,5))+(Dyno_Data[[#This Row],[Match]]/100))</f>
        <v>3044.21</v>
      </c>
      <c r="AI1275" s="76">
        <f>ROUND(SUM(IF(Dyno_Data[[#This Row],[AcqCenter]]&gt;0,Dyno_Data[[#This Row],[Time]]-SUMIFS(Dyno_Data[Time],Dyno_Data[Team],Dyno_Data[[#This Row],[Team]],Dyno_Data[RecordType],"StartMatch",Dyno_Data[Match],Dyno_Data[[#This Row],[Match]]),0)*86400),0)</f>
        <v>0</v>
      </c>
    </row>
    <row r="1276" spans="1:35" x14ac:dyDescent="0.3">
      <c r="A1276">
        <v>1275</v>
      </c>
      <c r="B1276" t="s">
        <v>1286</v>
      </c>
      <c r="C1276">
        <v>21</v>
      </c>
      <c r="D1276" s="105">
        <v>45373.495942395835</v>
      </c>
      <c r="E1276" t="s">
        <v>312</v>
      </c>
      <c r="F1276" t="s">
        <v>1402</v>
      </c>
      <c r="G1276">
        <v>0</v>
      </c>
      <c r="H1276" t="s">
        <v>315</v>
      </c>
      <c r="I1276">
        <v>0</v>
      </c>
      <c r="J1276">
        <v>0</v>
      </c>
      <c r="K1276">
        <v>0</v>
      </c>
      <c r="L1276" t="s">
        <v>241</v>
      </c>
      <c r="M1276" t="s">
        <v>1398</v>
      </c>
      <c r="N1276">
        <v>0</v>
      </c>
      <c r="O1276" t="s">
        <v>1389</v>
      </c>
      <c r="P1276" t="s">
        <v>310</v>
      </c>
      <c r="Q1276" t="s">
        <v>310</v>
      </c>
      <c r="R1276" t="s">
        <v>310</v>
      </c>
      <c r="S1276">
        <v>9</v>
      </c>
      <c r="T1276" t="s">
        <v>310</v>
      </c>
      <c r="U1276">
        <v>9</v>
      </c>
      <c r="V1276">
        <v>9</v>
      </c>
      <c r="W1276">
        <v>0</v>
      </c>
      <c r="X1276">
        <v>0</v>
      </c>
      <c r="Y1276">
        <v>0</v>
      </c>
      <c r="Z1276">
        <v>0</v>
      </c>
      <c r="AA1276">
        <v>9</v>
      </c>
      <c r="AB1276">
        <v>9</v>
      </c>
      <c r="AC1276" t="s">
        <v>310</v>
      </c>
      <c r="AD1276">
        <v>9</v>
      </c>
      <c r="AE1276" t="s">
        <v>1414</v>
      </c>
      <c r="AF1276">
        <v>140702000</v>
      </c>
      <c r="AG1276" t="s">
        <v>310</v>
      </c>
      <c r="AH1276">
        <f>SUM((MID(Dyno_Data[[#This Row],[Team]],4,5))+(Dyno_Data[[#This Row],[Match]]/100))</f>
        <v>1591.21</v>
      </c>
      <c r="AI1276" s="76">
        <f>ROUND(SUM(IF(Dyno_Data[[#This Row],[AcqCenter]]&gt;0,Dyno_Data[[#This Row],[Time]]-SUMIFS(Dyno_Data[Time],Dyno_Data[Team],Dyno_Data[[#This Row],[Team]],Dyno_Data[RecordType],"StartMatch",Dyno_Data[Match],Dyno_Data[[#This Row],[Match]]),0)*86400),0)</f>
        <v>0</v>
      </c>
    </row>
    <row r="1277" spans="1:35" x14ac:dyDescent="0.3">
      <c r="A1277">
        <v>1276</v>
      </c>
      <c r="B1277" t="s">
        <v>1318</v>
      </c>
      <c r="C1277">
        <v>21</v>
      </c>
      <c r="D1277" s="105">
        <v>45373.495973576391</v>
      </c>
      <c r="E1277" t="s">
        <v>312</v>
      </c>
      <c r="F1277" t="s">
        <v>1402</v>
      </c>
      <c r="G1277">
        <v>0</v>
      </c>
      <c r="H1277" t="s">
        <v>315</v>
      </c>
      <c r="I1277">
        <v>0</v>
      </c>
      <c r="J1277">
        <v>0</v>
      </c>
      <c r="K1277">
        <v>0</v>
      </c>
      <c r="L1277" t="s">
        <v>241</v>
      </c>
      <c r="M1277" t="s">
        <v>101</v>
      </c>
      <c r="N1277">
        <v>0</v>
      </c>
      <c r="O1277" t="s">
        <v>319</v>
      </c>
      <c r="P1277" t="s">
        <v>310</v>
      </c>
      <c r="Q1277" t="s">
        <v>310</v>
      </c>
      <c r="R1277" t="s">
        <v>310</v>
      </c>
      <c r="S1277">
        <v>9</v>
      </c>
      <c r="T1277" t="s">
        <v>310</v>
      </c>
      <c r="U1277">
        <v>9</v>
      </c>
      <c r="V1277">
        <v>9</v>
      </c>
      <c r="W1277">
        <v>0</v>
      </c>
      <c r="X1277">
        <v>0</v>
      </c>
      <c r="Y1277">
        <v>0</v>
      </c>
      <c r="Z1277">
        <v>0</v>
      </c>
      <c r="AA1277">
        <v>9</v>
      </c>
      <c r="AB1277">
        <v>9</v>
      </c>
      <c r="AC1277" t="s">
        <v>310</v>
      </c>
      <c r="AD1277">
        <v>9</v>
      </c>
      <c r="AE1277" t="s">
        <v>1412</v>
      </c>
      <c r="AF1277">
        <v>70000000</v>
      </c>
      <c r="AG1277" t="s">
        <v>310</v>
      </c>
      <c r="AH1277">
        <f>SUM((MID(Dyno_Data[[#This Row],[Team]],4,5))+(Dyno_Data[[#This Row],[Match]]/100))</f>
        <v>7709.21</v>
      </c>
      <c r="AI1277" s="76">
        <f>ROUND(SUM(IF(Dyno_Data[[#This Row],[AcqCenter]]&gt;0,Dyno_Data[[#This Row],[Time]]-SUMIFS(Dyno_Data[Time],Dyno_Data[Team],Dyno_Data[[#This Row],[Team]],Dyno_Data[RecordType],"StartMatch",Dyno_Data[Match],Dyno_Data[[#This Row],[Match]]),0)*86400),0)</f>
        <v>0</v>
      </c>
    </row>
    <row r="1278" spans="1:35" x14ac:dyDescent="0.3">
      <c r="A1278">
        <v>1277</v>
      </c>
      <c r="B1278" t="s">
        <v>363</v>
      </c>
      <c r="C1278">
        <v>21</v>
      </c>
      <c r="D1278" s="105">
        <v>45373.495993321761</v>
      </c>
      <c r="E1278" t="s">
        <v>312</v>
      </c>
      <c r="F1278" t="s">
        <v>1402</v>
      </c>
      <c r="G1278">
        <v>0</v>
      </c>
      <c r="H1278" t="s">
        <v>315</v>
      </c>
      <c r="I1278">
        <v>0</v>
      </c>
      <c r="J1278">
        <v>0</v>
      </c>
      <c r="K1278">
        <v>0</v>
      </c>
      <c r="L1278" t="s">
        <v>240</v>
      </c>
      <c r="M1278" t="s">
        <v>1398</v>
      </c>
      <c r="N1278">
        <v>0</v>
      </c>
      <c r="O1278" t="s">
        <v>1391</v>
      </c>
      <c r="P1278" t="s">
        <v>310</v>
      </c>
      <c r="Q1278" t="s">
        <v>310</v>
      </c>
      <c r="R1278" t="s">
        <v>310</v>
      </c>
      <c r="S1278">
        <v>9</v>
      </c>
      <c r="T1278" t="s">
        <v>310</v>
      </c>
      <c r="U1278">
        <v>9</v>
      </c>
      <c r="V1278">
        <v>9</v>
      </c>
      <c r="W1278">
        <v>0</v>
      </c>
      <c r="X1278">
        <v>0</v>
      </c>
      <c r="Y1278">
        <v>0</v>
      </c>
      <c r="Z1278">
        <v>0</v>
      </c>
      <c r="AA1278">
        <v>9</v>
      </c>
      <c r="AB1278">
        <v>9</v>
      </c>
      <c r="AC1278" t="s">
        <v>310</v>
      </c>
      <c r="AD1278">
        <v>9</v>
      </c>
      <c r="AE1278" t="s">
        <v>1416</v>
      </c>
      <c r="AF1278">
        <v>100000000</v>
      </c>
      <c r="AG1278" t="s">
        <v>310</v>
      </c>
      <c r="AH1278">
        <f>SUM((MID(Dyno_Data[[#This Row],[Team]],4,5))+(Dyno_Data[[#This Row],[Match]]/100))</f>
        <v>2601.21</v>
      </c>
      <c r="AI1278" s="76">
        <f>ROUND(SUM(IF(Dyno_Data[[#This Row],[AcqCenter]]&gt;0,Dyno_Data[[#This Row],[Time]]-SUMIFS(Dyno_Data[Time],Dyno_Data[Team],Dyno_Data[[#This Row],[Team]],Dyno_Data[RecordType],"StartMatch",Dyno_Data[Match],Dyno_Data[[#This Row],[Match]]),0)*86400),0)</f>
        <v>0</v>
      </c>
    </row>
    <row r="1279" spans="1:35" x14ac:dyDescent="0.3">
      <c r="A1279">
        <v>1278</v>
      </c>
      <c r="B1279" t="s">
        <v>1300</v>
      </c>
      <c r="C1279">
        <v>21</v>
      </c>
      <c r="D1279" s="105">
        <v>45373.496780555557</v>
      </c>
      <c r="E1279" t="s">
        <v>316</v>
      </c>
      <c r="F1279" t="s">
        <v>317</v>
      </c>
      <c r="G1279">
        <v>1</v>
      </c>
      <c r="H1279" t="s">
        <v>310</v>
      </c>
      <c r="I1279">
        <v>0</v>
      </c>
      <c r="J1279">
        <v>0</v>
      </c>
      <c r="K1279">
        <v>0</v>
      </c>
      <c r="L1279" t="s">
        <v>310</v>
      </c>
      <c r="M1279" t="s">
        <v>310</v>
      </c>
      <c r="N1279">
        <v>0</v>
      </c>
      <c r="O1279" t="s">
        <v>311</v>
      </c>
      <c r="P1279" t="s">
        <v>320</v>
      </c>
      <c r="Q1279" t="s">
        <v>1400</v>
      </c>
      <c r="R1279" t="s">
        <v>1405</v>
      </c>
      <c r="S1279">
        <v>1</v>
      </c>
      <c r="T1279" t="s">
        <v>1407</v>
      </c>
      <c r="U1279">
        <v>0</v>
      </c>
      <c r="V1279">
        <v>0</v>
      </c>
      <c r="W1279">
        <v>5.7049577999999999</v>
      </c>
      <c r="X1279">
        <v>36.854902099999997</v>
      </c>
      <c r="Y1279">
        <v>39.409833499999998</v>
      </c>
      <c r="Z1279">
        <v>51.3329928</v>
      </c>
      <c r="AA1279">
        <v>0</v>
      </c>
      <c r="AB1279">
        <v>0</v>
      </c>
      <c r="AC1279" t="s">
        <v>174</v>
      </c>
      <c r="AD1279">
        <v>9</v>
      </c>
      <c r="AE1279" t="s">
        <v>1413</v>
      </c>
      <c r="AF1279">
        <v>100000000</v>
      </c>
      <c r="AG1279" t="s">
        <v>310</v>
      </c>
      <c r="AH1279">
        <f>SUM((MID(Dyno_Data[[#This Row],[Team]],4,5))+(Dyno_Data[[#This Row],[Match]]/100))</f>
        <v>3044.21</v>
      </c>
      <c r="AI1279" s="76">
        <f>ROUND(SUM(IF(Dyno_Data[[#This Row],[AcqCenter]]&gt;0,Dyno_Data[[#This Row],[Time]]-SUMIFS(Dyno_Data[Time],Dyno_Data[Team],Dyno_Data[[#This Row],[Team]],Dyno_Data[RecordType],"StartMatch",Dyno_Data[Match],Dyno_Data[[#This Row],[Match]]),0)*86400),0)</f>
        <v>0</v>
      </c>
    </row>
    <row r="1280" spans="1:35" x14ac:dyDescent="0.3">
      <c r="A1280">
        <v>1279</v>
      </c>
      <c r="B1280" t="s">
        <v>363</v>
      </c>
      <c r="C1280">
        <v>21</v>
      </c>
      <c r="D1280" s="105">
        <v>45373.496780671296</v>
      </c>
      <c r="E1280" t="s">
        <v>316</v>
      </c>
      <c r="F1280" t="s">
        <v>317</v>
      </c>
      <c r="G1280">
        <v>1</v>
      </c>
      <c r="H1280" t="s">
        <v>310</v>
      </c>
      <c r="I1280">
        <v>0</v>
      </c>
      <c r="J1280">
        <v>0</v>
      </c>
      <c r="K1280">
        <v>0</v>
      </c>
      <c r="L1280" t="s">
        <v>310</v>
      </c>
      <c r="M1280" t="s">
        <v>310</v>
      </c>
      <c r="N1280">
        <v>0</v>
      </c>
      <c r="O1280" t="s">
        <v>1391</v>
      </c>
      <c r="P1280" t="s">
        <v>240</v>
      </c>
      <c r="Q1280" t="s">
        <v>1399</v>
      </c>
      <c r="R1280" t="s">
        <v>1404</v>
      </c>
      <c r="S1280">
        <v>-1</v>
      </c>
      <c r="T1280" t="s">
        <v>105</v>
      </c>
      <c r="U1280">
        <v>9</v>
      </c>
      <c r="V1280">
        <v>9</v>
      </c>
      <c r="W1280">
        <v>2.5639637999999998</v>
      </c>
      <c r="X1280">
        <v>48.5885161</v>
      </c>
      <c r="Y1280">
        <v>31.653389199999999</v>
      </c>
      <c r="Z1280">
        <v>52.987888699999999</v>
      </c>
      <c r="AA1280">
        <v>0</v>
      </c>
      <c r="AB1280">
        <v>1</v>
      </c>
      <c r="AC1280" t="s">
        <v>174</v>
      </c>
      <c r="AD1280">
        <v>0</v>
      </c>
      <c r="AE1280" t="s">
        <v>1416</v>
      </c>
      <c r="AF1280">
        <v>100000000</v>
      </c>
      <c r="AG1280" t="s">
        <v>310</v>
      </c>
      <c r="AH1280">
        <f>SUM((MID(Dyno_Data[[#This Row],[Team]],4,5))+(Dyno_Data[[#This Row],[Match]]/100))</f>
        <v>2601.21</v>
      </c>
      <c r="AI1280" s="76">
        <f>ROUND(SUM(IF(Dyno_Data[[#This Row],[AcqCenter]]&gt;0,Dyno_Data[[#This Row],[Time]]-SUMIFS(Dyno_Data[Time],Dyno_Data[Team],Dyno_Data[[#This Row],[Team]],Dyno_Data[RecordType],"StartMatch",Dyno_Data[Match],Dyno_Data[[#This Row],[Match]]),0)*86400),0)</f>
        <v>0</v>
      </c>
    </row>
    <row r="1281" spans="1:35" x14ac:dyDescent="0.3">
      <c r="A1281">
        <v>1280</v>
      </c>
      <c r="B1281" t="s">
        <v>1318</v>
      </c>
      <c r="C1281">
        <v>21</v>
      </c>
      <c r="D1281" s="105">
        <v>45373.496780787034</v>
      </c>
      <c r="E1281" t="s">
        <v>316</v>
      </c>
      <c r="F1281" t="s">
        <v>317</v>
      </c>
      <c r="G1281">
        <v>0</v>
      </c>
      <c r="H1281" t="s">
        <v>310</v>
      </c>
      <c r="I1281">
        <v>0</v>
      </c>
      <c r="J1281">
        <v>0</v>
      </c>
      <c r="K1281">
        <v>0</v>
      </c>
      <c r="L1281" t="s">
        <v>310</v>
      </c>
      <c r="M1281" t="s">
        <v>310</v>
      </c>
      <c r="N1281">
        <v>0</v>
      </c>
      <c r="O1281" t="s">
        <v>319</v>
      </c>
      <c r="P1281" t="s">
        <v>101</v>
      </c>
      <c r="Q1281" t="s">
        <v>1400</v>
      </c>
      <c r="R1281" t="s">
        <v>1405</v>
      </c>
      <c r="S1281">
        <v>1</v>
      </c>
      <c r="T1281" t="s">
        <v>1406</v>
      </c>
      <c r="U1281">
        <v>0</v>
      </c>
      <c r="V1281">
        <v>0</v>
      </c>
      <c r="W1281">
        <v>3.5551228999999998</v>
      </c>
      <c r="X1281">
        <v>53.015539999999994</v>
      </c>
      <c r="Y1281">
        <v>14.6402188</v>
      </c>
      <c r="Z1281">
        <v>64.081455500000004</v>
      </c>
      <c r="AA1281">
        <v>0</v>
      </c>
      <c r="AB1281">
        <v>1</v>
      </c>
      <c r="AC1281" t="s">
        <v>174</v>
      </c>
      <c r="AD1281">
        <v>9</v>
      </c>
      <c r="AE1281" t="s">
        <v>1412</v>
      </c>
      <c r="AF1281">
        <v>70000000</v>
      </c>
      <c r="AG1281" t="s">
        <v>310</v>
      </c>
      <c r="AH1281">
        <f>SUM((MID(Dyno_Data[[#This Row],[Team]],4,5))+(Dyno_Data[[#This Row],[Match]]/100))</f>
        <v>7709.21</v>
      </c>
      <c r="AI1281" s="76">
        <f>ROUND(SUM(IF(Dyno_Data[[#This Row],[AcqCenter]]&gt;0,Dyno_Data[[#This Row],[Time]]-SUMIFS(Dyno_Data[Time],Dyno_Data[Team],Dyno_Data[[#This Row],[Team]],Dyno_Data[RecordType],"StartMatch",Dyno_Data[Match],Dyno_Data[[#This Row],[Match]]),0)*86400),0)</f>
        <v>0</v>
      </c>
    </row>
    <row r="1282" spans="1:35" x14ac:dyDescent="0.3">
      <c r="A1282">
        <v>1281</v>
      </c>
      <c r="B1282" t="s">
        <v>1279</v>
      </c>
      <c r="C1282">
        <v>21</v>
      </c>
      <c r="D1282" s="105">
        <v>45373.49678090278</v>
      </c>
      <c r="E1282" t="s">
        <v>316</v>
      </c>
      <c r="F1282" t="s">
        <v>317</v>
      </c>
      <c r="G1282">
        <v>1</v>
      </c>
      <c r="H1282" t="s">
        <v>310</v>
      </c>
      <c r="I1282">
        <v>0</v>
      </c>
      <c r="J1282">
        <v>0</v>
      </c>
      <c r="K1282">
        <v>0</v>
      </c>
      <c r="L1282" t="s">
        <v>310</v>
      </c>
      <c r="M1282" t="s">
        <v>310</v>
      </c>
      <c r="N1282">
        <v>0</v>
      </c>
      <c r="O1282" t="s">
        <v>1393</v>
      </c>
      <c r="P1282" t="s">
        <v>320</v>
      </c>
      <c r="Q1282" t="s">
        <v>1399</v>
      </c>
      <c r="R1282" t="s">
        <v>1404</v>
      </c>
      <c r="S1282">
        <v>0</v>
      </c>
      <c r="T1282" t="s">
        <v>105</v>
      </c>
      <c r="U1282">
        <v>9</v>
      </c>
      <c r="V1282">
        <v>9</v>
      </c>
      <c r="W1282">
        <v>0</v>
      </c>
      <c r="X1282">
        <v>0.43585740000000001</v>
      </c>
      <c r="Y1282">
        <v>62.736844699999999</v>
      </c>
      <c r="Z1282">
        <v>72.314625199999995</v>
      </c>
      <c r="AA1282">
        <v>2</v>
      </c>
      <c r="AB1282">
        <v>0</v>
      </c>
      <c r="AC1282" t="s">
        <v>170</v>
      </c>
      <c r="AD1282">
        <v>0</v>
      </c>
      <c r="AE1282" t="s">
        <v>1418</v>
      </c>
      <c r="AF1282">
        <v>0</v>
      </c>
      <c r="AG1282" t="s">
        <v>310</v>
      </c>
      <c r="AH1282">
        <f>SUM((MID(Dyno_Data[[#This Row],[Team]],4,5))+(Dyno_Data[[#This Row],[Match]]/100))</f>
        <v>5149.21</v>
      </c>
      <c r="AI1282" s="76">
        <f>ROUND(SUM(IF(Dyno_Data[[#This Row],[AcqCenter]]&gt;0,Dyno_Data[[#This Row],[Time]]-SUMIFS(Dyno_Data[Time],Dyno_Data[Team],Dyno_Data[[#This Row],[Team]],Dyno_Data[RecordType],"StartMatch",Dyno_Data[Match],Dyno_Data[[#This Row],[Match]]),0)*86400),0)</f>
        <v>0</v>
      </c>
    </row>
    <row r="1283" spans="1:35" x14ac:dyDescent="0.3">
      <c r="A1283">
        <v>1282</v>
      </c>
      <c r="B1283" t="s">
        <v>1286</v>
      </c>
      <c r="C1283">
        <v>21</v>
      </c>
      <c r="D1283" s="105">
        <v>45373.496780937501</v>
      </c>
      <c r="E1283" t="s">
        <v>316</v>
      </c>
      <c r="F1283" t="s">
        <v>317</v>
      </c>
      <c r="G1283">
        <v>1</v>
      </c>
      <c r="H1283" t="s">
        <v>310</v>
      </c>
      <c r="I1283">
        <v>0</v>
      </c>
      <c r="J1283">
        <v>0</v>
      </c>
      <c r="K1283">
        <v>0</v>
      </c>
      <c r="L1283" t="s">
        <v>310</v>
      </c>
      <c r="M1283" t="s">
        <v>310</v>
      </c>
      <c r="N1283">
        <v>0</v>
      </c>
      <c r="O1283" t="s">
        <v>1389</v>
      </c>
      <c r="P1283" t="s">
        <v>240</v>
      </c>
      <c r="Q1283" t="s">
        <v>1400</v>
      </c>
      <c r="R1283" t="s">
        <v>1405</v>
      </c>
      <c r="S1283">
        <v>1</v>
      </c>
      <c r="T1283" t="s">
        <v>1407</v>
      </c>
      <c r="U1283">
        <v>0</v>
      </c>
      <c r="V1283">
        <v>0</v>
      </c>
      <c r="W1283">
        <v>2.0227572</v>
      </c>
      <c r="X1283">
        <v>36.261098499999996</v>
      </c>
      <c r="Y1283">
        <v>32.062953</v>
      </c>
      <c r="Z1283">
        <v>60.390431399999997</v>
      </c>
      <c r="AA1283">
        <v>0</v>
      </c>
      <c r="AB1283">
        <v>1</v>
      </c>
      <c r="AC1283" t="s">
        <v>174</v>
      </c>
      <c r="AD1283">
        <v>9</v>
      </c>
      <c r="AE1283" t="s">
        <v>1414</v>
      </c>
      <c r="AF1283">
        <v>140702000</v>
      </c>
      <c r="AG1283" t="s">
        <v>310</v>
      </c>
      <c r="AH1283">
        <f>SUM((MID(Dyno_Data[[#This Row],[Team]],4,5))+(Dyno_Data[[#This Row],[Match]]/100))</f>
        <v>1591.21</v>
      </c>
      <c r="AI1283" s="76">
        <f>ROUND(SUM(IF(Dyno_Data[[#This Row],[AcqCenter]]&gt;0,Dyno_Data[[#This Row],[Time]]-SUMIFS(Dyno_Data[Time],Dyno_Data[Team],Dyno_Data[[#This Row],[Team]],Dyno_Data[RecordType],"StartMatch",Dyno_Data[Match],Dyno_Data[[#This Row],[Match]]),0)*86400),0)</f>
        <v>0</v>
      </c>
    </row>
    <row r="1284" spans="1:35" x14ac:dyDescent="0.3">
      <c r="A1284">
        <v>1283</v>
      </c>
      <c r="B1284" t="s">
        <v>1311</v>
      </c>
      <c r="C1284">
        <v>21</v>
      </c>
      <c r="D1284" s="105">
        <v>45373.49678105324</v>
      </c>
      <c r="E1284" t="s">
        <v>316</v>
      </c>
      <c r="F1284" t="s">
        <v>317</v>
      </c>
      <c r="G1284">
        <v>1</v>
      </c>
      <c r="H1284" t="s">
        <v>310</v>
      </c>
      <c r="I1284">
        <v>0</v>
      </c>
      <c r="J1284">
        <v>0</v>
      </c>
      <c r="K1284">
        <v>0</v>
      </c>
      <c r="L1284" t="s">
        <v>310</v>
      </c>
      <c r="M1284" t="s">
        <v>310</v>
      </c>
      <c r="N1284">
        <v>0</v>
      </c>
      <c r="O1284" t="s">
        <v>1395</v>
      </c>
      <c r="P1284" t="s">
        <v>320</v>
      </c>
      <c r="Q1284" t="s">
        <v>1400</v>
      </c>
      <c r="R1284" t="s">
        <v>1404</v>
      </c>
      <c r="S1284">
        <v>-1</v>
      </c>
      <c r="T1284" t="s">
        <v>105</v>
      </c>
      <c r="U1284">
        <v>9</v>
      </c>
      <c r="V1284">
        <v>9</v>
      </c>
      <c r="W1284">
        <v>10.263038699999999</v>
      </c>
      <c r="X1284">
        <v>0</v>
      </c>
      <c r="Y1284">
        <v>63.739171299999995</v>
      </c>
      <c r="Z1284">
        <v>61.605508999999998</v>
      </c>
      <c r="AA1284">
        <v>3</v>
      </c>
      <c r="AB1284">
        <v>0</v>
      </c>
      <c r="AC1284" t="s">
        <v>170</v>
      </c>
      <c r="AD1284">
        <v>9</v>
      </c>
      <c r="AE1284" t="s">
        <v>1417</v>
      </c>
      <c r="AF1284">
        <v>0</v>
      </c>
      <c r="AG1284" t="s">
        <v>310</v>
      </c>
      <c r="AH1284">
        <f>SUM((MID(Dyno_Data[[#This Row],[Team]],4,5))+(Dyno_Data[[#This Row],[Match]]/100))</f>
        <v>2234.21</v>
      </c>
      <c r="AI1284" s="76">
        <f>ROUND(SUM(IF(Dyno_Data[[#This Row],[AcqCenter]]&gt;0,Dyno_Data[[#This Row],[Time]]-SUMIFS(Dyno_Data[Time],Dyno_Data[Team],Dyno_Data[[#This Row],[Team]],Dyno_Data[RecordType],"StartMatch",Dyno_Data[Match],Dyno_Data[[#This Row],[Match]]),0)*86400),0)</f>
        <v>0</v>
      </c>
    </row>
    <row r="1285" spans="1:35" x14ac:dyDescent="0.3">
      <c r="A1285">
        <v>1299</v>
      </c>
      <c r="B1285" t="s">
        <v>360</v>
      </c>
      <c r="C1285">
        <v>23</v>
      </c>
      <c r="D1285" s="105">
        <v>45373.547105520833</v>
      </c>
      <c r="E1285" t="s">
        <v>308</v>
      </c>
      <c r="F1285" t="s">
        <v>309</v>
      </c>
      <c r="G1285">
        <v>0</v>
      </c>
      <c r="H1285" t="s">
        <v>310</v>
      </c>
      <c r="I1285">
        <v>0</v>
      </c>
      <c r="J1285">
        <v>0</v>
      </c>
      <c r="K1285">
        <v>0</v>
      </c>
      <c r="L1285" t="s">
        <v>310</v>
      </c>
      <c r="M1285" t="s">
        <v>310</v>
      </c>
      <c r="N1285">
        <v>0</v>
      </c>
      <c r="O1285" t="s">
        <v>1391</v>
      </c>
      <c r="P1285" t="s">
        <v>310</v>
      </c>
      <c r="Q1285" t="s">
        <v>310</v>
      </c>
      <c r="R1285" t="s">
        <v>310</v>
      </c>
      <c r="S1285">
        <v>9</v>
      </c>
      <c r="T1285" t="s">
        <v>310</v>
      </c>
      <c r="U1285">
        <v>9</v>
      </c>
      <c r="V1285">
        <v>9</v>
      </c>
      <c r="W1285">
        <v>0</v>
      </c>
      <c r="X1285">
        <v>0</v>
      </c>
      <c r="Y1285">
        <v>0</v>
      </c>
      <c r="Z1285">
        <v>0</v>
      </c>
      <c r="AA1285">
        <v>9</v>
      </c>
      <c r="AB1285">
        <v>9</v>
      </c>
      <c r="AC1285" t="s">
        <v>310</v>
      </c>
      <c r="AD1285">
        <v>9</v>
      </c>
      <c r="AE1285" t="s">
        <v>1416</v>
      </c>
      <c r="AF1285">
        <v>20004000</v>
      </c>
      <c r="AG1285" t="s">
        <v>310</v>
      </c>
      <c r="AH1285">
        <f>SUM((MID(Dyno_Data[[#This Row],[Team]],4,5))+(Dyno_Data[[#This Row],[Match]]/100))</f>
        <v>1796.23</v>
      </c>
      <c r="AI1285" s="76">
        <f>ROUND(SUM(IF(Dyno_Data[[#This Row],[AcqCenter]]&gt;0,Dyno_Data[[#This Row],[Time]]-SUMIFS(Dyno_Data[Time],Dyno_Data[Team],Dyno_Data[[#This Row],[Team]],Dyno_Data[RecordType],"StartMatch",Dyno_Data[Match],Dyno_Data[[#This Row],[Match]]),0)*86400),0)</f>
        <v>0</v>
      </c>
    </row>
    <row r="1286" spans="1:35" x14ac:dyDescent="0.3">
      <c r="A1286">
        <v>1301</v>
      </c>
      <c r="B1286" t="s">
        <v>366</v>
      </c>
      <c r="C1286">
        <v>23</v>
      </c>
      <c r="D1286" s="105">
        <v>45373.5471056713</v>
      </c>
      <c r="E1286" t="s">
        <v>308</v>
      </c>
      <c r="F1286" t="s">
        <v>309</v>
      </c>
      <c r="G1286">
        <v>0</v>
      </c>
      <c r="H1286" t="s">
        <v>310</v>
      </c>
      <c r="I1286">
        <v>0</v>
      </c>
      <c r="J1286">
        <v>0</v>
      </c>
      <c r="K1286">
        <v>0</v>
      </c>
      <c r="L1286" t="s">
        <v>310</v>
      </c>
      <c r="M1286" t="s">
        <v>310</v>
      </c>
      <c r="N1286">
        <v>0</v>
      </c>
      <c r="O1286" t="s">
        <v>1389</v>
      </c>
      <c r="P1286" t="s">
        <v>310</v>
      </c>
      <c r="Q1286" t="s">
        <v>310</v>
      </c>
      <c r="R1286" t="s">
        <v>310</v>
      </c>
      <c r="S1286">
        <v>9</v>
      </c>
      <c r="T1286" t="s">
        <v>310</v>
      </c>
      <c r="U1286">
        <v>9</v>
      </c>
      <c r="V1286">
        <v>9</v>
      </c>
      <c r="W1286">
        <v>0</v>
      </c>
      <c r="X1286">
        <v>0</v>
      </c>
      <c r="Y1286">
        <v>0</v>
      </c>
      <c r="Z1286">
        <v>0</v>
      </c>
      <c r="AA1286">
        <v>9</v>
      </c>
      <c r="AB1286">
        <v>9</v>
      </c>
      <c r="AC1286" t="s">
        <v>310</v>
      </c>
      <c r="AD1286">
        <v>9</v>
      </c>
      <c r="AE1286" t="s">
        <v>1387</v>
      </c>
      <c r="AF1286">
        <v>0</v>
      </c>
      <c r="AG1286" t="s">
        <v>310</v>
      </c>
      <c r="AH1286">
        <f>SUM((MID(Dyno_Data[[#This Row],[Team]],4,5))+(Dyno_Data[[#This Row],[Match]]/100))</f>
        <v>4122.2299999999996</v>
      </c>
      <c r="AI1286" s="76">
        <f>ROUND(SUM(IF(Dyno_Data[[#This Row],[AcqCenter]]&gt;0,Dyno_Data[[#This Row],[Time]]-SUMIFS(Dyno_Data[Time],Dyno_Data[Team],Dyno_Data[[#This Row],[Team]],Dyno_Data[RecordType],"StartMatch",Dyno_Data[Match],Dyno_Data[[#This Row],[Match]]),0)*86400),0)</f>
        <v>0</v>
      </c>
    </row>
    <row r="1287" spans="1:35" x14ac:dyDescent="0.3">
      <c r="A1287">
        <v>1303</v>
      </c>
      <c r="B1287" t="s">
        <v>361</v>
      </c>
      <c r="C1287">
        <v>23</v>
      </c>
      <c r="D1287" s="105">
        <v>45373.547105787038</v>
      </c>
      <c r="E1287" t="s">
        <v>308</v>
      </c>
      <c r="F1287" t="s">
        <v>309</v>
      </c>
      <c r="G1287">
        <v>0</v>
      </c>
      <c r="H1287" t="s">
        <v>310</v>
      </c>
      <c r="I1287">
        <v>0</v>
      </c>
      <c r="J1287">
        <v>0</v>
      </c>
      <c r="K1287">
        <v>0</v>
      </c>
      <c r="L1287" t="s">
        <v>310</v>
      </c>
      <c r="M1287" t="s">
        <v>310</v>
      </c>
      <c r="N1287">
        <v>0</v>
      </c>
      <c r="O1287" t="s">
        <v>1395</v>
      </c>
      <c r="P1287" t="s">
        <v>310</v>
      </c>
      <c r="Q1287" t="s">
        <v>310</v>
      </c>
      <c r="R1287" t="s">
        <v>310</v>
      </c>
      <c r="S1287">
        <v>9</v>
      </c>
      <c r="T1287" t="s">
        <v>310</v>
      </c>
      <c r="U1287">
        <v>9</v>
      </c>
      <c r="V1287">
        <v>9</v>
      </c>
      <c r="W1287">
        <v>0</v>
      </c>
      <c r="X1287">
        <v>0</v>
      </c>
      <c r="Y1287">
        <v>0</v>
      </c>
      <c r="Z1287">
        <v>0</v>
      </c>
      <c r="AA1287">
        <v>9</v>
      </c>
      <c r="AB1287">
        <v>9</v>
      </c>
      <c r="AC1287" t="s">
        <v>310</v>
      </c>
      <c r="AD1287">
        <v>9</v>
      </c>
      <c r="AE1287" t="s">
        <v>1392</v>
      </c>
      <c r="AF1287">
        <v>20000000</v>
      </c>
      <c r="AG1287" t="s">
        <v>310</v>
      </c>
      <c r="AH1287">
        <f>SUM((MID(Dyno_Data[[#This Row],[Team]],4,5))+(Dyno_Data[[#This Row],[Match]]/100))</f>
        <v>20.23</v>
      </c>
      <c r="AI1287" s="76">
        <f>ROUND(SUM(IF(Dyno_Data[[#This Row],[AcqCenter]]&gt;0,Dyno_Data[[#This Row],[Time]]-SUMIFS(Dyno_Data[Time],Dyno_Data[Team],Dyno_Data[[#This Row],[Team]],Dyno_Data[RecordType],"StartMatch",Dyno_Data[Match],Dyno_Data[[#This Row],[Match]]),0)*86400),0)</f>
        <v>0</v>
      </c>
    </row>
    <row r="1288" spans="1:35" x14ac:dyDescent="0.3">
      <c r="A1288">
        <v>1305</v>
      </c>
      <c r="B1288" t="s">
        <v>1280</v>
      </c>
      <c r="C1288">
        <v>23</v>
      </c>
      <c r="D1288" s="105">
        <v>45373.5471090625</v>
      </c>
      <c r="E1288" t="s">
        <v>308</v>
      </c>
      <c r="F1288" t="s">
        <v>309</v>
      </c>
      <c r="G1288">
        <v>0</v>
      </c>
      <c r="H1288" t="s">
        <v>310</v>
      </c>
      <c r="I1288">
        <v>0</v>
      </c>
      <c r="J1288">
        <v>0</v>
      </c>
      <c r="K1288">
        <v>0</v>
      </c>
      <c r="L1288" t="s">
        <v>310</v>
      </c>
      <c r="M1288" t="s">
        <v>310</v>
      </c>
      <c r="N1288">
        <v>0</v>
      </c>
      <c r="O1288" t="s">
        <v>319</v>
      </c>
      <c r="P1288" t="s">
        <v>310</v>
      </c>
      <c r="Q1288" t="s">
        <v>310</v>
      </c>
      <c r="R1288" t="s">
        <v>310</v>
      </c>
      <c r="S1288">
        <v>9</v>
      </c>
      <c r="T1288" t="s">
        <v>310</v>
      </c>
      <c r="U1288">
        <v>9</v>
      </c>
      <c r="V1288">
        <v>9</v>
      </c>
      <c r="W1288">
        <v>0</v>
      </c>
      <c r="X1288">
        <v>0</v>
      </c>
      <c r="Y1288">
        <v>0</v>
      </c>
      <c r="Z1288">
        <v>0</v>
      </c>
      <c r="AA1288">
        <v>9</v>
      </c>
      <c r="AB1288">
        <v>9</v>
      </c>
      <c r="AC1288" t="s">
        <v>310</v>
      </c>
      <c r="AD1288">
        <v>9</v>
      </c>
      <c r="AE1288" t="s">
        <v>1417</v>
      </c>
      <c r="AF1288">
        <v>0</v>
      </c>
      <c r="AG1288" t="s">
        <v>310</v>
      </c>
      <c r="AH1288">
        <f>SUM((MID(Dyno_Data[[#This Row],[Team]],4,5))+(Dyno_Data[[#This Row],[Match]]/100))</f>
        <v>1559.23</v>
      </c>
      <c r="AI1288" s="76">
        <f>ROUND(SUM(IF(Dyno_Data[[#This Row],[AcqCenter]]&gt;0,Dyno_Data[[#This Row],[Time]]-SUMIFS(Dyno_Data[Time],Dyno_Data[Team],Dyno_Data[[#This Row],[Team]],Dyno_Data[RecordType],"StartMatch",Dyno_Data[Match],Dyno_Data[[#This Row],[Match]]),0)*86400),0)</f>
        <v>0</v>
      </c>
    </row>
    <row r="1289" spans="1:35" x14ac:dyDescent="0.3">
      <c r="A1289">
        <v>1307</v>
      </c>
      <c r="B1289" t="s">
        <v>1301</v>
      </c>
      <c r="C1289">
        <v>23</v>
      </c>
      <c r="D1289" s="105">
        <v>45373.547114814814</v>
      </c>
      <c r="E1289" t="s">
        <v>308</v>
      </c>
      <c r="F1289" t="s">
        <v>309</v>
      </c>
      <c r="G1289">
        <v>0</v>
      </c>
      <c r="H1289" t="s">
        <v>310</v>
      </c>
      <c r="I1289">
        <v>0</v>
      </c>
      <c r="J1289">
        <v>0</v>
      </c>
      <c r="K1289">
        <v>0</v>
      </c>
      <c r="L1289" t="s">
        <v>310</v>
      </c>
      <c r="M1289" t="s">
        <v>310</v>
      </c>
      <c r="N1289">
        <v>0</v>
      </c>
      <c r="O1289" t="s">
        <v>311</v>
      </c>
      <c r="P1289" t="s">
        <v>310</v>
      </c>
      <c r="Q1289" t="s">
        <v>310</v>
      </c>
      <c r="R1289" t="s">
        <v>310</v>
      </c>
      <c r="S1289">
        <v>9</v>
      </c>
      <c r="T1289" t="s">
        <v>310</v>
      </c>
      <c r="U1289">
        <v>9</v>
      </c>
      <c r="V1289">
        <v>9</v>
      </c>
      <c r="W1289">
        <v>0</v>
      </c>
      <c r="X1289">
        <v>0</v>
      </c>
      <c r="Y1289">
        <v>0</v>
      </c>
      <c r="Z1289">
        <v>0</v>
      </c>
      <c r="AA1289">
        <v>9</v>
      </c>
      <c r="AB1289">
        <v>9</v>
      </c>
      <c r="AC1289" t="s">
        <v>310</v>
      </c>
      <c r="AD1289">
        <v>9</v>
      </c>
      <c r="AE1289" t="s">
        <v>1394</v>
      </c>
      <c r="AF1289">
        <v>0</v>
      </c>
      <c r="AG1289" t="s">
        <v>310</v>
      </c>
      <c r="AH1289">
        <f>SUM((MID(Dyno_Data[[#This Row],[Team]],4,5))+(Dyno_Data[[#This Row],[Match]]/100))</f>
        <v>7031.23</v>
      </c>
      <c r="AI1289" s="76">
        <f>ROUND(SUM(IF(Dyno_Data[[#This Row],[AcqCenter]]&gt;0,Dyno_Data[[#This Row],[Time]]-SUMIFS(Dyno_Data[Time],Dyno_Data[Team],Dyno_Data[[#This Row],[Team]],Dyno_Data[RecordType],"StartMatch",Dyno_Data[Match],Dyno_Data[[#This Row],[Match]]),0)*86400),0)</f>
        <v>0</v>
      </c>
    </row>
    <row r="1290" spans="1:35" x14ac:dyDescent="0.3">
      <c r="A1290">
        <v>1284</v>
      </c>
      <c r="B1290" t="s">
        <v>360</v>
      </c>
      <c r="C1290">
        <v>23</v>
      </c>
      <c r="D1290" s="105">
        <v>45373.547121793985</v>
      </c>
      <c r="E1290" t="s">
        <v>312</v>
      </c>
      <c r="F1290" t="s">
        <v>309</v>
      </c>
      <c r="G1290">
        <v>0</v>
      </c>
      <c r="H1290" t="s">
        <v>1397</v>
      </c>
      <c r="I1290">
        <v>0</v>
      </c>
      <c r="J1290">
        <v>0</v>
      </c>
      <c r="K1290">
        <v>0</v>
      </c>
      <c r="L1290" t="s">
        <v>240</v>
      </c>
      <c r="M1290" t="s">
        <v>1398</v>
      </c>
      <c r="N1290">
        <v>0</v>
      </c>
      <c r="O1290" t="s">
        <v>1391</v>
      </c>
      <c r="P1290" t="s">
        <v>310</v>
      </c>
      <c r="Q1290" t="s">
        <v>310</v>
      </c>
      <c r="R1290" t="s">
        <v>310</v>
      </c>
      <c r="S1290">
        <v>9</v>
      </c>
      <c r="T1290" t="s">
        <v>310</v>
      </c>
      <c r="U1290">
        <v>9</v>
      </c>
      <c r="V1290">
        <v>9</v>
      </c>
      <c r="W1290">
        <v>0</v>
      </c>
      <c r="X1290">
        <v>0</v>
      </c>
      <c r="Y1290">
        <v>0</v>
      </c>
      <c r="Z1290">
        <v>0</v>
      </c>
      <c r="AA1290">
        <v>9</v>
      </c>
      <c r="AB1290">
        <v>9</v>
      </c>
      <c r="AC1290" t="s">
        <v>310</v>
      </c>
      <c r="AD1290">
        <v>9</v>
      </c>
      <c r="AE1290" t="s">
        <v>1416</v>
      </c>
      <c r="AF1290">
        <v>0</v>
      </c>
      <c r="AG1290" t="s">
        <v>310</v>
      </c>
      <c r="AH1290">
        <f>SUM((MID(Dyno_Data[[#This Row],[Team]],4,5))+(Dyno_Data[[#This Row],[Match]]/100))</f>
        <v>1796.23</v>
      </c>
      <c r="AI1290" s="76">
        <f>ROUND(SUM(IF(Dyno_Data[[#This Row],[AcqCenter]]&gt;0,Dyno_Data[[#This Row],[Time]]-SUMIFS(Dyno_Data[Time],Dyno_Data[Team],Dyno_Data[[#This Row],[Team]],Dyno_Data[RecordType],"StartMatch",Dyno_Data[Match],Dyno_Data[[#This Row],[Match]]),0)*86400),0)</f>
        <v>0</v>
      </c>
    </row>
    <row r="1291" spans="1:35" x14ac:dyDescent="0.3">
      <c r="A1291">
        <v>1285</v>
      </c>
      <c r="B1291" t="s">
        <v>360</v>
      </c>
      <c r="C1291">
        <v>23</v>
      </c>
      <c r="D1291" s="105">
        <v>45373.547145868055</v>
      </c>
      <c r="E1291" t="s">
        <v>312</v>
      </c>
      <c r="F1291" t="s">
        <v>309</v>
      </c>
      <c r="G1291">
        <v>0</v>
      </c>
      <c r="H1291" t="s">
        <v>315</v>
      </c>
      <c r="I1291">
        <v>0</v>
      </c>
      <c r="J1291">
        <v>0</v>
      </c>
      <c r="K1291">
        <v>0</v>
      </c>
      <c r="L1291" t="s">
        <v>241</v>
      </c>
      <c r="M1291" t="s">
        <v>1398</v>
      </c>
      <c r="N1291">
        <v>0</v>
      </c>
      <c r="O1291" t="s">
        <v>1391</v>
      </c>
      <c r="P1291" t="s">
        <v>310</v>
      </c>
      <c r="Q1291" t="s">
        <v>310</v>
      </c>
      <c r="R1291" t="s">
        <v>310</v>
      </c>
      <c r="S1291">
        <v>9</v>
      </c>
      <c r="T1291" t="s">
        <v>310</v>
      </c>
      <c r="U1291">
        <v>9</v>
      </c>
      <c r="V1291">
        <v>9</v>
      </c>
      <c r="W1291">
        <v>0</v>
      </c>
      <c r="X1291">
        <v>0</v>
      </c>
      <c r="Y1291">
        <v>0</v>
      </c>
      <c r="Z1291">
        <v>0</v>
      </c>
      <c r="AA1291">
        <v>9</v>
      </c>
      <c r="AB1291">
        <v>9</v>
      </c>
      <c r="AC1291" t="s">
        <v>310</v>
      </c>
      <c r="AD1291">
        <v>9</v>
      </c>
      <c r="AE1291" t="s">
        <v>1416</v>
      </c>
      <c r="AF1291">
        <v>10000000</v>
      </c>
      <c r="AG1291" t="s">
        <v>310</v>
      </c>
      <c r="AH1291">
        <f>SUM((MID(Dyno_Data[[#This Row],[Team]],4,5))+(Dyno_Data[[#This Row],[Match]]/100))</f>
        <v>1796.23</v>
      </c>
      <c r="AI1291" s="76">
        <f>ROUND(SUM(IF(Dyno_Data[[#This Row],[AcqCenter]]&gt;0,Dyno_Data[[#This Row],[Time]]-SUMIFS(Dyno_Data[Time],Dyno_Data[Team],Dyno_Data[[#This Row],[Team]],Dyno_Data[RecordType],"StartMatch",Dyno_Data[Match],Dyno_Data[[#This Row],[Match]]),0)*86400),0)</f>
        <v>0</v>
      </c>
    </row>
    <row r="1292" spans="1:35" x14ac:dyDescent="0.3">
      <c r="A1292">
        <v>1286</v>
      </c>
      <c r="B1292" t="s">
        <v>360</v>
      </c>
      <c r="C1292">
        <v>23</v>
      </c>
      <c r="D1292" s="105">
        <v>45373.547158831017</v>
      </c>
      <c r="E1292" t="s">
        <v>312</v>
      </c>
      <c r="F1292" t="s">
        <v>309</v>
      </c>
      <c r="G1292">
        <v>0</v>
      </c>
      <c r="H1292" t="s">
        <v>315</v>
      </c>
      <c r="I1292">
        <v>0</v>
      </c>
      <c r="J1292">
        <v>0</v>
      </c>
      <c r="K1292">
        <v>0</v>
      </c>
      <c r="L1292" t="s">
        <v>241</v>
      </c>
      <c r="M1292" t="s">
        <v>1398</v>
      </c>
      <c r="N1292">
        <v>0</v>
      </c>
      <c r="O1292" t="s">
        <v>1391</v>
      </c>
      <c r="P1292" t="s">
        <v>310</v>
      </c>
      <c r="Q1292" t="s">
        <v>310</v>
      </c>
      <c r="R1292" t="s">
        <v>310</v>
      </c>
      <c r="S1292">
        <v>9</v>
      </c>
      <c r="T1292" t="s">
        <v>310</v>
      </c>
      <c r="U1292">
        <v>9</v>
      </c>
      <c r="V1292">
        <v>9</v>
      </c>
      <c r="W1292">
        <v>0</v>
      </c>
      <c r="X1292">
        <v>0</v>
      </c>
      <c r="Y1292">
        <v>0</v>
      </c>
      <c r="Z1292">
        <v>0</v>
      </c>
      <c r="AA1292">
        <v>9</v>
      </c>
      <c r="AB1292">
        <v>9</v>
      </c>
      <c r="AC1292" t="s">
        <v>310</v>
      </c>
      <c r="AD1292">
        <v>9</v>
      </c>
      <c r="AE1292" t="s">
        <v>1416</v>
      </c>
      <c r="AF1292">
        <v>20000000</v>
      </c>
      <c r="AG1292" t="s">
        <v>310</v>
      </c>
      <c r="AH1292">
        <f>SUM((MID(Dyno_Data[[#This Row],[Team]],4,5))+(Dyno_Data[[#This Row],[Match]]/100))</f>
        <v>1796.23</v>
      </c>
      <c r="AI1292" s="76">
        <f>ROUND(SUM(IF(Dyno_Data[[#This Row],[AcqCenter]]&gt;0,Dyno_Data[[#This Row],[Time]]-SUMIFS(Dyno_Data[Time],Dyno_Data[Team],Dyno_Data[[#This Row],[Team]],Dyno_Data[RecordType],"StartMatch",Dyno_Data[Match],Dyno_Data[[#This Row],[Match]]),0)*86400),0)</f>
        <v>0</v>
      </c>
    </row>
    <row r="1293" spans="1:35" x14ac:dyDescent="0.3">
      <c r="A1293">
        <v>1287</v>
      </c>
      <c r="B1293" t="s">
        <v>366</v>
      </c>
      <c r="C1293">
        <v>23</v>
      </c>
      <c r="D1293" s="105">
        <v>45373.5471602662</v>
      </c>
      <c r="E1293" t="s">
        <v>312</v>
      </c>
      <c r="F1293" t="s">
        <v>309</v>
      </c>
      <c r="G1293">
        <v>0</v>
      </c>
      <c r="H1293" t="s">
        <v>1397</v>
      </c>
      <c r="I1293">
        <v>0</v>
      </c>
      <c r="J1293">
        <v>0</v>
      </c>
      <c r="K1293">
        <v>0</v>
      </c>
      <c r="L1293" t="s">
        <v>240</v>
      </c>
      <c r="M1293" t="s">
        <v>1398</v>
      </c>
      <c r="N1293">
        <v>0</v>
      </c>
      <c r="O1293" t="s">
        <v>1389</v>
      </c>
      <c r="P1293" t="s">
        <v>310</v>
      </c>
      <c r="Q1293" t="s">
        <v>310</v>
      </c>
      <c r="R1293" t="s">
        <v>310</v>
      </c>
      <c r="S1293">
        <v>9</v>
      </c>
      <c r="T1293" t="s">
        <v>310</v>
      </c>
      <c r="U1293">
        <v>9</v>
      </c>
      <c r="V1293">
        <v>9</v>
      </c>
      <c r="W1293">
        <v>0</v>
      </c>
      <c r="X1293">
        <v>0</v>
      </c>
      <c r="Y1293">
        <v>0</v>
      </c>
      <c r="Z1293">
        <v>0</v>
      </c>
      <c r="AA1293">
        <v>9</v>
      </c>
      <c r="AB1293">
        <v>9</v>
      </c>
      <c r="AC1293" t="s">
        <v>310</v>
      </c>
      <c r="AD1293">
        <v>9</v>
      </c>
      <c r="AE1293" t="s">
        <v>1387</v>
      </c>
      <c r="AF1293">
        <v>0</v>
      </c>
      <c r="AG1293" t="s">
        <v>310</v>
      </c>
      <c r="AH1293">
        <f>SUM((MID(Dyno_Data[[#This Row],[Team]],4,5))+(Dyno_Data[[#This Row],[Match]]/100))</f>
        <v>4122.2299999999996</v>
      </c>
      <c r="AI1293" s="76">
        <f>ROUND(SUM(IF(Dyno_Data[[#This Row],[AcqCenter]]&gt;0,Dyno_Data[[#This Row],[Time]]-SUMIFS(Dyno_Data[Time],Dyno_Data[Team],Dyno_Data[[#This Row],[Team]],Dyno_Data[RecordType],"StartMatch",Dyno_Data[Match],Dyno_Data[[#This Row],[Match]]),0)*86400),0)</f>
        <v>0</v>
      </c>
    </row>
    <row r="1294" spans="1:35" x14ac:dyDescent="0.3">
      <c r="A1294">
        <v>1288</v>
      </c>
      <c r="B1294" t="s">
        <v>360</v>
      </c>
      <c r="C1294">
        <v>23</v>
      </c>
      <c r="D1294" s="105">
        <v>45373.547172534723</v>
      </c>
      <c r="E1294" t="s">
        <v>312</v>
      </c>
      <c r="F1294" t="s">
        <v>309</v>
      </c>
      <c r="G1294">
        <v>0</v>
      </c>
      <c r="H1294" t="s">
        <v>143</v>
      </c>
      <c r="I1294">
        <v>3</v>
      </c>
      <c r="J1294">
        <v>1</v>
      </c>
      <c r="K1294">
        <v>0</v>
      </c>
      <c r="L1294" t="s">
        <v>310</v>
      </c>
      <c r="M1294" t="s">
        <v>310</v>
      </c>
      <c r="N1294">
        <v>0</v>
      </c>
      <c r="O1294" t="s">
        <v>1391</v>
      </c>
      <c r="P1294" t="s">
        <v>310</v>
      </c>
      <c r="Q1294" t="s">
        <v>310</v>
      </c>
      <c r="R1294" t="s">
        <v>310</v>
      </c>
      <c r="S1294">
        <v>9</v>
      </c>
      <c r="T1294" t="s">
        <v>310</v>
      </c>
      <c r="U1294">
        <v>9</v>
      </c>
      <c r="V1294">
        <v>9</v>
      </c>
      <c r="W1294">
        <v>0</v>
      </c>
      <c r="X1294">
        <v>0</v>
      </c>
      <c r="Y1294">
        <v>0</v>
      </c>
      <c r="Z1294">
        <v>0</v>
      </c>
      <c r="AA1294">
        <v>9</v>
      </c>
      <c r="AB1294">
        <v>9</v>
      </c>
      <c r="AC1294" t="s">
        <v>310</v>
      </c>
      <c r="AD1294">
        <v>9</v>
      </c>
      <c r="AE1294" t="s">
        <v>1416</v>
      </c>
      <c r="AF1294">
        <v>20001000</v>
      </c>
      <c r="AG1294" t="s">
        <v>310</v>
      </c>
      <c r="AH1294">
        <f>SUM((MID(Dyno_Data[[#This Row],[Team]],4,5))+(Dyno_Data[[#This Row],[Match]]/100))</f>
        <v>1796.23</v>
      </c>
      <c r="AI1294" s="76">
        <f>ROUND(SUM(IF(Dyno_Data[[#This Row],[AcqCenter]]&gt;0,Dyno_Data[[#This Row],[Time]]-SUMIFS(Dyno_Data[Time],Dyno_Data[Team],Dyno_Data[[#This Row],[Team]],Dyno_Data[RecordType],"StartMatch",Dyno_Data[Match],Dyno_Data[[#This Row],[Match]]),0)*86400),0)</f>
        <v>6</v>
      </c>
    </row>
    <row r="1295" spans="1:35" x14ac:dyDescent="0.3">
      <c r="A1295">
        <v>1311</v>
      </c>
      <c r="B1295" t="s">
        <v>1282</v>
      </c>
      <c r="C1295">
        <v>23</v>
      </c>
      <c r="D1295" s="105">
        <v>45373.547173379629</v>
      </c>
      <c r="E1295" t="s">
        <v>308</v>
      </c>
      <c r="F1295" t="s">
        <v>309</v>
      </c>
      <c r="G1295">
        <v>0</v>
      </c>
      <c r="H1295" t="s">
        <v>310</v>
      </c>
      <c r="I1295">
        <v>0</v>
      </c>
      <c r="J1295">
        <v>0</v>
      </c>
      <c r="K1295">
        <v>0</v>
      </c>
      <c r="L1295" t="s">
        <v>310</v>
      </c>
      <c r="M1295" t="s">
        <v>310</v>
      </c>
      <c r="N1295">
        <v>0</v>
      </c>
      <c r="O1295" t="s">
        <v>1393</v>
      </c>
      <c r="P1295" t="s">
        <v>310</v>
      </c>
      <c r="Q1295" t="s">
        <v>310</v>
      </c>
      <c r="R1295" t="s">
        <v>310</v>
      </c>
      <c r="S1295">
        <v>9</v>
      </c>
      <c r="T1295" t="s">
        <v>310</v>
      </c>
      <c r="U1295">
        <v>9</v>
      </c>
      <c r="V1295">
        <v>9</v>
      </c>
      <c r="W1295">
        <v>0</v>
      </c>
      <c r="X1295">
        <v>0</v>
      </c>
      <c r="Y1295">
        <v>0</v>
      </c>
      <c r="Z1295">
        <v>0</v>
      </c>
      <c r="AA1295">
        <v>9</v>
      </c>
      <c r="AB1295">
        <v>9</v>
      </c>
      <c r="AC1295" t="s">
        <v>310</v>
      </c>
      <c r="AD1295">
        <v>9</v>
      </c>
      <c r="AE1295" t="s">
        <v>1418</v>
      </c>
      <c r="AF1295">
        <v>1000</v>
      </c>
      <c r="AG1295" t="s">
        <v>310</v>
      </c>
      <c r="AH1295">
        <f>SUM((MID(Dyno_Data[[#This Row],[Team]],4,5))+(Dyno_Data[[#This Row],[Match]]/100))</f>
        <v>333.23</v>
      </c>
      <c r="AI1295" s="76">
        <f>ROUND(SUM(IF(Dyno_Data[[#This Row],[AcqCenter]]&gt;0,Dyno_Data[[#This Row],[Time]]-SUMIFS(Dyno_Data[Time],Dyno_Data[Team],Dyno_Data[[#This Row],[Team]],Dyno_Data[RecordType],"StartMatch",Dyno_Data[Match],Dyno_Data[[#This Row],[Match]]),0)*86400),0)</f>
        <v>0</v>
      </c>
    </row>
    <row r="1296" spans="1:35" x14ac:dyDescent="0.3">
      <c r="A1296">
        <v>1289</v>
      </c>
      <c r="B1296" t="s">
        <v>361</v>
      </c>
      <c r="C1296">
        <v>23</v>
      </c>
      <c r="D1296" s="105">
        <v>45373.547176157408</v>
      </c>
      <c r="E1296" t="s">
        <v>312</v>
      </c>
      <c r="F1296" t="s">
        <v>309</v>
      </c>
      <c r="G1296">
        <v>0</v>
      </c>
      <c r="H1296" t="s">
        <v>1397</v>
      </c>
      <c r="I1296">
        <v>0</v>
      </c>
      <c r="J1296">
        <v>0</v>
      </c>
      <c r="K1296">
        <v>0</v>
      </c>
      <c r="L1296" t="s">
        <v>240</v>
      </c>
      <c r="M1296" t="s">
        <v>1398</v>
      </c>
      <c r="N1296">
        <v>0</v>
      </c>
      <c r="O1296" t="s">
        <v>1395</v>
      </c>
      <c r="P1296" t="s">
        <v>310</v>
      </c>
      <c r="Q1296" t="s">
        <v>310</v>
      </c>
      <c r="R1296" t="s">
        <v>310</v>
      </c>
      <c r="S1296">
        <v>9</v>
      </c>
      <c r="T1296" t="s">
        <v>310</v>
      </c>
      <c r="U1296">
        <v>9</v>
      </c>
      <c r="V1296">
        <v>9</v>
      </c>
      <c r="W1296">
        <v>0</v>
      </c>
      <c r="X1296">
        <v>0</v>
      </c>
      <c r="Y1296">
        <v>0</v>
      </c>
      <c r="Z1296">
        <v>0</v>
      </c>
      <c r="AA1296">
        <v>9</v>
      </c>
      <c r="AB1296">
        <v>9</v>
      </c>
      <c r="AC1296" t="s">
        <v>310</v>
      </c>
      <c r="AD1296">
        <v>9</v>
      </c>
      <c r="AE1296" t="s">
        <v>1392</v>
      </c>
      <c r="AF1296">
        <v>0</v>
      </c>
      <c r="AG1296" t="s">
        <v>310</v>
      </c>
      <c r="AH1296">
        <f>SUM((MID(Dyno_Data[[#This Row],[Team]],4,5))+(Dyno_Data[[#This Row],[Match]]/100))</f>
        <v>20.23</v>
      </c>
      <c r="AI1296" s="76">
        <f>ROUND(SUM(IF(Dyno_Data[[#This Row],[AcqCenter]]&gt;0,Dyno_Data[[#This Row],[Time]]-SUMIFS(Dyno_Data[Time],Dyno_Data[Team],Dyno_Data[[#This Row],[Team]],Dyno_Data[RecordType],"StartMatch",Dyno_Data[Match],Dyno_Data[[#This Row],[Match]]),0)*86400),0)</f>
        <v>0</v>
      </c>
    </row>
    <row r="1297" spans="1:35" x14ac:dyDescent="0.3">
      <c r="A1297">
        <v>1290</v>
      </c>
      <c r="B1297" t="s">
        <v>1282</v>
      </c>
      <c r="C1297">
        <v>23</v>
      </c>
      <c r="D1297" s="105">
        <v>45373.547193668979</v>
      </c>
      <c r="E1297" t="s">
        <v>312</v>
      </c>
      <c r="F1297" t="s">
        <v>309</v>
      </c>
      <c r="G1297">
        <v>0</v>
      </c>
      <c r="H1297" t="s">
        <v>1397</v>
      </c>
      <c r="I1297">
        <v>0</v>
      </c>
      <c r="J1297">
        <v>0</v>
      </c>
      <c r="K1297">
        <v>0</v>
      </c>
      <c r="L1297" t="s">
        <v>240</v>
      </c>
      <c r="M1297" t="s">
        <v>1398</v>
      </c>
      <c r="N1297">
        <v>0</v>
      </c>
      <c r="O1297" t="s">
        <v>1393</v>
      </c>
      <c r="P1297" t="s">
        <v>310</v>
      </c>
      <c r="Q1297" t="s">
        <v>310</v>
      </c>
      <c r="R1297" t="s">
        <v>310</v>
      </c>
      <c r="S1297">
        <v>9</v>
      </c>
      <c r="T1297" t="s">
        <v>310</v>
      </c>
      <c r="U1297">
        <v>9</v>
      </c>
      <c r="V1297">
        <v>9</v>
      </c>
      <c r="W1297">
        <v>0</v>
      </c>
      <c r="X1297">
        <v>0</v>
      </c>
      <c r="Y1297">
        <v>0</v>
      </c>
      <c r="Z1297">
        <v>0</v>
      </c>
      <c r="AA1297">
        <v>9</v>
      </c>
      <c r="AB1297">
        <v>9</v>
      </c>
      <c r="AC1297" t="s">
        <v>310</v>
      </c>
      <c r="AD1297">
        <v>9</v>
      </c>
      <c r="AE1297" t="s">
        <v>1418</v>
      </c>
      <c r="AF1297">
        <v>0</v>
      </c>
      <c r="AG1297" t="s">
        <v>310</v>
      </c>
      <c r="AH1297">
        <f>SUM((MID(Dyno_Data[[#This Row],[Team]],4,5))+(Dyno_Data[[#This Row],[Match]]/100))</f>
        <v>333.23</v>
      </c>
      <c r="AI1297" s="76">
        <f>ROUND(SUM(IF(Dyno_Data[[#This Row],[AcqCenter]]&gt;0,Dyno_Data[[#This Row],[Time]]-SUMIFS(Dyno_Data[Time],Dyno_Data[Team],Dyno_Data[[#This Row],[Team]],Dyno_Data[RecordType],"StartMatch",Dyno_Data[Match],Dyno_Data[[#This Row],[Match]]),0)*86400),0)</f>
        <v>0</v>
      </c>
    </row>
    <row r="1298" spans="1:35" x14ac:dyDescent="0.3">
      <c r="A1298">
        <v>1291</v>
      </c>
      <c r="B1298" t="s">
        <v>360</v>
      </c>
      <c r="C1298">
        <v>23</v>
      </c>
      <c r="D1298" s="105">
        <v>45373.547195833336</v>
      </c>
      <c r="E1298" t="s">
        <v>312</v>
      </c>
      <c r="F1298" t="s">
        <v>309</v>
      </c>
      <c r="G1298">
        <v>0</v>
      </c>
      <c r="H1298" t="s">
        <v>143</v>
      </c>
      <c r="I1298">
        <v>5</v>
      </c>
      <c r="J1298">
        <v>1</v>
      </c>
      <c r="K1298">
        <v>0</v>
      </c>
      <c r="L1298" t="s">
        <v>310</v>
      </c>
      <c r="M1298" t="s">
        <v>310</v>
      </c>
      <c r="N1298">
        <v>0</v>
      </c>
      <c r="O1298" t="s">
        <v>1391</v>
      </c>
      <c r="P1298" t="s">
        <v>310</v>
      </c>
      <c r="Q1298" t="s">
        <v>310</v>
      </c>
      <c r="R1298" t="s">
        <v>310</v>
      </c>
      <c r="S1298">
        <v>9</v>
      </c>
      <c r="T1298" t="s">
        <v>310</v>
      </c>
      <c r="U1298">
        <v>9</v>
      </c>
      <c r="V1298">
        <v>9</v>
      </c>
      <c r="W1298">
        <v>0</v>
      </c>
      <c r="X1298">
        <v>0</v>
      </c>
      <c r="Y1298">
        <v>0</v>
      </c>
      <c r="Z1298">
        <v>0</v>
      </c>
      <c r="AA1298">
        <v>9</v>
      </c>
      <c r="AB1298">
        <v>9</v>
      </c>
      <c r="AC1298" t="s">
        <v>310</v>
      </c>
      <c r="AD1298">
        <v>9</v>
      </c>
      <c r="AE1298" t="s">
        <v>1416</v>
      </c>
      <c r="AF1298">
        <v>20002000</v>
      </c>
      <c r="AG1298" t="s">
        <v>310</v>
      </c>
      <c r="AH1298">
        <f>SUM((MID(Dyno_Data[[#This Row],[Team]],4,5))+(Dyno_Data[[#This Row],[Match]]/100))</f>
        <v>1796.23</v>
      </c>
      <c r="AI1298" s="76">
        <f>ROUND(SUM(IF(Dyno_Data[[#This Row],[AcqCenter]]&gt;0,Dyno_Data[[#This Row],[Time]]-SUMIFS(Dyno_Data[Time],Dyno_Data[Team],Dyno_Data[[#This Row],[Team]],Dyno_Data[RecordType],"StartMatch",Dyno_Data[Match],Dyno_Data[[#This Row],[Match]]),0)*86400),0)</f>
        <v>8</v>
      </c>
    </row>
    <row r="1299" spans="1:35" x14ac:dyDescent="0.3">
      <c r="A1299">
        <v>1292</v>
      </c>
      <c r="B1299" t="s">
        <v>361</v>
      </c>
      <c r="C1299">
        <v>23</v>
      </c>
      <c r="D1299" s="105">
        <v>45373.547215393519</v>
      </c>
      <c r="E1299" t="s">
        <v>312</v>
      </c>
      <c r="F1299" t="s">
        <v>309</v>
      </c>
      <c r="G1299">
        <v>0</v>
      </c>
      <c r="H1299" t="s">
        <v>315</v>
      </c>
      <c r="I1299">
        <v>0</v>
      </c>
      <c r="J1299">
        <v>0</v>
      </c>
      <c r="K1299">
        <v>0</v>
      </c>
      <c r="L1299" t="s">
        <v>240</v>
      </c>
      <c r="M1299" t="s">
        <v>1398</v>
      </c>
      <c r="N1299">
        <v>0</v>
      </c>
      <c r="O1299" t="s">
        <v>1395</v>
      </c>
      <c r="P1299" t="s">
        <v>310</v>
      </c>
      <c r="Q1299" t="s">
        <v>310</v>
      </c>
      <c r="R1299" t="s">
        <v>310</v>
      </c>
      <c r="S1299">
        <v>9</v>
      </c>
      <c r="T1299" t="s">
        <v>310</v>
      </c>
      <c r="U1299">
        <v>9</v>
      </c>
      <c r="V1299">
        <v>9</v>
      </c>
      <c r="W1299">
        <v>0</v>
      </c>
      <c r="X1299">
        <v>0</v>
      </c>
      <c r="Y1299">
        <v>0</v>
      </c>
      <c r="Z1299">
        <v>0</v>
      </c>
      <c r="AA1299">
        <v>9</v>
      </c>
      <c r="AB1299">
        <v>9</v>
      </c>
      <c r="AC1299" t="s">
        <v>310</v>
      </c>
      <c r="AD1299">
        <v>9</v>
      </c>
      <c r="AE1299" t="s">
        <v>1392</v>
      </c>
      <c r="AF1299">
        <v>10000000</v>
      </c>
      <c r="AG1299" t="s">
        <v>310</v>
      </c>
      <c r="AH1299">
        <f>SUM((MID(Dyno_Data[[#This Row],[Team]],4,5))+(Dyno_Data[[#This Row],[Match]]/100))</f>
        <v>20.23</v>
      </c>
      <c r="AI1299" s="76">
        <f>ROUND(SUM(IF(Dyno_Data[[#This Row],[AcqCenter]]&gt;0,Dyno_Data[[#This Row],[Time]]-SUMIFS(Dyno_Data[Time],Dyno_Data[Team],Dyno_Data[[#This Row],[Team]],Dyno_Data[RecordType],"StartMatch",Dyno_Data[Match],Dyno_Data[[#This Row],[Match]]),0)*86400),0)</f>
        <v>0</v>
      </c>
    </row>
    <row r="1300" spans="1:35" x14ac:dyDescent="0.3">
      <c r="A1300">
        <v>1293</v>
      </c>
      <c r="B1300" t="s">
        <v>360</v>
      </c>
      <c r="C1300">
        <v>23</v>
      </c>
      <c r="D1300" s="105">
        <v>45373.5472212963</v>
      </c>
      <c r="E1300" t="s">
        <v>312</v>
      </c>
      <c r="F1300" t="s">
        <v>309</v>
      </c>
      <c r="G1300">
        <v>0</v>
      </c>
      <c r="H1300" t="s">
        <v>143</v>
      </c>
      <c r="I1300">
        <v>0</v>
      </c>
      <c r="J1300">
        <v>0</v>
      </c>
      <c r="K1300">
        <v>0</v>
      </c>
      <c r="L1300" t="s">
        <v>241</v>
      </c>
      <c r="M1300" t="s">
        <v>1398</v>
      </c>
      <c r="N1300">
        <v>0</v>
      </c>
      <c r="O1300" t="s">
        <v>1391</v>
      </c>
      <c r="P1300" t="s">
        <v>310</v>
      </c>
      <c r="Q1300" t="s">
        <v>310</v>
      </c>
      <c r="R1300" t="s">
        <v>310</v>
      </c>
      <c r="S1300">
        <v>9</v>
      </c>
      <c r="T1300" t="s">
        <v>310</v>
      </c>
      <c r="U1300">
        <v>9</v>
      </c>
      <c r="V1300">
        <v>9</v>
      </c>
      <c r="W1300">
        <v>0</v>
      </c>
      <c r="X1300">
        <v>0</v>
      </c>
      <c r="Y1300">
        <v>0</v>
      </c>
      <c r="Z1300">
        <v>0</v>
      </c>
      <c r="AA1300">
        <v>9</v>
      </c>
      <c r="AB1300">
        <v>9</v>
      </c>
      <c r="AC1300" t="s">
        <v>310</v>
      </c>
      <c r="AD1300">
        <v>9</v>
      </c>
      <c r="AE1300" t="s">
        <v>1416</v>
      </c>
      <c r="AF1300">
        <v>20002000</v>
      </c>
      <c r="AG1300" t="s">
        <v>310</v>
      </c>
      <c r="AH1300">
        <f>SUM((MID(Dyno_Data[[#This Row],[Team]],4,5))+(Dyno_Data[[#This Row],[Match]]/100))</f>
        <v>1796.23</v>
      </c>
      <c r="AI1300" s="76">
        <f>ROUND(SUM(IF(Dyno_Data[[#This Row],[AcqCenter]]&gt;0,Dyno_Data[[#This Row],[Time]]-SUMIFS(Dyno_Data[Time],Dyno_Data[Team],Dyno_Data[[#This Row],[Team]],Dyno_Data[RecordType],"StartMatch",Dyno_Data[Match],Dyno_Data[[#This Row],[Match]]),0)*86400),0)</f>
        <v>0</v>
      </c>
    </row>
    <row r="1301" spans="1:35" x14ac:dyDescent="0.3">
      <c r="A1301">
        <v>1294</v>
      </c>
      <c r="B1301" t="s">
        <v>361</v>
      </c>
      <c r="C1301">
        <v>23</v>
      </c>
      <c r="D1301" s="105">
        <v>45373.547229976852</v>
      </c>
      <c r="E1301" t="s">
        <v>312</v>
      </c>
      <c r="F1301" t="s">
        <v>309</v>
      </c>
      <c r="G1301">
        <v>0</v>
      </c>
      <c r="H1301" t="s">
        <v>315</v>
      </c>
      <c r="I1301">
        <v>0</v>
      </c>
      <c r="J1301">
        <v>0</v>
      </c>
      <c r="K1301">
        <v>0</v>
      </c>
      <c r="L1301" t="s">
        <v>313</v>
      </c>
      <c r="M1301" t="s">
        <v>1398</v>
      </c>
      <c r="N1301">
        <v>0</v>
      </c>
      <c r="O1301" t="s">
        <v>1395</v>
      </c>
      <c r="P1301" t="s">
        <v>310</v>
      </c>
      <c r="Q1301" t="s">
        <v>310</v>
      </c>
      <c r="R1301" t="s">
        <v>310</v>
      </c>
      <c r="S1301">
        <v>9</v>
      </c>
      <c r="T1301" t="s">
        <v>310</v>
      </c>
      <c r="U1301">
        <v>9</v>
      </c>
      <c r="V1301">
        <v>9</v>
      </c>
      <c r="W1301">
        <v>0</v>
      </c>
      <c r="X1301">
        <v>0</v>
      </c>
      <c r="Y1301">
        <v>0</v>
      </c>
      <c r="Z1301">
        <v>0</v>
      </c>
      <c r="AA1301">
        <v>9</v>
      </c>
      <c r="AB1301">
        <v>9</v>
      </c>
      <c r="AC1301" t="s">
        <v>310</v>
      </c>
      <c r="AD1301">
        <v>9</v>
      </c>
      <c r="AE1301" t="s">
        <v>1392</v>
      </c>
      <c r="AF1301">
        <v>20000000</v>
      </c>
      <c r="AG1301" t="s">
        <v>310</v>
      </c>
      <c r="AH1301">
        <f>SUM((MID(Dyno_Data[[#This Row],[Team]],4,5))+(Dyno_Data[[#This Row],[Match]]/100))</f>
        <v>20.23</v>
      </c>
      <c r="AI1301" s="76">
        <f>ROUND(SUM(IF(Dyno_Data[[#This Row],[AcqCenter]]&gt;0,Dyno_Data[[#This Row],[Time]]-SUMIFS(Dyno_Data[Time],Dyno_Data[Team],Dyno_Data[[#This Row],[Team]],Dyno_Data[RecordType],"StartMatch",Dyno_Data[Match],Dyno_Data[[#This Row],[Match]]),0)*86400),0)</f>
        <v>0</v>
      </c>
    </row>
    <row r="1302" spans="1:35" x14ac:dyDescent="0.3">
      <c r="A1302">
        <v>1295</v>
      </c>
      <c r="B1302" t="s">
        <v>360</v>
      </c>
      <c r="C1302">
        <v>23</v>
      </c>
      <c r="D1302" s="105">
        <v>45373.547233449077</v>
      </c>
      <c r="E1302" t="s">
        <v>312</v>
      </c>
      <c r="F1302" t="s">
        <v>309</v>
      </c>
      <c r="G1302">
        <v>0</v>
      </c>
      <c r="H1302" t="s">
        <v>143</v>
      </c>
      <c r="I1302">
        <v>4</v>
      </c>
      <c r="J1302">
        <v>1</v>
      </c>
      <c r="K1302">
        <v>0</v>
      </c>
      <c r="L1302" t="s">
        <v>310</v>
      </c>
      <c r="M1302" t="s">
        <v>310</v>
      </c>
      <c r="N1302">
        <v>0</v>
      </c>
      <c r="O1302" t="s">
        <v>1391</v>
      </c>
      <c r="P1302" t="s">
        <v>310</v>
      </c>
      <c r="Q1302" t="s">
        <v>310</v>
      </c>
      <c r="R1302" t="s">
        <v>310</v>
      </c>
      <c r="S1302">
        <v>9</v>
      </c>
      <c r="T1302" t="s">
        <v>310</v>
      </c>
      <c r="U1302">
        <v>9</v>
      </c>
      <c r="V1302">
        <v>9</v>
      </c>
      <c r="W1302">
        <v>0</v>
      </c>
      <c r="X1302">
        <v>0</v>
      </c>
      <c r="Y1302">
        <v>0</v>
      </c>
      <c r="Z1302">
        <v>0</v>
      </c>
      <c r="AA1302">
        <v>9</v>
      </c>
      <c r="AB1302">
        <v>9</v>
      </c>
      <c r="AC1302" t="s">
        <v>310</v>
      </c>
      <c r="AD1302">
        <v>9</v>
      </c>
      <c r="AE1302" t="s">
        <v>1416</v>
      </c>
      <c r="AF1302">
        <v>20003000</v>
      </c>
      <c r="AG1302" t="s">
        <v>310</v>
      </c>
      <c r="AH1302">
        <f>SUM((MID(Dyno_Data[[#This Row],[Team]],4,5))+(Dyno_Data[[#This Row],[Match]]/100))</f>
        <v>1796.23</v>
      </c>
      <c r="AI1302" s="76">
        <f>ROUND(SUM(IF(Dyno_Data[[#This Row],[AcqCenter]]&gt;0,Dyno_Data[[#This Row],[Time]]-SUMIFS(Dyno_Data[Time],Dyno_Data[Team],Dyno_Data[[#This Row],[Team]],Dyno_Data[RecordType],"StartMatch",Dyno_Data[Match],Dyno_Data[[#This Row],[Match]]),0)*86400),0)</f>
        <v>11</v>
      </c>
    </row>
    <row r="1303" spans="1:35" x14ac:dyDescent="0.3">
      <c r="A1303">
        <v>1296</v>
      </c>
      <c r="B1303" t="s">
        <v>1280</v>
      </c>
      <c r="C1303">
        <v>23</v>
      </c>
      <c r="D1303" s="105">
        <v>45373.547238541665</v>
      </c>
      <c r="E1303" t="s">
        <v>312</v>
      </c>
      <c r="F1303" t="s">
        <v>309</v>
      </c>
      <c r="G1303">
        <v>0</v>
      </c>
      <c r="H1303" t="s">
        <v>1397</v>
      </c>
      <c r="I1303">
        <v>0</v>
      </c>
      <c r="J1303">
        <v>0</v>
      </c>
      <c r="K1303">
        <v>0</v>
      </c>
      <c r="L1303" t="s">
        <v>241</v>
      </c>
      <c r="M1303" t="s">
        <v>1398</v>
      </c>
      <c r="N1303">
        <v>1</v>
      </c>
      <c r="O1303" t="s">
        <v>319</v>
      </c>
      <c r="P1303" t="s">
        <v>310</v>
      </c>
      <c r="Q1303" t="s">
        <v>310</v>
      </c>
      <c r="R1303" t="s">
        <v>310</v>
      </c>
      <c r="S1303">
        <v>9</v>
      </c>
      <c r="T1303" t="s">
        <v>310</v>
      </c>
      <c r="U1303">
        <v>9</v>
      </c>
      <c r="V1303">
        <v>9</v>
      </c>
      <c r="W1303">
        <v>0</v>
      </c>
      <c r="X1303">
        <v>0</v>
      </c>
      <c r="Y1303">
        <v>0</v>
      </c>
      <c r="Z1303">
        <v>0</v>
      </c>
      <c r="AA1303">
        <v>9</v>
      </c>
      <c r="AB1303">
        <v>9</v>
      </c>
      <c r="AC1303" t="s">
        <v>310</v>
      </c>
      <c r="AD1303">
        <v>9</v>
      </c>
      <c r="AE1303" t="s">
        <v>1417</v>
      </c>
      <c r="AF1303">
        <v>0</v>
      </c>
      <c r="AG1303" t="s">
        <v>310</v>
      </c>
      <c r="AH1303">
        <f>SUM((MID(Dyno_Data[[#This Row],[Team]],4,5))+(Dyno_Data[[#This Row],[Match]]/100))</f>
        <v>1559.23</v>
      </c>
      <c r="AI1303" s="76">
        <f>ROUND(SUM(IF(Dyno_Data[[#This Row],[AcqCenter]]&gt;0,Dyno_Data[[#This Row],[Time]]-SUMIFS(Dyno_Data[Time],Dyno_Data[Team],Dyno_Data[[#This Row],[Team]],Dyno_Data[RecordType],"StartMatch",Dyno_Data[Match],Dyno_Data[[#This Row],[Match]]),0)*86400),0)</f>
        <v>0</v>
      </c>
    </row>
    <row r="1304" spans="1:35" x14ac:dyDescent="0.3">
      <c r="A1304">
        <v>1297</v>
      </c>
      <c r="B1304" t="s">
        <v>360</v>
      </c>
      <c r="C1304">
        <v>23</v>
      </c>
      <c r="D1304" s="105">
        <v>45373.547251585645</v>
      </c>
      <c r="E1304" t="s">
        <v>312</v>
      </c>
      <c r="F1304" t="s">
        <v>309</v>
      </c>
      <c r="G1304">
        <v>0</v>
      </c>
      <c r="H1304" t="s">
        <v>143</v>
      </c>
      <c r="I1304">
        <v>0</v>
      </c>
      <c r="J1304">
        <v>0</v>
      </c>
      <c r="K1304">
        <v>0</v>
      </c>
      <c r="L1304" t="s">
        <v>241</v>
      </c>
      <c r="M1304" t="s">
        <v>1398</v>
      </c>
      <c r="N1304">
        <v>0</v>
      </c>
      <c r="O1304" t="s">
        <v>1391</v>
      </c>
      <c r="P1304" t="s">
        <v>310</v>
      </c>
      <c r="Q1304" t="s">
        <v>310</v>
      </c>
      <c r="R1304" t="s">
        <v>310</v>
      </c>
      <c r="S1304">
        <v>9</v>
      </c>
      <c r="T1304" t="s">
        <v>310</v>
      </c>
      <c r="U1304">
        <v>9</v>
      </c>
      <c r="V1304">
        <v>9</v>
      </c>
      <c r="W1304">
        <v>0</v>
      </c>
      <c r="X1304">
        <v>0</v>
      </c>
      <c r="Y1304">
        <v>0</v>
      </c>
      <c r="Z1304">
        <v>0</v>
      </c>
      <c r="AA1304">
        <v>9</v>
      </c>
      <c r="AB1304">
        <v>9</v>
      </c>
      <c r="AC1304" t="s">
        <v>310</v>
      </c>
      <c r="AD1304">
        <v>9</v>
      </c>
      <c r="AE1304" t="s">
        <v>1416</v>
      </c>
      <c r="AF1304">
        <v>20003000</v>
      </c>
      <c r="AG1304" t="s">
        <v>310</v>
      </c>
      <c r="AH1304">
        <f>SUM((MID(Dyno_Data[[#This Row],[Team]],4,5))+(Dyno_Data[[#This Row],[Match]]/100))</f>
        <v>1796.23</v>
      </c>
      <c r="AI1304" s="76">
        <f>ROUND(SUM(IF(Dyno_Data[[#This Row],[AcqCenter]]&gt;0,Dyno_Data[[#This Row],[Time]]-SUMIFS(Dyno_Data[Time],Dyno_Data[Team],Dyno_Data[[#This Row],[Team]],Dyno_Data[RecordType],"StartMatch",Dyno_Data[Match],Dyno_Data[[#This Row],[Match]]),0)*86400),0)</f>
        <v>0</v>
      </c>
    </row>
    <row r="1305" spans="1:35" x14ac:dyDescent="0.3">
      <c r="A1305">
        <v>1298</v>
      </c>
      <c r="B1305" t="s">
        <v>360</v>
      </c>
      <c r="C1305">
        <v>23</v>
      </c>
      <c r="D1305" s="105">
        <v>45373.547267442133</v>
      </c>
      <c r="E1305" t="s">
        <v>312</v>
      </c>
      <c r="F1305" t="s">
        <v>309</v>
      </c>
      <c r="G1305">
        <v>0</v>
      </c>
      <c r="H1305" t="s">
        <v>143</v>
      </c>
      <c r="I1305">
        <v>3</v>
      </c>
      <c r="J1305">
        <v>1</v>
      </c>
      <c r="K1305">
        <v>0</v>
      </c>
      <c r="L1305" t="s">
        <v>310</v>
      </c>
      <c r="M1305" t="s">
        <v>310</v>
      </c>
      <c r="N1305">
        <v>0</v>
      </c>
      <c r="O1305" t="s">
        <v>1391</v>
      </c>
      <c r="P1305" t="s">
        <v>310</v>
      </c>
      <c r="Q1305" t="s">
        <v>310</v>
      </c>
      <c r="R1305" t="s">
        <v>310</v>
      </c>
      <c r="S1305">
        <v>9</v>
      </c>
      <c r="T1305" t="s">
        <v>310</v>
      </c>
      <c r="U1305">
        <v>9</v>
      </c>
      <c r="V1305">
        <v>9</v>
      </c>
      <c r="W1305">
        <v>0</v>
      </c>
      <c r="X1305">
        <v>0</v>
      </c>
      <c r="Y1305">
        <v>0</v>
      </c>
      <c r="Z1305">
        <v>0</v>
      </c>
      <c r="AA1305">
        <v>9</v>
      </c>
      <c r="AB1305">
        <v>9</v>
      </c>
      <c r="AC1305" t="s">
        <v>310</v>
      </c>
      <c r="AD1305">
        <v>9</v>
      </c>
      <c r="AE1305" t="s">
        <v>1416</v>
      </c>
      <c r="AF1305">
        <v>20004000</v>
      </c>
      <c r="AG1305" t="s">
        <v>310</v>
      </c>
      <c r="AH1305">
        <f>SUM((MID(Dyno_Data[[#This Row],[Team]],4,5))+(Dyno_Data[[#This Row],[Match]]/100))</f>
        <v>1796.23</v>
      </c>
      <c r="AI1305" s="76">
        <f>ROUND(SUM(IF(Dyno_Data[[#This Row],[AcqCenter]]&gt;0,Dyno_Data[[#This Row],[Time]]-SUMIFS(Dyno_Data[Time],Dyno_Data[Team],Dyno_Data[[#This Row],[Team]],Dyno_Data[RecordType],"StartMatch",Dyno_Data[Match],Dyno_Data[[#This Row],[Match]]),0)*86400),0)</f>
        <v>14</v>
      </c>
    </row>
    <row r="1306" spans="1:35" x14ac:dyDescent="0.3">
      <c r="A1306">
        <v>1300</v>
      </c>
      <c r="B1306" t="s">
        <v>360</v>
      </c>
      <c r="C1306">
        <v>23</v>
      </c>
      <c r="D1306" s="105">
        <v>45373.547313854164</v>
      </c>
      <c r="E1306" t="s">
        <v>314</v>
      </c>
      <c r="F1306" t="s">
        <v>309</v>
      </c>
      <c r="G1306">
        <v>1</v>
      </c>
      <c r="H1306" t="s">
        <v>310</v>
      </c>
      <c r="I1306">
        <v>0</v>
      </c>
      <c r="J1306">
        <v>0</v>
      </c>
      <c r="K1306">
        <v>0</v>
      </c>
      <c r="L1306" t="s">
        <v>310</v>
      </c>
      <c r="M1306" t="s">
        <v>310</v>
      </c>
      <c r="N1306">
        <v>0</v>
      </c>
      <c r="O1306" t="s">
        <v>1391</v>
      </c>
      <c r="P1306" t="s">
        <v>240</v>
      </c>
      <c r="Q1306" t="s">
        <v>1399</v>
      </c>
      <c r="R1306" t="s">
        <v>310</v>
      </c>
      <c r="S1306">
        <v>9</v>
      </c>
      <c r="T1306" t="s">
        <v>310</v>
      </c>
      <c r="U1306">
        <v>9</v>
      </c>
      <c r="V1306">
        <v>9</v>
      </c>
      <c r="W1306">
        <v>0</v>
      </c>
      <c r="X1306">
        <v>0</v>
      </c>
      <c r="Y1306">
        <v>0</v>
      </c>
      <c r="Z1306">
        <v>0</v>
      </c>
      <c r="AA1306">
        <v>9</v>
      </c>
      <c r="AB1306">
        <v>9</v>
      </c>
      <c r="AC1306" t="s">
        <v>310</v>
      </c>
      <c r="AD1306">
        <v>9</v>
      </c>
      <c r="AE1306" t="s">
        <v>1416</v>
      </c>
      <c r="AF1306">
        <v>20004000</v>
      </c>
      <c r="AG1306" t="s">
        <v>310</v>
      </c>
      <c r="AH1306">
        <f>SUM((MID(Dyno_Data[[#This Row],[Team]],4,5))+(Dyno_Data[[#This Row],[Match]]/100))</f>
        <v>1796.23</v>
      </c>
      <c r="AI1306" s="76">
        <f>ROUND(SUM(IF(Dyno_Data[[#This Row],[AcqCenter]]&gt;0,Dyno_Data[[#This Row],[Time]]-SUMIFS(Dyno_Data[Time],Dyno_Data[Team],Dyno_Data[[#This Row],[Team]],Dyno_Data[RecordType],"StartMatch",Dyno_Data[Match],Dyno_Data[[#This Row],[Match]]),0)*86400),0)</f>
        <v>0</v>
      </c>
    </row>
    <row r="1307" spans="1:35" x14ac:dyDescent="0.3">
      <c r="A1307">
        <v>1302</v>
      </c>
      <c r="B1307" t="s">
        <v>366</v>
      </c>
      <c r="C1307">
        <v>23</v>
      </c>
      <c r="D1307" s="105">
        <v>45373.547314004631</v>
      </c>
      <c r="E1307" t="s">
        <v>314</v>
      </c>
      <c r="F1307" t="s">
        <v>309</v>
      </c>
      <c r="G1307">
        <v>0</v>
      </c>
      <c r="H1307" t="s">
        <v>310</v>
      </c>
      <c r="I1307">
        <v>0</v>
      </c>
      <c r="J1307">
        <v>0</v>
      </c>
      <c r="K1307">
        <v>0</v>
      </c>
      <c r="L1307" t="s">
        <v>310</v>
      </c>
      <c r="M1307" t="s">
        <v>310</v>
      </c>
      <c r="N1307">
        <v>0</v>
      </c>
      <c r="O1307" t="s">
        <v>1389</v>
      </c>
      <c r="P1307" t="s">
        <v>101</v>
      </c>
      <c r="Q1307" t="s">
        <v>1400</v>
      </c>
      <c r="R1307" t="s">
        <v>310</v>
      </c>
      <c r="S1307">
        <v>9</v>
      </c>
      <c r="T1307" t="s">
        <v>310</v>
      </c>
      <c r="U1307">
        <v>9</v>
      </c>
      <c r="V1307">
        <v>9</v>
      </c>
      <c r="W1307">
        <v>0</v>
      </c>
      <c r="X1307">
        <v>0</v>
      </c>
      <c r="Y1307">
        <v>0</v>
      </c>
      <c r="Z1307">
        <v>0</v>
      </c>
      <c r="AA1307">
        <v>9</v>
      </c>
      <c r="AB1307">
        <v>9</v>
      </c>
      <c r="AC1307" t="s">
        <v>310</v>
      </c>
      <c r="AD1307">
        <v>9</v>
      </c>
      <c r="AE1307" t="s">
        <v>1387</v>
      </c>
      <c r="AF1307">
        <v>0</v>
      </c>
      <c r="AG1307" t="s">
        <v>310</v>
      </c>
      <c r="AH1307">
        <f>SUM((MID(Dyno_Data[[#This Row],[Team]],4,5))+(Dyno_Data[[#This Row],[Match]]/100))</f>
        <v>4122.2299999999996</v>
      </c>
      <c r="AI1307" s="76">
        <f>ROUND(SUM(IF(Dyno_Data[[#This Row],[AcqCenter]]&gt;0,Dyno_Data[[#This Row],[Time]]-SUMIFS(Dyno_Data[Time],Dyno_Data[Team],Dyno_Data[[#This Row],[Team]],Dyno_Data[RecordType],"StartMatch",Dyno_Data[Match],Dyno_Data[[#This Row],[Match]]),0)*86400),0)</f>
        <v>0</v>
      </c>
    </row>
    <row r="1308" spans="1:35" x14ac:dyDescent="0.3">
      <c r="A1308">
        <v>1304</v>
      </c>
      <c r="B1308" t="s">
        <v>361</v>
      </c>
      <c r="C1308">
        <v>23</v>
      </c>
      <c r="D1308" s="105">
        <v>45373.547314120369</v>
      </c>
      <c r="E1308" t="s">
        <v>314</v>
      </c>
      <c r="F1308" t="s">
        <v>309</v>
      </c>
      <c r="G1308">
        <v>1</v>
      </c>
      <c r="H1308" t="s">
        <v>310</v>
      </c>
      <c r="I1308">
        <v>0</v>
      </c>
      <c r="J1308">
        <v>0</v>
      </c>
      <c r="K1308">
        <v>0</v>
      </c>
      <c r="L1308" t="s">
        <v>310</v>
      </c>
      <c r="M1308" t="s">
        <v>310</v>
      </c>
      <c r="N1308">
        <v>0</v>
      </c>
      <c r="O1308" t="s">
        <v>1395</v>
      </c>
      <c r="P1308" t="s">
        <v>1401</v>
      </c>
      <c r="Q1308" t="s">
        <v>1400</v>
      </c>
      <c r="R1308" t="s">
        <v>310</v>
      </c>
      <c r="S1308">
        <v>9</v>
      </c>
      <c r="T1308" t="s">
        <v>310</v>
      </c>
      <c r="U1308">
        <v>9</v>
      </c>
      <c r="V1308">
        <v>9</v>
      </c>
      <c r="W1308">
        <v>0</v>
      </c>
      <c r="X1308">
        <v>0</v>
      </c>
      <c r="Y1308">
        <v>0</v>
      </c>
      <c r="Z1308">
        <v>0</v>
      </c>
      <c r="AA1308">
        <v>9</v>
      </c>
      <c r="AB1308">
        <v>9</v>
      </c>
      <c r="AC1308" t="s">
        <v>310</v>
      </c>
      <c r="AD1308">
        <v>9</v>
      </c>
      <c r="AE1308" t="s">
        <v>1392</v>
      </c>
      <c r="AF1308">
        <v>20000000</v>
      </c>
      <c r="AG1308" t="s">
        <v>310</v>
      </c>
      <c r="AH1308">
        <f>SUM((MID(Dyno_Data[[#This Row],[Team]],4,5))+(Dyno_Data[[#This Row],[Match]]/100))</f>
        <v>20.23</v>
      </c>
      <c r="AI1308" s="76">
        <f>ROUND(SUM(IF(Dyno_Data[[#This Row],[AcqCenter]]&gt;0,Dyno_Data[[#This Row],[Time]]-SUMIFS(Dyno_Data[Time],Dyno_Data[Team],Dyno_Data[[#This Row],[Team]],Dyno_Data[RecordType],"StartMatch",Dyno_Data[Match],Dyno_Data[[#This Row],[Match]]),0)*86400),0)</f>
        <v>0</v>
      </c>
    </row>
    <row r="1309" spans="1:35" x14ac:dyDescent="0.3">
      <c r="A1309">
        <v>1306</v>
      </c>
      <c r="B1309" t="s">
        <v>1280</v>
      </c>
      <c r="C1309">
        <v>23</v>
      </c>
      <c r="D1309" s="105">
        <v>45373.547317395831</v>
      </c>
      <c r="E1309" t="s">
        <v>314</v>
      </c>
      <c r="F1309" t="s">
        <v>309</v>
      </c>
      <c r="G1309">
        <v>0</v>
      </c>
      <c r="H1309" t="s">
        <v>310</v>
      </c>
      <c r="I1309">
        <v>0</v>
      </c>
      <c r="J1309">
        <v>0</v>
      </c>
      <c r="K1309">
        <v>0</v>
      </c>
      <c r="L1309" t="s">
        <v>310</v>
      </c>
      <c r="M1309" t="s">
        <v>310</v>
      </c>
      <c r="N1309">
        <v>0</v>
      </c>
      <c r="O1309" t="s">
        <v>319</v>
      </c>
      <c r="P1309" t="s">
        <v>101</v>
      </c>
      <c r="Q1309" t="s">
        <v>1400</v>
      </c>
      <c r="R1309" t="s">
        <v>310</v>
      </c>
      <c r="S1309">
        <v>9</v>
      </c>
      <c r="T1309" t="s">
        <v>310</v>
      </c>
      <c r="U1309">
        <v>9</v>
      </c>
      <c r="V1309">
        <v>9</v>
      </c>
      <c r="W1309">
        <v>0</v>
      </c>
      <c r="X1309">
        <v>0</v>
      </c>
      <c r="Y1309">
        <v>0</v>
      </c>
      <c r="Z1309">
        <v>0</v>
      </c>
      <c r="AA1309">
        <v>9</v>
      </c>
      <c r="AB1309">
        <v>9</v>
      </c>
      <c r="AC1309" t="s">
        <v>310</v>
      </c>
      <c r="AD1309">
        <v>9</v>
      </c>
      <c r="AE1309" t="s">
        <v>1417</v>
      </c>
      <c r="AF1309">
        <v>0</v>
      </c>
      <c r="AG1309" t="s">
        <v>310</v>
      </c>
      <c r="AH1309">
        <f>SUM((MID(Dyno_Data[[#This Row],[Team]],4,5))+(Dyno_Data[[#This Row],[Match]]/100))</f>
        <v>1559.23</v>
      </c>
      <c r="AI1309" s="76">
        <f>ROUND(SUM(IF(Dyno_Data[[#This Row],[AcqCenter]]&gt;0,Dyno_Data[[#This Row],[Time]]-SUMIFS(Dyno_Data[Time],Dyno_Data[Team],Dyno_Data[[#This Row],[Team]],Dyno_Data[RecordType],"StartMatch",Dyno_Data[Match],Dyno_Data[[#This Row],[Match]]),0)*86400),0)</f>
        <v>0</v>
      </c>
    </row>
    <row r="1310" spans="1:35" x14ac:dyDescent="0.3">
      <c r="A1310">
        <v>1308</v>
      </c>
      <c r="B1310" t="s">
        <v>1301</v>
      </c>
      <c r="C1310">
        <v>23</v>
      </c>
      <c r="D1310" s="105">
        <v>45373.547323148145</v>
      </c>
      <c r="E1310" t="s">
        <v>314</v>
      </c>
      <c r="F1310" t="s">
        <v>309</v>
      </c>
      <c r="G1310">
        <v>0</v>
      </c>
      <c r="H1310" t="s">
        <v>310</v>
      </c>
      <c r="I1310">
        <v>0</v>
      </c>
      <c r="J1310">
        <v>0</v>
      </c>
      <c r="K1310">
        <v>0</v>
      </c>
      <c r="L1310" t="s">
        <v>310</v>
      </c>
      <c r="M1310" t="s">
        <v>310</v>
      </c>
      <c r="N1310">
        <v>0</v>
      </c>
      <c r="O1310" t="s">
        <v>311</v>
      </c>
      <c r="P1310" t="s">
        <v>1401</v>
      </c>
      <c r="Q1310" t="s">
        <v>1400</v>
      </c>
      <c r="R1310" t="s">
        <v>310</v>
      </c>
      <c r="S1310">
        <v>9</v>
      </c>
      <c r="T1310" t="s">
        <v>310</v>
      </c>
      <c r="U1310">
        <v>9</v>
      </c>
      <c r="V1310">
        <v>9</v>
      </c>
      <c r="W1310">
        <v>0</v>
      </c>
      <c r="X1310">
        <v>0</v>
      </c>
      <c r="Y1310">
        <v>0</v>
      </c>
      <c r="Z1310">
        <v>0</v>
      </c>
      <c r="AA1310">
        <v>9</v>
      </c>
      <c r="AB1310">
        <v>9</v>
      </c>
      <c r="AC1310" t="s">
        <v>310</v>
      </c>
      <c r="AD1310">
        <v>9</v>
      </c>
      <c r="AE1310" t="s">
        <v>1394</v>
      </c>
      <c r="AF1310">
        <v>0</v>
      </c>
      <c r="AG1310" t="s">
        <v>310</v>
      </c>
      <c r="AH1310">
        <f>SUM((MID(Dyno_Data[[#This Row],[Team]],4,5))+(Dyno_Data[[#This Row],[Match]]/100))</f>
        <v>7031.23</v>
      </c>
      <c r="AI1310" s="76">
        <f>ROUND(SUM(IF(Dyno_Data[[#This Row],[AcqCenter]]&gt;0,Dyno_Data[[#This Row],[Time]]-SUMIFS(Dyno_Data[Time],Dyno_Data[Team],Dyno_Data[[#This Row],[Team]],Dyno_Data[RecordType],"StartMatch",Dyno_Data[Match],Dyno_Data[[#This Row],[Match]]),0)*86400),0)</f>
        <v>0</v>
      </c>
    </row>
    <row r="1311" spans="1:35" x14ac:dyDescent="0.3">
      <c r="A1311">
        <v>1310</v>
      </c>
      <c r="B1311" t="s">
        <v>1282</v>
      </c>
      <c r="C1311">
        <v>23</v>
      </c>
      <c r="D1311" s="105">
        <v>45373.547337002317</v>
      </c>
      <c r="E1311" t="s">
        <v>312</v>
      </c>
      <c r="F1311" t="s">
        <v>309</v>
      </c>
      <c r="G1311">
        <v>0</v>
      </c>
      <c r="H1311" t="s">
        <v>143</v>
      </c>
      <c r="I1311">
        <v>1</v>
      </c>
      <c r="J1311">
        <v>1</v>
      </c>
      <c r="K1311">
        <v>0</v>
      </c>
      <c r="L1311" t="s">
        <v>310</v>
      </c>
      <c r="M1311" t="s">
        <v>310</v>
      </c>
      <c r="N1311">
        <v>0</v>
      </c>
      <c r="O1311" t="s">
        <v>1393</v>
      </c>
      <c r="P1311" t="s">
        <v>310</v>
      </c>
      <c r="Q1311" t="s">
        <v>310</v>
      </c>
      <c r="R1311" t="s">
        <v>310</v>
      </c>
      <c r="S1311">
        <v>9</v>
      </c>
      <c r="T1311" t="s">
        <v>310</v>
      </c>
      <c r="U1311">
        <v>9</v>
      </c>
      <c r="V1311">
        <v>9</v>
      </c>
      <c r="W1311">
        <v>0</v>
      </c>
      <c r="X1311">
        <v>0</v>
      </c>
      <c r="Y1311">
        <v>0</v>
      </c>
      <c r="Z1311">
        <v>0</v>
      </c>
      <c r="AA1311">
        <v>9</v>
      </c>
      <c r="AB1311">
        <v>9</v>
      </c>
      <c r="AC1311" t="s">
        <v>310</v>
      </c>
      <c r="AD1311">
        <v>9</v>
      </c>
      <c r="AE1311" t="s">
        <v>1418</v>
      </c>
      <c r="AF1311">
        <v>1000</v>
      </c>
      <c r="AG1311" t="s">
        <v>310</v>
      </c>
      <c r="AH1311">
        <f>SUM((MID(Dyno_Data[[#This Row],[Team]],4,5))+(Dyno_Data[[#This Row],[Match]]/100))</f>
        <v>333.23</v>
      </c>
      <c r="AI1311" s="76">
        <f>ROUND(SUM(IF(Dyno_Data[[#This Row],[AcqCenter]]&gt;0,Dyno_Data[[#This Row],[Time]]-SUMIFS(Dyno_Data[Time],Dyno_Data[Team],Dyno_Data[[#This Row],[Team]],Dyno_Data[RecordType],"StartMatch",Dyno_Data[Match],Dyno_Data[[#This Row],[Match]]),0)*86400),0)</f>
        <v>14</v>
      </c>
    </row>
    <row r="1312" spans="1:35" x14ac:dyDescent="0.3">
      <c r="A1312">
        <v>1309</v>
      </c>
      <c r="B1312" t="s">
        <v>360</v>
      </c>
      <c r="C1312">
        <v>23</v>
      </c>
      <c r="D1312" s="105">
        <v>45373.547341238424</v>
      </c>
      <c r="E1312" t="s">
        <v>312</v>
      </c>
      <c r="F1312" t="s">
        <v>1402</v>
      </c>
      <c r="G1312">
        <v>0</v>
      </c>
      <c r="H1312" t="s">
        <v>143</v>
      </c>
      <c r="I1312">
        <v>0</v>
      </c>
      <c r="J1312">
        <v>0</v>
      </c>
      <c r="K1312">
        <v>0</v>
      </c>
      <c r="L1312" t="s">
        <v>241</v>
      </c>
      <c r="M1312" t="s">
        <v>1398</v>
      </c>
      <c r="N1312">
        <v>1</v>
      </c>
      <c r="O1312" t="s">
        <v>1391</v>
      </c>
      <c r="P1312" t="s">
        <v>310</v>
      </c>
      <c r="Q1312" t="s">
        <v>310</v>
      </c>
      <c r="R1312" t="s">
        <v>310</v>
      </c>
      <c r="S1312">
        <v>9</v>
      </c>
      <c r="T1312" t="s">
        <v>310</v>
      </c>
      <c r="U1312">
        <v>9</v>
      </c>
      <c r="V1312">
        <v>9</v>
      </c>
      <c r="W1312">
        <v>0</v>
      </c>
      <c r="X1312">
        <v>0</v>
      </c>
      <c r="Y1312">
        <v>0</v>
      </c>
      <c r="Z1312">
        <v>0</v>
      </c>
      <c r="AA1312">
        <v>9</v>
      </c>
      <c r="AB1312">
        <v>9</v>
      </c>
      <c r="AC1312" t="s">
        <v>310</v>
      </c>
      <c r="AD1312">
        <v>9</v>
      </c>
      <c r="AE1312" t="s">
        <v>1416</v>
      </c>
      <c r="AF1312">
        <v>20004000</v>
      </c>
      <c r="AG1312" t="s">
        <v>310</v>
      </c>
      <c r="AH1312">
        <f>SUM((MID(Dyno_Data[[#This Row],[Team]],4,5))+(Dyno_Data[[#This Row],[Match]]/100))</f>
        <v>1796.23</v>
      </c>
      <c r="AI1312" s="76">
        <f>ROUND(SUM(IF(Dyno_Data[[#This Row],[AcqCenter]]&gt;0,Dyno_Data[[#This Row],[Time]]-SUMIFS(Dyno_Data[Time],Dyno_Data[Team],Dyno_Data[[#This Row],[Team]],Dyno_Data[RecordType],"StartMatch",Dyno_Data[Match],Dyno_Data[[#This Row],[Match]]),0)*86400),0)</f>
        <v>0</v>
      </c>
    </row>
    <row r="1313" spans="1:35" x14ac:dyDescent="0.3">
      <c r="A1313">
        <v>1312</v>
      </c>
      <c r="B1313" t="s">
        <v>1282</v>
      </c>
      <c r="C1313">
        <v>23</v>
      </c>
      <c r="D1313" s="105">
        <v>45373.54738171296</v>
      </c>
      <c r="E1313" t="s">
        <v>314</v>
      </c>
      <c r="F1313" t="s">
        <v>309</v>
      </c>
      <c r="G1313">
        <v>1</v>
      </c>
      <c r="H1313" t="s">
        <v>310</v>
      </c>
      <c r="I1313">
        <v>0</v>
      </c>
      <c r="J1313">
        <v>0</v>
      </c>
      <c r="K1313">
        <v>0</v>
      </c>
      <c r="L1313" t="s">
        <v>310</v>
      </c>
      <c r="M1313" t="s">
        <v>310</v>
      </c>
      <c r="N1313">
        <v>0</v>
      </c>
      <c r="O1313" t="s">
        <v>1393</v>
      </c>
      <c r="P1313" t="s">
        <v>240</v>
      </c>
      <c r="Q1313" t="s">
        <v>1399</v>
      </c>
      <c r="R1313" t="s">
        <v>310</v>
      </c>
      <c r="S1313">
        <v>9</v>
      </c>
      <c r="T1313" t="s">
        <v>310</v>
      </c>
      <c r="U1313">
        <v>9</v>
      </c>
      <c r="V1313">
        <v>9</v>
      </c>
      <c r="W1313">
        <v>0</v>
      </c>
      <c r="X1313">
        <v>0</v>
      </c>
      <c r="Y1313">
        <v>0</v>
      </c>
      <c r="Z1313">
        <v>0</v>
      </c>
      <c r="AA1313">
        <v>9</v>
      </c>
      <c r="AB1313">
        <v>9</v>
      </c>
      <c r="AC1313" t="s">
        <v>310</v>
      </c>
      <c r="AD1313">
        <v>9</v>
      </c>
      <c r="AE1313" t="s">
        <v>1418</v>
      </c>
      <c r="AF1313">
        <v>1000</v>
      </c>
      <c r="AG1313" t="s">
        <v>310</v>
      </c>
      <c r="AH1313">
        <f>SUM((MID(Dyno_Data[[#This Row],[Team]],4,5))+(Dyno_Data[[#This Row],[Match]]/100))</f>
        <v>333.23</v>
      </c>
      <c r="AI1313" s="76">
        <f>ROUND(SUM(IF(Dyno_Data[[#This Row],[AcqCenter]]&gt;0,Dyno_Data[[#This Row],[Time]]-SUMIFS(Dyno_Data[Time],Dyno_Data[Team],Dyno_Data[[#This Row],[Team]],Dyno_Data[RecordType],"StartMatch",Dyno_Data[Match],Dyno_Data[[#This Row],[Match]]),0)*86400),0)</f>
        <v>0</v>
      </c>
    </row>
    <row r="1314" spans="1:35" x14ac:dyDescent="0.3">
      <c r="A1314">
        <v>1313</v>
      </c>
      <c r="B1314" t="s">
        <v>360</v>
      </c>
      <c r="C1314">
        <v>23</v>
      </c>
      <c r="D1314" s="105">
        <v>45373.547384756945</v>
      </c>
      <c r="E1314" t="s">
        <v>312</v>
      </c>
      <c r="F1314" t="s">
        <v>1402</v>
      </c>
      <c r="G1314">
        <v>0</v>
      </c>
      <c r="H1314" t="s">
        <v>315</v>
      </c>
      <c r="I1314">
        <v>0</v>
      </c>
      <c r="J1314">
        <v>0</v>
      </c>
      <c r="K1314">
        <v>0</v>
      </c>
      <c r="L1314" t="s">
        <v>241</v>
      </c>
      <c r="M1314" t="s">
        <v>241</v>
      </c>
      <c r="N1314">
        <v>0</v>
      </c>
      <c r="O1314" t="s">
        <v>1391</v>
      </c>
      <c r="P1314" t="s">
        <v>310</v>
      </c>
      <c r="Q1314" t="s">
        <v>310</v>
      </c>
      <c r="R1314" t="s">
        <v>310</v>
      </c>
      <c r="S1314">
        <v>9</v>
      </c>
      <c r="T1314" t="s">
        <v>310</v>
      </c>
      <c r="U1314">
        <v>9</v>
      </c>
      <c r="V1314">
        <v>9</v>
      </c>
      <c r="W1314">
        <v>0</v>
      </c>
      <c r="X1314">
        <v>0</v>
      </c>
      <c r="Y1314">
        <v>0</v>
      </c>
      <c r="Z1314">
        <v>0</v>
      </c>
      <c r="AA1314">
        <v>9</v>
      </c>
      <c r="AB1314">
        <v>9</v>
      </c>
      <c r="AC1314" t="s">
        <v>310</v>
      </c>
      <c r="AD1314">
        <v>9</v>
      </c>
      <c r="AE1314" t="s">
        <v>1416</v>
      </c>
      <c r="AF1314">
        <v>30004000</v>
      </c>
      <c r="AG1314" t="s">
        <v>310</v>
      </c>
      <c r="AH1314">
        <f>SUM((MID(Dyno_Data[[#This Row],[Team]],4,5))+(Dyno_Data[[#This Row],[Match]]/100))</f>
        <v>1796.23</v>
      </c>
      <c r="AI1314" s="76">
        <f>ROUND(SUM(IF(Dyno_Data[[#This Row],[AcqCenter]]&gt;0,Dyno_Data[[#This Row],[Time]]-SUMIFS(Dyno_Data[Time],Dyno_Data[Team],Dyno_Data[[#This Row],[Team]],Dyno_Data[RecordType],"StartMatch",Dyno_Data[Match],Dyno_Data[[#This Row],[Match]]),0)*86400),0)</f>
        <v>0</v>
      </c>
    </row>
    <row r="1315" spans="1:35" x14ac:dyDescent="0.3">
      <c r="A1315">
        <v>1314</v>
      </c>
      <c r="B1315" t="s">
        <v>1280</v>
      </c>
      <c r="C1315">
        <v>23</v>
      </c>
      <c r="D1315" s="105">
        <v>45373.547433136577</v>
      </c>
      <c r="E1315" t="s">
        <v>312</v>
      </c>
      <c r="F1315" t="s">
        <v>1402</v>
      </c>
      <c r="G1315">
        <v>0</v>
      </c>
      <c r="H1315" t="s">
        <v>315</v>
      </c>
      <c r="I1315">
        <v>0</v>
      </c>
      <c r="J1315">
        <v>0</v>
      </c>
      <c r="K1315">
        <v>0</v>
      </c>
      <c r="L1315" t="s">
        <v>241</v>
      </c>
      <c r="M1315" t="s">
        <v>1398</v>
      </c>
      <c r="N1315">
        <v>1</v>
      </c>
      <c r="O1315" t="s">
        <v>319</v>
      </c>
      <c r="P1315" t="s">
        <v>310</v>
      </c>
      <c r="Q1315" t="s">
        <v>310</v>
      </c>
      <c r="R1315" t="s">
        <v>310</v>
      </c>
      <c r="S1315">
        <v>9</v>
      </c>
      <c r="T1315" t="s">
        <v>310</v>
      </c>
      <c r="U1315">
        <v>9</v>
      </c>
      <c r="V1315">
        <v>9</v>
      </c>
      <c r="W1315">
        <v>0</v>
      </c>
      <c r="X1315">
        <v>0</v>
      </c>
      <c r="Y1315">
        <v>0</v>
      </c>
      <c r="Z1315">
        <v>0</v>
      </c>
      <c r="AA1315">
        <v>9</v>
      </c>
      <c r="AB1315">
        <v>9</v>
      </c>
      <c r="AC1315" t="s">
        <v>310</v>
      </c>
      <c r="AD1315">
        <v>9</v>
      </c>
      <c r="AE1315" t="s">
        <v>1417</v>
      </c>
      <c r="AF1315">
        <v>10000000</v>
      </c>
      <c r="AG1315" t="s">
        <v>310</v>
      </c>
      <c r="AH1315">
        <f>SUM((MID(Dyno_Data[[#This Row],[Team]],4,5))+(Dyno_Data[[#This Row],[Match]]/100))</f>
        <v>1559.23</v>
      </c>
      <c r="AI1315" s="76">
        <f>ROUND(SUM(IF(Dyno_Data[[#This Row],[AcqCenter]]&gt;0,Dyno_Data[[#This Row],[Time]]-SUMIFS(Dyno_Data[Time],Dyno_Data[Team],Dyno_Data[[#This Row],[Team]],Dyno_Data[RecordType],"StartMatch",Dyno_Data[Match],Dyno_Data[[#This Row],[Match]]),0)*86400),0)</f>
        <v>0</v>
      </c>
    </row>
    <row r="1316" spans="1:35" x14ac:dyDescent="0.3">
      <c r="A1316">
        <v>1315</v>
      </c>
      <c r="B1316" t="s">
        <v>366</v>
      </c>
      <c r="C1316">
        <v>23</v>
      </c>
      <c r="D1316" s="105">
        <v>45373.547444016207</v>
      </c>
      <c r="E1316" t="s">
        <v>312</v>
      </c>
      <c r="F1316" t="s">
        <v>1402</v>
      </c>
      <c r="G1316">
        <v>0</v>
      </c>
      <c r="H1316" t="s">
        <v>315</v>
      </c>
      <c r="I1316">
        <v>0</v>
      </c>
      <c r="J1316">
        <v>0</v>
      </c>
      <c r="K1316">
        <v>0</v>
      </c>
      <c r="L1316" t="s">
        <v>241</v>
      </c>
      <c r="M1316" t="s">
        <v>1398</v>
      </c>
      <c r="N1316">
        <v>0</v>
      </c>
      <c r="O1316" t="s">
        <v>1389</v>
      </c>
      <c r="P1316" t="s">
        <v>310</v>
      </c>
      <c r="Q1316" t="s">
        <v>310</v>
      </c>
      <c r="R1316" t="s">
        <v>310</v>
      </c>
      <c r="S1316">
        <v>9</v>
      </c>
      <c r="T1316" t="s">
        <v>310</v>
      </c>
      <c r="U1316">
        <v>9</v>
      </c>
      <c r="V1316">
        <v>9</v>
      </c>
      <c r="W1316">
        <v>0</v>
      </c>
      <c r="X1316">
        <v>0</v>
      </c>
      <c r="Y1316">
        <v>0</v>
      </c>
      <c r="Z1316">
        <v>0</v>
      </c>
      <c r="AA1316">
        <v>9</v>
      </c>
      <c r="AB1316">
        <v>9</v>
      </c>
      <c r="AC1316" t="s">
        <v>310</v>
      </c>
      <c r="AD1316">
        <v>9</v>
      </c>
      <c r="AE1316" t="s">
        <v>1387</v>
      </c>
      <c r="AF1316">
        <v>10000000</v>
      </c>
      <c r="AG1316" t="s">
        <v>310</v>
      </c>
      <c r="AH1316">
        <f>SUM((MID(Dyno_Data[[#This Row],[Team]],4,5))+(Dyno_Data[[#This Row],[Match]]/100))</f>
        <v>4122.2299999999996</v>
      </c>
      <c r="AI1316" s="76">
        <f>ROUND(SUM(IF(Dyno_Data[[#This Row],[AcqCenter]]&gt;0,Dyno_Data[[#This Row],[Time]]-SUMIFS(Dyno_Data[Time],Dyno_Data[Team],Dyno_Data[[#This Row],[Team]],Dyno_Data[RecordType],"StartMatch",Dyno_Data[Match],Dyno_Data[[#This Row],[Match]]),0)*86400),0)</f>
        <v>0</v>
      </c>
    </row>
    <row r="1317" spans="1:35" x14ac:dyDescent="0.3">
      <c r="A1317">
        <v>1316</v>
      </c>
      <c r="B1317" t="s">
        <v>1282</v>
      </c>
      <c r="C1317">
        <v>23</v>
      </c>
      <c r="D1317" s="105">
        <v>45373.547453472223</v>
      </c>
      <c r="E1317" t="s">
        <v>312</v>
      </c>
      <c r="F1317" t="s">
        <v>1402</v>
      </c>
      <c r="G1317">
        <v>0</v>
      </c>
      <c r="H1317" t="s">
        <v>143</v>
      </c>
      <c r="I1317">
        <v>0</v>
      </c>
      <c r="J1317">
        <v>0</v>
      </c>
      <c r="K1317">
        <v>0</v>
      </c>
      <c r="L1317" t="s">
        <v>241</v>
      </c>
      <c r="M1317" t="s">
        <v>101</v>
      </c>
      <c r="N1317">
        <v>0</v>
      </c>
      <c r="O1317" t="s">
        <v>1393</v>
      </c>
      <c r="P1317" t="s">
        <v>310</v>
      </c>
      <c r="Q1317" t="s">
        <v>310</v>
      </c>
      <c r="R1317" t="s">
        <v>310</v>
      </c>
      <c r="S1317">
        <v>9</v>
      </c>
      <c r="T1317" t="s">
        <v>310</v>
      </c>
      <c r="U1317">
        <v>9</v>
      </c>
      <c r="V1317">
        <v>9</v>
      </c>
      <c r="W1317">
        <v>0</v>
      </c>
      <c r="X1317">
        <v>0</v>
      </c>
      <c r="Y1317">
        <v>0</v>
      </c>
      <c r="Z1317">
        <v>0</v>
      </c>
      <c r="AA1317">
        <v>9</v>
      </c>
      <c r="AB1317">
        <v>9</v>
      </c>
      <c r="AC1317" t="s">
        <v>310</v>
      </c>
      <c r="AD1317">
        <v>9</v>
      </c>
      <c r="AE1317" t="s">
        <v>1418</v>
      </c>
      <c r="AF1317">
        <v>1000</v>
      </c>
      <c r="AG1317" t="s">
        <v>310</v>
      </c>
      <c r="AH1317">
        <f>SUM((MID(Dyno_Data[[#This Row],[Team]],4,5))+(Dyno_Data[[#This Row],[Match]]/100))</f>
        <v>333.23</v>
      </c>
      <c r="AI1317" s="76">
        <f>ROUND(SUM(IF(Dyno_Data[[#This Row],[AcqCenter]]&gt;0,Dyno_Data[[#This Row],[Time]]-SUMIFS(Dyno_Data[Time],Dyno_Data[Team],Dyno_Data[[#This Row],[Team]],Dyno_Data[RecordType],"StartMatch",Dyno_Data[Match],Dyno_Data[[#This Row],[Match]]),0)*86400),0)</f>
        <v>0</v>
      </c>
    </row>
    <row r="1318" spans="1:35" x14ac:dyDescent="0.3">
      <c r="A1318">
        <v>1317</v>
      </c>
      <c r="B1318" t="s">
        <v>360</v>
      </c>
      <c r="C1318">
        <v>23</v>
      </c>
      <c r="D1318" s="105">
        <v>45373.547470798614</v>
      </c>
      <c r="E1318" t="s">
        <v>312</v>
      </c>
      <c r="F1318" t="s">
        <v>1402</v>
      </c>
      <c r="G1318">
        <v>0</v>
      </c>
      <c r="H1318" t="s">
        <v>315</v>
      </c>
      <c r="I1318">
        <v>0</v>
      </c>
      <c r="J1318">
        <v>0</v>
      </c>
      <c r="K1318">
        <v>0</v>
      </c>
      <c r="L1318" t="s">
        <v>313</v>
      </c>
      <c r="M1318" t="s">
        <v>242</v>
      </c>
      <c r="N1318">
        <v>0</v>
      </c>
      <c r="O1318" t="s">
        <v>1391</v>
      </c>
      <c r="P1318" t="s">
        <v>310</v>
      </c>
      <c r="Q1318" t="s">
        <v>310</v>
      </c>
      <c r="R1318" t="s">
        <v>310</v>
      </c>
      <c r="S1318">
        <v>9</v>
      </c>
      <c r="T1318" t="s">
        <v>310</v>
      </c>
      <c r="U1318">
        <v>9</v>
      </c>
      <c r="V1318">
        <v>9</v>
      </c>
      <c r="W1318">
        <v>0</v>
      </c>
      <c r="X1318">
        <v>0</v>
      </c>
      <c r="Y1318">
        <v>0</v>
      </c>
      <c r="Z1318">
        <v>0</v>
      </c>
      <c r="AA1318">
        <v>9</v>
      </c>
      <c r="AB1318">
        <v>9</v>
      </c>
      <c r="AC1318" t="s">
        <v>310</v>
      </c>
      <c r="AD1318">
        <v>9</v>
      </c>
      <c r="AE1318" t="s">
        <v>1416</v>
      </c>
      <c r="AF1318">
        <v>40004000</v>
      </c>
      <c r="AG1318" t="s">
        <v>310</v>
      </c>
      <c r="AH1318">
        <f>SUM((MID(Dyno_Data[[#This Row],[Team]],4,5))+(Dyno_Data[[#This Row],[Match]]/100))</f>
        <v>1796.23</v>
      </c>
      <c r="AI1318" s="76">
        <f>ROUND(SUM(IF(Dyno_Data[[#This Row],[AcqCenter]]&gt;0,Dyno_Data[[#This Row],[Time]]-SUMIFS(Dyno_Data[Time],Dyno_Data[Team],Dyno_Data[[#This Row],[Team]],Dyno_Data[RecordType],"StartMatch",Dyno_Data[Match],Dyno_Data[[#This Row],[Match]]),0)*86400),0)</f>
        <v>0</v>
      </c>
    </row>
    <row r="1319" spans="1:35" x14ac:dyDescent="0.3">
      <c r="A1319">
        <v>1318</v>
      </c>
      <c r="B1319" t="s">
        <v>1280</v>
      </c>
      <c r="C1319">
        <v>23</v>
      </c>
      <c r="D1319" s="105">
        <v>45373.54748306713</v>
      </c>
      <c r="E1319" t="s">
        <v>312</v>
      </c>
      <c r="F1319" t="s">
        <v>1402</v>
      </c>
      <c r="G1319">
        <v>0</v>
      </c>
      <c r="H1319" t="s">
        <v>315</v>
      </c>
      <c r="I1319">
        <v>0</v>
      </c>
      <c r="J1319">
        <v>0</v>
      </c>
      <c r="K1319">
        <v>0</v>
      </c>
      <c r="L1319" t="s">
        <v>241</v>
      </c>
      <c r="M1319" t="s">
        <v>1398</v>
      </c>
      <c r="N1319">
        <v>0</v>
      </c>
      <c r="O1319" t="s">
        <v>319</v>
      </c>
      <c r="P1319" t="s">
        <v>310</v>
      </c>
      <c r="Q1319" t="s">
        <v>310</v>
      </c>
      <c r="R1319" t="s">
        <v>310</v>
      </c>
      <c r="S1319">
        <v>9</v>
      </c>
      <c r="T1319" t="s">
        <v>310</v>
      </c>
      <c r="U1319">
        <v>9</v>
      </c>
      <c r="V1319">
        <v>9</v>
      </c>
      <c r="W1319">
        <v>0</v>
      </c>
      <c r="X1319">
        <v>0</v>
      </c>
      <c r="Y1319">
        <v>0</v>
      </c>
      <c r="Z1319">
        <v>0</v>
      </c>
      <c r="AA1319">
        <v>9</v>
      </c>
      <c r="AB1319">
        <v>9</v>
      </c>
      <c r="AC1319" t="s">
        <v>310</v>
      </c>
      <c r="AD1319">
        <v>9</v>
      </c>
      <c r="AE1319" t="s">
        <v>1417</v>
      </c>
      <c r="AF1319">
        <v>20000000</v>
      </c>
      <c r="AG1319" t="s">
        <v>310</v>
      </c>
      <c r="AH1319">
        <f>SUM((MID(Dyno_Data[[#This Row],[Team]],4,5))+(Dyno_Data[[#This Row],[Match]]/100))</f>
        <v>1559.23</v>
      </c>
      <c r="AI1319" s="76">
        <f>ROUND(SUM(IF(Dyno_Data[[#This Row],[AcqCenter]]&gt;0,Dyno_Data[[#This Row],[Time]]-SUMIFS(Dyno_Data[Time],Dyno_Data[Team],Dyno_Data[[#This Row],[Team]],Dyno_Data[RecordType],"StartMatch",Dyno_Data[Match],Dyno_Data[[#This Row],[Match]]),0)*86400),0)</f>
        <v>0</v>
      </c>
    </row>
    <row r="1320" spans="1:35" x14ac:dyDescent="0.3">
      <c r="A1320">
        <v>1319</v>
      </c>
      <c r="B1320" t="s">
        <v>361</v>
      </c>
      <c r="C1320">
        <v>23</v>
      </c>
      <c r="D1320" s="105">
        <v>45373.54748321759</v>
      </c>
      <c r="E1320" t="s">
        <v>312</v>
      </c>
      <c r="F1320" t="s">
        <v>1402</v>
      </c>
      <c r="G1320">
        <v>0</v>
      </c>
      <c r="H1320" t="s">
        <v>315</v>
      </c>
      <c r="I1320">
        <v>0</v>
      </c>
      <c r="J1320">
        <v>0</v>
      </c>
      <c r="K1320">
        <v>0</v>
      </c>
      <c r="L1320" t="s">
        <v>241</v>
      </c>
      <c r="M1320" t="s">
        <v>1398</v>
      </c>
      <c r="N1320">
        <v>1</v>
      </c>
      <c r="O1320" t="s">
        <v>1395</v>
      </c>
      <c r="P1320" t="s">
        <v>310</v>
      </c>
      <c r="Q1320" t="s">
        <v>310</v>
      </c>
      <c r="R1320" t="s">
        <v>310</v>
      </c>
      <c r="S1320">
        <v>9</v>
      </c>
      <c r="T1320" t="s">
        <v>310</v>
      </c>
      <c r="U1320">
        <v>9</v>
      </c>
      <c r="V1320">
        <v>9</v>
      </c>
      <c r="W1320">
        <v>0</v>
      </c>
      <c r="X1320">
        <v>0</v>
      </c>
      <c r="Y1320">
        <v>0</v>
      </c>
      <c r="Z1320">
        <v>0</v>
      </c>
      <c r="AA1320">
        <v>9</v>
      </c>
      <c r="AB1320">
        <v>9</v>
      </c>
      <c r="AC1320" t="s">
        <v>310</v>
      </c>
      <c r="AD1320">
        <v>9</v>
      </c>
      <c r="AE1320" t="s">
        <v>1392</v>
      </c>
      <c r="AF1320">
        <v>30000000</v>
      </c>
      <c r="AG1320" t="s">
        <v>310</v>
      </c>
      <c r="AH1320">
        <f>SUM((MID(Dyno_Data[[#This Row],[Team]],4,5))+(Dyno_Data[[#This Row],[Match]]/100))</f>
        <v>20.23</v>
      </c>
      <c r="AI1320" s="76">
        <f>ROUND(SUM(IF(Dyno_Data[[#This Row],[AcqCenter]]&gt;0,Dyno_Data[[#This Row],[Time]]-SUMIFS(Dyno_Data[Time],Dyno_Data[Team],Dyno_Data[[#This Row],[Team]],Dyno_Data[RecordType],"StartMatch",Dyno_Data[Match],Dyno_Data[[#This Row],[Match]]),0)*86400),0)</f>
        <v>0</v>
      </c>
    </row>
    <row r="1321" spans="1:35" x14ac:dyDescent="0.3">
      <c r="A1321">
        <v>1320</v>
      </c>
      <c r="B1321" t="s">
        <v>360</v>
      </c>
      <c r="C1321">
        <v>23</v>
      </c>
      <c r="D1321" s="105">
        <v>45373.547561423613</v>
      </c>
      <c r="E1321" t="s">
        <v>312</v>
      </c>
      <c r="F1321" t="s">
        <v>1402</v>
      </c>
      <c r="G1321">
        <v>0</v>
      </c>
      <c r="H1321" t="s">
        <v>315</v>
      </c>
      <c r="I1321">
        <v>0</v>
      </c>
      <c r="J1321">
        <v>0</v>
      </c>
      <c r="K1321">
        <v>0</v>
      </c>
      <c r="L1321" t="s">
        <v>241</v>
      </c>
      <c r="M1321" t="s">
        <v>101</v>
      </c>
      <c r="N1321">
        <v>0</v>
      </c>
      <c r="O1321" t="s">
        <v>1391</v>
      </c>
      <c r="P1321" t="s">
        <v>310</v>
      </c>
      <c r="Q1321" t="s">
        <v>310</v>
      </c>
      <c r="R1321" t="s">
        <v>310</v>
      </c>
      <c r="S1321">
        <v>9</v>
      </c>
      <c r="T1321" t="s">
        <v>310</v>
      </c>
      <c r="U1321">
        <v>9</v>
      </c>
      <c r="V1321">
        <v>9</v>
      </c>
      <c r="W1321">
        <v>0</v>
      </c>
      <c r="X1321">
        <v>0</v>
      </c>
      <c r="Y1321">
        <v>0</v>
      </c>
      <c r="Z1321">
        <v>0</v>
      </c>
      <c r="AA1321">
        <v>9</v>
      </c>
      <c r="AB1321">
        <v>9</v>
      </c>
      <c r="AC1321" t="s">
        <v>310</v>
      </c>
      <c r="AD1321">
        <v>9</v>
      </c>
      <c r="AE1321" t="s">
        <v>1416</v>
      </c>
      <c r="AF1321">
        <v>50004000</v>
      </c>
      <c r="AG1321" t="s">
        <v>310</v>
      </c>
      <c r="AH1321">
        <f>SUM((MID(Dyno_Data[[#This Row],[Team]],4,5))+(Dyno_Data[[#This Row],[Match]]/100))</f>
        <v>1796.23</v>
      </c>
      <c r="AI1321" s="76">
        <f>ROUND(SUM(IF(Dyno_Data[[#This Row],[AcqCenter]]&gt;0,Dyno_Data[[#This Row],[Time]]-SUMIFS(Dyno_Data[Time],Dyno_Data[Team],Dyno_Data[[#This Row],[Team]],Dyno_Data[RecordType],"StartMatch",Dyno_Data[Match],Dyno_Data[[#This Row],[Match]]),0)*86400),0)</f>
        <v>0</v>
      </c>
    </row>
    <row r="1322" spans="1:35" x14ac:dyDescent="0.3">
      <c r="A1322">
        <v>1321</v>
      </c>
      <c r="B1322" t="s">
        <v>1280</v>
      </c>
      <c r="C1322">
        <v>23</v>
      </c>
      <c r="D1322" s="105">
        <v>45373.547563506945</v>
      </c>
      <c r="E1322" t="s">
        <v>312</v>
      </c>
      <c r="F1322" t="s">
        <v>1402</v>
      </c>
      <c r="G1322">
        <v>0</v>
      </c>
      <c r="H1322" t="s">
        <v>315</v>
      </c>
      <c r="I1322">
        <v>0</v>
      </c>
      <c r="J1322">
        <v>0</v>
      </c>
      <c r="K1322">
        <v>0</v>
      </c>
      <c r="L1322" t="s">
        <v>241</v>
      </c>
      <c r="M1322" t="s">
        <v>1398</v>
      </c>
      <c r="N1322">
        <v>1</v>
      </c>
      <c r="O1322" t="s">
        <v>319</v>
      </c>
      <c r="P1322" t="s">
        <v>310</v>
      </c>
      <c r="Q1322" t="s">
        <v>310</v>
      </c>
      <c r="R1322" t="s">
        <v>310</v>
      </c>
      <c r="S1322">
        <v>9</v>
      </c>
      <c r="T1322" t="s">
        <v>310</v>
      </c>
      <c r="U1322">
        <v>9</v>
      </c>
      <c r="V1322">
        <v>9</v>
      </c>
      <c r="W1322">
        <v>0</v>
      </c>
      <c r="X1322">
        <v>0</v>
      </c>
      <c r="Y1322">
        <v>0</v>
      </c>
      <c r="Z1322">
        <v>0</v>
      </c>
      <c r="AA1322">
        <v>9</v>
      </c>
      <c r="AB1322">
        <v>9</v>
      </c>
      <c r="AC1322" t="s">
        <v>310</v>
      </c>
      <c r="AD1322">
        <v>9</v>
      </c>
      <c r="AE1322" t="s">
        <v>1417</v>
      </c>
      <c r="AF1322">
        <v>30000000</v>
      </c>
      <c r="AG1322" t="s">
        <v>310</v>
      </c>
      <c r="AH1322">
        <f>SUM((MID(Dyno_Data[[#This Row],[Team]],4,5))+(Dyno_Data[[#This Row],[Match]]/100))</f>
        <v>1559.23</v>
      </c>
      <c r="AI1322" s="76">
        <f>ROUND(SUM(IF(Dyno_Data[[#This Row],[AcqCenter]]&gt;0,Dyno_Data[[#This Row],[Time]]-SUMIFS(Dyno_Data[Time],Dyno_Data[Team],Dyno_Data[[#This Row],[Team]],Dyno_Data[RecordType],"StartMatch",Dyno_Data[Match],Dyno_Data[[#This Row],[Match]]),0)*86400),0)</f>
        <v>0</v>
      </c>
    </row>
    <row r="1323" spans="1:35" x14ac:dyDescent="0.3">
      <c r="A1323">
        <v>1322</v>
      </c>
      <c r="B1323" t="s">
        <v>1282</v>
      </c>
      <c r="C1323">
        <v>23</v>
      </c>
      <c r="D1323" s="105">
        <v>45373.547576736113</v>
      </c>
      <c r="E1323" t="s">
        <v>312</v>
      </c>
      <c r="F1323" t="s">
        <v>1402</v>
      </c>
      <c r="G1323">
        <v>0</v>
      </c>
      <c r="H1323" t="s">
        <v>315</v>
      </c>
      <c r="I1323">
        <v>0</v>
      </c>
      <c r="J1323">
        <v>0</v>
      </c>
      <c r="K1323">
        <v>0</v>
      </c>
      <c r="L1323" t="s">
        <v>241</v>
      </c>
      <c r="M1323" t="s">
        <v>101</v>
      </c>
      <c r="N1323">
        <v>1</v>
      </c>
      <c r="O1323" t="s">
        <v>1393</v>
      </c>
      <c r="P1323" t="s">
        <v>310</v>
      </c>
      <c r="Q1323" t="s">
        <v>310</v>
      </c>
      <c r="R1323" t="s">
        <v>310</v>
      </c>
      <c r="S1323">
        <v>9</v>
      </c>
      <c r="T1323" t="s">
        <v>310</v>
      </c>
      <c r="U1323">
        <v>9</v>
      </c>
      <c r="V1323">
        <v>9</v>
      </c>
      <c r="W1323">
        <v>0</v>
      </c>
      <c r="X1323">
        <v>0</v>
      </c>
      <c r="Y1323">
        <v>0</v>
      </c>
      <c r="Z1323">
        <v>0</v>
      </c>
      <c r="AA1323">
        <v>9</v>
      </c>
      <c r="AB1323">
        <v>9</v>
      </c>
      <c r="AC1323" t="s">
        <v>310</v>
      </c>
      <c r="AD1323">
        <v>9</v>
      </c>
      <c r="AE1323" t="s">
        <v>1418</v>
      </c>
      <c r="AF1323">
        <v>10001000</v>
      </c>
      <c r="AG1323" t="s">
        <v>310</v>
      </c>
      <c r="AH1323">
        <f>SUM((MID(Dyno_Data[[#This Row],[Team]],4,5))+(Dyno_Data[[#This Row],[Match]]/100))</f>
        <v>333.23</v>
      </c>
      <c r="AI1323" s="76">
        <f>ROUND(SUM(IF(Dyno_Data[[#This Row],[AcqCenter]]&gt;0,Dyno_Data[[#This Row],[Time]]-SUMIFS(Dyno_Data[Time],Dyno_Data[Team],Dyno_Data[[#This Row],[Team]],Dyno_Data[RecordType],"StartMatch",Dyno_Data[Match],Dyno_Data[[#This Row],[Match]]),0)*86400),0)</f>
        <v>0</v>
      </c>
    </row>
    <row r="1324" spans="1:35" x14ac:dyDescent="0.3">
      <c r="A1324">
        <v>1323</v>
      </c>
      <c r="B1324" t="s">
        <v>361</v>
      </c>
      <c r="C1324">
        <v>23</v>
      </c>
      <c r="D1324" s="105">
        <v>45373.547612187504</v>
      </c>
      <c r="E1324" t="s">
        <v>312</v>
      </c>
      <c r="F1324" t="s">
        <v>1402</v>
      </c>
      <c r="G1324">
        <v>0</v>
      </c>
      <c r="H1324" t="s">
        <v>315</v>
      </c>
      <c r="I1324">
        <v>0</v>
      </c>
      <c r="J1324">
        <v>0</v>
      </c>
      <c r="K1324">
        <v>0</v>
      </c>
      <c r="L1324" t="s">
        <v>240</v>
      </c>
      <c r="M1324" t="s">
        <v>1398</v>
      </c>
      <c r="N1324">
        <v>0</v>
      </c>
      <c r="O1324" t="s">
        <v>1395</v>
      </c>
      <c r="P1324" t="s">
        <v>310</v>
      </c>
      <c r="Q1324" t="s">
        <v>310</v>
      </c>
      <c r="R1324" t="s">
        <v>310</v>
      </c>
      <c r="S1324">
        <v>9</v>
      </c>
      <c r="T1324" t="s">
        <v>310</v>
      </c>
      <c r="U1324">
        <v>9</v>
      </c>
      <c r="V1324">
        <v>9</v>
      </c>
      <c r="W1324">
        <v>0</v>
      </c>
      <c r="X1324">
        <v>0</v>
      </c>
      <c r="Y1324">
        <v>0</v>
      </c>
      <c r="Z1324">
        <v>0</v>
      </c>
      <c r="AA1324">
        <v>9</v>
      </c>
      <c r="AB1324">
        <v>9</v>
      </c>
      <c r="AC1324" t="s">
        <v>310</v>
      </c>
      <c r="AD1324">
        <v>9</v>
      </c>
      <c r="AE1324" t="s">
        <v>1392</v>
      </c>
      <c r="AF1324">
        <v>40000000</v>
      </c>
      <c r="AG1324" t="s">
        <v>310</v>
      </c>
      <c r="AH1324">
        <f>SUM((MID(Dyno_Data[[#This Row],[Team]],4,5))+(Dyno_Data[[#This Row],[Match]]/100))</f>
        <v>20.23</v>
      </c>
      <c r="AI1324" s="76">
        <f>ROUND(SUM(IF(Dyno_Data[[#This Row],[AcqCenter]]&gt;0,Dyno_Data[[#This Row],[Time]]-SUMIFS(Dyno_Data[Time],Dyno_Data[Team],Dyno_Data[[#This Row],[Team]],Dyno_Data[RecordType],"StartMatch",Dyno_Data[Match],Dyno_Data[[#This Row],[Match]]),0)*86400),0)</f>
        <v>0</v>
      </c>
    </row>
    <row r="1325" spans="1:35" x14ac:dyDescent="0.3">
      <c r="A1325">
        <v>1324</v>
      </c>
      <c r="B1325" t="s">
        <v>1282</v>
      </c>
      <c r="C1325">
        <v>23</v>
      </c>
      <c r="D1325" s="105">
        <v>45373.547630937501</v>
      </c>
      <c r="E1325" t="s">
        <v>312</v>
      </c>
      <c r="F1325" t="s">
        <v>1402</v>
      </c>
      <c r="G1325">
        <v>0</v>
      </c>
      <c r="H1325" t="s">
        <v>315</v>
      </c>
      <c r="I1325">
        <v>0</v>
      </c>
      <c r="J1325">
        <v>0</v>
      </c>
      <c r="K1325">
        <v>0</v>
      </c>
      <c r="L1325" t="s">
        <v>241</v>
      </c>
      <c r="M1325" t="s">
        <v>101</v>
      </c>
      <c r="N1325">
        <v>1</v>
      </c>
      <c r="O1325" t="s">
        <v>1393</v>
      </c>
      <c r="P1325" t="s">
        <v>310</v>
      </c>
      <c r="Q1325" t="s">
        <v>310</v>
      </c>
      <c r="R1325" t="s">
        <v>310</v>
      </c>
      <c r="S1325">
        <v>9</v>
      </c>
      <c r="T1325" t="s">
        <v>310</v>
      </c>
      <c r="U1325">
        <v>9</v>
      </c>
      <c r="V1325">
        <v>9</v>
      </c>
      <c r="W1325">
        <v>0</v>
      </c>
      <c r="X1325">
        <v>0</v>
      </c>
      <c r="Y1325">
        <v>0</v>
      </c>
      <c r="Z1325">
        <v>0</v>
      </c>
      <c r="AA1325">
        <v>9</v>
      </c>
      <c r="AB1325">
        <v>9</v>
      </c>
      <c r="AC1325" t="s">
        <v>310</v>
      </c>
      <c r="AD1325">
        <v>9</v>
      </c>
      <c r="AE1325" t="s">
        <v>1418</v>
      </c>
      <c r="AF1325">
        <v>20001000</v>
      </c>
      <c r="AG1325" t="s">
        <v>310</v>
      </c>
      <c r="AH1325">
        <f>SUM((MID(Dyno_Data[[#This Row],[Team]],4,5))+(Dyno_Data[[#This Row],[Match]]/100))</f>
        <v>333.23</v>
      </c>
      <c r="AI1325" s="76">
        <f>ROUND(SUM(IF(Dyno_Data[[#This Row],[AcqCenter]]&gt;0,Dyno_Data[[#This Row],[Time]]-SUMIFS(Dyno_Data[Time],Dyno_Data[Team],Dyno_Data[[#This Row],[Team]],Dyno_Data[RecordType],"StartMatch",Dyno_Data[Match],Dyno_Data[[#This Row],[Match]]),0)*86400),0)</f>
        <v>0</v>
      </c>
    </row>
    <row r="1326" spans="1:35" x14ac:dyDescent="0.3">
      <c r="A1326">
        <v>1325</v>
      </c>
      <c r="B1326" t="s">
        <v>366</v>
      </c>
      <c r="C1326">
        <v>23</v>
      </c>
      <c r="D1326" s="105">
        <v>45373.547652233799</v>
      </c>
      <c r="E1326" t="s">
        <v>312</v>
      </c>
      <c r="F1326" t="s">
        <v>1402</v>
      </c>
      <c r="G1326">
        <v>0</v>
      </c>
      <c r="H1326" t="s">
        <v>315</v>
      </c>
      <c r="I1326">
        <v>0</v>
      </c>
      <c r="J1326">
        <v>0</v>
      </c>
      <c r="K1326">
        <v>0</v>
      </c>
      <c r="L1326" t="s">
        <v>240</v>
      </c>
      <c r="M1326" t="s">
        <v>1398</v>
      </c>
      <c r="N1326">
        <v>0</v>
      </c>
      <c r="O1326" t="s">
        <v>1389</v>
      </c>
      <c r="P1326" t="s">
        <v>310</v>
      </c>
      <c r="Q1326" t="s">
        <v>310</v>
      </c>
      <c r="R1326" t="s">
        <v>310</v>
      </c>
      <c r="S1326">
        <v>9</v>
      </c>
      <c r="T1326" t="s">
        <v>310</v>
      </c>
      <c r="U1326">
        <v>9</v>
      </c>
      <c r="V1326">
        <v>9</v>
      </c>
      <c r="W1326">
        <v>0</v>
      </c>
      <c r="X1326">
        <v>0</v>
      </c>
      <c r="Y1326">
        <v>0</v>
      </c>
      <c r="Z1326">
        <v>0</v>
      </c>
      <c r="AA1326">
        <v>9</v>
      </c>
      <c r="AB1326">
        <v>9</v>
      </c>
      <c r="AC1326" t="s">
        <v>310</v>
      </c>
      <c r="AD1326">
        <v>9</v>
      </c>
      <c r="AE1326" t="s">
        <v>1387</v>
      </c>
      <c r="AF1326">
        <v>20000000</v>
      </c>
      <c r="AG1326" t="s">
        <v>310</v>
      </c>
      <c r="AH1326">
        <f>SUM((MID(Dyno_Data[[#This Row],[Team]],4,5))+(Dyno_Data[[#This Row],[Match]]/100))</f>
        <v>4122.2299999999996</v>
      </c>
      <c r="AI1326" s="76">
        <f>ROUND(SUM(IF(Dyno_Data[[#This Row],[AcqCenter]]&gt;0,Dyno_Data[[#This Row],[Time]]-SUMIFS(Dyno_Data[Time],Dyno_Data[Team],Dyno_Data[[#This Row],[Team]],Dyno_Data[RecordType],"StartMatch",Dyno_Data[Match],Dyno_Data[[#This Row],[Match]]),0)*86400),0)</f>
        <v>0</v>
      </c>
    </row>
    <row r="1327" spans="1:35" x14ac:dyDescent="0.3">
      <c r="A1327">
        <v>1326</v>
      </c>
      <c r="B1327" t="s">
        <v>360</v>
      </c>
      <c r="C1327">
        <v>23</v>
      </c>
      <c r="D1327" s="105">
        <v>45373.547669016203</v>
      </c>
      <c r="E1327" t="s">
        <v>312</v>
      </c>
      <c r="F1327" t="s">
        <v>1402</v>
      </c>
      <c r="G1327">
        <v>0</v>
      </c>
      <c r="H1327" t="s">
        <v>315</v>
      </c>
      <c r="I1327">
        <v>0</v>
      </c>
      <c r="J1327">
        <v>0</v>
      </c>
      <c r="K1327">
        <v>0</v>
      </c>
      <c r="L1327" t="s">
        <v>241</v>
      </c>
      <c r="M1327" t="s">
        <v>101</v>
      </c>
      <c r="N1327">
        <v>0</v>
      </c>
      <c r="O1327" t="s">
        <v>1391</v>
      </c>
      <c r="P1327" t="s">
        <v>310</v>
      </c>
      <c r="Q1327" t="s">
        <v>310</v>
      </c>
      <c r="R1327" t="s">
        <v>310</v>
      </c>
      <c r="S1327">
        <v>9</v>
      </c>
      <c r="T1327" t="s">
        <v>310</v>
      </c>
      <c r="U1327">
        <v>9</v>
      </c>
      <c r="V1327">
        <v>9</v>
      </c>
      <c r="W1327">
        <v>0</v>
      </c>
      <c r="X1327">
        <v>0</v>
      </c>
      <c r="Y1327">
        <v>0</v>
      </c>
      <c r="Z1327">
        <v>0</v>
      </c>
      <c r="AA1327">
        <v>9</v>
      </c>
      <c r="AB1327">
        <v>9</v>
      </c>
      <c r="AC1327" t="s">
        <v>310</v>
      </c>
      <c r="AD1327">
        <v>9</v>
      </c>
      <c r="AE1327" t="s">
        <v>1416</v>
      </c>
      <c r="AF1327">
        <v>60004000</v>
      </c>
      <c r="AG1327" t="s">
        <v>310</v>
      </c>
      <c r="AH1327">
        <f>SUM((MID(Dyno_Data[[#This Row],[Team]],4,5))+(Dyno_Data[[#This Row],[Match]]/100))</f>
        <v>1796.23</v>
      </c>
      <c r="AI1327" s="76">
        <f>ROUND(SUM(IF(Dyno_Data[[#This Row],[AcqCenter]]&gt;0,Dyno_Data[[#This Row],[Time]]-SUMIFS(Dyno_Data[Time],Dyno_Data[Team],Dyno_Data[[#This Row],[Team]],Dyno_Data[RecordType],"StartMatch",Dyno_Data[Match],Dyno_Data[[#This Row],[Match]]),0)*86400),0)</f>
        <v>0</v>
      </c>
    </row>
    <row r="1328" spans="1:35" x14ac:dyDescent="0.3">
      <c r="A1328">
        <v>1327</v>
      </c>
      <c r="B1328" t="s">
        <v>360</v>
      </c>
      <c r="C1328">
        <v>23</v>
      </c>
      <c r="D1328" s="105">
        <v>45373.547792858793</v>
      </c>
      <c r="E1328" t="s">
        <v>312</v>
      </c>
      <c r="F1328" t="s">
        <v>1402</v>
      </c>
      <c r="G1328">
        <v>0</v>
      </c>
      <c r="H1328" t="s">
        <v>315</v>
      </c>
      <c r="I1328">
        <v>0</v>
      </c>
      <c r="J1328">
        <v>0</v>
      </c>
      <c r="K1328">
        <v>0</v>
      </c>
      <c r="L1328" t="s">
        <v>241</v>
      </c>
      <c r="M1328" t="s">
        <v>101</v>
      </c>
      <c r="N1328">
        <v>0</v>
      </c>
      <c r="O1328" t="s">
        <v>1391</v>
      </c>
      <c r="P1328" t="s">
        <v>310</v>
      </c>
      <c r="Q1328" t="s">
        <v>310</v>
      </c>
      <c r="R1328" t="s">
        <v>310</v>
      </c>
      <c r="S1328">
        <v>9</v>
      </c>
      <c r="T1328" t="s">
        <v>310</v>
      </c>
      <c r="U1328">
        <v>9</v>
      </c>
      <c r="V1328">
        <v>9</v>
      </c>
      <c r="W1328">
        <v>0</v>
      </c>
      <c r="X1328">
        <v>0</v>
      </c>
      <c r="Y1328">
        <v>0</v>
      </c>
      <c r="Z1328">
        <v>0</v>
      </c>
      <c r="AA1328">
        <v>9</v>
      </c>
      <c r="AB1328">
        <v>9</v>
      </c>
      <c r="AC1328" t="s">
        <v>310</v>
      </c>
      <c r="AD1328">
        <v>9</v>
      </c>
      <c r="AE1328" t="s">
        <v>1416</v>
      </c>
      <c r="AF1328">
        <v>70004000</v>
      </c>
      <c r="AG1328" t="s">
        <v>310</v>
      </c>
      <c r="AH1328">
        <f>SUM((MID(Dyno_Data[[#This Row],[Team]],4,5))+(Dyno_Data[[#This Row],[Match]]/100))</f>
        <v>1796.23</v>
      </c>
      <c r="AI1328" s="76">
        <f>ROUND(SUM(IF(Dyno_Data[[#This Row],[AcqCenter]]&gt;0,Dyno_Data[[#This Row],[Time]]-SUMIFS(Dyno_Data[Time],Dyno_Data[Team],Dyno_Data[[#This Row],[Team]],Dyno_Data[RecordType],"StartMatch",Dyno_Data[Match],Dyno_Data[[#This Row],[Match]]),0)*86400),0)</f>
        <v>0</v>
      </c>
    </row>
    <row r="1329" spans="1:35" x14ac:dyDescent="0.3">
      <c r="A1329">
        <v>1328</v>
      </c>
      <c r="B1329" t="s">
        <v>361</v>
      </c>
      <c r="C1329">
        <v>23</v>
      </c>
      <c r="D1329" s="105">
        <v>45373.547837071761</v>
      </c>
      <c r="E1329" t="s">
        <v>312</v>
      </c>
      <c r="F1329" t="s">
        <v>1402</v>
      </c>
      <c r="G1329">
        <v>0</v>
      </c>
      <c r="H1329" t="s">
        <v>315</v>
      </c>
      <c r="I1329">
        <v>0</v>
      </c>
      <c r="J1329">
        <v>0</v>
      </c>
      <c r="K1329">
        <v>0</v>
      </c>
      <c r="L1329" t="s">
        <v>241</v>
      </c>
      <c r="M1329" t="s">
        <v>1398</v>
      </c>
      <c r="N1329">
        <v>1</v>
      </c>
      <c r="O1329" t="s">
        <v>1395</v>
      </c>
      <c r="P1329" t="s">
        <v>310</v>
      </c>
      <c r="Q1329" t="s">
        <v>310</v>
      </c>
      <c r="R1329" t="s">
        <v>310</v>
      </c>
      <c r="S1329">
        <v>9</v>
      </c>
      <c r="T1329" t="s">
        <v>310</v>
      </c>
      <c r="U1329">
        <v>9</v>
      </c>
      <c r="V1329">
        <v>9</v>
      </c>
      <c r="W1329">
        <v>0</v>
      </c>
      <c r="X1329">
        <v>0</v>
      </c>
      <c r="Y1329">
        <v>0</v>
      </c>
      <c r="Z1329">
        <v>0</v>
      </c>
      <c r="AA1329">
        <v>9</v>
      </c>
      <c r="AB1329">
        <v>9</v>
      </c>
      <c r="AC1329" t="s">
        <v>310</v>
      </c>
      <c r="AD1329">
        <v>9</v>
      </c>
      <c r="AE1329" t="s">
        <v>1392</v>
      </c>
      <c r="AF1329">
        <v>50000000</v>
      </c>
      <c r="AG1329" t="s">
        <v>310</v>
      </c>
      <c r="AH1329">
        <f>SUM((MID(Dyno_Data[[#This Row],[Team]],4,5))+(Dyno_Data[[#This Row],[Match]]/100))</f>
        <v>20.23</v>
      </c>
      <c r="AI1329" s="76">
        <f>ROUND(SUM(IF(Dyno_Data[[#This Row],[AcqCenter]]&gt;0,Dyno_Data[[#This Row],[Time]]-SUMIFS(Dyno_Data[Time],Dyno_Data[Team],Dyno_Data[[#This Row],[Team]],Dyno_Data[RecordType],"StartMatch",Dyno_Data[Match],Dyno_Data[[#This Row],[Match]]),0)*86400),0)</f>
        <v>0</v>
      </c>
    </row>
    <row r="1330" spans="1:35" x14ac:dyDescent="0.3">
      <c r="A1330">
        <v>1329</v>
      </c>
      <c r="B1330" t="s">
        <v>360</v>
      </c>
      <c r="C1330">
        <v>23</v>
      </c>
      <c r="D1330" s="105">
        <v>45373.547913622686</v>
      </c>
      <c r="E1330" t="s">
        <v>312</v>
      </c>
      <c r="F1330" t="s">
        <v>1402</v>
      </c>
      <c r="G1330">
        <v>0</v>
      </c>
      <c r="H1330" t="s">
        <v>315</v>
      </c>
      <c r="I1330">
        <v>0</v>
      </c>
      <c r="J1330">
        <v>0</v>
      </c>
      <c r="K1330">
        <v>0</v>
      </c>
      <c r="L1330" t="s">
        <v>241</v>
      </c>
      <c r="M1330" t="s">
        <v>1398</v>
      </c>
      <c r="N1330">
        <v>0</v>
      </c>
      <c r="O1330" t="s">
        <v>1391</v>
      </c>
      <c r="P1330" t="s">
        <v>310</v>
      </c>
      <c r="Q1330" t="s">
        <v>310</v>
      </c>
      <c r="R1330" t="s">
        <v>310</v>
      </c>
      <c r="S1330">
        <v>9</v>
      </c>
      <c r="T1330" t="s">
        <v>310</v>
      </c>
      <c r="U1330">
        <v>9</v>
      </c>
      <c r="V1330">
        <v>9</v>
      </c>
      <c r="W1330">
        <v>0</v>
      </c>
      <c r="X1330">
        <v>0</v>
      </c>
      <c r="Y1330">
        <v>0</v>
      </c>
      <c r="Z1330">
        <v>0</v>
      </c>
      <c r="AA1330">
        <v>9</v>
      </c>
      <c r="AB1330">
        <v>9</v>
      </c>
      <c r="AC1330" t="s">
        <v>310</v>
      </c>
      <c r="AD1330">
        <v>9</v>
      </c>
      <c r="AE1330" t="s">
        <v>1416</v>
      </c>
      <c r="AF1330">
        <v>80004000</v>
      </c>
      <c r="AG1330" t="s">
        <v>310</v>
      </c>
      <c r="AH1330">
        <f>SUM((MID(Dyno_Data[[#This Row],[Team]],4,5))+(Dyno_Data[[#This Row],[Match]]/100))</f>
        <v>1796.23</v>
      </c>
      <c r="AI1330" s="76">
        <f>ROUND(SUM(IF(Dyno_Data[[#This Row],[AcqCenter]]&gt;0,Dyno_Data[[#This Row],[Time]]-SUMIFS(Dyno_Data[Time],Dyno_Data[Team],Dyno_Data[[#This Row],[Team]],Dyno_Data[RecordType],"StartMatch",Dyno_Data[Match],Dyno_Data[[#This Row],[Match]]),0)*86400),0)</f>
        <v>0</v>
      </c>
    </row>
    <row r="1331" spans="1:35" x14ac:dyDescent="0.3">
      <c r="A1331">
        <v>1330</v>
      </c>
      <c r="B1331" t="s">
        <v>1280</v>
      </c>
      <c r="C1331">
        <v>23</v>
      </c>
      <c r="D1331" s="105">
        <v>45373.548006516205</v>
      </c>
      <c r="E1331" t="s">
        <v>312</v>
      </c>
      <c r="F1331" t="s">
        <v>1402</v>
      </c>
      <c r="G1331">
        <v>0</v>
      </c>
      <c r="H1331" t="s">
        <v>315</v>
      </c>
      <c r="I1331">
        <v>0</v>
      </c>
      <c r="J1331">
        <v>0</v>
      </c>
      <c r="K1331">
        <v>0</v>
      </c>
      <c r="L1331" t="s">
        <v>241</v>
      </c>
      <c r="M1331" t="s">
        <v>1398</v>
      </c>
      <c r="N1331">
        <v>0</v>
      </c>
      <c r="O1331" t="s">
        <v>319</v>
      </c>
      <c r="P1331" t="s">
        <v>310</v>
      </c>
      <c r="Q1331" t="s">
        <v>310</v>
      </c>
      <c r="R1331" t="s">
        <v>310</v>
      </c>
      <c r="S1331">
        <v>9</v>
      </c>
      <c r="T1331" t="s">
        <v>310</v>
      </c>
      <c r="U1331">
        <v>9</v>
      </c>
      <c r="V1331">
        <v>9</v>
      </c>
      <c r="W1331">
        <v>0</v>
      </c>
      <c r="X1331">
        <v>0</v>
      </c>
      <c r="Y1331">
        <v>0</v>
      </c>
      <c r="Z1331">
        <v>0</v>
      </c>
      <c r="AA1331">
        <v>9</v>
      </c>
      <c r="AB1331">
        <v>9</v>
      </c>
      <c r="AC1331" t="s">
        <v>310</v>
      </c>
      <c r="AD1331">
        <v>9</v>
      </c>
      <c r="AE1331" t="s">
        <v>1417</v>
      </c>
      <c r="AF1331">
        <v>40000000</v>
      </c>
      <c r="AG1331" t="s">
        <v>310</v>
      </c>
      <c r="AH1331">
        <f>SUM((MID(Dyno_Data[[#This Row],[Team]],4,5))+(Dyno_Data[[#This Row],[Match]]/100))</f>
        <v>1559.23</v>
      </c>
      <c r="AI1331" s="76">
        <f>ROUND(SUM(IF(Dyno_Data[[#This Row],[AcqCenter]]&gt;0,Dyno_Data[[#This Row],[Time]]-SUMIFS(Dyno_Data[Time],Dyno_Data[Team],Dyno_Data[[#This Row],[Team]],Dyno_Data[RecordType],"StartMatch",Dyno_Data[Match],Dyno_Data[[#This Row],[Match]]),0)*86400),0)</f>
        <v>0</v>
      </c>
    </row>
    <row r="1332" spans="1:35" x14ac:dyDescent="0.3">
      <c r="A1332">
        <v>1331</v>
      </c>
      <c r="B1332" t="s">
        <v>360</v>
      </c>
      <c r="C1332">
        <v>23</v>
      </c>
      <c r="D1332" s="105">
        <v>45373.548083136571</v>
      </c>
      <c r="E1332" t="s">
        <v>312</v>
      </c>
      <c r="F1332" t="s">
        <v>1402</v>
      </c>
      <c r="G1332">
        <v>0</v>
      </c>
      <c r="H1332" t="s">
        <v>315</v>
      </c>
      <c r="I1332">
        <v>0</v>
      </c>
      <c r="J1332">
        <v>0</v>
      </c>
      <c r="K1332">
        <v>0</v>
      </c>
      <c r="L1332" t="s">
        <v>241</v>
      </c>
      <c r="M1332" t="s">
        <v>101</v>
      </c>
      <c r="N1332">
        <v>0</v>
      </c>
      <c r="O1332" t="s">
        <v>1391</v>
      </c>
      <c r="P1332" t="s">
        <v>310</v>
      </c>
      <c r="Q1332" t="s">
        <v>310</v>
      </c>
      <c r="R1332" t="s">
        <v>310</v>
      </c>
      <c r="S1332">
        <v>9</v>
      </c>
      <c r="T1332" t="s">
        <v>310</v>
      </c>
      <c r="U1332">
        <v>9</v>
      </c>
      <c r="V1332">
        <v>9</v>
      </c>
      <c r="W1332">
        <v>0</v>
      </c>
      <c r="X1332">
        <v>0</v>
      </c>
      <c r="Y1332">
        <v>0</v>
      </c>
      <c r="Z1332">
        <v>0</v>
      </c>
      <c r="AA1332">
        <v>9</v>
      </c>
      <c r="AB1332">
        <v>9</v>
      </c>
      <c r="AC1332" t="s">
        <v>310</v>
      </c>
      <c r="AD1332">
        <v>9</v>
      </c>
      <c r="AE1332" t="s">
        <v>1416</v>
      </c>
      <c r="AF1332">
        <v>90004000</v>
      </c>
      <c r="AG1332" t="s">
        <v>310</v>
      </c>
      <c r="AH1332">
        <f>SUM((MID(Dyno_Data[[#This Row],[Team]],4,5))+(Dyno_Data[[#This Row],[Match]]/100))</f>
        <v>1796.23</v>
      </c>
      <c r="AI1332" s="76">
        <f>ROUND(SUM(IF(Dyno_Data[[#This Row],[AcqCenter]]&gt;0,Dyno_Data[[#This Row],[Time]]-SUMIFS(Dyno_Data[Time],Dyno_Data[Team],Dyno_Data[[#This Row],[Team]],Dyno_Data[RecordType],"StartMatch",Dyno_Data[Match],Dyno_Data[[#This Row],[Match]]),0)*86400),0)</f>
        <v>0</v>
      </c>
    </row>
    <row r="1333" spans="1:35" x14ac:dyDescent="0.3">
      <c r="A1333">
        <v>1332</v>
      </c>
      <c r="B1333" t="s">
        <v>361</v>
      </c>
      <c r="C1333">
        <v>23</v>
      </c>
      <c r="D1333" s="105">
        <v>45373.548138043981</v>
      </c>
      <c r="E1333" t="s">
        <v>312</v>
      </c>
      <c r="F1333" t="s">
        <v>1402</v>
      </c>
      <c r="G1333">
        <v>0</v>
      </c>
      <c r="H1333" t="s">
        <v>315</v>
      </c>
      <c r="I1333">
        <v>0</v>
      </c>
      <c r="J1333">
        <v>0</v>
      </c>
      <c r="K1333">
        <v>0</v>
      </c>
      <c r="L1333" t="s">
        <v>240</v>
      </c>
      <c r="M1333" t="s">
        <v>1398</v>
      </c>
      <c r="N1333">
        <v>0</v>
      </c>
      <c r="O1333" t="s">
        <v>1395</v>
      </c>
      <c r="P1333" t="s">
        <v>310</v>
      </c>
      <c r="Q1333" t="s">
        <v>310</v>
      </c>
      <c r="R1333" t="s">
        <v>310</v>
      </c>
      <c r="S1333">
        <v>9</v>
      </c>
      <c r="T1333" t="s">
        <v>310</v>
      </c>
      <c r="U1333">
        <v>9</v>
      </c>
      <c r="V1333">
        <v>9</v>
      </c>
      <c r="W1333">
        <v>0</v>
      </c>
      <c r="X1333">
        <v>0</v>
      </c>
      <c r="Y1333">
        <v>0</v>
      </c>
      <c r="Z1333">
        <v>0</v>
      </c>
      <c r="AA1333">
        <v>9</v>
      </c>
      <c r="AB1333">
        <v>9</v>
      </c>
      <c r="AC1333" t="s">
        <v>310</v>
      </c>
      <c r="AD1333">
        <v>9</v>
      </c>
      <c r="AE1333" t="s">
        <v>1392</v>
      </c>
      <c r="AF1333">
        <v>60000000</v>
      </c>
      <c r="AG1333" t="s">
        <v>310</v>
      </c>
      <c r="AH1333">
        <f>SUM((MID(Dyno_Data[[#This Row],[Team]],4,5))+(Dyno_Data[[#This Row],[Match]]/100))</f>
        <v>20.23</v>
      </c>
      <c r="AI1333" s="76">
        <f>ROUND(SUM(IF(Dyno_Data[[#This Row],[AcqCenter]]&gt;0,Dyno_Data[[#This Row],[Time]]-SUMIFS(Dyno_Data[Time],Dyno_Data[Team],Dyno_Data[[#This Row],[Team]],Dyno_Data[RecordType],"StartMatch",Dyno_Data[Match],Dyno_Data[[#This Row],[Match]]),0)*86400),0)</f>
        <v>0</v>
      </c>
    </row>
    <row r="1334" spans="1:35" x14ac:dyDescent="0.3">
      <c r="A1334">
        <v>1333</v>
      </c>
      <c r="B1334" t="s">
        <v>1282</v>
      </c>
      <c r="C1334">
        <v>23</v>
      </c>
      <c r="D1334" s="105">
        <v>45373.548146759262</v>
      </c>
      <c r="E1334" t="s">
        <v>312</v>
      </c>
      <c r="F1334" t="s">
        <v>1402</v>
      </c>
      <c r="G1334">
        <v>0</v>
      </c>
      <c r="H1334" t="s">
        <v>315</v>
      </c>
      <c r="I1334">
        <v>0</v>
      </c>
      <c r="J1334">
        <v>0</v>
      </c>
      <c r="K1334">
        <v>0</v>
      </c>
      <c r="L1334" t="s">
        <v>241</v>
      </c>
      <c r="M1334" t="s">
        <v>101</v>
      </c>
      <c r="N1334">
        <v>1</v>
      </c>
      <c r="O1334" t="s">
        <v>1393</v>
      </c>
      <c r="P1334" t="s">
        <v>310</v>
      </c>
      <c r="Q1334" t="s">
        <v>310</v>
      </c>
      <c r="R1334" t="s">
        <v>310</v>
      </c>
      <c r="S1334">
        <v>9</v>
      </c>
      <c r="T1334" t="s">
        <v>310</v>
      </c>
      <c r="U1334">
        <v>9</v>
      </c>
      <c r="V1334">
        <v>9</v>
      </c>
      <c r="W1334">
        <v>0</v>
      </c>
      <c r="X1334">
        <v>0</v>
      </c>
      <c r="Y1334">
        <v>0</v>
      </c>
      <c r="Z1334">
        <v>0</v>
      </c>
      <c r="AA1334">
        <v>9</v>
      </c>
      <c r="AB1334">
        <v>9</v>
      </c>
      <c r="AC1334" t="s">
        <v>310</v>
      </c>
      <c r="AD1334">
        <v>9</v>
      </c>
      <c r="AE1334" t="s">
        <v>1418</v>
      </c>
      <c r="AF1334">
        <v>30001000</v>
      </c>
      <c r="AG1334" t="s">
        <v>310</v>
      </c>
      <c r="AH1334">
        <f>SUM((MID(Dyno_Data[[#This Row],[Team]],4,5))+(Dyno_Data[[#This Row],[Match]]/100))</f>
        <v>333.23</v>
      </c>
      <c r="AI1334" s="76">
        <f>ROUND(SUM(IF(Dyno_Data[[#This Row],[AcqCenter]]&gt;0,Dyno_Data[[#This Row],[Time]]-SUMIFS(Dyno_Data[Time],Dyno_Data[Team],Dyno_Data[[#This Row],[Team]],Dyno_Data[RecordType],"StartMatch",Dyno_Data[Match],Dyno_Data[[#This Row],[Match]]),0)*86400),0)</f>
        <v>0</v>
      </c>
    </row>
    <row r="1335" spans="1:35" x14ac:dyDescent="0.3">
      <c r="A1335">
        <v>1334</v>
      </c>
      <c r="B1335" t="s">
        <v>1280</v>
      </c>
      <c r="C1335">
        <v>23</v>
      </c>
      <c r="D1335" s="105">
        <v>45373.548159143516</v>
      </c>
      <c r="E1335" t="s">
        <v>312</v>
      </c>
      <c r="F1335" t="s">
        <v>1402</v>
      </c>
      <c r="G1335">
        <v>0</v>
      </c>
      <c r="H1335" t="s">
        <v>315</v>
      </c>
      <c r="I1335">
        <v>0</v>
      </c>
      <c r="J1335">
        <v>0</v>
      </c>
      <c r="K1335">
        <v>0</v>
      </c>
      <c r="L1335" t="s">
        <v>241</v>
      </c>
      <c r="M1335" t="s">
        <v>1398</v>
      </c>
      <c r="N1335">
        <v>0</v>
      </c>
      <c r="O1335" t="s">
        <v>319</v>
      </c>
      <c r="P1335" t="s">
        <v>310</v>
      </c>
      <c r="Q1335" t="s">
        <v>310</v>
      </c>
      <c r="R1335" t="s">
        <v>310</v>
      </c>
      <c r="S1335">
        <v>9</v>
      </c>
      <c r="T1335" t="s">
        <v>310</v>
      </c>
      <c r="U1335">
        <v>9</v>
      </c>
      <c r="V1335">
        <v>9</v>
      </c>
      <c r="W1335">
        <v>0</v>
      </c>
      <c r="X1335">
        <v>0</v>
      </c>
      <c r="Y1335">
        <v>0</v>
      </c>
      <c r="Z1335">
        <v>0</v>
      </c>
      <c r="AA1335">
        <v>9</v>
      </c>
      <c r="AB1335">
        <v>9</v>
      </c>
      <c r="AC1335" t="s">
        <v>310</v>
      </c>
      <c r="AD1335">
        <v>9</v>
      </c>
      <c r="AE1335" t="s">
        <v>1417</v>
      </c>
      <c r="AF1335">
        <v>50000000</v>
      </c>
      <c r="AG1335" t="s">
        <v>310</v>
      </c>
      <c r="AH1335">
        <f>SUM((MID(Dyno_Data[[#This Row],[Team]],4,5))+(Dyno_Data[[#This Row],[Match]]/100))</f>
        <v>1559.23</v>
      </c>
      <c r="AI1335" s="76">
        <f>ROUND(SUM(IF(Dyno_Data[[#This Row],[AcqCenter]]&gt;0,Dyno_Data[[#This Row],[Time]]-SUMIFS(Dyno_Data[Time],Dyno_Data[Team],Dyno_Data[[#This Row],[Team]],Dyno_Data[RecordType],"StartMatch",Dyno_Data[Match],Dyno_Data[[#This Row],[Match]]),0)*86400),0)</f>
        <v>0</v>
      </c>
    </row>
    <row r="1336" spans="1:35" x14ac:dyDescent="0.3">
      <c r="A1336">
        <v>1335</v>
      </c>
      <c r="B1336" t="s">
        <v>360</v>
      </c>
      <c r="C1336">
        <v>23</v>
      </c>
      <c r="D1336" s="105">
        <v>45373.548195219904</v>
      </c>
      <c r="E1336" t="s">
        <v>312</v>
      </c>
      <c r="F1336" t="s">
        <v>1402</v>
      </c>
      <c r="G1336">
        <v>0</v>
      </c>
      <c r="H1336" t="s">
        <v>315</v>
      </c>
      <c r="I1336">
        <v>0</v>
      </c>
      <c r="J1336">
        <v>0</v>
      </c>
      <c r="K1336">
        <v>0</v>
      </c>
      <c r="L1336" t="s">
        <v>241</v>
      </c>
      <c r="M1336" t="s">
        <v>101</v>
      </c>
      <c r="N1336">
        <v>0</v>
      </c>
      <c r="O1336" t="s">
        <v>1391</v>
      </c>
      <c r="P1336" t="s">
        <v>310</v>
      </c>
      <c r="Q1336" t="s">
        <v>310</v>
      </c>
      <c r="R1336" t="s">
        <v>310</v>
      </c>
      <c r="S1336">
        <v>9</v>
      </c>
      <c r="T1336" t="s">
        <v>310</v>
      </c>
      <c r="U1336">
        <v>9</v>
      </c>
      <c r="V1336">
        <v>9</v>
      </c>
      <c r="W1336">
        <v>0</v>
      </c>
      <c r="X1336">
        <v>0</v>
      </c>
      <c r="Y1336">
        <v>0</v>
      </c>
      <c r="Z1336">
        <v>0</v>
      </c>
      <c r="AA1336">
        <v>9</v>
      </c>
      <c r="AB1336">
        <v>9</v>
      </c>
      <c r="AC1336" t="s">
        <v>310</v>
      </c>
      <c r="AD1336">
        <v>9</v>
      </c>
      <c r="AE1336" t="s">
        <v>1416</v>
      </c>
      <c r="AF1336">
        <v>100004000</v>
      </c>
      <c r="AG1336" t="s">
        <v>310</v>
      </c>
      <c r="AH1336">
        <f>SUM((MID(Dyno_Data[[#This Row],[Team]],4,5))+(Dyno_Data[[#This Row],[Match]]/100))</f>
        <v>1796.23</v>
      </c>
      <c r="AI1336" s="76">
        <f>ROUND(SUM(IF(Dyno_Data[[#This Row],[AcqCenter]]&gt;0,Dyno_Data[[#This Row],[Time]]-SUMIFS(Dyno_Data[Time],Dyno_Data[Team],Dyno_Data[[#This Row],[Team]],Dyno_Data[RecordType],"StartMatch",Dyno_Data[Match],Dyno_Data[[#This Row],[Match]]),0)*86400),0)</f>
        <v>0</v>
      </c>
    </row>
    <row r="1337" spans="1:35" x14ac:dyDescent="0.3">
      <c r="A1337">
        <v>1336</v>
      </c>
      <c r="B1337" t="s">
        <v>1301</v>
      </c>
      <c r="C1337">
        <v>23</v>
      </c>
      <c r="D1337" s="105">
        <v>45373.548311724539</v>
      </c>
      <c r="E1337" t="s">
        <v>1403</v>
      </c>
      <c r="F1337" t="s">
        <v>1402</v>
      </c>
      <c r="G1337">
        <v>0</v>
      </c>
      <c r="H1337" t="s">
        <v>310</v>
      </c>
      <c r="I1337">
        <v>0</v>
      </c>
      <c r="J1337">
        <v>0</v>
      </c>
      <c r="K1337">
        <v>0</v>
      </c>
      <c r="L1337" t="s">
        <v>310</v>
      </c>
      <c r="M1337" t="s">
        <v>310</v>
      </c>
      <c r="N1337">
        <v>0</v>
      </c>
      <c r="O1337" t="s">
        <v>311</v>
      </c>
      <c r="P1337" t="s">
        <v>310</v>
      </c>
      <c r="Q1337" t="s">
        <v>310</v>
      </c>
      <c r="R1337" t="s">
        <v>310</v>
      </c>
      <c r="S1337">
        <v>9</v>
      </c>
      <c r="T1337" t="s">
        <v>310</v>
      </c>
      <c r="U1337">
        <v>9</v>
      </c>
      <c r="V1337">
        <v>9</v>
      </c>
      <c r="W1337">
        <v>0</v>
      </c>
      <c r="X1337">
        <v>0</v>
      </c>
      <c r="Y1337">
        <v>0</v>
      </c>
      <c r="Z1337">
        <v>0</v>
      </c>
      <c r="AA1337">
        <v>9</v>
      </c>
      <c r="AB1337">
        <v>9</v>
      </c>
      <c r="AC1337" t="s">
        <v>310</v>
      </c>
      <c r="AD1337">
        <v>9</v>
      </c>
      <c r="AE1337" t="s">
        <v>1394</v>
      </c>
      <c r="AF1337">
        <v>100004000</v>
      </c>
      <c r="AG1337" t="s">
        <v>249</v>
      </c>
      <c r="AH1337">
        <f>SUM((MID(Dyno_Data[[#This Row],[Team]],4,5))+(Dyno_Data[[#This Row],[Match]]/100))</f>
        <v>7031.23</v>
      </c>
      <c r="AI1337" s="76">
        <f>ROUND(SUM(IF(Dyno_Data[[#This Row],[AcqCenter]]&gt;0,Dyno_Data[[#This Row],[Time]]-SUMIFS(Dyno_Data[Time],Dyno_Data[Team],Dyno_Data[[#This Row],[Team]],Dyno_Data[RecordType],"StartMatch",Dyno_Data[Match],Dyno_Data[[#This Row],[Match]]),0)*86400),0)</f>
        <v>0</v>
      </c>
    </row>
    <row r="1338" spans="1:35" x14ac:dyDescent="0.3">
      <c r="A1338">
        <v>1337</v>
      </c>
      <c r="B1338" t="s">
        <v>361</v>
      </c>
      <c r="C1338">
        <v>23</v>
      </c>
      <c r="D1338" s="105">
        <v>45373.548312418985</v>
      </c>
      <c r="E1338" t="s">
        <v>312</v>
      </c>
      <c r="F1338" t="s">
        <v>1402</v>
      </c>
      <c r="G1338">
        <v>0</v>
      </c>
      <c r="H1338" t="s">
        <v>315</v>
      </c>
      <c r="I1338">
        <v>0</v>
      </c>
      <c r="J1338">
        <v>0</v>
      </c>
      <c r="K1338">
        <v>0</v>
      </c>
      <c r="L1338" t="s">
        <v>240</v>
      </c>
      <c r="M1338" t="s">
        <v>1398</v>
      </c>
      <c r="N1338">
        <v>0</v>
      </c>
      <c r="O1338" t="s">
        <v>1395</v>
      </c>
      <c r="P1338" t="s">
        <v>310</v>
      </c>
      <c r="Q1338" t="s">
        <v>310</v>
      </c>
      <c r="R1338" t="s">
        <v>310</v>
      </c>
      <c r="S1338">
        <v>9</v>
      </c>
      <c r="T1338" t="s">
        <v>310</v>
      </c>
      <c r="U1338">
        <v>9</v>
      </c>
      <c r="V1338">
        <v>9</v>
      </c>
      <c r="W1338">
        <v>0</v>
      </c>
      <c r="X1338">
        <v>0</v>
      </c>
      <c r="Y1338">
        <v>0</v>
      </c>
      <c r="Z1338">
        <v>0</v>
      </c>
      <c r="AA1338">
        <v>9</v>
      </c>
      <c r="AB1338">
        <v>9</v>
      </c>
      <c r="AC1338" t="s">
        <v>310</v>
      </c>
      <c r="AD1338">
        <v>9</v>
      </c>
      <c r="AE1338" t="s">
        <v>1392</v>
      </c>
      <c r="AF1338">
        <v>70000000</v>
      </c>
      <c r="AG1338" t="s">
        <v>310</v>
      </c>
      <c r="AH1338">
        <f>SUM((MID(Dyno_Data[[#This Row],[Team]],4,5))+(Dyno_Data[[#This Row],[Match]]/100))</f>
        <v>20.23</v>
      </c>
      <c r="AI1338" s="76">
        <f>ROUND(SUM(IF(Dyno_Data[[#This Row],[AcqCenter]]&gt;0,Dyno_Data[[#This Row],[Time]]-SUMIFS(Dyno_Data[Time],Dyno_Data[Team],Dyno_Data[[#This Row],[Team]],Dyno_Data[RecordType],"StartMatch",Dyno_Data[Match],Dyno_Data[[#This Row],[Match]]),0)*86400),0)</f>
        <v>0</v>
      </c>
    </row>
    <row r="1339" spans="1:35" x14ac:dyDescent="0.3">
      <c r="A1339">
        <v>1338</v>
      </c>
      <c r="B1339" t="s">
        <v>1280</v>
      </c>
      <c r="C1339">
        <v>23</v>
      </c>
      <c r="D1339" s="105">
        <v>45373.548366631941</v>
      </c>
      <c r="E1339" t="s">
        <v>312</v>
      </c>
      <c r="F1339" t="s">
        <v>1402</v>
      </c>
      <c r="G1339">
        <v>0</v>
      </c>
      <c r="H1339" t="s">
        <v>315</v>
      </c>
      <c r="I1339">
        <v>0</v>
      </c>
      <c r="J1339">
        <v>0</v>
      </c>
      <c r="K1339">
        <v>0</v>
      </c>
      <c r="L1339" t="s">
        <v>241</v>
      </c>
      <c r="M1339" t="s">
        <v>1398</v>
      </c>
      <c r="N1339">
        <v>0</v>
      </c>
      <c r="O1339" t="s">
        <v>319</v>
      </c>
      <c r="P1339" t="s">
        <v>310</v>
      </c>
      <c r="Q1339" t="s">
        <v>310</v>
      </c>
      <c r="R1339" t="s">
        <v>310</v>
      </c>
      <c r="S1339">
        <v>9</v>
      </c>
      <c r="T1339" t="s">
        <v>310</v>
      </c>
      <c r="U1339">
        <v>9</v>
      </c>
      <c r="V1339">
        <v>9</v>
      </c>
      <c r="W1339">
        <v>0</v>
      </c>
      <c r="X1339">
        <v>0</v>
      </c>
      <c r="Y1339">
        <v>0</v>
      </c>
      <c r="Z1339">
        <v>0</v>
      </c>
      <c r="AA1339">
        <v>9</v>
      </c>
      <c r="AB1339">
        <v>9</v>
      </c>
      <c r="AC1339" t="s">
        <v>310</v>
      </c>
      <c r="AD1339">
        <v>9</v>
      </c>
      <c r="AE1339" t="s">
        <v>1417</v>
      </c>
      <c r="AF1339">
        <v>60000000</v>
      </c>
      <c r="AG1339" t="s">
        <v>310</v>
      </c>
      <c r="AH1339">
        <f>SUM((MID(Dyno_Data[[#This Row],[Team]],4,5))+(Dyno_Data[[#This Row],[Match]]/100))</f>
        <v>1559.23</v>
      </c>
      <c r="AI1339" s="76">
        <f>ROUND(SUM(IF(Dyno_Data[[#This Row],[AcqCenter]]&gt;0,Dyno_Data[[#This Row],[Time]]-SUMIFS(Dyno_Data[Time],Dyno_Data[Team],Dyno_Data[[#This Row],[Team]],Dyno_Data[RecordType],"StartMatch",Dyno_Data[Match],Dyno_Data[[#This Row],[Match]]),0)*86400),0)</f>
        <v>0</v>
      </c>
    </row>
    <row r="1340" spans="1:35" x14ac:dyDescent="0.3">
      <c r="A1340">
        <v>1339</v>
      </c>
      <c r="B1340" t="s">
        <v>360</v>
      </c>
      <c r="C1340">
        <v>23</v>
      </c>
      <c r="D1340" s="105">
        <v>45373.548385416667</v>
      </c>
      <c r="E1340" t="s">
        <v>312</v>
      </c>
      <c r="F1340" t="s">
        <v>1402</v>
      </c>
      <c r="G1340">
        <v>0</v>
      </c>
      <c r="H1340" t="s">
        <v>315</v>
      </c>
      <c r="I1340">
        <v>0</v>
      </c>
      <c r="J1340">
        <v>0</v>
      </c>
      <c r="K1340">
        <v>0</v>
      </c>
      <c r="L1340" t="s">
        <v>241</v>
      </c>
      <c r="M1340" t="s">
        <v>1398</v>
      </c>
      <c r="N1340">
        <v>1</v>
      </c>
      <c r="O1340" t="s">
        <v>1391</v>
      </c>
      <c r="P1340" t="s">
        <v>310</v>
      </c>
      <c r="Q1340" t="s">
        <v>310</v>
      </c>
      <c r="R1340" t="s">
        <v>310</v>
      </c>
      <c r="S1340">
        <v>9</v>
      </c>
      <c r="T1340" t="s">
        <v>310</v>
      </c>
      <c r="U1340">
        <v>9</v>
      </c>
      <c r="V1340">
        <v>9</v>
      </c>
      <c r="W1340">
        <v>0</v>
      </c>
      <c r="X1340">
        <v>0</v>
      </c>
      <c r="Y1340">
        <v>0</v>
      </c>
      <c r="Z1340">
        <v>0</v>
      </c>
      <c r="AA1340">
        <v>9</v>
      </c>
      <c r="AB1340">
        <v>9</v>
      </c>
      <c r="AC1340" t="s">
        <v>310</v>
      </c>
      <c r="AD1340">
        <v>9</v>
      </c>
      <c r="AE1340" t="s">
        <v>1416</v>
      </c>
      <c r="AF1340">
        <v>110004000</v>
      </c>
      <c r="AG1340" t="s">
        <v>310</v>
      </c>
      <c r="AH1340">
        <f>SUM((MID(Dyno_Data[[#This Row],[Team]],4,5))+(Dyno_Data[[#This Row],[Match]]/100))</f>
        <v>1796.23</v>
      </c>
      <c r="AI1340" s="76">
        <f>ROUND(SUM(IF(Dyno_Data[[#This Row],[AcqCenter]]&gt;0,Dyno_Data[[#This Row],[Time]]-SUMIFS(Dyno_Data[Time],Dyno_Data[Team],Dyno_Data[[#This Row],[Team]],Dyno_Data[RecordType],"StartMatch",Dyno_Data[Match],Dyno_Data[[#This Row],[Match]]),0)*86400),0)</f>
        <v>0</v>
      </c>
    </row>
    <row r="1341" spans="1:35" x14ac:dyDescent="0.3">
      <c r="A1341">
        <v>1340</v>
      </c>
      <c r="B1341" t="s">
        <v>366</v>
      </c>
      <c r="C1341">
        <v>23</v>
      </c>
      <c r="D1341" s="105">
        <v>45373.548389039352</v>
      </c>
      <c r="E1341" t="s">
        <v>1403</v>
      </c>
      <c r="F1341" t="s">
        <v>1402</v>
      </c>
      <c r="G1341">
        <v>0</v>
      </c>
      <c r="H1341" t="s">
        <v>310</v>
      </c>
      <c r="I1341">
        <v>0</v>
      </c>
      <c r="J1341">
        <v>0</v>
      </c>
      <c r="K1341">
        <v>0</v>
      </c>
      <c r="L1341" t="s">
        <v>310</v>
      </c>
      <c r="M1341" t="s">
        <v>310</v>
      </c>
      <c r="N1341">
        <v>0</v>
      </c>
      <c r="O1341" t="s">
        <v>1389</v>
      </c>
      <c r="P1341" t="s">
        <v>310</v>
      </c>
      <c r="Q1341" t="s">
        <v>310</v>
      </c>
      <c r="R1341" t="s">
        <v>310</v>
      </c>
      <c r="S1341">
        <v>9</v>
      </c>
      <c r="T1341" t="s">
        <v>310</v>
      </c>
      <c r="U1341">
        <v>9</v>
      </c>
      <c r="V1341">
        <v>9</v>
      </c>
      <c r="W1341">
        <v>0</v>
      </c>
      <c r="X1341">
        <v>0</v>
      </c>
      <c r="Y1341">
        <v>0</v>
      </c>
      <c r="Z1341">
        <v>0</v>
      </c>
      <c r="AA1341">
        <v>9</v>
      </c>
      <c r="AB1341">
        <v>9</v>
      </c>
      <c r="AC1341" t="s">
        <v>310</v>
      </c>
      <c r="AD1341">
        <v>9</v>
      </c>
      <c r="AE1341" t="s">
        <v>1387</v>
      </c>
      <c r="AF1341">
        <v>110004000</v>
      </c>
      <c r="AG1341" t="s">
        <v>249</v>
      </c>
      <c r="AH1341">
        <f>SUM((MID(Dyno_Data[[#This Row],[Team]],4,5))+(Dyno_Data[[#This Row],[Match]]/100))</f>
        <v>4122.2299999999996</v>
      </c>
      <c r="AI1341" s="76">
        <f>ROUND(SUM(IF(Dyno_Data[[#This Row],[AcqCenter]]&gt;0,Dyno_Data[[#This Row],[Time]]-SUMIFS(Dyno_Data[Time],Dyno_Data[Team],Dyno_Data[[#This Row],[Team]],Dyno_Data[RecordType],"StartMatch",Dyno_Data[Match],Dyno_Data[[#This Row],[Match]]),0)*86400),0)</f>
        <v>0</v>
      </c>
    </row>
    <row r="1342" spans="1:35" x14ac:dyDescent="0.3">
      <c r="A1342">
        <v>1341</v>
      </c>
      <c r="B1342" t="s">
        <v>360</v>
      </c>
      <c r="C1342">
        <v>23</v>
      </c>
      <c r="D1342" s="105">
        <v>45373.548457835648</v>
      </c>
      <c r="E1342" t="s">
        <v>312</v>
      </c>
      <c r="F1342" t="s">
        <v>1402</v>
      </c>
      <c r="G1342">
        <v>0</v>
      </c>
      <c r="H1342" t="s">
        <v>315</v>
      </c>
      <c r="I1342">
        <v>0</v>
      </c>
      <c r="J1342">
        <v>0</v>
      </c>
      <c r="K1342">
        <v>0</v>
      </c>
      <c r="L1342" t="s">
        <v>241</v>
      </c>
      <c r="M1342" t="s">
        <v>1398</v>
      </c>
      <c r="N1342">
        <v>1</v>
      </c>
      <c r="O1342" t="s">
        <v>1391</v>
      </c>
      <c r="P1342" t="s">
        <v>310</v>
      </c>
      <c r="Q1342" t="s">
        <v>310</v>
      </c>
      <c r="R1342" t="s">
        <v>310</v>
      </c>
      <c r="S1342">
        <v>9</v>
      </c>
      <c r="T1342" t="s">
        <v>310</v>
      </c>
      <c r="U1342">
        <v>9</v>
      </c>
      <c r="V1342">
        <v>9</v>
      </c>
      <c r="W1342">
        <v>0</v>
      </c>
      <c r="X1342">
        <v>0</v>
      </c>
      <c r="Y1342">
        <v>0</v>
      </c>
      <c r="Z1342">
        <v>0</v>
      </c>
      <c r="AA1342">
        <v>9</v>
      </c>
      <c r="AB1342">
        <v>9</v>
      </c>
      <c r="AC1342" t="s">
        <v>310</v>
      </c>
      <c r="AD1342">
        <v>9</v>
      </c>
      <c r="AE1342" t="s">
        <v>1416</v>
      </c>
      <c r="AF1342">
        <v>120004000</v>
      </c>
      <c r="AG1342" t="s">
        <v>310</v>
      </c>
      <c r="AH1342">
        <f>SUM((MID(Dyno_Data[[#This Row],[Team]],4,5))+(Dyno_Data[[#This Row],[Match]]/100))</f>
        <v>1796.23</v>
      </c>
      <c r="AI1342" s="76">
        <f>ROUND(SUM(IF(Dyno_Data[[#This Row],[AcqCenter]]&gt;0,Dyno_Data[[#This Row],[Time]]-SUMIFS(Dyno_Data[Time],Dyno_Data[Team],Dyno_Data[[#This Row],[Team]],Dyno_Data[RecordType],"StartMatch",Dyno_Data[Match],Dyno_Data[[#This Row],[Match]]),0)*86400),0)</f>
        <v>0</v>
      </c>
    </row>
    <row r="1343" spans="1:35" x14ac:dyDescent="0.3">
      <c r="A1343">
        <v>1342</v>
      </c>
      <c r="B1343" t="s">
        <v>361</v>
      </c>
      <c r="C1343">
        <v>23</v>
      </c>
      <c r="D1343" s="105">
        <v>45373.548459224534</v>
      </c>
      <c r="E1343" t="s">
        <v>312</v>
      </c>
      <c r="F1343" t="s">
        <v>1402</v>
      </c>
      <c r="G1343">
        <v>0</v>
      </c>
      <c r="H1343" t="s">
        <v>315</v>
      </c>
      <c r="I1343">
        <v>0</v>
      </c>
      <c r="J1343">
        <v>0</v>
      </c>
      <c r="K1343">
        <v>0</v>
      </c>
      <c r="L1343" t="s">
        <v>240</v>
      </c>
      <c r="M1343" t="s">
        <v>1398</v>
      </c>
      <c r="N1343">
        <v>0</v>
      </c>
      <c r="O1343" t="s">
        <v>1395</v>
      </c>
      <c r="P1343" t="s">
        <v>310</v>
      </c>
      <c r="Q1343" t="s">
        <v>310</v>
      </c>
      <c r="R1343" t="s">
        <v>310</v>
      </c>
      <c r="S1343">
        <v>9</v>
      </c>
      <c r="T1343" t="s">
        <v>310</v>
      </c>
      <c r="U1343">
        <v>9</v>
      </c>
      <c r="V1343">
        <v>9</v>
      </c>
      <c r="W1343">
        <v>0</v>
      </c>
      <c r="X1343">
        <v>0</v>
      </c>
      <c r="Y1343">
        <v>0</v>
      </c>
      <c r="Z1343">
        <v>0</v>
      </c>
      <c r="AA1343">
        <v>9</v>
      </c>
      <c r="AB1343">
        <v>9</v>
      </c>
      <c r="AC1343" t="s">
        <v>310</v>
      </c>
      <c r="AD1343">
        <v>9</v>
      </c>
      <c r="AE1343" t="s">
        <v>1392</v>
      </c>
      <c r="AF1343">
        <v>80000000</v>
      </c>
      <c r="AG1343" t="s">
        <v>310</v>
      </c>
      <c r="AH1343">
        <f>SUM((MID(Dyno_Data[[#This Row],[Team]],4,5))+(Dyno_Data[[#This Row],[Match]]/100))</f>
        <v>20.23</v>
      </c>
      <c r="AI1343" s="76">
        <f>ROUND(SUM(IF(Dyno_Data[[#This Row],[AcqCenter]]&gt;0,Dyno_Data[[#This Row],[Time]]-SUMIFS(Dyno_Data[Time],Dyno_Data[Team],Dyno_Data[[#This Row],[Team]],Dyno_Data[RecordType],"StartMatch",Dyno_Data[Match],Dyno_Data[[#This Row],[Match]]),0)*86400),0)</f>
        <v>0</v>
      </c>
    </row>
    <row r="1344" spans="1:35" x14ac:dyDescent="0.3">
      <c r="A1344">
        <v>1343</v>
      </c>
      <c r="B1344" t="s">
        <v>1280</v>
      </c>
      <c r="C1344">
        <v>23</v>
      </c>
      <c r="D1344" s="105">
        <v>45373.548482407408</v>
      </c>
      <c r="E1344" t="s">
        <v>312</v>
      </c>
      <c r="F1344" t="s">
        <v>1402</v>
      </c>
      <c r="G1344">
        <v>0</v>
      </c>
      <c r="H1344" t="s">
        <v>315</v>
      </c>
      <c r="I1344">
        <v>0</v>
      </c>
      <c r="J1344">
        <v>0</v>
      </c>
      <c r="K1344">
        <v>0</v>
      </c>
      <c r="L1344" t="s">
        <v>241</v>
      </c>
      <c r="M1344" t="s">
        <v>1398</v>
      </c>
      <c r="N1344">
        <v>1</v>
      </c>
      <c r="O1344" t="s">
        <v>319</v>
      </c>
      <c r="P1344" t="s">
        <v>310</v>
      </c>
      <c r="Q1344" t="s">
        <v>310</v>
      </c>
      <c r="R1344" t="s">
        <v>310</v>
      </c>
      <c r="S1344">
        <v>9</v>
      </c>
      <c r="T1344" t="s">
        <v>310</v>
      </c>
      <c r="U1344">
        <v>9</v>
      </c>
      <c r="V1344">
        <v>9</v>
      </c>
      <c r="W1344">
        <v>0</v>
      </c>
      <c r="X1344">
        <v>0</v>
      </c>
      <c r="Y1344">
        <v>0</v>
      </c>
      <c r="Z1344">
        <v>0</v>
      </c>
      <c r="AA1344">
        <v>9</v>
      </c>
      <c r="AB1344">
        <v>9</v>
      </c>
      <c r="AC1344" t="s">
        <v>310</v>
      </c>
      <c r="AD1344">
        <v>9</v>
      </c>
      <c r="AE1344" t="s">
        <v>1417</v>
      </c>
      <c r="AF1344">
        <v>70000000</v>
      </c>
      <c r="AG1344" t="s">
        <v>310</v>
      </c>
      <c r="AH1344">
        <f>SUM((MID(Dyno_Data[[#This Row],[Team]],4,5))+(Dyno_Data[[#This Row],[Match]]/100))</f>
        <v>1559.23</v>
      </c>
      <c r="AI1344" s="76">
        <f>ROUND(SUM(IF(Dyno_Data[[#This Row],[AcqCenter]]&gt;0,Dyno_Data[[#This Row],[Time]]-SUMIFS(Dyno_Data[Time],Dyno_Data[Team],Dyno_Data[[#This Row],[Team]],Dyno_Data[RecordType],"StartMatch",Dyno_Data[Match],Dyno_Data[[#This Row],[Match]]),0)*86400),0)</f>
        <v>0</v>
      </c>
    </row>
    <row r="1345" spans="1:35" x14ac:dyDescent="0.3">
      <c r="A1345">
        <v>1344</v>
      </c>
      <c r="B1345" t="s">
        <v>1280</v>
      </c>
      <c r="C1345">
        <v>23</v>
      </c>
      <c r="D1345" s="105">
        <v>45373.548523726851</v>
      </c>
      <c r="E1345" t="s">
        <v>312</v>
      </c>
      <c r="F1345" t="s">
        <v>1402</v>
      </c>
      <c r="G1345">
        <v>0</v>
      </c>
      <c r="H1345" t="s">
        <v>315</v>
      </c>
      <c r="I1345">
        <v>0</v>
      </c>
      <c r="J1345">
        <v>0</v>
      </c>
      <c r="K1345">
        <v>0</v>
      </c>
      <c r="L1345" t="s">
        <v>241</v>
      </c>
      <c r="M1345" t="s">
        <v>1398</v>
      </c>
      <c r="N1345">
        <v>0</v>
      </c>
      <c r="O1345" t="s">
        <v>319</v>
      </c>
      <c r="P1345" t="s">
        <v>310</v>
      </c>
      <c r="Q1345" t="s">
        <v>310</v>
      </c>
      <c r="R1345" t="s">
        <v>310</v>
      </c>
      <c r="S1345">
        <v>9</v>
      </c>
      <c r="T1345" t="s">
        <v>310</v>
      </c>
      <c r="U1345">
        <v>9</v>
      </c>
      <c r="V1345">
        <v>9</v>
      </c>
      <c r="W1345">
        <v>0</v>
      </c>
      <c r="X1345">
        <v>0</v>
      </c>
      <c r="Y1345">
        <v>0</v>
      </c>
      <c r="Z1345">
        <v>0</v>
      </c>
      <c r="AA1345">
        <v>9</v>
      </c>
      <c r="AB1345">
        <v>9</v>
      </c>
      <c r="AC1345" t="s">
        <v>310</v>
      </c>
      <c r="AD1345">
        <v>9</v>
      </c>
      <c r="AE1345" t="s">
        <v>1417</v>
      </c>
      <c r="AF1345">
        <v>80000000</v>
      </c>
      <c r="AG1345" t="s">
        <v>310</v>
      </c>
      <c r="AH1345">
        <f>SUM((MID(Dyno_Data[[#This Row],[Team]],4,5))+(Dyno_Data[[#This Row],[Match]]/100))</f>
        <v>1559.23</v>
      </c>
      <c r="AI1345" s="76">
        <f>ROUND(SUM(IF(Dyno_Data[[#This Row],[AcqCenter]]&gt;0,Dyno_Data[[#This Row],[Time]]-SUMIFS(Dyno_Data[Time],Dyno_Data[Team],Dyno_Data[[#This Row],[Team]],Dyno_Data[RecordType],"StartMatch",Dyno_Data[Match],Dyno_Data[[#This Row],[Match]]),0)*86400),0)</f>
        <v>0</v>
      </c>
    </row>
    <row r="1346" spans="1:35" x14ac:dyDescent="0.3">
      <c r="A1346">
        <v>1345</v>
      </c>
      <c r="B1346" t="s">
        <v>360</v>
      </c>
      <c r="C1346">
        <v>23</v>
      </c>
      <c r="D1346" s="105">
        <v>45373.548714780096</v>
      </c>
      <c r="E1346" t="s">
        <v>312</v>
      </c>
      <c r="F1346" t="s">
        <v>317</v>
      </c>
      <c r="G1346">
        <v>0</v>
      </c>
      <c r="H1346" t="s">
        <v>315</v>
      </c>
      <c r="I1346">
        <v>0</v>
      </c>
      <c r="J1346">
        <v>0</v>
      </c>
      <c r="K1346">
        <v>0</v>
      </c>
      <c r="L1346" t="s">
        <v>1410</v>
      </c>
      <c r="M1346" t="s">
        <v>153</v>
      </c>
      <c r="N1346">
        <v>0</v>
      </c>
      <c r="O1346" t="s">
        <v>1391</v>
      </c>
      <c r="P1346" t="s">
        <v>310</v>
      </c>
      <c r="Q1346" t="s">
        <v>310</v>
      </c>
      <c r="R1346" t="s">
        <v>310</v>
      </c>
      <c r="S1346">
        <v>9</v>
      </c>
      <c r="T1346" t="s">
        <v>310</v>
      </c>
      <c r="U1346">
        <v>9</v>
      </c>
      <c r="V1346">
        <v>9</v>
      </c>
      <c r="W1346">
        <v>0</v>
      </c>
      <c r="X1346">
        <v>0</v>
      </c>
      <c r="Y1346">
        <v>0</v>
      </c>
      <c r="Z1346">
        <v>0</v>
      </c>
      <c r="AA1346">
        <v>9</v>
      </c>
      <c r="AB1346">
        <v>9</v>
      </c>
      <c r="AC1346" t="s">
        <v>310</v>
      </c>
      <c r="AD1346">
        <v>9</v>
      </c>
      <c r="AE1346" t="s">
        <v>1416</v>
      </c>
      <c r="AF1346">
        <v>130004000</v>
      </c>
      <c r="AG1346" t="s">
        <v>310</v>
      </c>
      <c r="AH1346">
        <f>SUM((MID(Dyno_Data[[#This Row],[Team]],4,5))+(Dyno_Data[[#This Row],[Match]]/100))</f>
        <v>1796.23</v>
      </c>
      <c r="AI1346" s="76">
        <f>ROUND(SUM(IF(Dyno_Data[[#This Row],[AcqCenter]]&gt;0,Dyno_Data[[#This Row],[Time]]-SUMIFS(Dyno_Data[Time],Dyno_Data[Team],Dyno_Data[[#This Row],[Team]],Dyno_Data[RecordType],"StartMatch",Dyno_Data[Match],Dyno_Data[[#This Row],[Match]]),0)*86400),0)</f>
        <v>0</v>
      </c>
    </row>
    <row r="1347" spans="1:35" x14ac:dyDescent="0.3">
      <c r="A1347">
        <v>1346</v>
      </c>
      <c r="B1347" t="s">
        <v>361</v>
      </c>
      <c r="C1347">
        <v>23</v>
      </c>
      <c r="D1347" s="105">
        <v>45373.548756053242</v>
      </c>
      <c r="E1347" t="s">
        <v>312</v>
      </c>
      <c r="F1347" t="s">
        <v>1402</v>
      </c>
      <c r="G1347">
        <v>0</v>
      </c>
      <c r="H1347" t="s">
        <v>315</v>
      </c>
      <c r="I1347">
        <v>0</v>
      </c>
      <c r="J1347">
        <v>0</v>
      </c>
      <c r="K1347">
        <v>0</v>
      </c>
      <c r="L1347" t="s">
        <v>240</v>
      </c>
      <c r="M1347" t="s">
        <v>1398</v>
      </c>
      <c r="N1347">
        <v>0</v>
      </c>
      <c r="O1347" t="s">
        <v>1395</v>
      </c>
      <c r="P1347" t="s">
        <v>310</v>
      </c>
      <c r="Q1347" t="s">
        <v>310</v>
      </c>
      <c r="R1347" t="s">
        <v>310</v>
      </c>
      <c r="S1347">
        <v>9</v>
      </c>
      <c r="T1347" t="s">
        <v>310</v>
      </c>
      <c r="U1347">
        <v>9</v>
      </c>
      <c r="V1347">
        <v>9</v>
      </c>
      <c r="W1347">
        <v>0</v>
      </c>
      <c r="X1347">
        <v>0</v>
      </c>
      <c r="Y1347">
        <v>0</v>
      </c>
      <c r="Z1347">
        <v>0</v>
      </c>
      <c r="AA1347">
        <v>9</v>
      </c>
      <c r="AB1347">
        <v>9</v>
      </c>
      <c r="AC1347" t="s">
        <v>310</v>
      </c>
      <c r="AD1347">
        <v>9</v>
      </c>
      <c r="AE1347" t="s">
        <v>1392</v>
      </c>
      <c r="AF1347">
        <v>90100000</v>
      </c>
      <c r="AG1347" t="s">
        <v>310</v>
      </c>
      <c r="AH1347">
        <f>SUM((MID(Dyno_Data[[#This Row],[Team]],4,5))+(Dyno_Data[[#This Row],[Match]]/100))</f>
        <v>20.23</v>
      </c>
      <c r="AI1347" s="76">
        <f>ROUND(SUM(IF(Dyno_Data[[#This Row],[AcqCenter]]&gt;0,Dyno_Data[[#This Row],[Time]]-SUMIFS(Dyno_Data[Time],Dyno_Data[Team],Dyno_Data[[#This Row],[Team]],Dyno_Data[RecordType],"StartMatch",Dyno_Data[Match],Dyno_Data[[#This Row],[Match]]),0)*86400),0)</f>
        <v>0</v>
      </c>
    </row>
    <row r="1348" spans="1:35" x14ac:dyDescent="0.3">
      <c r="A1348">
        <v>1347</v>
      </c>
      <c r="B1348" t="s">
        <v>361</v>
      </c>
      <c r="C1348">
        <v>23</v>
      </c>
      <c r="D1348" s="105">
        <v>45373.548913692131</v>
      </c>
      <c r="E1348" t="s">
        <v>1403</v>
      </c>
      <c r="F1348" t="s">
        <v>317</v>
      </c>
      <c r="G1348">
        <v>0</v>
      </c>
      <c r="H1348" t="s">
        <v>310</v>
      </c>
      <c r="I1348">
        <v>0</v>
      </c>
      <c r="J1348">
        <v>0</v>
      </c>
      <c r="K1348">
        <v>0</v>
      </c>
      <c r="L1348" t="s">
        <v>310</v>
      </c>
      <c r="M1348" t="s">
        <v>310</v>
      </c>
      <c r="N1348">
        <v>0</v>
      </c>
      <c r="O1348" t="s">
        <v>1395</v>
      </c>
      <c r="P1348" t="s">
        <v>310</v>
      </c>
      <c r="Q1348" t="s">
        <v>310</v>
      </c>
      <c r="R1348" t="s">
        <v>310</v>
      </c>
      <c r="S1348">
        <v>9</v>
      </c>
      <c r="T1348" t="s">
        <v>310</v>
      </c>
      <c r="U1348">
        <v>9</v>
      </c>
      <c r="V1348">
        <v>9</v>
      </c>
      <c r="W1348">
        <v>0</v>
      </c>
      <c r="X1348">
        <v>0</v>
      </c>
      <c r="Y1348">
        <v>0</v>
      </c>
      <c r="Z1348">
        <v>0</v>
      </c>
      <c r="AA1348">
        <v>9</v>
      </c>
      <c r="AB1348">
        <v>9</v>
      </c>
      <c r="AC1348" t="s">
        <v>310</v>
      </c>
      <c r="AD1348">
        <v>9</v>
      </c>
      <c r="AE1348" t="s">
        <v>1392</v>
      </c>
      <c r="AF1348">
        <v>90100000</v>
      </c>
      <c r="AG1348" t="s">
        <v>248</v>
      </c>
      <c r="AH1348">
        <f>SUM((MID(Dyno_Data[[#This Row],[Team]],4,5))+(Dyno_Data[[#This Row],[Match]]/100))</f>
        <v>20.23</v>
      </c>
      <c r="AI1348" s="76">
        <f>ROUND(SUM(IF(Dyno_Data[[#This Row],[AcqCenter]]&gt;0,Dyno_Data[[#This Row],[Time]]-SUMIFS(Dyno_Data[Time],Dyno_Data[Team],Dyno_Data[[#This Row],[Team]],Dyno_Data[RecordType],"StartMatch",Dyno_Data[Match],Dyno_Data[[#This Row],[Match]]),0)*86400),0)</f>
        <v>0</v>
      </c>
    </row>
    <row r="1349" spans="1:35" x14ac:dyDescent="0.3">
      <c r="A1349">
        <v>1348</v>
      </c>
      <c r="B1349" t="s">
        <v>1301</v>
      </c>
      <c r="C1349">
        <v>23</v>
      </c>
      <c r="D1349" s="105">
        <v>45373.550043402778</v>
      </c>
      <c r="E1349" t="s">
        <v>316</v>
      </c>
      <c r="F1349" t="s">
        <v>317</v>
      </c>
      <c r="G1349">
        <v>0</v>
      </c>
      <c r="H1349" t="s">
        <v>310</v>
      </c>
      <c r="I1349">
        <v>0</v>
      </c>
      <c r="J1349">
        <v>0</v>
      </c>
      <c r="K1349">
        <v>0</v>
      </c>
      <c r="L1349" t="s">
        <v>310</v>
      </c>
      <c r="M1349" t="s">
        <v>310</v>
      </c>
      <c r="N1349">
        <v>0</v>
      </c>
      <c r="O1349" t="s">
        <v>311</v>
      </c>
      <c r="P1349" t="s">
        <v>1401</v>
      </c>
      <c r="Q1349" t="s">
        <v>1400</v>
      </c>
      <c r="R1349" t="s">
        <v>321</v>
      </c>
      <c r="S1349">
        <v>0</v>
      </c>
      <c r="T1349" t="s">
        <v>105</v>
      </c>
      <c r="U1349">
        <v>9</v>
      </c>
      <c r="V1349">
        <v>9</v>
      </c>
      <c r="W1349">
        <v>0</v>
      </c>
      <c r="X1349">
        <v>0</v>
      </c>
      <c r="Y1349">
        <v>77.865661500000002</v>
      </c>
      <c r="Z1349">
        <v>56.245257799999997</v>
      </c>
      <c r="AA1349">
        <v>2</v>
      </c>
      <c r="AB1349">
        <v>0</v>
      </c>
      <c r="AC1349" t="s">
        <v>170</v>
      </c>
      <c r="AD1349">
        <v>9</v>
      </c>
      <c r="AE1349" t="s">
        <v>1394</v>
      </c>
      <c r="AF1349">
        <v>0</v>
      </c>
      <c r="AG1349" t="s">
        <v>310</v>
      </c>
      <c r="AH1349">
        <f>SUM((MID(Dyno_Data[[#This Row],[Team]],4,5))+(Dyno_Data[[#This Row],[Match]]/100))</f>
        <v>7031.23</v>
      </c>
      <c r="AI1349" s="76">
        <f>ROUND(SUM(IF(Dyno_Data[[#This Row],[AcqCenter]]&gt;0,Dyno_Data[[#This Row],[Time]]-SUMIFS(Dyno_Data[Time],Dyno_Data[Team],Dyno_Data[[#This Row],[Team]],Dyno_Data[RecordType],"StartMatch",Dyno_Data[Match],Dyno_Data[[#This Row],[Match]]),0)*86400),0)</f>
        <v>0</v>
      </c>
    </row>
    <row r="1350" spans="1:35" x14ac:dyDescent="0.3">
      <c r="A1350">
        <v>1349</v>
      </c>
      <c r="B1350" t="s">
        <v>360</v>
      </c>
      <c r="C1350">
        <v>23</v>
      </c>
      <c r="D1350" s="105">
        <v>45373.550043518517</v>
      </c>
      <c r="E1350" t="s">
        <v>316</v>
      </c>
      <c r="F1350" t="s">
        <v>317</v>
      </c>
      <c r="G1350">
        <v>1</v>
      </c>
      <c r="H1350" t="s">
        <v>310</v>
      </c>
      <c r="I1350">
        <v>0</v>
      </c>
      <c r="J1350">
        <v>0</v>
      </c>
      <c r="K1350">
        <v>0</v>
      </c>
      <c r="L1350" t="s">
        <v>310</v>
      </c>
      <c r="M1350" t="s">
        <v>310</v>
      </c>
      <c r="N1350">
        <v>0</v>
      </c>
      <c r="O1350" t="s">
        <v>1391</v>
      </c>
      <c r="P1350" t="s">
        <v>240</v>
      </c>
      <c r="Q1350" t="s">
        <v>1399</v>
      </c>
      <c r="R1350" t="s">
        <v>1405</v>
      </c>
      <c r="S1350">
        <v>1</v>
      </c>
      <c r="T1350" t="s">
        <v>1407</v>
      </c>
      <c r="U1350">
        <v>0</v>
      </c>
      <c r="V1350">
        <v>0</v>
      </c>
      <c r="W1350">
        <v>7.4944100999999996</v>
      </c>
      <c r="X1350">
        <v>39.6709654</v>
      </c>
      <c r="Y1350">
        <v>21.973977399999999</v>
      </c>
      <c r="Z1350">
        <v>48.213073699999995</v>
      </c>
      <c r="AA1350">
        <v>0</v>
      </c>
      <c r="AB1350">
        <v>0</v>
      </c>
      <c r="AC1350" t="s">
        <v>174</v>
      </c>
      <c r="AD1350">
        <v>0</v>
      </c>
      <c r="AE1350" t="s">
        <v>1416</v>
      </c>
      <c r="AF1350">
        <v>130004000</v>
      </c>
      <c r="AG1350" t="s">
        <v>310</v>
      </c>
      <c r="AH1350">
        <f>SUM((MID(Dyno_Data[[#This Row],[Team]],4,5))+(Dyno_Data[[#This Row],[Match]]/100))</f>
        <v>1796.23</v>
      </c>
      <c r="AI1350" s="76">
        <f>ROUND(SUM(IF(Dyno_Data[[#This Row],[AcqCenter]]&gt;0,Dyno_Data[[#This Row],[Time]]-SUMIFS(Dyno_Data[Time],Dyno_Data[Team],Dyno_Data[[#This Row],[Team]],Dyno_Data[RecordType],"StartMatch",Dyno_Data[Match],Dyno_Data[[#This Row],[Match]]),0)*86400),0)</f>
        <v>0</v>
      </c>
    </row>
    <row r="1351" spans="1:35" x14ac:dyDescent="0.3">
      <c r="A1351">
        <v>1350</v>
      </c>
      <c r="B1351" t="s">
        <v>1280</v>
      </c>
      <c r="C1351">
        <v>23</v>
      </c>
      <c r="D1351" s="105">
        <v>45373.550043599535</v>
      </c>
      <c r="E1351" t="s">
        <v>316</v>
      </c>
      <c r="F1351" t="s">
        <v>317</v>
      </c>
      <c r="G1351">
        <v>0</v>
      </c>
      <c r="H1351" t="s">
        <v>310</v>
      </c>
      <c r="I1351">
        <v>0</v>
      </c>
      <c r="J1351">
        <v>0</v>
      </c>
      <c r="K1351">
        <v>0</v>
      </c>
      <c r="L1351" t="s">
        <v>310</v>
      </c>
      <c r="M1351" t="s">
        <v>310</v>
      </c>
      <c r="N1351">
        <v>0</v>
      </c>
      <c r="O1351" t="s">
        <v>319</v>
      </c>
      <c r="P1351" t="s">
        <v>101</v>
      </c>
      <c r="Q1351" t="s">
        <v>1400</v>
      </c>
      <c r="R1351" t="s">
        <v>1405</v>
      </c>
      <c r="S1351">
        <v>1</v>
      </c>
      <c r="T1351" t="s">
        <v>1406</v>
      </c>
      <c r="U1351">
        <v>0</v>
      </c>
      <c r="V1351">
        <v>0</v>
      </c>
      <c r="W1351">
        <v>11.8907101</v>
      </c>
      <c r="X1351">
        <v>30.184531499999999</v>
      </c>
      <c r="Y1351">
        <v>10.963695299999999</v>
      </c>
      <c r="Z1351">
        <v>65.567818099999997</v>
      </c>
      <c r="AA1351">
        <v>0</v>
      </c>
      <c r="AB1351">
        <v>0</v>
      </c>
      <c r="AC1351" t="s">
        <v>174</v>
      </c>
      <c r="AD1351">
        <v>9</v>
      </c>
      <c r="AE1351" t="s">
        <v>1417</v>
      </c>
      <c r="AF1351">
        <v>80000000</v>
      </c>
      <c r="AG1351" t="s">
        <v>310</v>
      </c>
      <c r="AH1351">
        <f>SUM((MID(Dyno_Data[[#This Row],[Team]],4,5))+(Dyno_Data[[#This Row],[Match]]/100))</f>
        <v>1559.23</v>
      </c>
      <c r="AI1351" s="76">
        <f>ROUND(SUM(IF(Dyno_Data[[#This Row],[AcqCenter]]&gt;0,Dyno_Data[[#This Row],[Time]]-SUMIFS(Dyno_Data[Time],Dyno_Data[Team],Dyno_Data[[#This Row],[Team]],Dyno_Data[RecordType],"StartMatch",Dyno_Data[Match],Dyno_Data[[#This Row],[Match]]),0)*86400),0)</f>
        <v>0</v>
      </c>
    </row>
    <row r="1352" spans="1:35" x14ac:dyDescent="0.3">
      <c r="A1352">
        <v>1351</v>
      </c>
      <c r="B1352" t="s">
        <v>1282</v>
      </c>
      <c r="C1352">
        <v>23</v>
      </c>
      <c r="D1352" s="105">
        <v>45373.55004371528</v>
      </c>
      <c r="E1352" t="s">
        <v>316</v>
      </c>
      <c r="F1352" t="s">
        <v>317</v>
      </c>
      <c r="G1352">
        <v>1</v>
      </c>
      <c r="H1352" t="s">
        <v>310</v>
      </c>
      <c r="I1352">
        <v>0</v>
      </c>
      <c r="J1352">
        <v>0</v>
      </c>
      <c r="K1352">
        <v>0</v>
      </c>
      <c r="L1352" t="s">
        <v>310</v>
      </c>
      <c r="M1352" t="s">
        <v>310</v>
      </c>
      <c r="N1352">
        <v>0</v>
      </c>
      <c r="O1352" t="s">
        <v>1393</v>
      </c>
      <c r="P1352" t="s">
        <v>240</v>
      </c>
      <c r="Q1352" t="s">
        <v>1399</v>
      </c>
      <c r="R1352" t="s">
        <v>321</v>
      </c>
      <c r="S1352">
        <v>0</v>
      </c>
      <c r="T1352" t="s">
        <v>105</v>
      </c>
      <c r="U1352">
        <v>9</v>
      </c>
      <c r="V1352">
        <v>9</v>
      </c>
      <c r="W1352">
        <v>0</v>
      </c>
      <c r="X1352">
        <v>29.715219899999997</v>
      </c>
      <c r="Y1352">
        <v>3.9497489999999997</v>
      </c>
      <c r="Z1352">
        <v>96.882600699999998</v>
      </c>
      <c r="AA1352">
        <v>0</v>
      </c>
      <c r="AB1352">
        <v>0</v>
      </c>
      <c r="AC1352" t="s">
        <v>174</v>
      </c>
      <c r="AD1352">
        <v>0</v>
      </c>
      <c r="AE1352" t="s">
        <v>1418</v>
      </c>
      <c r="AF1352">
        <v>30001000</v>
      </c>
      <c r="AG1352" t="s">
        <v>310</v>
      </c>
      <c r="AH1352">
        <f>SUM((MID(Dyno_Data[[#This Row],[Team]],4,5))+(Dyno_Data[[#This Row],[Match]]/100))</f>
        <v>333.23</v>
      </c>
      <c r="AI1352" s="76">
        <f>ROUND(SUM(IF(Dyno_Data[[#This Row],[AcqCenter]]&gt;0,Dyno_Data[[#This Row],[Time]]-SUMIFS(Dyno_Data[Time],Dyno_Data[Team],Dyno_Data[[#This Row],[Team]],Dyno_Data[RecordType],"StartMatch",Dyno_Data[Match],Dyno_Data[[#This Row],[Match]]),0)*86400),0)</f>
        <v>0</v>
      </c>
    </row>
    <row r="1353" spans="1:35" x14ac:dyDescent="0.3">
      <c r="A1353">
        <v>1352</v>
      </c>
      <c r="B1353" t="s">
        <v>366</v>
      </c>
      <c r="C1353">
        <v>23</v>
      </c>
      <c r="D1353" s="105">
        <v>45373.550043831019</v>
      </c>
      <c r="E1353" t="s">
        <v>316</v>
      </c>
      <c r="F1353" t="s">
        <v>317</v>
      </c>
      <c r="G1353">
        <v>0</v>
      </c>
      <c r="H1353" t="s">
        <v>310</v>
      </c>
      <c r="I1353">
        <v>0</v>
      </c>
      <c r="J1353">
        <v>0</v>
      </c>
      <c r="K1353">
        <v>0</v>
      </c>
      <c r="L1353" t="s">
        <v>310</v>
      </c>
      <c r="M1353" t="s">
        <v>310</v>
      </c>
      <c r="N1353">
        <v>0</v>
      </c>
      <c r="O1353" t="s">
        <v>1389</v>
      </c>
      <c r="P1353" t="s">
        <v>101</v>
      </c>
      <c r="Q1353" t="s">
        <v>1400</v>
      </c>
      <c r="R1353" t="s">
        <v>321</v>
      </c>
      <c r="S1353">
        <v>0</v>
      </c>
      <c r="T1353" t="s">
        <v>105</v>
      </c>
      <c r="U1353">
        <v>9</v>
      </c>
      <c r="V1353">
        <v>9</v>
      </c>
      <c r="W1353">
        <v>0</v>
      </c>
      <c r="X1353">
        <v>9.2371608999999992</v>
      </c>
      <c r="Y1353">
        <v>17.5710245</v>
      </c>
      <c r="Z1353">
        <v>110.2894472</v>
      </c>
      <c r="AA1353">
        <v>0</v>
      </c>
      <c r="AB1353">
        <v>1</v>
      </c>
      <c r="AC1353" t="s">
        <v>174</v>
      </c>
      <c r="AD1353">
        <v>9</v>
      </c>
      <c r="AE1353" t="s">
        <v>1387</v>
      </c>
      <c r="AF1353">
        <v>20000000</v>
      </c>
      <c r="AG1353" t="s">
        <v>310</v>
      </c>
      <c r="AH1353">
        <f>SUM((MID(Dyno_Data[[#This Row],[Team]],4,5))+(Dyno_Data[[#This Row],[Match]]/100))</f>
        <v>4122.2299999999996</v>
      </c>
      <c r="AI1353" s="76">
        <f>ROUND(SUM(IF(Dyno_Data[[#This Row],[AcqCenter]]&gt;0,Dyno_Data[[#This Row],[Time]]-SUMIFS(Dyno_Data[Time],Dyno_Data[Team],Dyno_Data[[#This Row],[Team]],Dyno_Data[RecordType],"StartMatch",Dyno_Data[Match],Dyno_Data[[#This Row],[Match]]),0)*86400),0)</f>
        <v>0</v>
      </c>
    </row>
    <row r="1354" spans="1:35" x14ac:dyDescent="0.3">
      <c r="A1354">
        <v>1353</v>
      </c>
      <c r="B1354" t="s">
        <v>361</v>
      </c>
      <c r="C1354">
        <v>23</v>
      </c>
      <c r="D1354" s="105">
        <v>45373.550043900461</v>
      </c>
      <c r="E1354" t="s">
        <v>316</v>
      </c>
      <c r="F1354" t="s">
        <v>317</v>
      </c>
      <c r="G1354">
        <v>1</v>
      </c>
      <c r="H1354" t="s">
        <v>310</v>
      </c>
      <c r="I1354">
        <v>0</v>
      </c>
      <c r="J1354">
        <v>0</v>
      </c>
      <c r="K1354">
        <v>0</v>
      </c>
      <c r="L1354" t="s">
        <v>310</v>
      </c>
      <c r="M1354" t="s">
        <v>310</v>
      </c>
      <c r="N1354">
        <v>0</v>
      </c>
      <c r="O1354" t="s">
        <v>1395</v>
      </c>
      <c r="P1354" t="s">
        <v>1401</v>
      </c>
      <c r="Q1354" t="s">
        <v>1400</v>
      </c>
      <c r="R1354" t="s">
        <v>1404</v>
      </c>
      <c r="S1354">
        <v>0</v>
      </c>
      <c r="T1354" t="s">
        <v>105</v>
      </c>
      <c r="U1354">
        <v>9</v>
      </c>
      <c r="V1354">
        <v>9</v>
      </c>
      <c r="W1354">
        <v>0</v>
      </c>
      <c r="X1354">
        <v>51.729088599999997</v>
      </c>
      <c r="Y1354">
        <v>31.4993944</v>
      </c>
      <c r="Z1354">
        <v>52.873210199999995</v>
      </c>
      <c r="AA1354">
        <v>0</v>
      </c>
      <c r="AB1354">
        <v>0</v>
      </c>
      <c r="AC1354" t="s">
        <v>174</v>
      </c>
      <c r="AD1354">
        <v>9</v>
      </c>
      <c r="AE1354" t="s">
        <v>1392</v>
      </c>
      <c r="AF1354">
        <v>90100000</v>
      </c>
      <c r="AG1354" t="s">
        <v>310</v>
      </c>
      <c r="AH1354">
        <f>SUM((MID(Dyno_Data[[#This Row],[Team]],4,5))+(Dyno_Data[[#This Row],[Match]]/100))</f>
        <v>20.23</v>
      </c>
      <c r="AI1354" s="76">
        <f>ROUND(SUM(IF(Dyno_Data[[#This Row],[AcqCenter]]&gt;0,Dyno_Data[[#This Row],[Time]]-SUMIFS(Dyno_Data[Time],Dyno_Data[Team],Dyno_Data[[#This Row],[Team]],Dyno_Data[RecordType],"StartMatch",Dyno_Data[Match],Dyno_Data[[#This Row],[Match]]),0)*86400),0)</f>
        <v>0</v>
      </c>
    </row>
    <row r="1355" spans="1:35" x14ac:dyDescent="0.3">
      <c r="A1355">
        <v>1360</v>
      </c>
      <c r="B1355" t="s">
        <v>1312</v>
      </c>
      <c r="C1355">
        <v>24</v>
      </c>
      <c r="D1355" s="105">
        <v>45373.55264440972</v>
      </c>
      <c r="E1355" t="s">
        <v>308</v>
      </c>
      <c r="F1355" t="s">
        <v>309</v>
      </c>
      <c r="G1355">
        <v>0</v>
      </c>
      <c r="H1355" t="s">
        <v>310</v>
      </c>
      <c r="I1355">
        <v>0</v>
      </c>
      <c r="J1355">
        <v>0</v>
      </c>
      <c r="K1355">
        <v>0</v>
      </c>
      <c r="L1355" t="s">
        <v>310</v>
      </c>
      <c r="M1355" t="s">
        <v>310</v>
      </c>
      <c r="N1355">
        <v>0</v>
      </c>
      <c r="O1355" t="s">
        <v>1391</v>
      </c>
      <c r="P1355" t="s">
        <v>310</v>
      </c>
      <c r="Q1355" t="s">
        <v>310</v>
      </c>
      <c r="R1355" t="s">
        <v>310</v>
      </c>
      <c r="S1355">
        <v>9</v>
      </c>
      <c r="T1355" t="s">
        <v>310</v>
      </c>
      <c r="U1355">
        <v>9</v>
      </c>
      <c r="V1355">
        <v>9</v>
      </c>
      <c r="W1355">
        <v>0</v>
      </c>
      <c r="X1355">
        <v>0</v>
      </c>
      <c r="Y1355">
        <v>0</v>
      </c>
      <c r="Z1355">
        <v>0</v>
      </c>
      <c r="AA1355">
        <v>9</v>
      </c>
      <c r="AB1355">
        <v>9</v>
      </c>
      <c r="AC1355" t="s">
        <v>310</v>
      </c>
      <c r="AD1355">
        <v>9</v>
      </c>
      <c r="AE1355" t="s">
        <v>1416</v>
      </c>
      <c r="AF1355">
        <v>20000000</v>
      </c>
      <c r="AG1355" t="s">
        <v>310</v>
      </c>
      <c r="AH1355">
        <f>SUM((MID(Dyno_Data[[#This Row],[Team]],4,5))+(Dyno_Data[[#This Row],[Match]]/100))</f>
        <v>2053.2399999999998</v>
      </c>
      <c r="AI1355" s="76">
        <f>ROUND(SUM(IF(Dyno_Data[[#This Row],[AcqCenter]]&gt;0,Dyno_Data[[#This Row],[Time]]-SUMIFS(Dyno_Data[Time],Dyno_Data[Team],Dyno_Data[[#This Row],[Team]],Dyno_Data[RecordType],"StartMatch",Dyno_Data[Match],Dyno_Data[[#This Row],[Match]]),0)*86400),0)</f>
        <v>0</v>
      </c>
    </row>
    <row r="1356" spans="1:35" x14ac:dyDescent="0.3">
      <c r="A1356">
        <v>1362</v>
      </c>
      <c r="B1356" t="s">
        <v>1306</v>
      </c>
      <c r="C1356">
        <v>24</v>
      </c>
      <c r="D1356" s="105">
        <v>45373.552648032404</v>
      </c>
      <c r="E1356" t="s">
        <v>308</v>
      </c>
      <c r="F1356" t="s">
        <v>309</v>
      </c>
      <c r="G1356">
        <v>0</v>
      </c>
      <c r="H1356" t="s">
        <v>310</v>
      </c>
      <c r="I1356">
        <v>0</v>
      </c>
      <c r="J1356">
        <v>0</v>
      </c>
      <c r="K1356">
        <v>0</v>
      </c>
      <c r="L1356" t="s">
        <v>310</v>
      </c>
      <c r="M1356" t="s">
        <v>310</v>
      </c>
      <c r="N1356">
        <v>0</v>
      </c>
      <c r="O1356" t="s">
        <v>1393</v>
      </c>
      <c r="P1356" t="s">
        <v>310</v>
      </c>
      <c r="Q1356" t="s">
        <v>310</v>
      </c>
      <c r="R1356" t="s">
        <v>310</v>
      </c>
      <c r="S1356">
        <v>9</v>
      </c>
      <c r="T1356" t="s">
        <v>310</v>
      </c>
      <c r="U1356">
        <v>9</v>
      </c>
      <c r="V1356">
        <v>9</v>
      </c>
      <c r="W1356">
        <v>0</v>
      </c>
      <c r="X1356">
        <v>0</v>
      </c>
      <c r="Y1356">
        <v>0</v>
      </c>
      <c r="Z1356">
        <v>0</v>
      </c>
      <c r="AA1356">
        <v>9</v>
      </c>
      <c r="AB1356">
        <v>9</v>
      </c>
      <c r="AC1356" t="s">
        <v>310</v>
      </c>
      <c r="AD1356">
        <v>9</v>
      </c>
      <c r="AE1356" t="s">
        <v>1394</v>
      </c>
      <c r="AF1356">
        <v>0</v>
      </c>
      <c r="AG1356" t="s">
        <v>310</v>
      </c>
      <c r="AH1356">
        <f>SUM((MID(Dyno_Data[[#This Row],[Team]],4,5))+(Dyno_Data[[#This Row],[Match]]/100))</f>
        <v>3986.24</v>
      </c>
      <c r="AI1356" s="76">
        <f>ROUND(SUM(IF(Dyno_Data[[#This Row],[AcqCenter]]&gt;0,Dyno_Data[[#This Row],[Time]]-SUMIFS(Dyno_Data[Time],Dyno_Data[Team],Dyno_Data[[#This Row],[Team]],Dyno_Data[RecordType],"StartMatch",Dyno_Data[Match],Dyno_Data[[#This Row],[Match]]),0)*86400),0)</f>
        <v>0</v>
      </c>
    </row>
    <row r="1357" spans="1:35" x14ac:dyDescent="0.3">
      <c r="A1357">
        <v>1364</v>
      </c>
      <c r="B1357" t="s">
        <v>1289</v>
      </c>
      <c r="C1357">
        <v>24</v>
      </c>
      <c r="D1357" s="105">
        <v>45373.552649386576</v>
      </c>
      <c r="E1357" t="s">
        <v>308</v>
      </c>
      <c r="F1357" t="s">
        <v>309</v>
      </c>
      <c r="G1357">
        <v>0</v>
      </c>
      <c r="H1357" t="s">
        <v>310</v>
      </c>
      <c r="I1357">
        <v>0</v>
      </c>
      <c r="J1357">
        <v>0</v>
      </c>
      <c r="K1357">
        <v>0</v>
      </c>
      <c r="L1357" t="s">
        <v>310</v>
      </c>
      <c r="M1357" t="s">
        <v>310</v>
      </c>
      <c r="N1357">
        <v>0</v>
      </c>
      <c r="O1357" t="s">
        <v>1395</v>
      </c>
      <c r="P1357" t="s">
        <v>310</v>
      </c>
      <c r="Q1357" t="s">
        <v>310</v>
      </c>
      <c r="R1357" t="s">
        <v>310</v>
      </c>
      <c r="S1357">
        <v>9</v>
      </c>
      <c r="T1357" t="s">
        <v>310</v>
      </c>
      <c r="U1357">
        <v>9</v>
      </c>
      <c r="V1357">
        <v>9</v>
      </c>
      <c r="W1357">
        <v>0</v>
      </c>
      <c r="X1357">
        <v>0</v>
      </c>
      <c r="Y1357">
        <v>0</v>
      </c>
      <c r="Z1357">
        <v>0</v>
      </c>
      <c r="AA1357">
        <v>9</v>
      </c>
      <c r="AB1357">
        <v>9</v>
      </c>
      <c r="AC1357" t="s">
        <v>310</v>
      </c>
      <c r="AD1357">
        <v>9</v>
      </c>
      <c r="AE1357" t="s">
        <v>1392</v>
      </c>
      <c r="AF1357">
        <v>0</v>
      </c>
      <c r="AG1357" t="s">
        <v>310</v>
      </c>
      <c r="AH1357">
        <f>SUM((MID(Dyno_Data[[#This Row],[Team]],4,5))+(Dyno_Data[[#This Row],[Match]]/100))</f>
        <v>6648.24</v>
      </c>
      <c r="AI1357" s="76">
        <f>ROUND(SUM(IF(Dyno_Data[[#This Row],[AcqCenter]]&gt;0,Dyno_Data[[#This Row],[Time]]-SUMIFS(Dyno_Data[Time],Dyno_Data[Team],Dyno_Data[[#This Row],[Team]],Dyno_Data[RecordType],"StartMatch",Dyno_Data[Match],Dyno_Data[[#This Row],[Match]]),0)*86400),0)</f>
        <v>0</v>
      </c>
    </row>
    <row r="1358" spans="1:35" x14ac:dyDescent="0.3">
      <c r="A1358">
        <v>1366</v>
      </c>
      <c r="B1358" t="s">
        <v>1315</v>
      </c>
      <c r="C1358">
        <v>24</v>
      </c>
      <c r="D1358" s="105">
        <v>45373.552650844904</v>
      </c>
      <c r="E1358" t="s">
        <v>308</v>
      </c>
      <c r="F1358" t="s">
        <v>309</v>
      </c>
      <c r="G1358">
        <v>0</v>
      </c>
      <c r="H1358" t="s">
        <v>310</v>
      </c>
      <c r="I1358">
        <v>0</v>
      </c>
      <c r="J1358">
        <v>0</v>
      </c>
      <c r="K1358">
        <v>0</v>
      </c>
      <c r="L1358" t="s">
        <v>310</v>
      </c>
      <c r="M1358" t="s">
        <v>310</v>
      </c>
      <c r="N1358">
        <v>0</v>
      </c>
      <c r="O1358" t="s">
        <v>311</v>
      </c>
      <c r="P1358" t="s">
        <v>310</v>
      </c>
      <c r="Q1358" t="s">
        <v>310</v>
      </c>
      <c r="R1358" t="s">
        <v>310</v>
      </c>
      <c r="S1358">
        <v>9</v>
      </c>
      <c r="T1358" t="s">
        <v>310</v>
      </c>
      <c r="U1358">
        <v>9</v>
      </c>
      <c r="V1358">
        <v>9</v>
      </c>
      <c r="W1358">
        <v>0</v>
      </c>
      <c r="X1358">
        <v>0</v>
      </c>
      <c r="Y1358">
        <v>0</v>
      </c>
      <c r="Z1358">
        <v>0</v>
      </c>
      <c r="AA1358">
        <v>9</v>
      </c>
      <c r="AB1358">
        <v>9</v>
      </c>
      <c r="AC1358" t="s">
        <v>310</v>
      </c>
      <c r="AD1358">
        <v>9</v>
      </c>
      <c r="AE1358" t="s">
        <v>1418</v>
      </c>
      <c r="AF1358">
        <v>0</v>
      </c>
      <c r="AG1358" t="s">
        <v>310</v>
      </c>
      <c r="AH1358">
        <f>SUM((MID(Dyno_Data[[#This Row],[Team]],4,5))+(Dyno_Data[[#This Row],[Match]]/100))</f>
        <v>1511.24</v>
      </c>
      <c r="AI1358" s="76">
        <f>ROUND(SUM(IF(Dyno_Data[[#This Row],[AcqCenter]]&gt;0,Dyno_Data[[#This Row],[Time]]-SUMIFS(Dyno_Data[Time],Dyno_Data[Team],Dyno_Data[[#This Row],[Team]],Dyno_Data[RecordType],"StartMatch",Dyno_Data[Match],Dyno_Data[[#This Row],[Match]]),0)*86400),0)</f>
        <v>0</v>
      </c>
    </row>
    <row r="1359" spans="1:35" x14ac:dyDescent="0.3">
      <c r="A1359">
        <v>1368</v>
      </c>
      <c r="B1359" t="s">
        <v>1297</v>
      </c>
      <c r="C1359">
        <v>24</v>
      </c>
      <c r="D1359" s="105">
        <v>45373.552663888891</v>
      </c>
      <c r="E1359" t="s">
        <v>308</v>
      </c>
      <c r="F1359" t="s">
        <v>309</v>
      </c>
      <c r="G1359">
        <v>0</v>
      </c>
      <c r="H1359" t="s">
        <v>310</v>
      </c>
      <c r="I1359">
        <v>0</v>
      </c>
      <c r="J1359">
        <v>0</v>
      </c>
      <c r="K1359">
        <v>0</v>
      </c>
      <c r="L1359" t="s">
        <v>310</v>
      </c>
      <c r="M1359" t="s">
        <v>310</v>
      </c>
      <c r="N1359">
        <v>0</v>
      </c>
      <c r="O1359" t="s">
        <v>319</v>
      </c>
      <c r="P1359" t="s">
        <v>310</v>
      </c>
      <c r="Q1359" t="s">
        <v>310</v>
      </c>
      <c r="R1359" t="s">
        <v>310</v>
      </c>
      <c r="S1359">
        <v>9</v>
      </c>
      <c r="T1359" t="s">
        <v>310</v>
      </c>
      <c r="U1359">
        <v>9</v>
      </c>
      <c r="V1359">
        <v>9</v>
      </c>
      <c r="W1359">
        <v>0</v>
      </c>
      <c r="X1359">
        <v>0</v>
      </c>
      <c r="Y1359">
        <v>0</v>
      </c>
      <c r="Z1359">
        <v>0</v>
      </c>
      <c r="AA1359">
        <v>9</v>
      </c>
      <c r="AB1359">
        <v>9</v>
      </c>
      <c r="AC1359" t="s">
        <v>310</v>
      </c>
      <c r="AD1359">
        <v>9</v>
      </c>
      <c r="AE1359" t="s">
        <v>1417</v>
      </c>
      <c r="AF1359">
        <v>0</v>
      </c>
      <c r="AG1359" t="s">
        <v>310</v>
      </c>
      <c r="AH1359">
        <f>SUM((MID(Dyno_Data[[#This Row],[Team]],4,5))+(Dyno_Data[[#This Row],[Match]]/100))</f>
        <v>9750.24</v>
      </c>
      <c r="AI1359" s="76">
        <f>ROUND(SUM(IF(Dyno_Data[[#This Row],[AcqCenter]]&gt;0,Dyno_Data[[#This Row],[Time]]-SUMIFS(Dyno_Data[Time],Dyno_Data[Team],Dyno_Data[[#This Row],[Team]],Dyno_Data[RecordType],"StartMatch",Dyno_Data[Match],Dyno_Data[[#This Row],[Match]]),0)*86400),0)</f>
        <v>0</v>
      </c>
    </row>
    <row r="1360" spans="1:35" x14ac:dyDescent="0.3">
      <c r="A1360">
        <v>1370</v>
      </c>
      <c r="B1360" t="s">
        <v>369</v>
      </c>
      <c r="C1360">
        <v>24</v>
      </c>
      <c r="D1360" s="105">
        <v>45373.552681250003</v>
      </c>
      <c r="E1360" t="s">
        <v>308</v>
      </c>
      <c r="F1360" t="s">
        <v>309</v>
      </c>
      <c r="G1360">
        <v>0</v>
      </c>
      <c r="H1360" t="s">
        <v>310</v>
      </c>
      <c r="I1360">
        <v>0</v>
      </c>
      <c r="J1360">
        <v>0</v>
      </c>
      <c r="K1360">
        <v>0</v>
      </c>
      <c r="L1360" t="s">
        <v>310</v>
      </c>
      <c r="M1360" t="s">
        <v>310</v>
      </c>
      <c r="N1360">
        <v>0</v>
      </c>
      <c r="O1360" t="s">
        <v>1389</v>
      </c>
      <c r="P1360" t="s">
        <v>310</v>
      </c>
      <c r="Q1360" t="s">
        <v>310</v>
      </c>
      <c r="R1360" t="s">
        <v>310</v>
      </c>
      <c r="S1360">
        <v>9</v>
      </c>
      <c r="T1360" t="s">
        <v>310</v>
      </c>
      <c r="U1360">
        <v>9</v>
      </c>
      <c r="V1360">
        <v>9</v>
      </c>
      <c r="W1360">
        <v>0</v>
      </c>
      <c r="X1360">
        <v>0</v>
      </c>
      <c r="Y1360">
        <v>0</v>
      </c>
      <c r="Z1360">
        <v>0</v>
      </c>
      <c r="AA1360">
        <v>9</v>
      </c>
      <c r="AB1360">
        <v>9</v>
      </c>
      <c r="AC1360" t="s">
        <v>310</v>
      </c>
      <c r="AD1360">
        <v>9</v>
      </c>
      <c r="AE1360" t="s">
        <v>1387</v>
      </c>
      <c r="AF1360">
        <v>0</v>
      </c>
      <c r="AG1360" t="s">
        <v>310</v>
      </c>
      <c r="AH1360">
        <f>SUM((MID(Dyno_Data[[#This Row],[Team]],4,5))+(Dyno_Data[[#This Row],[Match]]/100))</f>
        <v>6463.24</v>
      </c>
      <c r="AI1360" s="76">
        <f>ROUND(SUM(IF(Dyno_Data[[#This Row],[AcqCenter]]&gt;0,Dyno_Data[[#This Row],[Time]]-SUMIFS(Dyno_Data[Time],Dyno_Data[Team],Dyno_Data[[#This Row],[Team]],Dyno_Data[RecordType],"StartMatch",Dyno_Data[Match],Dyno_Data[[#This Row],[Match]]),0)*86400),0)</f>
        <v>0</v>
      </c>
    </row>
    <row r="1361" spans="1:35" x14ac:dyDescent="0.3">
      <c r="A1361">
        <v>1354</v>
      </c>
      <c r="B1361" t="s">
        <v>1312</v>
      </c>
      <c r="C1361">
        <v>24</v>
      </c>
      <c r="D1361" s="105">
        <v>45373.552690821758</v>
      </c>
      <c r="E1361" t="s">
        <v>312</v>
      </c>
      <c r="F1361" t="s">
        <v>309</v>
      </c>
      <c r="G1361">
        <v>0</v>
      </c>
      <c r="H1361" t="s">
        <v>1397</v>
      </c>
      <c r="I1361">
        <v>0</v>
      </c>
      <c r="J1361">
        <v>0</v>
      </c>
      <c r="K1361">
        <v>0</v>
      </c>
      <c r="L1361" t="s">
        <v>240</v>
      </c>
      <c r="M1361" t="s">
        <v>1398</v>
      </c>
      <c r="N1361">
        <v>0</v>
      </c>
      <c r="O1361" t="s">
        <v>1391</v>
      </c>
      <c r="P1361" t="s">
        <v>310</v>
      </c>
      <c r="Q1361" t="s">
        <v>310</v>
      </c>
      <c r="R1361" t="s">
        <v>310</v>
      </c>
      <c r="S1361">
        <v>9</v>
      </c>
      <c r="T1361" t="s">
        <v>310</v>
      </c>
      <c r="U1361">
        <v>9</v>
      </c>
      <c r="V1361">
        <v>9</v>
      </c>
      <c r="W1361">
        <v>0</v>
      </c>
      <c r="X1361">
        <v>0</v>
      </c>
      <c r="Y1361">
        <v>0</v>
      </c>
      <c r="Z1361">
        <v>0</v>
      </c>
      <c r="AA1361">
        <v>9</v>
      </c>
      <c r="AB1361">
        <v>9</v>
      </c>
      <c r="AC1361" t="s">
        <v>310</v>
      </c>
      <c r="AD1361">
        <v>9</v>
      </c>
      <c r="AE1361" t="s">
        <v>1416</v>
      </c>
      <c r="AF1361">
        <v>0</v>
      </c>
      <c r="AG1361" t="s">
        <v>310</v>
      </c>
      <c r="AH1361">
        <f>SUM((MID(Dyno_Data[[#This Row],[Team]],4,5))+(Dyno_Data[[#This Row],[Match]]/100))</f>
        <v>2053.2399999999998</v>
      </c>
      <c r="AI1361" s="76">
        <f>ROUND(SUM(IF(Dyno_Data[[#This Row],[AcqCenter]]&gt;0,Dyno_Data[[#This Row],[Time]]-SUMIFS(Dyno_Data[Time],Dyno_Data[Team],Dyno_Data[[#This Row],[Team]],Dyno_Data[RecordType],"StartMatch",Dyno_Data[Match],Dyno_Data[[#This Row],[Match]]),0)*86400),0)</f>
        <v>0</v>
      </c>
    </row>
    <row r="1362" spans="1:35" x14ac:dyDescent="0.3">
      <c r="A1362">
        <v>1355</v>
      </c>
      <c r="B1362" t="s">
        <v>1306</v>
      </c>
      <c r="C1362">
        <v>24</v>
      </c>
      <c r="D1362" s="105">
        <v>45373.552690972225</v>
      </c>
      <c r="E1362" t="s">
        <v>312</v>
      </c>
      <c r="F1362" t="s">
        <v>309</v>
      </c>
      <c r="G1362">
        <v>0</v>
      </c>
      <c r="H1362" t="s">
        <v>1397</v>
      </c>
      <c r="I1362">
        <v>0</v>
      </c>
      <c r="J1362">
        <v>0</v>
      </c>
      <c r="K1362">
        <v>0</v>
      </c>
      <c r="L1362" t="s">
        <v>241</v>
      </c>
      <c r="M1362" t="s">
        <v>1398</v>
      </c>
      <c r="N1362">
        <v>0</v>
      </c>
      <c r="O1362" t="s">
        <v>1393</v>
      </c>
      <c r="P1362" t="s">
        <v>310</v>
      </c>
      <c r="Q1362" t="s">
        <v>310</v>
      </c>
      <c r="R1362" t="s">
        <v>310</v>
      </c>
      <c r="S1362">
        <v>9</v>
      </c>
      <c r="T1362" t="s">
        <v>310</v>
      </c>
      <c r="U1362">
        <v>9</v>
      </c>
      <c r="V1362">
        <v>9</v>
      </c>
      <c r="W1362">
        <v>0</v>
      </c>
      <c r="X1362">
        <v>0</v>
      </c>
      <c r="Y1362">
        <v>0</v>
      </c>
      <c r="Z1362">
        <v>0</v>
      </c>
      <c r="AA1362">
        <v>9</v>
      </c>
      <c r="AB1362">
        <v>9</v>
      </c>
      <c r="AC1362" t="s">
        <v>310</v>
      </c>
      <c r="AD1362">
        <v>9</v>
      </c>
      <c r="AE1362" t="s">
        <v>1394</v>
      </c>
      <c r="AF1362">
        <v>0</v>
      </c>
      <c r="AG1362" t="s">
        <v>310</v>
      </c>
      <c r="AH1362">
        <f>SUM((MID(Dyno_Data[[#This Row],[Team]],4,5))+(Dyno_Data[[#This Row],[Match]]/100))</f>
        <v>3986.24</v>
      </c>
      <c r="AI1362" s="76">
        <f>ROUND(SUM(IF(Dyno_Data[[#This Row],[AcqCenter]]&gt;0,Dyno_Data[[#This Row],[Time]]-SUMIFS(Dyno_Data[Time],Dyno_Data[Team],Dyno_Data[[#This Row],[Team]],Dyno_Data[RecordType],"StartMatch",Dyno_Data[Match],Dyno_Data[[#This Row],[Match]]),0)*86400),0)</f>
        <v>0</v>
      </c>
    </row>
    <row r="1363" spans="1:35" x14ac:dyDescent="0.3">
      <c r="A1363">
        <v>1356</v>
      </c>
      <c r="B1363" t="s">
        <v>1315</v>
      </c>
      <c r="C1363">
        <v>24</v>
      </c>
      <c r="D1363" s="105">
        <v>45373.552694409722</v>
      </c>
      <c r="E1363" t="s">
        <v>312</v>
      </c>
      <c r="F1363" t="s">
        <v>309</v>
      </c>
      <c r="G1363">
        <v>0</v>
      </c>
      <c r="H1363" t="s">
        <v>1397</v>
      </c>
      <c r="I1363">
        <v>0</v>
      </c>
      <c r="J1363">
        <v>0</v>
      </c>
      <c r="K1363">
        <v>0</v>
      </c>
      <c r="L1363" t="s">
        <v>240</v>
      </c>
      <c r="M1363" t="s">
        <v>1398</v>
      </c>
      <c r="N1363">
        <v>0</v>
      </c>
      <c r="O1363" t="s">
        <v>311</v>
      </c>
      <c r="P1363" t="s">
        <v>310</v>
      </c>
      <c r="Q1363" t="s">
        <v>310</v>
      </c>
      <c r="R1363" t="s">
        <v>310</v>
      </c>
      <c r="S1363">
        <v>9</v>
      </c>
      <c r="T1363" t="s">
        <v>310</v>
      </c>
      <c r="U1363">
        <v>9</v>
      </c>
      <c r="V1363">
        <v>9</v>
      </c>
      <c r="W1363">
        <v>0</v>
      </c>
      <c r="X1363">
        <v>0</v>
      </c>
      <c r="Y1363">
        <v>0</v>
      </c>
      <c r="Z1363">
        <v>0</v>
      </c>
      <c r="AA1363">
        <v>9</v>
      </c>
      <c r="AB1363">
        <v>9</v>
      </c>
      <c r="AC1363" t="s">
        <v>310</v>
      </c>
      <c r="AD1363">
        <v>9</v>
      </c>
      <c r="AE1363" t="s">
        <v>1418</v>
      </c>
      <c r="AF1363">
        <v>0</v>
      </c>
      <c r="AG1363" t="s">
        <v>310</v>
      </c>
      <c r="AH1363">
        <f>SUM((MID(Dyno_Data[[#This Row],[Team]],4,5))+(Dyno_Data[[#This Row],[Match]]/100))</f>
        <v>1511.24</v>
      </c>
      <c r="AI1363" s="76">
        <f>ROUND(SUM(IF(Dyno_Data[[#This Row],[AcqCenter]]&gt;0,Dyno_Data[[#This Row],[Time]]-SUMIFS(Dyno_Data[Time],Dyno_Data[Team],Dyno_Data[[#This Row],[Team]],Dyno_Data[RecordType],"StartMatch",Dyno_Data[Match],Dyno_Data[[#This Row],[Match]]),0)*86400),0)</f>
        <v>0</v>
      </c>
    </row>
    <row r="1364" spans="1:35" x14ac:dyDescent="0.3">
      <c r="A1364">
        <v>1357</v>
      </c>
      <c r="B1364" t="s">
        <v>1312</v>
      </c>
      <c r="C1364">
        <v>24</v>
      </c>
      <c r="D1364" s="105">
        <v>45373.552729166666</v>
      </c>
      <c r="E1364" t="s">
        <v>312</v>
      </c>
      <c r="F1364" t="s">
        <v>309</v>
      </c>
      <c r="G1364">
        <v>0</v>
      </c>
      <c r="H1364" t="s">
        <v>315</v>
      </c>
      <c r="I1364">
        <v>0</v>
      </c>
      <c r="J1364">
        <v>0</v>
      </c>
      <c r="K1364">
        <v>0</v>
      </c>
      <c r="L1364" t="s">
        <v>240</v>
      </c>
      <c r="M1364" t="s">
        <v>1398</v>
      </c>
      <c r="N1364">
        <v>0</v>
      </c>
      <c r="O1364" t="s">
        <v>1391</v>
      </c>
      <c r="P1364" t="s">
        <v>310</v>
      </c>
      <c r="Q1364" t="s">
        <v>310</v>
      </c>
      <c r="R1364" t="s">
        <v>310</v>
      </c>
      <c r="S1364">
        <v>9</v>
      </c>
      <c r="T1364" t="s">
        <v>310</v>
      </c>
      <c r="U1364">
        <v>9</v>
      </c>
      <c r="V1364">
        <v>9</v>
      </c>
      <c r="W1364">
        <v>0</v>
      </c>
      <c r="X1364">
        <v>0</v>
      </c>
      <c r="Y1364">
        <v>0</v>
      </c>
      <c r="Z1364">
        <v>0</v>
      </c>
      <c r="AA1364">
        <v>9</v>
      </c>
      <c r="AB1364">
        <v>9</v>
      </c>
      <c r="AC1364" t="s">
        <v>310</v>
      </c>
      <c r="AD1364">
        <v>9</v>
      </c>
      <c r="AE1364" t="s">
        <v>1416</v>
      </c>
      <c r="AF1364">
        <v>10000000</v>
      </c>
      <c r="AG1364" t="s">
        <v>310</v>
      </c>
      <c r="AH1364">
        <f>SUM((MID(Dyno_Data[[#This Row],[Team]],4,5))+(Dyno_Data[[#This Row],[Match]]/100))</f>
        <v>2053.2399999999998</v>
      </c>
      <c r="AI1364" s="76">
        <f>ROUND(SUM(IF(Dyno_Data[[#This Row],[AcqCenter]]&gt;0,Dyno_Data[[#This Row],[Time]]-SUMIFS(Dyno_Data[Time],Dyno_Data[Team],Dyno_Data[[#This Row],[Team]],Dyno_Data[RecordType],"StartMatch",Dyno_Data[Match],Dyno_Data[[#This Row],[Match]]),0)*86400),0)</f>
        <v>0</v>
      </c>
    </row>
    <row r="1365" spans="1:35" x14ac:dyDescent="0.3">
      <c r="A1365">
        <v>1358</v>
      </c>
      <c r="B1365" t="s">
        <v>1312</v>
      </c>
      <c r="C1365">
        <v>24</v>
      </c>
      <c r="D1365" s="105">
        <v>45373.552779942132</v>
      </c>
      <c r="E1365" t="s">
        <v>312</v>
      </c>
      <c r="F1365" t="s">
        <v>309</v>
      </c>
      <c r="G1365">
        <v>0</v>
      </c>
      <c r="H1365" t="s">
        <v>315</v>
      </c>
      <c r="I1365">
        <v>0</v>
      </c>
      <c r="J1365">
        <v>0</v>
      </c>
      <c r="K1365">
        <v>0</v>
      </c>
      <c r="L1365" t="s">
        <v>241</v>
      </c>
      <c r="M1365" t="s">
        <v>1398</v>
      </c>
      <c r="N1365">
        <v>0</v>
      </c>
      <c r="O1365" t="s">
        <v>1391</v>
      </c>
      <c r="P1365" t="s">
        <v>310</v>
      </c>
      <c r="Q1365" t="s">
        <v>310</v>
      </c>
      <c r="R1365" t="s">
        <v>310</v>
      </c>
      <c r="S1365">
        <v>9</v>
      </c>
      <c r="T1365" t="s">
        <v>310</v>
      </c>
      <c r="U1365">
        <v>9</v>
      </c>
      <c r="V1365">
        <v>9</v>
      </c>
      <c r="W1365">
        <v>0</v>
      </c>
      <c r="X1365">
        <v>0</v>
      </c>
      <c r="Y1365">
        <v>0</v>
      </c>
      <c r="Z1365">
        <v>0</v>
      </c>
      <c r="AA1365">
        <v>9</v>
      </c>
      <c r="AB1365">
        <v>9</v>
      </c>
      <c r="AC1365" t="s">
        <v>310</v>
      </c>
      <c r="AD1365">
        <v>9</v>
      </c>
      <c r="AE1365" t="s">
        <v>1416</v>
      </c>
      <c r="AF1365">
        <v>20000000</v>
      </c>
      <c r="AG1365" t="s">
        <v>310</v>
      </c>
      <c r="AH1365">
        <f>SUM((MID(Dyno_Data[[#This Row],[Team]],4,5))+(Dyno_Data[[#This Row],[Match]]/100))</f>
        <v>2053.2399999999998</v>
      </c>
      <c r="AI1365" s="76">
        <f>ROUND(SUM(IF(Dyno_Data[[#This Row],[AcqCenter]]&gt;0,Dyno_Data[[#This Row],[Time]]-SUMIFS(Dyno_Data[Time],Dyno_Data[Team],Dyno_Data[[#This Row],[Team]],Dyno_Data[RecordType],"StartMatch",Dyno_Data[Match],Dyno_Data[[#This Row],[Match]]),0)*86400),0)</f>
        <v>0</v>
      </c>
    </row>
    <row r="1366" spans="1:35" x14ac:dyDescent="0.3">
      <c r="A1366">
        <v>1359</v>
      </c>
      <c r="B1366" t="s">
        <v>1312</v>
      </c>
      <c r="C1366">
        <v>24</v>
      </c>
      <c r="D1366" s="105">
        <v>45373.552814733797</v>
      </c>
      <c r="E1366" t="s">
        <v>312</v>
      </c>
      <c r="F1366" t="s">
        <v>309</v>
      </c>
      <c r="G1366">
        <v>0</v>
      </c>
      <c r="H1366" t="s">
        <v>143</v>
      </c>
      <c r="I1366">
        <v>3</v>
      </c>
      <c r="J1366">
        <v>1</v>
      </c>
      <c r="K1366">
        <v>0</v>
      </c>
      <c r="L1366" t="s">
        <v>310</v>
      </c>
      <c r="M1366" t="s">
        <v>310</v>
      </c>
      <c r="N1366">
        <v>0</v>
      </c>
      <c r="O1366" t="s">
        <v>1391</v>
      </c>
      <c r="P1366" t="s">
        <v>310</v>
      </c>
      <c r="Q1366" t="s">
        <v>310</v>
      </c>
      <c r="R1366" t="s">
        <v>310</v>
      </c>
      <c r="S1366">
        <v>9</v>
      </c>
      <c r="T1366" t="s">
        <v>310</v>
      </c>
      <c r="U1366">
        <v>9</v>
      </c>
      <c r="V1366">
        <v>9</v>
      </c>
      <c r="W1366">
        <v>0</v>
      </c>
      <c r="X1366">
        <v>0</v>
      </c>
      <c r="Y1366">
        <v>0</v>
      </c>
      <c r="Z1366">
        <v>0</v>
      </c>
      <c r="AA1366">
        <v>9</v>
      </c>
      <c r="AB1366">
        <v>9</v>
      </c>
      <c r="AC1366" t="s">
        <v>310</v>
      </c>
      <c r="AD1366">
        <v>9</v>
      </c>
      <c r="AE1366" t="s">
        <v>1416</v>
      </c>
      <c r="AF1366">
        <v>20000000</v>
      </c>
      <c r="AG1366" t="s">
        <v>310</v>
      </c>
      <c r="AH1366">
        <f>SUM((MID(Dyno_Data[[#This Row],[Team]],4,5))+(Dyno_Data[[#This Row],[Match]]/100))</f>
        <v>2053.2399999999998</v>
      </c>
      <c r="AI1366" s="76">
        <f>ROUND(SUM(IF(Dyno_Data[[#This Row],[AcqCenter]]&gt;0,Dyno_Data[[#This Row],[Time]]-SUMIFS(Dyno_Data[Time],Dyno_Data[Team],Dyno_Data[[#This Row],[Team]],Dyno_Data[RecordType],"StartMatch",Dyno_Data[Match],Dyno_Data[[#This Row],[Match]]),0)*86400),0)</f>
        <v>15</v>
      </c>
    </row>
    <row r="1367" spans="1:35" x14ac:dyDescent="0.3">
      <c r="A1367">
        <v>1361</v>
      </c>
      <c r="B1367" t="s">
        <v>1312</v>
      </c>
      <c r="C1367">
        <v>24</v>
      </c>
      <c r="D1367" s="105">
        <v>45373.552852743058</v>
      </c>
      <c r="E1367" t="s">
        <v>314</v>
      </c>
      <c r="F1367" t="s">
        <v>309</v>
      </c>
      <c r="G1367">
        <v>1</v>
      </c>
      <c r="H1367" t="s">
        <v>310</v>
      </c>
      <c r="I1367">
        <v>0</v>
      </c>
      <c r="J1367">
        <v>0</v>
      </c>
      <c r="K1367">
        <v>0</v>
      </c>
      <c r="L1367" t="s">
        <v>310</v>
      </c>
      <c r="M1367" t="s">
        <v>310</v>
      </c>
      <c r="N1367">
        <v>0</v>
      </c>
      <c r="O1367" t="s">
        <v>1391</v>
      </c>
      <c r="P1367" t="s">
        <v>240</v>
      </c>
      <c r="Q1367" t="s">
        <v>1399</v>
      </c>
      <c r="R1367" t="s">
        <v>310</v>
      </c>
      <c r="S1367">
        <v>9</v>
      </c>
      <c r="T1367" t="s">
        <v>310</v>
      </c>
      <c r="U1367">
        <v>9</v>
      </c>
      <c r="V1367">
        <v>9</v>
      </c>
      <c r="W1367">
        <v>0</v>
      </c>
      <c r="X1367">
        <v>0</v>
      </c>
      <c r="Y1367">
        <v>0</v>
      </c>
      <c r="Z1367">
        <v>0</v>
      </c>
      <c r="AA1367">
        <v>9</v>
      </c>
      <c r="AB1367">
        <v>9</v>
      </c>
      <c r="AC1367" t="s">
        <v>310</v>
      </c>
      <c r="AD1367">
        <v>9</v>
      </c>
      <c r="AE1367" t="s">
        <v>1416</v>
      </c>
      <c r="AF1367">
        <v>20000000</v>
      </c>
      <c r="AG1367" t="s">
        <v>310</v>
      </c>
      <c r="AH1367">
        <f>SUM((MID(Dyno_Data[[#This Row],[Team]],4,5))+(Dyno_Data[[#This Row],[Match]]/100))</f>
        <v>2053.2399999999998</v>
      </c>
      <c r="AI1367" s="76">
        <f>ROUND(SUM(IF(Dyno_Data[[#This Row],[AcqCenter]]&gt;0,Dyno_Data[[#This Row],[Time]]-SUMIFS(Dyno_Data[Time],Dyno_Data[Team],Dyno_Data[[#This Row],[Team]],Dyno_Data[RecordType],"StartMatch",Dyno_Data[Match],Dyno_Data[[#This Row],[Match]]),0)*86400),0)</f>
        <v>0</v>
      </c>
    </row>
    <row r="1368" spans="1:35" x14ac:dyDescent="0.3">
      <c r="A1368">
        <v>1363</v>
      </c>
      <c r="B1368" t="s">
        <v>1306</v>
      </c>
      <c r="C1368">
        <v>24</v>
      </c>
      <c r="D1368" s="105">
        <v>45373.552856365743</v>
      </c>
      <c r="E1368" t="s">
        <v>314</v>
      </c>
      <c r="F1368" t="s">
        <v>309</v>
      </c>
      <c r="G1368">
        <v>1</v>
      </c>
      <c r="H1368" t="s">
        <v>310</v>
      </c>
      <c r="I1368">
        <v>0</v>
      </c>
      <c r="J1368">
        <v>0</v>
      </c>
      <c r="K1368">
        <v>0</v>
      </c>
      <c r="L1368" t="s">
        <v>310</v>
      </c>
      <c r="M1368" t="s">
        <v>310</v>
      </c>
      <c r="N1368">
        <v>0</v>
      </c>
      <c r="O1368" t="s">
        <v>1393</v>
      </c>
      <c r="P1368" t="s">
        <v>1401</v>
      </c>
      <c r="Q1368" t="s">
        <v>1400</v>
      </c>
      <c r="R1368" t="s">
        <v>310</v>
      </c>
      <c r="S1368">
        <v>9</v>
      </c>
      <c r="T1368" t="s">
        <v>310</v>
      </c>
      <c r="U1368">
        <v>9</v>
      </c>
      <c r="V1368">
        <v>9</v>
      </c>
      <c r="W1368">
        <v>0</v>
      </c>
      <c r="X1368">
        <v>0</v>
      </c>
      <c r="Y1368">
        <v>0</v>
      </c>
      <c r="Z1368">
        <v>0</v>
      </c>
      <c r="AA1368">
        <v>9</v>
      </c>
      <c r="AB1368">
        <v>9</v>
      </c>
      <c r="AC1368" t="s">
        <v>310</v>
      </c>
      <c r="AD1368">
        <v>9</v>
      </c>
      <c r="AE1368" t="s">
        <v>1394</v>
      </c>
      <c r="AF1368">
        <v>0</v>
      </c>
      <c r="AG1368" t="s">
        <v>310</v>
      </c>
      <c r="AH1368">
        <f>SUM((MID(Dyno_Data[[#This Row],[Team]],4,5))+(Dyno_Data[[#This Row],[Match]]/100))</f>
        <v>3986.24</v>
      </c>
      <c r="AI1368" s="76">
        <f>ROUND(SUM(IF(Dyno_Data[[#This Row],[AcqCenter]]&gt;0,Dyno_Data[[#This Row],[Time]]-SUMIFS(Dyno_Data[Time],Dyno_Data[Team],Dyno_Data[[#This Row],[Team]],Dyno_Data[RecordType],"StartMatch",Dyno_Data[Match],Dyno_Data[[#This Row],[Match]]),0)*86400),0)</f>
        <v>0</v>
      </c>
    </row>
    <row r="1369" spans="1:35" x14ac:dyDescent="0.3">
      <c r="A1369">
        <v>1365</v>
      </c>
      <c r="B1369" t="s">
        <v>1289</v>
      </c>
      <c r="C1369">
        <v>24</v>
      </c>
      <c r="D1369" s="105">
        <v>45373.552857719907</v>
      </c>
      <c r="E1369" t="s">
        <v>314</v>
      </c>
      <c r="F1369" t="s">
        <v>309</v>
      </c>
      <c r="G1369">
        <v>0</v>
      </c>
      <c r="H1369" t="s">
        <v>310</v>
      </c>
      <c r="I1369">
        <v>0</v>
      </c>
      <c r="J1369">
        <v>0</v>
      </c>
      <c r="K1369">
        <v>0</v>
      </c>
      <c r="L1369" t="s">
        <v>310</v>
      </c>
      <c r="M1369" t="s">
        <v>310</v>
      </c>
      <c r="N1369">
        <v>0</v>
      </c>
      <c r="O1369" t="s">
        <v>1395</v>
      </c>
      <c r="P1369" t="s">
        <v>101</v>
      </c>
      <c r="Q1369" t="s">
        <v>1399</v>
      </c>
      <c r="R1369" t="s">
        <v>310</v>
      </c>
      <c r="S1369">
        <v>9</v>
      </c>
      <c r="T1369" t="s">
        <v>310</v>
      </c>
      <c r="U1369">
        <v>9</v>
      </c>
      <c r="V1369">
        <v>9</v>
      </c>
      <c r="W1369">
        <v>0</v>
      </c>
      <c r="X1369">
        <v>0</v>
      </c>
      <c r="Y1369">
        <v>0</v>
      </c>
      <c r="Z1369">
        <v>0</v>
      </c>
      <c r="AA1369">
        <v>9</v>
      </c>
      <c r="AB1369">
        <v>9</v>
      </c>
      <c r="AC1369" t="s">
        <v>310</v>
      </c>
      <c r="AD1369">
        <v>9</v>
      </c>
      <c r="AE1369" t="s">
        <v>1392</v>
      </c>
      <c r="AF1369">
        <v>0</v>
      </c>
      <c r="AG1369" t="s">
        <v>310</v>
      </c>
      <c r="AH1369">
        <f>SUM((MID(Dyno_Data[[#This Row],[Team]],4,5))+(Dyno_Data[[#This Row],[Match]]/100))</f>
        <v>6648.24</v>
      </c>
      <c r="AI1369" s="76">
        <f>ROUND(SUM(IF(Dyno_Data[[#This Row],[AcqCenter]]&gt;0,Dyno_Data[[#This Row],[Time]]-SUMIFS(Dyno_Data[Time],Dyno_Data[Team],Dyno_Data[[#This Row],[Team]],Dyno_Data[RecordType],"StartMatch",Dyno_Data[Match],Dyno_Data[[#This Row],[Match]]),0)*86400),0)</f>
        <v>0</v>
      </c>
    </row>
    <row r="1370" spans="1:35" x14ac:dyDescent="0.3">
      <c r="A1370">
        <v>1367</v>
      </c>
      <c r="B1370" t="s">
        <v>1315</v>
      </c>
      <c r="C1370">
        <v>24</v>
      </c>
      <c r="D1370" s="105">
        <v>45373.552859178242</v>
      </c>
      <c r="E1370" t="s">
        <v>314</v>
      </c>
      <c r="F1370" t="s">
        <v>309</v>
      </c>
      <c r="G1370">
        <v>0</v>
      </c>
      <c r="H1370" t="s">
        <v>310</v>
      </c>
      <c r="I1370">
        <v>0</v>
      </c>
      <c r="J1370">
        <v>0</v>
      </c>
      <c r="K1370">
        <v>0</v>
      </c>
      <c r="L1370" t="s">
        <v>310</v>
      </c>
      <c r="M1370" t="s">
        <v>310</v>
      </c>
      <c r="N1370">
        <v>0</v>
      </c>
      <c r="O1370" t="s">
        <v>311</v>
      </c>
      <c r="P1370" t="s">
        <v>1401</v>
      </c>
      <c r="Q1370" t="s">
        <v>1400</v>
      </c>
      <c r="R1370" t="s">
        <v>310</v>
      </c>
      <c r="S1370">
        <v>9</v>
      </c>
      <c r="T1370" t="s">
        <v>310</v>
      </c>
      <c r="U1370">
        <v>9</v>
      </c>
      <c r="V1370">
        <v>9</v>
      </c>
      <c r="W1370">
        <v>0</v>
      </c>
      <c r="X1370">
        <v>0</v>
      </c>
      <c r="Y1370">
        <v>0</v>
      </c>
      <c r="Z1370">
        <v>0</v>
      </c>
      <c r="AA1370">
        <v>9</v>
      </c>
      <c r="AB1370">
        <v>9</v>
      </c>
      <c r="AC1370" t="s">
        <v>310</v>
      </c>
      <c r="AD1370">
        <v>9</v>
      </c>
      <c r="AE1370" t="s">
        <v>1418</v>
      </c>
      <c r="AF1370">
        <v>0</v>
      </c>
      <c r="AG1370" t="s">
        <v>310</v>
      </c>
      <c r="AH1370">
        <f>SUM((MID(Dyno_Data[[#This Row],[Team]],4,5))+(Dyno_Data[[#This Row],[Match]]/100))</f>
        <v>1511.24</v>
      </c>
      <c r="AI1370" s="76">
        <f>ROUND(SUM(IF(Dyno_Data[[#This Row],[AcqCenter]]&gt;0,Dyno_Data[[#This Row],[Time]]-SUMIFS(Dyno_Data[Time],Dyno_Data[Team],Dyno_Data[[#This Row],[Team]],Dyno_Data[RecordType],"StartMatch",Dyno_Data[Match],Dyno_Data[[#This Row],[Match]]),0)*86400),0)</f>
        <v>0</v>
      </c>
    </row>
    <row r="1371" spans="1:35" x14ac:dyDescent="0.3">
      <c r="A1371">
        <v>1369</v>
      </c>
      <c r="B1371" t="s">
        <v>1297</v>
      </c>
      <c r="C1371">
        <v>24</v>
      </c>
      <c r="D1371" s="105">
        <v>45373.552872222223</v>
      </c>
      <c r="E1371" t="s">
        <v>314</v>
      </c>
      <c r="F1371" t="s">
        <v>309</v>
      </c>
      <c r="G1371">
        <v>0</v>
      </c>
      <c r="H1371" t="s">
        <v>310</v>
      </c>
      <c r="I1371">
        <v>0</v>
      </c>
      <c r="J1371">
        <v>0</v>
      </c>
      <c r="K1371">
        <v>0</v>
      </c>
      <c r="L1371" t="s">
        <v>310</v>
      </c>
      <c r="M1371" t="s">
        <v>310</v>
      </c>
      <c r="N1371">
        <v>0</v>
      </c>
      <c r="O1371" t="s">
        <v>319</v>
      </c>
      <c r="P1371" t="s">
        <v>101</v>
      </c>
      <c r="Q1371" t="s">
        <v>1400</v>
      </c>
      <c r="R1371" t="s">
        <v>310</v>
      </c>
      <c r="S1371">
        <v>9</v>
      </c>
      <c r="T1371" t="s">
        <v>310</v>
      </c>
      <c r="U1371">
        <v>9</v>
      </c>
      <c r="V1371">
        <v>9</v>
      </c>
      <c r="W1371">
        <v>0</v>
      </c>
      <c r="X1371">
        <v>0</v>
      </c>
      <c r="Y1371">
        <v>0</v>
      </c>
      <c r="Z1371">
        <v>0</v>
      </c>
      <c r="AA1371">
        <v>9</v>
      </c>
      <c r="AB1371">
        <v>9</v>
      </c>
      <c r="AC1371" t="s">
        <v>310</v>
      </c>
      <c r="AD1371">
        <v>9</v>
      </c>
      <c r="AE1371" t="s">
        <v>1417</v>
      </c>
      <c r="AF1371">
        <v>0</v>
      </c>
      <c r="AG1371" t="s">
        <v>310</v>
      </c>
      <c r="AH1371">
        <f>SUM((MID(Dyno_Data[[#This Row],[Team]],4,5))+(Dyno_Data[[#This Row],[Match]]/100))</f>
        <v>9750.24</v>
      </c>
      <c r="AI1371" s="76">
        <f>ROUND(SUM(IF(Dyno_Data[[#This Row],[AcqCenter]]&gt;0,Dyno_Data[[#This Row],[Time]]-SUMIFS(Dyno_Data[Time],Dyno_Data[Team],Dyno_Data[[#This Row],[Team]],Dyno_Data[RecordType],"StartMatch",Dyno_Data[Match],Dyno_Data[[#This Row],[Match]]),0)*86400),0)</f>
        <v>0</v>
      </c>
    </row>
    <row r="1372" spans="1:35" x14ac:dyDescent="0.3">
      <c r="A1372">
        <v>1371</v>
      </c>
      <c r="B1372" t="s">
        <v>369</v>
      </c>
      <c r="C1372">
        <v>24</v>
      </c>
      <c r="D1372" s="105">
        <v>45373.552889583334</v>
      </c>
      <c r="E1372" t="s">
        <v>314</v>
      </c>
      <c r="F1372" t="s">
        <v>309</v>
      </c>
      <c r="G1372">
        <v>0</v>
      </c>
      <c r="H1372" t="s">
        <v>310</v>
      </c>
      <c r="I1372">
        <v>0</v>
      </c>
      <c r="J1372">
        <v>0</v>
      </c>
      <c r="K1372">
        <v>0</v>
      </c>
      <c r="L1372" t="s">
        <v>310</v>
      </c>
      <c r="M1372" t="s">
        <v>310</v>
      </c>
      <c r="N1372">
        <v>0</v>
      </c>
      <c r="O1372" t="s">
        <v>1389</v>
      </c>
      <c r="P1372" t="s">
        <v>320</v>
      </c>
      <c r="Q1372" t="s">
        <v>1400</v>
      </c>
      <c r="R1372" t="s">
        <v>310</v>
      </c>
      <c r="S1372">
        <v>9</v>
      </c>
      <c r="T1372" t="s">
        <v>310</v>
      </c>
      <c r="U1372">
        <v>9</v>
      </c>
      <c r="V1372">
        <v>9</v>
      </c>
      <c r="W1372">
        <v>0</v>
      </c>
      <c r="X1372">
        <v>0</v>
      </c>
      <c r="Y1372">
        <v>0</v>
      </c>
      <c r="Z1372">
        <v>0</v>
      </c>
      <c r="AA1372">
        <v>9</v>
      </c>
      <c r="AB1372">
        <v>9</v>
      </c>
      <c r="AC1372" t="s">
        <v>310</v>
      </c>
      <c r="AD1372">
        <v>9</v>
      </c>
      <c r="AE1372" t="s">
        <v>1387</v>
      </c>
      <c r="AF1372">
        <v>0</v>
      </c>
      <c r="AG1372" t="s">
        <v>310</v>
      </c>
      <c r="AH1372">
        <f>SUM((MID(Dyno_Data[[#This Row],[Team]],4,5))+(Dyno_Data[[#This Row],[Match]]/100))</f>
        <v>6463.24</v>
      </c>
      <c r="AI1372" s="76">
        <f>ROUND(SUM(IF(Dyno_Data[[#This Row],[AcqCenter]]&gt;0,Dyno_Data[[#This Row],[Time]]-SUMIFS(Dyno_Data[Time],Dyno_Data[Team],Dyno_Data[[#This Row],[Team]],Dyno_Data[RecordType],"StartMatch",Dyno_Data[Match],Dyno_Data[[#This Row],[Match]]),0)*86400),0)</f>
        <v>0</v>
      </c>
    </row>
    <row r="1373" spans="1:35" x14ac:dyDescent="0.3">
      <c r="A1373">
        <v>1372</v>
      </c>
      <c r="B1373" t="s">
        <v>1312</v>
      </c>
      <c r="C1373">
        <v>24</v>
      </c>
      <c r="D1373" s="105">
        <v>45373.552959756948</v>
      </c>
      <c r="E1373" t="s">
        <v>312</v>
      </c>
      <c r="F1373" t="s">
        <v>1402</v>
      </c>
      <c r="G1373">
        <v>0</v>
      </c>
      <c r="H1373" t="s">
        <v>143</v>
      </c>
      <c r="I1373">
        <v>0</v>
      </c>
      <c r="J1373">
        <v>0</v>
      </c>
      <c r="K1373">
        <v>0</v>
      </c>
      <c r="L1373" t="s">
        <v>241</v>
      </c>
      <c r="M1373" t="s">
        <v>1398</v>
      </c>
      <c r="N1373">
        <v>0</v>
      </c>
      <c r="O1373" t="s">
        <v>1391</v>
      </c>
      <c r="P1373" t="s">
        <v>310</v>
      </c>
      <c r="Q1373" t="s">
        <v>310</v>
      </c>
      <c r="R1373" t="s">
        <v>310</v>
      </c>
      <c r="S1373">
        <v>9</v>
      </c>
      <c r="T1373" t="s">
        <v>310</v>
      </c>
      <c r="U1373">
        <v>9</v>
      </c>
      <c r="V1373">
        <v>9</v>
      </c>
      <c r="W1373">
        <v>0</v>
      </c>
      <c r="X1373">
        <v>0</v>
      </c>
      <c r="Y1373">
        <v>0</v>
      </c>
      <c r="Z1373">
        <v>0</v>
      </c>
      <c r="AA1373">
        <v>9</v>
      </c>
      <c r="AB1373">
        <v>9</v>
      </c>
      <c r="AC1373" t="s">
        <v>310</v>
      </c>
      <c r="AD1373">
        <v>9</v>
      </c>
      <c r="AE1373" t="s">
        <v>1416</v>
      </c>
      <c r="AF1373">
        <v>20000000</v>
      </c>
      <c r="AG1373" t="s">
        <v>310</v>
      </c>
      <c r="AH1373">
        <f>SUM((MID(Dyno_Data[[#This Row],[Team]],4,5))+(Dyno_Data[[#This Row],[Match]]/100))</f>
        <v>2053.2399999999998</v>
      </c>
      <c r="AI1373" s="76">
        <f>ROUND(SUM(IF(Dyno_Data[[#This Row],[AcqCenter]]&gt;0,Dyno_Data[[#This Row],[Time]]-SUMIFS(Dyno_Data[Time],Dyno_Data[Team],Dyno_Data[[#This Row],[Team]],Dyno_Data[RecordType],"StartMatch",Dyno_Data[Match],Dyno_Data[[#This Row],[Match]]),0)*86400),0)</f>
        <v>0</v>
      </c>
    </row>
    <row r="1374" spans="1:35" x14ac:dyDescent="0.3">
      <c r="A1374">
        <v>1373</v>
      </c>
      <c r="B1374" t="s">
        <v>1315</v>
      </c>
      <c r="C1374">
        <v>24</v>
      </c>
      <c r="D1374" s="105">
        <v>45373.552971412035</v>
      </c>
      <c r="E1374" t="s">
        <v>312</v>
      </c>
      <c r="F1374" t="s">
        <v>1402</v>
      </c>
      <c r="G1374">
        <v>0</v>
      </c>
      <c r="H1374" t="s">
        <v>315</v>
      </c>
      <c r="I1374">
        <v>0</v>
      </c>
      <c r="J1374">
        <v>0</v>
      </c>
      <c r="K1374">
        <v>0</v>
      </c>
      <c r="L1374" t="s">
        <v>242</v>
      </c>
      <c r="M1374" t="s">
        <v>241</v>
      </c>
      <c r="N1374">
        <v>0</v>
      </c>
      <c r="O1374" t="s">
        <v>311</v>
      </c>
      <c r="P1374" t="s">
        <v>310</v>
      </c>
      <c r="Q1374" t="s">
        <v>310</v>
      </c>
      <c r="R1374" t="s">
        <v>310</v>
      </c>
      <c r="S1374">
        <v>9</v>
      </c>
      <c r="T1374" t="s">
        <v>310</v>
      </c>
      <c r="U1374">
        <v>9</v>
      </c>
      <c r="V1374">
        <v>9</v>
      </c>
      <c r="W1374">
        <v>0</v>
      </c>
      <c r="X1374">
        <v>0</v>
      </c>
      <c r="Y1374">
        <v>0</v>
      </c>
      <c r="Z1374">
        <v>0</v>
      </c>
      <c r="AA1374">
        <v>9</v>
      </c>
      <c r="AB1374">
        <v>9</v>
      </c>
      <c r="AC1374" t="s">
        <v>310</v>
      </c>
      <c r="AD1374">
        <v>9</v>
      </c>
      <c r="AE1374" t="s">
        <v>1418</v>
      </c>
      <c r="AF1374">
        <v>10000000</v>
      </c>
      <c r="AG1374" t="s">
        <v>310</v>
      </c>
      <c r="AH1374">
        <f>SUM((MID(Dyno_Data[[#This Row],[Team]],4,5))+(Dyno_Data[[#This Row],[Match]]/100))</f>
        <v>1511.24</v>
      </c>
      <c r="AI1374" s="76">
        <f>ROUND(SUM(IF(Dyno_Data[[#This Row],[AcqCenter]]&gt;0,Dyno_Data[[#This Row],[Time]]-SUMIFS(Dyno_Data[Time],Dyno_Data[Team],Dyno_Data[[#This Row],[Team]],Dyno_Data[RecordType],"StartMatch",Dyno_Data[Match],Dyno_Data[[#This Row],[Match]]),0)*86400),0)</f>
        <v>0</v>
      </c>
    </row>
    <row r="1375" spans="1:35" x14ac:dyDescent="0.3">
      <c r="A1375">
        <v>1374</v>
      </c>
      <c r="B1375" t="s">
        <v>1289</v>
      </c>
      <c r="C1375">
        <v>24</v>
      </c>
      <c r="D1375" s="105">
        <v>45373.552972106481</v>
      </c>
      <c r="E1375" t="s">
        <v>312</v>
      </c>
      <c r="F1375" t="s">
        <v>1402</v>
      </c>
      <c r="G1375">
        <v>0</v>
      </c>
      <c r="H1375" t="s">
        <v>1397</v>
      </c>
      <c r="I1375">
        <v>0</v>
      </c>
      <c r="J1375">
        <v>0</v>
      </c>
      <c r="K1375">
        <v>0</v>
      </c>
      <c r="L1375" t="s">
        <v>241</v>
      </c>
      <c r="M1375" t="s">
        <v>101</v>
      </c>
      <c r="N1375">
        <v>0</v>
      </c>
      <c r="O1375" t="s">
        <v>1395</v>
      </c>
      <c r="P1375" t="s">
        <v>310</v>
      </c>
      <c r="Q1375" t="s">
        <v>310</v>
      </c>
      <c r="R1375" t="s">
        <v>310</v>
      </c>
      <c r="S1375">
        <v>9</v>
      </c>
      <c r="T1375" t="s">
        <v>310</v>
      </c>
      <c r="U1375">
        <v>9</v>
      </c>
      <c r="V1375">
        <v>9</v>
      </c>
      <c r="W1375">
        <v>0</v>
      </c>
      <c r="X1375">
        <v>0</v>
      </c>
      <c r="Y1375">
        <v>0</v>
      </c>
      <c r="Z1375">
        <v>0</v>
      </c>
      <c r="AA1375">
        <v>9</v>
      </c>
      <c r="AB1375">
        <v>9</v>
      </c>
      <c r="AC1375" t="s">
        <v>310</v>
      </c>
      <c r="AD1375">
        <v>9</v>
      </c>
      <c r="AE1375" t="s">
        <v>1392</v>
      </c>
      <c r="AF1375">
        <v>0</v>
      </c>
      <c r="AG1375" t="s">
        <v>310</v>
      </c>
      <c r="AH1375">
        <f>SUM((MID(Dyno_Data[[#This Row],[Team]],4,5))+(Dyno_Data[[#This Row],[Match]]/100))</f>
        <v>6648.24</v>
      </c>
      <c r="AI1375" s="76">
        <f>ROUND(SUM(IF(Dyno_Data[[#This Row],[AcqCenter]]&gt;0,Dyno_Data[[#This Row],[Time]]-SUMIFS(Dyno_Data[Time],Dyno_Data[Team],Dyno_Data[[#This Row],[Team]],Dyno_Data[RecordType],"StartMatch",Dyno_Data[Match],Dyno_Data[[#This Row],[Match]]),0)*86400),0)</f>
        <v>0</v>
      </c>
    </row>
    <row r="1376" spans="1:35" x14ac:dyDescent="0.3">
      <c r="A1376">
        <v>1375</v>
      </c>
      <c r="B1376" t="s">
        <v>1312</v>
      </c>
      <c r="C1376">
        <v>24</v>
      </c>
      <c r="D1376" s="105">
        <v>45373.553047303241</v>
      </c>
      <c r="E1376" t="s">
        <v>312</v>
      </c>
      <c r="F1376" t="s">
        <v>1402</v>
      </c>
      <c r="G1376">
        <v>0</v>
      </c>
      <c r="H1376" t="s">
        <v>315</v>
      </c>
      <c r="I1376">
        <v>0</v>
      </c>
      <c r="J1376">
        <v>0</v>
      </c>
      <c r="K1376">
        <v>0</v>
      </c>
      <c r="L1376" t="s">
        <v>241</v>
      </c>
      <c r="M1376" t="s">
        <v>1398</v>
      </c>
      <c r="N1376">
        <v>0</v>
      </c>
      <c r="O1376" t="s">
        <v>1391</v>
      </c>
      <c r="P1376" t="s">
        <v>310</v>
      </c>
      <c r="Q1376" t="s">
        <v>310</v>
      </c>
      <c r="R1376" t="s">
        <v>310</v>
      </c>
      <c r="S1376">
        <v>9</v>
      </c>
      <c r="T1376" t="s">
        <v>310</v>
      </c>
      <c r="U1376">
        <v>9</v>
      </c>
      <c r="V1376">
        <v>9</v>
      </c>
      <c r="W1376">
        <v>0</v>
      </c>
      <c r="X1376">
        <v>0</v>
      </c>
      <c r="Y1376">
        <v>0</v>
      </c>
      <c r="Z1376">
        <v>0</v>
      </c>
      <c r="AA1376">
        <v>9</v>
      </c>
      <c r="AB1376">
        <v>9</v>
      </c>
      <c r="AC1376" t="s">
        <v>310</v>
      </c>
      <c r="AD1376">
        <v>9</v>
      </c>
      <c r="AE1376" t="s">
        <v>1416</v>
      </c>
      <c r="AF1376">
        <v>30000000</v>
      </c>
      <c r="AG1376" t="s">
        <v>310</v>
      </c>
      <c r="AH1376">
        <f>SUM((MID(Dyno_Data[[#This Row],[Team]],4,5))+(Dyno_Data[[#This Row],[Match]]/100))</f>
        <v>2053.2399999999998</v>
      </c>
      <c r="AI1376" s="76">
        <f>ROUND(SUM(IF(Dyno_Data[[#This Row],[AcqCenter]]&gt;0,Dyno_Data[[#This Row],[Time]]-SUMIFS(Dyno_Data[Time],Dyno_Data[Team],Dyno_Data[[#This Row],[Team]],Dyno_Data[RecordType],"StartMatch",Dyno_Data[Match],Dyno_Data[[#This Row],[Match]]),0)*86400),0)</f>
        <v>0</v>
      </c>
    </row>
    <row r="1377" spans="1:35" x14ac:dyDescent="0.3">
      <c r="A1377">
        <v>1376</v>
      </c>
      <c r="B1377" t="s">
        <v>1315</v>
      </c>
      <c r="C1377">
        <v>24</v>
      </c>
      <c r="D1377" s="105">
        <v>45373.553084293984</v>
      </c>
      <c r="E1377" t="s">
        <v>312</v>
      </c>
      <c r="F1377" t="s">
        <v>1402</v>
      </c>
      <c r="G1377">
        <v>0</v>
      </c>
      <c r="H1377" t="s">
        <v>315</v>
      </c>
      <c r="I1377">
        <v>0</v>
      </c>
      <c r="J1377">
        <v>0</v>
      </c>
      <c r="K1377">
        <v>0</v>
      </c>
      <c r="L1377" t="s">
        <v>242</v>
      </c>
      <c r="M1377" t="s">
        <v>241</v>
      </c>
      <c r="N1377">
        <v>0</v>
      </c>
      <c r="O1377" t="s">
        <v>311</v>
      </c>
      <c r="P1377" t="s">
        <v>310</v>
      </c>
      <c r="Q1377" t="s">
        <v>310</v>
      </c>
      <c r="R1377" t="s">
        <v>310</v>
      </c>
      <c r="S1377">
        <v>9</v>
      </c>
      <c r="T1377" t="s">
        <v>310</v>
      </c>
      <c r="U1377">
        <v>9</v>
      </c>
      <c r="V1377">
        <v>9</v>
      </c>
      <c r="W1377">
        <v>0</v>
      </c>
      <c r="X1377">
        <v>0</v>
      </c>
      <c r="Y1377">
        <v>0</v>
      </c>
      <c r="Z1377">
        <v>0</v>
      </c>
      <c r="AA1377">
        <v>9</v>
      </c>
      <c r="AB1377">
        <v>9</v>
      </c>
      <c r="AC1377" t="s">
        <v>310</v>
      </c>
      <c r="AD1377">
        <v>9</v>
      </c>
      <c r="AE1377" t="s">
        <v>1418</v>
      </c>
      <c r="AF1377">
        <v>20000000</v>
      </c>
      <c r="AG1377" t="s">
        <v>310</v>
      </c>
      <c r="AH1377">
        <f>SUM((MID(Dyno_Data[[#This Row],[Team]],4,5))+(Dyno_Data[[#This Row],[Match]]/100))</f>
        <v>1511.24</v>
      </c>
      <c r="AI1377" s="76">
        <f>ROUND(SUM(IF(Dyno_Data[[#This Row],[AcqCenter]]&gt;0,Dyno_Data[[#This Row],[Time]]-SUMIFS(Dyno_Data[Time],Dyno_Data[Team],Dyno_Data[[#This Row],[Team]],Dyno_Data[RecordType],"StartMatch",Dyno_Data[Match],Dyno_Data[[#This Row],[Match]]),0)*86400),0)</f>
        <v>0</v>
      </c>
    </row>
    <row r="1378" spans="1:35" x14ac:dyDescent="0.3">
      <c r="A1378">
        <v>1377</v>
      </c>
      <c r="B1378" t="s">
        <v>1297</v>
      </c>
      <c r="C1378">
        <v>24</v>
      </c>
      <c r="D1378" s="105">
        <v>45373.553102233796</v>
      </c>
      <c r="E1378" t="s">
        <v>312</v>
      </c>
      <c r="F1378" t="s">
        <v>1402</v>
      </c>
      <c r="G1378">
        <v>0</v>
      </c>
      <c r="H1378" t="s">
        <v>1397</v>
      </c>
      <c r="I1378">
        <v>0</v>
      </c>
      <c r="J1378">
        <v>0</v>
      </c>
      <c r="K1378">
        <v>0</v>
      </c>
      <c r="L1378" t="s">
        <v>241</v>
      </c>
      <c r="M1378" t="s">
        <v>101</v>
      </c>
      <c r="N1378">
        <v>0</v>
      </c>
      <c r="O1378" t="s">
        <v>319</v>
      </c>
      <c r="P1378" t="s">
        <v>310</v>
      </c>
      <c r="Q1378" t="s">
        <v>310</v>
      </c>
      <c r="R1378" t="s">
        <v>310</v>
      </c>
      <c r="S1378">
        <v>9</v>
      </c>
      <c r="T1378" t="s">
        <v>310</v>
      </c>
      <c r="U1378">
        <v>9</v>
      </c>
      <c r="V1378">
        <v>9</v>
      </c>
      <c r="W1378">
        <v>0</v>
      </c>
      <c r="X1378">
        <v>0</v>
      </c>
      <c r="Y1378">
        <v>0</v>
      </c>
      <c r="Z1378">
        <v>0</v>
      </c>
      <c r="AA1378">
        <v>9</v>
      </c>
      <c r="AB1378">
        <v>9</v>
      </c>
      <c r="AC1378" t="s">
        <v>310</v>
      </c>
      <c r="AD1378">
        <v>9</v>
      </c>
      <c r="AE1378" t="s">
        <v>1417</v>
      </c>
      <c r="AF1378">
        <v>0</v>
      </c>
      <c r="AG1378" t="s">
        <v>310</v>
      </c>
      <c r="AH1378">
        <f>SUM((MID(Dyno_Data[[#This Row],[Team]],4,5))+(Dyno_Data[[#This Row],[Match]]/100))</f>
        <v>9750.24</v>
      </c>
      <c r="AI1378" s="76">
        <f>ROUND(SUM(IF(Dyno_Data[[#This Row],[AcqCenter]]&gt;0,Dyno_Data[[#This Row],[Time]]-SUMIFS(Dyno_Data[Time],Dyno_Data[Team],Dyno_Data[[#This Row],[Team]],Dyno_Data[RecordType],"StartMatch",Dyno_Data[Match],Dyno_Data[[#This Row],[Match]]),0)*86400),0)</f>
        <v>0</v>
      </c>
    </row>
    <row r="1379" spans="1:35" x14ac:dyDescent="0.3">
      <c r="A1379">
        <v>1378</v>
      </c>
      <c r="B1379" t="s">
        <v>1312</v>
      </c>
      <c r="C1379">
        <v>24</v>
      </c>
      <c r="D1379" s="105">
        <v>45373.553120335651</v>
      </c>
      <c r="E1379" t="s">
        <v>312</v>
      </c>
      <c r="F1379" t="s">
        <v>1402</v>
      </c>
      <c r="G1379">
        <v>0</v>
      </c>
      <c r="H1379" t="s">
        <v>315</v>
      </c>
      <c r="I1379">
        <v>0</v>
      </c>
      <c r="J1379">
        <v>0</v>
      </c>
      <c r="K1379">
        <v>0</v>
      </c>
      <c r="L1379" t="s">
        <v>241</v>
      </c>
      <c r="M1379" t="s">
        <v>1398</v>
      </c>
      <c r="N1379">
        <v>0</v>
      </c>
      <c r="O1379" t="s">
        <v>1391</v>
      </c>
      <c r="P1379" t="s">
        <v>310</v>
      </c>
      <c r="Q1379" t="s">
        <v>310</v>
      </c>
      <c r="R1379" t="s">
        <v>310</v>
      </c>
      <c r="S1379">
        <v>9</v>
      </c>
      <c r="T1379" t="s">
        <v>310</v>
      </c>
      <c r="U1379">
        <v>9</v>
      </c>
      <c r="V1379">
        <v>9</v>
      </c>
      <c r="W1379">
        <v>0</v>
      </c>
      <c r="X1379">
        <v>0</v>
      </c>
      <c r="Y1379">
        <v>0</v>
      </c>
      <c r="Z1379">
        <v>0</v>
      </c>
      <c r="AA1379">
        <v>9</v>
      </c>
      <c r="AB1379">
        <v>9</v>
      </c>
      <c r="AC1379" t="s">
        <v>310</v>
      </c>
      <c r="AD1379">
        <v>9</v>
      </c>
      <c r="AE1379" t="s">
        <v>1416</v>
      </c>
      <c r="AF1379">
        <v>40000000</v>
      </c>
      <c r="AG1379" t="s">
        <v>310</v>
      </c>
      <c r="AH1379">
        <f>SUM((MID(Dyno_Data[[#This Row],[Team]],4,5))+(Dyno_Data[[#This Row],[Match]]/100))</f>
        <v>2053.2399999999998</v>
      </c>
      <c r="AI1379" s="76">
        <f>ROUND(SUM(IF(Dyno_Data[[#This Row],[AcqCenter]]&gt;0,Dyno_Data[[#This Row],[Time]]-SUMIFS(Dyno_Data[Time],Dyno_Data[Team],Dyno_Data[[#This Row],[Team]],Dyno_Data[RecordType],"StartMatch",Dyno_Data[Match],Dyno_Data[[#This Row],[Match]]),0)*86400),0)</f>
        <v>0</v>
      </c>
    </row>
    <row r="1380" spans="1:35" x14ac:dyDescent="0.3">
      <c r="A1380">
        <v>1379</v>
      </c>
      <c r="B1380" t="s">
        <v>1315</v>
      </c>
      <c r="C1380">
        <v>24</v>
      </c>
      <c r="D1380" s="105">
        <v>45373.553170949075</v>
      </c>
      <c r="E1380" t="s">
        <v>312</v>
      </c>
      <c r="F1380" t="s">
        <v>1402</v>
      </c>
      <c r="G1380">
        <v>0</v>
      </c>
      <c r="H1380" t="s">
        <v>315</v>
      </c>
      <c r="I1380">
        <v>0</v>
      </c>
      <c r="J1380">
        <v>0</v>
      </c>
      <c r="K1380">
        <v>0</v>
      </c>
      <c r="L1380" t="s">
        <v>242</v>
      </c>
      <c r="M1380" t="s">
        <v>241</v>
      </c>
      <c r="N1380">
        <v>0</v>
      </c>
      <c r="O1380" t="s">
        <v>311</v>
      </c>
      <c r="P1380" t="s">
        <v>310</v>
      </c>
      <c r="Q1380" t="s">
        <v>310</v>
      </c>
      <c r="R1380" t="s">
        <v>310</v>
      </c>
      <c r="S1380">
        <v>9</v>
      </c>
      <c r="T1380" t="s">
        <v>310</v>
      </c>
      <c r="U1380">
        <v>9</v>
      </c>
      <c r="V1380">
        <v>9</v>
      </c>
      <c r="W1380">
        <v>0</v>
      </c>
      <c r="X1380">
        <v>0</v>
      </c>
      <c r="Y1380">
        <v>0</v>
      </c>
      <c r="Z1380">
        <v>0</v>
      </c>
      <c r="AA1380">
        <v>9</v>
      </c>
      <c r="AB1380">
        <v>9</v>
      </c>
      <c r="AC1380" t="s">
        <v>310</v>
      </c>
      <c r="AD1380">
        <v>9</v>
      </c>
      <c r="AE1380" t="s">
        <v>1418</v>
      </c>
      <c r="AF1380">
        <v>30000000</v>
      </c>
      <c r="AG1380" t="s">
        <v>310</v>
      </c>
      <c r="AH1380">
        <f>SUM((MID(Dyno_Data[[#This Row],[Team]],4,5))+(Dyno_Data[[#This Row],[Match]]/100))</f>
        <v>1511.24</v>
      </c>
      <c r="AI1380" s="76">
        <f>ROUND(SUM(IF(Dyno_Data[[#This Row],[AcqCenter]]&gt;0,Dyno_Data[[#This Row],[Time]]-SUMIFS(Dyno_Data[Time],Dyno_Data[Team],Dyno_Data[[#This Row],[Team]],Dyno_Data[RecordType],"StartMatch",Dyno_Data[Match],Dyno_Data[[#This Row],[Match]]),0)*86400),0)</f>
        <v>0</v>
      </c>
    </row>
    <row r="1381" spans="1:35" x14ac:dyDescent="0.3">
      <c r="A1381">
        <v>1380</v>
      </c>
      <c r="B1381" t="s">
        <v>1315</v>
      </c>
      <c r="C1381">
        <v>24</v>
      </c>
      <c r="D1381" s="105">
        <v>45373.553276006947</v>
      </c>
      <c r="E1381" t="s">
        <v>312</v>
      </c>
      <c r="F1381" t="s">
        <v>1402</v>
      </c>
      <c r="G1381">
        <v>0</v>
      </c>
      <c r="H1381" t="s">
        <v>315</v>
      </c>
      <c r="I1381">
        <v>0</v>
      </c>
      <c r="J1381">
        <v>0</v>
      </c>
      <c r="K1381">
        <v>0</v>
      </c>
      <c r="L1381" t="s">
        <v>242</v>
      </c>
      <c r="M1381" t="s">
        <v>241</v>
      </c>
      <c r="N1381">
        <v>0</v>
      </c>
      <c r="O1381" t="s">
        <v>311</v>
      </c>
      <c r="P1381" t="s">
        <v>310</v>
      </c>
      <c r="Q1381" t="s">
        <v>310</v>
      </c>
      <c r="R1381" t="s">
        <v>310</v>
      </c>
      <c r="S1381">
        <v>9</v>
      </c>
      <c r="T1381" t="s">
        <v>310</v>
      </c>
      <c r="U1381">
        <v>9</v>
      </c>
      <c r="V1381">
        <v>9</v>
      </c>
      <c r="W1381">
        <v>0</v>
      </c>
      <c r="X1381">
        <v>0</v>
      </c>
      <c r="Y1381">
        <v>0</v>
      </c>
      <c r="Z1381">
        <v>0</v>
      </c>
      <c r="AA1381">
        <v>9</v>
      </c>
      <c r="AB1381">
        <v>9</v>
      </c>
      <c r="AC1381" t="s">
        <v>310</v>
      </c>
      <c r="AD1381">
        <v>9</v>
      </c>
      <c r="AE1381" t="s">
        <v>1418</v>
      </c>
      <c r="AF1381">
        <v>40000000</v>
      </c>
      <c r="AG1381" t="s">
        <v>310</v>
      </c>
      <c r="AH1381">
        <f>SUM((MID(Dyno_Data[[#This Row],[Team]],4,5))+(Dyno_Data[[#This Row],[Match]]/100))</f>
        <v>1511.24</v>
      </c>
      <c r="AI1381" s="76">
        <f>ROUND(SUM(IF(Dyno_Data[[#This Row],[AcqCenter]]&gt;0,Dyno_Data[[#This Row],[Time]]-SUMIFS(Dyno_Data[Time],Dyno_Data[Team],Dyno_Data[[#This Row],[Team]],Dyno_Data[RecordType],"StartMatch",Dyno_Data[Match],Dyno_Data[[#This Row],[Match]]),0)*86400),0)</f>
        <v>0</v>
      </c>
    </row>
    <row r="1382" spans="1:35" x14ac:dyDescent="0.3">
      <c r="A1382">
        <v>1381</v>
      </c>
      <c r="B1382" t="s">
        <v>1312</v>
      </c>
      <c r="C1382">
        <v>24</v>
      </c>
      <c r="D1382" s="105">
        <v>45373.553297025464</v>
      </c>
      <c r="E1382" t="s">
        <v>312</v>
      </c>
      <c r="F1382" t="s">
        <v>1402</v>
      </c>
      <c r="G1382">
        <v>0</v>
      </c>
      <c r="H1382" t="s">
        <v>315</v>
      </c>
      <c r="I1382">
        <v>0</v>
      </c>
      <c r="J1382">
        <v>0</v>
      </c>
      <c r="K1382">
        <v>0</v>
      </c>
      <c r="L1382" t="s">
        <v>241</v>
      </c>
      <c r="M1382" t="s">
        <v>1398</v>
      </c>
      <c r="N1382">
        <v>1</v>
      </c>
      <c r="O1382" t="s">
        <v>1391</v>
      </c>
      <c r="P1382" t="s">
        <v>310</v>
      </c>
      <c r="Q1382" t="s">
        <v>310</v>
      </c>
      <c r="R1382" t="s">
        <v>310</v>
      </c>
      <c r="S1382">
        <v>9</v>
      </c>
      <c r="T1382" t="s">
        <v>310</v>
      </c>
      <c r="U1382">
        <v>9</v>
      </c>
      <c r="V1382">
        <v>9</v>
      </c>
      <c r="W1382">
        <v>0</v>
      </c>
      <c r="X1382">
        <v>0</v>
      </c>
      <c r="Y1382">
        <v>0</v>
      </c>
      <c r="Z1382">
        <v>0</v>
      </c>
      <c r="AA1382">
        <v>9</v>
      </c>
      <c r="AB1382">
        <v>9</v>
      </c>
      <c r="AC1382" t="s">
        <v>310</v>
      </c>
      <c r="AD1382">
        <v>9</v>
      </c>
      <c r="AE1382" t="s">
        <v>1416</v>
      </c>
      <c r="AF1382">
        <v>50000000</v>
      </c>
      <c r="AG1382" t="s">
        <v>310</v>
      </c>
      <c r="AH1382">
        <f>SUM((MID(Dyno_Data[[#This Row],[Team]],4,5))+(Dyno_Data[[#This Row],[Match]]/100))</f>
        <v>2053.2399999999998</v>
      </c>
      <c r="AI1382" s="76">
        <f>ROUND(SUM(IF(Dyno_Data[[#This Row],[AcqCenter]]&gt;0,Dyno_Data[[#This Row],[Time]]-SUMIFS(Dyno_Data[Time],Dyno_Data[Team],Dyno_Data[[#This Row],[Team]],Dyno_Data[RecordType],"StartMatch",Dyno_Data[Match],Dyno_Data[[#This Row],[Match]]),0)*86400),0)</f>
        <v>0</v>
      </c>
    </row>
    <row r="1383" spans="1:35" x14ac:dyDescent="0.3">
      <c r="A1383">
        <v>1382</v>
      </c>
      <c r="B1383" t="s">
        <v>369</v>
      </c>
      <c r="C1383">
        <v>24</v>
      </c>
      <c r="D1383" s="105">
        <v>45373.553328125003</v>
      </c>
      <c r="E1383" t="s">
        <v>1403</v>
      </c>
      <c r="F1383" t="s">
        <v>1402</v>
      </c>
      <c r="G1383">
        <v>0</v>
      </c>
      <c r="H1383" t="s">
        <v>310</v>
      </c>
      <c r="I1383">
        <v>0</v>
      </c>
      <c r="J1383">
        <v>0</v>
      </c>
      <c r="K1383">
        <v>0</v>
      </c>
      <c r="L1383" t="s">
        <v>310</v>
      </c>
      <c r="M1383" t="s">
        <v>310</v>
      </c>
      <c r="N1383">
        <v>0</v>
      </c>
      <c r="O1383" t="s">
        <v>1389</v>
      </c>
      <c r="P1383" t="s">
        <v>310</v>
      </c>
      <c r="Q1383" t="s">
        <v>310</v>
      </c>
      <c r="R1383" t="s">
        <v>310</v>
      </c>
      <c r="S1383">
        <v>9</v>
      </c>
      <c r="T1383" t="s">
        <v>310</v>
      </c>
      <c r="U1383">
        <v>9</v>
      </c>
      <c r="V1383">
        <v>9</v>
      </c>
      <c r="W1383">
        <v>0</v>
      </c>
      <c r="X1383">
        <v>0</v>
      </c>
      <c r="Y1383">
        <v>0</v>
      </c>
      <c r="Z1383">
        <v>0</v>
      </c>
      <c r="AA1383">
        <v>9</v>
      </c>
      <c r="AB1383">
        <v>9</v>
      </c>
      <c r="AC1383" t="s">
        <v>310</v>
      </c>
      <c r="AD1383">
        <v>9</v>
      </c>
      <c r="AE1383" t="s">
        <v>1387</v>
      </c>
      <c r="AF1383">
        <v>50000000</v>
      </c>
      <c r="AG1383" t="s">
        <v>249</v>
      </c>
      <c r="AH1383">
        <f>SUM((MID(Dyno_Data[[#This Row],[Team]],4,5))+(Dyno_Data[[#This Row],[Match]]/100))</f>
        <v>6463.24</v>
      </c>
      <c r="AI1383" s="76">
        <f>ROUND(SUM(IF(Dyno_Data[[#This Row],[AcqCenter]]&gt;0,Dyno_Data[[#This Row],[Time]]-SUMIFS(Dyno_Data[Time],Dyno_Data[Team],Dyno_Data[[#This Row],[Team]],Dyno_Data[RecordType],"StartMatch",Dyno_Data[Match],Dyno_Data[[#This Row],[Match]]),0)*86400),0)</f>
        <v>0</v>
      </c>
    </row>
    <row r="1384" spans="1:35" x14ac:dyDescent="0.3">
      <c r="A1384">
        <v>1383</v>
      </c>
      <c r="B1384" t="s">
        <v>1315</v>
      </c>
      <c r="C1384">
        <v>24</v>
      </c>
      <c r="D1384" s="105">
        <v>45373.553345601853</v>
      </c>
      <c r="E1384" t="s">
        <v>312</v>
      </c>
      <c r="F1384" t="s">
        <v>1402</v>
      </c>
      <c r="G1384">
        <v>0</v>
      </c>
      <c r="H1384" t="s">
        <v>315</v>
      </c>
      <c r="I1384">
        <v>0</v>
      </c>
      <c r="J1384">
        <v>0</v>
      </c>
      <c r="K1384">
        <v>0</v>
      </c>
      <c r="L1384" t="s">
        <v>242</v>
      </c>
      <c r="M1384" t="s">
        <v>242</v>
      </c>
      <c r="N1384">
        <v>0</v>
      </c>
      <c r="O1384" t="s">
        <v>311</v>
      </c>
      <c r="P1384" t="s">
        <v>310</v>
      </c>
      <c r="Q1384" t="s">
        <v>310</v>
      </c>
      <c r="R1384" t="s">
        <v>310</v>
      </c>
      <c r="S1384">
        <v>9</v>
      </c>
      <c r="T1384" t="s">
        <v>310</v>
      </c>
      <c r="U1384">
        <v>9</v>
      </c>
      <c r="V1384">
        <v>9</v>
      </c>
      <c r="W1384">
        <v>0</v>
      </c>
      <c r="X1384">
        <v>0</v>
      </c>
      <c r="Y1384">
        <v>0</v>
      </c>
      <c r="Z1384">
        <v>0</v>
      </c>
      <c r="AA1384">
        <v>9</v>
      </c>
      <c r="AB1384">
        <v>9</v>
      </c>
      <c r="AC1384" t="s">
        <v>310</v>
      </c>
      <c r="AD1384">
        <v>9</v>
      </c>
      <c r="AE1384" t="s">
        <v>1418</v>
      </c>
      <c r="AF1384">
        <v>50000000</v>
      </c>
      <c r="AG1384" t="s">
        <v>310</v>
      </c>
      <c r="AH1384">
        <f>SUM((MID(Dyno_Data[[#This Row],[Team]],4,5))+(Dyno_Data[[#This Row],[Match]]/100))</f>
        <v>1511.24</v>
      </c>
      <c r="AI1384" s="76">
        <f>ROUND(SUM(IF(Dyno_Data[[#This Row],[AcqCenter]]&gt;0,Dyno_Data[[#This Row],[Time]]-SUMIFS(Dyno_Data[Time],Dyno_Data[Team],Dyno_Data[[#This Row],[Team]],Dyno_Data[RecordType],"StartMatch",Dyno_Data[Match],Dyno_Data[[#This Row],[Match]]),0)*86400),0)</f>
        <v>0</v>
      </c>
    </row>
    <row r="1385" spans="1:35" x14ac:dyDescent="0.3">
      <c r="A1385">
        <v>1384</v>
      </c>
      <c r="B1385" t="s">
        <v>1312</v>
      </c>
      <c r="C1385">
        <v>24</v>
      </c>
      <c r="D1385" s="105">
        <v>45373.553380902777</v>
      </c>
      <c r="E1385" t="s">
        <v>312</v>
      </c>
      <c r="F1385" t="s">
        <v>1402</v>
      </c>
      <c r="G1385">
        <v>0</v>
      </c>
      <c r="H1385" t="s">
        <v>315</v>
      </c>
      <c r="I1385">
        <v>0</v>
      </c>
      <c r="J1385">
        <v>0</v>
      </c>
      <c r="K1385">
        <v>0</v>
      </c>
      <c r="L1385" t="s">
        <v>241</v>
      </c>
      <c r="M1385" t="s">
        <v>1398</v>
      </c>
      <c r="N1385">
        <v>0</v>
      </c>
      <c r="O1385" t="s">
        <v>1391</v>
      </c>
      <c r="P1385" t="s">
        <v>310</v>
      </c>
      <c r="Q1385" t="s">
        <v>310</v>
      </c>
      <c r="R1385" t="s">
        <v>310</v>
      </c>
      <c r="S1385">
        <v>9</v>
      </c>
      <c r="T1385" t="s">
        <v>310</v>
      </c>
      <c r="U1385">
        <v>9</v>
      </c>
      <c r="V1385">
        <v>9</v>
      </c>
      <c r="W1385">
        <v>0</v>
      </c>
      <c r="X1385">
        <v>0</v>
      </c>
      <c r="Y1385">
        <v>0</v>
      </c>
      <c r="Z1385">
        <v>0</v>
      </c>
      <c r="AA1385">
        <v>9</v>
      </c>
      <c r="AB1385">
        <v>9</v>
      </c>
      <c r="AC1385" t="s">
        <v>310</v>
      </c>
      <c r="AD1385">
        <v>9</v>
      </c>
      <c r="AE1385" t="s">
        <v>1416</v>
      </c>
      <c r="AF1385">
        <v>60000000</v>
      </c>
      <c r="AG1385" t="s">
        <v>310</v>
      </c>
      <c r="AH1385">
        <f>SUM((MID(Dyno_Data[[#This Row],[Team]],4,5))+(Dyno_Data[[#This Row],[Match]]/100))</f>
        <v>2053.2399999999998</v>
      </c>
      <c r="AI1385" s="76">
        <f>ROUND(SUM(IF(Dyno_Data[[#This Row],[AcqCenter]]&gt;0,Dyno_Data[[#This Row],[Time]]-SUMIFS(Dyno_Data[Time],Dyno_Data[Team],Dyno_Data[[#This Row],[Team]],Dyno_Data[RecordType],"StartMatch",Dyno_Data[Match],Dyno_Data[[#This Row],[Match]]),0)*86400),0)</f>
        <v>0</v>
      </c>
    </row>
    <row r="1386" spans="1:35" x14ac:dyDescent="0.3">
      <c r="A1386">
        <v>1385</v>
      </c>
      <c r="B1386" t="s">
        <v>1297</v>
      </c>
      <c r="C1386">
        <v>24</v>
      </c>
      <c r="D1386" s="105">
        <v>45373.553380937497</v>
      </c>
      <c r="E1386" t="s">
        <v>312</v>
      </c>
      <c r="F1386" t="s">
        <v>1402</v>
      </c>
      <c r="G1386">
        <v>0</v>
      </c>
      <c r="H1386" t="s">
        <v>315</v>
      </c>
      <c r="I1386">
        <v>0</v>
      </c>
      <c r="J1386">
        <v>0</v>
      </c>
      <c r="K1386">
        <v>0</v>
      </c>
      <c r="L1386" t="s">
        <v>241</v>
      </c>
      <c r="M1386" t="s">
        <v>101</v>
      </c>
      <c r="N1386">
        <v>0</v>
      </c>
      <c r="O1386" t="s">
        <v>319</v>
      </c>
      <c r="P1386" t="s">
        <v>310</v>
      </c>
      <c r="Q1386" t="s">
        <v>310</v>
      </c>
      <c r="R1386" t="s">
        <v>310</v>
      </c>
      <c r="S1386">
        <v>9</v>
      </c>
      <c r="T1386" t="s">
        <v>310</v>
      </c>
      <c r="U1386">
        <v>9</v>
      </c>
      <c r="V1386">
        <v>9</v>
      </c>
      <c r="W1386">
        <v>0</v>
      </c>
      <c r="X1386">
        <v>0</v>
      </c>
      <c r="Y1386">
        <v>0</v>
      </c>
      <c r="Z1386">
        <v>0</v>
      </c>
      <c r="AA1386">
        <v>9</v>
      </c>
      <c r="AB1386">
        <v>9</v>
      </c>
      <c r="AC1386" t="s">
        <v>310</v>
      </c>
      <c r="AD1386">
        <v>9</v>
      </c>
      <c r="AE1386" t="s">
        <v>1417</v>
      </c>
      <c r="AF1386">
        <v>10100000</v>
      </c>
      <c r="AG1386" t="s">
        <v>310</v>
      </c>
      <c r="AH1386">
        <f>SUM((MID(Dyno_Data[[#This Row],[Team]],4,5))+(Dyno_Data[[#This Row],[Match]]/100))</f>
        <v>9750.24</v>
      </c>
      <c r="AI1386" s="76">
        <f>ROUND(SUM(IF(Dyno_Data[[#This Row],[AcqCenter]]&gt;0,Dyno_Data[[#This Row],[Time]]-SUMIFS(Dyno_Data[Time],Dyno_Data[Team],Dyno_Data[[#This Row],[Team]],Dyno_Data[RecordType],"StartMatch",Dyno_Data[Match],Dyno_Data[[#This Row],[Match]]),0)*86400),0)</f>
        <v>0</v>
      </c>
    </row>
    <row r="1387" spans="1:35" x14ac:dyDescent="0.3">
      <c r="A1387">
        <v>1386</v>
      </c>
      <c r="B1387" t="s">
        <v>1315</v>
      </c>
      <c r="C1387">
        <v>24</v>
      </c>
      <c r="D1387" s="105">
        <v>45373.553396180556</v>
      </c>
      <c r="E1387" t="s">
        <v>312</v>
      </c>
      <c r="F1387" t="s">
        <v>1402</v>
      </c>
      <c r="G1387">
        <v>0</v>
      </c>
      <c r="H1387" t="s">
        <v>315</v>
      </c>
      <c r="I1387">
        <v>0</v>
      </c>
      <c r="J1387">
        <v>0</v>
      </c>
      <c r="K1387">
        <v>0</v>
      </c>
      <c r="L1387" t="s">
        <v>242</v>
      </c>
      <c r="M1387" t="s">
        <v>241</v>
      </c>
      <c r="N1387">
        <v>0</v>
      </c>
      <c r="O1387" t="s">
        <v>311</v>
      </c>
      <c r="P1387" t="s">
        <v>310</v>
      </c>
      <c r="Q1387" t="s">
        <v>310</v>
      </c>
      <c r="R1387" t="s">
        <v>310</v>
      </c>
      <c r="S1387">
        <v>9</v>
      </c>
      <c r="T1387" t="s">
        <v>310</v>
      </c>
      <c r="U1387">
        <v>9</v>
      </c>
      <c r="V1387">
        <v>9</v>
      </c>
      <c r="W1387">
        <v>0</v>
      </c>
      <c r="X1387">
        <v>0</v>
      </c>
      <c r="Y1387">
        <v>0</v>
      </c>
      <c r="Z1387">
        <v>0</v>
      </c>
      <c r="AA1387">
        <v>9</v>
      </c>
      <c r="AB1387">
        <v>9</v>
      </c>
      <c r="AC1387" t="s">
        <v>310</v>
      </c>
      <c r="AD1387">
        <v>9</v>
      </c>
      <c r="AE1387" t="s">
        <v>1418</v>
      </c>
      <c r="AF1387">
        <v>60000000</v>
      </c>
      <c r="AG1387" t="s">
        <v>310</v>
      </c>
      <c r="AH1387">
        <f>SUM((MID(Dyno_Data[[#This Row],[Team]],4,5))+(Dyno_Data[[#This Row],[Match]]/100))</f>
        <v>1511.24</v>
      </c>
      <c r="AI1387" s="76">
        <f>ROUND(SUM(IF(Dyno_Data[[#This Row],[AcqCenter]]&gt;0,Dyno_Data[[#This Row],[Time]]-SUMIFS(Dyno_Data[Time],Dyno_Data[Team],Dyno_Data[[#This Row],[Team]],Dyno_Data[RecordType],"StartMatch",Dyno_Data[Match],Dyno_Data[[#This Row],[Match]]),0)*86400),0)</f>
        <v>0</v>
      </c>
    </row>
    <row r="1388" spans="1:35" x14ac:dyDescent="0.3">
      <c r="A1388">
        <v>1387</v>
      </c>
      <c r="B1388" t="s">
        <v>369</v>
      </c>
      <c r="C1388">
        <v>24</v>
      </c>
      <c r="D1388" s="105">
        <v>45373.553494097221</v>
      </c>
      <c r="E1388" t="s">
        <v>1403</v>
      </c>
      <c r="F1388" t="s">
        <v>1402</v>
      </c>
      <c r="G1388">
        <v>0</v>
      </c>
      <c r="H1388" t="s">
        <v>310</v>
      </c>
      <c r="I1388">
        <v>0</v>
      </c>
      <c r="J1388">
        <v>0</v>
      </c>
      <c r="K1388">
        <v>0</v>
      </c>
      <c r="L1388" t="s">
        <v>310</v>
      </c>
      <c r="M1388" t="s">
        <v>310</v>
      </c>
      <c r="N1388">
        <v>0</v>
      </c>
      <c r="O1388" t="s">
        <v>1389</v>
      </c>
      <c r="P1388" t="s">
        <v>310</v>
      </c>
      <c r="Q1388" t="s">
        <v>310</v>
      </c>
      <c r="R1388" t="s">
        <v>310</v>
      </c>
      <c r="S1388">
        <v>9</v>
      </c>
      <c r="T1388" t="s">
        <v>310</v>
      </c>
      <c r="U1388">
        <v>9</v>
      </c>
      <c r="V1388">
        <v>9</v>
      </c>
      <c r="W1388">
        <v>0</v>
      </c>
      <c r="X1388">
        <v>0</v>
      </c>
      <c r="Y1388">
        <v>0</v>
      </c>
      <c r="Z1388">
        <v>0</v>
      </c>
      <c r="AA1388">
        <v>9</v>
      </c>
      <c r="AB1388">
        <v>9</v>
      </c>
      <c r="AC1388" t="s">
        <v>310</v>
      </c>
      <c r="AD1388">
        <v>9</v>
      </c>
      <c r="AE1388" t="s">
        <v>1387</v>
      </c>
      <c r="AF1388">
        <v>60000000</v>
      </c>
      <c r="AG1388" t="s">
        <v>252</v>
      </c>
      <c r="AH1388">
        <f>SUM((MID(Dyno_Data[[#This Row],[Team]],4,5))+(Dyno_Data[[#This Row],[Match]]/100))</f>
        <v>6463.24</v>
      </c>
      <c r="AI1388" s="76">
        <f>ROUND(SUM(IF(Dyno_Data[[#This Row],[AcqCenter]]&gt;0,Dyno_Data[[#This Row],[Time]]-SUMIFS(Dyno_Data[Time],Dyno_Data[Team],Dyno_Data[[#This Row],[Team]],Dyno_Data[RecordType],"StartMatch",Dyno_Data[Match],Dyno_Data[[#This Row],[Match]]),0)*86400),0)</f>
        <v>0</v>
      </c>
    </row>
    <row r="1389" spans="1:35" x14ac:dyDescent="0.3">
      <c r="A1389">
        <v>1388</v>
      </c>
      <c r="B1389" t="s">
        <v>1312</v>
      </c>
      <c r="C1389">
        <v>24</v>
      </c>
      <c r="D1389" s="105">
        <v>45373.553520254631</v>
      </c>
      <c r="E1389" t="s">
        <v>312</v>
      </c>
      <c r="F1389" t="s">
        <v>1402</v>
      </c>
      <c r="G1389">
        <v>0</v>
      </c>
      <c r="H1389" t="s">
        <v>315</v>
      </c>
      <c r="I1389">
        <v>0</v>
      </c>
      <c r="J1389">
        <v>0</v>
      </c>
      <c r="K1389">
        <v>0</v>
      </c>
      <c r="L1389" t="s">
        <v>241</v>
      </c>
      <c r="M1389" t="s">
        <v>1398</v>
      </c>
      <c r="N1389">
        <v>1</v>
      </c>
      <c r="O1389" t="s">
        <v>1391</v>
      </c>
      <c r="P1389" t="s">
        <v>310</v>
      </c>
      <c r="Q1389" t="s">
        <v>310</v>
      </c>
      <c r="R1389" t="s">
        <v>310</v>
      </c>
      <c r="S1389">
        <v>9</v>
      </c>
      <c r="T1389" t="s">
        <v>310</v>
      </c>
      <c r="U1389">
        <v>9</v>
      </c>
      <c r="V1389">
        <v>9</v>
      </c>
      <c r="W1389">
        <v>0</v>
      </c>
      <c r="X1389">
        <v>0</v>
      </c>
      <c r="Y1389">
        <v>0</v>
      </c>
      <c r="Z1389">
        <v>0</v>
      </c>
      <c r="AA1389">
        <v>9</v>
      </c>
      <c r="AB1389">
        <v>9</v>
      </c>
      <c r="AC1389" t="s">
        <v>310</v>
      </c>
      <c r="AD1389">
        <v>9</v>
      </c>
      <c r="AE1389" t="s">
        <v>1416</v>
      </c>
      <c r="AF1389">
        <v>70000000</v>
      </c>
      <c r="AG1389" t="s">
        <v>310</v>
      </c>
      <c r="AH1389">
        <f>SUM((MID(Dyno_Data[[#This Row],[Team]],4,5))+(Dyno_Data[[#This Row],[Match]]/100))</f>
        <v>2053.2399999999998</v>
      </c>
      <c r="AI1389" s="76">
        <f>ROUND(SUM(IF(Dyno_Data[[#This Row],[AcqCenter]]&gt;0,Dyno_Data[[#This Row],[Time]]-SUMIFS(Dyno_Data[Time],Dyno_Data[Team],Dyno_Data[[#This Row],[Team]],Dyno_Data[RecordType],"StartMatch",Dyno_Data[Match],Dyno_Data[[#This Row],[Match]]),0)*86400),0)</f>
        <v>0</v>
      </c>
    </row>
    <row r="1390" spans="1:35" x14ac:dyDescent="0.3">
      <c r="A1390">
        <v>1389</v>
      </c>
      <c r="B1390" t="s">
        <v>1297</v>
      </c>
      <c r="C1390">
        <v>24</v>
      </c>
      <c r="D1390" s="105">
        <v>45373.553522418981</v>
      </c>
      <c r="E1390" t="s">
        <v>312</v>
      </c>
      <c r="F1390" t="s">
        <v>1402</v>
      </c>
      <c r="G1390">
        <v>0</v>
      </c>
      <c r="H1390" t="s">
        <v>315</v>
      </c>
      <c r="I1390">
        <v>0</v>
      </c>
      <c r="J1390">
        <v>0</v>
      </c>
      <c r="K1390">
        <v>0</v>
      </c>
      <c r="L1390" t="s">
        <v>241</v>
      </c>
      <c r="M1390" t="s">
        <v>101</v>
      </c>
      <c r="N1390">
        <v>0</v>
      </c>
      <c r="O1390" t="s">
        <v>319</v>
      </c>
      <c r="P1390" t="s">
        <v>310</v>
      </c>
      <c r="Q1390" t="s">
        <v>310</v>
      </c>
      <c r="R1390" t="s">
        <v>310</v>
      </c>
      <c r="S1390">
        <v>9</v>
      </c>
      <c r="T1390" t="s">
        <v>310</v>
      </c>
      <c r="U1390">
        <v>9</v>
      </c>
      <c r="V1390">
        <v>9</v>
      </c>
      <c r="W1390">
        <v>0</v>
      </c>
      <c r="X1390">
        <v>0</v>
      </c>
      <c r="Y1390">
        <v>0</v>
      </c>
      <c r="Z1390">
        <v>0</v>
      </c>
      <c r="AA1390">
        <v>9</v>
      </c>
      <c r="AB1390">
        <v>9</v>
      </c>
      <c r="AC1390" t="s">
        <v>310</v>
      </c>
      <c r="AD1390">
        <v>9</v>
      </c>
      <c r="AE1390" t="s">
        <v>1417</v>
      </c>
      <c r="AF1390">
        <v>20100000</v>
      </c>
      <c r="AG1390" t="s">
        <v>310</v>
      </c>
      <c r="AH1390">
        <f>SUM((MID(Dyno_Data[[#This Row],[Team]],4,5))+(Dyno_Data[[#This Row],[Match]]/100))</f>
        <v>9750.24</v>
      </c>
      <c r="AI1390" s="76">
        <f>ROUND(SUM(IF(Dyno_Data[[#This Row],[AcqCenter]]&gt;0,Dyno_Data[[#This Row],[Time]]-SUMIFS(Dyno_Data[Time],Dyno_Data[Team],Dyno_Data[[#This Row],[Team]],Dyno_Data[RecordType],"StartMatch",Dyno_Data[Match],Dyno_Data[[#This Row],[Match]]),0)*86400),0)</f>
        <v>0</v>
      </c>
    </row>
    <row r="1391" spans="1:35" x14ac:dyDescent="0.3">
      <c r="A1391">
        <v>1390</v>
      </c>
      <c r="B1391" t="s">
        <v>1306</v>
      </c>
      <c r="C1391">
        <v>24</v>
      </c>
      <c r="D1391" s="105">
        <v>45373.553526736112</v>
      </c>
      <c r="E1391" t="s">
        <v>312</v>
      </c>
      <c r="F1391" t="s">
        <v>1402</v>
      </c>
      <c r="G1391">
        <v>0</v>
      </c>
      <c r="H1391" t="s">
        <v>315</v>
      </c>
      <c r="I1391">
        <v>0</v>
      </c>
      <c r="J1391">
        <v>0</v>
      </c>
      <c r="K1391">
        <v>0</v>
      </c>
      <c r="L1391" t="s">
        <v>241</v>
      </c>
      <c r="M1391" t="s">
        <v>101</v>
      </c>
      <c r="N1391">
        <v>0</v>
      </c>
      <c r="O1391" t="s">
        <v>1393</v>
      </c>
      <c r="P1391" t="s">
        <v>310</v>
      </c>
      <c r="Q1391" t="s">
        <v>310</v>
      </c>
      <c r="R1391" t="s">
        <v>310</v>
      </c>
      <c r="S1391">
        <v>9</v>
      </c>
      <c r="T1391" t="s">
        <v>310</v>
      </c>
      <c r="U1391">
        <v>9</v>
      </c>
      <c r="V1391">
        <v>9</v>
      </c>
      <c r="W1391">
        <v>0</v>
      </c>
      <c r="X1391">
        <v>0</v>
      </c>
      <c r="Y1391">
        <v>0</v>
      </c>
      <c r="Z1391">
        <v>0</v>
      </c>
      <c r="AA1391">
        <v>9</v>
      </c>
      <c r="AB1391">
        <v>9</v>
      </c>
      <c r="AC1391" t="s">
        <v>310</v>
      </c>
      <c r="AD1391">
        <v>9</v>
      </c>
      <c r="AE1391" t="s">
        <v>1394</v>
      </c>
      <c r="AF1391">
        <v>10000000</v>
      </c>
      <c r="AG1391" t="s">
        <v>310</v>
      </c>
      <c r="AH1391">
        <f>SUM((MID(Dyno_Data[[#This Row],[Team]],4,5))+(Dyno_Data[[#This Row],[Match]]/100))</f>
        <v>3986.24</v>
      </c>
      <c r="AI1391" s="76">
        <f>ROUND(SUM(IF(Dyno_Data[[#This Row],[AcqCenter]]&gt;0,Dyno_Data[[#This Row],[Time]]-SUMIFS(Dyno_Data[Time],Dyno_Data[Team],Dyno_Data[[#This Row],[Team]],Dyno_Data[RecordType],"StartMatch",Dyno_Data[Match],Dyno_Data[[#This Row],[Match]]),0)*86400),0)</f>
        <v>0</v>
      </c>
    </row>
    <row r="1392" spans="1:35" x14ac:dyDescent="0.3">
      <c r="A1392">
        <v>1391</v>
      </c>
      <c r="B1392" t="s">
        <v>1312</v>
      </c>
      <c r="C1392">
        <v>24</v>
      </c>
      <c r="D1392" s="105">
        <v>45373.553584606481</v>
      </c>
      <c r="E1392" t="s">
        <v>312</v>
      </c>
      <c r="F1392" t="s">
        <v>1402</v>
      </c>
      <c r="G1392">
        <v>0</v>
      </c>
      <c r="H1392" t="s">
        <v>315</v>
      </c>
      <c r="I1392">
        <v>0</v>
      </c>
      <c r="J1392">
        <v>0</v>
      </c>
      <c r="K1392">
        <v>0</v>
      </c>
      <c r="L1392" t="s">
        <v>241</v>
      </c>
      <c r="M1392" t="s">
        <v>1398</v>
      </c>
      <c r="N1392">
        <v>0</v>
      </c>
      <c r="O1392" t="s">
        <v>1391</v>
      </c>
      <c r="P1392" t="s">
        <v>310</v>
      </c>
      <c r="Q1392" t="s">
        <v>310</v>
      </c>
      <c r="R1392" t="s">
        <v>310</v>
      </c>
      <c r="S1392">
        <v>9</v>
      </c>
      <c r="T1392" t="s">
        <v>310</v>
      </c>
      <c r="U1392">
        <v>9</v>
      </c>
      <c r="V1392">
        <v>9</v>
      </c>
      <c r="W1392">
        <v>0</v>
      </c>
      <c r="X1392">
        <v>0</v>
      </c>
      <c r="Y1392">
        <v>0</v>
      </c>
      <c r="Z1392">
        <v>0</v>
      </c>
      <c r="AA1392">
        <v>9</v>
      </c>
      <c r="AB1392">
        <v>9</v>
      </c>
      <c r="AC1392" t="s">
        <v>310</v>
      </c>
      <c r="AD1392">
        <v>9</v>
      </c>
      <c r="AE1392" t="s">
        <v>1416</v>
      </c>
      <c r="AF1392">
        <v>80000000</v>
      </c>
      <c r="AG1392" t="s">
        <v>310</v>
      </c>
      <c r="AH1392">
        <f>SUM((MID(Dyno_Data[[#This Row],[Team]],4,5))+(Dyno_Data[[#This Row],[Match]]/100))</f>
        <v>2053.2399999999998</v>
      </c>
      <c r="AI1392" s="76">
        <f>ROUND(SUM(IF(Dyno_Data[[#This Row],[AcqCenter]]&gt;0,Dyno_Data[[#This Row],[Time]]-SUMIFS(Dyno_Data[Time],Dyno_Data[Team],Dyno_Data[[#This Row],[Team]],Dyno_Data[RecordType],"StartMatch",Dyno_Data[Match],Dyno_Data[[#This Row],[Match]]),0)*86400),0)</f>
        <v>0</v>
      </c>
    </row>
    <row r="1393" spans="1:35" x14ac:dyDescent="0.3">
      <c r="A1393">
        <v>1392</v>
      </c>
      <c r="B1393" t="s">
        <v>1315</v>
      </c>
      <c r="C1393">
        <v>24</v>
      </c>
      <c r="D1393" s="105">
        <v>45373.553670752313</v>
      </c>
      <c r="E1393" t="s">
        <v>312</v>
      </c>
      <c r="F1393" t="s">
        <v>1402</v>
      </c>
      <c r="G1393">
        <v>0</v>
      </c>
      <c r="H1393" t="s">
        <v>315</v>
      </c>
      <c r="I1393">
        <v>0</v>
      </c>
      <c r="J1393">
        <v>0</v>
      </c>
      <c r="K1393">
        <v>0</v>
      </c>
      <c r="L1393" t="s">
        <v>242</v>
      </c>
      <c r="M1393" t="s">
        <v>1398</v>
      </c>
      <c r="N1393">
        <v>1</v>
      </c>
      <c r="O1393" t="s">
        <v>311</v>
      </c>
      <c r="P1393" t="s">
        <v>310</v>
      </c>
      <c r="Q1393" t="s">
        <v>310</v>
      </c>
      <c r="R1393" t="s">
        <v>310</v>
      </c>
      <c r="S1393">
        <v>9</v>
      </c>
      <c r="T1393" t="s">
        <v>310</v>
      </c>
      <c r="U1393">
        <v>9</v>
      </c>
      <c r="V1393">
        <v>9</v>
      </c>
      <c r="W1393">
        <v>0</v>
      </c>
      <c r="X1393">
        <v>0</v>
      </c>
      <c r="Y1393">
        <v>0</v>
      </c>
      <c r="Z1393">
        <v>0</v>
      </c>
      <c r="AA1393">
        <v>9</v>
      </c>
      <c r="AB1393">
        <v>9</v>
      </c>
      <c r="AC1393" t="s">
        <v>310</v>
      </c>
      <c r="AD1393">
        <v>9</v>
      </c>
      <c r="AE1393" t="s">
        <v>1418</v>
      </c>
      <c r="AF1393">
        <v>70000000</v>
      </c>
      <c r="AG1393" t="s">
        <v>310</v>
      </c>
      <c r="AH1393">
        <f>SUM((MID(Dyno_Data[[#This Row],[Team]],4,5))+(Dyno_Data[[#This Row],[Match]]/100))</f>
        <v>1511.24</v>
      </c>
      <c r="AI1393" s="76">
        <f>ROUND(SUM(IF(Dyno_Data[[#This Row],[AcqCenter]]&gt;0,Dyno_Data[[#This Row],[Time]]-SUMIFS(Dyno_Data[Time],Dyno_Data[Team],Dyno_Data[[#This Row],[Team]],Dyno_Data[RecordType],"StartMatch",Dyno_Data[Match],Dyno_Data[[#This Row],[Match]]),0)*86400),0)</f>
        <v>0</v>
      </c>
    </row>
    <row r="1394" spans="1:35" x14ac:dyDescent="0.3">
      <c r="A1394">
        <v>1393</v>
      </c>
      <c r="B1394" t="s">
        <v>1306</v>
      </c>
      <c r="C1394">
        <v>24</v>
      </c>
      <c r="D1394" s="105">
        <v>45373.553685879633</v>
      </c>
      <c r="E1394" t="s">
        <v>312</v>
      </c>
      <c r="F1394" t="s">
        <v>1402</v>
      </c>
      <c r="G1394">
        <v>0</v>
      </c>
      <c r="H1394" t="s">
        <v>315</v>
      </c>
      <c r="I1394">
        <v>0</v>
      </c>
      <c r="J1394">
        <v>0</v>
      </c>
      <c r="K1394">
        <v>0</v>
      </c>
      <c r="L1394" t="s">
        <v>241</v>
      </c>
      <c r="M1394" t="s">
        <v>1398</v>
      </c>
      <c r="N1394">
        <v>0</v>
      </c>
      <c r="O1394" t="s">
        <v>1393</v>
      </c>
      <c r="P1394" t="s">
        <v>310</v>
      </c>
      <c r="Q1394" t="s">
        <v>310</v>
      </c>
      <c r="R1394" t="s">
        <v>310</v>
      </c>
      <c r="S1394">
        <v>9</v>
      </c>
      <c r="T1394" t="s">
        <v>310</v>
      </c>
      <c r="U1394">
        <v>9</v>
      </c>
      <c r="V1394">
        <v>9</v>
      </c>
      <c r="W1394">
        <v>0</v>
      </c>
      <c r="X1394">
        <v>0</v>
      </c>
      <c r="Y1394">
        <v>0</v>
      </c>
      <c r="Z1394">
        <v>0</v>
      </c>
      <c r="AA1394">
        <v>9</v>
      </c>
      <c r="AB1394">
        <v>9</v>
      </c>
      <c r="AC1394" t="s">
        <v>310</v>
      </c>
      <c r="AD1394">
        <v>9</v>
      </c>
      <c r="AE1394" t="s">
        <v>1394</v>
      </c>
      <c r="AF1394">
        <v>20000000</v>
      </c>
      <c r="AG1394" t="s">
        <v>310</v>
      </c>
      <c r="AH1394">
        <f>SUM((MID(Dyno_Data[[#This Row],[Team]],4,5))+(Dyno_Data[[#This Row],[Match]]/100))</f>
        <v>3986.24</v>
      </c>
      <c r="AI1394" s="76">
        <f>ROUND(SUM(IF(Dyno_Data[[#This Row],[AcqCenter]]&gt;0,Dyno_Data[[#This Row],[Time]]-SUMIFS(Dyno_Data[Time],Dyno_Data[Team],Dyno_Data[[#This Row],[Team]],Dyno_Data[RecordType],"StartMatch",Dyno_Data[Match],Dyno_Data[[#This Row],[Match]]),0)*86400),0)</f>
        <v>0</v>
      </c>
    </row>
    <row r="1395" spans="1:35" x14ac:dyDescent="0.3">
      <c r="A1395">
        <v>1394</v>
      </c>
      <c r="B1395" t="s">
        <v>1297</v>
      </c>
      <c r="C1395">
        <v>24</v>
      </c>
      <c r="D1395" s="105">
        <v>45373.553708217594</v>
      </c>
      <c r="E1395" t="s">
        <v>312</v>
      </c>
      <c r="F1395" t="s">
        <v>1402</v>
      </c>
      <c r="G1395">
        <v>0</v>
      </c>
      <c r="H1395" t="s">
        <v>315</v>
      </c>
      <c r="I1395">
        <v>0</v>
      </c>
      <c r="J1395">
        <v>0</v>
      </c>
      <c r="K1395">
        <v>0</v>
      </c>
      <c r="L1395" t="s">
        <v>241</v>
      </c>
      <c r="M1395" t="s">
        <v>101</v>
      </c>
      <c r="N1395">
        <v>0</v>
      </c>
      <c r="O1395" t="s">
        <v>319</v>
      </c>
      <c r="P1395" t="s">
        <v>310</v>
      </c>
      <c r="Q1395" t="s">
        <v>310</v>
      </c>
      <c r="R1395" t="s">
        <v>310</v>
      </c>
      <c r="S1395">
        <v>9</v>
      </c>
      <c r="T1395" t="s">
        <v>310</v>
      </c>
      <c r="U1395">
        <v>9</v>
      </c>
      <c r="V1395">
        <v>9</v>
      </c>
      <c r="W1395">
        <v>0</v>
      </c>
      <c r="X1395">
        <v>0</v>
      </c>
      <c r="Y1395">
        <v>0</v>
      </c>
      <c r="Z1395">
        <v>0</v>
      </c>
      <c r="AA1395">
        <v>9</v>
      </c>
      <c r="AB1395">
        <v>9</v>
      </c>
      <c r="AC1395" t="s">
        <v>310</v>
      </c>
      <c r="AD1395">
        <v>9</v>
      </c>
      <c r="AE1395" t="s">
        <v>1417</v>
      </c>
      <c r="AF1395">
        <v>30100000</v>
      </c>
      <c r="AG1395" t="s">
        <v>310</v>
      </c>
      <c r="AH1395">
        <f>SUM((MID(Dyno_Data[[#This Row],[Team]],4,5))+(Dyno_Data[[#This Row],[Match]]/100))</f>
        <v>9750.24</v>
      </c>
      <c r="AI1395" s="76">
        <f>ROUND(SUM(IF(Dyno_Data[[#This Row],[AcqCenter]]&gt;0,Dyno_Data[[#This Row],[Time]]-SUMIFS(Dyno_Data[Time],Dyno_Data[Team],Dyno_Data[[#This Row],[Team]],Dyno_Data[RecordType],"StartMatch",Dyno_Data[Match],Dyno_Data[[#This Row],[Match]]),0)*86400),0)</f>
        <v>0</v>
      </c>
    </row>
    <row r="1396" spans="1:35" x14ac:dyDescent="0.3">
      <c r="A1396">
        <v>1395</v>
      </c>
      <c r="B1396" t="s">
        <v>1315</v>
      </c>
      <c r="C1396">
        <v>24</v>
      </c>
      <c r="D1396" s="105">
        <v>45373.553729942127</v>
      </c>
      <c r="E1396" t="s">
        <v>312</v>
      </c>
      <c r="F1396" t="s">
        <v>1402</v>
      </c>
      <c r="G1396">
        <v>0</v>
      </c>
      <c r="H1396" t="s">
        <v>315</v>
      </c>
      <c r="I1396">
        <v>0</v>
      </c>
      <c r="J1396">
        <v>0</v>
      </c>
      <c r="K1396">
        <v>0</v>
      </c>
      <c r="L1396" t="s">
        <v>241</v>
      </c>
      <c r="M1396" t="s">
        <v>1398</v>
      </c>
      <c r="N1396">
        <v>1</v>
      </c>
      <c r="O1396" t="s">
        <v>311</v>
      </c>
      <c r="P1396" t="s">
        <v>310</v>
      </c>
      <c r="Q1396" t="s">
        <v>310</v>
      </c>
      <c r="R1396" t="s">
        <v>310</v>
      </c>
      <c r="S1396">
        <v>9</v>
      </c>
      <c r="T1396" t="s">
        <v>310</v>
      </c>
      <c r="U1396">
        <v>9</v>
      </c>
      <c r="V1396">
        <v>9</v>
      </c>
      <c r="W1396">
        <v>0</v>
      </c>
      <c r="X1396">
        <v>0</v>
      </c>
      <c r="Y1396">
        <v>0</v>
      </c>
      <c r="Z1396">
        <v>0</v>
      </c>
      <c r="AA1396">
        <v>9</v>
      </c>
      <c r="AB1396">
        <v>9</v>
      </c>
      <c r="AC1396" t="s">
        <v>310</v>
      </c>
      <c r="AD1396">
        <v>9</v>
      </c>
      <c r="AE1396" t="s">
        <v>1418</v>
      </c>
      <c r="AF1396">
        <v>80000000</v>
      </c>
      <c r="AG1396" t="s">
        <v>310</v>
      </c>
      <c r="AH1396">
        <f>SUM((MID(Dyno_Data[[#This Row],[Team]],4,5))+(Dyno_Data[[#This Row],[Match]]/100))</f>
        <v>1511.24</v>
      </c>
      <c r="AI1396" s="76">
        <f>ROUND(SUM(IF(Dyno_Data[[#This Row],[AcqCenter]]&gt;0,Dyno_Data[[#This Row],[Time]]-SUMIFS(Dyno_Data[Time],Dyno_Data[Team],Dyno_Data[[#This Row],[Team]],Dyno_Data[RecordType],"StartMatch",Dyno_Data[Match],Dyno_Data[[#This Row],[Match]]),0)*86400),0)</f>
        <v>0</v>
      </c>
    </row>
    <row r="1397" spans="1:35" x14ac:dyDescent="0.3">
      <c r="A1397">
        <v>1396</v>
      </c>
      <c r="B1397" t="s">
        <v>1315</v>
      </c>
      <c r="C1397">
        <v>24</v>
      </c>
      <c r="D1397" s="105">
        <v>45373.553847951393</v>
      </c>
      <c r="E1397" t="s">
        <v>312</v>
      </c>
      <c r="F1397" t="s">
        <v>1402</v>
      </c>
      <c r="G1397">
        <v>0</v>
      </c>
      <c r="H1397" t="s">
        <v>315</v>
      </c>
      <c r="I1397">
        <v>0</v>
      </c>
      <c r="J1397">
        <v>0</v>
      </c>
      <c r="K1397">
        <v>0</v>
      </c>
      <c r="L1397" t="s">
        <v>241</v>
      </c>
      <c r="M1397" t="s">
        <v>101</v>
      </c>
      <c r="N1397">
        <v>0</v>
      </c>
      <c r="O1397" t="s">
        <v>311</v>
      </c>
      <c r="P1397" t="s">
        <v>310</v>
      </c>
      <c r="Q1397" t="s">
        <v>310</v>
      </c>
      <c r="R1397" t="s">
        <v>310</v>
      </c>
      <c r="S1397">
        <v>9</v>
      </c>
      <c r="T1397" t="s">
        <v>310</v>
      </c>
      <c r="U1397">
        <v>9</v>
      </c>
      <c r="V1397">
        <v>9</v>
      </c>
      <c r="W1397">
        <v>0</v>
      </c>
      <c r="X1397">
        <v>0</v>
      </c>
      <c r="Y1397">
        <v>0</v>
      </c>
      <c r="Z1397">
        <v>0</v>
      </c>
      <c r="AA1397">
        <v>9</v>
      </c>
      <c r="AB1397">
        <v>9</v>
      </c>
      <c r="AC1397" t="s">
        <v>310</v>
      </c>
      <c r="AD1397">
        <v>9</v>
      </c>
      <c r="AE1397" t="s">
        <v>1418</v>
      </c>
      <c r="AF1397">
        <v>90000000</v>
      </c>
      <c r="AG1397" t="s">
        <v>310</v>
      </c>
      <c r="AH1397">
        <f>SUM((MID(Dyno_Data[[#This Row],[Team]],4,5))+(Dyno_Data[[#This Row],[Match]]/100))</f>
        <v>1511.24</v>
      </c>
      <c r="AI1397" s="76">
        <f>ROUND(SUM(IF(Dyno_Data[[#This Row],[AcqCenter]]&gt;0,Dyno_Data[[#This Row],[Time]]-SUMIFS(Dyno_Data[Time],Dyno_Data[Team],Dyno_Data[[#This Row],[Team]],Dyno_Data[RecordType],"StartMatch",Dyno_Data[Match],Dyno_Data[[#This Row],[Match]]),0)*86400),0)</f>
        <v>0</v>
      </c>
    </row>
    <row r="1398" spans="1:35" x14ac:dyDescent="0.3">
      <c r="A1398">
        <v>1397</v>
      </c>
      <c r="B1398" t="s">
        <v>1312</v>
      </c>
      <c r="C1398">
        <v>24</v>
      </c>
      <c r="D1398" s="105">
        <v>45373.553864664354</v>
      </c>
      <c r="E1398" t="s">
        <v>312</v>
      </c>
      <c r="F1398" t="s">
        <v>1402</v>
      </c>
      <c r="G1398">
        <v>0</v>
      </c>
      <c r="H1398" t="s">
        <v>315</v>
      </c>
      <c r="I1398">
        <v>0</v>
      </c>
      <c r="J1398">
        <v>0</v>
      </c>
      <c r="K1398">
        <v>0</v>
      </c>
      <c r="L1398" t="s">
        <v>241</v>
      </c>
      <c r="M1398" t="s">
        <v>1398</v>
      </c>
      <c r="N1398">
        <v>0</v>
      </c>
      <c r="O1398" t="s">
        <v>1391</v>
      </c>
      <c r="P1398" t="s">
        <v>310</v>
      </c>
      <c r="Q1398" t="s">
        <v>310</v>
      </c>
      <c r="R1398" t="s">
        <v>310</v>
      </c>
      <c r="S1398">
        <v>9</v>
      </c>
      <c r="T1398" t="s">
        <v>310</v>
      </c>
      <c r="U1398">
        <v>9</v>
      </c>
      <c r="V1398">
        <v>9</v>
      </c>
      <c r="W1398">
        <v>0</v>
      </c>
      <c r="X1398">
        <v>0</v>
      </c>
      <c r="Y1398">
        <v>0</v>
      </c>
      <c r="Z1398">
        <v>0</v>
      </c>
      <c r="AA1398">
        <v>9</v>
      </c>
      <c r="AB1398">
        <v>9</v>
      </c>
      <c r="AC1398" t="s">
        <v>310</v>
      </c>
      <c r="AD1398">
        <v>9</v>
      </c>
      <c r="AE1398" t="s">
        <v>1416</v>
      </c>
      <c r="AF1398">
        <v>90000000</v>
      </c>
      <c r="AG1398" t="s">
        <v>310</v>
      </c>
      <c r="AH1398">
        <f>SUM((MID(Dyno_Data[[#This Row],[Team]],4,5))+(Dyno_Data[[#This Row],[Match]]/100))</f>
        <v>2053.2399999999998</v>
      </c>
      <c r="AI1398" s="76">
        <f>ROUND(SUM(IF(Dyno_Data[[#This Row],[AcqCenter]]&gt;0,Dyno_Data[[#This Row],[Time]]-SUMIFS(Dyno_Data[Time],Dyno_Data[Team],Dyno_Data[[#This Row],[Team]],Dyno_Data[RecordType],"StartMatch",Dyno_Data[Match],Dyno_Data[[#This Row],[Match]]),0)*86400),0)</f>
        <v>0</v>
      </c>
    </row>
    <row r="1399" spans="1:35" x14ac:dyDescent="0.3">
      <c r="A1399">
        <v>1398</v>
      </c>
      <c r="B1399" t="s">
        <v>1306</v>
      </c>
      <c r="C1399">
        <v>24</v>
      </c>
      <c r="D1399" s="105">
        <v>45373.55389664352</v>
      </c>
      <c r="E1399" t="s">
        <v>312</v>
      </c>
      <c r="F1399" t="s">
        <v>1402</v>
      </c>
      <c r="G1399">
        <v>0</v>
      </c>
      <c r="H1399" t="s">
        <v>315</v>
      </c>
      <c r="I1399">
        <v>0</v>
      </c>
      <c r="J1399">
        <v>0</v>
      </c>
      <c r="K1399">
        <v>0</v>
      </c>
      <c r="L1399" t="s">
        <v>241</v>
      </c>
      <c r="M1399" t="s">
        <v>1398</v>
      </c>
      <c r="N1399">
        <v>0</v>
      </c>
      <c r="O1399" t="s">
        <v>1393</v>
      </c>
      <c r="P1399" t="s">
        <v>310</v>
      </c>
      <c r="Q1399" t="s">
        <v>310</v>
      </c>
      <c r="R1399" t="s">
        <v>310</v>
      </c>
      <c r="S1399">
        <v>9</v>
      </c>
      <c r="T1399" t="s">
        <v>310</v>
      </c>
      <c r="U1399">
        <v>9</v>
      </c>
      <c r="V1399">
        <v>9</v>
      </c>
      <c r="W1399">
        <v>0</v>
      </c>
      <c r="X1399">
        <v>0</v>
      </c>
      <c r="Y1399">
        <v>0</v>
      </c>
      <c r="Z1399">
        <v>0</v>
      </c>
      <c r="AA1399">
        <v>9</v>
      </c>
      <c r="AB1399">
        <v>9</v>
      </c>
      <c r="AC1399" t="s">
        <v>310</v>
      </c>
      <c r="AD1399">
        <v>9</v>
      </c>
      <c r="AE1399" t="s">
        <v>1394</v>
      </c>
      <c r="AF1399">
        <v>30000000</v>
      </c>
      <c r="AG1399" t="s">
        <v>310</v>
      </c>
      <c r="AH1399">
        <f>SUM((MID(Dyno_Data[[#This Row],[Team]],4,5))+(Dyno_Data[[#This Row],[Match]]/100))</f>
        <v>3986.24</v>
      </c>
      <c r="AI1399" s="76">
        <f>ROUND(SUM(IF(Dyno_Data[[#This Row],[AcqCenter]]&gt;0,Dyno_Data[[#This Row],[Time]]-SUMIFS(Dyno_Data[Time],Dyno_Data[Team],Dyno_Data[[#This Row],[Team]],Dyno_Data[RecordType],"StartMatch",Dyno_Data[Match],Dyno_Data[[#This Row],[Match]]),0)*86400),0)</f>
        <v>0</v>
      </c>
    </row>
    <row r="1400" spans="1:35" x14ac:dyDescent="0.3">
      <c r="A1400">
        <v>1399</v>
      </c>
      <c r="B1400" t="s">
        <v>1315</v>
      </c>
      <c r="C1400">
        <v>24</v>
      </c>
      <c r="D1400" s="105">
        <v>45373.553984027778</v>
      </c>
      <c r="E1400" t="s">
        <v>312</v>
      </c>
      <c r="F1400" t="s">
        <v>1402</v>
      </c>
      <c r="G1400">
        <v>0</v>
      </c>
      <c r="H1400" t="s">
        <v>315</v>
      </c>
      <c r="I1400">
        <v>0</v>
      </c>
      <c r="J1400">
        <v>0</v>
      </c>
      <c r="K1400">
        <v>0</v>
      </c>
      <c r="L1400" t="s">
        <v>240</v>
      </c>
      <c r="M1400" t="s">
        <v>1398</v>
      </c>
      <c r="N1400">
        <v>0</v>
      </c>
      <c r="O1400" t="s">
        <v>311</v>
      </c>
      <c r="P1400" t="s">
        <v>310</v>
      </c>
      <c r="Q1400" t="s">
        <v>310</v>
      </c>
      <c r="R1400" t="s">
        <v>310</v>
      </c>
      <c r="S1400">
        <v>9</v>
      </c>
      <c r="T1400" t="s">
        <v>310</v>
      </c>
      <c r="U1400">
        <v>9</v>
      </c>
      <c r="V1400">
        <v>9</v>
      </c>
      <c r="W1400">
        <v>0</v>
      </c>
      <c r="X1400">
        <v>0</v>
      </c>
      <c r="Y1400">
        <v>0</v>
      </c>
      <c r="Z1400">
        <v>0</v>
      </c>
      <c r="AA1400">
        <v>9</v>
      </c>
      <c r="AB1400">
        <v>9</v>
      </c>
      <c r="AC1400" t="s">
        <v>310</v>
      </c>
      <c r="AD1400">
        <v>9</v>
      </c>
      <c r="AE1400" t="s">
        <v>1418</v>
      </c>
      <c r="AF1400">
        <v>100000000</v>
      </c>
      <c r="AG1400" t="s">
        <v>310</v>
      </c>
      <c r="AH1400">
        <f>SUM((MID(Dyno_Data[[#This Row],[Team]],4,5))+(Dyno_Data[[#This Row],[Match]]/100))</f>
        <v>1511.24</v>
      </c>
      <c r="AI1400" s="76">
        <f>ROUND(SUM(IF(Dyno_Data[[#This Row],[AcqCenter]]&gt;0,Dyno_Data[[#This Row],[Time]]-SUMIFS(Dyno_Data[Time],Dyno_Data[Team],Dyno_Data[[#This Row],[Team]],Dyno_Data[RecordType],"StartMatch",Dyno_Data[Match],Dyno_Data[[#This Row],[Match]]),0)*86400),0)</f>
        <v>0</v>
      </c>
    </row>
    <row r="1401" spans="1:35" x14ac:dyDescent="0.3">
      <c r="A1401">
        <v>1400</v>
      </c>
      <c r="B1401" t="s">
        <v>1297</v>
      </c>
      <c r="C1401">
        <v>24</v>
      </c>
      <c r="D1401" s="105">
        <v>45373.553984108796</v>
      </c>
      <c r="E1401" t="s">
        <v>312</v>
      </c>
      <c r="F1401" t="s">
        <v>1402</v>
      </c>
      <c r="G1401">
        <v>0</v>
      </c>
      <c r="H1401" t="s">
        <v>315</v>
      </c>
      <c r="I1401">
        <v>0</v>
      </c>
      <c r="J1401">
        <v>0</v>
      </c>
      <c r="K1401">
        <v>0</v>
      </c>
      <c r="L1401" t="s">
        <v>241</v>
      </c>
      <c r="M1401" t="s">
        <v>101</v>
      </c>
      <c r="N1401">
        <v>0</v>
      </c>
      <c r="O1401" t="s">
        <v>319</v>
      </c>
      <c r="P1401" t="s">
        <v>310</v>
      </c>
      <c r="Q1401" t="s">
        <v>310</v>
      </c>
      <c r="R1401" t="s">
        <v>310</v>
      </c>
      <c r="S1401">
        <v>9</v>
      </c>
      <c r="T1401" t="s">
        <v>310</v>
      </c>
      <c r="U1401">
        <v>9</v>
      </c>
      <c r="V1401">
        <v>9</v>
      </c>
      <c r="W1401">
        <v>0</v>
      </c>
      <c r="X1401">
        <v>0</v>
      </c>
      <c r="Y1401">
        <v>0</v>
      </c>
      <c r="Z1401">
        <v>0</v>
      </c>
      <c r="AA1401">
        <v>9</v>
      </c>
      <c r="AB1401">
        <v>9</v>
      </c>
      <c r="AC1401" t="s">
        <v>310</v>
      </c>
      <c r="AD1401">
        <v>9</v>
      </c>
      <c r="AE1401" t="s">
        <v>1417</v>
      </c>
      <c r="AF1401">
        <v>40100000</v>
      </c>
      <c r="AG1401" t="s">
        <v>310</v>
      </c>
      <c r="AH1401">
        <f>SUM((MID(Dyno_Data[[#This Row],[Team]],4,5))+(Dyno_Data[[#This Row],[Match]]/100))</f>
        <v>9750.24</v>
      </c>
      <c r="AI1401" s="76">
        <f>ROUND(SUM(IF(Dyno_Data[[#This Row],[AcqCenter]]&gt;0,Dyno_Data[[#This Row],[Time]]-SUMIFS(Dyno_Data[Time],Dyno_Data[Team],Dyno_Data[[#This Row],[Team]],Dyno_Data[RecordType],"StartMatch",Dyno_Data[Match],Dyno_Data[[#This Row],[Match]]),0)*86400),0)</f>
        <v>0</v>
      </c>
    </row>
    <row r="1402" spans="1:35" x14ac:dyDescent="0.3">
      <c r="A1402">
        <v>1401</v>
      </c>
      <c r="B1402" t="s">
        <v>1306</v>
      </c>
      <c r="C1402">
        <v>24</v>
      </c>
      <c r="D1402" s="105">
        <v>45373.554078159723</v>
      </c>
      <c r="E1402" t="s">
        <v>312</v>
      </c>
      <c r="F1402" t="s">
        <v>1402</v>
      </c>
      <c r="G1402">
        <v>0</v>
      </c>
      <c r="H1402" t="s">
        <v>315</v>
      </c>
      <c r="I1402">
        <v>0</v>
      </c>
      <c r="J1402">
        <v>0</v>
      </c>
      <c r="K1402">
        <v>0</v>
      </c>
      <c r="L1402" t="s">
        <v>241</v>
      </c>
      <c r="M1402" t="s">
        <v>1398</v>
      </c>
      <c r="N1402">
        <v>0</v>
      </c>
      <c r="O1402" t="s">
        <v>1393</v>
      </c>
      <c r="P1402" t="s">
        <v>310</v>
      </c>
      <c r="Q1402" t="s">
        <v>310</v>
      </c>
      <c r="R1402" t="s">
        <v>310</v>
      </c>
      <c r="S1402">
        <v>9</v>
      </c>
      <c r="T1402" t="s">
        <v>310</v>
      </c>
      <c r="U1402">
        <v>9</v>
      </c>
      <c r="V1402">
        <v>9</v>
      </c>
      <c r="W1402">
        <v>0</v>
      </c>
      <c r="X1402">
        <v>0</v>
      </c>
      <c r="Y1402">
        <v>0</v>
      </c>
      <c r="Z1402">
        <v>0</v>
      </c>
      <c r="AA1402">
        <v>9</v>
      </c>
      <c r="AB1402">
        <v>9</v>
      </c>
      <c r="AC1402" t="s">
        <v>310</v>
      </c>
      <c r="AD1402">
        <v>9</v>
      </c>
      <c r="AE1402" t="s">
        <v>1394</v>
      </c>
      <c r="AF1402">
        <v>40000000</v>
      </c>
      <c r="AG1402" t="s">
        <v>310</v>
      </c>
      <c r="AH1402">
        <f>SUM((MID(Dyno_Data[[#This Row],[Team]],4,5))+(Dyno_Data[[#This Row],[Match]]/100))</f>
        <v>3986.24</v>
      </c>
      <c r="AI1402" s="76">
        <f>ROUND(SUM(IF(Dyno_Data[[#This Row],[AcqCenter]]&gt;0,Dyno_Data[[#This Row],[Time]]-SUMIFS(Dyno_Data[Time],Dyno_Data[Team],Dyno_Data[[#This Row],[Team]],Dyno_Data[RecordType],"StartMatch",Dyno_Data[Match],Dyno_Data[[#This Row],[Match]]),0)*86400),0)</f>
        <v>0</v>
      </c>
    </row>
    <row r="1403" spans="1:35" x14ac:dyDescent="0.3">
      <c r="A1403">
        <v>1402</v>
      </c>
      <c r="B1403" t="s">
        <v>1312</v>
      </c>
      <c r="C1403">
        <v>24</v>
      </c>
      <c r="D1403" s="105">
        <v>45373.554093553241</v>
      </c>
      <c r="E1403" t="s">
        <v>312</v>
      </c>
      <c r="F1403" t="s">
        <v>1402</v>
      </c>
      <c r="G1403">
        <v>0</v>
      </c>
      <c r="H1403" t="s">
        <v>315</v>
      </c>
      <c r="I1403">
        <v>0</v>
      </c>
      <c r="J1403">
        <v>0</v>
      </c>
      <c r="K1403">
        <v>0</v>
      </c>
      <c r="L1403" t="s">
        <v>241</v>
      </c>
      <c r="M1403" t="s">
        <v>1398</v>
      </c>
      <c r="N1403">
        <v>0</v>
      </c>
      <c r="O1403" t="s">
        <v>1391</v>
      </c>
      <c r="P1403" t="s">
        <v>310</v>
      </c>
      <c r="Q1403" t="s">
        <v>310</v>
      </c>
      <c r="R1403" t="s">
        <v>310</v>
      </c>
      <c r="S1403">
        <v>9</v>
      </c>
      <c r="T1403" t="s">
        <v>310</v>
      </c>
      <c r="U1403">
        <v>9</v>
      </c>
      <c r="V1403">
        <v>9</v>
      </c>
      <c r="W1403">
        <v>0</v>
      </c>
      <c r="X1403">
        <v>0</v>
      </c>
      <c r="Y1403">
        <v>0</v>
      </c>
      <c r="Z1403">
        <v>0</v>
      </c>
      <c r="AA1403">
        <v>9</v>
      </c>
      <c r="AB1403">
        <v>9</v>
      </c>
      <c r="AC1403" t="s">
        <v>310</v>
      </c>
      <c r="AD1403">
        <v>9</v>
      </c>
      <c r="AE1403" t="s">
        <v>1416</v>
      </c>
      <c r="AF1403">
        <v>100000000</v>
      </c>
      <c r="AG1403" t="s">
        <v>310</v>
      </c>
      <c r="AH1403">
        <f>SUM((MID(Dyno_Data[[#This Row],[Team]],4,5))+(Dyno_Data[[#This Row],[Match]]/100))</f>
        <v>2053.2399999999998</v>
      </c>
      <c r="AI1403" s="76">
        <f>ROUND(SUM(IF(Dyno_Data[[#This Row],[AcqCenter]]&gt;0,Dyno_Data[[#This Row],[Time]]-SUMIFS(Dyno_Data[Time],Dyno_Data[Team],Dyno_Data[[#This Row],[Team]],Dyno_Data[RecordType],"StartMatch",Dyno_Data[Match],Dyno_Data[[#This Row],[Match]]),0)*86400),0)</f>
        <v>0</v>
      </c>
    </row>
    <row r="1404" spans="1:35" x14ac:dyDescent="0.3">
      <c r="A1404">
        <v>1403</v>
      </c>
      <c r="B1404" t="s">
        <v>1315</v>
      </c>
      <c r="C1404">
        <v>24</v>
      </c>
      <c r="D1404" s="105">
        <v>45373.554163692126</v>
      </c>
      <c r="E1404" t="s">
        <v>312</v>
      </c>
      <c r="F1404" t="s">
        <v>1402</v>
      </c>
      <c r="G1404">
        <v>0</v>
      </c>
      <c r="H1404" t="s">
        <v>315</v>
      </c>
      <c r="I1404">
        <v>0</v>
      </c>
      <c r="J1404">
        <v>0</v>
      </c>
      <c r="K1404">
        <v>0</v>
      </c>
      <c r="L1404" t="s">
        <v>242</v>
      </c>
      <c r="M1404" t="s">
        <v>241</v>
      </c>
      <c r="N1404">
        <v>0</v>
      </c>
      <c r="O1404" t="s">
        <v>311</v>
      </c>
      <c r="P1404" t="s">
        <v>310</v>
      </c>
      <c r="Q1404" t="s">
        <v>310</v>
      </c>
      <c r="R1404" t="s">
        <v>310</v>
      </c>
      <c r="S1404">
        <v>9</v>
      </c>
      <c r="T1404" t="s">
        <v>310</v>
      </c>
      <c r="U1404">
        <v>9</v>
      </c>
      <c r="V1404">
        <v>9</v>
      </c>
      <c r="W1404">
        <v>0</v>
      </c>
      <c r="X1404">
        <v>0</v>
      </c>
      <c r="Y1404">
        <v>0</v>
      </c>
      <c r="Z1404">
        <v>0</v>
      </c>
      <c r="AA1404">
        <v>9</v>
      </c>
      <c r="AB1404">
        <v>9</v>
      </c>
      <c r="AC1404" t="s">
        <v>310</v>
      </c>
      <c r="AD1404">
        <v>9</v>
      </c>
      <c r="AE1404" t="s">
        <v>1418</v>
      </c>
      <c r="AF1404">
        <v>110000000</v>
      </c>
      <c r="AG1404" t="s">
        <v>310</v>
      </c>
      <c r="AH1404">
        <f>SUM((MID(Dyno_Data[[#This Row],[Team]],4,5))+(Dyno_Data[[#This Row],[Match]]/100))</f>
        <v>1511.24</v>
      </c>
      <c r="AI1404" s="76">
        <f>ROUND(SUM(IF(Dyno_Data[[#This Row],[AcqCenter]]&gt;0,Dyno_Data[[#This Row],[Time]]-SUMIFS(Dyno_Data[Time],Dyno_Data[Team],Dyno_Data[[#This Row],[Team]],Dyno_Data[RecordType],"StartMatch",Dyno_Data[Match],Dyno_Data[[#This Row],[Match]]),0)*86400),0)</f>
        <v>0</v>
      </c>
    </row>
    <row r="1405" spans="1:35" x14ac:dyDescent="0.3">
      <c r="A1405">
        <v>1404</v>
      </c>
      <c r="B1405" t="s">
        <v>1306</v>
      </c>
      <c r="C1405">
        <v>24</v>
      </c>
      <c r="D1405" s="105">
        <v>45373.554230868052</v>
      </c>
      <c r="E1405" t="s">
        <v>1403</v>
      </c>
      <c r="F1405" t="s">
        <v>1402</v>
      </c>
      <c r="G1405">
        <v>0</v>
      </c>
      <c r="H1405" t="s">
        <v>310</v>
      </c>
      <c r="I1405">
        <v>0</v>
      </c>
      <c r="J1405">
        <v>0</v>
      </c>
      <c r="K1405">
        <v>0</v>
      </c>
      <c r="L1405" t="s">
        <v>310</v>
      </c>
      <c r="M1405" t="s">
        <v>310</v>
      </c>
      <c r="N1405">
        <v>0</v>
      </c>
      <c r="O1405" t="s">
        <v>1393</v>
      </c>
      <c r="P1405" t="s">
        <v>310</v>
      </c>
      <c r="Q1405" t="s">
        <v>310</v>
      </c>
      <c r="R1405" t="s">
        <v>310</v>
      </c>
      <c r="S1405">
        <v>9</v>
      </c>
      <c r="T1405" t="s">
        <v>310</v>
      </c>
      <c r="U1405">
        <v>9</v>
      </c>
      <c r="V1405">
        <v>9</v>
      </c>
      <c r="W1405">
        <v>0</v>
      </c>
      <c r="X1405">
        <v>0</v>
      </c>
      <c r="Y1405">
        <v>0</v>
      </c>
      <c r="Z1405">
        <v>0</v>
      </c>
      <c r="AA1405">
        <v>9</v>
      </c>
      <c r="AB1405">
        <v>9</v>
      </c>
      <c r="AC1405" t="s">
        <v>310</v>
      </c>
      <c r="AD1405">
        <v>9</v>
      </c>
      <c r="AE1405" t="s">
        <v>1394</v>
      </c>
      <c r="AF1405">
        <v>110000000</v>
      </c>
      <c r="AG1405" t="s">
        <v>248</v>
      </c>
      <c r="AH1405">
        <f>SUM((MID(Dyno_Data[[#This Row],[Team]],4,5))+(Dyno_Data[[#This Row],[Match]]/100))</f>
        <v>3986.24</v>
      </c>
      <c r="AI1405" s="76">
        <f>ROUND(SUM(IF(Dyno_Data[[#This Row],[AcqCenter]]&gt;0,Dyno_Data[[#This Row],[Time]]-SUMIFS(Dyno_Data[Time],Dyno_Data[Team],Dyno_Data[[#This Row],[Team]],Dyno_Data[RecordType],"StartMatch",Dyno_Data[Match],Dyno_Data[[#This Row],[Match]]),0)*86400),0)</f>
        <v>0</v>
      </c>
    </row>
    <row r="1406" spans="1:35" x14ac:dyDescent="0.3">
      <c r="A1406">
        <v>1405</v>
      </c>
      <c r="B1406" t="s">
        <v>1312</v>
      </c>
      <c r="C1406">
        <v>24</v>
      </c>
      <c r="D1406" s="105">
        <v>45373.554299108793</v>
      </c>
      <c r="E1406" t="s">
        <v>312</v>
      </c>
      <c r="F1406" t="s">
        <v>1402</v>
      </c>
      <c r="G1406">
        <v>0</v>
      </c>
      <c r="H1406" t="s">
        <v>315</v>
      </c>
      <c r="I1406">
        <v>0</v>
      </c>
      <c r="J1406">
        <v>0</v>
      </c>
      <c r="K1406">
        <v>0</v>
      </c>
      <c r="L1406" t="s">
        <v>241</v>
      </c>
      <c r="M1406" t="s">
        <v>1398</v>
      </c>
      <c r="N1406">
        <v>0</v>
      </c>
      <c r="O1406" t="s">
        <v>1391</v>
      </c>
      <c r="P1406" t="s">
        <v>310</v>
      </c>
      <c r="Q1406" t="s">
        <v>310</v>
      </c>
      <c r="R1406" t="s">
        <v>310</v>
      </c>
      <c r="S1406">
        <v>9</v>
      </c>
      <c r="T1406" t="s">
        <v>310</v>
      </c>
      <c r="U1406">
        <v>9</v>
      </c>
      <c r="V1406">
        <v>9</v>
      </c>
      <c r="W1406">
        <v>0</v>
      </c>
      <c r="X1406">
        <v>0</v>
      </c>
      <c r="Y1406">
        <v>0</v>
      </c>
      <c r="Z1406">
        <v>0</v>
      </c>
      <c r="AA1406">
        <v>9</v>
      </c>
      <c r="AB1406">
        <v>9</v>
      </c>
      <c r="AC1406" t="s">
        <v>310</v>
      </c>
      <c r="AD1406">
        <v>9</v>
      </c>
      <c r="AE1406" t="s">
        <v>1416</v>
      </c>
      <c r="AF1406">
        <v>110000000</v>
      </c>
      <c r="AG1406" t="s">
        <v>310</v>
      </c>
      <c r="AH1406">
        <f>SUM((MID(Dyno_Data[[#This Row],[Team]],4,5))+(Dyno_Data[[#This Row],[Match]]/100))</f>
        <v>2053.2399999999998</v>
      </c>
      <c r="AI1406" s="76">
        <f>ROUND(SUM(IF(Dyno_Data[[#This Row],[AcqCenter]]&gt;0,Dyno_Data[[#This Row],[Time]]-SUMIFS(Dyno_Data[Time],Dyno_Data[Team],Dyno_Data[[#This Row],[Team]],Dyno_Data[RecordType],"StartMatch",Dyno_Data[Match],Dyno_Data[[#This Row],[Match]]),0)*86400),0)</f>
        <v>0</v>
      </c>
    </row>
    <row r="1407" spans="1:35" x14ac:dyDescent="0.3">
      <c r="A1407">
        <v>1406</v>
      </c>
      <c r="B1407" t="s">
        <v>1306</v>
      </c>
      <c r="C1407">
        <v>24</v>
      </c>
      <c r="D1407" s="105">
        <v>45373.554304861114</v>
      </c>
      <c r="E1407" t="s">
        <v>312</v>
      </c>
      <c r="F1407" t="s">
        <v>1402</v>
      </c>
      <c r="G1407">
        <v>0</v>
      </c>
      <c r="H1407" t="s">
        <v>315</v>
      </c>
      <c r="I1407">
        <v>0</v>
      </c>
      <c r="J1407">
        <v>0</v>
      </c>
      <c r="K1407">
        <v>0</v>
      </c>
      <c r="L1407" t="s">
        <v>241</v>
      </c>
      <c r="M1407" t="s">
        <v>1398</v>
      </c>
      <c r="N1407">
        <v>0</v>
      </c>
      <c r="O1407" t="s">
        <v>1393</v>
      </c>
      <c r="P1407" t="s">
        <v>310</v>
      </c>
      <c r="Q1407" t="s">
        <v>310</v>
      </c>
      <c r="R1407" t="s">
        <v>310</v>
      </c>
      <c r="S1407">
        <v>9</v>
      </c>
      <c r="T1407" t="s">
        <v>310</v>
      </c>
      <c r="U1407">
        <v>9</v>
      </c>
      <c r="V1407">
        <v>9</v>
      </c>
      <c r="W1407">
        <v>0</v>
      </c>
      <c r="X1407">
        <v>0</v>
      </c>
      <c r="Y1407">
        <v>0</v>
      </c>
      <c r="Z1407">
        <v>0</v>
      </c>
      <c r="AA1407">
        <v>9</v>
      </c>
      <c r="AB1407">
        <v>9</v>
      </c>
      <c r="AC1407" t="s">
        <v>310</v>
      </c>
      <c r="AD1407">
        <v>9</v>
      </c>
      <c r="AE1407" t="s">
        <v>1394</v>
      </c>
      <c r="AF1407">
        <v>50000000</v>
      </c>
      <c r="AG1407" t="s">
        <v>310</v>
      </c>
      <c r="AH1407">
        <f>SUM((MID(Dyno_Data[[#This Row],[Team]],4,5))+(Dyno_Data[[#This Row],[Match]]/100))</f>
        <v>3986.24</v>
      </c>
      <c r="AI1407" s="76">
        <f>ROUND(SUM(IF(Dyno_Data[[#This Row],[AcqCenter]]&gt;0,Dyno_Data[[#This Row],[Time]]-SUMIFS(Dyno_Data[Time],Dyno_Data[Team],Dyno_Data[[#This Row],[Team]],Dyno_Data[RecordType],"StartMatch",Dyno_Data[Match],Dyno_Data[[#This Row],[Match]]),0)*86400),0)</f>
        <v>0</v>
      </c>
    </row>
    <row r="1408" spans="1:35" x14ac:dyDescent="0.3">
      <c r="A1408">
        <v>1407</v>
      </c>
      <c r="B1408" t="s">
        <v>1315</v>
      </c>
      <c r="C1408">
        <v>24</v>
      </c>
      <c r="D1408" s="105">
        <v>45373.554388275465</v>
      </c>
      <c r="E1408" t="s">
        <v>312</v>
      </c>
      <c r="F1408" t="s">
        <v>1402</v>
      </c>
      <c r="G1408">
        <v>0</v>
      </c>
      <c r="H1408" t="s">
        <v>315</v>
      </c>
      <c r="I1408">
        <v>0</v>
      </c>
      <c r="J1408">
        <v>0</v>
      </c>
      <c r="K1408">
        <v>0</v>
      </c>
      <c r="L1408" t="s">
        <v>240</v>
      </c>
      <c r="M1408" t="s">
        <v>1398</v>
      </c>
      <c r="N1408">
        <v>0</v>
      </c>
      <c r="O1408" t="s">
        <v>311</v>
      </c>
      <c r="P1408" t="s">
        <v>310</v>
      </c>
      <c r="Q1408" t="s">
        <v>310</v>
      </c>
      <c r="R1408" t="s">
        <v>310</v>
      </c>
      <c r="S1408">
        <v>9</v>
      </c>
      <c r="T1408" t="s">
        <v>310</v>
      </c>
      <c r="U1408">
        <v>9</v>
      </c>
      <c r="V1408">
        <v>9</v>
      </c>
      <c r="W1408">
        <v>0</v>
      </c>
      <c r="X1408">
        <v>0</v>
      </c>
      <c r="Y1408">
        <v>0</v>
      </c>
      <c r="Z1408">
        <v>0</v>
      </c>
      <c r="AA1408">
        <v>9</v>
      </c>
      <c r="AB1408">
        <v>9</v>
      </c>
      <c r="AC1408" t="s">
        <v>310</v>
      </c>
      <c r="AD1408">
        <v>9</v>
      </c>
      <c r="AE1408" t="s">
        <v>1418</v>
      </c>
      <c r="AF1408">
        <v>120000000</v>
      </c>
      <c r="AG1408" t="s">
        <v>310</v>
      </c>
      <c r="AH1408">
        <f>SUM((MID(Dyno_Data[[#This Row],[Team]],4,5))+(Dyno_Data[[#This Row],[Match]]/100))</f>
        <v>1511.24</v>
      </c>
      <c r="AI1408" s="76">
        <f>ROUND(SUM(IF(Dyno_Data[[#This Row],[AcqCenter]]&gt;0,Dyno_Data[[#This Row],[Time]]-SUMIFS(Dyno_Data[Time],Dyno_Data[Team],Dyno_Data[[#This Row],[Team]],Dyno_Data[RecordType],"StartMatch",Dyno_Data[Match],Dyno_Data[[#This Row],[Match]]),0)*86400),0)</f>
        <v>0</v>
      </c>
    </row>
    <row r="1409" spans="1:35" x14ac:dyDescent="0.3">
      <c r="A1409">
        <v>1408</v>
      </c>
      <c r="B1409" t="s">
        <v>1315</v>
      </c>
      <c r="C1409">
        <v>24</v>
      </c>
      <c r="D1409" s="105">
        <v>45373.55673989583</v>
      </c>
      <c r="E1409" t="s">
        <v>316</v>
      </c>
      <c r="F1409" t="s">
        <v>317</v>
      </c>
      <c r="G1409">
        <v>0</v>
      </c>
      <c r="H1409" t="s">
        <v>310</v>
      </c>
      <c r="I1409">
        <v>0</v>
      </c>
      <c r="J1409">
        <v>0</v>
      </c>
      <c r="K1409">
        <v>0</v>
      </c>
      <c r="L1409" t="s">
        <v>310</v>
      </c>
      <c r="M1409" t="s">
        <v>310</v>
      </c>
      <c r="N1409">
        <v>0</v>
      </c>
      <c r="O1409" t="s">
        <v>311</v>
      </c>
      <c r="P1409" t="s">
        <v>1401</v>
      </c>
      <c r="Q1409" t="s">
        <v>1400</v>
      </c>
      <c r="R1409" t="s">
        <v>1404</v>
      </c>
      <c r="S1409">
        <v>0</v>
      </c>
      <c r="T1409" t="s">
        <v>105</v>
      </c>
      <c r="U1409">
        <v>9</v>
      </c>
      <c r="V1409">
        <v>9</v>
      </c>
      <c r="W1409">
        <v>0</v>
      </c>
      <c r="X1409">
        <v>26.8454555</v>
      </c>
      <c r="Y1409">
        <v>70.1870476</v>
      </c>
      <c r="Z1409">
        <v>38.637930900000001</v>
      </c>
      <c r="AA1409">
        <v>0</v>
      </c>
      <c r="AB1409">
        <v>0</v>
      </c>
      <c r="AC1409" t="s">
        <v>174</v>
      </c>
      <c r="AD1409">
        <v>9</v>
      </c>
      <c r="AE1409" t="s">
        <v>1418</v>
      </c>
      <c r="AF1409">
        <v>120000000</v>
      </c>
      <c r="AG1409" t="s">
        <v>310</v>
      </c>
      <c r="AH1409">
        <f>SUM((MID(Dyno_Data[[#This Row],[Team]],4,5))+(Dyno_Data[[#This Row],[Match]]/100))</f>
        <v>1511.24</v>
      </c>
      <c r="AI1409" s="76">
        <f>ROUND(SUM(IF(Dyno_Data[[#This Row],[AcqCenter]]&gt;0,Dyno_Data[[#This Row],[Time]]-SUMIFS(Dyno_Data[Time],Dyno_Data[Team],Dyno_Data[[#This Row],[Team]],Dyno_Data[RecordType],"StartMatch",Dyno_Data[Match],Dyno_Data[[#This Row],[Match]]),0)*86400),0)</f>
        <v>0</v>
      </c>
    </row>
    <row r="1410" spans="1:35" x14ac:dyDescent="0.3">
      <c r="A1410">
        <v>1409</v>
      </c>
      <c r="B1410" t="s">
        <v>1312</v>
      </c>
      <c r="C1410">
        <v>24</v>
      </c>
      <c r="D1410" s="105">
        <v>45373.556740011576</v>
      </c>
      <c r="E1410" t="s">
        <v>316</v>
      </c>
      <c r="F1410" t="s">
        <v>317</v>
      </c>
      <c r="G1410">
        <v>1</v>
      </c>
      <c r="H1410" t="s">
        <v>310</v>
      </c>
      <c r="I1410">
        <v>0</v>
      </c>
      <c r="J1410">
        <v>0</v>
      </c>
      <c r="K1410">
        <v>0</v>
      </c>
      <c r="L1410" t="s">
        <v>310</v>
      </c>
      <c r="M1410" t="s">
        <v>310</v>
      </c>
      <c r="N1410">
        <v>0</v>
      </c>
      <c r="O1410" t="s">
        <v>1391</v>
      </c>
      <c r="P1410" t="s">
        <v>240</v>
      </c>
      <c r="Q1410" t="s">
        <v>1399</v>
      </c>
      <c r="R1410" t="s">
        <v>1405</v>
      </c>
      <c r="S1410">
        <v>1</v>
      </c>
      <c r="T1410" t="s">
        <v>1407</v>
      </c>
      <c r="U1410">
        <v>0</v>
      </c>
      <c r="V1410">
        <v>0</v>
      </c>
      <c r="W1410">
        <v>5.3158924000000001</v>
      </c>
      <c r="X1410">
        <v>21.8197756</v>
      </c>
      <c r="Y1410">
        <v>27.5048678</v>
      </c>
      <c r="Z1410">
        <v>78.218486599999991</v>
      </c>
      <c r="AA1410">
        <v>0</v>
      </c>
      <c r="AB1410">
        <v>0</v>
      </c>
      <c r="AC1410" t="s">
        <v>174</v>
      </c>
      <c r="AD1410">
        <v>0</v>
      </c>
      <c r="AE1410" t="s">
        <v>1416</v>
      </c>
      <c r="AF1410">
        <v>110000000</v>
      </c>
      <c r="AG1410" t="s">
        <v>310</v>
      </c>
      <c r="AH1410">
        <f>SUM((MID(Dyno_Data[[#This Row],[Team]],4,5))+(Dyno_Data[[#This Row],[Match]]/100))</f>
        <v>2053.2399999999998</v>
      </c>
      <c r="AI1410" s="76">
        <f>ROUND(SUM(IF(Dyno_Data[[#This Row],[AcqCenter]]&gt;0,Dyno_Data[[#This Row],[Time]]-SUMIFS(Dyno_Data[Time],Dyno_Data[Team],Dyno_Data[[#This Row],[Team]],Dyno_Data[RecordType],"StartMatch",Dyno_Data[Match],Dyno_Data[[#This Row],[Match]]),0)*86400),0)</f>
        <v>0</v>
      </c>
    </row>
    <row r="1411" spans="1:35" x14ac:dyDescent="0.3">
      <c r="A1411">
        <v>1410</v>
      </c>
      <c r="B1411" t="s">
        <v>1297</v>
      </c>
      <c r="C1411">
        <v>24</v>
      </c>
      <c r="D1411" s="105">
        <v>45373.556740081018</v>
      </c>
      <c r="E1411" t="s">
        <v>316</v>
      </c>
      <c r="F1411" t="s">
        <v>317</v>
      </c>
      <c r="G1411">
        <v>0</v>
      </c>
      <c r="H1411" t="s">
        <v>310</v>
      </c>
      <c r="I1411">
        <v>0</v>
      </c>
      <c r="J1411">
        <v>0</v>
      </c>
      <c r="K1411">
        <v>0</v>
      </c>
      <c r="L1411" t="s">
        <v>310</v>
      </c>
      <c r="M1411" t="s">
        <v>310</v>
      </c>
      <c r="N1411">
        <v>0</v>
      </c>
      <c r="O1411" t="s">
        <v>319</v>
      </c>
      <c r="P1411" t="s">
        <v>101</v>
      </c>
      <c r="Q1411" t="s">
        <v>1400</v>
      </c>
      <c r="R1411" t="s">
        <v>1404</v>
      </c>
      <c r="S1411">
        <v>0</v>
      </c>
      <c r="T1411" t="s">
        <v>105</v>
      </c>
      <c r="U1411">
        <v>9</v>
      </c>
      <c r="V1411">
        <v>9</v>
      </c>
      <c r="W1411">
        <v>0</v>
      </c>
      <c r="X1411">
        <v>10.3116238</v>
      </c>
      <c r="Y1411">
        <v>14.0311191</v>
      </c>
      <c r="Z1411">
        <v>91.424087999999998</v>
      </c>
      <c r="AA1411">
        <v>0</v>
      </c>
      <c r="AB1411">
        <v>0</v>
      </c>
      <c r="AC1411" t="s">
        <v>174</v>
      </c>
      <c r="AD1411">
        <v>9</v>
      </c>
      <c r="AE1411" t="s">
        <v>1417</v>
      </c>
      <c r="AF1411">
        <v>40100000</v>
      </c>
      <c r="AG1411" t="s">
        <v>310</v>
      </c>
      <c r="AH1411">
        <f>SUM((MID(Dyno_Data[[#This Row],[Team]],4,5))+(Dyno_Data[[#This Row],[Match]]/100))</f>
        <v>9750.24</v>
      </c>
      <c r="AI1411" s="76">
        <f>ROUND(SUM(IF(Dyno_Data[[#This Row],[AcqCenter]]&gt;0,Dyno_Data[[#This Row],[Time]]-SUMIFS(Dyno_Data[Time],Dyno_Data[Team],Dyno_Data[[#This Row],[Team]],Dyno_Data[RecordType],"StartMatch",Dyno_Data[Match],Dyno_Data[[#This Row],[Match]]),0)*86400),0)</f>
        <v>0</v>
      </c>
    </row>
    <row r="1412" spans="1:35" x14ac:dyDescent="0.3">
      <c r="A1412">
        <v>1411</v>
      </c>
      <c r="B1412" t="s">
        <v>1306</v>
      </c>
      <c r="C1412">
        <v>24</v>
      </c>
      <c r="D1412" s="105">
        <v>45373.556740196756</v>
      </c>
      <c r="E1412" t="s">
        <v>316</v>
      </c>
      <c r="F1412" t="s">
        <v>317</v>
      </c>
      <c r="G1412">
        <v>1</v>
      </c>
      <c r="H1412" t="s">
        <v>310</v>
      </c>
      <c r="I1412">
        <v>0</v>
      </c>
      <c r="J1412">
        <v>0</v>
      </c>
      <c r="K1412">
        <v>0</v>
      </c>
      <c r="L1412" t="s">
        <v>310</v>
      </c>
      <c r="M1412" t="s">
        <v>310</v>
      </c>
      <c r="N1412">
        <v>0</v>
      </c>
      <c r="O1412" t="s">
        <v>1393</v>
      </c>
      <c r="P1412" t="s">
        <v>1401</v>
      </c>
      <c r="Q1412" t="s">
        <v>1400</v>
      </c>
      <c r="R1412" t="s">
        <v>1405</v>
      </c>
      <c r="S1412">
        <v>1</v>
      </c>
      <c r="T1412" t="s">
        <v>1407</v>
      </c>
      <c r="U1412">
        <v>0</v>
      </c>
      <c r="V1412">
        <v>0</v>
      </c>
      <c r="W1412">
        <v>4.2660125999999998</v>
      </c>
      <c r="X1412">
        <v>33.365307399999999</v>
      </c>
      <c r="Y1412">
        <v>18.767682799999999</v>
      </c>
      <c r="Z1412">
        <v>76.647089199999996</v>
      </c>
      <c r="AA1412">
        <v>0</v>
      </c>
      <c r="AB1412">
        <v>1</v>
      </c>
      <c r="AC1412" t="s">
        <v>174</v>
      </c>
      <c r="AD1412">
        <v>9</v>
      </c>
      <c r="AE1412" t="s">
        <v>1394</v>
      </c>
      <c r="AF1412">
        <v>50000000</v>
      </c>
      <c r="AG1412" t="s">
        <v>310</v>
      </c>
      <c r="AH1412">
        <f>SUM((MID(Dyno_Data[[#This Row],[Team]],4,5))+(Dyno_Data[[#This Row],[Match]]/100))</f>
        <v>3986.24</v>
      </c>
      <c r="AI1412" s="76">
        <f>ROUND(SUM(IF(Dyno_Data[[#This Row],[AcqCenter]]&gt;0,Dyno_Data[[#This Row],[Time]]-SUMIFS(Dyno_Data[Time],Dyno_Data[Team],Dyno_Data[[#This Row],[Team]],Dyno_Data[RecordType],"StartMatch",Dyno_Data[Match],Dyno_Data[[#This Row],[Match]]),0)*86400),0)</f>
        <v>0</v>
      </c>
    </row>
    <row r="1413" spans="1:35" x14ac:dyDescent="0.3">
      <c r="A1413">
        <v>1412</v>
      </c>
      <c r="B1413" t="s">
        <v>369</v>
      </c>
      <c r="C1413">
        <v>24</v>
      </c>
      <c r="D1413" s="105">
        <v>45373.556740312502</v>
      </c>
      <c r="E1413" t="s">
        <v>316</v>
      </c>
      <c r="F1413" t="s">
        <v>317</v>
      </c>
      <c r="G1413">
        <v>0</v>
      </c>
      <c r="H1413" t="s">
        <v>310</v>
      </c>
      <c r="I1413">
        <v>0</v>
      </c>
      <c r="J1413">
        <v>0</v>
      </c>
      <c r="K1413">
        <v>0</v>
      </c>
      <c r="L1413" t="s">
        <v>310</v>
      </c>
      <c r="M1413" t="s">
        <v>310</v>
      </c>
      <c r="N1413">
        <v>0</v>
      </c>
      <c r="O1413" t="s">
        <v>1389</v>
      </c>
      <c r="P1413" t="s">
        <v>320</v>
      </c>
      <c r="Q1413" t="s">
        <v>1400</v>
      </c>
      <c r="R1413" t="s">
        <v>321</v>
      </c>
      <c r="S1413">
        <v>0</v>
      </c>
      <c r="T1413" t="s">
        <v>105</v>
      </c>
      <c r="U1413">
        <v>9</v>
      </c>
      <c r="V1413">
        <v>9</v>
      </c>
      <c r="W1413">
        <v>0</v>
      </c>
      <c r="X1413">
        <v>130.7310603</v>
      </c>
      <c r="Y1413">
        <v>2.0643872000000001</v>
      </c>
      <c r="Z1413">
        <v>0</v>
      </c>
      <c r="AA1413">
        <v>0</v>
      </c>
      <c r="AB1413">
        <v>0</v>
      </c>
      <c r="AC1413" t="s">
        <v>167</v>
      </c>
      <c r="AD1413">
        <v>9</v>
      </c>
      <c r="AE1413" t="s">
        <v>1387</v>
      </c>
      <c r="AF1413">
        <v>0</v>
      </c>
      <c r="AG1413" t="s">
        <v>310</v>
      </c>
      <c r="AH1413">
        <f>SUM((MID(Dyno_Data[[#This Row],[Team]],4,5))+(Dyno_Data[[#This Row],[Match]]/100))</f>
        <v>6463.24</v>
      </c>
      <c r="AI1413" s="76">
        <f>ROUND(SUM(IF(Dyno_Data[[#This Row],[AcqCenter]]&gt;0,Dyno_Data[[#This Row],[Time]]-SUMIFS(Dyno_Data[Time],Dyno_Data[Team],Dyno_Data[[#This Row],[Team]],Dyno_Data[RecordType],"StartMatch",Dyno_Data[Match],Dyno_Data[[#This Row],[Match]]),0)*86400),0)</f>
        <v>0</v>
      </c>
    </row>
    <row r="1414" spans="1:35" x14ac:dyDescent="0.3">
      <c r="A1414">
        <v>1413</v>
      </c>
      <c r="B1414" t="s">
        <v>1289</v>
      </c>
      <c r="C1414">
        <v>24</v>
      </c>
      <c r="D1414" s="105">
        <v>45373.55674039352</v>
      </c>
      <c r="E1414" t="s">
        <v>316</v>
      </c>
      <c r="F1414" t="s">
        <v>317</v>
      </c>
      <c r="G1414">
        <v>0</v>
      </c>
      <c r="H1414" t="s">
        <v>310</v>
      </c>
      <c r="I1414">
        <v>0</v>
      </c>
      <c r="J1414">
        <v>0</v>
      </c>
      <c r="K1414">
        <v>0</v>
      </c>
      <c r="L1414" t="s">
        <v>310</v>
      </c>
      <c r="M1414" t="s">
        <v>310</v>
      </c>
      <c r="N1414">
        <v>0</v>
      </c>
      <c r="O1414" t="s">
        <v>1395</v>
      </c>
      <c r="P1414" t="s">
        <v>101</v>
      </c>
      <c r="Q1414" t="s">
        <v>1399</v>
      </c>
      <c r="R1414" t="s">
        <v>1404</v>
      </c>
      <c r="S1414">
        <v>0</v>
      </c>
      <c r="T1414" t="s">
        <v>105</v>
      </c>
      <c r="U1414">
        <v>9</v>
      </c>
      <c r="V1414">
        <v>9</v>
      </c>
      <c r="W1414">
        <v>0</v>
      </c>
      <c r="X1414">
        <v>36.902508099999999</v>
      </c>
      <c r="Y1414">
        <v>48.098432099999997</v>
      </c>
      <c r="Z1414">
        <v>46.806345999999998</v>
      </c>
      <c r="AA1414">
        <v>3</v>
      </c>
      <c r="AB1414">
        <v>0</v>
      </c>
      <c r="AC1414" t="s">
        <v>170</v>
      </c>
      <c r="AD1414">
        <v>0</v>
      </c>
      <c r="AE1414" t="s">
        <v>1392</v>
      </c>
      <c r="AF1414">
        <v>0</v>
      </c>
      <c r="AG1414" t="s">
        <v>310</v>
      </c>
      <c r="AH1414">
        <f>SUM((MID(Dyno_Data[[#This Row],[Team]],4,5))+(Dyno_Data[[#This Row],[Match]]/100))</f>
        <v>6648.24</v>
      </c>
      <c r="AI1414" s="76">
        <f>ROUND(SUM(IF(Dyno_Data[[#This Row],[AcqCenter]]&gt;0,Dyno_Data[[#This Row],[Time]]-SUMIFS(Dyno_Data[Time],Dyno_Data[Team],Dyno_Data[[#This Row],[Team]],Dyno_Data[RecordType],"StartMatch",Dyno_Data[Match],Dyno_Data[[#This Row],[Match]]),0)*86400),0)</f>
        <v>0</v>
      </c>
    </row>
    <row r="1415" spans="1:35" x14ac:dyDescent="0.3">
      <c r="A1415">
        <v>1414</v>
      </c>
      <c r="C1415">
        <v>1</v>
      </c>
      <c r="D1415" s="105">
        <v>45373.576656018522</v>
      </c>
      <c r="E1415" t="s">
        <v>316</v>
      </c>
      <c r="F1415" t="s">
        <v>309</v>
      </c>
      <c r="G1415">
        <v>0</v>
      </c>
      <c r="H1415" t="s">
        <v>310</v>
      </c>
      <c r="I1415">
        <v>0</v>
      </c>
      <c r="J1415">
        <v>0</v>
      </c>
      <c r="K1415">
        <v>0</v>
      </c>
      <c r="L1415" t="s">
        <v>310</v>
      </c>
      <c r="M1415" t="s">
        <v>310</v>
      </c>
      <c r="N1415">
        <v>0</v>
      </c>
      <c r="O1415" t="s">
        <v>1395</v>
      </c>
      <c r="P1415" t="s">
        <v>315</v>
      </c>
      <c r="Q1415" t="s">
        <v>315</v>
      </c>
      <c r="R1415" t="s">
        <v>315</v>
      </c>
      <c r="S1415">
        <v>9</v>
      </c>
      <c r="T1415" t="s">
        <v>105</v>
      </c>
      <c r="U1415">
        <v>9</v>
      </c>
      <c r="V1415">
        <v>9</v>
      </c>
      <c r="W1415">
        <v>0</v>
      </c>
      <c r="X1415">
        <v>0</v>
      </c>
      <c r="Y1415">
        <v>0</v>
      </c>
      <c r="Z1415">
        <v>0</v>
      </c>
      <c r="AA1415">
        <v>10</v>
      </c>
      <c r="AB1415">
        <v>10</v>
      </c>
      <c r="AC1415" t="s">
        <v>315</v>
      </c>
      <c r="AD1415">
        <v>10</v>
      </c>
      <c r="AE1415" t="s">
        <v>1428</v>
      </c>
      <c r="AF1415">
        <v>50</v>
      </c>
      <c r="AG1415" t="s">
        <v>310</v>
      </c>
      <c r="AH1415" t="e">
        <f>SUM((MID(Dyno_Data[[#This Row],[Team]],4,5))+(Dyno_Data[[#This Row],[Match]]/100))</f>
        <v>#VALUE!</v>
      </c>
      <c r="AI1415" s="76">
        <f>ROUND(SUM(IF(Dyno_Data[[#This Row],[AcqCenter]]&gt;0,Dyno_Data[[#This Row],[Time]]-SUMIFS(Dyno_Data[Time],Dyno_Data[Team],Dyno_Data[[#This Row],[Team]],Dyno_Data[RecordType],"StartMatch",Dyno_Data[Match],Dyno_Data[[#This Row],[Match]]),0)*86400),0)</f>
        <v>0</v>
      </c>
    </row>
    <row r="1416" spans="1:35" x14ac:dyDescent="0.3">
      <c r="A1416">
        <v>1424</v>
      </c>
      <c r="B1416" t="s">
        <v>362</v>
      </c>
      <c r="C1416">
        <v>30</v>
      </c>
      <c r="D1416" s="105">
        <v>45373.586854050925</v>
      </c>
      <c r="E1416" t="s">
        <v>308</v>
      </c>
      <c r="F1416" t="s">
        <v>309</v>
      </c>
      <c r="G1416">
        <v>0</v>
      </c>
      <c r="H1416" t="s">
        <v>310</v>
      </c>
      <c r="I1416">
        <v>0</v>
      </c>
      <c r="J1416">
        <v>0</v>
      </c>
      <c r="K1416">
        <v>0</v>
      </c>
      <c r="L1416" t="s">
        <v>310</v>
      </c>
      <c r="M1416" t="s">
        <v>310</v>
      </c>
      <c r="N1416">
        <v>0</v>
      </c>
      <c r="O1416" t="s">
        <v>319</v>
      </c>
      <c r="P1416" t="s">
        <v>310</v>
      </c>
      <c r="Q1416" t="s">
        <v>310</v>
      </c>
      <c r="R1416" t="s">
        <v>310</v>
      </c>
      <c r="S1416">
        <v>9</v>
      </c>
      <c r="T1416" t="s">
        <v>310</v>
      </c>
      <c r="U1416">
        <v>9</v>
      </c>
      <c r="V1416">
        <v>9</v>
      </c>
      <c r="W1416">
        <v>0</v>
      </c>
      <c r="X1416">
        <v>0</v>
      </c>
      <c r="Y1416">
        <v>0</v>
      </c>
      <c r="Z1416">
        <v>0</v>
      </c>
      <c r="AA1416">
        <v>9</v>
      </c>
      <c r="AB1416">
        <v>9</v>
      </c>
      <c r="AC1416" t="s">
        <v>310</v>
      </c>
      <c r="AD1416">
        <v>9</v>
      </c>
      <c r="AE1416" t="s">
        <v>1388</v>
      </c>
      <c r="AF1416">
        <v>3000</v>
      </c>
      <c r="AG1416" t="s">
        <v>310</v>
      </c>
      <c r="AH1416">
        <f>SUM((MID(Dyno_Data[[#This Row],[Team]],4,5))+(Dyno_Data[[#This Row],[Match]]/100))</f>
        <v>250.3</v>
      </c>
      <c r="AI1416" s="76">
        <f>ROUND(SUM(IF(Dyno_Data[[#This Row],[AcqCenter]]&gt;0,Dyno_Data[[#This Row],[Time]]-SUMIFS(Dyno_Data[Time],Dyno_Data[Team],Dyno_Data[[#This Row],[Team]],Dyno_Data[RecordType],"StartMatch",Dyno_Data[Match],Dyno_Data[[#This Row],[Match]]),0)*86400),0)</f>
        <v>0</v>
      </c>
    </row>
    <row r="1417" spans="1:35" x14ac:dyDescent="0.3">
      <c r="A1417">
        <v>1426</v>
      </c>
      <c r="B1417" t="s">
        <v>366</v>
      </c>
      <c r="C1417">
        <v>30</v>
      </c>
      <c r="D1417" s="105">
        <v>45373.586855555557</v>
      </c>
      <c r="E1417" t="s">
        <v>308</v>
      </c>
      <c r="F1417" t="s">
        <v>309</v>
      </c>
      <c r="G1417">
        <v>0</v>
      </c>
      <c r="H1417" t="s">
        <v>310</v>
      </c>
      <c r="I1417">
        <v>0</v>
      </c>
      <c r="J1417">
        <v>0</v>
      </c>
      <c r="K1417">
        <v>0</v>
      </c>
      <c r="L1417" t="s">
        <v>310</v>
      </c>
      <c r="M1417" t="s">
        <v>310</v>
      </c>
      <c r="N1417">
        <v>0</v>
      </c>
      <c r="O1417" t="s">
        <v>311</v>
      </c>
      <c r="P1417" t="s">
        <v>310</v>
      </c>
      <c r="Q1417" t="s">
        <v>310</v>
      </c>
      <c r="R1417" t="s">
        <v>310</v>
      </c>
      <c r="S1417">
        <v>9</v>
      </c>
      <c r="T1417" t="s">
        <v>310</v>
      </c>
      <c r="U1417">
        <v>9</v>
      </c>
      <c r="V1417">
        <v>9</v>
      </c>
      <c r="W1417">
        <v>0</v>
      </c>
      <c r="X1417">
        <v>0</v>
      </c>
      <c r="Y1417">
        <v>0</v>
      </c>
      <c r="Z1417">
        <v>0</v>
      </c>
      <c r="AA1417">
        <v>9</v>
      </c>
      <c r="AB1417">
        <v>9</v>
      </c>
      <c r="AC1417" t="s">
        <v>310</v>
      </c>
      <c r="AD1417">
        <v>9</v>
      </c>
      <c r="AE1417" t="s">
        <v>1387</v>
      </c>
      <c r="AF1417">
        <v>0</v>
      </c>
      <c r="AG1417" t="s">
        <v>310</v>
      </c>
      <c r="AH1417">
        <f>SUM((MID(Dyno_Data[[#This Row],[Team]],4,5))+(Dyno_Data[[#This Row],[Match]]/100))</f>
        <v>4122.3</v>
      </c>
      <c r="AI1417" s="76">
        <f>ROUND(SUM(IF(Dyno_Data[[#This Row],[AcqCenter]]&gt;0,Dyno_Data[[#This Row],[Time]]-SUMIFS(Dyno_Data[Time],Dyno_Data[Team],Dyno_Data[[#This Row],[Team]],Dyno_Data[RecordType],"StartMatch",Dyno_Data[Match],Dyno_Data[[#This Row],[Match]]),0)*86400),0)</f>
        <v>0</v>
      </c>
    </row>
    <row r="1418" spans="1:35" x14ac:dyDescent="0.3">
      <c r="A1418">
        <v>1428</v>
      </c>
      <c r="B1418" t="s">
        <v>1315</v>
      </c>
      <c r="C1418">
        <v>30</v>
      </c>
      <c r="D1418" s="105">
        <v>45373.586858368057</v>
      </c>
      <c r="E1418" t="s">
        <v>308</v>
      </c>
      <c r="F1418" t="s">
        <v>309</v>
      </c>
      <c r="G1418">
        <v>0</v>
      </c>
      <c r="H1418" t="s">
        <v>310</v>
      </c>
      <c r="I1418">
        <v>0</v>
      </c>
      <c r="J1418">
        <v>0</v>
      </c>
      <c r="K1418">
        <v>0</v>
      </c>
      <c r="L1418" t="s">
        <v>310</v>
      </c>
      <c r="M1418" t="s">
        <v>310</v>
      </c>
      <c r="N1418">
        <v>0</v>
      </c>
      <c r="O1418" t="s">
        <v>1395</v>
      </c>
      <c r="P1418" t="s">
        <v>310</v>
      </c>
      <c r="Q1418" t="s">
        <v>310</v>
      </c>
      <c r="R1418" t="s">
        <v>310</v>
      </c>
      <c r="S1418">
        <v>9</v>
      </c>
      <c r="T1418" t="s">
        <v>310</v>
      </c>
      <c r="U1418">
        <v>9</v>
      </c>
      <c r="V1418">
        <v>9</v>
      </c>
      <c r="W1418">
        <v>0</v>
      </c>
      <c r="X1418">
        <v>0</v>
      </c>
      <c r="Y1418">
        <v>0</v>
      </c>
      <c r="Z1418">
        <v>0</v>
      </c>
      <c r="AA1418">
        <v>9</v>
      </c>
      <c r="AB1418">
        <v>9</v>
      </c>
      <c r="AC1418" t="s">
        <v>310</v>
      </c>
      <c r="AD1418">
        <v>9</v>
      </c>
      <c r="AE1418" t="s">
        <v>1390</v>
      </c>
      <c r="AF1418">
        <v>0</v>
      </c>
      <c r="AG1418" t="s">
        <v>310</v>
      </c>
      <c r="AH1418">
        <f>SUM((MID(Dyno_Data[[#This Row],[Team]],4,5))+(Dyno_Data[[#This Row],[Match]]/100))</f>
        <v>1511.3</v>
      </c>
      <c r="AI1418" s="76">
        <f>ROUND(SUM(IF(Dyno_Data[[#This Row],[AcqCenter]]&gt;0,Dyno_Data[[#This Row],[Time]]-SUMIFS(Dyno_Data[Time],Dyno_Data[Team],Dyno_Data[[#This Row],[Team]],Dyno_Data[RecordType],"StartMatch",Dyno_Data[Match],Dyno_Data[[#This Row],[Match]]),0)*86400),0)</f>
        <v>0</v>
      </c>
    </row>
    <row r="1419" spans="1:35" x14ac:dyDescent="0.3">
      <c r="A1419">
        <v>1430</v>
      </c>
      <c r="B1419" t="s">
        <v>1291</v>
      </c>
      <c r="C1419">
        <v>30</v>
      </c>
      <c r="D1419" s="105">
        <v>45373.58685983796</v>
      </c>
      <c r="E1419" t="s">
        <v>308</v>
      </c>
      <c r="F1419" t="s">
        <v>309</v>
      </c>
      <c r="G1419">
        <v>0</v>
      </c>
      <c r="H1419" t="s">
        <v>310</v>
      </c>
      <c r="I1419">
        <v>0</v>
      </c>
      <c r="J1419">
        <v>0</v>
      </c>
      <c r="K1419">
        <v>0</v>
      </c>
      <c r="L1419" t="s">
        <v>310</v>
      </c>
      <c r="M1419" t="s">
        <v>310</v>
      </c>
      <c r="N1419">
        <v>0</v>
      </c>
      <c r="O1419" t="s">
        <v>1389</v>
      </c>
      <c r="P1419" t="s">
        <v>310</v>
      </c>
      <c r="Q1419" t="s">
        <v>310</v>
      </c>
      <c r="R1419" t="s">
        <v>310</v>
      </c>
      <c r="S1419">
        <v>9</v>
      </c>
      <c r="T1419" t="s">
        <v>310</v>
      </c>
      <c r="U1419">
        <v>9</v>
      </c>
      <c r="V1419">
        <v>9</v>
      </c>
      <c r="W1419">
        <v>0</v>
      </c>
      <c r="X1419">
        <v>0</v>
      </c>
      <c r="Y1419">
        <v>0</v>
      </c>
      <c r="Z1419">
        <v>0</v>
      </c>
      <c r="AA1419">
        <v>9</v>
      </c>
      <c r="AB1419">
        <v>9</v>
      </c>
      <c r="AC1419" t="s">
        <v>310</v>
      </c>
      <c r="AD1419">
        <v>9</v>
      </c>
      <c r="AE1419" t="s">
        <v>1392</v>
      </c>
      <c r="AF1419">
        <v>20000000</v>
      </c>
      <c r="AG1419" t="s">
        <v>310</v>
      </c>
      <c r="AH1419">
        <f>SUM((MID(Dyno_Data[[#This Row],[Team]],4,5))+(Dyno_Data[[#This Row],[Match]]/100))</f>
        <v>1493.3</v>
      </c>
      <c r="AI1419" s="76">
        <f>ROUND(SUM(IF(Dyno_Data[[#This Row],[AcqCenter]]&gt;0,Dyno_Data[[#This Row],[Time]]-SUMIFS(Dyno_Data[Time],Dyno_Data[Team],Dyno_Data[[#This Row],[Team]],Dyno_Data[RecordType],"StartMatch",Dyno_Data[Match],Dyno_Data[[#This Row],[Match]]),0)*86400),0)</f>
        <v>0</v>
      </c>
    </row>
    <row r="1420" spans="1:35" x14ac:dyDescent="0.3">
      <c r="A1420">
        <v>1432</v>
      </c>
      <c r="B1420" t="s">
        <v>1283</v>
      </c>
      <c r="C1420">
        <v>30</v>
      </c>
      <c r="D1420" s="105">
        <v>45373.586867824073</v>
      </c>
      <c r="E1420" t="s">
        <v>308</v>
      </c>
      <c r="F1420" t="s">
        <v>309</v>
      </c>
      <c r="G1420">
        <v>0</v>
      </c>
      <c r="H1420" t="s">
        <v>310</v>
      </c>
      <c r="I1420">
        <v>0</v>
      </c>
      <c r="J1420">
        <v>0</v>
      </c>
      <c r="K1420">
        <v>0</v>
      </c>
      <c r="L1420" t="s">
        <v>310</v>
      </c>
      <c r="M1420" t="s">
        <v>310</v>
      </c>
      <c r="N1420">
        <v>0</v>
      </c>
      <c r="O1420" t="s">
        <v>1391</v>
      </c>
      <c r="P1420" t="s">
        <v>310</v>
      </c>
      <c r="Q1420" t="s">
        <v>310</v>
      </c>
      <c r="R1420" t="s">
        <v>310</v>
      </c>
      <c r="S1420">
        <v>9</v>
      </c>
      <c r="T1420" t="s">
        <v>310</v>
      </c>
      <c r="U1420">
        <v>9</v>
      </c>
      <c r="V1420">
        <v>9</v>
      </c>
      <c r="W1420">
        <v>0</v>
      </c>
      <c r="X1420">
        <v>0</v>
      </c>
      <c r="Y1420">
        <v>0</v>
      </c>
      <c r="Z1420">
        <v>0</v>
      </c>
      <c r="AA1420">
        <v>9</v>
      </c>
      <c r="AB1420">
        <v>9</v>
      </c>
      <c r="AC1420" t="s">
        <v>310</v>
      </c>
      <c r="AD1420">
        <v>9</v>
      </c>
      <c r="AE1420" t="s">
        <v>1396</v>
      </c>
      <c r="AF1420">
        <v>0</v>
      </c>
      <c r="AG1420" t="s">
        <v>310</v>
      </c>
      <c r="AH1420">
        <f>SUM((MID(Dyno_Data[[#This Row],[Team]],4,5))+(Dyno_Data[[#This Row],[Match]]/100))</f>
        <v>1601.3</v>
      </c>
      <c r="AI1420" s="76">
        <f>ROUND(SUM(IF(Dyno_Data[[#This Row],[AcqCenter]]&gt;0,Dyno_Data[[#This Row],[Time]]-SUMIFS(Dyno_Data[Time],Dyno_Data[Team],Dyno_Data[[#This Row],[Team]],Dyno_Data[RecordType],"StartMatch",Dyno_Data[Match],Dyno_Data[[#This Row],[Match]]),0)*86400),0)</f>
        <v>0</v>
      </c>
    </row>
    <row r="1421" spans="1:35" x14ac:dyDescent="0.3">
      <c r="A1421">
        <v>1434</v>
      </c>
      <c r="B1421" t="s">
        <v>1309</v>
      </c>
      <c r="C1421">
        <v>30</v>
      </c>
      <c r="D1421" s="105">
        <v>45373.58687068287</v>
      </c>
      <c r="E1421" t="s">
        <v>308</v>
      </c>
      <c r="F1421" t="s">
        <v>309</v>
      </c>
      <c r="G1421">
        <v>0</v>
      </c>
      <c r="H1421" t="s">
        <v>310</v>
      </c>
      <c r="I1421">
        <v>0</v>
      </c>
      <c r="J1421">
        <v>0</v>
      </c>
      <c r="K1421">
        <v>0</v>
      </c>
      <c r="L1421" t="s">
        <v>310</v>
      </c>
      <c r="M1421" t="s">
        <v>310</v>
      </c>
      <c r="N1421">
        <v>0</v>
      </c>
      <c r="O1421" t="s">
        <v>1393</v>
      </c>
      <c r="P1421" t="s">
        <v>310</v>
      </c>
      <c r="Q1421" t="s">
        <v>310</v>
      </c>
      <c r="R1421" t="s">
        <v>310</v>
      </c>
      <c r="S1421">
        <v>9</v>
      </c>
      <c r="T1421" t="s">
        <v>310</v>
      </c>
      <c r="U1421">
        <v>9</v>
      </c>
      <c r="V1421">
        <v>9</v>
      </c>
      <c r="W1421">
        <v>0</v>
      </c>
      <c r="X1421">
        <v>0</v>
      </c>
      <c r="Y1421">
        <v>0</v>
      </c>
      <c r="Z1421">
        <v>0</v>
      </c>
      <c r="AA1421">
        <v>9</v>
      </c>
      <c r="AB1421">
        <v>9</v>
      </c>
      <c r="AC1421" t="s">
        <v>310</v>
      </c>
      <c r="AD1421">
        <v>9</v>
      </c>
      <c r="AE1421" t="s">
        <v>1394</v>
      </c>
      <c r="AF1421">
        <v>0</v>
      </c>
      <c r="AG1421" t="s">
        <v>310</v>
      </c>
      <c r="AH1421">
        <f>SUM((MID(Dyno_Data[[#This Row],[Team]],4,5))+(Dyno_Data[[#This Row],[Match]]/100))</f>
        <v>3550.3</v>
      </c>
      <c r="AI1421" s="76">
        <f>ROUND(SUM(IF(Dyno_Data[[#This Row],[AcqCenter]]&gt;0,Dyno_Data[[#This Row],[Time]]-SUMIFS(Dyno_Data[Time],Dyno_Data[Team],Dyno_Data[[#This Row],[Team]],Dyno_Data[RecordType],"StartMatch",Dyno_Data[Match],Dyno_Data[[#This Row],[Match]]),0)*86400),0)</f>
        <v>0</v>
      </c>
    </row>
    <row r="1422" spans="1:35" x14ac:dyDescent="0.3">
      <c r="A1422">
        <v>1415</v>
      </c>
      <c r="B1422" t="s">
        <v>1291</v>
      </c>
      <c r="C1422">
        <v>30</v>
      </c>
      <c r="D1422" s="105">
        <v>45373.586879548609</v>
      </c>
      <c r="E1422" t="s">
        <v>312</v>
      </c>
      <c r="F1422" t="s">
        <v>309</v>
      </c>
      <c r="G1422">
        <v>0</v>
      </c>
      <c r="H1422" t="s">
        <v>1397</v>
      </c>
      <c r="I1422">
        <v>0</v>
      </c>
      <c r="J1422">
        <v>0</v>
      </c>
      <c r="K1422">
        <v>0</v>
      </c>
      <c r="L1422" t="s">
        <v>240</v>
      </c>
      <c r="M1422" t="s">
        <v>1398</v>
      </c>
      <c r="N1422">
        <v>0</v>
      </c>
      <c r="O1422" t="s">
        <v>1389</v>
      </c>
      <c r="P1422" t="s">
        <v>310</v>
      </c>
      <c r="Q1422" t="s">
        <v>310</v>
      </c>
      <c r="R1422" t="s">
        <v>310</v>
      </c>
      <c r="S1422">
        <v>9</v>
      </c>
      <c r="T1422" t="s">
        <v>310</v>
      </c>
      <c r="U1422">
        <v>9</v>
      </c>
      <c r="V1422">
        <v>9</v>
      </c>
      <c r="W1422">
        <v>0</v>
      </c>
      <c r="X1422">
        <v>0</v>
      </c>
      <c r="Y1422">
        <v>0</v>
      </c>
      <c r="Z1422">
        <v>0</v>
      </c>
      <c r="AA1422">
        <v>9</v>
      </c>
      <c r="AB1422">
        <v>9</v>
      </c>
      <c r="AC1422" t="s">
        <v>310</v>
      </c>
      <c r="AD1422">
        <v>9</v>
      </c>
      <c r="AE1422" t="s">
        <v>1392</v>
      </c>
      <c r="AF1422">
        <v>0</v>
      </c>
      <c r="AG1422" t="s">
        <v>310</v>
      </c>
      <c r="AH1422">
        <f>SUM((MID(Dyno_Data[[#This Row],[Team]],4,5))+(Dyno_Data[[#This Row],[Match]]/100))</f>
        <v>1493.3</v>
      </c>
      <c r="AI1422" s="76">
        <f>ROUND(SUM(IF(Dyno_Data[[#This Row],[AcqCenter]]&gt;0,Dyno_Data[[#This Row],[Time]]-SUMIFS(Dyno_Data[Time],Dyno_Data[Team],Dyno_Data[[#This Row],[Team]],Dyno_Data[RecordType],"StartMatch",Dyno_Data[Match],Dyno_Data[[#This Row],[Match]]),0)*86400),0)</f>
        <v>0</v>
      </c>
    </row>
    <row r="1423" spans="1:35" x14ac:dyDescent="0.3">
      <c r="A1423">
        <v>1416</v>
      </c>
      <c r="B1423" t="s">
        <v>1309</v>
      </c>
      <c r="C1423">
        <v>30</v>
      </c>
      <c r="D1423" s="105">
        <v>45373.58688978009</v>
      </c>
      <c r="E1423" t="s">
        <v>312</v>
      </c>
      <c r="F1423" t="s">
        <v>309</v>
      </c>
      <c r="G1423">
        <v>0</v>
      </c>
      <c r="H1423" t="s">
        <v>1397</v>
      </c>
      <c r="I1423">
        <v>0</v>
      </c>
      <c r="J1423">
        <v>0</v>
      </c>
      <c r="K1423">
        <v>0</v>
      </c>
      <c r="L1423" t="s">
        <v>241</v>
      </c>
      <c r="M1423" t="s">
        <v>1398</v>
      </c>
      <c r="N1423">
        <v>0</v>
      </c>
      <c r="O1423" t="s">
        <v>1393</v>
      </c>
      <c r="P1423" t="s">
        <v>310</v>
      </c>
      <c r="Q1423" t="s">
        <v>310</v>
      </c>
      <c r="R1423" t="s">
        <v>310</v>
      </c>
      <c r="S1423">
        <v>9</v>
      </c>
      <c r="T1423" t="s">
        <v>310</v>
      </c>
      <c r="U1423">
        <v>9</v>
      </c>
      <c r="V1423">
        <v>9</v>
      </c>
      <c r="W1423">
        <v>0</v>
      </c>
      <c r="X1423">
        <v>0</v>
      </c>
      <c r="Y1423">
        <v>0</v>
      </c>
      <c r="Z1423">
        <v>0</v>
      </c>
      <c r="AA1423">
        <v>9</v>
      </c>
      <c r="AB1423">
        <v>9</v>
      </c>
      <c r="AC1423" t="s">
        <v>310</v>
      </c>
      <c r="AD1423">
        <v>9</v>
      </c>
      <c r="AE1423" t="s">
        <v>1394</v>
      </c>
      <c r="AF1423">
        <v>0</v>
      </c>
      <c r="AG1423" t="s">
        <v>310</v>
      </c>
      <c r="AH1423">
        <f>SUM((MID(Dyno_Data[[#This Row],[Team]],4,5))+(Dyno_Data[[#This Row],[Match]]/100))</f>
        <v>3550.3</v>
      </c>
      <c r="AI1423" s="76">
        <f>ROUND(SUM(IF(Dyno_Data[[#This Row],[AcqCenter]]&gt;0,Dyno_Data[[#This Row],[Time]]-SUMIFS(Dyno_Data[Time],Dyno_Data[Team],Dyno_Data[[#This Row],[Team]],Dyno_Data[RecordType],"StartMatch",Dyno_Data[Match],Dyno_Data[[#This Row],[Match]]),0)*86400),0)</f>
        <v>0</v>
      </c>
    </row>
    <row r="1424" spans="1:35" x14ac:dyDescent="0.3">
      <c r="A1424">
        <v>1417</v>
      </c>
      <c r="B1424" t="s">
        <v>366</v>
      </c>
      <c r="C1424">
        <v>30</v>
      </c>
      <c r="D1424" s="105">
        <v>45373.586893321757</v>
      </c>
      <c r="E1424" t="s">
        <v>312</v>
      </c>
      <c r="F1424" t="s">
        <v>309</v>
      </c>
      <c r="G1424">
        <v>0</v>
      </c>
      <c r="H1424" t="s">
        <v>1397</v>
      </c>
      <c r="I1424">
        <v>0</v>
      </c>
      <c r="J1424">
        <v>0</v>
      </c>
      <c r="K1424">
        <v>0</v>
      </c>
      <c r="L1424" t="s">
        <v>240</v>
      </c>
      <c r="M1424" t="s">
        <v>1398</v>
      </c>
      <c r="N1424">
        <v>0</v>
      </c>
      <c r="O1424" t="s">
        <v>311</v>
      </c>
      <c r="P1424" t="s">
        <v>310</v>
      </c>
      <c r="Q1424" t="s">
        <v>310</v>
      </c>
      <c r="R1424" t="s">
        <v>310</v>
      </c>
      <c r="S1424">
        <v>9</v>
      </c>
      <c r="T1424" t="s">
        <v>310</v>
      </c>
      <c r="U1424">
        <v>9</v>
      </c>
      <c r="V1424">
        <v>9</v>
      </c>
      <c r="W1424">
        <v>0</v>
      </c>
      <c r="X1424">
        <v>0</v>
      </c>
      <c r="Y1424">
        <v>0</v>
      </c>
      <c r="Z1424">
        <v>0</v>
      </c>
      <c r="AA1424">
        <v>9</v>
      </c>
      <c r="AB1424">
        <v>9</v>
      </c>
      <c r="AC1424" t="s">
        <v>310</v>
      </c>
      <c r="AD1424">
        <v>9</v>
      </c>
      <c r="AE1424" t="s">
        <v>1387</v>
      </c>
      <c r="AF1424">
        <v>0</v>
      </c>
      <c r="AG1424" t="s">
        <v>310</v>
      </c>
      <c r="AH1424">
        <f>SUM((MID(Dyno_Data[[#This Row],[Team]],4,5))+(Dyno_Data[[#This Row],[Match]]/100))</f>
        <v>4122.3</v>
      </c>
      <c r="AI1424" s="76">
        <f>ROUND(SUM(IF(Dyno_Data[[#This Row],[AcqCenter]]&gt;0,Dyno_Data[[#This Row],[Time]]-SUMIFS(Dyno_Data[Time],Dyno_Data[Team],Dyno_Data[[#This Row],[Team]],Dyno_Data[RecordType],"StartMatch",Dyno_Data[Match],Dyno_Data[[#This Row],[Match]]),0)*86400),0)</f>
        <v>0</v>
      </c>
    </row>
    <row r="1425" spans="1:35" x14ac:dyDescent="0.3">
      <c r="A1425">
        <v>1418</v>
      </c>
      <c r="B1425" t="s">
        <v>1315</v>
      </c>
      <c r="C1425">
        <v>30</v>
      </c>
      <c r="D1425" s="105">
        <v>45373.586907141202</v>
      </c>
      <c r="E1425" t="s">
        <v>312</v>
      </c>
      <c r="F1425" t="s">
        <v>309</v>
      </c>
      <c r="G1425">
        <v>0</v>
      </c>
      <c r="H1425" t="s">
        <v>1397</v>
      </c>
      <c r="I1425">
        <v>0</v>
      </c>
      <c r="J1425">
        <v>0</v>
      </c>
      <c r="K1425">
        <v>0</v>
      </c>
      <c r="L1425" t="s">
        <v>241</v>
      </c>
      <c r="M1425" t="s">
        <v>1398</v>
      </c>
      <c r="N1425">
        <v>0</v>
      </c>
      <c r="O1425" t="s">
        <v>1395</v>
      </c>
      <c r="P1425" t="s">
        <v>310</v>
      </c>
      <c r="Q1425" t="s">
        <v>310</v>
      </c>
      <c r="R1425" t="s">
        <v>310</v>
      </c>
      <c r="S1425">
        <v>9</v>
      </c>
      <c r="T1425" t="s">
        <v>310</v>
      </c>
      <c r="U1425">
        <v>9</v>
      </c>
      <c r="V1425">
        <v>9</v>
      </c>
      <c r="W1425">
        <v>0</v>
      </c>
      <c r="X1425">
        <v>0</v>
      </c>
      <c r="Y1425">
        <v>0</v>
      </c>
      <c r="Z1425">
        <v>0</v>
      </c>
      <c r="AA1425">
        <v>9</v>
      </c>
      <c r="AB1425">
        <v>9</v>
      </c>
      <c r="AC1425" t="s">
        <v>310</v>
      </c>
      <c r="AD1425">
        <v>9</v>
      </c>
      <c r="AE1425" t="s">
        <v>1390</v>
      </c>
      <c r="AF1425">
        <v>0</v>
      </c>
      <c r="AG1425" t="s">
        <v>310</v>
      </c>
      <c r="AH1425">
        <f>SUM((MID(Dyno_Data[[#This Row],[Team]],4,5))+(Dyno_Data[[#This Row],[Match]]/100))</f>
        <v>1511.3</v>
      </c>
      <c r="AI1425" s="76">
        <f>ROUND(SUM(IF(Dyno_Data[[#This Row],[AcqCenter]]&gt;0,Dyno_Data[[#This Row],[Time]]-SUMIFS(Dyno_Data[Time],Dyno_Data[Team],Dyno_Data[[#This Row],[Team]],Dyno_Data[RecordType],"StartMatch",Dyno_Data[Match],Dyno_Data[[#This Row],[Match]]),0)*86400),0)</f>
        <v>0</v>
      </c>
    </row>
    <row r="1426" spans="1:35" x14ac:dyDescent="0.3">
      <c r="A1426">
        <v>1419</v>
      </c>
      <c r="B1426" t="s">
        <v>362</v>
      </c>
      <c r="C1426">
        <v>30</v>
      </c>
      <c r="D1426" s="105">
        <v>45373.58692303241</v>
      </c>
      <c r="E1426" t="s">
        <v>312</v>
      </c>
      <c r="F1426" t="s">
        <v>309</v>
      </c>
      <c r="G1426">
        <v>0</v>
      </c>
      <c r="H1426" t="s">
        <v>143</v>
      </c>
      <c r="I1426">
        <v>1</v>
      </c>
      <c r="J1426">
        <v>-1</v>
      </c>
      <c r="K1426">
        <v>0</v>
      </c>
      <c r="L1426" t="s">
        <v>310</v>
      </c>
      <c r="M1426" t="s">
        <v>310</v>
      </c>
      <c r="N1426">
        <v>0</v>
      </c>
      <c r="O1426" t="s">
        <v>319</v>
      </c>
      <c r="P1426" t="s">
        <v>310</v>
      </c>
      <c r="Q1426" t="s">
        <v>310</v>
      </c>
      <c r="R1426" t="s">
        <v>310</v>
      </c>
      <c r="S1426">
        <v>9</v>
      </c>
      <c r="T1426" t="s">
        <v>310</v>
      </c>
      <c r="U1426">
        <v>9</v>
      </c>
      <c r="V1426">
        <v>9</v>
      </c>
      <c r="W1426">
        <v>0</v>
      </c>
      <c r="X1426">
        <v>0</v>
      </c>
      <c r="Y1426">
        <v>0</v>
      </c>
      <c r="Z1426">
        <v>0</v>
      </c>
      <c r="AA1426">
        <v>9</v>
      </c>
      <c r="AB1426">
        <v>9</v>
      </c>
      <c r="AC1426" t="s">
        <v>310</v>
      </c>
      <c r="AD1426">
        <v>9</v>
      </c>
      <c r="AE1426" t="s">
        <v>1388</v>
      </c>
      <c r="AF1426">
        <v>1000</v>
      </c>
      <c r="AG1426" t="s">
        <v>310</v>
      </c>
      <c r="AH1426">
        <f>SUM((MID(Dyno_Data[[#This Row],[Team]],4,5))+(Dyno_Data[[#This Row],[Match]]/100))</f>
        <v>250.3</v>
      </c>
      <c r="AI1426" s="76">
        <f>ROUND(SUM(IF(Dyno_Data[[#This Row],[AcqCenter]]&gt;0,Dyno_Data[[#This Row],[Time]]-SUMIFS(Dyno_Data[Time],Dyno_Data[Team],Dyno_Data[[#This Row],[Team]],Dyno_Data[RecordType],"StartMatch",Dyno_Data[Match],Dyno_Data[[#This Row],[Match]]),0)*86400),0)</f>
        <v>6</v>
      </c>
    </row>
    <row r="1427" spans="1:35" x14ac:dyDescent="0.3">
      <c r="A1427">
        <v>1420</v>
      </c>
      <c r="B1427" t="s">
        <v>362</v>
      </c>
      <c r="C1427">
        <v>30</v>
      </c>
      <c r="D1427" s="105">
        <v>45373.586959224536</v>
      </c>
      <c r="E1427" t="s">
        <v>312</v>
      </c>
      <c r="F1427" t="s">
        <v>309</v>
      </c>
      <c r="G1427">
        <v>0</v>
      </c>
      <c r="H1427" t="s">
        <v>143</v>
      </c>
      <c r="I1427">
        <v>2</v>
      </c>
      <c r="J1427">
        <v>-1</v>
      </c>
      <c r="K1427">
        <v>0</v>
      </c>
      <c r="L1427" t="s">
        <v>310</v>
      </c>
      <c r="M1427" t="s">
        <v>310</v>
      </c>
      <c r="N1427">
        <v>0</v>
      </c>
      <c r="O1427" t="s">
        <v>319</v>
      </c>
      <c r="P1427" t="s">
        <v>310</v>
      </c>
      <c r="Q1427" t="s">
        <v>310</v>
      </c>
      <c r="R1427" t="s">
        <v>310</v>
      </c>
      <c r="S1427">
        <v>9</v>
      </c>
      <c r="T1427" t="s">
        <v>310</v>
      </c>
      <c r="U1427">
        <v>9</v>
      </c>
      <c r="V1427">
        <v>9</v>
      </c>
      <c r="W1427">
        <v>0</v>
      </c>
      <c r="X1427">
        <v>0</v>
      </c>
      <c r="Y1427">
        <v>0</v>
      </c>
      <c r="Z1427">
        <v>0</v>
      </c>
      <c r="AA1427">
        <v>9</v>
      </c>
      <c r="AB1427">
        <v>9</v>
      </c>
      <c r="AC1427" t="s">
        <v>310</v>
      </c>
      <c r="AD1427">
        <v>9</v>
      </c>
      <c r="AE1427" t="s">
        <v>1388</v>
      </c>
      <c r="AF1427">
        <v>2000</v>
      </c>
      <c r="AG1427" t="s">
        <v>310</v>
      </c>
      <c r="AH1427">
        <f>SUM((MID(Dyno_Data[[#This Row],[Team]],4,5))+(Dyno_Data[[#This Row],[Match]]/100))</f>
        <v>250.3</v>
      </c>
      <c r="AI1427" s="76">
        <f>ROUND(SUM(IF(Dyno_Data[[#This Row],[AcqCenter]]&gt;0,Dyno_Data[[#This Row],[Time]]-SUMIFS(Dyno_Data[Time],Dyno_Data[Team],Dyno_Data[[#This Row],[Team]],Dyno_Data[RecordType],"StartMatch",Dyno_Data[Match],Dyno_Data[[#This Row],[Match]]),0)*86400),0)</f>
        <v>9</v>
      </c>
    </row>
    <row r="1428" spans="1:35" x14ac:dyDescent="0.3">
      <c r="A1428">
        <v>1421</v>
      </c>
      <c r="B1428" t="s">
        <v>1291</v>
      </c>
      <c r="C1428">
        <v>30</v>
      </c>
      <c r="D1428" s="105">
        <v>45373.586972256948</v>
      </c>
      <c r="E1428" t="s">
        <v>312</v>
      </c>
      <c r="F1428" t="s">
        <v>309</v>
      </c>
      <c r="G1428">
        <v>0</v>
      </c>
      <c r="H1428" t="s">
        <v>315</v>
      </c>
      <c r="I1428">
        <v>0</v>
      </c>
      <c r="J1428">
        <v>0</v>
      </c>
      <c r="K1428">
        <v>0</v>
      </c>
      <c r="L1428" t="s">
        <v>240</v>
      </c>
      <c r="M1428" t="s">
        <v>1398</v>
      </c>
      <c r="N1428">
        <v>0</v>
      </c>
      <c r="O1428" t="s">
        <v>1389</v>
      </c>
      <c r="P1428" t="s">
        <v>310</v>
      </c>
      <c r="Q1428" t="s">
        <v>310</v>
      </c>
      <c r="R1428" t="s">
        <v>310</v>
      </c>
      <c r="S1428">
        <v>9</v>
      </c>
      <c r="T1428" t="s">
        <v>310</v>
      </c>
      <c r="U1428">
        <v>9</v>
      </c>
      <c r="V1428">
        <v>9</v>
      </c>
      <c r="W1428">
        <v>0</v>
      </c>
      <c r="X1428">
        <v>0</v>
      </c>
      <c r="Y1428">
        <v>0</v>
      </c>
      <c r="Z1428">
        <v>0</v>
      </c>
      <c r="AA1428">
        <v>9</v>
      </c>
      <c r="AB1428">
        <v>9</v>
      </c>
      <c r="AC1428" t="s">
        <v>310</v>
      </c>
      <c r="AD1428">
        <v>9</v>
      </c>
      <c r="AE1428" t="s">
        <v>1392</v>
      </c>
      <c r="AF1428">
        <v>10000000</v>
      </c>
      <c r="AG1428" t="s">
        <v>310</v>
      </c>
      <c r="AH1428">
        <f>SUM((MID(Dyno_Data[[#This Row],[Team]],4,5))+(Dyno_Data[[#This Row],[Match]]/100))</f>
        <v>1493.3</v>
      </c>
      <c r="AI1428" s="76">
        <f>ROUND(SUM(IF(Dyno_Data[[#This Row],[AcqCenter]]&gt;0,Dyno_Data[[#This Row],[Time]]-SUMIFS(Dyno_Data[Time],Dyno_Data[Team],Dyno_Data[[#This Row],[Team]],Dyno_Data[RecordType],"StartMatch",Dyno_Data[Match],Dyno_Data[[#This Row],[Match]]),0)*86400),0)</f>
        <v>0</v>
      </c>
    </row>
    <row r="1429" spans="1:35" x14ac:dyDescent="0.3">
      <c r="A1429">
        <v>1422</v>
      </c>
      <c r="B1429" t="s">
        <v>362</v>
      </c>
      <c r="C1429">
        <v>30</v>
      </c>
      <c r="D1429" s="105">
        <v>45373.586999108797</v>
      </c>
      <c r="E1429" t="s">
        <v>312</v>
      </c>
      <c r="F1429" t="s">
        <v>309</v>
      </c>
      <c r="G1429">
        <v>0</v>
      </c>
      <c r="H1429" t="s">
        <v>143</v>
      </c>
      <c r="I1429">
        <v>3</v>
      </c>
      <c r="J1429">
        <v>-1</v>
      </c>
      <c r="K1429">
        <v>0</v>
      </c>
      <c r="L1429" t="s">
        <v>310</v>
      </c>
      <c r="M1429" t="s">
        <v>310</v>
      </c>
      <c r="N1429">
        <v>0</v>
      </c>
      <c r="O1429" t="s">
        <v>319</v>
      </c>
      <c r="P1429" t="s">
        <v>310</v>
      </c>
      <c r="Q1429" t="s">
        <v>310</v>
      </c>
      <c r="R1429" t="s">
        <v>310</v>
      </c>
      <c r="S1429">
        <v>9</v>
      </c>
      <c r="T1429" t="s">
        <v>310</v>
      </c>
      <c r="U1429">
        <v>9</v>
      </c>
      <c r="V1429">
        <v>9</v>
      </c>
      <c r="W1429">
        <v>0</v>
      </c>
      <c r="X1429">
        <v>0</v>
      </c>
      <c r="Y1429">
        <v>0</v>
      </c>
      <c r="Z1429">
        <v>0</v>
      </c>
      <c r="AA1429">
        <v>9</v>
      </c>
      <c r="AB1429">
        <v>9</v>
      </c>
      <c r="AC1429" t="s">
        <v>310</v>
      </c>
      <c r="AD1429">
        <v>9</v>
      </c>
      <c r="AE1429" t="s">
        <v>1388</v>
      </c>
      <c r="AF1429">
        <v>3000</v>
      </c>
      <c r="AG1429" t="s">
        <v>310</v>
      </c>
      <c r="AH1429">
        <f>SUM((MID(Dyno_Data[[#This Row],[Team]],4,5))+(Dyno_Data[[#This Row],[Match]]/100))</f>
        <v>250.3</v>
      </c>
      <c r="AI1429" s="76">
        <f>ROUND(SUM(IF(Dyno_Data[[#This Row],[AcqCenter]]&gt;0,Dyno_Data[[#This Row],[Time]]-SUMIFS(Dyno_Data[Time],Dyno_Data[Team],Dyno_Data[[#This Row],[Team]],Dyno_Data[RecordType],"StartMatch",Dyno_Data[Match],Dyno_Data[[#This Row],[Match]]),0)*86400),0)</f>
        <v>13</v>
      </c>
    </row>
    <row r="1430" spans="1:35" x14ac:dyDescent="0.3">
      <c r="A1430">
        <v>1423</v>
      </c>
      <c r="B1430" t="s">
        <v>1291</v>
      </c>
      <c r="C1430">
        <v>30</v>
      </c>
      <c r="D1430" s="105">
        <v>45373.587029629627</v>
      </c>
      <c r="E1430" t="s">
        <v>312</v>
      </c>
      <c r="F1430" t="s">
        <v>309</v>
      </c>
      <c r="G1430">
        <v>0</v>
      </c>
      <c r="H1430" t="s">
        <v>315</v>
      </c>
      <c r="I1430">
        <v>0</v>
      </c>
      <c r="J1430">
        <v>0</v>
      </c>
      <c r="K1430">
        <v>0</v>
      </c>
      <c r="L1430" t="s">
        <v>240</v>
      </c>
      <c r="M1430" t="s">
        <v>1398</v>
      </c>
      <c r="N1430">
        <v>0</v>
      </c>
      <c r="O1430" t="s">
        <v>1389</v>
      </c>
      <c r="P1430" t="s">
        <v>310</v>
      </c>
      <c r="Q1430" t="s">
        <v>310</v>
      </c>
      <c r="R1430" t="s">
        <v>310</v>
      </c>
      <c r="S1430">
        <v>9</v>
      </c>
      <c r="T1430" t="s">
        <v>310</v>
      </c>
      <c r="U1430">
        <v>9</v>
      </c>
      <c r="V1430">
        <v>9</v>
      </c>
      <c r="W1430">
        <v>0</v>
      </c>
      <c r="X1430">
        <v>0</v>
      </c>
      <c r="Y1430">
        <v>0</v>
      </c>
      <c r="Z1430">
        <v>0</v>
      </c>
      <c r="AA1430">
        <v>9</v>
      </c>
      <c r="AB1430">
        <v>9</v>
      </c>
      <c r="AC1430" t="s">
        <v>310</v>
      </c>
      <c r="AD1430">
        <v>9</v>
      </c>
      <c r="AE1430" t="s">
        <v>1392</v>
      </c>
      <c r="AF1430">
        <v>20000000</v>
      </c>
      <c r="AG1430" t="s">
        <v>310</v>
      </c>
      <c r="AH1430">
        <f>SUM((MID(Dyno_Data[[#This Row],[Team]],4,5))+(Dyno_Data[[#This Row],[Match]]/100))</f>
        <v>1493.3</v>
      </c>
      <c r="AI1430" s="76">
        <f>ROUND(SUM(IF(Dyno_Data[[#This Row],[AcqCenter]]&gt;0,Dyno_Data[[#This Row],[Time]]-SUMIFS(Dyno_Data[Time],Dyno_Data[Team],Dyno_Data[[#This Row],[Team]],Dyno_Data[RecordType],"StartMatch",Dyno_Data[Match],Dyno_Data[[#This Row],[Match]]),0)*86400),0)</f>
        <v>0</v>
      </c>
    </row>
    <row r="1431" spans="1:35" x14ac:dyDescent="0.3">
      <c r="A1431">
        <v>1425</v>
      </c>
      <c r="B1431" t="s">
        <v>362</v>
      </c>
      <c r="C1431">
        <v>30</v>
      </c>
      <c r="D1431" s="105">
        <v>45373.587062384257</v>
      </c>
      <c r="E1431" t="s">
        <v>314</v>
      </c>
      <c r="F1431" t="s">
        <v>309</v>
      </c>
      <c r="G1431">
        <v>1</v>
      </c>
      <c r="H1431" t="s">
        <v>310</v>
      </c>
      <c r="I1431">
        <v>0</v>
      </c>
      <c r="J1431">
        <v>0</v>
      </c>
      <c r="K1431">
        <v>0</v>
      </c>
      <c r="L1431" t="s">
        <v>310</v>
      </c>
      <c r="M1431" t="s">
        <v>310</v>
      </c>
      <c r="N1431">
        <v>0</v>
      </c>
      <c r="O1431" t="s">
        <v>319</v>
      </c>
      <c r="P1431" t="s">
        <v>320</v>
      </c>
      <c r="Q1431" t="s">
        <v>1399</v>
      </c>
      <c r="R1431" t="s">
        <v>310</v>
      </c>
      <c r="S1431">
        <v>9</v>
      </c>
      <c r="T1431" t="s">
        <v>310</v>
      </c>
      <c r="U1431">
        <v>9</v>
      </c>
      <c r="V1431">
        <v>9</v>
      </c>
      <c r="W1431">
        <v>0</v>
      </c>
      <c r="X1431">
        <v>0</v>
      </c>
      <c r="Y1431">
        <v>0</v>
      </c>
      <c r="Z1431">
        <v>0</v>
      </c>
      <c r="AA1431">
        <v>9</v>
      </c>
      <c r="AB1431">
        <v>9</v>
      </c>
      <c r="AC1431" t="s">
        <v>310</v>
      </c>
      <c r="AD1431">
        <v>9</v>
      </c>
      <c r="AE1431" t="s">
        <v>1388</v>
      </c>
      <c r="AF1431">
        <v>3000</v>
      </c>
      <c r="AG1431" t="s">
        <v>310</v>
      </c>
      <c r="AH1431">
        <f>SUM((MID(Dyno_Data[[#This Row],[Team]],4,5))+(Dyno_Data[[#This Row],[Match]]/100))</f>
        <v>250.3</v>
      </c>
      <c r="AI1431" s="76">
        <f>ROUND(SUM(IF(Dyno_Data[[#This Row],[AcqCenter]]&gt;0,Dyno_Data[[#This Row],[Time]]-SUMIFS(Dyno_Data[Time],Dyno_Data[Team],Dyno_Data[[#This Row],[Team]],Dyno_Data[RecordType],"StartMatch",Dyno_Data[Match],Dyno_Data[[#This Row],[Match]]),0)*86400),0)</f>
        <v>0</v>
      </c>
    </row>
    <row r="1432" spans="1:35" x14ac:dyDescent="0.3">
      <c r="A1432">
        <v>1427</v>
      </c>
      <c r="B1432" t="s">
        <v>366</v>
      </c>
      <c r="C1432">
        <v>30</v>
      </c>
      <c r="D1432" s="105">
        <v>45373.587063888888</v>
      </c>
      <c r="E1432" t="s">
        <v>314</v>
      </c>
      <c r="F1432" t="s">
        <v>309</v>
      </c>
      <c r="G1432">
        <v>0</v>
      </c>
      <c r="H1432" t="s">
        <v>310</v>
      </c>
      <c r="I1432">
        <v>0</v>
      </c>
      <c r="J1432">
        <v>0</v>
      </c>
      <c r="K1432">
        <v>0</v>
      </c>
      <c r="L1432" t="s">
        <v>310</v>
      </c>
      <c r="M1432" t="s">
        <v>310</v>
      </c>
      <c r="N1432">
        <v>0</v>
      </c>
      <c r="O1432" t="s">
        <v>311</v>
      </c>
      <c r="P1432" t="s">
        <v>240</v>
      </c>
      <c r="Q1432" t="s">
        <v>1400</v>
      </c>
      <c r="R1432" t="s">
        <v>310</v>
      </c>
      <c r="S1432">
        <v>9</v>
      </c>
      <c r="T1432" t="s">
        <v>310</v>
      </c>
      <c r="U1432">
        <v>9</v>
      </c>
      <c r="V1432">
        <v>9</v>
      </c>
      <c r="W1432">
        <v>0</v>
      </c>
      <c r="X1432">
        <v>0</v>
      </c>
      <c r="Y1432">
        <v>0</v>
      </c>
      <c r="Z1432">
        <v>0</v>
      </c>
      <c r="AA1432">
        <v>9</v>
      </c>
      <c r="AB1432">
        <v>9</v>
      </c>
      <c r="AC1432" t="s">
        <v>310</v>
      </c>
      <c r="AD1432">
        <v>9</v>
      </c>
      <c r="AE1432" t="s">
        <v>1387</v>
      </c>
      <c r="AF1432">
        <v>0</v>
      </c>
      <c r="AG1432" t="s">
        <v>310</v>
      </c>
      <c r="AH1432">
        <f>SUM((MID(Dyno_Data[[#This Row],[Team]],4,5))+(Dyno_Data[[#This Row],[Match]]/100))</f>
        <v>4122.3</v>
      </c>
      <c r="AI1432" s="76">
        <f>ROUND(SUM(IF(Dyno_Data[[#This Row],[AcqCenter]]&gt;0,Dyno_Data[[#This Row],[Time]]-SUMIFS(Dyno_Data[Time],Dyno_Data[Team],Dyno_Data[[#This Row],[Team]],Dyno_Data[RecordType],"StartMatch",Dyno_Data[Match],Dyno_Data[[#This Row],[Match]]),0)*86400),0)</f>
        <v>0</v>
      </c>
    </row>
    <row r="1433" spans="1:35" x14ac:dyDescent="0.3">
      <c r="A1433">
        <v>1429</v>
      </c>
      <c r="B1433" t="s">
        <v>1315</v>
      </c>
      <c r="C1433">
        <v>30</v>
      </c>
      <c r="D1433" s="105">
        <v>45373.587066701388</v>
      </c>
      <c r="E1433" t="s">
        <v>314</v>
      </c>
      <c r="F1433" t="s">
        <v>309</v>
      </c>
      <c r="G1433">
        <v>0</v>
      </c>
      <c r="H1433" t="s">
        <v>310</v>
      </c>
      <c r="I1433">
        <v>0</v>
      </c>
      <c r="J1433">
        <v>0</v>
      </c>
      <c r="K1433">
        <v>0</v>
      </c>
      <c r="L1433" t="s">
        <v>310</v>
      </c>
      <c r="M1433" t="s">
        <v>310</v>
      </c>
      <c r="N1433">
        <v>0</v>
      </c>
      <c r="O1433" t="s">
        <v>1395</v>
      </c>
      <c r="P1433" t="s">
        <v>1401</v>
      </c>
      <c r="Q1433" t="s">
        <v>1400</v>
      </c>
      <c r="R1433" t="s">
        <v>310</v>
      </c>
      <c r="S1433">
        <v>9</v>
      </c>
      <c r="T1433" t="s">
        <v>310</v>
      </c>
      <c r="U1433">
        <v>9</v>
      </c>
      <c r="V1433">
        <v>9</v>
      </c>
      <c r="W1433">
        <v>0</v>
      </c>
      <c r="X1433">
        <v>0</v>
      </c>
      <c r="Y1433">
        <v>0</v>
      </c>
      <c r="Z1433">
        <v>0</v>
      </c>
      <c r="AA1433">
        <v>9</v>
      </c>
      <c r="AB1433">
        <v>9</v>
      </c>
      <c r="AC1433" t="s">
        <v>310</v>
      </c>
      <c r="AD1433">
        <v>9</v>
      </c>
      <c r="AE1433" t="s">
        <v>1390</v>
      </c>
      <c r="AF1433">
        <v>0</v>
      </c>
      <c r="AG1433" t="s">
        <v>310</v>
      </c>
      <c r="AH1433">
        <f>SUM((MID(Dyno_Data[[#This Row],[Team]],4,5))+(Dyno_Data[[#This Row],[Match]]/100))</f>
        <v>1511.3</v>
      </c>
      <c r="AI1433" s="76">
        <f>ROUND(SUM(IF(Dyno_Data[[#This Row],[AcqCenter]]&gt;0,Dyno_Data[[#This Row],[Time]]-SUMIFS(Dyno_Data[Time],Dyno_Data[Team],Dyno_Data[[#This Row],[Team]],Dyno_Data[RecordType],"StartMatch",Dyno_Data[Match],Dyno_Data[[#This Row],[Match]]),0)*86400),0)</f>
        <v>0</v>
      </c>
    </row>
    <row r="1434" spans="1:35" x14ac:dyDescent="0.3">
      <c r="A1434">
        <v>1431</v>
      </c>
      <c r="B1434" t="s">
        <v>1291</v>
      </c>
      <c r="C1434">
        <v>30</v>
      </c>
      <c r="D1434" s="105">
        <v>45373.587068171299</v>
      </c>
      <c r="E1434" t="s">
        <v>314</v>
      </c>
      <c r="F1434" t="s">
        <v>309</v>
      </c>
      <c r="G1434">
        <v>1</v>
      </c>
      <c r="H1434" t="s">
        <v>310</v>
      </c>
      <c r="I1434">
        <v>0</v>
      </c>
      <c r="J1434">
        <v>0</v>
      </c>
      <c r="K1434">
        <v>0</v>
      </c>
      <c r="L1434" t="s">
        <v>310</v>
      </c>
      <c r="M1434" t="s">
        <v>310</v>
      </c>
      <c r="N1434">
        <v>0</v>
      </c>
      <c r="O1434" t="s">
        <v>1389</v>
      </c>
      <c r="P1434" t="s">
        <v>240</v>
      </c>
      <c r="Q1434" t="s">
        <v>1400</v>
      </c>
      <c r="R1434" t="s">
        <v>310</v>
      </c>
      <c r="S1434">
        <v>9</v>
      </c>
      <c r="T1434" t="s">
        <v>310</v>
      </c>
      <c r="U1434">
        <v>9</v>
      </c>
      <c r="V1434">
        <v>9</v>
      </c>
      <c r="W1434">
        <v>0</v>
      </c>
      <c r="X1434">
        <v>0</v>
      </c>
      <c r="Y1434">
        <v>0</v>
      </c>
      <c r="Z1434">
        <v>0</v>
      </c>
      <c r="AA1434">
        <v>9</v>
      </c>
      <c r="AB1434">
        <v>9</v>
      </c>
      <c r="AC1434" t="s">
        <v>310</v>
      </c>
      <c r="AD1434">
        <v>9</v>
      </c>
      <c r="AE1434" t="s">
        <v>1392</v>
      </c>
      <c r="AF1434">
        <v>20000000</v>
      </c>
      <c r="AG1434" t="s">
        <v>310</v>
      </c>
      <c r="AH1434">
        <f>SUM((MID(Dyno_Data[[#This Row],[Team]],4,5))+(Dyno_Data[[#This Row],[Match]]/100))</f>
        <v>1493.3</v>
      </c>
      <c r="AI1434" s="76">
        <f>ROUND(SUM(IF(Dyno_Data[[#This Row],[AcqCenter]]&gt;0,Dyno_Data[[#This Row],[Time]]-SUMIFS(Dyno_Data[Time],Dyno_Data[Team],Dyno_Data[[#This Row],[Team]],Dyno_Data[RecordType],"StartMatch",Dyno_Data[Match],Dyno_Data[[#This Row],[Match]]),0)*86400),0)</f>
        <v>0</v>
      </c>
    </row>
    <row r="1435" spans="1:35" x14ac:dyDescent="0.3">
      <c r="A1435">
        <v>1433</v>
      </c>
      <c r="B1435" t="s">
        <v>1283</v>
      </c>
      <c r="C1435">
        <v>30</v>
      </c>
      <c r="D1435" s="105">
        <v>45373.587076157404</v>
      </c>
      <c r="E1435" t="s">
        <v>314</v>
      </c>
      <c r="F1435" t="s">
        <v>309</v>
      </c>
      <c r="G1435">
        <v>1</v>
      </c>
      <c r="H1435" t="s">
        <v>310</v>
      </c>
      <c r="I1435">
        <v>0</v>
      </c>
      <c r="J1435">
        <v>0</v>
      </c>
      <c r="K1435">
        <v>0</v>
      </c>
      <c r="L1435" t="s">
        <v>310</v>
      </c>
      <c r="M1435" t="s">
        <v>310</v>
      </c>
      <c r="N1435">
        <v>0</v>
      </c>
      <c r="O1435" t="s">
        <v>1391</v>
      </c>
      <c r="P1435" t="s">
        <v>101</v>
      </c>
      <c r="Q1435" t="s">
        <v>1400</v>
      </c>
      <c r="R1435" t="s">
        <v>310</v>
      </c>
      <c r="S1435">
        <v>9</v>
      </c>
      <c r="T1435" t="s">
        <v>310</v>
      </c>
      <c r="U1435">
        <v>9</v>
      </c>
      <c r="V1435">
        <v>9</v>
      </c>
      <c r="W1435">
        <v>0</v>
      </c>
      <c r="X1435">
        <v>0</v>
      </c>
      <c r="Y1435">
        <v>0</v>
      </c>
      <c r="Z1435">
        <v>0</v>
      </c>
      <c r="AA1435">
        <v>9</v>
      </c>
      <c r="AB1435">
        <v>9</v>
      </c>
      <c r="AC1435" t="s">
        <v>310</v>
      </c>
      <c r="AD1435">
        <v>9</v>
      </c>
      <c r="AE1435" t="s">
        <v>1396</v>
      </c>
      <c r="AF1435">
        <v>0</v>
      </c>
      <c r="AG1435" t="s">
        <v>310</v>
      </c>
      <c r="AH1435">
        <f>SUM((MID(Dyno_Data[[#This Row],[Team]],4,5))+(Dyno_Data[[#This Row],[Match]]/100))</f>
        <v>1601.3</v>
      </c>
      <c r="AI1435" s="76">
        <f>ROUND(SUM(IF(Dyno_Data[[#This Row],[AcqCenter]]&gt;0,Dyno_Data[[#This Row],[Time]]-SUMIFS(Dyno_Data[Time],Dyno_Data[Team],Dyno_Data[[#This Row],[Team]],Dyno_Data[RecordType],"StartMatch",Dyno_Data[Match],Dyno_Data[[#This Row],[Match]]),0)*86400),0)</f>
        <v>0</v>
      </c>
    </row>
    <row r="1436" spans="1:35" x14ac:dyDescent="0.3">
      <c r="A1436">
        <v>1435</v>
      </c>
      <c r="B1436" t="s">
        <v>1309</v>
      </c>
      <c r="C1436">
        <v>30</v>
      </c>
      <c r="D1436" s="105">
        <v>45373.587079016201</v>
      </c>
      <c r="E1436" t="s">
        <v>314</v>
      </c>
      <c r="F1436" t="s">
        <v>309</v>
      </c>
      <c r="G1436">
        <v>0</v>
      </c>
      <c r="H1436" t="s">
        <v>310</v>
      </c>
      <c r="I1436">
        <v>0</v>
      </c>
      <c r="J1436">
        <v>0</v>
      </c>
      <c r="K1436">
        <v>0</v>
      </c>
      <c r="L1436" t="s">
        <v>310</v>
      </c>
      <c r="M1436" t="s">
        <v>310</v>
      </c>
      <c r="N1436">
        <v>0</v>
      </c>
      <c r="O1436" t="s">
        <v>1393</v>
      </c>
      <c r="P1436" t="s">
        <v>101</v>
      </c>
      <c r="Q1436" t="s">
        <v>1399</v>
      </c>
      <c r="R1436" t="s">
        <v>310</v>
      </c>
      <c r="S1436">
        <v>9</v>
      </c>
      <c r="T1436" t="s">
        <v>310</v>
      </c>
      <c r="U1436">
        <v>9</v>
      </c>
      <c r="V1436">
        <v>9</v>
      </c>
      <c r="W1436">
        <v>0</v>
      </c>
      <c r="X1436">
        <v>0</v>
      </c>
      <c r="Y1436">
        <v>0</v>
      </c>
      <c r="Z1436">
        <v>0</v>
      </c>
      <c r="AA1436">
        <v>9</v>
      </c>
      <c r="AB1436">
        <v>9</v>
      </c>
      <c r="AC1436" t="s">
        <v>310</v>
      </c>
      <c r="AD1436">
        <v>9</v>
      </c>
      <c r="AE1436" t="s">
        <v>1394</v>
      </c>
      <c r="AF1436">
        <v>0</v>
      </c>
      <c r="AG1436" t="s">
        <v>310</v>
      </c>
      <c r="AH1436">
        <f>SUM((MID(Dyno_Data[[#This Row],[Team]],4,5))+(Dyno_Data[[#This Row],[Match]]/100))</f>
        <v>3550.3</v>
      </c>
      <c r="AI1436" s="76">
        <f>ROUND(SUM(IF(Dyno_Data[[#This Row],[AcqCenter]]&gt;0,Dyno_Data[[#This Row],[Time]]-SUMIFS(Dyno_Data[Time],Dyno_Data[Team],Dyno_Data[[#This Row],[Team]],Dyno_Data[RecordType],"StartMatch",Dyno_Data[Match],Dyno_Data[[#This Row],[Match]]),0)*86400),0)</f>
        <v>0</v>
      </c>
    </row>
    <row r="1437" spans="1:35" x14ac:dyDescent="0.3">
      <c r="A1437">
        <v>1436</v>
      </c>
      <c r="B1437" t="s">
        <v>362</v>
      </c>
      <c r="C1437">
        <v>30</v>
      </c>
      <c r="D1437" s="105">
        <v>45373.587186111108</v>
      </c>
      <c r="E1437" t="s">
        <v>1403</v>
      </c>
      <c r="F1437" t="s">
        <v>1402</v>
      </c>
      <c r="G1437">
        <v>0</v>
      </c>
      <c r="H1437" t="s">
        <v>310</v>
      </c>
      <c r="I1437">
        <v>0</v>
      </c>
      <c r="J1437">
        <v>0</v>
      </c>
      <c r="K1437">
        <v>0</v>
      </c>
      <c r="L1437" t="s">
        <v>310</v>
      </c>
      <c r="M1437" t="s">
        <v>310</v>
      </c>
      <c r="N1437">
        <v>0</v>
      </c>
      <c r="O1437" t="s">
        <v>319</v>
      </c>
      <c r="P1437" t="s">
        <v>310</v>
      </c>
      <c r="Q1437" t="s">
        <v>310</v>
      </c>
      <c r="R1437" t="s">
        <v>310</v>
      </c>
      <c r="S1437">
        <v>9</v>
      </c>
      <c r="T1437" t="s">
        <v>310</v>
      </c>
      <c r="U1437">
        <v>9</v>
      </c>
      <c r="V1437">
        <v>9</v>
      </c>
      <c r="W1437">
        <v>0</v>
      </c>
      <c r="X1437">
        <v>0</v>
      </c>
      <c r="Y1437">
        <v>0</v>
      </c>
      <c r="Z1437">
        <v>0</v>
      </c>
      <c r="AA1437">
        <v>9</v>
      </c>
      <c r="AB1437">
        <v>9</v>
      </c>
      <c r="AC1437" t="s">
        <v>310</v>
      </c>
      <c r="AD1437">
        <v>9</v>
      </c>
      <c r="AE1437" t="s">
        <v>1388</v>
      </c>
      <c r="AF1437">
        <v>0</v>
      </c>
      <c r="AG1437" t="s">
        <v>248</v>
      </c>
      <c r="AH1437">
        <f>SUM((MID(Dyno_Data[[#This Row],[Team]],4,5))+(Dyno_Data[[#This Row],[Match]]/100))</f>
        <v>250.3</v>
      </c>
      <c r="AI1437" s="76">
        <f>ROUND(SUM(IF(Dyno_Data[[#This Row],[AcqCenter]]&gt;0,Dyno_Data[[#This Row],[Time]]-SUMIFS(Dyno_Data[Time],Dyno_Data[Team],Dyno_Data[[#This Row],[Team]],Dyno_Data[RecordType],"StartMatch",Dyno_Data[Match],Dyno_Data[[#This Row],[Match]]),0)*86400),0)</f>
        <v>0</v>
      </c>
    </row>
    <row r="1438" spans="1:35" x14ac:dyDescent="0.3">
      <c r="A1438">
        <v>1437</v>
      </c>
      <c r="B1438" t="s">
        <v>1309</v>
      </c>
      <c r="C1438">
        <v>30</v>
      </c>
      <c r="D1438" s="105">
        <v>45373.587220173613</v>
      </c>
      <c r="E1438" t="s">
        <v>312</v>
      </c>
      <c r="F1438" t="s">
        <v>1402</v>
      </c>
      <c r="G1438">
        <v>0</v>
      </c>
      <c r="H1438" t="s">
        <v>315</v>
      </c>
      <c r="I1438">
        <v>0</v>
      </c>
      <c r="J1438">
        <v>0</v>
      </c>
      <c r="K1438">
        <v>0</v>
      </c>
      <c r="L1438" t="s">
        <v>241</v>
      </c>
      <c r="M1438" t="s">
        <v>101</v>
      </c>
      <c r="N1438">
        <v>0</v>
      </c>
      <c r="O1438" t="s">
        <v>1393</v>
      </c>
      <c r="P1438" t="s">
        <v>310</v>
      </c>
      <c r="Q1438" t="s">
        <v>310</v>
      </c>
      <c r="R1438" t="s">
        <v>310</v>
      </c>
      <c r="S1438">
        <v>9</v>
      </c>
      <c r="T1438" t="s">
        <v>310</v>
      </c>
      <c r="U1438">
        <v>9</v>
      </c>
      <c r="V1438">
        <v>9</v>
      </c>
      <c r="W1438">
        <v>0</v>
      </c>
      <c r="X1438">
        <v>0</v>
      </c>
      <c r="Y1438">
        <v>0</v>
      </c>
      <c r="Z1438">
        <v>0</v>
      </c>
      <c r="AA1438">
        <v>9</v>
      </c>
      <c r="AB1438">
        <v>9</v>
      </c>
      <c r="AC1438" t="s">
        <v>310</v>
      </c>
      <c r="AD1438">
        <v>9</v>
      </c>
      <c r="AE1438" t="s">
        <v>1394</v>
      </c>
      <c r="AF1438">
        <v>10000000</v>
      </c>
      <c r="AG1438" t="s">
        <v>310</v>
      </c>
      <c r="AH1438">
        <f>SUM((MID(Dyno_Data[[#This Row],[Team]],4,5))+(Dyno_Data[[#This Row],[Match]]/100))</f>
        <v>3550.3</v>
      </c>
      <c r="AI1438" s="76">
        <f>ROUND(SUM(IF(Dyno_Data[[#This Row],[AcqCenter]]&gt;0,Dyno_Data[[#This Row],[Time]]-SUMIFS(Dyno_Data[Time],Dyno_Data[Team],Dyno_Data[[#This Row],[Team]],Dyno_Data[RecordType],"StartMatch",Dyno_Data[Match],Dyno_Data[[#This Row],[Match]]),0)*86400),0)</f>
        <v>0</v>
      </c>
    </row>
    <row r="1439" spans="1:35" x14ac:dyDescent="0.3">
      <c r="A1439">
        <v>1438</v>
      </c>
      <c r="B1439" t="s">
        <v>1315</v>
      </c>
      <c r="C1439">
        <v>30</v>
      </c>
      <c r="D1439" s="105">
        <v>45373.587250543984</v>
      </c>
      <c r="E1439" t="s">
        <v>312</v>
      </c>
      <c r="F1439" t="s">
        <v>1402</v>
      </c>
      <c r="G1439">
        <v>0</v>
      </c>
      <c r="H1439" t="s">
        <v>315</v>
      </c>
      <c r="I1439">
        <v>0</v>
      </c>
      <c r="J1439">
        <v>0</v>
      </c>
      <c r="K1439">
        <v>0</v>
      </c>
      <c r="L1439" t="s">
        <v>241</v>
      </c>
      <c r="M1439" t="s">
        <v>101</v>
      </c>
      <c r="N1439">
        <v>0</v>
      </c>
      <c r="O1439" t="s">
        <v>1395</v>
      </c>
      <c r="P1439" t="s">
        <v>310</v>
      </c>
      <c r="Q1439" t="s">
        <v>310</v>
      </c>
      <c r="R1439" t="s">
        <v>310</v>
      </c>
      <c r="S1439">
        <v>9</v>
      </c>
      <c r="T1439" t="s">
        <v>310</v>
      </c>
      <c r="U1439">
        <v>9</v>
      </c>
      <c r="V1439">
        <v>9</v>
      </c>
      <c r="W1439">
        <v>0</v>
      </c>
      <c r="X1439">
        <v>0</v>
      </c>
      <c r="Y1439">
        <v>0</v>
      </c>
      <c r="Z1439">
        <v>0</v>
      </c>
      <c r="AA1439">
        <v>9</v>
      </c>
      <c r="AB1439">
        <v>9</v>
      </c>
      <c r="AC1439" t="s">
        <v>310</v>
      </c>
      <c r="AD1439">
        <v>9</v>
      </c>
      <c r="AE1439" t="s">
        <v>1390</v>
      </c>
      <c r="AF1439">
        <v>10000000</v>
      </c>
      <c r="AG1439" t="s">
        <v>310</v>
      </c>
      <c r="AH1439">
        <f>SUM((MID(Dyno_Data[[#This Row],[Team]],4,5))+(Dyno_Data[[#This Row],[Match]]/100))</f>
        <v>1511.3</v>
      </c>
      <c r="AI1439" s="76">
        <f>ROUND(SUM(IF(Dyno_Data[[#This Row],[AcqCenter]]&gt;0,Dyno_Data[[#This Row],[Time]]-SUMIFS(Dyno_Data[Time],Dyno_Data[Team],Dyno_Data[[#This Row],[Team]],Dyno_Data[RecordType],"StartMatch",Dyno_Data[Match],Dyno_Data[[#This Row],[Match]]),0)*86400),0)</f>
        <v>0</v>
      </c>
    </row>
    <row r="1440" spans="1:35" x14ac:dyDescent="0.3">
      <c r="A1440">
        <v>1439</v>
      </c>
      <c r="B1440" t="s">
        <v>1283</v>
      </c>
      <c r="C1440">
        <v>30</v>
      </c>
      <c r="D1440" s="105">
        <v>45373.587314201388</v>
      </c>
      <c r="E1440" t="s">
        <v>312</v>
      </c>
      <c r="F1440" t="s">
        <v>1402</v>
      </c>
      <c r="G1440">
        <v>0</v>
      </c>
      <c r="H1440" t="s">
        <v>1397</v>
      </c>
      <c r="I1440">
        <v>0</v>
      </c>
      <c r="J1440">
        <v>0</v>
      </c>
      <c r="K1440">
        <v>0</v>
      </c>
      <c r="L1440" t="s">
        <v>241</v>
      </c>
      <c r="M1440" t="s">
        <v>1398</v>
      </c>
      <c r="N1440">
        <v>1</v>
      </c>
      <c r="O1440" t="s">
        <v>1391</v>
      </c>
      <c r="P1440" t="s">
        <v>310</v>
      </c>
      <c r="Q1440" t="s">
        <v>310</v>
      </c>
      <c r="R1440" t="s">
        <v>310</v>
      </c>
      <c r="S1440">
        <v>9</v>
      </c>
      <c r="T1440" t="s">
        <v>310</v>
      </c>
      <c r="U1440">
        <v>9</v>
      </c>
      <c r="V1440">
        <v>9</v>
      </c>
      <c r="W1440">
        <v>0</v>
      </c>
      <c r="X1440">
        <v>0</v>
      </c>
      <c r="Y1440">
        <v>0</v>
      </c>
      <c r="Z1440">
        <v>0</v>
      </c>
      <c r="AA1440">
        <v>9</v>
      </c>
      <c r="AB1440">
        <v>9</v>
      </c>
      <c r="AC1440" t="s">
        <v>310</v>
      </c>
      <c r="AD1440">
        <v>9</v>
      </c>
      <c r="AE1440" t="s">
        <v>1396</v>
      </c>
      <c r="AF1440">
        <v>0</v>
      </c>
      <c r="AG1440" t="s">
        <v>310</v>
      </c>
      <c r="AH1440">
        <f>SUM((MID(Dyno_Data[[#This Row],[Team]],4,5))+(Dyno_Data[[#This Row],[Match]]/100))</f>
        <v>1601.3</v>
      </c>
      <c r="AI1440" s="76">
        <f>ROUND(SUM(IF(Dyno_Data[[#This Row],[AcqCenter]]&gt;0,Dyno_Data[[#This Row],[Time]]-SUMIFS(Dyno_Data[Time],Dyno_Data[Team],Dyno_Data[[#This Row],[Team]],Dyno_Data[RecordType],"StartMatch",Dyno_Data[Match],Dyno_Data[[#This Row],[Match]]),0)*86400),0)</f>
        <v>0</v>
      </c>
    </row>
    <row r="1441" spans="1:35" x14ac:dyDescent="0.3">
      <c r="A1441">
        <v>1440</v>
      </c>
      <c r="B1441" t="s">
        <v>366</v>
      </c>
      <c r="C1441">
        <v>30</v>
      </c>
      <c r="D1441" s="105">
        <v>45373.587327893518</v>
      </c>
      <c r="E1441" t="s">
        <v>312</v>
      </c>
      <c r="F1441" t="s">
        <v>1402</v>
      </c>
      <c r="G1441">
        <v>0</v>
      </c>
      <c r="H1441" t="s">
        <v>315</v>
      </c>
      <c r="I1441">
        <v>0</v>
      </c>
      <c r="J1441">
        <v>0</v>
      </c>
      <c r="K1441">
        <v>0</v>
      </c>
      <c r="L1441" t="s">
        <v>241</v>
      </c>
      <c r="M1441" t="s">
        <v>1398</v>
      </c>
      <c r="N1441">
        <v>0</v>
      </c>
      <c r="O1441" t="s">
        <v>311</v>
      </c>
      <c r="P1441" t="s">
        <v>310</v>
      </c>
      <c r="Q1441" t="s">
        <v>310</v>
      </c>
      <c r="R1441" t="s">
        <v>310</v>
      </c>
      <c r="S1441">
        <v>9</v>
      </c>
      <c r="T1441" t="s">
        <v>310</v>
      </c>
      <c r="U1441">
        <v>9</v>
      </c>
      <c r="V1441">
        <v>9</v>
      </c>
      <c r="W1441">
        <v>0</v>
      </c>
      <c r="X1441">
        <v>0</v>
      </c>
      <c r="Y1441">
        <v>0</v>
      </c>
      <c r="Z1441">
        <v>0</v>
      </c>
      <c r="AA1441">
        <v>9</v>
      </c>
      <c r="AB1441">
        <v>9</v>
      </c>
      <c r="AC1441" t="s">
        <v>310</v>
      </c>
      <c r="AD1441">
        <v>9</v>
      </c>
      <c r="AE1441" t="s">
        <v>1387</v>
      </c>
      <c r="AF1441">
        <v>10000000</v>
      </c>
      <c r="AG1441" t="s">
        <v>310</v>
      </c>
      <c r="AH1441">
        <f>SUM((MID(Dyno_Data[[#This Row],[Team]],4,5))+(Dyno_Data[[#This Row],[Match]]/100))</f>
        <v>4122.3</v>
      </c>
      <c r="AI1441" s="76">
        <f>ROUND(SUM(IF(Dyno_Data[[#This Row],[AcqCenter]]&gt;0,Dyno_Data[[#This Row],[Time]]-SUMIFS(Dyno_Data[Time],Dyno_Data[Team],Dyno_Data[[#This Row],[Team]],Dyno_Data[RecordType],"StartMatch",Dyno_Data[Match],Dyno_Data[[#This Row],[Match]]),0)*86400),0)</f>
        <v>0</v>
      </c>
    </row>
    <row r="1442" spans="1:35" x14ac:dyDescent="0.3">
      <c r="A1442">
        <v>1441</v>
      </c>
      <c r="B1442" t="s">
        <v>1309</v>
      </c>
      <c r="C1442">
        <v>30</v>
      </c>
      <c r="D1442" s="105">
        <v>45373.587338773148</v>
      </c>
      <c r="E1442" t="s">
        <v>312</v>
      </c>
      <c r="F1442" t="s">
        <v>1402</v>
      </c>
      <c r="G1442">
        <v>0</v>
      </c>
      <c r="H1442" t="s">
        <v>315</v>
      </c>
      <c r="I1442">
        <v>0</v>
      </c>
      <c r="J1442">
        <v>0</v>
      </c>
      <c r="K1442">
        <v>0</v>
      </c>
      <c r="L1442" t="s">
        <v>240</v>
      </c>
      <c r="M1442" t="s">
        <v>1398</v>
      </c>
      <c r="N1442">
        <v>0</v>
      </c>
      <c r="O1442" t="s">
        <v>1393</v>
      </c>
      <c r="P1442" t="s">
        <v>310</v>
      </c>
      <c r="Q1442" t="s">
        <v>310</v>
      </c>
      <c r="R1442" t="s">
        <v>310</v>
      </c>
      <c r="S1442">
        <v>9</v>
      </c>
      <c r="T1442" t="s">
        <v>310</v>
      </c>
      <c r="U1442">
        <v>9</v>
      </c>
      <c r="V1442">
        <v>9</v>
      </c>
      <c r="W1442">
        <v>0</v>
      </c>
      <c r="X1442">
        <v>0</v>
      </c>
      <c r="Y1442">
        <v>0</v>
      </c>
      <c r="Z1442">
        <v>0</v>
      </c>
      <c r="AA1442">
        <v>9</v>
      </c>
      <c r="AB1442">
        <v>9</v>
      </c>
      <c r="AC1442" t="s">
        <v>310</v>
      </c>
      <c r="AD1442">
        <v>9</v>
      </c>
      <c r="AE1442" t="s">
        <v>1394</v>
      </c>
      <c r="AF1442">
        <v>20000000</v>
      </c>
      <c r="AG1442" t="s">
        <v>310</v>
      </c>
      <c r="AH1442">
        <f>SUM((MID(Dyno_Data[[#This Row],[Team]],4,5))+(Dyno_Data[[#This Row],[Match]]/100))</f>
        <v>3550.3</v>
      </c>
      <c r="AI1442" s="76">
        <f>ROUND(SUM(IF(Dyno_Data[[#This Row],[AcqCenter]]&gt;0,Dyno_Data[[#This Row],[Time]]-SUMIFS(Dyno_Data[Time],Dyno_Data[Team],Dyno_Data[[#This Row],[Team]],Dyno_Data[RecordType],"StartMatch",Dyno_Data[Match],Dyno_Data[[#This Row],[Match]]),0)*86400),0)</f>
        <v>0</v>
      </c>
    </row>
    <row r="1443" spans="1:35" x14ac:dyDescent="0.3">
      <c r="A1443">
        <v>1442</v>
      </c>
      <c r="B1443" t="s">
        <v>366</v>
      </c>
      <c r="C1443">
        <v>30</v>
      </c>
      <c r="D1443" s="105">
        <v>45373.587377743053</v>
      </c>
      <c r="E1443" t="s">
        <v>312</v>
      </c>
      <c r="F1443" t="s">
        <v>1402</v>
      </c>
      <c r="G1443">
        <v>0</v>
      </c>
      <c r="H1443" t="s">
        <v>315</v>
      </c>
      <c r="I1443">
        <v>0</v>
      </c>
      <c r="J1443">
        <v>0</v>
      </c>
      <c r="K1443">
        <v>0</v>
      </c>
      <c r="L1443" t="s">
        <v>240</v>
      </c>
      <c r="M1443" t="s">
        <v>1398</v>
      </c>
      <c r="N1443">
        <v>0</v>
      </c>
      <c r="O1443" t="s">
        <v>311</v>
      </c>
      <c r="P1443" t="s">
        <v>310</v>
      </c>
      <c r="Q1443" t="s">
        <v>310</v>
      </c>
      <c r="R1443" t="s">
        <v>310</v>
      </c>
      <c r="S1443">
        <v>9</v>
      </c>
      <c r="T1443" t="s">
        <v>310</v>
      </c>
      <c r="U1443">
        <v>9</v>
      </c>
      <c r="V1443">
        <v>9</v>
      </c>
      <c r="W1443">
        <v>0</v>
      </c>
      <c r="X1443">
        <v>0</v>
      </c>
      <c r="Y1443">
        <v>0</v>
      </c>
      <c r="Z1443">
        <v>0</v>
      </c>
      <c r="AA1443">
        <v>9</v>
      </c>
      <c r="AB1443">
        <v>9</v>
      </c>
      <c r="AC1443" t="s">
        <v>310</v>
      </c>
      <c r="AD1443">
        <v>9</v>
      </c>
      <c r="AE1443" t="s">
        <v>1387</v>
      </c>
      <c r="AF1443">
        <v>20000000</v>
      </c>
      <c r="AG1443" t="s">
        <v>310</v>
      </c>
      <c r="AH1443">
        <f>SUM((MID(Dyno_Data[[#This Row],[Team]],4,5))+(Dyno_Data[[#This Row],[Match]]/100))</f>
        <v>4122.3</v>
      </c>
      <c r="AI1443" s="76">
        <f>ROUND(SUM(IF(Dyno_Data[[#This Row],[AcqCenter]]&gt;0,Dyno_Data[[#This Row],[Time]]-SUMIFS(Dyno_Data[Time],Dyno_Data[Team],Dyno_Data[[#This Row],[Team]],Dyno_Data[RecordType],"StartMatch",Dyno_Data[Match],Dyno_Data[[#This Row],[Match]]),0)*86400),0)</f>
        <v>0</v>
      </c>
    </row>
    <row r="1444" spans="1:35" x14ac:dyDescent="0.3">
      <c r="A1444">
        <v>1443</v>
      </c>
      <c r="B1444" t="s">
        <v>1315</v>
      </c>
      <c r="C1444">
        <v>30</v>
      </c>
      <c r="D1444" s="105">
        <v>45373.587405358798</v>
      </c>
      <c r="E1444" t="s">
        <v>312</v>
      </c>
      <c r="F1444" t="s">
        <v>1402</v>
      </c>
      <c r="G1444">
        <v>0</v>
      </c>
      <c r="H1444" t="s">
        <v>315</v>
      </c>
      <c r="I1444">
        <v>0</v>
      </c>
      <c r="J1444">
        <v>0</v>
      </c>
      <c r="K1444">
        <v>0</v>
      </c>
      <c r="L1444" t="s">
        <v>241</v>
      </c>
      <c r="M1444" t="s">
        <v>101</v>
      </c>
      <c r="N1444">
        <v>1</v>
      </c>
      <c r="O1444" t="s">
        <v>1395</v>
      </c>
      <c r="P1444" t="s">
        <v>310</v>
      </c>
      <c r="Q1444" t="s">
        <v>310</v>
      </c>
      <c r="R1444" t="s">
        <v>310</v>
      </c>
      <c r="S1444">
        <v>9</v>
      </c>
      <c r="T1444" t="s">
        <v>310</v>
      </c>
      <c r="U1444">
        <v>9</v>
      </c>
      <c r="V1444">
        <v>9</v>
      </c>
      <c r="W1444">
        <v>0</v>
      </c>
      <c r="X1444">
        <v>0</v>
      </c>
      <c r="Y1444">
        <v>0</v>
      </c>
      <c r="Z1444">
        <v>0</v>
      </c>
      <c r="AA1444">
        <v>9</v>
      </c>
      <c r="AB1444">
        <v>9</v>
      </c>
      <c r="AC1444" t="s">
        <v>310</v>
      </c>
      <c r="AD1444">
        <v>9</v>
      </c>
      <c r="AE1444" t="s">
        <v>1390</v>
      </c>
      <c r="AF1444">
        <v>20000000</v>
      </c>
      <c r="AG1444" t="s">
        <v>310</v>
      </c>
      <c r="AH1444">
        <f>SUM((MID(Dyno_Data[[#This Row],[Team]],4,5))+(Dyno_Data[[#This Row],[Match]]/100))</f>
        <v>1511.3</v>
      </c>
      <c r="AI1444" s="76">
        <f>ROUND(SUM(IF(Dyno_Data[[#This Row],[AcqCenter]]&gt;0,Dyno_Data[[#This Row],[Time]]-SUMIFS(Dyno_Data[Time],Dyno_Data[Team],Dyno_Data[[#This Row],[Team]],Dyno_Data[RecordType],"StartMatch",Dyno_Data[Match],Dyno_Data[[#This Row],[Match]]),0)*86400),0)</f>
        <v>0</v>
      </c>
    </row>
    <row r="1445" spans="1:35" x14ac:dyDescent="0.3">
      <c r="A1445">
        <v>1444</v>
      </c>
      <c r="B1445" t="s">
        <v>1291</v>
      </c>
      <c r="C1445">
        <v>30</v>
      </c>
      <c r="D1445" s="105">
        <v>45373.587447418984</v>
      </c>
      <c r="E1445" t="s">
        <v>312</v>
      </c>
      <c r="F1445" t="s">
        <v>1402</v>
      </c>
      <c r="G1445">
        <v>0</v>
      </c>
      <c r="H1445" t="s">
        <v>315</v>
      </c>
      <c r="I1445">
        <v>0</v>
      </c>
      <c r="J1445">
        <v>0</v>
      </c>
      <c r="K1445">
        <v>0</v>
      </c>
      <c r="L1445" t="s">
        <v>241</v>
      </c>
      <c r="M1445" t="s">
        <v>1398</v>
      </c>
      <c r="N1445">
        <v>1</v>
      </c>
      <c r="O1445" t="s">
        <v>1389</v>
      </c>
      <c r="P1445" t="s">
        <v>310</v>
      </c>
      <c r="Q1445" t="s">
        <v>310</v>
      </c>
      <c r="R1445" t="s">
        <v>310</v>
      </c>
      <c r="S1445">
        <v>9</v>
      </c>
      <c r="T1445" t="s">
        <v>310</v>
      </c>
      <c r="U1445">
        <v>9</v>
      </c>
      <c r="V1445">
        <v>9</v>
      </c>
      <c r="W1445">
        <v>0</v>
      </c>
      <c r="X1445">
        <v>0</v>
      </c>
      <c r="Y1445">
        <v>0</v>
      </c>
      <c r="Z1445">
        <v>0</v>
      </c>
      <c r="AA1445">
        <v>9</v>
      </c>
      <c r="AB1445">
        <v>9</v>
      </c>
      <c r="AC1445" t="s">
        <v>310</v>
      </c>
      <c r="AD1445">
        <v>9</v>
      </c>
      <c r="AE1445" t="s">
        <v>1392</v>
      </c>
      <c r="AF1445">
        <v>30000000</v>
      </c>
      <c r="AG1445" t="s">
        <v>310</v>
      </c>
      <c r="AH1445">
        <f>SUM((MID(Dyno_Data[[#This Row],[Team]],4,5))+(Dyno_Data[[#This Row],[Match]]/100))</f>
        <v>1493.3</v>
      </c>
      <c r="AI1445" s="76">
        <f>ROUND(SUM(IF(Dyno_Data[[#This Row],[AcqCenter]]&gt;0,Dyno_Data[[#This Row],[Time]]-SUMIFS(Dyno_Data[Time],Dyno_Data[Team],Dyno_Data[[#This Row],[Team]],Dyno_Data[RecordType],"StartMatch",Dyno_Data[Match],Dyno_Data[[#This Row],[Match]]),0)*86400),0)</f>
        <v>0</v>
      </c>
    </row>
    <row r="1446" spans="1:35" x14ac:dyDescent="0.3">
      <c r="A1446">
        <v>1445</v>
      </c>
      <c r="B1446" t="s">
        <v>366</v>
      </c>
      <c r="C1446">
        <v>30</v>
      </c>
      <c r="D1446" s="105">
        <v>45373.587455474539</v>
      </c>
      <c r="E1446" t="s">
        <v>312</v>
      </c>
      <c r="F1446" t="s">
        <v>1402</v>
      </c>
      <c r="G1446">
        <v>0</v>
      </c>
      <c r="H1446" t="s">
        <v>315</v>
      </c>
      <c r="I1446">
        <v>0</v>
      </c>
      <c r="J1446">
        <v>0</v>
      </c>
      <c r="K1446">
        <v>0</v>
      </c>
      <c r="L1446" t="s">
        <v>240</v>
      </c>
      <c r="M1446" t="s">
        <v>1398</v>
      </c>
      <c r="N1446">
        <v>0</v>
      </c>
      <c r="O1446" t="s">
        <v>311</v>
      </c>
      <c r="P1446" t="s">
        <v>310</v>
      </c>
      <c r="Q1446" t="s">
        <v>310</v>
      </c>
      <c r="R1446" t="s">
        <v>310</v>
      </c>
      <c r="S1446">
        <v>9</v>
      </c>
      <c r="T1446" t="s">
        <v>310</v>
      </c>
      <c r="U1446">
        <v>9</v>
      </c>
      <c r="V1446">
        <v>9</v>
      </c>
      <c r="W1446">
        <v>0</v>
      </c>
      <c r="X1446">
        <v>0</v>
      </c>
      <c r="Y1446">
        <v>0</v>
      </c>
      <c r="Z1446">
        <v>0</v>
      </c>
      <c r="AA1446">
        <v>9</v>
      </c>
      <c r="AB1446">
        <v>9</v>
      </c>
      <c r="AC1446" t="s">
        <v>310</v>
      </c>
      <c r="AD1446">
        <v>9</v>
      </c>
      <c r="AE1446" t="s">
        <v>1387</v>
      </c>
      <c r="AF1446">
        <v>30000000</v>
      </c>
      <c r="AG1446" t="s">
        <v>310</v>
      </c>
      <c r="AH1446">
        <f>SUM((MID(Dyno_Data[[#This Row],[Team]],4,5))+(Dyno_Data[[#This Row],[Match]]/100))</f>
        <v>4122.3</v>
      </c>
      <c r="AI1446" s="76">
        <f>ROUND(SUM(IF(Dyno_Data[[#This Row],[AcqCenter]]&gt;0,Dyno_Data[[#This Row],[Time]]-SUMIFS(Dyno_Data[Time],Dyno_Data[Team],Dyno_Data[[#This Row],[Team]],Dyno_Data[RecordType],"StartMatch",Dyno_Data[Match],Dyno_Data[[#This Row],[Match]]),0)*86400),0)</f>
        <v>0</v>
      </c>
    </row>
    <row r="1447" spans="1:35" x14ac:dyDescent="0.3">
      <c r="A1447">
        <v>1446</v>
      </c>
      <c r="B1447" t="s">
        <v>1309</v>
      </c>
      <c r="C1447">
        <v>30</v>
      </c>
      <c r="D1447" s="105">
        <v>45373.587533530095</v>
      </c>
      <c r="E1447" t="s">
        <v>312</v>
      </c>
      <c r="F1447" t="s">
        <v>1402</v>
      </c>
      <c r="G1447">
        <v>0</v>
      </c>
      <c r="H1447" t="s">
        <v>315</v>
      </c>
      <c r="I1447">
        <v>0</v>
      </c>
      <c r="J1447">
        <v>0</v>
      </c>
      <c r="K1447">
        <v>0</v>
      </c>
      <c r="L1447" t="s">
        <v>240</v>
      </c>
      <c r="M1447" t="s">
        <v>1398</v>
      </c>
      <c r="N1447">
        <v>0</v>
      </c>
      <c r="O1447" t="s">
        <v>1393</v>
      </c>
      <c r="P1447" t="s">
        <v>310</v>
      </c>
      <c r="Q1447" t="s">
        <v>310</v>
      </c>
      <c r="R1447" t="s">
        <v>310</v>
      </c>
      <c r="S1447">
        <v>9</v>
      </c>
      <c r="T1447" t="s">
        <v>310</v>
      </c>
      <c r="U1447">
        <v>9</v>
      </c>
      <c r="V1447">
        <v>9</v>
      </c>
      <c r="W1447">
        <v>0</v>
      </c>
      <c r="X1447">
        <v>0</v>
      </c>
      <c r="Y1447">
        <v>0</v>
      </c>
      <c r="Z1447">
        <v>0</v>
      </c>
      <c r="AA1447">
        <v>9</v>
      </c>
      <c r="AB1447">
        <v>9</v>
      </c>
      <c r="AC1447" t="s">
        <v>310</v>
      </c>
      <c r="AD1447">
        <v>9</v>
      </c>
      <c r="AE1447" t="s">
        <v>1394</v>
      </c>
      <c r="AF1447">
        <v>30000000</v>
      </c>
      <c r="AG1447" t="s">
        <v>310</v>
      </c>
      <c r="AH1447">
        <f>SUM((MID(Dyno_Data[[#This Row],[Team]],4,5))+(Dyno_Data[[#This Row],[Match]]/100))</f>
        <v>3550.3</v>
      </c>
      <c r="AI1447" s="76">
        <f>ROUND(SUM(IF(Dyno_Data[[#This Row],[AcqCenter]]&gt;0,Dyno_Data[[#This Row],[Time]]-SUMIFS(Dyno_Data[Time],Dyno_Data[Team],Dyno_Data[[#This Row],[Team]],Dyno_Data[RecordType],"StartMatch",Dyno_Data[Match],Dyno_Data[[#This Row],[Match]]),0)*86400),0)</f>
        <v>0</v>
      </c>
    </row>
    <row r="1448" spans="1:35" x14ac:dyDescent="0.3">
      <c r="A1448">
        <v>1447</v>
      </c>
      <c r="B1448" t="s">
        <v>1315</v>
      </c>
      <c r="C1448">
        <v>30</v>
      </c>
      <c r="D1448" s="105">
        <v>45373.58758846065</v>
      </c>
      <c r="E1448" t="s">
        <v>312</v>
      </c>
      <c r="F1448" t="s">
        <v>1402</v>
      </c>
      <c r="G1448">
        <v>0</v>
      </c>
      <c r="H1448" t="s">
        <v>315</v>
      </c>
      <c r="I1448">
        <v>0</v>
      </c>
      <c r="J1448">
        <v>0</v>
      </c>
      <c r="K1448">
        <v>0</v>
      </c>
      <c r="L1448" t="s">
        <v>241</v>
      </c>
      <c r="M1448" t="s">
        <v>101</v>
      </c>
      <c r="N1448">
        <v>0</v>
      </c>
      <c r="O1448" t="s">
        <v>1395</v>
      </c>
      <c r="P1448" t="s">
        <v>310</v>
      </c>
      <c r="Q1448" t="s">
        <v>310</v>
      </c>
      <c r="R1448" t="s">
        <v>310</v>
      </c>
      <c r="S1448">
        <v>9</v>
      </c>
      <c r="T1448" t="s">
        <v>310</v>
      </c>
      <c r="U1448">
        <v>9</v>
      </c>
      <c r="V1448">
        <v>9</v>
      </c>
      <c r="W1448">
        <v>0</v>
      </c>
      <c r="X1448">
        <v>0</v>
      </c>
      <c r="Y1448">
        <v>0</v>
      </c>
      <c r="Z1448">
        <v>0</v>
      </c>
      <c r="AA1448">
        <v>9</v>
      </c>
      <c r="AB1448">
        <v>9</v>
      </c>
      <c r="AC1448" t="s">
        <v>310</v>
      </c>
      <c r="AD1448">
        <v>9</v>
      </c>
      <c r="AE1448" t="s">
        <v>1390</v>
      </c>
      <c r="AF1448">
        <v>30000000</v>
      </c>
      <c r="AG1448" t="s">
        <v>310</v>
      </c>
      <c r="AH1448">
        <f>SUM((MID(Dyno_Data[[#This Row],[Team]],4,5))+(Dyno_Data[[#This Row],[Match]]/100))</f>
        <v>1511.3</v>
      </c>
      <c r="AI1448" s="76">
        <f>ROUND(SUM(IF(Dyno_Data[[#This Row],[AcqCenter]]&gt;0,Dyno_Data[[#This Row],[Time]]-SUMIFS(Dyno_Data[Time],Dyno_Data[Team],Dyno_Data[[#This Row],[Team]],Dyno_Data[RecordType],"StartMatch",Dyno_Data[Match],Dyno_Data[[#This Row],[Match]]),0)*86400),0)</f>
        <v>0</v>
      </c>
    </row>
    <row r="1449" spans="1:35" x14ac:dyDescent="0.3">
      <c r="A1449">
        <v>1448</v>
      </c>
      <c r="B1449" t="s">
        <v>1291</v>
      </c>
      <c r="C1449">
        <v>30</v>
      </c>
      <c r="D1449" s="105">
        <v>45373.587661689817</v>
      </c>
      <c r="E1449" t="s">
        <v>312</v>
      </c>
      <c r="F1449" t="s">
        <v>1402</v>
      </c>
      <c r="G1449">
        <v>0</v>
      </c>
      <c r="H1449" t="s">
        <v>315</v>
      </c>
      <c r="I1449">
        <v>0</v>
      </c>
      <c r="J1449">
        <v>0</v>
      </c>
      <c r="K1449">
        <v>0</v>
      </c>
      <c r="L1449" t="s">
        <v>240</v>
      </c>
      <c r="M1449" t="s">
        <v>1398</v>
      </c>
      <c r="N1449">
        <v>0</v>
      </c>
      <c r="O1449" t="s">
        <v>1389</v>
      </c>
      <c r="P1449" t="s">
        <v>310</v>
      </c>
      <c r="Q1449" t="s">
        <v>310</v>
      </c>
      <c r="R1449" t="s">
        <v>310</v>
      </c>
      <c r="S1449">
        <v>9</v>
      </c>
      <c r="T1449" t="s">
        <v>310</v>
      </c>
      <c r="U1449">
        <v>9</v>
      </c>
      <c r="V1449">
        <v>9</v>
      </c>
      <c r="W1449">
        <v>0</v>
      </c>
      <c r="X1449">
        <v>0</v>
      </c>
      <c r="Y1449">
        <v>0</v>
      </c>
      <c r="Z1449">
        <v>0</v>
      </c>
      <c r="AA1449">
        <v>9</v>
      </c>
      <c r="AB1449">
        <v>9</v>
      </c>
      <c r="AC1449" t="s">
        <v>310</v>
      </c>
      <c r="AD1449">
        <v>9</v>
      </c>
      <c r="AE1449" t="s">
        <v>1392</v>
      </c>
      <c r="AF1449">
        <v>40000000</v>
      </c>
      <c r="AG1449" t="s">
        <v>310</v>
      </c>
      <c r="AH1449">
        <f>SUM((MID(Dyno_Data[[#This Row],[Team]],4,5))+(Dyno_Data[[#This Row],[Match]]/100))</f>
        <v>1493.3</v>
      </c>
      <c r="AI1449" s="76">
        <f>ROUND(SUM(IF(Dyno_Data[[#This Row],[AcqCenter]]&gt;0,Dyno_Data[[#This Row],[Time]]-SUMIFS(Dyno_Data[Time],Dyno_Data[Team],Dyno_Data[[#This Row],[Team]],Dyno_Data[RecordType],"StartMatch",Dyno_Data[Match],Dyno_Data[[#This Row],[Match]]),0)*86400),0)</f>
        <v>0</v>
      </c>
    </row>
    <row r="1450" spans="1:35" x14ac:dyDescent="0.3">
      <c r="A1450">
        <v>1449</v>
      </c>
      <c r="B1450" t="s">
        <v>1315</v>
      </c>
      <c r="C1450">
        <v>30</v>
      </c>
      <c r="D1450" s="105">
        <v>45373.587719560186</v>
      </c>
      <c r="E1450" t="s">
        <v>312</v>
      </c>
      <c r="F1450" t="s">
        <v>1402</v>
      </c>
      <c r="G1450">
        <v>0</v>
      </c>
      <c r="H1450" t="s">
        <v>315</v>
      </c>
      <c r="I1450">
        <v>0</v>
      </c>
      <c r="J1450">
        <v>0</v>
      </c>
      <c r="K1450">
        <v>0</v>
      </c>
      <c r="L1450" t="s">
        <v>241</v>
      </c>
      <c r="M1450" t="s">
        <v>101</v>
      </c>
      <c r="N1450">
        <v>1</v>
      </c>
      <c r="O1450" t="s">
        <v>1395</v>
      </c>
      <c r="P1450" t="s">
        <v>310</v>
      </c>
      <c r="Q1450" t="s">
        <v>310</v>
      </c>
      <c r="R1450" t="s">
        <v>310</v>
      </c>
      <c r="S1450">
        <v>9</v>
      </c>
      <c r="T1450" t="s">
        <v>310</v>
      </c>
      <c r="U1450">
        <v>9</v>
      </c>
      <c r="V1450">
        <v>9</v>
      </c>
      <c r="W1450">
        <v>0</v>
      </c>
      <c r="X1450">
        <v>0</v>
      </c>
      <c r="Y1450">
        <v>0</v>
      </c>
      <c r="Z1450">
        <v>0</v>
      </c>
      <c r="AA1450">
        <v>9</v>
      </c>
      <c r="AB1450">
        <v>9</v>
      </c>
      <c r="AC1450" t="s">
        <v>310</v>
      </c>
      <c r="AD1450">
        <v>9</v>
      </c>
      <c r="AE1450" t="s">
        <v>1390</v>
      </c>
      <c r="AF1450">
        <v>40000000</v>
      </c>
      <c r="AG1450" t="s">
        <v>310</v>
      </c>
      <c r="AH1450">
        <f>SUM((MID(Dyno_Data[[#This Row],[Team]],4,5))+(Dyno_Data[[#This Row],[Match]]/100))</f>
        <v>1511.3</v>
      </c>
      <c r="AI1450" s="76">
        <f>ROUND(SUM(IF(Dyno_Data[[#This Row],[AcqCenter]]&gt;0,Dyno_Data[[#This Row],[Time]]-SUMIFS(Dyno_Data[Time],Dyno_Data[Team],Dyno_Data[[#This Row],[Team]],Dyno_Data[RecordType],"StartMatch",Dyno_Data[Match],Dyno_Data[[#This Row],[Match]]),0)*86400),0)</f>
        <v>0</v>
      </c>
    </row>
    <row r="1451" spans="1:35" x14ac:dyDescent="0.3">
      <c r="A1451">
        <v>1450</v>
      </c>
      <c r="B1451" t="s">
        <v>1291</v>
      </c>
      <c r="C1451">
        <v>30</v>
      </c>
      <c r="D1451" s="105">
        <v>45373.587765127311</v>
      </c>
      <c r="E1451" t="s">
        <v>312</v>
      </c>
      <c r="F1451" t="s">
        <v>1402</v>
      </c>
      <c r="G1451">
        <v>0</v>
      </c>
      <c r="H1451" t="s">
        <v>315</v>
      </c>
      <c r="I1451">
        <v>0</v>
      </c>
      <c r="J1451">
        <v>0</v>
      </c>
      <c r="K1451">
        <v>0</v>
      </c>
      <c r="L1451" t="s">
        <v>240</v>
      </c>
      <c r="M1451" t="s">
        <v>1398</v>
      </c>
      <c r="N1451">
        <v>1</v>
      </c>
      <c r="O1451" t="s">
        <v>1389</v>
      </c>
      <c r="P1451" t="s">
        <v>310</v>
      </c>
      <c r="Q1451" t="s">
        <v>310</v>
      </c>
      <c r="R1451" t="s">
        <v>310</v>
      </c>
      <c r="S1451">
        <v>9</v>
      </c>
      <c r="T1451" t="s">
        <v>310</v>
      </c>
      <c r="U1451">
        <v>9</v>
      </c>
      <c r="V1451">
        <v>9</v>
      </c>
      <c r="W1451">
        <v>0</v>
      </c>
      <c r="X1451">
        <v>0</v>
      </c>
      <c r="Y1451">
        <v>0</v>
      </c>
      <c r="Z1451">
        <v>0</v>
      </c>
      <c r="AA1451">
        <v>9</v>
      </c>
      <c r="AB1451">
        <v>9</v>
      </c>
      <c r="AC1451" t="s">
        <v>310</v>
      </c>
      <c r="AD1451">
        <v>9</v>
      </c>
      <c r="AE1451" t="s">
        <v>1392</v>
      </c>
      <c r="AF1451">
        <v>50000000</v>
      </c>
      <c r="AG1451" t="s">
        <v>310</v>
      </c>
      <c r="AH1451">
        <f>SUM((MID(Dyno_Data[[#This Row],[Team]],4,5))+(Dyno_Data[[#This Row],[Match]]/100))</f>
        <v>1493.3</v>
      </c>
      <c r="AI1451" s="76">
        <f>ROUND(SUM(IF(Dyno_Data[[#This Row],[AcqCenter]]&gt;0,Dyno_Data[[#This Row],[Time]]-SUMIFS(Dyno_Data[Time],Dyno_Data[Team],Dyno_Data[[#This Row],[Team]],Dyno_Data[RecordType],"StartMatch",Dyno_Data[Match],Dyno_Data[[#This Row],[Match]]),0)*86400),0)</f>
        <v>0</v>
      </c>
    </row>
    <row r="1452" spans="1:35" x14ac:dyDescent="0.3">
      <c r="A1452">
        <v>1451</v>
      </c>
      <c r="B1452" t="s">
        <v>366</v>
      </c>
      <c r="C1452">
        <v>30</v>
      </c>
      <c r="D1452" s="105">
        <v>45373.587839120373</v>
      </c>
      <c r="E1452" t="s">
        <v>1403</v>
      </c>
      <c r="F1452" t="s">
        <v>1402</v>
      </c>
      <c r="G1452">
        <v>0</v>
      </c>
      <c r="H1452" t="s">
        <v>310</v>
      </c>
      <c r="I1452">
        <v>0</v>
      </c>
      <c r="J1452">
        <v>0</v>
      </c>
      <c r="K1452">
        <v>0</v>
      </c>
      <c r="L1452" t="s">
        <v>310</v>
      </c>
      <c r="M1452" t="s">
        <v>310</v>
      </c>
      <c r="N1452">
        <v>0</v>
      </c>
      <c r="O1452" t="s">
        <v>311</v>
      </c>
      <c r="P1452" t="s">
        <v>310</v>
      </c>
      <c r="Q1452" t="s">
        <v>310</v>
      </c>
      <c r="R1452" t="s">
        <v>310</v>
      </c>
      <c r="S1452">
        <v>9</v>
      </c>
      <c r="T1452" t="s">
        <v>310</v>
      </c>
      <c r="U1452">
        <v>9</v>
      </c>
      <c r="V1452">
        <v>9</v>
      </c>
      <c r="W1452">
        <v>0</v>
      </c>
      <c r="X1452">
        <v>0</v>
      </c>
      <c r="Y1452">
        <v>0</v>
      </c>
      <c r="Z1452">
        <v>0</v>
      </c>
      <c r="AA1452">
        <v>9</v>
      </c>
      <c r="AB1452">
        <v>9</v>
      </c>
      <c r="AC1452" t="s">
        <v>310</v>
      </c>
      <c r="AD1452">
        <v>9</v>
      </c>
      <c r="AE1452" t="s">
        <v>1387</v>
      </c>
      <c r="AF1452">
        <v>50000000</v>
      </c>
      <c r="AG1452" t="s">
        <v>249</v>
      </c>
      <c r="AH1452">
        <f>SUM((MID(Dyno_Data[[#This Row],[Team]],4,5))+(Dyno_Data[[#This Row],[Match]]/100))</f>
        <v>4122.3</v>
      </c>
      <c r="AI1452" s="76">
        <f>ROUND(SUM(IF(Dyno_Data[[#This Row],[AcqCenter]]&gt;0,Dyno_Data[[#This Row],[Time]]-SUMIFS(Dyno_Data[Time],Dyno_Data[Team],Dyno_Data[[#This Row],[Team]],Dyno_Data[RecordType],"StartMatch",Dyno_Data[Match],Dyno_Data[[#This Row],[Match]]),0)*86400),0)</f>
        <v>0</v>
      </c>
    </row>
    <row r="1453" spans="1:35" x14ac:dyDescent="0.3">
      <c r="A1453">
        <v>1452</v>
      </c>
      <c r="B1453" t="s">
        <v>1309</v>
      </c>
      <c r="C1453">
        <v>30</v>
      </c>
      <c r="D1453" s="105">
        <v>45373.587850115742</v>
      </c>
      <c r="E1453" t="s">
        <v>312</v>
      </c>
      <c r="F1453" t="s">
        <v>1402</v>
      </c>
      <c r="G1453">
        <v>0</v>
      </c>
      <c r="H1453" t="s">
        <v>315</v>
      </c>
      <c r="I1453">
        <v>0</v>
      </c>
      <c r="J1453">
        <v>0</v>
      </c>
      <c r="K1453">
        <v>0</v>
      </c>
      <c r="L1453" t="s">
        <v>240</v>
      </c>
      <c r="M1453" t="s">
        <v>1398</v>
      </c>
      <c r="N1453">
        <v>0</v>
      </c>
      <c r="O1453" t="s">
        <v>1393</v>
      </c>
      <c r="P1453" t="s">
        <v>310</v>
      </c>
      <c r="Q1453" t="s">
        <v>310</v>
      </c>
      <c r="R1453" t="s">
        <v>310</v>
      </c>
      <c r="S1453">
        <v>9</v>
      </c>
      <c r="T1453" t="s">
        <v>310</v>
      </c>
      <c r="U1453">
        <v>9</v>
      </c>
      <c r="V1453">
        <v>9</v>
      </c>
      <c r="W1453">
        <v>0</v>
      </c>
      <c r="X1453">
        <v>0</v>
      </c>
      <c r="Y1453">
        <v>0</v>
      </c>
      <c r="Z1453">
        <v>0</v>
      </c>
      <c r="AA1453">
        <v>9</v>
      </c>
      <c r="AB1453">
        <v>9</v>
      </c>
      <c r="AC1453" t="s">
        <v>310</v>
      </c>
      <c r="AD1453">
        <v>9</v>
      </c>
      <c r="AE1453" t="s">
        <v>1394</v>
      </c>
      <c r="AF1453">
        <v>40000000</v>
      </c>
      <c r="AG1453" t="s">
        <v>310</v>
      </c>
      <c r="AH1453">
        <f>SUM((MID(Dyno_Data[[#This Row],[Team]],4,5))+(Dyno_Data[[#This Row],[Match]]/100))</f>
        <v>3550.3</v>
      </c>
      <c r="AI1453" s="76">
        <f>ROUND(SUM(IF(Dyno_Data[[#This Row],[AcqCenter]]&gt;0,Dyno_Data[[#This Row],[Time]]-SUMIFS(Dyno_Data[Time],Dyno_Data[Team],Dyno_Data[[#This Row],[Team]],Dyno_Data[RecordType],"StartMatch",Dyno_Data[Match],Dyno_Data[[#This Row],[Match]]),0)*86400),0)</f>
        <v>0</v>
      </c>
    </row>
    <row r="1454" spans="1:35" x14ac:dyDescent="0.3">
      <c r="A1454">
        <v>1453</v>
      </c>
      <c r="B1454" t="s">
        <v>1315</v>
      </c>
      <c r="C1454">
        <v>30</v>
      </c>
      <c r="D1454" s="105">
        <v>45373.587877430553</v>
      </c>
      <c r="E1454" t="s">
        <v>312</v>
      </c>
      <c r="F1454" t="s">
        <v>1402</v>
      </c>
      <c r="G1454">
        <v>0</v>
      </c>
      <c r="H1454" t="s">
        <v>315</v>
      </c>
      <c r="I1454">
        <v>0</v>
      </c>
      <c r="J1454">
        <v>0</v>
      </c>
      <c r="K1454">
        <v>0</v>
      </c>
      <c r="L1454" t="s">
        <v>241</v>
      </c>
      <c r="M1454" t="s">
        <v>101</v>
      </c>
      <c r="N1454">
        <v>1</v>
      </c>
      <c r="O1454" t="s">
        <v>1395</v>
      </c>
      <c r="P1454" t="s">
        <v>310</v>
      </c>
      <c r="Q1454" t="s">
        <v>310</v>
      </c>
      <c r="R1454" t="s">
        <v>310</v>
      </c>
      <c r="S1454">
        <v>9</v>
      </c>
      <c r="T1454" t="s">
        <v>310</v>
      </c>
      <c r="U1454">
        <v>9</v>
      </c>
      <c r="V1454">
        <v>9</v>
      </c>
      <c r="W1454">
        <v>0</v>
      </c>
      <c r="X1454">
        <v>0</v>
      </c>
      <c r="Y1454">
        <v>0</v>
      </c>
      <c r="Z1454">
        <v>0</v>
      </c>
      <c r="AA1454">
        <v>9</v>
      </c>
      <c r="AB1454">
        <v>9</v>
      </c>
      <c r="AC1454" t="s">
        <v>310</v>
      </c>
      <c r="AD1454">
        <v>9</v>
      </c>
      <c r="AE1454" t="s">
        <v>1390</v>
      </c>
      <c r="AF1454">
        <v>50000000</v>
      </c>
      <c r="AG1454" t="s">
        <v>310</v>
      </c>
      <c r="AH1454">
        <f>SUM((MID(Dyno_Data[[#This Row],[Team]],4,5))+(Dyno_Data[[#This Row],[Match]]/100))</f>
        <v>1511.3</v>
      </c>
      <c r="AI1454" s="76">
        <f>ROUND(SUM(IF(Dyno_Data[[#This Row],[AcqCenter]]&gt;0,Dyno_Data[[#This Row],[Time]]-SUMIFS(Dyno_Data[Time],Dyno_Data[Team],Dyno_Data[[#This Row],[Team]],Dyno_Data[RecordType],"StartMatch",Dyno_Data[Match],Dyno_Data[[#This Row],[Match]]),0)*86400),0)</f>
        <v>0</v>
      </c>
    </row>
    <row r="1455" spans="1:35" x14ac:dyDescent="0.3">
      <c r="A1455">
        <v>1454</v>
      </c>
      <c r="B1455" t="s">
        <v>1315</v>
      </c>
      <c r="C1455">
        <v>30</v>
      </c>
      <c r="D1455" s="105">
        <v>45373.588121562498</v>
      </c>
      <c r="E1455" t="s">
        <v>312</v>
      </c>
      <c r="F1455" t="s">
        <v>1402</v>
      </c>
      <c r="G1455">
        <v>0</v>
      </c>
      <c r="H1455" t="s">
        <v>315</v>
      </c>
      <c r="I1455">
        <v>0</v>
      </c>
      <c r="J1455">
        <v>0</v>
      </c>
      <c r="K1455">
        <v>0</v>
      </c>
      <c r="L1455" t="s">
        <v>241</v>
      </c>
      <c r="M1455" t="s">
        <v>101</v>
      </c>
      <c r="N1455">
        <v>0</v>
      </c>
      <c r="O1455" t="s">
        <v>1395</v>
      </c>
      <c r="P1455" t="s">
        <v>310</v>
      </c>
      <c r="Q1455" t="s">
        <v>310</v>
      </c>
      <c r="R1455" t="s">
        <v>310</v>
      </c>
      <c r="S1455">
        <v>9</v>
      </c>
      <c r="T1455" t="s">
        <v>310</v>
      </c>
      <c r="U1455">
        <v>9</v>
      </c>
      <c r="V1455">
        <v>9</v>
      </c>
      <c r="W1455">
        <v>0</v>
      </c>
      <c r="X1455">
        <v>0</v>
      </c>
      <c r="Y1455">
        <v>0</v>
      </c>
      <c r="Z1455">
        <v>0</v>
      </c>
      <c r="AA1455">
        <v>9</v>
      </c>
      <c r="AB1455">
        <v>9</v>
      </c>
      <c r="AC1455" t="s">
        <v>310</v>
      </c>
      <c r="AD1455">
        <v>9</v>
      </c>
      <c r="AE1455" t="s">
        <v>1390</v>
      </c>
      <c r="AF1455">
        <v>60000000</v>
      </c>
      <c r="AG1455" t="s">
        <v>310</v>
      </c>
      <c r="AH1455">
        <f>SUM((MID(Dyno_Data[[#This Row],[Team]],4,5))+(Dyno_Data[[#This Row],[Match]]/100))</f>
        <v>1511.3</v>
      </c>
      <c r="AI1455" s="76">
        <f>ROUND(SUM(IF(Dyno_Data[[#This Row],[AcqCenter]]&gt;0,Dyno_Data[[#This Row],[Time]]-SUMIFS(Dyno_Data[Time],Dyno_Data[Team],Dyno_Data[[#This Row],[Team]],Dyno_Data[RecordType],"StartMatch",Dyno_Data[Match],Dyno_Data[[#This Row],[Match]]),0)*86400),0)</f>
        <v>0</v>
      </c>
    </row>
    <row r="1456" spans="1:35" x14ac:dyDescent="0.3">
      <c r="A1456">
        <v>1455</v>
      </c>
      <c r="B1456" t="s">
        <v>1291</v>
      </c>
      <c r="C1456">
        <v>30</v>
      </c>
      <c r="D1456" s="105">
        <v>45373.588209571761</v>
      </c>
      <c r="E1456" t="s">
        <v>312</v>
      </c>
      <c r="F1456" t="s">
        <v>1402</v>
      </c>
      <c r="G1456">
        <v>0</v>
      </c>
      <c r="H1456" t="s">
        <v>315</v>
      </c>
      <c r="I1456">
        <v>0</v>
      </c>
      <c r="J1456">
        <v>0</v>
      </c>
      <c r="K1456">
        <v>0</v>
      </c>
      <c r="L1456" t="s">
        <v>240</v>
      </c>
      <c r="M1456" t="s">
        <v>1398</v>
      </c>
      <c r="N1456">
        <v>1</v>
      </c>
      <c r="O1456" t="s">
        <v>1389</v>
      </c>
      <c r="P1456" t="s">
        <v>310</v>
      </c>
      <c r="Q1456" t="s">
        <v>310</v>
      </c>
      <c r="R1456" t="s">
        <v>310</v>
      </c>
      <c r="S1456">
        <v>9</v>
      </c>
      <c r="T1456" t="s">
        <v>310</v>
      </c>
      <c r="U1456">
        <v>9</v>
      </c>
      <c r="V1456">
        <v>9</v>
      </c>
      <c r="W1456">
        <v>0</v>
      </c>
      <c r="X1456">
        <v>0</v>
      </c>
      <c r="Y1456">
        <v>0</v>
      </c>
      <c r="Z1456">
        <v>0</v>
      </c>
      <c r="AA1456">
        <v>9</v>
      </c>
      <c r="AB1456">
        <v>9</v>
      </c>
      <c r="AC1456" t="s">
        <v>310</v>
      </c>
      <c r="AD1456">
        <v>9</v>
      </c>
      <c r="AE1456" t="s">
        <v>1392</v>
      </c>
      <c r="AF1456">
        <v>60000000</v>
      </c>
      <c r="AG1456" t="s">
        <v>310</v>
      </c>
      <c r="AH1456">
        <f>SUM((MID(Dyno_Data[[#This Row],[Team]],4,5))+(Dyno_Data[[#This Row],[Match]]/100))</f>
        <v>1493.3</v>
      </c>
      <c r="AI1456" s="76">
        <f>ROUND(SUM(IF(Dyno_Data[[#This Row],[AcqCenter]]&gt;0,Dyno_Data[[#This Row],[Time]]-SUMIFS(Dyno_Data[Time],Dyno_Data[Team],Dyno_Data[[#This Row],[Team]],Dyno_Data[RecordType],"StartMatch",Dyno_Data[Match],Dyno_Data[[#This Row],[Match]]),0)*86400),0)</f>
        <v>0</v>
      </c>
    </row>
    <row r="1457" spans="1:35" x14ac:dyDescent="0.3">
      <c r="A1457">
        <v>1456</v>
      </c>
      <c r="B1457" t="s">
        <v>1309</v>
      </c>
      <c r="C1457">
        <v>30</v>
      </c>
      <c r="D1457" s="105">
        <v>45373.588229131943</v>
      </c>
      <c r="E1457" t="s">
        <v>312</v>
      </c>
      <c r="F1457" t="s">
        <v>1402</v>
      </c>
      <c r="G1457">
        <v>0</v>
      </c>
      <c r="H1457" t="s">
        <v>315</v>
      </c>
      <c r="I1457">
        <v>0</v>
      </c>
      <c r="J1457">
        <v>0</v>
      </c>
      <c r="K1457">
        <v>0</v>
      </c>
      <c r="L1457" t="s">
        <v>241</v>
      </c>
      <c r="M1457" t="s">
        <v>1398</v>
      </c>
      <c r="N1457">
        <v>1</v>
      </c>
      <c r="O1457" t="s">
        <v>1393</v>
      </c>
      <c r="P1457" t="s">
        <v>310</v>
      </c>
      <c r="Q1457" t="s">
        <v>310</v>
      </c>
      <c r="R1457" t="s">
        <v>310</v>
      </c>
      <c r="S1457">
        <v>9</v>
      </c>
      <c r="T1457" t="s">
        <v>310</v>
      </c>
      <c r="U1457">
        <v>9</v>
      </c>
      <c r="V1457">
        <v>9</v>
      </c>
      <c r="W1457">
        <v>0</v>
      </c>
      <c r="X1457">
        <v>0</v>
      </c>
      <c r="Y1457">
        <v>0</v>
      </c>
      <c r="Z1457">
        <v>0</v>
      </c>
      <c r="AA1457">
        <v>9</v>
      </c>
      <c r="AB1457">
        <v>9</v>
      </c>
      <c r="AC1457" t="s">
        <v>310</v>
      </c>
      <c r="AD1457">
        <v>9</v>
      </c>
      <c r="AE1457" t="s">
        <v>1394</v>
      </c>
      <c r="AF1457">
        <v>50000000</v>
      </c>
      <c r="AG1457" t="s">
        <v>310</v>
      </c>
      <c r="AH1457">
        <f>SUM((MID(Dyno_Data[[#This Row],[Team]],4,5))+(Dyno_Data[[#This Row],[Match]]/100))</f>
        <v>3550.3</v>
      </c>
      <c r="AI1457" s="76">
        <f>ROUND(SUM(IF(Dyno_Data[[#This Row],[AcqCenter]]&gt;0,Dyno_Data[[#This Row],[Time]]-SUMIFS(Dyno_Data[Time],Dyno_Data[Team],Dyno_Data[[#This Row],[Team]],Dyno_Data[RecordType],"StartMatch",Dyno_Data[Match],Dyno_Data[[#This Row],[Match]]),0)*86400),0)</f>
        <v>0</v>
      </c>
    </row>
    <row r="1458" spans="1:35" x14ac:dyDescent="0.3">
      <c r="A1458">
        <v>1457</v>
      </c>
      <c r="B1458" t="s">
        <v>1309</v>
      </c>
      <c r="C1458">
        <v>30</v>
      </c>
      <c r="D1458" s="105">
        <v>45373.588553506946</v>
      </c>
      <c r="E1458" t="s">
        <v>312</v>
      </c>
      <c r="F1458" t="s">
        <v>1402</v>
      </c>
      <c r="G1458">
        <v>0</v>
      </c>
      <c r="H1458" t="s">
        <v>315</v>
      </c>
      <c r="I1458">
        <v>0</v>
      </c>
      <c r="J1458">
        <v>0</v>
      </c>
      <c r="K1458">
        <v>0</v>
      </c>
      <c r="L1458" t="s">
        <v>240</v>
      </c>
      <c r="M1458" t="s">
        <v>1398</v>
      </c>
      <c r="N1458">
        <v>0</v>
      </c>
      <c r="O1458" t="s">
        <v>1393</v>
      </c>
      <c r="P1458" t="s">
        <v>310</v>
      </c>
      <c r="Q1458" t="s">
        <v>310</v>
      </c>
      <c r="R1458" t="s">
        <v>310</v>
      </c>
      <c r="S1458">
        <v>9</v>
      </c>
      <c r="T1458" t="s">
        <v>310</v>
      </c>
      <c r="U1458">
        <v>9</v>
      </c>
      <c r="V1458">
        <v>9</v>
      </c>
      <c r="W1458">
        <v>0</v>
      </c>
      <c r="X1458">
        <v>0</v>
      </c>
      <c r="Y1458">
        <v>0</v>
      </c>
      <c r="Z1458">
        <v>0</v>
      </c>
      <c r="AA1458">
        <v>9</v>
      </c>
      <c r="AB1458">
        <v>9</v>
      </c>
      <c r="AC1458" t="s">
        <v>310</v>
      </c>
      <c r="AD1458">
        <v>9</v>
      </c>
      <c r="AE1458" t="s">
        <v>1394</v>
      </c>
      <c r="AF1458">
        <v>60000000</v>
      </c>
      <c r="AG1458" t="s">
        <v>310</v>
      </c>
      <c r="AH1458">
        <f>SUM((MID(Dyno_Data[[#This Row],[Team]],4,5))+(Dyno_Data[[#This Row],[Match]]/100))</f>
        <v>3550.3</v>
      </c>
      <c r="AI1458" s="76">
        <f>ROUND(SUM(IF(Dyno_Data[[#This Row],[AcqCenter]]&gt;0,Dyno_Data[[#This Row],[Time]]-SUMIFS(Dyno_Data[Time],Dyno_Data[Team],Dyno_Data[[#This Row],[Team]],Dyno_Data[RecordType],"StartMatch",Dyno_Data[Match],Dyno_Data[[#This Row],[Match]]),0)*86400),0)</f>
        <v>0</v>
      </c>
    </row>
    <row r="1459" spans="1:35" x14ac:dyDescent="0.3">
      <c r="A1459">
        <v>1458</v>
      </c>
      <c r="B1459" t="s">
        <v>366</v>
      </c>
      <c r="C1459">
        <v>30</v>
      </c>
      <c r="D1459" s="105">
        <v>45373.58938287037</v>
      </c>
      <c r="E1459" t="s">
        <v>316</v>
      </c>
      <c r="F1459" t="s">
        <v>317</v>
      </c>
      <c r="G1459">
        <v>0</v>
      </c>
      <c r="H1459" t="s">
        <v>310</v>
      </c>
      <c r="I1459">
        <v>0</v>
      </c>
      <c r="J1459">
        <v>0</v>
      </c>
      <c r="K1459">
        <v>0</v>
      </c>
      <c r="L1459" t="s">
        <v>310</v>
      </c>
      <c r="M1459" t="s">
        <v>310</v>
      </c>
      <c r="N1459">
        <v>0</v>
      </c>
      <c r="O1459" t="s">
        <v>311</v>
      </c>
      <c r="P1459" t="s">
        <v>240</v>
      </c>
      <c r="Q1459" t="s">
        <v>1400</v>
      </c>
      <c r="R1459" t="s">
        <v>321</v>
      </c>
      <c r="S1459">
        <v>0</v>
      </c>
      <c r="T1459" t="s">
        <v>105</v>
      </c>
      <c r="U1459">
        <v>9</v>
      </c>
      <c r="V1459">
        <v>9</v>
      </c>
      <c r="W1459">
        <v>0</v>
      </c>
      <c r="X1459">
        <v>0</v>
      </c>
      <c r="Y1459">
        <v>0</v>
      </c>
      <c r="Z1459">
        <v>135.95632129999998</v>
      </c>
      <c r="AA1459">
        <v>0</v>
      </c>
      <c r="AB1459">
        <v>0</v>
      </c>
      <c r="AC1459" t="s">
        <v>173</v>
      </c>
      <c r="AD1459">
        <v>9</v>
      </c>
      <c r="AE1459" t="s">
        <v>1387</v>
      </c>
      <c r="AF1459">
        <v>30000000</v>
      </c>
      <c r="AG1459" t="s">
        <v>310</v>
      </c>
      <c r="AH1459">
        <f>SUM((MID(Dyno_Data[[#This Row],[Team]],4,5))+(Dyno_Data[[#This Row],[Match]]/100))</f>
        <v>4122.3</v>
      </c>
      <c r="AI1459" s="76">
        <f>ROUND(SUM(IF(Dyno_Data[[#This Row],[AcqCenter]]&gt;0,Dyno_Data[[#This Row],[Time]]-SUMIFS(Dyno_Data[Time],Dyno_Data[Team],Dyno_Data[[#This Row],[Team]],Dyno_Data[RecordType],"StartMatch",Dyno_Data[Match],Dyno_Data[[#This Row],[Match]]),0)*86400),0)</f>
        <v>0</v>
      </c>
    </row>
    <row r="1460" spans="1:35" x14ac:dyDescent="0.3">
      <c r="A1460">
        <v>1459</v>
      </c>
      <c r="B1460" t="s">
        <v>1283</v>
      </c>
      <c r="C1460">
        <v>30</v>
      </c>
      <c r="D1460" s="105">
        <v>45373.589383252314</v>
      </c>
      <c r="E1460" t="s">
        <v>316</v>
      </c>
      <c r="F1460" t="s">
        <v>317</v>
      </c>
      <c r="G1460">
        <v>1</v>
      </c>
      <c r="H1460" t="s">
        <v>310</v>
      </c>
      <c r="I1460">
        <v>0</v>
      </c>
      <c r="J1460">
        <v>0</v>
      </c>
      <c r="K1460">
        <v>0</v>
      </c>
      <c r="L1460" t="s">
        <v>310</v>
      </c>
      <c r="M1460" t="s">
        <v>310</v>
      </c>
      <c r="N1460">
        <v>0</v>
      </c>
      <c r="O1460" t="s">
        <v>1391</v>
      </c>
      <c r="P1460" t="s">
        <v>101</v>
      </c>
      <c r="Q1460" t="s">
        <v>1400</v>
      </c>
      <c r="R1460" t="s">
        <v>321</v>
      </c>
      <c r="S1460">
        <v>0</v>
      </c>
      <c r="T1460" t="s">
        <v>105</v>
      </c>
      <c r="U1460">
        <v>9</v>
      </c>
      <c r="V1460">
        <v>9</v>
      </c>
      <c r="W1460">
        <v>0</v>
      </c>
      <c r="X1460">
        <v>61.272961599999995</v>
      </c>
      <c r="Y1460">
        <v>14.5196206</v>
      </c>
      <c r="Z1460">
        <v>59.782114099999994</v>
      </c>
      <c r="AA1460">
        <v>0</v>
      </c>
      <c r="AB1460">
        <v>0</v>
      </c>
      <c r="AC1460" t="s">
        <v>174</v>
      </c>
      <c r="AD1460">
        <v>9</v>
      </c>
      <c r="AE1460" t="s">
        <v>1396</v>
      </c>
      <c r="AF1460">
        <v>0</v>
      </c>
      <c r="AG1460" t="s">
        <v>310</v>
      </c>
      <c r="AH1460">
        <f>SUM((MID(Dyno_Data[[#This Row],[Team]],4,5))+(Dyno_Data[[#This Row],[Match]]/100))</f>
        <v>1601.3</v>
      </c>
      <c r="AI1460" s="76">
        <f>ROUND(SUM(IF(Dyno_Data[[#This Row],[AcqCenter]]&gt;0,Dyno_Data[[#This Row],[Time]]-SUMIFS(Dyno_Data[Time],Dyno_Data[Team],Dyno_Data[[#This Row],[Team]],Dyno_Data[RecordType],"StartMatch",Dyno_Data[Match],Dyno_Data[[#This Row],[Match]]),0)*86400),0)</f>
        <v>0</v>
      </c>
    </row>
    <row r="1461" spans="1:35" x14ac:dyDescent="0.3">
      <c r="A1461">
        <v>1460</v>
      </c>
      <c r="B1461" t="s">
        <v>362</v>
      </c>
      <c r="C1461">
        <v>30</v>
      </c>
      <c r="D1461" s="105">
        <v>45373.589383333332</v>
      </c>
      <c r="E1461" t="s">
        <v>316</v>
      </c>
      <c r="F1461" t="s">
        <v>317</v>
      </c>
      <c r="G1461">
        <v>1</v>
      </c>
      <c r="H1461" t="s">
        <v>310</v>
      </c>
      <c r="I1461">
        <v>0</v>
      </c>
      <c r="J1461">
        <v>0</v>
      </c>
      <c r="K1461">
        <v>0</v>
      </c>
      <c r="L1461" t="s">
        <v>310</v>
      </c>
      <c r="M1461" t="s">
        <v>310</v>
      </c>
      <c r="N1461">
        <v>0</v>
      </c>
      <c r="O1461" t="s">
        <v>319</v>
      </c>
      <c r="P1461" t="s">
        <v>320</v>
      </c>
      <c r="Q1461" t="s">
        <v>1399</v>
      </c>
      <c r="R1461" t="s">
        <v>321</v>
      </c>
      <c r="S1461">
        <v>0</v>
      </c>
      <c r="T1461" t="s">
        <v>105</v>
      </c>
      <c r="U1461">
        <v>9</v>
      </c>
      <c r="V1461">
        <v>9</v>
      </c>
      <c r="W1461">
        <v>0</v>
      </c>
      <c r="X1461">
        <v>72.606539900000001</v>
      </c>
      <c r="Y1461">
        <v>31.706765599999997</v>
      </c>
      <c r="Z1461">
        <v>31.643913399999999</v>
      </c>
      <c r="AA1461">
        <v>0</v>
      </c>
      <c r="AB1461">
        <v>0</v>
      </c>
      <c r="AC1461" t="s">
        <v>170</v>
      </c>
      <c r="AD1461">
        <v>0</v>
      </c>
      <c r="AE1461" t="s">
        <v>1388</v>
      </c>
      <c r="AF1461">
        <v>3000</v>
      </c>
      <c r="AG1461" t="s">
        <v>310</v>
      </c>
      <c r="AH1461">
        <f>SUM((MID(Dyno_Data[[#This Row],[Team]],4,5))+(Dyno_Data[[#This Row],[Match]]/100))</f>
        <v>250.3</v>
      </c>
      <c r="AI1461" s="76">
        <f>ROUND(SUM(IF(Dyno_Data[[#This Row],[AcqCenter]]&gt;0,Dyno_Data[[#This Row],[Time]]-SUMIFS(Dyno_Data[Time],Dyno_Data[Team],Dyno_Data[[#This Row],[Team]],Dyno_Data[RecordType],"StartMatch",Dyno_Data[Match],Dyno_Data[[#This Row],[Match]]),0)*86400),0)</f>
        <v>0</v>
      </c>
    </row>
    <row r="1462" spans="1:35" x14ac:dyDescent="0.3">
      <c r="A1462">
        <v>1461</v>
      </c>
      <c r="B1462" t="s">
        <v>1309</v>
      </c>
      <c r="C1462">
        <v>30</v>
      </c>
      <c r="D1462" s="105">
        <v>45373.589383449071</v>
      </c>
      <c r="E1462" t="s">
        <v>316</v>
      </c>
      <c r="F1462" t="s">
        <v>317</v>
      </c>
      <c r="G1462">
        <v>0</v>
      </c>
      <c r="H1462" t="s">
        <v>310</v>
      </c>
      <c r="I1462">
        <v>0</v>
      </c>
      <c r="J1462">
        <v>0</v>
      </c>
      <c r="K1462">
        <v>0</v>
      </c>
      <c r="L1462" t="s">
        <v>310</v>
      </c>
      <c r="M1462" t="s">
        <v>310</v>
      </c>
      <c r="N1462">
        <v>0</v>
      </c>
      <c r="O1462" t="s">
        <v>1393</v>
      </c>
      <c r="P1462" t="s">
        <v>101</v>
      </c>
      <c r="Q1462" t="s">
        <v>1399</v>
      </c>
      <c r="R1462" t="s">
        <v>321</v>
      </c>
      <c r="S1462">
        <v>0</v>
      </c>
      <c r="T1462" t="s">
        <v>105</v>
      </c>
      <c r="U1462">
        <v>9</v>
      </c>
      <c r="V1462">
        <v>9</v>
      </c>
      <c r="W1462">
        <v>0</v>
      </c>
      <c r="X1462">
        <v>43.891694799999996</v>
      </c>
      <c r="Y1462">
        <v>32.846365999999996</v>
      </c>
      <c r="Z1462">
        <v>58.7138901</v>
      </c>
      <c r="AA1462">
        <v>0</v>
      </c>
      <c r="AB1462">
        <v>1</v>
      </c>
      <c r="AC1462" t="s">
        <v>174</v>
      </c>
      <c r="AD1462">
        <v>0</v>
      </c>
      <c r="AE1462" t="s">
        <v>1394</v>
      </c>
      <c r="AF1462">
        <v>60000000</v>
      </c>
      <c r="AG1462" t="s">
        <v>310</v>
      </c>
      <c r="AH1462">
        <f>SUM((MID(Dyno_Data[[#This Row],[Team]],4,5))+(Dyno_Data[[#This Row],[Match]]/100))</f>
        <v>3550.3</v>
      </c>
      <c r="AI1462" s="76">
        <f>ROUND(SUM(IF(Dyno_Data[[#This Row],[AcqCenter]]&gt;0,Dyno_Data[[#This Row],[Time]]-SUMIFS(Dyno_Data[Time],Dyno_Data[Team],Dyno_Data[[#This Row],[Team]],Dyno_Data[RecordType],"StartMatch",Dyno_Data[Match],Dyno_Data[[#This Row],[Match]]),0)*86400),0)</f>
        <v>0</v>
      </c>
    </row>
    <row r="1463" spans="1:35" x14ac:dyDescent="0.3">
      <c r="A1463">
        <v>1462</v>
      </c>
      <c r="B1463" t="s">
        <v>1291</v>
      </c>
      <c r="C1463">
        <v>30</v>
      </c>
      <c r="D1463" s="105">
        <v>45373.589383564817</v>
      </c>
      <c r="E1463" t="s">
        <v>316</v>
      </c>
      <c r="F1463" t="s">
        <v>317</v>
      </c>
      <c r="G1463">
        <v>1</v>
      </c>
      <c r="H1463" t="s">
        <v>310</v>
      </c>
      <c r="I1463">
        <v>0</v>
      </c>
      <c r="J1463">
        <v>0</v>
      </c>
      <c r="K1463">
        <v>0</v>
      </c>
      <c r="L1463" t="s">
        <v>310</v>
      </c>
      <c r="M1463" t="s">
        <v>310</v>
      </c>
      <c r="N1463">
        <v>0</v>
      </c>
      <c r="O1463" t="s">
        <v>1389</v>
      </c>
      <c r="P1463" t="s">
        <v>240</v>
      </c>
      <c r="Q1463" t="s">
        <v>1400</v>
      </c>
      <c r="R1463" t="s">
        <v>321</v>
      </c>
      <c r="S1463">
        <v>0</v>
      </c>
      <c r="T1463" t="s">
        <v>105</v>
      </c>
      <c r="U1463">
        <v>9</v>
      </c>
      <c r="V1463">
        <v>9</v>
      </c>
      <c r="W1463">
        <v>0</v>
      </c>
      <c r="X1463">
        <v>49.0173104</v>
      </c>
      <c r="Y1463">
        <v>15.484428699999999</v>
      </c>
      <c r="Z1463">
        <v>72.575189299999991</v>
      </c>
      <c r="AA1463">
        <v>0</v>
      </c>
      <c r="AB1463">
        <v>3</v>
      </c>
      <c r="AC1463" t="s">
        <v>174</v>
      </c>
      <c r="AD1463">
        <v>9</v>
      </c>
      <c r="AE1463" t="s">
        <v>1392</v>
      </c>
      <c r="AF1463">
        <v>60000000</v>
      </c>
      <c r="AG1463" t="s">
        <v>310</v>
      </c>
      <c r="AH1463">
        <f>SUM((MID(Dyno_Data[[#This Row],[Team]],4,5))+(Dyno_Data[[#This Row],[Match]]/100))</f>
        <v>1493.3</v>
      </c>
      <c r="AI1463" s="76">
        <f>ROUND(SUM(IF(Dyno_Data[[#This Row],[AcqCenter]]&gt;0,Dyno_Data[[#This Row],[Time]]-SUMIFS(Dyno_Data[Time],Dyno_Data[Team],Dyno_Data[[#This Row],[Team]],Dyno_Data[RecordType],"StartMatch",Dyno_Data[Match],Dyno_Data[[#This Row],[Match]]),0)*86400),0)</f>
        <v>0</v>
      </c>
    </row>
    <row r="1464" spans="1:35" x14ac:dyDescent="0.3">
      <c r="A1464">
        <v>1463</v>
      </c>
      <c r="B1464" t="s">
        <v>1315</v>
      </c>
      <c r="C1464">
        <v>30</v>
      </c>
      <c r="D1464" s="105">
        <v>45373.589383645834</v>
      </c>
      <c r="E1464" t="s">
        <v>316</v>
      </c>
      <c r="F1464" t="s">
        <v>317</v>
      </c>
      <c r="G1464">
        <v>0</v>
      </c>
      <c r="H1464" t="s">
        <v>310</v>
      </c>
      <c r="I1464">
        <v>0</v>
      </c>
      <c r="J1464">
        <v>0</v>
      </c>
      <c r="K1464">
        <v>0</v>
      </c>
      <c r="L1464" t="s">
        <v>310</v>
      </c>
      <c r="M1464" t="s">
        <v>310</v>
      </c>
      <c r="N1464">
        <v>0</v>
      </c>
      <c r="O1464" t="s">
        <v>1395</v>
      </c>
      <c r="P1464" t="s">
        <v>1401</v>
      </c>
      <c r="Q1464" t="s">
        <v>1400</v>
      </c>
      <c r="R1464" t="s">
        <v>1404</v>
      </c>
      <c r="S1464">
        <v>0</v>
      </c>
      <c r="T1464" t="s">
        <v>105</v>
      </c>
      <c r="U1464">
        <v>9</v>
      </c>
      <c r="V1464">
        <v>9</v>
      </c>
      <c r="W1464">
        <v>0</v>
      </c>
      <c r="X1464">
        <v>3.2642864999999999</v>
      </c>
      <c r="Y1464">
        <v>9.8743608999999992</v>
      </c>
      <c r="Z1464">
        <v>123.5635633</v>
      </c>
      <c r="AA1464">
        <v>0</v>
      </c>
      <c r="AB1464">
        <v>0</v>
      </c>
      <c r="AC1464" t="s">
        <v>173</v>
      </c>
      <c r="AD1464">
        <v>9</v>
      </c>
      <c r="AE1464" t="s">
        <v>1390</v>
      </c>
      <c r="AF1464">
        <v>60000000</v>
      </c>
      <c r="AG1464" t="s">
        <v>310</v>
      </c>
      <c r="AH1464">
        <f>SUM((MID(Dyno_Data[[#This Row],[Team]],4,5))+(Dyno_Data[[#This Row],[Match]]/100))</f>
        <v>1511.3</v>
      </c>
      <c r="AI1464" s="76">
        <f>ROUND(SUM(IF(Dyno_Data[[#This Row],[AcqCenter]]&gt;0,Dyno_Data[[#This Row],[Time]]-SUMIFS(Dyno_Data[Time],Dyno_Data[Team],Dyno_Data[[#This Row],[Team]],Dyno_Data[RecordType],"StartMatch",Dyno_Data[Match],Dyno_Data[[#This Row],[Match]]),0)*86400),0)</f>
        <v>0</v>
      </c>
    </row>
    <row r="1465" spans="1:35" x14ac:dyDescent="0.3">
      <c r="A1465">
        <v>1470</v>
      </c>
      <c r="B1465" t="s">
        <v>1296</v>
      </c>
      <c r="C1465">
        <v>31</v>
      </c>
      <c r="D1465" s="105">
        <v>45373.592307407409</v>
      </c>
      <c r="E1465" t="s">
        <v>308</v>
      </c>
      <c r="F1465" t="s">
        <v>309</v>
      </c>
      <c r="G1465">
        <v>0</v>
      </c>
      <c r="H1465" t="s">
        <v>310</v>
      </c>
      <c r="I1465">
        <v>0</v>
      </c>
      <c r="J1465">
        <v>0</v>
      </c>
      <c r="K1465">
        <v>0</v>
      </c>
      <c r="L1465" t="s">
        <v>310</v>
      </c>
      <c r="M1465" t="s">
        <v>310</v>
      </c>
      <c r="N1465">
        <v>0</v>
      </c>
      <c r="O1465" t="s">
        <v>311</v>
      </c>
      <c r="P1465" t="s">
        <v>310</v>
      </c>
      <c r="Q1465" t="s">
        <v>310</v>
      </c>
      <c r="R1465" t="s">
        <v>310</v>
      </c>
      <c r="S1465">
        <v>9</v>
      </c>
      <c r="T1465" t="s">
        <v>310</v>
      </c>
      <c r="U1465">
        <v>9</v>
      </c>
      <c r="V1465">
        <v>9</v>
      </c>
      <c r="W1465">
        <v>0</v>
      </c>
      <c r="X1465">
        <v>0</v>
      </c>
      <c r="Y1465">
        <v>0</v>
      </c>
      <c r="Z1465">
        <v>0</v>
      </c>
      <c r="AA1465">
        <v>9</v>
      </c>
      <c r="AB1465">
        <v>9</v>
      </c>
      <c r="AC1465" t="s">
        <v>310</v>
      </c>
      <c r="AD1465">
        <v>9</v>
      </c>
      <c r="AE1465" t="s">
        <v>1392</v>
      </c>
      <c r="AF1465">
        <v>0</v>
      </c>
      <c r="AG1465" t="s">
        <v>310</v>
      </c>
      <c r="AH1465">
        <f>SUM((MID(Dyno_Data[[#This Row],[Team]],4,5))+(Dyno_Data[[#This Row],[Match]]/100))</f>
        <v>3003.31</v>
      </c>
      <c r="AI1465" s="76">
        <f>ROUND(SUM(IF(Dyno_Data[[#This Row],[AcqCenter]]&gt;0,Dyno_Data[[#This Row],[Time]]-SUMIFS(Dyno_Data[Time],Dyno_Data[Team],Dyno_Data[[#This Row],[Team]],Dyno_Data[RecordType],"StartMatch",Dyno_Data[Match],Dyno_Data[[#This Row],[Match]]),0)*86400),0)</f>
        <v>0</v>
      </c>
    </row>
    <row r="1466" spans="1:35" x14ac:dyDescent="0.3">
      <c r="A1466">
        <v>1472</v>
      </c>
      <c r="B1466" t="s">
        <v>1286</v>
      </c>
      <c r="C1466">
        <v>31</v>
      </c>
      <c r="D1466" s="105">
        <v>45373.592324108795</v>
      </c>
      <c r="E1466" t="s">
        <v>308</v>
      </c>
      <c r="F1466" t="s">
        <v>309</v>
      </c>
      <c r="G1466">
        <v>0</v>
      </c>
      <c r="H1466" t="s">
        <v>310</v>
      </c>
      <c r="I1466">
        <v>0</v>
      </c>
      <c r="J1466">
        <v>0</v>
      </c>
      <c r="K1466">
        <v>0</v>
      </c>
      <c r="L1466" t="s">
        <v>310</v>
      </c>
      <c r="M1466" t="s">
        <v>310</v>
      </c>
      <c r="N1466">
        <v>0</v>
      </c>
      <c r="O1466" t="s">
        <v>319</v>
      </c>
      <c r="P1466" t="s">
        <v>310</v>
      </c>
      <c r="Q1466" t="s">
        <v>310</v>
      </c>
      <c r="R1466" t="s">
        <v>310</v>
      </c>
      <c r="S1466">
        <v>9</v>
      </c>
      <c r="T1466" t="s">
        <v>310</v>
      </c>
      <c r="U1466">
        <v>9</v>
      </c>
      <c r="V1466">
        <v>9</v>
      </c>
      <c r="W1466">
        <v>0</v>
      </c>
      <c r="X1466">
        <v>0</v>
      </c>
      <c r="Y1466">
        <v>0</v>
      </c>
      <c r="Z1466">
        <v>0</v>
      </c>
      <c r="AA1466">
        <v>9</v>
      </c>
      <c r="AB1466">
        <v>9</v>
      </c>
      <c r="AC1466" t="s">
        <v>310</v>
      </c>
      <c r="AD1466">
        <v>9</v>
      </c>
      <c r="AE1466" t="s">
        <v>1388</v>
      </c>
      <c r="AF1466">
        <v>1000</v>
      </c>
      <c r="AG1466" t="s">
        <v>310</v>
      </c>
      <c r="AH1466">
        <f>SUM((MID(Dyno_Data[[#This Row],[Team]],4,5))+(Dyno_Data[[#This Row],[Match]]/100))</f>
        <v>1591.31</v>
      </c>
      <c r="AI1466" s="76">
        <f>ROUND(SUM(IF(Dyno_Data[[#This Row],[AcqCenter]]&gt;0,Dyno_Data[[#This Row],[Time]]-SUMIFS(Dyno_Data[Time],Dyno_Data[Team],Dyno_Data[[#This Row],[Team]],Dyno_Data[RecordType],"StartMatch",Dyno_Data[Match],Dyno_Data[[#This Row],[Match]]),0)*86400),0)</f>
        <v>0</v>
      </c>
    </row>
    <row r="1467" spans="1:35" x14ac:dyDescent="0.3">
      <c r="A1467">
        <v>1474</v>
      </c>
      <c r="B1467" t="s">
        <v>368</v>
      </c>
      <c r="C1467">
        <v>31</v>
      </c>
      <c r="D1467" s="105">
        <v>45373.592325543985</v>
      </c>
      <c r="E1467" t="s">
        <v>308</v>
      </c>
      <c r="F1467" t="s">
        <v>309</v>
      </c>
      <c r="G1467">
        <v>0</v>
      </c>
      <c r="H1467" t="s">
        <v>310</v>
      </c>
      <c r="I1467">
        <v>0</v>
      </c>
      <c r="J1467">
        <v>0</v>
      </c>
      <c r="K1467">
        <v>0</v>
      </c>
      <c r="L1467" t="s">
        <v>310</v>
      </c>
      <c r="M1467" t="s">
        <v>310</v>
      </c>
      <c r="N1467">
        <v>0</v>
      </c>
      <c r="O1467" t="s">
        <v>1389</v>
      </c>
      <c r="P1467" t="s">
        <v>310</v>
      </c>
      <c r="Q1467" t="s">
        <v>310</v>
      </c>
      <c r="R1467" t="s">
        <v>310</v>
      </c>
      <c r="S1467">
        <v>9</v>
      </c>
      <c r="T1467" t="s">
        <v>310</v>
      </c>
      <c r="U1467">
        <v>9</v>
      </c>
      <c r="V1467">
        <v>9</v>
      </c>
      <c r="W1467">
        <v>0</v>
      </c>
      <c r="X1467">
        <v>0</v>
      </c>
      <c r="Y1467">
        <v>0</v>
      </c>
      <c r="Z1467">
        <v>0</v>
      </c>
      <c r="AA1467">
        <v>9</v>
      </c>
      <c r="AB1467">
        <v>9</v>
      </c>
      <c r="AC1467" t="s">
        <v>310</v>
      </c>
      <c r="AD1467">
        <v>9</v>
      </c>
      <c r="AE1467" t="s">
        <v>1387</v>
      </c>
      <c r="AF1467">
        <v>0</v>
      </c>
      <c r="AG1467" t="s">
        <v>310</v>
      </c>
      <c r="AH1467">
        <f>SUM((MID(Dyno_Data[[#This Row],[Team]],4,5))+(Dyno_Data[[#This Row],[Match]]/100))</f>
        <v>6401.31</v>
      </c>
      <c r="AI1467" s="76">
        <f>ROUND(SUM(IF(Dyno_Data[[#This Row],[AcqCenter]]&gt;0,Dyno_Data[[#This Row],[Time]]-SUMIFS(Dyno_Data[Time],Dyno_Data[Team],Dyno_Data[[#This Row],[Team]],Dyno_Data[RecordType],"StartMatch",Dyno_Data[Match],Dyno_Data[[#This Row],[Match]]),0)*86400),0)</f>
        <v>0</v>
      </c>
    </row>
    <row r="1468" spans="1:35" x14ac:dyDescent="0.3">
      <c r="A1468">
        <v>1476</v>
      </c>
      <c r="B1468" t="s">
        <v>1306</v>
      </c>
      <c r="C1468">
        <v>31</v>
      </c>
      <c r="D1468" s="105">
        <v>45373.592326238424</v>
      </c>
      <c r="E1468" t="s">
        <v>308</v>
      </c>
      <c r="F1468" t="s">
        <v>309</v>
      </c>
      <c r="G1468">
        <v>0</v>
      </c>
      <c r="H1468" t="s">
        <v>310</v>
      </c>
      <c r="I1468">
        <v>0</v>
      </c>
      <c r="J1468">
        <v>0</v>
      </c>
      <c r="K1468">
        <v>0</v>
      </c>
      <c r="L1468" t="s">
        <v>310</v>
      </c>
      <c r="M1468" t="s">
        <v>310</v>
      </c>
      <c r="N1468">
        <v>0</v>
      </c>
      <c r="O1468" t="s">
        <v>1395</v>
      </c>
      <c r="P1468" t="s">
        <v>310</v>
      </c>
      <c r="Q1468" t="s">
        <v>310</v>
      </c>
      <c r="R1468" t="s">
        <v>310</v>
      </c>
      <c r="S1468">
        <v>9</v>
      </c>
      <c r="T1468" t="s">
        <v>310</v>
      </c>
      <c r="U1468">
        <v>9</v>
      </c>
      <c r="V1468">
        <v>9</v>
      </c>
      <c r="W1468">
        <v>0</v>
      </c>
      <c r="X1468">
        <v>0</v>
      </c>
      <c r="Y1468">
        <v>0</v>
      </c>
      <c r="Z1468">
        <v>0</v>
      </c>
      <c r="AA1468">
        <v>9</v>
      </c>
      <c r="AB1468">
        <v>9</v>
      </c>
      <c r="AC1468" t="s">
        <v>310</v>
      </c>
      <c r="AD1468">
        <v>9</v>
      </c>
      <c r="AE1468" t="s">
        <v>1396</v>
      </c>
      <c r="AF1468">
        <v>1000</v>
      </c>
      <c r="AG1468" t="s">
        <v>310</v>
      </c>
      <c r="AH1468">
        <f>SUM((MID(Dyno_Data[[#This Row],[Team]],4,5))+(Dyno_Data[[#This Row],[Match]]/100))</f>
        <v>3986.31</v>
      </c>
      <c r="AI1468" s="76">
        <f>ROUND(SUM(IF(Dyno_Data[[#This Row],[AcqCenter]]&gt;0,Dyno_Data[[#This Row],[Time]]-SUMIFS(Dyno_Data[Time],Dyno_Data[Team],Dyno_Data[[#This Row],[Team]],Dyno_Data[RecordType],"StartMatch",Dyno_Data[Match],Dyno_Data[[#This Row],[Match]]),0)*86400),0)</f>
        <v>0</v>
      </c>
    </row>
    <row r="1469" spans="1:35" x14ac:dyDescent="0.3">
      <c r="A1469">
        <v>1478</v>
      </c>
      <c r="B1469" t="s">
        <v>361</v>
      </c>
      <c r="C1469">
        <v>31</v>
      </c>
      <c r="D1469" s="105">
        <v>45373.592330671294</v>
      </c>
      <c r="E1469" t="s">
        <v>308</v>
      </c>
      <c r="F1469" t="s">
        <v>309</v>
      </c>
      <c r="G1469">
        <v>0</v>
      </c>
      <c r="H1469" t="s">
        <v>310</v>
      </c>
      <c r="I1469">
        <v>0</v>
      </c>
      <c r="J1469">
        <v>0</v>
      </c>
      <c r="K1469">
        <v>0</v>
      </c>
      <c r="L1469" t="s">
        <v>310</v>
      </c>
      <c r="M1469" t="s">
        <v>310</v>
      </c>
      <c r="N1469">
        <v>0</v>
      </c>
      <c r="O1469" t="s">
        <v>1393</v>
      </c>
      <c r="P1469" t="s">
        <v>310</v>
      </c>
      <c r="Q1469" t="s">
        <v>310</v>
      </c>
      <c r="R1469" t="s">
        <v>310</v>
      </c>
      <c r="S1469">
        <v>9</v>
      </c>
      <c r="T1469" t="s">
        <v>310</v>
      </c>
      <c r="U1469">
        <v>9</v>
      </c>
      <c r="V1469">
        <v>9</v>
      </c>
      <c r="W1469">
        <v>0</v>
      </c>
      <c r="X1469">
        <v>0</v>
      </c>
      <c r="Y1469">
        <v>0</v>
      </c>
      <c r="Z1469">
        <v>0</v>
      </c>
      <c r="AA1469">
        <v>9</v>
      </c>
      <c r="AB1469">
        <v>9</v>
      </c>
      <c r="AC1469" t="s">
        <v>310</v>
      </c>
      <c r="AD1469">
        <v>9</v>
      </c>
      <c r="AE1469" t="s">
        <v>1394</v>
      </c>
      <c r="AF1469">
        <v>0</v>
      </c>
      <c r="AG1469" t="s">
        <v>310</v>
      </c>
      <c r="AH1469">
        <f>SUM((MID(Dyno_Data[[#This Row],[Team]],4,5))+(Dyno_Data[[#This Row],[Match]]/100))</f>
        <v>20.309999999999999</v>
      </c>
      <c r="AI1469" s="76">
        <f>ROUND(SUM(IF(Dyno_Data[[#This Row],[AcqCenter]]&gt;0,Dyno_Data[[#This Row],[Time]]-SUMIFS(Dyno_Data[Time],Dyno_Data[Team],Dyno_Data[[#This Row],[Team]],Dyno_Data[RecordType],"StartMatch",Dyno_Data[Match],Dyno_Data[[#This Row],[Match]]),0)*86400),0)</f>
        <v>0</v>
      </c>
    </row>
    <row r="1470" spans="1:35" x14ac:dyDescent="0.3">
      <c r="A1470">
        <v>1464</v>
      </c>
      <c r="B1470" t="s">
        <v>1286</v>
      </c>
      <c r="C1470">
        <v>31</v>
      </c>
      <c r="D1470" s="105">
        <v>45373.592334687499</v>
      </c>
      <c r="E1470" t="s">
        <v>312</v>
      </c>
      <c r="F1470" t="s">
        <v>309</v>
      </c>
      <c r="G1470">
        <v>0</v>
      </c>
      <c r="H1470" t="s">
        <v>1397</v>
      </c>
      <c r="I1470">
        <v>0</v>
      </c>
      <c r="J1470">
        <v>0</v>
      </c>
      <c r="K1470">
        <v>0</v>
      </c>
      <c r="L1470" t="s">
        <v>240</v>
      </c>
      <c r="M1470" t="s">
        <v>1398</v>
      </c>
      <c r="N1470">
        <v>0</v>
      </c>
      <c r="O1470" t="s">
        <v>319</v>
      </c>
      <c r="P1470" t="s">
        <v>310</v>
      </c>
      <c r="Q1470" t="s">
        <v>310</v>
      </c>
      <c r="R1470" t="s">
        <v>310</v>
      </c>
      <c r="S1470">
        <v>9</v>
      </c>
      <c r="T1470" t="s">
        <v>310</v>
      </c>
      <c r="U1470">
        <v>9</v>
      </c>
      <c r="V1470">
        <v>9</v>
      </c>
      <c r="W1470">
        <v>0</v>
      </c>
      <c r="X1470">
        <v>0</v>
      </c>
      <c r="Y1470">
        <v>0</v>
      </c>
      <c r="Z1470">
        <v>0</v>
      </c>
      <c r="AA1470">
        <v>9</v>
      </c>
      <c r="AB1470">
        <v>9</v>
      </c>
      <c r="AC1470" t="s">
        <v>310</v>
      </c>
      <c r="AD1470">
        <v>9</v>
      </c>
      <c r="AE1470" t="s">
        <v>1388</v>
      </c>
      <c r="AF1470">
        <v>0</v>
      </c>
      <c r="AG1470" t="s">
        <v>310</v>
      </c>
      <c r="AH1470">
        <f>SUM((MID(Dyno_Data[[#This Row],[Team]],4,5))+(Dyno_Data[[#This Row],[Match]]/100))</f>
        <v>1591.31</v>
      </c>
      <c r="AI1470" s="76">
        <f>ROUND(SUM(IF(Dyno_Data[[#This Row],[AcqCenter]]&gt;0,Dyno_Data[[#This Row],[Time]]-SUMIFS(Dyno_Data[Time],Dyno_Data[Team],Dyno_Data[[#This Row],[Team]],Dyno_Data[RecordType],"StartMatch",Dyno_Data[Match],Dyno_Data[[#This Row],[Match]]),0)*86400),0)</f>
        <v>0</v>
      </c>
    </row>
    <row r="1471" spans="1:35" x14ac:dyDescent="0.3">
      <c r="A1471">
        <v>1465</v>
      </c>
      <c r="B1471" t="s">
        <v>368</v>
      </c>
      <c r="C1471">
        <v>31</v>
      </c>
      <c r="D1471" s="105">
        <v>45373.592344675926</v>
      </c>
      <c r="E1471" t="s">
        <v>312</v>
      </c>
      <c r="F1471" t="s">
        <v>309</v>
      </c>
      <c r="G1471">
        <v>0</v>
      </c>
      <c r="H1471" t="s">
        <v>1397</v>
      </c>
      <c r="I1471">
        <v>0</v>
      </c>
      <c r="J1471">
        <v>0</v>
      </c>
      <c r="K1471">
        <v>0</v>
      </c>
      <c r="L1471" t="s">
        <v>240</v>
      </c>
      <c r="M1471" t="s">
        <v>1398</v>
      </c>
      <c r="N1471">
        <v>0</v>
      </c>
      <c r="O1471" t="s">
        <v>1389</v>
      </c>
      <c r="P1471" t="s">
        <v>310</v>
      </c>
      <c r="Q1471" t="s">
        <v>310</v>
      </c>
      <c r="R1471" t="s">
        <v>310</v>
      </c>
      <c r="S1471">
        <v>9</v>
      </c>
      <c r="T1471" t="s">
        <v>310</v>
      </c>
      <c r="U1471">
        <v>9</v>
      </c>
      <c r="V1471">
        <v>9</v>
      </c>
      <c r="W1471">
        <v>0</v>
      </c>
      <c r="X1471">
        <v>0</v>
      </c>
      <c r="Y1471">
        <v>0</v>
      </c>
      <c r="Z1471">
        <v>0</v>
      </c>
      <c r="AA1471">
        <v>9</v>
      </c>
      <c r="AB1471">
        <v>9</v>
      </c>
      <c r="AC1471" t="s">
        <v>310</v>
      </c>
      <c r="AD1471">
        <v>9</v>
      </c>
      <c r="AE1471" t="s">
        <v>1387</v>
      </c>
      <c r="AF1471">
        <v>0</v>
      </c>
      <c r="AG1471" t="s">
        <v>310</v>
      </c>
      <c r="AH1471">
        <f>SUM((MID(Dyno_Data[[#This Row],[Team]],4,5))+(Dyno_Data[[#This Row],[Match]]/100))</f>
        <v>6401.31</v>
      </c>
      <c r="AI1471" s="76">
        <f>ROUND(SUM(IF(Dyno_Data[[#This Row],[AcqCenter]]&gt;0,Dyno_Data[[#This Row],[Time]]-SUMIFS(Dyno_Data[Time],Dyno_Data[Team],Dyno_Data[[#This Row],[Team]],Dyno_Data[RecordType],"StartMatch",Dyno_Data[Match],Dyno_Data[[#This Row],[Match]]),0)*86400),0)</f>
        <v>0</v>
      </c>
    </row>
    <row r="1472" spans="1:35" x14ac:dyDescent="0.3">
      <c r="A1472">
        <v>1480</v>
      </c>
      <c r="B1472" t="s">
        <v>371</v>
      </c>
      <c r="C1472">
        <v>31</v>
      </c>
      <c r="D1472" s="105">
        <v>45373.592359641203</v>
      </c>
      <c r="E1472" t="s">
        <v>308</v>
      </c>
      <c r="F1472" t="s">
        <v>309</v>
      </c>
      <c r="G1472">
        <v>0</v>
      </c>
      <c r="H1472" t="s">
        <v>310</v>
      </c>
      <c r="I1472">
        <v>0</v>
      </c>
      <c r="J1472">
        <v>0</v>
      </c>
      <c r="K1472">
        <v>0</v>
      </c>
      <c r="L1472" t="s">
        <v>310</v>
      </c>
      <c r="M1472" t="s">
        <v>310</v>
      </c>
      <c r="N1472">
        <v>0</v>
      </c>
      <c r="O1472" t="s">
        <v>1391</v>
      </c>
      <c r="P1472" t="s">
        <v>310</v>
      </c>
      <c r="Q1472" t="s">
        <v>310</v>
      </c>
      <c r="R1472" t="s">
        <v>310</v>
      </c>
      <c r="S1472">
        <v>9</v>
      </c>
      <c r="T1472" t="s">
        <v>310</v>
      </c>
      <c r="U1472">
        <v>9</v>
      </c>
      <c r="V1472">
        <v>9</v>
      </c>
      <c r="W1472">
        <v>0</v>
      </c>
      <c r="X1472">
        <v>0</v>
      </c>
      <c r="Y1472">
        <v>0</v>
      </c>
      <c r="Z1472">
        <v>0</v>
      </c>
      <c r="AA1472">
        <v>9</v>
      </c>
      <c r="AB1472">
        <v>9</v>
      </c>
      <c r="AC1472" t="s">
        <v>310</v>
      </c>
      <c r="AD1472">
        <v>9</v>
      </c>
      <c r="AE1472" t="s">
        <v>1390</v>
      </c>
      <c r="AF1472">
        <v>0</v>
      </c>
      <c r="AG1472" t="s">
        <v>310</v>
      </c>
      <c r="AH1472">
        <f>SUM((MID(Dyno_Data[[#This Row],[Team]],4,5))+(Dyno_Data[[#This Row],[Match]]/100))</f>
        <v>6969.31</v>
      </c>
      <c r="AI1472" s="76">
        <f>ROUND(SUM(IF(Dyno_Data[[#This Row],[AcqCenter]]&gt;0,Dyno_Data[[#This Row],[Time]]-SUMIFS(Dyno_Data[Time],Dyno_Data[Team],Dyno_Data[[#This Row],[Team]],Dyno_Data[RecordType],"StartMatch",Dyno_Data[Match],Dyno_Data[[#This Row],[Match]]),0)*86400),0)</f>
        <v>0</v>
      </c>
    </row>
    <row r="1473" spans="1:35" x14ac:dyDescent="0.3">
      <c r="A1473">
        <v>1466</v>
      </c>
      <c r="B1473" t="s">
        <v>1286</v>
      </c>
      <c r="C1473">
        <v>31</v>
      </c>
      <c r="D1473" s="105">
        <v>45373.592362233794</v>
      </c>
      <c r="E1473" t="s">
        <v>312</v>
      </c>
      <c r="F1473" t="s">
        <v>309</v>
      </c>
      <c r="G1473">
        <v>0</v>
      </c>
      <c r="H1473" t="s">
        <v>143</v>
      </c>
      <c r="I1473">
        <v>3</v>
      </c>
      <c r="J1473">
        <v>1</v>
      </c>
      <c r="K1473">
        <v>0</v>
      </c>
      <c r="L1473" t="s">
        <v>310</v>
      </c>
      <c r="M1473" t="s">
        <v>310</v>
      </c>
      <c r="N1473">
        <v>0</v>
      </c>
      <c r="O1473" t="s">
        <v>319</v>
      </c>
      <c r="P1473" t="s">
        <v>310</v>
      </c>
      <c r="Q1473" t="s">
        <v>310</v>
      </c>
      <c r="R1473" t="s">
        <v>310</v>
      </c>
      <c r="S1473">
        <v>9</v>
      </c>
      <c r="T1473" t="s">
        <v>310</v>
      </c>
      <c r="U1473">
        <v>9</v>
      </c>
      <c r="V1473">
        <v>9</v>
      </c>
      <c r="W1473">
        <v>0</v>
      </c>
      <c r="X1473">
        <v>0</v>
      </c>
      <c r="Y1473">
        <v>0</v>
      </c>
      <c r="Z1473">
        <v>0</v>
      </c>
      <c r="AA1473">
        <v>9</v>
      </c>
      <c r="AB1473">
        <v>9</v>
      </c>
      <c r="AC1473" t="s">
        <v>310</v>
      </c>
      <c r="AD1473">
        <v>9</v>
      </c>
      <c r="AE1473" t="s">
        <v>1388</v>
      </c>
      <c r="AF1473">
        <v>1000</v>
      </c>
      <c r="AG1473" t="s">
        <v>310</v>
      </c>
      <c r="AH1473">
        <f>SUM((MID(Dyno_Data[[#This Row],[Team]],4,5))+(Dyno_Data[[#This Row],[Match]]/100))</f>
        <v>1591.31</v>
      </c>
      <c r="AI1473" s="76">
        <f>ROUND(SUM(IF(Dyno_Data[[#This Row],[AcqCenter]]&gt;0,Dyno_Data[[#This Row],[Time]]-SUMIFS(Dyno_Data[Time],Dyno_Data[Team],Dyno_Data[[#This Row],[Team]],Dyno_Data[RecordType],"StartMatch",Dyno_Data[Match],Dyno_Data[[#This Row],[Match]]),0)*86400),0)</f>
        <v>3</v>
      </c>
    </row>
    <row r="1474" spans="1:35" x14ac:dyDescent="0.3">
      <c r="A1474">
        <v>1467</v>
      </c>
      <c r="B1474" t="s">
        <v>1296</v>
      </c>
      <c r="C1474">
        <v>31</v>
      </c>
      <c r="D1474" s="105">
        <v>45373.592375925924</v>
      </c>
      <c r="E1474" t="s">
        <v>312</v>
      </c>
      <c r="F1474" t="s">
        <v>309</v>
      </c>
      <c r="G1474">
        <v>0</v>
      </c>
      <c r="H1474" t="s">
        <v>1397</v>
      </c>
      <c r="I1474">
        <v>0</v>
      </c>
      <c r="J1474">
        <v>0</v>
      </c>
      <c r="K1474">
        <v>0</v>
      </c>
      <c r="L1474" t="s">
        <v>241</v>
      </c>
      <c r="M1474" t="s">
        <v>1398</v>
      </c>
      <c r="N1474">
        <v>0</v>
      </c>
      <c r="O1474" t="s">
        <v>311</v>
      </c>
      <c r="P1474" t="s">
        <v>310</v>
      </c>
      <c r="Q1474" t="s">
        <v>310</v>
      </c>
      <c r="R1474" t="s">
        <v>310</v>
      </c>
      <c r="S1474">
        <v>9</v>
      </c>
      <c r="T1474" t="s">
        <v>310</v>
      </c>
      <c r="U1474">
        <v>9</v>
      </c>
      <c r="V1474">
        <v>9</v>
      </c>
      <c r="W1474">
        <v>0</v>
      </c>
      <c r="X1474">
        <v>0</v>
      </c>
      <c r="Y1474">
        <v>0</v>
      </c>
      <c r="Z1474">
        <v>0</v>
      </c>
      <c r="AA1474">
        <v>9</v>
      </c>
      <c r="AB1474">
        <v>9</v>
      </c>
      <c r="AC1474" t="s">
        <v>310</v>
      </c>
      <c r="AD1474">
        <v>9</v>
      </c>
      <c r="AE1474" t="s">
        <v>1392</v>
      </c>
      <c r="AF1474">
        <v>0</v>
      </c>
      <c r="AG1474" t="s">
        <v>310</v>
      </c>
      <c r="AH1474">
        <f>SUM((MID(Dyno_Data[[#This Row],[Team]],4,5))+(Dyno_Data[[#This Row],[Match]]/100))</f>
        <v>3003.31</v>
      </c>
      <c r="AI1474" s="76">
        <f>ROUND(SUM(IF(Dyno_Data[[#This Row],[AcqCenter]]&gt;0,Dyno_Data[[#This Row],[Time]]-SUMIFS(Dyno_Data[Time],Dyno_Data[Team],Dyno_Data[[#This Row],[Team]],Dyno_Data[RecordType],"StartMatch",Dyno_Data[Match],Dyno_Data[[#This Row],[Match]]),0)*86400),0)</f>
        <v>0</v>
      </c>
    </row>
    <row r="1475" spans="1:35" x14ac:dyDescent="0.3">
      <c r="A1475">
        <v>1468</v>
      </c>
      <c r="B1475" t="s">
        <v>1286</v>
      </c>
      <c r="C1475">
        <v>31</v>
      </c>
      <c r="D1475" s="105">
        <v>45373.592403553244</v>
      </c>
      <c r="E1475" t="s">
        <v>312</v>
      </c>
      <c r="F1475" t="s">
        <v>309</v>
      </c>
      <c r="G1475">
        <v>0</v>
      </c>
      <c r="H1475" t="s">
        <v>143</v>
      </c>
      <c r="I1475">
        <v>0</v>
      </c>
      <c r="J1475">
        <v>0</v>
      </c>
      <c r="K1475">
        <v>0</v>
      </c>
      <c r="L1475" t="s">
        <v>241</v>
      </c>
      <c r="M1475" t="s">
        <v>1398</v>
      </c>
      <c r="N1475">
        <v>0</v>
      </c>
      <c r="O1475" t="s">
        <v>319</v>
      </c>
      <c r="P1475" t="s">
        <v>310</v>
      </c>
      <c r="Q1475" t="s">
        <v>310</v>
      </c>
      <c r="R1475" t="s">
        <v>310</v>
      </c>
      <c r="S1475">
        <v>9</v>
      </c>
      <c r="T1475" t="s">
        <v>310</v>
      </c>
      <c r="U1475">
        <v>9</v>
      </c>
      <c r="V1475">
        <v>9</v>
      </c>
      <c r="W1475">
        <v>0</v>
      </c>
      <c r="X1475">
        <v>0</v>
      </c>
      <c r="Y1475">
        <v>0</v>
      </c>
      <c r="Z1475">
        <v>0</v>
      </c>
      <c r="AA1475">
        <v>9</v>
      </c>
      <c r="AB1475">
        <v>9</v>
      </c>
      <c r="AC1475" t="s">
        <v>310</v>
      </c>
      <c r="AD1475">
        <v>9</v>
      </c>
      <c r="AE1475" t="s">
        <v>1388</v>
      </c>
      <c r="AF1475">
        <v>1000</v>
      </c>
      <c r="AG1475" t="s">
        <v>310</v>
      </c>
      <c r="AH1475">
        <f>SUM((MID(Dyno_Data[[#This Row],[Team]],4,5))+(Dyno_Data[[#This Row],[Match]]/100))</f>
        <v>1591.31</v>
      </c>
      <c r="AI1475" s="76">
        <f>ROUND(SUM(IF(Dyno_Data[[#This Row],[AcqCenter]]&gt;0,Dyno_Data[[#This Row],[Time]]-SUMIFS(Dyno_Data[Time],Dyno_Data[Team],Dyno_Data[[#This Row],[Team]],Dyno_Data[RecordType],"StartMatch",Dyno_Data[Match],Dyno_Data[[#This Row],[Match]]),0)*86400),0)</f>
        <v>0</v>
      </c>
    </row>
    <row r="1476" spans="1:35" x14ac:dyDescent="0.3">
      <c r="A1476">
        <v>1469</v>
      </c>
      <c r="B1476" t="s">
        <v>1306</v>
      </c>
      <c r="C1476">
        <v>31</v>
      </c>
      <c r="D1476" s="105">
        <v>45373.592427465279</v>
      </c>
      <c r="E1476" t="s">
        <v>312</v>
      </c>
      <c r="F1476" t="s">
        <v>309</v>
      </c>
      <c r="G1476">
        <v>0</v>
      </c>
      <c r="H1476" t="s">
        <v>143</v>
      </c>
      <c r="I1476">
        <v>4</v>
      </c>
      <c r="J1476">
        <v>1</v>
      </c>
      <c r="K1476">
        <v>0</v>
      </c>
      <c r="L1476" t="s">
        <v>310</v>
      </c>
      <c r="M1476" t="s">
        <v>310</v>
      </c>
      <c r="N1476">
        <v>0</v>
      </c>
      <c r="O1476" t="s">
        <v>1395</v>
      </c>
      <c r="P1476" t="s">
        <v>310</v>
      </c>
      <c r="Q1476" t="s">
        <v>310</v>
      </c>
      <c r="R1476" t="s">
        <v>310</v>
      </c>
      <c r="S1476">
        <v>9</v>
      </c>
      <c r="T1476" t="s">
        <v>310</v>
      </c>
      <c r="U1476">
        <v>9</v>
      </c>
      <c r="V1476">
        <v>9</v>
      </c>
      <c r="W1476">
        <v>0</v>
      </c>
      <c r="X1476">
        <v>0</v>
      </c>
      <c r="Y1476">
        <v>0</v>
      </c>
      <c r="Z1476">
        <v>0</v>
      </c>
      <c r="AA1476">
        <v>9</v>
      </c>
      <c r="AB1476">
        <v>9</v>
      </c>
      <c r="AC1476" t="s">
        <v>310</v>
      </c>
      <c r="AD1476">
        <v>9</v>
      </c>
      <c r="AE1476" t="s">
        <v>1396</v>
      </c>
      <c r="AF1476">
        <v>1000</v>
      </c>
      <c r="AG1476" t="s">
        <v>310</v>
      </c>
      <c r="AH1476">
        <f>SUM((MID(Dyno_Data[[#This Row],[Team]],4,5))+(Dyno_Data[[#This Row],[Match]]/100))</f>
        <v>3986.31</v>
      </c>
      <c r="AI1476" s="76">
        <f>ROUND(SUM(IF(Dyno_Data[[#This Row],[AcqCenter]]&gt;0,Dyno_Data[[#This Row],[Time]]-SUMIFS(Dyno_Data[Time],Dyno_Data[Team],Dyno_Data[[#This Row],[Team]],Dyno_Data[RecordType],"StartMatch",Dyno_Data[Match],Dyno_Data[[#This Row],[Match]]),0)*86400),0)</f>
        <v>9</v>
      </c>
    </row>
    <row r="1477" spans="1:35" x14ac:dyDescent="0.3">
      <c r="A1477">
        <v>1471</v>
      </c>
      <c r="B1477" t="s">
        <v>1296</v>
      </c>
      <c r="C1477">
        <v>31</v>
      </c>
      <c r="D1477" s="105">
        <v>45373.59251574074</v>
      </c>
      <c r="E1477" t="s">
        <v>314</v>
      </c>
      <c r="F1477" t="s">
        <v>309</v>
      </c>
      <c r="G1477">
        <v>1</v>
      </c>
      <c r="H1477" t="s">
        <v>310</v>
      </c>
      <c r="I1477">
        <v>0</v>
      </c>
      <c r="J1477">
        <v>0</v>
      </c>
      <c r="K1477">
        <v>0</v>
      </c>
      <c r="L1477" t="s">
        <v>310</v>
      </c>
      <c r="M1477" t="s">
        <v>310</v>
      </c>
      <c r="N1477">
        <v>0</v>
      </c>
      <c r="O1477" t="s">
        <v>311</v>
      </c>
      <c r="P1477" t="s">
        <v>240</v>
      </c>
      <c r="Q1477" t="s">
        <v>1399</v>
      </c>
      <c r="R1477" t="s">
        <v>310</v>
      </c>
      <c r="S1477">
        <v>9</v>
      </c>
      <c r="T1477" t="s">
        <v>310</v>
      </c>
      <c r="U1477">
        <v>9</v>
      </c>
      <c r="V1477">
        <v>9</v>
      </c>
      <c r="W1477">
        <v>0</v>
      </c>
      <c r="X1477">
        <v>0</v>
      </c>
      <c r="Y1477">
        <v>0</v>
      </c>
      <c r="Z1477">
        <v>0</v>
      </c>
      <c r="AA1477">
        <v>9</v>
      </c>
      <c r="AB1477">
        <v>9</v>
      </c>
      <c r="AC1477" t="s">
        <v>310</v>
      </c>
      <c r="AD1477">
        <v>9</v>
      </c>
      <c r="AE1477" t="s">
        <v>1392</v>
      </c>
      <c r="AF1477">
        <v>0</v>
      </c>
      <c r="AG1477" t="s">
        <v>310</v>
      </c>
      <c r="AH1477">
        <f>SUM((MID(Dyno_Data[[#This Row],[Team]],4,5))+(Dyno_Data[[#This Row],[Match]]/100))</f>
        <v>3003.31</v>
      </c>
      <c r="AI1477" s="76">
        <f>ROUND(SUM(IF(Dyno_Data[[#This Row],[AcqCenter]]&gt;0,Dyno_Data[[#This Row],[Time]]-SUMIFS(Dyno_Data[Time],Dyno_Data[Team],Dyno_Data[[#This Row],[Team]],Dyno_Data[RecordType],"StartMatch",Dyno_Data[Match],Dyno_Data[[#This Row],[Match]]),0)*86400),0)</f>
        <v>0</v>
      </c>
    </row>
    <row r="1478" spans="1:35" x14ac:dyDescent="0.3">
      <c r="A1478">
        <v>1473</v>
      </c>
      <c r="B1478" t="s">
        <v>1286</v>
      </c>
      <c r="C1478">
        <v>31</v>
      </c>
      <c r="D1478" s="105">
        <v>45373.592532442133</v>
      </c>
      <c r="E1478" t="s">
        <v>314</v>
      </c>
      <c r="F1478" t="s">
        <v>309</v>
      </c>
      <c r="G1478">
        <v>1</v>
      </c>
      <c r="H1478" t="s">
        <v>310</v>
      </c>
      <c r="I1478">
        <v>0</v>
      </c>
      <c r="J1478">
        <v>0</v>
      </c>
      <c r="K1478">
        <v>0</v>
      </c>
      <c r="L1478" t="s">
        <v>310</v>
      </c>
      <c r="M1478" t="s">
        <v>310</v>
      </c>
      <c r="N1478">
        <v>0</v>
      </c>
      <c r="O1478" t="s">
        <v>319</v>
      </c>
      <c r="P1478" t="s">
        <v>1401</v>
      </c>
      <c r="Q1478" t="s">
        <v>1400</v>
      </c>
      <c r="R1478" t="s">
        <v>310</v>
      </c>
      <c r="S1478">
        <v>9</v>
      </c>
      <c r="T1478" t="s">
        <v>310</v>
      </c>
      <c r="U1478">
        <v>9</v>
      </c>
      <c r="V1478">
        <v>9</v>
      </c>
      <c r="W1478">
        <v>0</v>
      </c>
      <c r="X1478">
        <v>0</v>
      </c>
      <c r="Y1478">
        <v>0</v>
      </c>
      <c r="Z1478">
        <v>0</v>
      </c>
      <c r="AA1478">
        <v>9</v>
      </c>
      <c r="AB1478">
        <v>9</v>
      </c>
      <c r="AC1478" t="s">
        <v>310</v>
      </c>
      <c r="AD1478">
        <v>9</v>
      </c>
      <c r="AE1478" t="s">
        <v>1388</v>
      </c>
      <c r="AF1478">
        <v>1000</v>
      </c>
      <c r="AG1478" t="s">
        <v>310</v>
      </c>
      <c r="AH1478">
        <f>SUM((MID(Dyno_Data[[#This Row],[Team]],4,5))+(Dyno_Data[[#This Row],[Match]]/100))</f>
        <v>1591.31</v>
      </c>
      <c r="AI1478" s="76">
        <f>ROUND(SUM(IF(Dyno_Data[[#This Row],[AcqCenter]]&gt;0,Dyno_Data[[#This Row],[Time]]-SUMIFS(Dyno_Data[Time],Dyno_Data[Team],Dyno_Data[[#This Row],[Team]],Dyno_Data[RecordType],"StartMatch",Dyno_Data[Match],Dyno_Data[[#This Row],[Match]]),0)*86400),0)</f>
        <v>0</v>
      </c>
    </row>
    <row r="1479" spans="1:35" x14ac:dyDescent="0.3">
      <c r="A1479">
        <v>1475</v>
      </c>
      <c r="B1479" t="s">
        <v>368</v>
      </c>
      <c r="C1479">
        <v>31</v>
      </c>
      <c r="D1479" s="105">
        <v>45373.592533877316</v>
      </c>
      <c r="E1479" t="s">
        <v>314</v>
      </c>
      <c r="F1479" t="s">
        <v>309</v>
      </c>
      <c r="G1479">
        <v>0</v>
      </c>
      <c r="H1479" t="s">
        <v>310</v>
      </c>
      <c r="I1479">
        <v>0</v>
      </c>
      <c r="J1479">
        <v>0</v>
      </c>
      <c r="K1479">
        <v>0</v>
      </c>
      <c r="L1479" t="s">
        <v>310</v>
      </c>
      <c r="M1479" t="s">
        <v>310</v>
      </c>
      <c r="N1479">
        <v>0</v>
      </c>
      <c r="O1479" t="s">
        <v>1389</v>
      </c>
      <c r="P1479" t="s">
        <v>101</v>
      </c>
      <c r="Q1479" t="s">
        <v>1400</v>
      </c>
      <c r="R1479" t="s">
        <v>310</v>
      </c>
      <c r="S1479">
        <v>9</v>
      </c>
      <c r="T1479" t="s">
        <v>310</v>
      </c>
      <c r="U1479">
        <v>9</v>
      </c>
      <c r="V1479">
        <v>9</v>
      </c>
      <c r="W1479">
        <v>0</v>
      </c>
      <c r="X1479">
        <v>0</v>
      </c>
      <c r="Y1479">
        <v>0</v>
      </c>
      <c r="Z1479">
        <v>0</v>
      </c>
      <c r="AA1479">
        <v>9</v>
      </c>
      <c r="AB1479">
        <v>9</v>
      </c>
      <c r="AC1479" t="s">
        <v>310</v>
      </c>
      <c r="AD1479">
        <v>9</v>
      </c>
      <c r="AE1479" t="s">
        <v>1387</v>
      </c>
      <c r="AF1479">
        <v>0</v>
      </c>
      <c r="AG1479" t="s">
        <v>310</v>
      </c>
      <c r="AH1479">
        <f>SUM((MID(Dyno_Data[[#This Row],[Team]],4,5))+(Dyno_Data[[#This Row],[Match]]/100))</f>
        <v>6401.31</v>
      </c>
      <c r="AI1479" s="76">
        <f>ROUND(SUM(IF(Dyno_Data[[#This Row],[AcqCenter]]&gt;0,Dyno_Data[[#This Row],[Time]]-SUMIFS(Dyno_Data[Time],Dyno_Data[Team],Dyno_Data[[#This Row],[Team]],Dyno_Data[RecordType],"StartMatch",Dyno_Data[Match],Dyno_Data[[#This Row],[Match]]),0)*86400),0)</f>
        <v>0</v>
      </c>
    </row>
    <row r="1480" spans="1:35" x14ac:dyDescent="0.3">
      <c r="A1480">
        <v>1477</v>
      </c>
      <c r="B1480" t="s">
        <v>1306</v>
      </c>
      <c r="C1480">
        <v>31</v>
      </c>
      <c r="D1480" s="105">
        <v>45373.592534571762</v>
      </c>
      <c r="E1480" t="s">
        <v>314</v>
      </c>
      <c r="F1480" t="s">
        <v>309</v>
      </c>
      <c r="G1480">
        <v>1</v>
      </c>
      <c r="H1480" t="s">
        <v>310</v>
      </c>
      <c r="I1480">
        <v>0</v>
      </c>
      <c r="J1480">
        <v>0</v>
      </c>
      <c r="K1480">
        <v>0</v>
      </c>
      <c r="L1480" t="s">
        <v>310</v>
      </c>
      <c r="M1480" t="s">
        <v>310</v>
      </c>
      <c r="N1480">
        <v>0</v>
      </c>
      <c r="O1480" t="s">
        <v>1395</v>
      </c>
      <c r="P1480" t="s">
        <v>320</v>
      </c>
      <c r="Q1480" t="s">
        <v>1400</v>
      </c>
      <c r="R1480" t="s">
        <v>310</v>
      </c>
      <c r="S1480">
        <v>9</v>
      </c>
      <c r="T1480" t="s">
        <v>310</v>
      </c>
      <c r="U1480">
        <v>9</v>
      </c>
      <c r="V1480">
        <v>9</v>
      </c>
      <c r="W1480">
        <v>0</v>
      </c>
      <c r="X1480">
        <v>0</v>
      </c>
      <c r="Y1480">
        <v>0</v>
      </c>
      <c r="Z1480">
        <v>0</v>
      </c>
      <c r="AA1480">
        <v>9</v>
      </c>
      <c r="AB1480">
        <v>9</v>
      </c>
      <c r="AC1480" t="s">
        <v>310</v>
      </c>
      <c r="AD1480">
        <v>9</v>
      </c>
      <c r="AE1480" t="s">
        <v>1396</v>
      </c>
      <c r="AF1480">
        <v>1000</v>
      </c>
      <c r="AG1480" t="s">
        <v>310</v>
      </c>
      <c r="AH1480">
        <f>SUM((MID(Dyno_Data[[#This Row],[Team]],4,5))+(Dyno_Data[[#This Row],[Match]]/100))</f>
        <v>3986.31</v>
      </c>
      <c r="AI1480" s="76">
        <f>ROUND(SUM(IF(Dyno_Data[[#This Row],[AcqCenter]]&gt;0,Dyno_Data[[#This Row],[Time]]-SUMIFS(Dyno_Data[Time],Dyno_Data[Team],Dyno_Data[[#This Row],[Team]],Dyno_Data[RecordType],"StartMatch",Dyno_Data[Match],Dyno_Data[[#This Row],[Match]]),0)*86400),0)</f>
        <v>0</v>
      </c>
    </row>
    <row r="1481" spans="1:35" x14ac:dyDescent="0.3">
      <c r="A1481">
        <v>1479</v>
      </c>
      <c r="B1481" t="s">
        <v>361</v>
      </c>
      <c r="C1481">
        <v>31</v>
      </c>
      <c r="D1481" s="105">
        <v>45373.592539004632</v>
      </c>
      <c r="E1481" t="s">
        <v>314</v>
      </c>
      <c r="F1481" t="s">
        <v>309</v>
      </c>
      <c r="G1481">
        <v>0</v>
      </c>
      <c r="H1481" t="s">
        <v>310</v>
      </c>
      <c r="I1481">
        <v>0</v>
      </c>
      <c r="J1481">
        <v>0</v>
      </c>
      <c r="K1481">
        <v>0</v>
      </c>
      <c r="L1481" t="s">
        <v>310</v>
      </c>
      <c r="M1481" t="s">
        <v>310</v>
      </c>
      <c r="N1481">
        <v>0</v>
      </c>
      <c r="O1481" t="s">
        <v>1393</v>
      </c>
      <c r="P1481" t="s">
        <v>240</v>
      </c>
      <c r="Q1481" t="s">
        <v>1399</v>
      </c>
      <c r="R1481" t="s">
        <v>310</v>
      </c>
      <c r="S1481">
        <v>9</v>
      </c>
      <c r="T1481" t="s">
        <v>310</v>
      </c>
      <c r="U1481">
        <v>9</v>
      </c>
      <c r="V1481">
        <v>9</v>
      </c>
      <c r="W1481">
        <v>0</v>
      </c>
      <c r="X1481">
        <v>0</v>
      </c>
      <c r="Y1481">
        <v>0</v>
      </c>
      <c r="Z1481">
        <v>0</v>
      </c>
      <c r="AA1481">
        <v>9</v>
      </c>
      <c r="AB1481">
        <v>9</v>
      </c>
      <c r="AC1481" t="s">
        <v>310</v>
      </c>
      <c r="AD1481">
        <v>9</v>
      </c>
      <c r="AE1481" t="s">
        <v>1394</v>
      </c>
      <c r="AF1481">
        <v>0</v>
      </c>
      <c r="AG1481" t="s">
        <v>310</v>
      </c>
      <c r="AH1481">
        <f>SUM((MID(Dyno_Data[[#This Row],[Team]],4,5))+(Dyno_Data[[#This Row],[Match]]/100))</f>
        <v>20.309999999999999</v>
      </c>
      <c r="AI1481" s="76">
        <f>ROUND(SUM(IF(Dyno_Data[[#This Row],[AcqCenter]]&gt;0,Dyno_Data[[#This Row],[Time]]-SUMIFS(Dyno_Data[Time],Dyno_Data[Team],Dyno_Data[[#This Row],[Team]],Dyno_Data[RecordType],"StartMatch",Dyno_Data[Match],Dyno_Data[[#This Row],[Match]]),0)*86400),0)</f>
        <v>0</v>
      </c>
    </row>
    <row r="1482" spans="1:35" x14ac:dyDescent="0.3">
      <c r="A1482">
        <v>1481</v>
      </c>
      <c r="B1482" t="s">
        <v>371</v>
      </c>
      <c r="C1482">
        <v>31</v>
      </c>
      <c r="D1482" s="105">
        <v>45373.592567974534</v>
      </c>
      <c r="E1482" t="s">
        <v>314</v>
      </c>
      <c r="F1482" t="s">
        <v>309</v>
      </c>
      <c r="G1482">
        <v>0</v>
      </c>
      <c r="H1482" t="s">
        <v>310</v>
      </c>
      <c r="I1482">
        <v>0</v>
      </c>
      <c r="J1482">
        <v>0</v>
      </c>
      <c r="K1482">
        <v>0</v>
      </c>
      <c r="L1482" t="s">
        <v>310</v>
      </c>
      <c r="M1482" t="s">
        <v>310</v>
      </c>
      <c r="N1482">
        <v>0</v>
      </c>
      <c r="O1482" t="s">
        <v>1391</v>
      </c>
      <c r="P1482" t="s">
        <v>320</v>
      </c>
      <c r="Q1482" t="s">
        <v>1400</v>
      </c>
      <c r="R1482" t="s">
        <v>310</v>
      </c>
      <c r="S1482">
        <v>9</v>
      </c>
      <c r="T1482" t="s">
        <v>310</v>
      </c>
      <c r="U1482">
        <v>9</v>
      </c>
      <c r="V1482">
        <v>9</v>
      </c>
      <c r="W1482">
        <v>0</v>
      </c>
      <c r="X1482">
        <v>0</v>
      </c>
      <c r="Y1482">
        <v>0</v>
      </c>
      <c r="Z1482">
        <v>0</v>
      </c>
      <c r="AA1482">
        <v>9</v>
      </c>
      <c r="AB1482">
        <v>9</v>
      </c>
      <c r="AC1482" t="s">
        <v>310</v>
      </c>
      <c r="AD1482">
        <v>9</v>
      </c>
      <c r="AE1482" t="s">
        <v>1390</v>
      </c>
      <c r="AF1482">
        <v>0</v>
      </c>
      <c r="AG1482" t="s">
        <v>310</v>
      </c>
      <c r="AH1482">
        <f>SUM((MID(Dyno_Data[[#This Row],[Team]],4,5))+(Dyno_Data[[#This Row],[Match]]/100))</f>
        <v>6969.31</v>
      </c>
      <c r="AI1482" s="76">
        <f>ROUND(SUM(IF(Dyno_Data[[#This Row],[AcqCenter]]&gt;0,Dyno_Data[[#This Row],[Time]]-SUMIFS(Dyno_Data[Time],Dyno_Data[Team],Dyno_Data[[#This Row],[Team]],Dyno_Data[RecordType],"StartMatch",Dyno_Data[Match],Dyno_Data[[#This Row],[Match]]),0)*86400),0)</f>
        <v>0</v>
      </c>
    </row>
    <row r="1483" spans="1:35" x14ac:dyDescent="0.3">
      <c r="A1483">
        <v>1482</v>
      </c>
      <c r="B1483" t="s">
        <v>361</v>
      </c>
      <c r="C1483">
        <v>31</v>
      </c>
      <c r="D1483" s="105">
        <v>45373.592595289352</v>
      </c>
      <c r="E1483" t="s">
        <v>312</v>
      </c>
      <c r="F1483" t="s">
        <v>1402</v>
      </c>
      <c r="G1483">
        <v>0</v>
      </c>
      <c r="H1483" t="s">
        <v>1397</v>
      </c>
      <c r="I1483">
        <v>0</v>
      </c>
      <c r="J1483">
        <v>0</v>
      </c>
      <c r="K1483">
        <v>0</v>
      </c>
      <c r="L1483" t="s">
        <v>241</v>
      </c>
      <c r="M1483" t="s">
        <v>1398</v>
      </c>
      <c r="N1483">
        <v>0</v>
      </c>
      <c r="O1483" t="s">
        <v>1393</v>
      </c>
      <c r="P1483" t="s">
        <v>310</v>
      </c>
      <c r="Q1483" t="s">
        <v>310</v>
      </c>
      <c r="R1483" t="s">
        <v>310</v>
      </c>
      <c r="S1483">
        <v>9</v>
      </c>
      <c r="T1483" t="s">
        <v>310</v>
      </c>
      <c r="U1483">
        <v>9</v>
      </c>
      <c r="V1483">
        <v>9</v>
      </c>
      <c r="W1483">
        <v>0</v>
      </c>
      <c r="X1483">
        <v>0</v>
      </c>
      <c r="Y1483">
        <v>0</v>
      </c>
      <c r="Z1483">
        <v>0</v>
      </c>
      <c r="AA1483">
        <v>9</v>
      </c>
      <c r="AB1483">
        <v>9</v>
      </c>
      <c r="AC1483" t="s">
        <v>310</v>
      </c>
      <c r="AD1483">
        <v>9</v>
      </c>
      <c r="AE1483" t="s">
        <v>1394</v>
      </c>
      <c r="AF1483">
        <v>0</v>
      </c>
      <c r="AG1483" t="s">
        <v>310</v>
      </c>
      <c r="AH1483">
        <f>SUM((MID(Dyno_Data[[#This Row],[Team]],4,5))+(Dyno_Data[[#This Row],[Match]]/100))</f>
        <v>20.309999999999999</v>
      </c>
      <c r="AI1483" s="76">
        <f>ROUND(SUM(IF(Dyno_Data[[#This Row],[AcqCenter]]&gt;0,Dyno_Data[[#This Row],[Time]]-SUMIFS(Dyno_Data[Time],Dyno_Data[Team],Dyno_Data[[#This Row],[Team]],Dyno_Data[RecordType],"StartMatch",Dyno_Data[Match],Dyno_Data[[#This Row],[Match]]),0)*86400),0)</f>
        <v>0</v>
      </c>
    </row>
    <row r="1484" spans="1:35" x14ac:dyDescent="0.3">
      <c r="A1484">
        <v>1483</v>
      </c>
      <c r="B1484" t="s">
        <v>1306</v>
      </c>
      <c r="C1484">
        <v>31</v>
      </c>
      <c r="D1484" s="105">
        <v>45373.592620057869</v>
      </c>
      <c r="E1484" t="s">
        <v>312</v>
      </c>
      <c r="F1484" t="s">
        <v>1402</v>
      </c>
      <c r="G1484">
        <v>0</v>
      </c>
      <c r="H1484" t="s">
        <v>143</v>
      </c>
      <c r="I1484">
        <v>0</v>
      </c>
      <c r="J1484">
        <v>0</v>
      </c>
      <c r="K1484">
        <v>0</v>
      </c>
      <c r="L1484" t="s">
        <v>241</v>
      </c>
      <c r="M1484" t="s">
        <v>1398</v>
      </c>
      <c r="N1484">
        <v>0</v>
      </c>
      <c r="O1484" t="s">
        <v>1395</v>
      </c>
      <c r="P1484" t="s">
        <v>310</v>
      </c>
      <c r="Q1484" t="s">
        <v>310</v>
      </c>
      <c r="R1484" t="s">
        <v>310</v>
      </c>
      <c r="S1484">
        <v>9</v>
      </c>
      <c r="T1484" t="s">
        <v>310</v>
      </c>
      <c r="U1484">
        <v>9</v>
      </c>
      <c r="V1484">
        <v>9</v>
      </c>
      <c r="W1484">
        <v>0</v>
      </c>
      <c r="X1484">
        <v>0</v>
      </c>
      <c r="Y1484">
        <v>0</v>
      </c>
      <c r="Z1484">
        <v>0</v>
      </c>
      <c r="AA1484">
        <v>9</v>
      </c>
      <c r="AB1484">
        <v>9</v>
      </c>
      <c r="AC1484" t="s">
        <v>310</v>
      </c>
      <c r="AD1484">
        <v>9</v>
      </c>
      <c r="AE1484" t="s">
        <v>1396</v>
      </c>
      <c r="AF1484">
        <v>1000</v>
      </c>
      <c r="AG1484" t="s">
        <v>310</v>
      </c>
      <c r="AH1484">
        <f>SUM((MID(Dyno_Data[[#This Row],[Team]],4,5))+(Dyno_Data[[#This Row],[Match]]/100))</f>
        <v>3986.31</v>
      </c>
      <c r="AI1484" s="76">
        <f>ROUND(SUM(IF(Dyno_Data[[#This Row],[AcqCenter]]&gt;0,Dyno_Data[[#This Row],[Time]]-SUMIFS(Dyno_Data[Time],Dyno_Data[Team],Dyno_Data[[#This Row],[Team]],Dyno_Data[RecordType],"StartMatch",Dyno_Data[Match],Dyno_Data[[#This Row],[Match]]),0)*86400),0)</f>
        <v>0</v>
      </c>
    </row>
    <row r="1485" spans="1:35" x14ac:dyDescent="0.3">
      <c r="A1485">
        <v>1484</v>
      </c>
      <c r="B1485" t="s">
        <v>1286</v>
      </c>
      <c r="C1485">
        <v>31</v>
      </c>
      <c r="D1485" s="105">
        <v>45373.592626469908</v>
      </c>
      <c r="E1485" t="s">
        <v>312</v>
      </c>
      <c r="F1485" t="s">
        <v>1402</v>
      </c>
      <c r="G1485">
        <v>0</v>
      </c>
      <c r="H1485" t="s">
        <v>315</v>
      </c>
      <c r="I1485">
        <v>0</v>
      </c>
      <c r="J1485">
        <v>0</v>
      </c>
      <c r="K1485">
        <v>0</v>
      </c>
      <c r="L1485" t="s">
        <v>241</v>
      </c>
      <c r="M1485" t="s">
        <v>1398</v>
      </c>
      <c r="N1485">
        <v>0</v>
      </c>
      <c r="O1485" t="s">
        <v>319</v>
      </c>
      <c r="P1485" t="s">
        <v>310</v>
      </c>
      <c r="Q1485" t="s">
        <v>310</v>
      </c>
      <c r="R1485" t="s">
        <v>310</v>
      </c>
      <c r="S1485">
        <v>9</v>
      </c>
      <c r="T1485" t="s">
        <v>310</v>
      </c>
      <c r="U1485">
        <v>9</v>
      </c>
      <c r="V1485">
        <v>9</v>
      </c>
      <c r="W1485">
        <v>0</v>
      </c>
      <c r="X1485">
        <v>0</v>
      </c>
      <c r="Y1485">
        <v>0</v>
      </c>
      <c r="Z1485">
        <v>0</v>
      </c>
      <c r="AA1485">
        <v>9</v>
      </c>
      <c r="AB1485">
        <v>9</v>
      </c>
      <c r="AC1485" t="s">
        <v>310</v>
      </c>
      <c r="AD1485">
        <v>9</v>
      </c>
      <c r="AE1485" t="s">
        <v>1388</v>
      </c>
      <c r="AF1485">
        <v>10001000</v>
      </c>
      <c r="AG1485" t="s">
        <v>310</v>
      </c>
      <c r="AH1485">
        <f>SUM((MID(Dyno_Data[[#This Row],[Team]],4,5))+(Dyno_Data[[#This Row],[Match]]/100))</f>
        <v>1591.31</v>
      </c>
      <c r="AI1485" s="76">
        <f>ROUND(SUM(IF(Dyno_Data[[#This Row],[AcqCenter]]&gt;0,Dyno_Data[[#This Row],[Time]]-SUMIFS(Dyno_Data[Time],Dyno_Data[Team],Dyno_Data[[#This Row],[Team]],Dyno_Data[RecordType],"StartMatch",Dyno_Data[Match],Dyno_Data[[#This Row],[Match]]),0)*86400),0)</f>
        <v>0</v>
      </c>
    </row>
    <row r="1486" spans="1:35" x14ac:dyDescent="0.3">
      <c r="A1486">
        <v>1485</v>
      </c>
      <c r="B1486" t="s">
        <v>361</v>
      </c>
      <c r="C1486">
        <v>31</v>
      </c>
      <c r="D1486" s="105">
        <v>45373.592651736108</v>
      </c>
      <c r="E1486" t="s">
        <v>312</v>
      </c>
      <c r="F1486" t="s">
        <v>1402</v>
      </c>
      <c r="G1486">
        <v>0</v>
      </c>
      <c r="H1486" t="s">
        <v>315</v>
      </c>
      <c r="I1486">
        <v>0</v>
      </c>
      <c r="J1486">
        <v>0</v>
      </c>
      <c r="K1486">
        <v>0</v>
      </c>
      <c r="L1486" t="s">
        <v>241</v>
      </c>
      <c r="M1486" t="s">
        <v>101</v>
      </c>
      <c r="N1486">
        <v>0</v>
      </c>
      <c r="O1486" t="s">
        <v>1393</v>
      </c>
      <c r="P1486" t="s">
        <v>310</v>
      </c>
      <c r="Q1486" t="s">
        <v>310</v>
      </c>
      <c r="R1486" t="s">
        <v>310</v>
      </c>
      <c r="S1486">
        <v>9</v>
      </c>
      <c r="T1486" t="s">
        <v>310</v>
      </c>
      <c r="U1486">
        <v>9</v>
      </c>
      <c r="V1486">
        <v>9</v>
      </c>
      <c r="W1486">
        <v>0</v>
      </c>
      <c r="X1486">
        <v>0</v>
      </c>
      <c r="Y1486">
        <v>0</v>
      </c>
      <c r="Z1486">
        <v>0</v>
      </c>
      <c r="AA1486">
        <v>9</v>
      </c>
      <c r="AB1486">
        <v>9</v>
      </c>
      <c r="AC1486" t="s">
        <v>310</v>
      </c>
      <c r="AD1486">
        <v>9</v>
      </c>
      <c r="AE1486" t="s">
        <v>1394</v>
      </c>
      <c r="AF1486">
        <v>10000000</v>
      </c>
      <c r="AG1486" t="s">
        <v>310</v>
      </c>
      <c r="AH1486">
        <f>SUM((MID(Dyno_Data[[#This Row],[Team]],4,5))+(Dyno_Data[[#This Row],[Match]]/100))</f>
        <v>20.309999999999999</v>
      </c>
      <c r="AI1486" s="76">
        <f>ROUND(SUM(IF(Dyno_Data[[#This Row],[AcqCenter]]&gt;0,Dyno_Data[[#This Row],[Time]]-SUMIFS(Dyno_Data[Time],Dyno_Data[Team],Dyno_Data[[#This Row],[Team]],Dyno_Data[RecordType],"StartMatch",Dyno_Data[Match],Dyno_Data[[#This Row],[Match]]),0)*86400),0)</f>
        <v>0</v>
      </c>
    </row>
    <row r="1487" spans="1:35" x14ac:dyDescent="0.3">
      <c r="A1487">
        <v>1486</v>
      </c>
      <c r="B1487" t="s">
        <v>1286</v>
      </c>
      <c r="C1487">
        <v>31</v>
      </c>
      <c r="D1487" s="105">
        <v>45373.592697337961</v>
      </c>
      <c r="E1487" t="s">
        <v>312</v>
      </c>
      <c r="F1487" t="s">
        <v>1402</v>
      </c>
      <c r="G1487">
        <v>0</v>
      </c>
      <c r="H1487" t="s">
        <v>315</v>
      </c>
      <c r="I1487">
        <v>0</v>
      </c>
      <c r="J1487">
        <v>0</v>
      </c>
      <c r="K1487">
        <v>0</v>
      </c>
      <c r="L1487" t="s">
        <v>241</v>
      </c>
      <c r="M1487" t="s">
        <v>101</v>
      </c>
      <c r="N1487">
        <v>0</v>
      </c>
      <c r="O1487" t="s">
        <v>319</v>
      </c>
      <c r="P1487" t="s">
        <v>310</v>
      </c>
      <c r="Q1487" t="s">
        <v>310</v>
      </c>
      <c r="R1487" t="s">
        <v>310</v>
      </c>
      <c r="S1487">
        <v>9</v>
      </c>
      <c r="T1487" t="s">
        <v>310</v>
      </c>
      <c r="U1487">
        <v>9</v>
      </c>
      <c r="V1487">
        <v>9</v>
      </c>
      <c r="W1487">
        <v>0</v>
      </c>
      <c r="X1487">
        <v>0</v>
      </c>
      <c r="Y1487">
        <v>0</v>
      </c>
      <c r="Z1487">
        <v>0</v>
      </c>
      <c r="AA1487">
        <v>9</v>
      </c>
      <c r="AB1487">
        <v>9</v>
      </c>
      <c r="AC1487" t="s">
        <v>310</v>
      </c>
      <c r="AD1487">
        <v>9</v>
      </c>
      <c r="AE1487" t="s">
        <v>1388</v>
      </c>
      <c r="AF1487">
        <v>20001000</v>
      </c>
      <c r="AG1487" t="s">
        <v>310</v>
      </c>
      <c r="AH1487">
        <f>SUM((MID(Dyno_Data[[#This Row],[Team]],4,5))+(Dyno_Data[[#This Row],[Match]]/100))</f>
        <v>1591.31</v>
      </c>
      <c r="AI1487" s="76">
        <f>ROUND(SUM(IF(Dyno_Data[[#This Row],[AcqCenter]]&gt;0,Dyno_Data[[#This Row],[Time]]-SUMIFS(Dyno_Data[Time],Dyno_Data[Team],Dyno_Data[[#This Row],[Team]],Dyno_Data[RecordType],"StartMatch",Dyno_Data[Match],Dyno_Data[[#This Row],[Match]]),0)*86400),0)</f>
        <v>0</v>
      </c>
    </row>
    <row r="1488" spans="1:35" x14ac:dyDescent="0.3">
      <c r="A1488">
        <v>1487</v>
      </c>
      <c r="B1488" t="s">
        <v>1296</v>
      </c>
      <c r="C1488">
        <v>31</v>
      </c>
      <c r="D1488" s="105">
        <v>45373.592703854163</v>
      </c>
      <c r="E1488" t="s">
        <v>312</v>
      </c>
      <c r="F1488" t="s">
        <v>1402</v>
      </c>
      <c r="G1488">
        <v>0</v>
      </c>
      <c r="H1488" t="s">
        <v>315</v>
      </c>
      <c r="I1488">
        <v>0</v>
      </c>
      <c r="J1488">
        <v>0</v>
      </c>
      <c r="K1488">
        <v>0</v>
      </c>
      <c r="L1488" t="s">
        <v>241</v>
      </c>
      <c r="M1488" t="s">
        <v>1398</v>
      </c>
      <c r="N1488">
        <v>0</v>
      </c>
      <c r="O1488" t="s">
        <v>311</v>
      </c>
      <c r="P1488" t="s">
        <v>310</v>
      </c>
      <c r="Q1488" t="s">
        <v>310</v>
      </c>
      <c r="R1488" t="s">
        <v>310</v>
      </c>
      <c r="S1488">
        <v>9</v>
      </c>
      <c r="T1488" t="s">
        <v>310</v>
      </c>
      <c r="U1488">
        <v>9</v>
      </c>
      <c r="V1488">
        <v>9</v>
      </c>
      <c r="W1488">
        <v>0</v>
      </c>
      <c r="X1488">
        <v>0</v>
      </c>
      <c r="Y1488">
        <v>0</v>
      </c>
      <c r="Z1488">
        <v>0</v>
      </c>
      <c r="AA1488">
        <v>9</v>
      </c>
      <c r="AB1488">
        <v>9</v>
      </c>
      <c r="AC1488" t="s">
        <v>310</v>
      </c>
      <c r="AD1488">
        <v>9</v>
      </c>
      <c r="AE1488" t="s">
        <v>1392</v>
      </c>
      <c r="AF1488">
        <v>10000000</v>
      </c>
      <c r="AG1488" t="s">
        <v>310</v>
      </c>
      <c r="AH1488">
        <f>SUM((MID(Dyno_Data[[#This Row],[Team]],4,5))+(Dyno_Data[[#This Row],[Match]]/100))</f>
        <v>3003.31</v>
      </c>
      <c r="AI1488" s="76">
        <f>ROUND(SUM(IF(Dyno_Data[[#This Row],[AcqCenter]]&gt;0,Dyno_Data[[#This Row],[Time]]-SUMIFS(Dyno_Data[Time],Dyno_Data[Team],Dyno_Data[[#This Row],[Team]],Dyno_Data[RecordType],"StartMatch",Dyno_Data[Match],Dyno_Data[[#This Row],[Match]]),0)*86400),0)</f>
        <v>0</v>
      </c>
    </row>
    <row r="1489" spans="1:35" x14ac:dyDescent="0.3">
      <c r="A1489">
        <v>1488</v>
      </c>
      <c r="B1489" t="s">
        <v>368</v>
      </c>
      <c r="C1489">
        <v>31</v>
      </c>
      <c r="D1489" s="105">
        <v>45373.5927059838</v>
      </c>
      <c r="E1489" t="s">
        <v>312</v>
      </c>
      <c r="F1489" t="s">
        <v>1402</v>
      </c>
      <c r="G1489">
        <v>0</v>
      </c>
      <c r="H1489" t="s">
        <v>315</v>
      </c>
      <c r="I1489">
        <v>0</v>
      </c>
      <c r="J1489">
        <v>0</v>
      </c>
      <c r="K1489">
        <v>0</v>
      </c>
      <c r="L1489" t="s">
        <v>240</v>
      </c>
      <c r="M1489" t="s">
        <v>1398</v>
      </c>
      <c r="N1489">
        <v>0</v>
      </c>
      <c r="O1489" t="s">
        <v>1389</v>
      </c>
      <c r="P1489" t="s">
        <v>310</v>
      </c>
      <c r="Q1489" t="s">
        <v>310</v>
      </c>
      <c r="R1489" t="s">
        <v>310</v>
      </c>
      <c r="S1489">
        <v>9</v>
      </c>
      <c r="T1489" t="s">
        <v>310</v>
      </c>
      <c r="U1489">
        <v>9</v>
      </c>
      <c r="V1489">
        <v>9</v>
      </c>
      <c r="W1489">
        <v>0</v>
      </c>
      <c r="X1489">
        <v>0</v>
      </c>
      <c r="Y1489">
        <v>0</v>
      </c>
      <c r="Z1489">
        <v>0</v>
      </c>
      <c r="AA1489">
        <v>9</v>
      </c>
      <c r="AB1489">
        <v>9</v>
      </c>
      <c r="AC1489" t="s">
        <v>310</v>
      </c>
      <c r="AD1489">
        <v>9</v>
      </c>
      <c r="AE1489" t="s">
        <v>1387</v>
      </c>
      <c r="AF1489">
        <v>10000000</v>
      </c>
      <c r="AG1489" t="s">
        <v>310</v>
      </c>
      <c r="AH1489">
        <f>SUM((MID(Dyno_Data[[#This Row],[Team]],4,5))+(Dyno_Data[[#This Row],[Match]]/100))</f>
        <v>6401.31</v>
      </c>
      <c r="AI1489" s="76">
        <f>ROUND(SUM(IF(Dyno_Data[[#This Row],[AcqCenter]]&gt;0,Dyno_Data[[#This Row],[Time]]-SUMIFS(Dyno_Data[Time],Dyno_Data[Team],Dyno_Data[[#This Row],[Team]],Dyno_Data[RecordType],"StartMatch",Dyno_Data[Match],Dyno_Data[[#This Row],[Match]]),0)*86400),0)</f>
        <v>0</v>
      </c>
    </row>
    <row r="1490" spans="1:35" x14ac:dyDescent="0.3">
      <c r="A1490">
        <v>1489</v>
      </c>
      <c r="B1490" t="s">
        <v>1306</v>
      </c>
      <c r="C1490">
        <v>31</v>
      </c>
      <c r="D1490" s="105">
        <v>45373.592750891206</v>
      </c>
      <c r="E1490" t="s">
        <v>312</v>
      </c>
      <c r="F1490" t="s">
        <v>1402</v>
      </c>
      <c r="G1490">
        <v>0</v>
      </c>
      <c r="H1490" t="s">
        <v>315</v>
      </c>
      <c r="I1490">
        <v>0</v>
      </c>
      <c r="J1490">
        <v>0</v>
      </c>
      <c r="K1490">
        <v>0</v>
      </c>
      <c r="L1490" t="s">
        <v>242</v>
      </c>
      <c r="M1490" t="s">
        <v>241</v>
      </c>
      <c r="N1490">
        <v>0</v>
      </c>
      <c r="O1490" t="s">
        <v>1395</v>
      </c>
      <c r="P1490" t="s">
        <v>310</v>
      </c>
      <c r="Q1490" t="s">
        <v>310</v>
      </c>
      <c r="R1490" t="s">
        <v>310</v>
      </c>
      <c r="S1490">
        <v>9</v>
      </c>
      <c r="T1490" t="s">
        <v>310</v>
      </c>
      <c r="U1490">
        <v>9</v>
      </c>
      <c r="V1490">
        <v>9</v>
      </c>
      <c r="W1490">
        <v>0</v>
      </c>
      <c r="X1490">
        <v>0</v>
      </c>
      <c r="Y1490">
        <v>0</v>
      </c>
      <c r="Z1490">
        <v>0</v>
      </c>
      <c r="AA1490">
        <v>9</v>
      </c>
      <c r="AB1490">
        <v>9</v>
      </c>
      <c r="AC1490" t="s">
        <v>310</v>
      </c>
      <c r="AD1490">
        <v>9</v>
      </c>
      <c r="AE1490" t="s">
        <v>1396</v>
      </c>
      <c r="AF1490">
        <v>10001000</v>
      </c>
      <c r="AG1490" t="s">
        <v>310</v>
      </c>
      <c r="AH1490">
        <f>SUM((MID(Dyno_Data[[#This Row],[Team]],4,5))+(Dyno_Data[[#This Row],[Match]]/100))</f>
        <v>3986.31</v>
      </c>
      <c r="AI1490" s="76">
        <f>ROUND(SUM(IF(Dyno_Data[[#This Row],[AcqCenter]]&gt;0,Dyno_Data[[#This Row],[Time]]-SUMIFS(Dyno_Data[Time],Dyno_Data[Team],Dyno_Data[[#This Row],[Team]],Dyno_Data[RecordType],"StartMatch",Dyno_Data[Match],Dyno_Data[[#This Row],[Match]]),0)*86400),0)</f>
        <v>0</v>
      </c>
    </row>
    <row r="1491" spans="1:35" x14ac:dyDescent="0.3">
      <c r="A1491">
        <v>1490</v>
      </c>
      <c r="B1491" t="s">
        <v>361</v>
      </c>
      <c r="C1491">
        <v>31</v>
      </c>
      <c r="D1491" s="105">
        <v>45373.592758136576</v>
      </c>
      <c r="E1491" t="s">
        <v>312</v>
      </c>
      <c r="F1491" t="s">
        <v>1402</v>
      </c>
      <c r="G1491">
        <v>0</v>
      </c>
      <c r="H1491" t="s">
        <v>315</v>
      </c>
      <c r="I1491">
        <v>0</v>
      </c>
      <c r="J1491">
        <v>0</v>
      </c>
      <c r="K1491">
        <v>0</v>
      </c>
      <c r="L1491" t="s">
        <v>241</v>
      </c>
      <c r="M1491" t="s">
        <v>101</v>
      </c>
      <c r="N1491">
        <v>0</v>
      </c>
      <c r="O1491" t="s">
        <v>1393</v>
      </c>
      <c r="P1491" t="s">
        <v>310</v>
      </c>
      <c r="Q1491" t="s">
        <v>310</v>
      </c>
      <c r="R1491" t="s">
        <v>310</v>
      </c>
      <c r="S1491">
        <v>9</v>
      </c>
      <c r="T1491" t="s">
        <v>310</v>
      </c>
      <c r="U1491">
        <v>9</v>
      </c>
      <c r="V1491">
        <v>9</v>
      </c>
      <c r="W1491">
        <v>0</v>
      </c>
      <c r="X1491">
        <v>0</v>
      </c>
      <c r="Y1491">
        <v>0</v>
      </c>
      <c r="Z1491">
        <v>0</v>
      </c>
      <c r="AA1491">
        <v>9</v>
      </c>
      <c r="AB1491">
        <v>9</v>
      </c>
      <c r="AC1491" t="s">
        <v>310</v>
      </c>
      <c r="AD1491">
        <v>9</v>
      </c>
      <c r="AE1491" t="s">
        <v>1394</v>
      </c>
      <c r="AF1491">
        <v>20000000</v>
      </c>
      <c r="AG1491" t="s">
        <v>310</v>
      </c>
      <c r="AH1491">
        <f>SUM((MID(Dyno_Data[[#This Row],[Team]],4,5))+(Dyno_Data[[#This Row],[Match]]/100))</f>
        <v>20.309999999999999</v>
      </c>
      <c r="AI1491" s="76">
        <f>ROUND(SUM(IF(Dyno_Data[[#This Row],[AcqCenter]]&gt;0,Dyno_Data[[#This Row],[Time]]-SUMIFS(Dyno_Data[Time],Dyno_Data[Team],Dyno_Data[[#This Row],[Team]],Dyno_Data[RecordType],"StartMatch",Dyno_Data[Match],Dyno_Data[[#This Row],[Match]]),0)*86400),0)</f>
        <v>0</v>
      </c>
    </row>
    <row r="1492" spans="1:35" x14ac:dyDescent="0.3">
      <c r="A1492">
        <v>1491</v>
      </c>
      <c r="B1492" t="s">
        <v>1286</v>
      </c>
      <c r="C1492">
        <v>31</v>
      </c>
      <c r="D1492" s="105">
        <v>45373.592760995372</v>
      </c>
      <c r="E1492" t="s">
        <v>312</v>
      </c>
      <c r="F1492" t="s">
        <v>1402</v>
      </c>
      <c r="G1492">
        <v>0</v>
      </c>
      <c r="H1492" t="s">
        <v>315</v>
      </c>
      <c r="I1492">
        <v>0</v>
      </c>
      <c r="J1492">
        <v>0</v>
      </c>
      <c r="K1492">
        <v>0</v>
      </c>
      <c r="L1492" t="s">
        <v>241</v>
      </c>
      <c r="M1492" t="s">
        <v>1398</v>
      </c>
      <c r="N1492">
        <v>0</v>
      </c>
      <c r="O1492" t="s">
        <v>319</v>
      </c>
      <c r="P1492" t="s">
        <v>310</v>
      </c>
      <c r="Q1492" t="s">
        <v>310</v>
      </c>
      <c r="R1492" t="s">
        <v>310</v>
      </c>
      <c r="S1492">
        <v>9</v>
      </c>
      <c r="T1492" t="s">
        <v>310</v>
      </c>
      <c r="U1492">
        <v>9</v>
      </c>
      <c r="V1492">
        <v>9</v>
      </c>
      <c r="W1492">
        <v>0</v>
      </c>
      <c r="X1492">
        <v>0</v>
      </c>
      <c r="Y1492">
        <v>0</v>
      </c>
      <c r="Z1492">
        <v>0</v>
      </c>
      <c r="AA1492">
        <v>9</v>
      </c>
      <c r="AB1492">
        <v>9</v>
      </c>
      <c r="AC1492" t="s">
        <v>310</v>
      </c>
      <c r="AD1492">
        <v>9</v>
      </c>
      <c r="AE1492" t="s">
        <v>1388</v>
      </c>
      <c r="AF1492">
        <v>30001000</v>
      </c>
      <c r="AG1492" t="s">
        <v>310</v>
      </c>
      <c r="AH1492">
        <f>SUM((MID(Dyno_Data[[#This Row],[Team]],4,5))+(Dyno_Data[[#This Row],[Match]]/100))</f>
        <v>1591.31</v>
      </c>
      <c r="AI1492" s="76">
        <f>ROUND(SUM(IF(Dyno_Data[[#This Row],[AcqCenter]]&gt;0,Dyno_Data[[#This Row],[Time]]-SUMIFS(Dyno_Data[Time],Dyno_Data[Team],Dyno_Data[[#This Row],[Team]],Dyno_Data[RecordType],"StartMatch",Dyno_Data[Match],Dyno_Data[[#This Row],[Match]]),0)*86400),0)</f>
        <v>0</v>
      </c>
    </row>
    <row r="1493" spans="1:35" x14ac:dyDescent="0.3">
      <c r="A1493">
        <v>1492</v>
      </c>
      <c r="B1493" t="s">
        <v>1296</v>
      </c>
      <c r="C1493">
        <v>31</v>
      </c>
      <c r="D1493" s="105">
        <v>45373.592789236114</v>
      </c>
      <c r="E1493" t="s">
        <v>312</v>
      </c>
      <c r="F1493" t="s">
        <v>1402</v>
      </c>
      <c r="G1493">
        <v>0</v>
      </c>
      <c r="H1493" t="s">
        <v>315</v>
      </c>
      <c r="I1493">
        <v>0</v>
      </c>
      <c r="J1493">
        <v>0</v>
      </c>
      <c r="K1493">
        <v>0</v>
      </c>
      <c r="L1493" t="s">
        <v>241</v>
      </c>
      <c r="M1493" t="s">
        <v>1398</v>
      </c>
      <c r="N1493">
        <v>0</v>
      </c>
      <c r="O1493" t="s">
        <v>311</v>
      </c>
      <c r="P1493" t="s">
        <v>310</v>
      </c>
      <c r="Q1493" t="s">
        <v>310</v>
      </c>
      <c r="R1493" t="s">
        <v>310</v>
      </c>
      <c r="S1493">
        <v>9</v>
      </c>
      <c r="T1493" t="s">
        <v>310</v>
      </c>
      <c r="U1493">
        <v>9</v>
      </c>
      <c r="V1493">
        <v>9</v>
      </c>
      <c r="W1493">
        <v>0</v>
      </c>
      <c r="X1493">
        <v>0</v>
      </c>
      <c r="Y1493">
        <v>0</v>
      </c>
      <c r="Z1493">
        <v>0</v>
      </c>
      <c r="AA1493">
        <v>9</v>
      </c>
      <c r="AB1493">
        <v>9</v>
      </c>
      <c r="AC1493" t="s">
        <v>310</v>
      </c>
      <c r="AD1493">
        <v>9</v>
      </c>
      <c r="AE1493" t="s">
        <v>1392</v>
      </c>
      <c r="AF1493">
        <v>20000000</v>
      </c>
      <c r="AG1493" t="s">
        <v>310</v>
      </c>
      <c r="AH1493">
        <f>SUM((MID(Dyno_Data[[#This Row],[Team]],4,5))+(Dyno_Data[[#This Row],[Match]]/100))</f>
        <v>3003.31</v>
      </c>
      <c r="AI1493" s="76">
        <f>ROUND(SUM(IF(Dyno_Data[[#This Row],[AcqCenter]]&gt;0,Dyno_Data[[#This Row],[Time]]-SUMIFS(Dyno_Data[Time],Dyno_Data[Team],Dyno_Data[[#This Row],[Team]],Dyno_Data[RecordType],"StartMatch",Dyno_Data[Match],Dyno_Data[[#This Row],[Match]]),0)*86400),0)</f>
        <v>0</v>
      </c>
    </row>
    <row r="1494" spans="1:35" x14ac:dyDescent="0.3">
      <c r="A1494">
        <v>1493</v>
      </c>
      <c r="B1494" t="s">
        <v>1306</v>
      </c>
      <c r="C1494">
        <v>31</v>
      </c>
      <c r="D1494" s="105">
        <v>45373.592847534725</v>
      </c>
      <c r="E1494" t="s">
        <v>312</v>
      </c>
      <c r="F1494" t="s">
        <v>1402</v>
      </c>
      <c r="G1494">
        <v>0</v>
      </c>
      <c r="H1494" t="s">
        <v>315</v>
      </c>
      <c r="I1494">
        <v>0</v>
      </c>
      <c r="J1494">
        <v>0</v>
      </c>
      <c r="K1494">
        <v>0</v>
      </c>
      <c r="L1494" t="s">
        <v>242</v>
      </c>
      <c r="M1494" t="s">
        <v>241</v>
      </c>
      <c r="N1494">
        <v>0</v>
      </c>
      <c r="O1494" t="s">
        <v>1395</v>
      </c>
      <c r="P1494" t="s">
        <v>310</v>
      </c>
      <c r="Q1494" t="s">
        <v>310</v>
      </c>
      <c r="R1494" t="s">
        <v>310</v>
      </c>
      <c r="S1494">
        <v>9</v>
      </c>
      <c r="T1494" t="s">
        <v>310</v>
      </c>
      <c r="U1494">
        <v>9</v>
      </c>
      <c r="V1494">
        <v>9</v>
      </c>
      <c r="W1494">
        <v>0</v>
      </c>
      <c r="X1494">
        <v>0</v>
      </c>
      <c r="Y1494">
        <v>0</v>
      </c>
      <c r="Z1494">
        <v>0</v>
      </c>
      <c r="AA1494">
        <v>9</v>
      </c>
      <c r="AB1494">
        <v>9</v>
      </c>
      <c r="AC1494" t="s">
        <v>310</v>
      </c>
      <c r="AD1494">
        <v>9</v>
      </c>
      <c r="AE1494" t="s">
        <v>1396</v>
      </c>
      <c r="AF1494">
        <v>20001000</v>
      </c>
      <c r="AG1494" t="s">
        <v>310</v>
      </c>
      <c r="AH1494">
        <f>SUM((MID(Dyno_Data[[#This Row],[Team]],4,5))+(Dyno_Data[[#This Row],[Match]]/100))</f>
        <v>3986.31</v>
      </c>
      <c r="AI1494" s="76">
        <f>ROUND(SUM(IF(Dyno_Data[[#This Row],[AcqCenter]]&gt;0,Dyno_Data[[#This Row],[Time]]-SUMIFS(Dyno_Data[Time],Dyno_Data[Team],Dyno_Data[[#This Row],[Team]],Dyno_Data[RecordType],"StartMatch",Dyno_Data[Match],Dyno_Data[[#This Row],[Match]]),0)*86400),0)</f>
        <v>0</v>
      </c>
    </row>
    <row r="1495" spans="1:35" x14ac:dyDescent="0.3">
      <c r="A1495">
        <v>1494</v>
      </c>
      <c r="B1495" t="s">
        <v>1286</v>
      </c>
      <c r="C1495">
        <v>31</v>
      </c>
      <c r="D1495" s="105">
        <v>45373.592883564816</v>
      </c>
      <c r="E1495" t="s">
        <v>312</v>
      </c>
      <c r="F1495" t="s">
        <v>1402</v>
      </c>
      <c r="G1495">
        <v>0</v>
      </c>
      <c r="H1495" t="s">
        <v>315</v>
      </c>
      <c r="I1495">
        <v>0</v>
      </c>
      <c r="J1495">
        <v>0</v>
      </c>
      <c r="K1495">
        <v>0</v>
      </c>
      <c r="L1495" t="s">
        <v>241</v>
      </c>
      <c r="M1495" t="s">
        <v>1398</v>
      </c>
      <c r="N1495">
        <v>0</v>
      </c>
      <c r="O1495" t="s">
        <v>319</v>
      </c>
      <c r="P1495" t="s">
        <v>310</v>
      </c>
      <c r="Q1495" t="s">
        <v>310</v>
      </c>
      <c r="R1495" t="s">
        <v>310</v>
      </c>
      <c r="S1495">
        <v>9</v>
      </c>
      <c r="T1495" t="s">
        <v>310</v>
      </c>
      <c r="U1495">
        <v>9</v>
      </c>
      <c r="V1495">
        <v>9</v>
      </c>
      <c r="W1495">
        <v>0</v>
      </c>
      <c r="X1495">
        <v>0</v>
      </c>
      <c r="Y1495">
        <v>0</v>
      </c>
      <c r="Z1495">
        <v>0</v>
      </c>
      <c r="AA1495">
        <v>9</v>
      </c>
      <c r="AB1495">
        <v>9</v>
      </c>
      <c r="AC1495" t="s">
        <v>310</v>
      </c>
      <c r="AD1495">
        <v>9</v>
      </c>
      <c r="AE1495" t="s">
        <v>1388</v>
      </c>
      <c r="AF1495">
        <v>40001000</v>
      </c>
      <c r="AG1495" t="s">
        <v>310</v>
      </c>
      <c r="AH1495">
        <f>SUM((MID(Dyno_Data[[#This Row],[Team]],4,5))+(Dyno_Data[[#This Row],[Match]]/100))</f>
        <v>1591.31</v>
      </c>
      <c r="AI1495" s="76">
        <f>ROUND(SUM(IF(Dyno_Data[[#This Row],[AcqCenter]]&gt;0,Dyno_Data[[#This Row],[Time]]-SUMIFS(Dyno_Data[Time],Dyno_Data[Team],Dyno_Data[[#This Row],[Team]],Dyno_Data[RecordType],"StartMatch",Dyno_Data[Match],Dyno_Data[[#This Row],[Match]]),0)*86400),0)</f>
        <v>0</v>
      </c>
    </row>
    <row r="1496" spans="1:35" x14ac:dyDescent="0.3">
      <c r="A1496">
        <v>1495</v>
      </c>
      <c r="B1496" t="s">
        <v>1306</v>
      </c>
      <c r="C1496">
        <v>31</v>
      </c>
      <c r="D1496" s="105">
        <v>45373.59294869213</v>
      </c>
      <c r="E1496" t="s">
        <v>312</v>
      </c>
      <c r="F1496" t="s">
        <v>1402</v>
      </c>
      <c r="G1496">
        <v>0</v>
      </c>
      <c r="H1496" t="s">
        <v>315</v>
      </c>
      <c r="I1496">
        <v>0</v>
      </c>
      <c r="J1496">
        <v>0</v>
      </c>
      <c r="K1496">
        <v>0</v>
      </c>
      <c r="L1496" t="s">
        <v>242</v>
      </c>
      <c r="M1496" t="s">
        <v>241</v>
      </c>
      <c r="N1496">
        <v>0</v>
      </c>
      <c r="O1496" t="s">
        <v>1395</v>
      </c>
      <c r="P1496" t="s">
        <v>310</v>
      </c>
      <c r="Q1496" t="s">
        <v>310</v>
      </c>
      <c r="R1496" t="s">
        <v>310</v>
      </c>
      <c r="S1496">
        <v>9</v>
      </c>
      <c r="T1496" t="s">
        <v>310</v>
      </c>
      <c r="U1496">
        <v>9</v>
      </c>
      <c r="V1496">
        <v>9</v>
      </c>
      <c r="W1496">
        <v>0</v>
      </c>
      <c r="X1496">
        <v>0</v>
      </c>
      <c r="Y1496">
        <v>0</v>
      </c>
      <c r="Z1496">
        <v>0</v>
      </c>
      <c r="AA1496">
        <v>9</v>
      </c>
      <c r="AB1496">
        <v>9</v>
      </c>
      <c r="AC1496" t="s">
        <v>310</v>
      </c>
      <c r="AD1496">
        <v>9</v>
      </c>
      <c r="AE1496" t="s">
        <v>1396</v>
      </c>
      <c r="AF1496">
        <v>30001000</v>
      </c>
      <c r="AG1496" t="s">
        <v>310</v>
      </c>
      <c r="AH1496">
        <f>SUM((MID(Dyno_Data[[#This Row],[Team]],4,5))+(Dyno_Data[[#This Row],[Match]]/100))</f>
        <v>3986.31</v>
      </c>
      <c r="AI1496" s="76">
        <f>ROUND(SUM(IF(Dyno_Data[[#This Row],[AcqCenter]]&gt;0,Dyno_Data[[#This Row],[Time]]-SUMIFS(Dyno_Data[Time],Dyno_Data[Team],Dyno_Data[[#This Row],[Team]],Dyno_Data[RecordType],"StartMatch",Dyno_Data[Match],Dyno_Data[[#This Row],[Match]]),0)*86400),0)</f>
        <v>0</v>
      </c>
    </row>
    <row r="1497" spans="1:35" x14ac:dyDescent="0.3">
      <c r="A1497">
        <v>1496</v>
      </c>
      <c r="B1497" t="s">
        <v>361</v>
      </c>
      <c r="C1497">
        <v>31</v>
      </c>
      <c r="D1497" s="105">
        <v>45373.592984224539</v>
      </c>
      <c r="E1497" t="s">
        <v>312</v>
      </c>
      <c r="F1497" t="s">
        <v>1402</v>
      </c>
      <c r="G1497">
        <v>0</v>
      </c>
      <c r="H1497" t="s">
        <v>315</v>
      </c>
      <c r="I1497">
        <v>0</v>
      </c>
      <c r="J1497">
        <v>0</v>
      </c>
      <c r="K1497">
        <v>0</v>
      </c>
      <c r="L1497" t="s">
        <v>241</v>
      </c>
      <c r="M1497" t="s">
        <v>101</v>
      </c>
      <c r="N1497">
        <v>1</v>
      </c>
      <c r="O1497" t="s">
        <v>1393</v>
      </c>
      <c r="P1497" t="s">
        <v>310</v>
      </c>
      <c r="Q1497" t="s">
        <v>310</v>
      </c>
      <c r="R1497" t="s">
        <v>310</v>
      </c>
      <c r="S1497">
        <v>9</v>
      </c>
      <c r="T1497" t="s">
        <v>310</v>
      </c>
      <c r="U1497">
        <v>9</v>
      </c>
      <c r="V1497">
        <v>9</v>
      </c>
      <c r="W1497">
        <v>0</v>
      </c>
      <c r="X1497">
        <v>0</v>
      </c>
      <c r="Y1497">
        <v>0</v>
      </c>
      <c r="Z1497">
        <v>0</v>
      </c>
      <c r="AA1497">
        <v>9</v>
      </c>
      <c r="AB1497">
        <v>9</v>
      </c>
      <c r="AC1497" t="s">
        <v>310</v>
      </c>
      <c r="AD1497">
        <v>9</v>
      </c>
      <c r="AE1497" t="s">
        <v>1394</v>
      </c>
      <c r="AF1497">
        <v>30000000</v>
      </c>
      <c r="AG1497" t="s">
        <v>310</v>
      </c>
      <c r="AH1497">
        <f>SUM((MID(Dyno_Data[[#This Row],[Team]],4,5))+(Dyno_Data[[#This Row],[Match]]/100))</f>
        <v>20.309999999999999</v>
      </c>
      <c r="AI1497" s="76">
        <f>ROUND(SUM(IF(Dyno_Data[[#This Row],[AcqCenter]]&gt;0,Dyno_Data[[#This Row],[Time]]-SUMIFS(Dyno_Data[Time],Dyno_Data[Team],Dyno_Data[[#This Row],[Team]],Dyno_Data[RecordType],"StartMatch",Dyno_Data[Match],Dyno_Data[[#This Row],[Match]]),0)*86400),0)</f>
        <v>0</v>
      </c>
    </row>
    <row r="1498" spans="1:35" x14ac:dyDescent="0.3">
      <c r="A1498">
        <v>1497</v>
      </c>
      <c r="B1498" t="s">
        <v>1296</v>
      </c>
      <c r="C1498">
        <v>31</v>
      </c>
      <c r="D1498" s="105">
        <v>45373.593003043985</v>
      </c>
      <c r="E1498" t="s">
        <v>312</v>
      </c>
      <c r="F1498" t="s">
        <v>1402</v>
      </c>
      <c r="G1498">
        <v>0</v>
      </c>
      <c r="H1498" t="s">
        <v>315</v>
      </c>
      <c r="I1498">
        <v>0</v>
      </c>
      <c r="J1498">
        <v>0</v>
      </c>
      <c r="K1498">
        <v>0</v>
      </c>
      <c r="L1498" t="s">
        <v>241</v>
      </c>
      <c r="M1498" t="s">
        <v>1398</v>
      </c>
      <c r="N1498">
        <v>0</v>
      </c>
      <c r="O1498" t="s">
        <v>311</v>
      </c>
      <c r="P1498" t="s">
        <v>310</v>
      </c>
      <c r="Q1498" t="s">
        <v>310</v>
      </c>
      <c r="R1498" t="s">
        <v>310</v>
      </c>
      <c r="S1498">
        <v>9</v>
      </c>
      <c r="T1498" t="s">
        <v>310</v>
      </c>
      <c r="U1498">
        <v>9</v>
      </c>
      <c r="V1498">
        <v>9</v>
      </c>
      <c r="W1498">
        <v>0</v>
      </c>
      <c r="X1498">
        <v>0</v>
      </c>
      <c r="Y1498">
        <v>0</v>
      </c>
      <c r="Z1498">
        <v>0</v>
      </c>
      <c r="AA1498">
        <v>9</v>
      </c>
      <c r="AB1498">
        <v>9</v>
      </c>
      <c r="AC1498" t="s">
        <v>310</v>
      </c>
      <c r="AD1498">
        <v>9</v>
      </c>
      <c r="AE1498" t="s">
        <v>1392</v>
      </c>
      <c r="AF1498">
        <v>30000000</v>
      </c>
      <c r="AG1498" t="s">
        <v>310</v>
      </c>
      <c r="AH1498">
        <f>SUM((MID(Dyno_Data[[#This Row],[Team]],4,5))+(Dyno_Data[[#This Row],[Match]]/100))</f>
        <v>3003.31</v>
      </c>
      <c r="AI1498" s="76">
        <f>ROUND(SUM(IF(Dyno_Data[[#This Row],[AcqCenter]]&gt;0,Dyno_Data[[#This Row],[Time]]-SUMIFS(Dyno_Data[Time],Dyno_Data[Team],Dyno_Data[[#This Row],[Team]],Dyno_Data[RecordType],"StartMatch",Dyno_Data[Match],Dyno_Data[[#This Row],[Match]]),0)*86400),0)</f>
        <v>0</v>
      </c>
    </row>
    <row r="1499" spans="1:35" x14ac:dyDescent="0.3">
      <c r="A1499">
        <v>1498</v>
      </c>
      <c r="B1499" t="s">
        <v>1286</v>
      </c>
      <c r="C1499">
        <v>31</v>
      </c>
      <c r="D1499" s="105">
        <v>45373.593016087965</v>
      </c>
      <c r="E1499" t="s">
        <v>312</v>
      </c>
      <c r="F1499" t="s">
        <v>1402</v>
      </c>
      <c r="G1499">
        <v>0</v>
      </c>
      <c r="H1499" t="s">
        <v>315</v>
      </c>
      <c r="I1499">
        <v>0</v>
      </c>
      <c r="J1499">
        <v>0</v>
      </c>
      <c r="K1499">
        <v>0</v>
      </c>
      <c r="L1499" t="s">
        <v>241</v>
      </c>
      <c r="M1499" t="s">
        <v>1398</v>
      </c>
      <c r="N1499">
        <v>0</v>
      </c>
      <c r="O1499" t="s">
        <v>319</v>
      </c>
      <c r="P1499" t="s">
        <v>310</v>
      </c>
      <c r="Q1499" t="s">
        <v>310</v>
      </c>
      <c r="R1499" t="s">
        <v>310</v>
      </c>
      <c r="S1499">
        <v>9</v>
      </c>
      <c r="T1499" t="s">
        <v>310</v>
      </c>
      <c r="U1499">
        <v>9</v>
      </c>
      <c r="V1499">
        <v>9</v>
      </c>
      <c r="W1499">
        <v>0</v>
      </c>
      <c r="X1499">
        <v>0</v>
      </c>
      <c r="Y1499">
        <v>0</v>
      </c>
      <c r="Z1499">
        <v>0</v>
      </c>
      <c r="AA1499">
        <v>9</v>
      </c>
      <c r="AB1499">
        <v>9</v>
      </c>
      <c r="AC1499" t="s">
        <v>310</v>
      </c>
      <c r="AD1499">
        <v>9</v>
      </c>
      <c r="AE1499" t="s">
        <v>1388</v>
      </c>
      <c r="AF1499">
        <v>50001000</v>
      </c>
      <c r="AG1499" t="s">
        <v>310</v>
      </c>
      <c r="AH1499">
        <f>SUM((MID(Dyno_Data[[#This Row],[Team]],4,5))+(Dyno_Data[[#This Row],[Match]]/100))</f>
        <v>1591.31</v>
      </c>
      <c r="AI1499" s="76">
        <f>ROUND(SUM(IF(Dyno_Data[[#This Row],[AcqCenter]]&gt;0,Dyno_Data[[#This Row],[Time]]-SUMIFS(Dyno_Data[Time],Dyno_Data[Team],Dyno_Data[[#This Row],[Team]],Dyno_Data[RecordType],"StartMatch",Dyno_Data[Match],Dyno_Data[[#This Row],[Match]]),0)*86400),0)</f>
        <v>0</v>
      </c>
    </row>
    <row r="1500" spans="1:35" x14ac:dyDescent="0.3">
      <c r="A1500">
        <v>1499</v>
      </c>
      <c r="B1500" t="s">
        <v>361</v>
      </c>
      <c r="C1500">
        <v>31</v>
      </c>
      <c r="D1500" s="105">
        <v>45373.593042245368</v>
      </c>
      <c r="E1500" t="s">
        <v>312</v>
      </c>
      <c r="F1500" t="s">
        <v>1402</v>
      </c>
      <c r="G1500">
        <v>0</v>
      </c>
      <c r="H1500" t="s">
        <v>315</v>
      </c>
      <c r="I1500">
        <v>0</v>
      </c>
      <c r="J1500">
        <v>0</v>
      </c>
      <c r="K1500">
        <v>0</v>
      </c>
      <c r="L1500" t="s">
        <v>241</v>
      </c>
      <c r="M1500" t="s">
        <v>101</v>
      </c>
      <c r="N1500">
        <v>0</v>
      </c>
      <c r="O1500" t="s">
        <v>1393</v>
      </c>
      <c r="P1500" t="s">
        <v>310</v>
      </c>
      <c r="Q1500" t="s">
        <v>310</v>
      </c>
      <c r="R1500" t="s">
        <v>310</v>
      </c>
      <c r="S1500">
        <v>9</v>
      </c>
      <c r="T1500" t="s">
        <v>310</v>
      </c>
      <c r="U1500">
        <v>9</v>
      </c>
      <c r="V1500">
        <v>9</v>
      </c>
      <c r="W1500">
        <v>0</v>
      </c>
      <c r="X1500">
        <v>0</v>
      </c>
      <c r="Y1500">
        <v>0</v>
      </c>
      <c r="Z1500">
        <v>0</v>
      </c>
      <c r="AA1500">
        <v>9</v>
      </c>
      <c r="AB1500">
        <v>9</v>
      </c>
      <c r="AC1500" t="s">
        <v>310</v>
      </c>
      <c r="AD1500">
        <v>9</v>
      </c>
      <c r="AE1500" t="s">
        <v>1394</v>
      </c>
      <c r="AF1500">
        <v>40000000</v>
      </c>
      <c r="AG1500" t="s">
        <v>310</v>
      </c>
      <c r="AH1500">
        <f>SUM((MID(Dyno_Data[[#This Row],[Team]],4,5))+(Dyno_Data[[#This Row],[Match]]/100))</f>
        <v>20.309999999999999</v>
      </c>
      <c r="AI1500" s="76">
        <f>ROUND(SUM(IF(Dyno_Data[[#This Row],[AcqCenter]]&gt;0,Dyno_Data[[#This Row],[Time]]-SUMIFS(Dyno_Data[Time],Dyno_Data[Team],Dyno_Data[[#This Row],[Team]],Dyno_Data[RecordType],"StartMatch",Dyno_Data[Match],Dyno_Data[[#This Row],[Match]]),0)*86400),0)</f>
        <v>0</v>
      </c>
    </row>
    <row r="1501" spans="1:35" x14ac:dyDescent="0.3">
      <c r="A1501">
        <v>1500</v>
      </c>
      <c r="B1501" t="s">
        <v>1306</v>
      </c>
      <c r="C1501">
        <v>31</v>
      </c>
      <c r="D1501" s="105">
        <v>45373.593068321759</v>
      </c>
      <c r="E1501" t="s">
        <v>312</v>
      </c>
      <c r="F1501" t="s">
        <v>1402</v>
      </c>
      <c r="G1501">
        <v>0</v>
      </c>
      <c r="H1501" t="s">
        <v>315</v>
      </c>
      <c r="I1501">
        <v>0</v>
      </c>
      <c r="J1501">
        <v>0</v>
      </c>
      <c r="K1501">
        <v>0</v>
      </c>
      <c r="L1501" t="s">
        <v>242</v>
      </c>
      <c r="M1501" t="s">
        <v>241</v>
      </c>
      <c r="N1501">
        <v>0</v>
      </c>
      <c r="O1501" t="s">
        <v>1395</v>
      </c>
      <c r="P1501" t="s">
        <v>310</v>
      </c>
      <c r="Q1501" t="s">
        <v>310</v>
      </c>
      <c r="R1501" t="s">
        <v>310</v>
      </c>
      <c r="S1501">
        <v>9</v>
      </c>
      <c r="T1501" t="s">
        <v>310</v>
      </c>
      <c r="U1501">
        <v>9</v>
      </c>
      <c r="V1501">
        <v>9</v>
      </c>
      <c r="W1501">
        <v>0</v>
      </c>
      <c r="X1501">
        <v>0</v>
      </c>
      <c r="Y1501">
        <v>0</v>
      </c>
      <c r="Z1501">
        <v>0</v>
      </c>
      <c r="AA1501">
        <v>9</v>
      </c>
      <c r="AB1501">
        <v>9</v>
      </c>
      <c r="AC1501" t="s">
        <v>310</v>
      </c>
      <c r="AD1501">
        <v>9</v>
      </c>
      <c r="AE1501" t="s">
        <v>1396</v>
      </c>
      <c r="AF1501">
        <v>40001000</v>
      </c>
      <c r="AG1501" t="s">
        <v>310</v>
      </c>
      <c r="AH1501">
        <f>SUM((MID(Dyno_Data[[#This Row],[Team]],4,5))+(Dyno_Data[[#This Row],[Match]]/100))</f>
        <v>3986.31</v>
      </c>
      <c r="AI1501" s="76">
        <f>ROUND(SUM(IF(Dyno_Data[[#This Row],[AcqCenter]]&gt;0,Dyno_Data[[#This Row],[Time]]-SUMIFS(Dyno_Data[Time],Dyno_Data[Team],Dyno_Data[[#This Row],[Team]],Dyno_Data[RecordType],"StartMatch",Dyno_Data[Match],Dyno_Data[[#This Row],[Match]]),0)*86400),0)</f>
        <v>0</v>
      </c>
    </row>
    <row r="1502" spans="1:35" x14ac:dyDescent="0.3">
      <c r="A1502">
        <v>1501</v>
      </c>
      <c r="B1502" t="s">
        <v>1296</v>
      </c>
      <c r="C1502">
        <v>31</v>
      </c>
      <c r="D1502" s="105">
        <v>45373.593121759259</v>
      </c>
      <c r="E1502" t="s">
        <v>312</v>
      </c>
      <c r="F1502" t="s">
        <v>1402</v>
      </c>
      <c r="G1502">
        <v>0</v>
      </c>
      <c r="H1502" t="s">
        <v>315</v>
      </c>
      <c r="I1502">
        <v>0</v>
      </c>
      <c r="J1502">
        <v>0</v>
      </c>
      <c r="K1502">
        <v>0</v>
      </c>
      <c r="L1502" t="s">
        <v>241</v>
      </c>
      <c r="M1502" t="s">
        <v>1398</v>
      </c>
      <c r="N1502">
        <v>0</v>
      </c>
      <c r="O1502" t="s">
        <v>311</v>
      </c>
      <c r="P1502" t="s">
        <v>310</v>
      </c>
      <c r="Q1502" t="s">
        <v>310</v>
      </c>
      <c r="R1502" t="s">
        <v>310</v>
      </c>
      <c r="S1502">
        <v>9</v>
      </c>
      <c r="T1502" t="s">
        <v>310</v>
      </c>
      <c r="U1502">
        <v>9</v>
      </c>
      <c r="V1502">
        <v>9</v>
      </c>
      <c r="W1502">
        <v>0</v>
      </c>
      <c r="X1502">
        <v>0</v>
      </c>
      <c r="Y1502">
        <v>0</v>
      </c>
      <c r="Z1502">
        <v>0</v>
      </c>
      <c r="AA1502">
        <v>9</v>
      </c>
      <c r="AB1502">
        <v>9</v>
      </c>
      <c r="AC1502" t="s">
        <v>310</v>
      </c>
      <c r="AD1502">
        <v>9</v>
      </c>
      <c r="AE1502" t="s">
        <v>1392</v>
      </c>
      <c r="AF1502">
        <v>40000000</v>
      </c>
      <c r="AG1502" t="s">
        <v>310</v>
      </c>
      <c r="AH1502">
        <f>SUM((MID(Dyno_Data[[#This Row],[Team]],4,5))+(Dyno_Data[[#This Row],[Match]]/100))</f>
        <v>3003.31</v>
      </c>
      <c r="AI1502" s="76">
        <f>ROUND(SUM(IF(Dyno_Data[[#This Row],[AcqCenter]]&gt;0,Dyno_Data[[#This Row],[Time]]-SUMIFS(Dyno_Data[Time],Dyno_Data[Team],Dyno_Data[[#This Row],[Team]],Dyno_Data[RecordType],"StartMatch",Dyno_Data[Match],Dyno_Data[[#This Row],[Match]]),0)*86400),0)</f>
        <v>0</v>
      </c>
    </row>
    <row r="1503" spans="1:35" x14ac:dyDescent="0.3">
      <c r="A1503">
        <v>1502</v>
      </c>
      <c r="B1503" t="s">
        <v>361</v>
      </c>
      <c r="C1503">
        <v>31</v>
      </c>
      <c r="D1503" s="105">
        <v>45373.593157905096</v>
      </c>
      <c r="E1503" t="s">
        <v>312</v>
      </c>
      <c r="F1503" t="s">
        <v>1402</v>
      </c>
      <c r="G1503">
        <v>0</v>
      </c>
      <c r="H1503" t="s">
        <v>315</v>
      </c>
      <c r="I1503">
        <v>0</v>
      </c>
      <c r="J1503">
        <v>0</v>
      </c>
      <c r="K1503">
        <v>0</v>
      </c>
      <c r="L1503" t="s">
        <v>240</v>
      </c>
      <c r="M1503" t="s">
        <v>1398</v>
      </c>
      <c r="N1503">
        <v>0</v>
      </c>
      <c r="O1503" t="s">
        <v>1393</v>
      </c>
      <c r="P1503" t="s">
        <v>310</v>
      </c>
      <c r="Q1503" t="s">
        <v>310</v>
      </c>
      <c r="R1503" t="s">
        <v>310</v>
      </c>
      <c r="S1503">
        <v>9</v>
      </c>
      <c r="T1503" t="s">
        <v>310</v>
      </c>
      <c r="U1503">
        <v>9</v>
      </c>
      <c r="V1503">
        <v>9</v>
      </c>
      <c r="W1503">
        <v>0</v>
      </c>
      <c r="X1503">
        <v>0</v>
      </c>
      <c r="Y1503">
        <v>0</v>
      </c>
      <c r="Z1503">
        <v>0</v>
      </c>
      <c r="AA1503">
        <v>9</v>
      </c>
      <c r="AB1503">
        <v>9</v>
      </c>
      <c r="AC1503" t="s">
        <v>310</v>
      </c>
      <c r="AD1503">
        <v>9</v>
      </c>
      <c r="AE1503" t="s">
        <v>1394</v>
      </c>
      <c r="AF1503">
        <v>50000000</v>
      </c>
      <c r="AG1503" t="s">
        <v>310</v>
      </c>
      <c r="AH1503">
        <f>SUM((MID(Dyno_Data[[#This Row],[Team]],4,5))+(Dyno_Data[[#This Row],[Match]]/100))</f>
        <v>20.309999999999999</v>
      </c>
      <c r="AI1503" s="76">
        <f>ROUND(SUM(IF(Dyno_Data[[#This Row],[AcqCenter]]&gt;0,Dyno_Data[[#This Row],[Time]]-SUMIFS(Dyno_Data[Time],Dyno_Data[Team],Dyno_Data[[#This Row],[Team]],Dyno_Data[RecordType],"StartMatch",Dyno_Data[Match],Dyno_Data[[#This Row],[Match]]),0)*86400),0)</f>
        <v>0</v>
      </c>
    </row>
    <row r="1504" spans="1:35" x14ac:dyDescent="0.3">
      <c r="A1504">
        <v>1503</v>
      </c>
      <c r="B1504" t="s">
        <v>1306</v>
      </c>
      <c r="C1504">
        <v>31</v>
      </c>
      <c r="D1504" s="105">
        <v>45373.593173877314</v>
      </c>
      <c r="E1504" t="s">
        <v>312</v>
      </c>
      <c r="F1504" t="s">
        <v>1402</v>
      </c>
      <c r="G1504">
        <v>0</v>
      </c>
      <c r="H1504" t="s">
        <v>315</v>
      </c>
      <c r="I1504">
        <v>0</v>
      </c>
      <c r="J1504">
        <v>0</v>
      </c>
      <c r="K1504">
        <v>0</v>
      </c>
      <c r="L1504" t="s">
        <v>242</v>
      </c>
      <c r="M1504" t="s">
        <v>241</v>
      </c>
      <c r="N1504">
        <v>0</v>
      </c>
      <c r="O1504" t="s">
        <v>1395</v>
      </c>
      <c r="P1504" t="s">
        <v>310</v>
      </c>
      <c r="Q1504" t="s">
        <v>310</v>
      </c>
      <c r="R1504" t="s">
        <v>310</v>
      </c>
      <c r="S1504">
        <v>9</v>
      </c>
      <c r="T1504" t="s">
        <v>310</v>
      </c>
      <c r="U1504">
        <v>9</v>
      </c>
      <c r="V1504">
        <v>9</v>
      </c>
      <c r="W1504">
        <v>0</v>
      </c>
      <c r="X1504">
        <v>0</v>
      </c>
      <c r="Y1504">
        <v>0</v>
      </c>
      <c r="Z1504">
        <v>0</v>
      </c>
      <c r="AA1504">
        <v>9</v>
      </c>
      <c r="AB1504">
        <v>9</v>
      </c>
      <c r="AC1504" t="s">
        <v>310</v>
      </c>
      <c r="AD1504">
        <v>9</v>
      </c>
      <c r="AE1504" t="s">
        <v>1396</v>
      </c>
      <c r="AF1504">
        <v>50001000</v>
      </c>
      <c r="AG1504" t="s">
        <v>310</v>
      </c>
      <c r="AH1504">
        <f>SUM((MID(Dyno_Data[[#This Row],[Team]],4,5))+(Dyno_Data[[#This Row],[Match]]/100))</f>
        <v>3986.31</v>
      </c>
      <c r="AI1504" s="76">
        <f>ROUND(SUM(IF(Dyno_Data[[#This Row],[AcqCenter]]&gt;0,Dyno_Data[[#This Row],[Time]]-SUMIFS(Dyno_Data[Time],Dyno_Data[Team],Dyno_Data[[#This Row],[Team]],Dyno_Data[RecordType],"StartMatch",Dyno_Data[Match],Dyno_Data[[#This Row],[Match]]),0)*86400),0)</f>
        <v>0</v>
      </c>
    </row>
    <row r="1505" spans="1:35" x14ac:dyDescent="0.3">
      <c r="A1505">
        <v>1504</v>
      </c>
      <c r="B1505" t="s">
        <v>361</v>
      </c>
      <c r="C1505">
        <v>31</v>
      </c>
      <c r="D1505" s="105">
        <v>45373.593197800925</v>
      </c>
      <c r="E1505" t="s">
        <v>312</v>
      </c>
      <c r="F1505" t="s">
        <v>1402</v>
      </c>
      <c r="G1505">
        <v>0</v>
      </c>
      <c r="H1505" t="s">
        <v>315</v>
      </c>
      <c r="I1505">
        <v>0</v>
      </c>
      <c r="J1505">
        <v>0</v>
      </c>
      <c r="K1505">
        <v>0</v>
      </c>
      <c r="L1505" t="s">
        <v>240</v>
      </c>
      <c r="M1505" t="s">
        <v>1398</v>
      </c>
      <c r="N1505">
        <v>0</v>
      </c>
      <c r="O1505" t="s">
        <v>1393</v>
      </c>
      <c r="P1505" t="s">
        <v>310</v>
      </c>
      <c r="Q1505" t="s">
        <v>310</v>
      </c>
      <c r="R1505" t="s">
        <v>310</v>
      </c>
      <c r="S1505">
        <v>9</v>
      </c>
      <c r="T1505" t="s">
        <v>310</v>
      </c>
      <c r="U1505">
        <v>9</v>
      </c>
      <c r="V1505">
        <v>9</v>
      </c>
      <c r="W1505">
        <v>0</v>
      </c>
      <c r="X1505">
        <v>0</v>
      </c>
      <c r="Y1505">
        <v>0</v>
      </c>
      <c r="Z1505">
        <v>0</v>
      </c>
      <c r="AA1505">
        <v>9</v>
      </c>
      <c r="AB1505">
        <v>9</v>
      </c>
      <c r="AC1505" t="s">
        <v>310</v>
      </c>
      <c r="AD1505">
        <v>9</v>
      </c>
      <c r="AE1505" t="s">
        <v>1394</v>
      </c>
      <c r="AF1505">
        <v>60000000</v>
      </c>
      <c r="AG1505" t="s">
        <v>310</v>
      </c>
      <c r="AH1505">
        <f>SUM((MID(Dyno_Data[[#This Row],[Team]],4,5))+(Dyno_Data[[#This Row],[Match]]/100))</f>
        <v>20.309999999999999</v>
      </c>
      <c r="AI1505" s="76">
        <f>ROUND(SUM(IF(Dyno_Data[[#This Row],[AcqCenter]]&gt;0,Dyno_Data[[#This Row],[Time]]-SUMIFS(Dyno_Data[Time],Dyno_Data[Team],Dyno_Data[[#This Row],[Team]],Dyno_Data[RecordType],"StartMatch",Dyno_Data[Match],Dyno_Data[[#This Row],[Match]]),0)*86400),0)</f>
        <v>0</v>
      </c>
    </row>
    <row r="1506" spans="1:35" x14ac:dyDescent="0.3">
      <c r="A1506">
        <v>1505</v>
      </c>
      <c r="B1506" t="s">
        <v>361</v>
      </c>
      <c r="C1506">
        <v>31</v>
      </c>
      <c r="D1506" s="105">
        <v>45373.59325489583</v>
      </c>
      <c r="E1506" t="s">
        <v>312</v>
      </c>
      <c r="F1506" t="s">
        <v>1402</v>
      </c>
      <c r="G1506">
        <v>0</v>
      </c>
      <c r="H1506" t="s">
        <v>315</v>
      </c>
      <c r="I1506">
        <v>0</v>
      </c>
      <c r="J1506">
        <v>0</v>
      </c>
      <c r="K1506">
        <v>0</v>
      </c>
      <c r="L1506" t="s">
        <v>240</v>
      </c>
      <c r="M1506" t="s">
        <v>1398</v>
      </c>
      <c r="N1506">
        <v>0</v>
      </c>
      <c r="O1506" t="s">
        <v>1393</v>
      </c>
      <c r="P1506" t="s">
        <v>310</v>
      </c>
      <c r="Q1506" t="s">
        <v>310</v>
      </c>
      <c r="R1506" t="s">
        <v>310</v>
      </c>
      <c r="S1506">
        <v>9</v>
      </c>
      <c r="T1506" t="s">
        <v>310</v>
      </c>
      <c r="U1506">
        <v>9</v>
      </c>
      <c r="V1506">
        <v>9</v>
      </c>
      <c r="W1506">
        <v>0</v>
      </c>
      <c r="X1506">
        <v>0</v>
      </c>
      <c r="Y1506">
        <v>0</v>
      </c>
      <c r="Z1506">
        <v>0</v>
      </c>
      <c r="AA1506">
        <v>9</v>
      </c>
      <c r="AB1506">
        <v>9</v>
      </c>
      <c r="AC1506" t="s">
        <v>310</v>
      </c>
      <c r="AD1506">
        <v>9</v>
      </c>
      <c r="AE1506" t="s">
        <v>1394</v>
      </c>
      <c r="AF1506">
        <v>70000000</v>
      </c>
      <c r="AG1506" t="s">
        <v>310</v>
      </c>
      <c r="AH1506">
        <f>SUM((MID(Dyno_Data[[#This Row],[Team]],4,5))+(Dyno_Data[[#This Row],[Match]]/100))</f>
        <v>20.309999999999999</v>
      </c>
      <c r="AI1506" s="76">
        <f>ROUND(SUM(IF(Dyno_Data[[#This Row],[AcqCenter]]&gt;0,Dyno_Data[[#This Row],[Time]]-SUMIFS(Dyno_Data[Time],Dyno_Data[Team],Dyno_Data[[#This Row],[Team]],Dyno_Data[RecordType],"StartMatch",Dyno_Data[Match],Dyno_Data[[#This Row],[Match]]),0)*86400),0)</f>
        <v>0</v>
      </c>
    </row>
    <row r="1507" spans="1:35" x14ac:dyDescent="0.3">
      <c r="A1507">
        <v>1506</v>
      </c>
      <c r="B1507" t="s">
        <v>1286</v>
      </c>
      <c r="C1507">
        <v>31</v>
      </c>
      <c r="D1507" s="105">
        <v>45373.593278738423</v>
      </c>
      <c r="E1507" t="s">
        <v>312</v>
      </c>
      <c r="F1507" t="s">
        <v>1402</v>
      </c>
      <c r="G1507">
        <v>0</v>
      </c>
      <c r="H1507" t="s">
        <v>315</v>
      </c>
      <c r="I1507">
        <v>0</v>
      </c>
      <c r="J1507">
        <v>0</v>
      </c>
      <c r="K1507">
        <v>0</v>
      </c>
      <c r="L1507" t="s">
        <v>241</v>
      </c>
      <c r="M1507" t="s">
        <v>1398</v>
      </c>
      <c r="N1507">
        <v>0</v>
      </c>
      <c r="O1507" t="s">
        <v>319</v>
      </c>
      <c r="P1507" t="s">
        <v>310</v>
      </c>
      <c r="Q1507" t="s">
        <v>310</v>
      </c>
      <c r="R1507" t="s">
        <v>310</v>
      </c>
      <c r="S1507">
        <v>9</v>
      </c>
      <c r="T1507" t="s">
        <v>310</v>
      </c>
      <c r="U1507">
        <v>9</v>
      </c>
      <c r="V1507">
        <v>9</v>
      </c>
      <c r="W1507">
        <v>0</v>
      </c>
      <c r="X1507">
        <v>0</v>
      </c>
      <c r="Y1507">
        <v>0</v>
      </c>
      <c r="Z1507">
        <v>0</v>
      </c>
      <c r="AA1507">
        <v>9</v>
      </c>
      <c r="AB1507">
        <v>9</v>
      </c>
      <c r="AC1507" t="s">
        <v>310</v>
      </c>
      <c r="AD1507">
        <v>9</v>
      </c>
      <c r="AE1507" t="s">
        <v>1388</v>
      </c>
      <c r="AF1507">
        <v>60001000</v>
      </c>
      <c r="AG1507" t="s">
        <v>310</v>
      </c>
      <c r="AH1507">
        <f>SUM((MID(Dyno_Data[[#This Row],[Team]],4,5))+(Dyno_Data[[#This Row],[Match]]/100))</f>
        <v>1591.31</v>
      </c>
      <c r="AI1507" s="76">
        <f>ROUND(SUM(IF(Dyno_Data[[#This Row],[AcqCenter]]&gt;0,Dyno_Data[[#This Row],[Time]]-SUMIFS(Dyno_Data[Time],Dyno_Data[Team],Dyno_Data[[#This Row],[Team]],Dyno_Data[RecordType],"StartMatch",Dyno_Data[Match],Dyno_Data[[#This Row],[Match]]),0)*86400),0)</f>
        <v>0</v>
      </c>
    </row>
    <row r="1508" spans="1:35" x14ac:dyDescent="0.3">
      <c r="A1508">
        <v>1507</v>
      </c>
      <c r="B1508" t="s">
        <v>1306</v>
      </c>
      <c r="C1508">
        <v>31</v>
      </c>
      <c r="D1508" s="105">
        <v>45373.593291087964</v>
      </c>
      <c r="E1508" t="s">
        <v>312</v>
      </c>
      <c r="F1508" t="s">
        <v>1402</v>
      </c>
      <c r="G1508">
        <v>0</v>
      </c>
      <c r="H1508" t="s">
        <v>315</v>
      </c>
      <c r="I1508">
        <v>0</v>
      </c>
      <c r="J1508">
        <v>0</v>
      </c>
      <c r="K1508">
        <v>0</v>
      </c>
      <c r="L1508" t="s">
        <v>241</v>
      </c>
      <c r="M1508" t="s">
        <v>1398</v>
      </c>
      <c r="N1508">
        <v>0</v>
      </c>
      <c r="O1508" t="s">
        <v>1395</v>
      </c>
      <c r="P1508" t="s">
        <v>310</v>
      </c>
      <c r="Q1508" t="s">
        <v>310</v>
      </c>
      <c r="R1508" t="s">
        <v>310</v>
      </c>
      <c r="S1508">
        <v>9</v>
      </c>
      <c r="T1508" t="s">
        <v>310</v>
      </c>
      <c r="U1508">
        <v>9</v>
      </c>
      <c r="V1508">
        <v>9</v>
      </c>
      <c r="W1508">
        <v>0</v>
      </c>
      <c r="X1508">
        <v>0</v>
      </c>
      <c r="Y1508">
        <v>0</v>
      </c>
      <c r="Z1508">
        <v>0</v>
      </c>
      <c r="AA1508">
        <v>9</v>
      </c>
      <c r="AB1508">
        <v>9</v>
      </c>
      <c r="AC1508" t="s">
        <v>310</v>
      </c>
      <c r="AD1508">
        <v>9</v>
      </c>
      <c r="AE1508" t="s">
        <v>1396</v>
      </c>
      <c r="AF1508">
        <v>60001000</v>
      </c>
      <c r="AG1508" t="s">
        <v>310</v>
      </c>
      <c r="AH1508">
        <f>SUM((MID(Dyno_Data[[#This Row],[Team]],4,5))+(Dyno_Data[[#This Row],[Match]]/100))</f>
        <v>3986.31</v>
      </c>
      <c r="AI1508" s="76">
        <f>ROUND(SUM(IF(Dyno_Data[[#This Row],[AcqCenter]]&gt;0,Dyno_Data[[#This Row],[Time]]-SUMIFS(Dyno_Data[Time],Dyno_Data[Team],Dyno_Data[[#This Row],[Team]],Dyno_Data[RecordType],"StartMatch",Dyno_Data[Match],Dyno_Data[[#This Row],[Match]]),0)*86400),0)</f>
        <v>0</v>
      </c>
    </row>
    <row r="1509" spans="1:35" x14ac:dyDescent="0.3">
      <c r="A1509">
        <v>1508</v>
      </c>
      <c r="B1509" t="s">
        <v>1296</v>
      </c>
      <c r="C1509">
        <v>31</v>
      </c>
      <c r="D1509" s="105">
        <v>45373.593377395831</v>
      </c>
      <c r="E1509" t="s">
        <v>312</v>
      </c>
      <c r="F1509" t="s">
        <v>1402</v>
      </c>
      <c r="G1509">
        <v>0</v>
      </c>
      <c r="H1509" t="s">
        <v>315</v>
      </c>
      <c r="I1509">
        <v>0</v>
      </c>
      <c r="J1509">
        <v>0</v>
      </c>
      <c r="K1509">
        <v>0</v>
      </c>
      <c r="L1509" t="s">
        <v>241</v>
      </c>
      <c r="M1509" t="s">
        <v>1398</v>
      </c>
      <c r="N1509">
        <v>0</v>
      </c>
      <c r="O1509" t="s">
        <v>311</v>
      </c>
      <c r="P1509" t="s">
        <v>310</v>
      </c>
      <c r="Q1509" t="s">
        <v>310</v>
      </c>
      <c r="R1509" t="s">
        <v>310</v>
      </c>
      <c r="S1509">
        <v>9</v>
      </c>
      <c r="T1509" t="s">
        <v>310</v>
      </c>
      <c r="U1509">
        <v>9</v>
      </c>
      <c r="V1509">
        <v>9</v>
      </c>
      <c r="W1509">
        <v>0</v>
      </c>
      <c r="X1509">
        <v>0</v>
      </c>
      <c r="Y1509">
        <v>0</v>
      </c>
      <c r="Z1509">
        <v>0</v>
      </c>
      <c r="AA1509">
        <v>9</v>
      </c>
      <c r="AB1509">
        <v>9</v>
      </c>
      <c r="AC1509" t="s">
        <v>310</v>
      </c>
      <c r="AD1509">
        <v>9</v>
      </c>
      <c r="AE1509" t="s">
        <v>1392</v>
      </c>
      <c r="AF1509">
        <v>50000000</v>
      </c>
      <c r="AG1509" t="s">
        <v>310</v>
      </c>
      <c r="AH1509">
        <f>SUM((MID(Dyno_Data[[#This Row],[Team]],4,5))+(Dyno_Data[[#This Row],[Match]]/100))</f>
        <v>3003.31</v>
      </c>
      <c r="AI1509" s="76">
        <f>ROUND(SUM(IF(Dyno_Data[[#This Row],[AcqCenter]]&gt;0,Dyno_Data[[#This Row],[Time]]-SUMIFS(Dyno_Data[Time],Dyno_Data[Team],Dyno_Data[[#This Row],[Team]],Dyno_Data[RecordType],"StartMatch",Dyno_Data[Match],Dyno_Data[[#This Row],[Match]]),0)*86400),0)</f>
        <v>0</v>
      </c>
    </row>
    <row r="1510" spans="1:35" x14ac:dyDescent="0.3">
      <c r="A1510">
        <v>1509</v>
      </c>
      <c r="B1510" t="s">
        <v>1286</v>
      </c>
      <c r="C1510">
        <v>31</v>
      </c>
      <c r="D1510" s="105">
        <v>45373.593400497688</v>
      </c>
      <c r="E1510" t="s">
        <v>312</v>
      </c>
      <c r="F1510" t="s">
        <v>1402</v>
      </c>
      <c r="G1510">
        <v>0</v>
      </c>
      <c r="H1510" t="s">
        <v>315</v>
      </c>
      <c r="I1510">
        <v>0</v>
      </c>
      <c r="J1510">
        <v>0</v>
      </c>
      <c r="K1510">
        <v>0</v>
      </c>
      <c r="L1510" t="s">
        <v>241</v>
      </c>
      <c r="M1510" t="s">
        <v>1398</v>
      </c>
      <c r="N1510">
        <v>0</v>
      </c>
      <c r="O1510" t="s">
        <v>319</v>
      </c>
      <c r="P1510" t="s">
        <v>310</v>
      </c>
      <c r="Q1510" t="s">
        <v>310</v>
      </c>
      <c r="R1510" t="s">
        <v>310</v>
      </c>
      <c r="S1510">
        <v>9</v>
      </c>
      <c r="T1510" t="s">
        <v>310</v>
      </c>
      <c r="U1510">
        <v>9</v>
      </c>
      <c r="V1510">
        <v>9</v>
      </c>
      <c r="W1510">
        <v>0</v>
      </c>
      <c r="X1510">
        <v>0</v>
      </c>
      <c r="Y1510">
        <v>0</v>
      </c>
      <c r="Z1510">
        <v>0</v>
      </c>
      <c r="AA1510">
        <v>9</v>
      </c>
      <c r="AB1510">
        <v>9</v>
      </c>
      <c r="AC1510" t="s">
        <v>310</v>
      </c>
      <c r="AD1510">
        <v>9</v>
      </c>
      <c r="AE1510" t="s">
        <v>1388</v>
      </c>
      <c r="AF1510">
        <v>70001000</v>
      </c>
      <c r="AG1510" t="s">
        <v>310</v>
      </c>
      <c r="AH1510">
        <f>SUM((MID(Dyno_Data[[#This Row],[Team]],4,5))+(Dyno_Data[[#This Row],[Match]]/100))</f>
        <v>1591.31</v>
      </c>
      <c r="AI1510" s="76">
        <f>ROUND(SUM(IF(Dyno_Data[[#This Row],[AcqCenter]]&gt;0,Dyno_Data[[#This Row],[Time]]-SUMIFS(Dyno_Data[Time],Dyno_Data[Team],Dyno_Data[[#This Row],[Team]],Dyno_Data[RecordType],"StartMatch",Dyno_Data[Match],Dyno_Data[[#This Row],[Match]]),0)*86400),0)</f>
        <v>0</v>
      </c>
    </row>
    <row r="1511" spans="1:35" x14ac:dyDescent="0.3">
      <c r="A1511">
        <v>1510</v>
      </c>
      <c r="B1511" t="s">
        <v>361</v>
      </c>
      <c r="C1511">
        <v>31</v>
      </c>
      <c r="D1511" s="105">
        <v>45373.593430127316</v>
      </c>
      <c r="E1511" t="s">
        <v>312</v>
      </c>
      <c r="F1511" t="s">
        <v>1402</v>
      </c>
      <c r="G1511">
        <v>0</v>
      </c>
      <c r="H1511" t="s">
        <v>315</v>
      </c>
      <c r="I1511">
        <v>0</v>
      </c>
      <c r="J1511">
        <v>0</v>
      </c>
      <c r="K1511">
        <v>0</v>
      </c>
      <c r="L1511" t="s">
        <v>241</v>
      </c>
      <c r="M1511" t="s">
        <v>101</v>
      </c>
      <c r="N1511">
        <v>0</v>
      </c>
      <c r="O1511" t="s">
        <v>1393</v>
      </c>
      <c r="P1511" t="s">
        <v>310</v>
      </c>
      <c r="Q1511" t="s">
        <v>310</v>
      </c>
      <c r="R1511" t="s">
        <v>310</v>
      </c>
      <c r="S1511">
        <v>9</v>
      </c>
      <c r="T1511" t="s">
        <v>310</v>
      </c>
      <c r="U1511">
        <v>9</v>
      </c>
      <c r="V1511">
        <v>9</v>
      </c>
      <c r="W1511">
        <v>0</v>
      </c>
      <c r="X1511">
        <v>0</v>
      </c>
      <c r="Y1511">
        <v>0</v>
      </c>
      <c r="Z1511">
        <v>0</v>
      </c>
      <c r="AA1511">
        <v>9</v>
      </c>
      <c r="AB1511">
        <v>9</v>
      </c>
      <c r="AC1511" t="s">
        <v>310</v>
      </c>
      <c r="AD1511">
        <v>9</v>
      </c>
      <c r="AE1511" t="s">
        <v>1394</v>
      </c>
      <c r="AF1511">
        <v>80000000</v>
      </c>
      <c r="AG1511" t="s">
        <v>310</v>
      </c>
      <c r="AH1511">
        <f>SUM((MID(Dyno_Data[[#This Row],[Team]],4,5))+(Dyno_Data[[#This Row],[Match]]/100))</f>
        <v>20.309999999999999</v>
      </c>
      <c r="AI1511" s="76">
        <f>ROUND(SUM(IF(Dyno_Data[[#This Row],[AcqCenter]]&gt;0,Dyno_Data[[#This Row],[Time]]-SUMIFS(Dyno_Data[Time],Dyno_Data[Team],Dyno_Data[[#This Row],[Team]],Dyno_Data[RecordType],"StartMatch",Dyno_Data[Match],Dyno_Data[[#This Row],[Match]]),0)*86400),0)</f>
        <v>0</v>
      </c>
    </row>
    <row r="1512" spans="1:35" x14ac:dyDescent="0.3">
      <c r="A1512">
        <v>1511</v>
      </c>
      <c r="B1512" t="s">
        <v>1306</v>
      </c>
      <c r="C1512">
        <v>31</v>
      </c>
      <c r="D1512" s="105">
        <v>45373.593438923614</v>
      </c>
      <c r="E1512" t="s">
        <v>312</v>
      </c>
      <c r="F1512" t="s">
        <v>1402</v>
      </c>
      <c r="G1512">
        <v>0</v>
      </c>
      <c r="H1512" t="s">
        <v>315</v>
      </c>
      <c r="I1512">
        <v>0</v>
      </c>
      <c r="J1512">
        <v>0</v>
      </c>
      <c r="K1512">
        <v>0</v>
      </c>
      <c r="L1512" t="s">
        <v>242</v>
      </c>
      <c r="M1512" t="s">
        <v>241</v>
      </c>
      <c r="N1512">
        <v>0</v>
      </c>
      <c r="O1512" t="s">
        <v>1395</v>
      </c>
      <c r="P1512" t="s">
        <v>310</v>
      </c>
      <c r="Q1512" t="s">
        <v>310</v>
      </c>
      <c r="R1512" t="s">
        <v>310</v>
      </c>
      <c r="S1512">
        <v>9</v>
      </c>
      <c r="T1512" t="s">
        <v>310</v>
      </c>
      <c r="U1512">
        <v>9</v>
      </c>
      <c r="V1512">
        <v>9</v>
      </c>
      <c r="W1512">
        <v>0</v>
      </c>
      <c r="X1512">
        <v>0</v>
      </c>
      <c r="Y1512">
        <v>0</v>
      </c>
      <c r="Z1512">
        <v>0</v>
      </c>
      <c r="AA1512">
        <v>9</v>
      </c>
      <c r="AB1512">
        <v>9</v>
      </c>
      <c r="AC1512" t="s">
        <v>310</v>
      </c>
      <c r="AD1512">
        <v>9</v>
      </c>
      <c r="AE1512" t="s">
        <v>1396</v>
      </c>
      <c r="AF1512">
        <v>70001000</v>
      </c>
      <c r="AG1512" t="s">
        <v>310</v>
      </c>
      <c r="AH1512">
        <f>SUM((MID(Dyno_Data[[#This Row],[Team]],4,5))+(Dyno_Data[[#This Row],[Match]]/100))</f>
        <v>3986.31</v>
      </c>
      <c r="AI1512" s="76">
        <f>ROUND(SUM(IF(Dyno_Data[[#This Row],[AcqCenter]]&gt;0,Dyno_Data[[#This Row],[Time]]-SUMIFS(Dyno_Data[Time],Dyno_Data[Team],Dyno_Data[[#This Row],[Team]],Dyno_Data[RecordType],"StartMatch",Dyno_Data[Match],Dyno_Data[[#This Row],[Match]]),0)*86400),0)</f>
        <v>0</v>
      </c>
    </row>
    <row r="1513" spans="1:35" x14ac:dyDescent="0.3">
      <c r="A1513">
        <v>1512</v>
      </c>
      <c r="B1513" t="s">
        <v>1286</v>
      </c>
      <c r="C1513">
        <v>31</v>
      </c>
      <c r="D1513" s="105">
        <v>45373.593522303243</v>
      </c>
      <c r="E1513" t="s">
        <v>312</v>
      </c>
      <c r="F1513" t="s">
        <v>1402</v>
      </c>
      <c r="G1513">
        <v>0</v>
      </c>
      <c r="H1513" t="s">
        <v>315</v>
      </c>
      <c r="I1513">
        <v>0</v>
      </c>
      <c r="J1513">
        <v>0</v>
      </c>
      <c r="K1513">
        <v>0</v>
      </c>
      <c r="L1513" t="s">
        <v>241</v>
      </c>
      <c r="M1513" t="s">
        <v>1398</v>
      </c>
      <c r="N1513">
        <v>0</v>
      </c>
      <c r="O1513" t="s">
        <v>319</v>
      </c>
      <c r="P1513" t="s">
        <v>310</v>
      </c>
      <c r="Q1513" t="s">
        <v>310</v>
      </c>
      <c r="R1513" t="s">
        <v>310</v>
      </c>
      <c r="S1513">
        <v>9</v>
      </c>
      <c r="T1513" t="s">
        <v>310</v>
      </c>
      <c r="U1513">
        <v>9</v>
      </c>
      <c r="V1513">
        <v>9</v>
      </c>
      <c r="W1513">
        <v>0</v>
      </c>
      <c r="X1513">
        <v>0</v>
      </c>
      <c r="Y1513">
        <v>0</v>
      </c>
      <c r="Z1513">
        <v>0</v>
      </c>
      <c r="AA1513">
        <v>9</v>
      </c>
      <c r="AB1513">
        <v>9</v>
      </c>
      <c r="AC1513" t="s">
        <v>310</v>
      </c>
      <c r="AD1513">
        <v>9</v>
      </c>
      <c r="AE1513" t="s">
        <v>1388</v>
      </c>
      <c r="AF1513">
        <v>80001000</v>
      </c>
      <c r="AG1513" t="s">
        <v>310</v>
      </c>
      <c r="AH1513">
        <f>SUM((MID(Dyno_Data[[#This Row],[Team]],4,5))+(Dyno_Data[[#This Row],[Match]]/100))</f>
        <v>1591.31</v>
      </c>
      <c r="AI1513" s="76">
        <f>ROUND(SUM(IF(Dyno_Data[[#This Row],[AcqCenter]]&gt;0,Dyno_Data[[#This Row],[Time]]-SUMIFS(Dyno_Data[Time],Dyno_Data[Team],Dyno_Data[[#This Row],[Team]],Dyno_Data[RecordType],"StartMatch",Dyno_Data[Match],Dyno_Data[[#This Row],[Match]]),0)*86400),0)</f>
        <v>0</v>
      </c>
    </row>
    <row r="1514" spans="1:35" x14ac:dyDescent="0.3">
      <c r="A1514">
        <v>1513</v>
      </c>
      <c r="B1514" t="s">
        <v>1306</v>
      </c>
      <c r="C1514">
        <v>31</v>
      </c>
      <c r="D1514" s="105">
        <v>45373.5935650463</v>
      </c>
      <c r="E1514" t="s">
        <v>312</v>
      </c>
      <c r="F1514" t="s">
        <v>1402</v>
      </c>
      <c r="G1514">
        <v>0</v>
      </c>
      <c r="H1514" t="s">
        <v>315</v>
      </c>
      <c r="I1514">
        <v>0</v>
      </c>
      <c r="J1514">
        <v>0</v>
      </c>
      <c r="K1514">
        <v>0</v>
      </c>
      <c r="L1514" t="s">
        <v>242</v>
      </c>
      <c r="M1514" t="s">
        <v>241</v>
      </c>
      <c r="N1514">
        <v>0</v>
      </c>
      <c r="O1514" t="s">
        <v>1395</v>
      </c>
      <c r="P1514" t="s">
        <v>310</v>
      </c>
      <c r="Q1514" t="s">
        <v>310</v>
      </c>
      <c r="R1514" t="s">
        <v>310</v>
      </c>
      <c r="S1514">
        <v>9</v>
      </c>
      <c r="T1514" t="s">
        <v>310</v>
      </c>
      <c r="U1514">
        <v>9</v>
      </c>
      <c r="V1514">
        <v>9</v>
      </c>
      <c r="W1514">
        <v>0</v>
      </c>
      <c r="X1514">
        <v>0</v>
      </c>
      <c r="Y1514">
        <v>0</v>
      </c>
      <c r="Z1514">
        <v>0</v>
      </c>
      <c r="AA1514">
        <v>9</v>
      </c>
      <c r="AB1514">
        <v>9</v>
      </c>
      <c r="AC1514" t="s">
        <v>310</v>
      </c>
      <c r="AD1514">
        <v>9</v>
      </c>
      <c r="AE1514" t="s">
        <v>1396</v>
      </c>
      <c r="AF1514">
        <v>80001000</v>
      </c>
      <c r="AG1514" t="s">
        <v>310</v>
      </c>
      <c r="AH1514">
        <f>SUM((MID(Dyno_Data[[#This Row],[Team]],4,5))+(Dyno_Data[[#This Row],[Match]]/100))</f>
        <v>3986.31</v>
      </c>
      <c r="AI1514" s="76">
        <f>ROUND(SUM(IF(Dyno_Data[[#This Row],[AcqCenter]]&gt;0,Dyno_Data[[#This Row],[Time]]-SUMIFS(Dyno_Data[Time],Dyno_Data[Team],Dyno_Data[[#This Row],[Team]],Dyno_Data[RecordType],"StartMatch",Dyno_Data[Match],Dyno_Data[[#This Row],[Match]]),0)*86400),0)</f>
        <v>0</v>
      </c>
    </row>
    <row r="1515" spans="1:35" x14ac:dyDescent="0.3">
      <c r="A1515">
        <v>1514</v>
      </c>
      <c r="B1515" t="s">
        <v>1296</v>
      </c>
      <c r="C1515">
        <v>31</v>
      </c>
      <c r="D1515" s="105">
        <v>45373.593575231484</v>
      </c>
      <c r="E1515" t="s">
        <v>312</v>
      </c>
      <c r="F1515" t="s">
        <v>1402</v>
      </c>
      <c r="G1515">
        <v>0</v>
      </c>
      <c r="H1515" t="s">
        <v>315</v>
      </c>
      <c r="I1515">
        <v>0</v>
      </c>
      <c r="J1515">
        <v>0</v>
      </c>
      <c r="K1515">
        <v>0</v>
      </c>
      <c r="L1515" t="s">
        <v>241</v>
      </c>
      <c r="M1515" t="s">
        <v>1398</v>
      </c>
      <c r="N1515">
        <v>0</v>
      </c>
      <c r="O1515" t="s">
        <v>311</v>
      </c>
      <c r="P1515" t="s">
        <v>310</v>
      </c>
      <c r="Q1515" t="s">
        <v>310</v>
      </c>
      <c r="R1515" t="s">
        <v>310</v>
      </c>
      <c r="S1515">
        <v>9</v>
      </c>
      <c r="T1515" t="s">
        <v>310</v>
      </c>
      <c r="U1515">
        <v>9</v>
      </c>
      <c r="V1515">
        <v>9</v>
      </c>
      <c r="W1515">
        <v>0</v>
      </c>
      <c r="X1515">
        <v>0</v>
      </c>
      <c r="Y1515">
        <v>0</v>
      </c>
      <c r="Z1515">
        <v>0</v>
      </c>
      <c r="AA1515">
        <v>9</v>
      </c>
      <c r="AB1515">
        <v>9</v>
      </c>
      <c r="AC1515" t="s">
        <v>310</v>
      </c>
      <c r="AD1515">
        <v>9</v>
      </c>
      <c r="AE1515" t="s">
        <v>1392</v>
      </c>
      <c r="AF1515">
        <v>60000000</v>
      </c>
      <c r="AG1515" t="s">
        <v>310</v>
      </c>
      <c r="AH1515">
        <f>SUM((MID(Dyno_Data[[#This Row],[Team]],4,5))+(Dyno_Data[[#This Row],[Match]]/100))</f>
        <v>3003.31</v>
      </c>
      <c r="AI1515" s="76">
        <f>ROUND(SUM(IF(Dyno_Data[[#This Row],[AcqCenter]]&gt;0,Dyno_Data[[#This Row],[Time]]-SUMIFS(Dyno_Data[Time],Dyno_Data[Team],Dyno_Data[[#This Row],[Team]],Dyno_Data[RecordType],"StartMatch",Dyno_Data[Match],Dyno_Data[[#This Row],[Match]]),0)*86400),0)</f>
        <v>0</v>
      </c>
    </row>
    <row r="1516" spans="1:35" x14ac:dyDescent="0.3">
      <c r="A1516">
        <v>1515</v>
      </c>
      <c r="B1516" t="s">
        <v>1296</v>
      </c>
      <c r="C1516">
        <v>31</v>
      </c>
      <c r="D1516" s="105">
        <v>45373.593647719907</v>
      </c>
      <c r="E1516" t="s">
        <v>312</v>
      </c>
      <c r="F1516" t="s">
        <v>1402</v>
      </c>
      <c r="G1516">
        <v>0</v>
      </c>
      <c r="H1516" t="s">
        <v>315</v>
      </c>
      <c r="I1516">
        <v>0</v>
      </c>
      <c r="J1516">
        <v>0</v>
      </c>
      <c r="K1516">
        <v>0</v>
      </c>
      <c r="L1516" t="s">
        <v>241</v>
      </c>
      <c r="M1516" t="s">
        <v>1398</v>
      </c>
      <c r="N1516">
        <v>0</v>
      </c>
      <c r="O1516" t="s">
        <v>311</v>
      </c>
      <c r="P1516" t="s">
        <v>310</v>
      </c>
      <c r="Q1516" t="s">
        <v>310</v>
      </c>
      <c r="R1516" t="s">
        <v>310</v>
      </c>
      <c r="S1516">
        <v>9</v>
      </c>
      <c r="T1516" t="s">
        <v>310</v>
      </c>
      <c r="U1516">
        <v>9</v>
      </c>
      <c r="V1516">
        <v>9</v>
      </c>
      <c r="W1516">
        <v>0</v>
      </c>
      <c r="X1516">
        <v>0</v>
      </c>
      <c r="Y1516">
        <v>0</v>
      </c>
      <c r="Z1516">
        <v>0</v>
      </c>
      <c r="AA1516">
        <v>9</v>
      </c>
      <c r="AB1516">
        <v>9</v>
      </c>
      <c r="AC1516" t="s">
        <v>310</v>
      </c>
      <c r="AD1516">
        <v>9</v>
      </c>
      <c r="AE1516" t="s">
        <v>1392</v>
      </c>
      <c r="AF1516">
        <v>70000000</v>
      </c>
      <c r="AG1516" t="s">
        <v>310</v>
      </c>
      <c r="AH1516">
        <f>SUM((MID(Dyno_Data[[#This Row],[Team]],4,5))+(Dyno_Data[[#This Row],[Match]]/100))</f>
        <v>3003.31</v>
      </c>
      <c r="AI1516" s="76">
        <f>ROUND(SUM(IF(Dyno_Data[[#This Row],[AcqCenter]]&gt;0,Dyno_Data[[#This Row],[Time]]-SUMIFS(Dyno_Data[Time],Dyno_Data[Team],Dyno_Data[[#This Row],[Team]],Dyno_Data[RecordType],"StartMatch",Dyno_Data[Match],Dyno_Data[[#This Row],[Match]]),0)*86400),0)</f>
        <v>0</v>
      </c>
    </row>
    <row r="1517" spans="1:35" x14ac:dyDescent="0.3">
      <c r="A1517">
        <v>1516</v>
      </c>
      <c r="B1517" t="s">
        <v>361</v>
      </c>
      <c r="C1517">
        <v>31</v>
      </c>
      <c r="D1517" s="105">
        <v>45373.593657789352</v>
      </c>
      <c r="E1517" t="s">
        <v>312</v>
      </c>
      <c r="F1517" t="s">
        <v>1402</v>
      </c>
      <c r="G1517">
        <v>0</v>
      </c>
      <c r="H1517" t="s">
        <v>315</v>
      </c>
      <c r="I1517">
        <v>0</v>
      </c>
      <c r="J1517">
        <v>0</v>
      </c>
      <c r="K1517">
        <v>0</v>
      </c>
      <c r="L1517" t="s">
        <v>241</v>
      </c>
      <c r="M1517" t="s">
        <v>101</v>
      </c>
      <c r="N1517">
        <v>0</v>
      </c>
      <c r="O1517" t="s">
        <v>1393</v>
      </c>
      <c r="P1517" t="s">
        <v>310</v>
      </c>
      <c r="Q1517" t="s">
        <v>310</v>
      </c>
      <c r="R1517" t="s">
        <v>310</v>
      </c>
      <c r="S1517">
        <v>9</v>
      </c>
      <c r="T1517" t="s">
        <v>310</v>
      </c>
      <c r="U1517">
        <v>9</v>
      </c>
      <c r="V1517">
        <v>9</v>
      </c>
      <c r="W1517">
        <v>0</v>
      </c>
      <c r="X1517">
        <v>0</v>
      </c>
      <c r="Y1517">
        <v>0</v>
      </c>
      <c r="Z1517">
        <v>0</v>
      </c>
      <c r="AA1517">
        <v>9</v>
      </c>
      <c r="AB1517">
        <v>9</v>
      </c>
      <c r="AC1517" t="s">
        <v>310</v>
      </c>
      <c r="AD1517">
        <v>9</v>
      </c>
      <c r="AE1517" t="s">
        <v>1394</v>
      </c>
      <c r="AF1517">
        <v>90000000</v>
      </c>
      <c r="AG1517" t="s">
        <v>310</v>
      </c>
      <c r="AH1517">
        <f>SUM((MID(Dyno_Data[[#This Row],[Team]],4,5))+(Dyno_Data[[#This Row],[Match]]/100))</f>
        <v>20.309999999999999</v>
      </c>
      <c r="AI1517" s="76">
        <f>ROUND(SUM(IF(Dyno_Data[[#This Row],[AcqCenter]]&gt;0,Dyno_Data[[#This Row],[Time]]-SUMIFS(Dyno_Data[Time],Dyno_Data[Team],Dyno_Data[[#This Row],[Team]],Dyno_Data[RecordType],"StartMatch",Dyno_Data[Match],Dyno_Data[[#This Row],[Match]]),0)*86400),0)</f>
        <v>0</v>
      </c>
    </row>
    <row r="1518" spans="1:35" x14ac:dyDescent="0.3">
      <c r="A1518">
        <v>1517</v>
      </c>
      <c r="B1518" t="s">
        <v>1286</v>
      </c>
      <c r="C1518">
        <v>31</v>
      </c>
      <c r="D1518" s="105">
        <v>45373.593663657404</v>
      </c>
      <c r="E1518" t="s">
        <v>312</v>
      </c>
      <c r="F1518" t="s">
        <v>1402</v>
      </c>
      <c r="G1518">
        <v>0</v>
      </c>
      <c r="H1518" t="s">
        <v>315</v>
      </c>
      <c r="I1518">
        <v>0</v>
      </c>
      <c r="J1518">
        <v>0</v>
      </c>
      <c r="K1518">
        <v>0</v>
      </c>
      <c r="L1518" t="s">
        <v>241</v>
      </c>
      <c r="M1518" t="s">
        <v>1398</v>
      </c>
      <c r="N1518">
        <v>0</v>
      </c>
      <c r="O1518" t="s">
        <v>319</v>
      </c>
      <c r="P1518" t="s">
        <v>310</v>
      </c>
      <c r="Q1518" t="s">
        <v>310</v>
      </c>
      <c r="R1518" t="s">
        <v>310</v>
      </c>
      <c r="S1518">
        <v>9</v>
      </c>
      <c r="T1518" t="s">
        <v>310</v>
      </c>
      <c r="U1518">
        <v>9</v>
      </c>
      <c r="V1518">
        <v>9</v>
      </c>
      <c r="W1518">
        <v>0</v>
      </c>
      <c r="X1518">
        <v>0</v>
      </c>
      <c r="Y1518">
        <v>0</v>
      </c>
      <c r="Z1518">
        <v>0</v>
      </c>
      <c r="AA1518">
        <v>9</v>
      </c>
      <c r="AB1518">
        <v>9</v>
      </c>
      <c r="AC1518" t="s">
        <v>310</v>
      </c>
      <c r="AD1518">
        <v>9</v>
      </c>
      <c r="AE1518" t="s">
        <v>1388</v>
      </c>
      <c r="AF1518">
        <v>90001000</v>
      </c>
      <c r="AG1518" t="s">
        <v>310</v>
      </c>
      <c r="AH1518">
        <f>SUM((MID(Dyno_Data[[#This Row],[Team]],4,5))+(Dyno_Data[[#This Row],[Match]]/100))</f>
        <v>1591.31</v>
      </c>
      <c r="AI1518" s="76">
        <f>ROUND(SUM(IF(Dyno_Data[[#This Row],[AcqCenter]]&gt;0,Dyno_Data[[#This Row],[Time]]-SUMIFS(Dyno_Data[Time],Dyno_Data[Team],Dyno_Data[[#This Row],[Team]],Dyno_Data[RecordType],"StartMatch",Dyno_Data[Match],Dyno_Data[[#This Row],[Match]]),0)*86400),0)</f>
        <v>0</v>
      </c>
    </row>
    <row r="1519" spans="1:35" x14ac:dyDescent="0.3">
      <c r="A1519">
        <v>1518</v>
      </c>
      <c r="B1519" t="s">
        <v>368</v>
      </c>
      <c r="C1519">
        <v>31</v>
      </c>
      <c r="D1519" s="105">
        <v>45373.593676585646</v>
      </c>
      <c r="E1519" t="s">
        <v>1403</v>
      </c>
      <c r="F1519" t="s">
        <v>1402</v>
      </c>
      <c r="G1519">
        <v>0</v>
      </c>
      <c r="H1519" t="s">
        <v>310</v>
      </c>
      <c r="I1519">
        <v>0</v>
      </c>
      <c r="J1519">
        <v>0</v>
      </c>
      <c r="K1519">
        <v>0</v>
      </c>
      <c r="L1519" t="s">
        <v>310</v>
      </c>
      <c r="M1519" t="s">
        <v>310</v>
      </c>
      <c r="N1519">
        <v>0</v>
      </c>
      <c r="O1519" t="s">
        <v>1389</v>
      </c>
      <c r="P1519" t="s">
        <v>310</v>
      </c>
      <c r="Q1519" t="s">
        <v>310</v>
      </c>
      <c r="R1519" t="s">
        <v>310</v>
      </c>
      <c r="S1519">
        <v>9</v>
      </c>
      <c r="T1519" t="s">
        <v>310</v>
      </c>
      <c r="U1519">
        <v>9</v>
      </c>
      <c r="V1519">
        <v>9</v>
      </c>
      <c r="W1519">
        <v>0</v>
      </c>
      <c r="X1519">
        <v>0</v>
      </c>
      <c r="Y1519">
        <v>0</v>
      </c>
      <c r="Z1519">
        <v>0</v>
      </c>
      <c r="AA1519">
        <v>9</v>
      </c>
      <c r="AB1519">
        <v>9</v>
      </c>
      <c r="AC1519" t="s">
        <v>310</v>
      </c>
      <c r="AD1519">
        <v>9</v>
      </c>
      <c r="AE1519" t="s">
        <v>1387</v>
      </c>
      <c r="AF1519">
        <v>90001000</v>
      </c>
      <c r="AG1519" t="s">
        <v>258</v>
      </c>
      <c r="AH1519">
        <f>SUM((MID(Dyno_Data[[#This Row],[Team]],4,5))+(Dyno_Data[[#This Row],[Match]]/100))</f>
        <v>6401.31</v>
      </c>
      <c r="AI1519" s="76">
        <f>ROUND(SUM(IF(Dyno_Data[[#This Row],[AcqCenter]]&gt;0,Dyno_Data[[#This Row],[Time]]-SUMIFS(Dyno_Data[Time],Dyno_Data[Team],Dyno_Data[[#This Row],[Team]],Dyno_Data[RecordType],"StartMatch",Dyno_Data[Match],Dyno_Data[[#This Row],[Match]]),0)*86400),0)</f>
        <v>0</v>
      </c>
    </row>
    <row r="1520" spans="1:35" x14ac:dyDescent="0.3">
      <c r="A1520">
        <v>1519</v>
      </c>
      <c r="B1520" t="s">
        <v>1306</v>
      </c>
      <c r="C1520">
        <v>31</v>
      </c>
      <c r="D1520" s="105">
        <v>45373.593714351853</v>
      </c>
      <c r="E1520" t="s">
        <v>312</v>
      </c>
      <c r="F1520" t="s">
        <v>1402</v>
      </c>
      <c r="G1520">
        <v>0</v>
      </c>
      <c r="H1520" t="s">
        <v>315</v>
      </c>
      <c r="I1520">
        <v>0</v>
      </c>
      <c r="J1520">
        <v>0</v>
      </c>
      <c r="K1520">
        <v>0</v>
      </c>
      <c r="L1520" t="s">
        <v>241</v>
      </c>
      <c r="M1520" t="s">
        <v>1398</v>
      </c>
      <c r="N1520">
        <v>0</v>
      </c>
      <c r="O1520" t="s">
        <v>1395</v>
      </c>
      <c r="P1520" t="s">
        <v>310</v>
      </c>
      <c r="Q1520" t="s">
        <v>310</v>
      </c>
      <c r="R1520" t="s">
        <v>310</v>
      </c>
      <c r="S1520">
        <v>9</v>
      </c>
      <c r="T1520" t="s">
        <v>310</v>
      </c>
      <c r="U1520">
        <v>9</v>
      </c>
      <c r="V1520">
        <v>9</v>
      </c>
      <c r="W1520">
        <v>0</v>
      </c>
      <c r="X1520">
        <v>0</v>
      </c>
      <c r="Y1520">
        <v>0</v>
      </c>
      <c r="Z1520">
        <v>0</v>
      </c>
      <c r="AA1520">
        <v>9</v>
      </c>
      <c r="AB1520">
        <v>9</v>
      </c>
      <c r="AC1520" t="s">
        <v>310</v>
      </c>
      <c r="AD1520">
        <v>9</v>
      </c>
      <c r="AE1520" t="s">
        <v>1396</v>
      </c>
      <c r="AF1520">
        <v>90001000</v>
      </c>
      <c r="AG1520" t="s">
        <v>310</v>
      </c>
      <c r="AH1520">
        <f>SUM((MID(Dyno_Data[[#This Row],[Team]],4,5))+(Dyno_Data[[#This Row],[Match]]/100))</f>
        <v>3986.31</v>
      </c>
      <c r="AI1520" s="76">
        <f>ROUND(SUM(IF(Dyno_Data[[#This Row],[AcqCenter]]&gt;0,Dyno_Data[[#This Row],[Time]]-SUMIFS(Dyno_Data[Time],Dyno_Data[Team],Dyno_Data[[#This Row],[Team]],Dyno_Data[RecordType],"StartMatch",Dyno_Data[Match],Dyno_Data[[#This Row],[Match]]),0)*86400),0)</f>
        <v>0</v>
      </c>
    </row>
    <row r="1521" spans="1:35" x14ac:dyDescent="0.3">
      <c r="A1521">
        <v>1520</v>
      </c>
      <c r="B1521" t="s">
        <v>371</v>
      </c>
      <c r="C1521">
        <v>31</v>
      </c>
      <c r="D1521" s="105">
        <v>45373.593794594904</v>
      </c>
      <c r="E1521" t="s">
        <v>312</v>
      </c>
      <c r="F1521" t="s">
        <v>1402</v>
      </c>
      <c r="G1521">
        <v>0</v>
      </c>
      <c r="H1521" t="s">
        <v>1397</v>
      </c>
      <c r="I1521">
        <v>0</v>
      </c>
      <c r="J1521">
        <v>0</v>
      </c>
      <c r="K1521">
        <v>0</v>
      </c>
      <c r="L1521" t="s">
        <v>241</v>
      </c>
      <c r="M1521" t="s">
        <v>1398</v>
      </c>
      <c r="N1521">
        <v>1</v>
      </c>
      <c r="O1521" t="s">
        <v>1391</v>
      </c>
      <c r="P1521" t="s">
        <v>310</v>
      </c>
      <c r="Q1521" t="s">
        <v>310</v>
      </c>
      <c r="R1521" t="s">
        <v>310</v>
      </c>
      <c r="S1521">
        <v>9</v>
      </c>
      <c r="T1521" t="s">
        <v>310</v>
      </c>
      <c r="U1521">
        <v>9</v>
      </c>
      <c r="V1521">
        <v>9</v>
      </c>
      <c r="W1521">
        <v>0</v>
      </c>
      <c r="X1521">
        <v>0</v>
      </c>
      <c r="Y1521">
        <v>0</v>
      </c>
      <c r="Z1521">
        <v>0</v>
      </c>
      <c r="AA1521">
        <v>9</v>
      </c>
      <c r="AB1521">
        <v>9</v>
      </c>
      <c r="AC1521" t="s">
        <v>310</v>
      </c>
      <c r="AD1521">
        <v>9</v>
      </c>
      <c r="AE1521" t="s">
        <v>1390</v>
      </c>
      <c r="AF1521">
        <v>0</v>
      </c>
      <c r="AG1521" t="s">
        <v>310</v>
      </c>
      <c r="AH1521">
        <f>SUM((MID(Dyno_Data[[#This Row],[Team]],4,5))+(Dyno_Data[[#This Row],[Match]]/100))</f>
        <v>6969.31</v>
      </c>
      <c r="AI1521" s="76">
        <f>ROUND(SUM(IF(Dyno_Data[[#This Row],[AcqCenter]]&gt;0,Dyno_Data[[#This Row],[Time]]-SUMIFS(Dyno_Data[Time],Dyno_Data[Team],Dyno_Data[[#This Row],[Team]],Dyno_Data[RecordType],"StartMatch",Dyno_Data[Match],Dyno_Data[[#This Row],[Match]]),0)*86400),0)</f>
        <v>0</v>
      </c>
    </row>
    <row r="1522" spans="1:35" x14ac:dyDescent="0.3">
      <c r="A1522">
        <v>1521</v>
      </c>
      <c r="B1522" t="s">
        <v>1296</v>
      </c>
      <c r="C1522">
        <v>31</v>
      </c>
      <c r="D1522" s="105">
        <v>45373.59381554398</v>
      </c>
      <c r="E1522" t="s">
        <v>312</v>
      </c>
      <c r="F1522" t="s">
        <v>1402</v>
      </c>
      <c r="G1522">
        <v>0</v>
      </c>
      <c r="H1522" t="s">
        <v>315</v>
      </c>
      <c r="I1522">
        <v>0</v>
      </c>
      <c r="J1522">
        <v>0</v>
      </c>
      <c r="K1522">
        <v>0</v>
      </c>
      <c r="L1522" t="s">
        <v>241</v>
      </c>
      <c r="M1522" t="s">
        <v>1398</v>
      </c>
      <c r="N1522">
        <v>0</v>
      </c>
      <c r="O1522" t="s">
        <v>311</v>
      </c>
      <c r="P1522" t="s">
        <v>310</v>
      </c>
      <c r="Q1522" t="s">
        <v>310</v>
      </c>
      <c r="R1522" t="s">
        <v>310</v>
      </c>
      <c r="S1522">
        <v>9</v>
      </c>
      <c r="T1522" t="s">
        <v>310</v>
      </c>
      <c r="U1522">
        <v>9</v>
      </c>
      <c r="V1522">
        <v>9</v>
      </c>
      <c r="W1522">
        <v>0</v>
      </c>
      <c r="X1522">
        <v>0</v>
      </c>
      <c r="Y1522">
        <v>0</v>
      </c>
      <c r="Z1522">
        <v>0</v>
      </c>
      <c r="AA1522">
        <v>9</v>
      </c>
      <c r="AB1522">
        <v>9</v>
      </c>
      <c r="AC1522" t="s">
        <v>310</v>
      </c>
      <c r="AD1522">
        <v>9</v>
      </c>
      <c r="AE1522" t="s">
        <v>1392</v>
      </c>
      <c r="AF1522">
        <v>80000000</v>
      </c>
      <c r="AG1522" t="s">
        <v>310</v>
      </c>
      <c r="AH1522">
        <f>SUM((MID(Dyno_Data[[#This Row],[Team]],4,5))+(Dyno_Data[[#This Row],[Match]]/100))</f>
        <v>3003.31</v>
      </c>
      <c r="AI1522" s="76">
        <f>ROUND(SUM(IF(Dyno_Data[[#This Row],[AcqCenter]]&gt;0,Dyno_Data[[#This Row],[Time]]-SUMIFS(Dyno_Data[Time],Dyno_Data[Team],Dyno_Data[[#This Row],[Team]],Dyno_Data[RecordType],"StartMatch",Dyno_Data[Match],Dyno_Data[[#This Row],[Match]]),0)*86400),0)</f>
        <v>0</v>
      </c>
    </row>
    <row r="1523" spans="1:35" x14ac:dyDescent="0.3">
      <c r="A1523">
        <v>1522</v>
      </c>
      <c r="B1523" t="s">
        <v>1286</v>
      </c>
      <c r="C1523">
        <v>31</v>
      </c>
      <c r="D1523" s="105">
        <v>45373.593820520837</v>
      </c>
      <c r="E1523" t="s">
        <v>312</v>
      </c>
      <c r="F1523" t="s">
        <v>1402</v>
      </c>
      <c r="G1523">
        <v>0</v>
      </c>
      <c r="H1523" t="s">
        <v>315</v>
      </c>
      <c r="I1523">
        <v>0</v>
      </c>
      <c r="J1523">
        <v>0</v>
      </c>
      <c r="K1523">
        <v>0</v>
      </c>
      <c r="L1523" t="s">
        <v>241</v>
      </c>
      <c r="M1523" t="s">
        <v>1398</v>
      </c>
      <c r="N1523">
        <v>0</v>
      </c>
      <c r="O1523" t="s">
        <v>319</v>
      </c>
      <c r="P1523" t="s">
        <v>310</v>
      </c>
      <c r="Q1523" t="s">
        <v>310</v>
      </c>
      <c r="R1523" t="s">
        <v>310</v>
      </c>
      <c r="S1523">
        <v>9</v>
      </c>
      <c r="T1523" t="s">
        <v>310</v>
      </c>
      <c r="U1523">
        <v>9</v>
      </c>
      <c r="V1523">
        <v>9</v>
      </c>
      <c r="W1523">
        <v>0</v>
      </c>
      <c r="X1523">
        <v>0</v>
      </c>
      <c r="Y1523">
        <v>0</v>
      </c>
      <c r="Z1523">
        <v>0</v>
      </c>
      <c r="AA1523">
        <v>9</v>
      </c>
      <c r="AB1523">
        <v>9</v>
      </c>
      <c r="AC1523" t="s">
        <v>310</v>
      </c>
      <c r="AD1523">
        <v>9</v>
      </c>
      <c r="AE1523" t="s">
        <v>1388</v>
      </c>
      <c r="AF1523">
        <v>100001000</v>
      </c>
      <c r="AG1523" t="s">
        <v>310</v>
      </c>
      <c r="AH1523">
        <f>SUM((MID(Dyno_Data[[#This Row],[Team]],4,5))+(Dyno_Data[[#This Row],[Match]]/100))</f>
        <v>1591.31</v>
      </c>
      <c r="AI1523" s="76">
        <f>ROUND(SUM(IF(Dyno_Data[[#This Row],[AcqCenter]]&gt;0,Dyno_Data[[#This Row],[Time]]-SUMIFS(Dyno_Data[Time],Dyno_Data[Team],Dyno_Data[[#This Row],[Team]],Dyno_Data[RecordType],"StartMatch",Dyno_Data[Match],Dyno_Data[[#This Row],[Match]]),0)*86400),0)</f>
        <v>0</v>
      </c>
    </row>
    <row r="1524" spans="1:35" x14ac:dyDescent="0.3">
      <c r="A1524">
        <v>1523</v>
      </c>
      <c r="B1524" t="s">
        <v>361</v>
      </c>
      <c r="C1524">
        <v>31</v>
      </c>
      <c r="D1524" s="105">
        <v>45373.593847800927</v>
      </c>
      <c r="E1524" t="s">
        <v>312</v>
      </c>
      <c r="F1524" t="s">
        <v>1402</v>
      </c>
      <c r="G1524">
        <v>0</v>
      </c>
      <c r="H1524" t="s">
        <v>315</v>
      </c>
      <c r="I1524">
        <v>0</v>
      </c>
      <c r="J1524">
        <v>0</v>
      </c>
      <c r="K1524">
        <v>0</v>
      </c>
      <c r="L1524" t="s">
        <v>240</v>
      </c>
      <c r="M1524" t="s">
        <v>1398</v>
      </c>
      <c r="N1524">
        <v>0</v>
      </c>
      <c r="O1524" t="s">
        <v>1393</v>
      </c>
      <c r="P1524" t="s">
        <v>310</v>
      </c>
      <c r="Q1524" t="s">
        <v>310</v>
      </c>
      <c r="R1524" t="s">
        <v>310</v>
      </c>
      <c r="S1524">
        <v>9</v>
      </c>
      <c r="T1524" t="s">
        <v>310</v>
      </c>
      <c r="U1524">
        <v>9</v>
      </c>
      <c r="V1524">
        <v>9</v>
      </c>
      <c r="W1524">
        <v>0</v>
      </c>
      <c r="X1524">
        <v>0</v>
      </c>
      <c r="Y1524">
        <v>0</v>
      </c>
      <c r="Z1524">
        <v>0</v>
      </c>
      <c r="AA1524">
        <v>9</v>
      </c>
      <c r="AB1524">
        <v>9</v>
      </c>
      <c r="AC1524" t="s">
        <v>310</v>
      </c>
      <c r="AD1524">
        <v>9</v>
      </c>
      <c r="AE1524" t="s">
        <v>1394</v>
      </c>
      <c r="AF1524">
        <v>100000000</v>
      </c>
      <c r="AG1524" t="s">
        <v>310</v>
      </c>
      <c r="AH1524">
        <f>SUM((MID(Dyno_Data[[#This Row],[Team]],4,5))+(Dyno_Data[[#This Row],[Match]]/100))</f>
        <v>20.309999999999999</v>
      </c>
      <c r="AI1524" s="76">
        <f>ROUND(SUM(IF(Dyno_Data[[#This Row],[AcqCenter]]&gt;0,Dyno_Data[[#This Row],[Time]]-SUMIFS(Dyno_Data[Time],Dyno_Data[Team],Dyno_Data[[#This Row],[Team]],Dyno_Data[RecordType],"StartMatch",Dyno_Data[Match],Dyno_Data[[#This Row],[Match]]),0)*86400),0)</f>
        <v>0</v>
      </c>
    </row>
    <row r="1525" spans="1:35" x14ac:dyDescent="0.3">
      <c r="A1525">
        <v>1524</v>
      </c>
      <c r="B1525" t="s">
        <v>1306</v>
      </c>
      <c r="C1525">
        <v>31</v>
      </c>
      <c r="D1525" s="105">
        <v>45373.593871527781</v>
      </c>
      <c r="E1525" t="s">
        <v>312</v>
      </c>
      <c r="F1525" t="s">
        <v>1402</v>
      </c>
      <c r="G1525">
        <v>0</v>
      </c>
      <c r="H1525" t="s">
        <v>315</v>
      </c>
      <c r="I1525">
        <v>0</v>
      </c>
      <c r="J1525">
        <v>0</v>
      </c>
      <c r="K1525">
        <v>0</v>
      </c>
      <c r="L1525" t="s">
        <v>241</v>
      </c>
      <c r="M1525" t="s">
        <v>1398</v>
      </c>
      <c r="N1525">
        <v>0</v>
      </c>
      <c r="O1525" t="s">
        <v>1395</v>
      </c>
      <c r="P1525" t="s">
        <v>310</v>
      </c>
      <c r="Q1525" t="s">
        <v>310</v>
      </c>
      <c r="R1525" t="s">
        <v>310</v>
      </c>
      <c r="S1525">
        <v>9</v>
      </c>
      <c r="T1525" t="s">
        <v>310</v>
      </c>
      <c r="U1525">
        <v>9</v>
      </c>
      <c r="V1525">
        <v>9</v>
      </c>
      <c r="W1525">
        <v>0</v>
      </c>
      <c r="X1525">
        <v>0</v>
      </c>
      <c r="Y1525">
        <v>0</v>
      </c>
      <c r="Z1525">
        <v>0</v>
      </c>
      <c r="AA1525">
        <v>9</v>
      </c>
      <c r="AB1525">
        <v>9</v>
      </c>
      <c r="AC1525" t="s">
        <v>310</v>
      </c>
      <c r="AD1525">
        <v>9</v>
      </c>
      <c r="AE1525" t="s">
        <v>1396</v>
      </c>
      <c r="AF1525">
        <v>100001000</v>
      </c>
      <c r="AG1525" t="s">
        <v>310</v>
      </c>
      <c r="AH1525">
        <f>SUM((MID(Dyno_Data[[#This Row],[Team]],4,5))+(Dyno_Data[[#This Row],[Match]]/100))</f>
        <v>3986.31</v>
      </c>
      <c r="AI1525" s="76">
        <f>ROUND(SUM(IF(Dyno_Data[[#This Row],[AcqCenter]]&gt;0,Dyno_Data[[#This Row],[Time]]-SUMIFS(Dyno_Data[Time],Dyno_Data[Team],Dyno_Data[[#This Row],[Team]],Dyno_Data[RecordType],"StartMatch",Dyno_Data[Match],Dyno_Data[[#This Row],[Match]]),0)*86400),0)</f>
        <v>0</v>
      </c>
    </row>
    <row r="1526" spans="1:35" x14ac:dyDescent="0.3">
      <c r="A1526">
        <v>1525</v>
      </c>
      <c r="B1526" t="s">
        <v>371</v>
      </c>
      <c r="C1526">
        <v>31</v>
      </c>
      <c r="D1526" s="105">
        <v>45373.593878819447</v>
      </c>
      <c r="E1526" t="s">
        <v>312</v>
      </c>
      <c r="F1526" t="s">
        <v>1402</v>
      </c>
      <c r="G1526">
        <v>0</v>
      </c>
      <c r="H1526" t="s">
        <v>315</v>
      </c>
      <c r="I1526">
        <v>0</v>
      </c>
      <c r="J1526">
        <v>0</v>
      </c>
      <c r="K1526">
        <v>0</v>
      </c>
      <c r="L1526" t="s">
        <v>241</v>
      </c>
      <c r="M1526" t="s">
        <v>1398</v>
      </c>
      <c r="N1526">
        <v>0</v>
      </c>
      <c r="O1526" t="s">
        <v>1391</v>
      </c>
      <c r="P1526" t="s">
        <v>310</v>
      </c>
      <c r="Q1526" t="s">
        <v>310</v>
      </c>
      <c r="R1526" t="s">
        <v>310</v>
      </c>
      <c r="S1526">
        <v>9</v>
      </c>
      <c r="T1526" t="s">
        <v>310</v>
      </c>
      <c r="U1526">
        <v>9</v>
      </c>
      <c r="V1526">
        <v>9</v>
      </c>
      <c r="W1526">
        <v>0</v>
      </c>
      <c r="X1526">
        <v>0</v>
      </c>
      <c r="Y1526">
        <v>0</v>
      </c>
      <c r="Z1526">
        <v>0</v>
      </c>
      <c r="AA1526">
        <v>9</v>
      </c>
      <c r="AB1526">
        <v>9</v>
      </c>
      <c r="AC1526" t="s">
        <v>310</v>
      </c>
      <c r="AD1526">
        <v>9</v>
      </c>
      <c r="AE1526" t="s">
        <v>1390</v>
      </c>
      <c r="AF1526">
        <v>10000000</v>
      </c>
      <c r="AG1526" t="s">
        <v>310</v>
      </c>
      <c r="AH1526">
        <f>SUM((MID(Dyno_Data[[#This Row],[Team]],4,5))+(Dyno_Data[[#This Row],[Match]]/100))</f>
        <v>6969.31</v>
      </c>
      <c r="AI1526" s="76">
        <f>ROUND(SUM(IF(Dyno_Data[[#This Row],[AcqCenter]]&gt;0,Dyno_Data[[#This Row],[Time]]-SUMIFS(Dyno_Data[Time],Dyno_Data[Team],Dyno_Data[[#This Row],[Team]],Dyno_Data[RecordType],"StartMatch",Dyno_Data[Match],Dyno_Data[[#This Row],[Match]]),0)*86400),0)</f>
        <v>0</v>
      </c>
    </row>
    <row r="1527" spans="1:35" x14ac:dyDescent="0.3">
      <c r="A1527">
        <v>1526</v>
      </c>
      <c r="B1527" t="s">
        <v>1296</v>
      </c>
      <c r="C1527">
        <v>31</v>
      </c>
      <c r="D1527" s="105">
        <v>45373.593977199074</v>
      </c>
      <c r="E1527" t="s">
        <v>312</v>
      </c>
      <c r="F1527" t="s">
        <v>1402</v>
      </c>
      <c r="G1527">
        <v>0</v>
      </c>
      <c r="H1527" t="s">
        <v>315</v>
      </c>
      <c r="I1527">
        <v>0</v>
      </c>
      <c r="J1527">
        <v>0</v>
      </c>
      <c r="K1527">
        <v>0</v>
      </c>
      <c r="L1527" t="s">
        <v>241</v>
      </c>
      <c r="M1527" t="s">
        <v>1398</v>
      </c>
      <c r="N1527">
        <v>0</v>
      </c>
      <c r="O1527" t="s">
        <v>311</v>
      </c>
      <c r="P1527" t="s">
        <v>310</v>
      </c>
      <c r="Q1527" t="s">
        <v>310</v>
      </c>
      <c r="R1527" t="s">
        <v>310</v>
      </c>
      <c r="S1527">
        <v>9</v>
      </c>
      <c r="T1527" t="s">
        <v>310</v>
      </c>
      <c r="U1527">
        <v>9</v>
      </c>
      <c r="V1527">
        <v>9</v>
      </c>
      <c r="W1527">
        <v>0</v>
      </c>
      <c r="X1527">
        <v>0</v>
      </c>
      <c r="Y1527">
        <v>0</v>
      </c>
      <c r="Z1527">
        <v>0</v>
      </c>
      <c r="AA1527">
        <v>9</v>
      </c>
      <c r="AB1527">
        <v>9</v>
      </c>
      <c r="AC1527" t="s">
        <v>310</v>
      </c>
      <c r="AD1527">
        <v>9</v>
      </c>
      <c r="AE1527" t="s">
        <v>1392</v>
      </c>
      <c r="AF1527">
        <v>90000000</v>
      </c>
      <c r="AG1527" t="s">
        <v>310</v>
      </c>
      <c r="AH1527">
        <f>SUM((MID(Dyno_Data[[#This Row],[Team]],4,5))+(Dyno_Data[[#This Row],[Match]]/100))</f>
        <v>3003.31</v>
      </c>
      <c r="AI1527" s="76">
        <f>ROUND(SUM(IF(Dyno_Data[[#This Row],[AcqCenter]]&gt;0,Dyno_Data[[#This Row],[Time]]-SUMIFS(Dyno_Data[Time],Dyno_Data[Team],Dyno_Data[[#This Row],[Team]],Dyno_Data[RecordType],"StartMatch",Dyno_Data[Match],Dyno_Data[[#This Row],[Match]]),0)*86400),0)</f>
        <v>0</v>
      </c>
    </row>
    <row r="1528" spans="1:35" x14ac:dyDescent="0.3">
      <c r="A1528">
        <v>1527</v>
      </c>
      <c r="B1528" t="s">
        <v>1286</v>
      </c>
      <c r="C1528">
        <v>31</v>
      </c>
      <c r="D1528" s="105">
        <v>45373.593986539352</v>
      </c>
      <c r="E1528" t="s">
        <v>312</v>
      </c>
      <c r="F1528" t="s">
        <v>1402</v>
      </c>
      <c r="G1528">
        <v>0</v>
      </c>
      <c r="H1528" t="s">
        <v>315</v>
      </c>
      <c r="I1528">
        <v>0</v>
      </c>
      <c r="J1528">
        <v>0</v>
      </c>
      <c r="K1528">
        <v>0</v>
      </c>
      <c r="L1528" t="s">
        <v>241</v>
      </c>
      <c r="M1528" t="s">
        <v>1398</v>
      </c>
      <c r="N1528">
        <v>0</v>
      </c>
      <c r="O1528" t="s">
        <v>319</v>
      </c>
      <c r="P1528" t="s">
        <v>310</v>
      </c>
      <c r="Q1528" t="s">
        <v>310</v>
      </c>
      <c r="R1528" t="s">
        <v>310</v>
      </c>
      <c r="S1528">
        <v>9</v>
      </c>
      <c r="T1528" t="s">
        <v>310</v>
      </c>
      <c r="U1528">
        <v>9</v>
      </c>
      <c r="V1528">
        <v>9</v>
      </c>
      <c r="W1528">
        <v>0</v>
      </c>
      <c r="X1528">
        <v>0</v>
      </c>
      <c r="Y1528">
        <v>0</v>
      </c>
      <c r="Z1528">
        <v>0</v>
      </c>
      <c r="AA1528">
        <v>9</v>
      </c>
      <c r="AB1528">
        <v>9</v>
      </c>
      <c r="AC1528" t="s">
        <v>310</v>
      </c>
      <c r="AD1528">
        <v>9</v>
      </c>
      <c r="AE1528" t="s">
        <v>1388</v>
      </c>
      <c r="AF1528">
        <v>110001000</v>
      </c>
      <c r="AG1528" t="s">
        <v>310</v>
      </c>
      <c r="AH1528">
        <f>SUM((MID(Dyno_Data[[#This Row],[Team]],4,5))+(Dyno_Data[[#This Row],[Match]]/100))</f>
        <v>1591.31</v>
      </c>
      <c r="AI1528" s="76">
        <f>ROUND(SUM(IF(Dyno_Data[[#This Row],[AcqCenter]]&gt;0,Dyno_Data[[#This Row],[Time]]-SUMIFS(Dyno_Data[Time],Dyno_Data[Team],Dyno_Data[[#This Row],[Team]],Dyno_Data[RecordType],"StartMatch",Dyno_Data[Match],Dyno_Data[[#This Row],[Match]]),0)*86400),0)</f>
        <v>0</v>
      </c>
    </row>
    <row r="1529" spans="1:35" x14ac:dyDescent="0.3">
      <c r="A1529">
        <v>1528</v>
      </c>
      <c r="B1529" t="s">
        <v>1296</v>
      </c>
      <c r="C1529">
        <v>31</v>
      </c>
      <c r="D1529" s="105">
        <v>45373.595715081021</v>
      </c>
      <c r="E1529" t="s">
        <v>316</v>
      </c>
      <c r="F1529" t="s">
        <v>317</v>
      </c>
      <c r="G1529">
        <v>1</v>
      </c>
      <c r="H1529" t="s">
        <v>310</v>
      </c>
      <c r="I1529">
        <v>0</v>
      </c>
      <c r="J1529">
        <v>0</v>
      </c>
      <c r="K1529">
        <v>0</v>
      </c>
      <c r="L1529" t="s">
        <v>310</v>
      </c>
      <c r="M1529" t="s">
        <v>310</v>
      </c>
      <c r="N1529">
        <v>0</v>
      </c>
      <c r="O1529" t="s">
        <v>311</v>
      </c>
      <c r="P1529" t="s">
        <v>240</v>
      </c>
      <c r="Q1529" t="s">
        <v>1399</v>
      </c>
      <c r="R1529" t="s">
        <v>1404</v>
      </c>
      <c r="S1529">
        <v>-1</v>
      </c>
      <c r="T1529" t="s">
        <v>105</v>
      </c>
      <c r="U1529">
        <v>9</v>
      </c>
      <c r="V1529">
        <v>9</v>
      </c>
      <c r="W1529">
        <v>3.2516045999999998</v>
      </c>
      <c r="X1529">
        <v>25.444462899999998</v>
      </c>
      <c r="Y1529">
        <v>38.371553800000001</v>
      </c>
      <c r="Z1529">
        <v>72.762662800000001</v>
      </c>
      <c r="AA1529">
        <v>0</v>
      </c>
      <c r="AB1529">
        <v>3</v>
      </c>
      <c r="AC1529" t="s">
        <v>174</v>
      </c>
      <c r="AD1529">
        <v>0</v>
      </c>
      <c r="AE1529" t="s">
        <v>1392</v>
      </c>
      <c r="AF1529">
        <v>90000000</v>
      </c>
      <c r="AG1529" t="s">
        <v>310</v>
      </c>
      <c r="AH1529">
        <f>SUM((MID(Dyno_Data[[#This Row],[Team]],4,5))+(Dyno_Data[[#This Row],[Match]]/100))</f>
        <v>3003.31</v>
      </c>
      <c r="AI1529" s="76">
        <f>ROUND(SUM(IF(Dyno_Data[[#This Row],[AcqCenter]]&gt;0,Dyno_Data[[#This Row],[Time]]-SUMIFS(Dyno_Data[Time],Dyno_Data[Team],Dyno_Data[[#This Row],[Team]],Dyno_Data[RecordType],"StartMatch",Dyno_Data[Match],Dyno_Data[[#This Row],[Match]]),0)*86400),0)</f>
        <v>0</v>
      </c>
    </row>
    <row r="1530" spans="1:35" x14ac:dyDescent="0.3">
      <c r="A1530">
        <v>1529</v>
      </c>
      <c r="B1530" t="s">
        <v>371</v>
      </c>
      <c r="C1530">
        <v>31</v>
      </c>
      <c r="D1530" s="105">
        <v>45373.595715277777</v>
      </c>
      <c r="E1530" t="s">
        <v>316</v>
      </c>
      <c r="F1530" t="s">
        <v>317</v>
      </c>
      <c r="G1530">
        <v>0</v>
      </c>
      <c r="H1530" t="s">
        <v>310</v>
      </c>
      <c r="I1530">
        <v>0</v>
      </c>
      <c r="J1530">
        <v>0</v>
      </c>
      <c r="K1530">
        <v>0</v>
      </c>
      <c r="L1530" t="s">
        <v>310</v>
      </c>
      <c r="M1530" t="s">
        <v>310</v>
      </c>
      <c r="N1530">
        <v>0</v>
      </c>
      <c r="O1530" t="s">
        <v>1391</v>
      </c>
      <c r="P1530" t="s">
        <v>320</v>
      </c>
      <c r="Q1530" t="s">
        <v>1400</v>
      </c>
      <c r="R1530" t="s">
        <v>1404</v>
      </c>
      <c r="S1530">
        <v>-1</v>
      </c>
      <c r="T1530" t="s">
        <v>105</v>
      </c>
      <c r="U1530">
        <v>9</v>
      </c>
      <c r="V1530">
        <v>9</v>
      </c>
      <c r="W1530">
        <v>7.0029013999999998</v>
      </c>
      <c r="X1530">
        <v>53.377674499999998</v>
      </c>
      <c r="Y1530">
        <v>10.6209107</v>
      </c>
      <c r="Z1530">
        <v>63.445817299999995</v>
      </c>
      <c r="AA1530">
        <v>0</v>
      </c>
      <c r="AB1530">
        <v>0</v>
      </c>
      <c r="AC1530" t="s">
        <v>174</v>
      </c>
      <c r="AD1530">
        <v>9</v>
      </c>
      <c r="AE1530" t="s">
        <v>1390</v>
      </c>
      <c r="AF1530">
        <v>10000000</v>
      </c>
      <c r="AG1530" t="s">
        <v>310</v>
      </c>
      <c r="AH1530">
        <f>SUM((MID(Dyno_Data[[#This Row],[Team]],4,5))+(Dyno_Data[[#This Row],[Match]]/100))</f>
        <v>6969.31</v>
      </c>
      <c r="AI1530" s="76">
        <f>ROUND(SUM(IF(Dyno_Data[[#This Row],[AcqCenter]]&gt;0,Dyno_Data[[#This Row],[Time]]-SUMIFS(Dyno_Data[Time],Dyno_Data[Team],Dyno_Data[[#This Row],[Team]],Dyno_Data[RecordType],"StartMatch",Dyno_Data[Match],Dyno_Data[[#This Row],[Match]]),0)*86400),0)</f>
        <v>0</v>
      </c>
    </row>
    <row r="1531" spans="1:35" x14ac:dyDescent="0.3">
      <c r="A1531">
        <v>1530</v>
      </c>
      <c r="B1531" t="s">
        <v>1286</v>
      </c>
      <c r="C1531">
        <v>31</v>
      </c>
      <c r="D1531" s="105">
        <v>45373.595715358795</v>
      </c>
      <c r="E1531" t="s">
        <v>316</v>
      </c>
      <c r="F1531" t="s">
        <v>317</v>
      </c>
      <c r="G1531">
        <v>1</v>
      </c>
      <c r="H1531" t="s">
        <v>310</v>
      </c>
      <c r="I1531">
        <v>0</v>
      </c>
      <c r="J1531">
        <v>0</v>
      </c>
      <c r="K1531">
        <v>0</v>
      </c>
      <c r="L1531" t="s">
        <v>310</v>
      </c>
      <c r="M1531" t="s">
        <v>310</v>
      </c>
      <c r="N1531">
        <v>0</v>
      </c>
      <c r="O1531" t="s">
        <v>319</v>
      </c>
      <c r="P1531" t="s">
        <v>1401</v>
      </c>
      <c r="Q1531" t="s">
        <v>1400</v>
      </c>
      <c r="R1531" t="s">
        <v>1405</v>
      </c>
      <c r="S1531">
        <v>1</v>
      </c>
      <c r="T1531" t="s">
        <v>1406</v>
      </c>
      <c r="U1531">
        <v>0</v>
      </c>
      <c r="V1531">
        <v>0</v>
      </c>
      <c r="W1531">
        <v>7.6305126999999997</v>
      </c>
      <c r="X1531">
        <v>51.863894299999998</v>
      </c>
      <c r="Y1531">
        <v>33.283823599999998</v>
      </c>
      <c r="Z1531">
        <v>41.244686799999997</v>
      </c>
      <c r="AA1531">
        <v>0</v>
      </c>
      <c r="AB1531">
        <v>0</v>
      </c>
      <c r="AC1531" t="s">
        <v>174</v>
      </c>
      <c r="AD1531">
        <v>9</v>
      </c>
      <c r="AE1531" t="s">
        <v>1388</v>
      </c>
      <c r="AF1531">
        <v>110001000</v>
      </c>
      <c r="AG1531" t="s">
        <v>310</v>
      </c>
      <c r="AH1531">
        <f>SUM((MID(Dyno_Data[[#This Row],[Team]],4,5))+(Dyno_Data[[#This Row],[Match]]/100))</f>
        <v>1591.31</v>
      </c>
      <c r="AI1531" s="76">
        <f>ROUND(SUM(IF(Dyno_Data[[#This Row],[AcqCenter]]&gt;0,Dyno_Data[[#This Row],[Time]]-SUMIFS(Dyno_Data[Time],Dyno_Data[Team],Dyno_Data[[#This Row],[Team]],Dyno_Data[RecordType],"StartMatch",Dyno_Data[Match],Dyno_Data[[#This Row],[Match]]),0)*86400),0)</f>
        <v>0</v>
      </c>
    </row>
    <row r="1532" spans="1:35" x14ac:dyDescent="0.3">
      <c r="A1532">
        <v>1531</v>
      </c>
      <c r="B1532" t="s">
        <v>361</v>
      </c>
      <c r="C1532">
        <v>31</v>
      </c>
      <c r="D1532" s="105">
        <v>45373.595715474534</v>
      </c>
      <c r="E1532" t="s">
        <v>316</v>
      </c>
      <c r="F1532" t="s">
        <v>317</v>
      </c>
      <c r="G1532">
        <v>0</v>
      </c>
      <c r="H1532" t="s">
        <v>310</v>
      </c>
      <c r="I1532">
        <v>0</v>
      </c>
      <c r="J1532">
        <v>0</v>
      </c>
      <c r="K1532">
        <v>0</v>
      </c>
      <c r="L1532" t="s">
        <v>310</v>
      </c>
      <c r="M1532" t="s">
        <v>310</v>
      </c>
      <c r="N1532">
        <v>0</v>
      </c>
      <c r="O1532" t="s">
        <v>1393</v>
      </c>
      <c r="P1532" t="s">
        <v>240</v>
      </c>
      <c r="Q1532" t="s">
        <v>1399</v>
      </c>
      <c r="R1532" t="s">
        <v>1404</v>
      </c>
      <c r="S1532">
        <v>-1</v>
      </c>
      <c r="T1532" t="s">
        <v>105</v>
      </c>
      <c r="U1532">
        <v>9</v>
      </c>
      <c r="V1532">
        <v>9</v>
      </c>
      <c r="W1532">
        <v>9.9899919999999991</v>
      </c>
      <c r="X1532">
        <v>34.103573799999999</v>
      </c>
      <c r="Y1532">
        <v>19.9357088</v>
      </c>
      <c r="Z1532">
        <v>73.660958699999995</v>
      </c>
      <c r="AA1532">
        <v>0</v>
      </c>
      <c r="AB1532">
        <v>0</v>
      </c>
      <c r="AC1532" t="s">
        <v>173</v>
      </c>
      <c r="AD1532">
        <v>0</v>
      </c>
      <c r="AE1532" t="s">
        <v>1394</v>
      </c>
      <c r="AF1532">
        <v>100000000</v>
      </c>
      <c r="AG1532" t="s">
        <v>310</v>
      </c>
      <c r="AH1532">
        <f>SUM((MID(Dyno_Data[[#This Row],[Team]],4,5))+(Dyno_Data[[#This Row],[Match]]/100))</f>
        <v>20.309999999999999</v>
      </c>
      <c r="AI1532" s="76">
        <f>ROUND(SUM(IF(Dyno_Data[[#This Row],[AcqCenter]]&gt;0,Dyno_Data[[#This Row],[Time]]-SUMIFS(Dyno_Data[Time],Dyno_Data[Team],Dyno_Data[[#This Row],[Team]],Dyno_Data[RecordType],"StartMatch",Dyno_Data[Match],Dyno_Data[[#This Row],[Match]]),0)*86400),0)</f>
        <v>0</v>
      </c>
    </row>
    <row r="1533" spans="1:35" x14ac:dyDescent="0.3">
      <c r="A1533">
        <v>1532</v>
      </c>
      <c r="B1533" t="s">
        <v>368</v>
      </c>
      <c r="C1533">
        <v>31</v>
      </c>
      <c r="D1533" s="105">
        <v>45373.595715543983</v>
      </c>
      <c r="E1533" t="s">
        <v>316</v>
      </c>
      <c r="F1533" t="s">
        <v>317</v>
      </c>
      <c r="G1533">
        <v>0</v>
      </c>
      <c r="H1533" t="s">
        <v>310</v>
      </c>
      <c r="I1533">
        <v>0</v>
      </c>
      <c r="J1533">
        <v>0</v>
      </c>
      <c r="K1533">
        <v>0</v>
      </c>
      <c r="L1533" t="s">
        <v>310</v>
      </c>
      <c r="M1533" t="s">
        <v>310</v>
      </c>
      <c r="N1533">
        <v>0</v>
      </c>
      <c r="O1533" t="s">
        <v>1389</v>
      </c>
      <c r="P1533" t="s">
        <v>101</v>
      </c>
      <c r="Q1533" t="s">
        <v>1400</v>
      </c>
      <c r="R1533" t="s">
        <v>1404</v>
      </c>
      <c r="S1533">
        <v>-1</v>
      </c>
      <c r="T1533" t="s">
        <v>105</v>
      </c>
      <c r="U1533">
        <v>9</v>
      </c>
      <c r="V1533">
        <v>9</v>
      </c>
      <c r="W1533">
        <v>25.808873899999998</v>
      </c>
      <c r="X1533">
        <v>0</v>
      </c>
      <c r="Y1533">
        <v>11.2230744</v>
      </c>
      <c r="Z1533">
        <v>101.29487349999999</v>
      </c>
      <c r="AA1533">
        <v>3</v>
      </c>
      <c r="AB1533">
        <v>0</v>
      </c>
      <c r="AC1533" t="s">
        <v>170</v>
      </c>
      <c r="AD1533">
        <v>9</v>
      </c>
      <c r="AE1533" t="s">
        <v>1387</v>
      </c>
      <c r="AF1533">
        <v>10000000</v>
      </c>
      <c r="AG1533" t="s">
        <v>310</v>
      </c>
      <c r="AH1533">
        <f>SUM((MID(Dyno_Data[[#This Row],[Team]],4,5))+(Dyno_Data[[#This Row],[Match]]/100))</f>
        <v>6401.31</v>
      </c>
      <c r="AI1533" s="76">
        <f>ROUND(SUM(IF(Dyno_Data[[#This Row],[AcqCenter]]&gt;0,Dyno_Data[[#This Row],[Time]]-SUMIFS(Dyno_Data[Time],Dyno_Data[Team],Dyno_Data[[#This Row],[Team]],Dyno_Data[RecordType],"StartMatch",Dyno_Data[Match],Dyno_Data[[#This Row],[Match]]),0)*86400),0)</f>
        <v>0</v>
      </c>
    </row>
    <row r="1534" spans="1:35" x14ac:dyDescent="0.3">
      <c r="A1534">
        <v>1533</v>
      </c>
      <c r="B1534" t="s">
        <v>1306</v>
      </c>
      <c r="C1534">
        <v>31</v>
      </c>
      <c r="D1534" s="105">
        <v>45373.595715659721</v>
      </c>
      <c r="E1534" t="s">
        <v>316</v>
      </c>
      <c r="F1534" t="s">
        <v>317</v>
      </c>
      <c r="G1534">
        <v>1</v>
      </c>
      <c r="H1534" t="s">
        <v>310</v>
      </c>
      <c r="I1534">
        <v>0</v>
      </c>
      <c r="J1534">
        <v>0</v>
      </c>
      <c r="K1534">
        <v>0</v>
      </c>
      <c r="L1534" t="s">
        <v>310</v>
      </c>
      <c r="M1534" t="s">
        <v>310</v>
      </c>
      <c r="N1534">
        <v>0</v>
      </c>
      <c r="O1534" t="s">
        <v>1395</v>
      </c>
      <c r="P1534" t="s">
        <v>320</v>
      </c>
      <c r="Q1534" t="s">
        <v>1400</v>
      </c>
      <c r="R1534" t="s">
        <v>1405</v>
      </c>
      <c r="S1534">
        <v>1</v>
      </c>
      <c r="T1534" t="s">
        <v>1406</v>
      </c>
      <c r="U1534">
        <v>0</v>
      </c>
      <c r="V1534">
        <v>0</v>
      </c>
      <c r="W1534">
        <v>2.6140314</v>
      </c>
      <c r="X1534">
        <v>40.921852799999996</v>
      </c>
      <c r="Y1534">
        <v>53.776271699999995</v>
      </c>
      <c r="Z1534">
        <v>27.5782527</v>
      </c>
      <c r="AA1534">
        <v>0</v>
      </c>
      <c r="AB1534">
        <v>0</v>
      </c>
      <c r="AC1534" t="s">
        <v>171</v>
      </c>
      <c r="AD1534">
        <v>9</v>
      </c>
      <c r="AE1534" t="s">
        <v>1396</v>
      </c>
      <c r="AF1534">
        <v>100001000</v>
      </c>
      <c r="AG1534" t="s">
        <v>310</v>
      </c>
      <c r="AH1534">
        <f>SUM((MID(Dyno_Data[[#This Row],[Team]],4,5))+(Dyno_Data[[#This Row],[Match]]/100))</f>
        <v>3986.31</v>
      </c>
      <c r="AI1534" s="76">
        <f>ROUND(SUM(IF(Dyno_Data[[#This Row],[AcqCenter]]&gt;0,Dyno_Data[[#This Row],[Time]]-SUMIFS(Dyno_Data[Time],Dyno_Data[Team],Dyno_Data[[#This Row],[Team]],Dyno_Data[RecordType],"StartMatch",Dyno_Data[Match],Dyno_Data[[#This Row],[Match]]),0)*86400),0)</f>
        <v>0</v>
      </c>
    </row>
    <row r="1535" spans="1:35" x14ac:dyDescent="0.3">
      <c r="A1535">
        <v>1544</v>
      </c>
      <c r="B1535" t="s">
        <v>1288</v>
      </c>
      <c r="C1535">
        <v>32</v>
      </c>
      <c r="D1535" s="105">
        <v>45373.597292280094</v>
      </c>
      <c r="E1535" t="s">
        <v>308</v>
      </c>
      <c r="F1535" t="s">
        <v>309</v>
      </c>
      <c r="G1535">
        <v>0</v>
      </c>
      <c r="H1535" t="s">
        <v>310</v>
      </c>
      <c r="I1535">
        <v>0</v>
      </c>
      <c r="J1535">
        <v>0</v>
      </c>
      <c r="K1535">
        <v>0</v>
      </c>
      <c r="L1535" t="s">
        <v>310</v>
      </c>
      <c r="M1535" t="s">
        <v>310</v>
      </c>
      <c r="N1535">
        <v>0</v>
      </c>
      <c r="O1535" t="s">
        <v>1389</v>
      </c>
      <c r="P1535" t="s">
        <v>310</v>
      </c>
      <c r="Q1535" t="s">
        <v>310</v>
      </c>
      <c r="R1535" t="s">
        <v>310</v>
      </c>
      <c r="S1535">
        <v>9</v>
      </c>
      <c r="T1535" t="s">
        <v>310</v>
      </c>
      <c r="U1535">
        <v>9</v>
      </c>
      <c r="V1535">
        <v>9</v>
      </c>
      <c r="W1535">
        <v>0</v>
      </c>
      <c r="X1535">
        <v>0</v>
      </c>
      <c r="Y1535">
        <v>0</v>
      </c>
      <c r="Z1535">
        <v>0</v>
      </c>
      <c r="AA1535">
        <v>9</v>
      </c>
      <c r="AB1535">
        <v>9</v>
      </c>
      <c r="AC1535" t="s">
        <v>310</v>
      </c>
      <c r="AD1535">
        <v>9</v>
      </c>
      <c r="AE1535" t="s">
        <v>1388</v>
      </c>
      <c r="AF1535">
        <v>0</v>
      </c>
      <c r="AG1535" t="s">
        <v>310</v>
      </c>
      <c r="AH1535">
        <f>SUM((MID(Dyno_Data[[#This Row],[Team]],4,5))+(Dyno_Data[[#This Row],[Match]]/100))</f>
        <v>3181.32</v>
      </c>
      <c r="AI1535" s="76">
        <f>ROUND(SUM(IF(Dyno_Data[[#This Row],[AcqCenter]]&gt;0,Dyno_Data[[#This Row],[Time]]-SUMIFS(Dyno_Data[Time],Dyno_Data[Team],Dyno_Data[[#This Row],[Team]],Dyno_Data[RecordType],"StartMatch",Dyno_Data[Match],Dyno_Data[[#This Row],[Match]]),0)*86400),0)</f>
        <v>0</v>
      </c>
    </row>
    <row r="1536" spans="1:35" x14ac:dyDescent="0.3">
      <c r="A1536">
        <v>1546</v>
      </c>
      <c r="B1536" t="s">
        <v>372</v>
      </c>
      <c r="C1536">
        <v>32</v>
      </c>
      <c r="D1536" s="105">
        <v>45373.59729513889</v>
      </c>
      <c r="E1536" t="s">
        <v>308</v>
      </c>
      <c r="F1536" t="s">
        <v>309</v>
      </c>
      <c r="G1536">
        <v>0</v>
      </c>
      <c r="H1536" t="s">
        <v>310</v>
      </c>
      <c r="I1536">
        <v>0</v>
      </c>
      <c r="J1536">
        <v>0</v>
      </c>
      <c r="K1536">
        <v>0</v>
      </c>
      <c r="L1536" t="s">
        <v>310</v>
      </c>
      <c r="M1536" t="s">
        <v>310</v>
      </c>
      <c r="N1536">
        <v>0</v>
      </c>
      <c r="O1536" t="s">
        <v>311</v>
      </c>
      <c r="P1536" t="s">
        <v>310</v>
      </c>
      <c r="Q1536" t="s">
        <v>310</v>
      </c>
      <c r="R1536" t="s">
        <v>310</v>
      </c>
      <c r="S1536">
        <v>9</v>
      </c>
      <c r="T1536" t="s">
        <v>310</v>
      </c>
      <c r="U1536">
        <v>9</v>
      </c>
      <c r="V1536">
        <v>9</v>
      </c>
      <c r="W1536">
        <v>0</v>
      </c>
      <c r="X1536">
        <v>0</v>
      </c>
      <c r="Y1536">
        <v>0</v>
      </c>
      <c r="Z1536">
        <v>0</v>
      </c>
      <c r="AA1536">
        <v>9</v>
      </c>
      <c r="AB1536">
        <v>9</v>
      </c>
      <c r="AC1536" t="s">
        <v>310</v>
      </c>
      <c r="AD1536">
        <v>9</v>
      </c>
      <c r="AE1536" t="s">
        <v>1392</v>
      </c>
      <c r="AF1536">
        <v>0</v>
      </c>
      <c r="AG1536" t="s">
        <v>310</v>
      </c>
      <c r="AH1536">
        <f>SUM((MID(Dyno_Data[[#This Row],[Team]],4,5))+(Dyno_Data[[#This Row],[Match]]/100))</f>
        <v>7504.32</v>
      </c>
      <c r="AI1536" s="76">
        <f>ROUND(SUM(IF(Dyno_Data[[#This Row],[AcqCenter]]&gt;0,Dyno_Data[[#This Row],[Time]]-SUMIFS(Dyno_Data[Time],Dyno_Data[Team],Dyno_Data[[#This Row],[Team]],Dyno_Data[RecordType],"StartMatch",Dyno_Data[Match],Dyno_Data[[#This Row],[Match]]),0)*86400),0)</f>
        <v>0</v>
      </c>
    </row>
    <row r="1537" spans="1:35" x14ac:dyDescent="0.3">
      <c r="A1537">
        <v>1548</v>
      </c>
      <c r="B1537" t="s">
        <v>1277</v>
      </c>
      <c r="C1537">
        <v>32</v>
      </c>
      <c r="D1537" s="105">
        <v>45373.597296562497</v>
      </c>
      <c r="E1537" t="s">
        <v>308</v>
      </c>
      <c r="F1537" t="s">
        <v>309</v>
      </c>
      <c r="G1537">
        <v>0</v>
      </c>
      <c r="H1537" t="s">
        <v>310</v>
      </c>
      <c r="I1537">
        <v>0</v>
      </c>
      <c r="J1537">
        <v>0</v>
      </c>
      <c r="K1537">
        <v>0</v>
      </c>
      <c r="L1537" t="s">
        <v>310</v>
      </c>
      <c r="M1537" t="s">
        <v>310</v>
      </c>
      <c r="N1537">
        <v>0</v>
      </c>
      <c r="O1537" t="s">
        <v>1391</v>
      </c>
      <c r="P1537" t="s">
        <v>310</v>
      </c>
      <c r="Q1537" t="s">
        <v>310</v>
      </c>
      <c r="R1537" t="s">
        <v>310</v>
      </c>
      <c r="S1537">
        <v>9</v>
      </c>
      <c r="T1537" t="s">
        <v>310</v>
      </c>
      <c r="U1537">
        <v>9</v>
      </c>
      <c r="V1537">
        <v>9</v>
      </c>
      <c r="W1537">
        <v>0</v>
      </c>
      <c r="X1537">
        <v>0</v>
      </c>
      <c r="Y1537">
        <v>0</v>
      </c>
      <c r="Z1537">
        <v>0</v>
      </c>
      <c r="AA1537">
        <v>9</v>
      </c>
      <c r="AB1537">
        <v>9</v>
      </c>
      <c r="AC1537" t="s">
        <v>310</v>
      </c>
      <c r="AD1537">
        <v>9</v>
      </c>
      <c r="AE1537" t="s">
        <v>1390</v>
      </c>
      <c r="AF1537">
        <v>20000000</v>
      </c>
      <c r="AG1537" t="s">
        <v>310</v>
      </c>
      <c r="AH1537">
        <f>SUM((MID(Dyno_Data[[#This Row],[Team]],4,5))+(Dyno_Data[[#This Row],[Match]]/100))</f>
        <v>3360.32</v>
      </c>
      <c r="AI1537" s="76">
        <f>ROUND(SUM(IF(Dyno_Data[[#This Row],[AcqCenter]]&gt;0,Dyno_Data[[#This Row],[Time]]-SUMIFS(Dyno_Data[Time],Dyno_Data[Team],Dyno_Data[[#This Row],[Team]],Dyno_Data[RecordType],"StartMatch",Dyno_Data[Match],Dyno_Data[[#This Row],[Match]]),0)*86400),0)</f>
        <v>0</v>
      </c>
    </row>
    <row r="1538" spans="1:35" x14ac:dyDescent="0.3">
      <c r="A1538">
        <v>1550</v>
      </c>
      <c r="B1538" t="s">
        <v>1302</v>
      </c>
      <c r="C1538">
        <v>32</v>
      </c>
      <c r="D1538" s="105">
        <v>45373.59729672454</v>
      </c>
      <c r="E1538" t="s">
        <v>308</v>
      </c>
      <c r="F1538" t="s">
        <v>309</v>
      </c>
      <c r="G1538">
        <v>0</v>
      </c>
      <c r="H1538" t="s">
        <v>310</v>
      </c>
      <c r="I1538">
        <v>0</v>
      </c>
      <c r="J1538">
        <v>0</v>
      </c>
      <c r="K1538">
        <v>0</v>
      </c>
      <c r="L1538" t="s">
        <v>310</v>
      </c>
      <c r="M1538" t="s">
        <v>310</v>
      </c>
      <c r="N1538">
        <v>0</v>
      </c>
      <c r="O1538" t="s">
        <v>1395</v>
      </c>
      <c r="P1538" t="s">
        <v>310</v>
      </c>
      <c r="Q1538" t="s">
        <v>310</v>
      </c>
      <c r="R1538" t="s">
        <v>310</v>
      </c>
      <c r="S1538">
        <v>9</v>
      </c>
      <c r="T1538" t="s">
        <v>310</v>
      </c>
      <c r="U1538">
        <v>9</v>
      </c>
      <c r="V1538">
        <v>9</v>
      </c>
      <c r="W1538">
        <v>0</v>
      </c>
      <c r="X1538">
        <v>0</v>
      </c>
      <c r="Y1538">
        <v>0</v>
      </c>
      <c r="Z1538">
        <v>0</v>
      </c>
      <c r="AA1538">
        <v>9</v>
      </c>
      <c r="AB1538">
        <v>9</v>
      </c>
      <c r="AC1538" t="s">
        <v>310</v>
      </c>
      <c r="AD1538">
        <v>9</v>
      </c>
      <c r="AE1538" t="s">
        <v>1396</v>
      </c>
      <c r="AF1538">
        <v>0</v>
      </c>
      <c r="AG1538" t="s">
        <v>310</v>
      </c>
      <c r="AH1538">
        <f>SUM((MID(Dyno_Data[[#This Row],[Team]],4,5))+(Dyno_Data[[#This Row],[Match]]/100))</f>
        <v>2095.3200000000002</v>
      </c>
      <c r="AI1538" s="76">
        <f>ROUND(SUM(IF(Dyno_Data[[#This Row],[AcqCenter]]&gt;0,Dyno_Data[[#This Row],[Time]]-SUMIFS(Dyno_Data[Time],Dyno_Data[Team],Dyno_Data[[#This Row],[Team]],Dyno_Data[RecordType],"StartMatch",Dyno_Data[Match],Dyno_Data[[#This Row],[Match]]),0)*86400),0)</f>
        <v>0</v>
      </c>
    </row>
    <row r="1539" spans="1:35" x14ac:dyDescent="0.3">
      <c r="A1539">
        <v>1552</v>
      </c>
      <c r="B1539" t="s">
        <v>1282</v>
      </c>
      <c r="C1539">
        <v>32</v>
      </c>
      <c r="D1539" s="105">
        <v>45373.597298148146</v>
      </c>
      <c r="E1539" t="s">
        <v>308</v>
      </c>
      <c r="F1539" t="s">
        <v>309</v>
      </c>
      <c r="G1539">
        <v>0</v>
      </c>
      <c r="H1539" t="s">
        <v>310</v>
      </c>
      <c r="I1539">
        <v>0</v>
      </c>
      <c r="J1539">
        <v>0</v>
      </c>
      <c r="K1539">
        <v>0</v>
      </c>
      <c r="L1539" t="s">
        <v>310</v>
      </c>
      <c r="M1539" t="s">
        <v>310</v>
      </c>
      <c r="N1539">
        <v>0</v>
      </c>
      <c r="O1539" t="s">
        <v>319</v>
      </c>
      <c r="P1539" t="s">
        <v>310</v>
      </c>
      <c r="Q1539" t="s">
        <v>310</v>
      </c>
      <c r="R1539" t="s">
        <v>310</v>
      </c>
      <c r="S1539">
        <v>9</v>
      </c>
      <c r="T1539" t="s">
        <v>310</v>
      </c>
      <c r="U1539">
        <v>9</v>
      </c>
      <c r="V1539">
        <v>9</v>
      </c>
      <c r="W1539">
        <v>0</v>
      </c>
      <c r="X1539">
        <v>0</v>
      </c>
      <c r="Y1539">
        <v>0</v>
      </c>
      <c r="Z1539">
        <v>0</v>
      </c>
      <c r="AA1539">
        <v>9</v>
      </c>
      <c r="AB1539">
        <v>9</v>
      </c>
      <c r="AC1539" t="s">
        <v>310</v>
      </c>
      <c r="AD1539">
        <v>9</v>
      </c>
      <c r="AE1539" t="s">
        <v>1387</v>
      </c>
      <c r="AF1539">
        <v>0</v>
      </c>
      <c r="AG1539" t="s">
        <v>310</v>
      </c>
      <c r="AH1539">
        <f>SUM((MID(Dyno_Data[[#This Row],[Team]],4,5))+(Dyno_Data[[#This Row],[Match]]/100))</f>
        <v>333.32</v>
      </c>
      <c r="AI1539" s="76">
        <f>ROUND(SUM(IF(Dyno_Data[[#This Row],[AcqCenter]]&gt;0,Dyno_Data[[#This Row],[Time]]-SUMIFS(Dyno_Data[Time],Dyno_Data[Team],Dyno_Data[[#This Row],[Team]],Dyno_Data[RecordType],"StartMatch",Dyno_Data[Match],Dyno_Data[[#This Row],[Match]]),0)*86400),0)</f>
        <v>0</v>
      </c>
    </row>
    <row r="1540" spans="1:35" x14ac:dyDescent="0.3">
      <c r="A1540">
        <v>1554</v>
      </c>
      <c r="B1540" t="s">
        <v>1295</v>
      </c>
      <c r="C1540">
        <v>32</v>
      </c>
      <c r="D1540" s="105">
        <v>45373.597306018521</v>
      </c>
      <c r="E1540" t="s">
        <v>308</v>
      </c>
      <c r="F1540" t="s">
        <v>309</v>
      </c>
      <c r="G1540">
        <v>0</v>
      </c>
      <c r="H1540" t="s">
        <v>310</v>
      </c>
      <c r="I1540">
        <v>0</v>
      </c>
      <c r="J1540">
        <v>0</v>
      </c>
      <c r="K1540">
        <v>0</v>
      </c>
      <c r="L1540" t="s">
        <v>310</v>
      </c>
      <c r="M1540" t="s">
        <v>310</v>
      </c>
      <c r="N1540">
        <v>0</v>
      </c>
      <c r="O1540" t="s">
        <v>1393</v>
      </c>
      <c r="P1540" t="s">
        <v>310</v>
      </c>
      <c r="Q1540" t="s">
        <v>310</v>
      </c>
      <c r="R1540" t="s">
        <v>310</v>
      </c>
      <c r="S1540">
        <v>9</v>
      </c>
      <c r="T1540" t="s">
        <v>310</v>
      </c>
      <c r="U1540">
        <v>9</v>
      </c>
      <c r="V1540">
        <v>9</v>
      </c>
      <c r="W1540">
        <v>0</v>
      </c>
      <c r="X1540">
        <v>0</v>
      </c>
      <c r="Y1540">
        <v>0</v>
      </c>
      <c r="Z1540">
        <v>0</v>
      </c>
      <c r="AA1540">
        <v>9</v>
      </c>
      <c r="AB1540">
        <v>9</v>
      </c>
      <c r="AC1540" t="s">
        <v>310</v>
      </c>
      <c r="AD1540">
        <v>9</v>
      </c>
      <c r="AE1540" t="s">
        <v>1394</v>
      </c>
      <c r="AF1540">
        <v>10000000</v>
      </c>
      <c r="AG1540" t="s">
        <v>310</v>
      </c>
      <c r="AH1540">
        <f>SUM((MID(Dyno_Data[[#This Row],[Team]],4,5))+(Dyno_Data[[#This Row],[Match]]/100))</f>
        <v>6300.32</v>
      </c>
      <c r="AI1540" s="76">
        <f>ROUND(SUM(IF(Dyno_Data[[#This Row],[AcqCenter]]&gt;0,Dyno_Data[[#This Row],[Time]]-SUMIFS(Dyno_Data[Time],Dyno_Data[Team],Dyno_Data[[#This Row],[Team]],Dyno_Data[RecordType],"StartMatch",Dyno_Data[Match],Dyno_Data[[#This Row],[Match]]),0)*86400),0)</f>
        <v>0</v>
      </c>
    </row>
    <row r="1541" spans="1:35" x14ac:dyDescent="0.3">
      <c r="A1541">
        <v>1534</v>
      </c>
      <c r="B1541" t="s">
        <v>1295</v>
      </c>
      <c r="C1541">
        <v>32</v>
      </c>
      <c r="D1541" s="105">
        <v>45373.597309988429</v>
      </c>
      <c r="E1541" t="s">
        <v>312</v>
      </c>
      <c r="F1541" t="s">
        <v>309</v>
      </c>
      <c r="G1541">
        <v>0</v>
      </c>
      <c r="H1541" t="s">
        <v>1397</v>
      </c>
      <c r="I1541">
        <v>0</v>
      </c>
      <c r="J1541">
        <v>0</v>
      </c>
      <c r="K1541">
        <v>0</v>
      </c>
      <c r="L1541" t="s">
        <v>241</v>
      </c>
      <c r="M1541" t="s">
        <v>1398</v>
      </c>
      <c r="N1541">
        <v>1</v>
      </c>
      <c r="O1541" t="s">
        <v>1393</v>
      </c>
      <c r="P1541" t="s">
        <v>310</v>
      </c>
      <c r="Q1541" t="s">
        <v>310</v>
      </c>
      <c r="R1541" t="s">
        <v>310</v>
      </c>
      <c r="S1541">
        <v>9</v>
      </c>
      <c r="T1541" t="s">
        <v>310</v>
      </c>
      <c r="U1541">
        <v>9</v>
      </c>
      <c r="V1541">
        <v>9</v>
      </c>
      <c r="W1541">
        <v>0</v>
      </c>
      <c r="X1541">
        <v>0</v>
      </c>
      <c r="Y1541">
        <v>0</v>
      </c>
      <c r="Z1541">
        <v>0</v>
      </c>
      <c r="AA1541">
        <v>9</v>
      </c>
      <c r="AB1541">
        <v>9</v>
      </c>
      <c r="AC1541" t="s">
        <v>310</v>
      </c>
      <c r="AD1541">
        <v>9</v>
      </c>
      <c r="AE1541" t="s">
        <v>1394</v>
      </c>
      <c r="AF1541">
        <v>0</v>
      </c>
      <c r="AG1541" t="s">
        <v>310</v>
      </c>
      <c r="AH1541">
        <f>SUM((MID(Dyno_Data[[#This Row],[Team]],4,5))+(Dyno_Data[[#This Row],[Match]]/100))</f>
        <v>6300.32</v>
      </c>
      <c r="AI1541" s="76">
        <f>ROUND(SUM(IF(Dyno_Data[[#This Row],[AcqCenter]]&gt;0,Dyno_Data[[#This Row],[Time]]-SUMIFS(Dyno_Data[Time],Dyno_Data[Team],Dyno_Data[[#This Row],[Team]],Dyno_Data[RecordType],"StartMatch",Dyno_Data[Match],Dyno_Data[[#This Row],[Match]]),0)*86400),0)</f>
        <v>0</v>
      </c>
    </row>
    <row r="1542" spans="1:35" x14ac:dyDescent="0.3">
      <c r="A1542">
        <v>1535</v>
      </c>
      <c r="B1542" t="s">
        <v>1288</v>
      </c>
      <c r="C1542">
        <v>32</v>
      </c>
      <c r="D1542" s="105">
        <v>45373.597310682868</v>
      </c>
      <c r="E1542" t="s">
        <v>312</v>
      </c>
      <c r="F1542" t="s">
        <v>309</v>
      </c>
      <c r="G1542">
        <v>0</v>
      </c>
      <c r="H1542" t="s">
        <v>1397</v>
      </c>
      <c r="I1542">
        <v>0</v>
      </c>
      <c r="J1542">
        <v>0</v>
      </c>
      <c r="K1542">
        <v>0</v>
      </c>
      <c r="L1542" t="s">
        <v>240</v>
      </c>
      <c r="M1542" t="s">
        <v>1398</v>
      </c>
      <c r="N1542">
        <v>0</v>
      </c>
      <c r="O1542" t="s">
        <v>1389</v>
      </c>
      <c r="P1542" t="s">
        <v>310</v>
      </c>
      <c r="Q1542" t="s">
        <v>310</v>
      </c>
      <c r="R1542" t="s">
        <v>310</v>
      </c>
      <c r="S1542">
        <v>9</v>
      </c>
      <c r="T1542" t="s">
        <v>310</v>
      </c>
      <c r="U1542">
        <v>9</v>
      </c>
      <c r="V1542">
        <v>9</v>
      </c>
      <c r="W1542">
        <v>0</v>
      </c>
      <c r="X1542">
        <v>0</v>
      </c>
      <c r="Y1542">
        <v>0</v>
      </c>
      <c r="Z1542">
        <v>0</v>
      </c>
      <c r="AA1542">
        <v>9</v>
      </c>
      <c r="AB1542">
        <v>9</v>
      </c>
      <c r="AC1542" t="s">
        <v>310</v>
      </c>
      <c r="AD1542">
        <v>9</v>
      </c>
      <c r="AE1542" t="s">
        <v>1388</v>
      </c>
      <c r="AF1542">
        <v>0</v>
      </c>
      <c r="AG1542" t="s">
        <v>310</v>
      </c>
      <c r="AH1542">
        <f>SUM((MID(Dyno_Data[[#This Row],[Team]],4,5))+(Dyno_Data[[#This Row],[Match]]/100))</f>
        <v>3181.32</v>
      </c>
      <c r="AI1542" s="76">
        <f>ROUND(SUM(IF(Dyno_Data[[#This Row],[AcqCenter]]&gt;0,Dyno_Data[[#This Row],[Time]]-SUMIFS(Dyno_Data[Time],Dyno_Data[Team],Dyno_Data[[#This Row],[Team]],Dyno_Data[RecordType],"StartMatch",Dyno_Data[Match],Dyno_Data[[#This Row],[Match]]),0)*86400),0)</f>
        <v>0</v>
      </c>
    </row>
    <row r="1543" spans="1:35" x14ac:dyDescent="0.3">
      <c r="A1543">
        <v>1536</v>
      </c>
      <c r="B1543" t="s">
        <v>372</v>
      </c>
      <c r="C1543">
        <v>32</v>
      </c>
      <c r="D1543" s="105">
        <v>45373.597313692131</v>
      </c>
      <c r="E1543" t="s">
        <v>312</v>
      </c>
      <c r="F1543" t="s">
        <v>309</v>
      </c>
      <c r="G1543">
        <v>0</v>
      </c>
      <c r="H1543" t="s">
        <v>1397</v>
      </c>
      <c r="I1543">
        <v>0</v>
      </c>
      <c r="J1543">
        <v>0</v>
      </c>
      <c r="K1543">
        <v>0</v>
      </c>
      <c r="L1543" t="s">
        <v>240</v>
      </c>
      <c r="M1543" t="s">
        <v>1398</v>
      </c>
      <c r="N1543">
        <v>0</v>
      </c>
      <c r="O1543" t="s">
        <v>311</v>
      </c>
      <c r="P1543" t="s">
        <v>310</v>
      </c>
      <c r="Q1543" t="s">
        <v>310</v>
      </c>
      <c r="R1543" t="s">
        <v>310</v>
      </c>
      <c r="S1543">
        <v>9</v>
      </c>
      <c r="T1543" t="s">
        <v>310</v>
      </c>
      <c r="U1543">
        <v>9</v>
      </c>
      <c r="V1543">
        <v>9</v>
      </c>
      <c r="W1543">
        <v>0</v>
      </c>
      <c r="X1543">
        <v>0</v>
      </c>
      <c r="Y1543">
        <v>0</v>
      </c>
      <c r="Z1543">
        <v>0</v>
      </c>
      <c r="AA1543">
        <v>9</v>
      </c>
      <c r="AB1543">
        <v>9</v>
      </c>
      <c r="AC1543" t="s">
        <v>310</v>
      </c>
      <c r="AD1543">
        <v>9</v>
      </c>
      <c r="AE1543" t="s">
        <v>1392</v>
      </c>
      <c r="AF1543">
        <v>0</v>
      </c>
      <c r="AG1543" t="s">
        <v>310</v>
      </c>
      <c r="AH1543">
        <f>SUM((MID(Dyno_Data[[#This Row],[Team]],4,5))+(Dyno_Data[[#This Row],[Match]]/100))</f>
        <v>7504.32</v>
      </c>
      <c r="AI1543" s="76">
        <f>ROUND(SUM(IF(Dyno_Data[[#This Row],[AcqCenter]]&gt;0,Dyno_Data[[#This Row],[Time]]-SUMIFS(Dyno_Data[Time],Dyno_Data[Team],Dyno_Data[[#This Row],[Team]],Dyno_Data[RecordType],"StartMatch",Dyno_Data[Match],Dyno_Data[[#This Row],[Match]]),0)*86400),0)</f>
        <v>0</v>
      </c>
    </row>
    <row r="1544" spans="1:35" x14ac:dyDescent="0.3">
      <c r="A1544">
        <v>1538</v>
      </c>
      <c r="B1544" t="s">
        <v>1295</v>
      </c>
      <c r="C1544">
        <v>32</v>
      </c>
      <c r="D1544" s="105">
        <v>45373.597350081021</v>
      </c>
      <c r="E1544" t="s">
        <v>312</v>
      </c>
      <c r="F1544" t="s">
        <v>309</v>
      </c>
      <c r="G1544">
        <v>0</v>
      </c>
      <c r="H1544" t="s">
        <v>143</v>
      </c>
      <c r="I1544">
        <v>2</v>
      </c>
      <c r="J1544">
        <v>1</v>
      </c>
      <c r="K1544">
        <v>0</v>
      </c>
      <c r="L1544" t="s">
        <v>310</v>
      </c>
      <c r="M1544" t="s">
        <v>310</v>
      </c>
      <c r="N1544">
        <v>0</v>
      </c>
      <c r="O1544" t="s">
        <v>1393</v>
      </c>
      <c r="P1544" t="s">
        <v>310</v>
      </c>
      <c r="Q1544" t="s">
        <v>310</v>
      </c>
      <c r="R1544" t="s">
        <v>310</v>
      </c>
      <c r="S1544">
        <v>9</v>
      </c>
      <c r="T1544" t="s">
        <v>310</v>
      </c>
      <c r="U1544">
        <v>9</v>
      </c>
      <c r="V1544">
        <v>9</v>
      </c>
      <c r="W1544">
        <v>0</v>
      </c>
      <c r="X1544">
        <v>0</v>
      </c>
      <c r="Y1544">
        <v>0</v>
      </c>
      <c r="Z1544">
        <v>0</v>
      </c>
      <c r="AA1544">
        <v>9</v>
      </c>
      <c r="AB1544">
        <v>9</v>
      </c>
      <c r="AC1544" t="s">
        <v>310</v>
      </c>
      <c r="AD1544">
        <v>9</v>
      </c>
      <c r="AE1544" t="s">
        <v>1394</v>
      </c>
      <c r="AF1544">
        <v>0</v>
      </c>
      <c r="AG1544" t="s">
        <v>310</v>
      </c>
      <c r="AH1544">
        <f>SUM((MID(Dyno_Data[[#This Row],[Team]],4,5))+(Dyno_Data[[#This Row],[Match]]/100))</f>
        <v>6300.32</v>
      </c>
      <c r="AI1544" s="76">
        <f>ROUND(SUM(IF(Dyno_Data[[#This Row],[AcqCenter]]&gt;0,Dyno_Data[[#This Row],[Time]]-SUMIFS(Dyno_Data[Time],Dyno_Data[Team],Dyno_Data[[#This Row],[Team]],Dyno_Data[RecordType],"StartMatch",Dyno_Data[Match],Dyno_Data[[#This Row],[Match]]),0)*86400),0)</f>
        <v>4</v>
      </c>
    </row>
    <row r="1545" spans="1:35" x14ac:dyDescent="0.3">
      <c r="A1545">
        <v>1537</v>
      </c>
      <c r="B1545" t="s">
        <v>1282</v>
      </c>
      <c r="C1545">
        <v>32</v>
      </c>
      <c r="D1545" s="105">
        <v>45373.597356446757</v>
      </c>
      <c r="E1545" t="s">
        <v>312</v>
      </c>
      <c r="F1545" t="s">
        <v>309</v>
      </c>
      <c r="G1545">
        <v>0</v>
      </c>
      <c r="H1545" t="s">
        <v>1397</v>
      </c>
      <c r="I1545">
        <v>0</v>
      </c>
      <c r="J1545">
        <v>0</v>
      </c>
      <c r="K1545">
        <v>0</v>
      </c>
      <c r="L1545" t="s">
        <v>240</v>
      </c>
      <c r="M1545" t="s">
        <v>1398</v>
      </c>
      <c r="N1545">
        <v>0</v>
      </c>
      <c r="O1545" t="s">
        <v>319</v>
      </c>
      <c r="P1545" t="s">
        <v>310</v>
      </c>
      <c r="Q1545" t="s">
        <v>310</v>
      </c>
      <c r="R1545" t="s">
        <v>310</v>
      </c>
      <c r="S1545">
        <v>9</v>
      </c>
      <c r="T1545" t="s">
        <v>310</v>
      </c>
      <c r="U1545">
        <v>9</v>
      </c>
      <c r="V1545">
        <v>9</v>
      </c>
      <c r="W1545">
        <v>0</v>
      </c>
      <c r="X1545">
        <v>0</v>
      </c>
      <c r="Y1545">
        <v>0</v>
      </c>
      <c r="Z1545">
        <v>0</v>
      </c>
      <c r="AA1545">
        <v>9</v>
      </c>
      <c r="AB1545">
        <v>9</v>
      </c>
      <c r="AC1545" t="s">
        <v>310</v>
      </c>
      <c r="AD1545">
        <v>9</v>
      </c>
      <c r="AE1545" t="s">
        <v>1387</v>
      </c>
      <c r="AF1545">
        <v>0</v>
      </c>
      <c r="AG1545" t="s">
        <v>310</v>
      </c>
      <c r="AH1545">
        <f>SUM((MID(Dyno_Data[[#This Row],[Team]],4,5))+(Dyno_Data[[#This Row],[Match]]/100))</f>
        <v>333.32</v>
      </c>
      <c r="AI1545" s="76">
        <f>ROUND(SUM(IF(Dyno_Data[[#This Row],[AcqCenter]]&gt;0,Dyno_Data[[#This Row],[Time]]-SUMIFS(Dyno_Data[Time],Dyno_Data[Team],Dyno_Data[[#This Row],[Team]],Dyno_Data[RecordType],"StartMatch",Dyno_Data[Match],Dyno_Data[[#This Row],[Match]]),0)*86400),0)</f>
        <v>0</v>
      </c>
    </row>
    <row r="1546" spans="1:35" x14ac:dyDescent="0.3">
      <c r="A1546">
        <v>1539</v>
      </c>
      <c r="B1546" t="s">
        <v>1277</v>
      </c>
      <c r="C1546">
        <v>32</v>
      </c>
      <c r="D1546" s="105">
        <v>45373.597360844906</v>
      </c>
      <c r="E1546" t="s">
        <v>312</v>
      </c>
      <c r="F1546" t="s">
        <v>309</v>
      </c>
      <c r="G1546">
        <v>0</v>
      </c>
      <c r="H1546" t="s">
        <v>1397</v>
      </c>
      <c r="I1546">
        <v>0</v>
      </c>
      <c r="J1546">
        <v>0</v>
      </c>
      <c r="K1546">
        <v>0</v>
      </c>
      <c r="L1546" t="s">
        <v>241</v>
      </c>
      <c r="M1546" t="s">
        <v>1398</v>
      </c>
      <c r="N1546">
        <v>0</v>
      </c>
      <c r="O1546" t="s">
        <v>1391</v>
      </c>
      <c r="P1546" t="s">
        <v>310</v>
      </c>
      <c r="Q1546" t="s">
        <v>310</v>
      </c>
      <c r="R1546" t="s">
        <v>310</v>
      </c>
      <c r="S1546">
        <v>9</v>
      </c>
      <c r="T1546" t="s">
        <v>310</v>
      </c>
      <c r="U1546">
        <v>9</v>
      </c>
      <c r="V1546">
        <v>9</v>
      </c>
      <c r="W1546">
        <v>0</v>
      </c>
      <c r="X1546">
        <v>0</v>
      </c>
      <c r="Y1546">
        <v>0</v>
      </c>
      <c r="Z1546">
        <v>0</v>
      </c>
      <c r="AA1546">
        <v>9</v>
      </c>
      <c r="AB1546">
        <v>9</v>
      </c>
      <c r="AC1546" t="s">
        <v>310</v>
      </c>
      <c r="AD1546">
        <v>9</v>
      </c>
      <c r="AE1546" t="s">
        <v>1390</v>
      </c>
      <c r="AF1546">
        <v>0</v>
      </c>
      <c r="AG1546" t="s">
        <v>310</v>
      </c>
      <c r="AH1546">
        <f>SUM((MID(Dyno_Data[[#This Row],[Team]],4,5))+(Dyno_Data[[#This Row],[Match]]/100))</f>
        <v>3360.32</v>
      </c>
      <c r="AI1546" s="76">
        <f>ROUND(SUM(IF(Dyno_Data[[#This Row],[AcqCenter]]&gt;0,Dyno_Data[[#This Row],[Time]]-SUMIFS(Dyno_Data[Time],Dyno_Data[Team],Dyno_Data[[#This Row],[Team]],Dyno_Data[RecordType],"StartMatch",Dyno_Data[Match],Dyno_Data[[#This Row],[Match]]),0)*86400),0)</f>
        <v>0</v>
      </c>
    </row>
    <row r="1547" spans="1:35" x14ac:dyDescent="0.3">
      <c r="A1547">
        <v>1540</v>
      </c>
      <c r="B1547" t="s">
        <v>1295</v>
      </c>
      <c r="C1547">
        <v>32</v>
      </c>
      <c r="D1547" s="105">
        <v>45373.597387581016</v>
      </c>
      <c r="E1547" t="s">
        <v>312</v>
      </c>
      <c r="F1547" t="s">
        <v>309</v>
      </c>
      <c r="G1547">
        <v>0</v>
      </c>
      <c r="H1547" t="s">
        <v>143</v>
      </c>
      <c r="I1547">
        <v>0</v>
      </c>
      <c r="J1547">
        <v>0</v>
      </c>
      <c r="K1547">
        <v>0</v>
      </c>
      <c r="L1547" t="s">
        <v>241</v>
      </c>
      <c r="M1547" t="s">
        <v>1398</v>
      </c>
      <c r="N1547">
        <v>1</v>
      </c>
      <c r="O1547" t="s">
        <v>1393</v>
      </c>
      <c r="P1547" t="s">
        <v>310</v>
      </c>
      <c r="Q1547" t="s">
        <v>310</v>
      </c>
      <c r="R1547" t="s">
        <v>310</v>
      </c>
      <c r="S1547">
        <v>9</v>
      </c>
      <c r="T1547" t="s">
        <v>310</v>
      </c>
      <c r="U1547">
        <v>9</v>
      </c>
      <c r="V1547">
        <v>9</v>
      </c>
      <c r="W1547">
        <v>0</v>
      </c>
      <c r="X1547">
        <v>0</v>
      </c>
      <c r="Y1547">
        <v>0</v>
      </c>
      <c r="Z1547">
        <v>0</v>
      </c>
      <c r="AA1547">
        <v>9</v>
      </c>
      <c r="AB1547">
        <v>9</v>
      </c>
      <c r="AC1547" t="s">
        <v>310</v>
      </c>
      <c r="AD1547">
        <v>9</v>
      </c>
      <c r="AE1547" t="s">
        <v>1394</v>
      </c>
      <c r="AF1547">
        <v>0</v>
      </c>
      <c r="AG1547" t="s">
        <v>310</v>
      </c>
      <c r="AH1547">
        <f>SUM((MID(Dyno_Data[[#This Row],[Team]],4,5))+(Dyno_Data[[#This Row],[Match]]/100))</f>
        <v>6300.32</v>
      </c>
      <c r="AI1547" s="76">
        <f>ROUND(SUM(IF(Dyno_Data[[#This Row],[AcqCenter]]&gt;0,Dyno_Data[[#This Row],[Time]]-SUMIFS(Dyno_Data[Time],Dyno_Data[Team],Dyno_Data[[#This Row],[Team]],Dyno_Data[RecordType],"StartMatch",Dyno_Data[Match],Dyno_Data[[#This Row],[Match]]),0)*86400),0)</f>
        <v>0</v>
      </c>
    </row>
    <row r="1548" spans="1:35" x14ac:dyDescent="0.3">
      <c r="A1548">
        <v>1541</v>
      </c>
      <c r="B1548" t="s">
        <v>1277</v>
      </c>
      <c r="C1548">
        <v>32</v>
      </c>
      <c r="D1548" s="105">
        <v>45373.597389699076</v>
      </c>
      <c r="E1548" t="s">
        <v>312</v>
      </c>
      <c r="F1548" t="s">
        <v>309</v>
      </c>
      <c r="G1548">
        <v>0</v>
      </c>
      <c r="H1548" t="s">
        <v>315</v>
      </c>
      <c r="I1548">
        <v>0</v>
      </c>
      <c r="J1548">
        <v>0</v>
      </c>
      <c r="K1548">
        <v>0</v>
      </c>
      <c r="L1548" t="s">
        <v>241</v>
      </c>
      <c r="M1548" t="s">
        <v>1398</v>
      </c>
      <c r="N1548">
        <v>0</v>
      </c>
      <c r="O1548" t="s">
        <v>1391</v>
      </c>
      <c r="P1548" t="s">
        <v>310</v>
      </c>
      <c r="Q1548" t="s">
        <v>310</v>
      </c>
      <c r="R1548" t="s">
        <v>310</v>
      </c>
      <c r="S1548">
        <v>9</v>
      </c>
      <c r="T1548" t="s">
        <v>310</v>
      </c>
      <c r="U1548">
        <v>9</v>
      </c>
      <c r="V1548">
        <v>9</v>
      </c>
      <c r="W1548">
        <v>0</v>
      </c>
      <c r="X1548">
        <v>0</v>
      </c>
      <c r="Y1548">
        <v>0</v>
      </c>
      <c r="Z1548">
        <v>0</v>
      </c>
      <c r="AA1548">
        <v>9</v>
      </c>
      <c r="AB1548">
        <v>9</v>
      </c>
      <c r="AC1548" t="s">
        <v>310</v>
      </c>
      <c r="AD1548">
        <v>9</v>
      </c>
      <c r="AE1548" t="s">
        <v>1390</v>
      </c>
      <c r="AF1548">
        <v>10000000</v>
      </c>
      <c r="AG1548" t="s">
        <v>310</v>
      </c>
      <c r="AH1548">
        <f>SUM((MID(Dyno_Data[[#This Row],[Team]],4,5))+(Dyno_Data[[#This Row],[Match]]/100))</f>
        <v>3360.32</v>
      </c>
      <c r="AI1548" s="76">
        <f>ROUND(SUM(IF(Dyno_Data[[#This Row],[AcqCenter]]&gt;0,Dyno_Data[[#This Row],[Time]]-SUMIFS(Dyno_Data[Time],Dyno_Data[Team],Dyno_Data[[#This Row],[Team]],Dyno_Data[RecordType],"StartMatch",Dyno_Data[Match],Dyno_Data[[#This Row],[Match]]),0)*86400),0)</f>
        <v>0</v>
      </c>
    </row>
    <row r="1549" spans="1:35" x14ac:dyDescent="0.3">
      <c r="A1549">
        <v>1542</v>
      </c>
      <c r="B1549" t="s">
        <v>1277</v>
      </c>
      <c r="C1549">
        <v>32</v>
      </c>
      <c r="D1549" s="105">
        <v>45373.597422534724</v>
      </c>
      <c r="E1549" t="s">
        <v>312</v>
      </c>
      <c r="F1549" t="s">
        <v>309</v>
      </c>
      <c r="G1549">
        <v>0</v>
      </c>
      <c r="H1549" t="s">
        <v>315</v>
      </c>
      <c r="I1549">
        <v>0</v>
      </c>
      <c r="J1549">
        <v>0</v>
      </c>
      <c r="K1549">
        <v>0</v>
      </c>
      <c r="L1549" t="s">
        <v>241</v>
      </c>
      <c r="M1549" t="s">
        <v>1398</v>
      </c>
      <c r="N1549">
        <v>0</v>
      </c>
      <c r="O1549" t="s">
        <v>1391</v>
      </c>
      <c r="P1549" t="s">
        <v>310</v>
      </c>
      <c r="Q1549" t="s">
        <v>310</v>
      </c>
      <c r="R1549" t="s">
        <v>310</v>
      </c>
      <c r="S1549">
        <v>9</v>
      </c>
      <c r="T1549" t="s">
        <v>310</v>
      </c>
      <c r="U1549">
        <v>9</v>
      </c>
      <c r="V1549">
        <v>9</v>
      </c>
      <c r="W1549">
        <v>0</v>
      </c>
      <c r="X1549">
        <v>0</v>
      </c>
      <c r="Y1549">
        <v>0</v>
      </c>
      <c r="Z1549">
        <v>0</v>
      </c>
      <c r="AA1549">
        <v>9</v>
      </c>
      <c r="AB1549">
        <v>9</v>
      </c>
      <c r="AC1549" t="s">
        <v>310</v>
      </c>
      <c r="AD1549">
        <v>9</v>
      </c>
      <c r="AE1549" t="s">
        <v>1390</v>
      </c>
      <c r="AF1549">
        <v>20000000</v>
      </c>
      <c r="AG1549" t="s">
        <v>310</v>
      </c>
      <c r="AH1549">
        <f>SUM((MID(Dyno_Data[[#This Row],[Team]],4,5))+(Dyno_Data[[#This Row],[Match]]/100))</f>
        <v>3360.32</v>
      </c>
      <c r="AI1549" s="76">
        <f>ROUND(SUM(IF(Dyno_Data[[#This Row],[AcqCenter]]&gt;0,Dyno_Data[[#This Row],[Time]]-SUMIFS(Dyno_Data[Time],Dyno_Data[Team],Dyno_Data[[#This Row],[Team]],Dyno_Data[RecordType],"StartMatch",Dyno_Data[Match],Dyno_Data[[#This Row],[Match]]),0)*86400),0)</f>
        <v>0</v>
      </c>
    </row>
    <row r="1550" spans="1:35" x14ac:dyDescent="0.3">
      <c r="A1550">
        <v>1543</v>
      </c>
      <c r="B1550" t="s">
        <v>1295</v>
      </c>
      <c r="C1550">
        <v>32</v>
      </c>
      <c r="D1550" s="105">
        <v>45373.59747306713</v>
      </c>
      <c r="E1550" t="s">
        <v>312</v>
      </c>
      <c r="F1550" t="s">
        <v>309</v>
      </c>
      <c r="G1550">
        <v>0</v>
      </c>
      <c r="H1550" t="s">
        <v>315</v>
      </c>
      <c r="I1550">
        <v>0</v>
      </c>
      <c r="J1550">
        <v>0</v>
      </c>
      <c r="K1550">
        <v>0</v>
      </c>
      <c r="L1550" t="s">
        <v>241</v>
      </c>
      <c r="M1550" t="s">
        <v>1398</v>
      </c>
      <c r="N1550">
        <v>1</v>
      </c>
      <c r="O1550" t="s">
        <v>1393</v>
      </c>
      <c r="P1550" t="s">
        <v>310</v>
      </c>
      <c r="Q1550" t="s">
        <v>310</v>
      </c>
      <c r="R1550" t="s">
        <v>310</v>
      </c>
      <c r="S1550">
        <v>9</v>
      </c>
      <c r="T1550" t="s">
        <v>310</v>
      </c>
      <c r="U1550">
        <v>9</v>
      </c>
      <c r="V1550">
        <v>9</v>
      </c>
      <c r="W1550">
        <v>0</v>
      </c>
      <c r="X1550">
        <v>0</v>
      </c>
      <c r="Y1550">
        <v>0</v>
      </c>
      <c r="Z1550">
        <v>0</v>
      </c>
      <c r="AA1550">
        <v>9</v>
      </c>
      <c r="AB1550">
        <v>9</v>
      </c>
      <c r="AC1550" t="s">
        <v>310</v>
      </c>
      <c r="AD1550">
        <v>9</v>
      </c>
      <c r="AE1550" t="s">
        <v>1394</v>
      </c>
      <c r="AF1550">
        <v>10000000</v>
      </c>
      <c r="AG1550" t="s">
        <v>310</v>
      </c>
      <c r="AH1550">
        <f>SUM((MID(Dyno_Data[[#This Row],[Team]],4,5))+(Dyno_Data[[#This Row],[Match]]/100))</f>
        <v>6300.32</v>
      </c>
      <c r="AI1550" s="76">
        <f>ROUND(SUM(IF(Dyno_Data[[#This Row],[AcqCenter]]&gt;0,Dyno_Data[[#This Row],[Time]]-SUMIFS(Dyno_Data[Time],Dyno_Data[Team],Dyno_Data[[#This Row],[Team]],Dyno_Data[RecordType],"StartMatch",Dyno_Data[Match],Dyno_Data[[#This Row],[Match]]),0)*86400),0)</f>
        <v>0</v>
      </c>
    </row>
    <row r="1551" spans="1:35" x14ac:dyDescent="0.3">
      <c r="A1551">
        <v>1545</v>
      </c>
      <c r="B1551" t="s">
        <v>1288</v>
      </c>
      <c r="C1551">
        <v>32</v>
      </c>
      <c r="D1551" s="105">
        <v>45373.597500613425</v>
      </c>
      <c r="E1551" t="s">
        <v>314</v>
      </c>
      <c r="F1551" t="s">
        <v>309</v>
      </c>
      <c r="G1551">
        <v>1</v>
      </c>
      <c r="H1551" t="s">
        <v>310</v>
      </c>
      <c r="I1551">
        <v>0</v>
      </c>
      <c r="J1551">
        <v>0</v>
      </c>
      <c r="K1551">
        <v>0</v>
      </c>
      <c r="L1551" t="s">
        <v>310</v>
      </c>
      <c r="M1551" t="s">
        <v>310</v>
      </c>
      <c r="N1551">
        <v>0</v>
      </c>
      <c r="O1551" t="s">
        <v>1389</v>
      </c>
      <c r="P1551" t="s">
        <v>1401</v>
      </c>
      <c r="Q1551" t="s">
        <v>1399</v>
      </c>
      <c r="R1551" t="s">
        <v>310</v>
      </c>
      <c r="S1551">
        <v>9</v>
      </c>
      <c r="T1551" t="s">
        <v>310</v>
      </c>
      <c r="U1551">
        <v>9</v>
      </c>
      <c r="V1551">
        <v>9</v>
      </c>
      <c r="W1551">
        <v>0</v>
      </c>
      <c r="X1551">
        <v>0</v>
      </c>
      <c r="Y1551">
        <v>0</v>
      </c>
      <c r="Z1551">
        <v>0</v>
      </c>
      <c r="AA1551">
        <v>9</v>
      </c>
      <c r="AB1551">
        <v>9</v>
      </c>
      <c r="AC1551" t="s">
        <v>310</v>
      </c>
      <c r="AD1551">
        <v>9</v>
      </c>
      <c r="AE1551" t="s">
        <v>1388</v>
      </c>
      <c r="AF1551">
        <v>0</v>
      </c>
      <c r="AG1551" t="s">
        <v>310</v>
      </c>
      <c r="AH1551">
        <f>SUM((MID(Dyno_Data[[#This Row],[Team]],4,5))+(Dyno_Data[[#This Row],[Match]]/100))</f>
        <v>3181.32</v>
      </c>
      <c r="AI1551" s="76">
        <f>ROUND(SUM(IF(Dyno_Data[[#This Row],[AcqCenter]]&gt;0,Dyno_Data[[#This Row],[Time]]-SUMIFS(Dyno_Data[Time],Dyno_Data[Team],Dyno_Data[[#This Row],[Team]],Dyno_Data[RecordType],"StartMatch",Dyno_Data[Match],Dyno_Data[[#This Row],[Match]]),0)*86400),0)</f>
        <v>0</v>
      </c>
    </row>
    <row r="1552" spans="1:35" x14ac:dyDescent="0.3">
      <c r="A1552">
        <v>1547</v>
      </c>
      <c r="B1552" t="s">
        <v>372</v>
      </c>
      <c r="C1552">
        <v>32</v>
      </c>
      <c r="D1552" s="105">
        <v>45373.597503472221</v>
      </c>
      <c r="E1552" t="s">
        <v>314</v>
      </c>
      <c r="F1552" t="s">
        <v>309</v>
      </c>
      <c r="G1552">
        <v>0</v>
      </c>
      <c r="H1552" t="s">
        <v>310</v>
      </c>
      <c r="I1552">
        <v>0</v>
      </c>
      <c r="J1552">
        <v>0</v>
      </c>
      <c r="K1552">
        <v>0</v>
      </c>
      <c r="L1552" t="s">
        <v>310</v>
      </c>
      <c r="M1552" t="s">
        <v>310</v>
      </c>
      <c r="N1552">
        <v>0</v>
      </c>
      <c r="O1552" t="s">
        <v>311</v>
      </c>
      <c r="P1552" t="s">
        <v>101</v>
      </c>
      <c r="Q1552" t="s">
        <v>1400</v>
      </c>
      <c r="R1552" t="s">
        <v>310</v>
      </c>
      <c r="S1552">
        <v>9</v>
      </c>
      <c r="T1552" t="s">
        <v>310</v>
      </c>
      <c r="U1552">
        <v>9</v>
      </c>
      <c r="V1552">
        <v>9</v>
      </c>
      <c r="W1552">
        <v>0</v>
      </c>
      <c r="X1552">
        <v>0</v>
      </c>
      <c r="Y1552">
        <v>0</v>
      </c>
      <c r="Z1552">
        <v>0</v>
      </c>
      <c r="AA1552">
        <v>9</v>
      </c>
      <c r="AB1552">
        <v>9</v>
      </c>
      <c r="AC1552" t="s">
        <v>310</v>
      </c>
      <c r="AD1552">
        <v>9</v>
      </c>
      <c r="AE1552" t="s">
        <v>1392</v>
      </c>
      <c r="AF1552">
        <v>0</v>
      </c>
      <c r="AG1552" t="s">
        <v>310</v>
      </c>
      <c r="AH1552">
        <f>SUM((MID(Dyno_Data[[#This Row],[Team]],4,5))+(Dyno_Data[[#This Row],[Match]]/100))</f>
        <v>7504.32</v>
      </c>
      <c r="AI1552" s="76">
        <f>ROUND(SUM(IF(Dyno_Data[[#This Row],[AcqCenter]]&gt;0,Dyno_Data[[#This Row],[Time]]-SUMIFS(Dyno_Data[Time],Dyno_Data[Team],Dyno_Data[[#This Row],[Team]],Dyno_Data[RecordType],"StartMatch",Dyno_Data[Match],Dyno_Data[[#This Row],[Match]]),0)*86400),0)</f>
        <v>0</v>
      </c>
    </row>
    <row r="1553" spans="1:35" x14ac:dyDescent="0.3">
      <c r="A1553">
        <v>1549</v>
      </c>
      <c r="B1553" t="s">
        <v>1277</v>
      </c>
      <c r="C1553">
        <v>32</v>
      </c>
      <c r="D1553" s="105">
        <v>45373.597504895835</v>
      </c>
      <c r="E1553" t="s">
        <v>314</v>
      </c>
      <c r="F1553" t="s">
        <v>309</v>
      </c>
      <c r="G1553">
        <v>0</v>
      </c>
      <c r="H1553" t="s">
        <v>310</v>
      </c>
      <c r="I1553">
        <v>0</v>
      </c>
      <c r="J1553">
        <v>0</v>
      </c>
      <c r="K1553">
        <v>0</v>
      </c>
      <c r="L1553" t="s">
        <v>310</v>
      </c>
      <c r="M1553" t="s">
        <v>310</v>
      </c>
      <c r="N1553">
        <v>0</v>
      </c>
      <c r="O1553" t="s">
        <v>1391</v>
      </c>
      <c r="P1553" t="s">
        <v>240</v>
      </c>
      <c r="Q1553" t="s">
        <v>1399</v>
      </c>
      <c r="R1553" t="s">
        <v>310</v>
      </c>
      <c r="S1553">
        <v>9</v>
      </c>
      <c r="T1553" t="s">
        <v>310</v>
      </c>
      <c r="U1553">
        <v>9</v>
      </c>
      <c r="V1553">
        <v>9</v>
      </c>
      <c r="W1553">
        <v>0</v>
      </c>
      <c r="X1553">
        <v>0</v>
      </c>
      <c r="Y1553">
        <v>0</v>
      </c>
      <c r="Z1553">
        <v>0</v>
      </c>
      <c r="AA1553">
        <v>9</v>
      </c>
      <c r="AB1553">
        <v>9</v>
      </c>
      <c r="AC1553" t="s">
        <v>310</v>
      </c>
      <c r="AD1553">
        <v>9</v>
      </c>
      <c r="AE1553" t="s">
        <v>1390</v>
      </c>
      <c r="AF1553">
        <v>20000000</v>
      </c>
      <c r="AG1553" t="s">
        <v>310</v>
      </c>
      <c r="AH1553">
        <f>SUM((MID(Dyno_Data[[#This Row],[Team]],4,5))+(Dyno_Data[[#This Row],[Match]]/100))</f>
        <v>3360.32</v>
      </c>
      <c r="AI1553" s="76">
        <f>ROUND(SUM(IF(Dyno_Data[[#This Row],[AcqCenter]]&gt;0,Dyno_Data[[#This Row],[Time]]-SUMIFS(Dyno_Data[Time],Dyno_Data[Team],Dyno_Data[[#This Row],[Team]],Dyno_Data[RecordType],"StartMatch",Dyno_Data[Match],Dyno_Data[[#This Row],[Match]]),0)*86400),0)</f>
        <v>0</v>
      </c>
    </row>
    <row r="1554" spans="1:35" x14ac:dyDescent="0.3">
      <c r="A1554">
        <v>1551</v>
      </c>
      <c r="B1554" t="s">
        <v>1302</v>
      </c>
      <c r="C1554">
        <v>32</v>
      </c>
      <c r="D1554" s="105">
        <v>45373.597505057871</v>
      </c>
      <c r="E1554" t="s">
        <v>314</v>
      </c>
      <c r="F1554" t="s">
        <v>309</v>
      </c>
      <c r="G1554">
        <v>1</v>
      </c>
      <c r="H1554" t="s">
        <v>310</v>
      </c>
      <c r="I1554">
        <v>0</v>
      </c>
      <c r="J1554">
        <v>0</v>
      </c>
      <c r="K1554">
        <v>0</v>
      </c>
      <c r="L1554" t="s">
        <v>310</v>
      </c>
      <c r="M1554" t="s">
        <v>310</v>
      </c>
      <c r="N1554">
        <v>0</v>
      </c>
      <c r="O1554" t="s">
        <v>1395</v>
      </c>
      <c r="P1554" t="s">
        <v>320</v>
      </c>
      <c r="Q1554" t="s">
        <v>1400</v>
      </c>
      <c r="R1554" t="s">
        <v>310</v>
      </c>
      <c r="S1554">
        <v>9</v>
      </c>
      <c r="T1554" t="s">
        <v>310</v>
      </c>
      <c r="U1554">
        <v>9</v>
      </c>
      <c r="V1554">
        <v>9</v>
      </c>
      <c r="W1554">
        <v>0</v>
      </c>
      <c r="X1554">
        <v>0</v>
      </c>
      <c r="Y1554">
        <v>0</v>
      </c>
      <c r="Z1554">
        <v>0</v>
      </c>
      <c r="AA1554">
        <v>9</v>
      </c>
      <c r="AB1554">
        <v>9</v>
      </c>
      <c r="AC1554" t="s">
        <v>310</v>
      </c>
      <c r="AD1554">
        <v>9</v>
      </c>
      <c r="AE1554" t="s">
        <v>1396</v>
      </c>
      <c r="AF1554">
        <v>0</v>
      </c>
      <c r="AG1554" t="s">
        <v>310</v>
      </c>
      <c r="AH1554">
        <f>SUM((MID(Dyno_Data[[#This Row],[Team]],4,5))+(Dyno_Data[[#This Row],[Match]]/100))</f>
        <v>2095.3200000000002</v>
      </c>
      <c r="AI1554" s="76">
        <f>ROUND(SUM(IF(Dyno_Data[[#This Row],[AcqCenter]]&gt;0,Dyno_Data[[#This Row],[Time]]-SUMIFS(Dyno_Data[Time],Dyno_Data[Team],Dyno_Data[[#This Row],[Team]],Dyno_Data[RecordType],"StartMatch",Dyno_Data[Match],Dyno_Data[[#This Row],[Match]]),0)*86400),0)</f>
        <v>0</v>
      </c>
    </row>
    <row r="1555" spans="1:35" x14ac:dyDescent="0.3">
      <c r="A1555">
        <v>1553</v>
      </c>
      <c r="B1555" t="s">
        <v>1282</v>
      </c>
      <c r="C1555">
        <v>32</v>
      </c>
      <c r="D1555" s="105">
        <v>45373.597506481485</v>
      </c>
      <c r="E1555" t="s">
        <v>314</v>
      </c>
      <c r="F1555" t="s">
        <v>309</v>
      </c>
      <c r="G1555">
        <v>1</v>
      </c>
      <c r="H1555" t="s">
        <v>310</v>
      </c>
      <c r="I1555">
        <v>0</v>
      </c>
      <c r="J1555">
        <v>0</v>
      </c>
      <c r="K1555">
        <v>0</v>
      </c>
      <c r="L1555" t="s">
        <v>310</v>
      </c>
      <c r="M1555" t="s">
        <v>310</v>
      </c>
      <c r="N1555">
        <v>0</v>
      </c>
      <c r="O1555" t="s">
        <v>319</v>
      </c>
      <c r="P1555" t="s">
        <v>1401</v>
      </c>
      <c r="Q1555" t="s">
        <v>1400</v>
      </c>
      <c r="R1555" t="s">
        <v>310</v>
      </c>
      <c r="S1555">
        <v>9</v>
      </c>
      <c r="T1555" t="s">
        <v>310</v>
      </c>
      <c r="U1555">
        <v>9</v>
      </c>
      <c r="V1555">
        <v>9</v>
      </c>
      <c r="W1555">
        <v>0</v>
      </c>
      <c r="X1555">
        <v>0</v>
      </c>
      <c r="Y1555">
        <v>0</v>
      </c>
      <c r="Z1555">
        <v>0</v>
      </c>
      <c r="AA1555">
        <v>9</v>
      </c>
      <c r="AB1555">
        <v>9</v>
      </c>
      <c r="AC1555" t="s">
        <v>310</v>
      </c>
      <c r="AD1555">
        <v>9</v>
      </c>
      <c r="AE1555" t="s">
        <v>1387</v>
      </c>
      <c r="AF1555">
        <v>0</v>
      </c>
      <c r="AG1555" t="s">
        <v>310</v>
      </c>
      <c r="AH1555">
        <f>SUM((MID(Dyno_Data[[#This Row],[Team]],4,5))+(Dyno_Data[[#This Row],[Match]]/100))</f>
        <v>333.32</v>
      </c>
      <c r="AI1555" s="76">
        <f>ROUND(SUM(IF(Dyno_Data[[#This Row],[AcqCenter]]&gt;0,Dyno_Data[[#This Row],[Time]]-SUMIFS(Dyno_Data[Time],Dyno_Data[Team],Dyno_Data[[#This Row],[Team]],Dyno_Data[RecordType],"StartMatch",Dyno_Data[Match],Dyno_Data[[#This Row],[Match]]),0)*86400),0)</f>
        <v>0</v>
      </c>
    </row>
    <row r="1556" spans="1:35" x14ac:dyDescent="0.3">
      <c r="A1556">
        <v>1555</v>
      </c>
      <c r="B1556" t="s">
        <v>1295</v>
      </c>
      <c r="C1556">
        <v>32</v>
      </c>
      <c r="D1556" s="105">
        <v>45373.597514351852</v>
      </c>
      <c r="E1556" t="s">
        <v>314</v>
      </c>
      <c r="F1556" t="s">
        <v>309</v>
      </c>
      <c r="G1556">
        <v>1</v>
      </c>
      <c r="H1556" t="s">
        <v>310</v>
      </c>
      <c r="I1556">
        <v>0</v>
      </c>
      <c r="J1556">
        <v>0</v>
      </c>
      <c r="K1556">
        <v>0</v>
      </c>
      <c r="L1556" t="s">
        <v>310</v>
      </c>
      <c r="M1556" t="s">
        <v>310</v>
      </c>
      <c r="N1556">
        <v>0</v>
      </c>
      <c r="O1556" t="s">
        <v>1393</v>
      </c>
      <c r="P1556" t="s">
        <v>101</v>
      </c>
      <c r="Q1556" t="s">
        <v>1400</v>
      </c>
      <c r="R1556" t="s">
        <v>310</v>
      </c>
      <c r="S1556">
        <v>9</v>
      </c>
      <c r="T1556" t="s">
        <v>310</v>
      </c>
      <c r="U1556">
        <v>9</v>
      </c>
      <c r="V1556">
        <v>9</v>
      </c>
      <c r="W1556">
        <v>0</v>
      </c>
      <c r="X1556">
        <v>0</v>
      </c>
      <c r="Y1556">
        <v>0</v>
      </c>
      <c r="Z1556">
        <v>0</v>
      </c>
      <c r="AA1556">
        <v>9</v>
      </c>
      <c r="AB1556">
        <v>9</v>
      </c>
      <c r="AC1556" t="s">
        <v>310</v>
      </c>
      <c r="AD1556">
        <v>9</v>
      </c>
      <c r="AE1556" t="s">
        <v>1394</v>
      </c>
      <c r="AF1556">
        <v>10000000</v>
      </c>
      <c r="AG1556" t="s">
        <v>310</v>
      </c>
      <c r="AH1556">
        <f>SUM((MID(Dyno_Data[[#This Row],[Team]],4,5))+(Dyno_Data[[#This Row],[Match]]/100))</f>
        <v>6300.32</v>
      </c>
      <c r="AI1556" s="76">
        <f>ROUND(SUM(IF(Dyno_Data[[#This Row],[AcqCenter]]&gt;0,Dyno_Data[[#This Row],[Time]]-SUMIFS(Dyno_Data[Time],Dyno_Data[Team],Dyno_Data[[#This Row],[Team]],Dyno_Data[RecordType],"StartMatch",Dyno_Data[Match],Dyno_Data[[#This Row],[Match]]),0)*86400),0)</f>
        <v>0</v>
      </c>
    </row>
    <row r="1557" spans="1:35" x14ac:dyDescent="0.3">
      <c r="A1557">
        <v>1556</v>
      </c>
      <c r="B1557" t="s">
        <v>1295</v>
      </c>
      <c r="C1557">
        <v>32</v>
      </c>
      <c r="D1557" s="105">
        <v>45373.597566631943</v>
      </c>
      <c r="E1557" t="s">
        <v>312</v>
      </c>
      <c r="F1557" t="s">
        <v>1402</v>
      </c>
      <c r="G1557">
        <v>0</v>
      </c>
      <c r="H1557" t="s">
        <v>315</v>
      </c>
      <c r="I1557">
        <v>0</v>
      </c>
      <c r="J1557">
        <v>0</v>
      </c>
      <c r="K1557">
        <v>0</v>
      </c>
      <c r="L1557" t="s">
        <v>241</v>
      </c>
      <c r="M1557" t="s">
        <v>1398</v>
      </c>
      <c r="N1557">
        <v>1</v>
      </c>
      <c r="O1557" t="s">
        <v>1393</v>
      </c>
      <c r="P1557" t="s">
        <v>310</v>
      </c>
      <c r="Q1557" t="s">
        <v>310</v>
      </c>
      <c r="R1557" t="s">
        <v>310</v>
      </c>
      <c r="S1557">
        <v>9</v>
      </c>
      <c r="T1557" t="s">
        <v>310</v>
      </c>
      <c r="U1557">
        <v>9</v>
      </c>
      <c r="V1557">
        <v>9</v>
      </c>
      <c r="W1557">
        <v>0</v>
      </c>
      <c r="X1557">
        <v>0</v>
      </c>
      <c r="Y1557">
        <v>0</v>
      </c>
      <c r="Z1557">
        <v>0</v>
      </c>
      <c r="AA1557">
        <v>9</v>
      </c>
      <c r="AB1557">
        <v>9</v>
      </c>
      <c r="AC1557" t="s">
        <v>310</v>
      </c>
      <c r="AD1557">
        <v>9</v>
      </c>
      <c r="AE1557" t="s">
        <v>1394</v>
      </c>
      <c r="AF1557">
        <v>20000000</v>
      </c>
      <c r="AG1557" t="s">
        <v>310</v>
      </c>
      <c r="AH1557">
        <f>SUM((MID(Dyno_Data[[#This Row],[Team]],4,5))+(Dyno_Data[[#This Row],[Match]]/100))</f>
        <v>6300.32</v>
      </c>
      <c r="AI1557" s="76">
        <f>ROUND(SUM(IF(Dyno_Data[[#This Row],[AcqCenter]]&gt;0,Dyno_Data[[#This Row],[Time]]-SUMIFS(Dyno_Data[Time],Dyno_Data[Team],Dyno_Data[[#This Row],[Team]],Dyno_Data[RecordType],"StartMatch",Dyno_Data[Match],Dyno_Data[[#This Row],[Match]]),0)*86400),0)</f>
        <v>0</v>
      </c>
    </row>
    <row r="1558" spans="1:35" x14ac:dyDescent="0.3">
      <c r="A1558">
        <v>1557</v>
      </c>
      <c r="B1558" t="s">
        <v>1288</v>
      </c>
      <c r="C1558">
        <v>32</v>
      </c>
      <c r="D1558" s="105">
        <v>45373.597617280095</v>
      </c>
      <c r="E1558" t="s">
        <v>1403</v>
      </c>
      <c r="F1558" t="s">
        <v>1402</v>
      </c>
      <c r="G1558">
        <v>0</v>
      </c>
      <c r="H1558" t="s">
        <v>310</v>
      </c>
      <c r="I1558">
        <v>0</v>
      </c>
      <c r="J1558">
        <v>0</v>
      </c>
      <c r="K1558">
        <v>0</v>
      </c>
      <c r="L1558" t="s">
        <v>310</v>
      </c>
      <c r="M1558" t="s">
        <v>310</v>
      </c>
      <c r="N1558">
        <v>0</v>
      </c>
      <c r="O1558" t="s">
        <v>1389</v>
      </c>
      <c r="P1558" t="s">
        <v>310</v>
      </c>
      <c r="Q1558" t="s">
        <v>310</v>
      </c>
      <c r="R1558" t="s">
        <v>310</v>
      </c>
      <c r="S1558">
        <v>9</v>
      </c>
      <c r="T1558" t="s">
        <v>310</v>
      </c>
      <c r="U1558">
        <v>9</v>
      </c>
      <c r="V1558">
        <v>9</v>
      </c>
      <c r="W1558">
        <v>0</v>
      </c>
      <c r="X1558">
        <v>0</v>
      </c>
      <c r="Y1558">
        <v>0</v>
      </c>
      <c r="Z1558">
        <v>0</v>
      </c>
      <c r="AA1558">
        <v>9</v>
      </c>
      <c r="AB1558">
        <v>9</v>
      </c>
      <c r="AC1558" t="s">
        <v>310</v>
      </c>
      <c r="AD1558">
        <v>9</v>
      </c>
      <c r="AE1558" t="s">
        <v>1388</v>
      </c>
      <c r="AF1558">
        <v>20000000</v>
      </c>
      <c r="AG1558" t="s">
        <v>248</v>
      </c>
      <c r="AH1558">
        <f>SUM((MID(Dyno_Data[[#This Row],[Team]],4,5))+(Dyno_Data[[#This Row],[Match]]/100))</f>
        <v>3181.32</v>
      </c>
      <c r="AI1558" s="76">
        <f>ROUND(SUM(IF(Dyno_Data[[#This Row],[AcqCenter]]&gt;0,Dyno_Data[[#This Row],[Time]]-SUMIFS(Dyno_Data[Time],Dyno_Data[Team],Dyno_Data[[#This Row],[Team]],Dyno_Data[RecordType],"StartMatch",Dyno_Data[Match],Dyno_Data[[#This Row],[Match]]),0)*86400),0)</f>
        <v>0</v>
      </c>
    </row>
    <row r="1559" spans="1:35" x14ac:dyDescent="0.3">
      <c r="A1559">
        <v>1558</v>
      </c>
      <c r="B1559" t="s">
        <v>1277</v>
      </c>
      <c r="C1559">
        <v>32</v>
      </c>
      <c r="D1559" s="105">
        <v>45373.597637465275</v>
      </c>
      <c r="E1559" t="s">
        <v>312</v>
      </c>
      <c r="F1559" t="s">
        <v>1402</v>
      </c>
      <c r="G1559">
        <v>0</v>
      </c>
      <c r="H1559" t="s">
        <v>315</v>
      </c>
      <c r="I1559">
        <v>0</v>
      </c>
      <c r="J1559">
        <v>0</v>
      </c>
      <c r="K1559">
        <v>0</v>
      </c>
      <c r="L1559" t="s">
        <v>241</v>
      </c>
      <c r="M1559" t="s">
        <v>101</v>
      </c>
      <c r="N1559">
        <v>0</v>
      </c>
      <c r="O1559" t="s">
        <v>1391</v>
      </c>
      <c r="P1559" t="s">
        <v>310</v>
      </c>
      <c r="Q1559" t="s">
        <v>310</v>
      </c>
      <c r="R1559" t="s">
        <v>310</v>
      </c>
      <c r="S1559">
        <v>9</v>
      </c>
      <c r="T1559" t="s">
        <v>310</v>
      </c>
      <c r="U1559">
        <v>9</v>
      </c>
      <c r="V1559">
        <v>9</v>
      </c>
      <c r="W1559">
        <v>0</v>
      </c>
      <c r="X1559">
        <v>0</v>
      </c>
      <c r="Y1559">
        <v>0</v>
      </c>
      <c r="Z1559">
        <v>0</v>
      </c>
      <c r="AA1559">
        <v>9</v>
      </c>
      <c r="AB1559">
        <v>9</v>
      </c>
      <c r="AC1559" t="s">
        <v>310</v>
      </c>
      <c r="AD1559">
        <v>9</v>
      </c>
      <c r="AE1559" t="s">
        <v>1390</v>
      </c>
      <c r="AF1559">
        <v>30000000</v>
      </c>
      <c r="AG1559" t="s">
        <v>310</v>
      </c>
      <c r="AH1559">
        <f>SUM((MID(Dyno_Data[[#This Row],[Team]],4,5))+(Dyno_Data[[#This Row],[Match]]/100))</f>
        <v>3360.32</v>
      </c>
      <c r="AI1559" s="76">
        <f>ROUND(SUM(IF(Dyno_Data[[#This Row],[AcqCenter]]&gt;0,Dyno_Data[[#This Row],[Time]]-SUMIFS(Dyno_Data[Time],Dyno_Data[Team],Dyno_Data[[#This Row],[Team]],Dyno_Data[RecordType],"StartMatch",Dyno_Data[Match],Dyno_Data[[#This Row],[Match]]),0)*86400),0)</f>
        <v>0</v>
      </c>
    </row>
    <row r="1560" spans="1:35" x14ac:dyDescent="0.3">
      <c r="A1560">
        <v>1559</v>
      </c>
      <c r="B1560" t="s">
        <v>1302</v>
      </c>
      <c r="C1560">
        <v>32</v>
      </c>
      <c r="D1560" s="105">
        <v>45373.597637500003</v>
      </c>
      <c r="E1560" t="s">
        <v>312</v>
      </c>
      <c r="F1560" t="s">
        <v>1402</v>
      </c>
      <c r="G1560">
        <v>0</v>
      </c>
      <c r="H1560" t="s">
        <v>1397</v>
      </c>
      <c r="I1560">
        <v>0</v>
      </c>
      <c r="J1560">
        <v>0</v>
      </c>
      <c r="K1560">
        <v>0</v>
      </c>
      <c r="L1560" t="s">
        <v>241</v>
      </c>
      <c r="M1560" t="s">
        <v>1398</v>
      </c>
      <c r="N1560">
        <v>1</v>
      </c>
      <c r="O1560" t="s">
        <v>1395</v>
      </c>
      <c r="P1560" t="s">
        <v>310</v>
      </c>
      <c r="Q1560" t="s">
        <v>310</v>
      </c>
      <c r="R1560" t="s">
        <v>310</v>
      </c>
      <c r="S1560">
        <v>9</v>
      </c>
      <c r="T1560" t="s">
        <v>310</v>
      </c>
      <c r="U1560">
        <v>9</v>
      </c>
      <c r="V1560">
        <v>9</v>
      </c>
      <c r="W1560">
        <v>0</v>
      </c>
      <c r="X1560">
        <v>0</v>
      </c>
      <c r="Y1560">
        <v>0</v>
      </c>
      <c r="Z1560">
        <v>0</v>
      </c>
      <c r="AA1560">
        <v>9</v>
      </c>
      <c r="AB1560">
        <v>9</v>
      </c>
      <c r="AC1560" t="s">
        <v>310</v>
      </c>
      <c r="AD1560">
        <v>9</v>
      </c>
      <c r="AE1560" t="s">
        <v>1396</v>
      </c>
      <c r="AF1560">
        <v>0</v>
      </c>
      <c r="AG1560" t="s">
        <v>310</v>
      </c>
      <c r="AH1560">
        <f>SUM((MID(Dyno_Data[[#This Row],[Team]],4,5))+(Dyno_Data[[#This Row],[Match]]/100))</f>
        <v>2095.3200000000002</v>
      </c>
      <c r="AI1560" s="76">
        <f>ROUND(SUM(IF(Dyno_Data[[#This Row],[AcqCenter]]&gt;0,Dyno_Data[[#This Row],[Time]]-SUMIFS(Dyno_Data[Time],Dyno_Data[Team],Dyno_Data[[#This Row],[Team]],Dyno_Data[RecordType],"StartMatch",Dyno_Data[Match],Dyno_Data[[#This Row],[Match]]),0)*86400),0)</f>
        <v>0</v>
      </c>
    </row>
    <row r="1561" spans="1:35" x14ac:dyDescent="0.3">
      <c r="A1561">
        <v>1560</v>
      </c>
      <c r="B1561" t="s">
        <v>1282</v>
      </c>
      <c r="C1561">
        <v>32</v>
      </c>
      <c r="D1561" s="105">
        <v>45373.59765625</v>
      </c>
      <c r="E1561" t="s">
        <v>312</v>
      </c>
      <c r="F1561" t="s">
        <v>1402</v>
      </c>
      <c r="G1561">
        <v>0</v>
      </c>
      <c r="H1561" t="s">
        <v>315</v>
      </c>
      <c r="I1561">
        <v>0</v>
      </c>
      <c r="J1561">
        <v>0</v>
      </c>
      <c r="K1561">
        <v>0</v>
      </c>
      <c r="L1561" t="s">
        <v>241</v>
      </c>
      <c r="M1561" t="s">
        <v>1398</v>
      </c>
      <c r="N1561">
        <v>0</v>
      </c>
      <c r="O1561" t="s">
        <v>319</v>
      </c>
      <c r="P1561" t="s">
        <v>310</v>
      </c>
      <c r="Q1561" t="s">
        <v>310</v>
      </c>
      <c r="R1561" t="s">
        <v>310</v>
      </c>
      <c r="S1561">
        <v>9</v>
      </c>
      <c r="T1561" t="s">
        <v>310</v>
      </c>
      <c r="U1561">
        <v>9</v>
      </c>
      <c r="V1561">
        <v>9</v>
      </c>
      <c r="W1561">
        <v>0</v>
      </c>
      <c r="X1561">
        <v>0</v>
      </c>
      <c r="Y1561">
        <v>0</v>
      </c>
      <c r="Z1561">
        <v>0</v>
      </c>
      <c r="AA1561">
        <v>9</v>
      </c>
      <c r="AB1561">
        <v>9</v>
      </c>
      <c r="AC1561" t="s">
        <v>310</v>
      </c>
      <c r="AD1561">
        <v>9</v>
      </c>
      <c r="AE1561" t="s">
        <v>1387</v>
      </c>
      <c r="AF1561">
        <v>10000000</v>
      </c>
      <c r="AG1561" t="s">
        <v>310</v>
      </c>
      <c r="AH1561">
        <f>SUM((MID(Dyno_Data[[#This Row],[Team]],4,5))+(Dyno_Data[[#This Row],[Match]]/100))</f>
        <v>333.32</v>
      </c>
      <c r="AI1561" s="76">
        <f>ROUND(SUM(IF(Dyno_Data[[#This Row],[AcqCenter]]&gt;0,Dyno_Data[[#This Row],[Time]]-SUMIFS(Dyno_Data[Time],Dyno_Data[Team],Dyno_Data[[#This Row],[Team]],Dyno_Data[RecordType],"StartMatch",Dyno_Data[Match],Dyno_Data[[#This Row],[Match]]),0)*86400),0)</f>
        <v>0</v>
      </c>
    </row>
    <row r="1562" spans="1:35" x14ac:dyDescent="0.3">
      <c r="A1562">
        <v>1561</v>
      </c>
      <c r="B1562" t="s">
        <v>1295</v>
      </c>
      <c r="C1562">
        <v>32</v>
      </c>
      <c r="D1562" s="105">
        <v>45373.597673645832</v>
      </c>
      <c r="E1562" t="s">
        <v>312</v>
      </c>
      <c r="F1562" t="s">
        <v>1402</v>
      </c>
      <c r="G1562">
        <v>0</v>
      </c>
      <c r="H1562" t="s">
        <v>315</v>
      </c>
      <c r="I1562">
        <v>0</v>
      </c>
      <c r="J1562">
        <v>0</v>
      </c>
      <c r="K1562">
        <v>0</v>
      </c>
      <c r="L1562" t="s">
        <v>241</v>
      </c>
      <c r="M1562" t="s">
        <v>101</v>
      </c>
      <c r="N1562">
        <v>0</v>
      </c>
      <c r="O1562" t="s">
        <v>1393</v>
      </c>
      <c r="P1562" t="s">
        <v>310</v>
      </c>
      <c r="Q1562" t="s">
        <v>310</v>
      </c>
      <c r="R1562" t="s">
        <v>310</v>
      </c>
      <c r="S1562">
        <v>9</v>
      </c>
      <c r="T1562" t="s">
        <v>310</v>
      </c>
      <c r="U1562">
        <v>9</v>
      </c>
      <c r="V1562">
        <v>9</v>
      </c>
      <c r="W1562">
        <v>0</v>
      </c>
      <c r="X1562">
        <v>0</v>
      </c>
      <c r="Y1562">
        <v>0</v>
      </c>
      <c r="Z1562">
        <v>0</v>
      </c>
      <c r="AA1562">
        <v>9</v>
      </c>
      <c r="AB1562">
        <v>9</v>
      </c>
      <c r="AC1562" t="s">
        <v>310</v>
      </c>
      <c r="AD1562">
        <v>9</v>
      </c>
      <c r="AE1562" t="s">
        <v>1394</v>
      </c>
      <c r="AF1562">
        <v>30000000</v>
      </c>
      <c r="AG1562" t="s">
        <v>310</v>
      </c>
      <c r="AH1562">
        <f>SUM((MID(Dyno_Data[[#This Row],[Team]],4,5))+(Dyno_Data[[#This Row],[Match]]/100))</f>
        <v>6300.32</v>
      </c>
      <c r="AI1562" s="76">
        <f>ROUND(SUM(IF(Dyno_Data[[#This Row],[AcqCenter]]&gt;0,Dyno_Data[[#This Row],[Time]]-SUMIFS(Dyno_Data[Time],Dyno_Data[Team],Dyno_Data[[#This Row],[Team]],Dyno_Data[RecordType],"StartMatch",Dyno_Data[Match],Dyno_Data[[#This Row],[Match]]),0)*86400),0)</f>
        <v>0</v>
      </c>
    </row>
    <row r="1563" spans="1:35" x14ac:dyDescent="0.3">
      <c r="A1563">
        <v>1562</v>
      </c>
      <c r="B1563" t="s">
        <v>1288</v>
      </c>
      <c r="C1563">
        <v>32</v>
      </c>
      <c r="D1563" s="105">
        <v>45373.597683831016</v>
      </c>
      <c r="E1563" t="s">
        <v>1403</v>
      </c>
      <c r="F1563" t="s">
        <v>1402</v>
      </c>
      <c r="G1563">
        <v>0</v>
      </c>
      <c r="H1563" t="s">
        <v>310</v>
      </c>
      <c r="I1563">
        <v>0</v>
      </c>
      <c r="J1563">
        <v>0</v>
      </c>
      <c r="K1563">
        <v>0</v>
      </c>
      <c r="L1563" t="s">
        <v>310</v>
      </c>
      <c r="M1563" t="s">
        <v>310</v>
      </c>
      <c r="N1563">
        <v>0</v>
      </c>
      <c r="O1563" t="s">
        <v>1389</v>
      </c>
      <c r="P1563" t="s">
        <v>310</v>
      </c>
      <c r="Q1563" t="s">
        <v>310</v>
      </c>
      <c r="R1563" t="s">
        <v>310</v>
      </c>
      <c r="S1563">
        <v>9</v>
      </c>
      <c r="T1563" t="s">
        <v>310</v>
      </c>
      <c r="U1563">
        <v>9</v>
      </c>
      <c r="V1563">
        <v>9</v>
      </c>
      <c r="W1563">
        <v>0</v>
      </c>
      <c r="X1563">
        <v>0</v>
      </c>
      <c r="Y1563">
        <v>0</v>
      </c>
      <c r="Z1563">
        <v>0</v>
      </c>
      <c r="AA1563">
        <v>9</v>
      </c>
      <c r="AB1563">
        <v>9</v>
      </c>
      <c r="AC1563" t="s">
        <v>310</v>
      </c>
      <c r="AD1563">
        <v>9</v>
      </c>
      <c r="AE1563" t="s">
        <v>1388</v>
      </c>
      <c r="AF1563">
        <v>30000000</v>
      </c>
      <c r="AG1563" t="s">
        <v>249</v>
      </c>
      <c r="AH1563">
        <f>SUM((MID(Dyno_Data[[#This Row],[Team]],4,5))+(Dyno_Data[[#This Row],[Match]]/100))</f>
        <v>3181.32</v>
      </c>
      <c r="AI1563" s="76">
        <f>ROUND(SUM(IF(Dyno_Data[[#This Row],[AcqCenter]]&gt;0,Dyno_Data[[#This Row],[Time]]-SUMIFS(Dyno_Data[Time],Dyno_Data[Team],Dyno_Data[[#This Row],[Team]],Dyno_Data[RecordType],"StartMatch",Dyno_Data[Match],Dyno_Data[[#This Row],[Match]]),0)*86400),0)</f>
        <v>0</v>
      </c>
    </row>
    <row r="1564" spans="1:35" x14ac:dyDescent="0.3">
      <c r="A1564">
        <v>1563</v>
      </c>
      <c r="B1564" t="s">
        <v>372</v>
      </c>
      <c r="C1564">
        <v>32</v>
      </c>
      <c r="D1564" s="105">
        <v>45373.597732291666</v>
      </c>
      <c r="E1564" t="s">
        <v>312</v>
      </c>
      <c r="F1564" t="s">
        <v>1402</v>
      </c>
      <c r="G1564">
        <v>0</v>
      </c>
      <c r="H1564" t="s">
        <v>315</v>
      </c>
      <c r="I1564">
        <v>0</v>
      </c>
      <c r="J1564">
        <v>0</v>
      </c>
      <c r="K1564">
        <v>0</v>
      </c>
      <c r="L1564" t="s">
        <v>241</v>
      </c>
      <c r="M1564" t="s">
        <v>101</v>
      </c>
      <c r="N1564">
        <v>0</v>
      </c>
      <c r="O1564" t="s">
        <v>311</v>
      </c>
      <c r="P1564" t="s">
        <v>310</v>
      </c>
      <c r="Q1564" t="s">
        <v>310</v>
      </c>
      <c r="R1564" t="s">
        <v>310</v>
      </c>
      <c r="S1564">
        <v>9</v>
      </c>
      <c r="T1564" t="s">
        <v>310</v>
      </c>
      <c r="U1564">
        <v>9</v>
      </c>
      <c r="V1564">
        <v>9</v>
      </c>
      <c r="W1564">
        <v>0</v>
      </c>
      <c r="X1564">
        <v>0</v>
      </c>
      <c r="Y1564">
        <v>0</v>
      </c>
      <c r="Z1564">
        <v>0</v>
      </c>
      <c r="AA1564">
        <v>9</v>
      </c>
      <c r="AB1564">
        <v>9</v>
      </c>
      <c r="AC1564" t="s">
        <v>310</v>
      </c>
      <c r="AD1564">
        <v>9</v>
      </c>
      <c r="AE1564" t="s">
        <v>1392</v>
      </c>
      <c r="AF1564">
        <v>10000000</v>
      </c>
      <c r="AG1564" t="s">
        <v>310</v>
      </c>
      <c r="AH1564">
        <f>SUM((MID(Dyno_Data[[#This Row],[Team]],4,5))+(Dyno_Data[[#This Row],[Match]]/100))</f>
        <v>7504.32</v>
      </c>
      <c r="AI1564" s="76">
        <f>ROUND(SUM(IF(Dyno_Data[[#This Row],[AcqCenter]]&gt;0,Dyno_Data[[#This Row],[Time]]-SUMIFS(Dyno_Data[Time],Dyno_Data[Team],Dyno_Data[[#This Row],[Team]],Dyno_Data[RecordType],"StartMatch",Dyno_Data[Match],Dyno_Data[[#This Row],[Match]]),0)*86400),0)</f>
        <v>0</v>
      </c>
    </row>
    <row r="1565" spans="1:35" x14ac:dyDescent="0.3">
      <c r="A1565">
        <v>1564</v>
      </c>
      <c r="B1565" t="s">
        <v>1295</v>
      </c>
      <c r="C1565">
        <v>32</v>
      </c>
      <c r="D1565" s="105">
        <v>45373.597749849534</v>
      </c>
      <c r="E1565" t="s">
        <v>312</v>
      </c>
      <c r="F1565" t="s">
        <v>1402</v>
      </c>
      <c r="G1565">
        <v>0</v>
      </c>
      <c r="H1565" t="s">
        <v>315</v>
      </c>
      <c r="I1565">
        <v>0</v>
      </c>
      <c r="J1565">
        <v>0</v>
      </c>
      <c r="K1565">
        <v>0</v>
      </c>
      <c r="L1565" t="s">
        <v>241</v>
      </c>
      <c r="M1565" t="s">
        <v>101</v>
      </c>
      <c r="N1565">
        <v>0</v>
      </c>
      <c r="O1565" t="s">
        <v>1393</v>
      </c>
      <c r="P1565" t="s">
        <v>310</v>
      </c>
      <c r="Q1565" t="s">
        <v>310</v>
      </c>
      <c r="R1565" t="s">
        <v>310</v>
      </c>
      <c r="S1565">
        <v>9</v>
      </c>
      <c r="T1565" t="s">
        <v>310</v>
      </c>
      <c r="U1565">
        <v>9</v>
      </c>
      <c r="V1565">
        <v>9</v>
      </c>
      <c r="W1565">
        <v>0</v>
      </c>
      <c r="X1565">
        <v>0</v>
      </c>
      <c r="Y1565">
        <v>0</v>
      </c>
      <c r="Z1565">
        <v>0</v>
      </c>
      <c r="AA1565">
        <v>9</v>
      </c>
      <c r="AB1565">
        <v>9</v>
      </c>
      <c r="AC1565" t="s">
        <v>310</v>
      </c>
      <c r="AD1565">
        <v>9</v>
      </c>
      <c r="AE1565" t="s">
        <v>1394</v>
      </c>
      <c r="AF1565">
        <v>40000000</v>
      </c>
      <c r="AG1565" t="s">
        <v>310</v>
      </c>
      <c r="AH1565">
        <f>SUM((MID(Dyno_Data[[#This Row],[Team]],4,5))+(Dyno_Data[[#This Row],[Match]]/100))</f>
        <v>6300.32</v>
      </c>
      <c r="AI1565" s="76">
        <f>ROUND(SUM(IF(Dyno_Data[[#This Row],[AcqCenter]]&gt;0,Dyno_Data[[#This Row],[Time]]-SUMIFS(Dyno_Data[Time],Dyno_Data[Team],Dyno_Data[[#This Row],[Team]],Dyno_Data[RecordType],"StartMatch",Dyno_Data[Match],Dyno_Data[[#This Row],[Match]]),0)*86400),0)</f>
        <v>0</v>
      </c>
    </row>
    <row r="1566" spans="1:35" x14ac:dyDescent="0.3">
      <c r="A1566">
        <v>1565</v>
      </c>
      <c r="B1566" t="s">
        <v>1277</v>
      </c>
      <c r="C1566">
        <v>32</v>
      </c>
      <c r="D1566" s="105">
        <v>45373.597759918979</v>
      </c>
      <c r="E1566" t="s">
        <v>312</v>
      </c>
      <c r="F1566" t="s">
        <v>1402</v>
      </c>
      <c r="G1566">
        <v>0</v>
      </c>
      <c r="H1566" t="s">
        <v>315</v>
      </c>
      <c r="I1566">
        <v>0</v>
      </c>
      <c r="J1566">
        <v>0</v>
      </c>
      <c r="K1566">
        <v>0</v>
      </c>
      <c r="L1566" t="s">
        <v>241</v>
      </c>
      <c r="M1566" t="s">
        <v>1398</v>
      </c>
      <c r="N1566">
        <v>0</v>
      </c>
      <c r="O1566" t="s">
        <v>1391</v>
      </c>
      <c r="P1566" t="s">
        <v>310</v>
      </c>
      <c r="Q1566" t="s">
        <v>310</v>
      </c>
      <c r="R1566" t="s">
        <v>310</v>
      </c>
      <c r="S1566">
        <v>9</v>
      </c>
      <c r="T1566" t="s">
        <v>310</v>
      </c>
      <c r="U1566">
        <v>9</v>
      </c>
      <c r="V1566">
        <v>9</v>
      </c>
      <c r="W1566">
        <v>0</v>
      </c>
      <c r="X1566">
        <v>0</v>
      </c>
      <c r="Y1566">
        <v>0</v>
      </c>
      <c r="Z1566">
        <v>0</v>
      </c>
      <c r="AA1566">
        <v>9</v>
      </c>
      <c r="AB1566">
        <v>9</v>
      </c>
      <c r="AC1566" t="s">
        <v>310</v>
      </c>
      <c r="AD1566">
        <v>9</v>
      </c>
      <c r="AE1566" t="s">
        <v>1390</v>
      </c>
      <c r="AF1566">
        <v>40000000</v>
      </c>
      <c r="AG1566" t="s">
        <v>310</v>
      </c>
      <c r="AH1566">
        <f>SUM((MID(Dyno_Data[[#This Row],[Team]],4,5))+(Dyno_Data[[#This Row],[Match]]/100))</f>
        <v>3360.32</v>
      </c>
      <c r="AI1566" s="76">
        <f>ROUND(SUM(IF(Dyno_Data[[#This Row],[AcqCenter]]&gt;0,Dyno_Data[[#This Row],[Time]]-SUMIFS(Dyno_Data[Time],Dyno_Data[Team],Dyno_Data[[#This Row],[Team]],Dyno_Data[RecordType],"StartMatch",Dyno_Data[Match],Dyno_Data[[#This Row],[Match]]),0)*86400),0)</f>
        <v>0</v>
      </c>
    </row>
    <row r="1567" spans="1:35" x14ac:dyDescent="0.3">
      <c r="A1567">
        <v>1566</v>
      </c>
      <c r="B1567" t="s">
        <v>1288</v>
      </c>
      <c r="C1567">
        <v>32</v>
      </c>
      <c r="D1567" s="105">
        <v>45373.597783020836</v>
      </c>
      <c r="E1567" t="s">
        <v>312</v>
      </c>
      <c r="F1567" t="s">
        <v>1402</v>
      </c>
      <c r="G1567">
        <v>0</v>
      </c>
      <c r="H1567" t="s">
        <v>315</v>
      </c>
      <c r="I1567">
        <v>0</v>
      </c>
      <c r="J1567">
        <v>0</v>
      </c>
      <c r="K1567">
        <v>0</v>
      </c>
      <c r="L1567" t="s">
        <v>240</v>
      </c>
      <c r="M1567" t="s">
        <v>1398</v>
      </c>
      <c r="N1567">
        <v>0</v>
      </c>
      <c r="O1567" t="s">
        <v>1389</v>
      </c>
      <c r="P1567" t="s">
        <v>310</v>
      </c>
      <c r="Q1567" t="s">
        <v>310</v>
      </c>
      <c r="R1567" t="s">
        <v>310</v>
      </c>
      <c r="S1567">
        <v>9</v>
      </c>
      <c r="T1567" t="s">
        <v>310</v>
      </c>
      <c r="U1567">
        <v>9</v>
      </c>
      <c r="V1567">
        <v>9</v>
      </c>
      <c r="W1567">
        <v>0</v>
      </c>
      <c r="X1567">
        <v>0</v>
      </c>
      <c r="Y1567">
        <v>0</v>
      </c>
      <c r="Z1567">
        <v>0</v>
      </c>
      <c r="AA1567">
        <v>9</v>
      </c>
      <c r="AB1567">
        <v>9</v>
      </c>
      <c r="AC1567" t="s">
        <v>310</v>
      </c>
      <c r="AD1567">
        <v>9</v>
      </c>
      <c r="AE1567" t="s">
        <v>1388</v>
      </c>
      <c r="AF1567">
        <v>10000000</v>
      </c>
      <c r="AG1567" t="s">
        <v>310</v>
      </c>
      <c r="AH1567">
        <f>SUM((MID(Dyno_Data[[#This Row],[Team]],4,5))+(Dyno_Data[[#This Row],[Match]]/100))</f>
        <v>3181.32</v>
      </c>
      <c r="AI1567" s="76">
        <f>ROUND(SUM(IF(Dyno_Data[[#This Row],[AcqCenter]]&gt;0,Dyno_Data[[#This Row],[Time]]-SUMIFS(Dyno_Data[Time],Dyno_Data[Team],Dyno_Data[[#This Row],[Team]],Dyno_Data[RecordType],"StartMatch",Dyno_Data[Match],Dyno_Data[[#This Row],[Match]]),0)*86400),0)</f>
        <v>0</v>
      </c>
    </row>
    <row r="1568" spans="1:35" x14ac:dyDescent="0.3">
      <c r="A1568">
        <v>1567</v>
      </c>
      <c r="B1568" t="s">
        <v>1295</v>
      </c>
      <c r="C1568">
        <v>32</v>
      </c>
      <c r="D1568" s="105">
        <v>45373.597825810182</v>
      </c>
      <c r="E1568" t="s">
        <v>312</v>
      </c>
      <c r="F1568" t="s">
        <v>1402</v>
      </c>
      <c r="G1568">
        <v>0</v>
      </c>
      <c r="H1568" t="s">
        <v>315</v>
      </c>
      <c r="I1568">
        <v>0</v>
      </c>
      <c r="J1568">
        <v>0</v>
      </c>
      <c r="K1568">
        <v>0</v>
      </c>
      <c r="L1568" t="s">
        <v>241</v>
      </c>
      <c r="M1568" t="s">
        <v>1398</v>
      </c>
      <c r="N1568">
        <v>1</v>
      </c>
      <c r="O1568" t="s">
        <v>1393</v>
      </c>
      <c r="P1568" t="s">
        <v>310</v>
      </c>
      <c r="Q1568" t="s">
        <v>310</v>
      </c>
      <c r="R1568" t="s">
        <v>310</v>
      </c>
      <c r="S1568">
        <v>9</v>
      </c>
      <c r="T1568" t="s">
        <v>310</v>
      </c>
      <c r="U1568">
        <v>9</v>
      </c>
      <c r="V1568">
        <v>9</v>
      </c>
      <c r="W1568">
        <v>0</v>
      </c>
      <c r="X1568">
        <v>0</v>
      </c>
      <c r="Y1568">
        <v>0</v>
      </c>
      <c r="Z1568">
        <v>0</v>
      </c>
      <c r="AA1568">
        <v>9</v>
      </c>
      <c r="AB1568">
        <v>9</v>
      </c>
      <c r="AC1568" t="s">
        <v>310</v>
      </c>
      <c r="AD1568">
        <v>9</v>
      </c>
      <c r="AE1568" t="s">
        <v>1394</v>
      </c>
      <c r="AF1568">
        <v>50000000</v>
      </c>
      <c r="AG1568" t="s">
        <v>310</v>
      </c>
      <c r="AH1568">
        <f>SUM((MID(Dyno_Data[[#This Row],[Team]],4,5))+(Dyno_Data[[#This Row],[Match]]/100))</f>
        <v>6300.32</v>
      </c>
      <c r="AI1568" s="76">
        <f>ROUND(SUM(IF(Dyno_Data[[#This Row],[AcqCenter]]&gt;0,Dyno_Data[[#This Row],[Time]]-SUMIFS(Dyno_Data[Time],Dyno_Data[Team],Dyno_Data[[#This Row],[Team]],Dyno_Data[RecordType],"StartMatch",Dyno_Data[Match],Dyno_Data[[#This Row],[Match]]),0)*86400),0)</f>
        <v>0</v>
      </c>
    </row>
    <row r="1569" spans="1:35" x14ac:dyDescent="0.3">
      <c r="A1569">
        <v>1568</v>
      </c>
      <c r="B1569" t="s">
        <v>372</v>
      </c>
      <c r="C1569">
        <v>32</v>
      </c>
      <c r="D1569" s="105">
        <v>45373.597856215281</v>
      </c>
      <c r="E1569" t="s">
        <v>312</v>
      </c>
      <c r="F1569" t="s">
        <v>1402</v>
      </c>
      <c r="G1569">
        <v>0</v>
      </c>
      <c r="H1569" t="s">
        <v>315</v>
      </c>
      <c r="I1569">
        <v>0</v>
      </c>
      <c r="J1569">
        <v>0</v>
      </c>
      <c r="K1569">
        <v>0</v>
      </c>
      <c r="L1569" t="s">
        <v>241</v>
      </c>
      <c r="M1569" t="s">
        <v>101</v>
      </c>
      <c r="N1569">
        <v>0</v>
      </c>
      <c r="O1569" t="s">
        <v>311</v>
      </c>
      <c r="P1569" t="s">
        <v>310</v>
      </c>
      <c r="Q1569" t="s">
        <v>310</v>
      </c>
      <c r="R1569" t="s">
        <v>310</v>
      </c>
      <c r="S1569">
        <v>9</v>
      </c>
      <c r="T1569" t="s">
        <v>310</v>
      </c>
      <c r="U1569">
        <v>9</v>
      </c>
      <c r="V1569">
        <v>9</v>
      </c>
      <c r="W1569">
        <v>0</v>
      </c>
      <c r="X1569">
        <v>0</v>
      </c>
      <c r="Y1569">
        <v>0</v>
      </c>
      <c r="Z1569">
        <v>0</v>
      </c>
      <c r="AA1569">
        <v>9</v>
      </c>
      <c r="AB1569">
        <v>9</v>
      </c>
      <c r="AC1569" t="s">
        <v>310</v>
      </c>
      <c r="AD1569">
        <v>9</v>
      </c>
      <c r="AE1569" t="s">
        <v>1392</v>
      </c>
      <c r="AF1569">
        <v>20000000</v>
      </c>
      <c r="AG1569" t="s">
        <v>310</v>
      </c>
      <c r="AH1569">
        <f>SUM((MID(Dyno_Data[[#This Row],[Team]],4,5))+(Dyno_Data[[#This Row],[Match]]/100))</f>
        <v>7504.32</v>
      </c>
      <c r="AI1569" s="76">
        <f>ROUND(SUM(IF(Dyno_Data[[#This Row],[AcqCenter]]&gt;0,Dyno_Data[[#This Row],[Time]]-SUMIFS(Dyno_Data[Time],Dyno_Data[Team],Dyno_Data[[#This Row],[Team]],Dyno_Data[RecordType],"StartMatch",Dyno_Data[Match],Dyno_Data[[#This Row],[Match]]),0)*86400),0)</f>
        <v>0</v>
      </c>
    </row>
    <row r="1570" spans="1:35" x14ac:dyDescent="0.3">
      <c r="A1570">
        <v>1569</v>
      </c>
      <c r="B1570" t="s">
        <v>1288</v>
      </c>
      <c r="C1570">
        <v>32</v>
      </c>
      <c r="D1570" s="105">
        <v>45373.597916932871</v>
      </c>
      <c r="E1570" t="s">
        <v>312</v>
      </c>
      <c r="F1570" t="s">
        <v>1402</v>
      </c>
      <c r="G1570">
        <v>0</v>
      </c>
      <c r="H1570" t="s">
        <v>315</v>
      </c>
      <c r="I1570">
        <v>0</v>
      </c>
      <c r="J1570">
        <v>0</v>
      </c>
      <c r="K1570">
        <v>0</v>
      </c>
      <c r="L1570" t="s">
        <v>241</v>
      </c>
      <c r="M1570" t="s">
        <v>101</v>
      </c>
      <c r="N1570">
        <v>0</v>
      </c>
      <c r="O1570" t="s">
        <v>1389</v>
      </c>
      <c r="P1570" t="s">
        <v>310</v>
      </c>
      <c r="Q1570" t="s">
        <v>310</v>
      </c>
      <c r="R1570" t="s">
        <v>310</v>
      </c>
      <c r="S1570">
        <v>9</v>
      </c>
      <c r="T1570" t="s">
        <v>310</v>
      </c>
      <c r="U1570">
        <v>9</v>
      </c>
      <c r="V1570">
        <v>9</v>
      </c>
      <c r="W1570">
        <v>0</v>
      </c>
      <c r="X1570">
        <v>0</v>
      </c>
      <c r="Y1570">
        <v>0</v>
      </c>
      <c r="Z1570">
        <v>0</v>
      </c>
      <c r="AA1570">
        <v>9</v>
      </c>
      <c r="AB1570">
        <v>9</v>
      </c>
      <c r="AC1570" t="s">
        <v>310</v>
      </c>
      <c r="AD1570">
        <v>9</v>
      </c>
      <c r="AE1570" t="s">
        <v>1388</v>
      </c>
      <c r="AF1570">
        <v>20000000</v>
      </c>
      <c r="AG1570" t="s">
        <v>310</v>
      </c>
      <c r="AH1570">
        <f>SUM((MID(Dyno_Data[[#This Row],[Team]],4,5))+(Dyno_Data[[#This Row],[Match]]/100))</f>
        <v>3181.32</v>
      </c>
      <c r="AI1570" s="76">
        <f>ROUND(SUM(IF(Dyno_Data[[#This Row],[AcqCenter]]&gt;0,Dyno_Data[[#This Row],[Time]]-SUMIFS(Dyno_Data[Time],Dyno_Data[Team],Dyno_Data[[#This Row],[Team]],Dyno_Data[RecordType],"StartMatch",Dyno_Data[Match],Dyno_Data[[#This Row],[Match]]),0)*86400),0)</f>
        <v>0</v>
      </c>
    </row>
    <row r="1571" spans="1:35" x14ac:dyDescent="0.3">
      <c r="A1571">
        <v>1570</v>
      </c>
      <c r="B1571" t="s">
        <v>1277</v>
      </c>
      <c r="C1571">
        <v>32</v>
      </c>
      <c r="D1571" s="105">
        <v>45373.597967048612</v>
      </c>
      <c r="E1571" t="s">
        <v>312</v>
      </c>
      <c r="F1571" t="s">
        <v>1402</v>
      </c>
      <c r="G1571">
        <v>0</v>
      </c>
      <c r="H1571" t="s">
        <v>315</v>
      </c>
      <c r="I1571">
        <v>0</v>
      </c>
      <c r="J1571">
        <v>0</v>
      </c>
      <c r="K1571">
        <v>0</v>
      </c>
      <c r="L1571" t="s">
        <v>242</v>
      </c>
      <c r="M1571" t="s">
        <v>1398</v>
      </c>
      <c r="N1571">
        <v>0</v>
      </c>
      <c r="O1571" t="s">
        <v>1391</v>
      </c>
      <c r="P1571" t="s">
        <v>310</v>
      </c>
      <c r="Q1571" t="s">
        <v>310</v>
      </c>
      <c r="R1571" t="s">
        <v>310</v>
      </c>
      <c r="S1571">
        <v>9</v>
      </c>
      <c r="T1571" t="s">
        <v>310</v>
      </c>
      <c r="U1571">
        <v>9</v>
      </c>
      <c r="V1571">
        <v>9</v>
      </c>
      <c r="W1571">
        <v>0</v>
      </c>
      <c r="X1571">
        <v>0</v>
      </c>
      <c r="Y1571">
        <v>0</v>
      </c>
      <c r="Z1571">
        <v>0</v>
      </c>
      <c r="AA1571">
        <v>9</v>
      </c>
      <c r="AB1571">
        <v>9</v>
      </c>
      <c r="AC1571" t="s">
        <v>310</v>
      </c>
      <c r="AD1571">
        <v>9</v>
      </c>
      <c r="AE1571" t="s">
        <v>1390</v>
      </c>
      <c r="AF1571">
        <v>50000000</v>
      </c>
      <c r="AG1571" t="s">
        <v>310</v>
      </c>
      <c r="AH1571">
        <f>SUM((MID(Dyno_Data[[#This Row],[Team]],4,5))+(Dyno_Data[[#This Row],[Match]]/100))</f>
        <v>3360.32</v>
      </c>
      <c r="AI1571" s="76">
        <f>ROUND(SUM(IF(Dyno_Data[[#This Row],[AcqCenter]]&gt;0,Dyno_Data[[#This Row],[Time]]-SUMIFS(Dyno_Data[Time],Dyno_Data[Team],Dyno_Data[[#This Row],[Team]],Dyno_Data[RecordType],"StartMatch",Dyno_Data[Match],Dyno_Data[[#This Row],[Match]]),0)*86400),0)</f>
        <v>0</v>
      </c>
    </row>
    <row r="1572" spans="1:35" x14ac:dyDescent="0.3">
      <c r="A1572">
        <v>1571</v>
      </c>
      <c r="B1572" t="s">
        <v>1295</v>
      </c>
      <c r="C1572">
        <v>32</v>
      </c>
      <c r="D1572" s="105">
        <v>45373.597998067133</v>
      </c>
      <c r="E1572" t="s">
        <v>312</v>
      </c>
      <c r="F1572" t="s">
        <v>1402</v>
      </c>
      <c r="G1572">
        <v>0</v>
      </c>
      <c r="H1572" t="s">
        <v>315</v>
      </c>
      <c r="I1572">
        <v>0</v>
      </c>
      <c r="J1572">
        <v>0</v>
      </c>
      <c r="K1572">
        <v>0</v>
      </c>
      <c r="L1572" t="s">
        <v>241</v>
      </c>
      <c r="M1572" t="s">
        <v>1398</v>
      </c>
      <c r="N1572">
        <v>1</v>
      </c>
      <c r="O1572" t="s">
        <v>1393</v>
      </c>
      <c r="P1572" t="s">
        <v>310</v>
      </c>
      <c r="Q1572" t="s">
        <v>310</v>
      </c>
      <c r="R1572" t="s">
        <v>310</v>
      </c>
      <c r="S1572">
        <v>9</v>
      </c>
      <c r="T1572" t="s">
        <v>310</v>
      </c>
      <c r="U1572">
        <v>9</v>
      </c>
      <c r="V1572">
        <v>9</v>
      </c>
      <c r="W1572">
        <v>0</v>
      </c>
      <c r="X1572">
        <v>0</v>
      </c>
      <c r="Y1572">
        <v>0</v>
      </c>
      <c r="Z1572">
        <v>0</v>
      </c>
      <c r="AA1572">
        <v>9</v>
      </c>
      <c r="AB1572">
        <v>9</v>
      </c>
      <c r="AC1572" t="s">
        <v>310</v>
      </c>
      <c r="AD1572">
        <v>9</v>
      </c>
      <c r="AE1572" t="s">
        <v>1394</v>
      </c>
      <c r="AF1572">
        <v>60000000</v>
      </c>
      <c r="AG1572" t="s">
        <v>310</v>
      </c>
      <c r="AH1572">
        <f>SUM((MID(Dyno_Data[[#This Row],[Team]],4,5))+(Dyno_Data[[#This Row],[Match]]/100))</f>
        <v>6300.32</v>
      </c>
      <c r="AI1572" s="76">
        <f>ROUND(SUM(IF(Dyno_Data[[#This Row],[AcqCenter]]&gt;0,Dyno_Data[[#This Row],[Time]]-SUMIFS(Dyno_Data[Time],Dyno_Data[Team],Dyno_Data[[#This Row],[Team]],Dyno_Data[RecordType],"StartMatch",Dyno_Data[Match],Dyno_Data[[#This Row],[Match]]),0)*86400),0)</f>
        <v>0</v>
      </c>
    </row>
    <row r="1573" spans="1:35" x14ac:dyDescent="0.3">
      <c r="A1573">
        <v>1572</v>
      </c>
      <c r="B1573" t="s">
        <v>1288</v>
      </c>
      <c r="C1573">
        <v>32</v>
      </c>
      <c r="D1573" s="105">
        <v>45373.59803927083</v>
      </c>
      <c r="E1573" t="s">
        <v>1403</v>
      </c>
      <c r="F1573" t="s">
        <v>1402</v>
      </c>
      <c r="G1573">
        <v>0</v>
      </c>
      <c r="H1573" t="s">
        <v>310</v>
      </c>
      <c r="I1573">
        <v>0</v>
      </c>
      <c r="J1573">
        <v>0</v>
      </c>
      <c r="K1573">
        <v>0</v>
      </c>
      <c r="L1573" t="s">
        <v>310</v>
      </c>
      <c r="M1573" t="s">
        <v>310</v>
      </c>
      <c r="N1573">
        <v>0</v>
      </c>
      <c r="O1573" t="s">
        <v>1389</v>
      </c>
      <c r="P1573" t="s">
        <v>310</v>
      </c>
      <c r="Q1573" t="s">
        <v>310</v>
      </c>
      <c r="R1573" t="s">
        <v>310</v>
      </c>
      <c r="S1573">
        <v>9</v>
      </c>
      <c r="T1573" t="s">
        <v>310</v>
      </c>
      <c r="U1573">
        <v>9</v>
      </c>
      <c r="V1573">
        <v>9</v>
      </c>
      <c r="W1573">
        <v>0</v>
      </c>
      <c r="X1573">
        <v>0</v>
      </c>
      <c r="Y1573">
        <v>0</v>
      </c>
      <c r="Z1573">
        <v>0</v>
      </c>
      <c r="AA1573">
        <v>9</v>
      </c>
      <c r="AB1573">
        <v>9</v>
      </c>
      <c r="AC1573" t="s">
        <v>310</v>
      </c>
      <c r="AD1573">
        <v>9</v>
      </c>
      <c r="AE1573" t="s">
        <v>1388</v>
      </c>
      <c r="AF1573">
        <v>60000000</v>
      </c>
      <c r="AG1573" t="s">
        <v>249</v>
      </c>
      <c r="AH1573">
        <f>SUM((MID(Dyno_Data[[#This Row],[Team]],4,5))+(Dyno_Data[[#This Row],[Match]]/100))</f>
        <v>3181.32</v>
      </c>
      <c r="AI1573" s="76">
        <f>ROUND(SUM(IF(Dyno_Data[[#This Row],[AcqCenter]]&gt;0,Dyno_Data[[#This Row],[Time]]-SUMIFS(Dyno_Data[Time],Dyno_Data[Team],Dyno_Data[[#This Row],[Team]],Dyno_Data[RecordType],"StartMatch",Dyno_Data[Match],Dyno_Data[[#This Row],[Match]]),0)*86400),0)</f>
        <v>0</v>
      </c>
    </row>
    <row r="1574" spans="1:35" x14ac:dyDescent="0.3">
      <c r="A1574">
        <v>1573</v>
      </c>
      <c r="B1574" t="s">
        <v>1282</v>
      </c>
      <c r="C1574">
        <v>32</v>
      </c>
      <c r="D1574" s="105">
        <v>45373.598043020836</v>
      </c>
      <c r="E1574" t="s">
        <v>312</v>
      </c>
      <c r="F1574" t="s">
        <v>1402</v>
      </c>
      <c r="G1574">
        <v>0</v>
      </c>
      <c r="H1574" t="s">
        <v>315</v>
      </c>
      <c r="I1574">
        <v>0</v>
      </c>
      <c r="J1574">
        <v>0</v>
      </c>
      <c r="K1574">
        <v>0</v>
      </c>
      <c r="L1574" t="s">
        <v>241</v>
      </c>
      <c r="M1574" t="s">
        <v>1398</v>
      </c>
      <c r="N1574">
        <v>0</v>
      </c>
      <c r="O1574" t="s">
        <v>319</v>
      </c>
      <c r="P1574" t="s">
        <v>310</v>
      </c>
      <c r="Q1574" t="s">
        <v>310</v>
      </c>
      <c r="R1574" t="s">
        <v>310</v>
      </c>
      <c r="S1574">
        <v>9</v>
      </c>
      <c r="T1574" t="s">
        <v>310</v>
      </c>
      <c r="U1574">
        <v>9</v>
      </c>
      <c r="V1574">
        <v>9</v>
      </c>
      <c r="W1574">
        <v>0</v>
      </c>
      <c r="X1574">
        <v>0</v>
      </c>
      <c r="Y1574">
        <v>0</v>
      </c>
      <c r="Z1574">
        <v>0</v>
      </c>
      <c r="AA1574">
        <v>9</v>
      </c>
      <c r="AB1574">
        <v>9</v>
      </c>
      <c r="AC1574" t="s">
        <v>310</v>
      </c>
      <c r="AD1574">
        <v>9</v>
      </c>
      <c r="AE1574" t="s">
        <v>1387</v>
      </c>
      <c r="AF1574">
        <v>20000000</v>
      </c>
      <c r="AG1574" t="s">
        <v>310</v>
      </c>
      <c r="AH1574">
        <f>SUM((MID(Dyno_Data[[#This Row],[Team]],4,5))+(Dyno_Data[[#This Row],[Match]]/100))</f>
        <v>333.32</v>
      </c>
      <c r="AI1574" s="76">
        <f>ROUND(SUM(IF(Dyno_Data[[#This Row],[AcqCenter]]&gt;0,Dyno_Data[[#This Row],[Time]]-SUMIFS(Dyno_Data[Time],Dyno_Data[Team],Dyno_Data[[#This Row],[Team]],Dyno_Data[RecordType],"StartMatch",Dyno_Data[Match],Dyno_Data[[#This Row],[Match]]),0)*86400),0)</f>
        <v>0</v>
      </c>
    </row>
    <row r="1575" spans="1:35" x14ac:dyDescent="0.3">
      <c r="A1575">
        <v>1574</v>
      </c>
      <c r="B1575" t="s">
        <v>1295</v>
      </c>
      <c r="C1575">
        <v>32</v>
      </c>
      <c r="D1575" s="105">
        <v>45373.598066932871</v>
      </c>
      <c r="E1575" t="s">
        <v>312</v>
      </c>
      <c r="F1575" t="s">
        <v>1402</v>
      </c>
      <c r="G1575">
        <v>0</v>
      </c>
      <c r="H1575" t="s">
        <v>315</v>
      </c>
      <c r="I1575">
        <v>0</v>
      </c>
      <c r="J1575">
        <v>0</v>
      </c>
      <c r="K1575">
        <v>0</v>
      </c>
      <c r="L1575" t="s">
        <v>241</v>
      </c>
      <c r="M1575" t="s">
        <v>1398</v>
      </c>
      <c r="N1575">
        <v>0</v>
      </c>
      <c r="O1575" t="s">
        <v>1393</v>
      </c>
      <c r="P1575" t="s">
        <v>310</v>
      </c>
      <c r="Q1575" t="s">
        <v>310</v>
      </c>
      <c r="R1575" t="s">
        <v>310</v>
      </c>
      <c r="S1575">
        <v>9</v>
      </c>
      <c r="T1575" t="s">
        <v>310</v>
      </c>
      <c r="U1575">
        <v>9</v>
      </c>
      <c r="V1575">
        <v>9</v>
      </c>
      <c r="W1575">
        <v>0</v>
      </c>
      <c r="X1575">
        <v>0</v>
      </c>
      <c r="Y1575">
        <v>0</v>
      </c>
      <c r="Z1575">
        <v>0</v>
      </c>
      <c r="AA1575">
        <v>9</v>
      </c>
      <c r="AB1575">
        <v>9</v>
      </c>
      <c r="AC1575" t="s">
        <v>310</v>
      </c>
      <c r="AD1575">
        <v>9</v>
      </c>
      <c r="AE1575" t="s">
        <v>1394</v>
      </c>
      <c r="AF1575">
        <v>70000000</v>
      </c>
      <c r="AG1575" t="s">
        <v>310</v>
      </c>
      <c r="AH1575">
        <f>SUM((MID(Dyno_Data[[#This Row],[Team]],4,5))+(Dyno_Data[[#This Row],[Match]]/100))</f>
        <v>6300.32</v>
      </c>
      <c r="AI1575" s="76">
        <f>ROUND(SUM(IF(Dyno_Data[[#This Row],[AcqCenter]]&gt;0,Dyno_Data[[#This Row],[Time]]-SUMIFS(Dyno_Data[Time],Dyno_Data[Team],Dyno_Data[[#This Row],[Team]],Dyno_Data[RecordType],"StartMatch",Dyno_Data[Match],Dyno_Data[[#This Row],[Match]]),0)*86400),0)</f>
        <v>0</v>
      </c>
    </row>
    <row r="1576" spans="1:35" x14ac:dyDescent="0.3">
      <c r="A1576">
        <v>1575</v>
      </c>
      <c r="B1576" t="s">
        <v>1302</v>
      </c>
      <c r="C1576">
        <v>32</v>
      </c>
      <c r="D1576" s="105">
        <v>45373.598083483797</v>
      </c>
      <c r="E1576" t="s">
        <v>312</v>
      </c>
      <c r="F1576" t="s">
        <v>1402</v>
      </c>
      <c r="G1576">
        <v>0</v>
      </c>
      <c r="H1576" t="s">
        <v>315</v>
      </c>
      <c r="I1576">
        <v>0</v>
      </c>
      <c r="J1576">
        <v>0</v>
      </c>
      <c r="K1576">
        <v>0</v>
      </c>
      <c r="L1576" t="s">
        <v>240</v>
      </c>
      <c r="M1576" t="s">
        <v>1398</v>
      </c>
      <c r="N1576">
        <v>0</v>
      </c>
      <c r="O1576" t="s">
        <v>1395</v>
      </c>
      <c r="P1576" t="s">
        <v>310</v>
      </c>
      <c r="Q1576" t="s">
        <v>310</v>
      </c>
      <c r="R1576" t="s">
        <v>310</v>
      </c>
      <c r="S1576">
        <v>9</v>
      </c>
      <c r="T1576" t="s">
        <v>310</v>
      </c>
      <c r="U1576">
        <v>9</v>
      </c>
      <c r="V1576">
        <v>9</v>
      </c>
      <c r="W1576">
        <v>0</v>
      </c>
      <c r="X1576">
        <v>0</v>
      </c>
      <c r="Y1576">
        <v>0</v>
      </c>
      <c r="Z1576">
        <v>0</v>
      </c>
      <c r="AA1576">
        <v>9</v>
      </c>
      <c r="AB1576">
        <v>9</v>
      </c>
      <c r="AC1576" t="s">
        <v>310</v>
      </c>
      <c r="AD1576">
        <v>9</v>
      </c>
      <c r="AE1576" t="s">
        <v>1396</v>
      </c>
      <c r="AF1576">
        <v>10000000</v>
      </c>
      <c r="AG1576" t="s">
        <v>310</v>
      </c>
      <c r="AH1576">
        <f>SUM((MID(Dyno_Data[[#This Row],[Team]],4,5))+(Dyno_Data[[#This Row],[Match]]/100))</f>
        <v>2095.3200000000002</v>
      </c>
      <c r="AI1576" s="76">
        <f>ROUND(SUM(IF(Dyno_Data[[#This Row],[AcqCenter]]&gt;0,Dyno_Data[[#This Row],[Time]]-SUMIFS(Dyno_Data[Time],Dyno_Data[Team],Dyno_Data[[#This Row],[Team]],Dyno_Data[RecordType],"StartMatch",Dyno_Data[Match],Dyno_Data[[#This Row],[Match]]),0)*86400),0)</f>
        <v>0</v>
      </c>
    </row>
    <row r="1577" spans="1:35" x14ac:dyDescent="0.3">
      <c r="A1577">
        <v>1576</v>
      </c>
      <c r="B1577" t="s">
        <v>1288</v>
      </c>
      <c r="C1577">
        <v>32</v>
      </c>
      <c r="D1577" s="105">
        <v>45373.598130520833</v>
      </c>
      <c r="E1577" t="s">
        <v>1403</v>
      </c>
      <c r="F1577" t="s">
        <v>1402</v>
      </c>
      <c r="G1577">
        <v>0</v>
      </c>
      <c r="H1577" t="s">
        <v>310</v>
      </c>
      <c r="I1577">
        <v>0</v>
      </c>
      <c r="J1577">
        <v>0</v>
      </c>
      <c r="K1577">
        <v>0</v>
      </c>
      <c r="L1577" t="s">
        <v>310</v>
      </c>
      <c r="M1577" t="s">
        <v>310</v>
      </c>
      <c r="N1577">
        <v>0</v>
      </c>
      <c r="O1577" t="s">
        <v>1389</v>
      </c>
      <c r="P1577" t="s">
        <v>310</v>
      </c>
      <c r="Q1577" t="s">
        <v>310</v>
      </c>
      <c r="R1577" t="s">
        <v>310</v>
      </c>
      <c r="S1577">
        <v>9</v>
      </c>
      <c r="T1577" t="s">
        <v>310</v>
      </c>
      <c r="U1577">
        <v>9</v>
      </c>
      <c r="V1577">
        <v>9</v>
      </c>
      <c r="W1577">
        <v>0</v>
      </c>
      <c r="X1577">
        <v>0</v>
      </c>
      <c r="Y1577">
        <v>0</v>
      </c>
      <c r="Z1577">
        <v>0</v>
      </c>
      <c r="AA1577">
        <v>9</v>
      </c>
      <c r="AB1577">
        <v>9</v>
      </c>
      <c r="AC1577" t="s">
        <v>310</v>
      </c>
      <c r="AD1577">
        <v>9</v>
      </c>
      <c r="AE1577" t="s">
        <v>1388</v>
      </c>
      <c r="AF1577">
        <v>10000000</v>
      </c>
      <c r="AG1577" t="s">
        <v>248</v>
      </c>
      <c r="AH1577">
        <f>SUM((MID(Dyno_Data[[#This Row],[Team]],4,5))+(Dyno_Data[[#This Row],[Match]]/100))</f>
        <v>3181.32</v>
      </c>
      <c r="AI1577" s="76">
        <f>ROUND(SUM(IF(Dyno_Data[[#This Row],[AcqCenter]]&gt;0,Dyno_Data[[#This Row],[Time]]-SUMIFS(Dyno_Data[Time],Dyno_Data[Team],Dyno_Data[[#This Row],[Team]],Dyno_Data[RecordType],"StartMatch",Dyno_Data[Match],Dyno_Data[[#This Row],[Match]]),0)*86400),0)</f>
        <v>0</v>
      </c>
    </row>
    <row r="1578" spans="1:35" x14ac:dyDescent="0.3">
      <c r="A1578">
        <v>1577</v>
      </c>
      <c r="B1578" t="s">
        <v>1288</v>
      </c>
      <c r="C1578">
        <v>32</v>
      </c>
      <c r="D1578" s="105">
        <v>45373.598174687497</v>
      </c>
      <c r="E1578" t="s">
        <v>312</v>
      </c>
      <c r="F1578" t="s">
        <v>1402</v>
      </c>
      <c r="G1578">
        <v>0</v>
      </c>
      <c r="H1578" t="s">
        <v>315</v>
      </c>
      <c r="I1578">
        <v>0</v>
      </c>
      <c r="J1578">
        <v>0</v>
      </c>
      <c r="K1578">
        <v>0</v>
      </c>
      <c r="L1578" t="s">
        <v>241</v>
      </c>
      <c r="M1578" t="s">
        <v>1398</v>
      </c>
      <c r="N1578">
        <v>0</v>
      </c>
      <c r="O1578" t="s">
        <v>1389</v>
      </c>
      <c r="P1578" t="s">
        <v>310</v>
      </c>
      <c r="Q1578" t="s">
        <v>310</v>
      </c>
      <c r="R1578" t="s">
        <v>310</v>
      </c>
      <c r="S1578">
        <v>9</v>
      </c>
      <c r="T1578" t="s">
        <v>310</v>
      </c>
      <c r="U1578">
        <v>9</v>
      </c>
      <c r="V1578">
        <v>9</v>
      </c>
      <c r="W1578">
        <v>0</v>
      </c>
      <c r="X1578">
        <v>0</v>
      </c>
      <c r="Y1578">
        <v>0</v>
      </c>
      <c r="Z1578">
        <v>0</v>
      </c>
      <c r="AA1578">
        <v>9</v>
      </c>
      <c r="AB1578">
        <v>9</v>
      </c>
      <c r="AC1578" t="s">
        <v>310</v>
      </c>
      <c r="AD1578">
        <v>9</v>
      </c>
      <c r="AE1578" t="s">
        <v>1388</v>
      </c>
      <c r="AF1578">
        <v>30000000</v>
      </c>
      <c r="AG1578" t="s">
        <v>310</v>
      </c>
      <c r="AH1578">
        <f>SUM((MID(Dyno_Data[[#This Row],[Team]],4,5))+(Dyno_Data[[#This Row],[Match]]/100))</f>
        <v>3181.32</v>
      </c>
      <c r="AI1578" s="76">
        <f>ROUND(SUM(IF(Dyno_Data[[#This Row],[AcqCenter]]&gt;0,Dyno_Data[[#This Row],[Time]]-SUMIFS(Dyno_Data[Time],Dyno_Data[Team],Dyno_Data[[#This Row],[Team]],Dyno_Data[RecordType],"StartMatch",Dyno_Data[Match],Dyno_Data[[#This Row],[Match]]),0)*86400),0)</f>
        <v>0</v>
      </c>
    </row>
    <row r="1579" spans="1:35" x14ac:dyDescent="0.3">
      <c r="A1579">
        <v>1578</v>
      </c>
      <c r="B1579" t="s">
        <v>1295</v>
      </c>
      <c r="C1579">
        <v>32</v>
      </c>
      <c r="D1579" s="105">
        <v>45373.598218171297</v>
      </c>
      <c r="E1579" t="s">
        <v>312</v>
      </c>
      <c r="F1579" t="s">
        <v>1402</v>
      </c>
      <c r="G1579">
        <v>0</v>
      </c>
      <c r="H1579" t="s">
        <v>315</v>
      </c>
      <c r="I1579">
        <v>0</v>
      </c>
      <c r="J1579">
        <v>0</v>
      </c>
      <c r="K1579">
        <v>0</v>
      </c>
      <c r="L1579" t="s">
        <v>241</v>
      </c>
      <c r="M1579" t="s">
        <v>1398</v>
      </c>
      <c r="N1579">
        <v>0</v>
      </c>
      <c r="O1579" t="s">
        <v>1393</v>
      </c>
      <c r="P1579" t="s">
        <v>310</v>
      </c>
      <c r="Q1579" t="s">
        <v>310</v>
      </c>
      <c r="R1579" t="s">
        <v>310</v>
      </c>
      <c r="S1579">
        <v>9</v>
      </c>
      <c r="T1579" t="s">
        <v>310</v>
      </c>
      <c r="U1579">
        <v>9</v>
      </c>
      <c r="V1579">
        <v>9</v>
      </c>
      <c r="W1579">
        <v>0</v>
      </c>
      <c r="X1579">
        <v>0</v>
      </c>
      <c r="Y1579">
        <v>0</v>
      </c>
      <c r="Z1579">
        <v>0</v>
      </c>
      <c r="AA1579">
        <v>9</v>
      </c>
      <c r="AB1579">
        <v>9</v>
      </c>
      <c r="AC1579" t="s">
        <v>310</v>
      </c>
      <c r="AD1579">
        <v>9</v>
      </c>
      <c r="AE1579" t="s">
        <v>1394</v>
      </c>
      <c r="AF1579">
        <v>80000000</v>
      </c>
      <c r="AG1579" t="s">
        <v>310</v>
      </c>
      <c r="AH1579">
        <f>SUM((MID(Dyno_Data[[#This Row],[Team]],4,5))+(Dyno_Data[[#This Row],[Match]]/100))</f>
        <v>6300.32</v>
      </c>
      <c r="AI1579" s="76">
        <f>ROUND(SUM(IF(Dyno_Data[[#This Row],[AcqCenter]]&gt;0,Dyno_Data[[#This Row],[Time]]-SUMIFS(Dyno_Data[Time],Dyno_Data[Team],Dyno_Data[[#This Row],[Team]],Dyno_Data[RecordType],"StartMatch",Dyno_Data[Match],Dyno_Data[[#This Row],[Match]]),0)*86400),0)</f>
        <v>0</v>
      </c>
    </row>
    <row r="1580" spans="1:35" x14ac:dyDescent="0.3">
      <c r="A1580">
        <v>1579</v>
      </c>
      <c r="B1580" t="s">
        <v>1277</v>
      </c>
      <c r="C1580">
        <v>32</v>
      </c>
      <c r="D1580" s="105">
        <v>45373.598221759261</v>
      </c>
      <c r="E1580" t="s">
        <v>312</v>
      </c>
      <c r="F1580" t="s">
        <v>1402</v>
      </c>
      <c r="G1580">
        <v>0</v>
      </c>
      <c r="H1580" t="s">
        <v>315</v>
      </c>
      <c r="I1580">
        <v>0</v>
      </c>
      <c r="J1580">
        <v>0</v>
      </c>
      <c r="K1580">
        <v>0</v>
      </c>
      <c r="L1580" t="s">
        <v>240</v>
      </c>
      <c r="M1580" t="s">
        <v>1398</v>
      </c>
      <c r="N1580">
        <v>0</v>
      </c>
      <c r="O1580" t="s">
        <v>1391</v>
      </c>
      <c r="P1580" t="s">
        <v>310</v>
      </c>
      <c r="Q1580" t="s">
        <v>310</v>
      </c>
      <c r="R1580" t="s">
        <v>310</v>
      </c>
      <c r="S1580">
        <v>9</v>
      </c>
      <c r="T1580" t="s">
        <v>310</v>
      </c>
      <c r="U1580">
        <v>9</v>
      </c>
      <c r="V1580">
        <v>9</v>
      </c>
      <c r="W1580">
        <v>0</v>
      </c>
      <c r="X1580">
        <v>0</v>
      </c>
      <c r="Y1580">
        <v>0</v>
      </c>
      <c r="Z1580">
        <v>0</v>
      </c>
      <c r="AA1580">
        <v>9</v>
      </c>
      <c r="AB1580">
        <v>9</v>
      </c>
      <c r="AC1580" t="s">
        <v>310</v>
      </c>
      <c r="AD1580">
        <v>9</v>
      </c>
      <c r="AE1580" t="s">
        <v>1390</v>
      </c>
      <c r="AF1580">
        <v>60000000</v>
      </c>
      <c r="AG1580" t="s">
        <v>310</v>
      </c>
      <c r="AH1580">
        <f>SUM((MID(Dyno_Data[[#This Row],[Team]],4,5))+(Dyno_Data[[#This Row],[Match]]/100))</f>
        <v>3360.32</v>
      </c>
      <c r="AI1580" s="76">
        <f>ROUND(SUM(IF(Dyno_Data[[#This Row],[AcqCenter]]&gt;0,Dyno_Data[[#This Row],[Time]]-SUMIFS(Dyno_Data[Time],Dyno_Data[Team],Dyno_Data[[#This Row],[Team]],Dyno_Data[RecordType],"StartMatch",Dyno_Data[Match],Dyno_Data[[#This Row],[Match]]),0)*86400),0)</f>
        <v>0</v>
      </c>
    </row>
    <row r="1581" spans="1:35" x14ac:dyDescent="0.3">
      <c r="A1581">
        <v>1580</v>
      </c>
      <c r="B1581" t="s">
        <v>372</v>
      </c>
      <c r="C1581">
        <v>32</v>
      </c>
      <c r="D1581" s="105">
        <v>45373.598251504627</v>
      </c>
      <c r="E1581" t="s">
        <v>312</v>
      </c>
      <c r="F1581" t="s">
        <v>1402</v>
      </c>
      <c r="G1581">
        <v>0</v>
      </c>
      <c r="H1581" t="s">
        <v>315</v>
      </c>
      <c r="I1581">
        <v>0</v>
      </c>
      <c r="J1581">
        <v>0</v>
      </c>
      <c r="K1581">
        <v>0</v>
      </c>
      <c r="L1581" t="s">
        <v>241</v>
      </c>
      <c r="M1581" t="s">
        <v>101</v>
      </c>
      <c r="N1581">
        <v>0</v>
      </c>
      <c r="O1581" t="s">
        <v>311</v>
      </c>
      <c r="P1581" t="s">
        <v>310</v>
      </c>
      <c r="Q1581" t="s">
        <v>310</v>
      </c>
      <c r="R1581" t="s">
        <v>310</v>
      </c>
      <c r="S1581">
        <v>9</v>
      </c>
      <c r="T1581" t="s">
        <v>310</v>
      </c>
      <c r="U1581">
        <v>9</v>
      </c>
      <c r="V1581">
        <v>9</v>
      </c>
      <c r="W1581">
        <v>0</v>
      </c>
      <c r="X1581">
        <v>0</v>
      </c>
      <c r="Y1581">
        <v>0</v>
      </c>
      <c r="Z1581">
        <v>0</v>
      </c>
      <c r="AA1581">
        <v>9</v>
      </c>
      <c r="AB1581">
        <v>9</v>
      </c>
      <c r="AC1581" t="s">
        <v>310</v>
      </c>
      <c r="AD1581">
        <v>9</v>
      </c>
      <c r="AE1581" t="s">
        <v>1392</v>
      </c>
      <c r="AF1581">
        <v>30000000</v>
      </c>
      <c r="AG1581" t="s">
        <v>310</v>
      </c>
      <c r="AH1581">
        <f>SUM((MID(Dyno_Data[[#This Row],[Team]],4,5))+(Dyno_Data[[#This Row],[Match]]/100))</f>
        <v>7504.32</v>
      </c>
      <c r="AI1581" s="76">
        <f>ROUND(SUM(IF(Dyno_Data[[#This Row],[AcqCenter]]&gt;0,Dyno_Data[[#This Row],[Time]]-SUMIFS(Dyno_Data[Time],Dyno_Data[Team],Dyno_Data[[#This Row],[Team]],Dyno_Data[RecordType],"StartMatch",Dyno_Data[Match],Dyno_Data[[#This Row],[Match]]),0)*86400),0)</f>
        <v>0</v>
      </c>
    </row>
    <row r="1582" spans="1:35" x14ac:dyDescent="0.3">
      <c r="A1582">
        <v>1581</v>
      </c>
      <c r="B1582" t="s">
        <v>1288</v>
      </c>
      <c r="C1582">
        <v>32</v>
      </c>
      <c r="D1582" s="105">
        <v>45373.598261689818</v>
      </c>
      <c r="E1582" t="s">
        <v>312</v>
      </c>
      <c r="F1582" t="s">
        <v>1402</v>
      </c>
      <c r="G1582">
        <v>0</v>
      </c>
      <c r="H1582" t="s">
        <v>315</v>
      </c>
      <c r="I1582">
        <v>0</v>
      </c>
      <c r="J1582">
        <v>0</v>
      </c>
      <c r="K1582">
        <v>0</v>
      </c>
      <c r="L1582" t="s">
        <v>240</v>
      </c>
      <c r="M1582" t="s">
        <v>1398</v>
      </c>
      <c r="N1582">
        <v>0</v>
      </c>
      <c r="O1582" t="s">
        <v>1389</v>
      </c>
      <c r="P1582" t="s">
        <v>310</v>
      </c>
      <c r="Q1582" t="s">
        <v>310</v>
      </c>
      <c r="R1582" t="s">
        <v>310</v>
      </c>
      <c r="S1582">
        <v>9</v>
      </c>
      <c r="T1582" t="s">
        <v>310</v>
      </c>
      <c r="U1582">
        <v>9</v>
      </c>
      <c r="V1582">
        <v>9</v>
      </c>
      <c r="W1582">
        <v>0</v>
      </c>
      <c r="X1582">
        <v>0</v>
      </c>
      <c r="Y1582">
        <v>0</v>
      </c>
      <c r="Z1582">
        <v>0</v>
      </c>
      <c r="AA1582">
        <v>9</v>
      </c>
      <c r="AB1582">
        <v>9</v>
      </c>
      <c r="AC1582" t="s">
        <v>310</v>
      </c>
      <c r="AD1582">
        <v>9</v>
      </c>
      <c r="AE1582" t="s">
        <v>1388</v>
      </c>
      <c r="AF1582">
        <v>40000000</v>
      </c>
      <c r="AG1582" t="s">
        <v>310</v>
      </c>
      <c r="AH1582">
        <f>SUM((MID(Dyno_Data[[#This Row],[Team]],4,5))+(Dyno_Data[[#This Row],[Match]]/100))</f>
        <v>3181.32</v>
      </c>
      <c r="AI1582" s="76">
        <f>ROUND(SUM(IF(Dyno_Data[[#This Row],[AcqCenter]]&gt;0,Dyno_Data[[#This Row],[Time]]-SUMIFS(Dyno_Data[Time],Dyno_Data[Team],Dyno_Data[[#This Row],[Team]],Dyno_Data[RecordType],"StartMatch",Dyno_Data[Match],Dyno_Data[[#This Row],[Match]]),0)*86400),0)</f>
        <v>0</v>
      </c>
    </row>
    <row r="1583" spans="1:35" x14ac:dyDescent="0.3">
      <c r="A1583">
        <v>1582</v>
      </c>
      <c r="B1583" t="s">
        <v>1282</v>
      </c>
      <c r="C1583">
        <v>32</v>
      </c>
      <c r="D1583" s="105">
        <v>45373.59829869213</v>
      </c>
      <c r="E1583" t="s">
        <v>312</v>
      </c>
      <c r="F1583" t="s">
        <v>1402</v>
      </c>
      <c r="G1583">
        <v>0</v>
      </c>
      <c r="H1583" t="s">
        <v>315</v>
      </c>
      <c r="I1583">
        <v>0</v>
      </c>
      <c r="J1583">
        <v>0</v>
      </c>
      <c r="K1583">
        <v>0</v>
      </c>
      <c r="L1583" t="s">
        <v>240</v>
      </c>
      <c r="M1583" t="s">
        <v>1398</v>
      </c>
      <c r="N1583">
        <v>0</v>
      </c>
      <c r="O1583" t="s">
        <v>319</v>
      </c>
      <c r="P1583" t="s">
        <v>310</v>
      </c>
      <c r="Q1583" t="s">
        <v>310</v>
      </c>
      <c r="R1583" t="s">
        <v>310</v>
      </c>
      <c r="S1583">
        <v>9</v>
      </c>
      <c r="T1583" t="s">
        <v>310</v>
      </c>
      <c r="U1583">
        <v>9</v>
      </c>
      <c r="V1583">
        <v>9</v>
      </c>
      <c r="W1583">
        <v>0</v>
      </c>
      <c r="X1583">
        <v>0</v>
      </c>
      <c r="Y1583">
        <v>0</v>
      </c>
      <c r="Z1583">
        <v>0</v>
      </c>
      <c r="AA1583">
        <v>9</v>
      </c>
      <c r="AB1583">
        <v>9</v>
      </c>
      <c r="AC1583" t="s">
        <v>310</v>
      </c>
      <c r="AD1583">
        <v>9</v>
      </c>
      <c r="AE1583" t="s">
        <v>1387</v>
      </c>
      <c r="AF1583">
        <v>30000000</v>
      </c>
      <c r="AG1583" t="s">
        <v>310</v>
      </c>
      <c r="AH1583">
        <f>SUM((MID(Dyno_Data[[#This Row],[Team]],4,5))+(Dyno_Data[[#This Row],[Match]]/100))</f>
        <v>333.32</v>
      </c>
      <c r="AI1583" s="76">
        <f>ROUND(SUM(IF(Dyno_Data[[#This Row],[AcqCenter]]&gt;0,Dyno_Data[[#This Row],[Time]]-SUMIFS(Dyno_Data[Time],Dyno_Data[Team],Dyno_Data[[#This Row],[Team]],Dyno_Data[RecordType],"StartMatch",Dyno_Data[Match],Dyno_Data[[#This Row],[Match]]),0)*86400),0)</f>
        <v>0</v>
      </c>
    </row>
    <row r="1584" spans="1:35" x14ac:dyDescent="0.3">
      <c r="A1584">
        <v>1583</v>
      </c>
      <c r="B1584" t="s">
        <v>1295</v>
      </c>
      <c r="C1584">
        <v>32</v>
      </c>
      <c r="D1584" s="105">
        <v>45373.59840570602</v>
      </c>
      <c r="E1584" t="s">
        <v>312</v>
      </c>
      <c r="F1584" t="s">
        <v>1402</v>
      </c>
      <c r="G1584">
        <v>0</v>
      </c>
      <c r="H1584" t="s">
        <v>315</v>
      </c>
      <c r="I1584">
        <v>0</v>
      </c>
      <c r="J1584">
        <v>0</v>
      </c>
      <c r="K1584">
        <v>0</v>
      </c>
      <c r="L1584" t="s">
        <v>241</v>
      </c>
      <c r="M1584" t="s">
        <v>1398</v>
      </c>
      <c r="N1584">
        <v>0</v>
      </c>
      <c r="O1584" t="s">
        <v>1393</v>
      </c>
      <c r="P1584" t="s">
        <v>310</v>
      </c>
      <c r="Q1584" t="s">
        <v>310</v>
      </c>
      <c r="R1584" t="s">
        <v>310</v>
      </c>
      <c r="S1584">
        <v>9</v>
      </c>
      <c r="T1584" t="s">
        <v>310</v>
      </c>
      <c r="U1584">
        <v>9</v>
      </c>
      <c r="V1584">
        <v>9</v>
      </c>
      <c r="W1584">
        <v>0</v>
      </c>
      <c r="X1584">
        <v>0</v>
      </c>
      <c r="Y1584">
        <v>0</v>
      </c>
      <c r="Z1584">
        <v>0</v>
      </c>
      <c r="AA1584">
        <v>9</v>
      </c>
      <c r="AB1584">
        <v>9</v>
      </c>
      <c r="AC1584" t="s">
        <v>310</v>
      </c>
      <c r="AD1584">
        <v>9</v>
      </c>
      <c r="AE1584" t="s">
        <v>1394</v>
      </c>
      <c r="AF1584">
        <v>90000000</v>
      </c>
      <c r="AG1584" t="s">
        <v>310</v>
      </c>
      <c r="AH1584">
        <f>SUM((MID(Dyno_Data[[#This Row],[Team]],4,5))+(Dyno_Data[[#This Row],[Match]]/100))</f>
        <v>6300.32</v>
      </c>
      <c r="AI1584" s="76">
        <f>ROUND(SUM(IF(Dyno_Data[[#This Row],[AcqCenter]]&gt;0,Dyno_Data[[#This Row],[Time]]-SUMIFS(Dyno_Data[Time],Dyno_Data[Team],Dyno_Data[[#This Row],[Team]],Dyno_Data[RecordType],"StartMatch",Dyno_Data[Match],Dyno_Data[[#This Row],[Match]]),0)*86400),0)</f>
        <v>0</v>
      </c>
    </row>
    <row r="1585" spans="1:35" x14ac:dyDescent="0.3">
      <c r="A1585">
        <v>1584</v>
      </c>
      <c r="B1585" t="s">
        <v>1288</v>
      </c>
      <c r="C1585">
        <v>32</v>
      </c>
      <c r="D1585" s="105">
        <v>45373.598408564816</v>
      </c>
      <c r="E1585" t="s">
        <v>1403</v>
      </c>
      <c r="F1585" t="s">
        <v>1402</v>
      </c>
      <c r="G1585">
        <v>0</v>
      </c>
      <c r="H1585" t="s">
        <v>310</v>
      </c>
      <c r="I1585">
        <v>0</v>
      </c>
      <c r="J1585">
        <v>0</v>
      </c>
      <c r="K1585">
        <v>0</v>
      </c>
      <c r="L1585" t="s">
        <v>310</v>
      </c>
      <c r="M1585" t="s">
        <v>310</v>
      </c>
      <c r="N1585">
        <v>0</v>
      </c>
      <c r="O1585" t="s">
        <v>1389</v>
      </c>
      <c r="P1585" t="s">
        <v>310</v>
      </c>
      <c r="Q1585" t="s">
        <v>310</v>
      </c>
      <c r="R1585" t="s">
        <v>310</v>
      </c>
      <c r="S1585">
        <v>9</v>
      </c>
      <c r="T1585" t="s">
        <v>310</v>
      </c>
      <c r="U1585">
        <v>9</v>
      </c>
      <c r="V1585">
        <v>9</v>
      </c>
      <c r="W1585">
        <v>0</v>
      </c>
      <c r="X1585">
        <v>0</v>
      </c>
      <c r="Y1585">
        <v>0</v>
      </c>
      <c r="Z1585">
        <v>0</v>
      </c>
      <c r="AA1585">
        <v>9</v>
      </c>
      <c r="AB1585">
        <v>9</v>
      </c>
      <c r="AC1585" t="s">
        <v>310</v>
      </c>
      <c r="AD1585">
        <v>9</v>
      </c>
      <c r="AE1585" t="s">
        <v>1388</v>
      </c>
      <c r="AF1585">
        <v>90000000</v>
      </c>
      <c r="AG1585" t="s">
        <v>249</v>
      </c>
      <c r="AH1585">
        <f>SUM((MID(Dyno_Data[[#This Row],[Team]],4,5))+(Dyno_Data[[#This Row],[Match]]/100))</f>
        <v>3181.32</v>
      </c>
      <c r="AI1585" s="76">
        <f>ROUND(SUM(IF(Dyno_Data[[#This Row],[AcqCenter]]&gt;0,Dyno_Data[[#This Row],[Time]]-SUMIFS(Dyno_Data[Time],Dyno_Data[Team],Dyno_Data[[#This Row],[Team]],Dyno_Data[RecordType],"StartMatch",Dyno_Data[Match],Dyno_Data[[#This Row],[Match]]),0)*86400),0)</f>
        <v>0</v>
      </c>
    </row>
    <row r="1586" spans="1:35" x14ac:dyDescent="0.3">
      <c r="A1586">
        <v>1585</v>
      </c>
      <c r="B1586" t="s">
        <v>1277</v>
      </c>
      <c r="C1586">
        <v>32</v>
      </c>
      <c r="D1586" s="105">
        <v>45373.598410069448</v>
      </c>
      <c r="E1586" t="s">
        <v>312</v>
      </c>
      <c r="F1586" t="s">
        <v>1402</v>
      </c>
      <c r="G1586">
        <v>0</v>
      </c>
      <c r="H1586" t="s">
        <v>315</v>
      </c>
      <c r="I1586">
        <v>0</v>
      </c>
      <c r="J1586">
        <v>0</v>
      </c>
      <c r="K1586">
        <v>0</v>
      </c>
      <c r="L1586" t="s">
        <v>240</v>
      </c>
      <c r="M1586" t="s">
        <v>1398</v>
      </c>
      <c r="N1586">
        <v>0</v>
      </c>
      <c r="O1586" t="s">
        <v>1391</v>
      </c>
      <c r="P1586" t="s">
        <v>310</v>
      </c>
      <c r="Q1586" t="s">
        <v>310</v>
      </c>
      <c r="R1586" t="s">
        <v>310</v>
      </c>
      <c r="S1586">
        <v>9</v>
      </c>
      <c r="T1586" t="s">
        <v>310</v>
      </c>
      <c r="U1586">
        <v>9</v>
      </c>
      <c r="V1586">
        <v>9</v>
      </c>
      <c r="W1586">
        <v>0</v>
      </c>
      <c r="X1586">
        <v>0</v>
      </c>
      <c r="Y1586">
        <v>0</v>
      </c>
      <c r="Z1586">
        <v>0</v>
      </c>
      <c r="AA1586">
        <v>9</v>
      </c>
      <c r="AB1586">
        <v>9</v>
      </c>
      <c r="AC1586" t="s">
        <v>310</v>
      </c>
      <c r="AD1586">
        <v>9</v>
      </c>
      <c r="AE1586" t="s">
        <v>1390</v>
      </c>
      <c r="AF1586">
        <v>70000000</v>
      </c>
      <c r="AG1586" t="s">
        <v>310</v>
      </c>
      <c r="AH1586">
        <f>SUM((MID(Dyno_Data[[#This Row],[Team]],4,5))+(Dyno_Data[[#This Row],[Match]]/100))</f>
        <v>3360.32</v>
      </c>
      <c r="AI1586" s="76">
        <f>ROUND(SUM(IF(Dyno_Data[[#This Row],[AcqCenter]]&gt;0,Dyno_Data[[#This Row],[Time]]-SUMIFS(Dyno_Data[Time],Dyno_Data[Team],Dyno_Data[[#This Row],[Team]],Dyno_Data[RecordType],"StartMatch",Dyno_Data[Match],Dyno_Data[[#This Row],[Match]]),0)*86400),0)</f>
        <v>0</v>
      </c>
    </row>
    <row r="1587" spans="1:35" x14ac:dyDescent="0.3">
      <c r="A1587">
        <v>1586</v>
      </c>
      <c r="B1587" t="s">
        <v>1302</v>
      </c>
      <c r="C1587">
        <v>32</v>
      </c>
      <c r="D1587" s="105">
        <v>45373.598430520833</v>
      </c>
      <c r="E1587" t="s">
        <v>312</v>
      </c>
      <c r="F1587" t="s">
        <v>1402</v>
      </c>
      <c r="G1587">
        <v>0</v>
      </c>
      <c r="H1587" t="s">
        <v>315</v>
      </c>
      <c r="I1587">
        <v>0</v>
      </c>
      <c r="J1587">
        <v>0</v>
      </c>
      <c r="K1587">
        <v>0</v>
      </c>
      <c r="L1587" t="s">
        <v>240</v>
      </c>
      <c r="M1587" t="s">
        <v>1398</v>
      </c>
      <c r="N1587">
        <v>0</v>
      </c>
      <c r="O1587" t="s">
        <v>1395</v>
      </c>
      <c r="P1587" t="s">
        <v>310</v>
      </c>
      <c r="Q1587" t="s">
        <v>310</v>
      </c>
      <c r="R1587" t="s">
        <v>310</v>
      </c>
      <c r="S1587">
        <v>9</v>
      </c>
      <c r="T1587" t="s">
        <v>310</v>
      </c>
      <c r="U1587">
        <v>9</v>
      </c>
      <c r="V1587">
        <v>9</v>
      </c>
      <c r="W1587">
        <v>0</v>
      </c>
      <c r="X1587">
        <v>0</v>
      </c>
      <c r="Y1587">
        <v>0</v>
      </c>
      <c r="Z1587">
        <v>0</v>
      </c>
      <c r="AA1587">
        <v>9</v>
      </c>
      <c r="AB1587">
        <v>9</v>
      </c>
      <c r="AC1587" t="s">
        <v>310</v>
      </c>
      <c r="AD1587">
        <v>9</v>
      </c>
      <c r="AE1587" t="s">
        <v>1396</v>
      </c>
      <c r="AF1587">
        <v>20000000</v>
      </c>
      <c r="AG1587" t="s">
        <v>310</v>
      </c>
      <c r="AH1587">
        <f>SUM((MID(Dyno_Data[[#This Row],[Team]],4,5))+(Dyno_Data[[#This Row],[Match]]/100))</f>
        <v>2095.3200000000002</v>
      </c>
      <c r="AI1587" s="76">
        <f>ROUND(SUM(IF(Dyno_Data[[#This Row],[AcqCenter]]&gt;0,Dyno_Data[[#This Row],[Time]]-SUMIFS(Dyno_Data[Time],Dyno_Data[Team],Dyno_Data[[#This Row],[Team]],Dyno_Data[RecordType],"StartMatch",Dyno_Data[Match],Dyno_Data[[#This Row],[Match]]),0)*86400),0)</f>
        <v>0</v>
      </c>
    </row>
    <row r="1588" spans="1:35" x14ac:dyDescent="0.3">
      <c r="A1588">
        <v>1587</v>
      </c>
      <c r="B1588" t="s">
        <v>1282</v>
      </c>
      <c r="C1588">
        <v>32</v>
      </c>
      <c r="D1588" s="105">
        <v>45373.598462997688</v>
      </c>
      <c r="E1588" t="s">
        <v>312</v>
      </c>
      <c r="F1588" t="s">
        <v>1402</v>
      </c>
      <c r="G1588">
        <v>0</v>
      </c>
      <c r="H1588" t="s">
        <v>315</v>
      </c>
      <c r="I1588">
        <v>0</v>
      </c>
      <c r="J1588">
        <v>0</v>
      </c>
      <c r="K1588">
        <v>0</v>
      </c>
      <c r="L1588" t="s">
        <v>240</v>
      </c>
      <c r="M1588" t="s">
        <v>1398</v>
      </c>
      <c r="N1588">
        <v>0</v>
      </c>
      <c r="O1588" t="s">
        <v>319</v>
      </c>
      <c r="P1588" t="s">
        <v>310</v>
      </c>
      <c r="Q1588" t="s">
        <v>310</v>
      </c>
      <c r="R1588" t="s">
        <v>310</v>
      </c>
      <c r="S1588">
        <v>9</v>
      </c>
      <c r="T1588" t="s">
        <v>310</v>
      </c>
      <c r="U1588">
        <v>9</v>
      </c>
      <c r="V1588">
        <v>9</v>
      </c>
      <c r="W1588">
        <v>0</v>
      </c>
      <c r="X1588">
        <v>0</v>
      </c>
      <c r="Y1588">
        <v>0</v>
      </c>
      <c r="Z1588">
        <v>0</v>
      </c>
      <c r="AA1588">
        <v>9</v>
      </c>
      <c r="AB1588">
        <v>9</v>
      </c>
      <c r="AC1588" t="s">
        <v>310</v>
      </c>
      <c r="AD1588">
        <v>9</v>
      </c>
      <c r="AE1588" t="s">
        <v>1387</v>
      </c>
      <c r="AF1588">
        <v>40000000</v>
      </c>
      <c r="AG1588" t="s">
        <v>310</v>
      </c>
      <c r="AH1588">
        <f>SUM((MID(Dyno_Data[[#This Row],[Team]],4,5))+(Dyno_Data[[#This Row],[Match]]/100))</f>
        <v>333.32</v>
      </c>
      <c r="AI1588" s="76">
        <f>ROUND(SUM(IF(Dyno_Data[[#This Row],[AcqCenter]]&gt;0,Dyno_Data[[#This Row],[Time]]-SUMIFS(Dyno_Data[Time],Dyno_Data[Team],Dyno_Data[[#This Row],[Team]],Dyno_Data[RecordType],"StartMatch",Dyno_Data[Match],Dyno_Data[[#This Row],[Match]]),0)*86400),0)</f>
        <v>0</v>
      </c>
    </row>
    <row r="1589" spans="1:35" x14ac:dyDescent="0.3">
      <c r="A1589">
        <v>1588</v>
      </c>
      <c r="B1589" t="s">
        <v>1288</v>
      </c>
      <c r="C1589">
        <v>32</v>
      </c>
      <c r="D1589" s="105">
        <v>45373.598521840278</v>
      </c>
      <c r="E1589" t="s">
        <v>312</v>
      </c>
      <c r="F1589" t="s">
        <v>1402</v>
      </c>
      <c r="G1589">
        <v>0</v>
      </c>
      <c r="H1589" t="s">
        <v>315</v>
      </c>
      <c r="I1589">
        <v>0</v>
      </c>
      <c r="J1589">
        <v>0</v>
      </c>
      <c r="K1589">
        <v>0</v>
      </c>
      <c r="L1589" t="s">
        <v>241</v>
      </c>
      <c r="M1589" t="s">
        <v>1398</v>
      </c>
      <c r="N1589">
        <v>0</v>
      </c>
      <c r="O1589" t="s">
        <v>1389</v>
      </c>
      <c r="P1589" t="s">
        <v>310</v>
      </c>
      <c r="Q1589" t="s">
        <v>310</v>
      </c>
      <c r="R1589" t="s">
        <v>310</v>
      </c>
      <c r="S1589">
        <v>9</v>
      </c>
      <c r="T1589" t="s">
        <v>310</v>
      </c>
      <c r="U1589">
        <v>9</v>
      </c>
      <c r="V1589">
        <v>9</v>
      </c>
      <c r="W1589">
        <v>0</v>
      </c>
      <c r="X1589">
        <v>0</v>
      </c>
      <c r="Y1589">
        <v>0</v>
      </c>
      <c r="Z1589">
        <v>0</v>
      </c>
      <c r="AA1589">
        <v>9</v>
      </c>
      <c r="AB1589">
        <v>9</v>
      </c>
      <c r="AC1589" t="s">
        <v>310</v>
      </c>
      <c r="AD1589">
        <v>9</v>
      </c>
      <c r="AE1589" t="s">
        <v>1388</v>
      </c>
      <c r="AF1589">
        <v>50000000</v>
      </c>
      <c r="AG1589" t="s">
        <v>310</v>
      </c>
      <c r="AH1589">
        <f>SUM((MID(Dyno_Data[[#This Row],[Team]],4,5))+(Dyno_Data[[#This Row],[Match]]/100))</f>
        <v>3181.32</v>
      </c>
      <c r="AI1589" s="76">
        <f>ROUND(SUM(IF(Dyno_Data[[#This Row],[AcqCenter]]&gt;0,Dyno_Data[[#This Row],[Time]]-SUMIFS(Dyno_Data[Time],Dyno_Data[Team],Dyno_Data[[#This Row],[Team]],Dyno_Data[RecordType],"StartMatch",Dyno_Data[Match],Dyno_Data[[#This Row],[Match]]),0)*86400),0)</f>
        <v>0</v>
      </c>
    </row>
    <row r="1590" spans="1:35" x14ac:dyDescent="0.3">
      <c r="A1590">
        <v>1589</v>
      </c>
      <c r="B1590" t="s">
        <v>1295</v>
      </c>
      <c r="C1590">
        <v>32</v>
      </c>
      <c r="D1590" s="105">
        <v>45373.598555937497</v>
      </c>
      <c r="E1590" t="s">
        <v>312</v>
      </c>
      <c r="F1590" t="s">
        <v>1402</v>
      </c>
      <c r="G1590">
        <v>0</v>
      </c>
      <c r="H1590" t="s">
        <v>315</v>
      </c>
      <c r="I1590">
        <v>0</v>
      </c>
      <c r="J1590">
        <v>0</v>
      </c>
      <c r="K1590">
        <v>0</v>
      </c>
      <c r="L1590" t="s">
        <v>240</v>
      </c>
      <c r="M1590" t="s">
        <v>1398</v>
      </c>
      <c r="N1590">
        <v>0</v>
      </c>
      <c r="O1590" t="s">
        <v>1393</v>
      </c>
      <c r="P1590" t="s">
        <v>310</v>
      </c>
      <c r="Q1590" t="s">
        <v>310</v>
      </c>
      <c r="R1590" t="s">
        <v>310</v>
      </c>
      <c r="S1590">
        <v>9</v>
      </c>
      <c r="T1590" t="s">
        <v>310</v>
      </c>
      <c r="U1590">
        <v>9</v>
      </c>
      <c r="V1590">
        <v>9</v>
      </c>
      <c r="W1590">
        <v>0</v>
      </c>
      <c r="X1590">
        <v>0</v>
      </c>
      <c r="Y1590">
        <v>0</v>
      </c>
      <c r="Z1590">
        <v>0</v>
      </c>
      <c r="AA1590">
        <v>9</v>
      </c>
      <c r="AB1590">
        <v>9</v>
      </c>
      <c r="AC1590" t="s">
        <v>310</v>
      </c>
      <c r="AD1590">
        <v>9</v>
      </c>
      <c r="AE1590" t="s">
        <v>1394</v>
      </c>
      <c r="AF1590">
        <v>100000000</v>
      </c>
      <c r="AG1590" t="s">
        <v>310</v>
      </c>
      <c r="AH1590">
        <f>SUM((MID(Dyno_Data[[#This Row],[Team]],4,5))+(Dyno_Data[[#This Row],[Match]]/100))</f>
        <v>6300.32</v>
      </c>
      <c r="AI1590" s="76">
        <f>ROUND(SUM(IF(Dyno_Data[[#This Row],[AcqCenter]]&gt;0,Dyno_Data[[#This Row],[Time]]-SUMIFS(Dyno_Data[Time],Dyno_Data[Team],Dyno_Data[[#This Row],[Team]],Dyno_Data[RecordType],"StartMatch",Dyno_Data[Match],Dyno_Data[[#This Row],[Match]]),0)*86400),0)</f>
        <v>0</v>
      </c>
    </row>
    <row r="1591" spans="1:35" x14ac:dyDescent="0.3">
      <c r="A1591">
        <v>1590</v>
      </c>
      <c r="B1591" t="s">
        <v>372</v>
      </c>
      <c r="C1591">
        <v>32</v>
      </c>
      <c r="D1591" s="105">
        <v>45373.59860582176</v>
      </c>
      <c r="E1591" t="s">
        <v>312</v>
      </c>
      <c r="F1591" t="s">
        <v>1402</v>
      </c>
      <c r="G1591">
        <v>0</v>
      </c>
      <c r="H1591" t="s">
        <v>315</v>
      </c>
      <c r="I1591">
        <v>0</v>
      </c>
      <c r="J1591">
        <v>0</v>
      </c>
      <c r="K1591">
        <v>0</v>
      </c>
      <c r="L1591" t="s">
        <v>241</v>
      </c>
      <c r="M1591" t="s">
        <v>101</v>
      </c>
      <c r="N1591">
        <v>0</v>
      </c>
      <c r="O1591" t="s">
        <v>311</v>
      </c>
      <c r="P1591" t="s">
        <v>310</v>
      </c>
      <c r="Q1591" t="s">
        <v>310</v>
      </c>
      <c r="R1591" t="s">
        <v>310</v>
      </c>
      <c r="S1591">
        <v>9</v>
      </c>
      <c r="T1591" t="s">
        <v>310</v>
      </c>
      <c r="U1591">
        <v>9</v>
      </c>
      <c r="V1591">
        <v>9</v>
      </c>
      <c r="W1591">
        <v>0</v>
      </c>
      <c r="X1591">
        <v>0</v>
      </c>
      <c r="Y1591">
        <v>0</v>
      </c>
      <c r="Z1591">
        <v>0</v>
      </c>
      <c r="AA1591">
        <v>9</v>
      </c>
      <c r="AB1591">
        <v>9</v>
      </c>
      <c r="AC1591" t="s">
        <v>310</v>
      </c>
      <c r="AD1591">
        <v>9</v>
      </c>
      <c r="AE1591" t="s">
        <v>1392</v>
      </c>
      <c r="AF1591">
        <v>40000000</v>
      </c>
      <c r="AG1591" t="s">
        <v>310</v>
      </c>
      <c r="AH1591">
        <f>SUM((MID(Dyno_Data[[#This Row],[Team]],4,5))+(Dyno_Data[[#This Row],[Match]]/100))</f>
        <v>7504.32</v>
      </c>
      <c r="AI1591" s="76">
        <f>ROUND(SUM(IF(Dyno_Data[[#This Row],[AcqCenter]]&gt;0,Dyno_Data[[#This Row],[Time]]-SUMIFS(Dyno_Data[Time],Dyno_Data[Team],Dyno_Data[[#This Row],[Team]],Dyno_Data[RecordType],"StartMatch",Dyno_Data[Match],Dyno_Data[[#This Row],[Match]]),0)*86400),0)</f>
        <v>0</v>
      </c>
    </row>
    <row r="1592" spans="1:35" x14ac:dyDescent="0.3">
      <c r="A1592">
        <v>1591</v>
      </c>
      <c r="B1592" t="s">
        <v>1302</v>
      </c>
      <c r="C1592">
        <v>32</v>
      </c>
      <c r="D1592" s="105">
        <v>45373.598657060182</v>
      </c>
      <c r="E1592" t="s">
        <v>1403</v>
      </c>
      <c r="F1592" t="s">
        <v>1402</v>
      </c>
      <c r="G1592">
        <v>0</v>
      </c>
      <c r="H1592" t="s">
        <v>310</v>
      </c>
      <c r="I1592">
        <v>0</v>
      </c>
      <c r="J1592">
        <v>0</v>
      </c>
      <c r="K1592">
        <v>0</v>
      </c>
      <c r="L1592" t="s">
        <v>310</v>
      </c>
      <c r="M1592" t="s">
        <v>310</v>
      </c>
      <c r="N1592">
        <v>0</v>
      </c>
      <c r="O1592" t="s">
        <v>1395</v>
      </c>
      <c r="P1592" t="s">
        <v>310</v>
      </c>
      <c r="Q1592" t="s">
        <v>310</v>
      </c>
      <c r="R1592" t="s">
        <v>310</v>
      </c>
      <c r="S1592">
        <v>9</v>
      </c>
      <c r="T1592" t="s">
        <v>310</v>
      </c>
      <c r="U1592">
        <v>9</v>
      </c>
      <c r="V1592">
        <v>9</v>
      </c>
      <c r="W1592">
        <v>0</v>
      </c>
      <c r="X1592">
        <v>0</v>
      </c>
      <c r="Y1592">
        <v>0</v>
      </c>
      <c r="Z1592">
        <v>0</v>
      </c>
      <c r="AA1592">
        <v>9</v>
      </c>
      <c r="AB1592">
        <v>9</v>
      </c>
      <c r="AC1592" t="s">
        <v>310</v>
      </c>
      <c r="AD1592">
        <v>9</v>
      </c>
      <c r="AE1592" t="s">
        <v>1396</v>
      </c>
      <c r="AF1592">
        <v>40000000</v>
      </c>
      <c r="AG1592" t="s">
        <v>249</v>
      </c>
      <c r="AH1592">
        <f>SUM((MID(Dyno_Data[[#This Row],[Team]],4,5))+(Dyno_Data[[#This Row],[Match]]/100))</f>
        <v>2095.3200000000002</v>
      </c>
      <c r="AI1592" s="76">
        <f>ROUND(SUM(IF(Dyno_Data[[#This Row],[AcqCenter]]&gt;0,Dyno_Data[[#This Row],[Time]]-SUMIFS(Dyno_Data[Time],Dyno_Data[Team],Dyno_Data[[#This Row],[Team]],Dyno_Data[RecordType],"StartMatch",Dyno_Data[Match],Dyno_Data[[#This Row],[Match]]),0)*86400),0)</f>
        <v>0</v>
      </c>
    </row>
    <row r="1593" spans="1:35" x14ac:dyDescent="0.3">
      <c r="A1593">
        <v>1592</v>
      </c>
      <c r="B1593" t="s">
        <v>1282</v>
      </c>
      <c r="C1593">
        <v>32</v>
      </c>
      <c r="D1593" s="105">
        <v>45373.598664351855</v>
      </c>
      <c r="E1593" t="s">
        <v>312</v>
      </c>
      <c r="F1593" t="s">
        <v>1402</v>
      </c>
      <c r="G1593">
        <v>0</v>
      </c>
      <c r="H1593" t="s">
        <v>315</v>
      </c>
      <c r="I1593">
        <v>0</v>
      </c>
      <c r="J1593">
        <v>0</v>
      </c>
      <c r="K1593">
        <v>0</v>
      </c>
      <c r="L1593" t="s">
        <v>241</v>
      </c>
      <c r="M1593" t="s">
        <v>1398</v>
      </c>
      <c r="N1593">
        <v>0</v>
      </c>
      <c r="O1593" t="s">
        <v>319</v>
      </c>
      <c r="P1593" t="s">
        <v>310</v>
      </c>
      <c r="Q1593" t="s">
        <v>310</v>
      </c>
      <c r="R1593" t="s">
        <v>310</v>
      </c>
      <c r="S1593">
        <v>9</v>
      </c>
      <c r="T1593" t="s">
        <v>310</v>
      </c>
      <c r="U1593">
        <v>9</v>
      </c>
      <c r="V1593">
        <v>9</v>
      </c>
      <c r="W1593">
        <v>0</v>
      </c>
      <c r="X1593">
        <v>0</v>
      </c>
      <c r="Y1593">
        <v>0</v>
      </c>
      <c r="Z1593">
        <v>0</v>
      </c>
      <c r="AA1593">
        <v>9</v>
      </c>
      <c r="AB1593">
        <v>9</v>
      </c>
      <c r="AC1593" t="s">
        <v>310</v>
      </c>
      <c r="AD1593">
        <v>9</v>
      </c>
      <c r="AE1593" t="s">
        <v>1387</v>
      </c>
      <c r="AF1593">
        <v>50000000</v>
      </c>
      <c r="AG1593" t="s">
        <v>310</v>
      </c>
      <c r="AH1593">
        <f>SUM((MID(Dyno_Data[[#This Row],[Team]],4,5))+(Dyno_Data[[#This Row],[Match]]/100))</f>
        <v>333.32</v>
      </c>
      <c r="AI1593" s="76">
        <f>ROUND(SUM(IF(Dyno_Data[[#This Row],[AcqCenter]]&gt;0,Dyno_Data[[#This Row],[Time]]-SUMIFS(Dyno_Data[Time],Dyno_Data[Team],Dyno_Data[[#This Row],[Team]],Dyno_Data[RecordType],"StartMatch",Dyno_Data[Match],Dyno_Data[[#This Row],[Match]]),0)*86400),0)</f>
        <v>0</v>
      </c>
    </row>
    <row r="1594" spans="1:35" x14ac:dyDescent="0.3">
      <c r="A1594">
        <v>1593</v>
      </c>
      <c r="B1594" t="s">
        <v>1295</v>
      </c>
      <c r="C1594">
        <v>32</v>
      </c>
      <c r="D1594" s="105">
        <v>45373.598725844909</v>
      </c>
      <c r="E1594" t="s">
        <v>312</v>
      </c>
      <c r="F1594" t="s">
        <v>1402</v>
      </c>
      <c r="G1594">
        <v>0</v>
      </c>
      <c r="H1594" t="s">
        <v>315</v>
      </c>
      <c r="I1594">
        <v>0</v>
      </c>
      <c r="J1594">
        <v>0</v>
      </c>
      <c r="K1594">
        <v>0</v>
      </c>
      <c r="L1594" t="s">
        <v>241</v>
      </c>
      <c r="M1594" t="s">
        <v>1398</v>
      </c>
      <c r="N1594">
        <v>0</v>
      </c>
      <c r="O1594" t="s">
        <v>1393</v>
      </c>
      <c r="P1594" t="s">
        <v>310</v>
      </c>
      <c r="Q1594" t="s">
        <v>310</v>
      </c>
      <c r="R1594" t="s">
        <v>310</v>
      </c>
      <c r="S1594">
        <v>9</v>
      </c>
      <c r="T1594" t="s">
        <v>310</v>
      </c>
      <c r="U1594">
        <v>9</v>
      </c>
      <c r="V1594">
        <v>9</v>
      </c>
      <c r="W1594">
        <v>0</v>
      </c>
      <c r="X1594">
        <v>0</v>
      </c>
      <c r="Y1594">
        <v>0</v>
      </c>
      <c r="Z1594">
        <v>0</v>
      </c>
      <c r="AA1594">
        <v>9</v>
      </c>
      <c r="AB1594">
        <v>9</v>
      </c>
      <c r="AC1594" t="s">
        <v>310</v>
      </c>
      <c r="AD1594">
        <v>9</v>
      </c>
      <c r="AE1594" t="s">
        <v>1394</v>
      </c>
      <c r="AF1594">
        <v>110000000</v>
      </c>
      <c r="AG1594" t="s">
        <v>310</v>
      </c>
      <c r="AH1594">
        <f>SUM((MID(Dyno_Data[[#This Row],[Team]],4,5))+(Dyno_Data[[#This Row],[Match]]/100))</f>
        <v>6300.32</v>
      </c>
      <c r="AI1594" s="76">
        <f>ROUND(SUM(IF(Dyno_Data[[#This Row],[AcqCenter]]&gt;0,Dyno_Data[[#This Row],[Time]]-SUMIFS(Dyno_Data[Time],Dyno_Data[Team],Dyno_Data[[#This Row],[Team]],Dyno_Data[RecordType],"StartMatch",Dyno_Data[Match],Dyno_Data[[#This Row],[Match]]),0)*86400),0)</f>
        <v>0</v>
      </c>
    </row>
    <row r="1595" spans="1:35" x14ac:dyDescent="0.3">
      <c r="A1595">
        <v>1594</v>
      </c>
      <c r="B1595" t="s">
        <v>372</v>
      </c>
      <c r="C1595">
        <v>32</v>
      </c>
      <c r="D1595" s="105">
        <v>45373.60000046296</v>
      </c>
      <c r="E1595" t="s">
        <v>316</v>
      </c>
      <c r="F1595" t="s">
        <v>317</v>
      </c>
      <c r="G1595">
        <v>0</v>
      </c>
      <c r="H1595" t="s">
        <v>310</v>
      </c>
      <c r="I1595">
        <v>0</v>
      </c>
      <c r="J1595">
        <v>0</v>
      </c>
      <c r="K1595">
        <v>0</v>
      </c>
      <c r="L1595" t="s">
        <v>310</v>
      </c>
      <c r="M1595" t="s">
        <v>310</v>
      </c>
      <c r="N1595">
        <v>0</v>
      </c>
      <c r="O1595" t="s">
        <v>311</v>
      </c>
      <c r="P1595" t="s">
        <v>101</v>
      </c>
      <c r="Q1595" t="s">
        <v>1400</v>
      </c>
      <c r="R1595" t="s">
        <v>1405</v>
      </c>
      <c r="S1595">
        <v>1</v>
      </c>
      <c r="T1595" t="s">
        <v>1406</v>
      </c>
      <c r="U1595">
        <v>0</v>
      </c>
      <c r="V1595">
        <v>0</v>
      </c>
      <c r="W1595">
        <v>10.257351399999999</v>
      </c>
      <c r="X1595">
        <v>14.0303176</v>
      </c>
      <c r="Y1595">
        <v>27.6851141</v>
      </c>
      <c r="Z1595">
        <v>64.021109600000003</v>
      </c>
      <c r="AA1595">
        <v>0</v>
      </c>
      <c r="AB1595">
        <v>2</v>
      </c>
      <c r="AC1595" t="s">
        <v>174</v>
      </c>
      <c r="AD1595">
        <v>9</v>
      </c>
      <c r="AE1595" t="s">
        <v>1392</v>
      </c>
      <c r="AF1595">
        <v>40000000</v>
      </c>
      <c r="AG1595" t="s">
        <v>310</v>
      </c>
      <c r="AH1595">
        <f>SUM((MID(Dyno_Data[[#This Row],[Team]],4,5))+(Dyno_Data[[#This Row],[Match]]/100))</f>
        <v>7504.32</v>
      </c>
      <c r="AI1595" s="76">
        <f>ROUND(SUM(IF(Dyno_Data[[#This Row],[AcqCenter]]&gt;0,Dyno_Data[[#This Row],[Time]]-SUMIFS(Dyno_Data[Time],Dyno_Data[Team],Dyno_Data[[#This Row],[Team]],Dyno_Data[RecordType],"StartMatch",Dyno_Data[Match],Dyno_Data[[#This Row],[Match]]),0)*86400),0)</f>
        <v>0</v>
      </c>
    </row>
    <row r="1596" spans="1:35" x14ac:dyDescent="0.3">
      <c r="A1596">
        <v>1595</v>
      </c>
      <c r="B1596" t="s">
        <v>1277</v>
      </c>
      <c r="C1596">
        <v>32</v>
      </c>
      <c r="D1596" s="105">
        <v>45373.600000613427</v>
      </c>
      <c r="E1596" t="s">
        <v>316</v>
      </c>
      <c r="F1596" t="s">
        <v>317</v>
      </c>
      <c r="G1596">
        <v>0</v>
      </c>
      <c r="H1596" t="s">
        <v>310</v>
      </c>
      <c r="I1596">
        <v>0</v>
      </c>
      <c r="J1596">
        <v>0</v>
      </c>
      <c r="K1596">
        <v>0</v>
      </c>
      <c r="L1596" t="s">
        <v>310</v>
      </c>
      <c r="M1596" t="s">
        <v>310</v>
      </c>
      <c r="N1596">
        <v>0</v>
      </c>
      <c r="O1596" t="s">
        <v>1391</v>
      </c>
      <c r="P1596" t="s">
        <v>240</v>
      </c>
      <c r="Q1596" t="s">
        <v>1399</v>
      </c>
      <c r="R1596" t="s">
        <v>1405</v>
      </c>
      <c r="S1596">
        <v>1</v>
      </c>
      <c r="T1596" t="s">
        <v>1407</v>
      </c>
      <c r="U1596">
        <v>0</v>
      </c>
      <c r="V1596">
        <v>0</v>
      </c>
      <c r="W1596">
        <v>15.373867899999999</v>
      </c>
      <c r="X1596">
        <v>29.8127107</v>
      </c>
      <c r="Y1596">
        <v>28.553922999999998</v>
      </c>
      <c r="Z1596">
        <v>44.324375499999995</v>
      </c>
      <c r="AA1596">
        <v>0</v>
      </c>
      <c r="AB1596">
        <v>0</v>
      </c>
      <c r="AC1596" t="s">
        <v>174</v>
      </c>
      <c r="AD1596">
        <v>0</v>
      </c>
      <c r="AE1596" t="s">
        <v>1390</v>
      </c>
      <c r="AF1596">
        <v>70000000</v>
      </c>
      <c r="AG1596" t="s">
        <v>310</v>
      </c>
      <c r="AH1596">
        <f>SUM((MID(Dyno_Data[[#This Row],[Team]],4,5))+(Dyno_Data[[#This Row],[Match]]/100))</f>
        <v>3360.32</v>
      </c>
      <c r="AI1596" s="76">
        <f>ROUND(SUM(IF(Dyno_Data[[#This Row],[AcqCenter]]&gt;0,Dyno_Data[[#This Row],[Time]]-SUMIFS(Dyno_Data[Time],Dyno_Data[Team],Dyno_Data[[#This Row],[Team]],Dyno_Data[RecordType],"StartMatch",Dyno_Data[Match],Dyno_Data[[#This Row],[Match]]),0)*86400),0)</f>
        <v>0</v>
      </c>
    </row>
    <row r="1597" spans="1:35" x14ac:dyDescent="0.3">
      <c r="A1597">
        <v>1596</v>
      </c>
      <c r="B1597" t="s">
        <v>1282</v>
      </c>
      <c r="C1597">
        <v>32</v>
      </c>
      <c r="D1597" s="105">
        <v>45373.600000694445</v>
      </c>
      <c r="E1597" t="s">
        <v>316</v>
      </c>
      <c r="F1597" t="s">
        <v>317</v>
      </c>
      <c r="G1597">
        <v>1</v>
      </c>
      <c r="H1597" t="s">
        <v>310</v>
      </c>
      <c r="I1597">
        <v>0</v>
      </c>
      <c r="J1597">
        <v>0</v>
      </c>
      <c r="K1597">
        <v>0</v>
      </c>
      <c r="L1597" t="s">
        <v>310</v>
      </c>
      <c r="M1597" t="s">
        <v>310</v>
      </c>
      <c r="N1597">
        <v>0</v>
      </c>
      <c r="O1597" t="s">
        <v>319</v>
      </c>
      <c r="P1597" t="s">
        <v>1401</v>
      </c>
      <c r="Q1597" t="s">
        <v>1400</v>
      </c>
      <c r="R1597" t="s">
        <v>1404</v>
      </c>
      <c r="S1597">
        <v>-1</v>
      </c>
      <c r="T1597" t="s">
        <v>105</v>
      </c>
      <c r="U1597">
        <v>9</v>
      </c>
      <c r="V1597">
        <v>9</v>
      </c>
      <c r="W1597">
        <v>15.0580786</v>
      </c>
      <c r="X1597">
        <v>45.789717099999997</v>
      </c>
      <c r="Y1597">
        <v>21.757945899999999</v>
      </c>
      <c r="Z1597">
        <v>37.056694899999997</v>
      </c>
      <c r="AA1597">
        <v>0</v>
      </c>
      <c r="AB1597">
        <v>0</v>
      </c>
      <c r="AC1597" t="s">
        <v>174</v>
      </c>
      <c r="AD1597">
        <v>9</v>
      </c>
      <c r="AE1597" t="s">
        <v>1387</v>
      </c>
      <c r="AF1597">
        <v>50000000</v>
      </c>
      <c r="AG1597" t="s">
        <v>310</v>
      </c>
      <c r="AH1597">
        <f>SUM((MID(Dyno_Data[[#This Row],[Team]],4,5))+(Dyno_Data[[#This Row],[Match]]/100))</f>
        <v>333.32</v>
      </c>
      <c r="AI1597" s="76">
        <f>ROUND(SUM(IF(Dyno_Data[[#This Row],[AcqCenter]]&gt;0,Dyno_Data[[#This Row],[Time]]-SUMIFS(Dyno_Data[Time],Dyno_Data[Team],Dyno_Data[[#This Row],[Team]],Dyno_Data[RecordType],"StartMatch",Dyno_Data[Match],Dyno_Data[[#This Row],[Match]]),0)*86400),0)</f>
        <v>0</v>
      </c>
    </row>
    <row r="1598" spans="1:35" x14ac:dyDescent="0.3">
      <c r="A1598">
        <v>1597</v>
      </c>
      <c r="B1598" t="s">
        <v>1295</v>
      </c>
      <c r="C1598">
        <v>32</v>
      </c>
      <c r="D1598" s="105">
        <v>45373.600000810184</v>
      </c>
      <c r="E1598" t="s">
        <v>316</v>
      </c>
      <c r="F1598" t="s">
        <v>317</v>
      </c>
      <c r="G1598">
        <v>1</v>
      </c>
      <c r="H1598" t="s">
        <v>310</v>
      </c>
      <c r="I1598">
        <v>0</v>
      </c>
      <c r="J1598">
        <v>0</v>
      </c>
      <c r="K1598">
        <v>0</v>
      </c>
      <c r="L1598" t="s">
        <v>310</v>
      </c>
      <c r="M1598" t="s">
        <v>310</v>
      </c>
      <c r="N1598">
        <v>0</v>
      </c>
      <c r="O1598" t="s">
        <v>1393</v>
      </c>
      <c r="P1598" t="s">
        <v>101</v>
      </c>
      <c r="Q1598" t="s">
        <v>1400</v>
      </c>
      <c r="R1598" t="s">
        <v>1405</v>
      </c>
      <c r="S1598">
        <v>1</v>
      </c>
      <c r="T1598" t="s">
        <v>1409</v>
      </c>
      <c r="U1598">
        <v>0</v>
      </c>
      <c r="V1598">
        <v>0</v>
      </c>
      <c r="W1598">
        <v>2.9993422999999999</v>
      </c>
      <c r="X1598">
        <v>32.222245100000002</v>
      </c>
      <c r="Y1598">
        <v>18.896991699999997</v>
      </c>
      <c r="Z1598">
        <v>62.743969499999999</v>
      </c>
      <c r="AA1598">
        <v>0</v>
      </c>
      <c r="AB1598">
        <v>0</v>
      </c>
      <c r="AC1598" t="s">
        <v>174</v>
      </c>
      <c r="AD1598">
        <v>9</v>
      </c>
      <c r="AE1598" t="s">
        <v>1394</v>
      </c>
      <c r="AF1598">
        <v>110000000</v>
      </c>
      <c r="AG1598" t="s">
        <v>310</v>
      </c>
      <c r="AH1598">
        <f>SUM((MID(Dyno_Data[[#This Row],[Team]],4,5))+(Dyno_Data[[#This Row],[Match]]/100))</f>
        <v>6300.32</v>
      </c>
      <c r="AI1598" s="76">
        <f>ROUND(SUM(IF(Dyno_Data[[#This Row],[AcqCenter]]&gt;0,Dyno_Data[[#This Row],[Time]]-SUMIFS(Dyno_Data[Time],Dyno_Data[Team],Dyno_Data[[#This Row],[Team]],Dyno_Data[RecordType],"StartMatch",Dyno_Data[Match],Dyno_Data[[#This Row],[Match]]),0)*86400),0)</f>
        <v>0</v>
      </c>
    </row>
    <row r="1599" spans="1:35" x14ac:dyDescent="0.3">
      <c r="A1599">
        <v>1598</v>
      </c>
      <c r="B1599" t="s">
        <v>1288</v>
      </c>
      <c r="C1599">
        <v>32</v>
      </c>
      <c r="D1599" s="105">
        <v>45373.600000925922</v>
      </c>
      <c r="E1599" t="s">
        <v>316</v>
      </c>
      <c r="F1599" t="s">
        <v>317</v>
      </c>
      <c r="G1599">
        <v>1</v>
      </c>
      <c r="H1599" t="s">
        <v>310</v>
      </c>
      <c r="I1599">
        <v>0</v>
      </c>
      <c r="J1599">
        <v>0</v>
      </c>
      <c r="K1599">
        <v>0</v>
      </c>
      <c r="L1599" t="s">
        <v>310</v>
      </c>
      <c r="M1599" t="s">
        <v>310</v>
      </c>
      <c r="N1599">
        <v>0</v>
      </c>
      <c r="O1599" t="s">
        <v>1389</v>
      </c>
      <c r="P1599" t="s">
        <v>1401</v>
      </c>
      <c r="Q1599" t="s">
        <v>1399</v>
      </c>
      <c r="R1599" t="s">
        <v>1405</v>
      </c>
      <c r="S1599">
        <v>1</v>
      </c>
      <c r="T1599" t="s">
        <v>1406</v>
      </c>
      <c r="U1599">
        <v>0</v>
      </c>
      <c r="V1599">
        <v>0</v>
      </c>
      <c r="W1599">
        <v>11.739989399999999</v>
      </c>
      <c r="X1599">
        <v>27.645032399999998</v>
      </c>
      <c r="Y1599">
        <v>19.1312949</v>
      </c>
      <c r="Z1599">
        <v>70.838421099999991</v>
      </c>
      <c r="AA1599">
        <v>0</v>
      </c>
      <c r="AB1599">
        <v>1</v>
      </c>
      <c r="AC1599" t="s">
        <v>174</v>
      </c>
      <c r="AD1599">
        <v>0</v>
      </c>
      <c r="AE1599" t="s">
        <v>1388</v>
      </c>
      <c r="AF1599">
        <v>50000000</v>
      </c>
      <c r="AG1599" t="s">
        <v>310</v>
      </c>
      <c r="AH1599">
        <f>SUM((MID(Dyno_Data[[#This Row],[Team]],4,5))+(Dyno_Data[[#This Row],[Match]]/100))</f>
        <v>3181.32</v>
      </c>
      <c r="AI1599" s="76">
        <f>ROUND(SUM(IF(Dyno_Data[[#This Row],[AcqCenter]]&gt;0,Dyno_Data[[#This Row],[Time]]-SUMIFS(Dyno_Data[Time],Dyno_Data[Team],Dyno_Data[[#This Row],[Team]],Dyno_Data[RecordType],"StartMatch",Dyno_Data[Match],Dyno_Data[[#This Row],[Match]]),0)*86400),0)</f>
        <v>0</v>
      </c>
    </row>
    <row r="1600" spans="1:35" x14ac:dyDescent="0.3">
      <c r="A1600">
        <v>1599</v>
      </c>
      <c r="B1600" t="s">
        <v>1302</v>
      </c>
      <c r="C1600">
        <v>32</v>
      </c>
      <c r="D1600" s="105">
        <v>45373.600001006947</v>
      </c>
      <c r="E1600" t="s">
        <v>316</v>
      </c>
      <c r="F1600" t="s">
        <v>317</v>
      </c>
      <c r="G1600">
        <v>1</v>
      </c>
      <c r="H1600" t="s">
        <v>310</v>
      </c>
      <c r="I1600">
        <v>0</v>
      </c>
      <c r="J1600">
        <v>0</v>
      </c>
      <c r="K1600">
        <v>0</v>
      </c>
      <c r="L1600" t="s">
        <v>310</v>
      </c>
      <c r="M1600" t="s">
        <v>310</v>
      </c>
      <c r="N1600">
        <v>0</v>
      </c>
      <c r="O1600" t="s">
        <v>1395</v>
      </c>
      <c r="P1600" t="s">
        <v>320</v>
      </c>
      <c r="Q1600" t="s">
        <v>1400</v>
      </c>
      <c r="R1600" t="s">
        <v>321</v>
      </c>
      <c r="S1600">
        <v>0</v>
      </c>
      <c r="T1600" t="s">
        <v>105</v>
      </c>
      <c r="U1600">
        <v>9</v>
      </c>
      <c r="V1600">
        <v>9</v>
      </c>
      <c r="W1600">
        <v>0</v>
      </c>
      <c r="X1600">
        <v>69.455333600000003</v>
      </c>
      <c r="Y1600">
        <v>11.1351985</v>
      </c>
      <c r="Z1600">
        <v>52.412488199999999</v>
      </c>
      <c r="AA1600">
        <v>2</v>
      </c>
      <c r="AB1600">
        <v>0</v>
      </c>
      <c r="AC1600" t="s">
        <v>174</v>
      </c>
      <c r="AD1600">
        <v>9</v>
      </c>
      <c r="AE1600" t="s">
        <v>1396</v>
      </c>
      <c r="AF1600">
        <v>20000000</v>
      </c>
      <c r="AG1600" t="s">
        <v>310</v>
      </c>
      <c r="AH1600">
        <f>SUM((MID(Dyno_Data[[#This Row],[Team]],4,5))+(Dyno_Data[[#This Row],[Match]]/100))</f>
        <v>2095.3200000000002</v>
      </c>
      <c r="AI1600" s="76">
        <f>ROUND(SUM(IF(Dyno_Data[[#This Row],[AcqCenter]]&gt;0,Dyno_Data[[#This Row],[Time]]-SUMIFS(Dyno_Data[Time],Dyno_Data[Team],Dyno_Data[[#This Row],[Team]],Dyno_Data[RecordType],"StartMatch",Dyno_Data[Match],Dyno_Data[[#This Row],[Match]]),0)*86400),0)</f>
        <v>0</v>
      </c>
    </row>
    <row r="1601" spans="1:35" x14ac:dyDescent="0.3">
      <c r="A1601">
        <v>1607</v>
      </c>
      <c r="B1601" t="s">
        <v>1278</v>
      </c>
      <c r="C1601">
        <v>33</v>
      </c>
      <c r="D1601" s="105">
        <v>45373.604519363427</v>
      </c>
      <c r="E1601" t="s">
        <v>308</v>
      </c>
      <c r="F1601" t="s">
        <v>309</v>
      </c>
      <c r="G1601">
        <v>0</v>
      </c>
      <c r="H1601" t="s">
        <v>310</v>
      </c>
      <c r="I1601">
        <v>0</v>
      </c>
      <c r="J1601">
        <v>0</v>
      </c>
      <c r="K1601">
        <v>0</v>
      </c>
      <c r="L1601" t="s">
        <v>310</v>
      </c>
      <c r="M1601" t="s">
        <v>310</v>
      </c>
      <c r="N1601">
        <v>0</v>
      </c>
      <c r="O1601" t="s">
        <v>1389</v>
      </c>
      <c r="P1601" t="s">
        <v>310</v>
      </c>
      <c r="Q1601" t="s">
        <v>310</v>
      </c>
      <c r="R1601" t="s">
        <v>310</v>
      </c>
      <c r="S1601">
        <v>9</v>
      </c>
      <c r="T1601" t="s">
        <v>310</v>
      </c>
      <c r="U1601">
        <v>9</v>
      </c>
      <c r="V1601">
        <v>9</v>
      </c>
      <c r="W1601">
        <v>0</v>
      </c>
      <c r="X1601">
        <v>0</v>
      </c>
      <c r="Y1601">
        <v>0</v>
      </c>
      <c r="Z1601">
        <v>0</v>
      </c>
      <c r="AA1601">
        <v>9</v>
      </c>
      <c r="AB1601">
        <v>9</v>
      </c>
      <c r="AC1601" t="s">
        <v>310</v>
      </c>
      <c r="AD1601">
        <v>9</v>
      </c>
      <c r="AE1601" t="s">
        <v>1388</v>
      </c>
      <c r="AF1601">
        <v>10000000</v>
      </c>
      <c r="AG1601" t="s">
        <v>310</v>
      </c>
      <c r="AH1601">
        <f>SUM((MID(Dyno_Data[[#This Row],[Team]],4,5))+(Dyno_Data[[#This Row],[Match]]/100))</f>
        <v>3951.33</v>
      </c>
      <c r="AI1601" s="76">
        <f>ROUND(SUM(IF(Dyno_Data[[#This Row],[AcqCenter]]&gt;0,Dyno_Data[[#This Row],[Time]]-SUMIFS(Dyno_Data[Time],Dyno_Data[Team],Dyno_Data[[#This Row],[Team]],Dyno_Data[RecordType],"StartMatch",Dyno_Data[Match],Dyno_Data[[#This Row],[Match]]),0)*86400),0)</f>
        <v>0</v>
      </c>
    </row>
    <row r="1602" spans="1:35" x14ac:dyDescent="0.3">
      <c r="A1602">
        <v>1609</v>
      </c>
      <c r="B1602" t="s">
        <v>1284</v>
      </c>
      <c r="C1602">
        <v>33</v>
      </c>
      <c r="D1602" s="105">
        <v>45373.604520104163</v>
      </c>
      <c r="E1602" t="s">
        <v>308</v>
      </c>
      <c r="F1602" t="s">
        <v>309</v>
      </c>
      <c r="G1602">
        <v>0</v>
      </c>
      <c r="H1602" t="s">
        <v>310</v>
      </c>
      <c r="I1602">
        <v>0</v>
      </c>
      <c r="J1602">
        <v>0</v>
      </c>
      <c r="K1602">
        <v>0</v>
      </c>
      <c r="L1602" t="s">
        <v>310</v>
      </c>
      <c r="M1602" t="s">
        <v>310</v>
      </c>
      <c r="N1602">
        <v>0</v>
      </c>
      <c r="O1602" t="s">
        <v>319</v>
      </c>
      <c r="P1602" t="s">
        <v>310</v>
      </c>
      <c r="Q1602" t="s">
        <v>310</v>
      </c>
      <c r="R1602" t="s">
        <v>310</v>
      </c>
      <c r="S1602">
        <v>9</v>
      </c>
      <c r="T1602" t="s">
        <v>310</v>
      </c>
      <c r="U1602">
        <v>9</v>
      </c>
      <c r="V1602">
        <v>9</v>
      </c>
      <c r="W1602">
        <v>0</v>
      </c>
      <c r="X1602">
        <v>0</v>
      </c>
      <c r="Y1602">
        <v>0</v>
      </c>
      <c r="Z1602">
        <v>0</v>
      </c>
      <c r="AA1602">
        <v>9</v>
      </c>
      <c r="AB1602">
        <v>9</v>
      </c>
      <c r="AC1602" t="s">
        <v>310</v>
      </c>
      <c r="AD1602">
        <v>9</v>
      </c>
      <c r="AE1602" t="s">
        <v>1387</v>
      </c>
      <c r="AF1602">
        <v>0</v>
      </c>
      <c r="AG1602" t="s">
        <v>310</v>
      </c>
      <c r="AH1602">
        <f>SUM((MID(Dyno_Data[[#This Row],[Team]],4,5))+(Dyno_Data[[#This Row],[Match]]/100))</f>
        <v>5590.33</v>
      </c>
      <c r="AI1602" s="76">
        <f>ROUND(SUM(IF(Dyno_Data[[#This Row],[AcqCenter]]&gt;0,Dyno_Data[[#This Row],[Time]]-SUMIFS(Dyno_Data[Time],Dyno_Data[Team],Dyno_Data[[#This Row],[Team]],Dyno_Data[RecordType],"StartMatch",Dyno_Data[Match],Dyno_Data[[#This Row],[Match]]),0)*86400),0)</f>
        <v>0</v>
      </c>
    </row>
    <row r="1603" spans="1:35" x14ac:dyDescent="0.3">
      <c r="A1603">
        <v>1611</v>
      </c>
      <c r="B1603" t="s">
        <v>1310</v>
      </c>
      <c r="C1603">
        <v>33</v>
      </c>
      <c r="D1603" s="105">
        <v>45373.604521493056</v>
      </c>
      <c r="E1603" t="s">
        <v>308</v>
      </c>
      <c r="F1603" t="s">
        <v>309</v>
      </c>
      <c r="G1603">
        <v>0</v>
      </c>
      <c r="H1603" t="s">
        <v>310</v>
      </c>
      <c r="I1603">
        <v>0</v>
      </c>
      <c r="J1603">
        <v>0</v>
      </c>
      <c r="K1603">
        <v>0</v>
      </c>
      <c r="L1603" t="s">
        <v>310</v>
      </c>
      <c r="M1603" t="s">
        <v>310</v>
      </c>
      <c r="N1603">
        <v>0</v>
      </c>
      <c r="O1603" t="s">
        <v>1395</v>
      </c>
      <c r="P1603" t="s">
        <v>310</v>
      </c>
      <c r="Q1603" t="s">
        <v>310</v>
      </c>
      <c r="R1603" t="s">
        <v>310</v>
      </c>
      <c r="S1603">
        <v>9</v>
      </c>
      <c r="T1603" t="s">
        <v>310</v>
      </c>
      <c r="U1603">
        <v>9</v>
      </c>
      <c r="V1603">
        <v>9</v>
      </c>
      <c r="W1603">
        <v>0</v>
      </c>
      <c r="X1603">
        <v>0</v>
      </c>
      <c r="Y1603">
        <v>0</v>
      </c>
      <c r="Z1603">
        <v>0</v>
      </c>
      <c r="AA1603">
        <v>9</v>
      </c>
      <c r="AB1603">
        <v>9</v>
      </c>
      <c r="AC1603" t="s">
        <v>310</v>
      </c>
      <c r="AD1603">
        <v>9</v>
      </c>
      <c r="AE1603" t="s">
        <v>1396</v>
      </c>
      <c r="AF1603">
        <v>0</v>
      </c>
      <c r="AG1603" t="s">
        <v>310</v>
      </c>
      <c r="AH1603">
        <f>SUM((MID(Dyno_Data[[#This Row],[Team]],4,5))+(Dyno_Data[[#This Row],[Match]]/100))</f>
        <v>6621.33</v>
      </c>
      <c r="AI1603" s="76">
        <f>ROUND(SUM(IF(Dyno_Data[[#This Row],[AcqCenter]]&gt;0,Dyno_Data[[#This Row],[Time]]-SUMIFS(Dyno_Data[Time],Dyno_Data[Team],Dyno_Data[[#This Row],[Team]],Dyno_Data[RecordType],"StartMatch",Dyno_Data[Match],Dyno_Data[[#This Row],[Match]]),0)*86400),0)</f>
        <v>0</v>
      </c>
    </row>
    <row r="1604" spans="1:35" x14ac:dyDescent="0.3">
      <c r="A1604">
        <v>1613</v>
      </c>
      <c r="B1604" t="s">
        <v>373</v>
      </c>
      <c r="C1604">
        <v>33</v>
      </c>
      <c r="D1604" s="105">
        <v>45373.604527546297</v>
      </c>
      <c r="E1604" t="s">
        <v>308</v>
      </c>
      <c r="F1604" t="s">
        <v>309</v>
      </c>
      <c r="G1604">
        <v>0</v>
      </c>
      <c r="H1604" t="s">
        <v>310</v>
      </c>
      <c r="I1604">
        <v>0</v>
      </c>
      <c r="J1604">
        <v>0</v>
      </c>
      <c r="K1604">
        <v>0</v>
      </c>
      <c r="L1604" t="s">
        <v>310</v>
      </c>
      <c r="M1604" t="s">
        <v>310</v>
      </c>
      <c r="N1604">
        <v>0</v>
      </c>
      <c r="O1604" t="s">
        <v>1393</v>
      </c>
      <c r="P1604" t="s">
        <v>310</v>
      </c>
      <c r="Q1604" t="s">
        <v>310</v>
      </c>
      <c r="R1604" t="s">
        <v>310</v>
      </c>
      <c r="S1604">
        <v>9</v>
      </c>
      <c r="T1604" t="s">
        <v>310</v>
      </c>
      <c r="U1604">
        <v>9</v>
      </c>
      <c r="V1604">
        <v>9</v>
      </c>
      <c r="W1604">
        <v>0</v>
      </c>
      <c r="X1604">
        <v>0</v>
      </c>
      <c r="Y1604">
        <v>0</v>
      </c>
      <c r="Z1604">
        <v>0</v>
      </c>
      <c r="AA1604">
        <v>9</v>
      </c>
      <c r="AB1604">
        <v>9</v>
      </c>
      <c r="AC1604" t="s">
        <v>310</v>
      </c>
      <c r="AD1604">
        <v>9</v>
      </c>
      <c r="AE1604" t="s">
        <v>1394</v>
      </c>
      <c r="AF1604">
        <v>0</v>
      </c>
      <c r="AG1604" t="s">
        <v>310</v>
      </c>
      <c r="AH1604">
        <f>SUM((MID(Dyno_Data[[#This Row],[Team]],4,5))+(Dyno_Data[[#This Row],[Match]]/100))</f>
        <v>7718.33</v>
      </c>
      <c r="AI1604" s="76">
        <f>ROUND(SUM(IF(Dyno_Data[[#This Row],[AcqCenter]]&gt;0,Dyno_Data[[#This Row],[Time]]-SUMIFS(Dyno_Data[Time],Dyno_Data[Team],Dyno_Data[[#This Row],[Team]],Dyno_Data[RecordType],"StartMatch",Dyno_Data[Match],Dyno_Data[[#This Row],[Match]]),0)*86400),0)</f>
        <v>0</v>
      </c>
    </row>
    <row r="1605" spans="1:35" x14ac:dyDescent="0.3">
      <c r="A1605">
        <v>1615</v>
      </c>
      <c r="B1605" t="s">
        <v>1300</v>
      </c>
      <c r="C1605">
        <v>33</v>
      </c>
      <c r="D1605" s="105">
        <v>45373.60453109954</v>
      </c>
      <c r="E1605" t="s">
        <v>308</v>
      </c>
      <c r="F1605" t="s">
        <v>309</v>
      </c>
      <c r="G1605">
        <v>0</v>
      </c>
      <c r="H1605" t="s">
        <v>310</v>
      </c>
      <c r="I1605">
        <v>0</v>
      </c>
      <c r="J1605">
        <v>0</v>
      </c>
      <c r="K1605">
        <v>0</v>
      </c>
      <c r="L1605" t="s">
        <v>310</v>
      </c>
      <c r="M1605" t="s">
        <v>310</v>
      </c>
      <c r="N1605">
        <v>0</v>
      </c>
      <c r="O1605" t="s">
        <v>311</v>
      </c>
      <c r="P1605" t="s">
        <v>310</v>
      </c>
      <c r="Q1605" t="s">
        <v>310</v>
      </c>
      <c r="R1605" t="s">
        <v>310</v>
      </c>
      <c r="S1605">
        <v>9</v>
      </c>
      <c r="T1605" t="s">
        <v>310</v>
      </c>
      <c r="U1605">
        <v>9</v>
      </c>
      <c r="V1605">
        <v>9</v>
      </c>
      <c r="W1605">
        <v>0</v>
      </c>
      <c r="X1605">
        <v>0</v>
      </c>
      <c r="Y1605">
        <v>0</v>
      </c>
      <c r="Z1605">
        <v>0</v>
      </c>
      <c r="AA1605">
        <v>9</v>
      </c>
      <c r="AB1605">
        <v>9</v>
      </c>
      <c r="AC1605" t="s">
        <v>310</v>
      </c>
      <c r="AD1605">
        <v>9</v>
      </c>
      <c r="AE1605" t="s">
        <v>1392</v>
      </c>
      <c r="AF1605">
        <v>20000000</v>
      </c>
      <c r="AG1605" t="s">
        <v>310</v>
      </c>
      <c r="AH1605">
        <f>SUM((MID(Dyno_Data[[#This Row],[Team]],4,5))+(Dyno_Data[[#This Row],[Match]]/100))</f>
        <v>3044.33</v>
      </c>
      <c r="AI1605" s="76">
        <f>ROUND(SUM(IF(Dyno_Data[[#This Row],[AcqCenter]]&gt;0,Dyno_Data[[#This Row],[Time]]-SUMIFS(Dyno_Data[Time],Dyno_Data[Team],Dyno_Data[[#This Row],[Team]],Dyno_Data[RecordType],"StartMatch",Dyno_Data[Match],Dyno_Data[[#This Row],[Match]]),0)*86400),0)</f>
        <v>0</v>
      </c>
    </row>
    <row r="1606" spans="1:35" x14ac:dyDescent="0.3">
      <c r="A1606">
        <v>1617</v>
      </c>
      <c r="B1606" t="s">
        <v>1289</v>
      </c>
      <c r="C1606">
        <v>33</v>
      </c>
      <c r="D1606" s="105">
        <v>45373.604532523146</v>
      </c>
      <c r="E1606" t="s">
        <v>308</v>
      </c>
      <c r="F1606" t="s">
        <v>309</v>
      </c>
      <c r="G1606">
        <v>0</v>
      </c>
      <c r="H1606" t="s">
        <v>310</v>
      </c>
      <c r="I1606">
        <v>0</v>
      </c>
      <c r="J1606">
        <v>0</v>
      </c>
      <c r="K1606">
        <v>0</v>
      </c>
      <c r="L1606" t="s">
        <v>310</v>
      </c>
      <c r="M1606" t="s">
        <v>310</v>
      </c>
      <c r="N1606">
        <v>0</v>
      </c>
      <c r="O1606" t="s">
        <v>1391</v>
      </c>
      <c r="P1606" t="s">
        <v>310</v>
      </c>
      <c r="Q1606" t="s">
        <v>310</v>
      </c>
      <c r="R1606" t="s">
        <v>310</v>
      </c>
      <c r="S1606">
        <v>9</v>
      </c>
      <c r="T1606" t="s">
        <v>310</v>
      </c>
      <c r="U1606">
        <v>9</v>
      </c>
      <c r="V1606">
        <v>9</v>
      </c>
      <c r="W1606">
        <v>0</v>
      </c>
      <c r="X1606">
        <v>0</v>
      </c>
      <c r="Y1606">
        <v>0</v>
      </c>
      <c r="Z1606">
        <v>0</v>
      </c>
      <c r="AA1606">
        <v>9</v>
      </c>
      <c r="AB1606">
        <v>9</v>
      </c>
      <c r="AC1606" t="s">
        <v>310</v>
      </c>
      <c r="AD1606">
        <v>9</v>
      </c>
      <c r="AE1606" t="s">
        <v>1390</v>
      </c>
      <c r="AF1606">
        <v>0</v>
      </c>
      <c r="AG1606" t="s">
        <v>310</v>
      </c>
      <c r="AH1606">
        <f>SUM((MID(Dyno_Data[[#This Row],[Team]],4,5))+(Dyno_Data[[#This Row],[Match]]/100))</f>
        <v>6648.33</v>
      </c>
      <c r="AI1606" s="76">
        <f>ROUND(SUM(IF(Dyno_Data[[#This Row],[AcqCenter]]&gt;0,Dyno_Data[[#This Row],[Time]]-SUMIFS(Dyno_Data[Time],Dyno_Data[Team],Dyno_Data[[#This Row],[Team]],Dyno_Data[RecordType],"StartMatch",Dyno_Data[Match],Dyno_Data[[#This Row],[Match]]),0)*86400),0)</f>
        <v>0</v>
      </c>
    </row>
    <row r="1607" spans="1:35" x14ac:dyDescent="0.3">
      <c r="A1607">
        <v>1600</v>
      </c>
      <c r="B1607" t="s">
        <v>1278</v>
      </c>
      <c r="C1607">
        <v>33</v>
      </c>
      <c r="D1607" s="105">
        <v>45373.604550960648</v>
      </c>
      <c r="E1607" t="s">
        <v>312</v>
      </c>
      <c r="F1607" t="s">
        <v>309</v>
      </c>
      <c r="G1607">
        <v>0</v>
      </c>
      <c r="H1607" t="s">
        <v>1397</v>
      </c>
      <c r="I1607">
        <v>0</v>
      </c>
      <c r="J1607">
        <v>0</v>
      </c>
      <c r="K1607">
        <v>0</v>
      </c>
      <c r="L1607" t="s">
        <v>240</v>
      </c>
      <c r="M1607" t="s">
        <v>1398</v>
      </c>
      <c r="N1607">
        <v>0</v>
      </c>
      <c r="O1607" t="s">
        <v>1389</v>
      </c>
      <c r="P1607" t="s">
        <v>310</v>
      </c>
      <c r="Q1607" t="s">
        <v>310</v>
      </c>
      <c r="R1607" t="s">
        <v>310</v>
      </c>
      <c r="S1607">
        <v>9</v>
      </c>
      <c r="T1607" t="s">
        <v>310</v>
      </c>
      <c r="U1607">
        <v>9</v>
      </c>
      <c r="V1607">
        <v>9</v>
      </c>
      <c r="W1607">
        <v>0</v>
      </c>
      <c r="X1607">
        <v>0</v>
      </c>
      <c r="Y1607">
        <v>0</v>
      </c>
      <c r="Z1607">
        <v>0</v>
      </c>
      <c r="AA1607">
        <v>9</v>
      </c>
      <c r="AB1607">
        <v>9</v>
      </c>
      <c r="AC1607" t="s">
        <v>310</v>
      </c>
      <c r="AD1607">
        <v>9</v>
      </c>
      <c r="AE1607" t="s">
        <v>1388</v>
      </c>
      <c r="AF1607">
        <v>0</v>
      </c>
      <c r="AG1607" t="s">
        <v>310</v>
      </c>
      <c r="AH1607">
        <f>SUM((MID(Dyno_Data[[#This Row],[Team]],4,5))+(Dyno_Data[[#This Row],[Match]]/100))</f>
        <v>3951.33</v>
      </c>
      <c r="AI1607" s="76">
        <f>ROUND(SUM(IF(Dyno_Data[[#This Row],[AcqCenter]]&gt;0,Dyno_Data[[#This Row],[Time]]-SUMIFS(Dyno_Data[Time],Dyno_Data[Team],Dyno_Data[[#This Row],[Team]],Dyno_Data[RecordType],"StartMatch",Dyno_Data[Match],Dyno_Data[[#This Row],[Match]]),0)*86400),0)</f>
        <v>0</v>
      </c>
    </row>
    <row r="1608" spans="1:35" x14ac:dyDescent="0.3">
      <c r="A1608">
        <v>1601</v>
      </c>
      <c r="B1608" t="s">
        <v>1284</v>
      </c>
      <c r="C1608">
        <v>33</v>
      </c>
      <c r="D1608" s="105">
        <v>45373.604560451386</v>
      </c>
      <c r="E1608" t="s">
        <v>312</v>
      </c>
      <c r="F1608" t="s">
        <v>309</v>
      </c>
      <c r="G1608">
        <v>0</v>
      </c>
      <c r="H1608" t="s">
        <v>1397</v>
      </c>
      <c r="I1608">
        <v>0</v>
      </c>
      <c r="J1608">
        <v>0</v>
      </c>
      <c r="K1608">
        <v>0</v>
      </c>
      <c r="L1608" t="s">
        <v>240</v>
      </c>
      <c r="M1608" t="s">
        <v>1398</v>
      </c>
      <c r="N1608">
        <v>1</v>
      </c>
      <c r="O1608" t="s">
        <v>319</v>
      </c>
      <c r="P1608" t="s">
        <v>310</v>
      </c>
      <c r="Q1608" t="s">
        <v>310</v>
      </c>
      <c r="R1608" t="s">
        <v>310</v>
      </c>
      <c r="S1608">
        <v>9</v>
      </c>
      <c r="T1608" t="s">
        <v>310</v>
      </c>
      <c r="U1608">
        <v>9</v>
      </c>
      <c r="V1608">
        <v>9</v>
      </c>
      <c r="W1608">
        <v>0</v>
      </c>
      <c r="X1608">
        <v>0</v>
      </c>
      <c r="Y1608">
        <v>0</v>
      </c>
      <c r="Z1608">
        <v>0</v>
      </c>
      <c r="AA1608">
        <v>9</v>
      </c>
      <c r="AB1608">
        <v>9</v>
      </c>
      <c r="AC1608" t="s">
        <v>310</v>
      </c>
      <c r="AD1608">
        <v>9</v>
      </c>
      <c r="AE1608" t="s">
        <v>1387</v>
      </c>
      <c r="AF1608">
        <v>0</v>
      </c>
      <c r="AG1608" t="s">
        <v>310</v>
      </c>
      <c r="AH1608">
        <f>SUM((MID(Dyno_Data[[#This Row],[Team]],4,5))+(Dyno_Data[[#This Row],[Match]]/100))</f>
        <v>5590.33</v>
      </c>
      <c r="AI1608" s="76">
        <f>ROUND(SUM(IF(Dyno_Data[[#This Row],[AcqCenter]]&gt;0,Dyno_Data[[#This Row],[Time]]-SUMIFS(Dyno_Data[Time],Dyno_Data[Team],Dyno_Data[[#This Row],[Team]],Dyno_Data[RecordType],"StartMatch",Dyno_Data[Match],Dyno_Data[[#This Row],[Match]]),0)*86400),0)</f>
        <v>0</v>
      </c>
    </row>
    <row r="1609" spans="1:35" x14ac:dyDescent="0.3">
      <c r="A1609">
        <v>1602</v>
      </c>
      <c r="B1609" t="s">
        <v>373</v>
      </c>
      <c r="C1609">
        <v>33</v>
      </c>
      <c r="D1609" s="105">
        <v>45373.604560532411</v>
      </c>
      <c r="E1609" t="s">
        <v>312</v>
      </c>
      <c r="F1609" t="s">
        <v>309</v>
      </c>
      <c r="G1609">
        <v>0</v>
      </c>
      <c r="H1609" t="s">
        <v>1397</v>
      </c>
      <c r="I1609">
        <v>0</v>
      </c>
      <c r="J1609">
        <v>0</v>
      </c>
      <c r="K1609">
        <v>0</v>
      </c>
      <c r="L1609" t="s">
        <v>241</v>
      </c>
      <c r="M1609" t="s">
        <v>1398</v>
      </c>
      <c r="N1609">
        <v>1</v>
      </c>
      <c r="O1609" t="s">
        <v>1393</v>
      </c>
      <c r="P1609" t="s">
        <v>310</v>
      </c>
      <c r="Q1609" t="s">
        <v>310</v>
      </c>
      <c r="R1609" t="s">
        <v>310</v>
      </c>
      <c r="S1609">
        <v>9</v>
      </c>
      <c r="T1609" t="s">
        <v>310</v>
      </c>
      <c r="U1609">
        <v>9</v>
      </c>
      <c r="V1609">
        <v>9</v>
      </c>
      <c r="W1609">
        <v>0</v>
      </c>
      <c r="X1609">
        <v>0</v>
      </c>
      <c r="Y1609">
        <v>0</v>
      </c>
      <c r="Z1609">
        <v>0</v>
      </c>
      <c r="AA1609">
        <v>9</v>
      </c>
      <c r="AB1609">
        <v>9</v>
      </c>
      <c r="AC1609" t="s">
        <v>310</v>
      </c>
      <c r="AD1609">
        <v>9</v>
      </c>
      <c r="AE1609" t="s">
        <v>1394</v>
      </c>
      <c r="AF1609">
        <v>0</v>
      </c>
      <c r="AG1609" t="s">
        <v>310</v>
      </c>
      <c r="AH1609">
        <f>SUM((MID(Dyno_Data[[#This Row],[Team]],4,5))+(Dyno_Data[[#This Row],[Match]]/100))</f>
        <v>7718.33</v>
      </c>
      <c r="AI1609" s="76">
        <f>ROUND(SUM(IF(Dyno_Data[[#This Row],[AcqCenter]]&gt;0,Dyno_Data[[#This Row],[Time]]-SUMIFS(Dyno_Data[Time],Dyno_Data[Team],Dyno_Data[[#This Row],[Team]],Dyno_Data[RecordType],"StartMatch",Dyno_Data[Match],Dyno_Data[[#This Row],[Match]]),0)*86400),0)</f>
        <v>0</v>
      </c>
    </row>
    <row r="1610" spans="1:35" x14ac:dyDescent="0.3">
      <c r="A1610">
        <v>1603</v>
      </c>
      <c r="B1610" t="s">
        <v>1300</v>
      </c>
      <c r="C1610">
        <v>33</v>
      </c>
      <c r="D1610" s="105">
        <v>45373.604605983797</v>
      </c>
      <c r="E1610" t="s">
        <v>312</v>
      </c>
      <c r="F1610" t="s">
        <v>309</v>
      </c>
      <c r="G1610">
        <v>0</v>
      </c>
      <c r="H1610" t="s">
        <v>1397</v>
      </c>
      <c r="I1610">
        <v>0</v>
      </c>
      <c r="J1610">
        <v>0</v>
      </c>
      <c r="K1610">
        <v>0</v>
      </c>
      <c r="L1610" t="s">
        <v>241</v>
      </c>
      <c r="M1610" t="s">
        <v>1398</v>
      </c>
      <c r="N1610">
        <v>0</v>
      </c>
      <c r="O1610" t="s">
        <v>311</v>
      </c>
      <c r="P1610" t="s">
        <v>310</v>
      </c>
      <c r="Q1610" t="s">
        <v>310</v>
      </c>
      <c r="R1610" t="s">
        <v>310</v>
      </c>
      <c r="S1610">
        <v>9</v>
      </c>
      <c r="T1610" t="s">
        <v>310</v>
      </c>
      <c r="U1610">
        <v>9</v>
      </c>
      <c r="V1610">
        <v>9</v>
      </c>
      <c r="W1610">
        <v>0</v>
      </c>
      <c r="X1610">
        <v>0</v>
      </c>
      <c r="Y1610">
        <v>0</v>
      </c>
      <c r="Z1610">
        <v>0</v>
      </c>
      <c r="AA1610">
        <v>9</v>
      </c>
      <c r="AB1610">
        <v>9</v>
      </c>
      <c r="AC1610" t="s">
        <v>310</v>
      </c>
      <c r="AD1610">
        <v>9</v>
      </c>
      <c r="AE1610" t="s">
        <v>1392</v>
      </c>
      <c r="AF1610">
        <v>0</v>
      </c>
      <c r="AG1610" t="s">
        <v>310</v>
      </c>
      <c r="AH1610">
        <f>SUM((MID(Dyno_Data[[#This Row],[Team]],4,5))+(Dyno_Data[[#This Row],[Match]]/100))</f>
        <v>3044.33</v>
      </c>
      <c r="AI1610" s="76">
        <f>ROUND(SUM(IF(Dyno_Data[[#This Row],[AcqCenter]]&gt;0,Dyno_Data[[#This Row],[Time]]-SUMIFS(Dyno_Data[Time],Dyno_Data[Team],Dyno_Data[[#This Row],[Team]],Dyno_Data[RecordType],"StartMatch",Dyno_Data[Match],Dyno_Data[[#This Row],[Match]]),0)*86400),0)</f>
        <v>0</v>
      </c>
    </row>
    <row r="1611" spans="1:35" x14ac:dyDescent="0.3">
      <c r="A1611">
        <v>1604</v>
      </c>
      <c r="B1611" t="s">
        <v>1278</v>
      </c>
      <c r="C1611">
        <v>33</v>
      </c>
      <c r="D1611" s="105">
        <v>45373.604632256945</v>
      </c>
      <c r="E1611" t="s">
        <v>312</v>
      </c>
      <c r="F1611" t="s">
        <v>309</v>
      </c>
      <c r="G1611">
        <v>0</v>
      </c>
      <c r="H1611" t="s">
        <v>315</v>
      </c>
      <c r="I1611">
        <v>0</v>
      </c>
      <c r="J1611">
        <v>0</v>
      </c>
      <c r="K1611">
        <v>0</v>
      </c>
      <c r="L1611" t="s">
        <v>241</v>
      </c>
      <c r="M1611" t="s">
        <v>1398</v>
      </c>
      <c r="N1611">
        <v>0</v>
      </c>
      <c r="O1611" t="s">
        <v>1389</v>
      </c>
      <c r="P1611" t="s">
        <v>310</v>
      </c>
      <c r="Q1611" t="s">
        <v>310</v>
      </c>
      <c r="R1611" t="s">
        <v>310</v>
      </c>
      <c r="S1611">
        <v>9</v>
      </c>
      <c r="T1611" t="s">
        <v>310</v>
      </c>
      <c r="U1611">
        <v>9</v>
      </c>
      <c r="V1611">
        <v>9</v>
      </c>
      <c r="W1611">
        <v>0</v>
      </c>
      <c r="X1611">
        <v>0</v>
      </c>
      <c r="Y1611">
        <v>0</v>
      </c>
      <c r="Z1611">
        <v>0</v>
      </c>
      <c r="AA1611">
        <v>9</v>
      </c>
      <c r="AB1611">
        <v>9</v>
      </c>
      <c r="AC1611" t="s">
        <v>310</v>
      </c>
      <c r="AD1611">
        <v>9</v>
      </c>
      <c r="AE1611" t="s">
        <v>1388</v>
      </c>
      <c r="AF1611">
        <v>10000000</v>
      </c>
      <c r="AG1611" t="s">
        <v>310</v>
      </c>
      <c r="AH1611">
        <f>SUM((MID(Dyno_Data[[#This Row],[Team]],4,5))+(Dyno_Data[[#This Row],[Match]]/100))</f>
        <v>3951.33</v>
      </c>
      <c r="AI1611" s="76">
        <f>ROUND(SUM(IF(Dyno_Data[[#This Row],[AcqCenter]]&gt;0,Dyno_Data[[#This Row],[Time]]-SUMIFS(Dyno_Data[Time],Dyno_Data[Team],Dyno_Data[[#This Row],[Team]],Dyno_Data[RecordType],"StartMatch",Dyno_Data[Match],Dyno_Data[[#This Row],[Match]]),0)*86400),0)</f>
        <v>0</v>
      </c>
    </row>
    <row r="1612" spans="1:35" x14ac:dyDescent="0.3">
      <c r="A1612">
        <v>1605</v>
      </c>
      <c r="B1612" t="s">
        <v>1300</v>
      </c>
      <c r="C1612">
        <v>33</v>
      </c>
      <c r="D1612" s="105">
        <v>45373.60466045139</v>
      </c>
      <c r="E1612" t="s">
        <v>312</v>
      </c>
      <c r="F1612" t="s">
        <v>309</v>
      </c>
      <c r="G1612">
        <v>0</v>
      </c>
      <c r="H1612" t="s">
        <v>315</v>
      </c>
      <c r="I1612">
        <v>0</v>
      </c>
      <c r="J1612">
        <v>0</v>
      </c>
      <c r="K1612">
        <v>0</v>
      </c>
      <c r="L1612" t="s">
        <v>240</v>
      </c>
      <c r="M1612" t="s">
        <v>1398</v>
      </c>
      <c r="N1612">
        <v>0</v>
      </c>
      <c r="O1612" t="s">
        <v>311</v>
      </c>
      <c r="P1612" t="s">
        <v>310</v>
      </c>
      <c r="Q1612" t="s">
        <v>310</v>
      </c>
      <c r="R1612" t="s">
        <v>310</v>
      </c>
      <c r="S1612">
        <v>9</v>
      </c>
      <c r="T1612" t="s">
        <v>310</v>
      </c>
      <c r="U1612">
        <v>9</v>
      </c>
      <c r="V1612">
        <v>9</v>
      </c>
      <c r="W1612">
        <v>0</v>
      </c>
      <c r="X1612">
        <v>0</v>
      </c>
      <c r="Y1612">
        <v>0</v>
      </c>
      <c r="Z1612">
        <v>0</v>
      </c>
      <c r="AA1612">
        <v>9</v>
      </c>
      <c r="AB1612">
        <v>9</v>
      </c>
      <c r="AC1612" t="s">
        <v>310</v>
      </c>
      <c r="AD1612">
        <v>9</v>
      </c>
      <c r="AE1612" t="s">
        <v>1392</v>
      </c>
      <c r="AF1612">
        <v>10000000</v>
      </c>
      <c r="AG1612" t="s">
        <v>310</v>
      </c>
      <c r="AH1612">
        <f>SUM((MID(Dyno_Data[[#This Row],[Team]],4,5))+(Dyno_Data[[#This Row],[Match]]/100))</f>
        <v>3044.33</v>
      </c>
      <c r="AI1612" s="76">
        <f>ROUND(SUM(IF(Dyno_Data[[#This Row],[AcqCenter]]&gt;0,Dyno_Data[[#This Row],[Time]]-SUMIFS(Dyno_Data[Time],Dyno_Data[Team],Dyno_Data[[#This Row],[Team]],Dyno_Data[RecordType],"StartMatch",Dyno_Data[Match],Dyno_Data[[#This Row],[Match]]),0)*86400),0)</f>
        <v>0</v>
      </c>
    </row>
    <row r="1613" spans="1:35" x14ac:dyDescent="0.3">
      <c r="A1613">
        <v>1606</v>
      </c>
      <c r="B1613" t="s">
        <v>1300</v>
      </c>
      <c r="C1613">
        <v>33</v>
      </c>
      <c r="D1613" s="105">
        <v>45373.604703819445</v>
      </c>
      <c r="E1613" t="s">
        <v>312</v>
      </c>
      <c r="F1613" t="s">
        <v>309</v>
      </c>
      <c r="G1613">
        <v>0</v>
      </c>
      <c r="H1613" t="s">
        <v>315</v>
      </c>
      <c r="I1613">
        <v>0</v>
      </c>
      <c r="J1613">
        <v>0</v>
      </c>
      <c r="K1613">
        <v>0</v>
      </c>
      <c r="L1613" t="s">
        <v>240</v>
      </c>
      <c r="M1613" t="s">
        <v>1398</v>
      </c>
      <c r="N1613">
        <v>0</v>
      </c>
      <c r="O1613" t="s">
        <v>311</v>
      </c>
      <c r="P1613" t="s">
        <v>310</v>
      </c>
      <c r="Q1613" t="s">
        <v>310</v>
      </c>
      <c r="R1613" t="s">
        <v>310</v>
      </c>
      <c r="S1613">
        <v>9</v>
      </c>
      <c r="T1613" t="s">
        <v>310</v>
      </c>
      <c r="U1613">
        <v>9</v>
      </c>
      <c r="V1613">
        <v>9</v>
      </c>
      <c r="W1613">
        <v>0</v>
      </c>
      <c r="X1613">
        <v>0</v>
      </c>
      <c r="Y1613">
        <v>0</v>
      </c>
      <c r="Z1613">
        <v>0</v>
      </c>
      <c r="AA1613">
        <v>9</v>
      </c>
      <c r="AB1613">
        <v>9</v>
      </c>
      <c r="AC1613" t="s">
        <v>310</v>
      </c>
      <c r="AD1613">
        <v>9</v>
      </c>
      <c r="AE1613" t="s">
        <v>1392</v>
      </c>
      <c r="AF1613">
        <v>20000000</v>
      </c>
      <c r="AG1613" t="s">
        <v>310</v>
      </c>
      <c r="AH1613">
        <f>SUM((MID(Dyno_Data[[#This Row],[Team]],4,5))+(Dyno_Data[[#This Row],[Match]]/100))</f>
        <v>3044.33</v>
      </c>
      <c r="AI1613" s="76">
        <f>ROUND(SUM(IF(Dyno_Data[[#This Row],[AcqCenter]]&gt;0,Dyno_Data[[#This Row],[Time]]-SUMIFS(Dyno_Data[Time],Dyno_Data[Team],Dyno_Data[[#This Row],[Team]],Dyno_Data[RecordType],"StartMatch",Dyno_Data[Match],Dyno_Data[[#This Row],[Match]]),0)*86400),0)</f>
        <v>0</v>
      </c>
    </row>
    <row r="1614" spans="1:35" x14ac:dyDescent="0.3">
      <c r="A1614">
        <v>1608</v>
      </c>
      <c r="B1614" t="s">
        <v>1278</v>
      </c>
      <c r="C1614">
        <v>33</v>
      </c>
      <c r="D1614" s="105">
        <v>45373.604727696758</v>
      </c>
      <c r="E1614" t="s">
        <v>314</v>
      </c>
      <c r="F1614" t="s">
        <v>309</v>
      </c>
      <c r="G1614">
        <v>1</v>
      </c>
      <c r="H1614" t="s">
        <v>310</v>
      </c>
      <c r="I1614">
        <v>0</v>
      </c>
      <c r="J1614">
        <v>0</v>
      </c>
      <c r="K1614">
        <v>0</v>
      </c>
      <c r="L1614" t="s">
        <v>310</v>
      </c>
      <c r="M1614" t="s">
        <v>310</v>
      </c>
      <c r="N1614">
        <v>0</v>
      </c>
      <c r="O1614" t="s">
        <v>1389</v>
      </c>
      <c r="P1614" t="s">
        <v>240</v>
      </c>
      <c r="Q1614" t="s">
        <v>1400</v>
      </c>
      <c r="R1614" t="s">
        <v>310</v>
      </c>
      <c r="S1614">
        <v>9</v>
      </c>
      <c r="T1614" t="s">
        <v>310</v>
      </c>
      <c r="U1614">
        <v>9</v>
      </c>
      <c r="V1614">
        <v>9</v>
      </c>
      <c r="W1614">
        <v>0</v>
      </c>
      <c r="X1614">
        <v>0</v>
      </c>
      <c r="Y1614">
        <v>0</v>
      </c>
      <c r="Z1614">
        <v>0</v>
      </c>
      <c r="AA1614">
        <v>9</v>
      </c>
      <c r="AB1614">
        <v>9</v>
      </c>
      <c r="AC1614" t="s">
        <v>310</v>
      </c>
      <c r="AD1614">
        <v>9</v>
      </c>
      <c r="AE1614" t="s">
        <v>1388</v>
      </c>
      <c r="AF1614">
        <v>10000000</v>
      </c>
      <c r="AG1614" t="s">
        <v>310</v>
      </c>
      <c r="AH1614">
        <f>SUM((MID(Dyno_Data[[#This Row],[Team]],4,5))+(Dyno_Data[[#This Row],[Match]]/100))</f>
        <v>3951.33</v>
      </c>
      <c r="AI1614" s="76">
        <f>ROUND(SUM(IF(Dyno_Data[[#This Row],[AcqCenter]]&gt;0,Dyno_Data[[#This Row],[Time]]-SUMIFS(Dyno_Data[Time],Dyno_Data[Team],Dyno_Data[[#This Row],[Team]],Dyno_Data[RecordType],"StartMatch",Dyno_Data[Match],Dyno_Data[[#This Row],[Match]]),0)*86400),0)</f>
        <v>0</v>
      </c>
    </row>
    <row r="1615" spans="1:35" x14ac:dyDescent="0.3">
      <c r="A1615">
        <v>1610</v>
      </c>
      <c r="B1615" t="s">
        <v>1284</v>
      </c>
      <c r="C1615">
        <v>33</v>
      </c>
      <c r="D1615" s="105">
        <v>45373.604728437502</v>
      </c>
      <c r="E1615" t="s">
        <v>314</v>
      </c>
      <c r="F1615" t="s">
        <v>309</v>
      </c>
      <c r="G1615">
        <v>1</v>
      </c>
      <c r="H1615" t="s">
        <v>310</v>
      </c>
      <c r="I1615">
        <v>0</v>
      </c>
      <c r="J1615">
        <v>0</v>
      </c>
      <c r="K1615">
        <v>0</v>
      </c>
      <c r="L1615" t="s">
        <v>310</v>
      </c>
      <c r="M1615" t="s">
        <v>310</v>
      </c>
      <c r="N1615">
        <v>0</v>
      </c>
      <c r="O1615" t="s">
        <v>319</v>
      </c>
      <c r="P1615" t="s">
        <v>1401</v>
      </c>
      <c r="Q1615" t="s">
        <v>1399</v>
      </c>
      <c r="R1615" t="s">
        <v>310</v>
      </c>
      <c r="S1615">
        <v>9</v>
      </c>
      <c r="T1615" t="s">
        <v>310</v>
      </c>
      <c r="U1615">
        <v>9</v>
      </c>
      <c r="V1615">
        <v>9</v>
      </c>
      <c r="W1615">
        <v>0</v>
      </c>
      <c r="X1615">
        <v>0</v>
      </c>
      <c r="Y1615">
        <v>0</v>
      </c>
      <c r="Z1615">
        <v>0</v>
      </c>
      <c r="AA1615">
        <v>9</v>
      </c>
      <c r="AB1615">
        <v>9</v>
      </c>
      <c r="AC1615" t="s">
        <v>310</v>
      </c>
      <c r="AD1615">
        <v>9</v>
      </c>
      <c r="AE1615" t="s">
        <v>1387</v>
      </c>
      <c r="AF1615">
        <v>0</v>
      </c>
      <c r="AG1615" t="s">
        <v>310</v>
      </c>
      <c r="AH1615">
        <f>SUM((MID(Dyno_Data[[#This Row],[Team]],4,5))+(Dyno_Data[[#This Row],[Match]]/100))</f>
        <v>5590.33</v>
      </c>
      <c r="AI1615" s="76">
        <f>ROUND(SUM(IF(Dyno_Data[[#This Row],[AcqCenter]]&gt;0,Dyno_Data[[#This Row],[Time]]-SUMIFS(Dyno_Data[Time],Dyno_Data[Team],Dyno_Data[[#This Row],[Team]],Dyno_Data[RecordType],"StartMatch",Dyno_Data[Match],Dyno_Data[[#This Row],[Match]]),0)*86400),0)</f>
        <v>0</v>
      </c>
    </row>
    <row r="1616" spans="1:35" x14ac:dyDescent="0.3">
      <c r="A1616">
        <v>1612</v>
      </c>
      <c r="B1616" t="s">
        <v>1310</v>
      </c>
      <c r="C1616">
        <v>33</v>
      </c>
      <c r="D1616" s="105">
        <v>45373.604729826387</v>
      </c>
      <c r="E1616" t="s">
        <v>314</v>
      </c>
      <c r="F1616" t="s">
        <v>309</v>
      </c>
      <c r="G1616">
        <v>1</v>
      </c>
      <c r="H1616" t="s">
        <v>310</v>
      </c>
      <c r="I1616">
        <v>0</v>
      </c>
      <c r="J1616">
        <v>0</v>
      </c>
      <c r="K1616">
        <v>0</v>
      </c>
      <c r="L1616" t="s">
        <v>310</v>
      </c>
      <c r="M1616" t="s">
        <v>310</v>
      </c>
      <c r="N1616">
        <v>0</v>
      </c>
      <c r="O1616" t="s">
        <v>1395</v>
      </c>
      <c r="P1616" t="s">
        <v>101</v>
      </c>
      <c r="Q1616" t="s">
        <v>1400</v>
      </c>
      <c r="R1616" t="s">
        <v>310</v>
      </c>
      <c r="S1616">
        <v>9</v>
      </c>
      <c r="T1616" t="s">
        <v>310</v>
      </c>
      <c r="U1616">
        <v>9</v>
      </c>
      <c r="V1616">
        <v>9</v>
      </c>
      <c r="W1616">
        <v>0</v>
      </c>
      <c r="X1616">
        <v>0</v>
      </c>
      <c r="Y1616">
        <v>0</v>
      </c>
      <c r="Z1616">
        <v>0</v>
      </c>
      <c r="AA1616">
        <v>9</v>
      </c>
      <c r="AB1616">
        <v>9</v>
      </c>
      <c r="AC1616" t="s">
        <v>310</v>
      </c>
      <c r="AD1616">
        <v>9</v>
      </c>
      <c r="AE1616" t="s">
        <v>1396</v>
      </c>
      <c r="AF1616">
        <v>0</v>
      </c>
      <c r="AG1616" t="s">
        <v>310</v>
      </c>
      <c r="AH1616">
        <f>SUM((MID(Dyno_Data[[#This Row],[Team]],4,5))+(Dyno_Data[[#This Row],[Match]]/100))</f>
        <v>6621.33</v>
      </c>
      <c r="AI1616" s="76">
        <f>ROUND(SUM(IF(Dyno_Data[[#This Row],[AcqCenter]]&gt;0,Dyno_Data[[#This Row],[Time]]-SUMIFS(Dyno_Data[Time],Dyno_Data[Team],Dyno_Data[[#This Row],[Team]],Dyno_Data[RecordType],"StartMatch",Dyno_Data[Match],Dyno_Data[[#This Row],[Match]]),0)*86400),0)</f>
        <v>0</v>
      </c>
    </row>
    <row r="1617" spans="1:35" x14ac:dyDescent="0.3">
      <c r="A1617">
        <v>1614</v>
      </c>
      <c r="B1617" t="s">
        <v>373</v>
      </c>
      <c r="C1617">
        <v>33</v>
      </c>
      <c r="D1617" s="105">
        <v>45373.604735879628</v>
      </c>
      <c r="E1617" t="s">
        <v>314</v>
      </c>
      <c r="F1617" t="s">
        <v>309</v>
      </c>
      <c r="G1617">
        <v>0</v>
      </c>
      <c r="H1617" t="s">
        <v>310</v>
      </c>
      <c r="I1617">
        <v>0</v>
      </c>
      <c r="J1617">
        <v>0</v>
      </c>
      <c r="K1617">
        <v>0</v>
      </c>
      <c r="L1617" t="s">
        <v>310</v>
      </c>
      <c r="M1617" t="s">
        <v>310</v>
      </c>
      <c r="N1617">
        <v>0</v>
      </c>
      <c r="O1617" t="s">
        <v>1393</v>
      </c>
      <c r="P1617" t="s">
        <v>1401</v>
      </c>
      <c r="Q1617" t="s">
        <v>1399</v>
      </c>
      <c r="R1617" t="s">
        <v>310</v>
      </c>
      <c r="S1617">
        <v>9</v>
      </c>
      <c r="T1617" t="s">
        <v>310</v>
      </c>
      <c r="U1617">
        <v>9</v>
      </c>
      <c r="V1617">
        <v>9</v>
      </c>
      <c r="W1617">
        <v>0</v>
      </c>
      <c r="X1617">
        <v>0</v>
      </c>
      <c r="Y1617">
        <v>0</v>
      </c>
      <c r="Z1617">
        <v>0</v>
      </c>
      <c r="AA1617">
        <v>9</v>
      </c>
      <c r="AB1617">
        <v>9</v>
      </c>
      <c r="AC1617" t="s">
        <v>310</v>
      </c>
      <c r="AD1617">
        <v>9</v>
      </c>
      <c r="AE1617" t="s">
        <v>1394</v>
      </c>
      <c r="AF1617">
        <v>0</v>
      </c>
      <c r="AG1617" t="s">
        <v>310</v>
      </c>
      <c r="AH1617">
        <f>SUM((MID(Dyno_Data[[#This Row],[Team]],4,5))+(Dyno_Data[[#This Row],[Match]]/100))</f>
        <v>7718.33</v>
      </c>
      <c r="AI1617" s="76">
        <f>ROUND(SUM(IF(Dyno_Data[[#This Row],[AcqCenter]]&gt;0,Dyno_Data[[#This Row],[Time]]-SUMIFS(Dyno_Data[Time],Dyno_Data[Team],Dyno_Data[[#This Row],[Team]],Dyno_Data[RecordType],"StartMatch",Dyno_Data[Match],Dyno_Data[[#This Row],[Match]]),0)*86400),0)</f>
        <v>0</v>
      </c>
    </row>
    <row r="1618" spans="1:35" x14ac:dyDescent="0.3">
      <c r="A1618">
        <v>1616</v>
      </c>
      <c r="B1618" t="s">
        <v>1300</v>
      </c>
      <c r="C1618">
        <v>33</v>
      </c>
      <c r="D1618" s="105">
        <v>45373.604739432871</v>
      </c>
      <c r="E1618" t="s">
        <v>314</v>
      </c>
      <c r="F1618" t="s">
        <v>309</v>
      </c>
      <c r="G1618">
        <v>1</v>
      </c>
      <c r="H1618" t="s">
        <v>310</v>
      </c>
      <c r="I1618">
        <v>0</v>
      </c>
      <c r="J1618">
        <v>0</v>
      </c>
      <c r="K1618">
        <v>0</v>
      </c>
      <c r="L1618" t="s">
        <v>310</v>
      </c>
      <c r="M1618" t="s">
        <v>310</v>
      </c>
      <c r="N1618">
        <v>0</v>
      </c>
      <c r="O1618" t="s">
        <v>311</v>
      </c>
      <c r="P1618" t="s">
        <v>101</v>
      </c>
      <c r="Q1618" t="s">
        <v>1400</v>
      </c>
      <c r="R1618" t="s">
        <v>310</v>
      </c>
      <c r="S1618">
        <v>9</v>
      </c>
      <c r="T1618" t="s">
        <v>310</v>
      </c>
      <c r="U1618">
        <v>9</v>
      </c>
      <c r="V1618">
        <v>9</v>
      </c>
      <c r="W1618">
        <v>0</v>
      </c>
      <c r="X1618">
        <v>0</v>
      </c>
      <c r="Y1618">
        <v>0</v>
      </c>
      <c r="Z1618">
        <v>0</v>
      </c>
      <c r="AA1618">
        <v>9</v>
      </c>
      <c r="AB1618">
        <v>9</v>
      </c>
      <c r="AC1618" t="s">
        <v>310</v>
      </c>
      <c r="AD1618">
        <v>9</v>
      </c>
      <c r="AE1618" t="s">
        <v>1392</v>
      </c>
      <c r="AF1618">
        <v>20000000</v>
      </c>
      <c r="AG1618" t="s">
        <v>310</v>
      </c>
      <c r="AH1618">
        <f>SUM((MID(Dyno_Data[[#This Row],[Team]],4,5))+(Dyno_Data[[#This Row],[Match]]/100))</f>
        <v>3044.33</v>
      </c>
      <c r="AI1618" s="76">
        <f>ROUND(SUM(IF(Dyno_Data[[#This Row],[AcqCenter]]&gt;0,Dyno_Data[[#This Row],[Time]]-SUMIFS(Dyno_Data[Time],Dyno_Data[Team],Dyno_Data[[#This Row],[Team]],Dyno_Data[RecordType],"StartMatch",Dyno_Data[Match],Dyno_Data[[#This Row],[Match]]),0)*86400),0)</f>
        <v>0</v>
      </c>
    </row>
    <row r="1619" spans="1:35" x14ac:dyDescent="0.3">
      <c r="A1619">
        <v>1618</v>
      </c>
      <c r="B1619" t="s">
        <v>1289</v>
      </c>
      <c r="C1619">
        <v>33</v>
      </c>
      <c r="D1619" s="105">
        <v>45373.604740856485</v>
      </c>
      <c r="E1619" t="s">
        <v>314</v>
      </c>
      <c r="F1619" t="s">
        <v>309</v>
      </c>
      <c r="G1619">
        <v>1</v>
      </c>
      <c r="H1619" t="s">
        <v>310</v>
      </c>
      <c r="I1619">
        <v>0</v>
      </c>
      <c r="J1619">
        <v>0</v>
      </c>
      <c r="K1619">
        <v>0</v>
      </c>
      <c r="L1619" t="s">
        <v>310</v>
      </c>
      <c r="M1619" t="s">
        <v>310</v>
      </c>
      <c r="N1619">
        <v>0</v>
      </c>
      <c r="O1619" t="s">
        <v>1391</v>
      </c>
      <c r="P1619" t="s">
        <v>320</v>
      </c>
      <c r="Q1619" t="s">
        <v>1400</v>
      </c>
      <c r="R1619" t="s">
        <v>310</v>
      </c>
      <c r="S1619">
        <v>9</v>
      </c>
      <c r="T1619" t="s">
        <v>310</v>
      </c>
      <c r="U1619">
        <v>9</v>
      </c>
      <c r="V1619">
        <v>9</v>
      </c>
      <c r="W1619">
        <v>0</v>
      </c>
      <c r="X1619">
        <v>0</v>
      </c>
      <c r="Y1619">
        <v>0</v>
      </c>
      <c r="Z1619">
        <v>0</v>
      </c>
      <c r="AA1619">
        <v>9</v>
      </c>
      <c r="AB1619">
        <v>9</v>
      </c>
      <c r="AC1619" t="s">
        <v>310</v>
      </c>
      <c r="AD1619">
        <v>9</v>
      </c>
      <c r="AE1619" t="s">
        <v>1390</v>
      </c>
      <c r="AF1619">
        <v>0</v>
      </c>
      <c r="AG1619" t="s">
        <v>310</v>
      </c>
      <c r="AH1619">
        <f>SUM((MID(Dyno_Data[[#This Row],[Team]],4,5))+(Dyno_Data[[#This Row],[Match]]/100))</f>
        <v>6648.33</v>
      </c>
      <c r="AI1619" s="76">
        <f>ROUND(SUM(IF(Dyno_Data[[#This Row],[AcqCenter]]&gt;0,Dyno_Data[[#This Row],[Time]]-SUMIFS(Dyno_Data[Time],Dyno_Data[Team],Dyno_Data[[#This Row],[Team]],Dyno_Data[RecordType],"StartMatch",Dyno_Data[Match],Dyno_Data[[#This Row],[Match]]),0)*86400),0)</f>
        <v>0</v>
      </c>
    </row>
    <row r="1620" spans="1:35" x14ac:dyDescent="0.3">
      <c r="A1620">
        <v>1619</v>
      </c>
      <c r="B1620" t="s">
        <v>1300</v>
      </c>
      <c r="C1620">
        <v>33</v>
      </c>
      <c r="D1620" s="105">
        <v>45373.604787233795</v>
      </c>
      <c r="E1620" t="s">
        <v>312</v>
      </c>
      <c r="F1620" t="s">
        <v>1402</v>
      </c>
      <c r="G1620">
        <v>0</v>
      </c>
      <c r="H1620" t="s">
        <v>315</v>
      </c>
      <c r="I1620">
        <v>0</v>
      </c>
      <c r="J1620">
        <v>0</v>
      </c>
      <c r="K1620">
        <v>0</v>
      </c>
      <c r="L1620" t="s">
        <v>241</v>
      </c>
      <c r="M1620" t="s">
        <v>1398</v>
      </c>
      <c r="N1620">
        <v>0</v>
      </c>
      <c r="O1620" t="s">
        <v>311</v>
      </c>
      <c r="P1620" t="s">
        <v>310</v>
      </c>
      <c r="Q1620" t="s">
        <v>310</v>
      </c>
      <c r="R1620" t="s">
        <v>310</v>
      </c>
      <c r="S1620">
        <v>9</v>
      </c>
      <c r="T1620" t="s">
        <v>310</v>
      </c>
      <c r="U1620">
        <v>9</v>
      </c>
      <c r="V1620">
        <v>9</v>
      </c>
      <c r="W1620">
        <v>0</v>
      </c>
      <c r="X1620">
        <v>0</v>
      </c>
      <c r="Y1620">
        <v>0</v>
      </c>
      <c r="Z1620">
        <v>0</v>
      </c>
      <c r="AA1620">
        <v>9</v>
      </c>
      <c r="AB1620">
        <v>9</v>
      </c>
      <c r="AC1620" t="s">
        <v>310</v>
      </c>
      <c r="AD1620">
        <v>9</v>
      </c>
      <c r="AE1620" t="s">
        <v>1392</v>
      </c>
      <c r="AF1620">
        <v>30000000</v>
      </c>
      <c r="AG1620" t="s">
        <v>310</v>
      </c>
      <c r="AH1620">
        <f>SUM((MID(Dyno_Data[[#This Row],[Team]],4,5))+(Dyno_Data[[#This Row],[Match]]/100))</f>
        <v>3044.33</v>
      </c>
      <c r="AI1620" s="76">
        <f>ROUND(SUM(IF(Dyno_Data[[#This Row],[AcqCenter]]&gt;0,Dyno_Data[[#This Row],[Time]]-SUMIFS(Dyno_Data[Time],Dyno_Data[Team],Dyno_Data[[#This Row],[Team]],Dyno_Data[RecordType],"StartMatch",Dyno_Data[Match],Dyno_Data[[#This Row],[Match]]),0)*86400),0)</f>
        <v>0</v>
      </c>
    </row>
    <row r="1621" spans="1:35" x14ac:dyDescent="0.3">
      <c r="A1621">
        <v>1620</v>
      </c>
      <c r="B1621" t="s">
        <v>1310</v>
      </c>
      <c r="C1621">
        <v>33</v>
      </c>
      <c r="D1621" s="105">
        <v>45373.604805983799</v>
      </c>
      <c r="E1621" t="s">
        <v>312</v>
      </c>
      <c r="F1621" t="s">
        <v>1402</v>
      </c>
      <c r="G1621">
        <v>0</v>
      </c>
      <c r="H1621" t="s">
        <v>1397</v>
      </c>
      <c r="I1621">
        <v>0</v>
      </c>
      <c r="J1621">
        <v>0</v>
      </c>
      <c r="K1621">
        <v>0</v>
      </c>
      <c r="L1621" t="s">
        <v>241</v>
      </c>
      <c r="M1621" t="s">
        <v>1398</v>
      </c>
      <c r="N1621">
        <v>1</v>
      </c>
      <c r="O1621" t="s">
        <v>1395</v>
      </c>
      <c r="P1621" t="s">
        <v>310</v>
      </c>
      <c r="Q1621" t="s">
        <v>310</v>
      </c>
      <c r="R1621" t="s">
        <v>310</v>
      </c>
      <c r="S1621">
        <v>9</v>
      </c>
      <c r="T1621" t="s">
        <v>310</v>
      </c>
      <c r="U1621">
        <v>9</v>
      </c>
      <c r="V1621">
        <v>9</v>
      </c>
      <c r="W1621">
        <v>0</v>
      </c>
      <c r="X1621">
        <v>0</v>
      </c>
      <c r="Y1621">
        <v>0</v>
      </c>
      <c r="Z1621">
        <v>0</v>
      </c>
      <c r="AA1621">
        <v>9</v>
      </c>
      <c r="AB1621">
        <v>9</v>
      </c>
      <c r="AC1621" t="s">
        <v>310</v>
      </c>
      <c r="AD1621">
        <v>9</v>
      </c>
      <c r="AE1621" t="s">
        <v>1396</v>
      </c>
      <c r="AF1621">
        <v>0</v>
      </c>
      <c r="AG1621" t="s">
        <v>310</v>
      </c>
      <c r="AH1621">
        <f>SUM((MID(Dyno_Data[[#This Row],[Team]],4,5))+(Dyno_Data[[#This Row],[Match]]/100))</f>
        <v>6621.33</v>
      </c>
      <c r="AI1621" s="76">
        <f>ROUND(SUM(IF(Dyno_Data[[#This Row],[AcqCenter]]&gt;0,Dyno_Data[[#This Row],[Time]]-SUMIFS(Dyno_Data[Time],Dyno_Data[Team],Dyno_Data[[#This Row],[Team]],Dyno_Data[RecordType],"StartMatch",Dyno_Data[Match],Dyno_Data[[#This Row],[Match]]),0)*86400),0)</f>
        <v>0</v>
      </c>
    </row>
    <row r="1622" spans="1:35" x14ac:dyDescent="0.3">
      <c r="A1622">
        <v>1621</v>
      </c>
      <c r="B1622" t="s">
        <v>1278</v>
      </c>
      <c r="C1622">
        <v>33</v>
      </c>
      <c r="D1622" s="105">
        <v>45373.604848645831</v>
      </c>
      <c r="E1622" t="s">
        <v>312</v>
      </c>
      <c r="F1622" t="s">
        <v>1402</v>
      </c>
      <c r="G1622">
        <v>0</v>
      </c>
      <c r="H1622" t="s">
        <v>315</v>
      </c>
      <c r="I1622">
        <v>0</v>
      </c>
      <c r="J1622">
        <v>0</v>
      </c>
      <c r="K1622">
        <v>0</v>
      </c>
      <c r="L1622" t="s">
        <v>241</v>
      </c>
      <c r="M1622" t="s">
        <v>101</v>
      </c>
      <c r="N1622">
        <v>0</v>
      </c>
      <c r="O1622" t="s">
        <v>1389</v>
      </c>
      <c r="P1622" t="s">
        <v>310</v>
      </c>
      <c r="Q1622" t="s">
        <v>310</v>
      </c>
      <c r="R1622" t="s">
        <v>310</v>
      </c>
      <c r="S1622">
        <v>9</v>
      </c>
      <c r="T1622" t="s">
        <v>310</v>
      </c>
      <c r="U1622">
        <v>9</v>
      </c>
      <c r="V1622">
        <v>9</v>
      </c>
      <c r="W1622">
        <v>0</v>
      </c>
      <c r="X1622">
        <v>0</v>
      </c>
      <c r="Y1622">
        <v>0</v>
      </c>
      <c r="Z1622">
        <v>0</v>
      </c>
      <c r="AA1622">
        <v>9</v>
      </c>
      <c r="AB1622">
        <v>9</v>
      </c>
      <c r="AC1622" t="s">
        <v>310</v>
      </c>
      <c r="AD1622">
        <v>9</v>
      </c>
      <c r="AE1622" t="s">
        <v>1388</v>
      </c>
      <c r="AF1622">
        <v>20000000</v>
      </c>
      <c r="AG1622" t="s">
        <v>310</v>
      </c>
      <c r="AH1622">
        <f>SUM((MID(Dyno_Data[[#This Row],[Team]],4,5))+(Dyno_Data[[#This Row],[Match]]/100))</f>
        <v>3951.33</v>
      </c>
      <c r="AI1622" s="76">
        <f>ROUND(SUM(IF(Dyno_Data[[#This Row],[AcqCenter]]&gt;0,Dyno_Data[[#This Row],[Time]]-SUMIFS(Dyno_Data[Time],Dyno_Data[Team],Dyno_Data[[#This Row],[Team]],Dyno_Data[RecordType],"StartMatch",Dyno_Data[Match],Dyno_Data[[#This Row],[Match]]),0)*86400),0)</f>
        <v>0</v>
      </c>
    </row>
    <row r="1623" spans="1:35" x14ac:dyDescent="0.3">
      <c r="A1623">
        <v>1622</v>
      </c>
      <c r="B1623" t="s">
        <v>1284</v>
      </c>
      <c r="C1623">
        <v>33</v>
      </c>
      <c r="D1623" s="105">
        <v>45373.604878356484</v>
      </c>
      <c r="E1623" t="s">
        <v>312</v>
      </c>
      <c r="F1623" t="s">
        <v>1402</v>
      </c>
      <c r="G1623">
        <v>0</v>
      </c>
      <c r="H1623" t="s">
        <v>315</v>
      </c>
      <c r="I1623">
        <v>0</v>
      </c>
      <c r="J1623">
        <v>0</v>
      </c>
      <c r="K1623">
        <v>0</v>
      </c>
      <c r="L1623" t="s">
        <v>240</v>
      </c>
      <c r="M1623" t="s">
        <v>1398</v>
      </c>
      <c r="N1623">
        <v>1</v>
      </c>
      <c r="O1623" t="s">
        <v>319</v>
      </c>
      <c r="P1623" t="s">
        <v>310</v>
      </c>
      <c r="Q1623" t="s">
        <v>310</v>
      </c>
      <c r="R1623" t="s">
        <v>310</v>
      </c>
      <c r="S1623">
        <v>9</v>
      </c>
      <c r="T1623" t="s">
        <v>310</v>
      </c>
      <c r="U1623">
        <v>9</v>
      </c>
      <c r="V1623">
        <v>9</v>
      </c>
      <c r="W1623">
        <v>0</v>
      </c>
      <c r="X1623">
        <v>0</v>
      </c>
      <c r="Y1623">
        <v>0</v>
      </c>
      <c r="Z1623">
        <v>0</v>
      </c>
      <c r="AA1623">
        <v>9</v>
      </c>
      <c r="AB1623">
        <v>9</v>
      </c>
      <c r="AC1623" t="s">
        <v>310</v>
      </c>
      <c r="AD1623">
        <v>9</v>
      </c>
      <c r="AE1623" t="s">
        <v>1387</v>
      </c>
      <c r="AF1623">
        <v>10000000</v>
      </c>
      <c r="AG1623" t="s">
        <v>310</v>
      </c>
      <c r="AH1623">
        <f>SUM((MID(Dyno_Data[[#This Row],[Team]],4,5))+(Dyno_Data[[#This Row],[Match]]/100))</f>
        <v>5590.33</v>
      </c>
      <c r="AI1623" s="76">
        <f>ROUND(SUM(IF(Dyno_Data[[#This Row],[AcqCenter]]&gt;0,Dyno_Data[[#This Row],[Time]]-SUMIFS(Dyno_Data[Time],Dyno_Data[Team],Dyno_Data[[#This Row],[Team]],Dyno_Data[RecordType],"StartMatch",Dyno_Data[Match],Dyno_Data[[#This Row],[Match]]),0)*86400),0)</f>
        <v>0</v>
      </c>
    </row>
    <row r="1624" spans="1:35" x14ac:dyDescent="0.3">
      <c r="A1624">
        <v>1623</v>
      </c>
      <c r="B1624" t="s">
        <v>1310</v>
      </c>
      <c r="C1624">
        <v>33</v>
      </c>
      <c r="D1624" s="105">
        <v>45373.604909409725</v>
      </c>
      <c r="E1624" t="s">
        <v>312</v>
      </c>
      <c r="F1624" t="s">
        <v>1402</v>
      </c>
      <c r="G1624">
        <v>0</v>
      </c>
      <c r="H1624" t="s">
        <v>315</v>
      </c>
      <c r="I1624">
        <v>0</v>
      </c>
      <c r="J1624">
        <v>0</v>
      </c>
      <c r="K1624">
        <v>0</v>
      </c>
      <c r="L1624" t="s">
        <v>241</v>
      </c>
      <c r="M1624" t="s">
        <v>1398</v>
      </c>
      <c r="N1624">
        <v>1</v>
      </c>
      <c r="O1624" t="s">
        <v>1395</v>
      </c>
      <c r="P1624" t="s">
        <v>310</v>
      </c>
      <c r="Q1624" t="s">
        <v>310</v>
      </c>
      <c r="R1624" t="s">
        <v>310</v>
      </c>
      <c r="S1624">
        <v>9</v>
      </c>
      <c r="T1624" t="s">
        <v>310</v>
      </c>
      <c r="U1624">
        <v>9</v>
      </c>
      <c r="V1624">
        <v>9</v>
      </c>
      <c r="W1624">
        <v>0</v>
      </c>
      <c r="X1624">
        <v>0</v>
      </c>
      <c r="Y1624">
        <v>0</v>
      </c>
      <c r="Z1624">
        <v>0</v>
      </c>
      <c r="AA1624">
        <v>9</v>
      </c>
      <c r="AB1624">
        <v>9</v>
      </c>
      <c r="AC1624" t="s">
        <v>310</v>
      </c>
      <c r="AD1624">
        <v>9</v>
      </c>
      <c r="AE1624" t="s">
        <v>1396</v>
      </c>
      <c r="AF1624">
        <v>10000000</v>
      </c>
      <c r="AG1624" t="s">
        <v>310</v>
      </c>
      <c r="AH1624">
        <f>SUM((MID(Dyno_Data[[#This Row],[Team]],4,5))+(Dyno_Data[[#This Row],[Match]]/100))</f>
        <v>6621.33</v>
      </c>
      <c r="AI1624" s="76">
        <f>ROUND(SUM(IF(Dyno_Data[[#This Row],[AcqCenter]]&gt;0,Dyno_Data[[#This Row],[Time]]-SUMIFS(Dyno_Data[Time],Dyno_Data[Team],Dyno_Data[[#This Row],[Team]],Dyno_Data[RecordType],"StartMatch",Dyno_Data[Match],Dyno_Data[[#This Row],[Match]]),0)*86400),0)</f>
        <v>0</v>
      </c>
    </row>
    <row r="1625" spans="1:35" x14ac:dyDescent="0.3">
      <c r="A1625">
        <v>1624</v>
      </c>
      <c r="B1625" t="s">
        <v>373</v>
      </c>
      <c r="C1625">
        <v>33</v>
      </c>
      <c r="D1625" s="105">
        <v>45373.60491519676</v>
      </c>
      <c r="E1625" t="s">
        <v>1403</v>
      </c>
      <c r="F1625" t="s">
        <v>1402</v>
      </c>
      <c r="G1625">
        <v>0</v>
      </c>
      <c r="H1625" t="s">
        <v>310</v>
      </c>
      <c r="I1625">
        <v>0</v>
      </c>
      <c r="J1625">
        <v>0</v>
      </c>
      <c r="K1625">
        <v>0</v>
      </c>
      <c r="L1625" t="s">
        <v>310</v>
      </c>
      <c r="M1625" t="s">
        <v>310</v>
      </c>
      <c r="N1625">
        <v>0</v>
      </c>
      <c r="O1625" t="s">
        <v>1393</v>
      </c>
      <c r="P1625" t="s">
        <v>310</v>
      </c>
      <c r="Q1625" t="s">
        <v>310</v>
      </c>
      <c r="R1625" t="s">
        <v>310</v>
      </c>
      <c r="S1625">
        <v>9</v>
      </c>
      <c r="T1625" t="s">
        <v>310</v>
      </c>
      <c r="U1625">
        <v>9</v>
      </c>
      <c r="V1625">
        <v>9</v>
      </c>
      <c r="W1625">
        <v>0</v>
      </c>
      <c r="X1625">
        <v>0</v>
      </c>
      <c r="Y1625">
        <v>0</v>
      </c>
      <c r="Z1625">
        <v>0</v>
      </c>
      <c r="AA1625">
        <v>9</v>
      </c>
      <c r="AB1625">
        <v>9</v>
      </c>
      <c r="AC1625" t="s">
        <v>310</v>
      </c>
      <c r="AD1625">
        <v>9</v>
      </c>
      <c r="AE1625" t="s">
        <v>1394</v>
      </c>
      <c r="AF1625">
        <v>10000000</v>
      </c>
      <c r="AG1625" t="s">
        <v>248</v>
      </c>
      <c r="AH1625">
        <f>SUM((MID(Dyno_Data[[#This Row],[Team]],4,5))+(Dyno_Data[[#This Row],[Match]]/100))</f>
        <v>7718.33</v>
      </c>
      <c r="AI1625" s="76">
        <f>ROUND(SUM(IF(Dyno_Data[[#This Row],[AcqCenter]]&gt;0,Dyno_Data[[#This Row],[Time]]-SUMIFS(Dyno_Data[Time],Dyno_Data[Team],Dyno_Data[[#This Row],[Team]],Dyno_Data[RecordType],"StartMatch",Dyno_Data[Match],Dyno_Data[[#This Row],[Match]]),0)*86400),0)</f>
        <v>0</v>
      </c>
    </row>
    <row r="1626" spans="1:35" x14ac:dyDescent="0.3">
      <c r="A1626">
        <v>1625</v>
      </c>
      <c r="B1626" t="s">
        <v>1300</v>
      </c>
      <c r="C1626">
        <v>33</v>
      </c>
      <c r="D1626" s="105">
        <v>45373.604945636573</v>
      </c>
      <c r="E1626" t="s">
        <v>312</v>
      </c>
      <c r="F1626" t="s">
        <v>1402</v>
      </c>
      <c r="G1626">
        <v>0</v>
      </c>
      <c r="H1626" t="s">
        <v>315</v>
      </c>
      <c r="I1626">
        <v>0</v>
      </c>
      <c r="J1626">
        <v>0</v>
      </c>
      <c r="K1626">
        <v>0</v>
      </c>
      <c r="L1626" t="s">
        <v>241</v>
      </c>
      <c r="M1626" t="s">
        <v>1398</v>
      </c>
      <c r="N1626">
        <v>1</v>
      </c>
      <c r="O1626" t="s">
        <v>311</v>
      </c>
      <c r="P1626" t="s">
        <v>310</v>
      </c>
      <c r="Q1626" t="s">
        <v>310</v>
      </c>
      <c r="R1626" t="s">
        <v>310</v>
      </c>
      <c r="S1626">
        <v>9</v>
      </c>
      <c r="T1626" t="s">
        <v>310</v>
      </c>
      <c r="U1626">
        <v>9</v>
      </c>
      <c r="V1626">
        <v>9</v>
      </c>
      <c r="W1626">
        <v>0</v>
      </c>
      <c r="X1626">
        <v>0</v>
      </c>
      <c r="Y1626">
        <v>0</v>
      </c>
      <c r="Z1626">
        <v>0</v>
      </c>
      <c r="AA1626">
        <v>9</v>
      </c>
      <c r="AB1626">
        <v>9</v>
      </c>
      <c r="AC1626" t="s">
        <v>310</v>
      </c>
      <c r="AD1626">
        <v>9</v>
      </c>
      <c r="AE1626" t="s">
        <v>1392</v>
      </c>
      <c r="AF1626">
        <v>40000000</v>
      </c>
      <c r="AG1626" t="s">
        <v>310</v>
      </c>
      <c r="AH1626">
        <f>SUM((MID(Dyno_Data[[#This Row],[Team]],4,5))+(Dyno_Data[[#This Row],[Match]]/100))</f>
        <v>3044.33</v>
      </c>
      <c r="AI1626" s="76">
        <f>ROUND(SUM(IF(Dyno_Data[[#This Row],[AcqCenter]]&gt;0,Dyno_Data[[#This Row],[Time]]-SUMIFS(Dyno_Data[Time],Dyno_Data[Team],Dyno_Data[[#This Row],[Team]],Dyno_Data[RecordType],"StartMatch",Dyno_Data[Match],Dyno_Data[[#This Row],[Match]]),0)*86400),0)</f>
        <v>0</v>
      </c>
    </row>
    <row r="1627" spans="1:35" x14ac:dyDescent="0.3">
      <c r="A1627">
        <v>1626</v>
      </c>
      <c r="B1627" t="s">
        <v>1310</v>
      </c>
      <c r="C1627">
        <v>33</v>
      </c>
      <c r="D1627" s="105">
        <v>45373.604986192127</v>
      </c>
      <c r="E1627" t="s">
        <v>312</v>
      </c>
      <c r="F1627" t="s">
        <v>1402</v>
      </c>
      <c r="G1627">
        <v>0</v>
      </c>
      <c r="H1627" t="s">
        <v>315</v>
      </c>
      <c r="I1627">
        <v>0</v>
      </c>
      <c r="J1627">
        <v>0</v>
      </c>
      <c r="K1627">
        <v>0</v>
      </c>
      <c r="L1627" t="s">
        <v>241</v>
      </c>
      <c r="M1627" t="s">
        <v>1398</v>
      </c>
      <c r="N1627">
        <v>0</v>
      </c>
      <c r="O1627" t="s">
        <v>1395</v>
      </c>
      <c r="P1627" t="s">
        <v>310</v>
      </c>
      <c r="Q1627" t="s">
        <v>310</v>
      </c>
      <c r="R1627" t="s">
        <v>310</v>
      </c>
      <c r="S1627">
        <v>9</v>
      </c>
      <c r="T1627" t="s">
        <v>310</v>
      </c>
      <c r="U1627">
        <v>9</v>
      </c>
      <c r="V1627">
        <v>9</v>
      </c>
      <c r="W1627">
        <v>0</v>
      </c>
      <c r="X1627">
        <v>0</v>
      </c>
      <c r="Y1627">
        <v>0</v>
      </c>
      <c r="Z1627">
        <v>0</v>
      </c>
      <c r="AA1627">
        <v>9</v>
      </c>
      <c r="AB1627">
        <v>9</v>
      </c>
      <c r="AC1627" t="s">
        <v>310</v>
      </c>
      <c r="AD1627">
        <v>9</v>
      </c>
      <c r="AE1627" t="s">
        <v>1396</v>
      </c>
      <c r="AF1627">
        <v>20000000</v>
      </c>
      <c r="AG1627" t="s">
        <v>310</v>
      </c>
      <c r="AH1627">
        <f>SUM((MID(Dyno_Data[[#This Row],[Team]],4,5))+(Dyno_Data[[#This Row],[Match]]/100))</f>
        <v>6621.33</v>
      </c>
      <c r="AI1627" s="76">
        <f>ROUND(SUM(IF(Dyno_Data[[#This Row],[AcqCenter]]&gt;0,Dyno_Data[[#This Row],[Time]]-SUMIFS(Dyno_Data[Time],Dyno_Data[Team],Dyno_Data[[#This Row],[Team]],Dyno_Data[RecordType],"StartMatch",Dyno_Data[Match],Dyno_Data[[#This Row],[Match]]),0)*86400),0)</f>
        <v>0</v>
      </c>
    </row>
    <row r="1628" spans="1:35" x14ac:dyDescent="0.3">
      <c r="A1628">
        <v>1627</v>
      </c>
      <c r="B1628" t="s">
        <v>1278</v>
      </c>
      <c r="C1628">
        <v>33</v>
      </c>
      <c r="D1628" s="105">
        <v>45373.604990474538</v>
      </c>
      <c r="E1628" t="s">
        <v>312</v>
      </c>
      <c r="F1628" t="s">
        <v>1402</v>
      </c>
      <c r="G1628">
        <v>0</v>
      </c>
      <c r="H1628" t="s">
        <v>315</v>
      </c>
      <c r="I1628">
        <v>0</v>
      </c>
      <c r="J1628">
        <v>0</v>
      </c>
      <c r="K1628">
        <v>0</v>
      </c>
      <c r="L1628" t="s">
        <v>241</v>
      </c>
      <c r="M1628" t="s">
        <v>101</v>
      </c>
      <c r="N1628">
        <v>0</v>
      </c>
      <c r="O1628" t="s">
        <v>1389</v>
      </c>
      <c r="P1628" t="s">
        <v>310</v>
      </c>
      <c r="Q1628" t="s">
        <v>310</v>
      </c>
      <c r="R1628" t="s">
        <v>310</v>
      </c>
      <c r="S1628">
        <v>9</v>
      </c>
      <c r="T1628" t="s">
        <v>310</v>
      </c>
      <c r="U1628">
        <v>9</v>
      </c>
      <c r="V1628">
        <v>9</v>
      </c>
      <c r="W1628">
        <v>0</v>
      </c>
      <c r="X1628">
        <v>0</v>
      </c>
      <c r="Y1628">
        <v>0</v>
      </c>
      <c r="Z1628">
        <v>0</v>
      </c>
      <c r="AA1628">
        <v>9</v>
      </c>
      <c r="AB1628">
        <v>9</v>
      </c>
      <c r="AC1628" t="s">
        <v>310</v>
      </c>
      <c r="AD1628">
        <v>9</v>
      </c>
      <c r="AE1628" t="s">
        <v>1388</v>
      </c>
      <c r="AF1628">
        <v>30000000</v>
      </c>
      <c r="AG1628" t="s">
        <v>310</v>
      </c>
      <c r="AH1628">
        <f>SUM((MID(Dyno_Data[[#This Row],[Team]],4,5))+(Dyno_Data[[#This Row],[Match]]/100))</f>
        <v>3951.33</v>
      </c>
      <c r="AI1628" s="76">
        <f>ROUND(SUM(IF(Dyno_Data[[#This Row],[AcqCenter]]&gt;0,Dyno_Data[[#This Row],[Time]]-SUMIFS(Dyno_Data[Time],Dyno_Data[Team],Dyno_Data[[#This Row],[Team]],Dyno_Data[RecordType],"StartMatch",Dyno_Data[Match],Dyno_Data[[#This Row],[Match]]),0)*86400),0)</f>
        <v>0</v>
      </c>
    </row>
    <row r="1629" spans="1:35" x14ac:dyDescent="0.3">
      <c r="A1629">
        <v>1628</v>
      </c>
      <c r="B1629" t="s">
        <v>1300</v>
      </c>
      <c r="C1629">
        <v>33</v>
      </c>
      <c r="D1629" s="105">
        <v>45373.604994016205</v>
      </c>
      <c r="E1629" t="s">
        <v>312</v>
      </c>
      <c r="F1629" t="s">
        <v>1402</v>
      </c>
      <c r="G1629">
        <v>0</v>
      </c>
      <c r="H1629" t="s">
        <v>315</v>
      </c>
      <c r="I1629">
        <v>0</v>
      </c>
      <c r="J1629">
        <v>0</v>
      </c>
      <c r="K1629">
        <v>0</v>
      </c>
      <c r="L1629" t="s">
        <v>241</v>
      </c>
      <c r="M1629" t="s">
        <v>1398</v>
      </c>
      <c r="N1629">
        <v>0</v>
      </c>
      <c r="O1629" t="s">
        <v>311</v>
      </c>
      <c r="P1629" t="s">
        <v>310</v>
      </c>
      <c r="Q1629" t="s">
        <v>310</v>
      </c>
      <c r="R1629" t="s">
        <v>310</v>
      </c>
      <c r="S1629">
        <v>9</v>
      </c>
      <c r="T1629" t="s">
        <v>310</v>
      </c>
      <c r="U1629">
        <v>9</v>
      </c>
      <c r="V1629">
        <v>9</v>
      </c>
      <c r="W1629">
        <v>0</v>
      </c>
      <c r="X1629">
        <v>0</v>
      </c>
      <c r="Y1629">
        <v>0</v>
      </c>
      <c r="Z1629">
        <v>0</v>
      </c>
      <c r="AA1629">
        <v>9</v>
      </c>
      <c r="AB1629">
        <v>9</v>
      </c>
      <c r="AC1629" t="s">
        <v>310</v>
      </c>
      <c r="AD1629">
        <v>9</v>
      </c>
      <c r="AE1629" t="s">
        <v>1392</v>
      </c>
      <c r="AF1629">
        <v>50000000</v>
      </c>
      <c r="AG1629" t="s">
        <v>310</v>
      </c>
      <c r="AH1629">
        <f>SUM((MID(Dyno_Data[[#This Row],[Team]],4,5))+(Dyno_Data[[#This Row],[Match]]/100))</f>
        <v>3044.33</v>
      </c>
      <c r="AI1629" s="76">
        <f>ROUND(SUM(IF(Dyno_Data[[#This Row],[AcqCenter]]&gt;0,Dyno_Data[[#This Row],[Time]]-SUMIFS(Dyno_Data[Time],Dyno_Data[Team],Dyno_Data[[#This Row],[Team]],Dyno_Data[RecordType],"StartMatch",Dyno_Data[Match],Dyno_Data[[#This Row],[Match]]),0)*86400),0)</f>
        <v>0</v>
      </c>
    </row>
    <row r="1630" spans="1:35" x14ac:dyDescent="0.3">
      <c r="A1630">
        <v>1629</v>
      </c>
      <c r="B1630" t="s">
        <v>1284</v>
      </c>
      <c r="C1630">
        <v>33</v>
      </c>
      <c r="D1630" s="105">
        <v>45373.605120219909</v>
      </c>
      <c r="E1630" t="s">
        <v>312</v>
      </c>
      <c r="F1630" t="s">
        <v>1402</v>
      </c>
      <c r="G1630">
        <v>0</v>
      </c>
      <c r="H1630" t="s">
        <v>315</v>
      </c>
      <c r="I1630">
        <v>0</v>
      </c>
      <c r="J1630">
        <v>0</v>
      </c>
      <c r="K1630">
        <v>0</v>
      </c>
      <c r="L1630" t="s">
        <v>241</v>
      </c>
      <c r="M1630" t="s">
        <v>1398</v>
      </c>
      <c r="N1630">
        <v>1</v>
      </c>
      <c r="O1630" t="s">
        <v>319</v>
      </c>
      <c r="P1630" t="s">
        <v>310</v>
      </c>
      <c r="Q1630" t="s">
        <v>310</v>
      </c>
      <c r="R1630" t="s">
        <v>310</v>
      </c>
      <c r="S1630">
        <v>9</v>
      </c>
      <c r="T1630" t="s">
        <v>310</v>
      </c>
      <c r="U1630">
        <v>9</v>
      </c>
      <c r="V1630">
        <v>9</v>
      </c>
      <c r="W1630">
        <v>0</v>
      </c>
      <c r="X1630">
        <v>0</v>
      </c>
      <c r="Y1630">
        <v>0</v>
      </c>
      <c r="Z1630">
        <v>0</v>
      </c>
      <c r="AA1630">
        <v>9</v>
      </c>
      <c r="AB1630">
        <v>9</v>
      </c>
      <c r="AC1630" t="s">
        <v>310</v>
      </c>
      <c r="AD1630">
        <v>9</v>
      </c>
      <c r="AE1630" t="s">
        <v>1387</v>
      </c>
      <c r="AF1630">
        <v>20000000</v>
      </c>
      <c r="AG1630" t="s">
        <v>310</v>
      </c>
      <c r="AH1630">
        <f>SUM((MID(Dyno_Data[[#This Row],[Team]],4,5))+(Dyno_Data[[#This Row],[Match]]/100))</f>
        <v>5590.33</v>
      </c>
      <c r="AI1630" s="76">
        <f>ROUND(SUM(IF(Dyno_Data[[#This Row],[AcqCenter]]&gt;0,Dyno_Data[[#This Row],[Time]]-SUMIFS(Dyno_Data[Time],Dyno_Data[Team],Dyno_Data[[#This Row],[Team]],Dyno_Data[RecordType],"StartMatch",Dyno_Data[Match],Dyno_Data[[#This Row],[Match]]),0)*86400),0)</f>
        <v>0</v>
      </c>
    </row>
    <row r="1631" spans="1:35" x14ac:dyDescent="0.3">
      <c r="A1631">
        <v>1630</v>
      </c>
      <c r="B1631" t="s">
        <v>1278</v>
      </c>
      <c r="C1631">
        <v>33</v>
      </c>
      <c r="D1631" s="105">
        <v>45373.605125960647</v>
      </c>
      <c r="E1631" t="s">
        <v>312</v>
      </c>
      <c r="F1631" t="s">
        <v>1402</v>
      </c>
      <c r="G1631">
        <v>0</v>
      </c>
      <c r="H1631" t="s">
        <v>315</v>
      </c>
      <c r="I1631">
        <v>0</v>
      </c>
      <c r="J1631">
        <v>0</v>
      </c>
      <c r="K1631">
        <v>0</v>
      </c>
      <c r="L1631" t="s">
        <v>241</v>
      </c>
      <c r="M1631" t="s">
        <v>101</v>
      </c>
      <c r="N1631">
        <v>1</v>
      </c>
      <c r="O1631" t="s">
        <v>1389</v>
      </c>
      <c r="P1631" t="s">
        <v>310</v>
      </c>
      <c r="Q1631" t="s">
        <v>310</v>
      </c>
      <c r="R1631" t="s">
        <v>310</v>
      </c>
      <c r="S1631">
        <v>9</v>
      </c>
      <c r="T1631" t="s">
        <v>310</v>
      </c>
      <c r="U1631">
        <v>9</v>
      </c>
      <c r="V1631">
        <v>9</v>
      </c>
      <c r="W1631">
        <v>0</v>
      </c>
      <c r="X1631">
        <v>0</v>
      </c>
      <c r="Y1631">
        <v>0</v>
      </c>
      <c r="Z1631">
        <v>0</v>
      </c>
      <c r="AA1631">
        <v>9</v>
      </c>
      <c r="AB1631">
        <v>9</v>
      </c>
      <c r="AC1631" t="s">
        <v>310</v>
      </c>
      <c r="AD1631">
        <v>9</v>
      </c>
      <c r="AE1631" t="s">
        <v>1388</v>
      </c>
      <c r="AF1631">
        <v>40000000</v>
      </c>
      <c r="AG1631" t="s">
        <v>310</v>
      </c>
      <c r="AH1631">
        <f>SUM((MID(Dyno_Data[[#This Row],[Team]],4,5))+(Dyno_Data[[#This Row],[Match]]/100))</f>
        <v>3951.33</v>
      </c>
      <c r="AI1631" s="76">
        <f>ROUND(SUM(IF(Dyno_Data[[#This Row],[AcqCenter]]&gt;0,Dyno_Data[[#This Row],[Time]]-SUMIFS(Dyno_Data[Time],Dyno_Data[Team],Dyno_Data[[#This Row],[Team]],Dyno_Data[RecordType],"StartMatch",Dyno_Data[Match],Dyno_Data[[#This Row],[Match]]),0)*86400),0)</f>
        <v>0</v>
      </c>
    </row>
    <row r="1632" spans="1:35" x14ac:dyDescent="0.3">
      <c r="A1632">
        <v>1631</v>
      </c>
      <c r="B1632" t="s">
        <v>1278</v>
      </c>
      <c r="C1632">
        <v>33</v>
      </c>
      <c r="D1632" s="105">
        <v>45373.605171446761</v>
      </c>
      <c r="E1632" t="s">
        <v>1403</v>
      </c>
      <c r="F1632" t="s">
        <v>1402</v>
      </c>
      <c r="G1632">
        <v>0</v>
      </c>
      <c r="H1632" t="s">
        <v>310</v>
      </c>
      <c r="I1632">
        <v>0</v>
      </c>
      <c r="J1632">
        <v>0</v>
      </c>
      <c r="K1632">
        <v>0</v>
      </c>
      <c r="L1632" t="s">
        <v>310</v>
      </c>
      <c r="M1632" t="s">
        <v>310</v>
      </c>
      <c r="N1632">
        <v>0</v>
      </c>
      <c r="O1632" t="s">
        <v>1389</v>
      </c>
      <c r="P1632" t="s">
        <v>310</v>
      </c>
      <c r="Q1632" t="s">
        <v>310</v>
      </c>
      <c r="R1632" t="s">
        <v>310</v>
      </c>
      <c r="S1632">
        <v>9</v>
      </c>
      <c r="T1632" t="s">
        <v>310</v>
      </c>
      <c r="U1632">
        <v>9</v>
      </c>
      <c r="V1632">
        <v>9</v>
      </c>
      <c r="W1632">
        <v>0</v>
      </c>
      <c r="X1632">
        <v>0</v>
      </c>
      <c r="Y1632">
        <v>0</v>
      </c>
      <c r="Z1632">
        <v>0</v>
      </c>
      <c r="AA1632">
        <v>9</v>
      </c>
      <c r="AB1632">
        <v>9</v>
      </c>
      <c r="AC1632" t="s">
        <v>310</v>
      </c>
      <c r="AD1632">
        <v>9</v>
      </c>
      <c r="AE1632" t="s">
        <v>1388</v>
      </c>
      <c r="AF1632">
        <v>40000000</v>
      </c>
      <c r="AG1632" t="s">
        <v>252</v>
      </c>
      <c r="AH1632">
        <f>SUM((MID(Dyno_Data[[#This Row],[Team]],4,5))+(Dyno_Data[[#This Row],[Match]]/100))</f>
        <v>3951.33</v>
      </c>
      <c r="AI1632" s="76">
        <f>ROUND(SUM(IF(Dyno_Data[[#This Row],[AcqCenter]]&gt;0,Dyno_Data[[#This Row],[Time]]-SUMIFS(Dyno_Data[Time],Dyno_Data[Team],Dyno_Data[[#This Row],[Team]],Dyno_Data[RecordType],"StartMatch",Dyno_Data[Match],Dyno_Data[[#This Row],[Match]]),0)*86400),0)</f>
        <v>0</v>
      </c>
    </row>
    <row r="1633" spans="1:35" x14ac:dyDescent="0.3">
      <c r="A1633">
        <v>1632</v>
      </c>
      <c r="B1633" t="s">
        <v>1300</v>
      </c>
      <c r="C1633">
        <v>33</v>
      </c>
      <c r="D1633" s="105">
        <v>45373.605177280093</v>
      </c>
      <c r="E1633" t="s">
        <v>312</v>
      </c>
      <c r="F1633" t="s">
        <v>1402</v>
      </c>
      <c r="G1633">
        <v>0</v>
      </c>
      <c r="H1633" t="s">
        <v>315</v>
      </c>
      <c r="I1633">
        <v>0</v>
      </c>
      <c r="J1633">
        <v>0</v>
      </c>
      <c r="K1633">
        <v>0</v>
      </c>
      <c r="L1633" t="s">
        <v>241</v>
      </c>
      <c r="M1633" t="s">
        <v>1398</v>
      </c>
      <c r="N1633">
        <v>1</v>
      </c>
      <c r="O1633" t="s">
        <v>311</v>
      </c>
      <c r="P1633" t="s">
        <v>310</v>
      </c>
      <c r="Q1633" t="s">
        <v>310</v>
      </c>
      <c r="R1633" t="s">
        <v>310</v>
      </c>
      <c r="S1633">
        <v>9</v>
      </c>
      <c r="T1633" t="s">
        <v>310</v>
      </c>
      <c r="U1633">
        <v>9</v>
      </c>
      <c r="V1633">
        <v>9</v>
      </c>
      <c r="W1633">
        <v>0</v>
      </c>
      <c r="X1633">
        <v>0</v>
      </c>
      <c r="Y1633">
        <v>0</v>
      </c>
      <c r="Z1633">
        <v>0</v>
      </c>
      <c r="AA1633">
        <v>9</v>
      </c>
      <c r="AB1633">
        <v>9</v>
      </c>
      <c r="AC1633" t="s">
        <v>310</v>
      </c>
      <c r="AD1633">
        <v>9</v>
      </c>
      <c r="AE1633" t="s">
        <v>1392</v>
      </c>
      <c r="AF1633">
        <v>60000000</v>
      </c>
      <c r="AG1633" t="s">
        <v>310</v>
      </c>
      <c r="AH1633">
        <f>SUM((MID(Dyno_Data[[#This Row],[Team]],4,5))+(Dyno_Data[[#This Row],[Match]]/100))</f>
        <v>3044.33</v>
      </c>
      <c r="AI1633" s="76">
        <f>ROUND(SUM(IF(Dyno_Data[[#This Row],[AcqCenter]]&gt;0,Dyno_Data[[#This Row],[Time]]-SUMIFS(Dyno_Data[Time],Dyno_Data[Team],Dyno_Data[[#This Row],[Team]],Dyno_Data[RecordType],"StartMatch",Dyno_Data[Match],Dyno_Data[[#This Row],[Match]]),0)*86400),0)</f>
        <v>0</v>
      </c>
    </row>
    <row r="1634" spans="1:35" x14ac:dyDescent="0.3">
      <c r="A1634">
        <v>1633</v>
      </c>
      <c r="B1634" t="s">
        <v>1289</v>
      </c>
      <c r="C1634">
        <v>33</v>
      </c>
      <c r="D1634" s="105">
        <v>45373.605183067128</v>
      </c>
      <c r="E1634" t="s">
        <v>312</v>
      </c>
      <c r="F1634" t="s">
        <v>1402</v>
      </c>
      <c r="G1634">
        <v>0</v>
      </c>
      <c r="H1634" t="s">
        <v>1397</v>
      </c>
      <c r="I1634">
        <v>0</v>
      </c>
      <c r="J1634">
        <v>0</v>
      </c>
      <c r="K1634">
        <v>0</v>
      </c>
      <c r="L1634" t="s">
        <v>241</v>
      </c>
      <c r="M1634" t="s">
        <v>101</v>
      </c>
      <c r="N1634">
        <v>0</v>
      </c>
      <c r="O1634" t="s">
        <v>1391</v>
      </c>
      <c r="P1634" t="s">
        <v>310</v>
      </c>
      <c r="Q1634" t="s">
        <v>310</v>
      </c>
      <c r="R1634" t="s">
        <v>310</v>
      </c>
      <c r="S1634">
        <v>9</v>
      </c>
      <c r="T1634" t="s">
        <v>310</v>
      </c>
      <c r="U1634">
        <v>9</v>
      </c>
      <c r="V1634">
        <v>9</v>
      </c>
      <c r="W1634">
        <v>0</v>
      </c>
      <c r="X1634">
        <v>0</v>
      </c>
      <c r="Y1634">
        <v>0</v>
      </c>
      <c r="Z1634">
        <v>0</v>
      </c>
      <c r="AA1634">
        <v>9</v>
      </c>
      <c r="AB1634">
        <v>9</v>
      </c>
      <c r="AC1634" t="s">
        <v>310</v>
      </c>
      <c r="AD1634">
        <v>9</v>
      </c>
      <c r="AE1634" t="s">
        <v>1390</v>
      </c>
      <c r="AF1634">
        <v>0</v>
      </c>
      <c r="AG1634" t="s">
        <v>310</v>
      </c>
      <c r="AH1634">
        <f>SUM((MID(Dyno_Data[[#This Row],[Team]],4,5))+(Dyno_Data[[#This Row],[Match]]/100))</f>
        <v>6648.33</v>
      </c>
      <c r="AI1634" s="76">
        <f>ROUND(SUM(IF(Dyno_Data[[#This Row],[AcqCenter]]&gt;0,Dyno_Data[[#This Row],[Time]]-SUMIFS(Dyno_Data[Time],Dyno_Data[Team],Dyno_Data[[#This Row],[Team]],Dyno_Data[RecordType],"StartMatch",Dyno_Data[Match],Dyno_Data[[#This Row],[Match]]),0)*86400),0)</f>
        <v>0</v>
      </c>
    </row>
    <row r="1635" spans="1:35" x14ac:dyDescent="0.3">
      <c r="A1635">
        <v>1634</v>
      </c>
      <c r="B1635" t="s">
        <v>1284</v>
      </c>
      <c r="C1635">
        <v>33</v>
      </c>
      <c r="D1635" s="105">
        <v>45373.605215543983</v>
      </c>
      <c r="E1635" t="s">
        <v>312</v>
      </c>
      <c r="F1635" t="s">
        <v>1402</v>
      </c>
      <c r="G1635">
        <v>0</v>
      </c>
      <c r="H1635" t="s">
        <v>315</v>
      </c>
      <c r="I1635">
        <v>0</v>
      </c>
      <c r="J1635">
        <v>0</v>
      </c>
      <c r="K1635">
        <v>0</v>
      </c>
      <c r="L1635" t="s">
        <v>241</v>
      </c>
      <c r="M1635" t="s">
        <v>1398</v>
      </c>
      <c r="N1635">
        <v>1</v>
      </c>
      <c r="O1635" t="s">
        <v>319</v>
      </c>
      <c r="P1635" t="s">
        <v>310</v>
      </c>
      <c r="Q1635" t="s">
        <v>310</v>
      </c>
      <c r="R1635" t="s">
        <v>310</v>
      </c>
      <c r="S1635">
        <v>9</v>
      </c>
      <c r="T1635" t="s">
        <v>310</v>
      </c>
      <c r="U1635">
        <v>9</v>
      </c>
      <c r="V1635">
        <v>9</v>
      </c>
      <c r="W1635">
        <v>0</v>
      </c>
      <c r="X1635">
        <v>0</v>
      </c>
      <c r="Y1635">
        <v>0</v>
      </c>
      <c r="Z1635">
        <v>0</v>
      </c>
      <c r="AA1635">
        <v>9</v>
      </c>
      <c r="AB1635">
        <v>9</v>
      </c>
      <c r="AC1635" t="s">
        <v>310</v>
      </c>
      <c r="AD1635">
        <v>9</v>
      </c>
      <c r="AE1635" t="s">
        <v>1387</v>
      </c>
      <c r="AF1635">
        <v>30000000</v>
      </c>
      <c r="AG1635" t="s">
        <v>310</v>
      </c>
      <c r="AH1635">
        <f>SUM((MID(Dyno_Data[[#This Row],[Team]],4,5))+(Dyno_Data[[#This Row],[Match]]/100))</f>
        <v>5590.33</v>
      </c>
      <c r="AI1635" s="76">
        <f>ROUND(SUM(IF(Dyno_Data[[#This Row],[AcqCenter]]&gt;0,Dyno_Data[[#This Row],[Time]]-SUMIFS(Dyno_Data[Time],Dyno_Data[Team],Dyno_Data[[#This Row],[Team]],Dyno_Data[RecordType],"StartMatch",Dyno_Data[Match],Dyno_Data[[#This Row],[Match]]),0)*86400),0)</f>
        <v>0</v>
      </c>
    </row>
    <row r="1636" spans="1:35" x14ac:dyDescent="0.3">
      <c r="A1636">
        <v>1635</v>
      </c>
      <c r="B1636" t="s">
        <v>1300</v>
      </c>
      <c r="C1636">
        <v>33</v>
      </c>
      <c r="D1636" s="105">
        <v>45373.605314201392</v>
      </c>
      <c r="E1636" t="s">
        <v>312</v>
      </c>
      <c r="F1636" t="s">
        <v>1402</v>
      </c>
      <c r="G1636">
        <v>0</v>
      </c>
      <c r="H1636" t="s">
        <v>315</v>
      </c>
      <c r="I1636">
        <v>0</v>
      </c>
      <c r="J1636">
        <v>0</v>
      </c>
      <c r="K1636">
        <v>0</v>
      </c>
      <c r="L1636" t="s">
        <v>241</v>
      </c>
      <c r="M1636" t="s">
        <v>1398</v>
      </c>
      <c r="N1636">
        <v>1</v>
      </c>
      <c r="O1636" t="s">
        <v>311</v>
      </c>
      <c r="P1636" t="s">
        <v>310</v>
      </c>
      <c r="Q1636" t="s">
        <v>310</v>
      </c>
      <c r="R1636" t="s">
        <v>310</v>
      </c>
      <c r="S1636">
        <v>9</v>
      </c>
      <c r="T1636" t="s">
        <v>310</v>
      </c>
      <c r="U1636">
        <v>9</v>
      </c>
      <c r="V1636">
        <v>9</v>
      </c>
      <c r="W1636">
        <v>0</v>
      </c>
      <c r="X1636">
        <v>0</v>
      </c>
      <c r="Y1636">
        <v>0</v>
      </c>
      <c r="Z1636">
        <v>0</v>
      </c>
      <c r="AA1636">
        <v>9</v>
      </c>
      <c r="AB1636">
        <v>9</v>
      </c>
      <c r="AC1636" t="s">
        <v>310</v>
      </c>
      <c r="AD1636">
        <v>9</v>
      </c>
      <c r="AE1636" t="s">
        <v>1392</v>
      </c>
      <c r="AF1636">
        <v>70000000</v>
      </c>
      <c r="AG1636" t="s">
        <v>310</v>
      </c>
      <c r="AH1636">
        <f>SUM((MID(Dyno_Data[[#This Row],[Team]],4,5))+(Dyno_Data[[#This Row],[Match]]/100))</f>
        <v>3044.33</v>
      </c>
      <c r="AI1636" s="76">
        <f>ROUND(SUM(IF(Dyno_Data[[#This Row],[AcqCenter]]&gt;0,Dyno_Data[[#This Row],[Time]]-SUMIFS(Dyno_Data[Time],Dyno_Data[Team],Dyno_Data[[#This Row],[Team]],Dyno_Data[RecordType],"StartMatch",Dyno_Data[Match],Dyno_Data[[#This Row],[Match]]),0)*86400),0)</f>
        <v>0</v>
      </c>
    </row>
    <row r="1637" spans="1:35" x14ac:dyDescent="0.3">
      <c r="A1637">
        <v>1636</v>
      </c>
      <c r="B1637" t="s">
        <v>1300</v>
      </c>
      <c r="C1637">
        <v>33</v>
      </c>
      <c r="D1637" s="105">
        <v>45373.60535135417</v>
      </c>
      <c r="E1637" t="s">
        <v>312</v>
      </c>
      <c r="F1637" t="s">
        <v>1402</v>
      </c>
      <c r="G1637">
        <v>0</v>
      </c>
      <c r="H1637" t="s">
        <v>315</v>
      </c>
      <c r="I1637">
        <v>0</v>
      </c>
      <c r="J1637">
        <v>0</v>
      </c>
      <c r="K1637">
        <v>0</v>
      </c>
      <c r="L1637" t="s">
        <v>241</v>
      </c>
      <c r="M1637" t="s">
        <v>1398</v>
      </c>
      <c r="N1637">
        <v>0</v>
      </c>
      <c r="O1637" t="s">
        <v>311</v>
      </c>
      <c r="P1637" t="s">
        <v>310</v>
      </c>
      <c r="Q1637" t="s">
        <v>310</v>
      </c>
      <c r="R1637" t="s">
        <v>310</v>
      </c>
      <c r="S1637">
        <v>9</v>
      </c>
      <c r="T1637" t="s">
        <v>310</v>
      </c>
      <c r="U1637">
        <v>9</v>
      </c>
      <c r="V1637">
        <v>9</v>
      </c>
      <c r="W1637">
        <v>0</v>
      </c>
      <c r="X1637">
        <v>0</v>
      </c>
      <c r="Y1637">
        <v>0</v>
      </c>
      <c r="Z1637">
        <v>0</v>
      </c>
      <c r="AA1637">
        <v>9</v>
      </c>
      <c r="AB1637">
        <v>9</v>
      </c>
      <c r="AC1637" t="s">
        <v>310</v>
      </c>
      <c r="AD1637">
        <v>9</v>
      </c>
      <c r="AE1637" t="s">
        <v>1392</v>
      </c>
      <c r="AF1637">
        <v>80000000</v>
      </c>
      <c r="AG1637" t="s">
        <v>310</v>
      </c>
      <c r="AH1637">
        <f>SUM((MID(Dyno_Data[[#This Row],[Team]],4,5))+(Dyno_Data[[#This Row],[Match]]/100))</f>
        <v>3044.33</v>
      </c>
      <c r="AI1637" s="76">
        <f>ROUND(SUM(IF(Dyno_Data[[#This Row],[AcqCenter]]&gt;0,Dyno_Data[[#This Row],[Time]]-SUMIFS(Dyno_Data[Time],Dyno_Data[Team],Dyno_Data[[#This Row],[Team]],Dyno_Data[RecordType],"StartMatch",Dyno_Data[Match],Dyno_Data[[#This Row],[Match]]),0)*86400),0)</f>
        <v>0</v>
      </c>
    </row>
    <row r="1638" spans="1:35" x14ac:dyDescent="0.3">
      <c r="A1638">
        <v>1637</v>
      </c>
      <c r="B1638" t="s">
        <v>1310</v>
      </c>
      <c r="C1638">
        <v>33</v>
      </c>
      <c r="D1638" s="105">
        <v>45373.605401851855</v>
      </c>
      <c r="E1638" t="s">
        <v>312</v>
      </c>
      <c r="F1638" t="s">
        <v>1402</v>
      </c>
      <c r="G1638">
        <v>0</v>
      </c>
      <c r="H1638" t="s">
        <v>315</v>
      </c>
      <c r="I1638">
        <v>0</v>
      </c>
      <c r="J1638">
        <v>0</v>
      </c>
      <c r="K1638">
        <v>0</v>
      </c>
      <c r="L1638" t="s">
        <v>241</v>
      </c>
      <c r="M1638" t="s">
        <v>1398</v>
      </c>
      <c r="N1638">
        <v>0</v>
      </c>
      <c r="O1638" t="s">
        <v>1395</v>
      </c>
      <c r="P1638" t="s">
        <v>310</v>
      </c>
      <c r="Q1638" t="s">
        <v>310</v>
      </c>
      <c r="R1638" t="s">
        <v>310</v>
      </c>
      <c r="S1638">
        <v>9</v>
      </c>
      <c r="T1638" t="s">
        <v>310</v>
      </c>
      <c r="U1638">
        <v>9</v>
      </c>
      <c r="V1638">
        <v>9</v>
      </c>
      <c r="W1638">
        <v>0</v>
      </c>
      <c r="X1638">
        <v>0</v>
      </c>
      <c r="Y1638">
        <v>0</v>
      </c>
      <c r="Z1638">
        <v>0</v>
      </c>
      <c r="AA1638">
        <v>9</v>
      </c>
      <c r="AB1638">
        <v>9</v>
      </c>
      <c r="AC1638" t="s">
        <v>310</v>
      </c>
      <c r="AD1638">
        <v>9</v>
      </c>
      <c r="AE1638" t="s">
        <v>1396</v>
      </c>
      <c r="AF1638">
        <v>30000000</v>
      </c>
      <c r="AG1638" t="s">
        <v>310</v>
      </c>
      <c r="AH1638">
        <f>SUM((MID(Dyno_Data[[#This Row],[Team]],4,5))+(Dyno_Data[[#This Row],[Match]]/100))</f>
        <v>6621.33</v>
      </c>
      <c r="AI1638" s="76">
        <f>ROUND(SUM(IF(Dyno_Data[[#This Row],[AcqCenter]]&gt;0,Dyno_Data[[#This Row],[Time]]-SUMIFS(Dyno_Data[Time],Dyno_Data[Team],Dyno_Data[[#This Row],[Team]],Dyno_Data[RecordType],"StartMatch",Dyno_Data[Match],Dyno_Data[[#This Row],[Match]]),0)*86400),0)</f>
        <v>0</v>
      </c>
    </row>
    <row r="1639" spans="1:35" x14ac:dyDescent="0.3">
      <c r="A1639">
        <v>1638</v>
      </c>
      <c r="B1639" t="s">
        <v>1300</v>
      </c>
      <c r="C1639">
        <v>33</v>
      </c>
      <c r="D1639" s="105">
        <v>45373.605409143522</v>
      </c>
      <c r="E1639" t="s">
        <v>312</v>
      </c>
      <c r="F1639" t="s">
        <v>1402</v>
      </c>
      <c r="G1639">
        <v>0</v>
      </c>
      <c r="H1639" t="s">
        <v>315</v>
      </c>
      <c r="I1639">
        <v>0</v>
      </c>
      <c r="J1639">
        <v>0</v>
      </c>
      <c r="K1639">
        <v>0</v>
      </c>
      <c r="L1639" t="s">
        <v>241</v>
      </c>
      <c r="M1639" t="s">
        <v>1398</v>
      </c>
      <c r="N1639">
        <v>0</v>
      </c>
      <c r="O1639" t="s">
        <v>311</v>
      </c>
      <c r="P1639" t="s">
        <v>310</v>
      </c>
      <c r="Q1639" t="s">
        <v>310</v>
      </c>
      <c r="R1639" t="s">
        <v>310</v>
      </c>
      <c r="S1639">
        <v>9</v>
      </c>
      <c r="T1639" t="s">
        <v>310</v>
      </c>
      <c r="U1639">
        <v>9</v>
      </c>
      <c r="V1639">
        <v>9</v>
      </c>
      <c r="W1639">
        <v>0</v>
      </c>
      <c r="X1639">
        <v>0</v>
      </c>
      <c r="Y1639">
        <v>0</v>
      </c>
      <c r="Z1639">
        <v>0</v>
      </c>
      <c r="AA1639">
        <v>9</v>
      </c>
      <c r="AB1639">
        <v>9</v>
      </c>
      <c r="AC1639" t="s">
        <v>310</v>
      </c>
      <c r="AD1639">
        <v>9</v>
      </c>
      <c r="AE1639" t="s">
        <v>1392</v>
      </c>
      <c r="AF1639">
        <v>90000000</v>
      </c>
      <c r="AG1639" t="s">
        <v>310</v>
      </c>
      <c r="AH1639">
        <f>SUM((MID(Dyno_Data[[#This Row],[Team]],4,5))+(Dyno_Data[[#This Row],[Match]]/100))</f>
        <v>3044.33</v>
      </c>
      <c r="AI1639" s="76">
        <f>ROUND(SUM(IF(Dyno_Data[[#This Row],[AcqCenter]]&gt;0,Dyno_Data[[#This Row],[Time]]-SUMIFS(Dyno_Data[Time],Dyno_Data[Team],Dyno_Data[[#This Row],[Team]],Dyno_Data[RecordType],"StartMatch",Dyno_Data[Match],Dyno_Data[[#This Row],[Match]]),0)*86400),0)</f>
        <v>0</v>
      </c>
    </row>
    <row r="1640" spans="1:35" x14ac:dyDescent="0.3">
      <c r="A1640">
        <v>1639</v>
      </c>
      <c r="B1640" t="s">
        <v>1284</v>
      </c>
      <c r="C1640">
        <v>33</v>
      </c>
      <c r="D1640" s="105">
        <v>45373.605498113429</v>
      </c>
      <c r="E1640" t="s">
        <v>312</v>
      </c>
      <c r="F1640" t="s">
        <v>1402</v>
      </c>
      <c r="G1640">
        <v>0</v>
      </c>
      <c r="H1640" t="s">
        <v>315</v>
      </c>
      <c r="I1640">
        <v>0</v>
      </c>
      <c r="J1640">
        <v>0</v>
      </c>
      <c r="K1640">
        <v>0</v>
      </c>
      <c r="L1640" t="s">
        <v>241</v>
      </c>
      <c r="M1640" t="s">
        <v>1398</v>
      </c>
      <c r="N1640">
        <v>0</v>
      </c>
      <c r="O1640" t="s">
        <v>319</v>
      </c>
      <c r="P1640" t="s">
        <v>310</v>
      </c>
      <c r="Q1640" t="s">
        <v>310</v>
      </c>
      <c r="R1640" t="s">
        <v>310</v>
      </c>
      <c r="S1640">
        <v>9</v>
      </c>
      <c r="T1640" t="s">
        <v>310</v>
      </c>
      <c r="U1640">
        <v>9</v>
      </c>
      <c r="V1640">
        <v>9</v>
      </c>
      <c r="W1640">
        <v>0</v>
      </c>
      <c r="X1640">
        <v>0</v>
      </c>
      <c r="Y1640">
        <v>0</v>
      </c>
      <c r="Z1640">
        <v>0</v>
      </c>
      <c r="AA1640">
        <v>9</v>
      </c>
      <c r="AB1640">
        <v>9</v>
      </c>
      <c r="AC1640" t="s">
        <v>310</v>
      </c>
      <c r="AD1640">
        <v>9</v>
      </c>
      <c r="AE1640" t="s">
        <v>1387</v>
      </c>
      <c r="AF1640">
        <v>40000000</v>
      </c>
      <c r="AG1640" t="s">
        <v>310</v>
      </c>
      <c r="AH1640">
        <f>SUM((MID(Dyno_Data[[#This Row],[Team]],4,5))+(Dyno_Data[[#This Row],[Match]]/100))</f>
        <v>5590.33</v>
      </c>
      <c r="AI1640" s="76">
        <f>ROUND(SUM(IF(Dyno_Data[[#This Row],[AcqCenter]]&gt;0,Dyno_Data[[#This Row],[Time]]-SUMIFS(Dyno_Data[Time],Dyno_Data[Team],Dyno_Data[[#This Row],[Team]],Dyno_Data[RecordType],"StartMatch",Dyno_Data[Match],Dyno_Data[[#This Row],[Match]]),0)*86400),0)</f>
        <v>0</v>
      </c>
    </row>
    <row r="1641" spans="1:35" x14ac:dyDescent="0.3">
      <c r="A1641">
        <v>1640</v>
      </c>
      <c r="B1641" t="s">
        <v>1300</v>
      </c>
      <c r="C1641">
        <v>33</v>
      </c>
      <c r="D1641" s="105">
        <v>45373.605545057871</v>
      </c>
      <c r="E1641" t="s">
        <v>312</v>
      </c>
      <c r="F1641" t="s">
        <v>1402</v>
      </c>
      <c r="G1641">
        <v>0</v>
      </c>
      <c r="H1641" t="s">
        <v>315</v>
      </c>
      <c r="I1641">
        <v>0</v>
      </c>
      <c r="J1641">
        <v>0</v>
      </c>
      <c r="K1641">
        <v>0</v>
      </c>
      <c r="L1641" t="s">
        <v>241</v>
      </c>
      <c r="M1641" t="s">
        <v>1398</v>
      </c>
      <c r="N1641">
        <v>0</v>
      </c>
      <c r="O1641" t="s">
        <v>311</v>
      </c>
      <c r="P1641" t="s">
        <v>310</v>
      </c>
      <c r="Q1641" t="s">
        <v>310</v>
      </c>
      <c r="R1641" t="s">
        <v>310</v>
      </c>
      <c r="S1641">
        <v>9</v>
      </c>
      <c r="T1641" t="s">
        <v>310</v>
      </c>
      <c r="U1641">
        <v>9</v>
      </c>
      <c r="V1641">
        <v>9</v>
      </c>
      <c r="W1641">
        <v>0</v>
      </c>
      <c r="X1641">
        <v>0</v>
      </c>
      <c r="Y1641">
        <v>0</v>
      </c>
      <c r="Z1641">
        <v>0</v>
      </c>
      <c r="AA1641">
        <v>9</v>
      </c>
      <c r="AB1641">
        <v>9</v>
      </c>
      <c r="AC1641" t="s">
        <v>310</v>
      </c>
      <c r="AD1641">
        <v>9</v>
      </c>
      <c r="AE1641" t="s">
        <v>1392</v>
      </c>
      <c r="AF1641">
        <v>100000000</v>
      </c>
      <c r="AG1641" t="s">
        <v>310</v>
      </c>
      <c r="AH1641">
        <f>SUM((MID(Dyno_Data[[#This Row],[Team]],4,5))+(Dyno_Data[[#This Row],[Match]]/100))</f>
        <v>3044.33</v>
      </c>
      <c r="AI1641" s="76">
        <f>ROUND(SUM(IF(Dyno_Data[[#This Row],[AcqCenter]]&gt;0,Dyno_Data[[#This Row],[Time]]-SUMIFS(Dyno_Data[Time],Dyno_Data[Team],Dyno_Data[[#This Row],[Team]],Dyno_Data[RecordType],"StartMatch",Dyno_Data[Match],Dyno_Data[[#This Row],[Match]]),0)*86400),0)</f>
        <v>0</v>
      </c>
    </row>
    <row r="1642" spans="1:35" x14ac:dyDescent="0.3">
      <c r="A1642">
        <v>1641</v>
      </c>
      <c r="B1642" t="s">
        <v>1310</v>
      </c>
      <c r="C1642">
        <v>33</v>
      </c>
      <c r="D1642" s="105">
        <v>45373.605596562498</v>
      </c>
      <c r="E1642" t="s">
        <v>312</v>
      </c>
      <c r="F1642" t="s">
        <v>1402</v>
      </c>
      <c r="G1642">
        <v>0</v>
      </c>
      <c r="H1642" t="s">
        <v>315</v>
      </c>
      <c r="I1642">
        <v>0</v>
      </c>
      <c r="J1642">
        <v>0</v>
      </c>
      <c r="K1642">
        <v>0</v>
      </c>
      <c r="L1642" t="s">
        <v>241</v>
      </c>
      <c r="M1642" t="s">
        <v>1398</v>
      </c>
      <c r="N1642">
        <v>0</v>
      </c>
      <c r="O1642" t="s">
        <v>1395</v>
      </c>
      <c r="P1642" t="s">
        <v>310</v>
      </c>
      <c r="Q1642" t="s">
        <v>310</v>
      </c>
      <c r="R1642" t="s">
        <v>310</v>
      </c>
      <c r="S1642">
        <v>9</v>
      </c>
      <c r="T1642" t="s">
        <v>310</v>
      </c>
      <c r="U1642">
        <v>9</v>
      </c>
      <c r="V1642">
        <v>9</v>
      </c>
      <c r="W1642">
        <v>0</v>
      </c>
      <c r="X1642">
        <v>0</v>
      </c>
      <c r="Y1642">
        <v>0</v>
      </c>
      <c r="Z1642">
        <v>0</v>
      </c>
      <c r="AA1642">
        <v>9</v>
      </c>
      <c r="AB1642">
        <v>9</v>
      </c>
      <c r="AC1642" t="s">
        <v>310</v>
      </c>
      <c r="AD1642">
        <v>9</v>
      </c>
      <c r="AE1642" t="s">
        <v>1396</v>
      </c>
      <c r="AF1642">
        <v>40000000</v>
      </c>
      <c r="AG1642" t="s">
        <v>310</v>
      </c>
      <c r="AH1642">
        <f>SUM((MID(Dyno_Data[[#This Row],[Team]],4,5))+(Dyno_Data[[#This Row],[Match]]/100))</f>
        <v>6621.33</v>
      </c>
      <c r="AI1642" s="76">
        <f>ROUND(SUM(IF(Dyno_Data[[#This Row],[AcqCenter]]&gt;0,Dyno_Data[[#This Row],[Time]]-SUMIFS(Dyno_Data[Time],Dyno_Data[Team],Dyno_Data[[#This Row],[Team]],Dyno_Data[RecordType],"StartMatch",Dyno_Data[Match],Dyno_Data[[#This Row],[Match]]),0)*86400),0)</f>
        <v>0</v>
      </c>
    </row>
    <row r="1643" spans="1:35" x14ac:dyDescent="0.3">
      <c r="A1643">
        <v>1642</v>
      </c>
      <c r="B1643" t="s">
        <v>1310</v>
      </c>
      <c r="C1643">
        <v>33</v>
      </c>
      <c r="D1643" s="105">
        <v>45373.605803854167</v>
      </c>
      <c r="E1643" t="s">
        <v>312</v>
      </c>
      <c r="F1643" t="s">
        <v>1402</v>
      </c>
      <c r="G1643">
        <v>0</v>
      </c>
      <c r="H1643" t="s">
        <v>315</v>
      </c>
      <c r="I1643">
        <v>0</v>
      </c>
      <c r="J1643">
        <v>0</v>
      </c>
      <c r="K1643">
        <v>0</v>
      </c>
      <c r="L1643" t="s">
        <v>241</v>
      </c>
      <c r="M1643" t="s">
        <v>1398</v>
      </c>
      <c r="N1643">
        <v>0</v>
      </c>
      <c r="O1643" t="s">
        <v>1395</v>
      </c>
      <c r="P1643" t="s">
        <v>310</v>
      </c>
      <c r="Q1643" t="s">
        <v>310</v>
      </c>
      <c r="R1643" t="s">
        <v>310</v>
      </c>
      <c r="S1643">
        <v>9</v>
      </c>
      <c r="T1643" t="s">
        <v>310</v>
      </c>
      <c r="U1643">
        <v>9</v>
      </c>
      <c r="V1643">
        <v>9</v>
      </c>
      <c r="W1643">
        <v>0</v>
      </c>
      <c r="X1643">
        <v>0</v>
      </c>
      <c r="Y1643">
        <v>0</v>
      </c>
      <c r="Z1643">
        <v>0</v>
      </c>
      <c r="AA1643">
        <v>9</v>
      </c>
      <c r="AB1643">
        <v>9</v>
      </c>
      <c r="AC1643" t="s">
        <v>310</v>
      </c>
      <c r="AD1643">
        <v>9</v>
      </c>
      <c r="AE1643" t="s">
        <v>1396</v>
      </c>
      <c r="AF1643">
        <v>50000000</v>
      </c>
      <c r="AG1643" t="s">
        <v>310</v>
      </c>
      <c r="AH1643">
        <f>SUM((MID(Dyno_Data[[#This Row],[Team]],4,5))+(Dyno_Data[[#This Row],[Match]]/100))</f>
        <v>6621.33</v>
      </c>
      <c r="AI1643" s="76">
        <f>ROUND(SUM(IF(Dyno_Data[[#This Row],[AcqCenter]]&gt;0,Dyno_Data[[#This Row],[Time]]-SUMIFS(Dyno_Data[Time],Dyno_Data[Team],Dyno_Data[[#This Row],[Team]],Dyno_Data[RecordType],"StartMatch",Dyno_Data[Match],Dyno_Data[[#This Row],[Match]]),0)*86400),0)</f>
        <v>0</v>
      </c>
    </row>
    <row r="1644" spans="1:35" x14ac:dyDescent="0.3">
      <c r="A1644">
        <v>1643</v>
      </c>
      <c r="B1644" t="s">
        <v>1300</v>
      </c>
      <c r="C1644">
        <v>33</v>
      </c>
      <c r="D1644" s="105">
        <v>45373.605829050925</v>
      </c>
      <c r="E1644" t="s">
        <v>312</v>
      </c>
      <c r="F1644" t="s">
        <v>1402</v>
      </c>
      <c r="G1644">
        <v>0</v>
      </c>
      <c r="H1644" t="s">
        <v>315</v>
      </c>
      <c r="I1644">
        <v>0</v>
      </c>
      <c r="J1644">
        <v>0</v>
      </c>
      <c r="K1644">
        <v>0</v>
      </c>
      <c r="L1644" t="s">
        <v>241</v>
      </c>
      <c r="M1644" t="s">
        <v>1398</v>
      </c>
      <c r="N1644">
        <v>1</v>
      </c>
      <c r="O1644" t="s">
        <v>311</v>
      </c>
      <c r="P1644" t="s">
        <v>310</v>
      </c>
      <c r="Q1644" t="s">
        <v>310</v>
      </c>
      <c r="R1644" t="s">
        <v>310</v>
      </c>
      <c r="S1644">
        <v>9</v>
      </c>
      <c r="T1644" t="s">
        <v>310</v>
      </c>
      <c r="U1644">
        <v>9</v>
      </c>
      <c r="V1644">
        <v>9</v>
      </c>
      <c r="W1644">
        <v>0</v>
      </c>
      <c r="X1644">
        <v>0</v>
      </c>
      <c r="Y1644">
        <v>0</v>
      </c>
      <c r="Z1644">
        <v>0</v>
      </c>
      <c r="AA1644">
        <v>9</v>
      </c>
      <c r="AB1644">
        <v>9</v>
      </c>
      <c r="AC1644" t="s">
        <v>310</v>
      </c>
      <c r="AD1644">
        <v>9</v>
      </c>
      <c r="AE1644" t="s">
        <v>1392</v>
      </c>
      <c r="AF1644">
        <v>110000000</v>
      </c>
      <c r="AG1644" t="s">
        <v>310</v>
      </c>
      <c r="AH1644">
        <f>SUM((MID(Dyno_Data[[#This Row],[Team]],4,5))+(Dyno_Data[[#This Row],[Match]]/100))</f>
        <v>3044.33</v>
      </c>
      <c r="AI1644" s="76">
        <f>ROUND(SUM(IF(Dyno_Data[[#This Row],[AcqCenter]]&gt;0,Dyno_Data[[#This Row],[Time]]-SUMIFS(Dyno_Data[Time],Dyno_Data[Team],Dyno_Data[[#This Row],[Team]],Dyno_Data[RecordType],"StartMatch",Dyno_Data[Match],Dyno_Data[[#This Row],[Match]]),0)*86400),0)</f>
        <v>0</v>
      </c>
    </row>
    <row r="1645" spans="1:35" x14ac:dyDescent="0.3">
      <c r="A1645">
        <v>1644</v>
      </c>
      <c r="B1645" t="s">
        <v>1278</v>
      </c>
      <c r="C1645">
        <v>33</v>
      </c>
      <c r="D1645" s="105">
        <v>45373.60593229167</v>
      </c>
      <c r="E1645" t="s">
        <v>1403</v>
      </c>
      <c r="F1645" t="s">
        <v>1402</v>
      </c>
      <c r="G1645">
        <v>0</v>
      </c>
      <c r="H1645" t="s">
        <v>310</v>
      </c>
      <c r="I1645">
        <v>0</v>
      </c>
      <c r="J1645">
        <v>0</v>
      </c>
      <c r="K1645">
        <v>0</v>
      </c>
      <c r="L1645" t="s">
        <v>310</v>
      </c>
      <c r="M1645" t="s">
        <v>310</v>
      </c>
      <c r="N1645">
        <v>0</v>
      </c>
      <c r="O1645" t="s">
        <v>1389</v>
      </c>
      <c r="P1645" t="s">
        <v>310</v>
      </c>
      <c r="Q1645" t="s">
        <v>310</v>
      </c>
      <c r="R1645" t="s">
        <v>310</v>
      </c>
      <c r="S1645">
        <v>9</v>
      </c>
      <c r="T1645" t="s">
        <v>310</v>
      </c>
      <c r="U1645">
        <v>9</v>
      </c>
      <c r="V1645">
        <v>9</v>
      </c>
      <c r="W1645">
        <v>0</v>
      </c>
      <c r="X1645">
        <v>0</v>
      </c>
      <c r="Y1645">
        <v>0</v>
      </c>
      <c r="Z1645">
        <v>0</v>
      </c>
      <c r="AA1645">
        <v>9</v>
      </c>
      <c r="AB1645">
        <v>9</v>
      </c>
      <c r="AC1645" t="s">
        <v>310</v>
      </c>
      <c r="AD1645">
        <v>9</v>
      </c>
      <c r="AE1645" t="s">
        <v>1388</v>
      </c>
      <c r="AF1645">
        <v>110000000</v>
      </c>
      <c r="AG1645" t="s">
        <v>249</v>
      </c>
      <c r="AH1645">
        <f>SUM((MID(Dyno_Data[[#This Row],[Team]],4,5))+(Dyno_Data[[#This Row],[Match]]/100))</f>
        <v>3951.33</v>
      </c>
      <c r="AI1645" s="76">
        <f>ROUND(SUM(IF(Dyno_Data[[#This Row],[AcqCenter]]&gt;0,Dyno_Data[[#This Row],[Time]]-SUMIFS(Dyno_Data[Time],Dyno_Data[Team],Dyno_Data[[#This Row],[Team]],Dyno_Data[RecordType],"StartMatch",Dyno_Data[Match],Dyno_Data[[#This Row],[Match]]),0)*86400),0)</f>
        <v>0</v>
      </c>
    </row>
    <row r="1646" spans="1:35" x14ac:dyDescent="0.3">
      <c r="A1646">
        <v>1645</v>
      </c>
      <c r="B1646" t="s">
        <v>1310</v>
      </c>
      <c r="C1646">
        <v>33</v>
      </c>
      <c r="D1646" s="105">
        <v>45373.605986030096</v>
      </c>
      <c r="E1646" t="s">
        <v>312</v>
      </c>
      <c r="F1646" t="s">
        <v>1402</v>
      </c>
      <c r="G1646">
        <v>0</v>
      </c>
      <c r="H1646" t="s">
        <v>315</v>
      </c>
      <c r="I1646">
        <v>0</v>
      </c>
      <c r="J1646">
        <v>0</v>
      </c>
      <c r="K1646">
        <v>0</v>
      </c>
      <c r="L1646" t="s">
        <v>241</v>
      </c>
      <c r="M1646" t="s">
        <v>1398</v>
      </c>
      <c r="N1646">
        <v>0</v>
      </c>
      <c r="O1646" t="s">
        <v>1395</v>
      </c>
      <c r="P1646" t="s">
        <v>310</v>
      </c>
      <c r="Q1646" t="s">
        <v>310</v>
      </c>
      <c r="R1646" t="s">
        <v>310</v>
      </c>
      <c r="S1646">
        <v>9</v>
      </c>
      <c r="T1646" t="s">
        <v>310</v>
      </c>
      <c r="U1646">
        <v>9</v>
      </c>
      <c r="V1646">
        <v>9</v>
      </c>
      <c r="W1646">
        <v>0</v>
      </c>
      <c r="X1646">
        <v>0</v>
      </c>
      <c r="Y1646">
        <v>0</v>
      </c>
      <c r="Z1646">
        <v>0</v>
      </c>
      <c r="AA1646">
        <v>9</v>
      </c>
      <c r="AB1646">
        <v>9</v>
      </c>
      <c r="AC1646" t="s">
        <v>310</v>
      </c>
      <c r="AD1646">
        <v>9</v>
      </c>
      <c r="AE1646" t="s">
        <v>1396</v>
      </c>
      <c r="AF1646">
        <v>60000000</v>
      </c>
      <c r="AG1646" t="s">
        <v>310</v>
      </c>
      <c r="AH1646">
        <f>SUM((MID(Dyno_Data[[#This Row],[Team]],4,5))+(Dyno_Data[[#This Row],[Match]]/100))</f>
        <v>6621.33</v>
      </c>
      <c r="AI1646" s="76">
        <f>ROUND(SUM(IF(Dyno_Data[[#This Row],[AcqCenter]]&gt;0,Dyno_Data[[#This Row],[Time]]-SUMIFS(Dyno_Data[Time],Dyno_Data[Team],Dyno_Data[[#This Row],[Team]],Dyno_Data[RecordType],"StartMatch",Dyno_Data[Match],Dyno_Data[[#This Row],[Match]]),0)*86400),0)</f>
        <v>0</v>
      </c>
    </row>
    <row r="1647" spans="1:35" x14ac:dyDescent="0.3">
      <c r="A1647">
        <v>1646</v>
      </c>
      <c r="B1647" t="s">
        <v>1284</v>
      </c>
      <c r="C1647">
        <v>33</v>
      </c>
      <c r="D1647" s="105">
        <v>45373.606012731485</v>
      </c>
      <c r="E1647" t="s">
        <v>312</v>
      </c>
      <c r="F1647" t="s">
        <v>1402</v>
      </c>
      <c r="G1647">
        <v>0</v>
      </c>
      <c r="H1647" t="s">
        <v>315</v>
      </c>
      <c r="I1647">
        <v>0</v>
      </c>
      <c r="J1647">
        <v>0</v>
      </c>
      <c r="K1647">
        <v>0</v>
      </c>
      <c r="L1647" t="s">
        <v>241</v>
      </c>
      <c r="M1647" t="s">
        <v>1398</v>
      </c>
      <c r="N1647">
        <v>0</v>
      </c>
      <c r="O1647" t="s">
        <v>319</v>
      </c>
      <c r="P1647" t="s">
        <v>310</v>
      </c>
      <c r="Q1647" t="s">
        <v>310</v>
      </c>
      <c r="R1647" t="s">
        <v>310</v>
      </c>
      <c r="S1647">
        <v>9</v>
      </c>
      <c r="T1647" t="s">
        <v>310</v>
      </c>
      <c r="U1647">
        <v>9</v>
      </c>
      <c r="V1647">
        <v>9</v>
      </c>
      <c r="W1647">
        <v>0</v>
      </c>
      <c r="X1647">
        <v>0</v>
      </c>
      <c r="Y1647">
        <v>0</v>
      </c>
      <c r="Z1647">
        <v>0</v>
      </c>
      <c r="AA1647">
        <v>9</v>
      </c>
      <c r="AB1647">
        <v>9</v>
      </c>
      <c r="AC1647" t="s">
        <v>310</v>
      </c>
      <c r="AD1647">
        <v>9</v>
      </c>
      <c r="AE1647" t="s">
        <v>1387</v>
      </c>
      <c r="AF1647">
        <v>50000000</v>
      </c>
      <c r="AG1647" t="s">
        <v>310</v>
      </c>
      <c r="AH1647">
        <f>SUM((MID(Dyno_Data[[#This Row],[Team]],4,5))+(Dyno_Data[[#This Row],[Match]]/100))</f>
        <v>5590.33</v>
      </c>
      <c r="AI1647" s="76">
        <f>ROUND(SUM(IF(Dyno_Data[[#This Row],[AcqCenter]]&gt;0,Dyno_Data[[#This Row],[Time]]-SUMIFS(Dyno_Data[Time],Dyno_Data[Team],Dyno_Data[[#This Row],[Team]],Dyno_Data[RecordType],"StartMatch",Dyno_Data[Match],Dyno_Data[[#This Row],[Match]]),0)*86400),0)</f>
        <v>0</v>
      </c>
    </row>
    <row r="1648" spans="1:35" x14ac:dyDescent="0.3">
      <c r="A1648">
        <v>1647</v>
      </c>
      <c r="B1648" t="s">
        <v>1300</v>
      </c>
      <c r="C1648">
        <v>33</v>
      </c>
      <c r="D1648" s="105">
        <v>45373.606037465281</v>
      </c>
      <c r="E1648" t="s">
        <v>312</v>
      </c>
      <c r="F1648" t="s">
        <v>1402</v>
      </c>
      <c r="G1648">
        <v>0</v>
      </c>
      <c r="H1648" t="s">
        <v>315</v>
      </c>
      <c r="I1648">
        <v>0</v>
      </c>
      <c r="J1648">
        <v>0</v>
      </c>
      <c r="K1648">
        <v>0</v>
      </c>
      <c r="L1648" t="s">
        <v>241</v>
      </c>
      <c r="M1648" t="s">
        <v>1398</v>
      </c>
      <c r="N1648">
        <v>0</v>
      </c>
      <c r="O1648" t="s">
        <v>311</v>
      </c>
      <c r="P1648" t="s">
        <v>310</v>
      </c>
      <c r="Q1648" t="s">
        <v>310</v>
      </c>
      <c r="R1648" t="s">
        <v>310</v>
      </c>
      <c r="S1648">
        <v>9</v>
      </c>
      <c r="T1648" t="s">
        <v>310</v>
      </c>
      <c r="U1648">
        <v>9</v>
      </c>
      <c r="V1648">
        <v>9</v>
      </c>
      <c r="W1648">
        <v>0</v>
      </c>
      <c r="X1648">
        <v>0</v>
      </c>
      <c r="Y1648">
        <v>0</v>
      </c>
      <c r="Z1648">
        <v>0</v>
      </c>
      <c r="AA1648">
        <v>9</v>
      </c>
      <c r="AB1648">
        <v>9</v>
      </c>
      <c r="AC1648" t="s">
        <v>310</v>
      </c>
      <c r="AD1648">
        <v>9</v>
      </c>
      <c r="AE1648" t="s">
        <v>1392</v>
      </c>
      <c r="AF1648">
        <v>120000000</v>
      </c>
      <c r="AG1648" t="s">
        <v>310</v>
      </c>
      <c r="AH1648">
        <f>SUM((MID(Dyno_Data[[#This Row],[Team]],4,5))+(Dyno_Data[[#This Row],[Match]]/100))</f>
        <v>3044.33</v>
      </c>
      <c r="AI1648" s="76">
        <f>ROUND(SUM(IF(Dyno_Data[[#This Row],[AcqCenter]]&gt;0,Dyno_Data[[#This Row],[Time]]-SUMIFS(Dyno_Data[Time],Dyno_Data[Team],Dyno_Data[[#This Row],[Team]],Dyno_Data[RecordType],"StartMatch",Dyno_Data[Match],Dyno_Data[[#This Row],[Match]]),0)*86400),0)</f>
        <v>0</v>
      </c>
    </row>
    <row r="1649" spans="1:35" x14ac:dyDescent="0.3">
      <c r="A1649">
        <v>1648</v>
      </c>
      <c r="B1649" t="s">
        <v>1300</v>
      </c>
      <c r="C1649">
        <v>33</v>
      </c>
      <c r="D1649" s="105">
        <v>45373.606140081021</v>
      </c>
      <c r="E1649" t="s">
        <v>312</v>
      </c>
      <c r="F1649" t="s">
        <v>1402</v>
      </c>
      <c r="G1649">
        <v>0</v>
      </c>
      <c r="H1649" t="s">
        <v>315</v>
      </c>
      <c r="I1649">
        <v>0</v>
      </c>
      <c r="J1649">
        <v>0</v>
      </c>
      <c r="K1649">
        <v>0</v>
      </c>
      <c r="L1649" t="s">
        <v>241</v>
      </c>
      <c r="M1649" t="s">
        <v>1398</v>
      </c>
      <c r="N1649">
        <v>0</v>
      </c>
      <c r="O1649" t="s">
        <v>311</v>
      </c>
      <c r="P1649" t="s">
        <v>310</v>
      </c>
      <c r="Q1649" t="s">
        <v>310</v>
      </c>
      <c r="R1649" t="s">
        <v>310</v>
      </c>
      <c r="S1649">
        <v>9</v>
      </c>
      <c r="T1649" t="s">
        <v>310</v>
      </c>
      <c r="U1649">
        <v>9</v>
      </c>
      <c r="V1649">
        <v>9</v>
      </c>
      <c r="W1649">
        <v>0</v>
      </c>
      <c r="X1649">
        <v>0</v>
      </c>
      <c r="Y1649">
        <v>0</v>
      </c>
      <c r="Z1649">
        <v>0</v>
      </c>
      <c r="AA1649">
        <v>9</v>
      </c>
      <c r="AB1649">
        <v>9</v>
      </c>
      <c r="AC1649" t="s">
        <v>310</v>
      </c>
      <c r="AD1649">
        <v>9</v>
      </c>
      <c r="AE1649" t="s">
        <v>1392</v>
      </c>
      <c r="AF1649">
        <v>130000000</v>
      </c>
      <c r="AG1649" t="s">
        <v>310</v>
      </c>
      <c r="AH1649">
        <f>SUM((MID(Dyno_Data[[#This Row],[Team]],4,5))+(Dyno_Data[[#This Row],[Match]]/100))</f>
        <v>3044.33</v>
      </c>
      <c r="AI1649" s="76">
        <f>ROUND(SUM(IF(Dyno_Data[[#This Row],[AcqCenter]]&gt;0,Dyno_Data[[#This Row],[Time]]-SUMIFS(Dyno_Data[Time],Dyno_Data[Team],Dyno_Data[[#This Row],[Team]],Dyno_Data[RecordType],"StartMatch",Dyno_Data[Match],Dyno_Data[[#This Row],[Match]]),0)*86400),0)</f>
        <v>0</v>
      </c>
    </row>
    <row r="1650" spans="1:35" x14ac:dyDescent="0.3">
      <c r="A1650">
        <v>1649</v>
      </c>
      <c r="B1650" t="s">
        <v>1310</v>
      </c>
      <c r="C1650">
        <v>33</v>
      </c>
      <c r="D1650" s="105">
        <v>45373.606171145831</v>
      </c>
      <c r="E1650" t="s">
        <v>312</v>
      </c>
      <c r="F1650" t="s">
        <v>1402</v>
      </c>
      <c r="G1650">
        <v>0</v>
      </c>
      <c r="H1650" t="s">
        <v>315</v>
      </c>
      <c r="I1650">
        <v>0</v>
      </c>
      <c r="J1650">
        <v>0</v>
      </c>
      <c r="K1650">
        <v>0</v>
      </c>
      <c r="L1650" t="s">
        <v>241</v>
      </c>
      <c r="M1650" t="s">
        <v>1398</v>
      </c>
      <c r="N1650">
        <v>0</v>
      </c>
      <c r="O1650" t="s">
        <v>1395</v>
      </c>
      <c r="P1650" t="s">
        <v>310</v>
      </c>
      <c r="Q1650" t="s">
        <v>310</v>
      </c>
      <c r="R1650" t="s">
        <v>310</v>
      </c>
      <c r="S1650">
        <v>9</v>
      </c>
      <c r="T1650" t="s">
        <v>310</v>
      </c>
      <c r="U1650">
        <v>9</v>
      </c>
      <c r="V1650">
        <v>9</v>
      </c>
      <c r="W1650">
        <v>0</v>
      </c>
      <c r="X1650">
        <v>0</v>
      </c>
      <c r="Y1650">
        <v>0</v>
      </c>
      <c r="Z1650">
        <v>0</v>
      </c>
      <c r="AA1650">
        <v>9</v>
      </c>
      <c r="AB1650">
        <v>9</v>
      </c>
      <c r="AC1650" t="s">
        <v>310</v>
      </c>
      <c r="AD1650">
        <v>9</v>
      </c>
      <c r="AE1650" t="s">
        <v>1396</v>
      </c>
      <c r="AF1650">
        <v>70000000</v>
      </c>
      <c r="AG1650" t="s">
        <v>310</v>
      </c>
      <c r="AH1650">
        <f>SUM((MID(Dyno_Data[[#This Row],[Team]],4,5))+(Dyno_Data[[#This Row],[Match]]/100))</f>
        <v>6621.33</v>
      </c>
      <c r="AI1650" s="76">
        <f>ROUND(SUM(IF(Dyno_Data[[#This Row],[AcqCenter]]&gt;0,Dyno_Data[[#This Row],[Time]]-SUMIFS(Dyno_Data[Time],Dyno_Data[Team],Dyno_Data[[#This Row],[Team]],Dyno_Data[RecordType],"StartMatch",Dyno_Data[Match],Dyno_Data[[#This Row],[Match]]),0)*86400),0)</f>
        <v>0</v>
      </c>
    </row>
    <row r="1651" spans="1:35" x14ac:dyDescent="0.3">
      <c r="A1651">
        <v>1650</v>
      </c>
      <c r="B1651" t="s">
        <v>1284</v>
      </c>
      <c r="C1651">
        <v>33</v>
      </c>
      <c r="D1651" s="105">
        <v>45373.606187881946</v>
      </c>
      <c r="E1651" t="s">
        <v>312</v>
      </c>
      <c r="F1651" t="s">
        <v>1402</v>
      </c>
      <c r="G1651">
        <v>0</v>
      </c>
      <c r="H1651" t="s">
        <v>315</v>
      </c>
      <c r="I1651">
        <v>0</v>
      </c>
      <c r="J1651">
        <v>0</v>
      </c>
      <c r="K1651">
        <v>0</v>
      </c>
      <c r="L1651" t="s">
        <v>240</v>
      </c>
      <c r="M1651" t="s">
        <v>1398</v>
      </c>
      <c r="N1651">
        <v>0</v>
      </c>
      <c r="O1651" t="s">
        <v>319</v>
      </c>
      <c r="P1651" t="s">
        <v>310</v>
      </c>
      <c r="Q1651" t="s">
        <v>310</v>
      </c>
      <c r="R1651" t="s">
        <v>310</v>
      </c>
      <c r="S1651">
        <v>9</v>
      </c>
      <c r="T1651" t="s">
        <v>310</v>
      </c>
      <c r="U1651">
        <v>9</v>
      </c>
      <c r="V1651">
        <v>9</v>
      </c>
      <c r="W1651">
        <v>0</v>
      </c>
      <c r="X1651">
        <v>0</v>
      </c>
      <c r="Y1651">
        <v>0</v>
      </c>
      <c r="Z1651">
        <v>0</v>
      </c>
      <c r="AA1651">
        <v>9</v>
      </c>
      <c r="AB1651">
        <v>9</v>
      </c>
      <c r="AC1651" t="s">
        <v>310</v>
      </c>
      <c r="AD1651">
        <v>9</v>
      </c>
      <c r="AE1651" t="s">
        <v>1387</v>
      </c>
      <c r="AF1651">
        <v>60000000</v>
      </c>
      <c r="AG1651" t="s">
        <v>310</v>
      </c>
      <c r="AH1651">
        <f>SUM((MID(Dyno_Data[[#This Row],[Team]],4,5))+(Dyno_Data[[#This Row],[Match]]/100))</f>
        <v>5590.33</v>
      </c>
      <c r="AI1651" s="76">
        <f>ROUND(SUM(IF(Dyno_Data[[#This Row],[AcqCenter]]&gt;0,Dyno_Data[[#This Row],[Time]]-SUMIFS(Dyno_Data[Time],Dyno_Data[Team],Dyno_Data[[#This Row],[Team]],Dyno_Data[RecordType],"StartMatch",Dyno_Data[Match],Dyno_Data[[#This Row],[Match]]),0)*86400),0)</f>
        <v>0</v>
      </c>
    </row>
    <row r="1652" spans="1:35" x14ac:dyDescent="0.3">
      <c r="A1652">
        <v>1651</v>
      </c>
      <c r="B1652" t="s">
        <v>1300</v>
      </c>
      <c r="C1652">
        <v>33</v>
      </c>
      <c r="D1652" s="105">
        <v>45373.606968784719</v>
      </c>
      <c r="E1652" t="s">
        <v>316</v>
      </c>
      <c r="F1652" t="s">
        <v>317</v>
      </c>
      <c r="G1652">
        <v>1</v>
      </c>
      <c r="H1652" t="s">
        <v>310</v>
      </c>
      <c r="I1652">
        <v>0</v>
      </c>
      <c r="J1652">
        <v>0</v>
      </c>
      <c r="K1652">
        <v>0</v>
      </c>
      <c r="L1652" t="s">
        <v>310</v>
      </c>
      <c r="M1652" t="s">
        <v>310</v>
      </c>
      <c r="N1652">
        <v>0</v>
      </c>
      <c r="O1652" t="s">
        <v>311</v>
      </c>
      <c r="P1652" t="s">
        <v>101</v>
      </c>
      <c r="Q1652" t="s">
        <v>1400</v>
      </c>
      <c r="R1652" t="s">
        <v>1405</v>
      </c>
      <c r="S1652">
        <v>1</v>
      </c>
      <c r="T1652" t="s">
        <v>1407</v>
      </c>
      <c r="U1652">
        <v>0</v>
      </c>
      <c r="V1652">
        <v>0</v>
      </c>
      <c r="W1652">
        <v>7.9654029999999993</v>
      </c>
      <c r="X1652">
        <v>25.744411199999998</v>
      </c>
      <c r="Y1652">
        <v>11.448741499999999</v>
      </c>
      <c r="Z1652">
        <v>87.1401374</v>
      </c>
      <c r="AA1652">
        <v>0</v>
      </c>
      <c r="AB1652">
        <v>0</v>
      </c>
      <c r="AC1652" t="s">
        <v>174</v>
      </c>
      <c r="AD1652">
        <v>9</v>
      </c>
      <c r="AE1652" t="s">
        <v>1392</v>
      </c>
      <c r="AF1652">
        <v>130000000</v>
      </c>
      <c r="AG1652" t="s">
        <v>310</v>
      </c>
      <c r="AH1652">
        <f>SUM((MID(Dyno_Data[[#This Row],[Team]],4,5))+(Dyno_Data[[#This Row],[Match]]/100))</f>
        <v>3044.33</v>
      </c>
      <c r="AI1652" s="76">
        <f>ROUND(SUM(IF(Dyno_Data[[#This Row],[AcqCenter]]&gt;0,Dyno_Data[[#This Row],[Time]]-SUMIFS(Dyno_Data[Time],Dyno_Data[Team],Dyno_Data[[#This Row],[Team]],Dyno_Data[RecordType],"StartMatch",Dyno_Data[Match],Dyno_Data[[#This Row],[Match]]),0)*86400),0)</f>
        <v>0</v>
      </c>
    </row>
    <row r="1653" spans="1:35" x14ac:dyDescent="0.3">
      <c r="A1653">
        <v>1652</v>
      </c>
      <c r="B1653" t="s">
        <v>1289</v>
      </c>
      <c r="C1653">
        <v>33</v>
      </c>
      <c r="D1653" s="105">
        <v>45373.606969016204</v>
      </c>
      <c r="E1653" t="s">
        <v>316</v>
      </c>
      <c r="F1653" t="s">
        <v>317</v>
      </c>
      <c r="G1653">
        <v>1</v>
      </c>
      <c r="H1653" t="s">
        <v>310</v>
      </c>
      <c r="I1653">
        <v>0</v>
      </c>
      <c r="J1653">
        <v>0</v>
      </c>
      <c r="K1653">
        <v>0</v>
      </c>
      <c r="L1653" t="s">
        <v>310</v>
      </c>
      <c r="M1653" t="s">
        <v>310</v>
      </c>
      <c r="N1653">
        <v>0</v>
      </c>
      <c r="O1653" t="s">
        <v>1391</v>
      </c>
      <c r="P1653" t="s">
        <v>320</v>
      </c>
      <c r="Q1653" t="s">
        <v>1400</v>
      </c>
      <c r="R1653" t="s">
        <v>1404</v>
      </c>
      <c r="S1653">
        <v>0</v>
      </c>
      <c r="T1653" t="s">
        <v>105</v>
      </c>
      <c r="U1653">
        <v>9</v>
      </c>
      <c r="V1653">
        <v>9</v>
      </c>
      <c r="W1653">
        <v>0</v>
      </c>
      <c r="X1653">
        <v>60.982821799999996</v>
      </c>
      <c r="Y1653">
        <v>40.347897599999996</v>
      </c>
      <c r="Z1653">
        <v>32.716366100000002</v>
      </c>
      <c r="AA1653">
        <v>2</v>
      </c>
      <c r="AB1653">
        <v>0</v>
      </c>
      <c r="AC1653" t="s">
        <v>167</v>
      </c>
      <c r="AD1653">
        <v>9</v>
      </c>
      <c r="AE1653" t="s">
        <v>1390</v>
      </c>
      <c r="AF1653">
        <v>0</v>
      </c>
      <c r="AG1653" t="s">
        <v>310</v>
      </c>
      <c r="AH1653">
        <f>SUM((MID(Dyno_Data[[#This Row],[Team]],4,5))+(Dyno_Data[[#This Row],[Match]]/100))</f>
        <v>6648.33</v>
      </c>
      <c r="AI1653" s="76">
        <f>ROUND(SUM(IF(Dyno_Data[[#This Row],[AcqCenter]]&gt;0,Dyno_Data[[#This Row],[Time]]-SUMIFS(Dyno_Data[Time],Dyno_Data[Team],Dyno_Data[[#This Row],[Team]],Dyno_Data[RecordType],"StartMatch",Dyno_Data[Match],Dyno_Data[[#This Row],[Match]]),0)*86400),0)</f>
        <v>0</v>
      </c>
    </row>
    <row r="1654" spans="1:35" x14ac:dyDescent="0.3">
      <c r="A1654">
        <v>1653</v>
      </c>
      <c r="B1654" t="s">
        <v>1284</v>
      </c>
      <c r="C1654">
        <v>33</v>
      </c>
      <c r="D1654" s="105">
        <v>45373.60696917824</v>
      </c>
      <c r="E1654" t="s">
        <v>316</v>
      </c>
      <c r="F1654" t="s">
        <v>317</v>
      </c>
      <c r="G1654">
        <v>1</v>
      </c>
      <c r="H1654" t="s">
        <v>310</v>
      </c>
      <c r="I1654">
        <v>0</v>
      </c>
      <c r="J1654">
        <v>0</v>
      </c>
      <c r="K1654">
        <v>0</v>
      </c>
      <c r="L1654" t="s">
        <v>310</v>
      </c>
      <c r="M1654" t="s">
        <v>310</v>
      </c>
      <c r="N1654">
        <v>0</v>
      </c>
      <c r="O1654" t="s">
        <v>319</v>
      </c>
      <c r="P1654" t="s">
        <v>1401</v>
      </c>
      <c r="Q1654" t="s">
        <v>1399</v>
      </c>
      <c r="R1654" t="s">
        <v>1404</v>
      </c>
      <c r="S1654">
        <v>0</v>
      </c>
      <c r="T1654" t="s">
        <v>105</v>
      </c>
      <c r="U1654">
        <v>9</v>
      </c>
      <c r="V1654">
        <v>9</v>
      </c>
      <c r="W1654">
        <v>0</v>
      </c>
      <c r="X1654">
        <v>35.589537799999995</v>
      </c>
      <c r="Y1654">
        <v>30.097283399999998</v>
      </c>
      <c r="Z1654">
        <v>69.497243999999995</v>
      </c>
      <c r="AA1654">
        <v>0</v>
      </c>
      <c r="AB1654">
        <v>1</v>
      </c>
      <c r="AC1654" t="s">
        <v>174</v>
      </c>
      <c r="AD1654">
        <v>0</v>
      </c>
      <c r="AE1654" t="s">
        <v>1387</v>
      </c>
      <c r="AF1654">
        <v>60000000</v>
      </c>
      <c r="AG1654" t="s">
        <v>310</v>
      </c>
      <c r="AH1654">
        <f>SUM((MID(Dyno_Data[[#This Row],[Team]],4,5))+(Dyno_Data[[#This Row],[Match]]/100))</f>
        <v>5590.33</v>
      </c>
      <c r="AI1654" s="76">
        <f>ROUND(SUM(IF(Dyno_Data[[#This Row],[AcqCenter]]&gt;0,Dyno_Data[[#This Row],[Time]]-SUMIFS(Dyno_Data[Time],Dyno_Data[Team],Dyno_Data[[#This Row],[Team]],Dyno_Data[RecordType],"StartMatch",Dyno_Data[Match],Dyno_Data[[#This Row],[Match]]),0)*86400),0)</f>
        <v>0</v>
      </c>
    </row>
    <row r="1655" spans="1:35" x14ac:dyDescent="0.3">
      <c r="A1655">
        <v>1654</v>
      </c>
      <c r="B1655" t="s">
        <v>373</v>
      </c>
      <c r="C1655">
        <v>33</v>
      </c>
      <c r="D1655" s="105">
        <v>45373.606969363427</v>
      </c>
      <c r="E1655" t="s">
        <v>316</v>
      </c>
      <c r="F1655" t="s">
        <v>317</v>
      </c>
      <c r="G1655">
        <v>0</v>
      </c>
      <c r="H1655" t="s">
        <v>310</v>
      </c>
      <c r="I1655">
        <v>0</v>
      </c>
      <c r="J1655">
        <v>0</v>
      </c>
      <c r="K1655">
        <v>0</v>
      </c>
      <c r="L1655" t="s">
        <v>310</v>
      </c>
      <c r="M1655" t="s">
        <v>310</v>
      </c>
      <c r="N1655">
        <v>0</v>
      </c>
      <c r="O1655" t="s">
        <v>1393</v>
      </c>
      <c r="P1655" t="s">
        <v>1401</v>
      </c>
      <c r="Q1655" t="s">
        <v>1399</v>
      </c>
      <c r="R1655" t="s">
        <v>1404</v>
      </c>
      <c r="S1655">
        <v>-1</v>
      </c>
      <c r="T1655" t="s">
        <v>105</v>
      </c>
      <c r="U1655">
        <v>9</v>
      </c>
      <c r="V1655">
        <v>9</v>
      </c>
      <c r="W1655">
        <v>31.986016099999997</v>
      </c>
      <c r="X1655">
        <v>20.204751899999998</v>
      </c>
      <c r="Y1655">
        <v>22.440284500000001</v>
      </c>
      <c r="Z1655">
        <v>62.415406399999995</v>
      </c>
      <c r="AA1655">
        <v>0</v>
      </c>
      <c r="AB1655">
        <v>0</v>
      </c>
      <c r="AC1655" t="s">
        <v>167</v>
      </c>
      <c r="AD1655">
        <v>0</v>
      </c>
      <c r="AE1655" t="s">
        <v>1394</v>
      </c>
      <c r="AF1655">
        <v>0</v>
      </c>
      <c r="AG1655" t="s">
        <v>310</v>
      </c>
      <c r="AH1655">
        <f>SUM((MID(Dyno_Data[[#This Row],[Team]],4,5))+(Dyno_Data[[#This Row],[Match]]/100))</f>
        <v>7718.33</v>
      </c>
      <c r="AI1655" s="76">
        <f>ROUND(SUM(IF(Dyno_Data[[#This Row],[AcqCenter]]&gt;0,Dyno_Data[[#This Row],[Time]]-SUMIFS(Dyno_Data[Time],Dyno_Data[Team],Dyno_Data[[#This Row],[Team]],Dyno_Data[RecordType],"StartMatch",Dyno_Data[Match],Dyno_Data[[#This Row],[Match]]),0)*86400),0)</f>
        <v>0</v>
      </c>
    </row>
    <row r="1656" spans="1:35" x14ac:dyDescent="0.3">
      <c r="A1656">
        <v>1655</v>
      </c>
      <c r="B1656" t="s">
        <v>1278</v>
      </c>
      <c r="C1656">
        <v>33</v>
      </c>
      <c r="D1656" s="105">
        <v>45373.606969525463</v>
      </c>
      <c r="E1656" t="s">
        <v>316</v>
      </c>
      <c r="F1656" t="s">
        <v>317</v>
      </c>
      <c r="G1656">
        <v>1</v>
      </c>
      <c r="H1656" t="s">
        <v>310</v>
      </c>
      <c r="I1656">
        <v>0</v>
      </c>
      <c r="J1656">
        <v>0</v>
      </c>
      <c r="K1656">
        <v>0</v>
      </c>
      <c r="L1656" t="s">
        <v>310</v>
      </c>
      <c r="M1656" t="s">
        <v>310</v>
      </c>
      <c r="N1656">
        <v>0</v>
      </c>
      <c r="O1656" t="s">
        <v>1389</v>
      </c>
      <c r="P1656" t="s">
        <v>240</v>
      </c>
      <c r="Q1656" t="s">
        <v>1400</v>
      </c>
      <c r="R1656" t="s">
        <v>1404</v>
      </c>
      <c r="S1656">
        <v>-1</v>
      </c>
      <c r="T1656" t="s">
        <v>105</v>
      </c>
      <c r="U1656">
        <v>9</v>
      </c>
      <c r="V1656">
        <v>9</v>
      </c>
      <c r="W1656">
        <v>4.1287130999999997</v>
      </c>
      <c r="X1656">
        <v>0</v>
      </c>
      <c r="Y1656">
        <v>37.212438800000001</v>
      </c>
      <c r="Z1656">
        <v>91.324595699999989</v>
      </c>
      <c r="AA1656">
        <v>2</v>
      </c>
      <c r="AB1656">
        <v>0</v>
      </c>
      <c r="AC1656" t="s">
        <v>170</v>
      </c>
      <c r="AD1656">
        <v>9</v>
      </c>
      <c r="AE1656" t="s">
        <v>1388</v>
      </c>
      <c r="AF1656">
        <v>40000000</v>
      </c>
      <c r="AG1656" t="s">
        <v>310</v>
      </c>
      <c r="AH1656">
        <f>SUM((MID(Dyno_Data[[#This Row],[Team]],4,5))+(Dyno_Data[[#This Row],[Match]]/100))</f>
        <v>3951.33</v>
      </c>
      <c r="AI1656" s="76">
        <f>ROUND(SUM(IF(Dyno_Data[[#This Row],[AcqCenter]]&gt;0,Dyno_Data[[#This Row],[Time]]-SUMIFS(Dyno_Data[Time],Dyno_Data[Team],Dyno_Data[[#This Row],[Team]],Dyno_Data[RecordType],"StartMatch",Dyno_Data[Match],Dyno_Data[[#This Row],[Match]]),0)*86400),0)</f>
        <v>0</v>
      </c>
    </row>
    <row r="1657" spans="1:35" x14ac:dyDescent="0.3">
      <c r="A1657">
        <v>1656</v>
      </c>
      <c r="B1657" t="s">
        <v>1310</v>
      </c>
      <c r="C1657">
        <v>33</v>
      </c>
      <c r="D1657" s="105">
        <v>45373.60696971065</v>
      </c>
      <c r="E1657" t="s">
        <v>316</v>
      </c>
      <c r="F1657" t="s">
        <v>317</v>
      </c>
      <c r="G1657">
        <v>1</v>
      </c>
      <c r="H1657" t="s">
        <v>310</v>
      </c>
      <c r="I1657">
        <v>0</v>
      </c>
      <c r="J1657">
        <v>0</v>
      </c>
      <c r="K1657">
        <v>0</v>
      </c>
      <c r="L1657" t="s">
        <v>310</v>
      </c>
      <c r="M1657" t="s">
        <v>310</v>
      </c>
      <c r="N1657">
        <v>0</v>
      </c>
      <c r="O1657" t="s">
        <v>1395</v>
      </c>
      <c r="P1657" t="s">
        <v>101</v>
      </c>
      <c r="Q1657" t="s">
        <v>1400</v>
      </c>
      <c r="R1657" t="s">
        <v>1405</v>
      </c>
      <c r="S1657">
        <v>1</v>
      </c>
      <c r="T1657" t="s">
        <v>1409</v>
      </c>
      <c r="U1657">
        <v>0</v>
      </c>
      <c r="V1657">
        <v>0</v>
      </c>
      <c r="W1657">
        <v>1.1312046</v>
      </c>
      <c r="X1657">
        <v>20.346346499999999</v>
      </c>
      <c r="Y1657">
        <v>35.147652799999996</v>
      </c>
      <c r="Z1657">
        <v>73.886321999999993</v>
      </c>
      <c r="AA1657">
        <v>1</v>
      </c>
      <c r="AB1657">
        <v>0</v>
      </c>
      <c r="AC1657" t="s">
        <v>174</v>
      </c>
      <c r="AD1657">
        <v>9</v>
      </c>
      <c r="AE1657" t="s">
        <v>1396</v>
      </c>
      <c r="AF1657">
        <v>70000000</v>
      </c>
      <c r="AG1657" t="s">
        <v>310</v>
      </c>
      <c r="AH1657">
        <f>SUM((MID(Dyno_Data[[#This Row],[Team]],4,5))+(Dyno_Data[[#This Row],[Match]]/100))</f>
        <v>6621.33</v>
      </c>
      <c r="AI1657" s="76">
        <f>ROUND(SUM(IF(Dyno_Data[[#This Row],[AcqCenter]]&gt;0,Dyno_Data[[#This Row],[Time]]-SUMIFS(Dyno_Data[Time],Dyno_Data[Team],Dyno_Data[[#This Row],[Team]],Dyno_Data[RecordType],"StartMatch",Dyno_Data[Match],Dyno_Data[[#This Row],[Match]]),0)*86400),0)</f>
        <v>0</v>
      </c>
    </row>
    <row r="1658" spans="1:35" x14ac:dyDescent="0.3">
      <c r="A1658">
        <v>1664</v>
      </c>
      <c r="B1658" t="s">
        <v>1285</v>
      </c>
      <c r="C1658">
        <v>34</v>
      </c>
      <c r="D1658" s="105">
        <v>45373.609590312502</v>
      </c>
      <c r="E1658" t="s">
        <v>308</v>
      </c>
      <c r="F1658" t="s">
        <v>309</v>
      </c>
      <c r="G1658">
        <v>0</v>
      </c>
      <c r="H1658" t="s">
        <v>310</v>
      </c>
      <c r="I1658">
        <v>0</v>
      </c>
      <c r="J1658">
        <v>0</v>
      </c>
      <c r="K1658">
        <v>0</v>
      </c>
      <c r="L1658" t="s">
        <v>310</v>
      </c>
      <c r="M1658" t="s">
        <v>310</v>
      </c>
      <c r="N1658">
        <v>0</v>
      </c>
      <c r="O1658" t="s">
        <v>1395</v>
      </c>
      <c r="P1658" t="s">
        <v>310</v>
      </c>
      <c r="Q1658" t="s">
        <v>310</v>
      </c>
      <c r="R1658" t="s">
        <v>310</v>
      </c>
      <c r="S1658">
        <v>9</v>
      </c>
      <c r="T1658" t="s">
        <v>310</v>
      </c>
      <c r="U1658">
        <v>9</v>
      </c>
      <c r="V1658">
        <v>9</v>
      </c>
      <c r="W1658">
        <v>0</v>
      </c>
      <c r="X1658">
        <v>0</v>
      </c>
      <c r="Y1658">
        <v>0</v>
      </c>
      <c r="Z1658">
        <v>0</v>
      </c>
      <c r="AA1658">
        <v>9</v>
      </c>
      <c r="AB1658">
        <v>9</v>
      </c>
      <c r="AC1658" t="s">
        <v>310</v>
      </c>
      <c r="AD1658">
        <v>9</v>
      </c>
      <c r="AE1658" t="s">
        <v>1396</v>
      </c>
      <c r="AF1658">
        <v>0</v>
      </c>
      <c r="AG1658" t="s">
        <v>310</v>
      </c>
      <c r="AH1658">
        <f>SUM((MID(Dyno_Data[[#This Row],[Team]],4,5))+(Dyno_Data[[#This Row],[Match]]/100))</f>
        <v>5993.34</v>
      </c>
      <c r="AI1658" s="76">
        <f>ROUND(SUM(IF(Dyno_Data[[#This Row],[AcqCenter]]&gt;0,Dyno_Data[[#This Row],[Time]]-SUMIFS(Dyno_Data[Time],Dyno_Data[Team],Dyno_Data[[#This Row],[Team]],Dyno_Data[RecordType],"StartMatch",Dyno_Data[Match],Dyno_Data[[#This Row],[Match]]),0)*86400),0)</f>
        <v>0</v>
      </c>
    </row>
    <row r="1659" spans="1:35" x14ac:dyDescent="0.3">
      <c r="A1659">
        <v>1666</v>
      </c>
      <c r="B1659" t="s">
        <v>1314</v>
      </c>
      <c r="C1659">
        <v>34</v>
      </c>
      <c r="D1659" s="105">
        <v>45373.609592476852</v>
      </c>
      <c r="E1659" t="s">
        <v>308</v>
      </c>
      <c r="F1659" t="s">
        <v>309</v>
      </c>
      <c r="G1659">
        <v>0</v>
      </c>
      <c r="H1659" t="s">
        <v>310</v>
      </c>
      <c r="I1659">
        <v>0</v>
      </c>
      <c r="J1659">
        <v>0</v>
      </c>
      <c r="K1659">
        <v>0</v>
      </c>
      <c r="L1659" t="s">
        <v>310</v>
      </c>
      <c r="M1659" t="s">
        <v>310</v>
      </c>
      <c r="N1659">
        <v>0</v>
      </c>
      <c r="O1659" t="s">
        <v>311</v>
      </c>
      <c r="P1659" t="s">
        <v>310</v>
      </c>
      <c r="Q1659" t="s">
        <v>310</v>
      </c>
      <c r="R1659" t="s">
        <v>310</v>
      </c>
      <c r="S1659">
        <v>9</v>
      </c>
      <c r="T1659" t="s">
        <v>310</v>
      </c>
      <c r="U1659">
        <v>9</v>
      </c>
      <c r="V1659">
        <v>9</v>
      </c>
      <c r="W1659">
        <v>0</v>
      </c>
      <c r="X1659">
        <v>0</v>
      </c>
      <c r="Y1659">
        <v>0</v>
      </c>
      <c r="Z1659">
        <v>0</v>
      </c>
      <c r="AA1659">
        <v>9</v>
      </c>
      <c r="AB1659">
        <v>9</v>
      </c>
      <c r="AC1659" t="s">
        <v>310</v>
      </c>
      <c r="AD1659">
        <v>9</v>
      </c>
      <c r="AE1659" t="s">
        <v>1392</v>
      </c>
      <c r="AF1659">
        <v>30000000</v>
      </c>
      <c r="AG1659" t="s">
        <v>310</v>
      </c>
      <c r="AH1659">
        <f>SUM((MID(Dyno_Data[[#This Row],[Team]],4,5))+(Dyno_Data[[#This Row],[Match]]/100))</f>
        <v>3419.34</v>
      </c>
      <c r="AI1659" s="76">
        <f>ROUND(SUM(IF(Dyno_Data[[#This Row],[AcqCenter]]&gt;0,Dyno_Data[[#This Row],[Time]]-SUMIFS(Dyno_Data[Time],Dyno_Data[Team],Dyno_Data[[#This Row],[Team]],Dyno_Data[RecordType],"StartMatch",Dyno_Data[Match],Dyno_Data[[#This Row],[Match]]),0)*86400),0)</f>
        <v>0</v>
      </c>
    </row>
    <row r="1660" spans="1:35" x14ac:dyDescent="0.3">
      <c r="A1660">
        <v>1668</v>
      </c>
      <c r="B1660" t="s">
        <v>1292</v>
      </c>
      <c r="C1660">
        <v>34</v>
      </c>
      <c r="D1660" s="105">
        <v>45373.609593900466</v>
      </c>
      <c r="E1660" t="s">
        <v>308</v>
      </c>
      <c r="F1660" t="s">
        <v>309</v>
      </c>
      <c r="G1660">
        <v>0</v>
      </c>
      <c r="H1660" t="s">
        <v>310</v>
      </c>
      <c r="I1660">
        <v>0</v>
      </c>
      <c r="J1660">
        <v>0</v>
      </c>
      <c r="K1660">
        <v>0</v>
      </c>
      <c r="L1660" t="s">
        <v>310</v>
      </c>
      <c r="M1660" t="s">
        <v>310</v>
      </c>
      <c r="N1660">
        <v>0</v>
      </c>
      <c r="O1660" t="s">
        <v>1391</v>
      </c>
      <c r="P1660" t="s">
        <v>310</v>
      </c>
      <c r="Q1660" t="s">
        <v>310</v>
      </c>
      <c r="R1660" t="s">
        <v>310</v>
      </c>
      <c r="S1660">
        <v>9</v>
      </c>
      <c r="T1660" t="s">
        <v>310</v>
      </c>
      <c r="U1660">
        <v>9</v>
      </c>
      <c r="V1660">
        <v>9</v>
      </c>
      <c r="W1660">
        <v>0</v>
      </c>
      <c r="X1660">
        <v>0</v>
      </c>
      <c r="Y1660">
        <v>0</v>
      </c>
      <c r="Z1660">
        <v>0</v>
      </c>
      <c r="AA1660">
        <v>9</v>
      </c>
      <c r="AB1660">
        <v>9</v>
      </c>
      <c r="AC1660" t="s">
        <v>310</v>
      </c>
      <c r="AD1660">
        <v>9</v>
      </c>
      <c r="AE1660" t="s">
        <v>1390</v>
      </c>
      <c r="AF1660">
        <v>0</v>
      </c>
      <c r="AG1660" t="s">
        <v>310</v>
      </c>
      <c r="AH1660">
        <f>SUM((MID(Dyno_Data[[#This Row],[Team]],4,5))+(Dyno_Data[[#This Row],[Match]]/100))</f>
        <v>7030.34</v>
      </c>
      <c r="AI1660" s="76">
        <f>ROUND(SUM(IF(Dyno_Data[[#This Row],[AcqCenter]]&gt;0,Dyno_Data[[#This Row],[Time]]-SUMIFS(Dyno_Data[Time],Dyno_Data[Team],Dyno_Data[[#This Row],[Team]],Dyno_Data[RecordType],"StartMatch",Dyno_Data[Match],Dyno_Data[[#This Row],[Match]]),0)*86400),0)</f>
        <v>0</v>
      </c>
    </row>
    <row r="1661" spans="1:35" x14ac:dyDescent="0.3">
      <c r="A1661">
        <v>1670</v>
      </c>
      <c r="B1661" t="s">
        <v>1312</v>
      </c>
      <c r="C1661">
        <v>34</v>
      </c>
      <c r="D1661" s="105">
        <v>45373.609596064816</v>
      </c>
      <c r="E1661" t="s">
        <v>308</v>
      </c>
      <c r="F1661" t="s">
        <v>309</v>
      </c>
      <c r="G1661">
        <v>0</v>
      </c>
      <c r="H1661" t="s">
        <v>310</v>
      </c>
      <c r="I1661">
        <v>0</v>
      </c>
      <c r="J1661">
        <v>0</v>
      </c>
      <c r="K1661">
        <v>0</v>
      </c>
      <c r="L1661" t="s">
        <v>310</v>
      </c>
      <c r="M1661" t="s">
        <v>310</v>
      </c>
      <c r="N1661">
        <v>0</v>
      </c>
      <c r="O1661" t="s">
        <v>1393</v>
      </c>
      <c r="P1661" t="s">
        <v>310</v>
      </c>
      <c r="Q1661" t="s">
        <v>310</v>
      </c>
      <c r="R1661" t="s">
        <v>310</v>
      </c>
      <c r="S1661">
        <v>9</v>
      </c>
      <c r="T1661" t="s">
        <v>310</v>
      </c>
      <c r="U1661">
        <v>9</v>
      </c>
      <c r="V1661">
        <v>9</v>
      </c>
      <c r="W1661">
        <v>0</v>
      </c>
      <c r="X1661">
        <v>0</v>
      </c>
      <c r="Y1661">
        <v>0</v>
      </c>
      <c r="Z1661">
        <v>0</v>
      </c>
      <c r="AA1661">
        <v>9</v>
      </c>
      <c r="AB1661">
        <v>9</v>
      </c>
      <c r="AC1661" t="s">
        <v>310</v>
      </c>
      <c r="AD1661">
        <v>9</v>
      </c>
      <c r="AE1661" t="s">
        <v>1394</v>
      </c>
      <c r="AF1661">
        <v>10000000</v>
      </c>
      <c r="AG1661" t="s">
        <v>310</v>
      </c>
      <c r="AH1661">
        <f>SUM((MID(Dyno_Data[[#This Row],[Team]],4,5))+(Dyno_Data[[#This Row],[Match]]/100))</f>
        <v>2053.34</v>
      </c>
      <c r="AI1661" s="76">
        <f>ROUND(SUM(IF(Dyno_Data[[#This Row],[AcqCenter]]&gt;0,Dyno_Data[[#This Row],[Time]]-SUMIFS(Dyno_Data[Time],Dyno_Data[Team],Dyno_Data[[#This Row],[Team]],Dyno_Data[RecordType],"StartMatch",Dyno_Data[Match],Dyno_Data[[#This Row],[Match]]),0)*86400),0)</f>
        <v>0</v>
      </c>
    </row>
    <row r="1662" spans="1:35" x14ac:dyDescent="0.3">
      <c r="A1662">
        <v>1672</v>
      </c>
      <c r="B1662" t="s">
        <v>1276</v>
      </c>
      <c r="C1662">
        <v>34</v>
      </c>
      <c r="D1662" s="105">
        <v>45373.609597488423</v>
      </c>
      <c r="E1662" t="s">
        <v>308</v>
      </c>
      <c r="F1662" t="s">
        <v>309</v>
      </c>
      <c r="G1662">
        <v>0</v>
      </c>
      <c r="H1662" t="s">
        <v>310</v>
      </c>
      <c r="I1662">
        <v>0</v>
      </c>
      <c r="J1662">
        <v>0</v>
      </c>
      <c r="K1662">
        <v>0</v>
      </c>
      <c r="L1662" t="s">
        <v>310</v>
      </c>
      <c r="M1662" t="s">
        <v>310</v>
      </c>
      <c r="N1662">
        <v>0</v>
      </c>
      <c r="O1662" t="s">
        <v>319</v>
      </c>
      <c r="P1662" t="s">
        <v>310</v>
      </c>
      <c r="Q1662" t="s">
        <v>310</v>
      </c>
      <c r="R1662" t="s">
        <v>310</v>
      </c>
      <c r="S1662">
        <v>9</v>
      </c>
      <c r="T1662" t="s">
        <v>310</v>
      </c>
      <c r="U1662">
        <v>9</v>
      </c>
      <c r="V1662">
        <v>9</v>
      </c>
      <c r="W1662">
        <v>0</v>
      </c>
      <c r="X1662">
        <v>0</v>
      </c>
      <c r="Y1662">
        <v>0</v>
      </c>
      <c r="Z1662">
        <v>0</v>
      </c>
      <c r="AA1662">
        <v>9</v>
      </c>
      <c r="AB1662">
        <v>9</v>
      </c>
      <c r="AC1662" t="s">
        <v>310</v>
      </c>
      <c r="AD1662">
        <v>9</v>
      </c>
      <c r="AE1662" t="s">
        <v>1387</v>
      </c>
      <c r="AF1662">
        <v>0</v>
      </c>
      <c r="AG1662" t="s">
        <v>310</v>
      </c>
      <c r="AH1662">
        <f>SUM((MID(Dyno_Data[[#This Row],[Team]],4,5))+(Dyno_Data[[#This Row],[Match]]/100))</f>
        <v>229.34</v>
      </c>
      <c r="AI1662" s="76">
        <f>ROUND(SUM(IF(Dyno_Data[[#This Row],[AcqCenter]]&gt;0,Dyno_Data[[#This Row],[Time]]-SUMIFS(Dyno_Data[Time],Dyno_Data[Team],Dyno_Data[[#This Row],[Team]],Dyno_Data[RecordType],"StartMatch",Dyno_Data[Match],Dyno_Data[[#This Row],[Match]]),0)*86400),0)</f>
        <v>0</v>
      </c>
    </row>
    <row r="1663" spans="1:35" x14ac:dyDescent="0.3">
      <c r="A1663">
        <v>1674</v>
      </c>
      <c r="B1663" t="s">
        <v>1301</v>
      </c>
      <c r="C1663">
        <v>34</v>
      </c>
      <c r="D1663" s="105">
        <v>45373.609610451385</v>
      </c>
      <c r="E1663" t="s">
        <v>308</v>
      </c>
      <c r="F1663" t="s">
        <v>309</v>
      </c>
      <c r="G1663">
        <v>0</v>
      </c>
      <c r="H1663" t="s">
        <v>310</v>
      </c>
      <c r="I1663">
        <v>0</v>
      </c>
      <c r="J1663">
        <v>0</v>
      </c>
      <c r="K1663">
        <v>0</v>
      </c>
      <c r="L1663" t="s">
        <v>310</v>
      </c>
      <c r="M1663" t="s">
        <v>310</v>
      </c>
      <c r="N1663">
        <v>0</v>
      </c>
      <c r="O1663" t="s">
        <v>1389</v>
      </c>
      <c r="P1663" t="s">
        <v>310</v>
      </c>
      <c r="Q1663" t="s">
        <v>310</v>
      </c>
      <c r="R1663" t="s">
        <v>310</v>
      </c>
      <c r="S1663">
        <v>9</v>
      </c>
      <c r="T1663" t="s">
        <v>310</v>
      </c>
      <c r="U1663">
        <v>9</v>
      </c>
      <c r="V1663">
        <v>9</v>
      </c>
      <c r="W1663">
        <v>0</v>
      </c>
      <c r="X1663">
        <v>0</v>
      </c>
      <c r="Y1663">
        <v>0</v>
      </c>
      <c r="Z1663">
        <v>0</v>
      </c>
      <c r="AA1663">
        <v>9</v>
      </c>
      <c r="AB1663">
        <v>9</v>
      </c>
      <c r="AC1663" t="s">
        <v>310</v>
      </c>
      <c r="AD1663">
        <v>9</v>
      </c>
      <c r="AE1663" t="s">
        <v>1388</v>
      </c>
      <c r="AF1663">
        <v>0</v>
      </c>
      <c r="AG1663" t="s">
        <v>310</v>
      </c>
      <c r="AH1663">
        <f>SUM((MID(Dyno_Data[[#This Row],[Team]],4,5))+(Dyno_Data[[#This Row],[Match]]/100))</f>
        <v>7031.34</v>
      </c>
      <c r="AI1663" s="76">
        <f>ROUND(SUM(IF(Dyno_Data[[#This Row],[AcqCenter]]&gt;0,Dyno_Data[[#This Row],[Time]]-SUMIFS(Dyno_Data[Time],Dyno_Data[Team],Dyno_Data[[#This Row],[Team]],Dyno_Data[RecordType],"StartMatch",Dyno_Data[Match],Dyno_Data[[#This Row],[Match]]),0)*86400),0)</f>
        <v>0</v>
      </c>
    </row>
    <row r="1664" spans="1:35" x14ac:dyDescent="0.3">
      <c r="A1664">
        <v>1657</v>
      </c>
      <c r="B1664" t="s">
        <v>1312</v>
      </c>
      <c r="C1664">
        <v>34</v>
      </c>
      <c r="D1664" s="105">
        <v>45373.609622951386</v>
      </c>
      <c r="E1664" t="s">
        <v>312</v>
      </c>
      <c r="F1664" t="s">
        <v>309</v>
      </c>
      <c r="G1664">
        <v>0</v>
      </c>
      <c r="H1664" t="s">
        <v>1397</v>
      </c>
      <c r="I1664">
        <v>0</v>
      </c>
      <c r="J1664">
        <v>0</v>
      </c>
      <c r="K1664">
        <v>0</v>
      </c>
      <c r="L1664" t="s">
        <v>241</v>
      </c>
      <c r="M1664" t="s">
        <v>1398</v>
      </c>
      <c r="N1664">
        <v>0</v>
      </c>
      <c r="O1664" t="s">
        <v>1393</v>
      </c>
      <c r="P1664" t="s">
        <v>310</v>
      </c>
      <c r="Q1664" t="s">
        <v>310</v>
      </c>
      <c r="R1664" t="s">
        <v>310</v>
      </c>
      <c r="S1664">
        <v>9</v>
      </c>
      <c r="T1664" t="s">
        <v>310</v>
      </c>
      <c r="U1664">
        <v>9</v>
      </c>
      <c r="V1664">
        <v>9</v>
      </c>
      <c r="W1664">
        <v>0</v>
      </c>
      <c r="X1664">
        <v>0</v>
      </c>
      <c r="Y1664">
        <v>0</v>
      </c>
      <c r="Z1664">
        <v>0</v>
      </c>
      <c r="AA1664">
        <v>9</v>
      </c>
      <c r="AB1664">
        <v>9</v>
      </c>
      <c r="AC1664" t="s">
        <v>310</v>
      </c>
      <c r="AD1664">
        <v>9</v>
      </c>
      <c r="AE1664" t="s">
        <v>1394</v>
      </c>
      <c r="AF1664">
        <v>0</v>
      </c>
      <c r="AG1664" t="s">
        <v>310</v>
      </c>
      <c r="AH1664">
        <f>SUM((MID(Dyno_Data[[#This Row],[Team]],4,5))+(Dyno_Data[[#This Row],[Match]]/100))</f>
        <v>2053.34</v>
      </c>
      <c r="AI1664" s="76">
        <f>ROUND(SUM(IF(Dyno_Data[[#This Row],[AcqCenter]]&gt;0,Dyno_Data[[#This Row],[Time]]-SUMIFS(Dyno_Data[Time],Dyno_Data[Team],Dyno_Data[[#This Row],[Team]],Dyno_Data[RecordType],"StartMatch",Dyno_Data[Match],Dyno_Data[[#This Row],[Match]]),0)*86400),0)</f>
        <v>0</v>
      </c>
    </row>
    <row r="1665" spans="1:35" x14ac:dyDescent="0.3">
      <c r="A1665">
        <v>1658</v>
      </c>
      <c r="B1665" t="s">
        <v>1314</v>
      </c>
      <c r="C1665">
        <v>34</v>
      </c>
      <c r="D1665" s="105">
        <v>45373.609628009261</v>
      </c>
      <c r="E1665" t="s">
        <v>312</v>
      </c>
      <c r="F1665" t="s">
        <v>309</v>
      </c>
      <c r="G1665">
        <v>0</v>
      </c>
      <c r="H1665" t="s">
        <v>1397</v>
      </c>
      <c r="I1665">
        <v>0</v>
      </c>
      <c r="J1665">
        <v>0</v>
      </c>
      <c r="K1665">
        <v>0</v>
      </c>
      <c r="L1665" t="s">
        <v>241</v>
      </c>
      <c r="M1665" t="s">
        <v>1398</v>
      </c>
      <c r="N1665">
        <v>0</v>
      </c>
      <c r="O1665" t="s">
        <v>311</v>
      </c>
      <c r="P1665" t="s">
        <v>310</v>
      </c>
      <c r="Q1665" t="s">
        <v>310</v>
      </c>
      <c r="R1665" t="s">
        <v>310</v>
      </c>
      <c r="S1665">
        <v>9</v>
      </c>
      <c r="T1665" t="s">
        <v>310</v>
      </c>
      <c r="U1665">
        <v>9</v>
      </c>
      <c r="V1665">
        <v>9</v>
      </c>
      <c r="W1665">
        <v>0</v>
      </c>
      <c r="X1665">
        <v>0</v>
      </c>
      <c r="Y1665">
        <v>0</v>
      </c>
      <c r="Z1665">
        <v>0</v>
      </c>
      <c r="AA1665">
        <v>9</v>
      </c>
      <c r="AB1665">
        <v>9</v>
      </c>
      <c r="AC1665" t="s">
        <v>310</v>
      </c>
      <c r="AD1665">
        <v>9</v>
      </c>
      <c r="AE1665" t="s">
        <v>1392</v>
      </c>
      <c r="AF1665">
        <v>0</v>
      </c>
      <c r="AG1665" t="s">
        <v>310</v>
      </c>
      <c r="AH1665">
        <f>SUM((MID(Dyno_Data[[#This Row],[Team]],4,5))+(Dyno_Data[[#This Row],[Match]]/100))</f>
        <v>3419.34</v>
      </c>
      <c r="AI1665" s="76">
        <f>ROUND(SUM(IF(Dyno_Data[[#This Row],[AcqCenter]]&gt;0,Dyno_Data[[#This Row],[Time]]-SUMIFS(Dyno_Data[Time],Dyno_Data[Team],Dyno_Data[[#This Row],[Team]],Dyno_Data[RecordType],"StartMatch",Dyno_Data[Match],Dyno_Data[[#This Row],[Match]]),0)*86400),0)</f>
        <v>0</v>
      </c>
    </row>
    <row r="1666" spans="1:35" x14ac:dyDescent="0.3">
      <c r="A1666">
        <v>1659</v>
      </c>
      <c r="B1666" t="s">
        <v>1314</v>
      </c>
      <c r="C1666">
        <v>34</v>
      </c>
      <c r="D1666" s="105">
        <v>45373.609660798611</v>
      </c>
      <c r="E1666" t="s">
        <v>312</v>
      </c>
      <c r="F1666" t="s">
        <v>309</v>
      </c>
      <c r="G1666">
        <v>0</v>
      </c>
      <c r="H1666" t="s">
        <v>315</v>
      </c>
      <c r="I1666">
        <v>0</v>
      </c>
      <c r="J1666">
        <v>0</v>
      </c>
      <c r="K1666">
        <v>0</v>
      </c>
      <c r="L1666" t="s">
        <v>241</v>
      </c>
      <c r="M1666" t="s">
        <v>1398</v>
      </c>
      <c r="N1666">
        <v>0</v>
      </c>
      <c r="O1666" t="s">
        <v>311</v>
      </c>
      <c r="P1666" t="s">
        <v>310</v>
      </c>
      <c r="Q1666" t="s">
        <v>310</v>
      </c>
      <c r="R1666" t="s">
        <v>310</v>
      </c>
      <c r="S1666">
        <v>9</v>
      </c>
      <c r="T1666" t="s">
        <v>310</v>
      </c>
      <c r="U1666">
        <v>9</v>
      </c>
      <c r="V1666">
        <v>9</v>
      </c>
      <c r="W1666">
        <v>0</v>
      </c>
      <c r="X1666">
        <v>0</v>
      </c>
      <c r="Y1666">
        <v>0</v>
      </c>
      <c r="Z1666">
        <v>0</v>
      </c>
      <c r="AA1666">
        <v>9</v>
      </c>
      <c r="AB1666">
        <v>9</v>
      </c>
      <c r="AC1666" t="s">
        <v>310</v>
      </c>
      <c r="AD1666">
        <v>9</v>
      </c>
      <c r="AE1666" t="s">
        <v>1392</v>
      </c>
      <c r="AF1666">
        <v>10000000</v>
      </c>
      <c r="AG1666" t="s">
        <v>310</v>
      </c>
      <c r="AH1666">
        <f>SUM((MID(Dyno_Data[[#This Row],[Team]],4,5))+(Dyno_Data[[#This Row],[Match]]/100))</f>
        <v>3419.34</v>
      </c>
      <c r="AI1666" s="76">
        <f>ROUND(SUM(IF(Dyno_Data[[#This Row],[AcqCenter]]&gt;0,Dyno_Data[[#This Row],[Time]]-SUMIFS(Dyno_Data[Time],Dyno_Data[Team],Dyno_Data[[#This Row],[Team]],Dyno_Data[RecordType],"StartMatch",Dyno_Data[Match],Dyno_Data[[#This Row],[Match]]),0)*86400),0)</f>
        <v>0</v>
      </c>
    </row>
    <row r="1667" spans="1:35" x14ac:dyDescent="0.3">
      <c r="A1667">
        <v>1660</v>
      </c>
      <c r="B1667" t="s">
        <v>1312</v>
      </c>
      <c r="C1667">
        <v>34</v>
      </c>
      <c r="D1667" s="105">
        <v>45373.609668831021</v>
      </c>
      <c r="E1667" t="s">
        <v>312</v>
      </c>
      <c r="F1667" t="s">
        <v>309</v>
      </c>
      <c r="G1667">
        <v>0</v>
      </c>
      <c r="H1667" t="s">
        <v>315</v>
      </c>
      <c r="I1667">
        <v>0</v>
      </c>
      <c r="J1667">
        <v>0</v>
      </c>
      <c r="K1667">
        <v>0</v>
      </c>
      <c r="L1667" t="s">
        <v>241</v>
      </c>
      <c r="M1667" t="s">
        <v>1398</v>
      </c>
      <c r="N1667">
        <v>0</v>
      </c>
      <c r="O1667" t="s">
        <v>1393</v>
      </c>
      <c r="P1667" t="s">
        <v>310</v>
      </c>
      <c r="Q1667" t="s">
        <v>310</v>
      </c>
      <c r="R1667" t="s">
        <v>310</v>
      </c>
      <c r="S1667">
        <v>9</v>
      </c>
      <c r="T1667" t="s">
        <v>310</v>
      </c>
      <c r="U1667">
        <v>9</v>
      </c>
      <c r="V1667">
        <v>9</v>
      </c>
      <c r="W1667">
        <v>0</v>
      </c>
      <c r="X1667">
        <v>0</v>
      </c>
      <c r="Y1667">
        <v>0</v>
      </c>
      <c r="Z1667">
        <v>0</v>
      </c>
      <c r="AA1667">
        <v>9</v>
      </c>
      <c r="AB1667">
        <v>9</v>
      </c>
      <c r="AC1667" t="s">
        <v>310</v>
      </c>
      <c r="AD1667">
        <v>9</v>
      </c>
      <c r="AE1667" t="s">
        <v>1394</v>
      </c>
      <c r="AF1667">
        <v>10000000</v>
      </c>
      <c r="AG1667" t="s">
        <v>310</v>
      </c>
      <c r="AH1667">
        <f>SUM((MID(Dyno_Data[[#This Row],[Team]],4,5))+(Dyno_Data[[#This Row],[Match]]/100))</f>
        <v>2053.34</v>
      </c>
      <c r="AI1667" s="76">
        <f>ROUND(SUM(IF(Dyno_Data[[#This Row],[AcqCenter]]&gt;0,Dyno_Data[[#This Row],[Time]]-SUMIFS(Dyno_Data[Time],Dyno_Data[Team],Dyno_Data[[#This Row],[Team]],Dyno_Data[RecordType],"StartMatch",Dyno_Data[Match],Dyno_Data[[#This Row],[Match]]),0)*86400),0)</f>
        <v>0</v>
      </c>
    </row>
    <row r="1668" spans="1:35" x14ac:dyDescent="0.3">
      <c r="A1668">
        <v>1661</v>
      </c>
      <c r="B1668" t="s">
        <v>1285</v>
      </c>
      <c r="C1668">
        <v>34</v>
      </c>
      <c r="D1668" s="105">
        <v>45373.609669560188</v>
      </c>
      <c r="E1668" t="s">
        <v>312</v>
      </c>
      <c r="F1668" t="s">
        <v>309</v>
      </c>
      <c r="G1668">
        <v>0</v>
      </c>
      <c r="H1668" t="s">
        <v>1397</v>
      </c>
      <c r="I1668">
        <v>0</v>
      </c>
      <c r="J1668">
        <v>0</v>
      </c>
      <c r="K1668">
        <v>0</v>
      </c>
      <c r="L1668" t="s">
        <v>240</v>
      </c>
      <c r="M1668" t="s">
        <v>1398</v>
      </c>
      <c r="N1668">
        <v>1</v>
      </c>
      <c r="O1668" t="s">
        <v>1395</v>
      </c>
      <c r="P1668" t="s">
        <v>310</v>
      </c>
      <c r="Q1668" t="s">
        <v>310</v>
      </c>
      <c r="R1668" t="s">
        <v>310</v>
      </c>
      <c r="S1668">
        <v>9</v>
      </c>
      <c r="T1668" t="s">
        <v>310</v>
      </c>
      <c r="U1668">
        <v>9</v>
      </c>
      <c r="V1668">
        <v>9</v>
      </c>
      <c r="W1668">
        <v>0</v>
      </c>
      <c r="X1668">
        <v>0</v>
      </c>
      <c r="Y1668">
        <v>0</v>
      </c>
      <c r="Z1668">
        <v>0</v>
      </c>
      <c r="AA1668">
        <v>9</v>
      </c>
      <c r="AB1668">
        <v>9</v>
      </c>
      <c r="AC1668" t="s">
        <v>310</v>
      </c>
      <c r="AD1668">
        <v>9</v>
      </c>
      <c r="AE1668" t="s">
        <v>1396</v>
      </c>
      <c r="AF1668">
        <v>0</v>
      </c>
      <c r="AG1668" t="s">
        <v>310</v>
      </c>
      <c r="AH1668">
        <f>SUM((MID(Dyno_Data[[#This Row],[Team]],4,5))+(Dyno_Data[[#This Row],[Match]]/100))</f>
        <v>5993.34</v>
      </c>
      <c r="AI1668" s="76">
        <f>ROUND(SUM(IF(Dyno_Data[[#This Row],[AcqCenter]]&gt;0,Dyno_Data[[#This Row],[Time]]-SUMIFS(Dyno_Data[Time],Dyno_Data[Team],Dyno_Data[[#This Row],[Team]],Dyno_Data[RecordType],"StartMatch",Dyno_Data[Match],Dyno_Data[[#This Row],[Match]]),0)*86400),0)</f>
        <v>0</v>
      </c>
    </row>
    <row r="1669" spans="1:35" x14ac:dyDescent="0.3">
      <c r="A1669">
        <v>1662</v>
      </c>
      <c r="B1669" t="s">
        <v>1314</v>
      </c>
      <c r="C1669">
        <v>34</v>
      </c>
      <c r="D1669" s="105">
        <v>45373.609677546294</v>
      </c>
      <c r="E1669" t="s">
        <v>312</v>
      </c>
      <c r="F1669" t="s">
        <v>309</v>
      </c>
      <c r="G1669">
        <v>0</v>
      </c>
      <c r="H1669" t="s">
        <v>315</v>
      </c>
      <c r="I1669">
        <v>0</v>
      </c>
      <c r="J1669">
        <v>0</v>
      </c>
      <c r="K1669">
        <v>0</v>
      </c>
      <c r="L1669" t="s">
        <v>241</v>
      </c>
      <c r="M1669" t="s">
        <v>1398</v>
      </c>
      <c r="N1669">
        <v>0</v>
      </c>
      <c r="O1669" t="s">
        <v>311</v>
      </c>
      <c r="P1669" t="s">
        <v>310</v>
      </c>
      <c r="Q1669" t="s">
        <v>310</v>
      </c>
      <c r="R1669" t="s">
        <v>310</v>
      </c>
      <c r="S1669">
        <v>9</v>
      </c>
      <c r="T1669" t="s">
        <v>310</v>
      </c>
      <c r="U1669">
        <v>9</v>
      </c>
      <c r="V1669">
        <v>9</v>
      </c>
      <c r="W1669">
        <v>0</v>
      </c>
      <c r="X1669">
        <v>0</v>
      </c>
      <c r="Y1669">
        <v>0</v>
      </c>
      <c r="Z1669">
        <v>0</v>
      </c>
      <c r="AA1669">
        <v>9</v>
      </c>
      <c r="AB1669">
        <v>9</v>
      </c>
      <c r="AC1669" t="s">
        <v>310</v>
      </c>
      <c r="AD1669">
        <v>9</v>
      </c>
      <c r="AE1669" t="s">
        <v>1392</v>
      </c>
      <c r="AF1669">
        <v>20000000</v>
      </c>
      <c r="AG1669" t="s">
        <v>310</v>
      </c>
      <c r="AH1669">
        <f>SUM((MID(Dyno_Data[[#This Row],[Team]],4,5))+(Dyno_Data[[#This Row],[Match]]/100))</f>
        <v>3419.34</v>
      </c>
      <c r="AI1669" s="76">
        <f>ROUND(SUM(IF(Dyno_Data[[#This Row],[AcqCenter]]&gt;0,Dyno_Data[[#This Row],[Time]]-SUMIFS(Dyno_Data[Time],Dyno_Data[Team],Dyno_Data[[#This Row],[Team]],Dyno_Data[RecordType],"StartMatch",Dyno_Data[Match],Dyno_Data[[#This Row],[Match]]),0)*86400),0)</f>
        <v>0</v>
      </c>
    </row>
    <row r="1670" spans="1:35" x14ac:dyDescent="0.3">
      <c r="A1670">
        <v>1663</v>
      </c>
      <c r="B1670" t="s">
        <v>1314</v>
      </c>
      <c r="C1670">
        <v>34</v>
      </c>
      <c r="D1670" s="105">
        <v>45373.609714317128</v>
      </c>
      <c r="E1670" t="s">
        <v>312</v>
      </c>
      <c r="F1670" t="s">
        <v>309</v>
      </c>
      <c r="G1670">
        <v>0</v>
      </c>
      <c r="H1670" t="s">
        <v>315</v>
      </c>
      <c r="I1670">
        <v>0</v>
      </c>
      <c r="J1670">
        <v>0</v>
      </c>
      <c r="K1670">
        <v>0</v>
      </c>
      <c r="L1670" t="s">
        <v>241</v>
      </c>
      <c r="M1670" t="s">
        <v>1398</v>
      </c>
      <c r="N1670">
        <v>1</v>
      </c>
      <c r="O1670" t="s">
        <v>311</v>
      </c>
      <c r="P1670" t="s">
        <v>310</v>
      </c>
      <c r="Q1670" t="s">
        <v>310</v>
      </c>
      <c r="R1670" t="s">
        <v>310</v>
      </c>
      <c r="S1670">
        <v>9</v>
      </c>
      <c r="T1670" t="s">
        <v>310</v>
      </c>
      <c r="U1670">
        <v>9</v>
      </c>
      <c r="V1670">
        <v>9</v>
      </c>
      <c r="W1670">
        <v>0</v>
      </c>
      <c r="X1670">
        <v>0</v>
      </c>
      <c r="Y1670">
        <v>0</v>
      </c>
      <c r="Z1670">
        <v>0</v>
      </c>
      <c r="AA1670">
        <v>9</v>
      </c>
      <c r="AB1670">
        <v>9</v>
      </c>
      <c r="AC1670" t="s">
        <v>310</v>
      </c>
      <c r="AD1670">
        <v>9</v>
      </c>
      <c r="AE1670" t="s">
        <v>1392</v>
      </c>
      <c r="AF1670">
        <v>30000000</v>
      </c>
      <c r="AG1670" t="s">
        <v>310</v>
      </c>
      <c r="AH1670">
        <f>SUM((MID(Dyno_Data[[#This Row],[Team]],4,5))+(Dyno_Data[[#This Row],[Match]]/100))</f>
        <v>3419.34</v>
      </c>
      <c r="AI1670" s="76">
        <f>ROUND(SUM(IF(Dyno_Data[[#This Row],[AcqCenter]]&gt;0,Dyno_Data[[#This Row],[Time]]-SUMIFS(Dyno_Data[Time],Dyno_Data[Team],Dyno_Data[[#This Row],[Team]],Dyno_Data[RecordType],"StartMatch",Dyno_Data[Match],Dyno_Data[[#This Row],[Match]]),0)*86400),0)</f>
        <v>0</v>
      </c>
    </row>
    <row r="1671" spans="1:35" x14ac:dyDescent="0.3">
      <c r="A1671">
        <v>1665</v>
      </c>
      <c r="B1671" t="s">
        <v>1285</v>
      </c>
      <c r="C1671">
        <v>34</v>
      </c>
      <c r="D1671" s="105">
        <v>45373.609798645834</v>
      </c>
      <c r="E1671" t="s">
        <v>314</v>
      </c>
      <c r="F1671" t="s">
        <v>309</v>
      </c>
      <c r="G1671">
        <v>0</v>
      </c>
      <c r="H1671" t="s">
        <v>310</v>
      </c>
      <c r="I1671">
        <v>0</v>
      </c>
      <c r="J1671">
        <v>0</v>
      </c>
      <c r="K1671">
        <v>0</v>
      </c>
      <c r="L1671" t="s">
        <v>310</v>
      </c>
      <c r="M1671" t="s">
        <v>310</v>
      </c>
      <c r="N1671">
        <v>0</v>
      </c>
      <c r="O1671" t="s">
        <v>1395</v>
      </c>
      <c r="P1671" t="s">
        <v>101</v>
      </c>
      <c r="Q1671" t="s">
        <v>1400</v>
      </c>
      <c r="R1671" t="s">
        <v>310</v>
      </c>
      <c r="S1671">
        <v>9</v>
      </c>
      <c r="T1671" t="s">
        <v>310</v>
      </c>
      <c r="U1671">
        <v>9</v>
      </c>
      <c r="V1671">
        <v>9</v>
      </c>
      <c r="W1671">
        <v>0</v>
      </c>
      <c r="X1671">
        <v>0</v>
      </c>
      <c r="Y1671">
        <v>0</v>
      </c>
      <c r="Z1671">
        <v>0</v>
      </c>
      <c r="AA1671">
        <v>9</v>
      </c>
      <c r="AB1671">
        <v>9</v>
      </c>
      <c r="AC1671" t="s">
        <v>310</v>
      </c>
      <c r="AD1671">
        <v>9</v>
      </c>
      <c r="AE1671" t="s">
        <v>1396</v>
      </c>
      <c r="AF1671">
        <v>0</v>
      </c>
      <c r="AG1671" t="s">
        <v>310</v>
      </c>
      <c r="AH1671">
        <f>SUM((MID(Dyno_Data[[#This Row],[Team]],4,5))+(Dyno_Data[[#This Row],[Match]]/100))</f>
        <v>5993.34</v>
      </c>
      <c r="AI1671" s="76">
        <f>ROUND(SUM(IF(Dyno_Data[[#This Row],[AcqCenter]]&gt;0,Dyno_Data[[#This Row],[Time]]-SUMIFS(Dyno_Data[Time],Dyno_Data[Team],Dyno_Data[[#This Row],[Team]],Dyno_Data[RecordType],"StartMatch",Dyno_Data[Match],Dyno_Data[[#This Row],[Match]]),0)*86400),0)</f>
        <v>0</v>
      </c>
    </row>
    <row r="1672" spans="1:35" x14ac:dyDescent="0.3">
      <c r="A1672">
        <v>1667</v>
      </c>
      <c r="B1672" t="s">
        <v>1314</v>
      </c>
      <c r="C1672">
        <v>34</v>
      </c>
      <c r="D1672" s="105">
        <v>45373.609800810184</v>
      </c>
      <c r="E1672" t="s">
        <v>314</v>
      </c>
      <c r="F1672" t="s">
        <v>309</v>
      </c>
      <c r="G1672">
        <v>1</v>
      </c>
      <c r="H1672" t="s">
        <v>310</v>
      </c>
      <c r="I1672">
        <v>0</v>
      </c>
      <c r="J1672">
        <v>0</v>
      </c>
      <c r="K1672">
        <v>0</v>
      </c>
      <c r="L1672" t="s">
        <v>310</v>
      </c>
      <c r="M1672" t="s">
        <v>310</v>
      </c>
      <c r="N1672">
        <v>0</v>
      </c>
      <c r="O1672" t="s">
        <v>311</v>
      </c>
      <c r="P1672" t="s">
        <v>1401</v>
      </c>
      <c r="Q1672" t="s">
        <v>1400</v>
      </c>
      <c r="R1672" t="s">
        <v>310</v>
      </c>
      <c r="S1672">
        <v>9</v>
      </c>
      <c r="T1672" t="s">
        <v>310</v>
      </c>
      <c r="U1672">
        <v>9</v>
      </c>
      <c r="V1672">
        <v>9</v>
      </c>
      <c r="W1672">
        <v>0</v>
      </c>
      <c r="X1672">
        <v>0</v>
      </c>
      <c r="Y1672">
        <v>0</v>
      </c>
      <c r="Z1672">
        <v>0</v>
      </c>
      <c r="AA1672">
        <v>9</v>
      </c>
      <c r="AB1672">
        <v>9</v>
      </c>
      <c r="AC1672" t="s">
        <v>310</v>
      </c>
      <c r="AD1672">
        <v>9</v>
      </c>
      <c r="AE1672" t="s">
        <v>1392</v>
      </c>
      <c r="AF1672">
        <v>30000000</v>
      </c>
      <c r="AG1672" t="s">
        <v>310</v>
      </c>
      <c r="AH1672">
        <f>SUM((MID(Dyno_Data[[#This Row],[Team]],4,5))+(Dyno_Data[[#This Row],[Match]]/100))</f>
        <v>3419.34</v>
      </c>
      <c r="AI1672" s="76">
        <f>ROUND(SUM(IF(Dyno_Data[[#This Row],[AcqCenter]]&gt;0,Dyno_Data[[#This Row],[Time]]-SUMIFS(Dyno_Data[Time],Dyno_Data[Team],Dyno_Data[[#This Row],[Team]],Dyno_Data[RecordType],"StartMatch",Dyno_Data[Match],Dyno_Data[[#This Row],[Match]]),0)*86400),0)</f>
        <v>0</v>
      </c>
    </row>
    <row r="1673" spans="1:35" x14ac:dyDescent="0.3">
      <c r="A1673">
        <v>1669</v>
      </c>
      <c r="B1673" t="s">
        <v>1292</v>
      </c>
      <c r="C1673">
        <v>34</v>
      </c>
      <c r="D1673" s="105">
        <v>45373.609802233797</v>
      </c>
      <c r="E1673" t="s">
        <v>314</v>
      </c>
      <c r="F1673" t="s">
        <v>309</v>
      </c>
      <c r="G1673">
        <v>0</v>
      </c>
      <c r="H1673" t="s">
        <v>310</v>
      </c>
      <c r="I1673">
        <v>0</v>
      </c>
      <c r="J1673">
        <v>0</v>
      </c>
      <c r="K1673">
        <v>0</v>
      </c>
      <c r="L1673" t="s">
        <v>310</v>
      </c>
      <c r="M1673" t="s">
        <v>310</v>
      </c>
      <c r="N1673">
        <v>0</v>
      </c>
      <c r="O1673" t="s">
        <v>1391</v>
      </c>
      <c r="P1673" t="s">
        <v>101</v>
      </c>
      <c r="Q1673" t="s">
        <v>1400</v>
      </c>
      <c r="R1673" t="s">
        <v>310</v>
      </c>
      <c r="S1673">
        <v>9</v>
      </c>
      <c r="T1673" t="s">
        <v>310</v>
      </c>
      <c r="U1673">
        <v>9</v>
      </c>
      <c r="V1673">
        <v>9</v>
      </c>
      <c r="W1673">
        <v>0</v>
      </c>
      <c r="X1673">
        <v>0</v>
      </c>
      <c r="Y1673">
        <v>0</v>
      </c>
      <c r="Z1673">
        <v>0</v>
      </c>
      <c r="AA1673">
        <v>9</v>
      </c>
      <c r="AB1673">
        <v>9</v>
      </c>
      <c r="AC1673" t="s">
        <v>310</v>
      </c>
      <c r="AD1673">
        <v>9</v>
      </c>
      <c r="AE1673" t="s">
        <v>1390</v>
      </c>
      <c r="AF1673">
        <v>0</v>
      </c>
      <c r="AG1673" t="s">
        <v>310</v>
      </c>
      <c r="AH1673">
        <f>SUM((MID(Dyno_Data[[#This Row],[Team]],4,5))+(Dyno_Data[[#This Row],[Match]]/100))</f>
        <v>7030.34</v>
      </c>
      <c r="AI1673" s="76">
        <f>ROUND(SUM(IF(Dyno_Data[[#This Row],[AcqCenter]]&gt;0,Dyno_Data[[#This Row],[Time]]-SUMIFS(Dyno_Data[Time],Dyno_Data[Team],Dyno_Data[[#This Row],[Team]],Dyno_Data[RecordType],"StartMatch",Dyno_Data[Match],Dyno_Data[[#This Row],[Match]]),0)*86400),0)</f>
        <v>0</v>
      </c>
    </row>
    <row r="1674" spans="1:35" x14ac:dyDescent="0.3">
      <c r="A1674">
        <v>1671</v>
      </c>
      <c r="B1674" t="s">
        <v>1312</v>
      </c>
      <c r="C1674">
        <v>34</v>
      </c>
      <c r="D1674" s="105">
        <v>45373.609804398147</v>
      </c>
      <c r="E1674" t="s">
        <v>314</v>
      </c>
      <c r="F1674" t="s">
        <v>309</v>
      </c>
      <c r="G1674">
        <v>1</v>
      </c>
      <c r="H1674" t="s">
        <v>310</v>
      </c>
      <c r="I1674">
        <v>0</v>
      </c>
      <c r="J1674">
        <v>0</v>
      </c>
      <c r="K1674">
        <v>0</v>
      </c>
      <c r="L1674" t="s">
        <v>310</v>
      </c>
      <c r="M1674" t="s">
        <v>310</v>
      </c>
      <c r="N1674">
        <v>0</v>
      </c>
      <c r="O1674" t="s">
        <v>1393</v>
      </c>
      <c r="P1674" t="s">
        <v>240</v>
      </c>
      <c r="Q1674" t="s">
        <v>1399</v>
      </c>
      <c r="R1674" t="s">
        <v>310</v>
      </c>
      <c r="S1674">
        <v>9</v>
      </c>
      <c r="T1674" t="s">
        <v>310</v>
      </c>
      <c r="U1674">
        <v>9</v>
      </c>
      <c r="V1674">
        <v>9</v>
      </c>
      <c r="W1674">
        <v>0</v>
      </c>
      <c r="X1674">
        <v>0</v>
      </c>
      <c r="Y1674">
        <v>0</v>
      </c>
      <c r="Z1674">
        <v>0</v>
      </c>
      <c r="AA1674">
        <v>9</v>
      </c>
      <c r="AB1674">
        <v>9</v>
      </c>
      <c r="AC1674" t="s">
        <v>310</v>
      </c>
      <c r="AD1674">
        <v>9</v>
      </c>
      <c r="AE1674" t="s">
        <v>1394</v>
      </c>
      <c r="AF1674">
        <v>10000000</v>
      </c>
      <c r="AG1674" t="s">
        <v>310</v>
      </c>
      <c r="AH1674">
        <f>SUM((MID(Dyno_Data[[#This Row],[Team]],4,5))+(Dyno_Data[[#This Row],[Match]]/100))</f>
        <v>2053.34</v>
      </c>
      <c r="AI1674" s="76">
        <f>ROUND(SUM(IF(Dyno_Data[[#This Row],[AcqCenter]]&gt;0,Dyno_Data[[#This Row],[Time]]-SUMIFS(Dyno_Data[Time],Dyno_Data[Team],Dyno_Data[[#This Row],[Team]],Dyno_Data[RecordType],"StartMatch",Dyno_Data[Match],Dyno_Data[[#This Row],[Match]]),0)*86400),0)</f>
        <v>0</v>
      </c>
    </row>
    <row r="1675" spans="1:35" x14ac:dyDescent="0.3">
      <c r="A1675">
        <v>1673</v>
      </c>
      <c r="B1675" t="s">
        <v>1276</v>
      </c>
      <c r="C1675">
        <v>34</v>
      </c>
      <c r="D1675" s="105">
        <v>45373.609805821761</v>
      </c>
      <c r="E1675" t="s">
        <v>314</v>
      </c>
      <c r="F1675" t="s">
        <v>309</v>
      </c>
      <c r="G1675">
        <v>1</v>
      </c>
      <c r="H1675" t="s">
        <v>310</v>
      </c>
      <c r="I1675">
        <v>0</v>
      </c>
      <c r="J1675">
        <v>0</v>
      </c>
      <c r="K1675">
        <v>0</v>
      </c>
      <c r="L1675" t="s">
        <v>310</v>
      </c>
      <c r="M1675" t="s">
        <v>310</v>
      </c>
      <c r="N1675">
        <v>0</v>
      </c>
      <c r="O1675" t="s">
        <v>319</v>
      </c>
      <c r="P1675" t="s">
        <v>320</v>
      </c>
      <c r="Q1675" t="s">
        <v>1399</v>
      </c>
      <c r="R1675" t="s">
        <v>310</v>
      </c>
      <c r="S1675">
        <v>9</v>
      </c>
      <c r="T1675" t="s">
        <v>310</v>
      </c>
      <c r="U1675">
        <v>9</v>
      </c>
      <c r="V1675">
        <v>9</v>
      </c>
      <c r="W1675">
        <v>0</v>
      </c>
      <c r="X1675">
        <v>0</v>
      </c>
      <c r="Y1675">
        <v>0</v>
      </c>
      <c r="Z1675">
        <v>0</v>
      </c>
      <c r="AA1675">
        <v>9</v>
      </c>
      <c r="AB1675">
        <v>9</v>
      </c>
      <c r="AC1675" t="s">
        <v>310</v>
      </c>
      <c r="AD1675">
        <v>9</v>
      </c>
      <c r="AE1675" t="s">
        <v>1387</v>
      </c>
      <c r="AF1675">
        <v>0</v>
      </c>
      <c r="AG1675" t="s">
        <v>310</v>
      </c>
      <c r="AH1675">
        <f>SUM((MID(Dyno_Data[[#This Row],[Team]],4,5))+(Dyno_Data[[#This Row],[Match]]/100))</f>
        <v>229.34</v>
      </c>
      <c r="AI1675" s="76">
        <f>ROUND(SUM(IF(Dyno_Data[[#This Row],[AcqCenter]]&gt;0,Dyno_Data[[#This Row],[Time]]-SUMIFS(Dyno_Data[Time],Dyno_Data[Team],Dyno_Data[[#This Row],[Team]],Dyno_Data[RecordType],"StartMatch",Dyno_Data[Match],Dyno_Data[[#This Row],[Match]]),0)*86400),0)</f>
        <v>0</v>
      </c>
    </row>
    <row r="1676" spans="1:35" x14ac:dyDescent="0.3">
      <c r="A1676">
        <v>1675</v>
      </c>
      <c r="B1676" t="s">
        <v>1301</v>
      </c>
      <c r="C1676">
        <v>34</v>
      </c>
      <c r="D1676" s="105">
        <v>45373.609818784724</v>
      </c>
      <c r="E1676" t="s">
        <v>314</v>
      </c>
      <c r="F1676" t="s">
        <v>309</v>
      </c>
      <c r="G1676">
        <v>0</v>
      </c>
      <c r="H1676" t="s">
        <v>310</v>
      </c>
      <c r="I1676">
        <v>0</v>
      </c>
      <c r="J1676">
        <v>0</v>
      </c>
      <c r="K1676">
        <v>0</v>
      </c>
      <c r="L1676" t="s">
        <v>310</v>
      </c>
      <c r="M1676" t="s">
        <v>310</v>
      </c>
      <c r="N1676">
        <v>0</v>
      </c>
      <c r="O1676" t="s">
        <v>1389</v>
      </c>
      <c r="P1676" t="s">
        <v>1401</v>
      </c>
      <c r="Q1676" t="s">
        <v>1400</v>
      </c>
      <c r="R1676" t="s">
        <v>310</v>
      </c>
      <c r="S1676">
        <v>9</v>
      </c>
      <c r="T1676" t="s">
        <v>310</v>
      </c>
      <c r="U1676">
        <v>9</v>
      </c>
      <c r="V1676">
        <v>9</v>
      </c>
      <c r="W1676">
        <v>0</v>
      </c>
      <c r="X1676">
        <v>0</v>
      </c>
      <c r="Y1676">
        <v>0</v>
      </c>
      <c r="Z1676">
        <v>0</v>
      </c>
      <c r="AA1676">
        <v>9</v>
      </c>
      <c r="AB1676">
        <v>9</v>
      </c>
      <c r="AC1676" t="s">
        <v>310</v>
      </c>
      <c r="AD1676">
        <v>9</v>
      </c>
      <c r="AE1676" t="s">
        <v>1388</v>
      </c>
      <c r="AF1676">
        <v>0</v>
      </c>
      <c r="AG1676" t="s">
        <v>310</v>
      </c>
      <c r="AH1676">
        <f>SUM((MID(Dyno_Data[[#This Row],[Team]],4,5))+(Dyno_Data[[#This Row],[Match]]/100))</f>
        <v>7031.34</v>
      </c>
      <c r="AI1676" s="76">
        <f>ROUND(SUM(IF(Dyno_Data[[#This Row],[AcqCenter]]&gt;0,Dyno_Data[[#This Row],[Time]]-SUMIFS(Dyno_Data[Time],Dyno_Data[Team],Dyno_Data[[#This Row],[Team]],Dyno_Data[RecordType],"StartMatch",Dyno_Data[Match],Dyno_Data[[#This Row],[Match]]),0)*86400),0)</f>
        <v>0</v>
      </c>
    </row>
    <row r="1677" spans="1:35" x14ac:dyDescent="0.3">
      <c r="A1677">
        <v>1676</v>
      </c>
      <c r="B1677" t="s">
        <v>1314</v>
      </c>
      <c r="C1677">
        <v>34</v>
      </c>
      <c r="D1677" s="105">
        <v>45373.609921643518</v>
      </c>
      <c r="E1677" t="s">
        <v>312</v>
      </c>
      <c r="F1677" t="s">
        <v>1402</v>
      </c>
      <c r="G1677">
        <v>0</v>
      </c>
      <c r="H1677" t="s">
        <v>315</v>
      </c>
      <c r="I1677">
        <v>0</v>
      </c>
      <c r="J1677">
        <v>0</v>
      </c>
      <c r="K1677">
        <v>0</v>
      </c>
      <c r="L1677" t="s">
        <v>241</v>
      </c>
      <c r="M1677" t="s">
        <v>1398</v>
      </c>
      <c r="N1677">
        <v>1</v>
      </c>
      <c r="O1677" t="s">
        <v>311</v>
      </c>
      <c r="P1677" t="s">
        <v>310</v>
      </c>
      <c r="Q1677" t="s">
        <v>310</v>
      </c>
      <c r="R1677" t="s">
        <v>310</v>
      </c>
      <c r="S1677">
        <v>9</v>
      </c>
      <c r="T1677" t="s">
        <v>310</v>
      </c>
      <c r="U1677">
        <v>9</v>
      </c>
      <c r="V1677">
        <v>9</v>
      </c>
      <c r="W1677">
        <v>0</v>
      </c>
      <c r="X1677">
        <v>0</v>
      </c>
      <c r="Y1677">
        <v>0</v>
      </c>
      <c r="Z1677">
        <v>0</v>
      </c>
      <c r="AA1677">
        <v>9</v>
      </c>
      <c r="AB1677">
        <v>9</v>
      </c>
      <c r="AC1677" t="s">
        <v>310</v>
      </c>
      <c r="AD1677">
        <v>9</v>
      </c>
      <c r="AE1677" t="s">
        <v>1392</v>
      </c>
      <c r="AF1677">
        <v>40000000</v>
      </c>
      <c r="AG1677" t="s">
        <v>310</v>
      </c>
      <c r="AH1677">
        <f>SUM((MID(Dyno_Data[[#This Row],[Team]],4,5))+(Dyno_Data[[#This Row],[Match]]/100))</f>
        <v>3419.34</v>
      </c>
      <c r="AI1677" s="76">
        <f>ROUND(SUM(IF(Dyno_Data[[#This Row],[AcqCenter]]&gt;0,Dyno_Data[[#This Row],[Time]]-SUMIFS(Dyno_Data[Time],Dyno_Data[Team],Dyno_Data[[#This Row],[Team]],Dyno_Data[RecordType],"StartMatch",Dyno_Data[Match],Dyno_Data[[#This Row],[Match]]),0)*86400),0)</f>
        <v>0</v>
      </c>
    </row>
    <row r="1678" spans="1:35" x14ac:dyDescent="0.3">
      <c r="A1678">
        <v>1677</v>
      </c>
      <c r="B1678" t="s">
        <v>1301</v>
      </c>
      <c r="C1678">
        <v>34</v>
      </c>
      <c r="D1678" s="105">
        <v>45373.609921724536</v>
      </c>
      <c r="E1678" t="s">
        <v>312</v>
      </c>
      <c r="F1678" t="s">
        <v>1402</v>
      </c>
      <c r="G1678">
        <v>0</v>
      </c>
      <c r="H1678" t="s">
        <v>1397</v>
      </c>
      <c r="I1678">
        <v>0</v>
      </c>
      <c r="J1678">
        <v>0</v>
      </c>
      <c r="K1678">
        <v>0</v>
      </c>
      <c r="L1678" t="s">
        <v>241</v>
      </c>
      <c r="M1678" t="s">
        <v>241</v>
      </c>
      <c r="N1678">
        <v>0</v>
      </c>
      <c r="O1678" t="s">
        <v>1389</v>
      </c>
      <c r="P1678" t="s">
        <v>310</v>
      </c>
      <c r="Q1678" t="s">
        <v>310</v>
      </c>
      <c r="R1678" t="s">
        <v>310</v>
      </c>
      <c r="S1678">
        <v>9</v>
      </c>
      <c r="T1678" t="s">
        <v>310</v>
      </c>
      <c r="U1678">
        <v>9</v>
      </c>
      <c r="V1678">
        <v>9</v>
      </c>
      <c r="W1678">
        <v>0</v>
      </c>
      <c r="X1678">
        <v>0</v>
      </c>
      <c r="Y1678">
        <v>0</v>
      </c>
      <c r="Z1678">
        <v>0</v>
      </c>
      <c r="AA1678">
        <v>9</v>
      </c>
      <c r="AB1678">
        <v>9</v>
      </c>
      <c r="AC1678" t="s">
        <v>310</v>
      </c>
      <c r="AD1678">
        <v>9</v>
      </c>
      <c r="AE1678" t="s">
        <v>1388</v>
      </c>
      <c r="AF1678">
        <v>0</v>
      </c>
      <c r="AG1678" t="s">
        <v>310</v>
      </c>
      <c r="AH1678">
        <f>SUM((MID(Dyno_Data[[#This Row],[Team]],4,5))+(Dyno_Data[[#This Row],[Match]]/100))</f>
        <v>7031.34</v>
      </c>
      <c r="AI1678" s="76">
        <f>ROUND(SUM(IF(Dyno_Data[[#This Row],[AcqCenter]]&gt;0,Dyno_Data[[#This Row],[Time]]-SUMIFS(Dyno_Data[Time],Dyno_Data[Team],Dyno_Data[[#This Row],[Team]],Dyno_Data[RecordType],"StartMatch",Dyno_Data[Match],Dyno_Data[[#This Row],[Match]]),0)*86400),0)</f>
        <v>0</v>
      </c>
    </row>
    <row r="1679" spans="1:35" x14ac:dyDescent="0.3">
      <c r="A1679">
        <v>1678</v>
      </c>
      <c r="B1679" t="s">
        <v>1312</v>
      </c>
      <c r="C1679">
        <v>34</v>
      </c>
      <c r="D1679" s="105">
        <v>45373.609976504631</v>
      </c>
      <c r="E1679" t="s">
        <v>312</v>
      </c>
      <c r="F1679" t="s">
        <v>1402</v>
      </c>
      <c r="G1679">
        <v>0</v>
      </c>
      <c r="H1679" t="s">
        <v>315</v>
      </c>
      <c r="I1679">
        <v>0</v>
      </c>
      <c r="J1679">
        <v>0</v>
      </c>
      <c r="K1679">
        <v>0</v>
      </c>
      <c r="L1679" t="s">
        <v>241</v>
      </c>
      <c r="M1679" t="s">
        <v>101</v>
      </c>
      <c r="N1679">
        <v>1</v>
      </c>
      <c r="O1679" t="s">
        <v>1393</v>
      </c>
      <c r="P1679" t="s">
        <v>310</v>
      </c>
      <c r="Q1679" t="s">
        <v>310</v>
      </c>
      <c r="R1679" t="s">
        <v>310</v>
      </c>
      <c r="S1679">
        <v>9</v>
      </c>
      <c r="T1679" t="s">
        <v>310</v>
      </c>
      <c r="U1679">
        <v>9</v>
      </c>
      <c r="V1679">
        <v>9</v>
      </c>
      <c r="W1679">
        <v>0</v>
      </c>
      <c r="X1679">
        <v>0</v>
      </c>
      <c r="Y1679">
        <v>0</v>
      </c>
      <c r="Z1679">
        <v>0</v>
      </c>
      <c r="AA1679">
        <v>9</v>
      </c>
      <c r="AB1679">
        <v>9</v>
      </c>
      <c r="AC1679" t="s">
        <v>310</v>
      </c>
      <c r="AD1679">
        <v>9</v>
      </c>
      <c r="AE1679" t="s">
        <v>1394</v>
      </c>
      <c r="AF1679">
        <v>20000000</v>
      </c>
      <c r="AG1679" t="s">
        <v>310</v>
      </c>
      <c r="AH1679">
        <f>SUM((MID(Dyno_Data[[#This Row],[Team]],4,5))+(Dyno_Data[[#This Row],[Match]]/100))</f>
        <v>2053.34</v>
      </c>
      <c r="AI1679" s="76">
        <f>ROUND(SUM(IF(Dyno_Data[[#This Row],[AcqCenter]]&gt;0,Dyno_Data[[#This Row],[Time]]-SUMIFS(Dyno_Data[Time],Dyno_Data[Team],Dyno_Data[[#This Row],[Team]],Dyno_Data[RecordType],"StartMatch",Dyno_Data[Match],Dyno_Data[[#This Row],[Match]]),0)*86400),0)</f>
        <v>0</v>
      </c>
    </row>
    <row r="1680" spans="1:35" x14ac:dyDescent="0.3">
      <c r="A1680">
        <v>1679</v>
      </c>
      <c r="B1680" t="s">
        <v>1285</v>
      </c>
      <c r="C1680">
        <v>34</v>
      </c>
      <c r="D1680" s="105">
        <v>45373.610040543979</v>
      </c>
      <c r="E1680" t="s">
        <v>312</v>
      </c>
      <c r="F1680" t="s">
        <v>1402</v>
      </c>
      <c r="G1680">
        <v>0</v>
      </c>
      <c r="H1680" t="s">
        <v>315</v>
      </c>
      <c r="I1680">
        <v>0</v>
      </c>
      <c r="J1680">
        <v>0</v>
      </c>
      <c r="K1680">
        <v>0</v>
      </c>
      <c r="L1680" t="s">
        <v>241</v>
      </c>
      <c r="M1680" t="s">
        <v>1398</v>
      </c>
      <c r="N1680">
        <v>1</v>
      </c>
      <c r="O1680" t="s">
        <v>1395</v>
      </c>
      <c r="P1680" t="s">
        <v>310</v>
      </c>
      <c r="Q1680" t="s">
        <v>310</v>
      </c>
      <c r="R1680" t="s">
        <v>310</v>
      </c>
      <c r="S1680">
        <v>9</v>
      </c>
      <c r="T1680" t="s">
        <v>310</v>
      </c>
      <c r="U1680">
        <v>9</v>
      </c>
      <c r="V1680">
        <v>9</v>
      </c>
      <c r="W1680">
        <v>0</v>
      </c>
      <c r="X1680">
        <v>0</v>
      </c>
      <c r="Y1680">
        <v>0</v>
      </c>
      <c r="Z1680">
        <v>0</v>
      </c>
      <c r="AA1680">
        <v>9</v>
      </c>
      <c r="AB1680">
        <v>9</v>
      </c>
      <c r="AC1680" t="s">
        <v>310</v>
      </c>
      <c r="AD1680">
        <v>9</v>
      </c>
      <c r="AE1680" t="s">
        <v>1396</v>
      </c>
      <c r="AF1680">
        <v>10000000</v>
      </c>
      <c r="AG1680" t="s">
        <v>310</v>
      </c>
      <c r="AH1680">
        <f>SUM((MID(Dyno_Data[[#This Row],[Team]],4,5))+(Dyno_Data[[#This Row],[Match]]/100))</f>
        <v>5993.34</v>
      </c>
      <c r="AI1680" s="76">
        <f>ROUND(SUM(IF(Dyno_Data[[#This Row],[AcqCenter]]&gt;0,Dyno_Data[[#This Row],[Time]]-SUMIFS(Dyno_Data[Time],Dyno_Data[Team],Dyno_Data[[#This Row],[Team]],Dyno_Data[RecordType],"StartMatch",Dyno_Data[Match],Dyno_Data[[#This Row],[Match]]),0)*86400),0)</f>
        <v>0</v>
      </c>
    </row>
    <row r="1681" spans="1:35" x14ac:dyDescent="0.3">
      <c r="A1681">
        <v>1680</v>
      </c>
      <c r="B1681" t="s">
        <v>1314</v>
      </c>
      <c r="C1681">
        <v>34</v>
      </c>
      <c r="D1681" s="105">
        <v>45373.610058761573</v>
      </c>
      <c r="E1681" t="s">
        <v>312</v>
      </c>
      <c r="F1681" t="s">
        <v>1402</v>
      </c>
      <c r="G1681">
        <v>0</v>
      </c>
      <c r="H1681" t="s">
        <v>315</v>
      </c>
      <c r="I1681">
        <v>0</v>
      </c>
      <c r="J1681">
        <v>0</v>
      </c>
      <c r="K1681">
        <v>0</v>
      </c>
      <c r="L1681" t="s">
        <v>240</v>
      </c>
      <c r="M1681" t="s">
        <v>1398</v>
      </c>
      <c r="N1681">
        <v>0</v>
      </c>
      <c r="O1681" t="s">
        <v>311</v>
      </c>
      <c r="P1681" t="s">
        <v>310</v>
      </c>
      <c r="Q1681" t="s">
        <v>310</v>
      </c>
      <c r="R1681" t="s">
        <v>310</v>
      </c>
      <c r="S1681">
        <v>9</v>
      </c>
      <c r="T1681" t="s">
        <v>310</v>
      </c>
      <c r="U1681">
        <v>9</v>
      </c>
      <c r="V1681">
        <v>9</v>
      </c>
      <c r="W1681">
        <v>0</v>
      </c>
      <c r="X1681">
        <v>0</v>
      </c>
      <c r="Y1681">
        <v>0</v>
      </c>
      <c r="Z1681">
        <v>0</v>
      </c>
      <c r="AA1681">
        <v>9</v>
      </c>
      <c r="AB1681">
        <v>9</v>
      </c>
      <c r="AC1681" t="s">
        <v>310</v>
      </c>
      <c r="AD1681">
        <v>9</v>
      </c>
      <c r="AE1681" t="s">
        <v>1392</v>
      </c>
      <c r="AF1681">
        <v>50000000</v>
      </c>
      <c r="AG1681" t="s">
        <v>310</v>
      </c>
      <c r="AH1681">
        <f>SUM((MID(Dyno_Data[[#This Row],[Team]],4,5))+(Dyno_Data[[#This Row],[Match]]/100))</f>
        <v>3419.34</v>
      </c>
      <c r="AI1681" s="76">
        <f>ROUND(SUM(IF(Dyno_Data[[#This Row],[AcqCenter]]&gt;0,Dyno_Data[[#This Row],[Time]]-SUMIFS(Dyno_Data[Time],Dyno_Data[Team],Dyno_Data[[#This Row],[Team]],Dyno_Data[RecordType],"StartMatch",Dyno_Data[Match],Dyno_Data[[#This Row],[Match]]),0)*86400),0)</f>
        <v>0</v>
      </c>
    </row>
    <row r="1682" spans="1:35" x14ac:dyDescent="0.3">
      <c r="A1682">
        <v>1681</v>
      </c>
      <c r="B1682" t="s">
        <v>1292</v>
      </c>
      <c r="C1682">
        <v>34</v>
      </c>
      <c r="D1682" s="105">
        <v>45373.610112962961</v>
      </c>
      <c r="E1682" t="s">
        <v>1403</v>
      </c>
      <c r="F1682" t="s">
        <v>1402</v>
      </c>
      <c r="G1682">
        <v>0</v>
      </c>
      <c r="H1682" t="s">
        <v>310</v>
      </c>
      <c r="I1682">
        <v>0</v>
      </c>
      <c r="J1682">
        <v>0</v>
      </c>
      <c r="K1682">
        <v>0</v>
      </c>
      <c r="L1682" t="s">
        <v>310</v>
      </c>
      <c r="M1682" t="s">
        <v>310</v>
      </c>
      <c r="N1682">
        <v>0</v>
      </c>
      <c r="O1682" t="s">
        <v>1391</v>
      </c>
      <c r="P1682" t="s">
        <v>310</v>
      </c>
      <c r="Q1682" t="s">
        <v>310</v>
      </c>
      <c r="R1682" t="s">
        <v>310</v>
      </c>
      <c r="S1682">
        <v>9</v>
      </c>
      <c r="T1682" t="s">
        <v>310</v>
      </c>
      <c r="U1682">
        <v>9</v>
      </c>
      <c r="V1682">
        <v>9</v>
      </c>
      <c r="W1682">
        <v>0</v>
      </c>
      <c r="X1682">
        <v>0</v>
      </c>
      <c r="Y1682">
        <v>0</v>
      </c>
      <c r="Z1682">
        <v>0</v>
      </c>
      <c r="AA1682">
        <v>9</v>
      </c>
      <c r="AB1682">
        <v>9</v>
      </c>
      <c r="AC1682" t="s">
        <v>310</v>
      </c>
      <c r="AD1682">
        <v>9</v>
      </c>
      <c r="AE1682" t="s">
        <v>1390</v>
      </c>
      <c r="AF1682">
        <v>50000000</v>
      </c>
      <c r="AG1682" t="s">
        <v>249</v>
      </c>
      <c r="AH1682">
        <f>SUM((MID(Dyno_Data[[#This Row],[Team]],4,5))+(Dyno_Data[[#This Row],[Match]]/100))</f>
        <v>7030.34</v>
      </c>
      <c r="AI1682" s="76">
        <f>ROUND(SUM(IF(Dyno_Data[[#This Row],[AcqCenter]]&gt;0,Dyno_Data[[#This Row],[Time]]-SUMIFS(Dyno_Data[Time],Dyno_Data[Team],Dyno_Data[[#This Row],[Team]],Dyno_Data[RecordType],"StartMatch",Dyno_Data[Match],Dyno_Data[[#This Row],[Match]]),0)*86400),0)</f>
        <v>0</v>
      </c>
    </row>
    <row r="1683" spans="1:35" x14ac:dyDescent="0.3">
      <c r="A1683">
        <v>1682</v>
      </c>
      <c r="B1683" t="s">
        <v>1314</v>
      </c>
      <c r="C1683">
        <v>34</v>
      </c>
      <c r="D1683" s="105">
        <v>45373.610149768516</v>
      </c>
      <c r="E1683" t="s">
        <v>312</v>
      </c>
      <c r="F1683" t="s">
        <v>1402</v>
      </c>
      <c r="G1683">
        <v>0</v>
      </c>
      <c r="H1683" t="s">
        <v>315</v>
      </c>
      <c r="I1683">
        <v>0</v>
      </c>
      <c r="J1683">
        <v>0</v>
      </c>
      <c r="K1683">
        <v>0</v>
      </c>
      <c r="L1683" t="s">
        <v>240</v>
      </c>
      <c r="M1683" t="s">
        <v>1398</v>
      </c>
      <c r="N1683">
        <v>0</v>
      </c>
      <c r="O1683" t="s">
        <v>311</v>
      </c>
      <c r="P1683" t="s">
        <v>310</v>
      </c>
      <c r="Q1683" t="s">
        <v>310</v>
      </c>
      <c r="R1683" t="s">
        <v>310</v>
      </c>
      <c r="S1683">
        <v>9</v>
      </c>
      <c r="T1683" t="s">
        <v>310</v>
      </c>
      <c r="U1683">
        <v>9</v>
      </c>
      <c r="V1683">
        <v>9</v>
      </c>
      <c r="W1683">
        <v>0</v>
      </c>
      <c r="X1683">
        <v>0</v>
      </c>
      <c r="Y1683">
        <v>0</v>
      </c>
      <c r="Z1683">
        <v>0</v>
      </c>
      <c r="AA1683">
        <v>9</v>
      </c>
      <c r="AB1683">
        <v>9</v>
      </c>
      <c r="AC1683" t="s">
        <v>310</v>
      </c>
      <c r="AD1683">
        <v>9</v>
      </c>
      <c r="AE1683" t="s">
        <v>1392</v>
      </c>
      <c r="AF1683">
        <v>60000000</v>
      </c>
      <c r="AG1683" t="s">
        <v>310</v>
      </c>
      <c r="AH1683">
        <f>SUM((MID(Dyno_Data[[#This Row],[Team]],4,5))+(Dyno_Data[[#This Row],[Match]]/100))</f>
        <v>3419.34</v>
      </c>
      <c r="AI1683" s="76">
        <f>ROUND(SUM(IF(Dyno_Data[[#This Row],[AcqCenter]]&gt;0,Dyno_Data[[#This Row],[Time]]-SUMIFS(Dyno_Data[Time],Dyno_Data[Team],Dyno_Data[[#This Row],[Team]],Dyno_Data[RecordType],"StartMatch",Dyno_Data[Match],Dyno_Data[[#This Row],[Match]]),0)*86400),0)</f>
        <v>0</v>
      </c>
    </row>
    <row r="1684" spans="1:35" x14ac:dyDescent="0.3">
      <c r="A1684">
        <v>1683</v>
      </c>
      <c r="B1684" t="s">
        <v>1314</v>
      </c>
      <c r="C1684">
        <v>34</v>
      </c>
      <c r="D1684" s="105">
        <v>45373.610191284723</v>
      </c>
      <c r="E1684" t="s">
        <v>312</v>
      </c>
      <c r="F1684" t="s">
        <v>1402</v>
      </c>
      <c r="G1684">
        <v>0</v>
      </c>
      <c r="H1684" t="s">
        <v>315</v>
      </c>
      <c r="I1684">
        <v>0</v>
      </c>
      <c r="J1684">
        <v>0</v>
      </c>
      <c r="K1684">
        <v>0</v>
      </c>
      <c r="L1684" t="s">
        <v>241</v>
      </c>
      <c r="M1684" t="s">
        <v>1398</v>
      </c>
      <c r="N1684">
        <v>0</v>
      </c>
      <c r="O1684" t="s">
        <v>311</v>
      </c>
      <c r="P1684" t="s">
        <v>310</v>
      </c>
      <c r="Q1684" t="s">
        <v>310</v>
      </c>
      <c r="R1684" t="s">
        <v>310</v>
      </c>
      <c r="S1684">
        <v>9</v>
      </c>
      <c r="T1684" t="s">
        <v>310</v>
      </c>
      <c r="U1684">
        <v>9</v>
      </c>
      <c r="V1684">
        <v>9</v>
      </c>
      <c r="W1684">
        <v>0</v>
      </c>
      <c r="X1684">
        <v>0</v>
      </c>
      <c r="Y1684">
        <v>0</v>
      </c>
      <c r="Z1684">
        <v>0</v>
      </c>
      <c r="AA1684">
        <v>9</v>
      </c>
      <c r="AB1684">
        <v>9</v>
      </c>
      <c r="AC1684" t="s">
        <v>310</v>
      </c>
      <c r="AD1684">
        <v>9</v>
      </c>
      <c r="AE1684" t="s">
        <v>1392</v>
      </c>
      <c r="AF1684">
        <v>70000000</v>
      </c>
      <c r="AG1684" t="s">
        <v>310</v>
      </c>
      <c r="AH1684">
        <f>SUM((MID(Dyno_Data[[#This Row],[Team]],4,5))+(Dyno_Data[[#This Row],[Match]]/100))</f>
        <v>3419.34</v>
      </c>
      <c r="AI1684" s="76">
        <f>ROUND(SUM(IF(Dyno_Data[[#This Row],[AcqCenter]]&gt;0,Dyno_Data[[#This Row],[Time]]-SUMIFS(Dyno_Data[Time],Dyno_Data[Team],Dyno_Data[[#This Row],[Team]],Dyno_Data[RecordType],"StartMatch",Dyno_Data[Match],Dyno_Data[[#This Row],[Match]]),0)*86400),0)</f>
        <v>0</v>
      </c>
    </row>
    <row r="1685" spans="1:35" x14ac:dyDescent="0.3">
      <c r="A1685">
        <v>1684</v>
      </c>
      <c r="B1685" t="s">
        <v>1314</v>
      </c>
      <c r="C1685">
        <v>34</v>
      </c>
      <c r="D1685" s="105">
        <v>45373.61025489583</v>
      </c>
      <c r="E1685" t="s">
        <v>312</v>
      </c>
      <c r="F1685" t="s">
        <v>1402</v>
      </c>
      <c r="G1685">
        <v>0</v>
      </c>
      <c r="H1685" t="s">
        <v>315</v>
      </c>
      <c r="I1685">
        <v>0</v>
      </c>
      <c r="J1685">
        <v>0</v>
      </c>
      <c r="K1685">
        <v>0</v>
      </c>
      <c r="L1685" t="s">
        <v>241</v>
      </c>
      <c r="M1685" t="s">
        <v>1398</v>
      </c>
      <c r="N1685">
        <v>0</v>
      </c>
      <c r="O1685" t="s">
        <v>311</v>
      </c>
      <c r="P1685" t="s">
        <v>310</v>
      </c>
      <c r="Q1685" t="s">
        <v>310</v>
      </c>
      <c r="R1685" t="s">
        <v>310</v>
      </c>
      <c r="S1685">
        <v>9</v>
      </c>
      <c r="T1685" t="s">
        <v>310</v>
      </c>
      <c r="U1685">
        <v>9</v>
      </c>
      <c r="V1685">
        <v>9</v>
      </c>
      <c r="W1685">
        <v>0</v>
      </c>
      <c r="X1685">
        <v>0</v>
      </c>
      <c r="Y1685">
        <v>0</v>
      </c>
      <c r="Z1685">
        <v>0</v>
      </c>
      <c r="AA1685">
        <v>9</v>
      </c>
      <c r="AB1685">
        <v>9</v>
      </c>
      <c r="AC1685" t="s">
        <v>310</v>
      </c>
      <c r="AD1685">
        <v>9</v>
      </c>
      <c r="AE1685" t="s">
        <v>1392</v>
      </c>
      <c r="AF1685">
        <v>80000000</v>
      </c>
      <c r="AG1685" t="s">
        <v>310</v>
      </c>
      <c r="AH1685">
        <f>SUM((MID(Dyno_Data[[#This Row],[Team]],4,5))+(Dyno_Data[[#This Row],[Match]]/100))</f>
        <v>3419.34</v>
      </c>
      <c r="AI1685" s="76">
        <f>ROUND(SUM(IF(Dyno_Data[[#This Row],[AcqCenter]]&gt;0,Dyno_Data[[#This Row],[Time]]-SUMIFS(Dyno_Data[Time],Dyno_Data[Team],Dyno_Data[[#This Row],[Team]],Dyno_Data[RecordType],"StartMatch",Dyno_Data[Match],Dyno_Data[[#This Row],[Match]]),0)*86400),0)</f>
        <v>0</v>
      </c>
    </row>
    <row r="1686" spans="1:35" x14ac:dyDescent="0.3">
      <c r="A1686">
        <v>1685</v>
      </c>
      <c r="B1686" t="s">
        <v>1285</v>
      </c>
      <c r="C1686">
        <v>34</v>
      </c>
      <c r="D1686" s="105">
        <v>45373.610270752317</v>
      </c>
      <c r="E1686" t="s">
        <v>312</v>
      </c>
      <c r="F1686" t="s">
        <v>1402</v>
      </c>
      <c r="G1686">
        <v>0</v>
      </c>
      <c r="H1686" t="s">
        <v>315</v>
      </c>
      <c r="I1686">
        <v>0</v>
      </c>
      <c r="J1686">
        <v>0</v>
      </c>
      <c r="K1686">
        <v>0</v>
      </c>
      <c r="L1686" t="s">
        <v>241</v>
      </c>
      <c r="M1686" t="s">
        <v>101</v>
      </c>
      <c r="N1686">
        <v>0</v>
      </c>
      <c r="O1686" t="s">
        <v>1395</v>
      </c>
      <c r="P1686" t="s">
        <v>310</v>
      </c>
      <c r="Q1686" t="s">
        <v>310</v>
      </c>
      <c r="R1686" t="s">
        <v>310</v>
      </c>
      <c r="S1686">
        <v>9</v>
      </c>
      <c r="T1686" t="s">
        <v>310</v>
      </c>
      <c r="U1686">
        <v>9</v>
      </c>
      <c r="V1686">
        <v>9</v>
      </c>
      <c r="W1686">
        <v>0</v>
      </c>
      <c r="X1686">
        <v>0</v>
      </c>
      <c r="Y1686">
        <v>0</v>
      </c>
      <c r="Z1686">
        <v>0</v>
      </c>
      <c r="AA1686">
        <v>9</v>
      </c>
      <c r="AB1686">
        <v>9</v>
      </c>
      <c r="AC1686" t="s">
        <v>310</v>
      </c>
      <c r="AD1686">
        <v>9</v>
      </c>
      <c r="AE1686" t="s">
        <v>1396</v>
      </c>
      <c r="AF1686">
        <v>20000000</v>
      </c>
      <c r="AG1686" t="s">
        <v>310</v>
      </c>
      <c r="AH1686">
        <f>SUM((MID(Dyno_Data[[#This Row],[Team]],4,5))+(Dyno_Data[[#This Row],[Match]]/100))</f>
        <v>5993.34</v>
      </c>
      <c r="AI1686" s="76">
        <f>ROUND(SUM(IF(Dyno_Data[[#This Row],[AcqCenter]]&gt;0,Dyno_Data[[#This Row],[Time]]-SUMIFS(Dyno_Data[Time],Dyno_Data[Team],Dyno_Data[[#This Row],[Team]],Dyno_Data[RecordType],"StartMatch",Dyno_Data[Match],Dyno_Data[[#This Row],[Match]]),0)*86400),0)</f>
        <v>0</v>
      </c>
    </row>
    <row r="1687" spans="1:35" x14ac:dyDescent="0.3">
      <c r="A1687">
        <v>1686</v>
      </c>
      <c r="B1687" t="s">
        <v>1312</v>
      </c>
      <c r="C1687">
        <v>34</v>
      </c>
      <c r="D1687" s="105">
        <v>45373.610290277778</v>
      </c>
      <c r="E1687" t="s">
        <v>312</v>
      </c>
      <c r="F1687" t="s">
        <v>1402</v>
      </c>
      <c r="G1687">
        <v>0</v>
      </c>
      <c r="H1687" t="s">
        <v>315</v>
      </c>
      <c r="I1687">
        <v>0</v>
      </c>
      <c r="J1687">
        <v>0</v>
      </c>
      <c r="K1687">
        <v>0</v>
      </c>
      <c r="L1687" t="s">
        <v>241</v>
      </c>
      <c r="M1687" t="s">
        <v>1398</v>
      </c>
      <c r="N1687">
        <v>0</v>
      </c>
      <c r="O1687" t="s">
        <v>1393</v>
      </c>
      <c r="P1687" t="s">
        <v>310</v>
      </c>
      <c r="Q1687" t="s">
        <v>310</v>
      </c>
      <c r="R1687" t="s">
        <v>310</v>
      </c>
      <c r="S1687">
        <v>9</v>
      </c>
      <c r="T1687" t="s">
        <v>310</v>
      </c>
      <c r="U1687">
        <v>9</v>
      </c>
      <c r="V1687">
        <v>9</v>
      </c>
      <c r="W1687">
        <v>0</v>
      </c>
      <c r="X1687">
        <v>0</v>
      </c>
      <c r="Y1687">
        <v>0</v>
      </c>
      <c r="Z1687">
        <v>0</v>
      </c>
      <c r="AA1687">
        <v>9</v>
      </c>
      <c r="AB1687">
        <v>9</v>
      </c>
      <c r="AC1687" t="s">
        <v>310</v>
      </c>
      <c r="AD1687">
        <v>9</v>
      </c>
      <c r="AE1687" t="s">
        <v>1394</v>
      </c>
      <c r="AF1687">
        <v>30000000</v>
      </c>
      <c r="AG1687" t="s">
        <v>310</v>
      </c>
      <c r="AH1687">
        <f>SUM((MID(Dyno_Data[[#This Row],[Team]],4,5))+(Dyno_Data[[#This Row],[Match]]/100))</f>
        <v>2053.34</v>
      </c>
      <c r="AI1687" s="76">
        <f>ROUND(SUM(IF(Dyno_Data[[#This Row],[AcqCenter]]&gt;0,Dyno_Data[[#This Row],[Time]]-SUMIFS(Dyno_Data[Time],Dyno_Data[Team],Dyno_Data[[#This Row],[Team]],Dyno_Data[RecordType],"StartMatch",Dyno_Data[Match],Dyno_Data[[#This Row],[Match]]),0)*86400),0)</f>
        <v>0</v>
      </c>
    </row>
    <row r="1688" spans="1:35" x14ac:dyDescent="0.3">
      <c r="A1688">
        <v>1687</v>
      </c>
      <c r="B1688" t="s">
        <v>1301</v>
      </c>
      <c r="C1688">
        <v>34</v>
      </c>
      <c r="D1688" s="105">
        <v>45373.610296064813</v>
      </c>
      <c r="E1688" t="s">
        <v>1403</v>
      </c>
      <c r="F1688" t="s">
        <v>1402</v>
      </c>
      <c r="G1688">
        <v>0</v>
      </c>
      <c r="H1688" t="s">
        <v>310</v>
      </c>
      <c r="I1688">
        <v>0</v>
      </c>
      <c r="J1688">
        <v>0</v>
      </c>
      <c r="K1688">
        <v>0</v>
      </c>
      <c r="L1688" t="s">
        <v>310</v>
      </c>
      <c r="M1688" t="s">
        <v>310</v>
      </c>
      <c r="N1688">
        <v>0</v>
      </c>
      <c r="O1688" t="s">
        <v>1389</v>
      </c>
      <c r="P1688" t="s">
        <v>310</v>
      </c>
      <c r="Q1688" t="s">
        <v>310</v>
      </c>
      <c r="R1688" t="s">
        <v>310</v>
      </c>
      <c r="S1688">
        <v>9</v>
      </c>
      <c r="T1688" t="s">
        <v>310</v>
      </c>
      <c r="U1688">
        <v>9</v>
      </c>
      <c r="V1688">
        <v>9</v>
      </c>
      <c r="W1688">
        <v>0</v>
      </c>
      <c r="X1688">
        <v>0</v>
      </c>
      <c r="Y1688">
        <v>0</v>
      </c>
      <c r="Z1688">
        <v>0</v>
      </c>
      <c r="AA1688">
        <v>9</v>
      </c>
      <c r="AB1688">
        <v>9</v>
      </c>
      <c r="AC1688" t="s">
        <v>310</v>
      </c>
      <c r="AD1688">
        <v>9</v>
      </c>
      <c r="AE1688" t="s">
        <v>1388</v>
      </c>
      <c r="AF1688">
        <v>30000000</v>
      </c>
      <c r="AG1688" t="s">
        <v>249</v>
      </c>
      <c r="AH1688">
        <f>SUM((MID(Dyno_Data[[#This Row],[Team]],4,5))+(Dyno_Data[[#This Row],[Match]]/100))</f>
        <v>7031.34</v>
      </c>
      <c r="AI1688" s="76">
        <f>ROUND(SUM(IF(Dyno_Data[[#This Row],[AcqCenter]]&gt;0,Dyno_Data[[#This Row],[Time]]-SUMIFS(Dyno_Data[Time],Dyno_Data[Team],Dyno_Data[[#This Row],[Team]],Dyno_Data[RecordType],"StartMatch",Dyno_Data[Match],Dyno_Data[[#This Row],[Match]]),0)*86400),0)</f>
        <v>0</v>
      </c>
    </row>
    <row r="1689" spans="1:35" x14ac:dyDescent="0.3">
      <c r="A1689">
        <v>1688</v>
      </c>
      <c r="B1689" t="s">
        <v>1314</v>
      </c>
      <c r="C1689">
        <v>34</v>
      </c>
      <c r="D1689" s="105">
        <v>45373.610329432871</v>
      </c>
      <c r="E1689" t="s">
        <v>312</v>
      </c>
      <c r="F1689" t="s">
        <v>1402</v>
      </c>
      <c r="G1689">
        <v>0</v>
      </c>
      <c r="H1689" t="s">
        <v>315</v>
      </c>
      <c r="I1689">
        <v>0</v>
      </c>
      <c r="J1689">
        <v>0</v>
      </c>
      <c r="K1689">
        <v>0</v>
      </c>
      <c r="L1689" t="s">
        <v>241</v>
      </c>
      <c r="M1689" t="s">
        <v>1398</v>
      </c>
      <c r="N1689">
        <v>0</v>
      </c>
      <c r="O1689" t="s">
        <v>311</v>
      </c>
      <c r="P1689" t="s">
        <v>310</v>
      </c>
      <c r="Q1689" t="s">
        <v>310</v>
      </c>
      <c r="R1689" t="s">
        <v>310</v>
      </c>
      <c r="S1689">
        <v>9</v>
      </c>
      <c r="T1689" t="s">
        <v>310</v>
      </c>
      <c r="U1689">
        <v>9</v>
      </c>
      <c r="V1689">
        <v>9</v>
      </c>
      <c r="W1689">
        <v>0</v>
      </c>
      <c r="X1689">
        <v>0</v>
      </c>
      <c r="Y1689">
        <v>0</v>
      </c>
      <c r="Z1689">
        <v>0</v>
      </c>
      <c r="AA1689">
        <v>9</v>
      </c>
      <c r="AB1689">
        <v>9</v>
      </c>
      <c r="AC1689" t="s">
        <v>310</v>
      </c>
      <c r="AD1689">
        <v>9</v>
      </c>
      <c r="AE1689" t="s">
        <v>1392</v>
      </c>
      <c r="AF1689">
        <v>90000000</v>
      </c>
      <c r="AG1689" t="s">
        <v>310</v>
      </c>
      <c r="AH1689">
        <f>SUM((MID(Dyno_Data[[#This Row],[Team]],4,5))+(Dyno_Data[[#This Row],[Match]]/100))</f>
        <v>3419.34</v>
      </c>
      <c r="AI1689" s="76">
        <f>ROUND(SUM(IF(Dyno_Data[[#This Row],[AcqCenter]]&gt;0,Dyno_Data[[#This Row],[Time]]-SUMIFS(Dyno_Data[Time],Dyno_Data[Team],Dyno_Data[[#This Row],[Team]],Dyno_Data[RecordType],"StartMatch",Dyno_Data[Match],Dyno_Data[[#This Row],[Match]]),0)*86400),0)</f>
        <v>0</v>
      </c>
    </row>
    <row r="1690" spans="1:35" x14ac:dyDescent="0.3">
      <c r="A1690">
        <v>1689</v>
      </c>
      <c r="B1690" t="s">
        <v>1285</v>
      </c>
      <c r="C1690">
        <v>34</v>
      </c>
      <c r="D1690" s="105">
        <v>45373.610386655091</v>
      </c>
      <c r="E1690" t="s">
        <v>312</v>
      </c>
      <c r="F1690" t="s">
        <v>1402</v>
      </c>
      <c r="G1690">
        <v>0</v>
      </c>
      <c r="H1690" t="s">
        <v>315</v>
      </c>
      <c r="I1690">
        <v>0</v>
      </c>
      <c r="J1690">
        <v>0</v>
      </c>
      <c r="K1690">
        <v>0</v>
      </c>
      <c r="L1690" t="s">
        <v>241</v>
      </c>
      <c r="M1690" t="s">
        <v>101</v>
      </c>
      <c r="N1690">
        <v>0</v>
      </c>
      <c r="O1690" t="s">
        <v>1395</v>
      </c>
      <c r="P1690" t="s">
        <v>310</v>
      </c>
      <c r="Q1690" t="s">
        <v>310</v>
      </c>
      <c r="R1690" t="s">
        <v>310</v>
      </c>
      <c r="S1690">
        <v>9</v>
      </c>
      <c r="T1690" t="s">
        <v>310</v>
      </c>
      <c r="U1690">
        <v>9</v>
      </c>
      <c r="V1690">
        <v>9</v>
      </c>
      <c r="W1690">
        <v>0</v>
      </c>
      <c r="X1690">
        <v>0</v>
      </c>
      <c r="Y1690">
        <v>0</v>
      </c>
      <c r="Z1690">
        <v>0</v>
      </c>
      <c r="AA1690">
        <v>9</v>
      </c>
      <c r="AB1690">
        <v>9</v>
      </c>
      <c r="AC1690" t="s">
        <v>310</v>
      </c>
      <c r="AD1690">
        <v>9</v>
      </c>
      <c r="AE1690" t="s">
        <v>1396</v>
      </c>
      <c r="AF1690">
        <v>30000000</v>
      </c>
      <c r="AG1690" t="s">
        <v>310</v>
      </c>
      <c r="AH1690">
        <f>SUM((MID(Dyno_Data[[#This Row],[Team]],4,5))+(Dyno_Data[[#This Row],[Match]]/100))</f>
        <v>5993.34</v>
      </c>
      <c r="AI1690" s="76">
        <f>ROUND(SUM(IF(Dyno_Data[[#This Row],[AcqCenter]]&gt;0,Dyno_Data[[#This Row],[Time]]-SUMIFS(Dyno_Data[Time],Dyno_Data[Team],Dyno_Data[[#This Row],[Team]],Dyno_Data[RecordType],"StartMatch",Dyno_Data[Match],Dyno_Data[[#This Row],[Match]]),0)*86400),0)</f>
        <v>0</v>
      </c>
    </row>
    <row r="1691" spans="1:35" x14ac:dyDescent="0.3">
      <c r="A1691">
        <v>1690</v>
      </c>
      <c r="B1691" t="s">
        <v>1312</v>
      </c>
      <c r="C1691">
        <v>34</v>
      </c>
      <c r="D1691" s="105">
        <v>45373.6104303588</v>
      </c>
      <c r="E1691" t="s">
        <v>312</v>
      </c>
      <c r="F1691" t="s">
        <v>1402</v>
      </c>
      <c r="G1691">
        <v>0</v>
      </c>
      <c r="H1691" t="s">
        <v>315</v>
      </c>
      <c r="I1691">
        <v>0</v>
      </c>
      <c r="J1691">
        <v>0</v>
      </c>
      <c r="K1691">
        <v>0</v>
      </c>
      <c r="L1691" t="s">
        <v>241</v>
      </c>
      <c r="M1691" t="s">
        <v>1398</v>
      </c>
      <c r="N1691">
        <v>0</v>
      </c>
      <c r="O1691" t="s">
        <v>1393</v>
      </c>
      <c r="P1691" t="s">
        <v>310</v>
      </c>
      <c r="Q1691" t="s">
        <v>310</v>
      </c>
      <c r="R1691" t="s">
        <v>310</v>
      </c>
      <c r="S1691">
        <v>9</v>
      </c>
      <c r="T1691" t="s">
        <v>310</v>
      </c>
      <c r="U1691">
        <v>9</v>
      </c>
      <c r="V1691">
        <v>9</v>
      </c>
      <c r="W1691">
        <v>0</v>
      </c>
      <c r="X1691">
        <v>0</v>
      </c>
      <c r="Y1691">
        <v>0</v>
      </c>
      <c r="Z1691">
        <v>0</v>
      </c>
      <c r="AA1691">
        <v>9</v>
      </c>
      <c r="AB1691">
        <v>9</v>
      </c>
      <c r="AC1691" t="s">
        <v>310</v>
      </c>
      <c r="AD1691">
        <v>9</v>
      </c>
      <c r="AE1691" t="s">
        <v>1394</v>
      </c>
      <c r="AF1691">
        <v>40000000</v>
      </c>
      <c r="AG1691" t="s">
        <v>310</v>
      </c>
      <c r="AH1691">
        <f>SUM((MID(Dyno_Data[[#This Row],[Team]],4,5))+(Dyno_Data[[#This Row],[Match]]/100))</f>
        <v>2053.34</v>
      </c>
      <c r="AI1691" s="76">
        <f>ROUND(SUM(IF(Dyno_Data[[#This Row],[AcqCenter]]&gt;0,Dyno_Data[[#This Row],[Time]]-SUMIFS(Dyno_Data[Time],Dyno_Data[Team],Dyno_Data[[#This Row],[Team]],Dyno_Data[RecordType],"StartMatch",Dyno_Data[Match],Dyno_Data[[#This Row],[Match]]),0)*86400),0)</f>
        <v>0</v>
      </c>
    </row>
    <row r="1692" spans="1:35" x14ac:dyDescent="0.3">
      <c r="A1692">
        <v>1691</v>
      </c>
      <c r="B1692" t="s">
        <v>1314</v>
      </c>
      <c r="C1692">
        <v>34</v>
      </c>
      <c r="D1692" s="105">
        <v>45373.610433946757</v>
      </c>
      <c r="E1692" t="s">
        <v>312</v>
      </c>
      <c r="F1692" t="s">
        <v>1402</v>
      </c>
      <c r="G1692">
        <v>0</v>
      </c>
      <c r="H1692" t="s">
        <v>315</v>
      </c>
      <c r="I1692">
        <v>0</v>
      </c>
      <c r="J1692">
        <v>0</v>
      </c>
      <c r="K1692">
        <v>0</v>
      </c>
      <c r="L1692" t="s">
        <v>240</v>
      </c>
      <c r="M1692" t="s">
        <v>1398</v>
      </c>
      <c r="N1692">
        <v>0</v>
      </c>
      <c r="O1692" t="s">
        <v>311</v>
      </c>
      <c r="P1692" t="s">
        <v>310</v>
      </c>
      <c r="Q1692" t="s">
        <v>310</v>
      </c>
      <c r="R1692" t="s">
        <v>310</v>
      </c>
      <c r="S1692">
        <v>9</v>
      </c>
      <c r="T1692" t="s">
        <v>310</v>
      </c>
      <c r="U1692">
        <v>9</v>
      </c>
      <c r="V1692">
        <v>9</v>
      </c>
      <c r="W1692">
        <v>0</v>
      </c>
      <c r="X1692">
        <v>0</v>
      </c>
      <c r="Y1692">
        <v>0</v>
      </c>
      <c r="Z1692">
        <v>0</v>
      </c>
      <c r="AA1692">
        <v>9</v>
      </c>
      <c r="AB1692">
        <v>9</v>
      </c>
      <c r="AC1692" t="s">
        <v>310</v>
      </c>
      <c r="AD1692">
        <v>9</v>
      </c>
      <c r="AE1692" t="s">
        <v>1392</v>
      </c>
      <c r="AF1692">
        <v>100000000</v>
      </c>
      <c r="AG1692" t="s">
        <v>310</v>
      </c>
      <c r="AH1692">
        <f>SUM((MID(Dyno_Data[[#This Row],[Team]],4,5))+(Dyno_Data[[#This Row],[Match]]/100))</f>
        <v>3419.34</v>
      </c>
      <c r="AI1692" s="76">
        <f>ROUND(SUM(IF(Dyno_Data[[#This Row],[AcqCenter]]&gt;0,Dyno_Data[[#This Row],[Time]]-SUMIFS(Dyno_Data[Time],Dyno_Data[Team],Dyno_Data[[#This Row],[Team]],Dyno_Data[RecordType],"StartMatch",Dyno_Data[Match],Dyno_Data[[#This Row],[Match]]),0)*86400),0)</f>
        <v>0</v>
      </c>
    </row>
    <row r="1693" spans="1:35" x14ac:dyDescent="0.3">
      <c r="A1693">
        <v>1692</v>
      </c>
      <c r="B1693" t="s">
        <v>1312</v>
      </c>
      <c r="C1693">
        <v>34</v>
      </c>
      <c r="D1693" s="105">
        <v>45373.61068784722</v>
      </c>
      <c r="E1693" t="s">
        <v>312</v>
      </c>
      <c r="F1693" t="s">
        <v>1402</v>
      </c>
      <c r="G1693">
        <v>0</v>
      </c>
      <c r="H1693" t="s">
        <v>315</v>
      </c>
      <c r="I1693">
        <v>0</v>
      </c>
      <c r="J1693">
        <v>0</v>
      </c>
      <c r="K1693">
        <v>0</v>
      </c>
      <c r="L1693" t="s">
        <v>241</v>
      </c>
      <c r="M1693" t="s">
        <v>101</v>
      </c>
      <c r="N1693">
        <v>0</v>
      </c>
      <c r="O1693" t="s">
        <v>1393</v>
      </c>
      <c r="P1693" t="s">
        <v>310</v>
      </c>
      <c r="Q1693" t="s">
        <v>310</v>
      </c>
      <c r="R1693" t="s">
        <v>310</v>
      </c>
      <c r="S1693">
        <v>9</v>
      </c>
      <c r="T1693" t="s">
        <v>310</v>
      </c>
      <c r="U1693">
        <v>9</v>
      </c>
      <c r="V1693">
        <v>9</v>
      </c>
      <c r="W1693">
        <v>0</v>
      </c>
      <c r="X1693">
        <v>0</v>
      </c>
      <c r="Y1693">
        <v>0</v>
      </c>
      <c r="Z1693">
        <v>0</v>
      </c>
      <c r="AA1693">
        <v>9</v>
      </c>
      <c r="AB1693">
        <v>9</v>
      </c>
      <c r="AC1693" t="s">
        <v>310</v>
      </c>
      <c r="AD1693">
        <v>9</v>
      </c>
      <c r="AE1693" t="s">
        <v>1394</v>
      </c>
      <c r="AF1693">
        <v>50000000</v>
      </c>
      <c r="AG1693" t="s">
        <v>310</v>
      </c>
      <c r="AH1693">
        <f>SUM((MID(Dyno_Data[[#This Row],[Team]],4,5))+(Dyno_Data[[#This Row],[Match]]/100))</f>
        <v>2053.34</v>
      </c>
      <c r="AI1693" s="76">
        <f>ROUND(SUM(IF(Dyno_Data[[#This Row],[AcqCenter]]&gt;0,Dyno_Data[[#This Row],[Time]]-SUMIFS(Dyno_Data[Time],Dyno_Data[Team],Dyno_Data[[#This Row],[Team]],Dyno_Data[RecordType],"StartMatch",Dyno_Data[Match],Dyno_Data[[#This Row],[Match]]),0)*86400),0)</f>
        <v>0</v>
      </c>
    </row>
    <row r="1694" spans="1:35" x14ac:dyDescent="0.3">
      <c r="A1694">
        <v>1693</v>
      </c>
      <c r="B1694" t="s">
        <v>1314</v>
      </c>
      <c r="C1694">
        <v>34</v>
      </c>
      <c r="D1694" s="105">
        <v>45373.610831863429</v>
      </c>
      <c r="E1694" t="s">
        <v>1403</v>
      </c>
      <c r="F1694" t="s">
        <v>1402</v>
      </c>
      <c r="G1694">
        <v>0</v>
      </c>
      <c r="H1694" t="s">
        <v>310</v>
      </c>
      <c r="I1694">
        <v>0</v>
      </c>
      <c r="J1694">
        <v>0</v>
      </c>
      <c r="K1694">
        <v>0</v>
      </c>
      <c r="L1694" t="s">
        <v>310</v>
      </c>
      <c r="M1694" t="s">
        <v>310</v>
      </c>
      <c r="N1694">
        <v>0</v>
      </c>
      <c r="O1694" t="s">
        <v>311</v>
      </c>
      <c r="P1694" t="s">
        <v>310</v>
      </c>
      <c r="Q1694" t="s">
        <v>310</v>
      </c>
      <c r="R1694" t="s">
        <v>310</v>
      </c>
      <c r="S1694">
        <v>9</v>
      </c>
      <c r="T1694" t="s">
        <v>310</v>
      </c>
      <c r="U1694">
        <v>9</v>
      </c>
      <c r="V1694">
        <v>9</v>
      </c>
      <c r="W1694">
        <v>0</v>
      </c>
      <c r="X1694">
        <v>0</v>
      </c>
      <c r="Y1694">
        <v>0</v>
      </c>
      <c r="Z1694">
        <v>0</v>
      </c>
      <c r="AA1694">
        <v>9</v>
      </c>
      <c r="AB1694">
        <v>9</v>
      </c>
      <c r="AC1694" t="s">
        <v>310</v>
      </c>
      <c r="AD1694">
        <v>9</v>
      </c>
      <c r="AE1694" t="s">
        <v>1392</v>
      </c>
      <c r="AF1694">
        <v>50000000</v>
      </c>
      <c r="AG1694" t="s">
        <v>249</v>
      </c>
      <c r="AH1694">
        <f>SUM((MID(Dyno_Data[[#This Row],[Team]],4,5))+(Dyno_Data[[#This Row],[Match]]/100))</f>
        <v>3419.34</v>
      </c>
      <c r="AI1694" s="76">
        <f>ROUND(SUM(IF(Dyno_Data[[#This Row],[AcqCenter]]&gt;0,Dyno_Data[[#This Row],[Time]]-SUMIFS(Dyno_Data[Time],Dyno_Data[Team],Dyno_Data[[#This Row],[Team]],Dyno_Data[RecordType],"StartMatch",Dyno_Data[Match],Dyno_Data[[#This Row],[Match]]),0)*86400),0)</f>
        <v>0</v>
      </c>
    </row>
    <row r="1695" spans="1:35" x14ac:dyDescent="0.3">
      <c r="A1695">
        <v>1694</v>
      </c>
      <c r="B1695" t="s">
        <v>1301</v>
      </c>
      <c r="C1695">
        <v>34</v>
      </c>
      <c r="D1695" s="105">
        <v>45373.610855590276</v>
      </c>
      <c r="E1695" t="s">
        <v>1403</v>
      </c>
      <c r="F1695" t="s">
        <v>1402</v>
      </c>
      <c r="G1695">
        <v>0</v>
      </c>
      <c r="H1695" t="s">
        <v>310</v>
      </c>
      <c r="I1695">
        <v>0</v>
      </c>
      <c r="J1695">
        <v>0</v>
      </c>
      <c r="K1695">
        <v>0</v>
      </c>
      <c r="L1695" t="s">
        <v>310</v>
      </c>
      <c r="M1695" t="s">
        <v>310</v>
      </c>
      <c r="N1695">
        <v>0</v>
      </c>
      <c r="O1695" t="s">
        <v>1389</v>
      </c>
      <c r="P1695" t="s">
        <v>310</v>
      </c>
      <c r="Q1695" t="s">
        <v>310</v>
      </c>
      <c r="R1695" t="s">
        <v>310</v>
      </c>
      <c r="S1695">
        <v>9</v>
      </c>
      <c r="T1695" t="s">
        <v>310</v>
      </c>
      <c r="U1695">
        <v>9</v>
      </c>
      <c r="V1695">
        <v>9</v>
      </c>
      <c r="W1695">
        <v>0</v>
      </c>
      <c r="X1695">
        <v>0</v>
      </c>
      <c r="Y1695">
        <v>0</v>
      </c>
      <c r="Z1695">
        <v>0</v>
      </c>
      <c r="AA1695">
        <v>9</v>
      </c>
      <c r="AB1695">
        <v>9</v>
      </c>
      <c r="AC1695" t="s">
        <v>310</v>
      </c>
      <c r="AD1695">
        <v>9</v>
      </c>
      <c r="AE1695" t="s">
        <v>1388</v>
      </c>
      <c r="AF1695">
        <v>50000000</v>
      </c>
      <c r="AG1695" t="s">
        <v>249</v>
      </c>
      <c r="AH1695">
        <f>SUM((MID(Dyno_Data[[#This Row],[Team]],4,5))+(Dyno_Data[[#This Row],[Match]]/100))</f>
        <v>7031.34</v>
      </c>
      <c r="AI1695" s="76">
        <f>ROUND(SUM(IF(Dyno_Data[[#This Row],[AcqCenter]]&gt;0,Dyno_Data[[#This Row],[Time]]-SUMIFS(Dyno_Data[Time],Dyno_Data[Team],Dyno_Data[[#This Row],[Team]],Dyno_Data[RecordType],"StartMatch",Dyno_Data[Match],Dyno_Data[[#This Row],[Match]]),0)*86400),0)</f>
        <v>0</v>
      </c>
    </row>
    <row r="1696" spans="1:35" x14ac:dyDescent="0.3">
      <c r="A1696">
        <v>1695</v>
      </c>
      <c r="B1696" t="s">
        <v>1312</v>
      </c>
      <c r="C1696">
        <v>34</v>
      </c>
      <c r="D1696" s="105">
        <v>45373.610867210649</v>
      </c>
      <c r="E1696" t="s">
        <v>312</v>
      </c>
      <c r="F1696" t="s">
        <v>1402</v>
      </c>
      <c r="G1696">
        <v>0</v>
      </c>
      <c r="H1696" t="s">
        <v>315</v>
      </c>
      <c r="I1696">
        <v>0</v>
      </c>
      <c r="J1696">
        <v>0</v>
      </c>
      <c r="K1696">
        <v>0</v>
      </c>
      <c r="L1696" t="s">
        <v>241</v>
      </c>
      <c r="M1696" t="s">
        <v>101</v>
      </c>
      <c r="N1696">
        <v>0</v>
      </c>
      <c r="O1696" t="s">
        <v>1393</v>
      </c>
      <c r="P1696" t="s">
        <v>310</v>
      </c>
      <c r="Q1696" t="s">
        <v>310</v>
      </c>
      <c r="R1696" t="s">
        <v>310</v>
      </c>
      <c r="S1696">
        <v>9</v>
      </c>
      <c r="T1696" t="s">
        <v>310</v>
      </c>
      <c r="U1696">
        <v>9</v>
      </c>
      <c r="V1696">
        <v>9</v>
      </c>
      <c r="W1696">
        <v>0</v>
      </c>
      <c r="X1696">
        <v>0</v>
      </c>
      <c r="Y1696">
        <v>0</v>
      </c>
      <c r="Z1696">
        <v>0</v>
      </c>
      <c r="AA1696">
        <v>9</v>
      </c>
      <c r="AB1696">
        <v>9</v>
      </c>
      <c r="AC1696" t="s">
        <v>310</v>
      </c>
      <c r="AD1696">
        <v>9</v>
      </c>
      <c r="AE1696" t="s">
        <v>1394</v>
      </c>
      <c r="AF1696">
        <v>60000000</v>
      </c>
      <c r="AG1696" t="s">
        <v>310</v>
      </c>
      <c r="AH1696">
        <f>SUM((MID(Dyno_Data[[#This Row],[Team]],4,5))+(Dyno_Data[[#This Row],[Match]]/100))</f>
        <v>2053.34</v>
      </c>
      <c r="AI1696" s="76">
        <f>ROUND(SUM(IF(Dyno_Data[[#This Row],[AcqCenter]]&gt;0,Dyno_Data[[#This Row],[Time]]-SUMIFS(Dyno_Data[Time],Dyno_Data[Team],Dyno_Data[[#This Row],[Team]],Dyno_Data[RecordType],"StartMatch",Dyno_Data[Match],Dyno_Data[[#This Row],[Match]]),0)*86400),0)</f>
        <v>0</v>
      </c>
    </row>
    <row r="1697" spans="1:35" x14ac:dyDescent="0.3">
      <c r="A1697">
        <v>1696</v>
      </c>
      <c r="B1697" t="s">
        <v>1312</v>
      </c>
      <c r="C1697">
        <v>34</v>
      </c>
      <c r="D1697" s="105">
        <v>45373.611171377313</v>
      </c>
      <c r="E1697" t="s">
        <v>312</v>
      </c>
      <c r="F1697" t="s">
        <v>1402</v>
      </c>
      <c r="G1697">
        <v>0</v>
      </c>
      <c r="H1697" t="s">
        <v>315</v>
      </c>
      <c r="I1697">
        <v>0</v>
      </c>
      <c r="J1697">
        <v>0</v>
      </c>
      <c r="K1697">
        <v>0</v>
      </c>
      <c r="L1697" t="s">
        <v>241</v>
      </c>
      <c r="M1697" t="s">
        <v>1398</v>
      </c>
      <c r="N1697">
        <v>0</v>
      </c>
      <c r="O1697" t="s">
        <v>1393</v>
      </c>
      <c r="P1697" t="s">
        <v>310</v>
      </c>
      <c r="Q1697" t="s">
        <v>310</v>
      </c>
      <c r="R1697" t="s">
        <v>310</v>
      </c>
      <c r="S1697">
        <v>9</v>
      </c>
      <c r="T1697" t="s">
        <v>310</v>
      </c>
      <c r="U1697">
        <v>9</v>
      </c>
      <c r="V1697">
        <v>9</v>
      </c>
      <c r="W1697">
        <v>0</v>
      </c>
      <c r="X1697">
        <v>0</v>
      </c>
      <c r="Y1697">
        <v>0</v>
      </c>
      <c r="Z1697">
        <v>0</v>
      </c>
      <c r="AA1697">
        <v>9</v>
      </c>
      <c r="AB1697">
        <v>9</v>
      </c>
      <c r="AC1697" t="s">
        <v>310</v>
      </c>
      <c r="AD1697">
        <v>9</v>
      </c>
      <c r="AE1697" t="s">
        <v>1394</v>
      </c>
      <c r="AF1697">
        <v>70000000</v>
      </c>
      <c r="AG1697" t="s">
        <v>310</v>
      </c>
      <c r="AH1697">
        <f>SUM((MID(Dyno_Data[[#This Row],[Team]],4,5))+(Dyno_Data[[#This Row],[Match]]/100))</f>
        <v>2053.34</v>
      </c>
      <c r="AI1697" s="76">
        <f>ROUND(SUM(IF(Dyno_Data[[#This Row],[AcqCenter]]&gt;0,Dyno_Data[[#This Row],[Time]]-SUMIFS(Dyno_Data[Time],Dyno_Data[Team],Dyno_Data[[#This Row],[Team]],Dyno_Data[RecordType],"StartMatch",Dyno_Data[Match],Dyno_Data[[#This Row],[Match]]),0)*86400),0)</f>
        <v>0</v>
      </c>
    </row>
    <row r="1698" spans="1:35" x14ac:dyDescent="0.3">
      <c r="A1698">
        <v>1697</v>
      </c>
      <c r="B1698" t="s">
        <v>1312</v>
      </c>
      <c r="C1698">
        <v>34</v>
      </c>
      <c r="D1698" s="105">
        <v>45373.611546446758</v>
      </c>
      <c r="E1698" t="s">
        <v>1403</v>
      </c>
      <c r="F1698" t="s">
        <v>317</v>
      </c>
      <c r="G1698">
        <v>0</v>
      </c>
      <c r="H1698" t="s">
        <v>310</v>
      </c>
      <c r="I1698">
        <v>0</v>
      </c>
      <c r="J1698">
        <v>0</v>
      </c>
      <c r="K1698">
        <v>0</v>
      </c>
      <c r="L1698" t="s">
        <v>310</v>
      </c>
      <c r="M1698" t="s">
        <v>310</v>
      </c>
      <c r="N1698">
        <v>0</v>
      </c>
      <c r="O1698" t="s">
        <v>1393</v>
      </c>
      <c r="P1698" t="s">
        <v>310</v>
      </c>
      <c r="Q1698" t="s">
        <v>310</v>
      </c>
      <c r="R1698" t="s">
        <v>310</v>
      </c>
      <c r="S1698">
        <v>9</v>
      </c>
      <c r="T1698" t="s">
        <v>310</v>
      </c>
      <c r="U1698">
        <v>9</v>
      </c>
      <c r="V1698">
        <v>9</v>
      </c>
      <c r="W1698">
        <v>0</v>
      </c>
      <c r="X1698">
        <v>0</v>
      </c>
      <c r="Y1698">
        <v>0</v>
      </c>
      <c r="Z1698">
        <v>0</v>
      </c>
      <c r="AA1698">
        <v>9</v>
      </c>
      <c r="AB1698">
        <v>9</v>
      </c>
      <c r="AC1698" t="s">
        <v>310</v>
      </c>
      <c r="AD1698">
        <v>9</v>
      </c>
      <c r="AE1698" t="s">
        <v>1394</v>
      </c>
      <c r="AF1698">
        <v>70000000</v>
      </c>
      <c r="AG1698" t="s">
        <v>253</v>
      </c>
      <c r="AH1698">
        <f>SUM((MID(Dyno_Data[[#This Row],[Team]],4,5))+(Dyno_Data[[#This Row],[Match]]/100))</f>
        <v>2053.34</v>
      </c>
      <c r="AI1698" s="76">
        <f>ROUND(SUM(IF(Dyno_Data[[#This Row],[AcqCenter]]&gt;0,Dyno_Data[[#This Row],[Time]]-SUMIFS(Dyno_Data[Time],Dyno_Data[Team],Dyno_Data[[#This Row],[Team]],Dyno_Data[RecordType],"StartMatch",Dyno_Data[Match],Dyno_Data[[#This Row],[Match]]),0)*86400),0)</f>
        <v>0</v>
      </c>
    </row>
    <row r="1699" spans="1:35" x14ac:dyDescent="0.3">
      <c r="A1699">
        <v>1698</v>
      </c>
      <c r="B1699" t="s">
        <v>1314</v>
      </c>
      <c r="C1699">
        <v>34</v>
      </c>
      <c r="D1699" s="105">
        <v>45373.61186863426</v>
      </c>
      <c r="E1699" t="s">
        <v>316</v>
      </c>
      <c r="F1699" t="s">
        <v>317</v>
      </c>
      <c r="G1699">
        <v>1</v>
      </c>
      <c r="H1699" t="s">
        <v>310</v>
      </c>
      <c r="I1699">
        <v>0</v>
      </c>
      <c r="J1699">
        <v>0</v>
      </c>
      <c r="K1699">
        <v>0</v>
      </c>
      <c r="L1699" t="s">
        <v>310</v>
      </c>
      <c r="M1699" t="s">
        <v>310</v>
      </c>
      <c r="N1699">
        <v>0</v>
      </c>
      <c r="O1699" t="s">
        <v>311</v>
      </c>
      <c r="P1699" t="s">
        <v>1401</v>
      </c>
      <c r="Q1699" t="s">
        <v>1400</v>
      </c>
      <c r="R1699" t="s">
        <v>321</v>
      </c>
      <c r="S1699">
        <v>0</v>
      </c>
      <c r="T1699" t="s">
        <v>105</v>
      </c>
      <c r="U1699">
        <v>9</v>
      </c>
      <c r="V1699">
        <v>9</v>
      </c>
      <c r="W1699">
        <v>0</v>
      </c>
      <c r="X1699">
        <v>7.4042538999999996</v>
      </c>
      <c r="Y1699">
        <v>9.900751099999999</v>
      </c>
      <c r="Z1699">
        <v>117.6475523</v>
      </c>
      <c r="AA1699">
        <v>0</v>
      </c>
      <c r="AB1699">
        <v>0</v>
      </c>
      <c r="AC1699" t="s">
        <v>173</v>
      </c>
      <c r="AD1699">
        <v>9</v>
      </c>
      <c r="AE1699" t="s">
        <v>1392</v>
      </c>
      <c r="AF1699">
        <v>100000000</v>
      </c>
      <c r="AG1699" t="s">
        <v>310</v>
      </c>
      <c r="AH1699">
        <f>SUM((MID(Dyno_Data[[#This Row],[Team]],4,5))+(Dyno_Data[[#This Row],[Match]]/100))</f>
        <v>3419.34</v>
      </c>
      <c r="AI1699" s="76">
        <f>ROUND(SUM(IF(Dyno_Data[[#This Row],[AcqCenter]]&gt;0,Dyno_Data[[#This Row],[Time]]-SUMIFS(Dyno_Data[Time],Dyno_Data[Team],Dyno_Data[[#This Row],[Team]],Dyno_Data[RecordType],"StartMatch",Dyno_Data[Match],Dyno_Data[[#This Row],[Match]]),0)*86400),0)</f>
        <v>0</v>
      </c>
    </row>
    <row r="1700" spans="1:35" x14ac:dyDescent="0.3">
      <c r="A1700">
        <v>1699</v>
      </c>
      <c r="B1700" t="s">
        <v>1292</v>
      </c>
      <c r="C1700">
        <v>34</v>
      </c>
      <c r="D1700" s="105">
        <v>45373.611868981483</v>
      </c>
      <c r="E1700" t="s">
        <v>316</v>
      </c>
      <c r="F1700" t="s">
        <v>317</v>
      </c>
      <c r="G1700">
        <v>0</v>
      </c>
      <c r="H1700" t="s">
        <v>310</v>
      </c>
      <c r="I1700">
        <v>0</v>
      </c>
      <c r="J1700">
        <v>0</v>
      </c>
      <c r="K1700">
        <v>0</v>
      </c>
      <c r="L1700" t="s">
        <v>310</v>
      </c>
      <c r="M1700" t="s">
        <v>310</v>
      </c>
      <c r="N1700">
        <v>0</v>
      </c>
      <c r="O1700" t="s">
        <v>1391</v>
      </c>
      <c r="P1700" t="s">
        <v>101</v>
      </c>
      <c r="Q1700" t="s">
        <v>1400</v>
      </c>
      <c r="R1700" t="s">
        <v>1404</v>
      </c>
      <c r="S1700">
        <v>0</v>
      </c>
      <c r="T1700" t="s">
        <v>105</v>
      </c>
      <c r="U1700">
        <v>9</v>
      </c>
      <c r="V1700">
        <v>9</v>
      </c>
      <c r="W1700">
        <v>0</v>
      </c>
      <c r="X1700">
        <v>0</v>
      </c>
      <c r="Y1700">
        <v>56.803789399999999</v>
      </c>
      <c r="Z1700">
        <v>80.767469599999998</v>
      </c>
      <c r="AA1700">
        <v>2</v>
      </c>
      <c r="AB1700">
        <v>0</v>
      </c>
      <c r="AC1700" t="s">
        <v>1408</v>
      </c>
      <c r="AD1700">
        <v>9</v>
      </c>
      <c r="AE1700" t="s">
        <v>1390</v>
      </c>
      <c r="AF1700">
        <v>0</v>
      </c>
      <c r="AG1700" t="s">
        <v>310</v>
      </c>
      <c r="AH1700">
        <f>SUM((MID(Dyno_Data[[#This Row],[Team]],4,5))+(Dyno_Data[[#This Row],[Match]]/100))</f>
        <v>7030.34</v>
      </c>
      <c r="AI1700" s="76">
        <f>ROUND(SUM(IF(Dyno_Data[[#This Row],[AcqCenter]]&gt;0,Dyno_Data[[#This Row],[Time]]-SUMIFS(Dyno_Data[Time],Dyno_Data[Team],Dyno_Data[[#This Row],[Team]],Dyno_Data[RecordType],"StartMatch",Dyno_Data[Match],Dyno_Data[[#This Row],[Match]]),0)*86400),0)</f>
        <v>0</v>
      </c>
    </row>
    <row r="1701" spans="1:35" x14ac:dyDescent="0.3">
      <c r="A1701">
        <v>1700</v>
      </c>
      <c r="B1701" t="s">
        <v>1276</v>
      </c>
      <c r="C1701">
        <v>34</v>
      </c>
      <c r="D1701" s="105">
        <v>45373.611869178239</v>
      </c>
      <c r="E1701" t="s">
        <v>316</v>
      </c>
      <c r="F1701" t="s">
        <v>317</v>
      </c>
      <c r="G1701">
        <v>1</v>
      </c>
      <c r="H1701" t="s">
        <v>310</v>
      </c>
      <c r="I1701">
        <v>0</v>
      </c>
      <c r="J1701">
        <v>0</v>
      </c>
      <c r="K1701">
        <v>0</v>
      </c>
      <c r="L1701" t="s">
        <v>310</v>
      </c>
      <c r="M1701" t="s">
        <v>310</v>
      </c>
      <c r="N1701">
        <v>0</v>
      </c>
      <c r="O1701" t="s">
        <v>319</v>
      </c>
      <c r="P1701" t="s">
        <v>320</v>
      </c>
      <c r="Q1701" t="s">
        <v>1399</v>
      </c>
      <c r="R1701" t="s">
        <v>1404</v>
      </c>
      <c r="S1701">
        <v>0</v>
      </c>
      <c r="T1701" t="s">
        <v>105</v>
      </c>
      <c r="U1701">
        <v>9</v>
      </c>
      <c r="V1701">
        <v>9</v>
      </c>
      <c r="W1701">
        <v>0</v>
      </c>
      <c r="X1701">
        <v>28.737153499999998</v>
      </c>
      <c r="Y1701">
        <v>94.723269899999991</v>
      </c>
      <c r="Z1701">
        <v>11.679309399999999</v>
      </c>
      <c r="AA1701">
        <v>3</v>
      </c>
      <c r="AB1701">
        <v>0</v>
      </c>
      <c r="AC1701" t="s">
        <v>170</v>
      </c>
      <c r="AD1701">
        <v>0</v>
      </c>
      <c r="AE1701" t="s">
        <v>1387</v>
      </c>
      <c r="AF1701">
        <v>0</v>
      </c>
      <c r="AG1701" t="s">
        <v>310</v>
      </c>
      <c r="AH1701">
        <f>SUM((MID(Dyno_Data[[#This Row],[Team]],4,5))+(Dyno_Data[[#This Row],[Match]]/100))</f>
        <v>229.34</v>
      </c>
      <c r="AI1701" s="76">
        <f>ROUND(SUM(IF(Dyno_Data[[#This Row],[AcqCenter]]&gt;0,Dyno_Data[[#This Row],[Time]]-SUMIFS(Dyno_Data[Time],Dyno_Data[Team],Dyno_Data[[#This Row],[Team]],Dyno_Data[RecordType],"StartMatch",Dyno_Data[Match],Dyno_Data[[#This Row],[Match]]),0)*86400),0)</f>
        <v>0</v>
      </c>
    </row>
    <row r="1702" spans="1:35" x14ac:dyDescent="0.3">
      <c r="A1702">
        <v>1701</v>
      </c>
      <c r="B1702" t="s">
        <v>1312</v>
      </c>
      <c r="C1702">
        <v>34</v>
      </c>
      <c r="D1702" s="105">
        <v>45373.611869293978</v>
      </c>
      <c r="E1702" t="s">
        <v>316</v>
      </c>
      <c r="F1702" t="s">
        <v>317</v>
      </c>
      <c r="G1702">
        <v>1</v>
      </c>
      <c r="H1702" t="s">
        <v>310</v>
      </c>
      <c r="I1702">
        <v>0</v>
      </c>
      <c r="J1702">
        <v>0</v>
      </c>
      <c r="K1702">
        <v>0</v>
      </c>
      <c r="L1702" t="s">
        <v>310</v>
      </c>
      <c r="M1702" t="s">
        <v>310</v>
      </c>
      <c r="N1702">
        <v>0</v>
      </c>
      <c r="O1702" t="s">
        <v>1393</v>
      </c>
      <c r="P1702" t="s">
        <v>240</v>
      </c>
      <c r="Q1702" t="s">
        <v>1399</v>
      </c>
      <c r="R1702" t="s">
        <v>1404</v>
      </c>
      <c r="S1702">
        <v>-1</v>
      </c>
      <c r="T1702" t="s">
        <v>105</v>
      </c>
      <c r="U1702">
        <v>9</v>
      </c>
      <c r="V1702">
        <v>9</v>
      </c>
      <c r="W1702">
        <v>0.37608059999999999</v>
      </c>
      <c r="X1702">
        <v>30.750961</v>
      </c>
      <c r="Y1702">
        <v>27.075415</v>
      </c>
      <c r="Z1702">
        <v>77.059992999999992</v>
      </c>
      <c r="AA1702">
        <v>0</v>
      </c>
      <c r="AB1702">
        <v>0</v>
      </c>
      <c r="AC1702" t="s">
        <v>174</v>
      </c>
      <c r="AD1702">
        <v>0</v>
      </c>
      <c r="AE1702" t="s">
        <v>1394</v>
      </c>
      <c r="AF1702">
        <v>70000000</v>
      </c>
      <c r="AG1702" t="s">
        <v>310</v>
      </c>
      <c r="AH1702">
        <f>SUM((MID(Dyno_Data[[#This Row],[Team]],4,5))+(Dyno_Data[[#This Row],[Match]]/100))</f>
        <v>2053.34</v>
      </c>
      <c r="AI1702" s="76">
        <f>ROUND(SUM(IF(Dyno_Data[[#This Row],[AcqCenter]]&gt;0,Dyno_Data[[#This Row],[Time]]-SUMIFS(Dyno_Data[Time],Dyno_Data[Team],Dyno_Data[[#This Row],[Team]],Dyno_Data[RecordType],"StartMatch",Dyno_Data[Match],Dyno_Data[[#This Row],[Match]]),0)*86400),0)</f>
        <v>0</v>
      </c>
    </row>
    <row r="1703" spans="1:35" x14ac:dyDescent="0.3">
      <c r="A1703">
        <v>1702</v>
      </c>
      <c r="B1703" t="s">
        <v>1301</v>
      </c>
      <c r="C1703">
        <v>34</v>
      </c>
      <c r="D1703" s="105">
        <v>45373.611869363427</v>
      </c>
      <c r="E1703" t="s">
        <v>316</v>
      </c>
      <c r="F1703" t="s">
        <v>317</v>
      </c>
      <c r="G1703">
        <v>0</v>
      </c>
      <c r="H1703" t="s">
        <v>310</v>
      </c>
      <c r="I1703">
        <v>0</v>
      </c>
      <c r="J1703">
        <v>0</v>
      </c>
      <c r="K1703">
        <v>0</v>
      </c>
      <c r="L1703" t="s">
        <v>310</v>
      </c>
      <c r="M1703" t="s">
        <v>310</v>
      </c>
      <c r="N1703">
        <v>0</v>
      </c>
      <c r="O1703" t="s">
        <v>1389</v>
      </c>
      <c r="P1703" t="s">
        <v>1401</v>
      </c>
      <c r="Q1703" t="s">
        <v>1400</v>
      </c>
      <c r="R1703" t="s">
        <v>1404</v>
      </c>
      <c r="S1703">
        <v>0</v>
      </c>
      <c r="T1703" t="s">
        <v>105</v>
      </c>
      <c r="U1703">
        <v>9</v>
      </c>
      <c r="V1703">
        <v>9</v>
      </c>
      <c r="W1703">
        <v>0</v>
      </c>
      <c r="X1703">
        <v>0</v>
      </c>
      <c r="Y1703">
        <v>36.5201128</v>
      </c>
      <c r="Z1703">
        <v>93.245114999999998</v>
      </c>
      <c r="AA1703">
        <v>0</v>
      </c>
      <c r="AB1703">
        <v>0</v>
      </c>
      <c r="AC1703" t="s">
        <v>167</v>
      </c>
      <c r="AD1703">
        <v>9</v>
      </c>
      <c r="AE1703" t="s">
        <v>1388</v>
      </c>
      <c r="AF1703">
        <v>0</v>
      </c>
      <c r="AG1703" t="s">
        <v>310</v>
      </c>
      <c r="AH1703">
        <f>SUM((MID(Dyno_Data[[#This Row],[Team]],4,5))+(Dyno_Data[[#This Row],[Match]]/100))</f>
        <v>7031.34</v>
      </c>
      <c r="AI1703" s="76">
        <f>ROUND(SUM(IF(Dyno_Data[[#This Row],[AcqCenter]]&gt;0,Dyno_Data[[#This Row],[Time]]-SUMIFS(Dyno_Data[Time],Dyno_Data[Team],Dyno_Data[[#This Row],[Team]],Dyno_Data[RecordType],"StartMatch",Dyno_Data[Match],Dyno_Data[[#This Row],[Match]]),0)*86400),0)</f>
        <v>0</v>
      </c>
    </row>
    <row r="1704" spans="1:35" x14ac:dyDescent="0.3">
      <c r="A1704">
        <v>1703</v>
      </c>
      <c r="B1704" t="s">
        <v>1285</v>
      </c>
      <c r="C1704">
        <v>34</v>
      </c>
      <c r="D1704" s="105">
        <v>45373.611869479166</v>
      </c>
      <c r="E1704" t="s">
        <v>316</v>
      </c>
      <c r="F1704" t="s">
        <v>317</v>
      </c>
      <c r="G1704">
        <v>0</v>
      </c>
      <c r="H1704" t="s">
        <v>310</v>
      </c>
      <c r="I1704">
        <v>0</v>
      </c>
      <c r="J1704">
        <v>0</v>
      </c>
      <c r="K1704">
        <v>0</v>
      </c>
      <c r="L1704" t="s">
        <v>310</v>
      </c>
      <c r="M1704" t="s">
        <v>310</v>
      </c>
      <c r="N1704">
        <v>0</v>
      </c>
      <c r="O1704" t="s">
        <v>1395</v>
      </c>
      <c r="P1704" t="s">
        <v>101</v>
      </c>
      <c r="Q1704" t="s">
        <v>1400</v>
      </c>
      <c r="R1704" t="s">
        <v>1405</v>
      </c>
      <c r="S1704">
        <v>1</v>
      </c>
      <c r="T1704" t="s">
        <v>1406</v>
      </c>
      <c r="U1704">
        <v>0</v>
      </c>
      <c r="V1704">
        <v>0</v>
      </c>
      <c r="W1704">
        <v>3.8737578999999998</v>
      </c>
      <c r="X1704">
        <v>2.8041318</v>
      </c>
      <c r="Y1704">
        <v>39.3729345</v>
      </c>
      <c r="Z1704">
        <v>73.986666900000003</v>
      </c>
      <c r="AA1704">
        <v>0</v>
      </c>
      <c r="AB1704">
        <v>0</v>
      </c>
      <c r="AC1704" t="s">
        <v>174</v>
      </c>
      <c r="AD1704">
        <v>9</v>
      </c>
      <c r="AE1704" t="s">
        <v>1396</v>
      </c>
      <c r="AF1704">
        <v>30000000</v>
      </c>
      <c r="AG1704" t="s">
        <v>310</v>
      </c>
      <c r="AH1704">
        <f>SUM((MID(Dyno_Data[[#This Row],[Team]],4,5))+(Dyno_Data[[#This Row],[Match]]/100))</f>
        <v>5993.34</v>
      </c>
      <c r="AI1704" s="76">
        <f>ROUND(SUM(IF(Dyno_Data[[#This Row],[AcqCenter]]&gt;0,Dyno_Data[[#This Row],[Time]]-SUMIFS(Dyno_Data[Time],Dyno_Data[Team],Dyno_Data[[#This Row],[Team]],Dyno_Data[RecordType],"StartMatch",Dyno_Data[Match],Dyno_Data[[#This Row],[Match]]),0)*86400),0)</f>
        <v>0</v>
      </c>
    </row>
    <row r="1705" spans="1:35" x14ac:dyDescent="0.3">
      <c r="A1705">
        <v>1709</v>
      </c>
      <c r="B1705" t="s">
        <v>1317</v>
      </c>
      <c r="C1705">
        <v>35</v>
      </c>
      <c r="D1705" s="105">
        <v>45373.614808483799</v>
      </c>
      <c r="E1705" t="s">
        <v>308</v>
      </c>
      <c r="F1705" t="s">
        <v>309</v>
      </c>
      <c r="G1705">
        <v>0</v>
      </c>
      <c r="H1705" t="s">
        <v>310</v>
      </c>
      <c r="I1705">
        <v>0</v>
      </c>
      <c r="J1705">
        <v>0</v>
      </c>
      <c r="K1705">
        <v>0</v>
      </c>
      <c r="L1705" t="s">
        <v>310</v>
      </c>
      <c r="M1705" t="s">
        <v>310</v>
      </c>
      <c r="N1705">
        <v>0</v>
      </c>
      <c r="O1705" t="s">
        <v>1391</v>
      </c>
      <c r="P1705" t="s">
        <v>310</v>
      </c>
      <c r="Q1705" t="s">
        <v>310</v>
      </c>
      <c r="R1705" t="s">
        <v>310</v>
      </c>
      <c r="S1705">
        <v>9</v>
      </c>
      <c r="T1705" t="s">
        <v>310</v>
      </c>
      <c r="U1705">
        <v>9</v>
      </c>
      <c r="V1705">
        <v>9</v>
      </c>
      <c r="W1705">
        <v>0</v>
      </c>
      <c r="X1705">
        <v>0</v>
      </c>
      <c r="Y1705">
        <v>0</v>
      </c>
      <c r="Z1705">
        <v>0</v>
      </c>
      <c r="AA1705">
        <v>9</v>
      </c>
      <c r="AB1705">
        <v>9</v>
      </c>
      <c r="AC1705" t="s">
        <v>310</v>
      </c>
      <c r="AD1705">
        <v>9</v>
      </c>
      <c r="AE1705" t="s">
        <v>1394</v>
      </c>
      <c r="AF1705">
        <v>10000000</v>
      </c>
      <c r="AG1705" t="s">
        <v>310</v>
      </c>
      <c r="AH1705">
        <f>SUM((MID(Dyno_Data[[#This Row],[Team]],4,5))+(Dyno_Data[[#This Row],[Match]]/100))</f>
        <v>296.35000000000002</v>
      </c>
      <c r="AI1705" s="76">
        <f>ROUND(SUM(IF(Dyno_Data[[#This Row],[AcqCenter]]&gt;0,Dyno_Data[[#This Row],[Time]]-SUMIFS(Dyno_Data[Time],Dyno_Data[Team],Dyno_Data[[#This Row],[Team]],Dyno_Data[RecordType],"StartMatch",Dyno_Data[Match],Dyno_Data[[#This Row],[Match]]),0)*86400),0)</f>
        <v>0</v>
      </c>
    </row>
    <row r="1706" spans="1:35" x14ac:dyDescent="0.3">
      <c r="A1706">
        <v>1711</v>
      </c>
      <c r="B1706" t="s">
        <v>1318</v>
      </c>
      <c r="C1706">
        <v>35</v>
      </c>
      <c r="D1706" s="105">
        <v>45373.614878738423</v>
      </c>
      <c r="E1706" t="s">
        <v>308</v>
      </c>
      <c r="F1706" t="s">
        <v>309</v>
      </c>
      <c r="G1706">
        <v>0</v>
      </c>
      <c r="H1706" t="s">
        <v>310</v>
      </c>
      <c r="I1706">
        <v>0</v>
      </c>
      <c r="J1706">
        <v>0</v>
      </c>
      <c r="K1706">
        <v>0</v>
      </c>
      <c r="L1706" t="s">
        <v>310</v>
      </c>
      <c r="M1706" t="s">
        <v>310</v>
      </c>
      <c r="N1706">
        <v>0</v>
      </c>
      <c r="O1706" t="s">
        <v>1389</v>
      </c>
      <c r="P1706" t="s">
        <v>310</v>
      </c>
      <c r="Q1706" t="s">
        <v>310</v>
      </c>
      <c r="R1706" t="s">
        <v>310</v>
      </c>
      <c r="S1706">
        <v>9</v>
      </c>
      <c r="T1706" t="s">
        <v>310</v>
      </c>
      <c r="U1706">
        <v>9</v>
      </c>
      <c r="V1706">
        <v>9</v>
      </c>
      <c r="W1706">
        <v>0</v>
      </c>
      <c r="X1706">
        <v>0</v>
      </c>
      <c r="Y1706">
        <v>0</v>
      </c>
      <c r="Z1706">
        <v>0</v>
      </c>
      <c r="AA1706">
        <v>9</v>
      </c>
      <c r="AB1706">
        <v>9</v>
      </c>
      <c r="AC1706" t="s">
        <v>310</v>
      </c>
      <c r="AD1706">
        <v>9</v>
      </c>
      <c r="AE1706" t="s">
        <v>1388</v>
      </c>
      <c r="AF1706">
        <v>0</v>
      </c>
      <c r="AG1706" t="s">
        <v>310</v>
      </c>
      <c r="AH1706">
        <f>SUM((MID(Dyno_Data[[#This Row],[Team]],4,5))+(Dyno_Data[[#This Row],[Match]]/100))</f>
        <v>7709.35</v>
      </c>
      <c r="AI1706" s="76">
        <f>ROUND(SUM(IF(Dyno_Data[[#This Row],[AcqCenter]]&gt;0,Dyno_Data[[#This Row],[Time]]-SUMIFS(Dyno_Data[Time],Dyno_Data[Team],Dyno_Data[[#This Row],[Team]],Dyno_Data[RecordType],"StartMatch",Dyno_Data[Match],Dyno_Data[[#This Row],[Match]]),0)*86400),0)</f>
        <v>0</v>
      </c>
    </row>
    <row r="1707" spans="1:35" x14ac:dyDescent="0.3">
      <c r="A1707">
        <v>1713</v>
      </c>
      <c r="B1707" t="s">
        <v>1297</v>
      </c>
      <c r="C1707">
        <v>35</v>
      </c>
      <c r="D1707" s="105">
        <v>45373.614880173613</v>
      </c>
      <c r="E1707" t="s">
        <v>308</v>
      </c>
      <c r="F1707" t="s">
        <v>309</v>
      </c>
      <c r="G1707">
        <v>0</v>
      </c>
      <c r="H1707" t="s">
        <v>310</v>
      </c>
      <c r="I1707">
        <v>0</v>
      </c>
      <c r="J1707">
        <v>0</v>
      </c>
      <c r="K1707">
        <v>0</v>
      </c>
      <c r="L1707" t="s">
        <v>310</v>
      </c>
      <c r="M1707" t="s">
        <v>310</v>
      </c>
      <c r="N1707">
        <v>0</v>
      </c>
      <c r="O1707" t="s">
        <v>319</v>
      </c>
      <c r="P1707" t="s">
        <v>310</v>
      </c>
      <c r="Q1707" t="s">
        <v>310</v>
      </c>
      <c r="R1707" t="s">
        <v>310</v>
      </c>
      <c r="S1707">
        <v>9</v>
      </c>
      <c r="T1707" t="s">
        <v>310</v>
      </c>
      <c r="U1707">
        <v>9</v>
      </c>
      <c r="V1707">
        <v>9</v>
      </c>
      <c r="W1707">
        <v>0</v>
      </c>
      <c r="X1707">
        <v>0</v>
      </c>
      <c r="Y1707">
        <v>0</v>
      </c>
      <c r="Z1707">
        <v>0</v>
      </c>
      <c r="AA1707">
        <v>9</v>
      </c>
      <c r="AB1707">
        <v>9</v>
      </c>
      <c r="AC1707" t="s">
        <v>310</v>
      </c>
      <c r="AD1707">
        <v>9</v>
      </c>
      <c r="AE1707" t="s">
        <v>1387</v>
      </c>
      <c r="AF1707">
        <v>0</v>
      </c>
      <c r="AG1707" t="s">
        <v>310</v>
      </c>
      <c r="AH1707">
        <f>SUM((MID(Dyno_Data[[#This Row],[Team]],4,5))+(Dyno_Data[[#This Row],[Match]]/100))</f>
        <v>9750.35</v>
      </c>
      <c r="AI1707" s="76">
        <f>ROUND(SUM(IF(Dyno_Data[[#This Row],[AcqCenter]]&gt;0,Dyno_Data[[#This Row],[Time]]-SUMIFS(Dyno_Data[Time],Dyno_Data[Team],Dyno_Data[[#This Row],[Team]],Dyno_Data[RecordType],"StartMatch",Dyno_Data[Match],Dyno_Data[[#This Row],[Match]]),0)*86400),0)</f>
        <v>0</v>
      </c>
    </row>
    <row r="1708" spans="1:35" x14ac:dyDescent="0.3">
      <c r="A1708">
        <v>1715</v>
      </c>
      <c r="B1708" t="s">
        <v>1279</v>
      </c>
      <c r="C1708">
        <v>35</v>
      </c>
      <c r="D1708" s="105">
        <v>45373.614882326387</v>
      </c>
      <c r="E1708" t="s">
        <v>308</v>
      </c>
      <c r="F1708" t="s">
        <v>309</v>
      </c>
      <c r="G1708">
        <v>0</v>
      </c>
      <c r="H1708" t="s">
        <v>310</v>
      </c>
      <c r="I1708">
        <v>0</v>
      </c>
      <c r="J1708">
        <v>0</v>
      </c>
      <c r="K1708">
        <v>0</v>
      </c>
      <c r="L1708" t="s">
        <v>310</v>
      </c>
      <c r="M1708" t="s">
        <v>310</v>
      </c>
      <c r="N1708">
        <v>0</v>
      </c>
      <c r="O1708" t="s">
        <v>1395</v>
      </c>
      <c r="P1708" t="s">
        <v>310</v>
      </c>
      <c r="Q1708" t="s">
        <v>310</v>
      </c>
      <c r="R1708" t="s">
        <v>310</v>
      </c>
      <c r="S1708">
        <v>9</v>
      </c>
      <c r="T1708" t="s">
        <v>310</v>
      </c>
      <c r="U1708">
        <v>9</v>
      </c>
      <c r="V1708">
        <v>9</v>
      </c>
      <c r="W1708">
        <v>0</v>
      </c>
      <c r="X1708">
        <v>0</v>
      </c>
      <c r="Y1708">
        <v>0</v>
      </c>
      <c r="Z1708">
        <v>0</v>
      </c>
      <c r="AA1708">
        <v>9</v>
      </c>
      <c r="AB1708">
        <v>9</v>
      </c>
      <c r="AC1708" t="s">
        <v>310</v>
      </c>
      <c r="AD1708">
        <v>9</v>
      </c>
      <c r="AE1708" t="s">
        <v>1396</v>
      </c>
      <c r="AF1708">
        <v>0</v>
      </c>
      <c r="AG1708" t="s">
        <v>310</v>
      </c>
      <c r="AH1708">
        <f>SUM((MID(Dyno_Data[[#This Row],[Team]],4,5))+(Dyno_Data[[#This Row],[Match]]/100))</f>
        <v>5149.3500000000004</v>
      </c>
      <c r="AI1708" s="76">
        <f>ROUND(SUM(IF(Dyno_Data[[#This Row],[AcqCenter]]&gt;0,Dyno_Data[[#This Row],[Time]]-SUMIFS(Dyno_Data[Time],Dyno_Data[Team],Dyno_Data[[#This Row],[Team]],Dyno_Data[RecordType],"StartMatch",Dyno_Data[Match],Dyno_Data[[#This Row],[Match]]),0)*86400),0)</f>
        <v>0</v>
      </c>
    </row>
    <row r="1709" spans="1:35" x14ac:dyDescent="0.3">
      <c r="A1709">
        <v>1717</v>
      </c>
      <c r="B1709" t="s">
        <v>318</v>
      </c>
      <c r="C1709">
        <v>35</v>
      </c>
      <c r="D1709" s="105">
        <v>45373.61488306713</v>
      </c>
      <c r="E1709" t="s">
        <v>308</v>
      </c>
      <c r="F1709" t="s">
        <v>309</v>
      </c>
      <c r="G1709">
        <v>0</v>
      </c>
      <c r="H1709" t="s">
        <v>310</v>
      </c>
      <c r="I1709">
        <v>0</v>
      </c>
      <c r="J1709">
        <v>0</v>
      </c>
      <c r="K1709">
        <v>0</v>
      </c>
      <c r="L1709" t="s">
        <v>310</v>
      </c>
      <c r="M1709" t="s">
        <v>310</v>
      </c>
      <c r="N1709">
        <v>0</v>
      </c>
      <c r="O1709" t="s">
        <v>311</v>
      </c>
      <c r="P1709" t="s">
        <v>310</v>
      </c>
      <c r="Q1709" t="s">
        <v>310</v>
      </c>
      <c r="R1709" t="s">
        <v>310</v>
      </c>
      <c r="S1709">
        <v>9</v>
      </c>
      <c r="T1709" t="s">
        <v>310</v>
      </c>
      <c r="U1709">
        <v>9</v>
      </c>
      <c r="V1709">
        <v>9</v>
      </c>
      <c r="W1709">
        <v>0</v>
      </c>
      <c r="X1709">
        <v>0</v>
      </c>
      <c r="Y1709">
        <v>0</v>
      </c>
      <c r="Z1709">
        <v>0</v>
      </c>
      <c r="AA1709">
        <v>9</v>
      </c>
      <c r="AB1709">
        <v>9</v>
      </c>
      <c r="AC1709" t="s">
        <v>310</v>
      </c>
      <c r="AD1709">
        <v>9</v>
      </c>
      <c r="AE1709" t="s">
        <v>1392</v>
      </c>
      <c r="AF1709">
        <v>0</v>
      </c>
      <c r="AG1709" t="s">
        <v>310</v>
      </c>
      <c r="AH1709">
        <f>SUM((MID(Dyno_Data[[#This Row],[Team]],4,5))+(Dyno_Data[[#This Row],[Match]]/100))</f>
        <v>639.35</v>
      </c>
      <c r="AI1709" s="76">
        <f>ROUND(SUM(IF(Dyno_Data[[#This Row],[AcqCenter]]&gt;0,Dyno_Data[[#This Row],[Time]]-SUMIFS(Dyno_Data[Time],Dyno_Data[Team],Dyno_Data[[#This Row],[Team]],Dyno_Data[RecordType],"StartMatch",Dyno_Data[Match],Dyno_Data[[#This Row],[Match]]),0)*86400),0)</f>
        <v>0</v>
      </c>
    </row>
    <row r="1710" spans="1:35" x14ac:dyDescent="0.3">
      <c r="A1710">
        <v>1719</v>
      </c>
      <c r="B1710" t="s">
        <v>1291</v>
      </c>
      <c r="C1710">
        <v>35</v>
      </c>
      <c r="D1710" s="105">
        <v>45373.614885185183</v>
      </c>
      <c r="E1710" t="s">
        <v>308</v>
      </c>
      <c r="F1710" t="s">
        <v>309</v>
      </c>
      <c r="G1710">
        <v>0</v>
      </c>
      <c r="H1710" t="s">
        <v>310</v>
      </c>
      <c r="I1710">
        <v>0</v>
      </c>
      <c r="J1710">
        <v>0</v>
      </c>
      <c r="K1710">
        <v>0</v>
      </c>
      <c r="L1710" t="s">
        <v>310</v>
      </c>
      <c r="M1710" t="s">
        <v>310</v>
      </c>
      <c r="N1710">
        <v>0</v>
      </c>
      <c r="O1710" t="s">
        <v>1393</v>
      </c>
      <c r="P1710" t="s">
        <v>310</v>
      </c>
      <c r="Q1710" t="s">
        <v>310</v>
      </c>
      <c r="R1710" t="s">
        <v>310</v>
      </c>
      <c r="S1710">
        <v>9</v>
      </c>
      <c r="T1710" t="s">
        <v>310</v>
      </c>
      <c r="U1710">
        <v>9</v>
      </c>
      <c r="V1710">
        <v>9</v>
      </c>
      <c r="W1710">
        <v>0</v>
      </c>
      <c r="X1710">
        <v>0</v>
      </c>
      <c r="Y1710">
        <v>0</v>
      </c>
      <c r="Z1710">
        <v>0</v>
      </c>
      <c r="AA1710">
        <v>9</v>
      </c>
      <c r="AB1710">
        <v>9</v>
      </c>
      <c r="AC1710" t="s">
        <v>310</v>
      </c>
      <c r="AD1710">
        <v>9</v>
      </c>
      <c r="AE1710" t="s">
        <v>1390</v>
      </c>
      <c r="AF1710">
        <v>0</v>
      </c>
      <c r="AG1710" t="s">
        <v>310</v>
      </c>
      <c r="AH1710">
        <f>SUM((MID(Dyno_Data[[#This Row],[Team]],4,5))+(Dyno_Data[[#This Row],[Match]]/100))</f>
        <v>1493.35</v>
      </c>
      <c r="AI1710" s="76">
        <f>ROUND(SUM(IF(Dyno_Data[[#This Row],[AcqCenter]]&gt;0,Dyno_Data[[#This Row],[Time]]-SUMIFS(Dyno_Data[Time],Dyno_Data[Team],Dyno_Data[[#This Row],[Team]],Dyno_Data[RecordType],"StartMatch",Dyno_Data[Match],Dyno_Data[[#This Row],[Match]]),0)*86400),0)</f>
        <v>0</v>
      </c>
    </row>
    <row r="1711" spans="1:35" x14ac:dyDescent="0.3">
      <c r="A1711">
        <v>1704</v>
      </c>
      <c r="B1711" t="s">
        <v>1318</v>
      </c>
      <c r="C1711">
        <v>35</v>
      </c>
      <c r="D1711" s="105">
        <v>45373.614904745373</v>
      </c>
      <c r="E1711" t="s">
        <v>312</v>
      </c>
      <c r="F1711" t="s">
        <v>309</v>
      </c>
      <c r="G1711">
        <v>0</v>
      </c>
      <c r="H1711" t="s">
        <v>1397</v>
      </c>
      <c r="I1711">
        <v>0</v>
      </c>
      <c r="J1711">
        <v>0</v>
      </c>
      <c r="K1711">
        <v>0</v>
      </c>
      <c r="L1711" t="s">
        <v>240</v>
      </c>
      <c r="M1711" t="s">
        <v>1398</v>
      </c>
      <c r="N1711">
        <v>1</v>
      </c>
      <c r="O1711" t="s">
        <v>1389</v>
      </c>
      <c r="P1711" t="s">
        <v>310</v>
      </c>
      <c r="Q1711" t="s">
        <v>310</v>
      </c>
      <c r="R1711" t="s">
        <v>310</v>
      </c>
      <c r="S1711">
        <v>9</v>
      </c>
      <c r="T1711" t="s">
        <v>310</v>
      </c>
      <c r="U1711">
        <v>9</v>
      </c>
      <c r="V1711">
        <v>9</v>
      </c>
      <c r="W1711">
        <v>0</v>
      </c>
      <c r="X1711">
        <v>0</v>
      </c>
      <c r="Y1711">
        <v>0</v>
      </c>
      <c r="Z1711">
        <v>0</v>
      </c>
      <c r="AA1711">
        <v>9</v>
      </c>
      <c r="AB1711">
        <v>9</v>
      </c>
      <c r="AC1711" t="s">
        <v>310</v>
      </c>
      <c r="AD1711">
        <v>9</v>
      </c>
      <c r="AE1711" t="s">
        <v>1388</v>
      </c>
      <c r="AF1711">
        <v>0</v>
      </c>
      <c r="AG1711" t="s">
        <v>310</v>
      </c>
      <c r="AH1711">
        <f>SUM((MID(Dyno_Data[[#This Row],[Team]],4,5))+(Dyno_Data[[#This Row],[Match]]/100))</f>
        <v>7709.35</v>
      </c>
      <c r="AI1711" s="76">
        <f>ROUND(SUM(IF(Dyno_Data[[#This Row],[AcqCenter]]&gt;0,Dyno_Data[[#This Row],[Time]]-SUMIFS(Dyno_Data[Time],Dyno_Data[Team],Dyno_Data[[#This Row],[Team]],Dyno_Data[RecordType],"StartMatch",Dyno_Data[Match],Dyno_Data[[#This Row],[Match]]),0)*86400),0)</f>
        <v>0</v>
      </c>
    </row>
    <row r="1712" spans="1:35" x14ac:dyDescent="0.3">
      <c r="A1712">
        <v>1705</v>
      </c>
      <c r="B1712" t="s">
        <v>318</v>
      </c>
      <c r="C1712">
        <v>35</v>
      </c>
      <c r="D1712" s="105">
        <v>45373.614911226854</v>
      </c>
      <c r="E1712" t="s">
        <v>312</v>
      </c>
      <c r="F1712" t="s">
        <v>309</v>
      </c>
      <c r="G1712">
        <v>0</v>
      </c>
      <c r="H1712" t="s">
        <v>1397</v>
      </c>
      <c r="I1712">
        <v>0</v>
      </c>
      <c r="J1712">
        <v>0</v>
      </c>
      <c r="K1712">
        <v>0</v>
      </c>
      <c r="L1712" t="s">
        <v>240</v>
      </c>
      <c r="M1712" t="s">
        <v>1398</v>
      </c>
      <c r="N1712">
        <v>1</v>
      </c>
      <c r="O1712" t="s">
        <v>311</v>
      </c>
      <c r="P1712" t="s">
        <v>310</v>
      </c>
      <c r="Q1712" t="s">
        <v>310</v>
      </c>
      <c r="R1712" t="s">
        <v>310</v>
      </c>
      <c r="S1712">
        <v>9</v>
      </c>
      <c r="T1712" t="s">
        <v>310</v>
      </c>
      <c r="U1712">
        <v>9</v>
      </c>
      <c r="V1712">
        <v>9</v>
      </c>
      <c r="W1712">
        <v>0</v>
      </c>
      <c r="X1712">
        <v>0</v>
      </c>
      <c r="Y1712">
        <v>0</v>
      </c>
      <c r="Z1712">
        <v>0</v>
      </c>
      <c r="AA1712">
        <v>9</v>
      </c>
      <c r="AB1712">
        <v>9</v>
      </c>
      <c r="AC1712" t="s">
        <v>310</v>
      </c>
      <c r="AD1712">
        <v>9</v>
      </c>
      <c r="AE1712" t="s">
        <v>1392</v>
      </c>
      <c r="AF1712">
        <v>0</v>
      </c>
      <c r="AG1712" t="s">
        <v>310</v>
      </c>
      <c r="AH1712">
        <f>SUM((MID(Dyno_Data[[#This Row],[Team]],4,5))+(Dyno_Data[[#This Row],[Match]]/100))</f>
        <v>639.35</v>
      </c>
      <c r="AI1712" s="76">
        <f>ROUND(SUM(IF(Dyno_Data[[#This Row],[AcqCenter]]&gt;0,Dyno_Data[[#This Row],[Time]]-SUMIFS(Dyno_Data[Time],Dyno_Data[Team],Dyno_Data[[#This Row],[Team]],Dyno_Data[RecordType],"StartMatch",Dyno_Data[Match],Dyno_Data[[#This Row],[Match]]),0)*86400),0)</f>
        <v>0</v>
      </c>
    </row>
    <row r="1713" spans="1:35" x14ac:dyDescent="0.3">
      <c r="A1713">
        <v>1706</v>
      </c>
      <c r="B1713" t="s">
        <v>1317</v>
      </c>
      <c r="C1713">
        <v>35</v>
      </c>
      <c r="D1713" s="105">
        <v>45373.614939432868</v>
      </c>
      <c r="E1713" t="s">
        <v>312</v>
      </c>
      <c r="F1713" t="s">
        <v>309</v>
      </c>
      <c r="G1713">
        <v>0</v>
      </c>
      <c r="H1713" t="s">
        <v>1397</v>
      </c>
      <c r="I1713">
        <v>0</v>
      </c>
      <c r="J1713">
        <v>0</v>
      </c>
      <c r="K1713">
        <v>0</v>
      </c>
      <c r="L1713" t="s">
        <v>240</v>
      </c>
      <c r="M1713" t="s">
        <v>1398</v>
      </c>
      <c r="N1713">
        <v>0</v>
      </c>
      <c r="O1713" t="s">
        <v>1391</v>
      </c>
      <c r="P1713" t="s">
        <v>310</v>
      </c>
      <c r="Q1713" t="s">
        <v>310</v>
      </c>
      <c r="R1713" t="s">
        <v>310</v>
      </c>
      <c r="S1713">
        <v>9</v>
      </c>
      <c r="T1713" t="s">
        <v>310</v>
      </c>
      <c r="U1713">
        <v>9</v>
      </c>
      <c r="V1713">
        <v>9</v>
      </c>
      <c r="W1713">
        <v>0</v>
      </c>
      <c r="X1713">
        <v>0</v>
      </c>
      <c r="Y1713">
        <v>0</v>
      </c>
      <c r="Z1713">
        <v>0</v>
      </c>
      <c r="AA1713">
        <v>9</v>
      </c>
      <c r="AB1713">
        <v>9</v>
      </c>
      <c r="AC1713" t="s">
        <v>310</v>
      </c>
      <c r="AD1713">
        <v>9</v>
      </c>
      <c r="AE1713" t="s">
        <v>1394</v>
      </c>
      <c r="AF1713">
        <v>0</v>
      </c>
      <c r="AG1713" t="s">
        <v>310</v>
      </c>
      <c r="AH1713">
        <f>SUM((MID(Dyno_Data[[#This Row],[Team]],4,5))+(Dyno_Data[[#This Row],[Match]]/100))</f>
        <v>296.35000000000002</v>
      </c>
      <c r="AI1713" s="76">
        <f>ROUND(SUM(IF(Dyno_Data[[#This Row],[AcqCenter]]&gt;0,Dyno_Data[[#This Row],[Time]]-SUMIFS(Dyno_Data[Time],Dyno_Data[Team],Dyno_Data[[#This Row],[Team]],Dyno_Data[RecordType],"StartMatch",Dyno_Data[Match],Dyno_Data[[#This Row],[Match]]),0)*86400),0)</f>
        <v>0</v>
      </c>
    </row>
    <row r="1714" spans="1:35" x14ac:dyDescent="0.3">
      <c r="A1714">
        <v>1707</v>
      </c>
      <c r="B1714" t="s">
        <v>1317</v>
      </c>
      <c r="C1714">
        <v>35</v>
      </c>
      <c r="D1714" s="105">
        <v>45373.614976423611</v>
      </c>
      <c r="E1714" t="s">
        <v>312</v>
      </c>
      <c r="F1714" t="s">
        <v>309</v>
      </c>
      <c r="G1714">
        <v>0</v>
      </c>
      <c r="H1714" t="s">
        <v>315</v>
      </c>
      <c r="I1714">
        <v>0</v>
      </c>
      <c r="J1714">
        <v>0</v>
      </c>
      <c r="K1714">
        <v>0</v>
      </c>
      <c r="L1714" t="s">
        <v>240</v>
      </c>
      <c r="M1714" t="s">
        <v>1398</v>
      </c>
      <c r="N1714">
        <v>0</v>
      </c>
      <c r="O1714" t="s">
        <v>1391</v>
      </c>
      <c r="P1714" t="s">
        <v>310</v>
      </c>
      <c r="Q1714" t="s">
        <v>310</v>
      </c>
      <c r="R1714" t="s">
        <v>310</v>
      </c>
      <c r="S1714">
        <v>9</v>
      </c>
      <c r="T1714" t="s">
        <v>310</v>
      </c>
      <c r="U1714">
        <v>9</v>
      </c>
      <c r="V1714">
        <v>9</v>
      </c>
      <c r="W1714">
        <v>0</v>
      </c>
      <c r="X1714">
        <v>0</v>
      </c>
      <c r="Y1714">
        <v>0</v>
      </c>
      <c r="Z1714">
        <v>0</v>
      </c>
      <c r="AA1714">
        <v>9</v>
      </c>
      <c r="AB1714">
        <v>9</v>
      </c>
      <c r="AC1714" t="s">
        <v>310</v>
      </c>
      <c r="AD1714">
        <v>9</v>
      </c>
      <c r="AE1714" t="s">
        <v>1394</v>
      </c>
      <c r="AF1714">
        <v>10000000</v>
      </c>
      <c r="AG1714" t="s">
        <v>310</v>
      </c>
      <c r="AH1714">
        <f>SUM((MID(Dyno_Data[[#This Row],[Team]],4,5))+(Dyno_Data[[#This Row],[Match]]/100))</f>
        <v>296.35000000000002</v>
      </c>
      <c r="AI1714" s="76">
        <f>ROUND(SUM(IF(Dyno_Data[[#This Row],[AcqCenter]]&gt;0,Dyno_Data[[#This Row],[Time]]-SUMIFS(Dyno_Data[Time],Dyno_Data[Team],Dyno_Data[[#This Row],[Team]],Dyno_Data[RecordType],"StartMatch",Dyno_Data[Match],Dyno_Data[[#This Row],[Match]]),0)*86400),0)</f>
        <v>0</v>
      </c>
    </row>
    <row r="1715" spans="1:35" x14ac:dyDescent="0.3">
      <c r="A1715">
        <v>1708</v>
      </c>
      <c r="B1715" t="s">
        <v>1291</v>
      </c>
      <c r="C1715">
        <v>35</v>
      </c>
      <c r="D1715" s="105">
        <v>45373.614998807869</v>
      </c>
      <c r="E1715" t="s">
        <v>312</v>
      </c>
      <c r="F1715" t="s">
        <v>309</v>
      </c>
      <c r="G1715">
        <v>0</v>
      </c>
      <c r="H1715" t="s">
        <v>1397</v>
      </c>
      <c r="I1715">
        <v>0</v>
      </c>
      <c r="J1715">
        <v>0</v>
      </c>
      <c r="K1715">
        <v>0</v>
      </c>
      <c r="L1715" t="s">
        <v>240</v>
      </c>
      <c r="M1715" t="s">
        <v>1398</v>
      </c>
      <c r="N1715">
        <v>0</v>
      </c>
      <c r="O1715" t="s">
        <v>1393</v>
      </c>
      <c r="P1715" t="s">
        <v>310</v>
      </c>
      <c r="Q1715" t="s">
        <v>310</v>
      </c>
      <c r="R1715" t="s">
        <v>310</v>
      </c>
      <c r="S1715">
        <v>9</v>
      </c>
      <c r="T1715" t="s">
        <v>310</v>
      </c>
      <c r="U1715">
        <v>9</v>
      </c>
      <c r="V1715">
        <v>9</v>
      </c>
      <c r="W1715">
        <v>0</v>
      </c>
      <c r="X1715">
        <v>0</v>
      </c>
      <c r="Y1715">
        <v>0</v>
      </c>
      <c r="Z1715">
        <v>0</v>
      </c>
      <c r="AA1715">
        <v>9</v>
      </c>
      <c r="AB1715">
        <v>9</v>
      </c>
      <c r="AC1715" t="s">
        <v>310</v>
      </c>
      <c r="AD1715">
        <v>9</v>
      </c>
      <c r="AE1715" t="s">
        <v>1390</v>
      </c>
      <c r="AF1715">
        <v>0</v>
      </c>
      <c r="AG1715" t="s">
        <v>310</v>
      </c>
      <c r="AH1715">
        <f>SUM((MID(Dyno_Data[[#This Row],[Team]],4,5))+(Dyno_Data[[#This Row],[Match]]/100))</f>
        <v>1493.35</v>
      </c>
      <c r="AI1715" s="76">
        <f>ROUND(SUM(IF(Dyno_Data[[#This Row],[AcqCenter]]&gt;0,Dyno_Data[[#This Row],[Time]]-SUMIFS(Dyno_Data[Time],Dyno_Data[Team],Dyno_Data[[#This Row],[Team]],Dyno_Data[RecordType],"StartMatch",Dyno_Data[Match],Dyno_Data[[#This Row],[Match]]),0)*86400),0)</f>
        <v>0</v>
      </c>
    </row>
    <row r="1716" spans="1:35" x14ac:dyDescent="0.3">
      <c r="A1716">
        <v>1710</v>
      </c>
      <c r="B1716" t="s">
        <v>1317</v>
      </c>
      <c r="C1716">
        <v>35</v>
      </c>
      <c r="D1716" s="105">
        <v>45373.61501681713</v>
      </c>
      <c r="E1716" t="s">
        <v>314</v>
      </c>
      <c r="F1716" t="s">
        <v>309</v>
      </c>
      <c r="G1716">
        <v>0</v>
      </c>
      <c r="H1716" t="s">
        <v>310</v>
      </c>
      <c r="I1716">
        <v>0</v>
      </c>
      <c r="J1716">
        <v>0</v>
      </c>
      <c r="K1716">
        <v>0</v>
      </c>
      <c r="L1716" t="s">
        <v>310</v>
      </c>
      <c r="M1716" t="s">
        <v>310</v>
      </c>
      <c r="N1716">
        <v>0</v>
      </c>
      <c r="O1716" t="s">
        <v>1391</v>
      </c>
      <c r="P1716" t="s">
        <v>240</v>
      </c>
      <c r="Q1716" t="s">
        <v>1400</v>
      </c>
      <c r="R1716" t="s">
        <v>310</v>
      </c>
      <c r="S1716">
        <v>9</v>
      </c>
      <c r="T1716" t="s">
        <v>310</v>
      </c>
      <c r="U1716">
        <v>9</v>
      </c>
      <c r="V1716">
        <v>9</v>
      </c>
      <c r="W1716">
        <v>0</v>
      </c>
      <c r="X1716">
        <v>0</v>
      </c>
      <c r="Y1716">
        <v>0</v>
      </c>
      <c r="Z1716">
        <v>0</v>
      </c>
      <c r="AA1716">
        <v>9</v>
      </c>
      <c r="AB1716">
        <v>9</v>
      </c>
      <c r="AC1716" t="s">
        <v>310</v>
      </c>
      <c r="AD1716">
        <v>9</v>
      </c>
      <c r="AE1716" t="s">
        <v>1394</v>
      </c>
      <c r="AF1716">
        <v>10000000</v>
      </c>
      <c r="AG1716" t="s">
        <v>310</v>
      </c>
      <c r="AH1716">
        <f>SUM((MID(Dyno_Data[[#This Row],[Team]],4,5))+(Dyno_Data[[#This Row],[Match]]/100))</f>
        <v>296.35000000000002</v>
      </c>
      <c r="AI1716" s="76">
        <f>ROUND(SUM(IF(Dyno_Data[[#This Row],[AcqCenter]]&gt;0,Dyno_Data[[#This Row],[Time]]-SUMIFS(Dyno_Data[Time],Dyno_Data[Team],Dyno_Data[[#This Row],[Team]],Dyno_Data[RecordType],"StartMatch",Dyno_Data[Match],Dyno_Data[[#This Row],[Match]]),0)*86400),0)</f>
        <v>0</v>
      </c>
    </row>
    <row r="1717" spans="1:35" x14ac:dyDescent="0.3">
      <c r="A1717">
        <v>1712</v>
      </c>
      <c r="B1717" t="s">
        <v>1318</v>
      </c>
      <c r="C1717">
        <v>35</v>
      </c>
      <c r="D1717" s="105">
        <v>45373.615087071761</v>
      </c>
      <c r="E1717" t="s">
        <v>314</v>
      </c>
      <c r="F1717" t="s">
        <v>309</v>
      </c>
      <c r="G1717">
        <v>1</v>
      </c>
      <c r="H1717" t="s">
        <v>310</v>
      </c>
      <c r="I1717">
        <v>0</v>
      </c>
      <c r="J1717">
        <v>0</v>
      </c>
      <c r="K1717">
        <v>0</v>
      </c>
      <c r="L1717" t="s">
        <v>310</v>
      </c>
      <c r="M1717" t="s">
        <v>310</v>
      </c>
      <c r="N1717">
        <v>0</v>
      </c>
      <c r="O1717" t="s">
        <v>1389</v>
      </c>
      <c r="P1717" t="s">
        <v>1401</v>
      </c>
      <c r="Q1717" t="s">
        <v>1400</v>
      </c>
      <c r="R1717" t="s">
        <v>310</v>
      </c>
      <c r="S1717">
        <v>9</v>
      </c>
      <c r="T1717" t="s">
        <v>310</v>
      </c>
      <c r="U1717">
        <v>9</v>
      </c>
      <c r="V1717">
        <v>9</v>
      </c>
      <c r="W1717">
        <v>0</v>
      </c>
      <c r="X1717">
        <v>0</v>
      </c>
      <c r="Y1717">
        <v>0</v>
      </c>
      <c r="Z1717">
        <v>0</v>
      </c>
      <c r="AA1717">
        <v>9</v>
      </c>
      <c r="AB1717">
        <v>9</v>
      </c>
      <c r="AC1717" t="s">
        <v>310</v>
      </c>
      <c r="AD1717">
        <v>9</v>
      </c>
      <c r="AE1717" t="s">
        <v>1388</v>
      </c>
      <c r="AF1717">
        <v>0</v>
      </c>
      <c r="AG1717" t="s">
        <v>310</v>
      </c>
      <c r="AH1717">
        <f>SUM((MID(Dyno_Data[[#This Row],[Team]],4,5))+(Dyno_Data[[#This Row],[Match]]/100))</f>
        <v>7709.35</v>
      </c>
      <c r="AI1717" s="76">
        <f>ROUND(SUM(IF(Dyno_Data[[#This Row],[AcqCenter]]&gt;0,Dyno_Data[[#This Row],[Time]]-SUMIFS(Dyno_Data[Time],Dyno_Data[Team],Dyno_Data[[#This Row],[Team]],Dyno_Data[RecordType],"StartMatch",Dyno_Data[Match],Dyno_Data[[#This Row],[Match]]),0)*86400),0)</f>
        <v>0</v>
      </c>
    </row>
    <row r="1718" spans="1:35" x14ac:dyDescent="0.3">
      <c r="A1718">
        <v>1714</v>
      </c>
      <c r="B1718" t="s">
        <v>1297</v>
      </c>
      <c r="C1718">
        <v>35</v>
      </c>
      <c r="D1718" s="105">
        <v>45373.615088506944</v>
      </c>
      <c r="E1718" t="s">
        <v>314</v>
      </c>
      <c r="F1718" t="s">
        <v>309</v>
      </c>
      <c r="G1718">
        <v>0</v>
      </c>
      <c r="H1718" t="s">
        <v>310</v>
      </c>
      <c r="I1718">
        <v>0</v>
      </c>
      <c r="J1718">
        <v>0</v>
      </c>
      <c r="K1718">
        <v>0</v>
      </c>
      <c r="L1718" t="s">
        <v>310</v>
      </c>
      <c r="M1718" t="s">
        <v>310</v>
      </c>
      <c r="N1718">
        <v>0</v>
      </c>
      <c r="O1718" t="s">
        <v>319</v>
      </c>
      <c r="P1718" t="s">
        <v>101</v>
      </c>
      <c r="Q1718" t="s">
        <v>1400</v>
      </c>
      <c r="R1718" t="s">
        <v>310</v>
      </c>
      <c r="S1718">
        <v>9</v>
      </c>
      <c r="T1718" t="s">
        <v>310</v>
      </c>
      <c r="U1718">
        <v>9</v>
      </c>
      <c r="V1718">
        <v>9</v>
      </c>
      <c r="W1718">
        <v>0</v>
      </c>
      <c r="X1718">
        <v>0</v>
      </c>
      <c r="Y1718">
        <v>0</v>
      </c>
      <c r="Z1718">
        <v>0</v>
      </c>
      <c r="AA1718">
        <v>9</v>
      </c>
      <c r="AB1718">
        <v>9</v>
      </c>
      <c r="AC1718" t="s">
        <v>310</v>
      </c>
      <c r="AD1718">
        <v>9</v>
      </c>
      <c r="AE1718" t="s">
        <v>1387</v>
      </c>
      <c r="AF1718">
        <v>0</v>
      </c>
      <c r="AG1718" t="s">
        <v>310</v>
      </c>
      <c r="AH1718">
        <f>SUM((MID(Dyno_Data[[#This Row],[Team]],4,5))+(Dyno_Data[[#This Row],[Match]]/100))</f>
        <v>9750.35</v>
      </c>
      <c r="AI1718" s="76">
        <f>ROUND(SUM(IF(Dyno_Data[[#This Row],[AcqCenter]]&gt;0,Dyno_Data[[#This Row],[Time]]-SUMIFS(Dyno_Data[Time],Dyno_Data[Team],Dyno_Data[[#This Row],[Team]],Dyno_Data[RecordType],"StartMatch",Dyno_Data[Match],Dyno_Data[[#This Row],[Match]]),0)*86400),0)</f>
        <v>0</v>
      </c>
    </row>
    <row r="1719" spans="1:35" x14ac:dyDescent="0.3">
      <c r="A1719">
        <v>1716</v>
      </c>
      <c r="B1719" t="s">
        <v>1279</v>
      </c>
      <c r="C1719">
        <v>35</v>
      </c>
      <c r="D1719" s="105">
        <v>45373.615090659725</v>
      </c>
      <c r="E1719" t="s">
        <v>314</v>
      </c>
      <c r="F1719" t="s">
        <v>309</v>
      </c>
      <c r="G1719">
        <v>0</v>
      </c>
      <c r="H1719" t="s">
        <v>310</v>
      </c>
      <c r="I1719">
        <v>0</v>
      </c>
      <c r="J1719">
        <v>0</v>
      </c>
      <c r="K1719">
        <v>0</v>
      </c>
      <c r="L1719" t="s">
        <v>310</v>
      </c>
      <c r="M1719" t="s">
        <v>310</v>
      </c>
      <c r="N1719">
        <v>0</v>
      </c>
      <c r="O1719" t="s">
        <v>1395</v>
      </c>
      <c r="P1719" t="s">
        <v>320</v>
      </c>
      <c r="Q1719" t="s">
        <v>1399</v>
      </c>
      <c r="R1719" t="s">
        <v>310</v>
      </c>
      <c r="S1719">
        <v>9</v>
      </c>
      <c r="T1719" t="s">
        <v>310</v>
      </c>
      <c r="U1719">
        <v>9</v>
      </c>
      <c r="V1719">
        <v>9</v>
      </c>
      <c r="W1719">
        <v>0</v>
      </c>
      <c r="X1719">
        <v>0</v>
      </c>
      <c r="Y1719">
        <v>0</v>
      </c>
      <c r="Z1719">
        <v>0</v>
      </c>
      <c r="AA1719">
        <v>9</v>
      </c>
      <c r="AB1719">
        <v>9</v>
      </c>
      <c r="AC1719" t="s">
        <v>310</v>
      </c>
      <c r="AD1719">
        <v>9</v>
      </c>
      <c r="AE1719" t="s">
        <v>1396</v>
      </c>
      <c r="AF1719">
        <v>0</v>
      </c>
      <c r="AG1719" t="s">
        <v>310</v>
      </c>
      <c r="AH1719">
        <f>SUM((MID(Dyno_Data[[#This Row],[Team]],4,5))+(Dyno_Data[[#This Row],[Match]]/100))</f>
        <v>5149.3500000000004</v>
      </c>
      <c r="AI1719" s="76">
        <f>ROUND(SUM(IF(Dyno_Data[[#This Row],[AcqCenter]]&gt;0,Dyno_Data[[#This Row],[Time]]-SUMIFS(Dyno_Data[Time],Dyno_Data[Team],Dyno_Data[[#This Row],[Team]],Dyno_Data[RecordType],"StartMatch",Dyno_Data[Match],Dyno_Data[[#This Row],[Match]]),0)*86400),0)</f>
        <v>0</v>
      </c>
    </row>
    <row r="1720" spans="1:35" x14ac:dyDescent="0.3">
      <c r="A1720">
        <v>1718</v>
      </c>
      <c r="B1720" t="s">
        <v>318</v>
      </c>
      <c r="C1720">
        <v>35</v>
      </c>
      <c r="D1720" s="105">
        <v>45373.615091400461</v>
      </c>
      <c r="E1720" t="s">
        <v>314</v>
      </c>
      <c r="F1720" t="s">
        <v>309</v>
      </c>
      <c r="G1720">
        <v>0</v>
      </c>
      <c r="H1720" t="s">
        <v>310</v>
      </c>
      <c r="I1720">
        <v>0</v>
      </c>
      <c r="J1720">
        <v>0</v>
      </c>
      <c r="K1720">
        <v>0</v>
      </c>
      <c r="L1720" t="s">
        <v>310</v>
      </c>
      <c r="M1720" t="s">
        <v>310</v>
      </c>
      <c r="N1720">
        <v>0</v>
      </c>
      <c r="O1720" t="s">
        <v>311</v>
      </c>
      <c r="P1720" t="s">
        <v>1401</v>
      </c>
      <c r="Q1720" t="s">
        <v>1399</v>
      </c>
      <c r="R1720" t="s">
        <v>310</v>
      </c>
      <c r="S1720">
        <v>9</v>
      </c>
      <c r="T1720" t="s">
        <v>310</v>
      </c>
      <c r="U1720">
        <v>9</v>
      </c>
      <c r="V1720">
        <v>9</v>
      </c>
      <c r="W1720">
        <v>0</v>
      </c>
      <c r="X1720">
        <v>0</v>
      </c>
      <c r="Y1720">
        <v>0</v>
      </c>
      <c r="Z1720">
        <v>0</v>
      </c>
      <c r="AA1720">
        <v>9</v>
      </c>
      <c r="AB1720">
        <v>9</v>
      </c>
      <c r="AC1720" t="s">
        <v>310</v>
      </c>
      <c r="AD1720">
        <v>9</v>
      </c>
      <c r="AE1720" t="s">
        <v>1392</v>
      </c>
      <c r="AF1720">
        <v>0</v>
      </c>
      <c r="AG1720" t="s">
        <v>310</v>
      </c>
      <c r="AH1720">
        <f>SUM((MID(Dyno_Data[[#This Row],[Team]],4,5))+(Dyno_Data[[#This Row],[Match]]/100))</f>
        <v>639.35</v>
      </c>
      <c r="AI1720" s="76">
        <f>ROUND(SUM(IF(Dyno_Data[[#This Row],[AcqCenter]]&gt;0,Dyno_Data[[#This Row],[Time]]-SUMIFS(Dyno_Data[Time],Dyno_Data[Team],Dyno_Data[[#This Row],[Team]],Dyno_Data[RecordType],"StartMatch",Dyno_Data[Match],Dyno_Data[[#This Row],[Match]]),0)*86400),0)</f>
        <v>0</v>
      </c>
    </row>
    <row r="1721" spans="1:35" x14ac:dyDescent="0.3">
      <c r="A1721">
        <v>1720</v>
      </c>
      <c r="B1721" t="s">
        <v>1291</v>
      </c>
      <c r="C1721">
        <v>35</v>
      </c>
      <c r="D1721" s="105">
        <v>45373.615093518521</v>
      </c>
      <c r="E1721" t="s">
        <v>314</v>
      </c>
      <c r="F1721" t="s">
        <v>309</v>
      </c>
      <c r="G1721">
        <v>0</v>
      </c>
      <c r="H1721" t="s">
        <v>310</v>
      </c>
      <c r="I1721">
        <v>0</v>
      </c>
      <c r="J1721">
        <v>0</v>
      </c>
      <c r="K1721">
        <v>0</v>
      </c>
      <c r="L1721" t="s">
        <v>310</v>
      </c>
      <c r="M1721" t="s">
        <v>310</v>
      </c>
      <c r="N1721">
        <v>0</v>
      </c>
      <c r="O1721" t="s">
        <v>1393</v>
      </c>
      <c r="P1721" t="s">
        <v>240</v>
      </c>
      <c r="Q1721" t="s">
        <v>1400</v>
      </c>
      <c r="R1721" t="s">
        <v>310</v>
      </c>
      <c r="S1721">
        <v>9</v>
      </c>
      <c r="T1721" t="s">
        <v>310</v>
      </c>
      <c r="U1721">
        <v>9</v>
      </c>
      <c r="V1721">
        <v>9</v>
      </c>
      <c r="W1721">
        <v>0</v>
      </c>
      <c r="X1721">
        <v>0</v>
      </c>
      <c r="Y1721">
        <v>0</v>
      </c>
      <c r="Z1721">
        <v>0</v>
      </c>
      <c r="AA1721">
        <v>9</v>
      </c>
      <c r="AB1721">
        <v>9</v>
      </c>
      <c r="AC1721" t="s">
        <v>310</v>
      </c>
      <c r="AD1721">
        <v>9</v>
      </c>
      <c r="AE1721" t="s">
        <v>1390</v>
      </c>
      <c r="AF1721">
        <v>0</v>
      </c>
      <c r="AG1721" t="s">
        <v>310</v>
      </c>
      <c r="AH1721">
        <f>SUM((MID(Dyno_Data[[#This Row],[Team]],4,5))+(Dyno_Data[[#This Row],[Match]]/100))</f>
        <v>1493.35</v>
      </c>
      <c r="AI1721" s="76">
        <f>ROUND(SUM(IF(Dyno_Data[[#This Row],[AcqCenter]]&gt;0,Dyno_Data[[#This Row],[Time]]-SUMIFS(Dyno_Data[Time],Dyno_Data[Team],Dyno_Data[[#This Row],[Team]],Dyno_Data[RecordType],"StartMatch",Dyno_Data[Match],Dyno_Data[[#This Row],[Match]]),0)*86400),0)</f>
        <v>0</v>
      </c>
    </row>
    <row r="1722" spans="1:35" x14ac:dyDescent="0.3">
      <c r="A1722">
        <v>1721</v>
      </c>
      <c r="B1722" t="s">
        <v>1291</v>
      </c>
      <c r="C1722">
        <v>35</v>
      </c>
      <c r="D1722" s="105">
        <v>45373.615138460649</v>
      </c>
      <c r="E1722" t="s">
        <v>312</v>
      </c>
      <c r="F1722" t="s">
        <v>1402</v>
      </c>
      <c r="G1722">
        <v>0</v>
      </c>
      <c r="H1722" t="s">
        <v>315</v>
      </c>
      <c r="I1722">
        <v>0</v>
      </c>
      <c r="J1722">
        <v>0</v>
      </c>
      <c r="K1722">
        <v>0</v>
      </c>
      <c r="L1722" t="s">
        <v>240</v>
      </c>
      <c r="M1722" t="s">
        <v>1398</v>
      </c>
      <c r="N1722">
        <v>0</v>
      </c>
      <c r="O1722" t="s">
        <v>1393</v>
      </c>
      <c r="P1722" t="s">
        <v>310</v>
      </c>
      <c r="Q1722" t="s">
        <v>310</v>
      </c>
      <c r="R1722" t="s">
        <v>310</v>
      </c>
      <c r="S1722">
        <v>9</v>
      </c>
      <c r="T1722" t="s">
        <v>310</v>
      </c>
      <c r="U1722">
        <v>9</v>
      </c>
      <c r="V1722">
        <v>9</v>
      </c>
      <c r="W1722">
        <v>0</v>
      </c>
      <c r="X1722">
        <v>0</v>
      </c>
      <c r="Y1722">
        <v>0</v>
      </c>
      <c r="Z1722">
        <v>0</v>
      </c>
      <c r="AA1722">
        <v>9</v>
      </c>
      <c r="AB1722">
        <v>9</v>
      </c>
      <c r="AC1722" t="s">
        <v>310</v>
      </c>
      <c r="AD1722">
        <v>9</v>
      </c>
      <c r="AE1722" t="s">
        <v>1390</v>
      </c>
      <c r="AF1722">
        <v>10000000</v>
      </c>
      <c r="AG1722" t="s">
        <v>310</v>
      </c>
      <c r="AH1722">
        <f>SUM((MID(Dyno_Data[[#This Row],[Team]],4,5))+(Dyno_Data[[#This Row],[Match]]/100))</f>
        <v>1493.35</v>
      </c>
      <c r="AI1722" s="76">
        <f>ROUND(SUM(IF(Dyno_Data[[#This Row],[AcqCenter]]&gt;0,Dyno_Data[[#This Row],[Time]]-SUMIFS(Dyno_Data[Time],Dyno_Data[Team],Dyno_Data[[#This Row],[Team]],Dyno_Data[RecordType],"StartMatch",Dyno_Data[Match],Dyno_Data[[#This Row],[Match]]),0)*86400),0)</f>
        <v>0</v>
      </c>
    </row>
    <row r="1723" spans="1:35" x14ac:dyDescent="0.3">
      <c r="A1723">
        <v>1722</v>
      </c>
      <c r="B1723" t="s">
        <v>1297</v>
      </c>
      <c r="C1723">
        <v>35</v>
      </c>
      <c r="D1723" s="105">
        <v>45373.615165937503</v>
      </c>
      <c r="E1723" t="s">
        <v>312</v>
      </c>
      <c r="F1723" t="s">
        <v>1402</v>
      </c>
      <c r="G1723">
        <v>0</v>
      </c>
      <c r="H1723" t="s">
        <v>1397</v>
      </c>
      <c r="I1723">
        <v>0</v>
      </c>
      <c r="J1723">
        <v>0</v>
      </c>
      <c r="K1723">
        <v>0</v>
      </c>
      <c r="L1723" t="s">
        <v>241</v>
      </c>
      <c r="M1723" t="s">
        <v>101</v>
      </c>
      <c r="N1723">
        <v>0</v>
      </c>
      <c r="O1723" t="s">
        <v>319</v>
      </c>
      <c r="P1723" t="s">
        <v>310</v>
      </c>
      <c r="Q1723" t="s">
        <v>310</v>
      </c>
      <c r="R1723" t="s">
        <v>310</v>
      </c>
      <c r="S1723">
        <v>9</v>
      </c>
      <c r="T1723" t="s">
        <v>310</v>
      </c>
      <c r="U1723">
        <v>9</v>
      </c>
      <c r="V1723">
        <v>9</v>
      </c>
      <c r="W1723">
        <v>0</v>
      </c>
      <c r="X1723">
        <v>0</v>
      </c>
      <c r="Y1723">
        <v>0</v>
      </c>
      <c r="Z1723">
        <v>0</v>
      </c>
      <c r="AA1723">
        <v>9</v>
      </c>
      <c r="AB1723">
        <v>9</v>
      </c>
      <c r="AC1723" t="s">
        <v>310</v>
      </c>
      <c r="AD1723">
        <v>9</v>
      </c>
      <c r="AE1723" t="s">
        <v>1387</v>
      </c>
      <c r="AF1723">
        <v>0</v>
      </c>
      <c r="AG1723" t="s">
        <v>310</v>
      </c>
      <c r="AH1723">
        <f>SUM((MID(Dyno_Data[[#This Row],[Team]],4,5))+(Dyno_Data[[#This Row],[Match]]/100))</f>
        <v>9750.35</v>
      </c>
      <c r="AI1723" s="76">
        <f>ROUND(SUM(IF(Dyno_Data[[#This Row],[AcqCenter]]&gt;0,Dyno_Data[[#This Row],[Time]]-SUMIFS(Dyno_Data[Time],Dyno_Data[Team],Dyno_Data[[#This Row],[Team]],Dyno_Data[RecordType],"StartMatch",Dyno_Data[Match],Dyno_Data[[#This Row],[Match]]),0)*86400),0)</f>
        <v>0</v>
      </c>
    </row>
    <row r="1724" spans="1:35" x14ac:dyDescent="0.3">
      <c r="A1724">
        <v>1723</v>
      </c>
      <c r="B1724" t="s">
        <v>1317</v>
      </c>
      <c r="C1724">
        <v>35</v>
      </c>
      <c r="D1724" s="105">
        <v>45373.615190428238</v>
      </c>
      <c r="E1724" t="s">
        <v>312</v>
      </c>
      <c r="F1724" t="s">
        <v>1402</v>
      </c>
      <c r="G1724">
        <v>0</v>
      </c>
      <c r="H1724" t="s">
        <v>315</v>
      </c>
      <c r="I1724">
        <v>0</v>
      </c>
      <c r="J1724">
        <v>0</v>
      </c>
      <c r="K1724">
        <v>0</v>
      </c>
      <c r="L1724" t="s">
        <v>240</v>
      </c>
      <c r="M1724" t="s">
        <v>1398</v>
      </c>
      <c r="N1724">
        <v>0</v>
      </c>
      <c r="O1724" t="s">
        <v>1391</v>
      </c>
      <c r="P1724" t="s">
        <v>310</v>
      </c>
      <c r="Q1724" t="s">
        <v>310</v>
      </c>
      <c r="R1724" t="s">
        <v>310</v>
      </c>
      <c r="S1724">
        <v>9</v>
      </c>
      <c r="T1724" t="s">
        <v>310</v>
      </c>
      <c r="U1724">
        <v>9</v>
      </c>
      <c r="V1724">
        <v>9</v>
      </c>
      <c r="W1724">
        <v>0</v>
      </c>
      <c r="X1724">
        <v>0</v>
      </c>
      <c r="Y1724">
        <v>0</v>
      </c>
      <c r="Z1724">
        <v>0</v>
      </c>
      <c r="AA1724">
        <v>9</v>
      </c>
      <c r="AB1724">
        <v>9</v>
      </c>
      <c r="AC1724" t="s">
        <v>310</v>
      </c>
      <c r="AD1724">
        <v>9</v>
      </c>
      <c r="AE1724" t="s">
        <v>1394</v>
      </c>
      <c r="AF1724">
        <v>20000000</v>
      </c>
      <c r="AG1724" t="s">
        <v>310</v>
      </c>
      <c r="AH1724">
        <f>SUM((MID(Dyno_Data[[#This Row],[Team]],4,5))+(Dyno_Data[[#This Row],[Match]]/100))</f>
        <v>296.35000000000002</v>
      </c>
      <c r="AI1724" s="76">
        <f>ROUND(SUM(IF(Dyno_Data[[#This Row],[AcqCenter]]&gt;0,Dyno_Data[[#This Row],[Time]]-SUMIFS(Dyno_Data[Time],Dyno_Data[Team],Dyno_Data[[#This Row],[Team]],Dyno_Data[RecordType],"StartMatch",Dyno_Data[Match],Dyno_Data[[#This Row],[Match]]),0)*86400),0)</f>
        <v>0</v>
      </c>
    </row>
    <row r="1725" spans="1:35" x14ac:dyDescent="0.3">
      <c r="A1725">
        <v>1724</v>
      </c>
      <c r="B1725" t="s">
        <v>318</v>
      </c>
      <c r="C1725">
        <v>35</v>
      </c>
      <c r="D1725" s="105">
        <v>45373.615204247682</v>
      </c>
      <c r="E1725" t="s">
        <v>312</v>
      </c>
      <c r="F1725" t="s">
        <v>1402</v>
      </c>
      <c r="G1725">
        <v>0</v>
      </c>
      <c r="H1725" t="s">
        <v>315</v>
      </c>
      <c r="I1725">
        <v>0</v>
      </c>
      <c r="J1725">
        <v>0</v>
      </c>
      <c r="K1725">
        <v>0</v>
      </c>
      <c r="L1725" t="s">
        <v>240</v>
      </c>
      <c r="M1725" t="s">
        <v>1398</v>
      </c>
      <c r="N1725">
        <v>1</v>
      </c>
      <c r="O1725" t="s">
        <v>311</v>
      </c>
      <c r="P1725" t="s">
        <v>310</v>
      </c>
      <c r="Q1725" t="s">
        <v>310</v>
      </c>
      <c r="R1725" t="s">
        <v>310</v>
      </c>
      <c r="S1725">
        <v>9</v>
      </c>
      <c r="T1725" t="s">
        <v>310</v>
      </c>
      <c r="U1725">
        <v>9</v>
      </c>
      <c r="V1725">
        <v>9</v>
      </c>
      <c r="W1725">
        <v>0</v>
      </c>
      <c r="X1725">
        <v>0</v>
      </c>
      <c r="Y1725">
        <v>0</v>
      </c>
      <c r="Z1725">
        <v>0</v>
      </c>
      <c r="AA1725">
        <v>9</v>
      </c>
      <c r="AB1725">
        <v>9</v>
      </c>
      <c r="AC1725" t="s">
        <v>310</v>
      </c>
      <c r="AD1725">
        <v>9</v>
      </c>
      <c r="AE1725" t="s">
        <v>1392</v>
      </c>
      <c r="AF1725">
        <v>10000000</v>
      </c>
      <c r="AG1725" t="s">
        <v>310</v>
      </c>
      <c r="AH1725">
        <f>SUM((MID(Dyno_Data[[#This Row],[Team]],4,5))+(Dyno_Data[[#This Row],[Match]]/100))</f>
        <v>639.35</v>
      </c>
      <c r="AI1725" s="76">
        <f>ROUND(SUM(IF(Dyno_Data[[#This Row],[AcqCenter]]&gt;0,Dyno_Data[[#This Row],[Time]]-SUMIFS(Dyno_Data[Time],Dyno_Data[Team],Dyno_Data[[#This Row],[Team]],Dyno_Data[RecordType],"StartMatch",Dyno_Data[Match],Dyno_Data[[#This Row],[Match]]),0)*86400),0)</f>
        <v>0</v>
      </c>
    </row>
    <row r="1726" spans="1:35" x14ac:dyDescent="0.3">
      <c r="A1726">
        <v>1725</v>
      </c>
      <c r="B1726" t="s">
        <v>1291</v>
      </c>
      <c r="C1726">
        <v>35</v>
      </c>
      <c r="D1726" s="105">
        <v>45373.615246296293</v>
      </c>
      <c r="E1726" t="s">
        <v>312</v>
      </c>
      <c r="F1726" t="s">
        <v>1402</v>
      </c>
      <c r="G1726">
        <v>0</v>
      </c>
      <c r="H1726" t="s">
        <v>315</v>
      </c>
      <c r="I1726">
        <v>0</v>
      </c>
      <c r="J1726">
        <v>0</v>
      </c>
      <c r="K1726">
        <v>0</v>
      </c>
      <c r="L1726" t="s">
        <v>241</v>
      </c>
      <c r="M1726" t="s">
        <v>101</v>
      </c>
      <c r="N1726">
        <v>0</v>
      </c>
      <c r="O1726" t="s">
        <v>1393</v>
      </c>
      <c r="P1726" t="s">
        <v>310</v>
      </c>
      <c r="Q1726" t="s">
        <v>310</v>
      </c>
      <c r="R1726" t="s">
        <v>310</v>
      </c>
      <c r="S1726">
        <v>9</v>
      </c>
      <c r="T1726" t="s">
        <v>310</v>
      </c>
      <c r="U1726">
        <v>9</v>
      </c>
      <c r="V1726">
        <v>9</v>
      </c>
      <c r="W1726">
        <v>0</v>
      </c>
      <c r="X1726">
        <v>0</v>
      </c>
      <c r="Y1726">
        <v>0</v>
      </c>
      <c r="Z1726">
        <v>0</v>
      </c>
      <c r="AA1726">
        <v>9</v>
      </c>
      <c r="AB1726">
        <v>9</v>
      </c>
      <c r="AC1726" t="s">
        <v>310</v>
      </c>
      <c r="AD1726">
        <v>9</v>
      </c>
      <c r="AE1726" t="s">
        <v>1390</v>
      </c>
      <c r="AF1726">
        <v>20000000</v>
      </c>
      <c r="AG1726" t="s">
        <v>310</v>
      </c>
      <c r="AH1726">
        <f>SUM((MID(Dyno_Data[[#This Row],[Team]],4,5))+(Dyno_Data[[#This Row],[Match]]/100))</f>
        <v>1493.35</v>
      </c>
      <c r="AI1726" s="76">
        <f>ROUND(SUM(IF(Dyno_Data[[#This Row],[AcqCenter]]&gt;0,Dyno_Data[[#This Row],[Time]]-SUMIFS(Dyno_Data[Time],Dyno_Data[Team],Dyno_Data[[#This Row],[Team]],Dyno_Data[RecordType],"StartMatch",Dyno_Data[Match],Dyno_Data[[#This Row],[Match]]),0)*86400),0)</f>
        <v>0</v>
      </c>
    </row>
    <row r="1727" spans="1:35" x14ac:dyDescent="0.3">
      <c r="A1727">
        <v>1726</v>
      </c>
      <c r="B1727" t="s">
        <v>1317</v>
      </c>
      <c r="C1727">
        <v>35</v>
      </c>
      <c r="D1727" s="105">
        <v>45373.615290428243</v>
      </c>
      <c r="E1727" t="s">
        <v>312</v>
      </c>
      <c r="F1727" t="s">
        <v>1402</v>
      </c>
      <c r="G1727">
        <v>0</v>
      </c>
      <c r="H1727" t="s">
        <v>315</v>
      </c>
      <c r="I1727">
        <v>0</v>
      </c>
      <c r="J1727">
        <v>0</v>
      </c>
      <c r="K1727">
        <v>0</v>
      </c>
      <c r="L1727" t="s">
        <v>240</v>
      </c>
      <c r="M1727" t="s">
        <v>1398</v>
      </c>
      <c r="N1727">
        <v>0</v>
      </c>
      <c r="O1727" t="s">
        <v>1391</v>
      </c>
      <c r="P1727" t="s">
        <v>310</v>
      </c>
      <c r="Q1727" t="s">
        <v>310</v>
      </c>
      <c r="R1727" t="s">
        <v>310</v>
      </c>
      <c r="S1727">
        <v>9</v>
      </c>
      <c r="T1727" t="s">
        <v>310</v>
      </c>
      <c r="U1727">
        <v>9</v>
      </c>
      <c r="V1727">
        <v>9</v>
      </c>
      <c r="W1727">
        <v>0</v>
      </c>
      <c r="X1727">
        <v>0</v>
      </c>
      <c r="Y1727">
        <v>0</v>
      </c>
      <c r="Z1727">
        <v>0</v>
      </c>
      <c r="AA1727">
        <v>9</v>
      </c>
      <c r="AB1727">
        <v>9</v>
      </c>
      <c r="AC1727" t="s">
        <v>310</v>
      </c>
      <c r="AD1727">
        <v>9</v>
      </c>
      <c r="AE1727" t="s">
        <v>1394</v>
      </c>
      <c r="AF1727">
        <v>30000000</v>
      </c>
      <c r="AG1727" t="s">
        <v>310</v>
      </c>
      <c r="AH1727">
        <f>SUM((MID(Dyno_Data[[#This Row],[Team]],4,5))+(Dyno_Data[[#This Row],[Match]]/100))</f>
        <v>296.35000000000002</v>
      </c>
      <c r="AI1727" s="76">
        <f>ROUND(SUM(IF(Dyno_Data[[#This Row],[AcqCenter]]&gt;0,Dyno_Data[[#This Row],[Time]]-SUMIFS(Dyno_Data[Time],Dyno_Data[Team],Dyno_Data[[#This Row],[Team]],Dyno_Data[RecordType],"StartMatch",Dyno_Data[Match],Dyno_Data[[#This Row],[Match]]),0)*86400),0)</f>
        <v>0</v>
      </c>
    </row>
    <row r="1728" spans="1:35" x14ac:dyDescent="0.3">
      <c r="A1728">
        <v>1727</v>
      </c>
      <c r="B1728" t="s">
        <v>1297</v>
      </c>
      <c r="C1728">
        <v>35</v>
      </c>
      <c r="D1728" s="105">
        <v>45373.615296990742</v>
      </c>
      <c r="E1728" t="s">
        <v>312</v>
      </c>
      <c r="F1728" t="s">
        <v>1402</v>
      </c>
      <c r="G1728">
        <v>0</v>
      </c>
      <c r="H1728" t="s">
        <v>315</v>
      </c>
      <c r="I1728">
        <v>0</v>
      </c>
      <c r="J1728">
        <v>0</v>
      </c>
      <c r="K1728">
        <v>0</v>
      </c>
      <c r="L1728" t="s">
        <v>241</v>
      </c>
      <c r="M1728" t="s">
        <v>101</v>
      </c>
      <c r="N1728">
        <v>0</v>
      </c>
      <c r="O1728" t="s">
        <v>319</v>
      </c>
      <c r="P1728" t="s">
        <v>310</v>
      </c>
      <c r="Q1728" t="s">
        <v>310</v>
      </c>
      <c r="R1728" t="s">
        <v>310</v>
      </c>
      <c r="S1728">
        <v>9</v>
      </c>
      <c r="T1728" t="s">
        <v>310</v>
      </c>
      <c r="U1728">
        <v>9</v>
      </c>
      <c r="V1728">
        <v>9</v>
      </c>
      <c r="W1728">
        <v>0</v>
      </c>
      <c r="X1728">
        <v>0</v>
      </c>
      <c r="Y1728">
        <v>0</v>
      </c>
      <c r="Z1728">
        <v>0</v>
      </c>
      <c r="AA1728">
        <v>9</v>
      </c>
      <c r="AB1728">
        <v>9</v>
      </c>
      <c r="AC1728" t="s">
        <v>310</v>
      </c>
      <c r="AD1728">
        <v>9</v>
      </c>
      <c r="AE1728" t="s">
        <v>1387</v>
      </c>
      <c r="AF1728">
        <v>10000000</v>
      </c>
      <c r="AG1728" t="s">
        <v>310</v>
      </c>
      <c r="AH1728">
        <f>SUM((MID(Dyno_Data[[#This Row],[Team]],4,5))+(Dyno_Data[[#This Row],[Match]]/100))</f>
        <v>9750.35</v>
      </c>
      <c r="AI1728" s="76">
        <f>ROUND(SUM(IF(Dyno_Data[[#This Row],[AcqCenter]]&gt;0,Dyno_Data[[#This Row],[Time]]-SUMIFS(Dyno_Data[Time],Dyno_Data[Team],Dyno_Data[[#This Row],[Team]],Dyno_Data[RecordType],"StartMatch",Dyno_Data[Match],Dyno_Data[[#This Row],[Match]]),0)*86400),0)</f>
        <v>0</v>
      </c>
    </row>
    <row r="1729" spans="1:35" x14ac:dyDescent="0.3">
      <c r="A1729">
        <v>1728</v>
      </c>
      <c r="B1729" t="s">
        <v>1291</v>
      </c>
      <c r="C1729">
        <v>35</v>
      </c>
      <c r="D1729" s="105">
        <v>45373.615335335649</v>
      </c>
      <c r="E1729" t="s">
        <v>312</v>
      </c>
      <c r="F1729" t="s">
        <v>1402</v>
      </c>
      <c r="G1729">
        <v>0</v>
      </c>
      <c r="H1729" t="s">
        <v>315</v>
      </c>
      <c r="I1729">
        <v>0</v>
      </c>
      <c r="J1729">
        <v>0</v>
      </c>
      <c r="K1729">
        <v>0</v>
      </c>
      <c r="L1729" t="s">
        <v>241</v>
      </c>
      <c r="M1729" t="s">
        <v>101</v>
      </c>
      <c r="N1729">
        <v>0</v>
      </c>
      <c r="O1729" t="s">
        <v>1393</v>
      </c>
      <c r="P1729" t="s">
        <v>310</v>
      </c>
      <c r="Q1729" t="s">
        <v>310</v>
      </c>
      <c r="R1729" t="s">
        <v>310</v>
      </c>
      <c r="S1729">
        <v>9</v>
      </c>
      <c r="T1729" t="s">
        <v>310</v>
      </c>
      <c r="U1729">
        <v>9</v>
      </c>
      <c r="V1729">
        <v>9</v>
      </c>
      <c r="W1729">
        <v>0</v>
      </c>
      <c r="X1729">
        <v>0</v>
      </c>
      <c r="Y1729">
        <v>0</v>
      </c>
      <c r="Z1729">
        <v>0</v>
      </c>
      <c r="AA1729">
        <v>9</v>
      </c>
      <c r="AB1729">
        <v>9</v>
      </c>
      <c r="AC1729" t="s">
        <v>310</v>
      </c>
      <c r="AD1729">
        <v>9</v>
      </c>
      <c r="AE1729" t="s">
        <v>1390</v>
      </c>
      <c r="AF1729">
        <v>30000000</v>
      </c>
      <c r="AG1729" t="s">
        <v>310</v>
      </c>
      <c r="AH1729">
        <f>SUM((MID(Dyno_Data[[#This Row],[Team]],4,5))+(Dyno_Data[[#This Row],[Match]]/100))</f>
        <v>1493.35</v>
      </c>
      <c r="AI1729" s="76">
        <f>ROUND(SUM(IF(Dyno_Data[[#This Row],[AcqCenter]]&gt;0,Dyno_Data[[#This Row],[Time]]-SUMIFS(Dyno_Data[Time],Dyno_Data[Team],Dyno_Data[[#This Row],[Team]],Dyno_Data[RecordType],"StartMatch",Dyno_Data[Match],Dyno_Data[[#This Row],[Match]]),0)*86400),0)</f>
        <v>0</v>
      </c>
    </row>
    <row r="1730" spans="1:35" x14ac:dyDescent="0.3">
      <c r="A1730">
        <v>1729</v>
      </c>
      <c r="B1730" t="s">
        <v>1318</v>
      </c>
      <c r="C1730">
        <v>35</v>
      </c>
      <c r="D1730" s="105">
        <v>45373.615339618053</v>
      </c>
      <c r="E1730" t="s">
        <v>312</v>
      </c>
      <c r="F1730" t="s">
        <v>1402</v>
      </c>
      <c r="G1730">
        <v>0</v>
      </c>
      <c r="H1730" t="s">
        <v>315</v>
      </c>
      <c r="I1730">
        <v>0</v>
      </c>
      <c r="J1730">
        <v>0</v>
      </c>
      <c r="K1730">
        <v>0</v>
      </c>
      <c r="L1730" t="s">
        <v>241</v>
      </c>
      <c r="M1730" t="s">
        <v>1398</v>
      </c>
      <c r="N1730">
        <v>0</v>
      </c>
      <c r="O1730" t="s">
        <v>1389</v>
      </c>
      <c r="P1730" t="s">
        <v>310</v>
      </c>
      <c r="Q1730" t="s">
        <v>310</v>
      </c>
      <c r="R1730" t="s">
        <v>310</v>
      </c>
      <c r="S1730">
        <v>9</v>
      </c>
      <c r="T1730" t="s">
        <v>310</v>
      </c>
      <c r="U1730">
        <v>9</v>
      </c>
      <c r="V1730">
        <v>9</v>
      </c>
      <c r="W1730">
        <v>0</v>
      </c>
      <c r="X1730">
        <v>0</v>
      </c>
      <c r="Y1730">
        <v>0</v>
      </c>
      <c r="Z1730">
        <v>0</v>
      </c>
      <c r="AA1730">
        <v>9</v>
      </c>
      <c r="AB1730">
        <v>9</v>
      </c>
      <c r="AC1730" t="s">
        <v>310</v>
      </c>
      <c r="AD1730">
        <v>9</v>
      </c>
      <c r="AE1730" t="s">
        <v>1388</v>
      </c>
      <c r="AF1730">
        <v>10000000</v>
      </c>
      <c r="AG1730" t="s">
        <v>310</v>
      </c>
      <c r="AH1730">
        <f>SUM((MID(Dyno_Data[[#This Row],[Team]],4,5))+(Dyno_Data[[#This Row],[Match]]/100))</f>
        <v>7709.35</v>
      </c>
      <c r="AI1730" s="76">
        <f>ROUND(SUM(IF(Dyno_Data[[#This Row],[AcqCenter]]&gt;0,Dyno_Data[[#This Row],[Time]]-SUMIFS(Dyno_Data[Time],Dyno_Data[Team],Dyno_Data[[#This Row],[Team]],Dyno_Data[RecordType],"StartMatch",Dyno_Data[Match],Dyno_Data[[#This Row],[Match]]),0)*86400),0)</f>
        <v>0</v>
      </c>
    </row>
    <row r="1731" spans="1:35" x14ac:dyDescent="0.3">
      <c r="A1731">
        <v>1730</v>
      </c>
      <c r="B1731" t="s">
        <v>318</v>
      </c>
      <c r="C1731">
        <v>35</v>
      </c>
      <c r="D1731" s="105">
        <v>45373.615346956016</v>
      </c>
      <c r="E1731" t="s">
        <v>312</v>
      </c>
      <c r="F1731" t="s">
        <v>1402</v>
      </c>
      <c r="G1731">
        <v>0</v>
      </c>
      <c r="H1731" t="s">
        <v>315</v>
      </c>
      <c r="I1731">
        <v>0</v>
      </c>
      <c r="J1731">
        <v>0</v>
      </c>
      <c r="K1731">
        <v>0</v>
      </c>
      <c r="L1731" t="s">
        <v>240</v>
      </c>
      <c r="M1731" t="s">
        <v>1398</v>
      </c>
      <c r="N1731">
        <v>0</v>
      </c>
      <c r="O1731" t="s">
        <v>311</v>
      </c>
      <c r="P1731" t="s">
        <v>310</v>
      </c>
      <c r="Q1731" t="s">
        <v>310</v>
      </c>
      <c r="R1731" t="s">
        <v>310</v>
      </c>
      <c r="S1731">
        <v>9</v>
      </c>
      <c r="T1731" t="s">
        <v>310</v>
      </c>
      <c r="U1731">
        <v>9</v>
      </c>
      <c r="V1731">
        <v>9</v>
      </c>
      <c r="W1731">
        <v>0</v>
      </c>
      <c r="X1731">
        <v>0</v>
      </c>
      <c r="Y1731">
        <v>0</v>
      </c>
      <c r="Z1731">
        <v>0</v>
      </c>
      <c r="AA1731">
        <v>9</v>
      </c>
      <c r="AB1731">
        <v>9</v>
      </c>
      <c r="AC1731" t="s">
        <v>310</v>
      </c>
      <c r="AD1731">
        <v>9</v>
      </c>
      <c r="AE1731" t="s">
        <v>1392</v>
      </c>
      <c r="AF1731">
        <v>20000000</v>
      </c>
      <c r="AG1731" t="s">
        <v>310</v>
      </c>
      <c r="AH1731">
        <f>SUM((MID(Dyno_Data[[#This Row],[Team]],4,5))+(Dyno_Data[[#This Row],[Match]]/100))</f>
        <v>639.35</v>
      </c>
      <c r="AI1731" s="76">
        <f>ROUND(SUM(IF(Dyno_Data[[#This Row],[AcqCenter]]&gt;0,Dyno_Data[[#This Row],[Time]]-SUMIFS(Dyno_Data[Time],Dyno_Data[Team],Dyno_Data[[#This Row],[Team]],Dyno_Data[RecordType],"StartMatch",Dyno_Data[Match],Dyno_Data[[#This Row],[Match]]),0)*86400),0)</f>
        <v>0</v>
      </c>
    </row>
    <row r="1732" spans="1:35" x14ac:dyDescent="0.3">
      <c r="A1732">
        <v>1731</v>
      </c>
      <c r="B1732" t="s">
        <v>1291</v>
      </c>
      <c r="C1732">
        <v>35</v>
      </c>
      <c r="D1732" s="105">
        <v>45373.615392442131</v>
      </c>
      <c r="E1732" t="s">
        <v>312</v>
      </c>
      <c r="F1732" t="s">
        <v>1402</v>
      </c>
      <c r="G1732">
        <v>0</v>
      </c>
      <c r="H1732" t="s">
        <v>315</v>
      </c>
      <c r="I1732">
        <v>0</v>
      </c>
      <c r="J1732">
        <v>0</v>
      </c>
      <c r="K1732">
        <v>0</v>
      </c>
      <c r="L1732" t="s">
        <v>241</v>
      </c>
      <c r="M1732" t="s">
        <v>1398</v>
      </c>
      <c r="N1732">
        <v>0</v>
      </c>
      <c r="O1732" t="s">
        <v>1393</v>
      </c>
      <c r="P1732" t="s">
        <v>310</v>
      </c>
      <c r="Q1732" t="s">
        <v>310</v>
      </c>
      <c r="R1732" t="s">
        <v>310</v>
      </c>
      <c r="S1732">
        <v>9</v>
      </c>
      <c r="T1732" t="s">
        <v>310</v>
      </c>
      <c r="U1732">
        <v>9</v>
      </c>
      <c r="V1732">
        <v>9</v>
      </c>
      <c r="W1732">
        <v>0</v>
      </c>
      <c r="X1732">
        <v>0</v>
      </c>
      <c r="Y1732">
        <v>0</v>
      </c>
      <c r="Z1732">
        <v>0</v>
      </c>
      <c r="AA1732">
        <v>9</v>
      </c>
      <c r="AB1732">
        <v>9</v>
      </c>
      <c r="AC1732" t="s">
        <v>310</v>
      </c>
      <c r="AD1732">
        <v>9</v>
      </c>
      <c r="AE1732" t="s">
        <v>1390</v>
      </c>
      <c r="AF1732">
        <v>40000000</v>
      </c>
      <c r="AG1732" t="s">
        <v>310</v>
      </c>
      <c r="AH1732">
        <f>SUM((MID(Dyno_Data[[#This Row],[Team]],4,5))+(Dyno_Data[[#This Row],[Match]]/100))</f>
        <v>1493.35</v>
      </c>
      <c r="AI1732" s="76">
        <f>ROUND(SUM(IF(Dyno_Data[[#This Row],[AcqCenter]]&gt;0,Dyno_Data[[#This Row],[Time]]-SUMIFS(Dyno_Data[Time],Dyno_Data[Team],Dyno_Data[[#This Row],[Team]],Dyno_Data[RecordType],"StartMatch",Dyno_Data[Match],Dyno_Data[[#This Row],[Match]]),0)*86400),0)</f>
        <v>0</v>
      </c>
    </row>
    <row r="1733" spans="1:35" x14ac:dyDescent="0.3">
      <c r="A1733">
        <v>1732</v>
      </c>
      <c r="B1733" t="s">
        <v>318</v>
      </c>
      <c r="C1733">
        <v>35</v>
      </c>
      <c r="D1733" s="105">
        <v>45373.615475694445</v>
      </c>
      <c r="E1733" t="s">
        <v>312</v>
      </c>
      <c r="F1733" t="s">
        <v>1402</v>
      </c>
      <c r="G1733">
        <v>0</v>
      </c>
      <c r="H1733" t="s">
        <v>315</v>
      </c>
      <c r="I1733">
        <v>0</v>
      </c>
      <c r="J1733">
        <v>0</v>
      </c>
      <c r="K1733">
        <v>0</v>
      </c>
      <c r="L1733" t="s">
        <v>240</v>
      </c>
      <c r="M1733" t="s">
        <v>1398</v>
      </c>
      <c r="N1733">
        <v>1</v>
      </c>
      <c r="O1733" t="s">
        <v>311</v>
      </c>
      <c r="P1733" t="s">
        <v>310</v>
      </c>
      <c r="Q1733" t="s">
        <v>310</v>
      </c>
      <c r="R1733" t="s">
        <v>310</v>
      </c>
      <c r="S1733">
        <v>9</v>
      </c>
      <c r="T1733" t="s">
        <v>310</v>
      </c>
      <c r="U1733">
        <v>9</v>
      </c>
      <c r="V1733">
        <v>9</v>
      </c>
      <c r="W1733">
        <v>0</v>
      </c>
      <c r="X1733">
        <v>0</v>
      </c>
      <c r="Y1733">
        <v>0</v>
      </c>
      <c r="Z1733">
        <v>0</v>
      </c>
      <c r="AA1733">
        <v>9</v>
      </c>
      <c r="AB1733">
        <v>9</v>
      </c>
      <c r="AC1733" t="s">
        <v>310</v>
      </c>
      <c r="AD1733">
        <v>9</v>
      </c>
      <c r="AE1733" t="s">
        <v>1392</v>
      </c>
      <c r="AF1733">
        <v>30000000</v>
      </c>
      <c r="AG1733" t="s">
        <v>310</v>
      </c>
      <c r="AH1733">
        <f>SUM((MID(Dyno_Data[[#This Row],[Team]],4,5))+(Dyno_Data[[#This Row],[Match]]/100))</f>
        <v>639.35</v>
      </c>
      <c r="AI1733" s="76">
        <f>ROUND(SUM(IF(Dyno_Data[[#This Row],[AcqCenter]]&gt;0,Dyno_Data[[#This Row],[Time]]-SUMIFS(Dyno_Data[Time],Dyno_Data[Team],Dyno_Data[[#This Row],[Team]],Dyno_Data[RecordType],"StartMatch",Dyno_Data[Match],Dyno_Data[[#This Row],[Match]]),0)*86400),0)</f>
        <v>0</v>
      </c>
    </row>
    <row r="1734" spans="1:35" x14ac:dyDescent="0.3">
      <c r="A1734">
        <v>1733</v>
      </c>
      <c r="B1734" t="s">
        <v>1291</v>
      </c>
      <c r="C1734">
        <v>35</v>
      </c>
      <c r="D1734" s="105">
        <v>45373.615503240741</v>
      </c>
      <c r="E1734" t="s">
        <v>312</v>
      </c>
      <c r="F1734" t="s">
        <v>1402</v>
      </c>
      <c r="G1734">
        <v>0</v>
      </c>
      <c r="H1734" t="s">
        <v>315</v>
      </c>
      <c r="I1734">
        <v>0</v>
      </c>
      <c r="J1734">
        <v>0</v>
      </c>
      <c r="K1734">
        <v>0</v>
      </c>
      <c r="L1734" t="s">
        <v>241</v>
      </c>
      <c r="M1734" t="s">
        <v>101</v>
      </c>
      <c r="N1734">
        <v>0</v>
      </c>
      <c r="O1734" t="s">
        <v>1393</v>
      </c>
      <c r="P1734" t="s">
        <v>310</v>
      </c>
      <c r="Q1734" t="s">
        <v>310</v>
      </c>
      <c r="R1734" t="s">
        <v>310</v>
      </c>
      <c r="S1734">
        <v>9</v>
      </c>
      <c r="T1734" t="s">
        <v>310</v>
      </c>
      <c r="U1734">
        <v>9</v>
      </c>
      <c r="V1734">
        <v>9</v>
      </c>
      <c r="W1734">
        <v>0</v>
      </c>
      <c r="X1734">
        <v>0</v>
      </c>
      <c r="Y1734">
        <v>0</v>
      </c>
      <c r="Z1734">
        <v>0</v>
      </c>
      <c r="AA1734">
        <v>9</v>
      </c>
      <c r="AB1734">
        <v>9</v>
      </c>
      <c r="AC1734" t="s">
        <v>310</v>
      </c>
      <c r="AD1734">
        <v>9</v>
      </c>
      <c r="AE1734" t="s">
        <v>1390</v>
      </c>
      <c r="AF1734">
        <v>50000000</v>
      </c>
      <c r="AG1734" t="s">
        <v>310</v>
      </c>
      <c r="AH1734">
        <f>SUM((MID(Dyno_Data[[#This Row],[Team]],4,5))+(Dyno_Data[[#This Row],[Match]]/100))</f>
        <v>1493.35</v>
      </c>
      <c r="AI1734" s="76">
        <f>ROUND(SUM(IF(Dyno_Data[[#This Row],[AcqCenter]]&gt;0,Dyno_Data[[#This Row],[Time]]-SUMIFS(Dyno_Data[Time],Dyno_Data[Team],Dyno_Data[[#This Row],[Team]],Dyno_Data[RecordType],"StartMatch",Dyno_Data[Match],Dyno_Data[[#This Row],[Match]]),0)*86400),0)</f>
        <v>0</v>
      </c>
    </row>
    <row r="1735" spans="1:35" x14ac:dyDescent="0.3">
      <c r="A1735">
        <v>1734</v>
      </c>
      <c r="B1735" t="s">
        <v>1297</v>
      </c>
      <c r="C1735">
        <v>35</v>
      </c>
      <c r="D1735" s="105">
        <v>45373.615566238426</v>
      </c>
      <c r="E1735" t="s">
        <v>312</v>
      </c>
      <c r="F1735" t="s">
        <v>1402</v>
      </c>
      <c r="G1735">
        <v>0</v>
      </c>
      <c r="H1735" t="s">
        <v>315</v>
      </c>
      <c r="I1735">
        <v>0</v>
      </c>
      <c r="J1735">
        <v>0</v>
      </c>
      <c r="K1735">
        <v>0</v>
      </c>
      <c r="L1735" t="s">
        <v>241</v>
      </c>
      <c r="M1735" t="s">
        <v>101</v>
      </c>
      <c r="N1735">
        <v>0</v>
      </c>
      <c r="O1735" t="s">
        <v>319</v>
      </c>
      <c r="P1735" t="s">
        <v>310</v>
      </c>
      <c r="Q1735" t="s">
        <v>310</v>
      </c>
      <c r="R1735" t="s">
        <v>310</v>
      </c>
      <c r="S1735">
        <v>9</v>
      </c>
      <c r="T1735" t="s">
        <v>310</v>
      </c>
      <c r="U1735">
        <v>9</v>
      </c>
      <c r="V1735">
        <v>9</v>
      </c>
      <c r="W1735">
        <v>0</v>
      </c>
      <c r="X1735">
        <v>0</v>
      </c>
      <c r="Y1735">
        <v>0</v>
      </c>
      <c r="Z1735">
        <v>0</v>
      </c>
      <c r="AA1735">
        <v>9</v>
      </c>
      <c r="AB1735">
        <v>9</v>
      </c>
      <c r="AC1735" t="s">
        <v>310</v>
      </c>
      <c r="AD1735">
        <v>9</v>
      </c>
      <c r="AE1735" t="s">
        <v>1387</v>
      </c>
      <c r="AF1735">
        <v>20000000</v>
      </c>
      <c r="AG1735" t="s">
        <v>310</v>
      </c>
      <c r="AH1735">
        <f>SUM((MID(Dyno_Data[[#This Row],[Team]],4,5))+(Dyno_Data[[#This Row],[Match]]/100))</f>
        <v>9750.35</v>
      </c>
      <c r="AI1735" s="76">
        <f>ROUND(SUM(IF(Dyno_Data[[#This Row],[AcqCenter]]&gt;0,Dyno_Data[[#This Row],[Time]]-SUMIFS(Dyno_Data[Time],Dyno_Data[Team],Dyno_Data[[#This Row],[Team]],Dyno_Data[RecordType],"StartMatch",Dyno_Data[Match],Dyno_Data[[#This Row],[Match]]),0)*86400),0)</f>
        <v>0</v>
      </c>
    </row>
    <row r="1736" spans="1:35" x14ac:dyDescent="0.3">
      <c r="A1736">
        <v>1735</v>
      </c>
      <c r="B1736" t="s">
        <v>318</v>
      </c>
      <c r="C1736">
        <v>35</v>
      </c>
      <c r="D1736" s="105">
        <v>45373.615597372685</v>
      </c>
      <c r="E1736" t="s">
        <v>312</v>
      </c>
      <c r="F1736" t="s">
        <v>1402</v>
      </c>
      <c r="G1736">
        <v>0</v>
      </c>
      <c r="H1736" t="s">
        <v>315</v>
      </c>
      <c r="I1736">
        <v>0</v>
      </c>
      <c r="J1736">
        <v>0</v>
      </c>
      <c r="K1736">
        <v>0</v>
      </c>
      <c r="L1736" t="s">
        <v>240</v>
      </c>
      <c r="M1736" t="s">
        <v>1398</v>
      </c>
      <c r="N1736">
        <v>0</v>
      </c>
      <c r="O1736" t="s">
        <v>311</v>
      </c>
      <c r="P1736" t="s">
        <v>310</v>
      </c>
      <c r="Q1736" t="s">
        <v>310</v>
      </c>
      <c r="R1736" t="s">
        <v>310</v>
      </c>
      <c r="S1736">
        <v>9</v>
      </c>
      <c r="T1736" t="s">
        <v>310</v>
      </c>
      <c r="U1736">
        <v>9</v>
      </c>
      <c r="V1736">
        <v>9</v>
      </c>
      <c r="W1736">
        <v>0</v>
      </c>
      <c r="X1736">
        <v>0</v>
      </c>
      <c r="Y1736">
        <v>0</v>
      </c>
      <c r="Z1736">
        <v>0</v>
      </c>
      <c r="AA1736">
        <v>9</v>
      </c>
      <c r="AB1736">
        <v>9</v>
      </c>
      <c r="AC1736" t="s">
        <v>310</v>
      </c>
      <c r="AD1736">
        <v>9</v>
      </c>
      <c r="AE1736" t="s">
        <v>1392</v>
      </c>
      <c r="AF1736">
        <v>40000000</v>
      </c>
      <c r="AG1736" t="s">
        <v>310</v>
      </c>
      <c r="AH1736">
        <f>SUM((MID(Dyno_Data[[#This Row],[Team]],4,5))+(Dyno_Data[[#This Row],[Match]]/100))</f>
        <v>639.35</v>
      </c>
      <c r="AI1736" s="76">
        <f>ROUND(SUM(IF(Dyno_Data[[#This Row],[AcqCenter]]&gt;0,Dyno_Data[[#This Row],[Time]]-SUMIFS(Dyno_Data[Time],Dyno_Data[Team],Dyno_Data[[#This Row],[Team]],Dyno_Data[RecordType],"StartMatch",Dyno_Data[Match],Dyno_Data[[#This Row],[Match]]),0)*86400),0)</f>
        <v>0</v>
      </c>
    </row>
    <row r="1737" spans="1:35" x14ac:dyDescent="0.3">
      <c r="A1737">
        <v>1736</v>
      </c>
      <c r="B1737" t="s">
        <v>1318</v>
      </c>
      <c r="C1737">
        <v>35</v>
      </c>
      <c r="D1737" s="105">
        <v>45373.615605324077</v>
      </c>
      <c r="E1737" t="s">
        <v>312</v>
      </c>
      <c r="F1737" t="s">
        <v>1402</v>
      </c>
      <c r="G1737">
        <v>0</v>
      </c>
      <c r="H1737" t="s">
        <v>315</v>
      </c>
      <c r="I1737">
        <v>0</v>
      </c>
      <c r="J1737">
        <v>0</v>
      </c>
      <c r="K1737">
        <v>0</v>
      </c>
      <c r="L1737" t="s">
        <v>240</v>
      </c>
      <c r="M1737" t="s">
        <v>1398</v>
      </c>
      <c r="N1737">
        <v>0</v>
      </c>
      <c r="O1737" t="s">
        <v>1389</v>
      </c>
      <c r="P1737" t="s">
        <v>310</v>
      </c>
      <c r="Q1737" t="s">
        <v>310</v>
      </c>
      <c r="R1737" t="s">
        <v>310</v>
      </c>
      <c r="S1737">
        <v>9</v>
      </c>
      <c r="T1737" t="s">
        <v>310</v>
      </c>
      <c r="U1737">
        <v>9</v>
      </c>
      <c r="V1737">
        <v>9</v>
      </c>
      <c r="W1737">
        <v>0</v>
      </c>
      <c r="X1737">
        <v>0</v>
      </c>
      <c r="Y1737">
        <v>0</v>
      </c>
      <c r="Z1737">
        <v>0</v>
      </c>
      <c r="AA1737">
        <v>9</v>
      </c>
      <c r="AB1737">
        <v>9</v>
      </c>
      <c r="AC1737" t="s">
        <v>310</v>
      </c>
      <c r="AD1737">
        <v>9</v>
      </c>
      <c r="AE1737" t="s">
        <v>1388</v>
      </c>
      <c r="AF1737">
        <v>20000000</v>
      </c>
      <c r="AG1737" t="s">
        <v>310</v>
      </c>
      <c r="AH1737">
        <f>SUM((MID(Dyno_Data[[#This Row],[Team]],4,5))+(Dyno_Data[[#This Row],[Match]]/100))</f>
        <v>7709.35</v>
      </c>
      <c r="AI1737" s="76">
        <f>ROUND(SUM(IF(Dyno_Data[[#This Row],[AcqCenter]]&gt;0,Dyno_Data[[#This Row],[Time]]-SUMIFS(Dyno_Data[Time],Dyno_Data[Team],Dyno_Data[[#This Row],[Team]],Dyno_Data[RecordType],"StartMatch",Dyno_Data[Match],Dyno_Data[[#This Row],[Match]]),0)*86400),0)</f>
        <v>0</v>
      </c>
    </row>
    <row r="1738" spans="1:35" x14ac:dyDescent="0.3">
      <c r="A1738">
        <v>1737</v>
      </c>
      <c r="B1738" t="s">
        <v>1317</v>
      </c>
      <c r="C1738">
        <v>35</v>
      </c>
      <c r="D1738" s="105">
        <v>45373.615633530091</v>
      </c>
      <c r="E1738" t="s">
        <v>312</v>
      </c>
      <c r="F1738" t="s">
        <v>1402</v>
      </c>
      <c r="G1738">
        <v>0</v>
      </c>
      <c r="H1738" t="s">
        <v>315</v>
      </c>
      <c r="I1738">
        <v>0</v>
      </c>
      <c r="J1738">
        <v>0</v>
      </c>
      <c r="K1738">
        <v>0</v>
      </c>
      <c r="L1738" t="s">
        <v>241</v>
      </c>
      <c r="M1738" t="s">
        <v>1398</v>
      </c>
      <c r="N1738">
        <v>0</v>
      </c>
      <c r="O1738" t="s">
        <v>1391</v>
      </c>
      <c r="P1738" t="s">
        <v>310</v>
      </c>
      <c r="Q1738" t="s">
        <v>310</v>
      </c>
      <c r="R1738" t="s">
        <v>310</v>
      </c>
      <c r="S1738">
        <v>9</v>
      </c>
      <c r="T1738" t="s">
        <v>310</v>
      </c>
      <c r="U1738">
        <v>9</v>
      </c>
      <c r="V1738">
        <v>9</v>
      </c>
      <c r="W1738">
        <v>0</v>
      </c>
      <c r="X1738">
        <v>0</v>
      </c>
      <c r="Y1738">
        <v>0</v>
      </c>
      <c r="Z1738">
        <v>0</v>
      </c>
      <c r="AA1738">
        <v>9</v>
      </c>
      <c r="AB1738">
        <v>9</v>
      </c>
      <c r="AC1738" t="s">
        <v>310</v>
      </c>
      <c r="AD1738">
        <v>9</v>
      </c>
      <c r="AE1738" t="s">
        <v>1394</v>
      </c>
      <c r="AF1738">
        <v>40000000</v>
      </c>
      <c r="AG1738" t="s">
        <v>310</v>
      </c>
      <c r="AH1738">
        <f>SUM((MID(Dyno_Data[[#This Row],[Team]],4,5))+(Dyno_Data[[#This Row],[Match]]/100))</f>
        <v>296.35000000000002</v>
      </c>
      <c r="AI1738" s="76">
        <f>ROUND(SUM(IF(Dyno_Data[[#This Row],[AcqCenter]]&gt;0,Dyno_Data[[#This Row],[Time]]-SUMIFS(Dyno_Data[Time],Dyno_Data[Team],Dyno_Data[[#This Row],[Team]],Dyno_Data[RecordType],"StartMatch",Dyno_Data[Match],Dyno_Data[[#This Row],[Match]]),0)*86400),0)</f>
        <v>0</v>
      </c>
    </row>
    <row r="1739" spans="1:35" x14ac:dyDescent="0.3">
      <c r="A1739">
        <v>1738</v>
      </c>
      <c r="B1739" t="s">
        <v>1291</v>
      </c>
      <c r="C1739">
        <v>35</v>
      </c>
      <c r="D1739" s="105">
        <v>45373.615665428239</v>
      </c>
      <c r="E1739" t="s">
        <v>312</v>
      </c>
      <c r="F1739" t="s">
        <v>1402</v>
      </c>
      <c r="G1739">
        <v>0</v>
      </c>
      <c r="H1739" t="s">
        <v>315</v>
      </c>
      <c r="I1739">
        <v>0</v>
      </c>
      <c r="J1739">
        <v>0</v>
      </c>
      <c r="K1739">
        <v>0</v>
      </c>
      <c r="L1739" t="s">
        <v>242</v>
      </c>
      <c r="M1739" t="s">
        <v>241</v>
      </c>
      <c r="N1739">
        <v>0</v>
      </c>
      <c r="O1739" t="s">
        <v>1393</v>
      </c>
      <c r="P1739" t="s">
        <v>310</v>
      </c>
      <c r="Q1739" t="s">
        <v>310</v>
      </c>
      <c r="R1739" t="s">
        <v>310</v>
      </c>
      <c r="S1739">
        <v>9</v>
      </c>
      <c r="T1739" t="s">
        <v>310</v>
      </c>
      <c r="U1739">
        <v>9</v>
      </c>
      <c r="V1739">
        <v>9</v>
      </c>
      <c r="W1739">
        <v>0</v>
      </c>
      <c r="X1739">
        <v>0</v>
      </c>
      <c r="Y1739">
        <v>0</v>
      </c>
      <c r="Z1739">
        <v>0</v>
      </c>
      <c r="AA1739">
        <v>9</v>
      </c>
      <c r="AB1739">
        <v>9</v>
      </c>
      <c r="AC1739" t="s">
        <v>310</v>
      </c>
      <c r="AD1739">
        <v>9</v>
      </c>
      <c r="AE1739" t="s">
        <v>1390</v>
      </c>
      <c r="AF1739">
        <v>60000000</v>
      </c>
      <c r="AG1739" t="s">
        <v>310</v>
      </c>
      <c r="AH1739">
        <f>SUM((MID(Dyno_Data[[#This Row],[Team]],4,5))+(Dyno_Data[[#This Row],[Match]]/100))</f>
        <v>1493.35</v>
      </c>
      <c r="AI1739" s="76">
        <f>ROUND(SUM(IF(Dyno_Data[[#This Row],[AcqCenter]]&gt;0,Dyno_Data[[#This Row],[Time]]-SUMIFS(Dyno_Data[Time],Dyno_Data[Team],Dyno_Data[[#This Row],[Team]],Dyno_Data[RecordType],"StartMatch",Dyno_Data[Match],Dyno_Data[[#This Row],[Match]]),0)*86400),0)</f>
        <v>0</v>
      </c>
    </row>
    <row r="1740" spans="1:35" x14ac:dyDescent="0.3">
      <c r="A1740">
        <v>1739</v>
      </c>
      <c r="B1740" t="s">
        <v>1291</v>
      </c>
      <c r="C1740">
        <v>35</v>
      </c>
      <c r="D1740" s="105">
        <v>45373.615773495367</v>
      </c>
      <c r="E1740" t="s">
        <v>312</v>
      </c>
      <c r="F1740" t="s">
        <v>1402</v>
      </c>
      <c r="G1740">
        <v>0</v>
      </c>
      <c r="H1740" t="s">
        <v>315</v>
      </c>
      <c r="I1740">
        <v>0</v>
      </c>
      <c r="J1740">
        <v>0</v>
      </c>
      <c r="K1740">
        <v>0</v>
      </c>
      <c r="L1740" t="s">
        <v>241</v>
      </c>
      <c r="M1740" t="s">
        <v>1398</v>
      </c>
      <c r="N1740">
        <v>0</v>
      </c>
      <c r="O1740" t="s">
        <v>1393</v>
      </c>
      <c r="P1740" t="s">
        <v>310</v>
      </c>
      <c r="Q1740" t="s">
        <v>310</v>
      </c>
      <c r="R1740" t="s">
        <v>310</v>
      </c>
      <c r="S1740">
        <v>9</v>
      </c>
      <c r="T1740" t="s">
        <v>310</v>
      </c>
      <c r="U1740">
        <v>9</v>
      </c>
      <c r="V1740">
        <v>9</v>
      </c>
      <c r="W1740">
        <v>0</v>
      </c>
      <c r="X1740">
        <v>0</v>
      </c>
      <c r="Y1740">
        <v>0</v>
      </c>
      <c r="Z1740">
        <v>0</v>
      </c>
      <c r="AA1740">
        <v>9</v>
      </c>
      <c r="AB1740">
        <v>9</v>
      </c>
      <c r="AC1740" t="s">
        <v>310</v>
      </c>
      <c r="AD1740">
        <v>9</v>
      </c>
      <c r="AE1740" t="s">
        <v>1390</v>
      </c>
      <c r="AF1740">
        <v>70000000</v>
      </c>
      <c r="AG1740" t="s">
        <v>310</v>
      </c>
      <c r="AH1740">
        <f>SUM((MID(Dyno_Data[[#This Row],[Team]],4,5))+(Dyno_Data[[#This Row],[Match]]/100))</f>
        <v>1493.35</v>
      </c>
      <c r="AI1740" s="76">
        <f>ROUND(SUM(IF(Dyno_Data[[#This Row],[AcqCenter]]&gt;0,Dyno_Data[[#This Row],[Time]]-SUMIFS(Dyno_Data[Time],Dyno_Data[Team],Dyno_Data[[#This Row],[Team]],Dyno_Data[RecordType],"StartMatch",Dyno_Data[Match],Dyno_Data[[#This Row],[Match]]),0)*86400),0)</f>
        <v>0</v>
      </c>
    </row>
    <row r="1741" spans="1:35" x14ac:dyDescent="0.3">
      <c r="A1741">
        <v>1740</v>
      </c>
      <c r="B1741" t="s">
        <v>1297</v>
      </c>
      <c r="C1741">
        <v>35</v>
      </c>
      <c r="D1741" s="105">
        <v>45373.615779432868</v>
      </c>
      <c r="E1741" t="s">
        <v>312</v>
      </c>
      <c r="F1741" t="s">
        <v>1402</v>
      </c>
      <c r="G1741">
        <v>0</v>
      </c>
      <c r="H1741" t="s">
        <v>315</v>
      </c>
      <c r="I1741">
        <v>0</v>
      </c>
      <c r="J1741">
        <v>0</v>
      </c>
      <c r="K1741">
        <v>0</v>
      </c>
      <c r="L1741" t="s">
        <v>241</v>
      </c>
      <c r="M1741" t="s">
        <v>101</v>
      </c>
      <c r="N1741">
        <v>0</v>
      </c>
      <c r="O1741" t="s">
        <v>319</v>
      </c>
      <c r="P1741" t="s">
        <v>310</v>
      </c>
      <c r="Q1741" t="s">
        <v>310</v>
      </c>
      <c r="R1741" t="s">
        <v>310</v>
      </c>
      <c r="S1741">
        <v>9</v>
      </c>
      <c r="T1741" t="s">
        <v>310</v>
      </c>
      <c r="U1741">
        <v>9</v>
      </c>
      <c r="V1741">
        <v>9</v>
      </c>
      <c r="W1741">
        <v>0</v>
      </c>
      <c r="X1741">
        <v>0</v>
      </c>
      <c r="Y1741">
        <v>0</v>
      </c>
      <c r="Z1741">
        <v>0</v>
      </c>
      <c r="AA1741">
        <v>9</v>
      </c>
      <c r="AB1741">
        <v>9</v>
      </c>
      <c r="AC1741" t="s">
        <v>310</v>
      </c>
      <c r="AD1741">
        <v>9</v>
      </c>
      <c r="AE1741" t="s">
        <v>1387</v>
      </c>
      <c r="AF1741">
        <v>30000000</v>
      </c>
      <c r="AG1741" t="s">
        <v>310</v>
      </c>
      <c r="AH1741">
        <f>SUM((MID(Dyno_Data[[#This Row],[Team]],4,5))+(Dyno_Data[[#This Row],[Match]]/100))</f>
        <v>9750.35</v>
      </c>
      <c r="AI1741" s="76">
        <f>ROUND(SUM(IF(Dyno_Data[[#This Row],[AcqCenter]]&gt;0,Dyno_Data[[#This Row],[Time]]-SUMIFS(Dyno_Data[Time],Dyno_Data[Team],Dyno_Data[[#This Row],[Team]],Dyno_Data[RecordType],"StartMatch",Dyno_Data[Match],Dyno_Data[[#This Row],[Match]]),0)*86400),0)</f>
        <v>0</v>
      </c>
    </row>
    <row r="1742" spans="1:35" x14ac:dyDescent="0.3">
      <c r="A1742">
        <v>1741</v>
      </c>
      <c r="B1742" t="s">
        <v>318</v>
      </c>
      <c r="C1742">
        <v>35</v>
      </c>
      <c r="D1742" s="105">
        <v>45373.615794594909</v>
      </c>
      <c r="E1742" t="s">
        <v>312</v>
      </c>
      <c r="F1742" t="s">
        <v>1402</v>
      </c>
      <c r="G1742">
        <v>0</v>
      </c>
      <c r="H1742" t="s">
        <v>315</v>
      </c>
      <c r="I1742">
        <v>0</v>
      </c>
      <c r="J1742">
        <v>0</v>
      </c>
      <c r="K1742">
        <v>0</v>
      </c>
      <c r="L1742" t="s">
        <v>240</v>
      </c>
      <c r="M1742" t="s">
        <v>1398</v>
      </c>
      <c r="N1742">
        <v>0</v>
      </c>
      <c r="O1742" t="s">
        <v>311</v>
      </c>
      <c r="P1742" t="s">
        <v>310</v>
      </c>
      <c r="Q1742" t="s">
        <v>310</v>
      </c>
      <c r="R1742" t="s">
        <v>310</v>
      </c>
      <c r="S1742">
        <v>9</v>
      </c>
      <c r="T1742" t="s">
        <v>310</v>
      </c>
      <c r="U1742">
        <v>9</v>
      </c>
      <c r="V1742">
        <v>9</v>
      </c>
      <c r="W1742">
        <v>0</v>
      </c>
      <c r="X1742">
        <v>0</v>
      </c>
      <c r="Y1742">
        <v>0</v>
      </c>
      <c r="Z1742">
        <v>0</v>
      </c>
      <c r="AA1742">
        <v>9</v>
      </c>
      <c r="AB1742">
        <v>9</v>
      </c>
      <c r="AC1742" t="s">
        <v>310</v>
      </c>
      <c r="AD1742">
        <v>9</v>
      </c>
      <c r="AE1742" t="s">
        <v>1392</v>
      </c>
      <c r="AF1742">
        <v>50000000</v>
      </c>
      <c r="AG1742" t="s">
        <v>310</v>
      </c>
      <c r="AH1742">
        <f>SUM((MID(Dyno_Data[[#This Row],[Team]],4,5))+(Dyno_Data[[#This Row],[Match]]/100))</f>
        <v>639.35</v>
      </c>
      <c r="AI1742" s="76">
        <f>ROUND(SUM(IF(Dyno_Data[[#This Row],[AcqCenter]]&gt;0,Dyno_Data[[#This Row],[Time]]-SUMIFS(Dyno_Data[Time],Dyno_Data[Team],Dyno_Data[[#This Row],[Team]],Dyno_Data[RecordType],"StartMatch",Dyno_Data[Match],Dyno_Data[[#This Row],[Match]]),0)*86400),0)</f>
        <v>0</v>
      </c>
    </row>
    <row r="1743" spans="1:35" x14ac:dyDescent="0.3">
      <c r="A1743">
        <v>1742</v>
      </c>
      <c r="B1743" t="s">
        <v>1317</v>
      </c>
      <c r="C1743">
        <v>35</v>
      </c>
      <c r="D1743" s="105">
        <v>45373.615839386577</v>
      </c>
      <c r="E1743" t="s">
        <v>312</v>
      </c>
      <c r="F1743" t="s">
        <v>1402</v>
      </c>
      <c r="G1743">
        <v>0</v>
      </c>
      <c r="H1743" t="s">
        <v>315</v>
      </c>
      <c r="I1743">
        <v>0</v>
      </c>
      <c r="J1743">
        <v>0</v>
      </c>
      <c r="K1743">
        <v>0</v>
      </c>
      <c r="L1743" t="s">
        <v>241</v>
      </c>
      <c r="M1743" t="s">
        <v>1398</v>
      </c>
      <c r="N1743">
        <v>0</v>
      </c>
      <c r="O1743" t="s">
        <v>1391</v>
      </c>
      <c r="P1743" t="s">
        <v>310</v>
      </c>
      <c r="Q1743" t="s">
        <v>310</v>
      </c>
      <c r="R1743" t="s">
        <v>310</v>
      </c>
      <c r="S1743">
        <v>9</v>
      </c>
      <c r="T1743" t="s">
        <v>310</v>
      </c>
      <c r="U1743">
        <v>9</v>
      </c>
      <c r="V1743">
        <v>9</v>
      </c>
      <c r="W1743">
        <v>0</v>
      </c>
      <c r="X1743">
        <v>0</v>
      </c>
      <c r="Y1743">
        <v>0</v>
      </c>
      <c r="Z1743">
        <v>0</v>
      </c>
      <c r="AA1743">
        <v>9</v>
      </c>
      <c r="AB1743">
        <v>9</v>
      </c>
      <c r="AC1743" t="s">
        <v>310</v>
      </c>
      <c r="AD1743">
        <v>9</v>
      </c>
      <c r="AE1743" t="s">
        <v>1394</v>
      </c>
      <c r="AF1743">
        <v>50000000</v>
      </c>
      <c r="AG1743" t="s">
        <v>310</v>
      </c>
      <c r="AH1743">
        <f>SUM((MID(Dyno_Data[[#This Row],[Team]],4,5))+(Dyno_Data[[#This Row],[Match]]/100))</f>
        <v>296.35000000000002</v>
      </c>
      <c r="AI1743" s="76">
        <f>ROUND(SUM(IF(Dyno_Data[[#This Row],[AcqCenter]]&gt;0,Dyno_Data[[#This Row],[Time]]-SUMIFS(Dyno_Data[Time],Dyno_Data[Team],Dyno_Data[[#This Row],[Team]],Dyno_Data[RecordType],"StartMatch",Dyno_Data[Match],Dyno_Data[[#This Row],[Match]]),0)*86400),0)</f>
        <v>0</v>
      </c>
    </row>
    <row r="1744" spans="1:35" x14ac:dyDescent="0.3">
      <c r="A1744">
        <v>1743</v>
      </c>
      <c r="B1744" t="s">
        <v>1317</v>
      </c>
      <c r="C1744">
        <v>35</v>
      </c>
      <c r="D1744" s="105">
        <v>45373.615893784721</v>
      </c>
      <c r="E1744" t="s">
        <v>312</v>
      </c>
      <c r="F1744" t="s">
        <v>1402</v>
      </c>
      <c r="G1744">
        <v>0</v>
      </c>
      <c r="H1744" t="s">
        <v>315</v>
      </c>
      <c r="I1744">
        <v>0</v>
      </c>
      <c r="J1744">
        <v>0</v>
      </c>
      <c r="K1744">
        <v>0</v>
      </c>
      <c r="L1744" t="s">
        <v>240</v>
      </c>
      <c r="M1744" t="s">
        <v>1398</v>
      </c>
      <c r="N1744">
        <v>0</v>
      </c>
      <c r="O1744" t="s">
        <v>1391</v>
      </c>
      <c r="P1744" t="s">
        <v>310</v>
      </c>
      <c r="Q1744" t="s">
        <v>310</v>
      </c>
      <c r="R1744" t="s">
        <v>310</v>
      </c>
      <c r="S1744">
        <v>9</v>
      </c>
      <c r="T1744" t="s">
        <v>310</v>
      </c>
      <c r="U1744">
        <v>9</v>
      </c>
      <c r="V1744">
        <v>9</v>
      </c>
      <c r="W1744">
        <v>0</v>
      </c>
      <c r="X1744">
        <v>0</v>
      </c>
      <c r="Y1744">
        <v>0</v>
      </c>
      <c r="Z1744">
        <v>0</v>
      </c>
      <c r="AA1744">
        <v>9</v>
      </c>
      <c r="AB1744">
        <v>9</v>
      </c>
      <c r="AC1744" t="s">
        <v>310</v>
      </c>
      <c r="AD1744">
        <v>9</v>
      </c>
      <c r="AE1744" t="s">
        <v>1394</v>
      </c>
      <c r="AF1744">
        <v>60000000</v>
      </c>
      <c r="AG1744" t="s">
        <v>310</v>
      </c>
      <c r="AH1744">
        <f>SUM((MID(Dyno_Data[[#This Row],[Team]],4,5))+(Dyno_Data[[#This Row],[Match]]/100))</f>
        <v>296.35000000000002</v>
      </c>
      <c r="AI1744" s="76">
        <f>ROUND(SUM(IF(Dyno_Data[[#This Row],[AcqCenter]]&gt;0,Dyno_Data[[#This Row],[Time]]-SUMIFS(Dyno_Data[Time],Dyno_Data[Team],Dyno_Data[[#This Row],[Team]],Dyno_Data[RecordType],"StartMatch",Dyno_Data[Match],Dyno_Data[[#This Row],[Match]]),0)*86400),0)</f>
        <v>0</v>
      </c>
    </row>
    <row r="1745" spans="1:35" x14ac:dyDescent="0.3">
      <c r="A1745">
        <v>1744</v>
      </c>
      <c r="B1745" t="s">
        <v>1318</v>
      </c>
      <c r="C1745">
        <v>35</v>
      </c>
      <c r="D1745" s="105">
        <v>45373.615909756947</v>
      </c>
      <c r="E1745" t="s">
        <v>312</v>
      </c>
      <c r="F1745" t="s">
        <v>1402</v>
      </c>
      <c r="G1745">
        <v>0</v>
      </c>
      <c r="H1745" t="s">
        <v>315</v>
      </c>
      <c r="I1745">
        <v>0</v>
      </c>
      <c r="J1745">
        <v>0</v>
      </c>
      <c r="K1745">
        <v>0</v>
      </c>
      <c r="L1745" t="s">
        <v>240</v>
      </c>
      <c r="M1745" t="s">
        <v>1398</v>
      </c>
      <c r="N1745">
        <v>0</v>
      </c>
      <c r="O1745" t="s">
        <v>1389</v>
      </c>
      <c r="P1745" t="s">
        <v>310</v>
      </c>
      <c r="Q1745" t="s">
        <v>310</v>
      </c>
      <c r="R1745" t="s">
        <v>310</v>
      </c>
      <c r="S1745">
        <v>9</v>
      </c>
      <c r="T1745" t="s">
        <v>310</v>
      </c>
      <c r="U1745">
        <v>9</v>
      </c>
      <c r="V1745">
        <v>9</v>
      </c>
      <c r="W1745">
        <v>0</v>
      </c>
      <c r="X1745">
        <v>0</v>
      </c>
      <c r="Y1745">
        <v>0</v>
      </c>
      <c r="Z1745">
        <v>0</v>
      </c>
      <c r="AA1745">
        <v>9</v>
      </c>
      <c r="AB1745">
        <v>9</v>
      </c>
      <c r="AC1745" t="s">
        <v>310</v>
      </c>
      <c r="AD1745">
        <v>9</v>
      </c>
      <c r="AE1745" t="s">
        <v>1388</v>
      </c>
      <c r="AF1745">
        <v>30000000</v>
      </c>
      <c r="AG1745" t="s">
        <v>310</v>
      </c>
      <c r="AH1745">
        <f>SUM((MID(Dyno_Data[[#This Row],[Team]],4,5))+(Dyno_Data[[#This Row],[Match]]/100))</f>
        <v>7709.35</v>
      </c>
      <c r="AI1745" s="76">
        <f>ROUND(SUM(IF(Dyno_Data[[#This Row],[AcqCenter]]&gt;0,Dyno_Data[[#This Row],[Time]]-SUMIFS(Dyno_Data[Time],Dyno_Data[Team],Dyno_Data[[#This Row],[Team]],Dyno_Data[RecordType],"StartMatch",Dyno_Data[Match],Dyno_Data[[#This Row],[Match]]),0)*86400),0)</f>
        <v>0</v>
      </c>
    </row>
    <row r="1746" spans="1:35" x14ac:dyDescent="0.3">
      <c r="A1746">
        <v>1745</v>
      </c>
      <c r="B1746" t="s">
        <v>1291</v>
      </c>
      <c r="C1746">
        <v>35</v>
      </c>
      <c r="D1746" s="105">
        <v>45373.615911226851</v>
      </c>
      <c r="E1746" t="s">
        <v>312</v>
      </c>
      <c r="F1746" t="s">
        <v>1402</v>
      </c>
      <c r="G1746">
        <v>0</v>
      </c>
      <c r="H1746" t="s">
        <v>315</v>
      </c>
      <c r="I1746">
        <v>0</v>
      </c>
      <c r="J1746">
        <v>0</v>
      </c>
      <c r="K1746">
        <v>0</v>
      </c>
      <c r="L1746" t="s">
        <v>242</v>
      </c>
      <c r="M1746" t="s">
        <v>241</v>
      </c>
      <c r="N1746">
        <v>0</v>
      </c>
      <c r="O1746" t="s">
        <v>1393</v>
      </c>
      <c r="P1746" t="s">
        <v>310</v>
      </c>
      <c r="Q1746" t="s">
        <v>310</v>
      </c>
      <c r="R1746" t="s">
        <v>310</v>
      </c>
      <c r="S1746">
        <v>9</v>
      </c>
      <c r="T1746" t="s">
        <v>310</v>
      </c>
      <c r="U1746">
        <v>9</v>
      </c>
      <c r="V1746">
        <v>9</v>
      </c>
      <c r="W1746">
        <v>0</v>
      </c>
      <c r="X1746">
        <v>0</v>
      </c>
      <c r="Y1746">
        <v>0</v>
      </c>
      <c r="Z1746">
        <v>0</v>
      </c>
      <c r="AA1746">
        <v>9</v>
      </c>
      <c r="AB1746">
        <v>9</v>
      </c>
      <c r="AC1746" t="s">
        <v>310</v>
      </c>
      <c r="AD1746">
        <v>9</v>
      </c>
      <c r="AE1746" t="s">
        <v>1390</v>
      </c>
      <c r="AF1746">
        <v>80000000</v>
      </c>
      <c r="AG1746" t="s">
        <v>310</v>
      </c>
      <c r="AH1746">
        <f>SUM((MID(Dyno_Data[[#This Row],[Team]],4,5))+(Dyno_Data[[#This Row],[Match]]/100))</f>
        <v>1493.35</v>
      </c>
      <c r="AI1746" s="76">
        <f>ROUND(SUM(IF(Dyno_Data[[#This Row],[AcqCenter]]&gt;0,Dyno_Data[[#This Row],[Time]]-SUMIFS(Dyno_Data[Time],Dyno_Data[Team],Dyno_Data[[#This Row],[Team]],Dyno_Data[RecordType],"StartMatch",Dyno_Data[Match],Dyno_Data[[#This Row],[Match]]),0)*86400),0)</f>
        <v>0</v>
      </c>
    </row>
    <row r="1747" spans="1:35" x14ac:dyDescent="0.3">
      <c r="A1747">
        <v>1746</v>
      </c>
      <c r="B1747" t="s">
        <v>1291</v>
      </c>
      <c r="C1747">
        <v>35</v>
      </c>
      <c r="D1747" s="105">
        <v>45373.615996446759</v>
      </c>
      <c r="E1747" t="s">
        <v>312</v>
      </c>
      <c r="F1747" t="s">
        <v>1402</v>
      </c>
      <c r="G1747">
        <v>0</v>
      </c>
      <c r="H1747" t="s">
        <v>315</v>
      </c>
      <c r="I1747">
        <v>0</v>
      </c>
      <c r="J1747">
        <v>0</v>
      </c>
      <c r="K1747">
        <v>0</v>
      </c>
      <c r="L1747" t="s">
        <v>242</v>
      </c>
      <c r="M1747" t="s">
        <v>241</v>
      </c>
      <c r="N1747">
        <v>0</v>
      </c>
      <c r="O1747" t="s">
        <v>1393</v>
      </c>
      <c r="P1747" t="s">
        <v>310</v>
      </c>
      <c r="Q1747" t="s">
        <v>310</v>
      </c>
      <c r="R1747" t="s">
        <v>310</v>
      </c>
      <c r="S1747">
        <v>9</v>
      </c>
      <c r="T1747" t="s">
        <v>310</v>
      </c>
      <c r="U1747">
        <v>9</v>
      </c>
      <c r="V1747">
        <v>9</v>
      </c>
      <c r="W1747">
        <v>0</v>
      </c>
      <c r="X1747">
        <v>0</v>
      </c>
      <c r="Y1747">
        <v>0</v>
      </c>
      <c r="Z1747">
        <v>0</v>
      </c>
      <c r="AA1747">
        <v>9</v>
      </c>
      <c r="AB1747">
        <v>9</v>
      </c>
      <c r="AC1747" t="s">
        <v>310</v>
      </c>
      <c r="AD1747">
        <v>9</v>
      </c>
      <c r="AE1747" t="s">
        <v>1390</v>
      </c>
      <c r="AF1747">
        <v>90000000</v>
      </c>
      <c r="AG1747" t="s">
        <v>310</v>
      </c>
      <c r="AH1747">
        <f>SUM((MID(Dyno_Data[[#This Row],[Team]],4,5))+(Dyno_Data[[#This Row],[Match]]/100))</f>
        <v>1493.35</v>
      </c>
      <c r="AI1747" s="76">
        <f>ROUND(SUM(IF(Dyno_Data[[#This Row],[AcqCenter]]&gt;0,Dyno_Data[[#This Row],[Time]]-SUMIFS(Dyno_Data[Time],Dyno_Data[Team],Dyno_Data[[#This Row],[Team]],Dyno_Data[RecordType],"StartMatch",Dyno_Data[Match],Dyno_Data[[#This Row],[Match]]),0)*86400),0)</f>
        <v>0</v>
      </c>
    </row>
    <row r="1748" spans="1:35" x14ac:dyDescent="0.3">
      <c r="A1748">
        <v>1747</v>
      </c>
      <c r="B1748" t="s">
        <v>1297</v>
      </c>
      <c r="C1748">
        <v>35</v>
      </c>
      <c r="D1748" s="105">
        <v>45373.616083368055</v>
      </c>
      <c r="E1748" t="s">
        <v>312</v>
      </c>
      <c r="F1748" t="s">
        <v>1402</v>
      </c>
      <c r="G1748">
        <v>0</v>
      </c>
      <c r="H1748" t="s">
        <v>315</v>
      </c>
      <c r="I1748">
        <v>0</v>
      </c>
      <c r="J1748">
        <v>0</v>
      </c>
      <c r="K1748">
        <v>0</v>
      </c>
      <c r="L1748" t="s">
        <v>241</v>
      </c>
      <c r="M1748" t="s">
        <v>101</v>
      </c>
      <c r="N1748">
        <v>0</v>
      </c>
      <c r="O1748" t="s">
        <v>319</v>
      </c>
      <c r="P1748" t="s">
        <v>310</v>
      </c>
      <c r="Q1748" t="s">
        <v>310</v>
      </c>
      <c r="R1748" t="s">
        <v>310</v>
      </c>
      <c r="S1748">
        <v>9</v>
      </c>
      <c r="T1748" t="s">
        <v>310</v>
      </c>
      <c r="U1748">
        <v>9</v>
      </c>
      <c r="V1748">
        <v>9</v>
      </c>
      <c r="W1748">
        <v>0</v>
      </c>
      <c r="X1748">
        <v>0</v>
      </c>
      <c r="Y1748">
        <v>0</v>
      </c>
      <c r="Z1748">
        <v>0</v>
      </c>
      <c r="AA1748">
        <v>9</v>
      </c>
      <c r="AB1748">
        <v>9</v>
      </c>
      <c r="AC1748" t="s">
        <v>310</v>
      </c>
      <c r="AD1748">
        <v>9</v>
      </c>
      <c r="AE1748" t="s">
        <v>1387</v>
      </c>
      <c r="AF1748">
        <v>40000000</v>
      </c>
      <c r="AG1748" t="s">
        <v>310</v>
      </c>
      <c r="AH1748">
        <f>SUM((MID(Dyno_Data[[#This Row],[Team]],4,5))+(Dyno_Data[[#This Row],[Match]]/100))</f>
        <v>9750.35</v>
      </c>
      <c r="AI1748" s="76">
        <f>ROUND(SUM(IF(Dyno_Data[[#This Row],[AcqCenter]]&gt;0,Dyno_Data[[#This Row],[Time]]-SUMIFS(Dyno_Data[Time],Dyno_Data[Team],Dyno_Data[[#This Row],[Team]],Dyno_Data[RecordType],"StartMatch",Dyno_Data[Match],Dyno_Data[[#This Row],[Match]]),0)*86400),0)</f>
        <v>0</v>
      </c>
    </row>
    <row r="1749" spans="1:35" x14ac:dyDescent="0.3">
      <c r="A1749">
        <v>1748</v>
      </c>
      <c r="B1749" t="s">
        <v>318</v>
      </c>
      <c r="C1749">
        <v>35</v>
      </c>
      <c r="D1749" s="105">
        <v>45373.616110798612</v>
      </c>
      <c r="E1749" t="s">
        <v>312</v>
      </c>
      <c r="F1749" t="s">
        <v>1402</v>
      </c>
      <c r="G1749">
        <v>0</v>
      </c>
      <c r="H1749" t="s">
        <v>315</v>
      </c>
      <c r="I1749">
        <v>0</v>
      </c>
      <c r="J1749">
        <v>0</v>
      </c>
      <c r="K1749">
        <v>0</v>
      </c>
      <c r="L1749" t="s">
        <v>240</v>
      </c>
      <c r="M1749" t="s">
        <v>1398</v>
      </c>
      <c r="N1749">
        <v>0</v>
      </c>
      <c r="O1749" t="s">
        <v>311</v>
      </c>
      <c r="P1749" t="s">
        <v>310</v>
      </c>
      <c r="Q1749" t="s">
        <v>310</v>
      </c>
      <c r="R1749" t="s">
        <v>310</v>
      </c>
      <c r="S1749">
        <v>9</v>
      </c>
      <c r="T1749" t="s">
        <v>310</v>
      </c>
      <c r="U1749">
        <v>9</v>
      </c>
      <c r="V1749">
        <v>9</v>
      </c>
      <c r="W1749">
        <v>0</v>
      </c>
      <c r="X1749">
        <v>0</v>
      </c>
      <c r="Y1749">
        <v>0</v>
      </c>
      <c r="Z1749">
        <v>0</v>
      </c>
      <c r="AA1749">
        <v>9</v>
      </c>
      <c r="AB1749">
        <v>9</v>
      </c>
      <c r="AC1749" t="s">
        <v>310</v>
      </c>
      <c r="AD1749">
        <v>9</v>
      </c>
      <c r="AE1749" t="s">
        <v>1392</v>
      </c>
      <c r="AF1749">
        <v>60000000</v>
      </c>
      <c r="AG1749" t="s">
        <v>310</v>
      </c>
      <c r="AH1749">
        <f>SUM((MID(Dyno_Data[[#This Row],[Team]],4,5))+(Dyno_Data[[#This Row],[Match]]/100))</f>
        <v>639.35</v>
      </c>
      <c r="AI1749" s="76">
        <f>ROUND(SUM(IF(Dyno_Data[[#This Row],[AcqCenter]]&gt;0,Dyno_Data[[#This Row],[Time]]-SUMIFS(Dyno_Data[Time],Dyno_Data[Team],Dyno_Data[[#This Row],[Team]],Dyno_Data[RecordType],"StartMatch",Dyno_Data[Match],Dyno_Data[[#This Row],[Match]]),0)*86400),0)</f>
        <v>0</v>
      </c>
    </row>
    <row r="1750" spans="1:35" x14ac:dyDescent="0.3">
      <c r="A1750">
        <v>1749</v>
      </c>
      <c r="B1750" t="s">
        <v>1317</v>
      </c>
      <c r="C1750">
        <v>35</v>
      </c>
      <c r="D1750" s="105">
        <v>45373.616206284722</v>
      </c>
      <c r="E1750" t="s">
        <v>1403</v>
      </c>
      <c r="F1750" t="s">
        <v>1402</v>
      </c>
      <c r="G1750">
        <v>0</v>
      </c>
      <c r="H1750" t="s">
        <v>310</v>
      </c>
      <c r="I1750">
        <v>0</v>
      </c>
      <c r="J1750">
        <v>0</v>
      </c>
      <c r="K1750">
        <v>0</v>
      </c>
      <c r="L1750" t="s">
        <v>310</v>
      </c>
      <c r="M1750" t="s">
        <v>310</v>
      </c>
      <c r="N1750">
        <v>0</v>
      </c>
      <c r="O1750" t="s">
        <v>1391</v>
      </c>
      <c r="P1750" t="s">
        <v>310</v>
      </c>
      <c r="Q1750" t="s">
        <v>310</v>
      </c>
      <c r="R1750" t="s">
        <v>310</v>
      </c>
      <c r="S1750">
        <v>9</v>
      </c>
      <c r="T1750" t="s">
        <v>310</v>
      </c>
      <c r="U1750">
        <v>9</v>
      </c>
      <c r="V1750">
        <v>9</v>
      </c>
      <c r="W1750">
        <v>0</v>
      </c>
      <c r="X1750">
        <v>0</v>
      </c>
      <c r="Y1750">
        <v>0</v>
      </c>
      <c r="Z1750">
        <v>0</v>
      </c>
      <c r="AA1750">
        <v>9</v>
      </c>
      <c r="AB1750">
        <v>9</v>
      </c>
      <c r="AC1750" t="s">
        <v>310</v>
      </c>
      <c r="AD1750">
        <v>9</v>
      </c>
      <c r="AE1750" t="s">
        <v>1394</v>
      </c>
      <c r="AF1750">
        <v>60000000</v>
      </c>
      <c r="AG1750" t="s">
        <v>249</v>
      </c>
      <c r="AH1750">
        <f>SUM((MID(Dyno_Data[[#This Row],[Team]],4,5))+(Dyno_Data[[#This Row],[Match]]/100))</f>
        <v>296.35000000000002</v>
      </c>
      <c r="AI1750" s="76">
        <f>ROUND(SUM(IF(Dyno_Data[[#This Row],[AcqCenter]]&gt;0,Dyno_Data[[#This Row],[Time]]-SUMIFS(Dyno_Data[Time],Dyno_Data[Team],Dyno_Data[[#This Row],[Team]],Dyno_Data[RecordType],"StartMatch",Dyno_Data[Match],Dyno_Data[[#This Row],[Match]]),0)*86400),0)</f>
        <v>0</v>
      </c>
    </row>
    <row r="1751" spans="1:35" x14ac:dyDescent="0.3">
      <c r="A1751">
        <v>1750</v>
      </c>
      <c r="B1751" t="s">
        <v>318</v>
      </c>
      <c r="C1751">
        <v>35</v>
      </c>
      <c r="D1751" s="105">
        <v>45373.61626412037</v>
      </c>
      <c r="E1751" t="s">
        <v>312</v>
      </c>
      <c r="F1751" t="s">
        <v>1402</v>
      </c>
      <c r="G1751">
        <v>0</v>
      </c>
      <c r="H1751" t="s">
        <v>315</v>
      </c>
      <c r="I1751">
        <v>0</v>
      </c>
      <c r="J1751">
        <v>0</v>
      </c>
      <c r="K1751">
        <v>0</v>
      </c>
      <c r="L1751" t="s">
        <v>240</v>
      </c>
      <c r="M1751" t="s">
        <v>1398</v>
      </c>
      <c r="N1751">
        <v>1</v>
      </c>
      <c r="O1751" t="s">
        <v>311</v>
      </c>
      <c r="P1751" t="s">
        <v>310</v>
      </c>
      <c r="Q1751" t="s">
        <v>310</v>
      </c>
      <c r="R1751" t="s">
        <v>310</v>
      </c>
      <c r="S1751">
        <v>9</v>
      </c>
      <c r="T1751" t="s">
        <v>310</v>
      </c>
      <c r="U1751">
        <v>9</v>
      </c>
      <c r="V1751">
        <v>9</v>
      </c>
      <c r="W1751">
        <v>0</v>
      </c>
      <c r="X1751">
        <v>0</v>
      </c>
      <c r="Y1751">
        <v>0</v>
      </c>
      <c r="Z1751">
        <v>0</v>
      </c>
      <c r="AA1751">
        <v>9</v>
      </c>
      <c r="AB1751">
        <v>9</v>
      </c>
      <c r="AC1751" t="s">
        <v>310</v>
      </c>
      <c r="AD1751">
        <v>9</v>
      </c>
      <c r="AE1751" t="s">
        <v>1392</v>
      </c>
      <c r="AF1751">
        <v>70000000</v>
      </c>
      <c r="AG1751" t="s">
        <v>310</v>
      </c>
      <c r="AH1751">
        <f>SUM((MID(Dyno_Data[[#This Row],[Team]],4,5))+(Dyno_Data[[#This Row],[Match]]/100))</f>
        <v>639.35</v>
      </c>
      <c r="AI1751" s="76">
        <f>ROUND(SUM(IF(Dyno_Data[[#This Row],[AcqCenter]]&gt;0,Dyno_Data[[#This Row],[Time]]-SUMIFS(Dyno_Data[Time],Dyno_Data[Team],Dyno_Data[[#This Row],[Team]],Dyno_Data[RecordType],"StartMatch",Dyno_Data[Match],Dyno_Data[[#This Row],[Match]]),0)*86400),0)</f>
        <v>0</v>
      </c>
    </row>
    <row r="1752" spans="1:35" x14ac:dyDescent="0.3">
      <c r="A1752">
        <v>1751</v>
      </c>
      <c r="B1752" t="s">
        <v>1291</v>
      </c>
      <c r="C1752">
        <v>35</v>
      </c>
      <c r="D1752" s="105">
        <v>45373.616281793984</v>
      </c>
      <c r="E1752" t="s">
        <v>312</v>
      </c>
      <c r="F1752" t="s">
        <v>1402</v>
      </c>
      <c r="G1752">
        <v>0</v>
      </c>
      <c r="H1752" t="s">
        <v>315</v>
      </c>
      <c r="I1752">
        <v>0</v>
      </c>
      <c r="J1752">
        <v>0</v>
      </c>
      <c r="K1752">
        <v>0</v>
      </c>
      <c r="L1752" t="s">
        <v>242</v>
      </c>
      <c r="M1752" t="s">
        <v>101</v>
      </c>
      <c r="N1752">
        <v>0</v>
      </c>
      <c r="O1752" t="s">
        <v>1393</v>
      </c>
      <c r="P1752" t="s">
        <v>310</v>
      </c>
      <c r="Q1752" t="s">
        <v>310</v>
      </c>
      <c r="R1752" t="s">
        <v>310</v>
      </c>
      <c r="S1752">
        <v>9</v>
      </c>
      <c r="T1752" t="s">
        <v>310</v>
      </c>
      <c r="U1752">
        <v>9</v>
      </c>
      <c r="V1752">
        <v>9</v>
      </c>
      <c r="W1752">
        <v>0</v>
      </c>
      <c r="X1752">
        <v>0</v>
      </c>
      <c r="Y1752">
        <v>0</v>
      </c>
      <c r="Z1752">
        <v>0</v>
      </c>
      <c r="AA1752">
        <v>9</v>
      </c>
      <c r="AB1752">
        <v>9</v>
      </c>
      <c r="AC1752" t="s">
        <v>310</v>
      </c>
      <c r="AD1752">
        <v>9</v>
      </c>
      <c r="AE1752" t="s">
        <v>1390</v>
      </c>
      <c r="AF1752">
        <v>100000000</v>
      </c>
      <c r="AG1752" t="s">
        <v>310</v>
      </c>
      <c r="AH1752">
        <f>SUM((MID(Dyno_Data[[#This Row],[Team]],4,5))+(Dyno_Data[[#This Row],[Match]]/100))</f>
        <v>1493.35</v>
      </c>
      <c r="AI1752" s="76">
        <f>ROUND(SUM(IF(Dyno_Data[[#This Row],[AcqCenter]]&gt;0,Dyno_Data[[#This Row],[Time]]-SUMIFS(Dyno_Data[Time],Dyno_Data[Team],Dyno_Data[[#This Row],[Team]],Dyno_Data[RecordType],"StartMatch",Dyno_Data[Match],Dyno_Data[[#This Row],[Match]]),0)*86400),0)</f>
        <v>0</v>
      </c>
    </row>
    <row r="1753" spans="1:35" x14ac:dyDescent="0.3">
      <c r="A1753">
        <v>1752</v>
      </c>
      <c r="B1753" t="s">
        <v>1297</v>
      </c>
      <c r="C1753">
        <v>35</v>
      </c>
      <c r="D1753" s="105">
        <v>45373.616320138892</v>
      </c>
      <c r="E1753" t="s">
        <v>312</v>
      </c>
      <c r="F1753" t="s">
        <v>1402</v>
      </c>
      <c r="G1753">
        <v>0</v>
      </c>
      <c r="H1753" t="s">
        <v>315</v>
      </c>
      <c r="I1753">
        <v>0</v>
      </c>
      <c r="J1753">
        <v>0</v>
      </c>
      <c r="K1753">
        <v>0</v>
      </c>
      <c r="L1753" t="s">
        <v>241</v>
      </c>
      <c r="M1753" t="s">
        <v>101</v>
      </c>
      <c r="N1753">
        <v>0</v>
      </c>
      <c r="O1753" t="s">
        <v>319</v>
      </c>
      <c r="P1753" t="s">
        <v>310</v>
      </c>
      <c r="Q1753" t="s">
        <v>310</v>
      </c>
      <c r="R1753" t="s">
        <v>310</v>
      </c>
      <c r="S1753">
        <v>9</v>
      </c>
      <c r="T1753" t="s">
        <v>310</v>
      </c>
      <c r="U1753">
        <v>9</v>
      </c>
      <c r="V1753">
        <v>9</v>
      </c>
      <c r="W1753">
        <v>0</v>
      </c>
      <c r="X1753">
        <v>0</v>
      </c>
      <c r="Y1753">
        <v>0</v>
      </c>
      <c r="Z1753">
        <v>0</v>
      </c>
      <c r="AA1753">
        <v>9</v>
      </c>
      <c r="AB1753">
        <v>9</v>
      </c>
      <c r="AC1753" t="s">
        <v>310</v>
      </c>
      <c r="AD1753">
        <v>9</v>
      </c>
      <c r="AE1753" t="s">
        <v>1387</v>
      </c>
      <c r="AF1753">
        <v>50000000</v>
      </c>
      <c r="AG1753" t="s">
        <v>310</v>
      </c>
      <c r="AH1753">
        <f>SUM((MID(Dyno_Data[[#This Row],[Team]],4,5))+(Dyno_Data[[#This Row],[Match]]/100))</f>
        <v>9750.35</v>
      </c>
      <c r="AI1753" s="76">
        <f>ROUND(SUM(IF(Dyno_Data[[#This Row],[AcqCenter]]&gt;0,Dyno_Data[[#This Row],[Time]]-SUMIFS(Dyno_Data[Time],Dyno_Data[Team],Dyno_Data[[#This Row],[Team]],Dyno_Data[RecordType],"StartMatch",Dyno_Data[Match],Dyno_Data[[#This Row],[Match]]),0)*86400),0)</f>
        <v>0</v>
      </c>
    </row>
    <row r="1754" spans="1:35" x14ac:dyDescent="0.3">
      <c r="A1754">
        <v>1753</v>
      </c>
      <c r="B1754" t="s">
        <v>1291</v>
      </c>
      <c r="C1754">
        <v>35</v>
      </c>
      <c r="D1754" s="105">
        <v>45373.616335995372</v>
      </c>
      <c r="E1754" t="s">
        <v>312</v>
      </c>
      <c r="F1754" t="s">
        <v>1402</v>
      </c>
      <c r="G1754">
        <v>0</v>
      </c>
      <c r="H1754" t="s">
        <v>315</v>
      </c>
      <c r="I1754">
        <v>0</v>
      </c>
      <c r="J1754">
        <v>0</v>
      </c>
      <c r="K1754">
        <v>0</v>
      </c>
      <c r="L1754" t="s">
        <v>242</v>
      </c>
      <c r="M1754" t="s">
        <v>101</v>
      </c>
      <c r="N1754">
        <v>0</v>
      </c>
      <c r="O1754" t="s">
        <v>1393</v>
      </c>
      <c r="P1754" t="s">
        <v>310</v>
      </c>
      <c r="Q1754" t="s">
        <v>310</v>
      </c>
      <c r="R1754" t="s">
        <v>310</v>
      </c>
      <c r="S1754">
        <v>9</v>
      </c>
      <c r="T1754" t="s">
        <v>310</v>
      </c>
      <c r="U1754">
        <v>9</v>
      </c>
      <c r="V1754">
        <v>9</v>
      </c>
      <c r="W1754">
        <v>0</v>
      </c>
      <c r="X1754">
        <v>0</v>
      </c>
      <c r="Y1754">
        <v>0</v>
      </c>
      <c r="Z1754">
        <v>0</v>
      </c>
      <c r="AA1754">
        <v>9</v>
      </c>
      <c r="AB1754">
        <v>9</v>
      </c>
      <c r="AC1754" t="s">
        <v>310</v>
      </c>
      <c r="AD1754">
        <v>9</v>
      </c>
      <c r="AE1754" t="s">
        <v>1390</v>
      </c>
      <c r="AF1754">
        <v>110000000</v>
      </c>
      <c r="AG1754" t="s">
        <v>310</v>
      </c>
      <c r="AH1754">
        <f>SUM((MID(Dyno_Data[[#This Row],[Team]],4,5))+(Dyno_Data[[#This Row],[Match]]/100))</f>
        <v>1493.35</v>
      </c>
      <c r="AI1754" s="76">
        <f>ROUND(SUM(IF(Dyno_Data[[#This Row],[AcqCenter]]&gt;0,Dyno_Data[[#This Row],[Time]]-SUMIFS(Dyno_Data[Time],Dyno_Data[Team],Dyno_Data[[#This Row],[Team]],Dyno_Data[RecordType],"StartMatch",Dyno_Data[Match],Dyno_Data[[#This Row],[Match]]),0)*86400),0)</f>
        <v>0</v>
      </c>
    </row>
    <row r="1755" spans="1:35" x14ac:dyDescent="0.3">
      <c r="A1755">
        <v>1754</v>
      </c>
      <c r="B1755" t="s">
        <v>1318</v>
      </c>
      <c r="C1755">
        <v>35</v>
      </c>
      <c r="D1755" s="105">
        <v>45373.616341701389</v>
      </c>
      <c r="E1755" t="s">
        <v>312</v>
      </c>
      <c r="F1755" t="s">
        <v>1402</v>
      </c>
      <c r="G1755">
        <v>0</v>
      </c>
      <c r="H1755" t="s">
        <v>315</v>
      </c>
      <c r="I1755">
        <v>0</v>
      </c>
      <c r="J1755">
        <v>0</v>
      </c>
      <c r="K1755">
        <v>0</v>
      </c>
      <c r="L1755" t="s">
        <v>240</v>
      </c>
      <c r="M1755" t="s">
        <v>1398</v>
      </c>
      <c r="N1755">
        <v>0</v>
      </c>
      <c r="O1755" t="s">
        <v>1389</v>
      </c>
      <c r="P1755" t="s">
        <v>310</v>
      </c>
      <c r="Q1755" t="s">
        <v>310</v>
      </c>
      <c r="R1755" t="s">
        <v>310</v>
      </c>
      <c r="S1755">
        <v>9</v>
      </c>
      <c r="T1755" t="s">
        <v>310</v>
      </c>
      <c r="U1755">
        <v>9</v>
      </c>
      <c r="V1755">
        <v>9</v>
      </c>
      <c r="W1755">
        <v>0</v>
      </c>
      <c r="X1755">
        <v>0</v>
      </c>
      <c r="Y1755">
        <v>0</v>
      </c>
      <c r="Z1755">
        <v>0</v>
      </c>
      <c r="AA1755">
        <v>9</v>
      </c>
      <c r="AB1755">
        <v>9</v>
      </c>
      <c r="AC1755" t="s">
        <v>310</v>
      </c>
      <c r="AD1755">
        <v>9</v>
      </c>
      <c r="AE1755" t="s">
        <v>1388</v>
      </c>
      <c r="AF1755">
        <v>40000000</v>
      </c>
      <c r="AG1755" t="s">
        <v>310</v>
      </c>
      <c r="AH1755">
        <f>SUM((MID(Dyno_Data[[#This Row],[Team]],4,5))+(Dyno_Data[[#This Row],[Match]]/100))</f>
        <v>7709.35</v>
      </c>
      <c r="AI1755" s="76">
        <f>ROUND(SUM(IF(Dyno_Data[[#This Row],[AcqCenter]]&gt;0,Dyno_Data[[#This Row],[Time]]-SUMIFS(Dyno_Data[Time],Dyno_Data[Team],Dyno_Data[[#This Row],[Team]],Dyno_Data[RecordType],"StartMatch",Dyno_Data[Match],Dyno_Data[[#This Row],[Match]]),0)*86400),0)</f>
        <v>0</v>
      </c>
    </row>
    <row r="1756" spans="1:35" x14ac:dyDescent="0.3">
      <c r="A1756">
        <v>1755</v>
      </c>
      <c r="B1756" t="s">
        <v>318</v>
      </c>
      <c r="C1756">
        <v>35</v>
      </c>
      <c r="D1756" s="105">
        <v>45373.616382835651</v>
      </c>
      <c r="E1756" t="s">
        <v>312</v>
      </c>
      <c r="F1756" t="s">
        <v>1402</v>
      </c>
      <c r="G1756">
        <v>0</v>
      </c>
      <c r="H1756" t="s">
        <v>315</v>
      </c>
      <c r="I1756">
        <v>0</v>
      </c>
      <c r="J1756">
        <v>0</v>
      </c>
      <c r="K1756">
        <v>0</v>
      </c>
      <c r="L1756" t="s">
        <v>240</v>
      </c>
      <c r="M1756" t="s">
        <v>1398</v>
      </c>
      <c r="N1756">
        <v>0</v>
      </c>
      <c r="O1756" t="s">
        <v>311</v>
      </c>
      <c r="P1756" t="s">
        <v>310</v>
      </c>
      <c r="Q1756" t="s">
        <v>310</v>
      </c>
      <c r="R1756" t="s">
        <v>310</v>
      </c>
      <c r="S1756">
        <v>9</v>
      </c>
      <c r="T1756" t="s">
        <v>310</v>
      </c>
      <c r="U1756">
        <v>9</v>
      </c>
      <c r="V1756">
        <v>9</v>
      </c>
      <c r="W1756">
        <v>0</v>
      </c>
      <c r="X1756">
        <v>0</v>
      </c>
      <c r="Y1756">
        <v>0</v>
      </c>
      <c r="Z1756">
        <v>0</v>
      </c>
      <c r="AA1756">
        <v>9</v>
      </c>
      <c r="AB1756">
        <v>9</v>
      </c>
      <c r="AC1756" t="s">
        <v>310</v>
      </c>
      <c r="AD1756">
        <v>9</v>
      </c>
      <c r="AE1756" t="s">
        <v>1392</v>
      </c>
      <c r="AF1756">
        <v>80000000</v>
      </c>
      <c r="AG1756" t="s">
        <v>310</v>
      </c>
      <c r="AH1756">
        <f>SUM((MID(Dyno_Data[[#This Row],[Team]],4,5))+(Dyno_Data[[#This Row],[Match]]/100))</f>
        <v>639.35</v>
      </c>
      <c r="AI1756" s="76">
        <f>ROUND(SUM(IF(Dyno_Data[[#This Row],[AcqCenter]]&gt;0,Dyno_Data[[#This Row],[Time]]-SUMIFS(Dyno_Data[Time],Dyno_Data[Team],Dyno_Data[[#This Row],[Team]],Dyno_Data[RecordType],"StartMatch",Dyno_Data[Match],Dyno_Data[[#This Row],[Match]]),0)*86400),0)</f>
        <v>0</v>
      </c>
    </row>
    <row r="1757" spans="1:35" x14ac:dyDescent="0.3">
      <c r="A1757">
        <v>1756</v>
      </c>
      <c r="B1757" t="s">
        <v>1291</v>
      </c>
      <c r="C1757">
        <v>35</v>
      </c>
      <c r="D1757" s="105">
        <v>45373.61653032407</v>
      </c>
      <c r="E1757" t="s">
        <v>312</v>
      </c>
      <c r="F1757" t="s">
        <v>1402</v>
      </c>
      <c r="G1757">
        <v>0</v>
      </c>
      <c r="H1757" t="s">
        <v>315</v>
      </c>
      <c r="I1757">
        <v>0</v>
      </c>
      <c r="J1757">
        <v>0</v>
      </c>
      <c r="K1757">
        <v>0</v>
      </c>
      <c r="L1757" t="s">
        <v>241</v>
      </c>
      <c r="M1757" t="s">
        <v>1398</v>
      </c>
      <c r="N1757">
        <v>0</v>
      </c>
      <c r="O1757" t="s">
        <v>1393</v>
      </c>
      <c r="P1757" t="s">
        <v>310</v>
      </c>
      <c r="Q1757" t="s">
        <v>310</v>
      </c>
      <c r="R1757" t="s">
        <v>310</v>
      </c>
      <c r="S1757">
        <v>9</v>
      </c>
      <c r="T1757" t="s">
        <v>310</v>
      </c>
      <c r="U1757">
        <v>9</v>
      </c>
      <c r="V1757">
        <v>9</v>
      </c>
      <c r="W1757">
        <v>0</v>
      </c>
      <c r="X1757">
        <v>0</v>
      </c>
      <c r="Y1757">
        <v>0</v>
      </c>
      <c r="Z1757">
        <v>0</v>
      </c>
      <c r="AA1757">
        <v>9</v>
      </c>
      <c r="AB1757">
        <v>9</v>
      </c>
      <c r="AC1757" t="s">
        <v>310</v>
      </c>
      <c r="AD1757">
        <v>9</v>
      </c>
      <c r="AE1757" t="s">
        <v>1390</v>
      </c>
      <c r="AF1757">
        <v>120000000</v>
      </c>
      <c r="AG1757" t="s">
        <v>310</v>
      </c>
      <c r="AH1757">
        <f>SUM((MID(Dyno_Data[[#This Row],[Team]],4,5))+(Dyno_Data[[#This Row],[Match]]/100))</f>
        <v>1493.35</v>
      </c>
      <c r="AI1757" s="76">
        <f>ROUND(SUM(IF(Dyno_Data[[#This Row],[AcqCenter]]&gt;0,Dyno_Data[[#This Row],[Time]]-SUMIFS(Dyno_Data[Time],Dyno_Data[Team],Dyno_Data[[#This Row],[Team]],Dyno_Data[RecordType],"StartMatch",Dyno_Data[Match],Dyno_Data[[#This Row],[Match]]),0)*86400),0)</f>
        <v>0</v>
      </c>
    </row>
    <row r="1758" spans="1:35" x14ac:dyDescent="0.3">
      <c r="A1758">
        <v>1757</v>
      </c>
      <c r="B1758" t="s">
        <v>1318</v>
      </c>
      <c r="C1758">
        <v>35</v>
      </c>
      <c r="D1758" s="105">
        <v>45373.616539780094</v>
      </c>
      <c r="E1758" t="s">
        <v>312</v>
      </c>
      <c r="F1758" t="s">
        <v>1402</v>
      </c>
      <c r="G1758">
        <v>0</v>
      </c>
      <c r="H1758" t="s">
        <v>315</v>
      </c>
      <c r="I1758">
        <v>0</v>
      </c>
      <c r="J1758">
        <v>0</v>
      </c>
      <c r="K1758">
        <v>0</v>
      </c>
      <c r="L1758" t="s">
        <v>241</v>
      </c>
      <c r="M1758" t="s">
        <v>241</v>
      </c>
      <c r="N1758">
        <v>0</v>
      </c>
      <c r="O1758" t="s">
        <v>1389</v>
      </c>
      <c r="P1758" t="s">
        <v>310</v>
      </c>
      <c r="Q1758" t="s">
        <v>310</v>
      </c>
      <c r="R1758" t="s">
        <v>310</v>
      </c>
      <c r="S1758">
        <v>9</v>
      </c>
      <c r="T1758" t="s">
        <v>310</v>
      </c>
      <c r="U1758">
        <v>9</v>
      </c>
      <c r="V1758">
        <v>9</v>
      </c>
      <c r="W1758">
        <v>0</v>
      </c>
      <c r="X1758">
        <v>0</v>
      </c>
      <c r="Y1758">
        <v>0</v>
      </c>
      <c r="Z1758">
        <v>0</v>
      </c>
      <c r="AA1758">
        <v>9</v>
      </c>
      <c r="AB1758">
        <v>9</v>
      </c>
      <c r="AC1758" t="s">
        <v>310</v>
      </c>
      <c r="AD1758">
        <v>9</v>
      </c>
      <c r="AE1758" t="s">
        <v>1388</v>
      </c>
      <c r="AF1758">
        <v>50000000</v>
      </c>
      <c r="AG1758" t="s">
        <v>310</v>
      </c>
      <c r="AH1758">
        <f>SUM((MID(Dyno_Data[[#This Row],[Team]],4,5))+(Dyno_Data[[#This Row],[Match]]/100))</f>
        <v>7709.35</v>
      </c>
      <c r="AI1758" s="76">
        <f>ROUND(SUM(IF(Dyno_Data[[#This Row],[AcqCenter]]&gt;0,Dyno_Data[[#This Row],[Time]]-SUMIFS(Dyno_Data[Time],Dyno_Data[Team],Dyno_Data[[#This Row],[Team]],Dyno_Data[RecordType],"StartMatch",Dyno_Data[Match],Dyno_Data[[#This Row],[Match]]),0)*86400),0)</f>
        <v>0</v>
      </c>
    </row>
    <row r="1759" spans="1:35" x14ac:dyDescent="0.3">
      <c r="A1759">
        <v>1758</v>
      </c>
      <c r="B1759" t="s">
        <v>1291</v>
      </c>
      <c r="C1759">
        <v>35</v>
      </c>
      <c r="D1759" s="105">
        <v>45373.61660775463</v>
      </c>
      <c r="E1759" t="s">
        <v>312</v>
      </c>
      <c r="F1759" t="s">
        <v>1402</v>
      </c>
      <c r="G1759">
        <v>0</v>
      </c>
      <c r="H1759" t="s">
        <v>315</v>
      </c>
      <c r="I1759">
        <v>0</v>
      </c>
      <c r="J1759">
        <v>0</v>
      </c>
      <c r="K1759">
        <v>0</v>
      </c>
      <c r="L1759" t="s">
        <v>241</v>
      </c>
      <c r="M1759" t="s">
        <v>1398</v>
      </c>
      <c r="N1759">
        <v>0</v>
      </c>
      <c r="O1759" t="s">
        <v>1393</v>
      </c>
      <c r="P1759" t="s">
        <v>310</v>
      </c>
      <c r="Q1759" t="s">
        <v>310</v>
      </c>
      <c r="R1759" t="s">
        <v>310</v>
      </c>
      <c r="S1759">
        <v>9</v>
      </c>
      <c r="T1759" t="s">
        <v>310</v>
      </c>
      <c r="U1759">
        <v>9</v>
      </c>
      <c r="V1759">
        <v>9</v>
      </c>
      <c r="W1759">
        <v>0</v>
      </c>
      <c r="X1759">
        <v>0</v>
      </c>
      <c r="Y1759">
        <v>0</v>
      </c>
      <c r="Z1759">
        <v>0</v>
      </c>
      <c r="AA1759">
        <v>9</v>
      </c>
      <c r="AB1759">
        <v>9</v>
      </c>
      <c r="AC1759" t="s">
        <v>310</v>
      </c>
      <c r="AD1759">
        <v>9</v>
      </c>
      <c r="AE1759" t="s">
        <v>1390</v>
      </c>
      <c r="AF1759">
        <v>130000000</v>
      </c>
      <c r="AG1759" t="s">
        <v>310</v>
      </c>
      <c r="AH1759">
        <f>SUM((MID(Dyno_Data[[#This Row],[Team]],4,5))+(Dyno_Data[[#This Row],[Match]]/100))</f>
        <v>1493.35</v>
      </c>
      <c r="AI1759" s="76">
        <f>ROUND(SUM(IF(Dyno_Data[[#This Row],[AcqCenter]]&gt;0,Dyno_Data[[#This Row],[Time]]-SUMIFS(Dyno_Data[Time],Dyno_Data[Team],Dyno_Data[[#This Row],[Team]],Dyno_Data[RecordType],"StartMatch",Dyno_Data[Match],Dyno_Data[[#This Row],[Match]]),0)*86400),0)</f>
        <v>0</v>
      </c>
    </row>
    <row r="1760" spans="1:35" x14ac:dyDescent="0.3">
      <c r="A1760">
        <v>1759</v>
      </c>
      <c r="B1760" t="s">
        <v>318</v>
      </c>
      <c r="C1760">
        <v>35</v>
      </c>
      <c r="D1760" s="105">
        <v>45373.617419097223</v>
      </c>
      <c r="E1760" t="s">
        <v>316</v>
      </c>
      <c r="F1760" t="s">
        <v>317</v>
      </c>
      <c r="G1760">
        <v>0</v>
      </c>
      <c r="H1760" t="s">
        <v>310</v>
      </c>
      <c r="I1760">
        <v>0</v>
      </c>
      <c r="J1760">
        <v>0</v>
      </c>
      <c r="K1760">
        <v>0</v>
      </c>
      <c r="L1760" t="s">
        <v>310</v>
      </c>
      <c r="M1760" t="s">
        <v>310</v>
      </c>
      <c r="N1760">
        <v>0</v>
      </c>
      <c r="O1760" t="s">
        <v>311</v>
      </c>
      <c r="P1760" t="s">
        <v>1401</v>
      </c>
      <c r="Q1760" t="s">
        <v>1399</v>
      </c>
      <c r="R1760" t="s">
        <v>1405</v>
      </c>
      <c r="S1760">
        <v>1</v>
      </c>
      <c r="T1760" t="s">
        <v>1409</v>
      </c>
      <c r="U1760">
        <v>0</v>
      </c>
      <c r="V1760">
        <v>0</v>
      </c>
      <c r="W1760">
        <v>13.2443645</v>
      </c>
      <c r="X1760">
        <v>26.699034899999997</v>
      </c>
      <c r="Y1760">
        <v>14.5197202</v>
      </c>
      <c r="Z1760">
        <v>73.043987799999996</v>
      </c>
      <c r="AA1760">
        <v>0</v>
      </c>
      <c r="AB1760">
        <v>0</v>
      </c>
      <c r="AC1760" t="s">
        <v>174</v>
      </c>
      <c r="AD1760">
        <v>1</v>
      </c>
      <c r="AE1760" t="s">
        <v>1392</v>
      </c>
      <c r="AF1760">
        <v>80000000</v>
      </c>
      <c r="AG1760" t="s">
        <v>310</v>
      </c>
      <c r="AH1760">
        <f>SUM((MID(Dyno_Data[[#This Row],[Team]],4,5))+(Dyno_Data[[#This Row],[Match]]/100))</f>
        <v>639.35</v>
      </c>
      <c r="AI1760" s="76">
        <f>ROUND(SUM(IF(Dyno_Data[[#This Row],[AcqCenter]]&gt;0,Dyno_Data[[#This Row],[Time]]-SUMIFS(Dyno_Data[Time],Dyno_Data[Team],Dyno_Data[[#This Row],[Team]],Dyno_Data[RecordType],"StartMatch",Dyno_Data[Match],Dyno_Data[[#This Row],[Match]]),0)*86400),0)</f>
        <v>0</v>
      </c>
    </row>
    <row r="1761" spans="1:35" x14ac:dyDescent="0.3">
      <c r="A1761">
        <v>1760</v>
      </c>
      <c r="B1761" t="s">
        <v>1317</v>
      </c>
      <c r="C1761">
        <v>35</v>
      </c>
      <c r="D1761" s="105">
        <v>45373.617419212962</v>
      </c>
      <c r="E1761" t="s">
        <v>316</v>
      </c>
      <c r="F1761" t="s">
        <v>317</v>
      </c>
      <c r="G1761">
        <v>0</v>
      </c>
      <c r="H1761" t="s">
        <v>310</v>
      </c>
      <c r="I1761">
        <v>0</v>
      </c>
      <c r="J1761">
        <v>0</v>
      </c>
      <c r="K1761">
        <v>0</v>
      </c>
      <c r="L1761" t="s">
        <v>310</v>
      </c>
      <c r="M1761" t="s">
        <v>310</v>
      </c>
      <c r="N1761">
        <v>0</v>
      </c>
      <c r="O1761" t="s">
        <v>1391</v>
      </c>
      <c r="P1761" t="s">
        <v>240</v>
      </c>
      <c r="Q1761" t="s">
        <v>1400</v>
      </c>
      <c r="R1761" t="s">
        <v>1405</v>
      </c>
      <c r="S1761">
        <v>1</v>
      </c>
      <c r="T1761" t="s">
        <v>1406</v>
      </c>
      <c r="U1761">
        <v>0</v>
      </c>
      <c r="V1761">
        <v>0</v>
      </c>
      <c r="W1761">
        <v>2.5625066999999997</v>
      </c>
      <c r="X1761">
        <v>27.6251769</v>
      </c>
      <c r="Y1761">
        <v>60.419325799999996</v>
      </c>
      <c r="Z1761">
        <v>50.150452999999999</v>
      </c>
      <c r="AA1761">
        <v>0</v>
      </c>
      <c r="AB1761">
        <v>0</v>
      </c>
      <c r="AC1761" t="s">
        <v>173</v>
      </c>
      <c r="AD1761">
        <v>9</v>
      </c>
      <c r="AE1761" t="s">
        <v>1394</v>
      </c>
      <c r="AF1761">
        <v>60000000</v>
      </c>
      <c r="AG1761" t="s">
        <v>310</v>
      </c>
      <c r="AH1761">
        <f>SUM((MID(Dyno_Data[[#This Row],[Team]],4,5))+(Dyno_Data[[#This Row],[Match]]/100))</f>
        <v>296.35000000000002</v>
      </c>
      <c r="AI1761" s="76">
        <f>ROUND(SUM(IF(Dyno_Data[[#This Row],[AcqCenter]]&gt;0,Dyno_Data[[#This Row],[Time]]-SUMIFS(Dyno_Data[Time],Dyno_Data[Team],Dyno_Data[[#This Row],[Team]],Dyno_Data[RecordType],"StartMatch",Dyno_Data[Match],Dyno_Data[[#This Row],[Match]]),0)*86400),0)</f>
        <v>0</v>
      </c>
    </row>
    <row r="1762" spans="1:35" x14ac:dyDescent="0.3">
      <c r="A1762">
        <v>1761</v>
      </c>
      <c r="B1762" t="s">
        <v>1297</v>
      </c>
      <c r="C1762">
        <v>35</v>
      </c>
      <c r="D1762" s="105">
        <v>45373.61741929398</v>
      </c>
      <c r="E1762" t="s">
        <v>316</v>
      </c>
      <c r="F1762" t="s">
        <v>317</v>
      </c>
      <c r="G1762">
        <v>0</v>
      </c>
      <c r="H1762" t="s">
        <v>310</v>
      </c>
      <c r="I1762">
        <v>0</v>
      </c>
      <c r="J1762">
        <v>0</v>
      </c>
      <c r="K1762">
        <v>0</v>
      </c>
      <c r="L1762" t="s">
        <v>310</v>
      </c>
      <c r="M1762" t="s">
        <v>310</v>
      </c>
      <c r="N1762">
        <v>0</v>
      </c>
      <c r="O1762" t="s">
        <v>319</v>
      </c>
      <c r="P1762" t="s">
        <v>101</v>
      </c>
      <c r="Q1762" t="s">
        <v>1400</v>
      </c>
      <c r="R1762" t="s">
        <v>1404</v>
      </c>
      <c r="S1762">
        <v>0</v>
      </c>
      <c r="T1762" t="s">
        <v>105</v>
      </c>
      <c r="U1762">
        <v>9</v>
      </c>
      <c r="V1762">
        <v>9</v>
      </c>
      <c r="W1762">
        <v>0</v>
      </c>
      <c r="X1762">
        <v>55.033797399999997</v>
      </c>
      <c r="Y1762">
        <v>16.056981799999999</v>
      </c>
      <c r="Z1762">
        <v>64.048651599999999</v>
      </c>
      <c r="AA1762">
        <v>0</v>
      </c>
      <c r="AB1762">
        <v>0</v>
      </c>
      <c r="AC1762" t="s">
        <v>174</v>
      </c>
      <c r="AD1762">
        <v>9</v>
      </c>
      <c r="AE1762" t="s">
        <v>1387</v>
      </c>
      <c r="AF1762">
        <v>50000000</v>
      </c>
      <c r="AG1762" t="s">
        <v>310</v>
      </c>
      <c r="AH1762">
        <f>SUM((MID(Dyno_Data[[#This Row],[Team]],4,5))+(Dyno_Data[[#This Row],[Match]]/100))</f>
        <v>9750.35</v>
      </c>
      <c r="AI1762" s="76">
        <f>ROUND(SUM(IF(Dyno_Data[[#This Row],[AcqCenter]]&gt;0,Dyno_Data[[#This Row],[Time]]-SUMIFS(Dyno_Data[Time],Dyno_Data[Team],Dyno_Data[[#This Row],[Team]],Dyno_Data[RecordType],"StartMatch",Dyno_Data[Match],Dyno_Data[[#This Row],[Match]]),0)*86400),0)</f>
        <v>0</v>
      </c>
    </row>
    <row r="1763" spans="1:35" x14ac:dyDescent="0.3">
      <c r="A1763">
        <v>1762</v>
      </c>
      <c r="B1763" t="s">
        <v>1291</v>
      </c>
      <c r="C1763">
        <v>35</v>
      </c>
      <c r="D1763" s="105">
        <v>45373.617419409726</v>
      </c>
      <c r="E1763" t="s">
        <v>316</v>
      </c>
      <c r="F1763" t="s">
        <v>317</v>
      </c>
      <c r="G1763">
        <v>0</v>
      </c>
      <c r="H1763" t="s">
        <v>310</v>
      </c>
      <c r="I1763">
        <v>0</v>
      </c>
      <c r="J1763">
        <v>0</v>
      </c>
      <c r="K1763">
        <v>0</v>
      </c>
      <c r="L1763" t="s">
        <v>310</v>
      </c>
      <c r="M1763" t="s">
        <v>310</v>
      </c>
      <c r="N1763">
        <v>0</v>
      </c>
      <c r="O1763" t="s">
        <v>1393</v>
      </c>
      <c r="P1763" t="s">
        <v>240</v>
      </c>
      <c r="Q1763" t="s">
        <v>1400</v>
      </c>
      <c r="R1763" t="s">
        <v>1404</v>
      </c>
      <c r="S1763">
        <v>0</v>
      </c>
      <c r="T1763" t="s">
        <v>105</v>
      </c>
      <c r="U1763">
        <v>9</v>
      </c>
      <c r="V1763">
        <v>9</v>
      </c>
      <c r="W1763">
        <v>0</v>
      </c>
      <c r="X1763">
        <v>26.6572259</v>
      </c>
      <c r="Y1763">
        <v>58.401547199999996</v>
      </c>
      <c r="Z1763">
        <v>51.458037699999998</v>
      </c>
      <c r="AA1763">
        <v>0</v>
      </c>
      <c r="AB1763">
        <v>0</v>
      </c>
      <c r="AC1763" t="s">
        <v>174</v>
      </c>
      <c r="AD1763">
        <v>9</v>
      </c>
      <c r="AE1763" t="s">
        <v>1390</v>
      </c>
      <c r="AF1763">
        <v>130000000</v>
      </c>
      <c r="AG1763" t="s">
        <v>310</v>
      </c>
      <c r="AH1763">
        <f>SUM((MID(Dyno_Data[[#This Row],[Team]],4,5))+(Dyno_Data[[#This Row],[Match]]/100))</f>
        <v>1493.35</v>
      </c>
      <c r="AI1763" s="76">
        <f>ROUND(SUM(IF(Dyno_Data[[#This Row],[AcqCenter]]&gt;0,Dyno_Data[[#This Row],[Time]]-SUMIFS(Dyno_Data[Time],Dyno_Data[Team],Dyno_Data[[#This Row],[Team]],Dyno_Data[RecordType],"StartMatch",Dyno_Data[Match],Dyno_Data[[#This Row],[Match]]),0)*86400),0)</f>
        <v>0</v>
      </c>
    </row>
    <row r="1764" spans="1:35" x14ac:dyDescent="0.3">
      <c r="A1764">
        <v>1763</v>
      </c>
      <c r="B1764" t="s">
        <v>1318</v>
      </c>
      <c r="C1764">
        <v>35</v>
      </c>
      <c r="D1764" s="105">
        <v>45373.617419525464</v>
      </c>
      <c r="E1764" t="s">
        <v>316</v>
      </c>
      <c r="F1764" t="s">
        <v>317</v>
      </c>
      <c r="G1764">
        <v>1</v>
      </c>
      <c r="H1764" t="s">
        <v>310</v>
      </c>
      <c r="I1764">
        <v>0</v>
      </c>
      <c r="J1764">
        <v>0</v>
      </c>
      <c r="K1764">
        <v>0</v>
      </c>
      <c r="L1764" t="s">
        <v>310</v>
      </c>
      <c r="M1764" t="s">
        <v>310</v>
      </c>
      <c r="N1764">
        <v>0</v>
      </c>
      <c r="O1764" t="s">
        <v>1389</v>
      </c>
      <c r="P1764" t="s">
        <v>1401</v>
      </c>
      <c r="Q1764" t="s">
        <v>1400</v>
      </c>
      <c r="R1764" t="s">
        <v>321</v>
      </c>
      <c r="S1764">
        <v>0</v>
      </c>
      <c r="T1764" t="s">
        <v>105</v>
      </c>
      <c r="U1764">
        <v>9</v>
      </c>
      <c r="V1764">
        <v>9</v>
      </c>
      <c r="W1764">
        <v>0</v>
      </c>
      <c r="X1764">
        <v>29.412975099999997</v>
      </c>
      <c r="Y1764">
        <v>19.053282199999998</v>
      </c>
      <c r="Z1764">
        <v>87.35503349999999</v>
      </c>
      <c r="AA1764">
        <v>0</v>
      </c>
      <c r="AB1764">
        <v>0</v>
      </c>
      <c r="AC1764" t="s">
        <v>174</v>
      </c>
      <c r="AD1764">
        <v>9</v>
      </c>
      <c r="AE1764" t="s">
        <v>1388</v>
      </c>
      <c r="AF1764">
        <v>50000000</v>
      </c>
      <c r="AG1764" t="s">
        <v>310</v>
      </c>
      <c r="AH1764">
        <f>SUM((MID(Dyno_Data[[#This Row],[Team]],4,5))+(Dyno_Data[[#This Row],[Match]]/100))</f>
        <v>7709.35</v>
      </c>
      <c r="AI1764" s="76">
        <f>ROUND(SUM(IF(Dyno_Data[[#This Row],[AcqCenter]]&gt;0,Dyno_Data[[#This Row],[Time]]-SUMIFS(Dyno_Data[Time],Dyno_Data[Team],Dyno_Data[[#This Row],[Team]],Dyno_Data[RecordType],"StartMatch",Dyno_Data[Match],Dyno_Data[[#This Row],[Match]]),0)*86400),0)</f>
        <v>0</v>
      </c>
    </row>
    <row r="1765" spans="1:35" x14ac:dyDescent="0.3">
      <c r="A1765">
        <v>1764</v>
      </c>
      <c r="B1765" t="s">
        <v>1279</v>
      </c>
      <c r="C1765">
        <v>35</v>
      </c>
      <c r="D1765" s="105">
        <v>45373.617419641203</v>
      </c>
      <c r="E1765" t="s">
        <v>316</v>
      </c>
      <c r="F1765" t="s">
        <v>317</v>
      </c>
      <c r="G1765">
        <v>0</v>
      </c>
      <c r="H1765" t="s">
        <v>310</v>
      </c>
      <c r="I1765">
        <v>0</v>
      </c>
      <c r="J1765">
        <v>0</v>
      </c>
      <c r="K1765">
        <v>0</v>
      </c>
      <c r="L1765" t="s">
        <v>310</v>
      </c>
      <c r="M1765" t="s">
        <v>310</v>
      </c>
      <c r="N1765">
        <v>0</v>
      </c>
      <c r="O1765" t="s">
        <v>1395</v>
      </c>
      <c r="P1765" t="s">
        <v>320</v>
      </c>
      <c r="Q1765" t="s">
        <v>1399</v>
      </c>
      <c r="R1765" t="s">
        <v>321</v>
      </c>
      <c r="S1765">
        <v>0</v>
      </c>
      <c r="T1765" t="s">
        <v>105</v>
      </c>
      <c r="U1765">
        <v>9</v>
      </c>
      <c r="V1765">
        <v>9</v>
      </c>
      <c r="W1765">
        <v>0</v>
      </c>
      <c r="X1765">
        <v>0</v>
      </c>
      <c r="Y1765">
        <v>22.436211699999998</v>
      </c>
      <c r="Z1765">
        <v>113.63313289999999</v>
      </c>
      <c r="AA1765">
        <v>0</v>
      </c>
      <c r="AB1765">
        <v>0</v>
      </c>
      <c r="AC1765" t="s">
        <v>167</v>
      </c>
      <c r="AD1765">
        <v>0</v>
      </c>
      <c r="AE1765" t="s">
        <v>1396</v>
      </c>
      <c r="AF1765">
        <v>0</v>
      </c>
      <c r="AG1765" t="s">
        <v>310</v>
      </c>
      <c r="AH1765">
        <f>SUM((MID(Dyno_Data[[#This Row],[Team]],4,5))+(Dyno_Data[[#This Row],[Match]]/100))</f>
        <v>5149.3500000000004</v>
      </c>
      <c r="AI1765" s="76">
        <f>ROUND(SUM(IF(Dyno_Data[[#This Row],[AcqCenter]]&gt;0,Dyno_Data[[#This Row],[Time]]-SUMIFS(Dyno_Data[Time],Dyno_Data[Team],Dyno_Data[[#This Row],[Team]],Dyno_Data[RecordType],"StartMatch",Dyno_Data[Match],Dyno_Data[[#This Row],[Match]]),0)*86400),0)</f>
        <v>0</v>
      </c>
    </row>
    <row r="1766" spans="1:35" x14ac:dyDescent="0.3">
      <c r="A1766">
        <v>1774</v>
      </c>
      <c r="B1766" t="s">
        <v>361</v>
      </c>
      <c r="C1766">
        <v>36</v>
      </c>
      <c r="D1766" s="105">
        <v>45373.620174386575</v>
      </c>
      <c r="E1766" t="s">
        <v>308</v>
      </c>
      <c r="F1766" t="s">
        <v>309</v>
      </c>
      <c r="G1766">
        <v>0</v>
      </c>
      <c r="H1766" t="s">
        <v>310</v>
      </c>
      <c r="I1766">
        <v>0</v>
      </c>
      <c r="J1766">
        <v>0</v>
      </c>
      <c r="K1766">
        <v>0</v>
      </c>
      <c r="L1766" t="s">
        <v>310</v>
      </c>
      <c r="M1766" t="s">
        <v>310</v>
      </c>
      <c r="N1766">
        <v>0</v>
      </c>
      <c r="O1766" t="s">
        <v>1389</v>
      </c>
      <c r="P1766" t="s">
        <v>310</v>
      </c>
      <c r="Q1766" t="s">
        <v>310</v>
      </c>
      <c r="R1766" t="s">
        <v>310</v>
      </c>
      <c r="S1766">
        <v>9</v>
      </c>
      <c r="T1766" t="s">
        <v>310</v>
      </c>
      <c r="U1766">
        <v>9</v>
      </c>
      <c r="V1766">
        <v>9</v>
      </c>
      <c r="W1766">
        <v>0</v>
      </c>
      <c r="X1766">
        <v>0</v>
      </c>
      <c r="Y1766">
        <v>0</v>
      </c>
      <c r="Z1766">
        <v>0</v>
      </c>
      <c r="AA1766">
        <v>9</v>
      </c>
      <c r="AB1766">
        <v>9</v>
      </c>
      <c r="AC1766" t="s">
        <v>310</v>
      </c>
      <c r="AD1766">
        <v>9</v>
      </c>
      <c r="AE1766" t="s">
        <v>1388</v>
      </c>
      <c r="AF1766">
        <v>20000000</v>
      </c>
      <c r="AG1766" t="s">
        <v>310</v>
      </c>
      <c r="AH1766">
        <f>SUM((MID(Dyno_Data[[#This Row],[Team]],4,5))+(Dyno_Data[[#This Row],[Match]]/100))</f>
        <v>20.36</v>
      </c>
      <c r="AI1766" s="76">
        <f>ROUND(SUM(IF(Dyno_Data[[#This Row],[AcqCenter]]&gt;0,Dyno_Data[[#This Row],[Time]]-SUMIFS(Dyno_Data[Time],Dyno_Data[Team],Dyno_Data[[#This Row],[Team]],Dyno_Data[RecordType],"StartMatch",Dyno_Data[Match],Dyno_Data[[#This Row],[Match]]),0)*86400),0)</f>
        <v>0</v>
      </c>
    </row>
    <row r="1767" spans="1:35" x14ac:dyDescent="0.3">
      <c r="A1767">
        <v>1777</v>
      </c>
      <c r="B1767" t="s">
        <v>362</v>
      </c>
      <c r="C1767">
        <v>36</v>
      </c>
      <c r="D1767" s="105">
        <v>45373.62018391204</v>
      </c>
      <c r="E1767" t="s">
        <v>308</v>
      </c>
      <c r="F1767" t="s">
        <v>309</v>
      </c>
      <c r="G1767">
        <v>0</v>
      </c>
      <c r="H1767" t="s">
        <v>310</v>
      </c>
      <c r="I1767">
        <v>0</v>
      </c>
      <c r="J1767">
        <v>0</v>
      </c>
      <c r="K1767">
        <v>0</v>
      </c>
      <c r="L1767" t="s">
        <v>310</v>
      </c>
      <c r="M1767" t="s">
        <v>310</v>
      </c>
      <c r="N1767">
        <v>0</v>
      </c>
      <c r="O1767" t="s">
        <v>1391</v>
      </c>
      <c r="P1767" t="s">
        <v>310</v>
      </c>
      <c r="Q1767" t="s">
        <v>310</v>
      </c>
      <c r="R1767" t="s">
        <v>310</v>
      </c>
      <c r="S1767">
        <v>9</v>
      </c>
      <c r="T1767" t="s">
        <v>310</v>
      </c>
      <c r="U1767">
        <v>9</v>
      </c>
      <c r="V1767">
        <v>9</v>
      </c>
      <c r="W1767">
        <v>0</v>
      </c>
      <c r="X1767">
        <v>0</v>
      </c>
      <c r="Y1767">
        <v>0</v>
      </c>
      <c r="Z1767">
        <v>0</v>
      </c>
      <c r="AA1767">
        <v>9</v>
      </c>
      <c r="AB1767">
        <v>9</v>
      </c>
      <c r="AC1767" t="s">
        <v>310</v>
      </c>
      <c r="AD1767">
        <v>9</v>
      </c>
      <c r="AE1767" t="s">
        <v>1412</v>
      </c>
      <c r="AF1767">
        <v>0</v>
      </c>
      <c r="AG1767" t="s">
        <v>310</v>
      </c>
      <c r="AH1767">
        <f>SUM((MID(Dyno_Data[[#This Row],[Team]],4,5))+(Dyno_Data[[#This Row],[Match]]/100))</f>
        <v>250.36</v>
      </c>
      <c r="AI1767" s="76">
        <f>ROUND(SUM(IF(Dyno_Data[[#This Row],[AcqCenter]]&gt;0,Dyno_Data[[#This Row],[Time]]-SUMIFS(Dyno_Data[Time],Dyno_Data[Team],Dyno_Data[[#This Row],[Team]],Dyno_Data[RecordType],"StartMatch",Dyno_Data[Match],Dyno_Data[[#This Row],[Match]]),0)*86400),0)</f>
        <v>0</v>
      </c>
    </row>
    <row r="1768" spans="1:35" x14ac:dyDescent="0.3">
      <c r="A1768">
        <v>1779</v>
      </c>
      <c r="B1768" t="s">
        <v>1275</v>
      </c>
      <c r="C1768">
        <v>36</v>
      </c>
      <c r="D1768" s="105">
        <v>45373.62019105324</v>
      </c>
      <c r="E1768" t="s">
        <v>308</v>
      </c>
      <c r="F1768" t="s">
        <v>309</v>
      </c>
      <c r="G1768">
        <v>0</v>
      </c>
      <c r="H1768" t="s">
        <v>310</v>
      </c>
      <c r="I1768">
        <v>0</v>
      </c>
      <c r="J1768">
        <v>0</v>
      </c>
      <c r="K1768">
        <v>0</v>
      </c>
      <c r="L1768" t="s">
        <v>310</v>
      </c>
      <c r="M1768" t="s">
        <v>310</v>
      </c>
      <c r="N1768">
        <v>0</v>
      </c>
      <c r="O1768" t="s">
        <v>1395</v>
      </c>
      <c r="P1768" t="s">
        <v>310</v>
      </c>
      <c r="Q1768" t="s">
        <v>310</v>
      </c>
      <c r="R1768" t="s">
        <v>310</v>
      </c>
      <c r="S1768">
        <v>9</v>
      </c>
      <c r="T1768" t="s">
        <v>310</v>
      </c>
      <c r="U1768">
        <v>9</v>
      </c>
      <c r="V1768">
        <v>9</v>
      </c>
      <c r="W1768">
        <v>0</v>
      </c>
      <c r="X1768">
        <v>0</v>
      </c>
      <c r="Y1768">
        <v>0</v>
      </c>
      <c r="Z1768">
        <v>0</v>
      </c>
      <c r="AA1768">
        <v>9</v>
      </c>
      <c r="AB1768">
        <v>9</v>
      </c>
      <c r="AC1768" t="s">
        <v>310</v>
      </c>
      <c r="AD1768">
        <v>9</v>
      </c>
      <c r="AE1768" t="s">
        <v>1396</v>
      </c>
      <c r="AF1768">
        <v>0</v>
      </c>
      <c r="AG1768" t="s">
        <v>310</v>
      </c>
      <c r="AH1768">
        <f>SUM((MID(Dyno_Data[[#This Row],[Team]],4,5))+(Dyno_Data[[#This Row],[Match]]/100))</f>
        <v>1880.36</v>
      </c>
      <c r="AI1768" s="76">
        <f>ROUND(SUM(IF(Dyno_Data[[#This Row],[AcqCenter]]&gt;0,Dyno_Data[[#This Row],[Time]]-SUMIFS(Dyno_Data[Time],Dyno_Data[Team],Dyno_Data[[#This Row],[Team]],Dyno_Data[RecordType],"StartMatch",Dyno_Data[Match],Dyno_Data[[#This Row],[Match]]),0)*86400),0)</f>
        <v>0</v>
      </c>
    </row>
    <row r="1769" spans="1:35" x14ac:dyDescent="0.3">
      <c r="A1769">
        <v>1765</v>
      </c>
      <c r="B1769" t="s">
        <v>361</v>
      </c>
      <c r="C1769">
        <v>36</v>
      </c>
      <c r="D1769" s="105">
        <v>45373.620193553237</v>
      </c>
      <c r="E1769" t="s">
        <v>312</v>
      </c>
      <c r="F1769" t="s">
        <v>309</v>
      </c>
      <c r="G1769">
        <v>0</v>
      </c>
      <c r="H1769" t="s">
        <v>1397</v>
      </c>
      <c r="I1769">
        <v>0</v>
      </c>
      <c r="J1769">
        <v>0</v>
      </c>
      <c r="K1769">
        <v>0</v>
      </c>
      <c r="L1769" t="s">
        <v>240</v>
      </c>
      <c r="M1769" t="s">
        <v>1398</v>
      </c>
      <c r="N1769">
        <v>0</v>
      </c>
      <c r="O1769" t="s">
        <v>1389</v>
      </c>
      <c r="P1769" t="s">
        <v>310</v>
      </c>
      <c r="Q1769" t="s">
        <v>310</v>
      </c>
      <c r="R1769" t="s">
        <v>310</v>
      </c>
      <c r="S1769">
        <v>9</v>
      </c>
      <c r="T1769" t="s">
        <v>310</v>
      </c>
      <c r="U1769">
        <v>9</v>
      </c>
      <c r="V1769">
        <v>9</v>
      </c>
      <c r="W1769">
        <v>0</v>
      </c>
      <c r="X1769">
        <v>0</v>
      </c>
      <c r="Y1769">
        <v>0</v>
      </c>
      <c r="Z1769">
        <v>0</v>
      </c>
      <c r="AA1769">
        <v>9</v>
      </c>
      <c r="AB1769">
        <v>9</v>
      </c>
      <c r="AC1769" t="s">
        <v>310</v>
      </c>
      <c r="AD1769">
        <v>9</v>
      </c>
      <c r="AE1769" t="s">
        <v>1388</v>
      </c>
      <c r="AF1769">
        <v>0</v>
      </c>
      <c r="AG1769" t="s">
        <v>310</v>
      </c>
      <c r="AH1769">
        <f>SUM((MID(Dyno_Data[[#This Row],[Team]],4,5))+(Dyno_Data[[#This Row],[Match]]/100))</f>
        <v>20.36</v>
      </c>
      <c r="AI1769" s="76">
        <f>ROUND(SUM(IF(Dyno_Data[[#This Row],[AcqCenter]]&gt;0,Dyno_Data[[#This Row],[Time]]-SUMIFS(Dyno_Data[Time],Dyno_Data[Team],Dyno_Data[[#This Row],[Team]],Dyno_Data[RecordType],"StartMatch",Dyno_Data[Match],Dyno_Data[[#This Row],[Match]]),0)*86400),0)</f>
        <v>0</v>
      </c>
    </row>
    <row r="1770" spans="1:35" x14ac:dyDescent="0.3">
      <c r="A1770">
        <v>1781</v>
      </c>
      <c r="B1770" t="s">
        <v>1298</v>
      </c>
      <c r="C1770">
        <v>36</v>
      </c>
      <c r="D1770" s="105">
        <v>45373.620204826388</v>
      </c>
      <c r="E1770" t="s">
        <v>308</v>
      </c>
      <c r="F1770" t="s">
        <v>309</v>
      </c>
      <c r="G1770">
        <v>0</v>
      </c>
      <c r="H1770" t="s">
        <v>310</v>
      </c>
      <c r="I1770">
        <v>0</v>
      </c>
      <c r="J1770">
        <v>0</v>
      </c>
      <c r="K1770">
        <v>0</v>
      </c>
      <c r="L1770" t="s">
        <v>310</v>
      </c>
      <c r="M1770" t="s">
        <v>310</v>
      </c>
      <c r="N1770">
        <v>0</v>
      </c>
      <c r="O1770" t="s">
        <v>319</v>
      </c>
      <c r="P1770" t="s">
        <v>310</v>
      </c>
      <c r="Q1770" t="s">
        <v>310</v>
      </c>
      <c r="R1770" t="s">
        <v>310</v>
      </c>
      <c r="S1770">
        <v>9</v>
      </c>
      <c r="T1770" t="s">
        <v>310</v>
      </c>
      <c r="U1770">
        <v>9</v>
      </c>
      <c r="V1770">
        <v>9</v>
      </c>
      <c r="W1770">
        <v>0</v>
      </c>
      <c r="X1770">
        <v>0</v>
      </c>
      <c r="Y1770">
        <v>0</v>
      </c>
      <c r="Z1770">
        <v>0</v>
      </c>
      <c r="AA1770">
        <v>9</v>
      </c>
      <c r="AB1770">
        <v>9</v>
      </c>
      <c r="AC1770" t="s">
        <v>310</v>
      </c>
      <c r="AD1770">
        <v>9</v>
      </c>
      <c r="AE1770" t="s">
        <v>1414</v>
      </c>
      <c r="AF1770">
        <v>10000000</v>
      </c>
      <c r="AG1770" t="s">
        <v>310</v>
      </c>
      <c r="AH1770">
        <f>SUM((MID(Dyno_Data[[#This Row],[Team]],4,5))+(Dyno_Data[[#This Row],[Match]]/100))</f>
        <v>9624.36</v>
      </c>
      <c r="AI1770" s="76">
        <f>ROUND(SUM(IF(Dyno_Data[[#This Row],[AcqCenter]]&gt;0,Dyno_Data[[#This Row],[Time]]-SUMIFS(Dyno_Data[Time],Dyno_Data[Team],Dyno_Data[[#This Row],[Team]],Dyno_Data[RecordType],"StartMatch",Dyno_Data[Match],Dyno_Data[[#This Row],[Match]]),0)*86400),0)</f>
        <v>0</v>
      </c>
    </row>
    <row r="1771" spans="1:35" x14ac:dyDescent="0.3">
      <c r="A1771">
        <v>1783</v>
      </c>
      <c r="B1771" t="s">
        <v>1290</v>
      </c>
      <c r="C1771">
        <v>36</v>
      </c>
      <c r="D1771" s="105">
        <v>45373.620207719905</v>
      </c>
      <c r="E1771" t="s">
        <v>308</v>
      </c>
      <c r="F1771" t="s">
        <v>309</v>
      </c>
      <c r="G1771">
        <v>0</v>
      </c>
      <c r="H1771" t="s">
        <v>310</v>
      </c>
      <c r="I1771">
        <v>0</v>
      </c>
      <c r="J1771">
        <v>0</v>
      </c>
      <c r="K1771">
        <v>0</v>
      </c>
      <c r="L1771" t="s">
        <v>310</v>
      </c>
      <c r="M1771" t="s">
        <v>310</v>
      </c>
      <c r="N1771">
        <v>0</v>
      </c>
      <c r="O1771" t="s">
        <v>1393</v>
      </c>
      <c r="P1771" t="s">
        <v>310</v>
      </c>
      <c r="Q1771" t="s">
        <v>310</v>
      </c>
      <c r="R1771" t="s">
        <v>310</v>
      </c>
      <c r="S1771">
        <v>9</v>
      </c>
      <c r="T1771" t="s">
        <v>310</v>
      </c>
      <c r="U1771">
        <v>9</v>
      </c>
      <c r="V1771">
        <v>9</v>
      </c>
      <c r="W1771">
        <v>0</v>
      </c>
      <c r="X1771">
        <v>0</v>
      </c>
      <c r="Y1771">
        <v>0</v>
      </c>
      <c r="Z1771">
        <v>0</v>
      </c>
      <c r="AA1771">
        <v>9</v>
      </c>
      <c r="AB1771">
        <v>9</v>
      </c>
      <c r="AC1771" t="s">
        <v>310</v>
      </c>
      <c r="AD1771">
        <v>9</v>
      </c>
      <c r="AE1771" t="s">
        <v>1390</v>
      </c>
      <c r="AF1771">
        <v>0</v>
      </c>
      <c r="AG1771" t="s">
        <v>310</v>
      </c>
      <c r="AH1771">
        <f>SUM((MID(Dyno_Data[[#This Row],[Team]],4,5))+(Dyno_Data[[#This Row],[Match]]/100))</f>
        <v>5881.36</v>
      </c>
      <c r="AI1771" s="76">
        <f>ROUND(SUM(IF(Dyno_Data[[#This Row],[AcqCenter]]&gt;0,Dyno_Data[[#This Row],[Time]]-SUMIFS(Dyno_Data[Time],Dyno_Data[Team],Dyno_Data[[#This Row],[Team]],Dyno_Data[RecordType],"StartMatch",Dyno_Data[Match],Dyno_Data[[#This Row],[Match]]),0)*86400),0)</f>
        <v>0</v>
      </c>
    </row>
    <row r="1772" spans="1:35" x14ac:dyDescent="0.3">
      <c r="A1772">
        <v>1766</v>
      </c>
      <c r="B1772" t="s">
        <v>1290</v>
      </c>
      <c r="C1772">
        <v>36</v>
      </c>
      <c r="D1772" s="105">
        <v>45373.620221064812</v>
      </c>
      <c r="E1772" t="s">
        <v>312</v>
      </c>
      <c r="F1772" t="s">
        <v>309</v>
      </c>
      <c r="G1772">
        <v>0</v>
      </c>
      <c r="H1772" t="s">
        <v>1397</v>
      </c>
      <c r="I1772">
        <v>0</v>
      </c>
      <c r="J1772">
        <v>0</v>
      </c>
      <c r="K1772">
        <v>0</v>
      </c>
      <c r="L1772" t="s">
        <v>313</v>
      </c>
      <c r="M1772" t="s">
        <v>1398</v>
      </c>
      <c r="N1772">
        <v>1</v>
      </c>
      <c r="O1772" t="s">
        <v>1393</v>
      </c>
      <c r="P1772" t="s">
        <v>310</v>
      </c>
      <c r="Q1772" t="s">
        <v>310</v>
      </c>
      <c r="R1772" t="s">
        <v>310</v>
      </c>
      <c r="S1772">
        <v>9</v>
      </c>
      <c r="T1772" t="s">
        <v>310</v>
      </c>
      <c r="U1772">
        <v>9</v>
      </c>
      <c r="V1772">
        <v>9</v>
      </c>
      <c r="W1772">
        <v>0</v>
      </c>
      <c r="X1772">
        <v>0</v>
      </c>
      <c r="Y1772">
        <v>0</v>
      </c>
      <c r="Z1772">
        <v>0</v>
      </c>
      <c r="AA1772">
        <v>9</v>
      </c>
      <c r="AB1772">
        <v>9</v>
      </c>
      <c r="AC1772" t="s">
        <v>310</v>
      </c>
      <c r="AD1772">
        <v>9</v>
      </c>
      <c r="AE1772" t="s">
        <v>1390</v>
      </c>
      <c r="AF1772">
        <v>0</v>
      </c>
      <c r="AG1772" t="s">
        <v>310</v>
      </c>
      <c r="AH1772">
        <f>SUM((MID(Dyno_Data[[#This Row],[Team]],4,5))+(Dyno_Data[[#This Row],[Match]]/100))</f>
        <v>5881.36</v>
      </c>
      <c r="AI1772" s="76">
        <f>ROUND(SUM(IF(Dyno_Data[[#This Row],[AcqCenter]]&gt;0,Dyno_Data[[#This Row],[Time]]-SUMIFS(Dyno_Data[Time],Dyno_Data[Team],Dyno_Data[[#This Row],[Team]],Dyno_Data[RecordType],"StartMatch",Dyno_Data[Match],Dyno_Data[[#This Row],[Match]]),0)*86400),0)</f>
        <v>0</v>
      </c>
    </row>
    <row r="1773" spans="1:35" x14ac:dyDescent="0.3">
      <c r="A1773">
        <v>1767</v>
      </c>
      <c r="B1773" t="s">
        <v>1275</v>
      </c>
      <c r="C1773">
        <v>36</v>
      </c>
      <c r="D1773" s="105">
        <v>45373.620233298614</v>
      </c>
      <c r="E1773" t="s">
        <v>312</v>
      </c>
      <c r="F1773" t="s">
        <v>309</v>
      </c>
      <c r="G1773">
        <v>0</v>
      </c>
      <c r="H1773" t="s">
        <v>1397</v>
      </c>
      <c r="I1773">
        <v>0</v>
      </c>
      <c r="J1773">
        <v>0</v>
      </c>
      <c r="K1773">
        <v>0</v>
      </c>
      <c r="L1773" t="s">
        <v>240</v>
      </c>
      <c r="M1773" t="s">
        <v>1398</v>
      </c>
      <c r="N1773">
        <v>0</v>
      </c>
      <c r="O1773" t="s">
        <v>1395</v>
      </c>
      <c r="P1773" t="s">
        <v>310</v>
      </c>
      <c r="Q1773" t="s">
        <v>310</v>
      </c>
      <c r="R1773" t="s">
        <v>310</v>
      </c>
      <c r="S1773">
        <v>9</v>
      </c>
      <c r="T1773" t="s">
        <v>310</v>
      </c>
      <c r="U1773">
        <v>9</v>
      </c>
      <c r="V1773">
        <v>9</v>
      </c>
      <c r="W1773">
        <v>0</v>
      </c>
      <c r="X1773">
        <v>0</v>
      </c>
      <c r="Y1773">
        <v>0</v>
      </c>
      <c r="Z1773">
        <v>0</v>
      </c>
      <c r="AA1773">
        <v>9</v>
      </c>
      <c r="AB1773">
        <v>9</v>
      </c>
      <c r="AC1773" t="s">
        <v>310</v>
      </c>
      <c r="AD1773">
        <v>9</v>
      </c>
      <c r="AE1773" t="s">
        <v>1396</v>
      </c>
      <c r="AF1773">
        <v>0</v>
      </c>
      <c r="AG1773" t="s">
        <v>310</v>
      </c>
      <c r="AH1773">
        <f>SUM((MID(Dyno_Data[[#This Row],[Team]],4,5))+(Dyno_Data[[#This Row],[Match]]/100))</f>
        <v>1880.36</v>
      </c>
      <c r="AI1773" s="76">
        <f>ROUND(SUM(IF(Dyno_Data[[#This Row],[AcqCenter]]&gt;0,Dyno_Data[[#This Row],[Time]]-SUMIFS(Dyno_Data[Time],Dyno_Data[Team],Dyno_Data[[#This Row],[Team]],Dyno_Data[RecordType],"StartMatch",Dyno_Data[Match],Dyno_Data[[#This Row],[Match]]),0)*86400),0)</f>
        <v>0</v>
      </c>
    </row>
    <row r="1774" spans="1:35" x14ac:dyDescent="0.3">
      <c r="A1774">
        <v>1768</v>
      </c>
      <c r="B1774" t="s">
        <v>1298</v>
      </c>
      <c r="C1774">
        <v>36</v>
      </c>
      <c r="D1774" s="105">
        <v>45373.62024517361</v>
      </c>
      <c r="E1774" t="s">
        <v>312</v>
      </c>
      <c r="F1774" t="s">
        <v>309</v>
      </c>
      <c r="G1774">
        <v>0</v>
      </c>
      <c r="H1774" t="s">
        <v>1397</v>
      </c>
      <c r="I1774">
        <v>0</v>
      </c>
      <c r="J1774">
        <v>0</v>
      </c>
      <c r="K1774">
        <v>0</v>
      </c>
      <c r="L1774" t="s">
        <v>240</v>
      </c>
      <c r="M1774" t="s">
        <v>1398</v>
      </c>
      <c r="N1774">
        <v>0</v>
      </c>
      <c r="O1774" t="s">
        <v>319</v>
      </c>
      <c r="P1774" t="s">
        <v>310</v>
      </c>
      <c r="Q1774" t="s">
        <v>310</v>
      </c>
      <c r="R1774" t="s">
        <v>310</v>
      </c>
      <c r="S1774">
        <v>9</v>
      </c>
      <c r="T1774" t="s">
        <v>310</v>
      </c>
      <c r="U1774">
        <v>9</v>
      </c>
      <c r="V1774">
        <v>9</v>
      </c>
      <c r="W1774">
        <v>0</v>
      </c>
      <c r="X1774">
        <v>0</v>
      </c>
      <c r="Y1774">
        <v>0</v>
      </c>
      <c r="Z1774">
        <v>0</v>
      </c>
      <c r="AA1774">
        <v>9</v>
      </c>
      <c r="AB1774">
        <v>9</v>
      </c>
      <c r="AC1774" t="s">
        <v>310</v>
      </c>
      <c r="AD1774">
        <v>9</v>
      </c>
      <c r="AE1774" t="s">
        <v>1414</v>
      </c>
      <c r="AF1774">
        <v>0</v>
      </c>
      <c r="AG1774" t="s">
        <v>310</v>
      </c>
      <c r="AH1774">
        <f>SUM((MID(Dyno_Data[[#This Row],[Team]],4,5))+(Dyno_Data[[#This Row],[Match]]/100))</f>
        <v>9624.36</v>
      </c>
      <c r="AI1774" s="76">
        <f>ROUND(SUM(IF(Dyno_Data[[#This Row],[AcqCenter]]&gt;0,Dyno_Data[[#This Row],[Time]]-SUMIFS(Dyno_Data[Time],Dyno_Data[Team],Dyno_Data[[#This Row],[Team]],Dyno_Data[RecordType],"StartMatch",Dyno_Data[Match],Dyno_Data[[#This Row],[Match]]),0)*86400),0)</f>
        <v>0</v>
      </c>
    </row>
    <row r="1775" spans="1:35" x14ac:dyDescent="0.3">
      <c r="A1775">
        <v>1769</v>
      </c>
      <c r="B1775" t="s">
        <v>361</v>
      </c>
      <c r="C1775">
        <v>36</v>
      </c>
      <c r="D1775" s="105">
        <v>45373.620248032406</v>
      </c>
      <c r="E1775" t="s">
        <v>312</v>
      </c>
      <c r="F1775" t="s">
        <v>309</v>
      </c>
      <c r="G1775">
        <v>0</v>
      </c>
      <c r="H1775" t="s">
        <v>315</v>
      </c>
      <c r="I1775">
        <v>0</v>
      </c>
      <c r="J1775">
        <v>0</v>
      </c>
      <c r="K1775">
        <v>0</v>
      </c>
      <c r="L1775" t="s">
        <v>241</v>
      </c>
      <c r="M1775" t="s">
        <v>1398</v>
      </c>
      <c r="N1775">
        <v>1</v>
      </c>
      <c r="O1775" t="s">
        <v>1389</v>
      </c>
      <c r="P1775" t="s">
        <v>310</v>
      </c>
      <c r="Q1775" t="s">
        <v>310</v>
      </c>
      <c r="R1775" t="s">
        <v>310</v>
      </c>
      <c r="S1775">
        <v>9</v>
      </c>
      <c r="T1775" t="s">
        <v>310</v>
      </c>
      <c r="U1775">
        <v>9</v>
      </c>
      <c r="V1775">
        <v>9</v>
      </c>
      <c r="W1775">
        <v>0</v>
      </c>
      <c r="X1775">
        <v>0</v>
      </c>
      <c r="Y1775">
        <v>0</v>
      </c>
      <c r="Z1775">
        <v>0</v>
      </c>
      <c r="AA1775">
        <v>9</v>
      </c>
      <c r="AB1775">
        <v>9</v>
      </c>
      <c r="AC1775" t="s">
        <v>310</v>
      </c>
      <c r="AD1775">
        <v>9</v>
      </c>
      <c r="AE1775" t="s">
        <v>1388</v>
      </c>
      <c r="AF1775">
        <v>10000000</v>
      </c>
      <c r="AG1775" t="s">
        <v>310</v>
      </c>
      <c r="AH1775">
        <f>SUM((MID(Dyno_Data[[#This Row],[Team]],4,5))+(Dyno_Data[[#This Row],[Match]]/100))</f>
        <v>20.36</v>
      </c>
      <c r="AI1775" s="76">
        <f>ROUND(SUM(IF(Dyno_Data[[#This Row],[AcqCenter]]&gt;0,Dyno_Data[[#This Row],[Time]]-SUMIFS(Dyno_Data[Time],Dyno_Data[Team],Dyno_Data[[#This Row],[Team]],Dyno_Data[RecordType],"StartMatch",Dyno_Data[Match],Dyno_Data[[#This Row],[Match]]),0)*86400),0)</f>
        <v>0</v>
      </c>
    </row>
    <row r="1776" spans="1:35" x14ac:dyDescent="0.3">
      <c r="A1776">
        <v>1785</v>
      </c>
      <c r="B1776" t="s">
        <v>1311</v>
      </c>
      <c r="C1776">
        <v>36</v>
      </c>
      <c r="D1776" s="105">
        <v>45373.620256909722</v>
      </c>
      <c r="E1776" t="s">
        <v>308</v>
      </c>
      <c r="F1776" t="s">
        <v>309</v>
      </c>
      <c r="G1776">
        <v>0</v>
      </c>
      <c r="H1776" t="s">
        <v>310</v>
      </c>
      <c r="I1776">
        <v>0</v>
      </c>
      <c r="J1776">
        <v>0</v>
      </c>
      <c r="K1776">
        <v>0</v>
      </c>
      <c r="L1776" t="s">
        <v>310</v>
      </c>
      <c r="M1776" t="s">
        <v>310</v>
      </c>
      <c r="N1776">
        <v>0</v>
      </c>
      <c r="O1776" t="s">
        <v>311</v>
      </c>
      <c r="P1776" t="s">
        <v>310</v>
      </c>
      <c r="Q1776" t="s">
        <v>310</v>
      </c>
      <c r="R1776" t="s">
        <v>310</v>
      </c>
      <c r="S1776">
        <v>9</v>
      </c>
      <c r="T1776" t="s">
        <v>310</v>
      </c>
      <c r="U1776">
        <v>9</v>
      </c>
      <c r="V1776">
        <v>9</v>
      </c>
      <c r="W1776">
        <v>0</v>
      </c>
      <c r="X1776">
        <v>0</v>
      </c>
      <c r="Y1776">
        <v>0</v>
      </c>
      <c r="Z1776">
        <v>0</v>
      </c>
      <c r="AA1776">
        <v>9</v>
      </c>
      <c r="AB1776">
        <v>9</v>
      </c>
      <c r="AC1776" t="s">
        <v>310</v>
      </c>
      <c r="AD1776">
        <v>9</v>
      </c>
      <c r="AE1776" t="s">
        <v>1413</v>
      </c>
      <c r="AF1776">
        <v>0</v>
      </c>
      <c r="AG1776" t="s">
        <v>310</v>
      </c>
      <c r="AH1776">
        <f>SUM((MID(Dyno_Data[[#This Row],[Team]],4,5))+(Dyno_Data[[#This Row],[Match]]/100))</f>
        <v>2234.36</v>
      </c>
      <c r="AI1776" s="76">
        <f>ROUND(SUM(IF(Dyno_Data[[#This Row],[AcqCenter]]&gt;0,Dyno_Data[[#This Row],[Time]]-SUMIFS(Dyno_Data[Time],Dyno_Data[Team],Dyno_Data[[#This Row],[Team]],Dyno_Data[RecordType],"StartMatch",Dyno_Data[Match],Dyno_Data[[#This Row],[Match]]),0)*86400),0)</f>
        <v>0</v>
      </c>
    </row>
    <row r="1777" spans="1:35" x14ac:dyDescent="0.3">
      <c r="A1777">
        <v>1772</v>
      </c>
      <c r="B1777" t="s">
        <v>362</v>
      </c>
      <c r="C1777">
        <v>36</v>
      </c>
      <c r="D1777" s="105">
        <v>45373.620279363429</v>
      </c>
      <c r="E1777" t="s">
        <v>312</v>
      </c>
      <c r="F1777" t="s">
        <v>309</v>
      </c>
      <c r="G1777">
        <v>0</v>
      </c>
      <c r="H1777" t="s">
        <v>143</v>
      </c>
      <c r="I1777">
        <v>1</v>
      </c>
      <c r="J1777">
        <v>1</v>
      </c>
      <c r="K1777">
        <v>0</v>
      </c>
      <c r="L1777" t="s">
        <v>310</v>
      </c>
      <c r="M1777" t="s">
        <v>310</v>
      </c>
      <c r="N1777">
        <v>0</v>
      </c>
      <c r="O1777" t="s">
        <v>1391</v>
      </c>
      <c r="P1777" t="s">
        <v>310</v>
      </c>
      <c r="Q1777" t="s">
        <v>310</v>
      </c>
      <c r="R1777" t="s">
        <v>310</v>
      </c>
      <c r="S1777">
        <v>9</v>
      </c>
      <c r="T1777" t="s">
        <v>310</v>
      </c>
      <c r="U1777">
        <v>9</v>
      </c>
      <c r="V1777">
        <v>9</v>
      </c>
      <c r="W1777">
        <v>0</v>
      </c>
      <c r="X1777">
        <v>0</v>
      </c>
      <c r="Y1777">
        <v>0</v>
      </c>
      <c r="Z1777">
        <v>0</v>
      </c>
      <c r="AA1777">
        <v>9</v>
      </c>
      <c r="AB1777">
        <v>9</v>
      </c>
      <c r="AC1777" t="s">
        <v>310</v>
      </c>
      <c r="AD1777">
        <v>9</v>
      </c>
      <c r="AE1777" t="s">
        <v>1412</v>
      </c>
      <c r="AF1777">
        <v>0</v>
      </c>
      <c r="AG1777" t="s">
        <v>310</v>
      </c>
      <c r="AH1777">
        <f>SUM((MID(Dyno_Data[[#This Row],[Team]],4,5))+(Dyno_Data[[#This Row],[Match]]/100))</f>
        <v>250.36</v>
      </c>
      <c r="AI1777" s="76">
        <f>ROUND(SUM(IF(Dyno_Data[[#This Row],[AcqCenter]]&gt;0,Dyno_Data[[#This Row],[Time]]-SUMIFS(Dyno_Data[Time],Dyno_Data[Team],Dyno_Data[[#This Row],[Team]],Dyno_Data[RecordType],"StartMatch",Dyno_Data[Match],Dyno_Data[[#This Row],[Match]]),0)*86400),0)</f>
        <v>8</v>
      </c>
    </row>
    <row r="1778" spans="1:35" x14ac:dyDescent="0.3">
      <c r="A1778">
        <v>1770</v>
      </c>
      <c r="B1778" t="s">
        <v>361</v>
      </c>
      <c r="C1778">
        <v>36</v>
      </c>
      <c r="D1778" s="105">
        <v>45373.620281481482</v>
      </c>
      <c r="E1778" t="s">
        <v>312</v>
      </c>
      <c r="F1778" t="s">
        <v>309</v>
      </c>
      <c r="G1778">
        <v>0</v>
      </c>
      <c r="H1778" t="s">
        <v>315</v>
      </c>
      <c r="I1778">
        <v>0</v>
      </c>
      <c r="J1778">
        <v>0</v>
      </c>
      <c r="K1778">
        <v>0</v>
      </c>
      <c r="L1778" t="s">
        <v>241</v>
      </c>
      <c r="M1778" t="s">
        <v>1398</v>
      </c>
      <c r="N1778">
        <v>0</v>
      </c>
      <c r="O1778" t="s">
        <v>1389</v>
      </c>
      <c r="P1778" t="s">
        <v>310</v>
      </c>
      <c r="Q1778" t="s">
        <v>310</v>
      </c>
      <c r="R1778" t="s">
        <v>310</v>
      </c>
      <c r="S1778">
        <v>9</v>
      </c>
      <c r="T1778" t="s">
        <v>310</v>
      </c>
      <c r="U1778">
        <v>9</v>
      </c>
      <c r="V1778">
        <v>9</v>
      </c>
      <c r="W1778">
        <v>0</v>
      </c>
      <c r="X1778">
        <v>0</v>
      </c>
      <c r="Y1778">
        <v>0</v>
      </c>
      <c r="Z1778">
        <v>0</v>
      </c>
      <c r="AA1778">
        <v>9</v>
      </c>
      <c r="AB1778">
        <v>9</v>
      </c>
      <c r="AC1778" t="s">
        <v>310</v>
      </c>
      <c r="AD1778">
        <v>9</v>
      </c>
      <c r="AE1778" t="s">
        <v>1388</v>
      </c>
      <c r="AF1778">
        <v>20000000</v>
      </c>
      <c r="AG1778" t="s">
        <v>310</v>
      </c>
      <c r="AH1778">
        <f>SUM((MID(Dyno_Data[[#This Row],[Team]],4,5))+(Dyno_Data[[#This Row],[Match]]/100))</f>
        <v>20.36</v>
      </c>
      <c r="AI1778" s="76">
        <f>ROUND(SUM(IF(Dyno_Data[[#This Row],[AcqCenter]]&gt;0,Dyno_Data[[#This Row],[Time]]-SUMIFS(Dyno_Data[Time],Dyno_Data[Team],Dyno_Data[[#This Row],[Team]],Dyno_Data[RecordType],"StartMatch",Dyno_Data[Match],Dyno_Data[[#This Row],[Match]]),0)*86400),0)</f>
        <v>0</v>
      </c>
    </row>
    <row r="1779" spans="1:35" x14ac:dyDescent="0.3">
      <c r="A1779">
        <v>1771</v>
      </c>
      <c r="B1779" t="s">
        <v>1298</v>
      </c>
      <c r="C1779">
        <v>36</v>
      </c>
      <c r="D1779" s="105">
        <v>45373.620299502312</v>
      </c>
      <c r="E1779" t="s">
        <v>312</v>
      </c>
      <c r="F1779" t="s">
        <v>309</v>
      </c>
      <c r="G1779">
        <v>0</v>
      </c>
      <c r="H1779" t="s">
        <v>315</v>
      </c>
      <c r="I1779">
        <v>0</v>
      </c>
      <c r="J1779">
        <v>0</v>
      </c>
      <c r="K1779">
        <v>0</v>
      </c>
      <c r="L1779" t="s">
        <v>240</v>
      </c>
      <c r="M1779" t="s">
        <v>1398</v>
      </c>
      <c r="N1779">
        <v>0</v>
      </c>
      <c r="O1779" t="s">
        <v>319</v>
      </c>
      <c r="P1779" t="s">
        <v>310</v>
      </c>
      <c r="Q1779" t="s">
        <v>310</v>
      </c>
      <c r="R1779" t="s">
        <v>310</v>
      </c>
      <c r="S1779">
        <v>9</v>
      </c>
      <c r="T1779" t="s">
        <v>310</v>
      </c>
      <c r="U1779">
        <v>9</v>
      </c>
      <c r="V1779">
        <v>9</v>
      </c>
      <c r="W1779">
        <v>0</v>
      </c>
      <c r="X1779">
        <v>0</v>
      </c>
      <c r="Y1779">
        <v>0</v>
      </c>
      <c r="Z1779">
        <v>0</v>
      </c>
      <c r="AA1779">
        <v>9</v>
      </c>
      <c r="AB1779">
        <v>9</v>
      </c>
      <c r="AC1779" t="s">
        <v>310</v>
      </c>
      <c r="AD1779">
        <v>9</v>
      </c>
      <c r="AE1779" t="s">
        <v>1414</v>
      </c>
      <c r="AF1779">
        <v>10000000</v>
      </c>
      <c r="AG1779" t="s">
        <v>310</v>
      </c>
      <c r="AH1779">
        <f>SUM((MID(Dyno_Data[[#This Row],[Team]],4,5))+(Dyno_Data[[#This Row],[Match]]/100))</f>
        <v>9624.36</v>
      </c>
      <c r="AI1779" s="76">
        <f>ROUND(SUM(IF(Dyno_Data[[#This Row],[AcqCenter]]&gt;0,Dyno_Data[[#This Row],[Time]]-SUMIFS(Dyno_Data[Time],Dyno_Data[Team],Dyno_Data[[#This Row],[Team]],Dyno_Data[RecordType],"StartMatch",Dyno_Data[Match],Dyno_Data[[#This Row],[Match]]),0)*86400),0)</f>
        <v>0</v>
      </c>
    </row>
    <row r="1780" spans="1:35" x14ac:dyDescent="0.3">
      <c r="A1780">
        <v>1773</v>
      </c>
      <c r="B1780" t="s">
        <v>362</v>
      </c>
      <c r="C1780">
        <v>36</v>
      </c>
      <c r="D1780" s="105">
        <v>45373.620333483799</v>
      </c>
      <c r="E1780" t="s">
        <v>312</v>
      </c>
      <c r="F1780" t="s">
        <v>309</v>
      </c>
      <c r="G1780">
        <v>0</v>
      </c>
      <c r="H1780" t="s">
        <v>143</v>
      </c>
      <c r="I1780">
        <v>2</v>
      </c>
      <c r="J1780">
        <v>1</v>
      </c>
      <c r="K1780">
        <v>0</v>
      </c>
      <c r="L1780" t="s">
        <v>310</v>
      </c>
      <c r="M1780" t="s">
        <v>310</v>
      </c>
      <c r="N1780">
        <v>0</v>
      </c>
      <c r="O1780" t="s">
        <v>1391</v>
      </c>
      <c r="P1780" t="s">
        <v>310</v>
      </c>
      <c r="Q1780" t="s">
        <v>310</v>
      </c>
      <c r="R1780" t="s">
        <v>310</v>
      </c>
      <c r="S1780">
        <v>9</v>
      </c>
      <c r="T1780" t="s">
        <v>310</v>
      </c>
      <c r="U1780">
        <v>9</v>
      </c>
      <c r="V1780">
        <v>9</v>
      </c>
      <c r="W1780">
        <v>0</v>
      </c>
      <c r="X1780">
        <v>0</v>
      </c>
      <c r="Y1780">
        <v>0</v>
      </c>
      <c r="Z1780">
        <v>0</v>
      </c>
      <c r="AA1780">
        <v>9</v>
      </c>
      <c r="AB1780">
        <v>9</v>
      </c>
      <c r="AC1780" t="s">
        <v>310</v>
      </c>
      <c r="AD1780">
        <v>9</v>
      </c>
      <c r="AE1780" t="s">
        <v>1412</v>
      </c>
      <c r="AF1780">
        <v>0</v>
      </c>
      <c r="AG1780" t="s">
        <v>310</v>
      </c>
      <c r="AH1780">
        <f>SUM((MID(Dyno_Data[[#This Row],[Team]],4,5))+(Dyno_Data[[#This Row],[Match]]/100))</f>
        <v>250.36</v>
      </c>
      <c r="AI1780" s="76">
        <f>ROUND(SUM(IF(Dyno_Data[[#This Row],[AcqCenter]]&gt;0,Dyno_Data[[#This Row],[Time]]-SUMIFS(Dyno_Data[Time],Dyno_Data[Team],Dyno_Data[[#This Row],[Team]],Dyno_Data[RecordType],"StartMatch",Dyno_Data[Match],Dyno_Data[[#This Row],[Match]]),0)*86400),0)</f>
        <v>13</v>
      </c>
    </row>
    <row r="1781" spans="1:35" x14ac:dyDescent="0.3">
      <c r="A1781">
        <v>1776</v>
      </c>
      <c r="B1781" t="s">
        <v>362</v>
      </c>
      <c r="C1781">
        <v>36</v>
      </c>
      <c r="D1781" s="105">
        <v>45373.620378391206</v>
      </c>
      <c r="E1781" t="s">
        <v>312</v>
      </c>
      <c r="F1781" t="s">
        <v>309</v>
      </c>
      <c r="G1781">
        <v>0</v>
      </c>
      <c r="H1781" t="s">
        <v>143</v>
      </c>
      <c r="I1781">
        <v>3</v>
      </c>
      <c r="J1781">
        <v>1</v>
      </c>
      <c r="K1781">
        <v>0</v>
      </c>
      <c r="L1781" t="s">
        <v>310</v>
      </c>
      <c r="M1781" t="s">
        <v>310</v>
      </c>
      <c r="N1781">
        <v>0</v>
      </c>
      <c r="O1781" t="s">
        <v>1391</v>
      </c>
      <c r="P1781" t="s">
        <v>310</v>
      </c>
      <c r="Q1781" t="s">
        <v>310</v>
      </c>
      <c r="R1781" t="s">
        <v>310</v>
      </c>
      <c r="S1781">
        <v>9</v>
      </c>
      <c r="T1781" t="s">
        <v>310</v>
      </c>
      <c r="U1781">
        <v>9</v>
      </c>
      <c r="V1781">
        <v>9</v>
      </c>
      <c r="W1781">
        <v>0</v>
      </c>
      <c r="X1781">
        <v>0</v>
      </c>
      <c r="Y1781">
        <v>0</v>
      </c>
      <c r="Z1781">
        <v>0</v>
      </c>
      <c r="AA1781">
        <v>9</v>
      </c>
      <c r="AB1781">
        <v>9</v>
      </c>
      <c r="AC1781" t="s">
        <v>310</v>
      </c>
      <c r="AD1781">
        <v>9</v>
      </c>
      <c r="AE1781" t="s">
        <v>1412</v>
      </c>
      <c r="AF1781">
        <v>0</v>
      </c>
      <c r="AG1781" t="s">
        <v>310</v>
      </c>
      <c r="AH1781">
        <f>SUM((MID(Dyno_Data[[#This Row],[Team]],4,5))+(Dyno_Data[[#This Row],[Match]]/100))</f>
        <v>250.36</v>
      </c>
      <c r="AI1781" s="76">
        <f>ROUND(SUM(IF(Dyno_Data[[#This Row],[AcqCenter]]&gt;0,Dyno_Data[[#This Row],[Time]]-SUMIFS(Dyno_Data[Time],Dyno_Data[Team],Dyno_Data[[#This Row],[Team]],Dyno_Data[RecordType],"StartMatch",Dyno_Data[Match],Dyno_Data[[#This Row],[Match]]),0)*86400),0)</f>
        <v>17</v>
      </c>
    </row>
    <row r="1782" spans="1:35" x14ac:dyDescent="0.3">
      <c r="A1782">
        <v>1775</v>
      </c>
      <c r="B1782" t="s">
        <v>361</v>
      </c>
      <c r="C1782">
        <v>36</v>
      </c>
      <c r="D1782" s="105">
        <v>45373.620382719906</v>
      </c>
      <c r="E1782" t="s">
        <v>314</v>
      </c>
      <c r="F1782" t="s">
        <v>309</v>
      </c>
      <c r="G1782">
        <v>1</v>
      </c>
      <c r="H1782" t="s">
        <v>310</v>
      </c>
      <c r="I1782">
        <v>0</v>
      </c>
      <c r="J1782">
        <v>0</v>
      </c>
      <c r="K1782">
        <v>0</v>
      </c>
      <c r="L1782" t="s">
        <v>310</v>
      </c>
      <c r="M1782" t="s">
        <v>310</v>
      </c>
      <c r="N1782">
        <v>0</v>
      </c>
      <c r="O1782" t="s">
        <v>1389</v>
      </c>
      <c r="P1782" t="s">
        <v>240</v>
      </c>
      <c r="Q1782" t="s">
        <v>1400</v>
      </c>
      <c r="R1782" t="s">
        <v>310</v>
      </c>
      <c r="S1782">
        <v>9</v>
      </c>
      <c r="T1782" t="s">
        <v>310</v>
      </c>
      <c r="U1782">
        <v>9</v>
      </c>
      <c r="V1782">
        <v>9</v>
      </c>
      <c r="W1782">
        <v>0</v>
      </c>
      <c r="X1782">
        <v>0</v>
      </c>
      <c r="Y1782">
        <v>0</v>
      </c>
      <c r="Z1782">
        <v>0</v>
      </c>
      <c r="AA1782">
        <v>9</v>
      </c>
      <c r="AB1782">
        <v>9</v>
      </c>
      <c r="AC1782" t="s">
        <v>310</v>
      </c>
      <c r="AD1782">
        <v>9</v>
      </c>
      <c r="AE1782" t="s">
        <v>1388</v>
      </c>
      <c r="AF1782">
        <v>20000000</v>
      </c>
      <c r="AG1782" t="s">
        <v>310</v>
      </c>
      <c r="AH1782">
        <f>SUM((MID(Dyno_Data[[#This Row],[Team]],4,5))+(Dyno_Data[[#This Row],[Match]]/100))</f>
        <v>20.36</v>
      </c>
      <c r="AI1782" s="76">
        <f>ROUND(SUM(IF(Dyno_Data[[#This Row],[AcqCenter]]&gt;0,Dyno_Data[[#This Row],[Time]]-SUMIFS(Dyno_Data[Time],Dyno_Data[Team],Dyno_Data[[#This Row],[Team]],Dyno_Data[RecordType],"StartMatch",Dyno_Data[Match],Dyno_Data[[#This Row],[Match]]),0)*86400),0)</f>
        <v>0</v>
      </c>
    </row>
    <row r="1783" spans="1:35" x14ac:dyDescent="0.3">
      <c r="A1783">
        <v>1778</v>
      </c>
      <c r="B1783" t="s">
        <v>362</v>
      </c>
      <c r="C1783">
        <v>36</v>
      </c>
      <c r="D1783" s="105">
        <v>45373.620392245371</v>
      </c>
      <c r="E1783" t="s">
        <v>314</v>
      </c>
      <c r="F1783" t="s">
        <v>309</v>
      </c>
      <c r="G1783">
        <v>1</v>
      </c>
      <c r="H1783" t="s">
        <v>310</v>
      </c>
      <c r="I1783">
        <v>0</v>
      </c>
      <c r="J1783">
        <v>0</v>
      </c>
      <c r="K1783">
        <v>0</v>
      </c>
      <c r="L1783" t="s">
        <v>310</v>
      </c>
      <c r="M1783" t="s">
        <v>310</v>
      </c>
      <c r="N1783">
        <v>0</v>
      </c>
      <c r="O1783" t="s">
        <v>1391</v>
      </c>
      <c r="P1783" t="s">
        <v>320</v>
      </c>
      <c r="Q1783" t="s">
        <v>1399</v>
      </c>
      <c r="R1783" t="s">
        <v>310</v>
      </c>
      <c r="S1783">
        <v>9</v>
      </c>
      <c r="T1783" t="s">
        <v>310</v>
      </c>
      <c r="U1783">
        <v>9</v>
      </c>
      <c r="V1783">
        <v>9</v>
      </c>
      <c r="W1783">
        <v>0</v>
      </c>
      <c r="X1783">
        <v>0</v>
      </c>
      <c r="Y1783">
        <v>0</v>
      </c>
      <c r="Z1783">
        <v>0</v>
      </c>
      <c r="AA1783">
        <v>9</v>
      </c>
      <c r="AB1783">
        <v>9</v>
      </c>
      <c r="AC1783" t="s">
        <v>310</v>
      </c>
      <c r="AD1783">
        <v>9</v>
      </c>
      <c r="AE1783" t="s">
        <v>1412</v>
      </c>
      <c r="AF1783">
        <v>0</v>
      </c>
      <c r="AG1783" t="s">
        <v>310</v>
      </c>
      <c r="AH1783">
        <f>SUM((MID(Dyno_Data[[#This Row],[Team]],4,5))+(Dyno_Data[[#This Row],[Match]]/100))</f>
        <v>250.36</v>
      </c>
      <c r="AI1783" s="76">
        <f>ROUND(SUM(IF(Dyno_Data[[#This Row],[AcqCenter]]&gt;0,Dyno_Data[[#This Row],[Time]]-SUMIFS(Dyno_Data[Time],Dyno_Data[Team],Dyno_Data[[#This Row],[Team]],Dyno_Data[RecordType],"StartMatch",Dyno_Data[Match],Dyno_Data[[#This Row],[Match]]),0)*86400),0)</f>
        <v>0</v>
      </c>
    </row>
    <row r="1784" spans="1:35" x14ac:dyDescent="0.3">
      <c r="A1784">
        <v>1780</v>
      </c>
      <c r="B1784" t="s">
        <v>1275</v>
      </c>
      <c r="C1784">
        <v>36</v>
      </c>
      <c r="D1784" s="105">
        <v>45373.620399386571</v>
      </c>
      <c r="E1784" t="s">
        <v>314</v>
      </c>
      <c r="F1784" t="s">
        <v>309</v>
      </c>
      <c r="G1784">
        <v>1</v>
      </c>
      <c r="H1784" t="s">
        <v>310</v>
      </c>
      <c r="I1784">
        <v>0</v>
      </c>
      <c r="J1784">
        <v>0</v>
      </c>
      <c r="K1784">
        <v>0</v>
      </c>
      <c r="L1784" t="s">
        <v>310</v>
      </c>
      <c r="M1784" t="s">
        <v>310</v>
      </c>
      <c r="N1784">
        <v>0</v>
      </c>
      <c r="O1784" t="s">
        <v>1395</v>
      </c>
      <c r="P1784" t="s">
        <v>1401</v>
      </c>
      <c r="Q1784" t="s">
        <v>1399</v>
      </c>
      <c r="R1784" t="s">
        <v>310</v>
      </c>
      <c r="S1784">
        <v>9</v>
      </c>
      <c r="T1784" t="s">
        <v>310</v>
      </c>
      <c r="U1784">
        <v>9</v>
      </c>
      <c r="V1784">
        <v>9</v>
      </c>
      <c r="W1784">
        <v>0</v>
      </c>
      <c r="X1784">
        <v>0</v>
      </c>
      <c r="Y1784">
        <v>0</v>
      </c>
      <c r="Z1784">
        <v>0</v>
      </c>
      <c r="AA1784">
        <v>9</v>
      </c>
      <c r="AB1784">
        <v>9</v>
      </c>
      <c r="AC1784" t="s">
        <v>310</v>
      </c>
      <c r="AD1784">
        <v>9</v>
      </c>
      <c r="AE1784" t="s">
        <v>1396</v>
      </c>
      <c r="AF1784">
        <v>0</v>
      </c>
      <c r="AG1784" t="s">
        <v>310</v>
      </c>
      <c r="AH1784">
        <f>SUM((MID(Dyno_Data[[#This Row],[Team]],4,5))+(Dyno_Data[[#This Row],[Match]]/100))</f>
        <v>1880.36</v>
      </c>
      <c r="AI1784" s="76">
        <f>ROUND(SUM(IF(Dyno_Data[[#This Row],[AcqCenter]]&gt;0,Dyno_Data[[#This Row],[Time]]-SUMIFS(Dyno_Data[Time],Dyno_Data[Team],Dyno_Data[[#This Row],[Team]],Dyno_Data[RecordType],"StartMatch",Dyno_Data[Match],Dyno_Data[[#This Row],[Match]]),0)*86400),0)</f>
        <v>0</v>
      </c>
    </row>
    <row r="1785" spans="1:35" x14ac:dyDescent="0.3">
      <c r="A1785">
        <v>1782</v>
      </c>
      <c r="B1785" t="s">
        <v>1298</v>
      </c>
      <c r="C1785">
        <v>36</v>
      </c>
      <c r="D1785" s="105">
        <v>45373.620413159719</v>
      </c>
      <c r="E1785" t="s">
        <v>314</v>
      </c>
      <c r="F1785" t="s">
        <v>309</v>
      </c>
      <c r="G1785">
        <v>0</v>
      </c>
      <c r="H1785" t="s">
        <v>310</v>
      </c>
      <c r="I1785">
        <v>0</v>
      </c>
      <c r="J1785">
        <v>0</v>
      </c>
      <c r="K1785">
        <v>0</v>
      </c>
      <c r="L1785" t="s">
        <v>310</v>
      </c>
      <c r="M1785" t="s">
        <v>310</v>
      </c>
      <c r="N1785">
        <v>0</v>
      </c>
      <c r="O1785" t="s">
        <v>319</v>
      </c>
      <c r="P1785" t="s">
        <v>240</v>
      </c>
      <c r="Q1785" t="s">
        <v>1400</v>
      </c>
      <c r="R1785" t="s">
        <v>310</v>
      </c>
      <c r="S1785">
        <v>9</v>
      </c>
      <c r="T1785" t="s">
        <v>310</v>
      </c>
      <c r="U1785">
        <v>9</v>
      </c>
      <c r="V1785">
        <v>9</v>
      </c>
      <c r="W1785">
        <v>0</v>
      </c>
      <c r="X1785">
        <v>0</v>
      </c>
      <c r="Y1785">
        <v>0</v>
      </c>
      <c r="Z1785">
        <v>0</v>
      </c>
      <c r="AA1785">
        <v>9</v>
      </c>
      <c r="AB1785">
        <v>9</v>
      </c>
      <c r="AC1785" t="s">
        <v>310</v>
      </c>
      <c r="AD1785">
        <v>9</v>
      </c>
      <c r="AE1785" t="s">
        <v>1414</v>
      </c>
      <c r="AF1785">
        <v>10000000</v>
      </c>
      <c r="AG1785" t="s">
        <v>310</v>
      </c>
      <c r="AH1785">
        <f>SUM((MID(Dyno_Data[[#This Row],[Team]],4,5))+(Dyno_Data[[#This Row],[Match]]/100))</f>
        <v>9624.36</v>
      </c>
      <c r="AI1785" s="76">
        <f>ROUND(SUM(IF(Dyno_Data[[#This Row],[AcqCenter]]&gt;0,Dyno_Data[[#This Row],[Time]]-SUMIFS(Dyno_Data[Time],Dyno_Data[Team],Dyno_Data[[#This Row],[Team]],Dyno_Data[RecordType],"StartMatch",Dyno_Data[Match],Dyno_Data[[#This Row],[Match]]),0)*86400),0)</f>
        <v>0</v>
      </c>
    </row>
    <row r="1786" spans="1:35" x14ac:dyDescent="0.3">
      <c r="A1786">
        <v>1784</v>
      </c>
      <c r="B1786" t="s">
        <v>1290</v>
      </c>
      <c r="C1786">
        <v>36</v>
      </c>
      <c r="D1786" s="105">
        <v>45373.620416053243</v>
      </c>
      <c r="E1786" t="s">
        <v>314</v>
      </c>
      <c r="F1786" t="s">
        <v>309</v>
      </c>
      <c r="G1786">
        <v>0</v>
      </c>
      <c r="H1786" t="s">
        <v>310</v>
      </c>
      <c r="I1786">
        <v>0</v>
      </c>
      <c r="J1786">
        <v>0</v>
      </c>
      <c r="K1786">
        <v>0</v>
      </c>
      <c r="L1786" t="s">
        <v>310</v>
      </c>
      <c r="M1786" t="s">
        <v>310</v>
      </c>
      <c r="N1786">
        <v>0</v>
      </c>
      <c r="O1786" t="s">
        <v>1393</v>
      </c>
      <c r="P1786" t="s">
        <v>101</v>
      </c>
      <c r="Q1786" t="s">
        <v>1400</v>
      </c>
      <c r="R1786" t="s">
        <v>310</v>
      </c>
      <c r="S1786">
        <v>9</v>
      </c>
      <c r="T1786" t="s">
        <v>310</v>
      </c>
      <c r="U1786">
        <v>9</v>
      </c>
      <c r="V1786">
        <v>9</v>
      </c>
      <c r="W1786">
        <v>0</v>
      </c>
      <c r="X1786">
        <v>0</v>
      </c>
      <c r="Y1786">
        <v>0</v>
      </c>
      <c r="Z1786">
        <v>0</v>
      </c>
      <c r="AA1786">
        <v>9</v>
      </c>
      <c r="AB1786">
        <v>9</v>
      </c>
      <c r="AC1786" t="s">
        <v>310</v>
      </c>
      <c r="AD1786">
        <v>9</v>
      </c>
      <c r="AE1786" t="s">
        <v>1390</v>
      </c>
      <c r="AF1786">
        <v>0</v>
      </c>
      <c r="AG1786" t="s">
        <v>310</v>
      </c>
      <c r="AH1786">
        <f>SUM((MID(Dyno_Data[[#This Row],[Team]],4,5))+(Dyno_Data[[#This Row],[Match]]/100))</f>
        <v>5881.36</v>
      </c>
      <c r="AI1786" s="76">
        <f>ROUND(SUM(IF(Dyno_Data[[#This Row],[AcqCenter]]&gt;0,Dyno_Data[[#This Row],[Time]]-SUMIFS(Dyno_Data[Time],Dyno_Data[Team],Dyno_Data[[#This Row],[Team]],Dyno_Data[RecordType],"StartMatch",Dyno_Data[Match],Dyno_Data[[#This Row],[Match]]),0)*86400),0)</f>
        <v>0</v>
      </c>
    </row>
    <row r="1787" spans="1:35" x14ac:dyDescent="0.3">
      <c r="A1787">
        <v>1786</v>
      </c>
      <c r="B1787" t="s">
        <v>1311</v>
      </c>
      <c r="C1787">
        <v>36</v>
      </c>
      <c r="D1787" s="105">
        <v>45373.620465243053</v>
      </c>
      <c r="E1787" t="s">
        <v>314</v>
      </c>
      <c r="F1787" t="s">
        <v>309</v>
      </c>
      <c r="G1787">
        <v>0</v>
      </c>
      <c r="H1787" t="s">
        <v>310</v>
      </c>
      <c r="I1787">
        <v>0</v>
      </c>
      <c r="J1787">
        <v>0</v>
      </c>
      <c r="K1787">
        <v>0</v>
      </c>
      <c r="L1787" t="s">
        <v>310</v>
      </c>
      <c r="M1787" t="s">
        <v>310</v>
      </c>
      <c r="N1787">
        <v>0</v>
      </c>
      <c r="O1787" t="s">
        <v>311</v>
      </c>
      <c r="P1787" t="s">
        <v>101</v>
      </c>
      <c r="Q1787" t="s">
        <v>1400</v>
      </c>
      <c r="R1787" t="s">
        <v>310</v>
      </c>
      <c r="S1787">
        <v>9</v>
      </c>
      <c r="T1787" t="s">
        <v>310</v>
      </c>
      <c r="U1787">
        <v>9</v>
      </c>
      <c r="V1787">
        <v>9</v>
      </c>
      <c r="W1787">
        <v>0</v>
      </c>
      <c r="X1787">
        <v>0</v>
      </c>
      <c r="Y1787">
        <v>0</v>
      </c>
      <c r="Z1787">
        <v>0</v>
      </c>
      <c r="AA1787">
        <v>9</v>
      </c>
      <c r="AB1787">
        <v>9</v>
      </c>
      <c r="AC1787" t="s">
        <v>310</v>
      </c>
      <c r="AD1787">
        <v>9</v>
      </c>
      <c r="AE1787" t="s">
        <v>1413</v>
      </c>
      <c r="AF1787">
        <v>0</v>
      </c>
      <c r="AG1787" t="s">
        <v>310</v>
      </c>
      <c r="AH1787">
        <f>SUM((MID(Dyno_Data[[#This Row],[Team]],4,5))+(Dyno_Data[[#This Row],[Match]]/100))</f>
        <v>2234.36</v>
      </c>
      <c r="AI1787" s="76">
        <f>ROUND(SUM(IF(Dyno_Data[[#This Row],[AcqCenter]]&gt;0,Dyno_Data[[#This Row],[Time]]-SUMIFS(Dyno_Data[Time],Dyno_Data[Team],Dyno_Data[[#This Row],[Team]],Dyno_Data[RecordType],"StartMatch",Dyno_Data[Match],Dyno_Data[[#This Row],[Match]]),0)*86400),0)</f>
        <v>0</v>
      </c>
    </row>
    <row r="1788" spans="1:35" x14ac:dyDescent="0.3">
      <c r="A1788">
        <v>1787</v>
      </c>
      <c r="B1788" t="s">
        <v>1298</v>
      </c>
      <c r="C1788">
        <v>36</v>
      </c>
      <c r="D1788" s="105">
        <v>45373.620473229166</v>
      </c>
      <c r="E1788" t="s">
        <v>312</v>
      </c>
      <c r="F1788" t="s">
        <v>1402</v>
      </c>
      <c r="G1788">
        <v>0</v>
      </c>
      <c r="H1788" t="s">
        <v>315</v>
      </c>
      <c r="I1788">
        <v>0</v>
      </c>
      <c r="J1788">
        <v>0</v>
      </c>
      <c r="K1788">
        <v>0</v>
      </c>
      <c r="L1788" t="s">
        <v>241</v>
      </c>
      <c r="M1788" t="s">
        <v>1398</v>
      </c>
      <c r="N1788">
        <v>0</v>
      </c>
      <c r="O1788" t="s">
        <v>319</v>
      </c>
      <c r="P1788" t="s">
        <v>310</v>
      </c>
      <c r="Q1788" t="s">
        <v>310</v>
      </c>
      <c r="R1788" t="s">
        <v>310</v>
      </c>
      <c r="S1788">
        <v>9</v>
      </c>
      <c r="T1788" t="s">
        <v>310</v>
      </c>
      <c r="U1788">
        <v>9</v>
      </c>
      <c r="V1788">
        <v>9</v>
      </c>
      <c r="W1788">
        <v>0</v>
      </c>
      <c r="X1788">
        <v>0</v>
      </c>
      <c r="Y1788">
        <v>0</v>
      </c>
      <c r="Z1788">
        <v>0</v>
      </c>
      <c r="AA1788">
        <v>9</v>
      </c>
      <c r="AB1788">
        <v>9</v>
      </c>
      <c r="AC1788" t="s">
        <v>310</v>
      </c>
      <c r="AD1788">
        <v>9</v>
      </c>
      <c r="AE1788" t="s">
        <v>1414</v>
      </c>
      <c r="AF1788">
        <v>20000000</v>
      </c>
      <c r="AG1788" t="s">
        <v>310</v>
      </c>
      <c r="AH1788">
        <f>SUM((MID(Dyno_Data[[#This Row],[Team]],4,5))+(Dyno_Data[[#This Row],[Match]]/100))</f>
        <v>9624.36</v>
      </c>
      <c r="AI1788" s="76">
        <f>ROUND(SUM(IF(Dyno_Data[[#This Row],[AcqCenter]]&gt;0,Dyno_Data[[#This Row],[Time]]-SUMIFS(Dyno_Data[Time],Dyno_Data[Team],Dyno_Data[[#This Row],[Team]],Dyno_Data[RecordType],"StartMatch",Dyno_Data[Match],Dyno_Data[[#This Row],[Match]]),0)*86400),0)</f>
        <v>0</v>
      </c>
    </row>
    <row r="1789" spans="1:35" x14ac:dyDescent="0.3">
      <c r="A1789">
        <v>1788</v>
      </c>
      <c r="B1789" t="s">
        <v>1311</v>
      </c>
      <c r="C1789">
        <v>36</v>
      </c>
      <c r="D1789" s="105">
        <v>45373.620508680557</v>
      </c>
      <c r="E1789" t="s">
        <v>312</v>
      </c>
      <c r="F1789" t="s">
        <v>1402</v>
      </c>
      <c r="G1789">
        <v>0</v>
      </c>
      <c r="H1789" t="s">
        <v>1397</v>
      </c>
      <c r="I1789">
        <v>0</v>
      </c>
      <c r="J1789">
        <v>0</v>
      </c>
      <c r="K1789">
        <v>0</v>
      </c>
      <c r="L1789" t="s">
        <v>241</v>
      </c>
      <c r="M1789" t="s">
        <v>101</v>
      </c>
      <c r="N1789">
        <v>0</v>
      </c>
      <c r="O1789" t="s">
        <v>311</v>
      </c>
      <c r="P1789" t="s">
        <v>310</v>
      </c>
      <c r="Q1789" t="s">
        <v>310</v>
      </c>
      <c r="R1789" t="s">
        <v>310</v>
      </c>
      <c r="S1789">
        <v>9</v>
      </c>
      <c r="T1789" t="s">
        <v>310</v>
      </c>
      <c r="U1789">
        <v>9</v>
      </c>
      <c r="V1789">
        <v>9</v>
      </c>
      <c r="W1789">
        <v>0</v>
      </c>
      <c r="X1789">
        <v>0</v>
      </c>
      <c r="Y1789">
        <v>0</v>
      </c>
      <c r="Z1789">
        <v>0</v>
      </c>
      <c r="AA1789">
        <v>9</v>
      </c>
      <c r="AB1789">
        <v>9</v>
      </c>
      <c r="AC1789" t="s">
        <v>310</v>
      </c>
      <c r="AD1789">
        <v>9</v>
      </c>
      <c r="AE1789" t="s">
        <v>1413</v>
      </c>
      <c r="AF1789">
        <v>0</v>
      </c>
      <c r="AG1789" t="s">
        <v>310</v>
      </c>
      <c r="AH1789">
        <f>SUM((MID(Dyno_Data[[#This Row],[Team]],4,5))+(Dyno_Data[[#This Row],[Match]]/100))</f>
        <v>2234.36</v>
      </c>
      <c r="AI1789" s="76">
        <f>ROUND(SUM(IF(Dyno_Data[[#This Row],[AcqCenter]]&gt;0,Dyno_Data[[#This Row],[Time]]-SUMIFS(Dyno_Data[Time],Dyno_Data[Team],Dyno_Data[[#This Row],[Team]],Dyno_Data[RecordType],"StartMatch",Dyno_Data[Match],Dyno_Data[[#This Row],[Match]]),0)*86400),0)</f>
        <v>0</v>
      </c>
    </row>
    <row r="1790" spans="1:35" x14ac:dyDescent="0.3">
      <c r="A1790">
        <v>1789</v>
      </c>
      <c r="B1790" t="s">
        <v>361</v>
      </c>
      <c r="C1790">
        <v>36</v>
      </c>
      <c r="D1790" s="105">
        <v>45373.620509988425</v>
      </c>
      <c r="E1790" t="s">
        <v>312</v>
      </c>
      <c r="F1790" t="s">
        <v>1402</v>
      </c>
      <c r="G1790">
        <v>0</v>
      </c>
      <c r="H1790" t="s">
        <v>315</v>
      </c>
      <c r="I1790">
        <v>0</v>
      </c>
      <c r="J1790">
        <v>0</v>
      </c>
      <c r="K1790">
        <v>0</v>
      </c>
      <c r="L1790" t="s">
        <v>241</v>
      </c>
      <c r="M1790" t="s">
        <v>101</v>
      </c>
      <c r="N1790">
        <v>1</v>
      </c>
      <c r="O1790" t="s">
        <v>1389</v>
      </c>
      <c r="P1790" t="s">
        <v>310</v>
      </c>
      <c r="Q1790" t="s">
        <v>310</v>
      </c>
      <c r="R1790" t="s">
        <v>310</v>
      </c>
      <c r="S1790">
        <v>9</v>
      </c>
      <c r="T1790" t="s">
        <v>310</v>
      </c>
      <c r="U1790">
        <v>9</v>
      </c>
      <c r="V1790">
        <v>9</v>
      </c>
      <c r="W1790">
        <v>0</v>
      </c>
      <c r="X1790">
        <v>0</v>
      </c>
      <c r="Y1790">
        <v>0</v>
      </c>
      <c r="Z1790">
        <v>0</v>
      </c>
      <c r="AA1790">
        <v>9</v>
      </c>
      <c r="AB1790">
        <v>9</v>
      </c>
      <c r="AC1790" t="s">
        <v>310</v>
      </c>
      <c r="AD1790">
        <v>9</v>
      </c>
      <c r="AE1790" t="s">
        <v>1388</v>
      </c>
      <c r="AF1790">
        <v>30000000</v>
      </c>
      <c r="AG1790" t="s">
        <v>310</v>
      </c>
      <c r="AH1790">
        <f>SUM((MID(Dyno_Data[[#This Row],[Team]],4,5))+(Dyno_Data[[#This Row],[Match]]/100))</f>
        <v>20.36</v>
      </c>
      <c r="AI1790" s="76">
        <f>ROUND(SUM(IF(Dyno_Data[[#This Row],[AcqCenter]]&gt;0,Dyno_Data[[#This Row],[Time]]-SUMIFS(Dyno_Data[Time],Dyno_Data[Team],Dyno_Data[[#This Row],[Team]],Dyno_Data[RecordType],"StartMatch",Dyno_Data[Match],Dyno_Data[[#This Row],[Match]]),0)*86400),0)</f>
        <v>0</v>
      </c>
    </row>
    <row r="1791" spans="1:35" x14ac:dyDescent="0.3">
      <c r="A1791">
        <v>1790</v>
      </c>
      <c r="B1791" t="s">
        <v>1275</v>
      </c>
      <c r="C1791">
        <v>36</v>
      </c>
      <c r="D1791" s="105">
        <v>45373.620536076392</v>
      </c>
      <c r="E1791" t="s">
        <v>312</v>
      </c>
      <c r="F1791" t="s">
        <v>1402</v>
      </c>
      <c r="G1791">
        <v>0</v>
      </c>
      <c r="H1791" t="s">
        <v>315</v>
      </c>
      <c r="I1791">
        <v>0</v>
      </c>
      <c r="J1791">
        <v>0</v>
      </c>
      <c r="K1791">
        <v>0</v>
      </c>
      <c r="L1791" t="s">
        <v>241</v>
      </c>
      <c r="M1791" t="s">
        <v>241</v>
      </c>
      <c r="N1791">
        <v>0</v>
      </c>
      <c r="O1791" t="s">
        <v>1395</v>
      </c>
      <c r="P1791" t="s">
        <v>310</v>
      </c>
      <c r="Q1791" t="s">
        <v>310</v>
      </c>
      <c r="R1791" t="s">
        <v>310</v>
      </c>
      <c r="S1791">
        <v>9</v>
      </c>
      <c r="T1791" t="s">
        <v>310</v>
      </c>
      <c r="U1791">
        <v>9</v>
      </c>
      <c r="V1791">
        <v>9</v>
      </c>
      <c r="W1791">
        <v>0</v>
      </c>
      <c r="X1791">
        <v>0</v>
      </c>
      <c r="Y1791">
        <v>0</v>
      </c>
      <c r="Z1791">
        <v>0</v>
      </c>
      <c r="AA1791">
        <v>9</v>
      </c>
      <c r="AB1791">
        <v>9</v>
      </c>
      <c r="AC1791" t="s">
        <v>310</v>
      </c>
      <c r="AD1791">
        <v>9</v>
      </c>
      <c r="AE1791" t="s">
        <v>1396</v>
      </c>
      <c r="AF1791">
        <v>10000000</v>
      </c>
      <c r="AG1791" t="s">
        <v>310</v>
      </c>
      <c r="AH1791">
        <f>SUM((MID(Dyno_Data[[#This Row],[Team]],4,5))+(Dyno_Data[[#This Row],[Match]]/100))</f>
        <v>1880.36</v>
      </c>
      <c r="AI1791" s="76">
        <f>ROUND(SUM(IF(Dyno_Data[[#This Row],[AcqCenter]]&gt;0,Dyno_Data[[#This Row],[Time]]-SUMIFS(Dyno_Data[Time],Dyno_Data[Team],Dyno_Data[[#This Row],[Team]],Dyno_Data[RecordType],"StartMatch",Dyno_Data[Match],Dyno_Data[[#This Row],[Match]]),0)*86400),0)</f>
        <v>0</v>
      </c>
    </row>
    <row r="1792" spans="1:35" x14ac:dyDescent="0.3">
      <c r="A1792">
        <v>1791</v>
      </c>
      <c r="B1792" t="s">
        <v>1298</v>
      </c>
      <c r="C1792">
        <v>36</v>
      </c>
      <c r="D1792" s="105">
        <v>45373.620579548609</v>
      </c>
      <c r="E1792" t="s">
        <v>312</v>
      </c>
      <c r="F1792" t="s">
        <v>1402</v>
      </c>
      <c r="G1792">
        <v>0</v>
      </c>
      <c r="H1792" t="s">
        <v>315</v>
      </c>
      <c r="I1792">
        <v>0</v>
      </c>
      <c r="J1792">
        <v>0</v>
      </c>
      <c r="K1792">
        <v>0</v>
      </c>
      <c r="L1792" t="s">
        <v>240</v>
      </c>
      <c r="M1792" t="s">
        <v>1398</v>
      </c>
      <c r="N1792">
        <v>0</v>
      </c>
      <c r="O1792" t="s">
        <v>319</v>
      </c>
      <c r="P1792" t="s">
        <v>310</v>
      </c>
      <c r="Q1792" t="s">
        <v>310</v>
      </c>
      <c r="R1792" t="s">
        <v>310</v>
      </c>
      <c r="S1792">
        <v>9</v>
      </c>
      <c r="T1792" t="s">
        <v>310</v>
      </c>
      <c r="U1792">
        <v>9</v>
      </c>
      <c r="V1792">
        <v>9</v>
      </c>
      <c r="W1792">
        <v>0</v>
      </c>
      <c r="X1792">
        <v>0</v>
      </c>
      <c r="Y1792">
        <v>0</v>
      </c>
      <c r="Z1792">
        <v>0</v>
      </c>
      <c r="AA1792">
        <v>9</v>
      </c>
      <c r="AB1792">
        <v>9</v>
      </c>
      <c r="AC1792" t="s">
        <v>310</v>
      </c>
      <c r="AD1792">
        <v>9</v>
      </c>
      <c r="AE1792" t="s">
        <v>1414</v>
      </c>
      <c r="AF1792">
        <v>30000000</v>
      </c>
      <c r="AG1792" t="s">
        <v>310</v>
      </c>
      <c r="AH1792">
        <f>SUM((MID(Dyno_Data[[#This Row],[Team]],4,5))+(Dyno_Data[[#This Row],[Match]]/100))</f>
        <v>9624.36</v>
      </c>
      <c r="AI1792" s="76">
        <f>ROUND(SUM(IF(Dyno_Data[[#This Row],[AcqCenter]]&gt;0,Dyno_Data[[#This Row],[Time]]-SUMIFS(Dyno_Data[Time],Dyno_Data[Team],Dyno_Data[[#This Row],[Team]],Dyno_Data[RecordType],"StartMatch",Dyno_Data[Match],Dyno_Data[[#This Row],[Match]]),0)*86400),0)</f>
        <v>0</v>
      </c>
    </row>
    <row r="1793" spans="1:35" x14ac:dyDescent="0.3">
      <c r="A1793">
        <v>1792</v>
      </c>
      <c r="B1793" t="s">
        <v>361</v>
      </c>
      <c r="C1793">
        <v>36</v>
      </c>
      <c r="D1793" s="105">
        <v>45373.62058318287</v>
      </c>
      <c r="E1793" t="s">
        <v>312</v>
      </c>
      <c r="F1793" t="s">
        <v>1402</v>
      </c>
      <c r="G1793">
        <v>0</v>
      </c>
      <c r="H1793" t="s">
        <v>315</v>
      </c>
      <c r="I1793">
        <v>0</v>
      </c>
      <c r="J1793">
        <v>0</v>
      </c>
      <c r="K1793">
        <v>0</v>
      </c>
      <c r="L1793" t="s">
        <v>241</v>
      </c>
      <c r="M1793" t="s">
        <v>101</v>
      </c>
      <c r="N1793">
        <v>0</v>
      </c>
      <c r="O1793" t="s">
        <v>1389</v>
      </c>
      <c r="P1793" t="s">
        <v>310</v>
      </c>
      <c r="Q1793" t="s">
        <v>310</v>
      </c>
      <c r="R1793" t="s">
        <v>310</v>
      </c>
      <c r="S1793">
        <v>9</v>
      </c>
      <c r="T1793" t="s">
        <v>310</v>
      </c>
      <c r="U1793">
        <v>9</v>
      </c>
      <c r="V1793">
        <v>9</v>
      </c>
      <c r="W1793">
        <v>0</v>
      </c>
      <c r="X1793">
        <v>0</v>
      </c>
      <c r="Y1793">
        <v>0</v>
      </c>
      <c r="Z1793">
        <v>0</v>
      </c>
      <c r="AA1793">
        <v>9</v>
      </c>
      <c r="AB1793">
        <v>9</v>
      </c>
      <c r="AC1793" t="s">
        <v>310</v>
      </c>
      <c r="AD1793">
        <v>9</v>
      </c>
      <c r="AE1793" t="s">
        <v>1388</v>
      </c>
      <c r="AF1793">
        <v>40000000</v>
      </c>
      <c r="AG1793" t="s">
        <v>310</v>
      </c>
      <c r="AH1793">
        <f>SUM((MID(Dyno_Data[[#This Row],[Team]],4,5))+(Dyno_Data[[#This Row],[Match]]/100))</f>
        <v>20.36</v>
      </c>
      <c r="AI1793" s="76">
        <f>ROUND(SUM(IF(Dyno_Data[[#This Row],[AcqCenter]]&gt;0,Dyno_Data[[#This Row],[Time]]-SUMIFS(Dyno_Data[Time],Dyno_Data[Team],Dyno_Data[[#This Row],[Team]],Dyno_Data[RecordType],"StartMatch",Dyno_Data[Match],Dyno_Data[[#This Row],[Match]]),0)*86400),0)</f>
        <v>0</v>
      </c>
    </row>
    <row r="1794" spans="1:35" x14ac:dyDescent="0.3">
      <c r="A1794">
        <v>1793</v>
      </c>
      <c r="B1794" t="s">
        <v>1298</v>
      </c>
      <c r="C1794">
        <v>36</v>
      </c>
      <c r="D1794" s="105">
        <v>45373.620670023149</v>
      </c>
      <c r="E1794" t="s">
        <v>312</v>
      </c>
      <c r="F1794" t="s">
        <v>1402</v>
      </c>
      <c r="G1794">
        <v>0</v>
      </c>
      <c r="H1794" t="s">
        <v>315</v>
      </c>
      <c r="I1794">
        <v>0</v>
      </c>
      <c r="J1794">
        <v>0</v>
      </c>
      <c r="K1794">
        <v>0</v>
      </c>
      <c r="L1794" t="s">
        <v>240</v>
      </c>
      <c r="M1794" t="s">
        <v>1398</v>
      </c>
      <c r="N1794">
        <v>0</v>
      </c>
      <c r="O1794" t="s">
        <v>319</v>
      </c>
      <c r="P1794" t="s">
        <v>310</v>
      </c>
      <c r="Q1794" t="s">
        <v>310</v>
      </c>
      <c r="R1794" t="s">
        <v>310</v>
      </c>
      <c r="S1794">
        <v>9</v>
      </c>
      <c r="T1794" t="s">
        <v>310</v>
      </c>
      <c r="U1794">
        <v>9</v>
      </c>
      <c r="V1794">
        <v>9</v>
      </c>
      <c r="W1794">
        <v>0</v>
      </c>
      <c r="X1794">
        <v>0</v>
      </c>
      <c r="Y1794">
        <v>0</v>
      </c>
      <c r="Z1794">
        <v>0</v>
      </c>
      <c r="AA1794">
        <v>9</v>
      </c>
      <c r="AB1794">
        <v>9</v>
      </c>
      <c r="AC1794" t="s">
        <v>310</v>
      </c>
      <c r="AD1794">
        <v>9</v>
      </c>
      <c r="AE1794" t="s">
        <v>1414</v>
      </c>
      <c r="AF1794">
        <v>40000000</v>
      </c>
      <c r="AG1794" t="s">
        <v>310</v>
      </c>
      <c r="AH1794">
        <f>SUM((MID(Dyno_Data[[#This Row],[Team]],4,5))+(Dyno_Data[[#This Row],[Match]]/100))</f>
        <v>9624.36</v>
      </c>
      <c r="AI1794" s="76">
        <f>ROUND(SUM(IF(Dyno_Data[[#This Row],[AcqCenter]]&gt;0,Dyno_Data[[#This Row],[Time]]-SUMIFS(Dyno_Data[Time],Dyno_Data[Team],Dyno_Data[[#This Row],[Team]],Dyno_Data[RecordType],"StartMatch",Dyno_Data[Match],Dyno_Data[[#This Row],[Match]]),0)*86400),0)</f>
        <v>0</v>
      </c>
    </row>
    <row r="1795" spans="1:35" x14ac:dyDescent="0.3">
      <c r="A1795">
        <v>1794</v>
      </c>
      <c r="B1795" t="s">
        <v>1290</v>
      </c>
      <c r="C1795">
        <v>36</v>
      </c>
      <c r="D1795" s="105">
        <v>45373.620691863427</v>
      </c>
      <c r="E1795" t="s">
        <v>312</v>
      </c>
      <c r="F1795" t="s">
        <v>1402</v>
      </c>
      <c r="G1795">
        <v>0</v>
      </c>
      <c r="H1795" t="s">
        <v>315</v>
      </c>
      <c r="I1795">
        <v>0</v>
      </c>
      <c r="J1795">
        <v>0</v>
      </c>
      <c r="K1795">
        <v>0</v>
      </c>
      <c r="L1795" t="s">
        <v>241</v>
      </c>
      <c r="M1795" t="s">
        <v>1398</v>
      </c>
      <c r="N1795">
        <v>0</v>
      </c>
      <c r="O1795" t="s">
        <v>1393</v>
      </c>
      <c r="P1795" t="s">
        <v>310</v>
      </c>
      <c r="Q1795" t="s">
        <v>310</v>
      </c>
      <c r="R1795" t="s">
        <v>310</v>
      </c>
      <c r="S1795">
        <v>9</v>
      </c>
      <c r="T1795" t="s">
        <v>310</v>
      </c>
      <c r="U1795">
        <v>9</v>
      </c>
      <c r="V1795">
        <v>9</v>
      </c>
      <c r="W1795">
        <v>0</v>
      </c>
      <c r="X1795">
        <v>0</v>
      </c>
      <c r="Y1795">
        <v>0</v>
      </c>
      <c r="Z1795">
        <v>0</v>
      </c>
      <c r="AA1795">
        <v>9</v>
      </c>
      <c r="AB1795">
        <v>9</v>
      </c>
      <c r="AC1795" t="s">
        <v>310</v>
      </c>
      <c r="AD1795">
        <v>9</v>
      </c>
      <c r="AE1795" t="s">
        <v>1390</v>
      </c>
      <c r="AF1795">
        <v>10000000</v>
      </c>
      <c r="AG1795" t="s">
        <v>310</v>
      </c>
      <c r="AH1795">
        <f>SUM((MID(Dyno_Data[[#This Row],[Team]],4,5))+(Dyno_Data[[#This Row],[Match]]/100))</f>
        <v>5881.36</v>
      </c>
      <c r="AI1795" s="76">
        <f>ROUND(SUM(IF(Dyno_Data[[#This Row],[AcqCenter]]&gt;0,Dyno_Data[[#This Row],[Time]]-SUMIFS(Dyno_Data[Time],Dyno_Data[Team],Dyno_Data[[#This Row],[Team]],Dyno_Data[RecordType],"StartMatch",Dyno_Data[Match],Dyno_Data[[#This Row],[Match]]),0)*86400),0)</f>
        <v>0</v>
      </c>
    </row>
    <row r="1796" spans="1:35" x14ac:dyDescent="0.3">
      <c r="A1796">
        <v>1795</v>
      </c>
      <c r="B1796" t="s">
        <v>361</v>
      </c>
      <c r="C1796">
        <v>36</v>
      </c>
      <c r="D1796" s="105">
        <v>45373.620703356479</v>
      </c>
      <c r="E1796" t="s">
        <v>312</v>
      </c>
      <c r="F1796" t="s">
        <v>1402</v>
      </c>
      <c r="G1796">
        <v>0</v>
      </c>
      <c r="H1796" t="s">
        <v>315</v>
      </c>
      <c r="I1796">
        <v>0</v>
      </c>
      <c r="J1796">
        <v>0</v>
      </c>
      <c r="K1796">
        <v>0</v>
      </c>
      <c r="L1796" t="s">
        <v>241</v>
      </c>
      <c r="M1796" t="s">
        <v>101</v>
      </c>
      <c r="N1796">
        <v>0</v>
      </c>
      <c r="O1796" t="s">
        <v>1389</v>
      </c>
      <c r="P1796" t="s">
        <v>310</v>
      </c>
      <c r="Q1796" t="s">
        <v>310</v>
      </c>
      <c r="R1796" t="s">
        <v>310</v>
      </c>
      <c r="S1796">
        <v>9</v>
      </c>
      <c r="T1796" t="s">
        <v>310</v>
      </c>
      <c r="U1796">
        <v>9</v>
      </c>
      <c r="V1796">
        <v>9</v>
      </c>
      <c r="W1796">
        <v>0</v>
      </c>
      <c r="X1796">
        <v>0</v>
      </c>
      <c r="Y1796">
        <v>0</v>
      </c>
      <c r="Z1796">
        <v>0</v>
      </c>
      <c r="AA1796">
        <v>9</v>
      </c>
      <c r="AB1796">
        <v>9</v>
      </c>
      <c r="AC1796" t="s">
        <v>310</v>
      </c>
      <c r="AD1796">
        <v>9</v>
      </c>
      <c r="AE1796" t="s">
        <v>1388</v>
      </c>
      <c r="AF1796">
        <v>50000000</v>
      </c>
      <c r="AG1796" t="s">
        <v>310</v>
      </c>
      <c r="AH1796">
        <f>SUM((MID(Dyno_Data[[#This Row],[Team]],4,5))+(Dyno_Data[[#This Row],[Match]]/100))</f>
        <v>20.36</v>
      </c>
      <c r="AI1796" s="76">
        <f>ROUND(SUM(IF(Dyno_Data[[#This Row],[AcqCenter]]&gt;0,Dyno_Data[[#This Row],[Time]]-SUMIFS(Dyno_Data[Time],Dyno_Data[Team],Dyno_Data[[#This Row],[Team]],Dyno_Data[RecordType],"StartMatch",Dyno_Data[Match],Dyno_Data[[#This Row],[Match]]),0)*86400),0)</f>
        <v>0</v>
      </c>
    </row>
    <row r="1797" spans="1:35" x14ac:dyDescent="0.3">
      <c r="A1797">
        <v>1796</v>
      </c>
      <c r="B1797" t="s">
        <v>1275</v>
      </c>
      <c r="C1797">
        <v>36</v>
      </c>
      <c r="D1797" s="105">
        <v>45373.620744594904</v>
      </c>
      <c r="E1797" t="s">
        <v>312</v>
      </c>
      <c r="F1797" t="s">
        <v>1402</v>
      </c>
      <c r="G1797">
        <v>0</v>
      </c>
      <c r="H1797" t="s">
        <v>315</v>
      </c>
      <c r="I1797">
        <v>0</v>
      </c>
      <c r="J1797">
        <v>0</v>
      </c>
      <c r="K1797">
        <v>0</v>
      </c>
      <c r="L1797" t="s">
        <v>241</v>
      </c>
      <c r="M1797" t="s">
        <v>241</v>
      </c>
      <c r="N1797">
        <v>0</v>
      </c>
      <c r="O1797" t="s">
        <v>1395</v>
      </c>
      <c r="P1797" t="s">
        <v>310</v>
      </c>
      <c r="Q1797" t="s">
        <v>310</v>
      </c>
      <c r="R1797" t="s">
        <v>310</v>
      </c>
      <c r="S1797">
        <v>9</v>
      </c>
      <c r="T1797" t="s">
        <v>310</v>
      </c>
      <c r="U1797">
        <v>9</v>
      </c>
      <c r="V1797">
        <v>9</v>
      </c>
      <c r="W1797">
        <v>0</v>
      </c>
      <c r="X1797">
        <v>0</v>
      </c>
      <c r="Y1797">
        <v>0</v>
      </c>
      <c r="Z1797">
        <v>0</v>
      </c>
      <c r="AA1797">
        <v>9</v>
      </c>
      <c r="AB1797">
        <v>9</v>
      </c>
      <c r="AC1797" t="s">
        <v>310</v>
      </c>
      <c r="AD1797">
        <v>9</v>
      </c>
      <c r="AE1797" t="s">
        <v>1396</v>
      </c>
      <c r="AF1797">
        <v>20000000</v>
      </c>
      <c r="AG1797" t="s">
        <v>310</v>
      </c>
      <c r="AH1797">
        <f>SUM((MID(Dyno_Data[[#This Row],[Team]],4,5))+(Dyno_Data[[#This Row],[Match]]/100))</f>
        <v>1880.36</v>
      </c>
      <c r="AI1797" s="76">
        <f>ROUND(SUM(IF(Dyno_Data[[#This Row],[AcqCenter]]&gt;0,Dyno_Data[[#This Row],[Time]]-SUMIFS(Dyno_Data[Time],Dyno_Data[Team],Dyno_Data[[#This Row],[Team]],Dyno_Data[RecordType],"StartMatch",Dyno_Data[Match],Dyno_Data[[#This Row],[Match]]),0)*86400),0)</f>
        <v>0</v>
      </c>
    </row>
    <row r="1798" spans="1:35" x14ac:dyDescent="0.3">
      <c r="A1798">
        <v>1797</v>
      </c>
      <c r="B1798" t="s">
        <v>1298</v>
      </c>
      <c r="C1798">
        <v>36</v>
      </c>
      <c r="D1798" s="105">
        <v>45373.620762766201</v>
      </c>
      <c r="E1798" t="s">
        <v>312</v>
      </c>
      <c r="F1798" t="s">
        <v>1402</v>
      </c>
      <c r="G1798">
        <v>0</v>
      </c>
      <c r="H1798" t="s">
        <v>315</v>
      </c>
      <c r="I1798">
        <v>0</v>
      </c>
      <c r="J1798">
        <v>0</v>
      </c>
      <c r="K1798">
        <v>0</v>
      </c>
      <c r="L1798" t="s">
        <v>240</v>
      </c>
      <c r="M1798" t="s">
        <v>101</v>
      </c>
      <c r="N1798">
        <v>0</v>
      </c>
      <c r="O1798" t="s">
        <v>319</v>
      </c>
      <c r="P1798" t="s">
        <v>310</v>
      </c>
      <c r="Q1798" t="s">
        <v>310</v>
      </c>
      <c r="R1798" t="s">
        <v>310</v>
      </c>
      <c r="S1798">
        <v>9</v>
      </c>
      <c r="T1798" t="s">
        <v>310</v>
      </c>
      <c r="U1798">
        <v>9</v>
      </c>
      <c r="V1798">
        <v>9</v>
      </c>
      <c r="W1798">
        <v>0</v>
      </c>
      <c r="X1798">
        <v>0</v>
      </c>
      <c r="Y1798">
        <v>0</v>
      </c>
      <c r="Z1798">
        <v>0</v>
      </c>
      <c r="AA1798">
        <v>9</v>
      </c>
      <c r="AB1798">
        <v>9</v>
      </c>
      <c r="AC1798" t="s">
        <v>310</v>
      </c>
      <c r="AD1798">
        <v>9</v>
      </c>
      <c r="AE1798" t="s">
        <v>1414</v>
      </c>
      <c r="AF1798">
        <v>50000000</v>
      </c>
      <c r="AG1798" t="s">
        <v>310</v>
      </c>
      <c r="AH1798">
        <f>SUM((MID(Dyno_Data[[#This Row],[Team]],4,5))+(Dyno_Data[[#This Row],[Match]]/100))</f>
        <v>9624.36</v>
      </c>
      <c r="AI1798" s="76">
        <f>ROUND(SUM(IF(Dyno_Data[[#This Row],[AcqCenter]]&gt;0,Dyno_Data[[#This Row],[Time]]-SUMIFS(Dyno_Data[Time],Dyno_Data[Team],Dyno_Data[[#This Row],[Team]],Dyno_Data[RecordType],"StartMatch",Dyno_Data[Match],Dyno_Data[[#This Row],[Match]]),0)*86400),0)</f>
        <v>0</v>
      </c>
    </row>
    <row r="1799" spans="1:35" x14ac:dyDescent="0.3">
      <c r="A1799">
        <v>1798</v>
      </c>
      <c r="B1799" t="s">
        <v>1311</v>
      </c>
      <c r="C1799">
        <v>36</v>
      </c>
      <c r="D1799" s="105">
        <v>45373.62079533565</v>
      </c>
      <c r="E1799" t="s">
        <v>312</v>
      </c>
      <c r="F1799" t="s">
        <v>1402</v>
      </c>
      <c r="G1799">
        <v>0</v>
      </c>
      <c r="H1799" t="s">
        <v>315</v>
      </c>
      <c r="I1799">
        <v>0</v>
      </c>
      <c r="J1799">
        <v>0</v>
      </c>
      <c r="K1799">
        <v>0</v>
      </c>
      <c r="L1799" t="s">
        <v>242</v>
      </c>
      <c r="M1799" t="s">
        <v>101</v>
      </c>
      <c r="N1799">
        <v>0</v>
      </c>
      <c r="O1799" t="s">
        <v>311</v>
      </c>
      <c r="P1799" t="s">
        <v>310</v>
      </c>
      <c r="Q1799" t="s">
        <v>310</v>
      </c>
      <c r="R1799" t="s">
        <v>310</v>
      </c>
      <c r="S1799">
        <v>9</v>
      </c>
      <c r="T1799" t="s">
        <v>310</v>
      </c>
      <c r="U1799">
        <v>9</v>
      </c>
      <c r="V1799">
        <v>9</v>
      </c>
      <c r="W1799">
        <v>0</v>
      </c>
      <c r="X1799">
        <v>0</v>
      </c>
      <c r="Y1799">
        <v>0</v>
      </c>
      <c r="Z1799">
        <v>0</v>
      </c>
      <c r="AA1799">
        <v>9</v>
      </c>
      <c r="AB1799">
        <v>9</v>
      </c>
      <c r="AC1799" t="s">
        <v>310</v>
      </c>
      <c r="AD1799">
        <v>9</v>
      </c>
      <c r="AE1799" t="s">
        <v>1413</v>
      </c>
      <c r="AF1799">
        <v>10000000</v>
      </c>
      <c r="AG1799" t="s">
        <v>310</v>
      </c>
      <c r="AH1799">
        <f>SUM((MID(Dyno_Data[[#This Row],[Team]],4,5))+(Dyno_Data[[#This Row],[Match]]/100))</f>
        <v>2234.36</v>
      </c>
      <c r="AI1799" s="76">
        <f>ROUND(SUM(IF(Dyno_Data[[#This Row],[AcqCenter]]&gt;0,Dyno_Data[[#This Row],[Time]]-SUMIFS(Dyno_Data[Time],Dyno_Data[Team],Dyno_Data[[#This Row],[Team]],Dyno_Data[RecordType],"StartMatch",Dyno_Data[Match],Dyno_Data[[#This Row],[Match]]),0)*86400),0)</f>
        <v>0</v>
      </c>
    </row>
    <row r="1800" spans="1:35" x14ac:dyDescent="0.3">
      <c r="A1800">
        <v>1799</v>
      </c>
      <c r="B1800" t="s">
        <v>361</v>
      </c>
      <c r="C1800">
        <v>36</v>
      </c>
      <c r="D1800" s="105">
        <v>45373.620836423608</v>
      </c>
      <c r="E1800" t="s">
        <v>312</v>
      </c>
      <c r="F1800" t="s">
        <v>1402</v>
      </c>
      <c r="G1800">
        <v>0</v>
      </c>
      <c r="H1800" t="s">
        <v>315</v>
      </c>
      <c r="I1800">
        <v>0</v>
      </c>
      <c r="J1800">
        <v>0</v>
      </c>
      <c r="K1800">
        <v>0</v>
      </c>
      <c r="L1800" t="s">
        <v>241</v>
      </c>
      <c r="M1800" t="s">
        <v>101</v>
      </c>
      <c r="N1800">
        <v>1</v>
      </c>
      <c r="O1800" t="s">
        <v>1389</v>
      </c>
      <c r="P1800" t="s">
        <v>310</v>
      </c>
      <c r="Q1800" t="s">
        <v>310</v>
      </c>
      <c r="R1800" t="s">
        <v>310</v>
      </c>
      <c r="S1800">
        <v>9</v>
      </c>
      <c r="T1800" t="s">
        <v>310</v>
      </c>
      <c r="U1800">
        <v>9</v>
      </c>
      <c r="V1800">
        <v>9</v>
      </c>
      <c r="W1800">
        <v>0</v>
      </c>
      <c r="X1800">
        <v>0</v>
      </c>
      <c r="Y1800">
        <v>0</v>
      </c>
      <c r="Z1800">
        <v>0</v>
      </c>
      <c r="AA1800">
        <v>9</v>
      </c>
      <c r="AB1800">
        <v>9</v>
      </c>
      <c r="AC1800" t="s">
        <v>310</v>
      </c>
      <c r="AD1800">
        <v>9</v>
      </c>
      <c r="AE1800" t="s">
        <v>1388</v>
      </c>
      <c r="AF1800">
        <v>60000000</v>
      </c>
      <c r="AG1800" t="s">
        <v>310</v>
      </c>
      <c r="AH1800">
        <f>SUM((MID(Dyno_Data[[#This Row],[Team]],4,5))+(Dyno_Data[[#This Row],[Match]]/100))</f>
        <v>20.36</v>
      </c>
      <c r="AI1800" s="76">
        <f>ROUND(SUM(IF(Dyno_Data[[#This Row],[AcqCenter]]&gt;0,Dyno_Data[[#This Row],[Time]]-SUMIFS(Dyno_Data[Time],Dyno_Data[Team],Dyno_Data[[#This Row],[Team]],Dyno_Data[RecordType],"StartMatch",Dyno_Data[Match],Dyno_Data[[#This Row],[Match]]),0)*86400),0)</f>
        <v>0</v>
      </c>
    </row>
    <row r="1801" spans="1:35" x14ac:dyDescent="0.3">
      <c r="A1801">
        <v>1800</v>
      </c>
      <c r="B1801" t="s">
        <v>1275</v>
      </c>
      <c r="C1801">
        <v>36</v>
      </c>
      <c r="D1801" s="105">
        <v>45373.620933252314</v>
      </c>
      <c r="E1801" t="s">
        <v>312</v>
      </c>
      <c r="F1801" t="s">
        <v>1402</v>
      </c>
      <c r="G1801">
        <v>0</v>
      </c>
      <c r="H1801" t="s">
        <v>315</v>
      </c>
      <c r="I1801">
        <v>0</v>
      </c>
      <c r="J1801">
        <v>0</v>
      </c>
      <c r="K1801">
        <v>0</v>
      </c>
      <c r="L1801" t="s">
        <v>241</v>
      </c>
      <c r="M1801" t="s">
        <v>241</v>
      </c>
      <c r="N1801">
        <v>0</v>
      </c>
      <c r="O1801" t="s">
        <v>1395</v>
      </c>
      <c r="P1801" t="s">
        <v>310</v>
      </c>
      <c r="Q1801" t="s">
        <v>310</v>
      </c>
      <c r="R1801" t="s">
        <v>310</v>
      </c>
      <c r="S1801">
        <v>9</v>
      </c>
      <c r="T1801" t="s">
        <v>310</v>
      </c>
      <c r="U1801">
        <v>9</v>
      </c>
      <c r="V1801">
        <v>9</v>
      </c>
      <c r="W1801">
        <v>0</v>
      </c>
      <c r="X1801">
        <v>0</v>
      </c>
      <c r="Y1801">
        <v>0</v>
      </c>
      <c r="Z1801">
        <v>0</v>
      </c>
      <c r="AA1801">
        <v>9</v>
      </c>
      <c r="AB1801">
        <v>9</v>
      </c>
      <c r="AC1801" t="s">
        <v>310</v>
      </c>
      <c r="AD1801">
        <v>9</v>
      </c>
      <c r="AE1801" t="s">
        <v>1396</v>
      </c>
      <c r="AF1801">
        <v>30000000</v>
      </c>
      <c r="AG1801" t="s">
        <v>310</v>
      </c>
      <c r="AH1801">
        <f>SUM((MID(Dyno_Data[[#This Row],[Team]],4,5))+(Dyno_Data[[#This Row],[Match]]/100))</f>
        <v>1880.36</v>
      </c>
      <c r="AI1801" s="76">
        <f>ROUND(SUM(IF(Dyno_Data[[#This Row],[AcqCenter]]&gt;0,Dyno_Data[[#This Row],[Time]]-SUMIFS(Dyno_Data[Time],Dyno_Data[Team],Dyno_Data[[#This Row],[Team]],Dyno_Data[RecordType],"StartMatch",Dyno_Data[Match],Dyno_Data[[#This Row],[Match]]),0)*86400),0)</f>
        <v>0</v>
      </c>
    </row>
    <row r="1802" spans="1:35" x14ac:dyDescent="0.3">
      <c r="A1802">
        <v>1801</v>
      </c>
      <c r="B1802" t="s">
        <v>361</v>
      </c>
      <c r="C1802">
        <v>36</v>
      </c>
      <c r="D1802" s="105">
        <v>45373.620966516202</v>
      </c>
      <c r="E1802" t="s">
        <v>312</v>
      </c>
      <c r="F1802" t="s">
        <v>1402</v>
      </c>
      <c r="G1802">
        <v>0</v>
      </c>
      <c r="H1802" t="s">
        <v>315</v>
      </c>
      <c r="I1802">
        <v>0</v>
      </c>
      <c r="J1802">
        <v>0</v>
      </c>
      <c r="K1802">
        <v>0</v>
      </c>
      <c r="L1802" t="s">
        <v>240</v>
      </c>
      <c r="M1802" t="s">
        <v>1398</v>
      </c>
      <c r="N1802">
        <v>1</v>
      </c>
      <c r="O1802" t="s">
        <v>1389</v>
      </c>
      <c r="P1802" t="s">
        <v>310</v>
      </c>
      <c r="Q1802" t="s">
        <v>310</v>
      </c>
      <c r="R1802" t="s">
        <v>310</v>
      </c>
      <c r="S1802">
        <v>9</v>
      </c>
      <c r="T1802" t="s">
        <v>310</v>
      </c>
      <c r="U1802">
        <v>9</v>
      </c>
      <c r="V1802">
        <v>9</v>
      </c>
      <c r="W1802">
        <v>0</v>
      </c>
      <c r="X1802">
        <v>0</v>
      </c>
      <c r="Y1802">
        <v>0</v>
      </c>
      <c r="Z1802">
        <v>0</v>
      </c>
      <c r="AA1802">
        <v>9</v>
      </c>
      <c r="AB1802">
        <v>9</v>
      </c>
      <c r="AC1802" t="s">
        <v>310</v>
      </c>
      <c r="AD1802">
        <v>9</v>
      </c>
      <c r="AE1802" t="s">
        <v>1388</v>
      </c>
      <c r="AF1802">
        <v>70000000</v>
      </c>
      <c r="AG1802" t="s">
        <v>310</v>
      </c>
      <c r="AH1802">
        <f>SUM((MID(Dyno_Data[[#This Row],[Team]],4,5))+(Dyno_Data[[#This Row],[Match]]/100))</f>
        <v>20.36</v>
      </c>
      <c r="AI1802" s="76">
        <f>ROUND(SUM(IF(Dyno_Data[[#This Row],[AcqCenter]]&gt;0,Dyno_Data[[#This Row],[Time]]-SUMIFS(Dyno_Data[Time],Dyno_Data[Team],Dyno_Data[[#This Row],[Team]],Dyno_Data[RecordType],"StartMatch",Dyno_Data[Match],Dyno_Data[[#This Row],[Match]]),0)*86400),0)</f>
        <v>0</v>
      </c>
    </row>
    <row r="1803" spans="1:35" x14ac:dyDescent="0.3">
      <c r="A1803">
        <v>1802</v>
      </c>
      <c r="B1803" t="s">
        <v>1290</v>
      </c>
      <c r="C1803">
        <v>36</v>
      </c>
      <c r="D1803" s="105">
        <v>45373.621035185184</v>
      </c>
      <c r="E1803" t="s">
        <v>312</v>
      </c>
      <c r="F1803" t="s">
        <v>1402</v>
      </c>
      <c r="G1803">
        <v>0</v>
      </c>
      <c r="H1803" t="s">
        <v>315</v>
      </c>
      <c r="I1803">
        <v>0</v>
      </c>
      <c r="J1803">
        <v>0</v>
      </c>
      <c r="K1803">
        <v>0</v>
      </c>
      <c r="L1803" t="s">
        <v>241</v>
      </c>
      <c r="M1803" t="s">
        <v>1398</v>
      </c>
      <c r="N1803">
        <v>1</v>
      </c>
      <c r="O1803" t="s">
        <v>1393</v>
      </c>
      <c r="P1803" t="s">
        <v>310</v>
      </c>
      <c r="Q1803" t="s">
        <v>310</v>
      </c>
      <c r="R1803" t="s">
        <v>310</v>
      </c>
      <c r="S1803">
        <v>9</v>
      </c>
      <c r="T1803" t="s">
        <v>310</v>
      </c>
      <c r="U1803">
        <v>9</v>
      </c>
      <c r="V1803">
        <v>9</v>
      </c>
      <c r="W1803">
        <v>0</v>
      </c>
      <c r="X1803">
        <v>0</v>
      </c>
      <c r="Y1803">
        <v>0</v>
      </c>
      <c r="Z1803">
        <v>0</v>
      </c>
      <c r="AA1803">
        <v>9</v>
      </c>
      <c r="AB1803">
        <v>9</v>
      </c>
      <c r="AC1803" t="s">
        <v>310</v>
      </c>
      <c r="AD1803">
        <v>9</v>
      </c>
      <c r="AE1803" t="s">
        <v>1390</v>
      </c>
      <c r="AF1803">
        <v>20000000</v>
      </c>
      <c r="AG1803" t="s">
        <v>310</v>
      </c>
      <c r="AH1803">
        <f>SUM((MID(Dyno_Data[[#This Row],[Team]],4,5))+(Dyno_Data[[#This Row],[Match]]/100))</f>
        <v>5881.36</v>
      </c>
      <c r="AI1803" s="76">
        <f>ROUND(SUM(IF(Dyno_Data[[#This Row],[AcqCenter]]&gt;0,Dyno_Data[[#This Row],[Time]]-SUMIFS(Dyno_Data[Time],Dyno_Data[Team],Dyno_Data[[#This Row],[Team]],Dyno_Data[RecordType],"StartMatch",Dyno_Data[Match],Dyno_Data[[#This Row],[Match]]),0)*86400),0)</f>
        <v>0</v>
      </c>
    </row>
    <row r="1804" spans="1:35" x14ac:dyDescent="0.3">
      <c r="A1804">
        <v>1803</v>
      </c>
      <c r="B1804" t="s">
        <v>361</v>
      </c>
      <c r="C1804">
        <v>36</v>
      </c>
      <c r="D1804" s="105">
        <v>45373.621075694442</v>
      </c>
      <c r="E1804" t="s">
        <v>312</v>
      </c>
      <c r="F1804" t="s">
        <v>1402</v>
      </c>
      <c r="G1804">
        <v>0</v>
      </c>
      <c r="H1804" t="s">
        <v>315</v>
      </c>
      <c r="I1804">
        <v>0</v>
      </c>
      <c r="J1804">
        <v>0</v>
      </c>
      <c r="K1804">
        <v>0</v>
      </c>
      <c r="L1804" t="s">
        <v>241</v>
      </c>
      <c r="M1804" t="s">
        <v>1398</v>
      </c>
      <c r="N1804">
        <v>0</v>
      </c>
      <c r="O1804" t="s">
        <v>1389</v>
      </c>
      <c r="P1804" t="s">
        <v>310</v>
      </c>
      <c r="Q1804" t="s">
        <v>310</v>
      </c>
      <c r="R1804" t="s">
        <v>310</v>
      </c>
      <c r="S1804">
        <v>9</v>
      </c>
      <c r="T1804" t="s">
        <v>310</v>
      </c>
      <c r="U1804">
        <v>9</v>
      </c>
      <c r="V1804">
        <v>9</v>
      </c>
      <c r="W1804">
        <v>0</v>
      </c>
      <c r="X1804">
        <v>0</v>
      </c>
      <c r="Y1804">
        <v>0</v>
      </c>
      <c r="Z1804">
        <v>0</v>
      </c>
      <c r="AA1804">
        <v>9</v>
      </c>
      <c r="AB1804">
        <v>9</v>
      </c>
      <c r="AC1804" t="s">
        <v>310</v>
      </c>
      <c r="AD1804">
        <v>9</v>
      </c>
      <c r="AE1804" t="s">
        <v>1388</v>
      </c>
      <c r="AF1804">
        <v>80000000</v>
      </c>
      <c r="AG1804" t="s">
        <v>310</v>
      </c>
      <c r="AH1804">
        <f>SUM((MID(Dyno_Data[[#This Row],[Team]],4,5))+(Dyno_Data[[#This Row],[Match]]/100))</f>
        <v>20.36</v>
      </c>
      <c r="AI1804" s="76">
        <f>ROUND(SUM(IF(Dyno_Data[[#This Row],[AcqCenter]]&gt;0,Dyno_Data[[#This Row],[Time]]-SUMIFS(Dyno_Data[Time],Dyno_Data[Team],Dyno_Data[[#This Row],[Team]],Dyno_Data[RecordType],"StartMatch",Dyno_Data[Match],Dyno_Data[[#This Row],[Match]]),0)*86400),0)</f>
        <v>0</v>
      </c>
    </row>
    <row r="1805" spans="1:35" x14ac:dyDescent="0.3">
      <c r="A1805">
        <v>1804</v>
      </c>
      <c r="B1805" t="s">
        <v>1275</v>
      </c>
      <c r="C1805">
        <v>36</v>
      </c>
      <c r="D1805" s="105">
        <v>45373.621122025463</v>
      </c>
      <c r="E1805" t="s">
        <v>312</v>
      </c>
      <c r="F1805" t="s">
        <v>1402</v>
      </c>
      <c r="G1805">
        <v>0</v>
      </c>
      <c r="H1805" t="s">
        <v>315</v>
      </c>
      <c r="I1805">
        <v>0</v>
      </c>
      <c r="J1805">
        <v>0</v>
      </c>
      <c r="K1805">
        <v>0</v>
      </c>
      <c r="L1805" t="s">
        <v>241</v>
      </c>
      <c r="M1805" t="s">
        <v>241</v>
      </c>
      <c r="N1805">
        <v>0</v>
      </c>
      <c r="O1805" t="s">
        <v>1395</v>
      </c>
      <c r="P1805" t="s">
        <v>310</v>
      </c>
      <c r="Q1805" t="s">
        <v>310</v>
      </c>
      <c r="R1805" t="s">
        <v>310</v>
      </c>
      <c r="S1805">
        <v>9</v>
      </c>
      <c r="T1805" t="s">
        <v>310</v>
      </c>
      <c r="U1805">
        <v>9</v>
      </c>
      <c r="V1805">
        <v>9</v>
      </c>
      <c r="W1805">
        <v>0</v>
      </c>
      <c r="X1805">
        <v>0</v>
      </c>
      <c r="Y1805">
        <v>0</v>
      </c>
      <c r="Z1805">
        <v>0</v>
      </c>
      <c r="AA1805">
        <v>9</v>
      </c>
      <c r="AB1805">
        <v>9</v>
      </c>
      <c r="AC1805" t="s">
        <v>310</v>
      </c>
      <c r="AD1805">
        <v>9</v>
      </c>
      <c r="AE1805" t="s">
        <v>1396</v>
      </c>
      <c r="AF1805">
        <v>40000000</v>
      </c>
      <c r="AG1805" t="s">
        <v>310</v>
      </c>
      <c r="AH1805">
        <f>SUM((MID(Dyno_Data[[#This Row],[Team]],4,5))+(Dyno_Data[[#This Row],[Match]]/100))</f>
        <v>1880.36</v>
      </c>
      <c r="AI1805" s="76">
        <f>ROUND(SUM(IF(Dyno_Data[[#This Row],[AcqCenter]]&gt;0,Dyno_Data[[#This Row],[Time]]-SUMIFS(Dyno_Data[Time],Dyno_Data[Team],Dyno_Data[[#This Row],[Team]],Dyno_Data[RecordType],"StartMatch",Dyno_Data[Match],Dyno_Data[[#This Row],[Match]]),0)*86400),0)</f>
        <v>0</v>
      </c>
    </row>
    <row r="1806" spans="1:35" x14ac:dyDescent="0.3">
      <c r="A1806">
        <v>1805</v>
      </c>
      <c r="B1806" t="s">
        <v>1290</v>
      </c>
      <c r="C1806">
        <v>36</v>
      </c>
      <c r="D1806" s="105">
        <v>45373.621149618055</v>
      </c>
      <c r="E1806" t="s">
        <v>312</v>
      </c>
      <c r="F1806" t="s">
        <v>1402</v>
      </c>
      <c r="G1806">
        <v>0</v>
      </c>
      <c r="H1806" t="s">
        <v>315</v>
      </c>
      <c r="I1806">
        <v>0</v>
      </c>
      <c r="J1806">
        <v>0</v>
      </c>
      <c r="K1806">
        <v>0</v>
      </c>
      <c r="L1806" t="s">
        <v>241</v>
      </c>
      <c r="M1806" t="s">
        <v>1398</v>
      </c>
      <c r="N1806">
        <v>1</v>
      </c>
      <c r="O1806" t="s">
        <v>1393</v>
      </c>
      <c r="P1806" t="s">
        <v>310</v>
      </c>
      <c r="Q1806" t="s">
        <v>310</v>
      </c>
      <c r="R1806" t="s">
        <v>310</v>
      </c>
      <c r="S1806">
        <v>9</v>
      </c>
      <c r="T1806" t="s">
        <v>310</v>
      </c>
      <c r="U1806">
        <v>9</v>
      </c>
      <c r="V1806">
        <v>9</v>
      </c>
      <c r="W1806">
        <v>0</v>
      </c>
      <c r="X1806">
        <v>0</v>
      </c>
      <c r="Y1806">
        <v>0</v>
      </c>
      <c r="Z1806">
        <v>0</v>
      </c>
      <c r="AA1806">
        <v>9</v>
      </c>
      <c r="AB1806">
        <v>9</v>
      </c>
      <c r="AC1806" t="s">
        <v>310</v>
      </c>
      <c r="AD1806">
        <v>9</v>
      </c>
      <c r="AE1806" t="s">
        <v>1390</v>
      </c>
      <c r="AF1806">
        <v>30000000</v>
      </c>
      <c r="AG1806" t="s">
        <v>310</v>
      </c>
      <c r="AH1806">
        <f>SUM((MID(Dyno_Data[[#This Row],[Team]],4,5))+(Dyno_Data[[#This Row],[Match]]/100))</f>
        <v>5881.36</v>
      </c>
      <c r="AI1806" s="76">
        <f>ROUND(SUM(IF(Dyno_Data[[#This Row],[AcqCenter]]&gt;0,Dyno_Data[[#This Row],[Time]]-SUMIFS(Dyno_Data[Time],Dyno_Data[Team],Dyno_Data[[#This Row],[Team]],Dyno_Data[RecordType],"StartMatch",Dyno_Data[Match],Dyno_Data[[#This Row],[Match]]),0)*86400),0)</f>
        <v>0</v>
      </c>
    </row>
    <row r="1807" spans="1:35" x14ac:dyDescent="0.3">
      <c r="A1807">
        <v>1806</v>
      </c>
      <c r="B1807" t="s">
        <v>361</v>
      </c>
      <c r="C1807">
        <v>36</v>
      </c>
      <c r="D1807" s="105">
        <v>45373.621169247686</v>
      </c>
      <c r="E1807" t="s">
        <v>312</v>
      </c>
      <c r="F1807" t="s">
        <v>1402</v>
      </c>
      <c r="G1807">
        <v>0</v>
      </c>
      <c r="H1807" t="s">
        <v>315</v>
      </c>
      <c r="I1807">
        <v>0</v>
      </c>
      <c r="J1807">
        <v>0</v>
      </c>
      <c r="K1807">
        <v>0</v>
      </c>
      <c r="L1807" t="s">
        <v>241</v>
      </c>
      <c r="M1807" t="s">
        <v>1398</v>
      </c>
      <c r="N1807">
        <v>0</v>
      </c>
      <c r="O1807" t="s">
        <v>1389</v>
      </c>
      <c r="P1807" t="s">
        <v>310</v>
      </c>
      <c r="Q1807" t="s">
        <v>310</v>
      </c>
      <c r="R1807" t="s">
        <v>310</v>
      </c>
      <c r="S1807">
        <v>9</v>
      </c>
      <c r="T1807" t="s">
        <v>310</v>
      </c>
      <c r="U1807">
        <v>9</v>
      </c>
      <c r="V1807">
        <v>9</v>
      </c>
      <c r="W1807">
        <v>0</v>
      </c>
      <c r="X1807">
        <v>0</v>
      </c>
      <c r="Y1807">
        <v>0</v>
      </c>
      <c r="Z1807">
        <v>0</v>
      </c>
      <c r="AA1807">
        <v>9</v>
      </c>
      <c r="AB1807">
        <v>9</v>
      </c>
      <c r="AC1807" t="s">
        <v>310</v>
      </c>
      <c r="AD1807">
        <v>9</v>
      </c>
      <c r="AE1807" t="s">
        <v>1388</v>
      </c>
      <c r="AF1807">
        <v>90000000</v>
      </c>
      <c r="AG1807" t="s">
        <v>310</v>
      </c>
      <c r="AH1807">
        <f>SUM((MID(Dyno_Data[[#This Row],[Team]],4,5))+(Dyno_Data[[#This Row],[Match]]/100))</f>
        <v>20.36</v>
      </c>
      <c r="AI1807" s="76">
        <f>ROUND(SUM(IF(Dyno_Data[[#This Row],[AcqCenter]]&gt;0,Dyno_Data[[#This Row],[Time]]-SUMIFS(Dyno_Data[Time],Dyno_Data[Team],Dyno_Data[[#This Row],[Team]],Dyno_Data[RecordType],"StartMatch",Dyno_Data[Match],Dyno_Data[[#This Row],[Match]]),0)*86400),0)</f>
        <v>0</v>
      </c>
    </row>
    <row r="1808" spans="1:35" x14ac:dyDescent="0.3">
      <c r="A1808">
        <v>1807</v>
      </c>
      <c r="B1808" t="s">
        <v>361</v>
      </c>
      <c r="C1808">
        <v>36</v>
      </c>
      <c r="D1808" s="105">
        <v>45373.621190162034</v>
      </c>
      <c r="E1808" t="s">
        <v>1403</v>
      </c>
      <c r="F1808" t="s">
        <v>1402</v>
      </c>
      <c r="G1808">
        <v>0</v>
      </c>
      <c r="H1808" t="s">
        <v>310</v>
      </c>
      <c r="I1808">
        <v>0</v>
      </c>
      <c r="J1808">
        <v>0</v>
      </c>
      <c r="K1808">
        <v>0</v>
      </c>
      <c r="L1808" t="s">
        <v>310</v>
      </c>
      <c r="M1808" t="s">
        <v>310</v>
      </c>
      <c r="N1808">
        <v>0</v>
      </c>
      <c r="O1808" t="s">
        <v>1389</v>
      </c>
      <c r="P1808" t="s">
        <v>310</v>
      </c>
      <c r="Q1808" t="s">
        <v>310</v>
      </c>
      <c r="R1808" t="s">
        <v>310</v>
      </c>
      <c r="S1808">
        <v>9</v>
      </c>
      <c r="T1808" t="s">
        <v>310</v>
      </c>
      <c r="U1808">
        <v>9</v>
      </c>
      <c r="V1808">
        <v>9</v>
      </c>
      <c r="W1808">
        <v>0</v>
      </c>
      <c r="X1808">
        <v>0</v>
      </c>
      <c r="Y1808">
        <v>0</v>
      </c>
      <c r="Z1808">
        <v>0</v>
      </c>
      <c r="AA1808">
        <v>9</v>
      </c>
      <c r="AB1808">
        <v>9</v>
      </c>
      <c r="AC1808" t="s">
        <v>310</v>
      </c>
      <c r="AD1808">
        <v>9</v>
      </c>
      <c r="AE1808" t="s">
        <v>1388</v>
      </c>
      <c r="AF1808">
        <v>90000000</v>
      </c>
      <c r="AG1808" t="s">
        <v>249</v>
      </c>
      <c r="AH1808">
        <f>SUM((MID(Dyno_Data[[#This Row],[Team]],4,5))+(Dyno_Data[[#This Row],[Match]]/100))</f>
        <v>20.36</v>
      </c>
      <c r="AI1808" s="76">
        <f>ROUND(SUM(IF(Dyno_Data[[#This Row],[AcqCenter]]&gt;0,Dyno_Data[[#This Row],[Time]]-SUMIFS(Dyno_Data[Time],Dyno_Data[Team],Dyno_Data[[#This Row],[Team]],Dyno_Data[RecordType],"StartMatch",Dyno_Data[Match],Dyno_Data[[#This Row],[Match]]),0)*86400),0)</f>
        <v>0</v>
      </c>
    </row>
    <row r="1809" spans="1:35" x14ac:dyDescent="0.3">
      <c r="A1809">
        <v>1808</v>
      </c>
      <c r="B1809" t="s">
        <v>1290</v>
      </c>
      <c r="C1809">
        <v>36</v>
      </c>
      <c r="D1809" s="105">
        <v>45373.621250891207</v>
      </c>
      <c r="E1809" t="s">
        <v>312</v>
      </c>
      <c r="F1809" t="s">
        <v>1402</v>
      </c>
      <c r="G1809">
        <v>0</v>
      </c>
      <c r="H1809" t="s">
        <v>315</v>
      </c>
      <c r="I1809">
        <v>0</v>
      </c>
      <c r="J1809">
        <v>0</v>
      </c>
      <c r="K1809">
        <v>0</v>
      </c>
      <c r="L1809" t="s">
        <v>241</v>
      </c>
      <c r="M1809" t="s">
        <v>1398</v>
      </c>
      <c r="N1809">
        <v>0</v>
      </c>
      <c r="O1809" t="s">
        <v>1393</v>
      </c>
      <c r="P1809" t="s">
        <v>310</v>
      </c>
      <c r="Q1809" t="s">
        <v>310</v>
      </c>
      <c r="R1809" t="s">
        <v>310</v>
      </c>
      <c r="S1809">
        <v>9</v>
      </c>
      <c r="T1809" t="s">
        <v>310</v>
      </c>
      <c r="U1809">
        <v>9</v>
      </c>
      <c r="V1809">
        <v>9</v>
      </c>
      <c r="W1809">
        <v>0</v>
      </c>
      <c r="X1809">
        <v>0</v>
      </c>
      <c r="Y1809">
        <v>0</v>
      </c>
      <c r="Z1809">
        <v>0</v>
      </c>
      <c r="AA1809">
        <v>9</v>
      </c>
      <c r="AB1809">
        <v>9</v>
      </c>
      <c r="AC1809" t="s">
        <v>310</v>
      </c>
      <c r="AD1809">
        <v>9</v>
      </c>
      <c r="AE1809" t="s">
        <v>1390</v>
      </c>
      <c r="AF1809">
        <v>40000000</v>
      </c>
      <c r="AG1809" t="s">
        <v>310</v>
      </c>
      <c r="AH1809">
        <f>SUM((MID(Dyno_Data[[#This Row],[Team]],4,5))+(Dyno_Data[[#This Row],[Match]]/100))</f>
        <v>5881.36</v>
      </c>
      <c r="AI1809" s="76">
        <f>ROUND(SUM(IF(Dyno_Data[[#This Row],[AcqCenter]]&gt;0,Dyno_Data[[#This Row],[Time]]-SUMIFS(Dyno_Data[Time],Dyno_Data[Team],Dyno_Data[[#This Row],[Team]],Dyno_Data[RecordType],"StartMatch",Dyno_Data[Match],Dyno_Data[[#This Row],[Match]]),0)*86400),0)</f>
        <v>0</v>
      </c>
    </row>
    <row r="1810" spans="1:35" x14ac:dyDescent="0.3">
      <c r="A1810">
        <v>1809</v>
      </c>
      <c r="B1810" t="s">
        <v>1311</v>
      </c>
      <c r="C1810">
        <v>36</v>
      </c>
      <c r="D1810" s="105">
        <v>45373.62127920139</v>
      </c>
      <c r="E1810" t="s">
        <v>312</v>
      </c>
      <c r="F1810" t="s">
        <v>1402</v>
      </c>
      <c r="G1810">
        <v>0</v>
      </c>
      <c r="H1810" t="s">
        <v>315</v>
      </c>
      <c r="I1810">
        <v>0</v>
      </c>
      <c r="J1810">
        <v>0</v>
      </c>
      <c r="K1810">
        <v>0</v>
      </c>
      <c r="L1810" t="s">
        <v>241</v>
      </c>
      <c r="M1810" t="s">
        <v>101</v>
      </c>
      <c r="N1810">
        <v>0</v>
      </c>
      <c r="O1810" t="s">
        <v>311</v>
      </c>
      <c r="P1810" t="s">
        <v>310</v>
      </c>
      <c r="Q1810" t="s">
        <v>310</v>
      </c>
      <c r="R1810" t="s">
        <v>310</v>
      </c>
      <c r="S1810">
        <v>9</v>
      </c>
      <c r="T1810" t="s">
        <v>310</v>
      </c>
      <c r="U1810">
        <v>9</v>
      </c>
      <c r="V1810">
        <v>9</v>
      </c>
      <c r="W1810">
        <v>0</v>
      </c>
      <c r="X1810">
        <v>0</v>
      </c>
      <c r="Y1810">
        <v>0</v>
      </c>
      <c r="Z1810">
        <v>0</v>
      </c>
      <c r="AA1810">
        <v>9</v>
      </c>
      <c r="AB1810">
        <v>9</v>
      </c>
      <c r="AC1810" t="s">
        <v>310</v>
      </c>
      <c r="AD1810">
        <v>9</v>
      </c>
      <c r="AE1810" t="s">
        <v>1413</v>
      </c>
      <c r="AF1810">
        <v>20000000</v>
      </c>
      <c r="AG1810" t="s">
        <v>310</v>
      </c>
      <c r="AH1810">
        <f>SUM((MID(Dyno_Data[[#This Row],[Team]],4,5))+(Dyno_Data[[#This Row],[Match]]/100))</f>
        <v>2234.36</v>
      </c>
      <c r="AI1810" s="76">
        <f>ROUND(SUM(IF(Dyno_Data[[#This Row],[AcqCenter]]&gt;0,Dyno_Data[[#This Row],[Time]]-SUMIFS(Dyno_Data[Time],Dyno_Data[Team],Dyno_Data[[#This Row],[Team]],Dyno_Data[RecordType],"StartMatch",Dyno_Data[Match],Dyno_Data[[#This Row],[Match]]),0)*86400),0)</f>
        <v>0</v>
      </c>
    </row>
    <row r="1811" spans="1:35" x14ac:dyDescent="0.3">
      <c r="A1811">
        <v>1810</v>
      </c>
      <c r="B1811" t="s">
        <v>361</v>
      </c>
      <c r="C1811">
        <v>36</v>
      </c>
      <c r="D1811" s="105">
        <v>45373.62128136574</v>
      </c>
      <c r="E1811" t="s">
        <v>312</v>
      </c>
      <c r="F1811" t="s">
        <v>1402</v>
      </c>
      <c r="G1811">
        <v>0</v>
      </c>
      <c r="H1811" t="s">
        <v>315</v>
      </c>
      <c r="I1811">
        <v>0</v>
      </c>
      <c r="J1811">
        <v>0</v>
      </c>
      <c r="K1811">
        <v>0</v>
      </c>
      <c r="L1811" t="s">
        <v>241</v>
      </c>
      <c r="M1811" t="s">
        <v>101</v>
      </c>
      <c r="N1811">
        <v>0</v>
      </c>
      <c r="O1811" t="s">
        <v>1389</v>
      </c>
      <c r="P1811" t="s">
        <v>310</v>
      </c>
      <c r="Q1811" t="s">
        <v>310</v>
      </c>
      <c r="R1811" t="s">
        <v>310</v>
      </c>
      <c r="S1811">
        <v>9</v>
      </c>
      <c r="T1811" t="s">
        <v>310</v>
      </c>
      <c r="U1811">
        <v>9</v>
      </c>
      <c r="V1811">
        <v>9</v>
      </c>
      <c r="W1811">
        <v>0</v>
      </c>
      <c r="X1811">
        <v>0</v>
      </c>
      <c r="Y1811">
        <v>0</v>
      </c>
      <c r="Z1811">
        <v>0</v>
      </c>
      <c r="AA1811">
        <v>9</v>
      </c>
      <c r="AB1811">
        <v>9</v>
      </c>
      <c r="AC1811" t="s">
        <v>310</v>
      </c>
      <c r="AD1811">
        <v>9</v>
      </c>
      <c r="AE1811" t="s">
        <v>1388</v>
      </c>
      <c r="AF1811">
        <v>100000000</v>
      </c>
      <c r="AG1811" t="s">
        <v>310</v>
      </c>
      <c r="AH1811">
        <f>SUM((MID(Dyno_Data[[#This Row],[Team]],4,5))+(Dyno_Data[[#This Row],[Match]]/100))</f>
        <v>20.36</v>
      </c>
      <c r="AI1811" s="76">
        <f>ROUND(SUM(IF(Dyno_Data[[#This Row],[AcqCenter]]&gt;0,Dyno_Data[[#This Row],[Time]]-SUMIFS(Dyno_Data[Time],Dyno_Data[Team],Dyno_Data[[#This Row],[Team]],Dyno_Data[RecordType],"StartMatch",Dyno_Data[Match],Dyno_Data[[#This Row],[Match]]),0)*86400),0)</f>
        <v>0</v>
      </c>
    </row>
    <row r="1812" spans="1:35" x14ac:dyDescent="0.3">
      <c r="A1812">
        <v>1811</v>
      </c>
      <c r="B1812" t="s">
        <v>1275</v>
      </c>
      <c r="C1812">
        <v>36</v>
      </c>
      <c r="D1812" s="105">
        <v>45373.621285648151</v>
      </c>
      <c r="E1812" t="s">
        <v>312</v>
      </c>
      <c r="F1812" t="s">
        <v>1402</v>
      </c>
      <c r="G1812">
        <v>0</v>
      </c>
      <c r="H1812" t="s">
        <v>315</v>
      </c>
      <c r="I1812">
        <v>0</v>
      </c>
      <c r="J1812">
        <v>0</v>
      </c>
      <c r="K1812">
        <v>0</v>
      </c>
      <c r="L1812" t="s">
        <v>241</v>
      </c>
      <c r="M1812" t="s">
        <v>241</v>
      </c>
      <c r="N1812">
        <v>0</v>
      </c>
      <c r="O1812" t="s">
        <v>1395</v>
      </c>
      <c r="P1812" t="s">
        <v>310</v>
      </c>
      <c r="Q1812" t="s">
        <v>310</v>
      </c>
      <c r="R1812" t="s">
        <v>310</v>
      </c>
      <c r="S1812">
        <v>9</v>
      </c>
      <c r="T1812" t="s">
        <v>310</v>
      </c>
      <c r="U1812">
        <v>9</v>
      </c>
      <c r="V1812">
        <v>9</v>
      </c>
      <c r="W1812">
        <v>0</v>
      </c>
      <c r="X1812">
        <v>0</v>
      </c>
      <c r="Y1812">
        <v>0</v>
      </c>
      <c r="Z1812">
        <v>0</v>
      </c>
      <c r="AA1812">
        <v>9</v>
      </c>
      <c r="AB1812">
        <v>9</v>
      </c>
      <c r="AC1812" t="s">
        <v>310</v>
      </c>
      <c r="AD1812">
        <v>9</v>
      </c>
      <c r="AE1812" t="s">
        <v>1396</v>
      </c>
      <c r="AF1812">
        <v>50000000</v>
      </c>
      <c r="AG1812" t="s">
        <v>310</v>
      </c>
      <c r="AH1812">
        <f>SUM((MID(Dyno_Data[[#This Row],[Team]],4,5))+(Dyno_Data[[#This Row],[Match]]/100))</f>
        <v>1880.36</v>
      </c>
      <c r="AI1812" s="76">
        <f>ROUND(SUM(IF(Dyno_Data[[#This Row],[AcqCenter]]&gt;0,Dyno_Data[[#This Row],[Time]]-SUMIFS(Dyno_Data[Time],Dyno_Data[Team],Dyno_Data[[#This Row],[Team]],Dyno_Data[RecordType],"StartMatch",Dyno_Data[Match],Dyno_Data[[#This Row],[Match]]),0)*86400),0)</f>
        <v>0</v>
      </c>
    </row>
    <row r="1813" spans="1:35" x14ac:dyDescent="0.3">
      <c r="A1813">
        <v>1812</v>
      </c>
      <c r="B1813" t="s">
        <v>361</v>
      </c>
      <c r="C1813">
        <v>36</v>
      </c>
      <c r="D1813" s="105">
        <v>45373.621407407409</v>
      </c>
      <c r="E1813" t="s">
        <v>312</v>
      </c>
      <c r="F1813" t="s">
        <v>1402</v>
      </c>
      <c r="G1813">
        <v>0</v>
      </c>
      <c r="H1813" t="s">
        <v>315</v>
      </c>
      <c r="I1813">
        <v>0</v>
      </c>
      <c r="J1813">
        <v>0</v>
      </c>
      <c r="K1813">
        <v>0</v>
      </c>
      <c r="L1813" t="s">
        <v>241</v>
      </c>
      <c r="M1813" t="s">
        <v>101</v>
      </c>
      <c r="N1813">
        <v>0</v>
      </c>
      <c r="O1813" t="s">
        <v>1389</v>
      </c>
      <c r="P1813" t="s">
        <v>310</v>
      </c>
      <c r="Q1813" t="s">
        <v>310</v>
      </c>
      <c r="R1813" t="s">
        <v>310</v>
      </c>
      <c r="S1813">
        <v>9</v>
      </c>
      <c r="T1813" t="s">
        <v>310</v>
      </c>
      <c r="U1813">
        <v>9</v>
      </c>
      <c r="V1813">
        <v>9</v>
      </c>
      <c r="W1813">
        <v>0</v>
      </c>
      <c r="X1813">
        <v>0</v>
      </c>
      <c r="Y1813">
        <v>0</v>
      </c>
      <c r="Z1813">
        <v>0</v>
      </c>
      <c r="AA1813">
        <v>9</v>
      </c>
      <c r="AB1813">
        <v>9</v>
      </c>
      <c r="AC1813" t="s">
        <v>310</v>
      </c>
      <c r="AD1813">
        <v>9</v>
      </c>
      <c r="AE1813" t="s">
        <v>1388</v>
      </c>
      <c r="AF1813">
        <v>110000000</v>
      </c>
      <c r="AG1813" t="s">
        <v>310</v>
      </c>
      <c r="AH1813">
        <f>SUM((MID(Dyno_Data[[#This Row],[Team]],4,5))+(Dyno_Data[[#This Row],[Match]]/100))</f>
        <v>20.36</v>
      </c>
      <c r="AI1813" s="76">
        <f>ROUND(SUM(IF(Dyno_Data[[#This Row],[AcqCenter]]&gt;0,Dyno_Data[[#This Row],[Time]]-SUMIFS(Dyno_Data[Time],Dyno_Data[Team],Dyno_Data[[#This Row],[Team]],Dyno_Data[RecordType],"StartMatch",Dyno_Data[Match],Dyno_Data[[#This Row],[Match]]),0)*86400),0)</f>
        <v>0</v>
      </c>
    </row>
    <row r="1814" spans="1:35" x14ac:dyDescent="0.3">
      <c r="A1814">
        <v>1813</v>
      </c>
      <c r="B1814" t="s">
        <v>1290</v>
      </c>
      <c r="C1814">
        <v>36</v>
      </c>
      <c r="D1814" s="105">
        <v>45373.621419791663</v>
      </c>
      <c r="E1814" t="s">
        <v>312</v>
      </c>
      <c r="F1814" t="s">
        <v>1402</v>
      </c>
      <c r="G1814">
        <v>0</v>
      </c>
      <c r="H1814" t="s">
        <v>315</v>
      </c>
      <c r="I1814">
        <v>0</v>
      </c>
      <c r="J1814">
        <v>0</v>
      </c>
      <c r="K1814">
        <v>0</v>
      </c>
      <c r="L1814" t="s">
        <v>241</v>
      </c>
      <c r="M1814" t="s">
        <v>1398</v>
      </c>
      <c r="N1814">
        <v>0</v>
      </c>
      <c r="O1814" t="s">
        <v>1393</v>
      </c>
      <c r="P1814" t="s">
        <v>310</v>
      </c>
      <c r="Q1814" t="s">
        <v>310</v>
      </c>
      <c r="R1814" t="s">
        <v>310</v>
      </c>
      <c r="S1814">
        <v>9</v>
      </c>
      <c r="T1814" t="s">
        <v>310</v>
      </c>
      <c r="U1814">
        <v>9</v>
      </c>
      <c r="V1814">
        <v>9</v>
      </c>
      <c r="W1814">
        <v>0</v>
      </c>
      <c r="X1814">
        <v>0</v>
      </c>
      <c r="Y1814">
        <v>0</v>
      </c>
      <c r="Z1814">
        <v>0</v>
      </c>
      <c r="AA1814">
        <v>9</v>
      </c>
      <c r="AB1814">
        <v>9</v>
      </c>
      <c r="AC1814" t="s">
        <v>310</v>
      </c>
      <c r="AD1814">
        <v>9</v>
      </c>
      <c r="AE1814" t="s">
        <v>1390</v>
      </c>
      <c r="AF1814">
        <v>50000000</v>
      </c>
      <c r="AG1814" t="s">
        <v>310</v>
      </c>
      <c r="AH1814">
        <f>SUM((MID(Dyno_Data[[#This Row],[Team]],4,5))+(Dyno_Data[[#This Row],[Match]]/100))</f>
        <v>5881.36</v>
      </c>
      <c r="AI1814" s="76">
        <f>ROUND(SUM(IF(Dyno_Data[[#This Row],[AcqCenter]]&gt;0,Dyno_Data[[#This Row],[Time]]-SUMIFS(Dyno_Data[Time],Dyno_Data[Team],Dyno_Data[[#This Row],[Team]],Dyno_Data[RecordType],"StartMatch",Dyno_Data[Match],Dyno_Data[[#This Row],[Match]]),0)*86400),0)</f>
        <v>0</v>
      </c>
    </row>
    <row r="1815" spans="1:35" x14ac:dyDescent="0.3">
      <c r="A1815">
        <v>1814</v>
      </c>
      <c r="B1815" t="s">
        <v>362</v>
      </c>
      <c r="C1815">
        <v>36</v>
      </c>
      <c r="D1815" s="105">
        <v>45373.621449421298</v>
      </c>
      <c r="E1815" t="s">
        <v>312</v>
      </c>
      <c r="F1815" t="s">
        <v>1402</v>
      </c>
      <c r="G1815">
        <v>0</v>
      </c>
      <c r="H1815" t="s">
        <v>143</v>
      </c>
      <c r="I1815">
        <v>0</v>
      </c>
      <c r="J1815">
        <v>0</v>
      </c>
      <c r="K1815">
        <v>0</v>
      </c>
      <c r="L1815" t="s">
        <v>241</v>
      </c>
      <c r="M1815" t="s">
        <v>1398</v>
      </c>
      <c r="N1815">
        <v>0</v>
      </c>
      <c r="O1815" t="s">
        <v>1391</v>
      </c>
      <c r="P1815" t="s">
        <v>310</v>
      </c>
      <c r="Q1815" t="s">
        <v>310</v>
      </c>
      <c r="R1815" t="s">
        <v>310</v>
      </c>
      <c r="S1815">
        <v>9</v>
      </c>
      <c r="T1815" t="s">
        <v>310</v>
      </c>
      <c r="U1815">
        <v>9</v>
      </c>
      <c r="V1815">
        <v>9</v>
      </c>
      <c r="W1815">
        <v>0</v>
      </c>
      <c r="X1815">
        <v>0</v>
      </c>
      <c r="Y1815">
        <v>0</v>
      </c>
      <c r="Z1815">
        <v>0</v>
      </c>
      <c r="AA1815">
        <v>9</v>
      </c>
      <c r="AB1815">
        <v>9</v>
      </c>
      <c r="AC1815" t="s">
        <v>310</v>
      </c>
      <c r="AD1815">
        <v>9</v>
      </c>
      <c r="AE1815" t="s">
        <v>1412</v>
      </c>
      <c r="AF1815">
        <v>0</v>
      </c>
      <c r="AG1815" t="s">
        <v>310</v>
      </c>
      <c r="AH1815">
        <f>SUM((MID(Dyno_Data[[#This Row],[Team]],4,5))+(Dyno_Data[[#This Row],[Match]]/100))</f>
        <v>250.36</v>
      </c>
      <c r="AI1815" s="76">
        <f>ROUND(SUM(IF(Dyno_Data[[#This Row],[AcqCenter]]&gt;0,Dyno_Data[[#This Row],[Time]]-SUMIFS(Dyno_Data[Time],Dyno_Data[Team],Dyno_Data[[#This Row],[Team]],Dyno_Data[RecordType],"StartMatch",Dyno_Data[Match],Dyno_Data[[#This Row],[Match]]),0)*86400),0)</f>
        <v>0</v>
      </c>
    </row>
    <row r="1816" spans="1:35" x14ac:dyDescent="0.3">
      <c r="A1816">
        <v>1815</v>
      </c>
      <c r="B1816" t="s">
        <v>1275</v>
      </c>
      <c r="C1816">
        <v>36</v>
      </c>
      <c r="D1816" s="105">
        <v>45373.621486261574</v>
      </c>
      <c r="E1816" t="s">
        <v>312</v>
      </c>
      <c r="F1816" t="s">
        <v>1402</v>
      </c>
      <c r="G1816">
        <v>0</v>
      </c>
      <c r="H1816" t="s">
        <v>315</v>
      </c>
      <c r="I1816">
        <v>0</v>
      </c>
      <c r="J1816">
        <v>0</v>
      </c>
      <c r="K1816">
        <v>0</v>
      </c>
      <c r="L1816" t="s">
        <v>241</v>
      </c>
      <c r="M1816" t="s">
        <v>241</v>
      </c>
      <c r="N1816">
        <v>0</v>
      </c>
      <c r="O1816" t="s">
        <v>1395</v>
      </c>
      <c r="P1816" t="s">
        <v>310</v>
      </c>
      <c r="Q1816" t="s">
        <v>310</v>
      </c>
      <c r="R1816" t="s">
        <v>310</v>
      </c>
      <c r="S1816">
        <v>9</v>
      </c>
      <c r="T1816" t="s">
        <v>310</v>
      </c>
      <c r="U1816">
        <v>9</v>
      </c>
      <c r="V1816">
        <v>9</v>
      </c>
      <c r="W1816">
        <v>0</v>
      </c>
      <c r="X1816">
        <v>0</v>
      </c>
      <c r="Y1816">
        <v>0</v>
      </c>
      <c r="Z1816">
        <v>0</v>
      </c>
      <c r="AA1816">
        <v>9</v>
      </c>
      <c r="AB1816">
        <v>9</v>
      </c>
      <c r="AC1816" t="s">
        <v>310</v>
      </c>
      <c r="AD1816">
        <v>9</v>
      </c>
      <c r="AE1816" t="s">
        <v>1396</v>
      </c>
      <c r="AF1816">
        <v>60000000</v>
      </c>
      <c r="AG1816" t="s">
        <v>310</v>
      </c>
      <c r="AH1816">
        <f>SUM((MID(Dyno_Data[[#This Row],[Team]],4,5))+(Dyno_Data[[#This Row],[Match]]/100))</f>
        <v>1880.36</v>
      </c>
      <c r="AI1816" s="76">
        <f>ROUND(SUM(IF(Dyno_Data[[#This Row],[AcqCenter]]&gt;0,Dyno_Data[[#This Row],[Time]]-SUMIFS(Dyno_Data[Time],Dyno_Data[Team],Dyno_Data[[#This Row],[Team]],Dyno_Data[RecordType],"StartMatch",Dyno_Data[Match],Dyno_Data[[#This Row],[Match]]),0)*86400),0)</f>
        <v>0</v>
      </c>
    </row>
    <row r="1817" spans="1:35" x14ac:dyDescent="0.3">
      <c r="A1817">
        <v>1816</v>
      </c>
      <c r="B1817" t="s">
        <v>1298</v>
      </c>
      <c r="C1817">
        <v>36</v>
      </c>
      <c r="D1817" s="105">
        <v>45373.621509409721</v>
      </c>
      <c r="E1817" t="s">
        <v>312</v>
      </c>
      <c r="F1817" t="s">
        <v>1402</v>
      </c>
      <c r="G1817">
        <v>0</v>
      </c>
      <c r="H1817" t="s">
        <v>315</v>
      </c>
      <c r="I1817">
        <v>0</v>
      </c>
      <c r="J1817">
        <v>0</v>
      </c>
      <c r="K1817">
        <v>0</v>
      </c>
      <c r="L1817" t="s">
        <v>240</v>
      </c>
      <c r="M1817" t="s">
        <v>1398</v>
      </c>
      <c r="N1817">
        <v>0</v>
      </c>
      <c r="O1817" t="s">
        <v>319</v>
      </c>
      <c r="P1817" t="s">
        <v>310</v>
      </c>
      <c r="Q1817" t="s">
        <v>310</v>
      </c>
      <c r="R1817" t="s">
        <v>310</v>
      </c>
      <c r="S1817">
        <v>9</v>
      </c>
      <c r="T1817" t="s">
        <v>310</v>
      </c>
      <c r="U1817">
        <v>9</v>
      </c>
      <c r="V1817">
        <v>9</v>
      </c>
      <c r="W1817">
        <v>0</v>
      </c>
      <c r="X1817">
        <v>0</v>
      </c>
      <c r="Y1817">
        <v>0</v>
      </c>
      <c r="Z1817">
        <v>0</v>
      </c>
      <c r="AA1817">
        <v>9</v>
      </c>
      <c r="AB1817">
        <v>9</v>
      </c>
      <c r="AC1817" t="s">
        <v>310</v>
      </c>
      <c r="AD1817">
        <v>9</v>
      </c>
      <c r="AE1817" t="s">
        <v>1414</v>
      </c>
      <c r="AF1817">
        <v>60000000</v>
      </c>
      <c r="AG1817" t="s">
        <v>310</v>
      </c>
      <c r="AH1817">
        <f>SUM((MID(Dyno_Data[[#This Row],[Team]],4,5))+(Dyno_Data[[#This Row],[Match]]/100))</f>
        <v>9624.36</v>
      </c>
      <c r="AI1817" s="76">
        <f>ROUND(SUM(IF(Dyno_Data[[#This Row],[AcqCenter]]&gt;0,Dyno_Data[[#This Row],[Time]]-SUMIFS(Dyno_Data[Time],Dyno_Data[Team],Dyno_Data[[#This Row],[Team]],Dyno_Data[RecordType],"StartMatch",Dyno_Data[Match],Dyno_Data[[#This Row],[Match]]),0)*86400),0)</f>
        <v>0</v>
      </c>
    </row>
    <row r="1818" spans="1:35" x14ac:dyDescent="0.3">
      <c r="A1818">
        <v>1817</v>
      </c>
      <c r="B1818" t="s">
        <v>1290</v>
      </c>
      <c r="C1818">
        <v>36</v>
      </c>
      <c r="D1818" s="105">
        <v>45373.621580289349</v>
      </c>
      <c r="E1818" t="s">
        <v>312</v>
      </c>
      <c r="F1818" t="s">
        <v>1402</v>
      </c>
      <c r="G1818">
        <v>0</v>
      </c>
      <c r="H1818" t="s">
        <v>315</v>
      </c>
      <c r="I1818">
        <v>0</v>
      </c>
      <c r="J1818">
        <v>0</v>
      </c>
      <c r="K1818">
        <v>0</v>
      </c>
      <c r="L1818" t="s">
        <v>241</v>
      </c>
      <c r="M1818" t="s">
        <v>1398</v>
      </c>
      <c r="N1818">
        <v>1</v>
      </c>
      <c r="O1818" t="s">
        <v>1393</v>
      </c>
      <c r="P1818" t="s">
        <v>310</v>
      </c>
      <c r="Q1818" t="s">
        <v>310</v>
      </c>
      <c r="R1818" t="s">
        <v>310</v>
      </c>
      <c r="S1818">
        <v>9</v>
      </c>
      <c r="T1818" t="s">
        <v>310</v>
      </c>
      <c r="U1818">
        <v>9</v>
      </c>
      <c r="V1818">
        <v>9</v>
      </c>
      <c r="W1818">
        <v>0</v>
      </c>
      <c r="X1818">
        <v>0</v>
      </c>
      <c r="Y1818">
        <v>0</v>
      </c>
      <c r="Z1818">
        <v>0</v>
      </c>
      <c r="AA1818">
        <v>9</v>
      </c>
      <c r="AB1818">
        <v>9</v>
      </c>
      <c r="AC1818" t="s">
        <v>310</v>
      </c>
      <c r="AD1818">
        <v>9</v>
      </c>
      <c r="AE1818" t="s">
        <v>1390</v>
      </c>
      <c r="AF1818">
        <v>60000000</v>
      </c>
      <c r="AG1818" t="s">
        <v>310</v>
      </c>
      <c r="AH1818">
        <f>SUM((MID(Dyno_Data[[#This Row],[Team]],4,5))+(Dyno_Data[[#This Row],[Match]]/100))</f>
        <v>5881.36</v>
      </c>
      <c r="AI1818" s="76">
        <f>ROUND(SUM(IF(Dyno_Data[[#This Row],[AcqCenter]]&gt;0,Dyno_Data[[#This Row],[Time]]-SUMIFS(Dyno_Data[Time],Dyno_Data[Team],Dyno_Data[[#This Row],[Team]],Dyno_Data[RecordType],"StartMatch",Dyno_Data[Match],Dyno_Data[[#This Row],[Match]]),0)*86400),0)</f>
        <v>0</v>
      </c>
    </row>
    <row r="1819" spans="1:35" x14ac:dyDescent="0.3">
      <c r="A1819">
        <v>1818</v>
      </c>
      <c r="B1819" t="s">
        <v>1298</v>
      </c>
      <c r="C1819">
        <v>36</v>
      </c>
      <c r="D1819" s="105">
        <v>45373.621603437503</v>
      </c>
      <c r="E1819" t="s">
        <v>312</v>
      </c>
      <c r="F1819" t="s">
        <v>1402</v>
      </c>
      <c r="G1819">
        <v>0</v>
      </c>
      <c r="H1819" t="s">
        <v>315</v>
      </c>
      <c r="I1819">
        <v>0</v>
      </c>
      <c r="J1819">
        <v>0</v>
      </c>
      <c r="K1819">
        <v>0</v>
      </c>
      <c r="L1819" t="s">
        <v>240</v>
      </c>
      <c r="M1819" t="s">
        <v>1398</v>
      </c>
      <c r="N1819">
        <v>0</v>
      </c>
      <c r="O1819" t="s">
        <v>319</v>
      </c>
      <c r="P1819" t="s">
        <v>310</v>
      </c>
      <c r="Q1819" t="s">
        <v>310</v>
      </c>
      <c r="R1819" t="s">
        <v>310</v>
      </c>
      <c r="S1819">
        <v>9</v>
      </c>
      <c r="T1819" t="s">
        <v>310</v>
      </c>
      <c r="U1819">
        <v>9</v>
      </c>
      <c r="V1819">
        <v>9</v>
      </c>
      <c r="W1819">
        <v>0</v>
      </c>
      <c r="X1819">
        <v>0</v>
      </c>
      <c r="Y1819">
        <v>0</v>
      </c>
      <c r="Z1819">
        <v>0</v>
      </c>
      <c r="AA1819">
        <v>9</v>
      </c>
      <c r="AB1819">
        <v>9</v>
      </c>
      <c r="AC1819" t="s">
        <v>310</v>
      </c>
      <c r="AD1819">
        <v>9</v>
      </c>
      <c r="AE1819" t="s">
        <v>1414</v>
      </c>
      <c r="AF1819">
        <v>70000000</v>
      </c>
      <c r="AG1819" t="s">
        <v>310</v>
      </c>
      <c r="AH1819">
        <f>SUM((MID(Dyno_Data[[#This Row],[Team]],4,5))+(Dyno_Data[[#This Row],[Match]]/100))</f>
        <v>9624.36</v>
      </c>
      <c r="AI1819" s="76">
        <f>ROUND(SUM(IF(Dyno_Data[[#This Row],[AcqCenter]]&gt;0,Dyno_Data[[#This Row],[Time]]-SUMIFS(Dyno_Data[Time],Dyno_Data[Team],Dyno_Data[[#This Row],[Team]],Dyno_Data[RecordType],"StartMatch",Dyno_Data[Match],Dyno_Data[[#This Row],[Match]]),0)*86400),0)</f>
        <v>0</v>
      </c>
    </row>
    <row r="1820" spans="1:35" x14ac:dyDescent="0.3">
      <c r="A1820">
        <v>1819</v>
      </c>
      <c r="B1820" t="s">
        <v>361</v>
      </c>
      <c r="C1820">
        <v>36</v>
      </c>
      <c r="D1820" s="105">
        <v>45373.621635995369</v>
      </c>
      <c r="E1820" t="s">
        <v>312</v>
      </c>
      <c r="F1820" t="s">
        <v>1402</v>
      </c>
      <c r="G1820">
        <v>0</v>
      </c>
      <c r="H1820" t="s">
        <v>315</v>
      </c>
      <c r="I1820">
        <v>0</v>
      </c>
      <c r="J1820">
        <v>0</v>
      </c>
      <c r="K1820">
        <v>0</v>
      </c>
      <c r="L1820" t="s">
        <v>241</v>
      </c>
      <c r="M1820" t="s">
        <v>1398</v>
      </c>
      <c r="N1820">
        <v>1</v>
      </c>
      <c r="O1820" t="s">
        <v>1389</v>
      </c>
      <c r="P1820" t="s">
        <v>310</v>
      </c>
      <c r="Q1820" t="s">
        <v>310</v>
      </c>
      <c r="R1820" t="s">
        <v>310</v>
      </c>
      <c r="S1820">
        <v>9</v>
      </c>
      <c r="T1820" t="s">
        <v>310</v>
      </c>
      <c r="U1820">
        <v>9</v>
      </c>
      <c r="V1820">
        <v>9</v>
      </c>
      <c r="W1820">
        <v>0</v>
      </c>
      <c r="X1820">
        <v>0</v>
      </c>
      <c r="Y1820">
        <v>0</v>
      </c>
      <c r="Z1820">
        <v>0</v>
      </c>
      <c r="AA1820">
        <v>9</v>
      </c>
      <c r="AB1820">
        <v>9</v>
      </c>
      <c r="AC1820" t="s">
        <v>310</v>
      </c>
      <c r="AD1820">
        <v>9</v>
      </c>
      <c r="AE1820" t="s">
        <v>1388</v>
      </c>
      <c r="AF1820">
        <v>120000000</v>
      </c>
      <c r="AG1820" t="s">
        <v>310</v>
      </c>
      <c r="AH1820">
        <f>SUM((MID(Dyno_Data[[#This Row],[Team]],4,5))+(Dyno_Data[[#This Row],[Match]]/100))</f>
        <v>20.36</v>
      </c>
      <c r="AI1820" s="76">
        <f>ROUND(SUM(IF(Dyno_Data[[#This Row],[AcqCenter]]&gt;0,Dyno_Data[[#This Row],[Time]]-SUMIFS(Dyno_Data[Time],Dyno_Data[Team],Dyno_Data[[#This Row],[Team]],Dyno_Data[RecordType],"StartMatch",Dyno_Data[Match],Dyno_Data[[#This Row],[Match]]),0)*86400),0)</f>
        <v>0</v>
      </c>
    </row>
    <row r="1821" spans="1:35" x14ac:dyDescent="0.3">
      <c r="A1821">
        <v>1820</v>
      </c>
      <c r="B1821" t="s">
        <v>361</v>
      </c>
      <c r="C1821">
        <v>36</v>
      </c>
      <c r="D1821" s="105">
        <v>45373.621708599538</v>
      </c>
      <c r="E1821" t="s">
        <v>312</v>
      </c>
      <c r="F1821" t="s">
        <v>1402</v>
      </c>
      <c r="G1821">
        <v>0</v>
      </c>
      <c r="H1821" t="s">
        <v>315</v>
      </c>
      <c r="I1821">
        <v>0</v>
      </c>
      <c r="J1821">
        <v>0</v>
      </c>
      <c r="K1821">
        <v>0</v>
      </c>
      <c r="L1821" t="s">
        <v>240</v>
      </c>
      <c r="M1821" t="s">
        <v>1398</v>
      </c>
      <c r="N1821">
        <v>0</v>
      </c>
      <c r="O1821" t="s">
        <v>1389</v>
      </c>
      <c r="P1821" t="s">
        <v>310</v>
      </c>
      <c r="Q1821" t="s">
        <v>310</v>
      </c>
      <c r="R1821" t="s">
        <v>310</v>
      </c>
      <c r="S1821">
        <v>9</v>
      </c>
      <c r="T1821" t="s">
        <v>310</v>
      </c>
      <c r="U1821">
        <v>9</v>
      </c>
      <c r="V1821">
        <v>9</v>
      </c>
      <c r="W1821">
        <v>0</v>
      </c>
      <c r="X1821">
        <v>0</v>
      </c>
      <c r="Y1821">
        <v>0</v>
      </c>
      <c r="Z1821">
        <v>0</v>
      </c>
      <c r="AA1821">
        <v>9</v>
      </c>
      <c r="AB1821">
        <v>9</v>
      </c>
      <c r="AC1821" t="s">
        <v>310</v>
      </c>
      <c r="AD1821">
        <v>9</v>
      </c>
      <c r="AE1821" t="s">
        <v>1388</v>
      </c>
      <c r="AF1821">
        <v>130000000</v>
      </c>
      <c r="AG1821" t="s">
        <v>310</v>
      </c>
      <c r="AH1821">
        <f>SUM((MID(Dyno_Data[[#This Row],[Team]],4,5))+(Dyno_Data[[#This Row],[Match]]/100))</f>
        <v>20.36</v>
      </c>
      <c r="AI1821" s="76">
        <f>ROUND(SUM(IF(Dyno_Data[[#This Row],[AcqCenter]]&gt;0,Dyno_Data[[#This Row],[Time]]-SUMIFS(Dyno_Data[Time],Dyno_Data[Team],Dyno_Data[[#This Row],[Team]],Dyno_Data[RecordType],"StartMatch",Dyno_Data[Match],Dyno_Data[[#This Row],[Match]]),0)*86400),0)</f>
        <v>0</v>
      </c>
    </row>
    <row r="1822" spans="1:35" x14ac:dyDescent="0.3">
      <c r="A1822">
        <v>1821</v>
      </c>
      <c r="B1822" t="s">
        <v>1275</v>
      </c>
      <c r="C1822">
        <v>36</v>
      </c>
      <c r="D1822" s="105">
        <v>45373.6217258912</v>
      </c>
      <c r="E1822" t="s">
        <v>312</v>
      </c>
      <c r="F1822" t="s">
        <v>1402</v>
      </c>
      <c r="G1822">
        <v>0</v>
      </c>
      <c r="H1822" t="s">
        <v>315</v>
      </c>
      <c r="I1822">
        <v>0</v>
      </c>
      <c r="J1822">
        <v>0</v>
      </c>
      <c r="K1822">
        <v>0</v>
      </c>
      <c r="L1822" t="s">
        <v>241</v>
      </c>
      <c r="M1822" t="s">
        <v>241</v>
      </c>
      <c r="N1822">
        <v>0</v>
      </c>
      <c r="O1822" t="s">
        <v>1395</v>
      </c>
      <c r="P1822" t="s">
        <v>310</v>
      </c>
      <c r="Q1822" t="s">
        <v>310</v>
      </c>
      <c r="R1822" t="s">
        <v>310</v>
      </c>
      <c r="S1822">
        <v>9</v>
      </c>
      <c r="T1822" t="s">
        <v>310</v>
      </c>
      <c r="U1822">
        <v>9</v>
      </c>
      <c r="V1822">
        <v>9</v>
      </c>
      <c r="W1822">
        <v>0</v>
      </c>
      <c r="X1822">
        <v>0</v>
      </c>
      <c r="Y1822">
        <v>0</v>
      </c>
      <c r="Z1822">
        <v>0</v>
      </c>
      <c r="AA1822">
        <v>9</v>
      </c>
      <c r="AB1822">
        <v>9</v>
      </c>
      <c r="AC1822" t="s">
        <v>310</v>
      </c>
      <c r="AD1822">
        <v>9</v>
      </c>
      <c r="AE1822" t="s">
        <v>1396</v>
      </c>
      <c r="AF1822">
        <v>70000000</v>
      </c>
      <c r="AG1822" t="s">
        <v>310</v>
      </c>
      <c r="AH1822">
        <f>SUM((MID(Dyno_Data[[#This Row],[Team]],4,5))+(Dyno_Data[[#This Row],[Match]]/100))</f>
        <v>1880.36</v>
      </c>
      <c r="AI1822" s="76">
        <f>ROUND(SUM(IF(Dyno_Data[[#This Row],[AcqCenter]]&gt;0,Dyno_Data[[#This Row],[Time]]-SUMIFS(Dyno_Data[Time],Dyno_Data[Team],Dyno_Data[[#This Row],[Team]],Dyno_Data[RecordType],"StartMatch",Dyno_Data[Match],Dyno_Data[[#This Row],[Match]]),0)*86400),0)</f>
        <v>0</v>
      </c>
    </row>
    <row r="1823" spans="1:35" x14ac:dyDescent="0.3">
      <c r="A1823">
        <v>1822</v>
      </c>
      <c r="B1823" t="s">
        <v>361</v>
      </c>
      <c r="C1823">
        <v>36</v>
      </c>
      <c r="D1823" s="105">
        <v>45373.621781678237</v>
      </c>
      <c r="E1823" t="s">
        <v>312</v>
      </c>
      <c r="F1823" t="s">
        <v>1402</v>
      </c>
      <c r="G1823">
        <v>0</v>
      </c>
      <c r="H1823" t="s">
        <v>315</v>
      </c>
      <c r="I1823">
        <v>0</v>
      </c>
      <c r="J1823">
        <v>0</v>
      </c>
      <c r="K1823">
        <v>0</v>
      </c>
      <c r="L1823" t="s">
        <v>240</v>
      </c>
      <c r="M1823" t="s">
        <v>1398</v>
      </c>
      <c r="N1823">
        <v>0</v>
      </c>
      <c r="O1823" t="s">
        <v>1389</v>
      </c>
      <c r="P1823" t="s">
        <v>310</v>
      </c>
      <c r="Q1823" t="s">
        <v>310</v>
      </c>
      <c r="R1823" t="s">
        <v>310</v>
      </c>
      <c r="S1823">
        <v>9</v>
      </c>
      <c r="T1823" t="s">
        <v>310</v>
      </c>
      <c r="U1823">
        <v>9</v>
      </c>
      <c r="V1823">
        <v>9</v>
      </c>
      <c r="W1823">
        <v>0</v>
      </c>
      <c r="X1823">
        <v>0</v>
      </c>
      <c r="Y1823">
        <v>0</v>
      </c>
      <c r="Z1823">
        <v>0</v>
      </c>
      <c r="AA1823">
        <v>9</v>
      </c>
      <c r="AB1823">
        <v>9</v>
      </c>
      <c r="AC1823" t="s">
        <v>310</v>
      </c>
      <c r="AD1823">
        <v>9</v>
      </c>
      <c r="AE1823" t="s">
        <v>1388</v>
      </c>
      <c r="AF1823">
        <v>140000000</v>
      </c>
      <c r="AG1823" t="s">
        <v>310</v>
      </c>
      <c r="AH1823">
        <f>SUM((MID(Dyno_Data[[#This Row],[Team]],4,5))+(Dyno_Data[[#This Row],[Match]]/100))</f>
        <v>20.36</v>
      </c>
      <c r="AI1823" s="76">
        <f>ROUND(SUM(IF(Dyno_Data[[#This Row],[AcqCenter]]&gt;0,Dyno_Data[[#This Row],[Time]]-SUMIFS(Dyno_Data[Time],Dyno_Data[Team],Dyno_Data[[#This Row],[Team]],Dyno_Data[RecordType],"StartMatch",Dyno_Data[Match],Dyno_Data[[#This Row],[Match]]),0)*86400),0)</f>
        <v>0</v>
      </c>
    </row>
    <row r="1824" spans="1:35" x14ac:dyDescent="0.3">
      <c r="A1824">
        <v>1823</v>
      </c>
      <c r="B1824" t="s">
        <v>1290</v>
      </c>
      <c r="C1824">
        <v>36</v>
      </c>
      <c r="D1824" s="105">
        <v>45373.62184540509</v>
      </c>
      <c r="E1824" t="s">
        <v>312</v>
      </c>
      <c r="F1824" t="s">
        <v>1402</v>
      </c>
      <c r="G1824">
        <v>0</v>
      </c>
      <c r="H1824" t="s">
        <v>315</v>
      </c>
      <c r="I1824">
        <v>0</v>
      </c>
      <c r="J1824">
        <v>0</v>
      </c>
      <c r="K1824">
        <v>0</v>
      </c>
      <c r="L1824" t="s">
        <v>241</v>
      </c>
      <c r="M1824" t="s">
        <v>1398</v>
      </c>
      <c r="N1824">
        <v>0</v>
      </c>
      <c r="O1824" t="s">
        <v>1393</v>
      </c>
      <c r="P1824" t="s">
        <v>310</v>
      </c>
      <c r="Q1824" t="s">
        <v>310</v>
      </c>
      <c r="R1824" t="s">
        <v>310</v>
      </c>
      <c r="S1824">
        <v>9</v>
      </c>
      <c r="T1824" t="s">
        <v>310</v>
      </c>
      <c r="U1824">
        <v>9</v>
      </c>
      <c r="V1824">
        <v>9</v>
      </c>
      <c r="W1824">
        <v>0</v>
      </c>
      <c r="X1824">
        <v>0</v>
      </c>
      <c r="Y1824">
        <v>0</v>
      </c>
      <c r="Z1824">
        <v>0</v>
      </c>
      <c r="AA1824">
        <v>9</v>
      </c>
      <c r="AB1824">
        <v>9</v>
      </c>
      <c r="AC1824" t="s">
        <v>310</v>
      </c>
      <c r="AD1824">
        <v>9</v>
      </c>
      <c r="AE1824" t="s">
        <v>1390</v>
      </c>
      <c r="AF1824">
        <v>70000000</v>
      </c>
      <c r="AG1824" t="s">
        <v>310</v>
      </c>
      <c r="AH1824">
        <f>SUM((MID(Dyno_Data[[#This Row],[Team]],4,5))+(Dyno_Data[[#This Row],[Match]]/100))</f>
        <v>5881.36</v>
      </c>
      <c r="AI1824" s="76">
        <f>ROUND(SUM(IF(Dyno_Data[[#This Row],[AcqCenter]]&gt;0,Dyno_Data[[#This Row],[Time]]-SUMIFS(Dyno_Data[Time],Dyno_Data[Team],Dyno_Data[[#This Row],[Team]],Dyno_Data[RecordType],"StartMatch",Dyno_Data[Match],Dyno_Data[[#This Row],[Match]]),0)*86400),0)</f>
        <v>0</v>
      </c>
    </row>
    <row r="1825" spans="1:35" x14ac:dyDescent="0.3">
      <c r="A1825">
        <v>1824</v>
      </c>
      <c r="B1825" t="s">
        <v>1275</v>
      </c>
      <c r="C1825">
        <v>36</v>
      </c>
      <c r="D1825" s="105">
        <v>45373.621994560184</v>
      </c>
      <c r="E1825" t="s">
        <v>312</v>
      </c>
      <c r="F1825" t="s">
        <v>1402</v>
      </c>
      <c r="G1825">
        <v>0</v>
      </c>
      <c r="H1825" t="s">
        <v>315</v>
      </c>
      <c r="I1825">
        <v>0</v>
      </c>
      <c r="J1825">
        <v>0</v>
      </c>
      <c r="K1825">
        <v>0</v>
      </c>
      <c r="L1825" t="s">
        <v>241</v>
      </c>
      <c r="M1825" t="s">
        <v>1398</v>
      </c>
      <c r="N1825">
        <v>0</v>
      </c>
      <c r="O1825" t="s">
        <v>1395</v>
      </c>
      <c r="P1825" t="s">
        <v>310</v>
      </c>
      <c r="Q1825" t="s">
        <v>310</v>
      </c>
      <c r="R1825" t="s">
        <v>310</v>
      </c>
      <c r="S1825">
        <v>9</v>
      </c>
      <c r="T1825" t="s">
        <v>310</v>
      </c>
      <c r="U1825">
        <v>9</v>
      </c>
      <c r="V1825">
        <v>9</v>
      </c>
      <c r="W1825">
        <v>0</v>
      </c>
      <c r="X1825">
        <v>0</v>
      </c>
      <c r="Y1825">
        <v>0</v>
      </c>
      <c r="Z1825">
        <v>0</v>
      </c>
      <c r="AA1825">
        <v>9</v>
      </c>
      <c r="AB1825">
        <v>9</v>
      </c>
      <c r="AC1825" t="s">
        <v>310</v>
      </c>
      <c r="AD1825">
        <v>9</v>
      </c>
      <c r="AE1825" t="s">
        <v>1396</v>
      </c>
      <c r="AF1825">
        <v>80000000</v>
      </c>
      <c r="AG1825" t="s">
        <v>310</v>
      </c>
      <c r="AH1825">
        <f>SUM((MID(Dyno_Data[[#This Row],[Team]],4,5))+(Dyno_Data[[#This Row],[Match]]/100))</f>
        <v>1880.36</v>
      </c>
      <c r="AI1825" s="76">
        <f>ROUND(SUM(IF(Dyno_Data[[#This Row],[AcqCenter]]&gt;0,Dyno_Data[[#This Row],[Time]]-SUMIFS(Dyno_Data[Time],Dyno_Data[Team],Dyno_Data[[#This Row],[Team]],Dyno_Data[RecordType],"StartMatch",Dyno_Data[Match],Dyno_Data[[#This Row],[Match]]),0)*86400),0)</f>
        <v>0</v>
      </c>
    </row>
    <row r="1826" spans="1:35" x14ac:dyDescent="0.3">
      <c r="A1826">
        <v>1825</v>
      </c>
      <c r="B1826" t="s">
        <v>1311</v>
      </c>
      <c r="C1826">
        <v>36</v>
      </c>
      <c r="D1826" s="105">
        <v>45373.62357546296</v>
      </c>
      <c r="E1826" t="s">
        <v>316</v>
      </c>
      <c r="F1826" t="s">
        <v>317</v>
      </c>
      <c r="G1826">
        <v>0</v>
      </c>
      <c r="H1826" t="s">
        <v>310</v>
      </c>
      <c r="I1826">
        <v>0</v>
      </c>
      <c r="J1826">
        <v>0</v>
      </c>
      <c r="K1826">
        <v>0</v>
      </c>
      <c r="L1826" t="s">
        <v>310</v>
      </c>
      <c r="M1826" t="s">
        <v>310</v>
      </c>
      <c r="N1826">
        <v>0</v>
      </c>
      <c r="O1826" t="s">
        <v>311</v>
      </c>
      <c r="P1826" t="s">
        <v>101</v>
      </c>
      <c r="Q1826" t="s">
        <v>1400</v>
      </c>
      <c r="R1826" t="s">
        <v>1405</v>
      </c>
      <c r="S1826">
        <v>1</v>
      </c>
      <c r="T1826" t="s">
        <v>1407</v>
      </c>
      <c r="U1826">
        <v>0</v>
      </c>
      <c r="V1826">
        <v>0</v>
      </c>
      <c r="W1826">
        <v>3.6213929</v>
      </c>
      <c r="X1826">
        <v>42.156277500000002</v>
      </c>
      <c r="Y1826">
        <v>44.684163499999997</v>
      </c>
      <c r="Z1826">
        <v>24.228342399999999</v>
      </c>
      <c r="AA1826">
        <v>0</v>
      </c>
      <c r="AB1826">
        <v>0</v>
      </c>
      <c r="AC1826" t="s">
        <v>174</v>
      </c>
      <c r="AD1826">
        <v>9</v>
      </c>
      <c r="AE1826" t="s">
        <v>1413</v>
      </c>
      <c r="AF1826">
        <v>20000000</v>
      </c>
      <c r="AG1826" t="s">
        <v>310</v>
      </c>
      <c r="AH1826">
        <f>SUM((MID(Dyno_Data[[#This Row],[Team]],4,5))+(Dyno_Data[[#This Row],[Match]]/100))</f>
        <v>2234.36</v>
      </c>
      <c r="AI1826" s="76">
        <f>ROUND(SUM(IF(Dyno_Data[[#This Row],[AcqCenter]]&gt;0,Dyno_Data[[#This Row],[Time]]-SUMIFS(Dyno_Data[Time],Dyno_Data[Team],Dyno_Data[[#This Row],[Team]],Dyno_Data[RecordType],"StartMatch",Dyno_Data[Match],Dyno_Data[[#This Row],[Match]]),0)*86400),0)</f>
        <v>0</v>
      </c>
    </row>
    <row r="1827" spans="1:35" x14ac:dyDescent="0.3">
      <c r="A1827">
        <v>1826</v>
      </c>
      <c r="B1827" t="s">
        <v>362</v>
      </c>
      <c r="C1827">
        <v>36</v>
      </c>
      <c r="D1827" s="105">
        <v>45373.623575578706</v>
      </c>
      <c r="E1827" t="s">
        <v>316</v>
      </c>
      <c r="F1827" t="s">
        <v>317</v>
      </c>
      <c r="G1827">
        <v>1</v>
      </c>
      <c r="H1827" t="s">
        <v>310</v>
      </c>
      <c r="I1827">
        <v>0</v>
      </c>
      <c r="J1827">
        <v>0</v>
      </c>
      <c r="K1827">
        <v>0</v>
      </c>
      <c r="L1827" t="s">
        <v>310</v>
      </c>
      <c r="M1827" t="s">
        <v>310</v>
      </c>
      <c r="N1827">
        <v>0</v>
      </c>
      <c r="O1827" t="s">
        <v>1391</v>
      </c>
      <c r="P1827" t="s">
        <v>320</v>
      </c>
      <c r="Q1827" t="s">
        <v>1399</v>
      </c>
      <c r="R1827" t="s">
        <v>1404</v>
      </c>
      <c r="S1827">
        <v>0</v>
      </c>
      <c r="T1827" t="s">
        <v>105</v>
      </c>
      <c r="U1827">
        <v>9</v>
      </c>
      <c r="V1827">
        <v>9</v>
      </c>
      <c r="W1827">
        <v>0</v>
      </c>
      <c r="X1827">
        <v>49.620507599999996</v>
      </c>
      <c r="Y1827">
        <v>58.237331099999999</v>
      </c>
      <c r="Z1827">
        <v>26.341645</v>
      </c>
      <c r="AA1827">
        <v>3</v>
      </c>
      <c r="AB1827">
        <v>0</v>
      </c>
      <c r="AC1827" t="s">
        <v>170</v>
      </c>
      <c r="AD1827">
        <v>1</v>
      </c>
      <c r="AE1827" t="s">
        <v>1412</v>
      </c>
      <c r="AF1827">
        <v>0</v>
      </c>
      <c r="AG1827" t="s">
        <v>310</v>
      </c>
      <c r="AH1827">
        <f>SUM((MID(Dyno_Data[[#This Row],[Team]],4,5))+(Dyno_Data[[#This Row],[Match]]/100))</f>
        <v>250.36</v>
      </c>
      <c r="AI1827" s="76">
        <f>ROUND(SUM(IF(Dyno_Data[[#This Row],[AcqCenter]]&gt;0,Dyno_Data[[#This Row],[Time]]-SUMIFS(Dyno_Data[Time],Dyno_Data[Team],Dyno_Data[[#This Row],[Team]],Dyno_Data[RecordType],"StartMatch",Dyno_Data[Match],Dyno_Data[[#This Row],[Match]]),0)*86400),0)</f>
        <v>0</v>
      </c>
    </row>
    <row r="1828" spans="1:35" x14ac:dyDescent="0.3">
      <c r="A1828">
        <v>1827</v>
      </c>
      <c r="B1828" t="s">
        <v>1298</v>
      </c>
      <c r="C1828">
        <v>36</v>
      </c>
      <c r="D1828" s="105">
        <v>45373.623575659723</v>
      </c>
      <c r="E1828" t="s">
        <v>316</v>
      </c>
      <c r="F1828" t="s">
        <v>317</v>
      </c>
      <c r="G1828">
        <v>0</v>
      </c>
      <c r="H1828" t="s">
        <v>310</v>
      </c>
      <c r="I1828">
        <v>0</v>
      </c>
      <c r="J1828">
        <v>0</v>
      </c>
      <c r="K1828">
        <v>0</v>
      </c>
      <c r="L1828" t="s">
        <v>310</v>
      </c>
      <c r="M1828" t="s">
        <v>310</v>
      </c>
      <c r="N1828">
        <v>0</v>
      </c>
      <c r="O1828" t="s">
        <v>319</v>
      </c>
      <c r="P1828" t="s">
        <v>240</v>
      </c>
      <c r="Q1828" t="s">
        <v>1400</v>
      </c>
      <c r="R1828" t="s">
        <v>1405</v>
      </c>
      <c r="S1828">
        <v>1</v>
      </c>
      <c r="T1828" t="s">
        <v>1406</v>
      </c>
      <c r="U1828">
        <v>0</v>
      </c>
      <c r="V1828">
        <v>1</v>
      </c>
      <c r="W1828">
        <v>2.2386645999999999</v>
      </c>
      <c r="X1828">
        <v>44.323532799999995</v>
      </c>
      <c r="Y1828">
        <v>17.5193753</v>
      </c>
      <c r="Z1828">
        <v>59.971850499999995</v>
      </c>
      <c r="AA1828">
        <v>0</v>
      </c>
      <c r="AB1828">
        <v>1</v>
      </c>
      <c r="AC1828" t="s">
        <v>174</v>
      </c>
      <c r="AD1828">
        <v>9</v>
      </c>
      <c r="AE1828" t="s">
        <v>1414</v>
      </c>
      <c r="AF1828">
        <v>70000000</v>
      </c>
      <c r="AG1828" t="s">
        <v>310</v>
      </c>
      <c r="AH1828">
        <f>SUM((MID(Dyno_Data[[#This Row],[Team]],4,5))+(Dyno_Data[[#This Row],[Match]]/100))</f>
        <v>9624.36</v>
      </c>
      <c r="AI1828" s="76">
        <f>ROUND(SUM(IF(Dyno_Data[[#This Row],[AcqCenter]]&gt;0,Dyno_Data[[#This Row],[Time]]-SUMIFS(Dyno_Data[Time],Dyno_Data[Team],Dyno_Data[[#This Row],[Team]],Dyno_Data[RecordType],"StartMatch",Dyno_Data[Match],Dyno_Data[[#This Row],[Match]]),0)*86400),0)</f>
        <v>0</v>
      </c>
    </row>
    <row r="1829" spans="1:35" x14ac:dyDescent="0.3">
      <c r="A1829">
        <v>1828</v>
      </c>
      <c r="B1829" t="s">
        <v>1290</v>
      </c>
      <c r="C1829">
        <v>36</v>
      </c>
      <c r="D1829" s="105">
        <v>45373.623575775462</v>
      </c>
      <c r="E1829" t="s">
        <v>316</v>
      </c>
      <c r="F1829" t="s">
        <v>317</v>
      </c>
      <c r="G1829">
        <v>0</v>
      </c>
      <c r="H1829" t="s">
        <v>310</v>
      </c>
      <c r="I1829">
        <v>0</v>
      </c>
      <c r="J1829">
        <v>0</v>
      </c>
      <c r="K1829">
        <v>0</v>
      </c>
      <c r="L1829" t="s">
        <v>310</v>
      </c>
      <c r="M1829" t="s">
        <v>310</v>
      </c>
      <c r="N1829">
        <v>0</v>
      </c>
      <c r="O1829" t="s">
        <v>1393</v>
      </c>
      <c r="P1829" t="s">
        <v>101</v>
      </c>
      <c r="Q1829" t="s">
        <v>1400</v>
      </c>
      <c r="R1829" t="s">
        <v>321</v>
      </c>
      <c r="S1829">
        <v>0</v>
      </c>
      <c r="T1829" t="s">
        <v>105</v>
      </c>
      <c r="U1829">
        <v>9</v>
      </c>
      <c r="V1829">
        <v>9</v>
      </c>
      <c r="W1829">
        <v>0</v>
      </c>
      <c r="X1829">
        <v>20.3222402</v>
      </c>
      <c r="Y1829">
        <v>4.2087393999999998</v>
      </c>
      <c r="Z1829">
        <v>110.85109949999999</v>
      </c>
      <c r="AA1829">
        <v>0</v>
      </c>
      <c r="AB1829">
        <v>0</v>
      </c>
      <c r="AC1829" t="s">
        <v>173</v>
      </c>
      <c r="AD1829">
        <v>9</v>
      </c>
      <c r="AE1829" t="s">
        <v>1390</v>
      </c>
      <c r="AF1829">
        <v>70000000</v>
      </c>
      <c r="AG1829" t="s">
        <v>310</v>
      </c>
      <c r="AH1829">
        <f>SUM((MID(Dyno_Data[[#This Row],[Team]],4,5))+(Dyno_Data[[#This Row],[Match]]/100))</f>
        <v>5881.36</v>
      </c>
      <c r="AI1829" s="76">
        <f>ROUND(SUM(IF(Dyno_Data[[#This Row],[AcqCenter]]&gt;0,Dyno_Data[[#This Row],[Time]]-SUMIFS(Dyno_Data[Time],Dyno_Data[Team],Dyno_Data[[#This Row],[Team]],Dyno_Data[RecordType],"StartMatch",Dyno_Data[Match],Dyno_Data[[#This Row],[Match]]),0)*86400),0)</f>
        <v>0</v>
      </c>
    </row>
    <row r="1830" spans="1:35" x14ac:dyDescent="0.3">
      <c r="A1830">
        <v>1829</v>
      </c>
      <c r="B1830" t="s">
        <v>361</v>
      </c>
      <c r="C1830">
        <v>36</v>
      </c>
      <c r="D1830" s="105">
        <v>45373.623575891201</v>
      </c>
      <c r="E1830" t="s">
        <v>316</v>
      </c>
      <c r="F1830" t="s">
        <v>317</v>
      </c>
      <c r="G1830">
        <v>1</v>
      </c>
      <c r="H1830" t="s">
        <v>310</v>
      </c>
      <c r="I1830">
        <v>0</v>
      </c>
      <c r="J1830">
        <v>0</v>
      </c>
      <c r="K1830">
        <v>0</v>
      </c>
      <c r="L1830" t="s">
        <v>310</v>
      </c>
      <c r="M1830" t="s">
        <v>310</v>
      </c>
      <c r="N1830">
        <v>0</v>
      </c>
      <c r="O1830" t="s">
        <v>1389</v>
      </c>
      <c r="P1830" t="s">
        <v>240</v>
      </c>
      <c r="Q1830" t="s">
        <v>1400</v>
      </c>
      <c r="R1830" t="s">
        <v>321</v>
      </c>
      <c r="S1830">
        <v>0</v>
      </c>
      <c r="T1830" t="s">
        <v>105</v>
      </c>
      <c r="U1830">
        <v>9</v>
      </c>
      <c r="V1830">
        <v>9</v>
      </c>
      <c r="W1830">
        <v>0</v>
      </c>
      <c r="X1830">
        <v>4.1325512999999994</v>
      </c>
      <c r="Y1830">
        <v>23.084456400000001</v>
      </c>
      <c r="Z1830">
        <v>109.0487284</v>
      </c>
      <c r="AA1830">
        <v>0</v>
      </c>
      <c r="AB1830">
        <v>1</v>
      </c>
      <c r="AC1830" t="s">
        <v>174</v>
      </c>
      <c r="AD1830">
        <v>9</v>
      </c>
      <c r="AE1830" t="s">
        <v>1388</v>
      </c>
      <c r="AF1830">
        <v>140000000</v>
      </c>
      <c r="AG1830" t="s">
        <v>310</v>
      </c>
      <c r="AH1830">
        <f>SUM((MID(Dyno_Data[[#This Row],[Team]],4,5))+(Dyno_Data[[#This Row],[Match]]/100))</f>
        <v>20.36</v>
      </c>
      <c r="AI1830" s="76">
        <f>ROUND(SUM(IF(Dyno_Data[[#This Row],[AcqCenter]]&gt;0,Dyno_Data[[#This Row],[Time]]-SUMIFS(Dyno_Data[Time],Dyno_Data[Team],Dyno_Data[[#This Row],[Team]],Dyno_Data[RecordType],"StartMatch",Dyno_Data[Match],Dyno_Data[[#This Row],[Match]]),0)*86400),0)</f>
        <v>0</v>
      </c>
    </row>
    <row r="1831" spans="1:35" x14ac:dyDescent="0.3">
      <c r="A1831">
        <v>1830</v>
      </c>
      <c r="B1831" t="s">
        <v>1275</v>
      </c>
      <c r="C1831">
        <v>36</v>
      </c>
      <c r="D1831" s="105">
        <v>45373.623576006947</v>
      </c>
      <c r="E1831" t="s">
        <v>316</v>
      </c>
      <c r="F1831" t="s">
        <v>317</v>
      </c>
      <c r="G1831">
        <v>1</v>
      </c>
      <c r="H1831" t="s">
        <v>310</v>
      </c>
      <c r="I1831">
        <v>0</v>
      </c>
      <c r="J1831">
        <v>0</v>
      </c>
      <c r="K1831">
        <v>0</v>
      </c>
      <c r="L1831" t="s">
        <v>310</v>
      </c>
      <c r="M1831" t="s">
        <v>310</v>
      </c>
      <c r="N1831">
        <v>0</v>
      </c>
      <c r="O1831" t="s">
        <v>1395</v>
      </c>
      <c r="P1831" t="s">
        <v>1401</v>
      </c>
      <c r="Q1831" t="s">
        <v>1399</v>
      </c>
      <c r="R1831" t="s">
        <v>321</v>
      </c>
      <c r="S1831">
        <v>0</v>
      </c>
      <c r="T1831" t="s">
        <v>105</v>
      </c>
      <c r="U1831">
        <v>9</v>
      </c>
      <c r="V1831">
        <v>9</v>
      </c>
      <c r="W1831">
        <v>0</v>
      </c>
      <c r="X1831">
        <v>51.208562399999998</v>
      </c>
      <c r="Y1831">
        <v>33.1574277</v>
      </c>
      <c r="Z1831">
        <v>54.201921999999996</v>
      </c>
      <c r="AA1831">
        <v>0</v>
      </c>
      <c r="AB1831">
        <v>1</v>
      </c>
      <c r="AC1831" t="s">
        <v>171</v>
      </c>
      <c r="AD1831">
        <v>0</v>
      </c>
      <c r="AE1831" t="s">
        <v>1396</v>
      </c>
      <c r="AF1831">
        <v>80000000</v>
      </c>
      <c r="AG1831" t="s">
        <v>310</v>
      </c>
      <c r="AH1831">
        <f>SUM((MID(Dyno_Data[[#This Row],[Team]],4,5))+(Dyno_Data[[#This Row],[Match]]/100))</f>
        <v>1880.36</v>
      </c>
      <c r="AI1831" s="76">
        <f>ROUND(SUM(IF(Dyno_Data[[#This Row],[AcqCenter]]&gt;0,Dyno_Data[[#This Row],[Time]]-SUMIFS(Dyno_Data[Time],Dyno_Data[Team],Dyno_Data[[#This Row],[Team]],Dyno_Data[RecordType],"StartMatch",Dyno_Data[Match],Dyno_Data[[#This Row],[Match]]),0)*86400),0)</f>
        <v>0</v>
      </c>
    </row>
    <row r="1832" spans="1:35" x14ac:dyDescent="0.3">
      <c r="A1832">
        <v>1841</v>
      </c>
      <c r="B1832" t="s">
        <v>1286</v>
      </c>
      <c r="C1832">
        <v>37</v>
      </c>
      <c r="D1832" s="105">
        <v>45373.625098298609</v>
      </c>
      <c r="E1832" t="s">
        <v>308</v>
      </c>
      <c r="F1832" t="s">
        <v>309</v>
      </c>
      <c r="G1832">
        <v>0</v>
      </c>
      <c r="H1832" t="s">
        <v>310</v>
      </c>
      <c r="I1832">
        <v>0</v>
      </c>
      <c r="J1832">
        <v>0</v>
      </c>
      <c r="K1832">
        <v>0</v>
      </c>
      <c r="L1832" t="s">
        <v>310</v>
      </c>
      <c r="M1832" t="s">
        <v>310</v>
      </c>
      <c r="N1832">
        <v>0</v>
      </c>
      <c r="O1832" t="s">
        <v>311</v>
      </c>
      <c r="P1832" t="s">
        <v>310</v>
      </c>
      <c r="Q1832" t="s">
        <v>310</v>
      </c>
      <c r="R1832" t="s">
        <v>310</v>
      </c>
      <c r="S1832">
        <v>9</v>
      </c>
      <c r="T1832" t="s">
        <v>310</v>
      </c>
      <c r="U1832">
        <v>9</v>
      </c>
      <c r="V1832">
        <v>9</v>
      </c>
      <c r="W1832">
        <v>0</v>
      </c>
      <c r="X1832">
        <v>0</v>
      </c>
      <c r="Y1832">
        <v>0</v>
      </c>
      <c r="Z1832">
        <v>0</v>
      </c>
      <c r="AA1832">
        <v>9</v>
      </c>
      <c r="AB1832">
        <v>9</v>
      </c>
      <c r="AC1832" t="s">
        <v>310</v>
      </c>
      <c r="AD1832">
        <v>9</v>
      </c>
      <c r="AE1832" t="s">
        <v>1388</v>
      </c>
      <c r="AF1832">
        <v>10003000</v>
      </c>
      <c r="AG1832" t="s">
        <v>310</v>
      </c>
      <c r="AH1832">
        <f>SUM((MID(Dyno_Data[[#This Row],[Team]],4,5))+(Dyno_Data[[#This Row],[Match]]/100))</f>
        <v>1591.37</v>
      </c>
      <c r="AI1832" s="76">
        <f>ROUND(SUM(IF(Dyno_Data[[#This Row],[AcqCenter]]&gt;0,Dyno_Data[[#This Row],[Time]]-SUMIFS(Dyno_Data[Time],Dyno_Data[Team],Dyno_Data[[#This Row],[Team]],Dyno_Data[RecordType],"StartMatch",Dyno_Data[Match],Dyno_Data[[#This Row],[Match]]),0)*86400),0)</f>
        <v>0</v>
      </c>
    </row>
    <row r="1833" spans="1:35" x14ac:dyDescent="0.3">
      <c r="A1833">
        <v>1843</v>
      </c>
      <c r="B1833" t="s">
        <v>370</v>
      </c>
      <c r="C1833">
        <v>37</v>
      </c>
      <c r="D1833" s="105">
        <v>45373.625098958335</v>
      </c>
      <c r="E1833" t="s">
        <v>308</v>
      </c>
      <c r="F1833" t="s">
        <v>309</v>
      </c>
      <c r="G1833">
        <v>0</v>
      </c>
      <c r="H1833" t="s">
        <v>310</v>
      </c>
      <c r="I1833">
        <v>0</v>
      </c>
      <c r="J1833">
        <v>0</v>
      </c>
      <c r="K1833">
        <v>0</v>
      </c>
      <c r="L1833" t="s">
        <v>310</v>
      </c>
      <c r="M1833" t="s">
        <v>310</v>
      </c>
      <c r="N1833">
        <v>0</v>
      </c>
      <c r="O1833" t="s">
        <v>319</v>
      </c>
      <c r="P1833" t="s">
        <v>310</v>
      </c>
      <c r="Q1833" t="s">
        <v>310</v>
      </c>
      <c r="R1833" t="s">
        <v>310</v>
      </c>
      <c r="S1833">
        <v>9</v>
      </c>
      <c r="T1833" t="s">
        <v>310</v>
      </c>
      <c r="U1833">
        <v>9</v>
      </c>
      <c r="V1833">
        <v>9</v>
      </c>
      <c r="W1833">
        <v>0</v>
      </c>
      <c r="X1833">
        <v>0</v>
      </c>
      <c r="Y1833">
        <v>0</v>
      </c>
      <c r="Z1833">
        <v>0</v>
      </c>
      <c r="AA1833">
        <v>9</v>
      </c>
      <c r="AB1833">
        <v>9</v>
      </c>
      <c r="AC1833" t="s">
        <v>310</v>
      </c>
      <c r="AD1833">
        <v>9</v>
      </c>
      <c r="AE1833" t="s">
        <v>1396</v>
      </c>
      <c r="AF1833">
        <v>0</v>
      </c>
      <c r="AG1833" t="s">
        <v>310</v>
      </c>
      <c r="AH1833">
        <f>SUM((MID(Dyno_Data[[#This Row],[Team]],4,5))+(Dyno_Data[[#This Row],[Match]]/100))</f>
        <v>6911.37</v>
      </c>
      <c r="AI1833" s="76">
        <f>ROUND(SUM(IF(Dyno_Data[[#This Row],[AcqCenter]]&gt;0,Dyno_Data[[#This Row],[Time]]-SUMIFS(Dyno_Data[Time],Dyno_Data[Team],Dyno_Data[[#This Row],[Team]],Dyno_Data[RecordType],"StartMatch",Dyno_Data[Match],Dyno_Data[[#This Row],[Match]]),0)*86400),0)</f>
        <v>0</v>
      </c>
    </row>
    <row r="1834" spans="1:35" x14ac:dyDescent="0.3">
      <c r="A1834">
        <v>1845</v>
      </c>
      <c r="B1834" t="s">
        <v>1288</v>
      </c>
      <c r="C1834">
        <v>37</v>
      </c>
      <c r="D1834" s="105">
        <v>45373.625103356484</v>
      </c>
      <c r="E1834" t="s">
        <v>308</v>
      </c>
      <c r="F1834" t="s">
        <v>309</v>
      </c>
      <c r="G1834">
        <v>0</v>
      </c>
      <c r="H1834" t="s">
        <v>310</v>
      </c>
      <c r="I1834">
        <v>0</v>
      </c>
      <c r="J1834">
        <v>0</v>
      </c>
      <c r="K1834">
        <v>0</v>
      </c>
      <c r="L1834" t="s">
        <v>310</v>
      </c>
      <c r="M1834" t="s">
        <v>310</v>
      </c>
      <c r="N1834">
        <v>0</v>
      </c>
      <c r="O1834" t="s">
        <v>1391</v>
      </c>
      <c r="P1834" t="s">
        <v>310</v>
      </c>
      <c r="Q1834" t="s">
        <v>310</v>
      </c>
      <c r="R1834" t="s">
        <v>310</v>
      </c>
      <c r="S1834">
        <v>9</v>
      </c>
      <c r="T1834" t="s">
        <v>310</v>
      </c>
      <c r="U1834">
        <v>9</v>
      </c>
      <c r="V1834">
        <v>9</v>
      </c>
      <c r="W1834">
        <v>0</v>
      </c>
      <c r="X1834">
        <v>0</v>
      </c>
      <c r="Y1834">
        <v>0</v>
      </c>
      <c r="Z1834">
        <v>0</v>
      </c>
      <c r="AA1834">
        <v>9</v>
      </c>
      <c r="AB1834">
        <v>9</v>
      </c>
      <c r="AC1834" t="s">
        <v>310</v>
      </c>
      <c r="AD1834">
        <v>9</v>
      </c>
      <c r="AE1834" t="s">
        <v>1412</v>
      </c>
      <c r="AF1834">
        <v>0</v>
      </c>
      <c r="AG1834" t="s">
        <v>310</v>
      </c>
      <c r="AH1834">
        <f>SUM((MID(Dyno_Data[[#This Row],[Team]],4,5))+(Dyno_Data[[#This Row],[Match]]/100))</f>
        <v>3181.37</v>
      </c>
      <c r="AI1834" s="76">
        <f>ROUND(SUM(IF(Dyno_Data[[#This Row],[AcqCenter]]&gt;0,Dyno_Data[[#This Row],[Time]]-SUMIFS(Dyno_Data[Time],Dyno_Data[Team],Dyno_Data[[#This Row],[Team]],Dyno_Data[RecordType],"StartMatch",Dyno_Data[Match],Dyno_Data[[#This Row],[Match]]),0)*86400),0)</f>
        <v>0</v>
      </c>
    </row>
    <row r="1835" spans="1:35" x14ac:dyDescent="0.3">
      <c r="A1835">
        <v>1847</v>
      </c>
      <c r="B1835" t="s">
        <v>371</v>
      </c>
      <c r="C1835">
        <v>37</v>
      </c>
      <c r="D1835" s="105">
        <v>45373.625103472223</v>
      </c>
      <c r="E1835" t="s">
        <v>308</v>
      </c>
      <c r="F1835" t="s">
        <v>309</v>
      </c>
      <c r="G1835">
        <v>0</v>
      </c>
      <c r="H1835" t="s">
        <v>310</v>
      </c>
      <c r="I1835">
        <v>0</v>
      </c>
      <c r="J1835">
        <v>0</v>
      </c>
      <c r="K1835">
        <v>0</v>
      </c>
      <c r="L1835" t="s">
        <v>310</v>
      </c>
      <c r="M1835" t="s">
        <v>310</v>
      </c>
      <c r="N1835">
        <v>0</v>
      </c>
      <c r="O1835" t="s">
        <v>1393</v>
      </c>
      <c r="P1835" t="s">
        <v>310</v>
      </c>
      <c r="Q1835" t="s">
        <v>310</v>
      </c>
      <c r="R1835" t="s">
        <v>310</v>
      </c>
      <c r="S1835">
        <v>9</v>
      </c>
      <c r="T1835" t="s">
        <v>310</v>
      </c>
      <c r="U1835">
        <v>9</v>
      </c>
      <c r="V1835">
        <v>9</v>
      </c>
      <c r="W1835">
        <v>0</v>
      </c>
      <c r="X1835">
        <v>0</v>
      </c>
      <c r="Y1835">
        <v>0</v>
      </c>
      <c r="Z1835">
        <v>0</v>
      </c>
      <c r="AA1835">
        <v>9</v>
      </c>
      <c r="AB1835">
        <v>9</v>
      </c>
      <c r="AC1835" t="s">
        <v>310</v>
      </c>
      <c r="AD1835">
        <v>9</v>
      </c>
      <c r="AE1835" t="s">
        <v>1390</v>
      </c>
      <c r="AF1835">
        <v>0</v>
      </c>
      <c r="AG1835" t="s">
        <v>310</v>
      </c>
      <c r="AH1835">
        <f>SUM((MID(Dyno_Data[[#This Row],[Team]],4,5))+(Dyno_Data[[#This Row],[Match]]/100))</f>
        <v>6969.37</v>
      </c>
      <c r="AI1835" s="76">
        <f>ROUND(SUM(IF(Dyno_Data[[#This Row],[AcqCenter]]&gt;0,Dyno_Data[[#This Row],[Time]]-SUMIFS(Dyno_Data[Time],Dyno_Data[Team],Dyno_Data[[#This Row],[Team]],Dyno_Data[RecordType],"StartMatch",Dyno_Data[Match],Dyno_Data[[#This Row],[Match]]),0)*86400),0)</f>
        <v>0</v>
      </c>
    </row>
    <row r="1836" spans="1:35" x14ac:dyDescent="0.3">
      <c r="A1836">
        <v>1849</v>
      </c>
      <c r="B1836" t="s">
        <v>366</v>
      </c>
      <c r="C1836">
        <v>37</v>
      </c>
      <c r="D1836" s="105">
        <v>45373.625108414351</v>
      </c>
      <c r="E1836" t="s">
        <v>308</v>
      </c>
      <c r="F1836" t="s">
        <v>309</v>
      </c>
      <c r="G1836">
        <v>0</v>
      </c>
      <c r="H1836" t="s">
        <v>310</v>
      </c>
      <c r="I1836">
        <v>0</v>
      </c>
      <c r="J1836">
        <v>0</v>
      </c>
      <c r="K1836">
        <v>0</v>
      </c>
      <c r="L1836" t="s">
        <v>310</v>
      </c>
      <c r="M1836" t="s">
        <v>310</v>
      </c>
      <c r="N1836">
        <v>0</v>
      </c>
      <c r="O1836" t="s">
        <v>1389</v>
      </c>
      <c r="P1836" t="s">
        <v>310</v>
      </c>
      <c r="Q1836" t="s">
        <v>310</v>
      </c>
      <c r="R1836" t="s">
        <v>310</v>
      </c>
      <c r="S1836">
        <v>9</v>
      </c>
      <c r="T1836" t="s">
        <v>310</v>
      </c>
      <c r="U1836">
        <v>9</v>
      </c>
      <c r="V1836">
        <v>9</v>
      </c>
      <c r="W1836">
        <v>0</v>
      </c>
      <c r="X1836">
        <v>0</v>
      </c>
      <c r="Y1836">
        <v>0</v>
      </c>
      <c r="Z1836">
        <v>0</v>
      </c>
      <c r="AA1836">
        <v>9</v>
      </c>
      <c r="AB1836">
        <v>9</v>
      </c>
      <c r="AC1836" t="s">
        <v>310</v>
      </c>
      <c r="AD1836">
        <v>9</v>
      </c>
      <c r="AE1836" t="s">
        <v>1413</v>
      </c>
      <c r="AF1836">
        <v>0</v>
      </c>
      <c r="AG1836" t="s">
        <v>310</v>
      </c>
      <c r="AH1836">
        <f>SUM((MID(Dyno_Data[[#This Row],[Team]],4,5))+(Dyno_Data[[#This Row],[Match]]/100))</f>
        <v>4122.37</v>
      </c>
      <c r="AI1836" s="76">
        <f>ROUND(SUM(IF(Dyno_Data[[#This Row],[AcqCenter]]&gt;0,Dyno_Data[[#This Row],[Time]]-SUMIFS(Dyno_Data[Time],Dyno_Data[Team],Dyno_Data[[#This Row],[Team]],Dyno_Data[RecordType],"StartMatch",Dyno_Data[Match],Dyno_Data[[#This Row],[Match]]),0)*86400),0)</f>
        <v>0</v>
      </c>
    </row>
    <row r="1837" spans="1:35" x14ac:dyDescent="0.3">
      <c r="A1837">
        <v>1851</v>
      </c>
      <c r="B1837" t="s">
        <v>1309</v>
      </c>
      <c r="C1837">
        <v>37</v>
      </c>
      <c r="D1837" s="105">
        <v>45373.625109108798</v>
      </c>
      <c r="E1837" t="s">
        <v>308</v>
      </c>
      <c r="F1837" t="s">
        <v>309</v>
      </c>
      <c r="G1837">
        <v>0</v>
      </c>
      <c r="H1837" t="s">
        <v>310</v>
      </c>
      <c r="I1837">
        <v>0</v>
      </c>
      <c r="J1837">
        <v>0</v>
      </c>
      <c r="K1837">
        <v>0</v>
      </c>
      <c r="L1837" t="s">
        <v>310</v>
      </c>
      <c r="M1837" t="s">
        <v>310</v>
      </c>
      <c r="N1837">
        <v>0</v>
      </c>
      <c r="O1837" t="s">
        <v>1395</v>
      </c>
      <c r="P1837" t="s">
        <v>310</v>
      </c>
      <c r="Q1837" t="s">
        <v>310</v>
      </c>
      <c r="R1837" t="s">
        <v>310</v>
      </c>
      <c r="S1837">
        <v>9</v>
      </c>
      <c r="T1837" t="s">
        <v>310</v>
      </c>
      <c r="U1837">
        <v>9</v>
      </c>
      <c r="V1837">
        <v>9</v>
      </c>
      <c r="W1837">
        <v>0</v>
      </c>
      <c r="X1837">
        <v>0</v>
      </c>
      <c r="Y1837">
        <v>0</v>
      </c>
      <c r="Z1837">
        <v>0</v>
      </c>
      <c r="AA1837">
        <v>9</v>
      </c>
      <c r="AB1837">
        <v>9</v>
      </c>
      <c r="AC1837" t="s">
        <v>310</v>
      </c>
      <c r="AD1837">
        <v>9</v>
      </c>
      <c r="AE1837" t="s">
        <v>1414</v>
      </c>
      <c r="AF1837">
        <v>0</v>
      </c>
      <c r="AG1837" t="s">
        <v>310</v>
      </c>
      <c r="AH1837">
        <f>SUM((MID(Dyno_Data[[#This Row],[Team]],4,5))+(Dyno_Data[[#This Row],[Match]]/100))</f>
        <v>3550.37</v>
      </c>
      <c r="AI1837" s="76">
        <f>ROUND(SUM(IF(Dyno_Data[[#This Row],[AcqCenter]]&gt;0,Dyno_Data[[#This Row],[Time]]-SUMIFS(Dyno_Data[Time],Dyno_Data[Team],Dyno_Data[[#This Row],[Team]],Dyno_Data[RecordType],"StartMatch",Dyno_Data[Match],Dyno_Data[[#This Row],[Match]]),0)*86400),0)</f>
        <v>0</v>
      </c>
    </row>
    <row r="1838" spans="1:35" x14ac:dyDescent="0.3">
      <c r="A1838">
        <v>1831</v>
      </c>
      <c r="B1838" t="s">
        <v>1288</v>
      </c>
      <c r="C1838">
        <v>37</v>
      </c>
      <c r="D1838" s="105">
        <v>45373.625120682867</v>
      </c>
      <c r="E1838" t="s">
        <v>312</v>
      </c>
      <c r="F1838" t="s">
        <v>309</v>
      </c>
      <c r="G1838">
        <v>0</v>
      </c>
      <c r="H1838" t="s">
        <v>1397</v>
      </c>
      <c r="I1838">
        <v>0</v>
      </c>
      <c r="J1838">
        <v>0</v>
      </c>
      <c r="K1838">
        <v>0</v>
      </c>
      <c r="L1838" t="s">
        <v>241</v>
      </c>
      <c r="M1838" t="s">
        <v>1398</v>
      </c>
      <c r="N1838">
        <v>0</v>
      </c>
      <c r="O1838" t="s">
        <v>1391</v>
      </c>
      <c r="P1838" t="s">
        <v>310</v>
      </c>
      <c r="Q1838" t="s">
        <v>310</v>
      </c>
      <c r="R1838" t="s">
        <v>310</v>
      </c>
      <c r="S1838">
        <v>9</v>
      </c>
      <c r="T1838" t="s">
        <v>310</v>
      </c>
      <c r="U1838">
        <v>9</v>
      </c>
      <c r="V1838">
        <v>9</v>
      </c>
      <c r="W1838">
        <v>0</v>
      </c>
      <c r="X1838">
        <v>0</v>
      </c>
      <c r="Y1838">
        <v>0</v>
      </c>
      <c r="Z1838">
        <v>0</v>
      </c>
      <c r="AA1838">
        <v>9</v>
      </c>
      <c r="AB1838">
        <v>9</v>
      </c>
      <c r="AC1838" t="s">
        <v>310</v>
      </c>
      <c r="AD1838">
        <v>9</v>
      </c>
      <c r="AE1838" t="s">
        <v>1412</v>
      </c>
      <c r="AF1838">
        <v>0</v>
      </c>
      <c r="AG1838" t="s">
        <v>310</v>
      </c>
      <c r="AH1838">
        <f>SUM((MID(Dyno_Data[[#This Row],[Team]],4,5))+(Dyno_Data[[#This Row],[Match]]/100))</f>
        <v>3181.37</v>
      </c>
      <c r="AI1838" s="76">
        <f>ROUND(SUM(IF(Dyno_Data[[#This Row],[AcqCenter]]&gt;0,Dyno_Data[[#This Row],[Time]]-SUMIFS(Dyno_Data[Time],Dyno_Data[Team],Dyno_Data[[#This Row],[Team]],Dyno_Data[RecordType],"StartMatch",Dyno_Data[Match],Dyno_Data[[#This Row],[Match]]),0)*86400),0)</f>
        <v>0</v>
      </c>
    </row>
    <row r="1839" spans="1:35" x14ac:dyDescent="0.3">
      <c r="A1839">
        <v>1832</v>
      </c>
      <c r="B1839" t="s">
        <v>1286</v>
      </c>
      <c r="C1839">
        <v>37</v>
      </c>
      <c r="D1839" s="105">
        <v>45373.625136655093</v>
      </c>
      <c r="E1839" t="s">
        <v>312</v>
      </c>
      <c r="F1839" t="s">
        <v>309</v>
      </c>
      <c r="G1839">
        <v>0</v>
      </c>
      <c r="H1839" t="s">
        <v>1397</v>
      </c>
      <c r="I1839">
        <v>0</v>
      </c>
      <c r="J1839">
        <v>0</v>
      </c>
      <c r="K1839">
        <v>0</v>
      </c>
      <c r="L1839" t="s">
        <v>240</v>
      </c>
      <c r="M1839" t="s">
        <v>1398</v>
      </c>
      <c r="N1839">
        <v>0</v>
      </c>
      <c r="O1839" t="s">
        <v>311</v>
      </c>
      <c r="P1839" t="s">
        <v>310</v>
      </c>
      <c r="Q1839" t="s">
        <v>310</v>
      </c>
      <c r="R1839" t="s">
        <v>310</v>
      </c>
      <c r="S1839">
        <v>9</v>
      </c>
      <c r="T1839" t="s">
        <v>310</v>
      </c>
      <c r="U1839">
        <v>9</v>
      </c>
      <c r="V1839">
        <v>9</v>
      </c>
      <c r="W1839">
        <v>0</v>
      </c>
      <c r="X1839">
        <v>0</v>
      </c>
      <c r="Y1839">
        <v>0</v>
      </c>
      <c r="Z1839">
        <v>0</v>
      </c>
      <c r="AA1839">
        <v>9</v>
      </c>
      <c r="AB1839">
        <v>9</v>
      </c>
      <c r="AC1839" t="s">
        <v>310</v>
      </c>
      <c r="AD1839">
        <v>9</v>
      </c>
      <c r="AE1839" t="s">
        <v>1388</v>
      </c>
      <c r="AF1839">
        <v>0</v>
      </c>
      <c r="AG1839" t="s">
        <v>310</v>
      </c>
      <c r="AH1839">
        <f>SUM((MID(Dyno_Data[[#This Row],[Team]],4,5))+(Dyno_Data[[#This Row],[Match]]/100))</f>
        <v>1591.37</v>
      </c>
      <c r="AI1839" s="76">
        <f>ROUND(SUM(IF(Dyno_Data[[#This Row],[AcqCenter]]&gt;0,Dyno_Data[[#This Row],[Time]]-SUMIFS(Dyno_Data[Time],Dyno_Data[Team],Dyno_Data[[#This Row],[Team]],Dyno_Data[RecordType],"StartMatch",Dyno_Data[Match],Dyno_Data[[#This Row],[Match]]),0)*86400),0)</f>
        <v>0</v>
      </c>
    </row>
    <row r="1840" spans="1:35" x14ac:dyDescent="0.3">
      <c r="A1840">
        <v>1833</v>
      </c>
      <c r="B1840" t="s">
        <v>370</v>
      </c>
      <c r="C1840">
        <v>37</v>
      </c>
      <c r="D1840" s="105">
        <v>45373.62515104167</v>
      </c>
      <c r="E1840" t="s">
        <v>312</v>
      </c>
      <c r="F1840" t="s">
        <v>309</v>
      </c>
      <c r="G1840">
        <v>0</v>
      </c>
      <c r="H1840" t="s">
        <v>1397</v>
      </c>
      <c r="I1840">
        <v>0</v>
      </c>
      <c r="J1840">
        <v>0</v>
      </c>
      <c r="K1840">
        <v>0</v>
      </c>
      <c r="L1840" t="s">
        <v>241</v>
      </c>
      <c r="M1840" t="s">
        <v>1398</v>
      </c>
      <c r="N1840">
        <v>1</v>
      </c>
      <c r="O1840" t="s">
        <v>319</v>
      </c>
      <c r="P1840" t="s">
        <v>310</v>
      </c>
      <c r="Q1840" t="s">
        <v>310</v>
      </c>
      <c r="R1840" t="s">
        <v>310</v>
      </c>
      <c r="S1840">
        <v>9</v>
      </c>
      <c r="T1840" t="s">
        <v>310</v>
      </c>
      <c r="U1840">
        <v>9</v>
      </c>
      <c r="V1840">
        <v>9</v>
      </c>
      <c r="W1840">
        <v>0</v>
      </c>
      <c r="X1840">
        <v>0</v>
      </c>
      <c r="Y1840">
        <v>0</v>
      </c>
      <c r="Z1840">
        <v>0</v>
      </c>
      <c r="AA1840">
        <v>9</v>
      </c>
      <c r="AB1840">
        <v>9</v>
      </c>
      <c r="AC1840" t="s">
        <v>310</v>
      </c>
      <c r="AD1840">
        <v>9</v>
      </c>
      <c r="AE1840" t="s">
        <v>1396</v>
      </c>
      <c r="AF1840">
        <v>0</v>
      </c>
      <c r="AG1840" t="s">
        <v>310</v>
      </c>
      <c r="AH1840">
        <f>SUM((MID(Dyno_Data[[#This Row],[Team]],4,5))+(Dyno_Data[[#This Row],[Match]]/100))</f>
        <v>6911.37</v>
      </c>
      <c r="AI1840" s="76">
        <f>ROUND(SUM(IF(Dyno_Data[[#This Row],[AcqCenter]]&gt;0,Dyno_Data[[#This Row],[Time]]-SUMIFS(Dyno_Data[Time],Dyno_Data[Team],Dyno_Data[[#This Row],[Team]],Dyno_Data[RecordType],"StartMatch",Dyno_Data[Match],Dyno_Data[[#This Row],[Match]]),0)*86400),0)</f>
        <v>0</v>
      </c>
    </row>
    <row r="1841" spans="1:35" x14ac:dyDescent="0.3">
      <c r="A1841">
        <v>1834</v>
      </c>
      <c r="B1841" t="s">
        <v>1286</v>
      </c>
      <c r="C1841">
        <v>37</v>
      </c>
      <c r="D1841" s="105">
        <v>45373.625162002318</v>
      </c>
      <c r="E1841" t="s">
        <v>312</v>
      </c>
      <c r="F1841" t="s">
        <v>309</v>
      </c>
      <c r="G1841">
        <v>0</v>
      </c>
      <c r="H1841" t="s">
        <v>315</v>
      </c>
      <c r="I1841">
        <v>0</v>
      </c>
      <c r="J1841">
        <v>0</v>
      </c>
      <c r="K1841">
        <v>0</v>
      </c>
      <c r="L1841" t="s">
        <v>241</v>
      </c>
      <c r="M1841" t="s">
        <v>241</v>
      </c>
      <c r="N1841">
        <v>0</v>
      </c>
      <c r="O1841" t="s">
        <v>311</v>
      </c>
      <c r="P1841" t="s">
        <v>310</v>
      </c>
      <c r="Q1841" t="s">
        <v>310</v>
      </c>
      <c r="R1841" t="s">
        <v>310</v>
      </c>
      <c r="S1841">
        <v>9</v>
      </c>
      <c r="T1841" t="s">
        <v>310</v>
      </c>
      <c r="U1841">
        <v>9</v>
      </c>
      <c r="V1841">
        <v>9</v>
      </c>
      <c r="W1841">
        <v>0</v>
      </c>
      <c r="X1841">
        <v>0</v>
      </c>
      <c r="Y1841">
        <v>0</v>
      </c>
      <c r="Z1841">
        <v>0</v>
      </c>
      <c r="AA1841">
        <v>9</v>
      </c>
      <c r="AB1841">
        <v>9</v>
      </c>
      <c r="AC1841" t="s">
        <v>310</v>
      </c>
      <c r="AD1841">
        <v>9</v>
      </c>
      <c r="AE1841" t="s">
        <v>1388</v>
      </c>
      <c r="AF1841">
        <v>10000000</v>
      </c>
      <c r="AG1841" t="s">
        <v>310</v>
      </c>
      <c r="AH1841">
        <f>SUM((MID(Dyno_Data[[#This Row],[Team]],4,5))+(Dyno_Data[[#This Row],[Match]]/100))</f>
        <v>1591.37</v>
      </c>
      <c r="AI1841" s="76">
        <f>ROUND(SUM(IF(Dyno_Data[[#This Row],[AcqCenter]]&gt;0,Dyno_Data[[#This Row],[Time]]-SUMIFS(Dyno_Data[Time],Dyno_Data[Team],Dyno_Data[[#This Row],[Team]],Dyno_Data[RecordType],"StartMatch",Dyno_Data[Match],Dyno_Data[[#This Row],[Match]]),0)*86400),0)</f>
        <v>0</v>
      </c>
    </row>
    <row r="1842" spans="1:35" x14ac:dyDescent="0.3">
      <c r="A1842">
        <v>1835</v>
      </c>
      <c r="B1842" t="s">
        <v>1309</v>
      </c>
      <c r="C1842">
        <v>37</v>
      </c>
      <c r="D1842" s="105">
        <v>45373.625179282404</v>
      </c>
      <c r="E1842" t="s">
        <v>312</v>
      </c>
      <c r="F1842" t="s">
        <v>309</v>
      </c>
      <c r="G1842">
        <v>0</v>
      </c>
      <c r="H1842" t="s">
        <v>1397</v>
      </c>
      <c r="I1842">
        <v>0</v>
      </c>
      <c r="J1842">
        <v>0</v>
      </c>
      <c r="K1842">
        <v>0</v>
      </c>
      <c r="L1842" t="s">
        <v>240</v>
      </c>
      <c r="M1842" t="s">
        <v>1398</v>
      </c>
      <c r="N1842">
        <v>1</v>
      </c>
      <c r="O1842" t="s">
        <v>1395</v>
      </c>
      <c r="P1842" t="s">
        <v>310</v>
      </c>
      <c r="Q1842" t="s">
        <v>310</v>
      </c>
      <c r="R1842" t="s">
        <v>310</v>
      </c>
      <c r="S1842">
        <v>9</v>
      </c>
      <c r="T1842" t="s">
        <v>310</v>
      </c>
      <c r="U1842">
        <v>9</v>
      </c>
      <c r="V1842">
        <v>9</v>
      </c>
      <c r="W1842">
        <v>0</v>
      </c>
      <c r="X1842">
        <v>0</v>
      </c>
      <c r="Y1842">
        <v>0</v>
      </c>
      <c r="Z1842">
        <v>0</v>
      </c>
      <c r="AA1842">
        <v>9</v>
      </c>
      <c r="AB1842">
        <v>9</v>
      </c>
      <c r="AC1842" t="s">
        <v>310</v>
      </c>
      <c r="AD1842">
        <v>9</v>
      </c>
      <c r="AE1842" t="s">
        <v>1414</v>
      </c>
      <c r="AF1842">
        <v>0</v>
      </c>
      <c r="AG1842" t="s">
        <v>310</v>
      </c>
      <c r="AH1842">
        <f>SUM((MID(Dyno_Data[[#This Row],[Team]],4,5))+(Dyno_Data[[#This Row],[Match]]/100))</f>
        <v>3550.37</v>
      </c>
      <c r="AI1842" s="76">
        <f>ROUND(SUM(IF(Dyno_Data[[#This Row],[AcqCenter]]&gt;0,Dyno_Data[[#This Row],[Time]]-SUMIFS(Dyno_Data[Time],Dyno_Data[Team],Dyno_Data[[#This Row],[Team]],Dyno_Data[RecordType],"StartMatch",Dyno_Data[Match],Dyno_Data[[#This Row],[Match]]),0)*86400),0)</f>
        <v>0</v>
      </c>
    </row>
    <row r="1843" spans="1:35" x14ac:dyDescent="0.3">
      <c r="A1843">
        <v>1836</v>
      </c>
      <c r="B1843" t="s">
        <v>1286</v>
      </c>
      <c r="C1843">
        <v>37</v>
      </c>
      <c r="D1843" s="105">
        <v>45373.625181446761</v>
      </c>
      <c r="E1843" t="s">
        <v>312</v>
      </c>
      <c r="F1843" t="s">
        <v>309</v>
      </c>
      <c r="G1843">
        <v>0</v>
      </c>
      <c r="H1843" t="s">
        <v>143</v>
      </c>
      <c r="I1843">
        <v>3</v>
      </c>
      <c r="J1843">
        <v>1</v>
      </c>
      <c r="K1843">
        <v>0</v>
      </c>
      <c r="L1843" t="s">
        <v>310</v>
      </c>
      <c r="M1843" t="s">
        <v>310</v>
      </c>
      <c r="N1843">
        <v>0</v>
      </c>
      <c r="O1843" t="s">
        <v>311</v>
      </c>
      <c r="P1843" t="s">
        <v>310</v>
      </c>
      <c r="Q1843" t="s">
        <v>310</v>
      </c>
      <c r="R1843" t="s">
        <v>310</v>
      </c>
      <c r="S1843">
        <v>9</v>
      </c>
      <c r="T1843" t="s">
        <v>310</v>
      </c>
      <c r="U1843">
        <v>9</v>
      </c>
      <c r="V1843">
        <v>9</v>
      </c>
      <c r="W1843">
        <v>0</v>
      </c>
      <c r="X1843">
        <v>0</v>
      </c>
      <c r="Y1843">
        <v>0</v>
      </c>
      <c r="Z1843">
        <v>0</v>
      </c>
      <c r="AA1843">
        <v>9</v>
      </c>
      <c r="AB1843">
        <v>9</v>
      </c>
      <c r="AC1843" t="s">
        <v>310</v>
      </c>
      <c r="AD1843">
        <v>9</v>
      </c>
      <c r="AE1843" t="s">
        <v>1388</v>
      </c>
      <c r="AF1843">
        <v>10001000</v>
      </c>
      <c r="AG1843" t="s">
        <v>310</v>
      </c>
      <c r="AH1843">
        <f>SUM((MID(Dyno_Data[[#This Row],[Team]],4,5))+(Dyno_Data[[#This Row],[Match]]/100))</f>
        <v>1591.37</v>
      </c>
      <c r="AI1843" s="76">
        <f>ROUND(SUM(IF(Dyno_Data[[#This Row],[AcqCenter]]&gt;0,Dyno_Data[[#This Row],[Time]]-SUMIFS(Dyno_Data[Time],Dyno_Data[Team],Dyno_Data[[#This Row],[Team]],Dyno_Data[RecordType],"StartMatch",Dyno_Data[Match],Dyno_Data[[#This Row],[Match]]),0)*86400),0)</f>
        <v>7</v>
      </c>
    </row>
    <row r="1844" spans="1:35" x14ac:dyDescent="0.3">
      <c r="A1844">
        <v>1837</v>
      </c>
      <c r="B1844" t="s">
        <v>1286</v>
      </c>
      <c r="C1844">
        <v>37</v>
      </c>
      <c r="D1844" s="105">
        <v>45373.625202395837</v>
      </c>
      <c r="E1844" t="s">
        <v>312</v>
      </c>
      <c r="F1844" t="s">
        <v>309</v>
      </c>
      <c r="G1844">
        <v>0</v>
      </c>
      <c r="H1844" t="s">
        <v>143</v>
      </c>
      <c r="I1844">
        <v>5</v>
      </c>
      <c r="J1844">
        <v>1</v>
      </c>
      <c r="K1844">
        <v>0</v>
      </c>
      <c r="L1844" t="s">
        <v>310</v>
      </c>
      <c r="M1844" t="s">
        <v>310</v>
      </c>
      <c r="N1844">
        <v>0</v>
      </c>
      <c r="O1844" t="s">
        <v>311</v>
      </c>
      <c r="P1844" t="s">
        <v>310</v>
      </c>
      <c r="Q1844" t="s">
        <v>310</v>
      </c>
      <c r="R1844" t="s">
        <v>310</v>
      </c>
      <c r="S1844">
        <v>9</v>
      </c>
      <c r="T1844" t="s">
        <v>310</v>
      </c>
      <c r="U1844">
        <v>9</v>
      </c>
      <c r="V1844">
        <v>9</v>
      </c>
      <c r="W1844">
        <v>0</v>
      </c>
      <c r="X1844">
        <v>0</v>
      </c>
      <c r="Y1844">
        <v>0</v>
      </c>
      <c r="Z1844">
        <v>0</v>
      </c>
      <c r="AA1844">
        <v>9</v>
      </c>
      <c r="AB1844">
        <v>9</v>
      </c>
      <c r="AC1844" t="s">
        <v>310</v>
      </c>
      <c r="AD1844">
        <v>9</v>
      </c>
      <c r="AE1844" t="s">
        <v>1388</v>
      </c>
      <c r="AF1844">
        <v>10002000</v>
      </c>
      <c r="AG1844" t="s">
        <v>310</v>
      </c>
      <c r="AH1844">
        <f>SUM((MID(Dyno_Data[[#This Row],[Team]],4,5))+(Dyno_Data[[#This Row],[Match]]/100))</f>
        <v>1591.37</v>
      </c>
      <c r="AI1844" s="76">
        <f>ROUND(SUM(IF(Dyno_Data[[#This Row],[AcqCenter]]&gt;0,Dyno_Data[[#This Row],[Time]]-SUMIFS(Dyno_Data[Time],Dyno_Data[Team],Dyno_Data[[#This Row],[Team]],Dyno_Data[RecordType],"StartMatch",Dyno_Data[Match],Dyno_Data[[#This Row],[Match]]),0)*86400),0)</f>
        <v>9</v>
      </c>
    </row>
    <row r="1845" spans="1:35" x14ac:dyDescent="0.3">
      <c r="A1845">
        <v>1838</v>
      </c>
      <c r="B1845" t="s">
        <v>1286</v>
      </c>
      <c r="C1845">
        <v>37</v>
      </c>
      <c r="D1845" s="105">
        <v>45373.625234953703</v>
      </c>
      <c r="E1845" t="s">
        <v>312</v>
      </c>
      <c r="F1845" t="s">
        <v>309</v>
      </c>
      <c r="G1845">
        <v>0</v>
      </c>
      <c r="H1845" t="s">
        <v>143</v>
      </c>
      <c r="I1845">
        <v>0</v>
      </c>
      <c r="J1845">
        <v>0</v>
      </c>
      <c r="K1845">
        <v>0</v>
      </c>
      <c r="L1845" t="s">
        <v>241</v>
      </c>
      <c r="M1845" t="s">
        <v>1398</v>
      </c>
      <c r="N1845">
        <v>0</v>
      </c>
      <c r="O1845" t="s">
        <v>311</v>
      </c>
      <c r="P1845" t="s">
        <v>310</v>
      </c>
      <c r="Q1845" t="s">
        <v>310</v>
      </c>
      <c r="R1845" t="s">
        <v>310</v>
      </c>
      <c r="S1845">
        <v>9</v>
      </c>
      <c r="T1845" t="s">
        <v>310</v>
      </c>
      <c r="U1845">
        <v>9</v>
      </c>
      <c r="V1845">
        <v>9</v>
      </c>
      <c r="W1845">
        <v>0</v>
      </c>
      <c r="X1845">
        <v>0</v>
      </c>
      <c r="Y1845">
        <v>0</v>
      </c>
      <c r="Z1845">
        <v>0</v>
      </c>
      <c r="AA1845">
        <v>9</v>
      </c>
      <c r="AB1845">
        <v>9</v>
      </c>
      <c r="AC1845" t="s">
        <v>310</v>
      </c>
      <c r="AD1845">
        <v>9</v>
      </c>
      <c r="AE1845" t="s">
        <v>1388</v>
      </c>
      <c r="AF1845">
        <v>10002000</v>
      </c>
      <c r="AG1845" t="s">
        <v>310</v>
      </c>
      <c r="AH1845">
        <f>SUM((MID(Dyno_Data[[#This Row],[Team]],4,5))+(Dyno_Data[[#This Row],[Match]]/100))</f>
        <v>1591.37</v>
      </c>
      <c r="AI1845" s="76">
        <f>ROUND(SUM(IF(Dyno_Data[[#This Row],[AcqCenter]]&gt;0,Dyno_Data[[#This Row],[Time]]-SUMIFS(Dyno_Data[Time],Dyno_Data[Team],Dyno_Data[[#This Row],[Team]],Dyno_Data[RecordType],"StartMatch",Dyno_Data[Match],Dyno_Data[[#This Row],[Match]]),0)*86400),0)</f>
        <v>0</v>
      </c>
    </row>
    <row r="1846" spans="1:35" x14ac:dyDescent="0.3">
      <c r="A1846">
        <v>1839</v>
      </c>
      <c r="B1846" t="s">
        <v>1286</v>
      </c>
      <c r="C1846">
        <v>37</v>
      </c>
      <c r="D1846" s="105">
        <v>45373.625266006944</v>
      </c>
      <c r="E1846" t="s">
        <v>312</v>
      </c>
      <c r="F1846" t="s">
        <v>309</v>
      </c>
      <c r="G1846">
        <v>0</v>
      </c>
      <c r="H1846" t="s">
        <v>143</v>
      </c>
      <c r="I1846">
        <v>4</v>
      </c>
      <c r="J1846">
        <v>1</v>
      </c>
      <c r="K1846">
        <v>0</v>
      </c>
      <c r="L1846" t="s">
        <v>310</v>
      </c>
      <c r="M1846" t="s">
        <v>310</v>
      </c>
      <c r="N1846">
        <v>0</v>
      </c>
      <c r="O1846" t="s">
        <v>311</v>
      </c>
      <c r="P1846" t="s">
        <v>310</v>
      </c>
      <c r="Q1846" t="s">
        <v>310</v>
      </c>
      <c r="R1846" t="s">
        <v>310</v>
      </c>
      <c r="S1846">
        <v>9</v>
      </c>
      <c r="T1846" t="s">
        <v>310</v>
      </c>
      <c r="U1846">
        <v>9</v>
      </c>
      <c r="V1846">
        <v>9</v>
      </c>
      <c r="W1846">
        <v>0</v>
      </c>
      <c r="X1846">
        <v>0</v>
      </c>
      <c r="Y1846">
        <v>0</v>
      </c>
      <c r="Z1846">
        <v>0</v>
      </c>
      <c r="AA1846">
        <v>9</v>
      </c>
      <c r="AB1846">
        <v>9</v>
      </c>
      <c r="AC1846" t="s">
        <v>310</v>
      </c>
      <c r="AD1846">
        <v>9</v>
      </c>
      <c r="AE1846" t="s">
        <v>1388</v>
      </c>
      <c r="AF1846">
        <v>10003000</v>
      </c>
      <c r="AG1846" t="s">
        <v>310</v>
      </c>
      <c r="AH1846">
        <f>SUM((MID(Dyno_Data[[#This Row],[Team]],4,5))+(Dyno_Data[[#This Row],[Match]]/100))</f>
        <v>1591.37</v>
      </c>
      <c r="AI1846" s="76">
        <f>ROUND(SUM(IF(Dyno_Data[[#This Row],[AcqCenter]]&gt;0,Dyno_Data[[#This Row],[Time]]-SUMIFS(Dyno_Data[Time],Dyno_Data[Team],Dyno_Data[[#This Row],[Team]],Dyno_Data[RecordType],"StartMatch",Dyno_Data[Match],Dyno_Data[[#This Row],[Match]]),0)*86400),0)</f>
        <v>14</v>
      </c>
    </row>
    <row r="1847" spans="1:35" x14ac:dyDescent="0.3">
      <c r="A1847">
        <v>1840</v>
      </c>
      <c r="B1847" t="s">
        <v>366</v>
      </c>
      <c r="C1847">
        <v>37</v>
      </c>
      <c r="D1847" s="105">
        <v>45373.625285613423</v>
      </c>
      <c r="E1847" t="s">
        <v>312</v>
      </c>
      <c r="F1847" t="s">
        <v>309</v>
      </c>
      <c r="G1847">
        <v>0</v>
      </c>
      <c r="H1847" t="s">
        <v>1397</v>
      </c>
      <c r="I1847">
        <v>0</v>
      </c>
      <c r="J1847">
        <v>0</v>
      </c>
      <c r="K1847">
        <v>0</v>
      </c>
      <c r="L1847" t="s">
        <v>240</v>
      </c>
      <c r="M1847" t="s">
        <v>1398</v>
      </c>
      <c r="N1847">
        <v>1</v>
      </c>
      <c r="O1847" t="s">
        <v>1389</v>
      </c>
      <c r="P1847" t="s">
        <v>310</v>
      </c>
      <c r="Q1847" t="s">
        <v>310</v>
      </c>
      <c r="R1847" t="s">
        <v>310</v>
      </c>
      <c r="S1847">
        <v>9</v>
      </c>
      <c r="T1847" t="s">
        <v>310</v>
      </c>
      <c r="U1847">
        <v>9</v>
      </c>
      <c r="V1847">
        <v>9</v>
      </c>
      <c r="W1847">
        <v>0</v>
      </c>
      <c r="X1847">
        <v>0</v>
      </c>
      <c r="Y1847">
        <v>0</v>
      </c>
      <c r="Z1847">
        <v>0</v>
      </c>
      <c r="AA1847">
        <v>9</v>
      </c>
      <c r="AB1847">
        <v>9</v>
      </c>
      <c r="AC1847" t="s">
        <v>310</v>
      </c>
      <c r="AD1847">
        <v>9</v>
      </c>
      <c r="AE1847" t="s">
        <v>1413</v>
      </c>
      <c r="AF1847">
        <v>0</v>
      </c>
      <c r="AG1847" t="s">
        <v>310</v>
      </c>
      <c r="AH1847">
        <f>SUM((MID(Dyno_Data[[#This Row],[Team]],4,5))+(Dyno_Data[[#This Row],[Match]]/100))</f>
        <v>4122.37</v>
      </c>
      <c r="AI1847" s="76">
        <f>ROUND(SUM(IF(Dyno_Data[[#This Row],[AcqCenter]]&gt;0,Dyno_Data[[#This Row],[Time]]-SUMIFS(Dyno_Data[Time],Dyno_Data[Team],Dyno_Data[[#This Row],[Team]],Dyno_Data[RecordType],"StartMatch",Dyno_Data[Match],Dyno_Data[[#This Row],[Match]]),0)*86400),0)</f>
        <v>0</v>
      </c>
    </row>
    <row r="1848" spans="1:35" x14ac:dyDescent="0.3">
      <c r="A1848">
        <v>1842</v>
      </c>
      <c r="B1848" t="s">
        <v>1286</v>
      </c>
      <c r="C1848">
        <v>37</v>
      </c>
      <c r="D1848" s="105">
        <v>45373.625306631948</v>
      </c>
      <c r="E1848" t="s">
        <v>314</v>
      </c>
      <c r="F1848" t="s">
        <v>309</v>
      </c>
      <c r="G1848">
        <v>1</v>
      </c>
      <c r="H1848" t="s">
        <v>310</v>
      </c>
      <c r="I1848">
        <v>0</v>
      </c>
      <c r="J1848">
        <v>0</v>
      </c>
      <c r="K1848">
        <v>0</v>
      </c>
      <c r="L1848" t="s">
        <v>310</v>
      </c>
      <c r="M1848" t="s">
        <v>310</v>
      </c>
      <c r="N1848">
        <v>0</v>
      </c>
      <c r="O1848" t="s">
        <v>311</v>
      </c>
      <c r="P1848" t="s">
        <v>240</v>
      </c>
      <c r="Q1848" t="s">
        <v>1400</v>
      </c>
      <c r="R1848" t="s">
        <v>310</v>
      </c>
      <c r="S1848">
        <v>9</v>
      </c>
      <c r="T1848" t="s">
        <v>310</v>
      </c>
      <c r="U1848">
        <v>9</v>
      </c>
      <c r="V1848">
        <v>9</v>
      </c>
      <c r="W1848">
        <v>0</v>
      </c>
      <c r="X1848">
        <v>0</v>
      </c>
      <c r="Y1848">
        <v>0</v>
      </c>
      <c r="Z1848">
        <v>0</v>
      </c>
      <c r="AA1848">
        <v>9</v>
      </c>
      <c r="AB1848">
        <v>9</v>
      </c>
      <c r="AC1848" t="s">
        <v>310</v>
      </c>
      <c r="AD1848">
        <v>9</v>
      </c>
      <c r="AE1848" t="s">
        <v>1388</v>
      </c>
      <c r="AF1848">
        <v>10003000</v>
      </c>
      <c r="AG1848" t="s">
        <v>310</v>
      </c>
      <c r="AH1848">
        <f>SUM((MID(Dyno_Data[[#This Row],[Team]],4,5))+(Dyno_Data[[#This Row],[Match]]/100))</f>
        <v>1591.37</v>
      </c>
      <c r="AI1848" s="76">
        <f>ROUND(SUM(IF(Dyno_Data[[#This Row],[AcqCenter]]&gt;0,Dyno_Data[[#This Row],[Time]]-SUMIFS(Dyno_Data[Time],Dyno_Data[Team],Dyno_Data[[#This Row],[Team]],Dyno_Data[RecordType],"StartMatch",Dyno_Data[Match],Dyno_Data[[#This Row],[Match]]),0)*86400),0)</f>
        <v>0</v>
      </c>
    </row>
    <row r="1849" spans="1:35" x14ac:dyDescent="0.3">
      <c r="A1849">
        <v>1844</v>
      </c>
      <c r="B1849" t="s">
        <v>370</v>
      </c>
      <c r="C1849">
        <v>37</v>
      </c>
      <c r="D1849" s="105">
        <v>45373.625307291666</v>
      </c>
      <c r="E1849" t="s">
        <v>314</v>
      </c>
      <c r="F1849" t="s">
        <v>309</v>
      </c>
      <c r="G1849">
        <v>0</v>
      </c>
      <c r="H1849" t="s">
        <v>310</v>
      </c>
      <c r="I1849">
        <v>0</v>
      </c>
      <c r="J1849">
        <v>0</v>
      </c>
      <c r="K1849">
        <v>0</v>
      </c>
      <c r="L1849" t="s">
        <v>310</v>
      </c>
      <c r="M1849" t="s">
        <v>310</v>
      </c>
      <c r="N1849">
        <v>0</v>
      </c>
      <c r="O1849" t="s">
        <v>319</v>
      </c>
      <c r="P1849" t="s">
        <v>101</v>
      </c>
      <c r="Q1849" t="s">
        <v>1399</v>
      </c>
      <c r="R1849" t="s">
        <v>310</v>
      </c>
      <c r="S1849">
        <v>9</v>
      </c>
      <c r="T1849" t="s">
        <v>310</v>
      </c>
      <c r="U1849">
        <v>9</v>
      </c>
      <c r="V1849">
        <v>9</v>
      </c>
      <c r="W1849">
        <v>0</v>
      </c>
      <c r="X1849">
        <v>0</v>
      </c>
      <c r="Y1849">
        <v>0</v>
      </c>
      <c r="Z1849">
        <v>0</v>
      </c>
      <c r="AA1849">
        <v>9</v>
      </c>
      <c r="AB1849">
        <v>9</v>
      </c>
      <c r="AC1849" t="s">
        <v>310</v>
      </c>
      <c r="AD1849">
        <v>9</v>
      </c>
      <c r="AE1849" t="s">
        <v>1396</v>
      </c>
      <c r="AF1849">
        <v>0</v>
      </c>
      <c r="AG1849" t="s">
        <v>310</v>
      </c>
      <c r="AH1849">
        <f>SUM((MID(Dyno_Data[[#This Row],[Team]],4,5))+(Dyno_Data[[#This Row],[Match]]/100))</f>
        <v>6911.37</v>
      </c>
      <c r="AI1849" s="76">
        <f>ROUND(SUM(IF(Dyno_Data[[#This Row],[AcqCenter]]&gt;0,Dyno_Data[[#This Row],[Time]]-SUMIFS(Dyno_Data[Time],Dyno_Data[Team],Dyno_Data[[#This Row],[Team]],Dyno_Data[RecordType],"StartMatch",Dyno_Data[Match],Dyno_Data[[#This Row],[Match]]),0)*86400),0)</f>
        <v>0</v>
      </c>
    </row>
    <row r="1850" spans="1:35" x14ac:dyDescent="0.3">
      <c r="A1850">
        <v>1846</v>
      </c>
      <c r="B1850" t="s">
        <v>1288</v>
      </c>
      <c r="C1850">
        <v>37</v>
      </c>
      <c r="D1850" s="105">
        <v>45373.625311689815</v>
      </c>
      <c r="E1850" t="s">
        <v>314</v>
      </c>
      <c r="F1850" t="s">
        <v>309</v>
      </c>
      <c r="G1850">
        <v>1</v>
      </c>
      <c r="H1850" t="s">
        <v>310</v>
      </c>
      <c r="I1850">
        <v>0</v>
      </c>
      <c r="J1850">
        <v>0</v>
      </c>
      <c r="K1850">
        <v>0</v>
      </c>
      <c r="L1850" t="s">
        <v>310</v>
      </c>
      <c r="M1850" t="s">
        <v>310</v>
      </c>
      <c r="N1850">
        <v>0</v>
      </c>
      <c r="O1850" t="s">
        <v>1391</v>
      </c>
      <c r="P1850" t="s">
        <v>1401</v>
      </c>
      <c r="Q1850" t="s">
        <v>1400</v>
      </c>
      <c r="R1850" t="s">
        <v>310</v>
      </c>
      <c r="S1850">
        <v>9</v>
      </c>
      <c r="T1850" t="s">
        <v>310</v>
      </c>
      <c r="U1850">
        <v>9</v>
      </c>
      <c r="V1850">
        <v>9</v>
      </c>
      <c r="W1850">
        <v>0</v>
      </c>
      <c r="X1850">
        <v>0</v>
      </c>
      <c r="Y1850">
        <v>0</v>
      </c>
      <c r="Z1850">
        <v>0</v>
      </c>
      <c r="AA1850">
        <v>9</v>
      </c>
      <c r="AB1850">
        <v>9</v>
      </c>
      <c r="AC1850" t="s">
        <v>310</v>
      </c>
      <c r="AD1850">
        <v>9</v>
      </c>
      <c r="AE1850" t="s">
        <v>1412</v>
      </c>
      <c r="AF1850">
        <v>0</v>
      </c>
      <c r="AG1850" t="s">
        <v>310</v>
      </c>
      <c r="AH1850">
        <f>SUM((MID(Dyno_Data[[#This Row],[Team]],4,5))+(Dyno_Data[[#This Row],[Match]]/100))</f>
        <v>3181.37</v>
      </c>
      <c r="AI1850" s="76">
        <f>ROUND(SUM(IF(Dyno_Data[[#This Row],[AcqCenter]]&gt;0,Dyno_Data[[#This Row],[Time]]-SUMIFS(Dyno_Data[Time],Dyno_Data[Team],Dyno_Data[[#This Row],[Team]],Dyno_Data[RecordType],"StartMatch",Dyno_Data[Match],Dyno_Data[[#This Row],[Match]]),0)*86400),0)</f>
        <v>0</v>
      </c>
    </row>
    <row r="1851" spans="1:35" x14ac:dyDescent="0.3">
      <c r="A1851">
        <v>1848</v>
      </c>
      <c r="B1851" t="s">
        <v>371</v>
      </c>
      <c r="C1851">
        <v>37</v>
      </c>
      <c r="D1851" s="105">
        <v>45373.625311805554</v>
      </c>
      <c r="E1851" t="s">
        <v>314</v>
      </c>
      <c r="F1851" t="s">
        <v>309</v>
      </c>
      <c r="G1851">
        <v>0</v>
      </c>
      <c r="H1851" t="s">
        <v>310</v>
      </c>
      <c r="I1851">
        <v>0</v>
      </c>
      <c r="J1851">
        <v>0</v>
      </c>
      <c r="K1851">
        <v>0</v>
      </c>
      <c r="L1851" t="s">
        <v>310</v>
      </c>
      <c r="M1851" t="s">
        <v>310</v>
      </c>
      <c r="N1851">
        <v>0</v>
      </c>
      <c r="O1851" t="s">
        <v>1393</v>
      </c>
      <c r="P1851" t="s">
        <v>320</v>
      </c>
      <c r="Q1851" t="s">
        <v>1400</v>
      </c>
      <c r="R1851" t="s">
        <v>310</v>
      </c>
      <c r="S1851">
        <v>9</v>
      </c>
      <c r="T1851" t="s">
        <v>310</v>
      </c>
      <c r="U1851">
        <v>9</v>
      </c>
      <c r="V1851">
        <v>9</v>
      </c>
      <c r="W1851">
        <v>0</v>
      </c>
      <c r="X1851">
        <v>0</v>
      </c>
      <c r="Y1851">
        <v>0</v>
      </c>
      <c r="Z1851">
        <v>0</v>
      </c>
      <c r="AA1851">
        <v>9</v>
      </c>
      <c r="AB1851">
        <v>9</v>
      </c>
      <c r="AC1851" t="s">
        <v>310</v>
      </c>
      <c r="AD1851">
        <v>9</v>
      </c>
      <c r="AE1851" t="s">
        <v>1390</v>
      </c>
      <c r="AF1851">
        <v>0</v>
      </c>
      <c r="AG1851" t="s">
        <v>310</v>
      </c>
      <c r="AH1851">
        <f>SUM((MID(Dyno_Data[[#This Row],[Team]],4,5))+(Dyno_Data[[#This Row],[Match]]/100))</f>
        <v>6969.37</v>
      </c>
      <c r="AI1851" s="76">
        <f>ROUND(SUM(IF(Dyno_Data[[#This Row],[AcqCenter]]&gt;0,Dyno_Data[[#This Row],[Time]]-SUMIFS(Dyno_Data[Time],Dyno_Data[Team],Dyno_Data[[#This Row],[Team]],Dyno_Data[RecordType],"StartMatch",Dyno_Data[Match],Dyno_Data[[#This Row],[Match]]),0)*86400),0)</f>
        <v>0</v>
      </c>
    </row>
    <row r="1852" spans="1:35" x14ac:dyDescent="0.3">
      <c r="A1852">
        <v>1850</v>
      </c>
      <c r="B1852" t="s">
        <v>366</v>
      </c>
      <c r="C1852">
        <v>37</v>
      </c>
      <c r="D1852" s="105">
        <v>45373.625316747683</v>
      </c>
      <c r="E1852" t="s">
        <v>314</v>
      </c>
      <c r="F1852" t="s">
        <v>309</v>
      </c>
      <c r="G1852">
        <v>0</v>
      </c>
      <c r="H1852" t="s">
        <v>310</v>
      </c>
      <c r="I1852">
        <v>0</v>
      </c>
      <c r="J1852">
        <v>0</v>
      </c>
      <c r="K1852">
        <v>0</v>
      </c>
      <c r="L1852" t="s">
        <v>310</v>
      </c>
      <c r="M1852" t="s">
        <v>310</v>
      </c>
      <c r="N1852">
        <v>0</v>
      </c>
      <c r="O1852" t="s">
        <v>1389</v>
      </c>
      <c r="P1852" t="s">
        <v>240</v>
      </c>
      <c r="Q1852" t="s">
        <v>1400</v>
      </c>
      <c r="R1852" t="s">
        <v>310</v>
      </c>
      <c r="S1852">
        <v>9</v>
      </c>
      <c r="T1852" t="s">
        <v>310</v>
      </c>
      <c r="U1852">
        <v>9</v>
      </c>
      <c r="V1852">
        <v>9</v>
      </c>
      <c r="W1852">
        <v>0</v>
      </c>
      <c r="X1852">
        <v>0</v>
      </c>
      <c r="Y1852">
        <v>0</v>
      </c>
      <c r="Z1852">
        <v>0</v>
      </c>
      <c r="AA1852">
        <v>9</v>
      </c>
      <c r="AB1852">
        <v>9</v>
      </c>
      <c r="AC1852" t="s">
        <v>310</v>
      </c>
      <c r="AD1852">
        <v>9</v>
      </c>
      <c r="AE1852" t="s">
        <v>1413</v>
      </c>
      <c r="AF1852">
        <v>0</v>
      </c>
      <c r="AG1852" t="s">
        <v>310</v>
      </c>
      <c r="AH1852">
        <f>SUM((MID(Dyno_Data[[#This Row],[Team]],4,5))+(Dyno_Data[[#This Row],[Match]]/100))</f>
        <v>4122.37</v>
      </c>
      <c r="AI1852" s="76">
        <f>ROUND(SUM(IF(Dyno_Data[[#This Row],[AcqCenter]]&gt;0,Dyno_Data[[#This Row],[Time]]-SUMIFS(Dyno_Data[Time],Dyno_Data[Team],Dyno_Data[[#This Row],[Team]],Dyno_Data[RecordType],"StartMatch",Dyno_Data[Match],Dyno_Data[[#This Row],[Match]]),0)*86400),0)</f>
        <v>0</v>
      </c>
    </row>
    <row r="1853" spans="1:35" x14ac:dyDescent="0.3">
      <c r="A1853">
        <v>1852</v>
      </c>
      <c r="B1853" t="s">
        <v>1309</v>
      </c>
      <c r="C1853">
        <v>37</v>
      </c>
      <c r="D1853" s="105">
        <v>45373.625317442129</v>
      </c>
      <c r="E1853" t="s">
        <v>314</v>
      </c>
      <c r="F1853" t="s">
        <v>309</v>
      </c>
      <c r="G1853">
        <v>1</v>
      </c>
      <c r="H1853" t="s">
        <v>310</v>
      </c>
      <c r="I1853">
        <v>0</v>
      </c>
      <c r="J1853">
        <v>0</v>
      </c>
      <c r="K1853">
        <v>0</v>
      </c>
      <c r="L1853" t="s">
        <v>310</v>
      </c>
      <c r="M1853" t="s">
        <v>310</v>
      </c>
      <c r="N1853">
        <v>0</v>
      </c>
      <c r="O1853" t="s">
        <v>1395</v>
      </c>
      <c r="P1853" t="s">
        <v>101</v>
      </c>
      <c r="Q1853" t="s">
        <v>1399</v>
      </c>
      <c r="R1853" t="s">
        <v>310</v>
      </c>
      <c r="S1853">
        <v>9</v>
      </c>
      <c r="T1853" t="s">
        <v>310</v>
      </c>
      <c r="U1853">
        <v>9</v>
      </c>
      <c r="V1853">
        <v>9</v>
      </c>
      <c r="W1853">
        <v>0</v>
      </c>
      <c r="X1853">
        <v>0</v>
      </c>
      <c r="Y1853">
        <v>0</v>
      </c>
      <c r="Z1853">
        <v>0</v>
      </c>
      <c r="AA1853">
        <v>9</v>
      </c>
      <c r="AB1853">
        <v>9</v>
      </c>
      <c r="AC1853" t="s">
        <v>310</v>
      </c>
      <c r="AD1853">
        <v>9</v>
      </c>
      <c r="AE1853" t="s">
        <v>1414</v>
      </c>
      <c r="AF1853">
        <v>0</v>
      </c>
      <c r="AG1853" t="s">
        <v>310</v>
      </c>
      <c r="AH1853">
        <f>SUM((MID(Dyno_Data[[#This Row],[Team]],4,5))+(Dyno_Data[[#This Row],[Match]]/100))</f>
        <v>3550.37</v>
      </c>
      <c r="AI1853" s="76">
        <f>ROUND(SUM(IF(Dyno_Data[[#This Row],[AcqCenter]]&gt;0,Dyno_Data[[#This Row],[Time]]-SUMIFS(Dyno_Data[Time],Dyno_Data[Team],Dyno_Data[[#This Row],[Team]],Dyno_Data[RecordType],"StartMatch",Dyno_Data[Match],Dyno_Data[[#This Row],[Match]]),0)*86400),0)</f>
        <v>0</v>
      </c>
    </row>
    <row r="1854" spans="1:35" x14ac:dyDescent="0.3">
      <c r="A1854">
        <v>1853</v>
      </c>
      <c r="B1854" t="s">
        <v>1286</v>
      </c>
      <c r="C1854">
        <v>37</v>
      </c>
      <c r="D1854" s="105">
        <v>45373.625340543978</v>
      </c>
      <c r="E1854" t="s">
        <v>312</v>
      </c>
      <c r="F1854" t="s">
        <v>1402</v>
      </c>
      <c r="G1854">
        <v>0</v>
      </c>
      <c r="H1854" t="s">
        <v>143</v>
      </c>
      <c r="I1854">
        <v>0</v>
      </c>
      <c r="J1854">
        <v>0</v>
      </c>
      <c r="K1854">
        <v>0</v>
      </c>
      <c r="L1854" t="s">
        <v>241</v>
      </c>
      <c r="M1854" t="s">
        <v>1398</v>
      </c>
      <c r="N1854">
        <v>0</v>
      </c>
      <c r="O1854" t="s">
        <v>311</v>
      </c>
      <c r="P1854" t="s">
        <v>310</v>
      </c>
      <c r="Q1854" t="s">
        <v>310</v>
      </c>
      <c r="R1854" t="s">
        <v>310</v>
      </c>
      <c r="S1854">
        <v>9</v>
      </c>
      <c r="T1854" t="s">
        <v>310</v>
      </c>
      <c r="U1854">
        <v>9</v>
      </c>
      <c r="V1854">
        <v>9</v>
      </c>
      <c r="W1854">
        <v>0</v>
      </c>
      <c r="X1854">
        <v>0</v>
      </c>
      <c r="Y1854">
        <v>0</v>
      </c>
      <c r="Z1854">
        <v>0</v>
      </c>
      <c r="AA1854">
        <v>9</v>
      </c>
      <c r="AB1854">
        <v>9</v>
      </c>
      <c r="AC1854" t="s">
        <v>310</v>
      </c>
      <c r="AD1854">
        <v>9</v>
      </c>
      <c r="AE1854" t="s">
        <v>1388</v>
      </c>
      <c r="AF1854">
        <v>10003000</v>
      </c>
      <c r="AG1854" t="s">
        <v>310</v>
      </c>
      <c r="AH1854">
        <f>SUM((MID(Dyno_Data[[#This Row],[Team]],4,5))+(Dyno_Data[[#This Row],[Match]]/100))</f>
        <v>1591.37</v>
      </c>
      <c r="AI1854" s="76">
        <f>ROUND(SUM(IF(Dyno_Data[[#This Row],[AcqCenter]]&gt;0,Dyno_Data[[#This Row],[Time]]-SUMIFS(Dyno_Data[Time],Dyno_Data[Team],Dyno_Data[[#This Row],[Team]],Dyno_Data[RecordType],"StartMatch",Dyno_Data[Match],Dyno_Data[[#This Row],[Match]]),0)*86400),0)</f>
        <v>0</v>
      </c>
    </row>
    <row r="1855" spans="1:35" x14ac:dyDescent="0.3">
      <c r="A1855">
        <v>1854</v>
      </c>
      <c r="B1855" t="s">
        <v>366</v>
      </c>
      <c r="C1855">
        <v>37</v>
      </c>
      <c r="D1855" s="105">
        <v>45373.625370983798</v>
      </c>
      <c r="E1855" t="s">
        <v>312</v>
      </c>
      <c r="F1855" t="s">
        <v>1402</v>
      </c>
      <c r="G1855">
        <v>0</v>
      </c>
      <c r="H1855" t="s">
        <v>315</v>
      </c>
      <c r="I1855">
        <v>0</v>
      </c>
      <c r="J1855">
        <v>0</v>
      </c>
      <c r="K1855">
        <v>0</v>
      </c>
      <c r="L1855" t="s">
        <v>240</v>
      </c>
      <c r="M1855" t="s">
        <v>1398</v>
      </c>
      <c r="N1855">
        <v>0</v>
      </c>
      <c r="O1855" t="s">
        <v>1389</v>
      </c>
      <c r="P1855" t="s">
        <v>310</v>
      </c>
      <c r="Q1855" t="s">
        <v>310</v>
      </c>
      <c r="R1855" t="s">
        <v>310</v>
      </c>
      <c r="S1855">
        <v>9</v>
      </c>
      <c r="T1855" t="s">
        <v>310</v>
      </c>
      <c r="U1855">
        <v>9</v>
      </c>
      <c r="V1855">
        <v>9</v>
      </c>
      <c r="W1855">
        <v>0</v>
      </c>
      <c r="X1855">
        <v>0</v>
      </c>
      <c r="Y1855">
        <v>0</v>
      </c>
      <c r="Z1855">
        <v>0</v>
      </c>
      <c r="AA1855">
        <v>9</v>
      </c>
      <c r="AB1855">
        <v>9</v>
      </c>
      <c r="AC1855" t="s">
        <v>310</v>
      </c>
      <c r="AD1855">
        <v>9</v>
      </c>
      <c r="AE1855" t="s">
        <v>1413</v>
      </c>
      <c r="AF1855">
        <v>10000000</v>
      </c>
      <c r="AG1855" t="s">
        <v>310</v>
      </c>
      <c r="AH1855">
        <f>SUM((MID(Dyno_Data[[#This Row],[Team]],4,5))+(Dyno_Data[[#This Row],[Match]]/100))</f>
        <v>4122.37</v>
      </c>
      <c r="AI1855" s="76">
        <f>ROUND(SUM(IF(Dyno_Data[[#This Row],[AcqCenter]]&gt;0,Dyno_Data[[#This Row],[Time]]-SUMIFS(Dyno_Data[Time],Dyno_Data[Team],Dyno_Data[[#This Row],[Team]],Dyno_Data[RecordType],"StartMatch",Dyno_Data[Match],Dyno_Data[[#This Row],[Match]]),0)*86400),0)</f>
        <v>0</v>
      </c>
    </row>
    <row r="1856" spans="1:35" x14ac:dyDescent="0.3">
      <c r="A1856">
        <v>1855</v>
      </c>
      <c r="B1856" t="s">
        <v>1286</v>
      </c>
      <c r="C1856">
        <v>37</v>
      </c>
      <c r="D1856" s="105">
        <v>45373.625384722225</v>
      </c>
      <c r="E1856" t="s">
        <v>312</v>
      </c>
      <c r="F1856" t="s">
        <v>1402</v>
      </c>
      <c r="G1856">
        <v>0</v>
      </c>
      <c r="H1856" t="s">
        <v>315</v>
      </c>
      <c r="I1856">
        <v>0</v>
      </c>
      <c r="J1856">
        <v>0</v>
      </c>
      <c r="K1856">
        <v>0</v>
      </c>
      <c r="L1856" t="s">
        <v>241</v>
      </c>
      <c r="M1856" t="s">
        <v>1398</v>
      </c>
      <c r="N1856">
        <v>0</v>
      </c>
      <c r="O1856" t="s">
        <v>311</v>
      </c>
      <c r="P1856" t="s">
        <v>310</v>
      </c>
      <c r="Q1856" t="s">
        <v>310</v>
      </c>
      <c r="R1856" t="s">
        <v>310</v>
      </c>
      <c r="S1856">
        <v>9</v>
      </c>
      <c r="T1856" t="s">
        <v>310</v>
      </c>
      <c r="U1856">
        <v>9</v>
      </c>
      <c r="V1856">
        <v>9</v>
      </c>
      <c r="W1856">
        <v>0</v>
      </c>
      <c r="X1856">
        <v>0</v>
      </c>
      <c r="Y1856">
        <v>0</v>
      </c>
      <c r="Z1856">
        <v>0</v>
      </c>
      <c r="AA1856">
        <v>9</v>
      </c>
      <c r="AB1856">
        <v>9</v>
      </c>
      <c r="AC1856" t="s">
        <v>310</v>
      </c>
      <c r="AD1856">
        <v>9</v>
      </c>
      <c r="AE1856" t="s">
        <v>1388</v>
      </c>
      <c r="AF1856">
        <v>20003000</v>
      </c>
      <c r="AG1856" t="s">
        <v>310</v>
      </c>
      <c r="AH1856">
        <f>SUM((MID(Dyno_Data[[#This Row],[Team]],4,5))+(Dyno_Data[[#This Row],[Match]]/100))</f>
        <v>1591.37</v>
      </c>
      <c r="AI1856" s="76">
        <f>ROUND(SUM(IF(Dyno_Data[[#This Row],[AcqCenter]]&gt;0,Dyno_Data[[#This Row],[Time]]-SUMIFS(Dyno_Data[Time],Dyno_Data[Team],Dyno_Data[[#This Row],[Team]],Dyno_Data[RecordType],"StartMatch",Dyno_Data[Match],Dyno_Data[[#This Row],[Match]]),0)*86400),0)</f>
        <v>0</v>
      </c>
    </row>
    <row r="1857" spans="1:35" x14ac:dyDescent="0.3">
      <c r="A1857">
        <v>1856</v>
      </c>
      <c r="B1857" t="s">
        <v>366</v>
      </c>
      <c r="C1857">
        <v>37</v>
      </c>
      <c r="D1857" s="105">
        <v>45373.625433831017</v>
      </c>
      <c r="E1857" t="s">
        <v>312</v>
      </c>
      <c r="F1857" t="s">
        <v>1402</v>
      </c>
      <c r="G1857">
        <v>0</v>
      </c>
      <c r="H1857" t="s">
        <v>315</v>
      </c>
      <c r="I1857">
        <v>0</v>
      </c>
      <c r="J1857">
        <v>0</v>
      </c>
      <c r="K1857">
        <v>0</v>
      </c>
      <c r="L1857" t="s">
        <v>240</v>
      </c>
      <c r="M1857" t="s">
        <v>1398</v>
      </c>
      <c r="N1857">
        <v>0</v>
      </c>
      <c r="O1857" t="s">
        <v>1389</v>
      </c>
      <c r="P1857" t="s">
        <v>310</v>
      </c>
      <c r="Q1857" t="s">
        <v>310</v>
      </c>
      <c r="R1857" t="s">
        <v>310</v>
      </c>
      <c r="S1857">
        <v>9</v>
      </c>
      <c r="T1857" t="s">
        <v>310</v>
      </c>
      <c r="U1857">
        <v>9</v>
      </c>
      <c r="V1857">
        <v>9</v>
      </c>
      <c r="W1857">
        <v>0</v>
      </c>
      <c r="X1857">
        <v>0</v>
      </c>
      <c r="Y1857">
        <v>0</v>
      </c>
      <c r="Z1857">
        <v>0</v>
      </c>
      <c r="AA1857">
        <v>9</v>
      </c>
      <c r="AB1857">
        <v>9</v>
      </c>
      <c r="AC1857" t="s">
        <v>310</v>
      </c>
      <c r="AD1857">
        <v>9</v>
      </c>
      <c r="AE1857" t="s">
        <v>1413</v>
      </c>
      <c r="AF1857">
        <v>20000000</v>
      </c>
      <c r="AG1857" t="s">
        <v>310</v>
      </c>
      <c r="AH1857">
        <f>SUM((MID(Dyno_Data[[#This Row],[Team]],4,5))+(Dyno_Data[[#This Row],[Match]]/100))</f>
        <v>4122.37</v>
      </c>
      <c r="AI1857" s="76">
        <f>ROUND(SUM(IF(Dyno_Data[[#This Row],[AcqCenter]]&gt;0,Dyno_Data[[#This Row],[Time]]-SUMIFS(Dyno_Data[Time],Dyno_Data[Team],Dyno_Data[[#This Row],[Team]],Dyno_Data[RecordType],"StartMatch",Dyno_Data[Match],Dyno_Data[[#This Row],[Match]]),0)*86400),0)</f>
        <v>0</v>
      </c>
    </row>
    <row r="1858" spans="1:35" x14ac:dyDescent="0.3">
      <c r="A1858">
        <v>1857</v>
      </c>
      <c r="B1858" t="s">
        <v>1309</v>
      </c>
      <c r="C1858">
        <v>37</v>
      </c>
      <c r="D1858" s="105">
        <v>45373.625435300928</v>
      </c>
      <c r="E1858" t="s">
        <v>312</v>
      </c>
      <c r="F1858" t="s">
        <v>1402</v>
      </c>
      <c r="G1858">
        <v>0</v>
      </c>
      <c r="H1858" t="s">
        <v>315</v>
      </c>
      <c r="I1858">
        <v>0</v>
      </c>
      <c r="J1858">
        <v>0</v>
      </c>
      <c r="K1858">
        <v>0</v>
      </c>
      <c r="L1858" t="s">
        <v>242</v>
      </c>
      <c r="M1858" t="s">
        <v>241</v>
      </c>
      <c r="N1858">
        <v>0</v>
      </c>
      <c r="O1858" t="s">
        <v>1395</v>
      </c>
      <c r="P1858" t="s">
        <v>310</v>
      </c>
      <c r="Q1858" t="s">
        <v>310</v>
      </c>
      <c r="R1858" t="s">
        <v>310</v>
      </c>
      <c r="S1858">
        <v>9</v>
      </c>
      <c r="T1858" t="s">
        <v>310</v>
      </c>
      <c r="U1858">
        <v>9</v>
      </c>
      <c r="V1858">
        <v>9</v>
      </c>
      <c r="W1858">
        <v>0</v>
      </c>
      <c r="X1858">
        <v>0</v>
      </c>
      <c r="Y1858">
        <v>0</v>
      </c>
      <c r="Z1858">
        <v>0</v>
      </c>
      <c r="AA1858">
        <v>9</v>
      </c>
      <c r="AB1858">
        <v>9</v>
      </c>
      <c r="AC1858" t="s">
        <v>310</v>
      </c>
      <c r="AD1858">
        <v>9</v>
      </c>
      <c r="AE1858" t="s">
        <v>1414</v>
      </c>
      <c r="AF1858">
        <v>10000000</v>
      </c>
      <c r="AG1858" t="s">
        <v>310</v>
      </c>
      <c r="AH1858">
        <f>SUM((MID(Dyno_Data[[#This Row],[Team]],4,5))+(Dyno_Data[[#This Row],[Match]]/100))</f>
        <v>3550.37</v>
      </c>
      <c r="AI1858" s="76">
        <f>ROUND(SUM(IF(Dyno_Data[[#This Row],[AcqCenter]]&gt;0,Dyno_Data[[#This Row],[Time]]-SUMIFS(Dyno_Data[Time],Dyno_Data[Team],Dyno_Data[[#This Row],[Team]],Dyno_Data[RecordType],"StartMatch",Dyno_Data[Match],Dyno_Data[[#This Row],[Match]]),0)*86400),0)</f>
        <v>0</v>
      </c>
    </row>
    <row r="1859" spans="1:35" x14ac:dyDescent="0.3">
      <c r="A1859">
        <v>1858</v>
      </c>
      <c r="B1859" t="s">
        <v>1288</v>
      </c>
      <c r="C1859">
        <v>37</v>
      </c>
      <c r="D1859" s="105">
        <v>45373.625460613424</v>
      </c>
      <c r="E1859" t="s">
        <v>312</v>
      </c>
      <c r="F1859" t="s">
        <v>1402</v>
      </c>
      <c r="G1859">
        <v>0</v>
      </c>
      <c r="H1859" t="s">
        <v>315</v>
      </c>
      <c r="I1859">
        <v>0</v>
      </c>
      <c r="J1859">
        <v>0</v>
      </c>
      <c r="K1859">
        <v>0</v>
      </c>
      <c r="L1859" t="s">
        <v>241</v>
      </c>
      <c r="M1859" t="s">
        <v>101</v>
      </c>
      <c r="N1859">
        <v>0</v>
      </c>
      <c r="O1859" t="s">
        <v>1391</v>
      </c>
      <c r="P1859" t="s">
        <v>310</v>
      </c>
      <c r="Q1859" t="s">
        <v>310</v>
      </c>
      <c r="R1859" t="s">
        <v>310</v>
      </c>
      <c r="S1859">
        <v>9</v>
      </c>
      <c r="T1859" t="s">
        <v>310</v>
      </c>
      <c r="U1859">
        <v>9</v>
      </c>
      <c r="V1859">
        <v>9</v>
      </c>
      <c r="W1859">
        <v>0</v>
      </c>
      <c r="X1859">
        <v>0</v>
      </c>
      <c r="Y1859">
        <v>0</v>
      </c>
      <c r="Z1859">
        <v>0</v>
      </c>
      <c r="AA1859">
        <v>9</v>
      </c>
      <c r="AB1859">
        <v>9</v>
      </c>
      <c r="AC1859" t="s">
        <v>310</v>
      </c>
      <c r="AD1859">
        <v>9</v>
      </c>
      <c r="AE1859" t="s">
        <v>1412</v>
      </c>
      <c r="AF1859">
        <v>10000000</v>
      </c>
      <c r="AG1859" t="s">
        <v>310</v>
      </c>
      <c r="AH1859">
        <f>SUM((MID(Dyno_Data[[#This Row],[Team]],4,5))+(Dyno_Data[[#This Row],[Match]]/100))</f>
        <v>3181.37</v>
      </c>
      <c r="AI1859" s="76">
        <f>ROUND(SUM(IF(Dyno_Data[[#This Row],[AcqCenter]]&gt;0,Dyno_Data[[#This Row],[Time]]-SUMIFS(Dyno_Data[Time],Dyno_Data[Team],Dyno_Data[[#This Row],[Team]],Dyno_Data[RecordType],"StartMatch",Dyno_Data[Match],Dyno_Data[[#This Row],[Match]]),0)*86400),0)</f>
        <v>0</v>
      </c>
    </row>
    <row r="1860" spans="1:35" x14ac:dyDescent="0.3">
      <c r="A1860">
        <v>1859</v>
      </c>
      <c r="B1860" t="s">
        <v>1286</v>
      </c>
      <c r="C1860">
        <v>37</v>
      </c>
      <c r="D1860" s="105">
        <v>45373.625471562496</v>
      </c>
      <c r="E1860" t="s">
        <v>312</v>
      </c>
      <c r="F1860" t="s">
        <v>1402</v>
      </c>
      <c r="G1860">
        <v>0</v>
      </c>
      <c r="H1860" t="s">
        <v>315</v>
      </c>
      <c r="I1860">
        <v>0</v>
      </c>
      <c r="J1860">
        <v>0</v>
      </c>
      <c r="K1860">
        <v>0</v>
      </c>
      <c r="L1860" t="s">
        <v>241</v>
      </c>
      <c r="M1860" t="s">
        <v>1398</v>
      </c>
      <c r="N1860">
        <v>0</v>
      </c>
      <c r="O1860" t="s">
        <v>311</v>
      </c>
      <c r="P1860" t="s">
        <v>310</v>
      </c>
      <c r="Q1860" t="s">
        <v>310</v>
      </c>
      <c r="R1860" t="s">
        <v>310</v>
      </c>
      <c r="S1860">
        <v>9</v>
      </c>
      <c r="T1860" t="s">
        <v>310</v>
      </c>
      <c r="U1860">
        <v>9</v>
      </c>
      <c r="V1860">
        <v>9</v>
      </c>
      <c r="W1860">
        <v>0</v>
      </c>
      <c r="X1860">
        <v>0</v>
      </c>
      <c r="Y1860">
        <v>0</v>
      </c>
      <c r="Z1860">
        <v>0</v>
      </c>
      <c r="AA1860">
        <v>9</v>
      </c>
      <c r="AB1860">
        <v>9</v>
      </c>
      <c r="AC1860" t="s">
        <v>310</v>
      </c>
      <c r="AD1860">
        <v>9</v>
      </c>
      <c r="AE1860" t="s">
        <v>1388</v>
      </c>
      <c r="AF1860">
        <v>30003000</v>
      </c>
      <c r="AG1860" t="s">
        <v>310</v>
      </c>
      <c r="AH1860">
        <f>SUM((MID(Dyno_Data[[#This Row],[Team]],4,5))+(Dyno_Data[[#This Row],[Match]]/100))</f>
        <v>1591.37</v>
      </c>
      <c r="AI1860" s="76">
        <f>ROUND(SUM(IF(Dyno_Data[[#This Row],[AcqCenter]]&gt;0,Dyno_Data[[#This Row],[Time]]-SUMIFS(Dyno_Data[Time],Dyno_Data[Team],Dyno_Data[[#This Row],[Team]],Dyno_Data[RecordType],"StartMatch",Dyno_Data[Match],Dyno_Data[[#This Row],[Match]]),0)*86400),0)</f>
        <v>0</v>
      </c>
    </row>
    <row r="1861" spans="1:35" x14ac:dyDescent="0.3">
      <c r="A1861">
        <v>1860</v>
      </c>
      <c r="B1861" t="s">
        <v>371</v>
      </c>
      <c r="C1861">
        <v>37</v>
      </c>
      <c r="D1861" s="105">
        <v>45373.625484490738</v>
      </c>
      <c r="E1861" t="s">
        <v>312</v>
      </c>
      <c r="F1861" t="s">
        <v>1402</v>
      </c>
      <c r="G1861">
        <v>0</v>
      </c>
      <c r="H1861" t="s">
        <v>1397</v>
      </c>
      <c r="I1861">
        <v>0</v>
      </c>
      <c r="J1861">
        <v>0</v>
      </c>
      <c r="K1861">
        <v>0</v>
      </c>
      <c r="L1861" t="s">
        <v>241</v>
      </c>
      <c r="M1861" t="s">
        <v>1398</v>
      </c>
      <c r="N1861">
        <v>1</v>
      </c>
      <c r="O1861" t="s">
        <v>1393</v>
      </c>
      <c r="P1861" t="s">
        <v>310</v>
      </c>
      <c r="Q1861" t="s">
        <v>310</v>
      </c>
      <c r="R1861" t="s">
        <v>310</v>
      </c>
      <c r="S1861">
        <v>9</v>
      </c>
      <c r="T1861" t="s">
        <v>310</v>
      </c>
      <c r="U1861">
        <v>9</v>
      </c>
      <c r="V1861">
        <v>9</v>
      </c>
      <c r="W1861">
        <v>0</v>
      </c>
      <c r="X1861">
        <v>0</v>
      </c>
      <c r="Y1861">
        <v>0</v>
      </c>
      <c r="Z1861">
        <v>0</v>
      </c>
      <c r="AA1861">
        <v>9</v>
      </c>
      <c r="AB1861">
        <v>9</v>
      </c>
      <c r="AC1861" t="s">
        <v>310</v>
      </c>
      <c r="AD1861">
        <v>9</v>
      </c>
      <c r="AE1861" t="s">
        <v>1390</v>
      </c>
      <c r="AF1861">
        <v>0</v>
      </c>
      <c r="AG1861" t="s">
        <v>310</v>
      </c>
      <c r="AH1861">
        <f>SUM((MID(Dyno_Data[[#This Row],[Team]],4,5))+(Dyno_Data[[#This Row],[Match]]/100))</f>
        <v>6969.37</v>
      </c>
      <c r="AI1861" s="76">
        <f>ROUND(SUM(IF(Dyno_Data[[#This Row],[AcqCenter]]&gt;0,Dyno_Data[[#This Row],[Time]]-SUMIFS(Dyno_Data[Time],Dyno_Data[Team],Dyno_Data[[#This Row],[Team]],Dyno_Data[RecordType],"StartMatch",Dyno_Data[Match],Dyno_Data[[#This Row],[Match]]),0)*86400),0)</f>
        <v>0</v>
      </c>
    </row>
    <row r="1862" spans="1:35" x14ac:dyDescent="0.3">
      <c r="A1862">
        <v>1861</v>
      </c>
      <c r="B1862" t="s">
        <v>366</v>
      </c>
      <c r="C1862">
        <v>37</v>
      </c>
      <c r="D1862" s="105">
        <v>45373.625491817133</v>
      </c>
      <c r="E1862" t="s">
        <v>312</v>
      </c>
      <c r="F1862" t="s">
        <v>1402</v>
      </c>
      <c r="G1862">
        <v>0</v>
      </c>
      <c r="H1862" t="s">
        <v>315</v>
      </c>
      <c r="I1862">
        <v>0</v>
      </c>
      <c r="J1862">
        <v>0</v>
      </c>
      <c r="K1862">
        <v>0</v>
      </c>
      <c r="L1862" t="s">
        <v>240</v>
      </c>
      <c r="M1862" t="s">
        <v>1398</v>
      </c>
      <c r="N1862">
        <v>1</v>
      </c>
      <c r="O1862" t="s">
        <v>1389</v>
      </c>
      <c r="P1862" t="s">
        <v>310</v>
      </c>
      <c r="Q1862" t="s">
        <v>310</v>
      </c>
      <c r="R1862" t="s">
        <v>310</v>
      </c>
      <c r="S1862">
        <v>9</v>
      </c>
      <c r="T1862" t="s">
        <v>310</v>
      </c>
      <c r="U1862">
        <v>9</v>
      </c>
      <c r="V1862">
        <v>9</v>
      </c>
      <c r="W1862">
        <v>0</v>
      </c>
      <c r="X1862">
        <v>0</v>
      </c>
      <c r="Y1862">
        <v>0</v>
      </c>
      <c r="Z1862">
        <v>0</v>
      </c>
      <c r="AA1862">
        <v>9</v>
      </c>
      <c r="AB1862">
        <v>9</v>
      </c>
      <c r="AC1862" t="s">
        <v>310</v>
      </c>
      <c r="AD1862">
        <v>9</v>
      </c>
      <c r="AE1862" t="s">
        <v>1413</v>
      </c>
      <c r="AF1862">
        <v>30000000</v>
      </c>
      <c r="AG1862" t="s">
        <v>310</v>
      </c>
      <c r="AH1862">
        <f>SUM((MID(Dyno_Data[[#This Row],[Team]],4,5))+(Dyno_Data[[#This Row],[Match]]/100))</f>
        <v>4122.37</v>
      </c>
      <c r="AI1862" s="76">
        <f>ROUND(SUM(IF(Dyno_Data[[#This Row],[AcqCenter]]&gt;0,Dyno_Data[[#This Row],[Time]]-SUMIFS(Dyno_Data[Time],Dyno_Data[Team],Dyno_Data[[#This Row],[Team]],Dyno_Data[RecordType],"StartMatch",Dyno_Data[Match],Dyno_Data[[#This Row],[Match]]),0)*86400),0)</f>
        <v>0</v>
      </c>
    </row>
    <row r="1863" spans="1:35" x14ac:dyDescent="0.3">
      <c r="A1863">
        <v>1862</v>
      </c>
      <c r="B1863" t="s">
        <v>366</v>
      </c>
      <c r="C1863">
        <v>37</v>
      </c>
      <c r="D1863" s="105">
        <v>45373.625557557869</v>
      </c>
      <c r="E1863" t="s">
        <v>312</v>
      </c>
      <c r="F1863" t="s">
        <v>1402</v>
      </c>
      <c r="G1863">
        <v>0</v>
      </c>
      <c r="H1863" t="s">
        <v>315</v>
      </c>
      <c r="I1863">
        <v>0</v>
      </c>
      <c r="J1863">
        <v>0</v>
      </c>
      <c r="K1863">
        <v>0</v>
      </c>
      <c r="L1863" t="s">
        <v>240</v>
      </c>
      <c r="M1863" t="s">
        <v>1398</v>
      </c>
      <c r="N1863">
        <v>0</v>
      </c>
      <c r="O1863" t="s">
        <v>1389</v>
      </c>
      <c r="P1863" t="s">
        <v>310</v>
      </c>
      <c r="Q1863" t="s">
        <v>310</v>
      </c>
      <c r="R1863" t="s">
        <v>310</v>
      </c>
      <c r="S1863">
        <v>9</v>
      </c>
      <c r="T1863" t="s">
        <v>310</v>
      </c>
      <c r="U1863">
        <v>9</v>
      </c>
      <c r="V1863">
        <v>9</v>
      </c>
      <c r="W1863">
        <v>0</v>
      </c>
      <c r="X1863">
        <v>0</v>
      </c>
      <c r="Y1863">
        <v>0</v>
      </c>
      <c r="Z1863">
        <v>0</v>
      </c>
      <c r="AA1863">
        <v>9</v>
      </c>
      <c r="AB1863">
        <v>9</v>
      </c>
      <c r="AC1863" t="s">
        <v>310</v>
      </c>
      <c r="AD1863">
        <v>9</v>
      </c>
      <c r="AE1863" t="s">
        <v>1413</v>
      </c>
      <c r="AF1863">
        <v>40000000</v>
      </c>
      <c r="AG1863" t="s">
        <v>310</v>
      </c>
      <c r="AH1863">
        <f>SUM((MID(Dyno_Data[[#This Row],[Team]],4,5))+(Dyno_Data[[#This Row],[Match]]/100))</f>
        <v>4122.37</v>
      </c>
      <c r="AI1863" s="76">
        <f>ROUND(SUM(IF(Dyno_Data[[#This Row],[AcqCenter]]&gt;0,Dyno_Data[[#This Row],[Time]]-SUMIFS(Dyno_Data[Time],Dyno_Data[Team],Dyno_Data[[#This Row],[Team]],Dyno_Data[RecordType],"StartMatch",Dyno_Data[Match],Dyno_Data[[#This Row],[Match]]),0)*86400),0)</f>
        <v>0</v>
      </c>
    </row>
    <row r="1864" spans="1:35" x14ac:dyDescent="0.3">
      <c r="A1864">
        <v>1863</v>
      </c>
      <c r="B1864" t="s">
        <v>370</v>
      </c>
      <c r="C1864">
        <v>37</v>
      </c>
      <c r="D1864" s="105">
        <v>45373.625573460646</v>
      </c>
      <c r="E1864" t="s">
        <v>312</v>
      </c>
      <c r="F1864" t="s">
        <v>1402</v>
      </c>
      <c r="G1864">
        <v>0</v>
      </c>
      <c r="H1864" t="s">
        <v>315</v>
      </c>
      <c r="I1864">
        <v>0</v>
      </c>
      <c r="J1864">
        <v>0</v>
      </c>
      <c r="K1864">
        <v>0</v>
      </c>
      <c r="L1864" t="s">
        <v>241</v>
      </c>
      <c r="M1864" t="s">
        <v>1398</v>
      </c>
      <c r="N1864">
        <v>0</v>
      </c>
      <c r="O1864" t="s">
        <v>319</v>
      </c>
      <c r="P1864" t="s">
        <v>310</v>
      </c>
      <c r="Q1864" t="s">
        <v>310</v>
      </c>
      <c r="R1864" t="s">
        <v>310</v>
      </c>
      <c r="S1864">
        <v>9</v>
      </c>
      <c r="T1864" t="s">
        <v>310</v>
      </c>
      <c r="U1864">
        <v>9</v>
      </c>
      <c r="V1864">
        <v>9</v>
      </c>
      <c r="W1864">
        <v>0</v>
      </c>
      <c r="X1864">
        <v>0</v>
      </c>
      <c r="Y1864">
        <v>0</v>
      </c>
      <c r="Z1864">
        <v>0</v>
      </c>
      <c r="AA1864">
        <v>9</v>
      </c>
      <c r="AB1864">
        <v>9</v>
      </c>
      <c r="AC1864" t="s">
        <v>310</v>
      </c>
      <c r="AD1864">
        <v>9</v>
      </c>
      <c r="AE1864" t="s">
        <v>1396</v>
      </c>
      <c r="AF1864">
        <v>10000000</v>
      </c>
      <c r="AG1864" t="s">
        <v>310</v>
      </c>
      <c r="AH1864">
        <f>SUM((MID(Dyno_Data[[#This Row],[Team]],4,5))+(Dyno_Data[[#This Row],[Match]]/100))</f>
        <v>6911.37</v>
      </c>
      <c r="AI1864" s="76">
        <f>ROUND(SUM(IF(Dyno_Data[[#This Row],[AcqCenter]]&gt;0,Dyno_Data[[#This Row],[Time]]-SUMIFS(Dyno_Data[Time],Dyno_Data[Team],Dyno_Data[[#This Row],[Team]],Dyno_Data[RecordType],"StartMatch",Dyno_Data[Match],Dyno_Data[[#This Row],[Match]]),0)*86400),0)</f>
        <v>0</v>
      </c>
    </row>
    <row r="1865" spans="1:35" x14ac:dyDescent="0.3">
      <c r="A1865">
        <v>1864</v>
      </c>
      <c r="B1865" t="s">
        <v>1286</v>
      </c>
      <c r="C1865">
        <v>37</v>
      </c>
      <c r="D1865" s="105">
        <v>45373.625577858795</v>
      </c>
      <c r="E1865" t="s">
        <v>312</v>
      </c>
      <c r="F1865" t="s">
        <v>1402</v>
      </c>
      <c r="G1865">
        <v>0</v>
      </c>
      <c r="H1865" t="s">
        <v>315</v>
      </c>
      <c r="I1865">
        <v>0</v>
      </c>
      <c r="J1865">
        <v>0</v>
      </c>
      <c r="K1865">
        <v>0</v>
      </c>
      <c r="L1865" t="s">
        <v>241</v>
      </c>
      <c r="M1865" t="s">
        <v>1398</v>
      </c>
      <c r="N1865">
        <v>0</v>
      </c>
      <c r="O1865" t="s">
        <v>311</v>
      </c>
      <c r="P1865" t="s">
        <v>310</v>
      </c>
      <c r="Q1865" t="s">
        <v>310</v>
      </c>
      <c r="R1865" t="s">
        <v>310</v>
      </c>
      <c r="S1865">
        <v>9</v>
      </c>
      <c r="T1865" t="s">
        <v>310</v>
      </c>
      <c r="U1865">
        <v>9</v>
      </c>
      <c r="V1865">
        <v>9</v>
      </c>
      <c r="W1865">
        <v>0</v>
      </c>
      <c r="X1865">
        <v>0</v>
      </c>
      <c r="Y1865">
        <v>0</v>
      </c>
      <c r="Z1865">
        <v>0</v>
      </c>
      <c r="AA1865">
        <v>9</v>
      </c>
      <c r="AB1865">
        <v>9</v>
      </c>
      <c r="AC1865" t="s">
        <v>310</v>
      </c>
      <c r="AD1865">
        <v>9</v>
      </c>
      <c r="AE1865" t="s">
        <v>1388</v>
      </c>
      <c r="AF1865">
        <v>40003000</v>
      </c>
      <c r="AG1865" t="s">
        <v>310</v>
      </c>
      <c r="AH1865">
        <f>SUM((MID(Dyno_Data[[#This Row],[Team]],4,5))+(Dyno_Data[[#This Row],[Match]]/100))</f>
        <v>1591.37</v>
      </c>
      <c r="AI1865" s="76">
        <f>ROUND(SUM(IF(Dyno_Data[[#This Row],[AcqCenter]]&gt;0,Dyno_Data[[#This Row],[Time]]-SUMIFS(Dyno_Data[Time],Dyno_Data[Team],Dyno_Data[[#This Row],[Team]],Dyno_Data[RecordType],"StartMatch",Dyno_Data[Match],Dyno_Data[[#This Row],[Match]]),0)*86400),0)</f>
        <v>0</v>
      </c>
    </row>
    <row r="1866" spans="1:35" x14ac:dyDescent="0.3">
      <c r="A1866">
        <v>1865</v>
      </c>
      <c r="B1866" t="s">
        <v>1288</v>
      </c>
      <c r="C1866">
        <v>37</v>
      </c>
      <c r="D1866" s="105">
        <v>45373.625648067129</v>
      </c>
      <c r="E1866" t="s">
        <v>312</v>
      </c>
      <c r="F1866" t="s">
        <v>1402</v>
      </c>
      <c r="G1866">
        <v>0</v>
      </c>
      <c r="H1866" t="s">
        <v>315</v>
      </c>
      <c r="I1866">
        <v>0</v>
      </c>
      <c r="J1866">
        <v>0</v>
      </c>
      <c r="K1866">
        <v>0</v>
      </c>
      <c r="L1866" t="s">
        <v>241</v>
      </c>
      <c r="M1866" t="s">
        <v>1398</v>
      </c>
      <c r="N1866">
        <v>0</v>
      </c>
      <c r="O1866" t="s">
        <v>1391</v>
      </c>
      <c r="P1866" t="s">
        <v>310</v>
      </c>
      <c r="Q1866" t="s">
        <v>310</v>
      </c>
      <c r="R1866" t="s">
        <v>310</v>
      </c>
      <c r="S1866">
        <v>9</v>
      </c>
      <c r="T1866" t="s">
        <v>310</v>
      </c>
      <c r="U1866">
        <v>9</v>
      </c>
      <c r="V1866">
        <v>9</v>
      </c>
      <c r="W1866">
        <v>0</v>
      </c>
      <c r="X1866">
        <v>0</v>
      </c>
      <c r="Y1866">
        <v>0</v>
      </c>
      <c r="Z1866">
        <v>0</v>
      </c>
      <c r="AA1866">
        <v>9</v>
      </c>
      <c r="AB1866">
        <v>9</v>
      </c>
      <c r="AC1866" t="s">
        <v>310</v>
      </c>
      <c r="AD1866">
        <v>9</v>
      </c>
      <c r="AE1866" t="s">
        <v>1412</v>
      </c>
      <c r="AF1866">
        <v>20000000</v>
      </c>
      <c r="AG1866" t="s">
        <v>310</v>
      </c>
      <c r="AH1866">
        <f>SUM((MID(Dyno_Data[[#This Row],[Team]],4,5))+(Dyno_Data[[#This Row],[Match]]/100))</f>
        <v>3181.37</v>
      </c>
      <c r="AI1866" s="76">
        <f>ROUND(SUM(IF(Dyno_Data[[#This Row],[AcqCenter]]&gt;0,Dyno_Data[[#This Row],[Time]]-SUMIFS(Dyno_Data[Time],Dyno_Data[Team],Dyno_Data[[#This Row],[Team]],Dyno_Data[RecordType],"StartMatch",Dyno_Data[Match],Dyno_Data[[#This Row],[Match]]),0)*86400),0)</f>
        <v>0</v>
      </c>
    </row>
    <row r="1867" spans="1:35" x14ac:dyDescent="0.3">
      <c r="A1867">
        <v>1866</v>
      </c>
      <c r="B1867" t="s">
        <v>1309</v>
      </c>
      <c r="C1867">
        <v>37</v>
      </c>
      <c r="D1867" s="105">
        <v>45373.625661805556</v>
      </c>
      <c r="E1867" t="s">
        <v>1403</v>
      </c>
      <c r="F1867" t="s">
        <v>1402</v>
      </c>
      <c r="G1867">
        <v>0</v>
      </c>
      <c r="H1867" t="s">
        <v>310</v>
      </c>
      <c r="I1867">
        <v>0</v>
      </c>
      <c r="J1867">
        <v>0</v>
      </c>
      <c r="K1867">
        <v>0</v>
      </c>
      <c r="L1867" t="s">
        <v>310</v>
      </c>
      <c r="M1867" t="s">
        <v>310</v>
      </c>
      <c r="N1867">
        <v>0</v>
      </c>
      <c r="O1867" t="s">
        <v>1395</v>
      </c>
      <c r="P1867" t="s">
        <v>310</v>
      </c>
      <c r="Q1867" t="s">
        <v>310</v>
      </c>
      <c r="R1867" t="s">
        <v>310</v>
      </c>
      <c r="S1867">
        <v>9</v>
      </c>
      <c r="T1867" t="s">
        <v>310</v>
      </c>
      <c r="U1867">
        <v>9</v>
      </c>
      <c r="V1867">
        <v>9</v>
      </c>
      <c r="W1867">
        <v>0</v>
      </c>
      <c r="X1867">
        <v>0</v>
      </c>
      <c r="Y1867">
        <v>0</v>
      </c>
      <c r="Z1867">
        <v>0</v>
      </c>
      <c r="AA1867">
        <v>9</v>
      </c>
      <c r="AB1867">
        <v>9</v>
      </c>
      <c r="AC1867" t="s">
        <v>310</v>
      </c>
      <c r="AD1867">
        <v>9</v>
      </c>
      <c r="AE1867" t="s">
        <v>1414</v>
      </c>
      <c r="AF1867">
        <v>20000000</v>
      </c>
      <c r="AG1867" t="s">
        <v>249</v>
      </c>
      <c r="AH1867">
        <f>SUM((MID(Dyno_Data[[#This Row],[Team]],4,5))+(Dyno_Data[[#This Row],[Match]]/100))</f>
        <v>3550.37</v>
      </c>
      <c r="AI1867" s="76">
        <f>ROUND(SUM(IF(Dyno_Data[[#This Row],[AcqCenter]]&gt;0,Dyno_Data[[#This Row],[Time]]-SUMIFS(Dyno_Data[Time],Dyno_Data[Team],Dyno_Data[[#This Row],[Team]],Dyno_Data[RecordType],"StartMatch",Dyno_Data[Match],Dyno_Data[[#This Row],[Match]]),0)*86400),0)</f>
        <v>0</v>
      </c>
    </row>
    <row r="1868" spans="1:35" x14ac:dyDescent="0.3">
      <c r="A1868">
        <v>1867</v>
      </c>
      <c r="B1868" t="s">
        <v>1286</v>
      </c>
      <c r="C1868">
        <v>37</v>
      </c>
      <c r="D1868" s="105">
        <v>45373.625694409726</v>
      </c>
      <c r="E1868" t="s">
        <v>312</v>
      </c>
      <c r="F1868" t="s">
        <v>1402</v>
      </c>
      <c r="G1868">
        <v>0</v>
      </c>
      <c r="H1868" t="s">
        <v>315</v>
      </c>
      <c r="I1868">
        <v>0</v>
      </c>
      <c r="J1868">
        <v>0</v>
      </c>
      <c r="K1868">
        <v>0</v>
      </c>
      <c r="L1868" t="s">
        <v>241</v>
      </c>
      <c r="M1868" t="s">
        <v>1398</v>
      </c>
      <c r="N1868">
        <v>0</v>
      </c>
      <c r="O1868" t="s">
        <v>311</v>
      </c>
      <c r="P1868" t="s">
        <v>310</v>
      </c>
      <c r="Q1868" t="s">
        <v>310</v>
      </c>
      <c r="R1868" t="s">
        <v>310</v>
      </c>
      <c r="S1868">
        <v>9</v>
      </c>
      <c r="T1868" t="s">
        <v>310</v>
      </c>
      <c r="U1868">
        <v>9</v>
      </c>
      <c r="V1868">
        <v>9</v>
      </c>
      <c r="W1868">
        <v>0</v>
      </c>
      <c r="X1868">
        <v>0</v>
      </c>
      <c r="Y1868">
        <v>0</v>
      </c>
      <c r="Z1868">
        <v>0</v>
      </c>
      <c r="AA1868">
        <v>9</v>
      </c>
      <c r="AB1868">
        <v>9</v>
      </c>
      <c r="AC1868" t="s">
        <v>310</v>
      </c>
      <c r="AD1868">
        <v>9</v>
      </c>
      <c r="AE1868" t="s">
        <v>1388</v>
      </c>
      <c r="AF1868">
        <v>50003000</v>
      </c>
      <c r="AG1868" t="s">
        <v>310</v>
      </c>
      <c r="AH1868">
        <f>SUM((MID(Dyno_Data[[#This Row],[Team]],4,5))+(Dyno_Data[[#This Row],[Match]]/100))</f>
        <v>1591.37</v>
      </c>
      <c r="AI1868" s="76">
        <f>ROUND(SUM(IF(Dyno_Data[[#This Row],[AcqCenter]]&gt;0,Dyno_Data[[#This Row],[Time]]-SUMIFS(Dyno_Data[Time],Dyno_Data[Team],Dyno_Data[[#This Row],[Team]],Dyno_Data[RecordType],"StartMatch",Dyno_Data[Match],Dyno_Data[[#This Row],[Match]]),0)*86400),0)</f>
        <v>0</v>
      </c>
    </row>
    <row r="1869" spans="1:35" x14ac:dyDescent="0.3">
      <c r="A1869">
        <v>1868</v>
      </c>
      <c r="B1869" t="s">
        <v>366</v>
      </c>
      <c r="C1869">
        <v>37</v>
      </c>
      <c r="D1869" s="105">
        <v>45373.625713113426</v>
      </c>
      <c r="E1869" t="s">
        <v>312</v>
      </c>
      <c r="F1869" t="s">
        <v>1402</v>
      </c>
      <c r="G1869">
        <v>0</v>
      </c>
      <c r="H1869" t="s">
        <v>315</v>
      </c>
      <c r="I1869">
        <v>0</v>
      </c>
      <c r="J1869">
        <v>0</v>
      </c>
      <c r="K1869">
        <v>0</v>
      </c>
      <c r="L1869" t="s">
        <v>241</v>
      </c>
      <c r="M1869" t="s">
        <v>1398</v>
      </c>
      <c r="N1869">
        <v>0</v>
      </c>
      <c r="O1869" t="s">
        <v>1389</v>
      </c>
      <c r="P1869" t="s">
        <v>310</v>
      </c>
      <c r="Q1869" t="s">
        <v>310</v>
      </c>
      <c r="R1869" t="s">
        <v>310</v>
      </c>
      <c r="S1869">
        <v>9</v>
      </c>
      <c r="T1869" t="s">
        <v>310</v>
      </c>
      <c r="U1869">
        <v>9</v>
      </c>
      <c r="V1869">
        <v>9</v>
      </c>
      <c r="W1869">
        <v>0</v>
      </c>
      <c r="X1869">
        <v>0</v>
      </c>
      <c r="Y1869">
        <v>0</v>
      </c>
      <c r="Z1869">
        <v>0</v>
      </c>
      <c r="AA1869">
        <v>9</v>
      </c>
      <c r="AB1869">
        <v>9</v>
      </c>
      <c r="AC1869" t="s">
        <v>310</v>
      </c>
      <c r="AD1869">
        <v>9</v>
      </c>
      <c r="AE1869" t="s">
        <v>1413</v>
      </c>
      <c r="AF1869">
        <v>50000000</v>
      </c>
      <c r="AG1869" t="s">
        <v>310</v>
      </c>
      <c r="AH1869">
        <f>SUM((MID(Dyno_Data[[#This Row],[Team]],4,5))+(Dyno_Data[[#This Row],[Match]]/100))</f>
        <v>4122.37</v>
      </c>
      <c r="AI1869" s="76">
        <f>ROUND(SUM(IF(Dyno_Data[[#This Row],[AcqCenter]]&gt;0,Dyno_Data[[#This Row],[Time]]-SUMIFS(Dyno_Data[Time],Dyno_Data[Team],Dyno_Data[[#This Row],[Team]],Dyno_Data[RecordType],"StartMatch",Dyno_Data[Match],Dyno_Data[[#This Row],[Match]]),0)*86400),0)</f>
        <v>0</v>
      </c>
    </row>
    <row r="1870" spans="1:35" x14ac:dyDescent="0.3">
      <c r="A1870">
        <v>1869</v>
      </c>
      <c r="B1870" t="s">
        <v>370</v>
      </c>
      <c r="C1870">
        <v>37</v>
      </c>
      <c r="D1870" s="105">
        <v>45373.625775578701</v>
      </c>
      <c r="E1870" t="s">
        <v>312</v>
      </c>
      <c r="F1870" t="s">
        <v>1402</v>
      </c>
      <c r="G1870">
        <v>0</v>
      </c>
      <c r="H1870" t="s">
        <v>315</v>
      </c>
      <c r="I1870">
        <v>0</v>
      </c>
      <c r="J1870">
        <v>0</v>
      </c>
      <c r="K1870">
        <v>0</v>
      </c>
      <c r="L1870" t="s">
        <v>241</v>
      </c>
      <c r="M1870" t="s">
        <v>1398</v>
      </c>
      <c r="N1870">
        <v>0</v>
      </c>
      <c r="O1870" t="s">
        <v>319</v>
      </c>
      <c r="P1870" t="s">
        <v>310</v>
      </c>
      <c r="Q1870" t="s">
        <v>310</v>
      </c>
      <c r="R1870" t="s">
        <v>310</v>
      </c>
      <c r="S1870">
        <v>9</v>
      </c>
      <c r="T1870" t="s">
        <v>310</v>
      </c>
      <c r="U1870">
        <v>9</v>
      </c>
      <c r="V1870">
        <v>9</v>
      </c>
      <c r="W1870">
        <v>0</v>
      </c>
      <c r="X1870">
        <v>0</v>
      </c>
      <c r="Y1870">
        <v>0</v>
      </c>
      <c r="Z1870">
        <v>0</v>
      </c>
      <c r="AA1870">
        <v>9</v>
      </c>
      <c r="AB1870">
        <v>9</v>
      </c>
      <c r="AC1870" t="s">
        <v>310</v>
      </c>
      <c r="AD1870">
        <v>9</v>
      </c>
      <c r="AE1870" t="s">
        <v>1396</v>
      </c>
      <c r="AF1870">
        <v>20000000</v>
      </c>
      <c r="AG1870" t="s">
        <v>310</v>
      </c>
      <c r="AH1870">
        <f>SUM((MID(Dyno_Data[[#This Row],[Team]],4,5))+(Dyno_Data[[#This Row],[Match]]/100))</f>
        <v>6911.37</v>
      </c>
      <c r="AI1870" s="76">
        <f>ROUND(SUM(IF(Dyno_Data[[#This Row],[AcqCenter]]&gt;0,Dyno_Data[[#This Row],[Time]]-SUMIFS(Dyno_Data[Time],Dyno_Data[Team],Dyno_Data[[#This Row],[Team]],Dyno_Data[RecordType],"StartMatch",Dyno_Data[Match],Dyno_Data[[#This Row],[Match]]),0)*86400),0)</f>
        <v>0</v>
      </c>
    </row>
    <row r="1871" spans="1:35" x14ac:dyDescent="0.3">
      <c r="A1871">
        <v>1870</v>
      </c>
      <c r="B1871" t="s">
        <v>1288</v>
      </c>
      <c r="C1871">
        <v>37</v>
      </c>
      <c r="D1871" s="105">
        <v>45373.625830439814</v>
      </c>
      <c r="E1871" t="s">
        <v>312</v>
      </c>
      <c r="F1871" t="s">
        <v>1402</v>
      </c>
      <c r="G1871">
        <v>0</v>
      </c>
      <c r="H1871" t="s">
        <v>315</v>
      </c>
      <c r="I1871">
        <v>0</v>
      </c>
      <c r="J1871">
        <v>0</v>
      </c>
      <c r="K1871">
        <v>0</v>
      </c>
      <c r="L1871" t="s">
        <v>241</v>
      </c>
      <c r="M1871" t="s">
        <v>1398</v>
      </c>
      <c r="N1871">
        <v>0</v>
      </c>
      <c r="O1871" t="s">
        <v>1391</v>
      </c>
      <c r="P1871" t="s">
        <v>310</v>
      </c>
      <c r="Q1871" t="s">
        <v>310</v>
      </c>
      <c r="R1871" t="s">
        <v>310</v>
      </c>
      <c r="S1871">
        <v>9</v>
      </c>
      <c r="T1871" t="s">
        <v>310</v>
      </c>
      <c r="U1871">
        <v>9</v>
      </c>
      <c r="V1871">
        <v>9</v>
      </c>
      <c r="W1871">
        <v>0</v>
      </c>
      <c r="X1871">
        <v>0</v>
      </c>
      <c r="Y1871">
        <v>0</v>
      </c>
      <c r="Z1871">
        <v>0</v>
      </c>
      <c r="AA1871">
        <v>9</v>
      </c>
      <c r="AB1871">
        <v>9</v>
      </c>
      <c r="AC1871" t="s">
        <v>310</v>
      </c>
      <c r="AD1871">
        <v>9</v>
      </c>
      <c r="AE1871" t="s">
        <v>1412</v>
      </c>
      <c r="AF1871">
        <v>30000000</v>
      </c>
      <c r="AG1871" t="s">
        <v>310</v>
      </c>
      <c r="AH1871">
        <f>SUM((MID(Dyno_Data[[#This Row],[Team]],4,5))+(Dyno_Data[[#This Row],[Match]]/100))</f>
        <v>3181.37</v>
      </c>
      <c r="AI1871" s="76">
        <f>ROUND(SUM(IF(Dyno_Data[[#This Row],[AcqCenter]]&gt;0,Dyno_Data[[#This Row],[Time]]-SUMIFS(Dyno_Data[Time],Dyno_Data[Team],Dyno_Data[[#This Row],[Team]],Dyno_Data[RecordType],"StartMatch",Dyno_Data[Match],Dyno_Data[[#This Row],[Match]]),0)*86400),0)</f>
        <v>0</v>
      </c>
    </row>
    <row r="1872" spans="1:35" x14ac:dyDescent="0.3">
      <c r="A1872">
        <v>1871</v>
      </c>
      <c r="B1872" t="s">
        <v>1286</v>
      </c>
      <c r="C1872">
        <v>37</v>
      </c>
      <c r="D1872" s="105">
        <v>45373.625845023147</v>
      </c>
      <c r="E1872" t="s">
        <v>312</v>
      </c>
      <c r="F1872" t="s">
        <v>1402</v>
      </c>
      <c r="G1872">
        <v>0</v>
      </c>
      <c r="H1872" t="s">
        <v>315</v>
      </c>
      <c r="I1872">
        <v>0</v>
      </c>
      <c r="J1872">
        <v>0</v>
      </c>
      <c r="K1872">
        <v>0</v>
      </c>
      <c r="L1872" t="s">
        <v>241</v>
      </c>
      <c r="M1872" t="s">
        <v>1398</v>
      </c>
      <c r="N1872">
        <v>0</v>
      </c>
      <c r="O1872" t="s">
        <v>311</v>
      </c>
      <c r="P1872" t="s">
        <v>310</v>
      </c>
      <c r="Q1872" t="s">
        <v>310</v>
      </c>
      <c r="R1872" t="s">
        <v>310</v>
      </c>
      <c r="S1872">
        <v>9</v>
      </c>
      <c r="T1872" t="s">
        <v>310</v>
      </c>
      <c r="U1872">
        <v>9</v>
      </c>
      <c r="V1872">
        <v>9</v>
      </c>
      <c r="W1872">
        <v>0</v>
      </c>
      <c r="X1872">
        <v>0</v>
      </c>
      <c r="Y1872">
        <v>0</v>
      </c>
      <c r="Z1872">
        <v>0</v>
      </c>
      <c r="AA1872">
        <v>9</v>
      </c>
      <c r="AB1872">
        <v>9</v>
      </c>
      <c r="AC1872" t="s">
        <v>310</v>
      </c>
      <c r="AD1872">
        <v>9</v>
      </c>
      <c r="AE1872" t="s">
        <v>1388</v>
      </c>
      <c r="AF1872">
        <v>60003000</v>
      </c>
      <c r="AG1872" t="s">
        <v>310</v>
      </c>
      <c r="AH1872">
        <f>SUM((MID(Dyno_Data[[#This Row],[Team]],4,5))+(Dyno_Data[[#This Row],[Match]]/100))</f>
        <v>1591.37</v>
      </c>
      <c r="AI1872" s="76">
        <f>ROUND(SUM(IF(Dyno_Data[[#This Row],[AcqCenter]]&gt;0,Dyno_Data[[#This Row],[Time]]-SUMIFS(Dyno_Data[Time],Dyno_Data[Team],Dyno_Data[[#This Row],[Team]],Dyno_Data[RecordType],"StartMatch",Dyno_Data[Match],Dyno_Data[[#This Row],[Match]]),0)*86400),0)</f>
        <v>0</v>
      </c>
    </row>
    <row r="1873" spans="1:35" x14ac:dyDescent="0.3">
      <c r="A1873">
        <v>1872</v>
      </c>
      <c r="B1873" t="s">
        <v>366</v>
      </c>
      <c r="C1873">
        <v>37</v>
      </c>
      <c r="D1873" s="105">
        <v>45373.625858101848</v>
      </c>
      <c r="E1873" t="s">
        <v>312</v>
      </c>
      <c r="F1873" t="s">
        <v>1402</v>
      </c>
      <c r="G1873">
        <v>0</v>
      </c>
      <c r="H1873" t="s">
        <v>315</v>
      </c>
      <c r="I1873">
        <v>0</v>
      </c>
      <c r="J1873">
        <v>0</v>
      </c>
      <c r="K1873">
        <v>0</v>
      </c>
      <c r="L1873" t="s">
        <v>241</v>
      </c>
      <c r="M1873" t="s">
        <v>1398</v>
      </c>
      <c r="N1873">
        <v>0</v>
      </c>
      <c r="O1873" t="s">
        <v>1389</v>
      </c>
      <c r="P1873" t="s">
        <v>310</v>
      </c>
      <c r="Q1873" t="s">
        <v>310</v>
      </c>
      <c r="R1873" t="s">
        <v>310</v>
      </c>
      <c r="S1873">
        <v>9</v>
      </c>
      <c r="T1873" t="s">
        <v>310</v>
      </c>
      <c r="U1873">
        <v>9</v>
      </c>
      <c r="V1873">
        <v>9</v>
      </c>
      <c r="W1873">
        <v>0</v>
      </c>
      <c r="X1873">
        <v>0</v>
      </c>
      <c r="Y1873">
        <v>0</v>
      </c>
      <c r="Z1873">
        <v>0</v>
      </c>
      <c r="AA1873">
        <v>9</v>
      </c>
      <c r="AB1873">
        <v>9</v>
      </c>
      <c r="AC1873" t="s">
        <v>310</v>
      </c>
      <c r="AD1873">
        <v>9</v>
      </c>
      <c r="AE1873" t="s">
        <v>1413</v>
      </c>
      <c r="AF1873">
        <v>60000000</v>
      </c>
      <c r="AG1873" t="s">
        <v>310</v>
      </c>
      <c r="AH1873">
        <f>SUM((MID(Dyno_Data[[#This Row],[Team]],4,5))+(Dyno_Data[[#This Row],[Match]]/100))</f>
        <v>4122.37</v>
      </c>
      <c r="AI1873" s="76">
        <f>ROUND(SUM(IF(Dyno_Data[[#This Row],[AcqCenter]]&gt;0,Dyno_Data[[#This Row],[Time]]-SUMIFS(Dyno_Data[Time],Dyno_Data[Team],Dyno_Data[[#This Row],[Team]],Dyno_Data[RecordType],"StartMatch",Dyno_Data[Match],Dyno_Data[[#This Row],[Match]]),0)*86400),0)</f>
        <v>0</v>
      </c>
    </row>
    <row r="1874" spans="1:35" x14ac:dyDescent="0.3">
      <c r="A1874">
        <v>1873</v>
      </c>
      <c r="B1874" t="s">
        <v>370</v>
      </c>
      <c r="C1874">
        <v>37</v>
      </c>
      <c r="D1874" s="105">
        <v>45373.625904826389</v>
      </c>
      <c r="E1874" t="s">
        <v>312</v>
      </c>
      <c r="F1874" t="s">
        <v>1402</v>
      </c>
      <c r="G1874">
        <v>0</v>
      </c>
      <c r="H1874" t="s">
        <v>315</v>
      </c>
      <c r="I1874">
        <v>0</v>
      </c>
      <c r="J1874">
        <v>0</v>
      </c>
      <c r="K1874">
        <v>0</v>
      </c>
      <c r="L1874" t="s">
        <v>241</v>
      </c>
      <c r="M1874" t="s">
        <v>1398</v>
      </c>
      <c r="N1874">
        <v>0</v>
      </c>
      <c r="O1874" t="s">
        <v>319</v>
      </c>
      <c r="P1874" t="s">
        <v>310</v>
      </c>
      <c r="Q1874" t="s">
        <v>310</v>
      </c>
      <c r="R1874" t="s">
        <v>310</v>
      </c>
      <c r="S1874">
        <v>9</v>
      </c>
      <c r="T1874" t="s">
        <v>310</v>
      </c>
      <c r="U1874">
        <v>9</v>
      </c>
      <c r="V1874">
        <v>9</v>
      </c>
      <c r="W1874">
        <v>0</v>
      </c>
      <c r="X1874">
        <v>0</v>
      </c>
      <c r="Y1874">
        <v>0</v>
      </c>
      <c r="Z1874">
        <v>0</v>
      </c>
      <c r="AA1874">
        <v>9</v>
      </c>
      <c r="AB1874">
        <v>9</v>
      </c>
      <c r="AC1874" t="s">
        <v>310</v>
      </c>
      <c r="AD1874">
        <v>9</v>
      </c>
      <c r="AE1874" t="s">
        <v>1396</v>
      </c>
      <c r="AF1874">
        <v>30000000</v>
      </c>
      <c r="AG1874" t="s">
        <v>310</v>
      </c>
      <c r="AH1874">
        <f>SUM((MID(Dyno_Data[[#This Row],[Team]],4,5))+(Dyno_Data[[#This Row],[Match]]/100))</f>
        <v>6911.37</v>
      </c>
      <c r="AI1874" s="76">
        <f>ROUND(SUM(IF(Dyno_Data[[#This Row],[AcqCenter]]&gt;0,Dyno_Data[[#This Row],[Time]]-SUMIFS(Dyno_Data[Time],Dyno_Data[Team],Dyno_Data[[#This Row],[Team]],Dyno_Data[RecordType],"StartMatch",Dyno_Data[Match],Dyno_Data[[#This Row],[Match]]),0)*86400),0)</f>
        <v>0</v>
      </c>
    </row>
    <row r="1875" spans="1:35" x14ac:dyDescent="0.3">
      <c r="A1875">
        <v>1874</v>
      </c>
      <c r="B1875" t="s">
        <v>1286</v>
      </c>
      <c r="C1875">
        <v>37</v>
      </c>
      <c r="D1875" s="105">
        <v>45373.62596917824</v>
      </c>
      <c r="E1875" t="s">
        <v>312</v>
      </c>
      <c r="F1875" t="s">
        <v>1402</v>
      </c>
      <c r="G1875">
        <v>0</v>
      </c>
      <c r="H1875" t="s">
        <v>315</v>
      </c>
      <c r="I1875">
        <v>0</v>
      </c>
      <c r="J1875">
        <v>0</v>
      </c>
      <c r="K1875">
        <v>0</v>
      </c>
      <c r="L1875" t="s">
        <v>241</v>
      </c>
      <c r="M1875" t="s">
        <v>1398</v>
      </c>
      <c r="N1875">
        <v>0</v>
      </c>
      <c r="O1875" t="s">
        <v>311</v>
      </c>
      <c r="P1875" t="s">
        <v>310</v>
      </c>
      <c r="Q1875" t="s">
        <v>310</v>
      </c>
      <c r="R1875" t="s">
        <v>310</v>
      </c>
      <c r="S1875">
        <v>9</v>
      </c>
      <c r="T1875" t="s">
        <v>310</v>
      </c>
      <c r="U1875">
        <v>9</v>
      </c>
      <c r="V1875">
        <v>9</v>
      </c>
      <c r="W1875">
        <v>0</v>
      </c>
      <c r="X1875">
        <v>0</v>
      </c>
      <c r="Y1875">
        <v>0</v>
      </c>
      <c r="Z1875">
        <v>0</v>
      </c>
      <c r="AA1875">
        <v>9</v>
      </c>
      <c r="AB1875">
        <v>9</v>
      </c>
      <c r="AC1875" t="s">
        <v>310</v>
      </c>
      <c r="AD1875">
        <v>9</v>
      </c>
      <c r="AE1875" t="s">
        <v>1388</v>
      </c>
      <c r="AF1875">
        <v>70003000</v>
      </c>
      <c r="AG1875" t="s">
        <v>310</v>
      </c>
      <c r="AH1875">
        <f>SUM((MID(Dyno_Data[[#This Row],[Team]],4,5))+(Dyno_Data[[#This Row],[Match]]/100))</f>
        <v>1591.37</v>
      </c>
      <c r="AI1875" s="76">
        <f>ROUND(SUM(IF(Dyno_Data[[#This Row],[AcqCenter]]&gt;0,Dyno_Data[[#This Row],[Time]]-SUMIFS(Dyno_Data[Time],Dyno_Data[Team],Dyno_Data[[#This Row],[Team]],Dyno_Data[RecordType],"StartMatch",Dyno_Data[Match],Dyno_Data[[#This Row],[Match]]),0)*86400),0)</f>
        <v>0</v>
      </c>
    </row>
    <row r="1876" spans="1:35" x14ac:dyDescent="0.3">
      <c r="A1876">
        <v>1875</v>
      </c>
      <c r="B1876" t="s">
        <v>366</v>
      </c>
      <c r="C1876">
        <v>37</v>
      </c>
      <c r="D1876" s="105">
        <v>45373.626003391204</v>
      </c>
      <c r="E1876" t="s">
        <v>312</v>
      </c>
      <c r="F1876" t="s">
        <v>1402</v>
      </c>
      <c r="G1876">
        <v>0</v>
      </c>
      <c r="H1876" t="s">
        <v>315</v>
      </c>
      <c r="I1876">
        <v>0</v>
      </c>
      <c r="J1876">
        <v>0</v>
      </c>
      <c r="K1876">
        <v>0</v>
      </c>
      <c r="L1876" t="s">
        <v>241</v>
      </c>
      <c r="M1876" t="s">
        <v>1398</v>
      </c>
      <c r="N1876">
        <v>0</v>
      </c>
      <c r="O1876" t="s">
        <v>1389</v>
      </c>
      <c r="P1876" t="s">
        <v>310</v>
      </c>
      <c r="Q1876" t="s">
        <v>310</v>
      </c>
      <c r="R1876" t="s">
        <v>310</v>
      </c>
      <c r="S1876">
        <v>9</v>
      </c>
      <c r="T1876" t="s">
        <v>310</v>
      </c>
      <c r="U1876">
        <v>9</v>
      </c>
      <c r="V1876">
        <v>9</v>
      </c>
      <c r="W1876">
        <v>0</v>
      </c>
      <c r="X1876">
        <v>0</v>
      </c>
      <c r="Y1876">
        <v>0</v>
      </c>
      <c r="Z1876">
        <v>0</v>
      </c>
      <c r="AA1876">
        <v>9</v>
      </c>
      <c r="AB1876">
        <v>9</v>
      </c>
      <c r="AC1876" t="s">
        <v>310</v>
      </c>
      <c r="AD1876">
        <v>9</v>
      </c>
      <c r="AE1876" t="s">
        <v>1413</v>
      </c>
      <c r="AF1876">
        <v>70000000</v>
      </c>
      <c r="AG1876" t="s">
        <v>310</v>
      </c>
      <c r="AH1876">
        <f>SUM((MID(Dyno_Data[[#This Row],[Team]],4,5))+(Dyno_Data[[#This Row],[Match]]/100))</f>
        <v>4122.37</v>
      </c>
      <c r="AI1876" s="76">
        <f>ROUND(SUM(IF(Dyno_Data[[#This Row],[AcqCenter]]&gt;0,Dyno_Data[[#This Row],[Time]]-SUMIFS(Dyno_Data[Time],Dyno_Data[Team],Dyno_Data[[#This Row],[Team]],Dyno_Data[RecordType],"StartMatch",Dyno_Data[Match],Dyno_Data[[#This Row],[Match]]),0)*86400),0)</f>
        <v>0</v>
      </c>
    </row>
    <row r="1877" spans="1:35" x14ac:dyDescent="0.3">
      <c r="A1877">
        <v>1876</v>
      </c>
      <c r="B1877" t="s">
        <v>1288</v>
      </c>
      <c r="C1877">
        <v>37</v>
      </c>
      <c r="D1877" s="105">
        <v>45373.62605146991</v>
      </c>
      <c r="E1877" t="s">
        <v>1403</v>
      </c>
      <c r="F1877" t="s">
        <v>1402</v>
      </c>
      <c r="G1877">
        <v>0</v>
      </c>
      <c r="H1877" t="s">
        <v>310</v>
      </c>
      <c r="I1877">
        <v>0</v>
      </c>
      <c r="J1877">
        <v>0</v>
      </c>
      <c r="K1877">
        <v>0</v>
      </c>
      <c r="L1877" t="s">
        <v>310</v>
      </c>
      <c r="M1877" t="s">
        <v>310</v>
      </c>
      <c r="N1877">
        <v>0</v>
      </c>
      <c r="O1877" t="s">
        <v>1391</v>
      </c>
      <c r="P1877" t="s">
        <v>310</v>
      </c>
      <c r="Q1877" t="s">
        <v>310</v>
      </c>
      <c r="R1877" t="s">
        <v>310</v>
      </c>
      <c r="S1877">
        <v>9</v>
      </c>
      <c r="T1877" t="s">
        <v>310</v>
      </c>
      <c r="U1877">
        <v>9</v>
      </c>
      <c r="V1877">
        <v>9</v>
      </c>
      <c r="W1877">
        <v>0</v>
      </c>
      <c r="X1877">
        <v>0</v>
      </c>
      <c r="Y1877">
        <v>0</v>
      </c>
      <c r="Z1877">
        <v>0</v>
      </c>
      <c r="AA1877">
        <v>9</v>
      </c>
      <c r="AB1877">
        <v>9</v>
      </c>
      <c r="AC1877" t="s">
        <v>310</v>
      </c>
      <c r="AD1877">
        <v>9</v>
      </c>
      <c r="AE1877" t="s">
        <v>1412</v>
      </c>
      <c r="AF1877">
        <v>70000000</v>
      </c>
      <c r="AG1877" t="s">
        <v>248</v>
      </c>
      <c r="AH1877">
        <f>SUM((MID(Dyno_Data[[#This Row],[Team]],4,5))+(Dyno_Data[[#This Row],[Match]]/100))</f>
        <v>3181.37</v>
      </c>
      <c r="AI1877" s="76">
        <f>ROUND(SUM(IF(Dyno_Data[[#This Row],[AcqCenter]]&gt;0,Dyno_Data[[#This Row],[Time]]-SUMIFS(Dyno_Data[Time],Dyno_Data[Team],Dyno_Data[[#This Row],[Team]],Dyno_Data[RecordType],"StartMatch",Dyno_Data[Match],Dyno_Data[[#This Row],[Match]]),0)*86400),0)</f>
        <v>0</v>
      </c>
    </row>
    <row r="1878" spans="1:35" x14ac:dyDescent="0.3">
      <c r="A1878">
        <v>1877</v>
      </c>
      <c r="B1878" t="s">
        <v>370</v>
      </c>
      <c r="C1878">
        <v>37</v>
      </c>
      <c r="D1878" s="105">
        <v>45373.626096562497</v>
      </c>
      <c r="E1878" t="s">
        <v>312</v>
      </c>
      <c r="F1878" t="s">
        <v>1402</v>
      </c>
      <c r="G1878">
        <v>0</v>
      </c>
      <c r="H1878" t="s">
        <v>315</v>
      </c>
      <c r="I1878">
        <v>0</v>
      </c>
      <c r="J1878">
        <v>0</v>
      </c>
      <c r="K1878">
        <v>0</v>
      </c>
      <c r="L1878" t="s">
        <v>241</v>
      </c>
      <c r="M1878" t="s">
        <v>1398</v>
      </c>
      <c r="N1878">
        <v>0</v>
      </c>
      <c r="O1878" t="s">
        <v>319</v>
      </c>
      <c r="P1878" t="s">
        <v>310</v>
      </c>
      <c r="Q1878" t="s">
        <v>310</v>
      </c>
      <c r="R1878" t="s">
        <v>310</v>
      </c>
      <c r="S1878">
        <v>9</v>
      </c>
      <c r="T1878" t="s">
        <v>310</v>
      </c>
      <c r="U1878">
        <v>9</v>
      </c>
      <c r="V1878">
        <v>9</v>
      </c>
      <c r="W1878">
        <v>0</v>
      </c>
      <c r="X1878">
        <v>0</v>
      </c>
      <c r="Y1878">
        <v>0</v>
      </c>
      <c r="Z1878">
        <v>0</v>
      </c>
      <c r="AA1878">
        <v>9</v>
      </c>
      <c r="AB1878">
        <v>9</v>
      </c>
      <c r="AC1878" t="s">
        <v>310</v>
      </c>
      <c r="AD1878">
        <v>9</v>
      </c>
      <c r="AE1878" t="s">
        <v>1396</v>
      </c>
      <c r="AF1878">
        <v>40000000</v>
      </c>
      <c r="AG1878" t="s">
        <v>310</v>
      </c>
      <c r="AH1878">
        <f>SUM((MID(Dyno_Data[[#This Row],[Team]],4,5))+(Dyno_Data[[#This Row],[Match]]/100))</f>
        <v>6911.37</v>
      </c>
      <c r="AI1878" s="76">
        <f>ROUND(SUM(IF(Dyno_Data[[#This Row],[AcqCenter]]&gt;0,Dyno_Data[[#This Row],[Time]]-SUMIFS(Dyno_Data[Time],Dyno_Data[Team],Dyno_Data[[#This Row],[Team]],Dyno_Data[RecordType],"StartMatch",Dyno_Data[Match],Dyno_Data[[#This Row],[Match]]),0)*86400),0)</f>
        <v>0</v>
      </c>
    </row>
    <row r="1879" spans="1:35" x14ac:dyDescent="0.3">
      <c r="A1879">
        <v>1878</v>
      </c>
      <c r="B1879" t="s">
        <v>1288</v>
      </c>
      <c r="C1879">
        <v>37</v>
      </c>
      <c r="D1879" s="105">
        <v>45373.626105208336</v>
      </c>
      <c r="E1879" t="s">
        <v>312</v>
      </c>
      <c r="F1879" t="s">
        <v>1402</v>
      </c>
      <c r="G1879">
        <v>0</v>
      </c>
      <c r="H1879" t="s">
        <v>315</v>
      </c>
      <c r="I1879">
        <v>0</v>
      </c>
      <c r="J1879">
        <v>0</v>
      </c>
      <c r="K1879">
        <v>0</v>
      </c>
      <c r="L1879" t="s">
        <v>241</v>
      </c>
      <c r="M1879" t="s">
        <v>1398</v>
      </c>
      <c r="N1879">
        <v>0</v>
      </c>
      <c r="O1879" t="s">
        <v>1391</v>
      </c>
      <c r="P1879" t="s">
        <v>310</v>
      </c>
      <c r="Q1879" t="s">
        <v>310</v>
      </c>
      <c r="R1879" t="s">
        <v>310</v>
      </c>
      <c r="S1879">
        <v>9</v>
      </c>
      <c r="T1879" t="s">
        <v>310</v>
      </c>
      <c r="U1879">
        <v>9</v>
      </c>
      <c r="V1879">
        <v>9</v>
      </c>
      <c r="W1879">
        <v>0</v>
      </c>
      <c r="X1879">
        <v>0</v>
      </c>
      <c r="Y1879">
        <v>0</v>
      </c>
      <c r="Z1879">
        <v>0</v>
      </c>
      <c r="AA1879">
        <v>9</v>
      </c>
      <c r="AB1879">
        <v>9</v>
      </c>
      <c r="AC1879" t="s">
        <v>310</v>
      </c>
      <c r="AD1879">
        <v>9</v>
      </c>
      <c r="AE1879" t="s">
        <v>1412</v>
      </c>
      <c r="AF1879">
        <v>40000000</v>
      </c>
      <c r="AG1879" t="s">
        <v>310</v>
      </c>
      <c r="AH1879">
        <f>SUM((MID(Dyno_Data[[#This Row],[Team]],4,5))+(Dyno_Data[[#This Row],[Match]]/100))</f>
        <v>3181.37</v>
      </c>
      <c r="AI1879" s="76">
        <f>ROUND(SUM(IF(Dyno_Data[[#This Row],[AcqCenter]]&gt;0,Dyno_Data[[#This Row],[Time]]-SUMIFS(Dyno_Data[Time],Dyno_Data[Team],Dyno_Data[[#This Row],[Team]],Dyno_Data[RecordType],"StartMatch",Dyno_Data[Match],Dyno_Data[[#This Row],[Match]]),0)*86400),0)</f>
        <v>0</v>
      </c>
    </row>
    <row r="1880" spans="1:35" x14ac:dyDescent="0.3">
      <c r="A1880">
        <v>1879</v>
      </c>
      <c r="B1880" t="s">
        <v>1286</v>
      </c>
      <c r="C1880">
        <v>37</v>
      </c>
      <c r="D1880" s="105">
        <v>45373.626164201392</v>
      </c>
      <c r="E1880" t="s">
        <v>312</v>
      </c>
      <c r="F1880" t="s">
        <v>1402</v>
      </c>
      <c r="G1880">
        <v>0</v>
      </c>
      <c r="H1880" t="s">
        <v>315</v>
      </c>
      <c r="I1880">
        <v>0</v>
      </c>
      <c r="J1880">
        <v>0</v>
      </c>
      <c r="K1880">
        <v>0</v>
      </c>
      <c r="L1880" t="s">
        <v>241</v>
      </c>
      <c r="M1880" t="s">
        <v>1398</v>
      </c>
      <c r="N1880">
        <v>0</v>
      </c>
      <c r="O1880" t="s">
        <v>311</v>
      </c>
      <c r="P1880" t="s">
        <v>310</v>
      </c>
      <c r="Q1880" t="s">
        <v>310</v>
      </c>
      <c r="R1880" t="s">
        <v>310</v>
      </c>
      <c r="S1880">
        <v>9</v>
      </c>
      <c r="T1880" t="s">
        <v>310</v>
      </c>
      <c r="U1880">
        <v>9</v>
      </c>
      <c r="V1880">
        <v>9</v>
      </c>
      <c r="W1880">
        <v>0</v>
      </c>
      <c r="X1880">
        <v>0</v>
      </c>
      <c r="Y1880">
        <v>0</v>
      </c>
      <c r="Z1880">
        <v>0</v>
      </c>
      <c r="AA1880">
        <v>9</v>
      </c>
      <c r="AB1880">
        <v>9</v>
      </c>
      <c r="AC1880" t="s">
        <v>310</v>
      </c>
      <c r="AD1880">
        <v>9</v>
      </c>
      <c r="AE1880" t="s">
        <v>1388</v>
      </c>
      <c r="AF1880">
        <v>80003000</v>
      </c>
      <c r="AG1880" t="s">
        <v>310</v>
      </c>
      <c r="AH1880">
        <f>SUM((MID(Dyno_Data[[#This Row],[Team]],4,5))+(Dyno_Data[[#This Row],[Match]]/100))</f>
        <v>1591.37</v>
      </c>
      <c r="AI1880" s="76">
        <f>ROUND(SUM(IF(Dyno_Data[[#This Row],[AcqCenter]]&gt;0,Dyno_Data[[#This Row],[Time]]-SUMIFS(Dyno_Data[Time],Dyno_Data[Team],Dyno_Data[[#This Row],[Team]],Dyno_Data[RecordType],"StartMatch",Dyno_Data[Match],Dyno_Data[[#This Row],[Match]]),0)*86400),0)</f>
        <v>0</v>
      </c>
    </row>
    <row r="1881" spans="1:35" x14ac:dyDescent="0.3">
      <c r="A1881">
        <v>1880</v>
      </c>
      <c r="B1881" t="s">
        <v>366</v>
      </c>
      <c r="C1881">
        <v>37</v>
      </c>
      <c r="D1881" s="105">
        <v>45373.626167789349</v>
      </c>
      <c r="E1881" t="s">
        <v>312</v>
      </c>
      <c r="F1881" t="s">
        <v>1402</v>
      </c>
      <c r="G1881">
        <v>0</v>
      </c>
      <c r="H1881" t="s">
        <v>315</v>
      </c>
      <c r="I1881">
        <v>0</v>
      </c>
      <c r="J1881">
        <v>0</v>
      </c>
      <c r="K1881">
        <v>0</v>
      </c>
      <c r="L1881" t="s">
        <v>241</v>
      </c>
      <c r="M1881" t="s">
        <v>1398</v>
      </c>
      <c r="N1881">
        <v>0</v>
      </c>
      <c r="O1881" t="s">
        <v>1389</v>
      </c>
      <c r="P1881" t="s">
        <v>310</v>
      </c>
      <c r="Q1881" t="s">
        <v>310</v>
      </c>
      <c r="R1881" t="s">
        <v>310</v>
      </c>
      <c r="S1881">
        <v>9</v>
      </c>
      <c r="T1881" t="s">
        <v>310</v>
      </c>
      <c r="U1881">
        <v>9</v>
      </c>
      <c r="V1881">
        <v>9</v>
      </c>
      <c r="W1881">
        <v>0</v>
      </c>
      <c r="X1881">
        <v>0</v>
      </c>
      <c r="Y1881">
        <v>0</v>
      </c>
      <c r="Z1881">
        <v>0</v>
      </c>
      <c r="AA1881">
        <v>9</v>
      </c>
      <c r="AB1881">
        <v>9</v>
      </c>
      <c r="AC1881" t="s">
        <v>310</v>
      </c>
      <c r="AD1881">
        <v>9</v>
      </c>
      <c r="AE1881" t="s">
        <v>1413</v>
      </c>
      <c r="AF1881">
        <v>80000000</v>
      </c>
      <c r="AG1881" t="s">
        <v>310</v>
      </c>
      <c r="AH1881">
        <f>SUM((MID(Dyno_Data[[#This Row],[Team]],4,5))+(Dyno_Data[[#This Row],[Match]]/100))</f>
        <v>4122.37</v>
      </c>
      <c r="AI1881" s="76">
        <f>ROUND(SUM(IF(Dyno_Data[[#This Row],[AcqCenter]]&gt;0,Dyno_Data[[#This Row],[Time]]-SUMIFS(Dyno_Data[Time],Dyno_Data[Team],Dyno_Data[[#This Row],[Team]],Dyno_Data[RecordType],"StartMatch",Dyno_Data[Match],Dyno_Data[[#This Row],[Match]]),0)*86400),0)</f>
        <v>0</v>
      </c>
    </row>
    <row r="1882" spans="1:35" x14ac:dyDescent="0.3">
      <c r="A1882">
        <v>1881</v>
      </c>
      <c r="B1882" t="s">
        <v>370</v>
      </c>
      <c r="C1882">
        <v>37</v>
      </c>
      <c r="D1882" s="105">
        <v>45373.626334803237</v>
      </c>
      <c r="E1882" t="s">
        <v>312</v>
      </c>
      <c r="F1882" t="s">
        <v>1402</v>
      </c>
      <c r="G1882">
        <v>0</v>
      </c>
      <c r="H1882" t="s">
        <v>315</v>
      </c>
      <c r="I1882">
        <v>0</v>
      </c>
      <c r="J1882">
        <v>0</v>
      </c>
      <c r="K1882">
        <v>0</v>
      </c>
      <c r="L1882" t="s">
        <v>241</v>
      </c>
      <c r="M1882" t="s">
        <v>1398</v>
      </c>
      <c r="N1882">
        <v>0</v>
      </c>
      <c r="O1882" t="s">
        <v>319</v>
      </c>
      <c r="P1882" t="s">
        <v>310</v>
      </c>
      <c r="Q1882" t="s">
        <v>310</v>
      </c>
      <c r="R1882" t="s">
        <v>310</v>
      </c>
      <c r="S1882">
        <v>9</v>
      </c>
      <c r="T1882" t="s">
        <v>310</v>
      </c>
      <c r="U1882">
        <v>9</v>
      </c>
      <c r="V1882">
        <v>9</v>
      </c>
      <c r="W1882">
        <v>0</v>
      </c>
      <c r="X1882">
        <v>0</v>
      </c>
      <c r="Y1882">
        <v>0</v>
      </c>
      <c r="Z1882">
        <v>0</v>
      </c>
      <c r="AA1882">
        <v>9</v>
      </c>
      <c r="AB1882">
        <v>9</v>
      </c>
      <c r="AC1882" t="s">
        <v>310</v>
      </c>
      <c r="AD1882">
        <v>9</v>
      </c>
      <c r="AE1882" t="s">
        <v>1396</v>
      </c>
      <c r="AF1882">
        <v>50000000</v>
      </c>
      <c r="AG1882" t="s">
        <v>310</v>
      </c>
      <c r="AH1882">
        <f>SUM((MID(Dyno_Data[[#This Row],[Team]],4,5))+(Dyno_Data[[#This Row],[Match]]/100))</f>
        <v>6911.37</v>
      </c>
      <c r="AI1882" s="76">
        <f>ROUND(SUM(IF(Dyno_Data[[#This Row],[AcqCenter]]&gt;0,Dyno_Data[[#This Row],[Time]]-SUMIFS(Dyno_Data[Time],Dyno_Data[Team],Dyno_Data[[#This Row],[Team]],Dyno_Data[RecordType],"StartMatch",Dyno_Data[Match],Dyno_Data[[#This Row],[Match]]),0)*86400),0)</f>
        <v>0</v>
      </c>
    </row>
    <row r="1883" spans="1:35" x14ac:dyDescent="0.3">
      <c r="A1883">
        <v>1882</v>
      </c>
      <c r="B1883" t="s">
        <v>366</v>
      </c>
      <c r="C1883">
        <v>37</v>
      </c>
      <c r="D1883" s="105">
        <v>45373.626336261572</v>
      </c>
      <c r="E1883" t="s">
        <v>312</v>
      </c>
      <c r="F1883" t="s">
        <v>1402</v>
      </c>
      <c r="G1883">
        <v>0</v>
      </c>
      <c r="H1883" t="s">
        <v>315</v>
      </c>
      <c r="I1883">
        <v>0</v>
      </c>
      <c r="J1883">
        <v>0</v>
      </c>
      <c r="K1883">
        <v>0</v>
      </c>
      <c r="L1883" t="s">
        <v>241</v>
      </c>
      <c r="M1883" t="s">
        <v>1398</v>
      </c>
      <c r="N1883">
        <v>0</v>
      </c>
      <c r="O1883" t="s">
        <v>1389</v>
      </c>
      <c r="P1883" t="s">
        <v>310</v>
      </c>
      <c r="Q1883" t="s">
        <v>310</v>
      </c>
      <c r="R1883" t="s">
        <v>310</v>
      </c>
      <c r="S1883">
        <v>9</v>
      </c>
      <c r="T1883" t="s">
        <v>310</v>
      </c>
      <c r="U1883">
        <v>9</v>
      </c>
      <c r="V1883">
        <v>9</v>
      </c>
      <c r="W1883">
        <v>0</v>
      </c>
      <c r="X1883">
        <v>0</v>
      </c>
      <c r="Y1883">
        <v>0</v>
      </c>
      <c r="Z1883">
        <v>0</v>
      </c>
      <c r="AA1883">
        <v>9</v>
      </c>
      <c r="AB1883">
        <v>9</v>
      </c>
      <c r="AC1883" t="s">
        <v>310</v>
      </c>
      <c r="AD1883">
        <v>9</v>
      </c>
      <c r="AE1883" t="s">
        <v>1413</v>
      </c>
      <c r="AF1883">
        <v>90000000</v>
      </c>
      <c r="AG1883" t="s">
        <v>310</v>
      </c>
      <c r="AH1883">
        <f>SUM((MID(Dyno_Data[[#This Row],[Team]],4,5))+(Dyno_Data[[#This Row],[Match]]/100))</f>
        <v>4122.37</v>
      </c>
      <c r="AI1883" s="76">
        <f>ROUND(SUM(IF(Dyno_Data[[#This Row],[AcqCenter]]&gt;0,Dyno_Data[[#This Row],[Time]]-SUMIFS(Dyno_Data[Time],Dyno_Data[Team],Dyno_Data[[#This Row],[Team]],Dyno_Data[RecordType],"StartMatch",Dyno_Data[Match],Dyno_Data[[#This Row],[Match]]),0)*86400),0)</f>
        <v>0</v>
      </c>
    </row>
    <row r="1884" spans="1:35" x14ac:dyDescent="0.3">
      <c r="A1884">
        <v>1883</v>
      </c>
      <c r="B1884" t="s">
        <v>1286</v>
      </c>
      <c r="C1884">
        <v>37</v>
      </c>
      <c r="D1884" s="105">
        <v>45373.626338576389</v>
      </c>
      <c r="E1884" t="s">
        <v>312</v>
      </c>
      <c r="F1884" t="s">
        <v>1402</v>
      </c>
      <c r="G1884">
        <v>0</v>
      </c>
      <c r="H1884" t="s">
        <v>315</v>
      </c>
      <c r="I1884">
        <v>0</v>
      </c>
      <c r="J1884">
        <v>0</v>
      </c>
      <c r="K1884">
        <v>0</v>
      </c>
      <c r="L1884" t="s">
        <v>241</v>
      </c>
      <c r="M1884" t="s">
        <v>1398</v>
      </c>
      <c r="N1884">
        <v>0</v>
      </c>
      <c r="O1884" t="s">
        <v>311</v>
      </c>
      <c r="P1884" t="s">
        <v>310</v>
      </c>
      <c r="Q1884" t="s">
        <v>310</v>
      </c>
      <c r="R1884" t="s">
        <v>310</v>
      </c>
      <c r="S1884">
        <v>9</v>
      </c>
      <c r="T1884" t="s">
        <v>310</v>
      </c>
      <c r="U1884">
        <v>9</v>
      </c>
      <c r="V1884">
        <v>9</v>
      </c>
      <c r="W1884">
        <v>0</v>
      </c>
      <c r="X1884">
        <v>0</v>
      </c>
      <c r="Y1884">
        <v>0</v>
      </c>
      <c r="Z1884">
        <v>0</v>
      </c>
      <c r="AA1884">
        <v>9</v>
      </c>
      <c r="AB1884">
        <v>9</v>
      </c>
      <c r="AC1884" t="s">
        <v>310</v>
      </c>
      <c r="AD1884">
        <v>9</v>
      </c>
      <c r="AE1884" t="s">
        <v>1388</v>
      </c>
      <c r="AF1884">
        <v>90003000</v>
      </c>
      <c r="AG1884" t="s">
        <v>310</v>
      </c>
      <c r="AH1884">
        <f>SUM((MID(Dyno_Data[[#This Row],[Team]],4,5))+(Dyno_Data[[#This Row],[Match]]/100))</f>
        <v>1591.37</v>
      </c>
      <c r="AI1884" s="76">
        <f>ROUND(SUM(IF(Dyno_Data[[#This Row],[AcqCenter]]&gt;0,Dyno_Data[[#This Row],[Time]]-SUMIFS(Dyno_Data[Time],Dyno_Data[Team],Dyno_Data[[#This Row],[Team]],Dyno_Data[RecordType],"StartMatch",Dyno_Data[Match],Dyno_Data[[#This Row],[Match]]),0)*86400),0)</f>
        <v>0</v>
      </c>
    </row>
    <row r="1885" spans="1:35" x14ac:dyDescent="0.3">
      <c r="A1885">
        <v>1884</v>
      </c>
      <c r="B1885" t="s">
        <v>366</v>
      </c>
      <c r="C1885">
        <v>37</v>
      </c>
      <c r="D1885" s="105">
        <v>45373.626422453701</v>
      </c>
      <c r="E1885" t="s">
        <v>312</v>
      </c>
      <c r="F1885" t="s">
        <v>1402</v>
      </c>
      <c r="G1885">
        <v>0</v>
      </c>
      <c r="H1885" t="s">
        <v>315</v>
      </c>
      <c r="I1885">
        <v>0</v>
      </c>
      <c r="J1885">
        <v>0</v>
      </c>
      <c r="K1885">
        <v>0</v>
      </c>
      <c r="L1885" t="s">
        <v>241</v>
      </c>
      <c r="M1885" t="s">
        <v>1398</v>
      </c>
      <c r="N1885">
        <v>0</v>
      </c>
      <c r="O1885" t="s">
        <v>1389</v>
      </c>
      <c r="P1885" t="s">
        <v>310</v>
      </c>
      <c r="Q1885" t="s">
        <v>310</v>
      </c>
      <c r="R1885" t="s">
        <v>310</v>
      </c>
      <c r="S1885">
        <v>9</v>
      </c>
      <c r="T1885" t="s">
        <v>310</v>
      </c>
      <c r="U1885">
        <v>9</v>
      </c>
      <c r="V1885">
        <v>9</v>
      </c>
      <c r="W1885">
        <v>0</v>
      </c>
      <c r="X1885">
        <v>0</v>
      </c>
      <c r="Y1885">
        <v>0</v>
      </c>
      <c r="Z1885">
        <v>0</v>
      </c>
      <c r="AA1885">
        <v>9</v>
      </c>
      <c r="AB1885">
        <v>9</v>
      </c>
      <c r="AC1885" t="s">
        <v>310</v>
      </c>
      <c r="AD1885">
        <v>9</v>
      </c>
      <c r="AE1885" t="s">
        <v>1413</v>
      </c>
      <c r="AF1885">
        <v>100000000</v>
      </c>
      <c r="AG1885" t="s">
        <v>310</v>
      </c>
      <c r="AH1885">
        <f>SUM((MID(Dyno_Data[[#This Row],[Team]],4,5))+(Dyno_Data[[#This Row],[Match]]/100))</f>
        <v>4122.37</v>
      </c>
      <c r="AI1885" s="76">
        <f>ROUND(SUM(IF(Dyno_Data[[#This Row],[AcqCenter]]&gt;0,Dyno_Data[[#This Row],[Time]]-SUMIFS(Dyno_Data[Time],Dyno_Data[Team],Dyno_Data[[#This Row],[Team]],Dyno_Data[RecordType],"StartMatch",Dyno_Data[Match],Dyno_Data[[#This Row],[Match]]),0)*86400),0)</f>
        <v>0</v>
      </c>
    </row>
    <row r="1886" spans="1:35" x14ac:dyDescent="0.3">
      <c r="A1886">
        <v>1885</v>
      </c>
      <c r="B1886" t="s">
        <v>1286</v>
      </c>
      <c r="C1886">
        <v>37</v>
      </c>
      <c r="D1886" s="105">
        <v>45373.626475925928</v>
      </c>
      <c r="E1886" t="s">
        <v>312</v>
      </c>
      <c r="F1886" t="s">
        <v>1402</v>
      </c>
      <c r="G1886">
        <v>0</v>
      </c>
      <c r="H1886" t="s">
        <v>315</v>
      </c>
      <c r="I1886">
        <v>0</v>
      </c>
      <c r="J1886">
        <v>0</v>
      </c>
      <c r="K1886">
        <v>0</v>
      </c>
      <c r="L1886" t="s">
        <v>241</v>
      </c>
      <c r="M1886" t="s">
        <v>1398</v>
      </c>
      <c r="N1886">
        <v>0</v>
      </c>
      <c r="O1886" t="s">
        <v>311</v>
      </c>
      <c r="P1886" t="s">
        <v>310</v>
      </c>
      <c r="Q1886" t="s">
        <v>310</v>
      </c>
      <c r="R1886" t="s">
        <v>310</v>
      </c>
      <c r="S1886">
        <v>9</v>
      </c>
      <c r="T1886" t="s">
        <v>310</v>
      </c>
      <c r="U1886">
        <v>9</v>
      </c>
      <c r="V1886">
        <v>9</v>
      </c>
      <c r="W1886">
        <v>0</v>
      </c>
      <c r="X1886">
        <v>0</v>
      </c>
      <c r="Y1886">
        <v>0</v>
      </c>
      <c r="Z1886">
        <v>0</v>
      </c>
      <c r="AA1886">
        <v>9</v>
      </c>
      <c r="AB1886">
        <v>9</v>
      </c>
      <c r="AC1886" t="s">
        <v>310</v>
      </c>
      <c r="AD1886">
        <v>9</v>
      </c>
      <c r="AE1886" t="s">
        <v>1388</v>
      </c>
      <c r="AF1886">
        <v>100003000</v>
      </c>
      <c r="AG1886" t="s">
        <v>310</v>
      </c>
      <c r="AH1886">
        <f>SUM((MID(Dyno_Data[[#This Row],[Team]],4,5))+(Dyno_Data[[#This Row],[Match]]/100))</f>
        <v>1591.37</v>
      </c>
      <c r="AI1886" s="76">
        <f>ROUND(SUM(IF(Dyno_Data[[#This Row],[AcqCenter]]&gt;0,Dyno_Data[[#This Row],[Time]]-SUMIFS(Dyno_Data[Time],Dyno_Data[Team],Dyno_Data[[#This Row],[Team]],Dyno_Data[RecordType],"StartMatch",Dyno_Data[Match],Dyno_Data[[#This Row],[Match]]),0)*86400),0)</f>
        <v>0</v>
      </c>
    </row>
    <row r="1887" spans="1:35" x14ac:dyDescent="0.3">
      <c r="A1887">
        <v>1886</v>
      </c>
      <c r="B1887" t="s">
        <v>366</v>
      </c>
      <c r="C1887">
        <v>37</v>
      </c>
      <c r="D1887" s="105">
        <v>45373.626579479169</v>
      </c>
      <c r="E1887" t="s">
        <v>312</v>
      </c>
      <c r="F1887" t="s">
        <v>1402</v>
      </c>
      <c r="G1887">
        <v>0</v>
      </c>
      <c r="H1887" t="s">
        <v>315</v>
      </c>
      <c r="I1887">
        <v>0</v>
      </c>
      <c r="J1887">
        <v>0</v>
      </c>
      <c r="K1887">
        <v>0</v>
      </c>
      <c r="L1887" t="s">
        <v>241</v>
      </c>
      <c r="M1887" t="s">
        <v>1398</v>
      </c>
      <c r="N1887">
        <v>0</v>
      </c>
      <c r="O1887" t="s">
        <v>1389</v>
      </c>
      <c r="P1887" t="s">
        <v>310</v>
      </c>
      <c r="Q1887" t="s">
        <v>310</v>
      </c>
      <c r="R1887" t="s">
        <v>310</v>
      </c>
      <c r="S1887">
        <v>9</v>
      </c>
      <c r="T1887" t="s">
        <v>310</v>
      </c>
      <c r="U1887">
        <v>9</v>
      </c>
      <c r="V1887">
        <v>9</v>
      </c>
      <c r="W1887">
        <v>0</v>
      </c>
      <c r="X1887">
        <v>0</v>
      </c>
      <c r="Y1887">
        <v>0</v>
      </c>
      <c r="Z1887">
        <v>0</v>
      </c>
      <c r="AA1887">
        <v>9</v>
      </c>
      <c r="AB1887">
        <v>9</v>
      </c>
      <c r="AC1887" t="s">
        <v>310</v>
      </c>
      <c r="AD1887">
        <v>9</v>
      </c>
      <c r="AE1887" t="s">
        <v>1413</v>
      </c>
      <c r="AF1887">
        <v>110000000</v>
      </c>
      <c r="AG1887" t="s">
        <v>310</v>
      </c>
      <c r="AH1887">
        <f>SUM((MID(Dyno_Data[[#This Row],[Team]],4,5))+(Dyno_Data[[#This Row],[Match]]/100))</f>
        <v>4122.37</v>
      </c>
      <c r="AI1887" s="76">
        <f>ROUND(SUM(IF(Dyno_Data[[#This Row],[AcqCenter]]&gt;0,Dyno_Data[[#This Row],[Time]]-SUMIFS(Dyno_Data[Time],Dyno_Data[Team],Dyno_Data[[#This Row],[Team]],Dyno_Data[RecordType],"StartMatch",Dyno_Data[Match],Dyno_Data[[#This Row],[Match]]),0)*86400),0)</f>
        <v>0</v>
      </c>
    </row>
    <row r="1888" spans="1:35" x14ac:dyDescent="0.3">
      <c r="A1888">
        <v>1887</v>
      </c>
      <c r="B1888" t="s">
        <v>1286</v>
      </c>
      <c r="C1888">
        <v>37</v>
      </c>
      <c r="D1888" s="105">
        <v>45373.62660462963</v>
      </c>
      <c r="E1888" t="s">
        <v>312</v>
      </c>
      <c r="F1888" t="s">
        <v>1402</v>
      </c>
      <c r="G1888">
        <v>0</v>
      </c>
      <c r="H1888" t="s">
        <v>315</v>
      </c>
      <c r="I1888">
        <v>0</v>
      </c>
      <c r="J1888">
        <v>0</v>
      </c>
      <c r="K1888">
        <v>0</v>
      </c>
      <c r="L1888" t="s">
        <v>241</v>
      </c>
      <c r="M1888" t="s">
        <v>1398</v>
      </c>
      <c r="N1888">
        <v>0</v>
      </c>
      <c r="O1888" t="s">
        <v>311</v>
      </c>
      <c r="P1888" t="s">
        <v>310</v>
      </c>
      <c r="Q1888" t="s">
        <v>310</v>
      </c>
      <c r="R1888" t="s">
        <v>310</v>
      </c>
      <c r="S1888">
        <v>9</v>
      </c>
      <c r="T1888" t="s">
        <v>310</v>
      </c>
      <c r="U1888">
        <v>9</v>
      </c>
      <c r="V1888">
        <v>9</v>
      </c>
      <c r="W1888">
        <v>0</v>
      </c>
      <c r="X1888">
        <v>0</v>
      </c>
      <c r="Y1888">
        <v>0</v>
      </c>
      <c r="Z1888">
        <v>0</v>
      </c>
      <c r="AA1888">
        <v>9</v>
      </c>
      <c r="AB1888">
        <v>9</v>
      </c>
      <c r="AC1888" t="s">
        <v>310</v>
      </c>
      <c r="AD1888">
        <v>9</v>
      </c>
      <c r="AE1888" t="s">
        <v>1388</v>
      </c>
      <c r="AF1888">
        <v>110003000</v>
      </c>
      <c r="AG1888" t="s">
        <v>310</v>
      </c>
      <c r="AH1888">
        <f>SUM((MID(Dyno_Data[[#This Row],[Team]],4,5))+(Dyno_Data[[#This Row],[Match]]/100))</f>
        <v>1591.37</v>
      </c>
      <c r="AI1888" s="76">
        <f>ROUND(SUM(IF(Dyno_Data[[#This Row],[AcqCenter]]&gt;0,Dyno_Data[[#This Row],[Time]]-SUMIFS(Dyno_Data[Time],Dyno_Data[Team],Dyno_Data[[#This Row],[Team]],Dyno_Data[RecordType],"StartMatch",Dyno_Data[Match],Dyno_Data[[#This Row],[Match]]),0)*86400),0)</f>
        <v>0</v>
      </c>
    </row>
    <row r="1889" spans="1:35" x14ac:dyDescent="0.3">
      <c r="A1889">
        <v>1888</v>
      </c>
      <c r="B1889" t="s">
        <v>1286</v>
      </c>
      <c r="C1889">
        <v>37</v>
      </c>
      <c r="D1889" s="105">
        <v>45373.626773923614</v>
      </c>
      <c r="E1889" t="s">
        <v>312</v>
      </c>
      <c r="F1889" t="s">
        <v>1402</v>
      </c>
      <c r="G1889">
        <v>0</v>
      </c>
      <c r="H1889" t="s">
        <v>315</v>
      </c>
      <c r="I1889">
        <v>0</v>
      </c>
      <c r="J1889">
        <v>0</v>
      </c>
      <c r="K1889">
        <v>0</v>
      </c>
      <c r="L1889" t="s">
        <v>241</v>
      </c>
      <c r="M1889" t="s">
        <v>1398</v>
      </c>
      <c r="N1889">
        <v>0</v>
      </c>
      <c r="O1889" t="s">
        <v>311</v>
      </c>
      <c r="P1889" t="s">
        <v>310</v>
      </c>
      <c r="Q1889" t="s">
        <v>310</v>
      </c>
      <c r="R1889" t="s">
        <v>310</v>
      </c>
      <c r="S1889">
        <v>9</v>
      </c>
      <c r="T1889" t="s">
        <v>310</v>
      </c>
      <c r="U1889">
        <v>9</v>
      </c>
      <c r="V1889">
        <v>9</v>
      </c>
      <c r="W1889">
        <v>0</v>
      </c>
      <c r="X1889">
        <v>0</v>
      </c>
      <c r="Y1889">
        <v>0</v>
      </c>
      <c r="Z1889">
        <v>0</v>
      </c>
      <c r="AA1889">
        <v>9</v>
      </c>
      <c r="AB1889">
        <v>9</v>
      </c>
      <c r="AC1889" t="s">
        <v>310</v>
      </c>
      <c r="AD1889">
        <v>9</v>
      </c>
      <c r="AE1889" t="s">
        <v>1388</v>
      </c>
      <c r="AF1889">
        <v>120003000</v>
      </c>
      <c r="AG1889" t="s">
        <v>310</v>
      </c>
      <c r="AH1889">
        <f>SUM((MID(Dyno_Data[[#This Row],[Team]],4,5))+(Dyno_Data[[#This Row],[Match]]/100))</f>
        <v>1591.37</v>
      </c>
      <c r="AI1889" s="76">
        <f>ROUND(SUM(IF(Dyno_Data[[#This Row],[AcqCenter]]&gt;0,Dyno_Data[[#This Row],[Time]]-SUMIFS(Dyno_Data[Time],Dyno_Data[Team],Dyno_Data[[#This Row],[Team]],Dyno_Data[RecordType],"StartMatch",Dyno_Data[Match],Dyno_Data[[#This Row],[Match]]),0)*86400),0)</f>
        <v>0</v>
      </c>
    </row>
    <row r="1890" spans="1:35" x14ac:dyDescent="0.3">
      <c r="A1890">
        <v>1889</v>
      </c>
      <c r="B1890" t="s">
        <v>366</v>
      </c>
      <c r="C1890">
        <v>37</v>
      </c>
      <c r="D1890" s="105">
        <v>45373.626779085651</v>
      </c>
      <c r="E1890" t="s">
        <v>312</v>
      </c>
      <c r="F1890" t="s">
        <v>1402</v>
      </c>
      <c r="G1890">
        <v>0</v>
      </c>
      <c r="H1890" t="s">
        <v>315</v>
      </c>
      <c r="I1890">
        <v>0</v>
      </c>
      <c r="J1890">
        <v>0</v>
      </c>
      <c r="K1890">
        <v>0</v>
      </c>
      <c r="L1890" t="s">
        <v>241</v>
      </c>
      <c r="M1890" t="s">
        <v>1398</v>
      </c>
      <c r="N1890">
        <v>0</v>
      </c>
      <c r="O1890" t="s">
        <v>1389</v>
      </c>
      <c r="P1890" t="s">
        <v>310</v>
      </c>
      <c r="Q1890" t="s">
        <v>310</v>
      </c>
      <c r="R1890" t="s">
        <v>310</v>
      </c>
      <c r="S1890">
        <v>9</v>
      </c>
      <c r="T1890" t="s">
        <v>310</v>
      </c>
      <c r="U1890">
        <v>9</v>
      </c>
      <c r="V1890">
        <v>9</v>
      </c>
      <c r="W1890">
        <v>0</v>
      </c>
      <c r="X1890">
        <v>0</v>
      </c>
      <c r="Y1890">
        <v>0</v>
      </c>
      <c r="Z1890">
        <v>0</v>
      </c>
      <c r="AA1890">
        <v>9</v>
      </c>
      <c r="AB1890">
        <v>9</v>
      </c>
      <c r="AC1890" t="s">
        <v>310</v>
      </c>
      <c r="AD1890">
        <v>9</v>
      </c>
      <c r="AE1890" t="s">
        <v>1413</v>
      </c>
      <c r="AF1890">
        <v>120000000</v>
      </c>
      <c r="AG1890" t="s">
        <v>310</v>
      </c>
      <c r="AH1890">
        <f>SUM((MID(Dyno_Data[[#This Row],[Team]],4,5))+(Dyno_Data[[#This Row],[Match]]/100))</f>
        <v>4122.37</v>
      </c>
      <c r="AI1890" s="76">
        <f>ROUND(SUM(IF(Dyno_Data[[#This Row],[AcqCenter]]&gt;0,Dyno_Data[[#This Row],[Time]]-SUMIFS(Dyno_Data[Time],Dyno_Data[Team],Dyno_Data[[#This Row],[Team]],Dyno_Data[RecordType],"StartMatch",Dyno_Data[Match],Dyno_Data[[#This Row],[Match]]),0)*86400),0)</f>
        <v>0</v>
      </c>
    </row>
    <row r="1891" spans="1:35" x14ac:dyDescent="0.3">
      <c r="A1891">
        <v>1890</v>
      </c>
      <c r="B1891" t="s">
        <v>1286</v>
      </c>
      <c r="C1891">
        <v>37</v>
      </c>
      <c r="D1891" s="105">
        <v>45373.627593020836</v>
      </c>
      <c r="E1891" t="s">
        <v>316</v>
      </c>
      <c r="F1891" t="s">
        <v>317</v>
      </c>
      <c r="G1891">
        <v>1</v>
      </c>
      <c r="H1891" t="s">
        <v>310</v>
      </c>
      <c r="I1891">
        <v>0</v>
      </c>
      <c r="J1891">
        <v>0</v>
      </c>
      <c r="K1891">
        <v>0</v>
      </c>
      <c r="L1891" t="s">
        <v>310</v>
      </c>
      <c r="M1891" t="s">
        <v>310</v>
      </c>
      <c r="N1891">
        <v>0</v>
      </c>
      <c r="O1891" t="s">
        <v>311</v>
      </c>
      <c r="P1891" t="s">
        <v>240</v>
      </c>
      <c r="Q1891" t="s">
        <v>1400</v>
      </c>
      <c r="R1891" t="s">
        <v>1405</v>
      </c>
      <c r="S1891">
        <v>1</v>
      </c>
      <c r="T1891" t="s">
        <v>1407</v>
      </c>
      <c r="U1891">
        <v>0</v>
      </c>
      <c r="V1891">
        <v>0</v>
      </c>
      <c r="W1891">
        <v>4.9388936000000001</v>
      </c>
      <c r="X1891">
        <v>45.773154499999997</v>
      </c>
      <c r="Y1891">
        <v>34.263474500000001</v>
      </c>
      <c r="Z1891">
        <v>48.679380399999999</v>
      </c>
      <c r="AA1891">
        <v>0</v>
      </c>
      <c r="AB1891">
        <v>0</v>
      </c>
      <c r="AC1891" t="s">
        <v>174</v>
      </c>
      <c r="AD1891">
        <v>9</v>
      </c>
      <c r="AE1891" t="s">
        <v>1388</v>
      </c>
      <c r="AF1891">
        <v>120003000</v>
      </c>
      <c r="AG1891" t="s">
        <v>310</v>
      </c>
      <c r="AH1891">
        <f>SUM((MID(Dyno_Data[[#This Row],[Team]],4,5))+(Dyno_Data[[#This Row],[Match]]/100))</f>
        <v>1591.37</v>
      </c>
      <c r="AI1891" s="76">
        <f>ROUND(SUM(IF(Dyno_Data[[#This Row],[AcqCenter]]&gt;0,Dyno_Data[[#This Row],[Time]]-SUMIFS(Dyno_Data[Time],Dyno_Data[Team],Dyno_Data[[#This Row],[Team]],Dyno_Data[RecordType],"StartMatch",Dyno_Data[Match],Dyno_Data[[#This Row],[Match]]),0)*86400),0)</f>
        <v>0</v>
      </c>
    </row>
    <row r="1892" spans="1:35" x14ac:dyDescent="0.3">
      <c r="A1892">
        <v>1891</v>
      </c>
      <c r="B1892" t="s">
        <v>1288</v>
      </c>
      <c r="C1892">
        <v>37</v>
      </c>
      <c r="D1892" s="105">
        <v>45373.627593171295</v>
      </c>
      <c r="E1892" t="s">
        <v>316</v>
      </c>
      <c r="F1892" t="s">
        <v>317</v>
      </c>
      <c r="G1892">
        <v>1</v>
      </c>
      <c r="H1892" t="s">
        <v>310</v>
      </c>
      <c r="I1892">
        <v>0</v>
      </c>
      <c r="J1892">
        <v>0</v>
      </c>
      <c r="K1892">
        <v>0</v>
      </c>
      <c r="L1892" t="s">
        <v>310</v>
      </c>
      <c r="M1892" t="s">
        <v>310</v>
      </c>
      <c r="N1892">
        <v>0</v>
      </c>
      <c r="O1892" t="s">
        <v>1391</v>
      </c>
      <c r="P1892" t="s">
        <v>1401</v>
      </c>
      <c r="Q1892" t="s">
        <v>1400</v>
      </c>
      <c r="R1892" t="s">
        <v>1405</v>
      </c>
      <c r="S1892">
        <v>1</v>
      </c>
      <c r="T1892" t="s">
        <v>1406</v>
      </c>
      <c r="U1892">
        <v>1</v>
      </c>
      <c r="V1892">
        <v>0</v>
      </c>
      <c r="W1892">
        <v>27.947180699999997</v>
      </c>
      <c r="X1892">
        <v>35.099648500000001</v>
      </c>
      <c r="Y1892">
        <v>13.9340163</v>
      </c>
      <c r="Z1892">
        <v>46.176658699999997</v>
      </c>
      <c r="AA1892">
        <v>0</v>
      </c>
      <c r="AB1892">
        <v>0</v>
      </c>
      <c r="AC1892" t="s">
        <v>174</v>
      </c>
      <c r="AD1892">
        <v>9</v>
      </c>
      <c r="AE1892" t="s">
        <v>1412</v>
      </c>
      <c r="AF1892">
        <v>40000000</v>
      </c>
      <c r="AG1892" t="s">
        <v>310</v>
      </c>
      <c r="AH1892">
        <f>SUM((MID(Dyno_Data[[#This Row],[Team]],4,5))+(Dyno_Data[[#This Row],[Match]]/100))</f>
        <v>3181.37</v>
      </c>
      <c r="AI1892" s="76">
        <f>ROUND(SUM(IF(Dyno_Data[[#This Row],[AcqCenter]]&gt;0,Dyno_Data[[#This Row],[Time]]-SUMIFS(Dyno_Data[Time],Dyno_Data[Team],Dyno_Data[[#This Row],[Team]],Dyno_Data[RecordType],"StartMatch",Dyno_Data[Match],Dyno_Data[[#This Row],[Match]]),0)*86400),0)</f>
        <v>0</v>
      </c>
    </row>
    <row r="1893" spans="1:35" x14ac:dyDescent="0.3">
      <c r="A1893">
        <v>1892</v>
      </c>
      <c r="B1893" t="s">
        <v>370</v>
      </c>
      <c r="C1893">
        <v>37</v>
      </c>
      <c r="D1893" s="105">
        <v>45373.627593252313</v>
      </c>
      <c r="E1893" t="s">
        <v>316</v>
      </c>
      <c r="F1893" t="s">
        <v>317</v>
      </c>
      <c r="G1893">
        <v>0</v>
      </c>
      <c r="H1893" t="s">
        <v>310</v>
      </c>
      <c r="I1893">
        <v>0</v>
      </c>
      <c r="J1893">
        <v>0</v>
      </c>
      <c r="K1893">
        <v>0</v>
      </c>
      <c r="L1893" t="s">
        <v>310</v>
      </c>
      <c r="M1893" t="s">
        <v>310</v>
      </c>
      <c r="N1893">
        <v>0</v>
      </c>
      <c r="O1893" t="s">
        <v>319</v>
      </c>
      <c r="P1893" t="s">
        <v>101</v>
      </c>
      <c r="Q1893" t="s">
        <v>1399</v>
      </c>
      <c r="R1893" t="s">
        <v>1405</v>
      </c>
      <c r="S1893">
        <v>1</v>
      </c>
      <c r="T1893" t="s">
        <v>1406</v>
      </c>
      <c r="U1893">
        <v>1</v>
      </c>
      <c r="V1893">
        <v>0</v>
      </c>
      <c r="W1893">
        <v>24.869872299999997</v>
      </c>
      <c r="X1893">
        <v>46.9162508</v>
      </c>
      <c r="Y1893">
        <v>24.4259776</v>
      </c>
      <c r="Z1893">
        <v>23.623852599999999</v>
      </c>
      <c r="AA1893">
        <v>0</v>
      </c>
      <c r="AB1893">
        <v>0</v>
      </c>
      <c r="AC1893" t="s">
        <v>174</v>
      </c>
      <c r="AD1893">
        <v>0</v>
      </c>
      <c r="AE1893" t="s">
        <v>1396</v>
      </c>
      <c r="AF1893">
        <v>50000000</v>
      </c>
      <c r="AG1893" t="s">
        <v>310</v>
      </c>
      <c r="AH1893">
        <f>SUM((MID(Dyno_Data[[#This Row],[Team]],4,5))+(Dyno_Data[[#This Row],[Match]]/100))</f>
        <v>6911.37</v>
      </c>
      <c r="AI1893" s="76">
        <f>ROUND(SUM(IF(Dyno_Data[[#This Row],[AcqCenter]]&gt;0,Dyno_Data[[#This Row],[Time]]-SUMIFS(Dyno_Data[Time],Dyno_Data[Team],Dyno_Data[[#This Row],[Team]],Dyno_Data[RecordType],"StartMatch",Dyno_Data[Match],Dyno_Data[[#This Row],[Match]]),0)*86400),0)</f>
        <v>0</v>
      </c>
    </row>
    <row r="1894" spans="1:35" x14ac:dyDescent="0.3">
      <c r="A1894">
        <v>1893</v>
      </c>
      <c r="B1894" t="s">
        <v>371</v>
      </c>
      <c r="C1894">
        <v>37</v>
      </c>
      <c r="D1894" s="105">
        <v>45373.627593321762</v>
      </c>
      <c r="E1894" t="s">
        <v>316</v>
      </c>
      <c r="F1894" t="s">
        <v>317</v>
      </c>
      <c r="G1894">
        <v>0</v>
      </c>
      <c r="H1894" t="s">
        <v>310</v>
      </c>
      <c r="I1894">
        <v>0</v>
      </c>
      <c r="J1894">
        <v>0</v>
      </c>
      <c r="K1894">
        <v>0</v>
      </c>
      <c r="L1894" t="s">
        <v>310</v>
      </c>
      <c r="M1894" t="s">
        <v>310</v>
      </c>
      <c r="N1894">
        <v>0</v>
      </c>
      <c r="O1894" t="s">
        <v>1393</v>
      </c>
      <c r="P1894" t="s">
        <v>320</v>
      </c>
      <c r="Q1894" t="s">
        <v>1400</v>
      </c>
      <c r="R1894" t="s">
        <v>1404</v>
      </c>
      <c r="S1894">
        <v>0</v>
      </c>
      <c r="T1894" t="s">
        <v>105</v>
      </c>
      <c r="U1894">
        <v>9</v>
      </c>
      <c r="V1894">
        <v>9</v>
      </c>
      <c r="W1894">
        <v>0</v>
      </c>
      <c r="X1894">
        <v>3.1785407999999999</v>
      </c>
      <c r="Y1894">
        <v>102.08429149999999</v>
      </c>
      <c r="Z1894">
        <v>29.886730399999998</v>
      </c>
      <c r="AA1894">
        <v>1</v>
      </c>
      <c r="AB1894">
        <v>0</v>
      </c>
      <c r="AC1894" t="s">
        <v>170</v>
      </c>
      <c r="AD1894">
        <v>9</v>
      </c>
      <c r="AE1894" t="s">
        <v>1390</v>
      </c>
      <c r="AF1894">
        <v>0</v>
      </c>
      <c r="AG1894" t="s">
        <v>310</v>
      </c>
      <c r="AH1894">
        <f>SUM((MID(Dyno_Data[[#This Row],[Team]],4,5))+(Dyno_Data[[#This Row],[Match]]/100))</f>
        <v>6969.37</v>
      </c>
      <c r="AI1894" s="76">
        <f>ROUND(SUM(IF(Dyno_Data[[#This Row],[AcqCenter]]&gt;0,Dyno_Data[[#This Row],[Time]]-SUMIFS(Dyno_Data[Time],Dyno_Data[Team],Dyno_Data[[#This Row],[Team]],Dyno_Data[RecordType],"StartMatch",Dyno_Data[Match],Dyno_Data[[#This Row],[Match]]),0)*86400),0)</f>
        <v>0</v>
      </c>
    </row>
    <row r="1895" spans="1:35" x14ac:dyDescent="0.3">
      <c r="A1895">
        <v>1894</v>
      </c>
      <c r="B1895" t="s">
        <v>366</v>
      </c>
      <c r="C1895">
        <v>37</v>
      </c>
      <c r="D1895" s="105">
        <v>45373.627593437501</v>
      </c>
      <c r="E1895" t="s">
        <v>316</v>
      </c>
      <c r="F1895" t="s">
        <v>317</v>
      </c>
      <c r="G1895">
        <v>0</v>
      </c>
      <c r="H1895" t="s">
        <v>310</v>
      </c>
      <c r="I1895">
        <v>0</v>
      </c>
      <c r="J1895">
        <v>0</v>
      </c>
      <c r="K1895">
        <v>0</v>
      </c>
      <c r="L1895" t="s">
        <v>310</v>
      </c>
      <c r="M1895" t="s">
        <v>310</v>
      </c>
      <c r="N1895">
        <v>0</v>
      </c>
      <c r="O1895" t="s">
        <v>1389</v>
      </c>
      <c r="P1895" t="s">
        <v>240</v>
      </c>
      <c r="Q1895" t="s">
        <v>1400</v>
      </c>
      <c r="R1895" t="s">
        <v>1404</v>
      </c>
      <c r="S1895">
        <v>0</v>
      </c>
      <c r="T1895" t="s">
        <v>105</v>
      </c>
      <c r="U1895">
        <v>9</v>
      </c>
      <c r="V1895">
        <v>9</v>
      </c>
      <c r="W1895">
        <v>0</v>
      </c>
      <c r="X1895">
        <v>39.017278499999996</v>
      </c>
      <c r="Y1895">
        <v>20.8628596</v>
      </c>
      <c r="Z1895">
        <v>75.770449900000003</v>
      </c>
      <c r="AA1895">
        <v>0</v>
      </c>
      <c r="AB1895">
        <v>0</v>
      </c>
      <c r="AC1895" t="s">
        <v>174</v>
      </c>
      <c r="AD1895">
        <v>9</v>
      </c>
      <c r="AE1895" t="s">
        <v>1413</v>
      </c>
      <c r="AF1895">
        <v>120000000</v>
      </c>
      <c r="AG1895" t="s">
        <v>310</v>
      </c>
      <c r="AH1895">
        <f>SUM((MID(Dyno_Data[[#This Row],[Team]],4,5))+(Dyno_Data[[#This Row],[Match]]/100))</f>
        <v>4122.37</v>
      </c>
      <c r="AI1895" s="76">
        <f>ROUND(SUM(IF(Dyno_Data[[#This Row],[AcqCenter]]&gt;0,Dyno_Data[[#This Row],[Time]]-SUMIFS(Dyno_Data[Time],Dyno_Data[Team],Dyno_Data[[#This Row],[Team]],Dyno_Data[RecordType],"StartMatch",Dyno_Data[Match],Dyno_Data[[#This Row],[Match]]),0)*86400),0)</f>
        <v>0</v>
      </c>
    </row>
    <row r="1896" spans="1:35" x14ac:dyDescent="0.3">
      <c r="A1896">
        <v>1895</v>
      </c>
      <c r="B1896" t="s">
        <v>1309</v>
      </c>
      <c r="C1896">
        <v>37</v>
      </c>
      <c r="D1896" s="105">
        <v>45373.627593553239</v>
      </c>
      <c r="E1896" t="s">
        <v>316</v>
      </c>
      <c r="F1896" t="s">
        <v>317</v>
      </c>
      <c r="G1896">
        <v>1</v>
      </c>
      <c r="H1896" t="s">
        <v>310</v>
      </c>
      <c r="I1896">
        <v>0</v>
      </c>
      <c r="J1896">
        <v>0</v>
      </c>
      <c r="K1896">
        <v>0</v>
      </c>
      <c r="L1896" t="s">
        <v>310</v>
      </c>
      <c r="M1896" t="s">
        <v>310</v>
      </c>
      <c r="N1896">
        <v>0</v>
      </c>
      <c r="O1896" t="s">
        <v>1395</v>
      </c>
      <c r="P1896" t="s">
        <v>101</v>
      </c>
      <c r="Q1896" t="s">
        <v>1399</v>
      </c>
      <c r="R1896" t="s">
        <v>1404</v>
      </c>
      <c r="S1896">
        <v>0</v>
      </c>
      <c r="T1896" t="s">
        <v>105</v>
      </c>
      <c r="U1896">
        <v>9</v>
      </c>
      <c r="V1896">
        <v>9</v>
      </c>
      <c r="W1896">
        <v>0</v>
      </c>
      <c r="X1896">
        <v>79.474443499999992</v>
      </c>
      <c r="Y1896">
        <v>54.361267499999997</v>
      </c>
      <c r="Z1896">
        <v>2.6335723</v>
      </c>
      <c r="AA1896">
        <v>1</v>
      </c>
      <c r="AB1896">
        <v>0</v>
      </c>
      <c r="AC1896" t="s">
        <v>174</v>
      </c>
      <c r="AD1896">
        <v>0</v>
      </c>
      <c r="AE1896" t="s">
        <v>1414</v>
      </c>
      <c r="AF1896">
        <v>10000000</v>
      </c>
      <c r="AG1896" t="s">
        <v>310</v>
      </c>
      <c r="AH1896">
        <f>SUM((MID(Dyno_Data[[#This Row],[Team]],4,5))+(Dyno_Data[[#This Row],[Match]]/100))</f>
        <v>3550.37</v>
      </c>
      <c r="AI1896" s="76">
        <f>ROUND(SUM(IF(Dyno_Data[[#This Row],[AcqCenter]]&gt;0,Dyno_Data[[#This Row],[Time]]-SUMIFS(Dyno_Data[Time],Dyno_Data[Team],Dyno_Data[[#This Row],[Team]],Dyno_Data[RecordType],"StartMatch",Dyno_Data[Match],Dyno_Data[[#This Row],[Match]]),0)*86400),0)</f>
        <v>0</v>
      </c>
    </row>
    <row r="1897" spans="1:35" x14ac:dyDescent="0.3">
      <c r="A1897">
        <v>1911</v>
      </c>
      <c r="B1897" t="s">
        <v>1303</v>
      </c>
      <c r="C1897">
        <v>38</v>
      </c>
      <c r="D1897" s="105">
        <v>45373.63100833333</v>
      </c>
      <c r="E1897" t="s">
        <v>308</v>
      </c>
      <c r="F1897" t="s">
        <v>309</v>
      </c>
      <c r="G1897">
        <v>0</v>
      </c>
      <c r="H1897" t="s">
        <v>310</v>
      </c>
      <c r="I1897">
        <v>0</v>
      </c>
      <c r="J1897">
        <v>0</v>
      </c>
      <c r="K1897">
        <v>0</v>
      </c>
      <c r="L1897" t="s">
        <v>310</v>
      </c>
      <c r="M1897" t="s">
        <v>310</v>
      </c>
      <c r="N1897">
        <v>0</v>
      </c>
      <c r="O1897" t="s">
        <v>311</v>
      </c>
      <c r="P1897" t="s">
        <v>310</v>
      </c>
      <c r="Q1897" t="s">
        <v>310</v>
      </c>
      <c r="R1897" t="s">
        <v>310</v>
      </c>
      <c r="S1897">
        <v>9</v>
      </c>
      <c r="T1897" t="s">
        <v>310</v>
      </c>
      <c r="U1897">
        <v>9</v>
      </c>
      <c r="V1897">
        <v>9</v>
      </c>
      <c r="W1897">
        <v>0</v>
      </c>
      <c r="X1897">
        <v>0</v>
      </c>
      <c r="Y1897">
        <v>0</v>
      </c>
      <c r="Z1897">
        <v>0</v>
      </c>
      <c r="AA1897">
        <v>9</v>
      </c>
      <c r="AB1897">
        <v>9</v>
      </c>
      <c r="AC1897" t="s">
        <v>310</v>
      </c>
      <c r="AD1897">
        <v>9</v>
      </c>
      <c r="AE1897" t="s">
        <v>1388</v>
      </c>
      <c r="AF1897">
        <v>10002000</v>
      </c>
      <c r="AG1897" t="s">
        <v>310</v>
      </c>
      <c r="AH1897">
        <f>SUM((MID(Dyno_Data[[#This Row],[Team]],4,5))+(Dyno_Data[[#This Row],[Match]]/100))</f>
        <v>7605.38</v>
      </c>
      <c r="AI1897" s="76">
        <f>ROUND(SUM(IF(Dyno_Data[[#This Row],[AcqCenter]]&gt;0,Dyno_Data[[#This Row],[Time]]-SUMIFS(Dyno_Data[Time],Dyno_Data[Team],Dyno_Data[[#This Row],[Team]],Dyno_Data[RecordType],"StartMatch",Dyno_Data[Match],Dyno_Data[[#This Row],[Match]]),0)*86400),0)</f>
        <v>0</v>
      </c>
    </row>
    <row r="1898" spans="1:35" x14ac:dyDescent="0.3">
      <c r="A1898">
        <v>1913</v>
      </c>
      <c r="B1898" t="s">
        <v>1296</v>
      </c>
      <c r="C1898">
        <v>38</v>
      </c>
      <c r="D1898" s="105">
        <v>45373.631009108794</v>
      </c>
      <c r="E1898" t="s">
        <v>308</v>
      </c>
      <c r="F1898" t="s">
        <v>309</v>
      </c>
      <c r="G1898">
        <v>0</v>
      </c>
      <c r="H1898" t="s">
        <v>310</v>
      </c>
      <c r="I1898">
        <v>0</v>
      </c>
      <c r="J1898">
        <v>0</v>
      </c>
      <c r="K1898">
        <v>0</v>
      </c>
      <c r="L1898" t="s">
        <v>310</v>
      </c>
      <c r="M1898" t="s">
        <v>310</v>
      </c>
      <c r="N1898">
        <v>0</v>
      </c>
      <c r="O1898" t="s">
        <v>319</v>
      </c>
      <c r="P1898" t="s">
        <v>310</v>
      </c>
      <c r="Q1898" t="s">
        <v>310</v>
      </c>
      <c r="R1898" t="s">
        <v>310</v>
      </c>
      <c r="S1898">
        <v>9</v>
      </c>
      <c r="T1898" t="s">
        <v>310</v>
      </c>
      <c r="U1898">
        <v>9</v>
      </c>
      <c r="V1898">
        <v>9</v>
      </c>
      <c r="W1898">
        <v>0</v>
      </c>
      <c r="X1898">
        <v>0</v>
      </c>
      <c r="Y1898">
        <v>0</v>
      </c>
      <c r="Z1898">
        <v>0</v>
      </c>
      <c r="AA1898">
        <v>9</v>
      </c>
      <c r="AB1898">
        <v>9</v>
      </c>
      <c r="AC1898" t="s">
        <v>310</v>
      </c>
      <c r="AD1898">
        <v>9</v>
      </c>
      <c r="AE1898" t="s">
        <v>1412</v>
      </c>
      <c r="AF1898">
        <v>0</v>
      </c>
      <c r="AG1898" t="s">
        <v>310</v>
      </c>
      <c r="AH1898">
        <f>SUM((MID(Dyno_Data[[#This Row],[Team]],4,5))+(Dyno_Data[[#This Row],[Match]]/100))</f>
        <v>3003.38</v>
      </c>
      <c r="AI1898" s="76">
        <f>ROUND(SUM(IF(Dyno_Data[[#This Row],[AcqCenter]]&gt;0,Dyno_Data[[#This Row],[Time]]-SUMIFS(Dyno_Data[Time],Dyno_Data[Team],Dyno_Data[[#This Row],[Team]],Dyno_Data[RecordType],"StartMatch",Dyno_Data[Match],Dyno_Data[[#This Row],[Match]]),0)*86400),0)</f>
        <v>0</v>
      </c>
    </row>
    <row r="1899" spans="1:35" x14ac:dyDescent="0.3">
      <c r="A1899">
        <v>1915</v>
      </c>
      <c r="B1899" t="s">
        <v>363</v>
      </c>
      <c r="C1899">
        <v>38</v>
      </c>
      <c r="D1899" s="105">
        <v>45373.631009837962</v>
      </c>
      <c r="E1899" t="s">
        <v>308</v>
      </c>
      <c r="F1899" t="s">
        <v>309</v>
      </c>
      <c r="G1899">
        <v>0</v>
      </c>
      <c r="H1899" t="s">
        <v>310</v>
      </c>
      <c r="I1899">
        <v>0</v>
      </c>
      <c r="J1899">
        <v>0</v>
      </c>
      <c r="K1899">
        <v>0</v>
      </c>
      <c r="L1899" t="s">
        <v>310</v>
      </c>
      <c r="M1899" t="s">
        <v>310</v>
      </c>
      <c r="N1899">
        <v>0</v>
      </c>
      <c r="O1899" t="s">
        <v>1393</v>
      </c>
      <c r="P1899" t="s">
        <v>310</v>
      </c>
      <c r="Q1899" t="s">
        <v>310</v>
      </c>
      <c r="R1899" t="s">
        <v>310</v>
      </c>
      <c r="S1899">
        <v>9</v>
      </c>
      <c r="T1899" t="s">
        <v>310</v>
      </c>
      <c r="U1899">
        <v>9</v>
      </c>
      <c r="V1899">
        <v>9</v>
      </c>
      <c r="W1899">
        <v>0</v>
      </c>
      <c r="X1899">
        <v>0</v>
      </c>
      <c r="Y1899">
        <v>0</v>
      </c>
      <c r="Z1899">
        <v>0</v>
      </c>
      <c r="AA1899">
        <v>9</v>
      </c>
      <c r="AB1899">
        <v>9</v>
      </c>
      <c r="AC1899" t="s">
        <v>310</v>
      </c>
      <c r="AD1899">
        <v>9</v>
      </c>
      <c r="AE1899" t="s">
        <v>1396</v>
      </c>
      <c r="AF1899">
        <v>0</v>
      </c>
      <c r="AG1899" t="s">
        <v>310</v>
      </c>
      <c r="AH1899">
        <f>SUM((MID(Dyno_Data[[#This Row],[Team]],4,5))+(Dyno_Data[[#This Row],[Match]]/100))</f>
        <v>2601.38</v>
      </c>
      <c r="AI1899" s="76">
        <f>ROUND(SUM(IF(Dyno_Data[[#This Row],[AcqCenter]]&gt;0,Dyno_Data[[#This Row],[Time]]-SUMIFS(Dyno_Data[Time],Dyno_Data[Team],Dyno_Data[[#This Row],[Team]],Dyno_Data[RecordType],"StartMatch",Dyno_Data[Match],Dyno_Data[[#This Row],[Match]]),0)*86400),0)</f>
        <v>0</v>
      </c>
    </row>
    <row r="1900" spans="1:35" x14ac:dyDescent="0.3">
      <c r="A1900">
        <v>1917</v>
      </c>
      <c r="B1900" t="s">
        <v>1310</v>
      </c>
      <c r="C1900">
        <v>38</v>
      </c>
      <c r="D1900" s="105">
        <v>45373.631011145837</v>
      </c>
      <c r="E1900" t="s">
        <v>308</v>
      </c>
      <c r="F1900" t="s">
        <v>309</v>
      </c>
      <c r="G1900">
        <v>0</v>
      </c>
      <c r="H1900" t="s">
        <v>310</v>
      </c>
      <c r="I1900">
        <v>0</v>
      </c>
      <c r="J1900">
        <v>0</v>
      </c>
      <c r="K1900">
        <v>0</v>
      </c>
      <c r="L1900" t="s">
        <v>310</v>
      </c>
      <c r="M1900" t="s">
        <v>310</v>
      </c>
      <c r="N1900">
        <v>0</v>
      </c>
      <c r="O1900" t="s">
        <v>1391</v>
      </c>
      <c r="P1900" t="s">
        <v>310</v>
      </c>
      <c r="Q1900" t="s">
        <v>310</v>
      </c>
      <c r="R1900" t="s">
        <v>310</v>
      </c>
      <c r="S1900">
        <v>9</v>
      </c>
      <c r="T1900" t="s">
        <v>310</v>
      </c>
      <c r="U1900">
        <v>9</v>
      </c>
      <c r="V1900">
        <v>9</v>
      </c>
      <c r="W1900">
        <v>0</v>
      </c>
      <c r="X1900">
        <v>0</v>
      </c>
      <c r="Y1900">
        <v>0</v>
      </c>
      <c r="Z1900">
        <v>0</v>
      </c>
      <c r="AA1900">
        <v>9</v>
      </c>
      <c r="AB1900">
        <v>9</v>
      </c>
      <c r="AC1900" t="s">
        <v>310</v>
      </c>
      <c r="AD1900">
        <v>9</v>
      </c>
      <c r="AE1900" t="s">
        <v>1390</v>
      </c>
      <c r="AF1900">
        <v>0</v>
      </c>
      <c r="AG1900" t="s">
        <v>310</v>
      </c>
      <c r="AH1900">
        <f>SUM((MID(Dyno_Data[[#This Row],[Team]],4,5))+(Dyno_Data[[#This Row],[Match]]/100))</f>
        <v>6621.38</v>
      </c>
      <c r="AI1900" s="76">
        <f>ROUND(SUM(IF(Dyno_Data[[#This Row],[AcqCenter]]&gt;0,Dyno_Data[[#This Row],[Time]]-SUMIFS(Dyno_Data[Time],Dyno_Data[Team],Dyno_Data[[#This Row],[Team]],Dyno_Data[RecordType],"StartMatch",Dyno_Data[Match],Dyno_Data[[#This Row],[Match]]),0)*86400),0)</f>
        <v>0</v>
      </c>
    </row>
    <row r="1901" spans="1:35" x14ac:dyDescent="0.3">
      <c r="A1901">
        <v>1919</v>
      </c>
      <c r="B1901" t="s">
        <v>1277</v>
      </c>
      <c r="C1901">
        <v>38</v>
      </c>
      <c r="D1901" s="105">
        <v>45373.631014814811</v>
      </c>
      <c r="E1901" t="s">
        <v>308</v>
      </c>
      <c r="F1901" t="s">
        <v>309</v>
      </c>
      <c r="G1901">
        <v>0</v>
      </c>
      <c r="H1901" t="s">
        <v>310</v>
      </c>
      <c r="I1901">
        <v>0</v>
      </c>
      <c r="J1901">
        <v>0</v>
      </c>
      <c r="K1901">
        <v>0</v>
      </c>
      <c r="L1901" t="s">
        <v>310</v>
      </c>
      <c r="M1901" t="s">
        <v>310</v>
      </c>
      <c r="N1901">
        <v>0</v>
      </c>
      <c r="O1901" t="s">
        <v>1395</v>
      </c>
      <c r="P1901" t="s">
        <v>310</v>
      </c>
      <c r="Q1901" t="s">
        <v>310</v>
      </c>
      <c r="R1901" t="s">
        <v>310</v>
      </c>
      <c r="S1901">
        <v>9</v>
      </c>
      <c r="T1901" t="s">
        <v>310</v>
      </c>
      <c r="U1901">
        <v>9</v>
      </c>
      <c r="V1901">
        <v>9</v>
      </c>
      <c r="W1901">
        <v>0</v>
      </c>
      <c r="X1901">
        <v>0</v>
      </c>
      <c r="Y1901">
        <v>0</v>
      </c>
      <c r="Z1901">
        <v>0</v>
      </c>
      <c r="AA1901">
        <v>9</v>
      </c>
      <c r="AB1901">
        <v>9</v>
      </c>
      <c r="AC1901" t="s">
        <v>310</v>
      </c>
      <c r="AD1901">
        <v>9</v>
      </c>
      <c r="AE1901" t="s">
        <v>1413</v>
      </c>
      <c r="AF1901">
        <v>2000</v>
      </c>
      <c r="AG1901" t="s">
        <v>310</v>
      </c>
      <c r="AH1901">
        <f>SUM((MID(Dyno_Data[[#This Row],[Team]],4,5))+(Dyno_Data[[#This Row],[Match]]/100))</f>
        <v>3360.38</v>
      </c>
      <c r="AI1901" s="76">
        <f>ROUND(SUM(IF(Dyno_Data[[#This Row],[AcqCenter]]&gt;0,Dyno_Data[[#This Row],[Time]]-SUMIFS(Dyno_Data[Time],Dyno_Data[Team],Dyno_Data[[#This Row],[Team]],Dyno_Data[RecordType],"StartMatch",Dyno_Data[Match],Dyno_Data[[#This Row],[Match]]),0)*86400),0)</f>
        <v>0</v>
      </c>
    </row>
    <row r="1902" spans="1:35" x14ac:dyDescent="0.3">
      <c r="A1902">
        <v>1921</v>
      </c>
      <c r="B1902" t="s">
        <v>1305</v>
      </c>
      <c r="C1902">
        <v>38</v>
      </c>
      <c r="D1902" s="105">
        <v>45373.63101701389</v>
      </c>
      <c r="E1902" t="s">
        <v>308</v>
      </c>
      <c r="F1902" t="s">
        <v>309</v>
      </c>
      <c r="G1902">
        <v>0</v>
      </c>
      <c r="H1902" t="s">
        <v>310</v>
      </c>
      <c r="I1902">
        <v>0</v>
      </c>
      <c r="J1902">
        <v>0</v>
      </c>
      <c r="K1902">
        <v>0</v>
      </c>
      <c r="L1902" t="s">
        <v>310</v>
      </c>
      <c r="M1902" t="s">
        <v>310</v>
      </c>
      <c r="N1902">
        <v>0</v>
      </c>
      <c r="O1902" t="s">
        <v>1389</v>
      </c>
      <c r="P1902" t="s">
        <v>310</v>
      </c>
      <c r="Q1902" t="s">
        <v>310</v>
      </c>
      <c r="R1902" t="s">
        <v>310</v>
      </c>
      <c r="S1902">
        <v>9</v>
      </c>
      <c r="T1902" t="s">
        <v>310</v>
      </c>
      <c r="U1902">
        <v>9</v>
      </c>
      <c r="V1902">
        <v>9</v>
      </c>
      <c r="W1902">
        <v>0</v>
      </c>
      <c r="X1902">
        <v>0</v>
      </c>
      <c r="Y1902">
        <v>0</v>
      </c>
      <c r="Z1902">
        <v>0</v>
      </c>
      <c r="AA1902">
        <v>9</v>
      </c>
      <c r="AB1902">
        <v>9</v>
      </c>
      <c r="AC1902" t="s">
        <v>310</v>
      </c>
      <c r="AD1902">
        <v>9</v>
      </c>
      <c r="AE1902" t="s">
        <v>1414</v>
      </c>
      <c r="AF1902">
        <v>20001000</v>
      </c>
      <c r="AG1902" t="s">
        <v>310</v>
      </c>
      <c r="AH1902">
        <f>SUM((MID(Dyno_Data[[#This Row],[Team]],4,5))+(Dyno_Data[[#This Row],[Match]]/100))</f>
        <v>3173.38</v>
      </c>
      <c r="AI1902" s="76">
        <f>ROUND(SUM(IF(Dyno_Data[[#This Row],[AcqCenter]]&gt;0,Dyno_Data[[#This Row],[Time]]-SUMIFS(Dyno_Data[Time],Dyno_Data[Team],Dyno_Data[[#This Row],[Team]],Dyno_Data[RecordType],"StartMatch",Dyno_Data[Match],Dyno_Data[[#This Row],[Match]]),0)*86400),0)</f>
        <v>0</v>
      </c>
    </row>
    <row r="1903" spans="1:35" x14ac:dyDescent="0.3">
      <c r="A1903">
        <v>1896</v>
      </c>
      <c r="B1903" t="s">
        <v>1303</v>
      </c>
      <c r="C1903">
        <v>38</v>
      </c>
      <c r="D1903" s="105">
        <v>45373.631039583335</v>
      </c>
      <c r="E1903" t="s">
        <v>312</v>
      </c>
      <c r="F1903" t="s">
        <v>309</v>
      </c>
      <c r="G1903">
        <v>0</v>
      </c>
      <c r="H1903" t="s">
        <v>1397</v>
      </c>
      <c r="I1903">
        <v>0</v>
      </c>
      <c r="J1903">
        <v>0</v>
      </c>
      <c r="K1903">
        <v>0</v>
      </c>
      <c r="L1903" t="s">
        <v>241</v>
      </c>
      <c r="M1903" t="s">
        <v>1398</v>
      </c>
      <c r="N1903">
        <v>0</v>
      </c>
      <c r="O1903" t="s">
        <v>311</v>
      </c>
      <c r="P1903" t="s">
        <v>310</v>
      </c>
      <c r="Q1903" t="s">
        <v>310</v>
      </c>
      <c r="R1903" t="s">
        <v>310</v>
      </c>
      <c r="S1903">
        <v>9</v>
      </c>
      <c r="T1903" t="s">
        <v>310</v>
      </c>
      <c r="U1903">
        <v>9</v>
      </c>
      <c r="V1903">
        <v>9</v>
      </c>
      <c r="W1903">
        <v>0</v>
      </c>
      <c r="X1903">
        <v>0</v>
      </c>
      <c r="Y1903">
        <v>0</v>
      </c>
      <c r="Z1903">
        <v>0</v>
      </c>
      <c r="AA1903">
        <v>9</v>
      </c>
      <c r="AB1903">
        <v>9</v>
      </c>
      <c r="AC1903" t="s">
        <v>310</v>
      </c>
      <c r="AD1903">
        <v>9</v>
      </c>
      <c r="AE1903" t="s">
        <v>1388</v>
      </c>
      <c r="AF1903">
        <v>0</v>
      </c>
      <c r="AG1903" t="s">
        <v>310</v>
      </c>
      <c r="AH1903">
        <f>SUM((MID(Dyno_Data[[#This Row],[Team]],4,5))+(Dyno_Data[[#This Row],[Match]]/100))</f>
        <v>7605.38</v>
      </c>
      <c r="AI1903" s="76">
        <f>ROUND(SUM(IF(Dyno_Data[[#This Row],[AcqCenter]]&gt;0,Dyno_Data[[#This Row],[Time]]-SUMIFS(Dyno_Data[Time],Dyno_Data[Team],Dyno_Data[[#This Row],[Team]],Dyno_Data[RecordType],"StartMatch",Dyno_Data[Match],Dyno_Data[[#This Row],[Match]]),0)*86400),0)</f>
        <v>0</v>
      </c>
    </row>
    <row r="1904" spans="1:35" x14ac:dyDescent="0.3">
      <c r="A1904">
        <v>1897</v>
      </c>
      <c r="B1904" t="s">
        <v>1305</v>
      </c>
      <c r="C1904">
        <v>38</v>
      </c>
      <c r="D1904" s="105">
        <v>45373.6310403588</v>
      </c>
      <c r="E1904" t="s">
        <v>312</v>
      </c>
      <c r="F1904" t="s">
        <v>309</v>
      </c>
      <c r="G1904">
        <v>0</v>
      </c>
      <c r="H1904" t="s">
        <v>1397</v>
      </c>
      <c r="I1904">
        <v>0</v>
      </c>
      <c r="J1904">
        <v>0</v>
      </c>
      <c r="K1904">
        <v>0</v>
      </c>
      <c r="L1904" t="s">
        <v>241</v>
      </c>
      <c r="M1904" t="s">
        <v>1398</v>
      </c>
      <c r="N1904">
        <v>0</v>
      </c>
      <c r="O1904" t="s">
        <v>1389</v>
      </c>
      <c r="P1904" t="s">
        <v>310</v>
      </c>
      <c r="Q1904" t="s">
        <v>310</v>
      </c>
      <c r="R1904" t="s">
        <v>310</v>
      </c>
      <c r="S1904">
        <v>9</v>
      </c>
      <c r="T1904" t="s">
        <v>310</v>
      </c>
      <c r="U1904">
        <v>9</v>
      </c>
      <c r="V1904">
        <v>9</v>
      </c>
      <c r="W1904">
        <v>0</v>
      </c>
      <c r="X1904">
        <v>0</v>
      </c>
      <c r="Y1904">
        <v>0</v>
      </c>
      <c r="Z1904">
        <v>0</v>
      </c>
      <c r="AA1904">
        <v>9</v>
      </c>
      <c r="AB1904">
        <v>9</v>
      </c>
      <c r="AC1904" t="s">
        <v>310</v>
      </c>
      <c r="AD1904">
        <v>9</v>
      </c>
      <c r="AE1904" t="s">
        <v>1414</v>
      </c>
      <c r="AF1904">
        <v>0</v>
      </c>
      <c r="AG1904" t="s">
        <v>310</v>
      </c>
      <c r="AH1904">
        <f>SUM((MID(Dyno_Data[[#This Row],[Team]],4,5))+(Dyno_Data[[#This Row],[Match]]/100))</f>
        <v>3173.38</v>
      </c>
      <c r="AI1904" s="76">
        <f>ROUND(SUM(IF(Dyno_Data[[#This Row],[AcqCenter]]&gt;0,Dyno_Data[[#This Row],[Time]]-SUMIFS(Dyno_Data[Time],Dyno_Data[Team],Dyno_Data[[#This Row],[Team]],Dyno_Data[RecordType],"StartMatch",Dyno_Data[Match],Dyno_Data[[#This Row],[Match]]),0)*86400),0)</f>
        <v>0</v>
      </c>
    </row>
    <row r="1905" spans="1:35" x14ac:dyDescent="0.3">
      <c r="A1905">
        <v>1898</v>
      </c>
      <c r="B1905" t="s">
        <v>1303</v>
      </c>
      <c r="C1905">
        <v>38</v>
      </c>
      <c r="D1905" s="105">
        <v>45373.631059756946</v>
      </c>
      <c r="E1905" t="s">
        <v>312</v>
      </c>
      <c r="F1905" t="s">
        <v>309</v>
      </c>
      <c r="G1905">
        <v>0</v>
      </c>
      <c r="H1905" t="s">
        <v>315</v>
      </c>
      <c r="I1905">
        <v>0</v>
      </c>
      <c r="J1905">
        <v>0</v>
      </c>
      <c r="K1905">
        <v>0</v>
      </c>
      <c r="L1905" t="s">
        <v>241</v>
      </c>
      <c r="M1905" t="s">
        <v>1398</v>
      </c>
      <c r="N1905">
        <v>0</v>
      </c>
      <c r="O1905" t="s">
        <v>311</v>
      </c>
      <c r="P1905" t="s">
        <v>310</v>
      </c>
      <c r="Q1905" t="s">
        <v>310</v>
      </c>
      <c r="R1905" t="s">
        <v>310</v>
      </c>
      <c r="S1905">
        <v>9</v>
      </c>
      <c r="T1905" t="s">
        <v>310</v>
      </c>
      <c r="U1905">
        <v>9</v>
      </c>
      <c r="V1905">
        <v>9</v>
      </c>
      <c r="W1905">
        <v>0</v>
      </c>
      <c r="X1905">
        <v>0</v>
      </c>
      <c r="Y1905">
        <v>0</v>
      </c>
      <c r="Z1905">
        <v>0</v>
      </c>
      <c r="AA1905">
        <v>9</v>
      </c>
      <c r="AB1905">
        <v>9</v>
      </c>
      <c r="AC1905" t="s">
        <v>310</v>
      </c>
      <c r="AD1905">
        <v>9</v>
      </c>
      <c r="AE1905" t="s">
        <v>1388</v>
      </c>
      <c r="AF1905">
        <v>10000000</v>
      </c>
      <c r="AG1905" t="s">
        <v>310</v>
      </c>
      <c r="AH1905">
        <f>SUM((MID(Dyno_Data[[#This Row],[Team]],4,5))+(Dyno_Data[[#This Row],[Match]]/100))</f>
        <v>7605.38</v>
      </c>
      <c r="AI1905" s="76">
        <f>ROUND(SUM(IF(Dyno_Data[[#This Row],[AcqCenter]]&gt;0,Dyno_Data[[#This Row],[Time]]-SUMIFS(Dyno_Data[Time],Dyno_Data[Team],Dyno_Data[[#This Row],[Team]],Dyno_Data[RecordType],"StartMatch",Dyno_Data[Match],Dyno_Data[[#This Row],[Match]]),0)*86400),0)</f>
        <v>0</v>
      </c>
    </row>
    <row r="1906" spans="1:35" x14ac:dyDescent="0.3">
      <c r="A1906">
        <v>1899</v>
      </c>
      <c r="B1906" t="s">
        <v>1305</v>
      </c>
      <c r="C1906">
        <v>38</v>
      </c>
      <c r="D1906" s="105">
        <v>45373.631061921296</v>
      </c>
      <c r="E1906" t="s">
        <v>312</v>
      </c>
      <c r="F1906" t="s">
        <v>309</v>
      </c>
      <c r="G1906">
        <v>0</v>
      </c>
      <c r="H1906" t="s">
        <v>315</v>
      </c>
      <c r="I1906">
        <v>0</v>
      </c>
      <c r="J1906">
        <v>0</v>
      </c>
      <c r="K1906">
        <v>0</v>
      </c>
      <c r="L1906" t="s">
        <v>241</v>
      </c>
      <c r="M1906" t="s">
        <v>1398</v>
      </c>
      <c r="N1906">
        <v>0</v>
      </c>
      <c r="O1906" t="s">
        <v>1389</v>
      </c>
      <c r="P1906" t="s">
        <v>310</v>
      </c>
      <c r="Q1906" t="s">
        <v>310</v>
      </c>
      <c r="R1906" t="s">
        <v>310</v>
      </c>
      <c r="S1906">
        <v>9</v>
      </c>
      <c r="T1906" t="s">
        <v>310</v>
      </c>
      <c r="U1906">
        <v>9</v>
      </c>
      <c r="V1906">
        <v>9</v>
      </c>
      <c r="W1906">
        <v>0</v>
      </c>
      <c r="X1906">
        <v>0</v>
      </c>
      <c r="Y1906">
        <v>0</v>
      </c>
      <c r="Z1906">
        <v>0</v>
      </c>
      <c r="AA1906">
        <v>9</v>
      </c>
      <c r="AB1906">
        <v>9</v>
      </c>
      <c r="AC1906" t="s">
        <v>310</v>
      </c>
      <c r="AD1906">
        <v>9</v>
      </c>
      <c r="AE1906" t="s">
        <v>1414</v>
      </c>
      <c r="AF1906">
        <v>10000000</v>
      </c>
      <c r="AG1906" t="s">
        <v>310</v>
      </c>
      <c r="AH1906">
        <f>SUM((MID(Dyno_Data[[#This Row],[Team]],4,5))+(Dyno_Data[[#This Row],[Match]]/100))</f>
        <v>3173.38</v>
      </c>
      <c r="AI1906" s="76">
        <f>ROUND(SUM(IF(Dyno_Data[[#This Row],[AcqCenter]]&gt;0,Dyno_Data[[#This Row],[Time]]-SUMIFS(Dyno_Data[Time],Dyno_Data[Team],Dyno_Data[[#This Row],[Team]],Dyno_Data[RecordType],"StartMatch",Dyno_Data[Match],Dyno_Data[[#This Row],[Match]]),0)*86400),0)</f>
        <v>0</v>
      </c>
    </row>
    <row r="1907" spans="1:35" x14ac:dyDescent="0.3">
      <c r="A1907">
        <v>1900</v>
      </c>
      <c r="B1907" t="s">
        <v>1296</v>
      </c>
      <c r="C1907">
        <v>38</v>
      </c>
      <c r="D1907" s="105">
        <v>45373.631063541667</v>
      </c>
      <c r="E1907" t="s">
        <v>312</v>
      </c>
      <c r="F1907" t="s">
        <v>309</v>
      </c>
      <c r="G1907">
        <v>0</v>
      </c>
      <c r="H1907" t="s">
        <v>1397</v>
      </c>
      <c r="I1907">
        <v>0</v>
      </c>
      <c r="J1907">
        <v>0</v>
      </c>
      <c r="K1907">
        <v>0</v>
      </c>
      <c r="L1907" t="s">
        <v>240</v>
      </c>
      <c r="M1907" t="s">
        <v>1398</v>
      </c>
      <c r="N1907">
        <v>0</v>
      </c>
      <c r="O1907" t="s">
        <v>319</v>
      </c>
      <c r="P1907" t="s">
        <v>310</v>
      </c>
      <c r="Q1907" t="s">
        <v>310</v>
      </c>
      <c r="R1907" t="s">
        <v>310</v>
      </c>
      <c r="S1907">
        <v>9</v>
      </c>
      <c r="T1907" t="s">
        <v>310</v>
      </c>
      <c r="U1907">
        <v>9</v>
      </c>
      <c r="V1907">
        <v>9</v>
      </c>
      <c r="W1907">
        <v>0</v>
      </c>
      <c r="X1907">
        <v>0</v>
      </c>
      <c r="Y1907">
        <v>0</v>
      </c>
      <c r="Z1907">
        <v>0</v>
      </c>
      <c r="AA1907">
        <v>9</v>
      </c>
      <c r="AB1907">
        <v>9</v>
      </c>
      <c r="AC1907" t="s">
        <v>310</v>
      </c>
      <c r="AD1907">
        <v>9</v>
      </c>
      <c r="AE1907" t="s">
        <v>1412</v>
      </c>
      <c r="AF1907">
        <v>0</v>
      </c>
      <c r="AG1907" t="s">
        <v>310</v>
      </c>
      <c r="AH1907">
        <f>SUM((MID(Dyno_Data[[#This Row],[Team]],4,5))+(Dyno_Data[[#This Row],[Match]]/100))</f>
        <v>3003.38</v>
      </c>
      <c r="AI1907" s="76">
        <f>ROUND(SUM(IF(Dyno_Data[[#This Row],[AcqCenter]]&gt;0,Dyno_Data[[#This Row],[Time]]-SUMIFS(Dyno_Data[Time],Dyno_Data[Team],Dyno_Data[[#This Row],[Team]],Dyno_Data[RecordType],"StartMatch",Dyno_Data[Match],Dyno_Data[[#This Row],[Match]]),0)*86400),0)</f>
        <v>0</v>
      </c>
    </row>
    <row r="1908" spans="1:35" x14ac:dyDescent="0.3">
      <c r="A1908">
        <v>1901</v>
      </c>
      <c r="B1908" t="s">
        <v>1303</v>
      </c>
      <c r="C1908">
        <v>38</v>
      </c>
      <c r="D1908" s="105">
        <v>45373.631099189814</v>
      </c>
      <c r="E1908" t="s">
        <v>312</v>
      </c>
      <c r="F1908" t="s">
        <v>309</v>
      </c>
      <c r="G1908">
        <v>0</v>
      </c>
      <c r="H1908" t="s">
        <v>143</v>
      </c>
      <c r="I1908">
        <v>5</v>
      </c>
      <c r="J1908">
        <v>1</v>
      </c>
      <c r="K1908">
        <v>0</v>
      </c>
      <c r="L1908" t="s">
        <v>310</v>
      </c>
      <c r="M1908" t="s">
        <v>310</v>
      </c>
      <c r="N1908">
        <v>0</v>
      </c>
      <c r="O1908" t="s">
        <v>311</v>
      </c>
      <c r="P1908" t="s">
        <v>310</v>
      </c>
      <c r="Q1908" t="s">
        <v>310</v>
      </c>
      <c r="R1908" t="s">
        <v>310</v>
      </c>
      <c r="S1908">
        <v>9</v>
      </c>
      <c r="T1908" t="s">
        <v>310</v>
      </c>
      <c r="U1908">
        <v>9</v>
      </c>
      <c r="V1908">
        <v>9</v>
      </c>
      <c r="W1908">
        <v>0</v>
      </c>
      <c r="X1908">
        <v>0</v>
      </c>
      <c r="Y1908">
        <v>0</v>
      </c>
      <c r="Z1908">
        <v>0</v>
      </c>
      <c r="AA1908">
        <v>9</v>
      </c>
      <c r="AB1908">
        <v>9</v>
      </c>
      <c r="AC1908" t="s">
        <v>310</v>
      </c>
      <c r="AD1908">
        <v>9</v>
      </c>
      <c r="AE1908" t="s">
        <v>1388</v>
      </c>
      <c r="AF1908">
        <v>10001000</v>
      </c>
      <c r="AG1908" t="s">
        <v>310</v>
      </c>
      <c r="AH1908">
        <f>SUM((MID(Dyno_Data[[#This Row],[Team]],4,5))+(Dyno_Data[[#This Row],[Match]]/100))</f>
        <v>7605.38</v>
      </c>
      <c r="AI1908" s="76">
        <f>ROUND(SUM(IF(Dyno_Data[[#This Row],[AcqCenter]]&gt;0,Dyno_Data[[#This Row],[Time]]-SUMIFS(Dyno_Data[Time],Dyno_Data[Team],Dyno_Data[[#This Row],[Team]],Dyno_Data[RecordType],"StartMatch",Dyno_Data[Match],Dyno_Data[[#This Row],[Match]]),0)*86400),0)</f>
        <v>8</v>
      </c>
    </row>
    <row r="1909" spans="1:35" x14ac:dyDescent="0.3">
      <c r="A1909">
        <v>1906</v>
      </c>
      <c r="B1909" t="s">
        <v>1277</v>
      </c>
      <c r="C1909">
        <v>38</v>
      </c>
      <c r="D1909" s="105">
        <v>45373.631121030092</v>
      </c>
      <c r="E1909" t="s">
        <v>312</v>
      </c>
      <c r="F1909" t="s">
        <v>309</v>
      </c>
      <c r="G1909">
        <v>0</v>
      </c>
      <c r="H1909" t="s">
        <v>143</v>
      </c>
      <c r="I1909">
        <v>3</v>
      </c>
      <c r="J1909">
        <v>-1</v>
      </c>
      <c r="K1909">
        <v>0</v>
      </c>
      <c r="L1909" t="s">
        <v>310</v>
      </c>
      <c r="M1909" t="s">
        <v>310</v>
      </c>
      <c r="N1909">
        <v>0</v>
      </c>
      <c r="O1909" t="s">
        <v>1395</v>
      </c>
      <c r="P1909" t="s">
        <v>310</v>
      </c>
      <c r="Q1909" t="s">
        <v>310</v>
      </c>
      <c r="R1909" t="s">
        <v>310</v>
      </c>
      <c r="S1909">
        <v>9</v>
      </c>
      <c r="T1909" t="s">
        <v>310</v>
      </c>
      <c r="U1909">
        <v>9</v>
      </c>
      <c r="V1909">
        <v>9</v>
      </c>
      <c r="W1909">
        <v>0</v>
      </c>
      <c r="X1909">
        <v>0</v>
      </c>
      <c r="Y1909">
        <v>0</v>
      </c>
      <c r="Z1909">
        <v>0</v>
      </c>
      <c r="AA1909">
        <v>9</v>
      </c>
      <c r="AB1909">
        <v>9</v>
      </c>
      <c r="AC1909" t="s">
        <v>310</v>
      </c>
      <c r="AD1909">
        <v>9</v>
      </c>
      <c r="AE1909" t="s">
        <v>1413</v>
      </c>
      <c r="AF1909">
        <v>1000</v>
      </c>
      <c r="AG1909" t="s">
        <v>310</v>
      </c>
      <c r="AH1909">
        <f>SUM((MID(Dyno_Data[[#This Row],[Team]],4,5))+(Dyno_Data[[#This Row],[Match]]/100))</f>
        <v>3360.38</v>
      </c>
      <c r="AI1909" s="76">
        <f>ROUND(SUM(IF(Dyno_Data[[#This Row],[AcqCenter]]&gt;0,Dyno_Data[[#This Row],[Time]]-SUMIFS(Dyno_Data[Time],Dyno_Data[Team],Dyno_Data[[#This Row],[Team]],Dyno_Data[RecordType],"StartMatch",Dyno_Data[Match],Dyno_Data[[#This Row],[Match]]),0)*86400),0)</f>
        <v>9</v>
      </c>
    </row>
    <row r="1910" spans="1:35" x14ac:dyDescent="0.3">
      <c r="A1910">
        <v>1902</v>
      </c>
      <c r="B1910" t="s">
        <v>1303</v>
      </c>
      <c r="C1910">
        <v>38</v>
      </c>
      <c r="D1910" s="105">
        <v>45373.631123182873</v>
      </c>
      <c r="E1910" t="s">
        <v>312</v>
      </c>
      <c r="F1910" t="s">
        <v>309</v>
      </c>
      <c r="G1910">
        <v>0</v>
      </c>
      <c r="H1910" t="s">
        <v>143</v>
      </c>
      <c r="I1910">
        <v>0</v>
      </c>
      <c r="J1910">
        <v>0</v>
      </c>
      <c r="K1910">
        <v>0</v>
      </c>
      <c r="L1910" t="s">
        <v>241</v>
      </c>
      <c r="M1910" t="s">
        <v>1398</v>
      </c>
      <c r="N1910">
        <v>1</v>
      </c>
      <c r="O1910" t="s">
        <v>311</v>
      </c>
      <c r="P1910" t="s">
        <v>310</v>
      </c>
      <c r="Q1910" t="s">
        <v>310</v>
      </c>
      <c r="R1910" t="s">
        <v>310</v>
      </c>
      <c r="S1910">
        <v>9</v>
      </c>
      <c r="T1910" t="s">
        <v>310</v>
      </c>
      <c r="U1910">
        <v>9</v>
      </c>
      <c r="V1910">
        <v>9</v>
      </c>
      <c r="W1910">
        <v>0</v>
      </c>
      <c r="X1910">
        <v>0</v>
      </c>
      <c r="Y1910">
        <v>0</v>
      </c>
      <c r="Z1910">
        <v>0</v>
      </c>
      <c r="AA1910">
        <v>9</v>
      </c>
      <c r="AB1910">
        <v>9</v>
      </c>
      <c r="AC1910" t="s">
        <v>310</v>
      </c>
      <c r="AD1910">
        <v>9</v>
      </c>
      <c r="AE1910" t="s">
        <v>1388</v>
      </c>
      <c r="AF1910">
        <v>10001000</v>
      </c>
      <c r="AG1910" t="s">
        <v>310</v>
      </c>
      <c r="AH1910">
        <f>SUM((MID(Dyno_Data[[#This Row],[Team]],4,5))+(Dyno_Data[[#This Row],[Match]]/100))</f>
        <v>7605.38</v>
      </c>
      <c r="AI1910" s="76">
        <f>ROUND(SUM(IF(Dyno_Data[[#This Row],[AcqCenter]]&gt;0,Dyno_Data[[#This Row],[Time]]-SUMIFS(Dyno_Data[Time],Dyno_Data[Team],Dyno_Data[[#This Row],[Team]],Dyno_Data[RecordType],"StartMatch",Dyno_Data[Match],Dyno_Data[[#This Row],[Match]]),0)*86400),0)</f>
        <v>0</v>
      </c>
    </row>
    <row r="1911" spans="1:35" x14ac:dyDescent="0.3">
      <c r="A1911">
        <v>1903</v>
      </c>
      <c r="B1911" t="s">
        <v>1305</v>
      </c>
      <c r="C1911">
        <v>38</v>
      </c>
      <c r="D1911" s="105">
        <v>45373.631126076391</v>
      </c>
      <c r="E1911" t="s">
        <v>312</v>
      </c>
      <c r="F1911" t="s">
        <v>309</v>
      </c>
      <c r="G1911">
        <v>0</v>
      </c>
      <c r="H1911" t="s">
        <v>143</v>
      </c>
      <c r="I1911">
        <v>5</v>
      </c>
      <c r="J1911">
        <v>1</v>
      </c>
      <c r="K1911">
        <v>0</v>
      </c>
      <c r="L1911" t="s">
        <v>310</v>
      </c>
      <c r="M1911" t="s">
        <v>310</v>
      </c>
      <c r="N1911">
        <v>0</v>
      </c>
      <c r="O1911" t="s">
        <v>1389</v>
      </c>
      <c r="P1911" t="s">
        <v>310</v>
      </c>
      <c r="Q1911" t="s">
        <v>310</v>
      </c>
      <c r="R1911" t="s">
        <v>310</v>
      </c>
      <c r="S1911">
        <v>9</v>
      </c>
      <c r="T1911" t="s">
        <v>310</v>
      </c>
      <c r="U1911">
        <v>9</v>
      </c>
      <c r="V1911">
        <v>9</v>
      </c>
      <c r="W1911">
        <v>0</v>
      </c>
      <c r="X1911">
        <v>0</v>
      </c>
      <c r="Y1911">
        <v>0</v>
      </c>
      <c r="Z1911">
        <v>0</v>
      </c>
      <c r="AA1911">
        <v>9</v>
      </c>
      <c r="AB1911">
        <v>9</v>
      </c>
      <c r="AC1911" t="s">
        <v>310</v>
      </c>
      <c r="AD1911">
        <v>9</v>
      </c>
      <c r="AE1911" t="s">
        <v>1414</v>
      </c>
      <c r="AF1911">
        <v>10001000</v>
      </c>
      <c r="AG1911" t="s">
        <v>310</v>
      </c>
      <c r="AH1911">
        <f>SUM((MID(Dyno_Data[[#This Row],[Team]],4,5))+(Dyno_Data[[#This Row],[Match]]/100))</f>
        <v>3173.38</v>
      </c>
      <c r="AI1911" s="76">
        <f>ROUND(SUM(IF(Dyno_Data[[#This Row],[AcqCenter]]&gt;0,Dyno_Data[[#This Row],[Time]]-SUMIFS(Dyno_Data[Time],Dyno_Data[Team],Dyno_Data[[#This Row],[Team]],Dyno_Data[RecordType],"StartMatch",Dyno_Data[Match],Dyno_Data[[#This Row],[Match]]),0)*86400),0)</f>
        <v>9</v>
      </c>
    </row>
    <row r="1912" spans="1:35" x14ac:dyDescent="0.3">
      <c r="A1912">
        <v>1905</v>
      </c>
      <c r="B1912" t="s">
        <v>1303</v>
      </c>
      <c r="C1912">
        <v>38</v>
      </c>
      <c r="D1912" s="105">
        <v>45373.631136840275</v>
      </c>
      <c r="E1912" t="s">
        <v>312</v>
      </c>
      <c r="F1912" t="s">
        <v>309</v>
      </c>
      <c r="G1912">
        <v>0</v>
      </c>
      <c r="H1912" t="s">
        <v>143</v>
      </c>
      <c r="I1912">
        <v>4</v>
      </c>
      <c r="J1912">
        <v>1</v>
      </c>
      <c r="K1912">
        <v>0</v>
      </c>
      <c r="L1912" t="s">
        <v>310</v>
      </c>
      <c r="M1912" t="s">
        <v>310</v>
      </c>
      <c r="N1912">
        <v>0</v>
      </c>
      <c r="O1912" t="s">
        <v>311</v>
      </c>
      <c r="P1912" t="s">
        <v>310</v>
      </c>
      <c r="Q1912" t="s">
        <v>310</v>
      </c>
      <c r="R1912" t="s">
        <v>310</v>
      </c>
      <c r="S1912">
        <v>9</v>
      </c>
      <c r="T1912" t="s">
        <v>310</v>
      </c>
      <c r="U1912">
        <v>9</v>
      </c>
      <c r="V1912">
        <v>9</v>
      </c>
      <c r="W1912">
        <v>0</v>
      </c>
      <c r="X1912">
        <v>0</v>
      </c>
      <c r="Y1912">
        <v>0</v>
      </c>
      <c r="Z1912">
        <v>0</v>
      </c>
      <c r="AA1912">
        <v>9</v>
      </c>
      <c r="AB1912">
        <v>9</v>
      </c>
      <c r="AC1912" t="s">
        <v>310</v>
      </c>
      <c r="AD1912">
        <v>9</v>
      </c>
      <c r="AE1912" t="s">
        <v>1388</v>
      </c>
      <c r="AF1912">
        <v>10002000</v>
      </c>
      <c r="AG1912" t="s">
        <v>310</v>
      </c>
      <c r="AH1912">
        <f>SUM((MID(Dyno_Data[[#This Row],[Team]],4,5))+(Dyno_Data[[#This Row],[Match]]/100))</f>
        <v>7605.38</v>
      </c>
      <c r="AI1912" s="76">
        <f>ROUND(SUM(IF(Dyno_Data[[#This Row],[AcqCenter]]&gt;0,Dyno_Data[[#This Row],[Time]]-SUMIFS(Dyno_Data[Time],Dyno_Data[Team],Dyno_Data[[#This Row],[Team]],Dyno_Data[RecordType],"StartMatch",Dyno_Data[Match],Dyno_Data[[#This Row],[Match]]),0)*86400),0)</f>
        <v>11</v>
      </c>
    </row>
    <row r="1913" spans="1:35" x14ac:dyDescent="0.3">
      <c r="A1913">
        <v>1904</v>
      </c>
      <c r="B1913" t="s">
        <v>1310</v>
      </c>
      <c r="C1913">
        <v>38</v>
      </c>
      <c r="D1913" s="105">
        <v>45373.631140474536</v>
      </c>
      <c r="E1913" t="s">
        <v>312</v>
      </c>
      <c r="F1913" t="s">
        <v>309</v>
      </c>
      <c r="G1913">
        <v>0</v>
      </c>
      <c r="H1913" t="s">
        <v>1397</v>
      </c>
      <c r="I1913">
        <v>0</v>
      </c>
      <c r="J1913">
        <v>0</v>
      </c>
      <c r="K1913">
        <v>0</v>
      </c>
      <c r="L1913" t="s">
        <v>240</v>
      </c>
      <c r="M1913" t="s">
        <v>1398</v>
      </c>
      <c r="N1913">
        <v>1</v>
      </c>
      <c r="O1913" t="s">
        <v>1391</v>
      </c>
      <c r="P1913" t="s">
        <v>310</v>
      </c>
      <c r="Q1913" t="s">
        <v>310</v>
      </c>
      <c r="R1913" t="s">
        <v>310</v>
      </c>
      <c r="S1913">
        <v>9</v>
      </c>
      <c r="T1913" t="s">
        <v>310</v>
      </c>
      <c r="U1913">
        <v>9</v>
      </c>
      <c r="V1913">
        <v>9</v>
      </c>
      <c r="W1913">
        <v>0</v>
      </c>
      <c r="X1913">
        <v>0</v>
      </c>
      <c r="Y1913">
        <v>0</v>
      </c>
      <c r="Z1913">
        <v>0</v>
      </c>
      <c r="AA1913">
        <v>9</v>
      </c>
      <c r="AB1913">
        <v>9</v>
      </c>
      <c r="AC1913" t="s">
        <v>310</v>
      </c>
      <c r="AD1913">
        <v>9</v>
      </c>
      <c r="AE1913" t="s">
        <v>1390</v>
      </c>
      <c r="AF1913">
        <v>0</v>
      </c>
      <c r="AG1913" t="s">
        <v>310</v>
      </c>
      <c r="AH1913">
        <f>SUM((MID(Dyno_Data[[#This Row],[Team]],4,5))+(Dyno_Data[[#This Row],[Match]]/100))</f>
        <v>6621.38</v>
      </c>
      <c r="AI1913" s="76">
        <f>ROUND(SUM(IF(Dyno_Data[[#This Row],[AcqCenter]]&gt;0,Dyno_Data[[#This Row],[Time]]-SUMIFS(Dyno_Data[Time],Dyno_Data[Team],Dyno_Data[[#This Row],[Team]],Dyno_Data[RecordType],"StartMatch",Dyno_Data[Match],Dyno_Data[[#This Row],[Match]]),0)*86400),0)</f>
        <v>0</v>
      </c>
    </row>
    <row r="1914" spans="1:35" x14ac:dyDescent="0.3">
      <c r="A1914">
        <v>1907</v>
      </c>
      <c r="B1914" t="s">
        <v>1305</v>
      </c>
      <c r="C1914">
        <v>38</v>
      </c>
      <c r="D1914" s="105">
        <v>45373.63115778935</v>
      </c>
      <c r="E1914" t="s">
        <v>312</v>
      </c>
      <c r="F1914" t="s">
        <v>309</v>
      </c>
      <c r="G1914">
        <v>0</v>
      </c>
      <c r="H1914" t="s">
        <v>143</v>
      </c>
      <c r="I1914">
        <v>0</v>
      </c>
      <c r="J1914">
        <v>0</v>
      </c>
      <c r="K1914">
        <v>0</v>
      </c>
      <c r="L1914" t="s">
        <v>241</v>
      </c>
      <c r="M1914" t="s">
        <v>1398</v>
      </c>
      <c r="N1914">
        <v>0</v>
      </c>
      <c r="O1914" t="s">
        <v>1389</v>
      </c>
      <c r="P1914" t="s">
        <v>310</v>
      </c>
      <c r="Q1914" t="s">
        <v>310</v>
      </c>
      <c r="R1914" t="s">
        <v>310</v>
      </c>
      <c r="S1914">
        <v>9</v>
      </c>
      <c r="T1914" t="s">
        <v>310</v>
      </c>
      <c r="U1914">
        <v>9</v>
      </c>
      <c r="V1914">
        <v>9</v>
      </c>
      <c r="W1914">
        <v>0</v>
      </c>
      <c r="X1914">
        <v>0</v>
      </c>
      <c r="Y1914">
        <v>0</v>
      </c>
      <c r="Z1914">
        <v>0</v>
      </c>
      <c r="AA1914">
        <v>9</v>
      </c>
      <c r="AB1914">
        <v>9</v>
      </c>
      <c r="AC1914" t="s">
        <v>310</v>
      </c>
      <c r="AD1914">
        <v>9</v>
      </c>
      <c r="AE1914" t="s">
        <v>1414</v>
      </c>
      <c r="AF1914">
        <v>10001000</v>
      </c>
      <c r="AG1914" t="s">
        <v>310</v>
      </c>
      <c r="AH1914">
        <f>SUM((MID(Dyno_Data[[#This Row],[Team]],4,5))+(Dyno_Data[[#This Row],[Match]]/100))</f>
        <v>3173.38</v>
      </c>
      <c r="AI1914" s="76">
        <f>ROUND(SUM(IF(Dyno_Data[[#This Row],[AcqCenter]]&gt;0,Dyno_Data[[#This Row],[Time]]-SUMIFS(Dyno_Data[Time],Dyno_Data[Team],Dyno_Data[[#This Row],[Team]],Dyno_Data[RecordType],"StartMatch",Dyno_Data[Match],Dyno_Data[[#This Row],[Match]]),0)*86400),0)</f>
        <v>0</v>
      </c>
    </row>
    <row r="1915" spans="1:35" x14ac:dyDescent="0.3">
      <c r="A1915">
        <v>1910</v>
      </c>
      <c r="B1915" t="s">
        <v>1277</v>
      </c>
      <c r="C1915">
        <v>38</v>
      </c>
      <c r="D1915" s="105">
        <v>45373.631183101854</v>
      </c>
      <c r="E1915" t="s">
        <v>312</v>
      </c>
      <c r="F1915" t="s">
        <v>309</v>
      </c>
      <c r="G1915">
        <v>0</v>
      </c>
      <c r="H1915" t="s">
        <v>143</v>
      </c>
      <c r="I1915">
        <v>2</v>
      </c>
      <c r="J1915">
        <v>-1</v>
      </c>
      <c r="K1915">
        <v>0</v>
      </c>
      <c r="L1915" t="s">
        <v>310</v>
      </c>
      <c r="M1915" t="s">
        <v>310</v>
      </c>
      <c r="N1915">
        <v>0</v>
      </c>
      <c r="O1915" t="s">
        <v>1395</v>
      </c>
      <c r="P1915" t="s">
        <v>310</v>
      </c>
      <c r="Q1915" t="s">
        <v>310</v>
      </c>
      <c r="R1915" t="s">
        <v>310</v>
      </c>
      <c r="S1915">
        <v>9</v>
      </c>
      <c r="T1915" t="s">
        <v>310</v>
      </c>
      <c r="U1915">
        <v>9</v>
      </c>
      <c r="V1915">
        <v>9</v>
      </c>
      <c r="W1915">
        <v>0</v>
      </c>
      <c r="X1915">
        <v>0</v>
      </c>
      <c r="Y1915">
        <v>0</v>
      </c>
      <c r="Z1915">
        <v>0</v>
      </c>
      <c r="AA1915">
        <v>9</v>
      </c>
      <c r="AB1915">
        <v>9</v>
      </c>
      <c r="AC1915" t="s">
        <v>310</v>
      </c>
      <c r="AD1915">
        <v>9</v>
      </c>
      <c r="AE1915" t="s">
        <v>1413</v>
      </c>
      <c r="AF1915">
        <v>2000</v>
      </c>
      <c r="AG1915" t="s">
        <v>310</v>
      </c>
      <c r="AH1915">
        <f>SUM((MID(Dyno_Data[[#This Row],[Team]],4,5))+(Dyno_Data[[#This Row],[Match]]/100))</f>
        <v>3360.38</v>
      </c>
      <c r="AI1915" s="76">
        <f>ROUND(SUM(IF(Dyno_Data[[#This Row],[AcqCenter]]&gt;0,Dyno_Data[[#This Row],[Time]]-SUMIFS(Dyno_Data[Time],Dyno_Data[Team],Dyno_Data[[#This Row],[Team]],Dyno_Data[RecordType],"StartMatch",Dyno_Data[Match],Dyno_Data[[#This Row],[Match]]),0)*86400),0)</f>
        <v>15</v>
      </c>
    </row>
    <row r="1916" spans="1:35" x14ac:dyDescent="0.3">
      <c r="A1916">
        <v>1908</v>
      </c>
      <c r="B1916" t="s">
        <v>1303</v>
      </c>
      <c r="C1916">
        <v>38</v>
      </c>
      <c r="D1916" s="105">
        <v>45373.631188923609</v>
      </c>
      <c r="E1916" t="s">
        <v>312</v>
      </c>
      <c r="F1916" t="s">
        <v>309</v>
      </c>
      <c r="G1916">
        <v>0</v>
      </c>
      <c r="H1916" t="s">
        <v>143</v>
      </c>
      <c r="I1916">
        <v>0</v>
      </c>
      <c r="J1916">
        <v>0</v>
      </c>
      <c r="K1916">
        <v>0</v>
      </c>
      <c r="L1916" t="s">
        <v>241</v>
      </c>
      <c r="M1916" t="s">
        <v>1398</v>
      </c>
      <c r="N1916">
        <v>0</v>
      </c>
      <c r="O1916" t="s">
        <v>311</v>
      </c>
      <c r="P1916" t="s">
        <v>310</v>
      </c>
      <c r="Q1916" t="s">
        <v>310</v>
      </c>
      <c r="R1916" t="s">
        <v>310</v>
      </c>
      <c r="S1916">
        <v>9</v>
      </c>
      <c r="T1916" t="s">
        <v>310</v>
      </c>
      <c r="U1916">
        <v>9</v>
      </c>
      <c r="V1916">
        <v>9</v>
      </c>
      <c r="W1916">
        <v>0</v>
      </c>
      <c r="X1916">
        <v>0</v>
      </c>
      <c r="Y1916">
        <v>0</v>
      </c>
      <c r="Z1916">
        <v>0</v>
      </c>
      <c r="AA1916">
        <v>9</v>
      </c>
      <c r="AB1916">
        <v>9</v>
      </c>
      <c r="AC1916" t="s">
        <v>310</v>
      </c>
      <c r="AD1916">
        <v>9</v>
      </c>
      <c r="AE1916" t="s">
        <v>1388</v>
      </c>
      <c r="AF1916">
        <v>10002000</v>
      </c>
      <c r="AG1916" t="s">
        <v>310</v>
      </c>
      <c r="AH1916">
        <f>SUM((MID(Dyno_Data[[#This Row],[Team]],4,5))+(Dyno_Data[[#This Row],[Match]]/100))</f>
        <v>7605.38</v>
      </c>
      <c r="AI1916" s="76">
        <f>ROUND(SUM(IF(Dyno_Data[[#This Row],[AcqCenter]]&gt;0,Dyno_Data[[#This Row],[Time]]-SUMIFS(Dyno_Data[Time],Dyno_Data[Team],Dyno_Data[[#This Row],[Team]],Dyno_Data[RecordType],"StartMatch",Dyno_Data[Match],Dyno_Data[[#This Row],[Match]]),0)*86400),0)</f>
        <v>0</v>
      </c>
    </row>
    <row r="1917" spans="1:35" x14ac:dyDescent="0.3">
      <c r="A1917">
        <v>1909</v>
      </c>
      <c r="B1917" t="s">
        <v>1305</v>
      </c>
      <c r="C1917">
        <v>38</v>
      </c>
      <c r="D1917" s="105">
        <v>45373.631189618056</v>
      </c>
      <c r="E1917" t="s">
        <v>312</v>
      </c>
      <c r="F1917" t="s">
        <v>309</v>
      </c>
      <c r="G1917">
        <v>0</v>
      </c>
      <c r="H1917" t="s">
        <v>315</v>
      </c>
      <c r="I1917">
        <v>0</v>
      </c>
      <c r="J1917">
        <v>0</v>
      </c>
      <c r="K1917">
        <v>0</v>
      </c>
      <c r="L1917" t="s">
        <v>241</v>
      </c>
      <c r="M1917" t="s">
        <v>1398</v>
      </c>
      <c r="N1917">
        <v>0</v>
      </c>
      <c r="O1917" t="s">
        <v>1389</v>
      </c>
      <c r="P1917" t="s">
        <v>310</v>
      </c>
      <c r="Q1917" t="s">
        <v>310</v>
      </c>
      <c r="R1917" t="s">
        <v>310</v>
      </c>
      <c r="S1917">
        <v>9</v>
      </c>
      <c r="T1917" t="s">
        <v>310</v>
      </c>
      <c r="U1917">
        <v>9</v>
      </c>
      <c r="V1917">
        <v>9</v>
      </c>
      <c r="W1917">
        <v>0</v>
      </c>
      <c r="X1917">
        <v>0</v>
      </c>
      <c r="Y1917">
        <v>0</v>
      </c>
      <c r="Z1917">
        <v>0</v>
      </c>
      <c r="AA1917">
        <v>9</v>
      </c>
      <c r="AB1917">
        <v>9</v>
      </c>
      <c r="AC1917" t="s">
        <v>310</v>
      </c>
      <c r="AD1917">
        <v>9</v>
      </c>
      <c r="AE1917" t="s">
        <v>1414</v>
      </c>
      <c r="AF1917">
        <v>20001000</v>
      </c>
      <c r="AG1917" t="s">
        <v>310</v>
      </c>
      <c r="AH1917">
        <f>SUM((MID(Dyno_Data[[#This Row],[Team]],4,5))+(Dyno_Data[[#This Row],[Match]]/100))</f>
        <v>3173.38</v>
      </c>
      <c r="AI1917" s="76">
        <f>ROUND(SUM(IF(Dyno_Data[[#This Row],[AcqCenter]]&gt;0,Dyno_Data[[#This Row],[Time]]-SUMIFS(Dyno_Data[Time],Dyno_Data[Team],Dyno_Data[[#This Row],[Team]],Dyno_Data[RecordType],"StartMatch",Dyno_Data[Match],Dyno_Data[[#This Row],[Match]]),0)*86400),0)</f>
        <v>0</v>
      </c>
    </row>
    <row r="1918" spans="1:35" x14ac:dyDescent="0.3">
      <c r="A1918">
        <v>1912</v>
      </c>
      <c r="B1918" t="s">
        <v>1303</v>
      </c>
      <c r="C1918">
        <v>38</v>
      </c>
      <c r="D1918" s="105">
        <v>45373.631216666668</v>
      </c>
      <c r="E1918" t="s">
        <v>314</v>
      </c>
      <c r="F1918" t="s">
        <v>309</v>
      </c>
      <c r="G1918">
        <v>1</v>
      </c>
      <c r="H1918" t="s">
        <v>310</v>
      </c>
      <c r="I1918">
        <v>0</v>
      </c>
      <c r="J1918">
        <v>0</v>
      </c>
      <c r="K1918">
        <v>0</v>
      </c>
      <c r="L1918" t="s">
        <v>310</v>
      </c>
      <c r="M1918" t="s">
        <v>310</v>
      </c>
      <c r="N1918">
        <v>0</v>
      </c>
      <c r="O1918" t="s">
        <v>311</v>
      </c>
      <c r="P1918" t="s">
        <v>101</v>
      </c>
      <c r="Q1918" t="s">
        <v>1399</v>
      </c>
      <c r="R1918" t="s">
        <v>310</v>
      </c>
      <c r="S1918">
        <v>9</v>
      </c>
      <c r="T1918" t="s">
        <v>310</v>
      </c>
      <c r="U1918">
        <v>9</v>
      </c>
      <c r="V1918">
        <v>9</v>
      </c>
      <c r="W1918">
        <v>0</v>
      </c>
      <c r="X1918">
        <v>0</v>
      </c>
      <c r="Y1918">
        <v>0</v>
      </c>
      <c r="Z1918">
        <v>0</v>
      </c>
      <c r="AA1918">
        <v>9</v>
      </c>
      <c r="AB1918">
        <v>9</v>
      </c>
      <c r="AC1918" t="s">
        <v>310</v>
      </c>
      <c r="AD1918">
        <v>9</v>
      </c>
      <c r="AE1918" t="s">
        <v>1388</v>
      </c>
      <c r="AF1918">
        <v>10002000</v>
      </c>
      <c r="AG1918" t="s">
        <v>310</v>
      </c>
      <c r="AH1918">
        <f>SUM((MID(Dyno_Data[[#This Row],[Team]],4,5))+(Dyno_Data[[#This Row],[Match]]/100))</f>
        <v>7605.38</v>
      </c>
      <c r="AI1918" s="76">
        <f>ROUND(SUM(IF(Dyno_Data[[#This Row],[AcqCenter]]&gt;0,Dyno_Data[[#This Row],[Time]]-SUMIFS(Dyno_Data[Time],Dyno_Data[Team],Dyno_Data[[#This Row],[Team]],Dyno_Data[RecordType],"StartMatch",Dyno_Data[Match],Dyno_Data[[#This Row],[Match]]),0)*86400),0)</f>
        <v>0</v>
      </c>
    </row>
    <row r="1919" spans="1:35" x14ac:dyDescent="0.3">
      <c r="A1919">
        <v>1914</v>
      </c>
      <c r="B1919" t="s">
        <v>1296</v>
      </c>
      <c r="C1919">
        <v>38</v>
      </c>
      <c r="D1919" s="105">
        <v>45373.631217442133</v>
      </c>
      <c r="E1919" t="s">
        <v>314</v>
      </c>
      <c r="F1919" t="s">
        <v>309</v>
      </c>
      <c r="G1919">
        <v>1</v>
      </c>
      <c r="H1919" t="s">
        <v>310</v>
      </c>
      <c r="I1919">
        <v>0</v>
      </c>
      <c r="J1919">
        <v>0</v>
      </c>
      <c r="K1919">
        <v>0</v>
      </c>
      <c r="L1919" t="s">
        <v>310</v>
      </c>
      <c r="M1919" t="s">
        <v>310</v>
      </c>
      <c r="N1919">
        <v>0</v>
      </c>
      <c r="O1919" t="s">
        <v>319</v>
      </c>
      <c r="P1919" t="s">
        <v>1401</v>
      </c>
      <c r="Q1919" t="s">
        <v>1400</v>
      </c>
      <c r="R1919" t="s">
        <v>310</v>
      </c>
      <c r="S1919">
        <v>9</v>
      </c>
      <c r="T1919" t="s">
        <v>310</v>
      </c>
      <c r="U1919">
        <v>9</v>
      </c>
      <c r="V1919">
        <v>9</v>
      </c>
      <c r="W1919">
        <v>0</v>
      </c>
      <c r="X1919">
        <v>0</v>
      </c>
      <c r="Y1919">
        <v>0</v>
      </c>
      <c r="Z1919">
        <v>0</v>
      </c>
      <c r="AA1919">
        <v>9</v>
      </c>
      <c r="AB1919">
        <v>9</v>
      </c>
      <c r="AC1919" t="s">
        <v>310</v>
      </c>
      <c r="AD1919">
        <v>9</v>
      </c>
      <c r="AE1919" t="s">
        <v>1412</v>
      </c>
      <c r="AF1919">
        <v>0</v>
      </c>
      <c r="AG1919" t="s">
        <v>310</v>
      </c>
      <c r="AH1919">
        <f>SUM((MID(Dyno_Data[[#This Row],[Team]],4,5))+(Dyno_Data[[#This Row],[Match]]/100))</f>
        <v>3003.38</v>
      </c>
      <c r="AI1919" s="76">
        <f>ROUND(SUM(IF(Dyno_Data[[#This Row],[AcqCenter]]&gt;0,Dyno_Data[[#This Row],[Time]]-SUMIFS(Dyno_Data[Time],Dyno_Data[Team],Dyno_Data[[#This Row],[Team]],Dyno_Data[RecordType],"StartMatch",Dyno_Data[Match],Dyno_Data[[#This Row],[Match]]),0)*86400),0)</f>
        <v>0</v>
      </c>
    </row>
    <row r="1920" spans="1:35" x14ac:dyDescent="0.3">
      <c r="A1920">
        <v>1916</v>
      </c>
      <c r="B1920" t="s">
        <v>363</v>
      </c>
      <c r="C1920">
        <v>38</v>
      </c>
      <c r="D1920" s="105">
        <v>45373.631218171293</v>
      </c>
      <c r="E1920" t="s">
        <v>314</v>
      </c>
      <c r="F1920" t="s">
        <v>309</v>
      </c>
      <c r="G1920">
        <v>0</v>
      </c>
      <c r="H1920" t="s">
        <v>310</v>
      </c>
      <c r="I1920">
        <v>0</v>
      </c>
      <c r="J1920">
        <v>0</v>
      </c>
      <c r="K1920">
        <v>0</v>
      </c>
      <c r="L1920" t="s">
        <v>310</v>
      </c>
      <c r="M1920" t="s">
        <v>310</v>
      </c>
      <c r="N1920">
        <v>0</v>
      </c>
      <c r="O1920" t="s">
        <v>1393</v>
      </c>
      <c r="P1920" t="s">
        <v>320</v>
      </c>
      <c r="Q1920" t="s">
        <v>1400</v>
      </c>
      <c r="R1920" t="s">
        <v>310</v>
      </c>
      <c r="S1920">
        <v>9</v>
      </c>
      <c r="T1920" t="s">
        <v>310</v>
      </c>
      <c r="U1920">
        <v>9</v>
      </c>
      <c r="V1920">
        <v>9</v>
      </c>
      <c r="W1920">
        <v>0</v>
      </c>
      <c r="X1920">
        <v>0</v>
      </c>
      <c r="Y1920">
        <v>0</v>
      </c>
      <c r="Z1920">
        <v>0</v>
      </c>
      <c r="AA1920">
        <v>9</v>
      </c>
      <c r="AB1920">
        <v>9</v>
      </c>
      <c r="AC1920" t="s">
        <v>310</v>
      </c>
      <c r="AD1920">
        <v>9</v>
      </c>
      <c r="AE1920" t="s">
        <v>1396</v>
      </c>
      <c r="AF1920">
        <v>0</v>
      </c>
      <c r="AG1920" t="s">
        <v>310</v>
      </c>
      <c r="AH1920">
        <f>SUM((MID(Dyno_Data[[#This Row],[Team]],4,5))+(Dyno_Data[[#This Row],[Match]]/100))</f>
        <v>2601.38</v>
      </c>
      <c r="AI1920" s="76">
        <f>ROUND(SUM(IF(Dyno_Data[[#This Row],[AcqCenter]]&gt;0,Dyno_Data[[#This Row],[Time]]-SUMIFS(Dyno_Data[Time],Dyno_Data[Team],Dyno_Data[[#This Row],[Team]],Dyno_Data[RecordType],"StartMatch",Dyno_Data[Match],Dyno_Data[[#This Row],[Match]]),0)*86400),0)</f>
        <v>0</v>
      </c>
    </row>
    <row r="1921" spans="1:35" x14ac:dyDescent="0.3">
      <c r="A1921">
        <v>1918</v>
      </c>
      <c r="B1921" t="s">
        <v>1310</v>
      </c>
      <c r="C1921">
        <v>38</v>
      </c>
      <c r="D1921" s="105">
        <v>45373.631219479168</v>
      </c>
      <c r="E1921" t="s">
        <v>314</v>
      </c>
      <c r="F1921" t="s">
        <v>309</v>
      </c>
      <c r="G1921">
        <v>0</v>
      </c>
      <c r="H1921" t="s">
        <v>310</v>
      </c>
      <c r="I1921">
        <v>0</v>
      </c>
      <c r="J1921">
        <v>0</v>
      </c>
      <c r="K1921">
        <v>0</v>
      </c>
      <c r="L1921" t="s">
        <v>310</v>
      </c>
      <c r="M1921" t="s">
        <v>310</v>
      </c>
      <c r="N1921">
        <v>0</v>
      </c>
      <c r="O1921" t="s">
        <v>1391</v>
      </c>
      <c r="P1921" t="s">
        <v>240</v>
      </c>
      <c r="Q1921" t="s">
        <v>1400</v>
      </c>
      <c r="R1921" t="s">
        <v>310</v>
      </c>
      <c r="S1921">
        <v>9</v>
      </c>
      <c r="T1921" t="s">
        <v>310</v>
      </c>
      <c r="U1921">
        <v>9</v>
      </c>
      <c r="V1921">
        <v>9</v>
      </c>
      <c r="W1921">
        <v>0</v>
      </c>
      <c r="X1921">
        <v>0</v>
      </c>
      <c r="Y1921">
        <v>0</v>
      </c>
      <c r="Z1921">
        <v>0</v>
      </c>
      <c r="AA1921">
        <v>9</v>
      </c>
      <c r="AB1921">
        <v>9</v>
      </c>
      <c r="AC1921" t="s">
        <v>310</v>
      </c>
      <c r="AD1921">
        <v>9</v>
      </c>
      <c r="AE1921" t="s">
        <v>1390</v>
      </c>
      <c r="AF1921">
        <v>0</v>
      </c>
      <c r="AG1921" t="s">
        <v>310</v>
      </c>
      <c r="AH1921">
        <f>SUM((MID(Dyno_Data[[#This Row],[Team]],4,5))+(Dyno_Data[[#This Row],[Match]]/100))</f>
        <v>6621.38</v>
      </c>
      <c r="AI1921" s="76">
        <f>ROUND(SUM(IF(Dyno_Data[[#This Row],[AcqCenter]]&gt;0,Dyno_Data[[#This Row],[Time]]-SUMIFS(Dyno_Data[Time],Dyno_Data[Team],Dyno_Data[[#This Row],[Team]],Dyno_Data[RecordType],"StartMatch",Dyno_Data[Match],Dyno_Data[[#This Row],[Match]]),0)*86400),0)</f>
        <v>0</v>
      </c>
    </row>
    <row r="1922" spans="1:35" x14ac:dyDescent="0.3">
      <c r="A1922">
        <v>1920</v>
      </c>
      <c r="B1922" t="s">
        <v>1277</v>
      </c>
      <c r="C1922">
        <v>38</v>
      </c>
      <c r="D1922" s="105">
        <v>45373.63122314815</v>
      </c>
      <c r="E1922" t="s">
        <v>314</v>
      </c>
      <c r="F1922" t="s">
        <v>309</v>
      </c>
      <c r="G1922">
        <v>0</v>
      </c>
      <c r="H1922" t="s">
        <v>310</v>
      </c>
      <c r="I1922">
        <v>0</v>
      </c>
      <c r="J1922">
        <v>0</v>
      </c>
      <c r="K1922">
        <v>0</v>
      </c>
      <c r="L1922" t="s">
        <v>310</v>
      </c>
      <c r="M1922" t="s">
        <v>310</v>
      </c>
      <c r="N1922">
        <v>0</v>
      </c>
      <c r="O1922" t="s">
        <v>1395</v>
      </c>
      <c r="P1922" t="s">
        <v>1401</v>
      </c>
      <c r="Q1922" t="s">
        <v>1399</v>
      </c>
      <c r="R1922" t="s">
        <v>310</v>
      </c>
      <c r="S1922">
        <v>9</v>
      </c>
      <c r="T1922" t="s">
        <v>310</v>
      </c>
      <c r="U1922">
        <v>9</v>
      </c>
      <c r="V1922">
        <v>9</v>
      </c>
      <c r="W1922">
        <v>0</v>
      </c>
      <c r="X1922">
        <v>0</v>
      </c>
      <c r="Y1922">
        <v>0</v>
      </c>
      <c r="Z1922">
        <v>0</v>
      </c>
      <c r="AA1922">
        <v>9</v>
      </c>
      <c r="AB1922">
        <v>9</v>
      </c>
      <c r="AC1922" t="s">
        <v>310</v>
      </c>
      <c r="AD1922">
        <v>9</v>
      </c>
      <c r="AE1922" t="s">
        <v>1413</v>
      </c>
      <c r="AF1922">
        <v>2000</v>
      </c>
      <c r="AG1922" t="s">
        <v>310</v>
      </c>
      <c r="AH1922">
        <f>SUM((MID(Dyno_Data[[#This Row],[Team]],4,5))+(Dyno_Data[[#This Row],[Match]]/100))</f>
        <v>3360.38</v>
      </c>
      <c r="AI1922" s="76">
        <f>ROUND(SUM(IF(Dyno_Data[[#This Row],[AcqCenter]]&gt;0,Dyno_Data[[#This Row],[Time]]-SUMIFS(Dyno_Data[Time],Dyno_Data[Team],Dyno_Data[[#This Row],[Team]],Dyno_Data[RecordType],"StartMatch",Dyno_Data[Match],Dyno_Data[[#This Row],[Match]]),0)*86400),0)</f>
        <v>0</v>
      </c>
    </row>
    <row r="1923" spans="1:35" x14ac:dyDescent="0.3">
      <c r="A1923">
        <v>1922</v>
      </c>
      <c r="B1923" t="s">
        <v>1305</v>
      </c>
      <c r="C1923">
        <v>38</v>
      </c>
      <c r="D1923" s="105">
        <v>45373.631225347221</v>
      </c>
      <c r="E1923" t="s">
        <v>314</v>
      </c>
      <c r="F1923" t="s">
        <v>309</v>
      </c>
      <c r="G1923">
        <v>1</v>
      </c>
      <c r="H1923" t="s">
        <v>310</v>
      </c>
      <c r="I1923">
        <v>0</v>
      </c>
      <c r="J1923">
        <v>0</v>
      </c>
      <c r="K1923">
        <v>0</v>
      </c>
      <c r="L1923" t="s">
        <v>310</v>
      </c>
      <c r="M1923" t="s">
        <v>310</v>
      </c>
      <c r="N1923">
        <v>0</v>
      </c>
      <c r="O1923" t="s">
        <v>1389</v>
      </c>
      <c r="P1923" t="s">
        <v>101</v>
      </c>
      <c r="Q1923" t="s">
        <v>1400</v>
      </c>
      <c r="R1923" t="s">
        <v>310</v>
      </c>
      <c r="S1923">
        <v>9</v>
      </c>
      <c r="T1923" t="s">
        <v>310</v>
      </c>
      <c r="U1923">
        <v>9</v>
      </c>
      <c r="V1923">
        <v>9</v>
      </c>
      <c r="W1923">
        <v>0</v>
      </c>
      <c r="X1923">
        <v>0</v>
      </c>
      <c r="Y1923">
        <v>0</v>
      </c>
      <c r="Z1923">
        <v>0</v>
      </c>
      <c r="AA1923">
        <v>9</v>
      </c>
      <c r="AB1923">
        <v>9</v>
      </c>
      <c r="AC1923" t="s">
        <v>310</v>
      </c>
      <c r="AD1923">
        <v>9</v>
      </c>
      <c r="AE1923" t="s">
        <v>1414</v>
      </c>
      <c r="AF1923">
        <v>20001000</v>
      </c>
      <c r="AG1923" t="s">
        <v>310</v>
      </c>
      <c r="AH1923">
        <f>SUM((MID(Dyno_Data[[#This Row],[Team]],4,5))+(Dyno_Data[[#This Row],[Match]]/100))</f>
        <v>3173.38</v>
      </c>
      <c r="AI1923" s="76">
        <f>ROUND(SUM(IF(Dyno_Data[[#This Row],[AcqCenter]]&gt;0,Dyno_Data[[#This Row],[Time]]-SUMIFS(Dyno_Data[Time],Dyno_Data[Team],Dyno_Data[[#This Row],[Team]],Dyno_Data[RecordType],"StartMatch",Dyno_Data[Match],Dyno_Data[[#This Row],[Match]]),0)*86400),0)</f>
        <v>0</v>
      </c>
    </row>
    <row r="1924" spans="1:35" x14ac:dyDescent="0.3">
      <c r="A1924">
        <v>1923</v>
      </c>
      <c r="B1924" t="s">
        <v>1296</v>
      </c>
      <c r="C1924">
        <v>38</v>
      </c>
      <c r="D1924" s="105">
        <v>45373.631328738426</v>
      </c>
      <c r="E1924" t="s">
        <v>312</v>
      </c>
      <c r="F1924" t="s">
        <v>1402</v>
      </c>
      <c r="G1924">
        <v>0</v>
      </c>
      <c r="H1924" t="s">
        <v>315</v>
      </c>
      <c r="I1924">
        <v>0</v>
      </c>
      <c r="J1924">
        <v>0</v>
      </c>
      <c r="K1924">
        <v>0</v>
      </c>
      <c r="L1924" t="s">
        <v>242</v>
      </c>
      <c r="M1924" t="s">
        <v>241</v>
      </c>
      <c r="N1924">
        <v>0</v>
      </c>
      <c r="O1924" t="s">
        <v>319</v>
      </c>
      <c r="P1924" t="s">
        <v>310</v>
      </c>
      <c r="Q1924" t="s">
        <v>310</v>
      </c>
      <c r="R1924" t="s">
        <v>310</v>
      </c>
      <c r="S1924">
        <v>9</v>
      </c>
      <c r="T1924" t="s">
        <v>310</v>
      </c>
      <c r="U1924">
        <v>9</v>
      </c>
      <c r="V1924">
        <v>9</v>
      </c>
      <c r="W1924">
        <v>0</v>
      </c>
      <c r="X1924">
        <v>0</v>
      </c>
      <c r="Y1924">
        <v>0</v>
      </c>
      <c r="Z1924">
        <v>0</v>
      </c>
      <c r="AA1924">
        <v>9</v>
      </c>
      <c r="AB1924">
        <v>9</v>
      </c>
      <c r="AC1924" t="s">
        <v>310</v>
      </c>
      <c r="AD1924">
        <v>9</v>
      </c>
      <c r="AE1924" t="s">
        <v>1412</v>
      </c>
      <c r="AF1924">
        <v>10000000</v>
      </c>
      <c r="AG1924" t="s">
        <v>310</v>
      </c>
      <c r="AH1924">
        <f>SUM((MID(Dyno_Data[[#This Row],[Team]],4,5))+(Dyno_Data[[#This Row],[Match]]/100))</f>
        <v>3003.38</v>
      </c>
      <c r="AI1924" s="76">
        <f>ROUND(SUM(IF(Dyno_Data[[#This Row],[AcqCenter]]&gt;0,Dyno_Data[[#This Row],[Time]]-SUMIFS(Dyno_Data[Time],Dyno_Data[Team],Dyno_Data[[#This Row],[Team]],Dyno_Data[RecordType],"StartMatch",Dyno_Data[Match],Dyno_Data[[#This Row],[Match]]),0)*86400),0)</f>
        <v>0</v>
      </c>
    </row>
    <row r="1925" spans="1:35" x14ac:dyDescent="0.3">
      <c r="A1925">
        <v>1924</v>
      </c>
      <c r="B1925" t="s">
        <v>1303</v>
      </c>
      <c r="C1925">
        <v>38</v>
      </c>
      <c r="D1925" s="105">
        <v>45373.631357719911</v>
      </c>
      <c r="E1925" t="s">
        <v>312</v>
      </c>
      <c r="F1925" t="s">
        <v>1402</v>
      </c>
      <c r="G1925">
        <v>0</v>
      </c>
      <c r="H1925" t="s">
        <v>315</v>
      </c>
      <c r="I1925">
        <v>0</v>
      </c>
      <c r="J1925">
        <v>0</v>
      </c>
      <c r="K1925">
        <v>0</v>
      </c>
      <c r="L1925" t="s">
        <v>241</v>
      </c>
      <c r="M1925" t="s">
        <v>1398</v>
      </c>
      <c r="N1925">
        <v>0</v>
      </c>
      <c r="O1925" t="s">
        <v>311</v>
      </c>
      <c r="P1925" t="s">
        <v>310</v>
      </c>
      <c r="Q1925" t="s">
        <v>310</v>
      </c>
      <c r="R1925" t="s">
        <v>310</v>
      </c>
      <c r="S1925">
        <v>9</v>
      </c>
      <c r="T1925" t="s">
        <v>310</v>
      </c>
      <c r="U1925">
        <v>9</v>
      </c>
      <c r="V1925">
        <v>9</v>
      </c>
      <c r="W1925">
        <v>0</v>
      </c>
      <c r="X1925">
        <v>0</v>
      </c>
      <c r="Y1925">
        <v>0</v>
      </c>
      <c r="Z1925">
        <v>0</v>
      </c>
      <c r="AA1925">
        <v>9</v>
      </c>
      <c r="AB1925">
        <v>9</v>
      </c>
      <c r="AC1925" t="s">
        <v>310</v>
      </c>
      <c r="AD1925">
        <v>9</v>
      </c>
      <c r="AE1925" t="s">
        <v>1388</v>
      </c>
      <c r="AF1925">
        <v>20002000</v>
      </c>
      <c r="AG1925" t="s">
        <v>310</v>
      </c>
      <c r="AH1925">
        <f>SUM((MID(Dyno_Data[[#This Row],[Team]],4,5))+(Dyno_Data[[#This Row],[Match]]/100))</f>
        <v>7605.38</v>
      </c>
      <c r="AI1925" s="76">
        <f>ROUND(SUM(IF(Dyno_Data[[#This Row],[AcqCenter]]&gt;0,Dyno_Data[[#This Row],[Time]]-SUMIFS(Dyno_Data[Time],Dyno_Data[Team],Dyno_Data[[#This Row],[Team]],Dyno_Data[RecordType],"StartMatch",Dyno_Data[Match],Dyno_Data[[#This Row],[Match]]),0)*86400),0)</f>
        <v>0</v>
      </c>
    </row>
    <row r="1926" spans="1:35" x14ac:dyDescent="0.3">
      <c r="A1926">
        <v>1925</v>
      </c>
      <c r="B1926" t="s">
        <v>1310</v>
      </c>
      <c r="C1926">
        <v>38</v>
      </c>
      <c r="D1926" s="105">
        <v>45373.631363460649</v>
      </c>
      <c r="E1926" t="s">
        <v>312</v>
      </c>
      <c r="F1926" t="s">
        <v>1402</v>
      </c>
      <c r="G1926">
        <v>0</v>
      </c>
      <c r="H1926" t="s">
        <v>315</v>
      </c>
      <c r="I1926">
        <v>0</v>
      </c>
      <c r="J1926">
        <v>0</v>
      </c>
      <c r="K1926">
        <v>0</v>
      </c>
      <c r="L1926" t="s">
        <v>241</v>
      </c>
      <c r="M1926" t="s">
        <v>101</v>
      </c>
      <c r="N1926">
        <v>1</v>
      </c>
      <c r="O1926" t="s">
        <v>1391</v>
      </c>
      <c r="P1926" t="s">
        <v>310</v>
      </c>
      <c r="Q1926" t="s">
        <v>310</v>
      </c>
      <c r="R1926" t="s">
        <v>310</v>
      </c>
      <c r="S1926">
        <v>9</v>
      </c>
      <c r="T1926" t="s">
        <v>310</v>
      </c>
      <c r="U1926">
        <v>9</v>
      </c>
      <c r="V1926">
        <v>9</v>
      </c>
      <c r="W1926">
        <v>0</v>
      </c>
      <c r="X1926">
        <v>0</v>
      </c>
      <c r="Y1926">
        <v>0</v>
      </c>
      <c r="Z1926">
        <v>0</v>
      </c>
      <c r="AA1926">
        <v>9</v>
      </c>
      <c r="AB1926">
        <v>9</v>
      </c>
      <c r="AC1926" t="s">
        <v>310</v>
      </c>
      <c r="AD1926">
        <v>9</v>
      </c>
      <c r="AE1926" t="s">
        <v>1390</v>
      </c>
      <c r="AF1926">
        <v>10000000</v>
      </c>
      <c r="AG1926" t="s">
        <v>310</v>
      </c>
      <c r="AH1926">
        <f>SUM((MID(Dyno_Data[[#This Row],[Team]],4,5))+(Dyno_Data[[#This Row],[Match]]/100))</f>
        <v>6621.38</v>
      </c>
      <c r="AI1926" s="76">
        <f>ROUND(SUM(IF(Dyno_Data[[#This Row],[AcqCenter]]&gt;0,Dyno_Data[[#This Row],[Time]]-SUMIFS(Dyno_Data[Time],Dyno_Data[Team],Dyno_Data[[#This Row],[Team]],Dyno_Data[RecordType],"StartMatch",Dyno_Data[Match],Dyno_Data[[#This Row],[Match]]),0)*86400),0)</f>
        <v>0</v>
      </c>
    </row>
    <row r="1927" spans="1:35" x14ac:dyDescent="0.3">
      <c r="A1927">
        <v>1926</v>
      </c>
      <c r="B1927" t="s">
        <v>1305</v>
      </c>
      <c r="C1927">
        <v>38</v>
      </c>
      <c r="D1927" s="105">
        <v>45373.631367048612</v>
      </c>
      <c r="E1927" t="s">
        <v>312</v>
      </c>
      <c r="F1927" t="s">
        <v>1402</v>
      </c>
      <c r="G1927">
        <v>0</v>
      </c>
      <c r="H1927" t="s">
        <v>315</v>
      </c>
      <c r="I1927">
        <v>0</v>
      </c>
      <c r="J1927">
        <v>0</v>
      </c>
      <c r="K1927">
        <v>0</v>
      </c>
      <c r="L1927" t="s">
        <v>241</v>
      </c>
      <c r="M1927" t="s">
        <v>101</v>
      </c>
      <c r="N1927">
        <v>1</v>
      </c>
      <c r="O1927" t="s">
        <v>1389</v>
      </c>
      <c r="P1927" t="s">
        <v>310</v>
      </c>
      <c r="Q1927" t="s">
        <v>310</v>
      </c>
      <c r="R1927" t="s">
        <v>310</v>
      </c>
      <c r="S1927">
        <v>9</v>
      </c>
      <c r="T1927" t="s">
        <v>310</v>
      </c>
      <c r="U1927">
        <v>9</v>
      </c>
      <c r="V1927">
        <v>9</v>
      </c>
      <c r="W1927">
        <v>0</v>
      </c>
      <c r="X1927">
        <v>0</v>
      </c>
      <c r="Y1927">
        <v>0</v>
      </c>
      <c r="Z1927">
        <v>0</v>
      </c>
      <c r="AA1927">
        <v>9</v>
      </c>
      <c r="AB1927">
        <v>9</v>
      </c>
      <c r="AC1927" t="s">
        <v>310</v>
      </c>
      <c r="AD1927">
        <v>9</v>
      </c>
      <c r="AE1927" t="s">
        <v>1414</v>
      </c>
      <c r="AF1927">
        <v>30001000</v>
      </c>
      <c r="AG1927" t="s">
        <v>310</v>
      </c>
      <c r="AH1927">
        <f>SUM((MID(Dyno_Data[[#This Row],[Team]],4,5))+(Dyno_Data[[#This Row],[Match]]/100))</f>
        <v>3173.38</v>
      </c>
      <c r="AI1927" s="76">
        <f>ROUND(SUM(IF(Dyno_Data[[#This Row],[AcqCenter]]&gt;0,Dyno_Data[[#This Row],[Time]]-SUMIFS(Dyno_Data[Time],Dyno_Data[Team],Dyno_Data[[#This Row],[Team]],Dyno_Data[RecordType],"StartMatch",Dyno_Data[Match],Dyno_Data[[#This Row],[Match]]),0)*86400),0)</f>
        <v>0</v>
      </c>
    </row>
    <row r="1928" spans="1:35" x14ac:dyDescent="0.3">
      <c r="A1928">
        <v>1927</v>
      </c>
      <c r="B1928" t="s">
        <v>1305</v>
      </c>
      <c r="C1928">
        <v>38</v>
      </c>
      <c r="D1928" s="105">
        <v>45373.631399270831</v>
      </c>
      <c r="E1928" t="s">
        <v>312</v>
      </c>
      <c r="F1928" t="s">
        <v>1402</v>
      </c>
      <c r="G1928">
        <v>0</v>
      </c>
      <c r="H1928" t="s">
        <v>315</v>
      </c>
      <c r="I1928">
        <v>0</v>
      </c>
      <c r="J1928">
        <v>0</v>
      </c>
      <c r="K1928">
        <v>0</v>
      </c>
      <c r="L1928" t="s">
        <v>241</v>
      </c>
      <c r="M1928" t="s">
        <v>101</v>
      </c>
      <c r="N1928">
        <v>0</v>
      </c>
      <c r="O1928" t="s">
        <v>1389</v>
      </c>
      <c r="P1928" t="s">
        <v>310</v>
      </c>
      <c r="Q1928" t="s">
        <v>310</v>
      </c>
      <c r="R1928" t="s">
        <v>310</v>
      </c>
      <c r="S1928">
        <v>9</v>
      </c>
      <c r="T1928" t="s">
        <v>310</v>
      </c>
      <c r="U1928">
        <v>9</v>
      </c>
      <c r="V1928">
        <v>9</v>
      </c>
      <c r="W1928">
        <v>0</v>
      </c>
      <c r="X1928">
        <v>0</v>
      </c>
      <c r="Y1928">
        <v>0</v>
      </c>
      <c r="Z1928">
        <v>0</v>
      </c>
      <c r="AA1928">
        <v>9</v>
      </c>
      <c r="AB1928">
        <v>9</v>
      </c>
      <c r="AC1928" t="s">
        <v>310</v>
      </c>
      <c r="AD1928">
        <v>9</v>
      </c>
      <c r="AE1928" t="s">
        <v>1414</v>
      </c>
      <c r="AF1928">
        <v>40001000</v>
      </c>
      <c r="AG1928" t="s">
        <v>310</v>
      </c>
      <c r="AH1928">
        <f>SUM((MID(Dyno_Data[[#This Row],[Team]],4,5))+(Dyno_Data[[#This Row],[Match]]/100))</f>
        <v>3173.38</v>
      </c>
      <c r="AI1928" s="76">
        <f>ROUND(SUM(IF(Dyno_Data[[#This Row],[AcqCenter]]&gt;0,Dyno_Data[[#This Row],[Time]]-SUMIFS(Dyno_Data[Time],Dyno_Data[Team],Dyno_Data[[#This Row],[Team]],Dyno_Data[RecordType],"StartMatch",Dyno_Data[Match],Dyno_Data[[#This Row],[Match]]),0)*86400),0)</f>
        <v>0</v>
      </c>
    </row>
    <row r="1929" spans="1:35" x14ac:dyDescent="0.3">
      <c r="A1929">
        <v>1928</v>
      </c>
      <c r="B1929" t="s">
        <v>363</v>
      </c>
      <c r="C1929">
        <v>38</v>
      </c>
      <c r="D1929" s="105">
        <v>45373.631402893516</v>
      </c>
      <c r="E1929" t="s">
        <v>312</v>
      </c>
      <c r="F1929" t="s">
        <v>1402</v>
      </c>
      <c r="G1929">
        <v>0</v>
      </c>
      <c r="H1929" t="s">
        <v>1397</v>
      </c>
      <c r="I1929">
        <v>0</v>
      </c>
      <c r="J1929">
        <v>0</v>
      </c>
      <c r="K1929">
        <v>0</v>
      </c>
      <c r="L1929" t="s">
        <v>240</v>
      </c>
      <c r="M1929" t="s">
        <v>1398</v>
      </c>
      <c r="N1929">
        <v>1</v>
      </c>
      <c r="O1929" t="s">
        <v>1393</v>
      </c>
      <c r="P1929" t="s">
        <v>310</v>
      </c>
      <c r="Q1929" t="s">
        <v>310</v>
      </c>
      <c r="R1929" t="s">
        <v>310</v>
      </c>
      <c r="S1929">
        <v>9</v>
      </c>
      <c r="T1929" t="s">
        <v>310</v>
      </c>
      <c r="U1929">
        <v>9</v>
      </c>
      <c r="V1929">
        <v>9</v>
      </c>
      <c r="W1929">
        <v>0</v>
      </c>
      <c r="X1929">
        <v>0</v>
      </c>
      <c r="Y1929">
        <v>0</v>
      </c>
      <c r="Z1929">
        <v>0</v>
      </c>
      <c r="AA1929">
        <v>9</v>
      </c>
      <c r="AB1929">
        <v>9</v>
      </c>
      <c r="AC1929" t="s">
        <v>310</v>
      </c>
      <c r="AD1929">
        <v>9</v>
      </c>
      <c r="AE1929" t="s">
        <v>1396</v>
      </c>
      <c r="AF1929">
        <v>0</v>
      </c>
      <c r="AG1929" t="s">
        <v>310</v>
      </c>
      <c r="AH1929">
        <f>SUM((MID(Dyno_Data[[#This Row],[Team]],4,5))+(Dyno_Data[[#This Row],[Match]]/100))</f>
        <v>2601.38</v>
      </c>
      <c r="AI1929" s="76">
        <f>ROUND(SUM(IF(Dyno_Data[[#This Row],[AcqCenter]]&gt;0,Dyno_Data[[#This Row],[Time]]-SUMIFS(Dyno_Data[Time],Dyno_Data[Team],Dyno_Data[[#This Row],[Team]],Dyno_Data[RecordType],"StartMatch",Dyno_Data[Match],Dyno_Data[[#This Row],[Match]]),0)*86400),0)</f>
        <v>0</v>
      </c>
    </row>
    <row r="1930" spans="1:35" x14ac:dyDescent="0.3">
      <c r="A1930">
        <v>1929</v>
      </c>
      <c r="B1930" t="s">
        <v>1303</v>
      </c>
      <c r="C1930">
        <v>38</v>
      </c>
      <c r="D1930" s="105">
        <v>45373.631411539354</v>
      </c>
      <c r="E1930" t="s">
        <v>312</v>
      </c>
      <c r="F1930" t="s">
        <v>1402</v>
      </c>
      <c r="G1930">
        <v>0</v>
      </c>
      <c r="H1930" t="s">
        <v>315</v>
      </c>
      <c r="I1930">
        <v>0</v>
      </c>
      <c r="J1930">
        <v>0</v>
      </c>
      <c r="K1930">
        <v>0</v>
      </c>
      <c r="L1930" t="s">
        <v>241</v>
      </c>
      <c r="M1930" t="s">
        <v>1398</v>
      </c>
      <c r="N1930">
        <v>0</v>
      </c>
      <c r="O1930" t="s">
        <v>311</v>
      </c>
      <c r="P1930" t="s">
        <v>310</v>
      </c>
      <c r="Q1930" t="s">
        <v>310</v>
      </c>
      <c r="R1930" t="s">
        <v>310</v>
      </c>
      <c r="S1930">
        <v>9</v>
      </c>
      <c r="T1930" t="s">
        <v>310</v>
      </c>
      <c r="U1930">
        <v>9</v>
      </c>
      <c r="V1930">
        <v>9</v>
      </c>
      <c r="W1930">
        <v>0</v>
      </c>
      <c r="X1930">
        <v>0</v>
      </c>
      <c r="Y1930">
        <v>0</v>
      </c>
      <c r="Z1930">
        <v>0</v>
      </c>
      <c r="AA1930">
        <v>9</v>
      </c>
      <c r="AB1930">
        <v>9</v>
      </c>
      <c r="AC1930" t="s">
        <v>310</v>
      </c>
      <c r="AD1930">
        <v>9</v>
      </c>
      <c r="AE1930" t="s">
        <v>1388</v>
      </c>
      <c r="AF1930">
        <v>30002000</v>
      </c>
      <c r="AG1930" t="s">
        <v>310</v>
      </c>
      <c r="AH1930">
        <f>SUM((MID(Dyno_Data[[#This Row],[Team]],4,5))+(Dyno_Data[[#This Row],[Match]]/100))</f>
        <v>7605.38</v>
      </c>
      <c r="AI1930" s="76">
        <f>ROUND(SUM(IF(Dyno_Data[[#This Row],[AcqCenter]]&gt;0,Dyno_Data[[#This Row],[Time]]-SUMIFS(Dyno_Data[Time],Dyno_Data[Team],Dyno_Data[[#This Row],[Team]],Dyno_Data[RecordType],"StartMatch",Dyno_Data[Match],Dyno_Data[[#This Row],[Match]]),0)*86400),0)</f>
        <v>0</v>
      </c>
    </row>
    <row r="1931" spans="1:35" x14ac:dyDescent="0.3">
      <c r="A1931">
        <v>1930</v>
      </c>
      <c r="B1931" t="s">
        <v>1310</v>
      </c>
      <c r="C1931">
        <v>38</v>
      </c>
      <c r="D1931" s="105">
        <v>45373.631466006947</v>
      </c>
      <c r="E1931" t="s">
        <v>312</v>
      </c>
      <c r="F1931" t="s">
        <v>1402</v>
      </c>
      <c r="G1931">
        <v>0</v>
      </c>
      <c r="H1931" t="s">
        <v>315</v>
      </c>
      <c r="I1931">
        <v>0</v>
      </c>
      <c r="J1931">
        <v>0</v>
      </c>
      <c r="K1931">
        <v>0</v>
      </c>
      <c r="L1931" t="s">
        <v>241</v>
      </c>
      <c r="M1931" t="s">
        <v>101</v>
      </c>
      <c r="N1931">
        <v>0</v>
      </c>
      <c r="O1931" t="s">
        <v>1391</v>
      </c>
      <c r="P1931" t="s">
        <v>310</v>
      </c>
      <c r="Q1931" t="s">
        <v>310</v>
      </c>
      <c r="R1931" t="s">
        <v>310</v>
      </c>
      <c r="S1931">
        <v>9</v>
      </c>
      <c r="T1931" t="s">
        <v>310</v>
      </c>
      <c r="U1931">
        <v>9</v>
      </c>
      <c r="V1931">
        <v>9</v>
      </c>
      <c r="W1931">
        <v>0</v>
      </c>
      <c r="X1931">
        <v>0</v>
      </c>
      <c r="Y1931">
        <v>0</v>
      </c>
      <c r="Z1931">
        <v>0</v>
      </c>
      <c r="AA1931">
        <v>9</v>
      </c>
      <c r="AB1931">
        <v>9</v>
      </c>
      <c r="AC1931" t="s">
        <v>310</v>
      </c>
      <c r="AD1931">
        <v>9</v>
      </c>
      <c r="AE1931" t="s">
        <v>1390</v>
      </c>
      <c r="AF1931">
        <v>20000000</v>
      </c>
      <c r="AG1931" t="s">
        <v>310</v>
      </c>
      <c r="AH1931">
        <f>SUM((MID(Dyno_Data[[#This Row],[Team]],4,5))+(Dyno_Data[[#This Row],[Match]]/100))</f>
        <v>6621.38</v>
      </c>
      <c r="AI1931" s="76">
        <f>ROUND(SUM(IF(Dyno_Data[[#This Row],[AcqCenter]]&gt;0,Dyno_Data[[#This Row],[Time]]-SUMIFS(Dyno_Data[Time],Dyno_Data[Team],Dyno_Data[[#This Row],[Team]],Dyno_Data[RecordType],"StartMatch",Dyno_Data[Match],Dyno_Data[[#This Row],[Match]]),0)*86400),0)</f>
        <v>0</v>
      </c>
    </row>
    <row r="1932" spans="1:35" x14ac:dyDescent="0.3">
      <c r="A1932">
        <v>1931</v>
      </c>
      <c r="B1932" t="s">
        <v>363</v>
      </c>
      <c r="C1932">
        <v>38</v>
      </c>
      <c r="D1932" s="105">
        <v>45373.631502974538</v>
      </c>
      <c r="E1932" t="s">
        <v>312</v>
      </c>
      <c r="F1932" t="s">
        <v>1402</v>
      </c>
      <c r="G1932">
        <v>0</v>
      </c>
      <c r="H1932" t="s">
        <v>315</v>
      </c>
      <c r="I1932">
        <v>0</v>
      </c>
      <c r="J1932">
        <v>0</v>
      </c>
      <c r="K1932">
        <v>0</v>
      </c>
      <c r="L1932" t="s">
        <v>240</v>
      </c>
      <c r="M1932" t="s">
        <v>1398</v>
      </c>
      <c r="N1932">
        <v>0</v>
      </c>
      <c r="O1932" t="s">
        <v>1393</v>
      </c>
      <c r="P1932" t="s">
        <v>310</v>
      </c>
      <c r="Q1932" t="s">
        <v>310</v>
      </c>
      <c r="R1932" t="s">
        <v>310</v>
      </c>
      <c r="S1932">
        <v>9</v>
      </c>
      <c r="T1932" t="s">
        <v>310</v>
      </c>
      <c r="U1932">
        <v>9</v>
      </c>
      <c r="V1932">
        <v>9</v>
      </c>
      <c r="W1932">
        <v>0</v>
      </c>
      <c r="X1932">
        <v>0</v>
      </c>
      <c r="Y1932">
        <v>0</v>
      </c>
      <c r="Z1932">
        <v>0</v>
      </c>
      <c r="AA1932">
        <v>9</v>
      </c>
      <c r="AB1932">
        <v>9</v>
      </c>
      <c r="AC1932" t="s">
        <v>310</v>
      </c>
      <c r="AD1932">
        <v>9</v>
      </c>
      <c r="AE1932" t="s">
        <v>1396</v>
      </c>
      <c r="AF1932">
        <v>10000000</v>
      </c>
      <c r="AG1932" t="s">
        <v>310</v>
      </c>
      <c r="AH1932">
        <f>SUM((MID(Dyno_Data[[#This Row],[Team]],4,5))+(Dyno_Data[[#This Row],[Match]]/100))</f>
        <v>2601.38</v>
      </c>
      <c r="AI1932" s="76">
        <f>ROUND(SUM(IF(Dyno_Data[[#This Row],[AcqCenter]]&gt;0,Dyno_Data[[#This Row],[Time]]-SUMIFS(Dyno_Data[Time],Dyno_Data[Team],Dyno_Data[[#This Row],[Team]],Dyno_Data[RecordType],"StartMatch",Dyno_Data[Match],Dyno_Data[[#This Row],[Match]]),0)*86400),0)</f>
        <v>0</v>
      </c>
    </row>
    <row r="1933" spans="1:35" x14ac:dyDescent="0.3">
      <c r="A1933">
        <v>1932</v>
      </c>
      <c r="B1933" t="s">
        <v>1305</v>
      </c>
      <c r="C1933">
        <v>38</v>
      </c>
      <c r="D1933" s="105">
        <v>45373.631552812498</v>
      </c>
      <c r="E1933" t="s">
        <v>312</v>
      </c>
      <c r="F1933" t="s">
        <v>1402</v>
      </c>
      <c r="G1933">
        <v>0</v>
      </c>
      <c r="H1933" t="s">
        <v>315</v>
      </c>
      <c r="I1933">
        <v>0</v>
      </c>
      <c r="J1933">
        <v>0</v>
      </c>
      <c r="K1933">
        <v>0</v>
      </c>
      <c r="L1933" t="s">
        <v>241</v>
      </c>
      <c r="M1933" t="s">
        <v>101</v>
      </c>
      <c r="N1933">
        <v>0</v>
      </c>
      <c r="O1933" t="s">
        <v>1389</v>
      </c>
      <c r="P1933" t="s">
        <v>310</v>
      </c>
      <c r="Q1933" t="s">
        <v>310</v>
      </c>
      <c r="R1933" t="s">
        <v>310</v>
      </c>
      <c r="S1933">
        <v>9</v>
      </c>
      <c r="T1933" t="s">
        <v>310</v>
      </c>
      <c r="U1933">
        <v>9</v>
      </c>
      <c r="V1933">
        <v>9</v>
      </c>
      <c r="W1933">
        <v>0</v>
      </c>
      <c r="X1933">
        <v>0</v>
      </c>
      <c r="Y1933">
        <v>0</v>
      </c>
      <c r="Z1933">
        <v>0</v>
      </c>
      <c r="AA1933">
        <v>9</v>
      </c>
      <c r="AB1933">
        <v>9</v>
      </c>
      <c r="AC1933" t="s">
        <v>310</v>
      </c>
      <c r="AD1933">
        <v>9</v>
      </c>
      <c r="AE1933" t="s">
        <v>1414</v>
      </c>
      <c r="AF1933">
        <v>50001000</v>
      </c>
      <c r="AG1933" t="s">
        <v>310</v>
      </c>
      <c r="AH1933">
        <f>SUM((MID(Dyno_Data[[#This Row],[Team]],4,5))+(Dyno_Data[[#This Row],[Match]]/100))</f>
        <v>3173.38</v>
      </c>
      <c r="AI1933" s="76">
        <f>ROUND(SUM(IF(Dyno_Data[[#This Row],[AcqCenter]]&gt;0,Dyno_Data[[#This Row],[Time]]-SUMIFS(Dyno_Data[Time],Dyno_Data[Team],Dyno_Data[[#This Row],[Team]],Dyno_Data[RecordType],"StartMatch",Dyno_Data[Match],Dyno_Data[[#This Row],[Match]]),0)*86400),0)</f>
        <v>0</v>
      </c>
    </row>
    <row r="1934" spans="1:35" x14ac:dyDescent="0.3">
      <c r="A1934">
        <v>1933</v>
      </c>
      <c r="B1934" t="s">
        <v>363</v>
      </c>
      <c r="C1934">
        <v>38</v>
      </c>
      <c r="D1934" s="105">
        <v>45373.631557141205</v>
      </c>
      <c r="E1934" t="s">
        <v>312</v>
      </c>
      <c r="F1934" t="s">
        <v>1402</v>
      </c>
      <c r="G1934">
        <v>0</v>
      </c>
      <c r="H1934" t="s">
        <v>315</v>
      </c>
      <c r="I1934">
        <v>0</v>
      </c>
      <c r="J1934">
        <v>0</v>
      </c>
      <c r="K1934">
        <v>0</v>
      </c>
      <c r="L1934" t="s">
        <v>240</v>
      </c>
      <c r="M1934" t="s">
        <v>1398</v>
      </c>
      <c r="N1934">
        <v>0</v>
      </c>
      <c r="O1934" t="s">
        <v>1393</v>
      </c>
      <c r="P1934" t="s">
        <v>310</v>
      </c>
      <c r="Q1934" t="s">
        <v>310</v>
      </c>
      <c r="R1934" t="s">
        <v>310</v>
      </c>
      <c r="S1934">
        <v>9</v>
      </c>
      <c r="T1934" t="s">
        <v>310</v>
      </c>
      <c r="U1934">
        <v>9</v>
      </c>
      <c r="V1934">
        <v>9</v>
      </c>
      <c r="W1934">
        <v>0</v>
      </c>
      <c r="X1934">
        <v>0</v>
      </c>
      <c r="Y1934">
        <v>0</v>
      </c>
      <c r="Z1934">
        <v>0</v>
      </c>
      <c r="AA1934">
        <v>9</v>
      </c>
      <c r="AB1934">
        <v>9</v>
      </c>
      <c r="AC1934" t="s">
        <v>310</v>
      </c>
      <c r="AD1934">
        <v>9</v>
      </c>
      <c r="AE1934" t="s">
        <v>1396</v>
      </c>
      <c r="AF1934">
        <v>20000000</v>
      </c>
      <c r="AG1934" t="s">
        <v>310</v>
      </c>
      <c r="AH1934">
        <f>SUM((MID(Dyno_Data[[#This Row],[Team]],4,5))+(Dyno_Data[[#This Row],[Match]]/100))</f>
        <v>2601.38</v>
      </c>
      <c r="AI1934" s="76">
        <f>ROUND(SUM(IF(Dyno_Data[[#This Row],[AcqCenter]]&gt;0,Dyno_Data[[#This Row],[Time]]-SUMIFS(Dyno_Data[Time],Dyno_Data[Team],Dyno_Data[[#This Row],[Team]],Dyno_Data[RecordType],"StartMatch",Dyno_Data[Match],Dyno_Data[[#This Row],[Match]]),0)*86400),0)</f>
        <v>0</v>
      </c>
    </row>
    <row r="1935" spans="1:35" x14ac:dyDescent="0.3">
      <c r="A1935">
        <v>1934</v>
      </c>
      <c r="B1935" t="s">
        <v>1296</v>
      </c>
      <c r="C1935">
        <v>38</v>
      </c>
      <c r="D1935" s="105">
        <v>45373.631572372688</v>
      </c>
      <c r="E1935" t="s">
        <v>312</v>
      </c>
      <c r="F1935" t="s">
        <v>1402</v>
      </c>
      <c r="G1935">
        <v>0</v>
      </c>
      <c r="H1935" t="s">
        <v>315</v>
      </c>
      <c r="I1935">
        <v>0</v>
      </c>
      <c r="J1935">
        <v>0</v>
      </c>
      <c r="K1935">
        <v>0</v>
      </c>
      <c r="L1935" t="s">
        <v>242</v>
      </c>
      <c r="M1935" t="s">
        <v>241</v>
      </c>
      <c r="N1935">
        <v>0</v>
      </c>
      <c r="O1935" t="s">
        <v>319</v>
      </c>
      <c r="P1935" t="s">
        <v>310</v>
      </c>
      <c r="Q1935" t="s">
        <v>310</v>
      </c>
      <c r="R1935" t="s">
        <v>310</v>
      </c>
      <c r="S1935">
        <v>9</v>
      </c>
      <c r="T1935" t="s">
        <v>310</v>
      </c>
      <c r="U1935">
        <v>9</v>
      </c>
      <c r="V1935">
        <v>9</v>
      </c>
      <c r="W1935">
        <v>0</v>
      </c>
      <c r="X1935">
        <v>0</v>
      </c>
      <c r="Y1935">
        <v>0</v>
      </c>
      <c r="Z1935">
        <v>0</v>
      </c>
      <c r="AA1935">
        <v>9</v>
      </c>
      <c r="AB1935">
        <v>9</v>
      </c>
      <c r="AC1935" t="s">
        <v>310</v>
      </c>
      <c r="AD1935">
        <v>9</v>
      </c>
      <c r="AE1935" t="s">
        <v>1412</v>
      </c>
      <c r="AF1935">
        <v>20000000</v>
      </c>
      <c r="AG1935" t="s">
        <v>310</v>
      </c>
      <c r="AH1935">
        <f>SUM((MID(Dyno_Data[[#This Row],[Team]],4,5))+(Dyno_Data[[#This Row],[Match]]/100))</f>
        <v>3003.38</v>
      </c>
      <c r="AI1935" s="76">
        <f>ROUND(SUM(IF(Dyno_Data[[#This Row],[AcqCenter]]&gt;0,Dyno_Data[[#This Row],[Time]]-SUMIFS(Dyno_Data[Time],Dyno_Data[Team],Dyno_Data[[#This Row],[Team]],Dyno_Data[RecordType],"StartMatch",Dyno_Data[Match],Dyno_Data[[#This Row],[Match]]),0)*86400),0)</f>
        <v>0</v>
      </c>
    </row>
    <row r="1936" spans="1:35" x14ac:dyDescent="0.3">
      <c r="A1936">
        <v>1935</v>
      </c>
      <c r="B1936" t="s">
        <v>1310</v>
      </c>
      <c r="C1936">
        <v>38</v>
      </c>
      <c r="D1936" s="105">
        <v>45373.631577395834</v>
      </c>
      <c r="E1936" t="s">
        <v>312</v>
      </c>
      <c r="F1936" t="s">
        <v>1402</v>
      </c>
      <c r="G1936">
        <v>0</v>
      </c>
      <c r="H1936" t="s">
        <v>315</v>
      </c>
      <c r="I1936">
        <v>0</v>
      </c>
      <c r="J1936">
        <v>0</v>
      </c>
      <c r="K1936">
        <v>0</v>
      </c>
      <c r="L1936" t="s">
        <v>241</v>
      </c>
      <c r="M1936" t="s">
        <v>101</v>
      </c>
      <c r="N1936">
        <v>0</v>
      </c>
      <c r="O1936" t="s">
        <v>1391</v>
      </c>
      <c r="P1936" t="s">
        <v>310</v>
      </c>
      <c r="Q1936" t="s">
        <v>310</v>
      </c>
      <c r="R1936" t="s">
        <v>310</v>
      </c>
      <c r="S1936">
        <v>9</v>
      </c>
      <c r="T1936" t="s">
        <v>310</v>
      </c>
      <c r="U1936">
        <v>9</v>
      </c>
      <c r="V1936">
        <v>9</v>
      </c>
      <c r="W1936">
        <v>0</v>
      </c>
      <c r="X1936">
        <v>0</v>
      </c>
      <c r="Y1936">
        <v>0</v>
      </c>
      <c r="Z1936">
        <v>0</v>
      </c>
      <c r="AA1936">
        <v>9</v>
      </c>
      <c r="AB1936">
        <v>9</v>
      </c>
      <c r="AC1936" t="s">
        <v>310</v>
      </c>
      <c r="AD1936">
        <v>9</v>
      </c>
      <c r="AE1936" t="s">
        <v>1390</v>
      </c>
      <c r="AF1936">
        <v>30000000</v>
      </c>
      <c r="AG1936" t="s">
        <v>310</v>
      </c>
      <c r="AH1936">
        <f>SUM((MID(Dyno_Data[[#This Row],[Team]],4,5))+(Dyno_Data[[#This Row],[Match]]/100))</f>
        <v>6621.38</v>
      </c>
      <c r="AI1936" s="76">
        <f>ROUND(SUM(IF(Dyno_Data[[#This Row],[AcqCenter]]&gt;0,Dyno_Data[[#This Row],[Time]]-SUMIFS(Dyno_Data[Time],Dyno_Data[Team],Dyno_Data[[#This Row],[Team]],Dyno_Data[RecordType],"StartMatch",Dyno_Data[Match],Dyno_Data[[#This Row],[Match]]),0)*86400),0)</f>
        <v>0</v>
      </c>
    </row>
    <row r="1937" spans="1:35" x14ac:dyDescent="0.3">
      <c r="A1937">
        <v>1936</v>
      </c>
      <c r="B1937" t="s">
        <v>1303</v>
      </c>
      <c r="C1937">
        <v>38</v>
      </c>
      <c r="D1937" s="105">
        <v>45373.631624502312</v>
      </c>
      <c r="E1937" t="s">
        <v>312</v>
      </c>
      <c r="F1937" t="s">
        <v>1402</v>
      </c>
      <c r="G1937">
        <v>0</v>
      </c>
      <c r="H1937" t="s">
        <v>315</v>
      </c>
      <c r="I1937">
        <v>0</v>
      </c>
      <c r="J1937">
        <v>0</v>
      </c>
      <c r="K1937">
        <v>0</v>
      </c>
      <c r="L1937" t="s">
        <v>241</v>
      </c>
      <c r="M1937" t="s">
        <v>1398</v>
      </c>
      <c r="N1937">
        <v>1</v>
      </c>
      <c r="O1937" t="s">
        <v>311</v>
      </c>
      <c r="P1937" t="s">
        <v>310</v>
      </c>
      <c r="Q1937" t="s">
        <v>310</v>
      </c>
      <c r="R1937" t="s">
        <v>310</v>
      </c>
      <c r="S1937">
        <v>9</v>
      </c>
      <c r="T1937" t="s">
        <v>310</v>
      </c>
      <c r="U1937">
        <v>9</v>
      </c>
      <c r="V1937">
        <v>9</v>
      </c>
      <c r="W1937">
        <v>0</v>
      </c>
      <c r="X1937">
        <v>0</v>
      </c>
      <c r="Y1937">
        <v>0</v>
      </c>
      <c r="Z1937">
        <v>0</v>
      </c>
      <c r="AA1937">
        <v>9</v>
      </c>
      <c r="AB1937">
        <v>9</v>
      </c>
      <c r="AC1937" t="s">
        <v>310</v>
      </c>
      <c r="AD1937">
        <v>9</v>
      </c>
      <c r="AE1937" t="s">
        <v>1388</v>
      </c>
      <c r="AF1937">
        <v>40002000</v>
      </c>
      <c r="AG1937" t="s">
        <v>310</v>
      </c>
      <c r="AH1937">
        <f>SUM((MID(Dyno_Data[[#This Row],[Team]],4,5))+(Dyno_Data[[#This Row],[Match]]/100))</f>
        <v>7605.38</v>
      </c>
      <c r="AI1937" s="76">
        <f>ROUND(SUM(IF(Dyno_Data[[#This Row],[AcqCenter]]&gt;0,Dyno_Data[[#This Row],[Time]]-SUMIFS(Dyno_Data[Time],Dyno_Data[Team],Dyno_Data[[#This Row],[Team]],Dyno_Data[RecordType],"StartMatch",Dyno_Data[Match],Dyno_Data[[#This Row],[Match]]),0)*86400),0)</f>
        <v>0</v>
      </c>
    </row>
    <row r="1938" spans="1:35" x14ac:dyDescent="0.3">
      <c r="A1938">
        <v>1937</v>
      </c>
      <c r="B1938" t="s">
        <v>1310</v>
      </c>
      <c r="C1938">
        <v>38</v>
      </c>
      <c r="D1938" s="105">
        <v>45373.631662731481</v>
      </c>
      <c r="E1938" t="s">
        <v>312</v>
      </c>
      <c r="F1938" t="s">
        <v>1402</v>
      </c>
      <c r="G1938">
        <v>0</v>
      </c>
      <c r="H1938" t="s">
        <v>315</v>
      </c>
      <c r="I1938">
        <v>0</v>
      </c>
      <c r="J1938">
        <v>0</v>
      </c>
      <c r="K1938">
        <v>0</v>
      </c>
      <c r="L1938" t="s">
        <v>241</v>
      </c>
      <c r="M1938" t="s">
        <v>101</v>
      </c>
      <c r="N1938">
        <v>0</v>
      </c>
      <c r="O1938" t="s">
        <v>1391</v>
      </c>
      <c r="P1938" t="s">
        <v>310</v>
      </c>
      <c r="Q1938" t="s">
        <v>310</v>
      </c>
      <c r="R1938" t="s">
        <v>310</v>
      </c>
      <c r="S1938">
        <v>9</v>
      </c>
      <c r="T1938" t="s">
        <v>310</v>
      </c>
      <c r="U1938">
        <v>9</v>
      </c>
      <c r="V1938">
        <v>9</v>
      </c>
      <c r="W1938">
        <v>0</v>
      </c>
      <c r="X1938">
        <v>0</v>
      </c>
      <c r="Y1938">
        <v>0</v>
      </c>
      <c r="Z1938">
        <v>0</v>
      </c>
      <c r="AA1938">
        <v>9</v>
      </c>
      <c r="AB1938">
        <v>9</v>
      </c>
      <c r="AC1938" t="s">
        <v>310</v>
      </c>
      <c r="AD1938">
        <v>9</v>
      </c>
      <c r="AE1938" t="s">
        <v>1390</v>
      </c>
      <c r="AF1938">
        <v>40000000</v>
      </c>
      <c r="AG1938" t="s">
        <v>310</v>
      </c>
      <c r="AH1938">
        <f>SUM((MID(Dyno_Data[[#This Row],[Team]],4,5))+(Dyno_Data[[#This Row],[Match]]/100))</f>
        <v>6621.38</v>
      </c>
      <c r="AI1938" s="76">
        <f>ROUND(SUM(IF(Dyno_Data[[#This Row],[AcqCenter]]&gt;0,Dyno_Data[[#This Row],[Time]]-SUMIFS(Dyno_Data[Time],Dyno_Data[Team],Dyno_Data[[#This Row],[Team]],Dyno_Data[RecordType],"StartMatch",Dyno_Data[Match],Dyno_Data[[#This Row],[Match]]),0)*86400),0)</f>
        <v>0</v>
      </c>
    </row>
    <row r="1939" spans="1:35" x14ac:dyDescent="0.3">
      <c r="A1939">
        <v>1938</v>
      </c>
      <c r="B1939" t="s">
        <v>1303</v>
      </c>
      <c r="C1939">
        <v>38</v>
      </c>
      <c r="D1939" s="105">
        <v>45373.63167141204</v>
      </c>
      <c r="E1939" t="s">
        <v>312</v>
      </c>
      <c r="F1939" t="s">
        <v>1402</v>
      </c>
      <c r="G1939">
        <v>0</v>
      </c>
      <c r="H1939" t="s">
        <v>315</v>
      </c>
      <c r="I1939">
        <v>0</v>
      </c>
      <c r="J1939">
        <v>0</v>
      </c>
      <c r="K1939">
        <v>0</v>
      </c>
      <c r="L1939" t="s">
        <v>241</v>
      </c>
      <c r="M1939" t="s">
        <v>1398</v>
      </c>
      <c r="N1939">
        <v>0</v>
      </c>
      <c r="O1939" t="s">
        <v>311</v>
      </c>
      <c r="P1939" t="s">
        <v>310</v>
      </c>
      <c r="Q1939" t="s">
        <v>310</v>
      </c>
      <c r="R1939" t="s">
        <v>310</v>
      </c>
      <c r="S1939">
        <v>9</v>
      </c>
      <c r="T1939" t="s">
        <v>310</v>
      </c>
      <c r="U1939">
        <v>9</v>
      </c>
      <c r="V1939">
        <v>9</v>
      </c>
      <c r="W1939">
        <v>0</v>
      </c>
      <c r="X1939">
        <v>0</v>
      </c>
      <c r="Y1939">
        <v>0</v>
      </c>
      <c r="Z1939">
        <v>0</v>
      </c>
      <c r="AA1939">
        <v>9</v>
      </c>
      <c r="AB1939">
        <v>9</v>
      </c>
      <c r="AC1939" t="s">
        <v>310</v>
      </c>
      <c r="AD1939">
        <v>9</v>
      </c>
      <c r="AE1939" t="s">
        <v>1388</v>
      </c>
      <c r="AF1939">
        <v>50002000</v>
      </c>
      <c r="AG1939" t="s">
        <v>310</v>
      </c>
      <c r="AH1939">
        <f>SUM((MID(Dyno_Data[[#This Row],[Team]],4,5))+(Dyno_Data[[#This Row],[Match]]/100))</f>
        <v>7605.38</v>
      </c>
      <c r="AI1939" s="76">
        <f>ROUND(SUM(IF(Dyno_Data[[#This Row],[AcqCenter]]&gt;0,Dyno_Data[[#This Row],[Time]]-SUMIFS(Dyno_Data[Time],Dyno_Data[Team],Dyno_Data[[#This Row],[Team]],Dyno_Data[RecordType],"StartMatch",Dyno_Data[Match],Dyno_Data[[#This Row],[Match]]),0)*86400),0)</f>
        <v>0</v>
      </c>
    </row>
    <row r="1940" spans="1:35" x14ac:dyDescent="0.3">
      <c r="A1940">
        <v>1939</v>
      </c>
      <c r="B1940" t="s">
        <v>363</v>
      </c>
      <c r="C1940">
        <v>38</v>
      </c>
      <c r="D1940" s="105">
        <v>45373.631690277776</v>
      </c>
      <c r="E1940" t="s">
        <v>312</v>
      </c>
      <c r="F1940" t="s">
        <v>1402</v>
      </c>
      <c r="G1940">
        <v>0</v>
      </c>
      <c r="H1940" t="s">
        <v>315</v>
      </c>
      <c r="I1940">
        <v>0</v>
      </c>
      <c r="J1940">
        <v>0</v>
      </c>
      <c r="K1940">
        <v>0</v>
      </c>
      <c r="L1940" t="s">
        <v>240</v>
      </c>
      <c r="M1940" t="s">
        <v>1398</v>
      </c>
      <c r="N1940">
        <v>0</v>
      </c>
      <c r="O1940" t="s">
        <v>1393</v>
      </c>
      <c r="P1940" t="s">
        <v>310</v>
      </c>
      <c r="Q1940" t="s">
        <v>310</v>
      </c>
      <c r="R1940" t="s">
        <v>310</v>
      </c>
      <c r="S1940">
        <v>9</v>
      </c>
      <c r="T1940" t="s">
        <v>310</v>
      </c>
      <c r="U1940">
        <v>9</v>
      </c>
      <c r="V1940">
        <v>9</v>
      </c>
      <c r="W1940">
        <v>0</v>
      </c>
      <c r="X1940">
        <v>0</v>
      </c>
      <c r="Y1940">
        <v>0</v>
      </c>
      <c r="Z1940">
        <v>0</v>
      </c>
      <c r="AA1940">
        <v>9</v>
      </c>
      <c r="AB1940">
        <v>9</v>
      </c>
      <c r="AC1940" t="s">
        <v>310</v>
      </c>
      <c r="AD1940">
        <v>9</v>
      </c>
      <c r="AE1940" t="s">
        <v>1396</v>
      </c>
      <c r="AF1940">
        <v>30000000</v>
      </c>
      <c r="AG1940" t="s">
        <v>310</v>
      </c>
      <c r="AH1940">
        <f>SUM((MID(Dyno_Data[[#This Row],[Team]],4,5))+(Dyno_Data[[#This Row],[Match]]/100))</f>
        <v>2601.38</v>
      </c>
      <c r="AI1940" s="76">
        <f>ROUND(SUM(IF(Dyno_Data[[#This Row],[AcqCenter]]&gt;0,Dyno_Data[[#This Row],[Time]]-SUMIFS(Dyno_Data[Time],Dyno_Data[Team],Dyno_Data[[#This Row],[Team]],Dyno_Data[RecordType],"StartMatch",Dyno_Data[Match],Dyno_Data[[#This Row],[Match]]),0)*86400),0)</f>
        <v>0</v>
      </c>
    </row>
    <row r="1941" spans="1:35" x14ac:dyDescent="0.3">
      <c r="A1941">
        <v>1940</v>
      </c>
      <c r="B1941" t="s">
        <v>1305</v>
      </c>
      <c r="C1941">
        <v>38</v>
      </c>
      <c r="D1941" s="105">
        <v>45373.631711145834</v>
      </c>
      <c r="E1941" t="s">
        <v>312</v>
      </c>
      <c r="F1941" t="s">
        <v>1402</v>
      </c>
      <c r="G1941">
        <v>0</v>
      </c>
      <c r="H1941" t="s">
        <v>315</v>
      </c>
      <c r="I1941">
        <v>0</v>
      </c>
      <c r="J1941">
        <v>0</v>
      </c>
      <c r="K1941">
        <v>0</v>
      </c>
      <c r="L1941" t="s">
        <v>241</v>
      </c>
      <c r="M1941" t="s">
        <v>101</v>
      </c>
      <c r="N1941">
        <v>0</v>
      </c>
      <c r="O1941" t="s">
        <v>1389</v>
      </c>
      <c r="P1941" t="s">
        <v>310</v>
      </c>
      <c r="Q1941" t="s">
        <v>310</v>
      </c>
      <c r="R1941" t="s">
        <v>310</v>
      </c>
      <c r="S1941">
        <v>9</v>
      </c>
      <c r="T1941" t="s">
        <v>310</v>
      </c>
      <c r="U1941">
        <v>9</v>
      </c>
      <c r="V1941">
        <v>9</v>
      </c>
      <c r="W1941">
        <v>0</v>
      </c>
      <c r="X1941">
        <v>0</v>
      </c>
      <c r="Y1941">
        <v>0</v>
      </c>
      <c r="Z1941">
        <v>0</v>
      </c>
      <c r="AA1941">
        <v>9</v>
      </c>
      <c r="AB1941">
        <v>9</v>
      </c>
      <c r="AC1941" t="s">
        <v>310</v>
      </c>
      <c r="AD1941">
        <v>9</v>
      </c>
      <c r="AE1941" t="s">
        <v>1414</v>
      </c>
      <c r="AF1941">
        <v>60201000</v>
      </c>
      <c r="AG1941" t="s">
        <v>310</v>
      </c>
      <c r="AH1941">
        <f>SUM((MID(Dyno_Data[[#This Row],[Team]],4,5))+(Dyno_Data[[#This Row],[Match]]/100))</f>
        <v>3173.38</v>
      </c>
      <c r="AI1941" s="76">
        <f>ROUND(SUM(IF(Dyno_Data[[#This Row],[AcqCenter]]&gt;0,Dyno_Data[[#This Row],[Time]]-SUMIFS(Dyno_Data[Time],Dyno_Data[Team],Dyno_Data[[#This Row],[Team]],Dyno_Data[RecordType],"StartMatch",Dyno_Data[Match],Dyno_Data[[#This Row],[Match]]),0)*86400),0)</f>
        <v>0</v>
      </c>
    </row>
    <row r="1942" spans="1:35" x14ac:dyDescent="0.3">
      <c r="A1942">
        <v>1941</v>
      </c>
      <c r="B1942" t="s">
        <v>363</v>
      </c>
      <c r="C1942">
        <v>38</v>
      </c>
      <c r="D1942" s="105">
        <v>45373.631791516207</v>
      </c>
      <c r="E1942" t="s">
        <v>312</v>
      </c>
      <c r="F1942" t="s">
        <v>1402</v>
      </c>
      <c r="G1942">
        <v>0</v>
      </c>
      <c r="H1942" t="s">
        <v>315</v>
      </c>
      <c r="I1942">
        <v>0</v>
      </c>
      <c r="J1942">
        <v>0</v>
      </c>
      <c r="K1942">
        <v>0</v>
      </c>
      <c r="L1942" t="s">
        <v>240</v>
      </c>
      <c r="M1942" t="s">
        <v>1398</v>
      </c>
      <c r="N1942">
        <v>0</v>
      </c>
      <c r="O1942" t="s">
        <v>1393</v>
      </c>
      <c r="P1942" t="s">
        <v>310</v>
      </c>
      <c r="Q1942" t="s">
        <v>310</v>
      </c>
      <c r="R1942" t="s">
        <v>310</v>
      </c>
      <c r="S1942">
        <v>9</v>
      </c>
      <c r="T1942" t="s">
        <v>310</v>
      </c>
      <c r="U1942">
        <v>9</v>
      </c>
      <c r="V1942">
        <v>9</v>
      </c>
      <c r="W1942">
        <v>0</v>
      </c>
      <c r="X1942">
        <v>0</v>
      </c>
      <c r="Y1942">
        <v>0</v>
      </c>
      <c r="Z1942">
        <v>0</v>
      </c>
      <c r="AA1942">
        <v>9</v>
      </c>
      <c r="AB1942">
        <v>9</v>
      </c>
      <c r="AC1942" t="s">
        <v>310</v>
      </c>
      <c r="AD1942">
        <v>9</v>
      </c>
      <c r="AE1942" t="s">
        <v>1396</v>
      </c>
      <c r="AF1942">
        <v>40000000</v>
      </c>
      <c r="AG1942" t="s">
        <v>310</v>
      </c>
      <c r="AH1942">
        <f>SUM((MID(Dyno_Data[[#This Row],[Team]],4,5))+(Dyno_Data[[#This Row],[Match]]/100))</f>
        <v>2601.38</v>
      </c>
      <c r="AI1942" s="76">
        <f>ROUND(SUM(IF(Dyno_Data[[#This Row],[AcqCenter]]&gt;0,Dyno_Data[[#This Row],[Time]]-SUMIFS(Dyno_Data[Time],Dyno_Data[Team],Dyno_Data[[#This Row],[Team]],Dyno_Data[RecordType],"StartMatch",Dyno_Data[Match],Dyno_Data[[#This Row],[Match]]),0)*86400),0)</f>
        <v>0</v>
      </c>
    </row>
    <row r="1943" spans="1:35" x14ac:dyDescent="0.3">
      <c r="A1943">
        <v>1942</v>
      </c>
      <c r="B1943" t="s">
        <v>1296</v>
      </c>
      <c r="C1943">
        <v>38</v>
      </c>
      <c r="D1943" s="105">
        <v>45373.631850891201</v>
      </c>
      <c r="E1943" t="s">
        <v>312</v>
      </c>
      <c r="F1943" t="s">
        <v>1402</v>
      </c>
      <c r="G1943">
        <v>0</v>
      </c>
      <c r="H1943" t="s">
        <v>315</v>
      </c>
      <c r="I1943">
        <v>0</v>
      </c>
      <c r="J1943">
        <v>0</v>
      </c>
      <c r="K1943">
        <v>0</v>
      </c>
      <c r="L1943" t="s">
        <v>241</v>
      </c>
      <c r="M1943" t="s">
        <v>1398</v>
      </c>
      <c r="N1943">
        <v>0</v>
      </c>
      <c r="O1943" t="s">
        <v>319</v>
      </c>
      <c r="P1943" t="s">
        <v>310</v>
      </c>
      <c r="Q1943" t="s">
        <v>310</v>
      </c>
      <c r="R1943" t="s">
        <v>310</v>
      </c>
      <c r="S1943">
        <v>9</v>
      </c>
      <c r="T1943" t="s">
        <v>310</v>
      </c>
      <c r="U1943">
        <v>9</v>
      </c>
      <c r="V1943">
        <v>9</v>
      </c>
      <c r="W1943">
        <v>0</v>
      </c>
      <c r="X1943">
        <v>0</v>
      </c>
      <c r="Y1943">
        <v>0</v>
      </c>
      <c r="Z1943">
        <v>0</v>
      </c>
      <c r="AA1943">
        <v>9</v>
      </c>
      <c r="AB1943">
        <v>9</v>
      </c>
      <c r="AC1943" t="s">
        <v>310</v>
      </c>
      <c r="AD1943">
        <v>9</v>
      </c>
      <c r="AE1943" t="s">
        <v>1412</v>
      </c>
      <c r="AF1943">
        <v>30000000</v>
      </c>
      <c r="AG1943" t="s">
        <v>310</v>
      </c>
      <c r="AH1943">
        <f>SUM((MID(Dyno_Data[[#This Row],[Team]],4,5))+(Dyno_Data[[#This Row],[Match]]/100))</f>
        <v>3003.38</v>
      </c>
      <c r="AI1943" s="76">
        <f>ROUND(SUM(IF(Dyno_Data[[#This Row],[AcqCenter]]&gt;0,Dyno_Data[[#This Row],[Time]]-SUMIFS(Dyno_Data[Time],Dyno_Data[Team],Dyno_Data[[#This Row],[Team]],Dyno_Data[RecordType],"StartMatch",Dyno_Data[Match],Dyno_Data[[#This Row],[Match]]),0)*86400),0)</f>
        <v>0</v>
      </c>
    </row>
    <row r="1944" spans="1:35" x14ac:dyDescent="0.3">
      <c r="A1944">
        <v>1943</v>
      </c>
      <c r="B1944" t="s">
        <v>1303</v>
      </c>
      <c r="C1944">
        <v>38</v>
      </c>
      <c r="D1944" s="105">
        <v>45373.631851585647</v>
      </c>
      <c r="E1944" t="s">
        <v>312</v>
      </c>
      <c r="F1944" t="s">
        <v>1402</v>
      </c>
      <c r="G1944">
        <v>0</v>
      </c>
      <c r="H1944" t="s">
        <v>315</v>
      </c>
      <c r="I1944">
        <v>0</v>
      </c>
      <c r="J1944">
        <v>0</v>
      </c>
      <c r="K1944">
        <v>0</v>
      </c>
      <c r="L1944" t="s">
        <v>241</v>
      </c>
      <c r="M1944" t="s">
        <v>1398</v>
      </c>
      <c r="N1944">
        <v>1</v>
      </c>
      <c r="O1944" t="s">
        <v>311</v>
      </c>
      <c r="P1944" t="s">
        <v>310</v>
      </c>
      <c r="Q1944" t="s">
        <v>310</v>
      </c>
      <c r="R1944" t="s">
        <v>310</v>
      </c>
      <c r="S1944">
        <v>9</v>
      </c>
      <c r="T1944" t="s">
        <v>310</v>
      </c>
      <c r="U1944">
        <v>9</v>
      </c>
      <c r="V1944">
        <v>9</v>
      </c>
      <c r="W1944">
        <v>0</v>
      </c>
      <c r="X1944">
        <v>0</v>
      </c>
      <c r="Y1944">
        <v>0</v>
      </c>
      <c r="Z1944">
        <v>0</v>
      </c>
      <c r="AA1944">
        <v>9</v>
      </c>
      <c r="AB1944">
        <v>9</v>
      </c>
      <c r="AC1944" t="s">
        <v>310</v>
      </c>
      <c r="AD1944">
        <v>9</v>
      </c>
      <c r="AE1944" t="s">
        <v>1388</v>
      </c>
      <c r="AF1944">
        <v>60002000</v>
      </c>
      <c r="AG1944" t="s">
        <v>310</v>
      </c>
      <c r="AH1944">
        <f>SUM((MID(Dyno_Data[[#This Row],[Team]],4,5))+(Dyno_Data[[#This Row],[Match]]/100))</f>
        <v>7605.38</v>
      </c>
      <c r="AI1944" s="76">
        <f>ROUND(SUM(IF(Dyno_Data[[#This Row],[AcqCenter]]&gt;0,Dyno_Data[[#This Row],[Time]]-SUMIFS(Dyno_Data[Time],Dyno_Data[Team],Dyno_Data[[#This Row],[Team]],Dyno_Data[RecordType],"StartMatch",Dyno_Data[Match],Dyno_Data[[#This Row],[Match]]),0)*86400),0)</f>
        <v>0</v>
      </c>
    </row>
    <row r="1945" spans="1:35" x14ac:dyDescent="0.3">
      <c r="A1945">
        <v>1944</v>
      </c>
      <c r="B1945" t="s">
        <v>1305</v>
      </c>
      <c r="C1945">
        <v>38</v>
      </c>
      <c r="D1945" s="105">
        <v>45373.631899386572</v>
      </c>
      <c r="E1945" t="s">
        <v>312</v>
      </c>
      <c r="F1945" t="s">
        <v>1402</v>
      </c>
      <c r="G1945">
        <v>0</v>
      </c>
      <c r="H1945" t="s">
        <v>315</v>
      </c>
      <c r="I1945">
        <v>0</v>
      </c>
      <c r="J1945">
        <v>0</v>
      </c>
      <c r="K1945">
        <v>0</v>
      </c>
      <c r="L1945" t="s">
        <v>241</v>
      </c>
      <c r="M1945" t="s">
        <v>1398</v>
      </c>
      <c r="N1945">
        <v>0</v>
      </c>
      <c r="O1945" t="s">
        <v>1389</v>
      </c>
      <c r="P1945" t="s">
        <v>310</v>
      </c>
      <c r="Q1945" t="s">
        <v>310</v>
      </c>
      <c r="R1945" t="s">
        <v>310</v>
      </c>
      <c r="S1945">
        <v>9</v>
      </c>
      <c r="T1945" t="s">
        <v>310</v>
      </c>
      <c r="U1945">
        <v>9</v>
      </c>
      <c r="V1945">
        <v>9</v>
      </c>
      <c r="W1945">
        <v>0</v>
      </c>
      <c r="X1945">
        <v>0</v>
      </c>
      <c r="Y1945">
        <v>0</v>
      </c>
      <c r="Z1945">
        <v>0</v>
      </c>
      <c r="AA1945">
        <v>9</v>
      </c>
      <c r="AB1945">
        <v>9</v>
      </c>
      <c r="AC1945" t="s">
        <v>310</v>
      </c>
      <c r="AD1945">
        <v>9</v>
      </c>
      <c r="AE1945" t="s">
        <v>1414</v>
      </c>
      <c r="AF1945">
        <v>70201000</v>
      </c>
      <c r="AG1945" t="s">
        <v>310</v>
      </c>
      <c r="AH1945">
        <f>SUM((MID(Dyno_Data[[#This Row],[Team]],4,5))+(Dyno_Data[[#This Row],[Match]]/100))</f>
        <v>3173.38</v>
      </c>
      <c r="AI1945" s="76">
        <f>ROUND(SUM(IF(Dyno_Data[[#This Row],[AcqCenter]]&gt;0,Dyno_Data[[#This Row],[Time]]-SUMIFS(Dyno_Data[Time],Dyno_Data[Team],Dyno_Data[[#This Row],[Team]],Dyno_Data[RecordType],"StartMatch",Dyno_Data[Match],Dyno_Data[[#This Row],[Match]]),0)*86400),0)</f>
        <v>0</v>
      </c>
    </row>
    <row r="1946" spans="1:35" x14ac:dyDescent="0.3">
      <c r="A1946">
        <v>1945</v>
      </c>
      <c r="B1946" t="s">
        <v>1303</v>
      </c>
      <c r="C1946">
        <v>38</v>
      </c>
      <c r="D1946" s="105">
        <v>45373.631916631944</v>
      </c>
      <c r="E1946" t="s">
        <v>312</v>
      </c>
      <c r="F1946" t="s">
        <v>1402</v>
      </c>
      <c r="G1946">
        <v>0</v>
      </c>
      <c r="H1946" t="s">
        <v>315</v>
      </c>
      <c r="I1946">
        <v>0</v>
      </c>
      <c r="J1946">
        <v>0</v>
      </c>
      <c r="K1946">
        <v>0</v>
      </c>
      <c r="L1946" t="s">
        <v>241</v>
      </c>
      <c r="M1946" t="s">
        <v>1398</v>
      </c>
      <c r="N1946">
        <v>0</v>
      </c>
      <c r="O1946" t="s">
        <v>311</v>
      </c>
      <c r="P1946" t="s">
        <v>310</v>
      </c>
      <c r="Q1946" t="s">
        <v>310</v>
      </c>
      <c r="R1946" t="s">
        <v>310</v>
      </c>
      <c r="S1946">
        <v>9</v>
      </c>
      <c r="T1946" t="s">
        <v>310</v>
      </c>
      <c r="U1946">
        <v>9</v>
      </c>
      <c r="V1946">
        <v>9</v>
      </c>
      <c r="W1946">
        <v>0</v>
      </c>
      <c r="X1946">
        <v>0</v>
      </c>
      <c r="Y1946">
        <v>0</v>
      </c>
      <c r="Z1946">
        <v>0</v>
      </c>
      <c r="AA1946">
        <v>9</v>
      </c>
      <c r="AB1946">
        <v>9</v>
      </c>
      <c r="AC1946" t="s">
        <v>310</v>
      </c>
      <c r="AD1946">
        <v>9</v>
      </c>
      <c r="AE1946" t="s">
        <v>1388</v>
      </c>
      <c r="AF1946">
        <v>70002000</v>
      </c>
      <c r="AG1946" t="s">
        <v>310</v>
      </c>
      <c r="AH1946">
        <f>SUM((MID(Dyno_Data[[#This Row],[Team]],4,5))+(Dyno_Data[[#This Row],[Match]]/100))</f>
        <v>7605.38</v>
      </c>
      <c r="AI1946" s="76">
        <f>ROUND(SUM(IF(Dyno_Data[[#This Row],[AcqCenter]]&gt;0,Dyno_Data[[#This Row],[Time]]-SUMIFS(Dyno_Data[Time],Dyno_Data[Team],Dyno_Data[[#This Row],[Team]],Dyno_Data[RecordType],"StartMatch",Dyno_Data[Match],Dyno_Data[[#This Row],[Match]]),0)*86400),0)</f>
        <v>0</v>
      </c>
    </row>
    <row r="1947" spans="1:35" x14ac:dyDescent="0.3">
      <c r="A1947">
        <v>1946</v>
      </c>
      <c r="B1947" t="s">
        <v>363</v>
      </c>
      <c r="C1947">
        <v>38</v>
      </c>
      <c r="D1947" s="105">
        <v>45373.631949189818</v>
      </c>
      <c r="E1947" t="s">
        <v>312</v>
      </c>
      <c r="F1947" t="s">
        <v>1402</v>
      </c>
      <c r="G1947">
        <v>0</v>
      </c>
      <c r="H1947" t="s">
        <v>315</v>
      </c>
      <c r="I1947">
        <v>0</v>
      </c>
      <c r="J1947">
        <v>0</v>
      </c>
      <c r="K1947">
        <v>0</v>
      </c>
      <c r="L1947" t="s">
        <v>240</v>
      </c>
      <c r="M1947" t="s">
        <v>1398</v>
      </c>
      <c r="N1947">
        <v>0</v>
      </c>
      <c r="O1947" t="s">
        <v>1393</v>
      </c>
      <c r="P1947" t="s">
        <v>310</v>
      </c>
      <c r="Q1947" t="s">
        <v>310</v>
      </c>
      <c r="R1947" t="s">
        <v>310</v>
      </c>
      <c r="S1947">
        <v>9</v>
      </c>
      <c r="T1947" t="s">
        <v>310</v>
      </c>
      <c r="U1947">
        <v>9</v>
      </c>
      <c r="V1947">
        <v>9</v>
      </c>
      <c r="W1947">
        <v>0</v>
      </c>
      <c r="X1947">
        <v>0</v>
      </c>
      <c r="Y1947">
        <v>0</v>
      </c>
      <c r="Z1947">
        <v>0</v>
      </c>
      <c r="AA1947">
        <v>9</v>
      </c>
      <c r="AB1947">
        <v>9</v>
      </c>
      <c r="AC1947" t="s">
        <v>310</v>
      </c>
      <c r="AD1947">
        <v>9</v>
      </c>
      <c r="AE1947" t="s">
        <v>1396</v>
      </c>
      <c r="AF1947">
        <v>50000000</v>
      </c>
      <c r="AG1947" t="s">
        <v>310</v>
      </c>
      <c r="AH1947">
        <f>SUM((MID(Dyno_Data[[#This Row],[Team]],4,5))+(Dyno_Data[[#This Row],[Match]]/100))</f>
        <v>2601.38</v>
      </c>
      <c r="AI1947" s="76">
        <f>ROUND(SUM(IF(Dyno_Data[[#This Row],[AcqCenter]]&gt;0,Dyno_Data[[#This Row],[Time]]-SUMIFS(Dyno_Data[Time],Dyno_Data[Team],Dyno_Data[[#This Row],[Team]],Dyno_Data[RecordType],"StartMatch",Dyno_Data[Match],Dyno_Data[[#This Row],[Match]]),0)*86400),0)</f>
        <v>0</v>
      </c>
    </row>
    <row r="1948" spans="1:35" x14ac:dyDescent="0.3">
      <c r="A1948">
        <v>1947</v>
      </c>
      <c r="B1948" t="s">
        <v>1277</v>
      </c>
      <c r="C1948">
        <v>38</v>
      </c>
      <c r="D1948" s="105">
        <v>45373.631996412034</v>
      </c>
      <c r="E1948" t="s">
        <v>1403</v>
      </c>
      <c r="F1948" t="s">
        <v>1402</v>
      </c>
      <c r="G1948">
        <v>0</v>
      </c>
      <c r="H1948" t="s">
        <v>310</v>
      </c>
      <c r="I1948">
        <v>0</v>
      </c>
      <c r="J1948">
        <v>0</v>
      </c>
      <c r="K1948">
        <v>0</v>
      </c>
      <c r="L1948" t="s">
        <v>310</v>
      </c>
      <c r="M1948" t="s">
        <v>310</v>
      </c>
      <c r="N1948">
        <v>0</v>
      </c>
      <c r="O1948" t="s">
        <v>1395</v>
      </c>
      <c r="P1948" t="s">
        <v>310</v>
      </c>
      <c r="Q1948" t="s">
        <v>310</v>
      </c>
      <c r="R1948" t="s">
        <v>310</v>
      </c>
      <c r="S1948">
        <v>9</v>
      </c>
      <c r="T1948" t="s">
        <v>310</v>
      </c>
      <c r="U1948">
        <v>9</v>
      </c>
      <c r="V1948">
        <v>9</v>
      </c>
      <c r="W1948">
        <v>0</v>
      </c>
      <c r="X1948">
        <v>0</v>
      </c>
      <c r="Y1948">
        <v>0</v>
      </c>
      <c r="Z1948">
        <v>0</v>
      </c>
      <c r="AA1948">
        <v>9</v>
      </c>
      <c r="AB1948">
        <v>9</v>
      </c>
      <c r="AC1948" t="s">
        <v>310</v>
      </c>
      <c r="AD1948">
        <v>9</v>
      </c>
      <c r="AE1948" t="s">
        <v>1413</v>
      </c>
      <c r="AF1948">
        <v>50000000</v>
      </c>
      <c r="AG1948" t="s">
        <v>249</v>
      </c>
      <c r="AH1948">
        <f>SUM((MID(Dyno_Data[[#This Row],[Team]],4,5))+(Dyno_Data[[#This Row],[Match]]/100))</f>
        <v>3360.38</v>
      </c>
      <c r="AI1948" s="76">
        <f>ROUND(SUM(IF(Dyno_Data[[#This Row],[AcqCenter]]&gt;0,Dyno_Data[[#This Row],[Time]]-SUMIFS(Dyno_Data[Time],Dyno_Data[Team],Dyno_Data[[#This Row],[Team]],Dyno_Data[RecordType],"StartMatch",Dyno_Data[Match],Dyno_Data[[#This Row],[Match]]),0)*86400),0)</f>
        <v>0</v>
      </c>
    </row>
    <row r="1949" spans="1:35" x14ac:dyDescent="0.3">
      <c r="A1949">
        <v>1948</v>
      </c>
      <c r="B1949" t="s">
        <v>1305</v>
      </c>
      <c r="C1949">
        <v>38</v>
      </c>
      <c r="D1949" s="105">
        <v>45373.632013159724</v>
      </c>
      <c r="E1949" t="s">
        <v>312</v>
      </c>
      <c r="F1949" t="s">
        <v>1402</v>
      </c>
      <c r="G1949">
        <v>0</v>
      </c>
      <c r="H1949" t="s">
        <v>315</v>
      </c>
      <c r="I1949">
        <v>0</v>
      </c>
      <c r="J1949">
        <v>0</v>
      </c>
      <c r="K1949">
        <v>0</v>
      </c>
      <c r="L1949" t="s">
        <v>241</v>
      </c>
      <c r="M1949" t="s">
        <v>1398</v>
      </c>
      <c r="N1949">
        <v>1</v>
      </c>
      <c r="O1949" t="s">
        <v>1389</v>
      </c>
      <c r="P1949" t="s">
        <v>310</v>
      </c>
      <c r="Q1949" t="s">
        <v>310</v>
      </c>
      <c r="R1949" t="s">
        <v>310</v>
      </c>
      <c r="S1949">
        <v>9</v>
      </c>
      <c r="T1949" t="s">
        <v>310</v>
      </c>
      <c r="U1949">
        <v>9</v>
      </c>
      <c r="V1949">
        <v>9</v>
      </c>
      <c r="W1949">
        <v>0</v>
      </c>
      <c r="X1949">
        <v>0</v>
      </c>
      <c r="Y1949">
        <v>0</v>
      </c>
      <c r="Z1949">
        <v>0</v>
      </c>
      <c r="AA1949">
        <v>9</v>
      </c>
      <c r="AB1949">
        <v>9</v>
      </c>
      <c r="AC1949" t="s">
        <v>310</v>
      </c>
      <c r="AD1949">
        <v>9</v>
      </c>
      <c r="AE1949" t="s">
        <v>1414</v>
      </c>
      <c r="AF1949">
        <v>80201000</v>
      </c>
      <c r="AG1949" t="s">
        <v>310</v>
      </c>
      <c r="AH1949">
        <f>SUM((MID(Dyno_Data[[#This Row],[Team]],4,5))+(Dyno_Data[[#This Row],[Match]]/100))</f>
        <v>3173.38</v>
      </c>
      <c r="AI1949" s="76">
        <f>ROUND(SUM(IF(Dyno_Data[[#This Row],[AcqCenter]]&gt;0,Dyno_Data[[#This Row],[Time]]-SUMIFS(Dyno_Data[Time],Dyno_Data[Team],Dyno_Data[[#This Row],[Team]],Dyno_Data[RecordType],"StartMatch",Dyno_Data[Match],Dyno_Data[[#This Row],[Match]]),0)*86400),0)</f>
        <v>0</v>
      </c>
    </row>
    <row r="1950" spans="1:35" x14ac:dyDescent="0.3">
      <c r="A1950">
        <v>1949</v>
      </c>
      <c r="B1950" t="s">
        <v>1303</v>
      </c>
      <c r="C1950">
        <v>38</v>
      </c>
      <c r="D1950" s="105">
        <v>45373.632033993053</v>
      </c>
      <c r="E1950" t="s">
        <v>1403</v>
      </c>
      <c r="F1950" t="s">
        <v>1402</v>
      </c>
      <c r="G1950">
        <v>0</v>
      </c>
      <c r="H1950" t="s">
        <v>310</v>
      </c>
      <c r="I1950">
        <v>0</v>
      </c>
      <c r="J1950">
        <v>0</v>
      </c>
      <c r="K1950">
        <v>0</v>
      </c>
      <c r="L1950" t="s">
        <v>310</v>
      </c>
      <c r="M1950" t="s">
        <v>310</v>
      </c>
      <c r="N1950">
        <v>0</v>
      </c>
      <c r="O1950" t="s">
        <v>311</v>
      </c>
      <c r="P1950" t="s">
        <v>310</v>
      </c>
      <c r="Q1950" t="s">
        <v>310</v>
      </c>
      <c r="R1950" t="s">
        <v>310</v>
      </c>
      <c r="S1950">
        <v>9</v>
      </c>
      <c r="T1950" t="s">
        <v>310</v>
      </c>
      <c r="U1950">
        <v>9</v>
      </c>
      <c r="V1950">
        <v>9</v>
      </c>
      <c r="W1950">
        <v>0</v>
      </c>
      <c r="X1950">
        <v>0</v>
      </c>
      <c r="Y1950">
        <v>0</v>
      </c>
      <c r="Z1950">
        <v>0</v>
      </c>
      <c r="AA1950">
        <v>9</v>
      </c>
      <c r="AB1950">
        <v>9</v>
      </c>
      <c r="AC1950" t="s">
        <v>310</v>
      </c>
      <c r="AD1950">
        <v>9</v>
      </c>
      <c r="AE1950" t="s">
        <v>1388</v>
      </c>
      <c r="AF1950">
        <v>80201000</v>
      </c>
      <c r="AG1950" t="s">
        <v>249</v>
      </c>
      <c r="AH1950">
        <f>SUM((MID(Dyno_Data[[#This Row],[Team]],4,5))+(Dyno_Data[[#This Row],[Match]]/100))</f>
        <v>7605.38</v>
      </c>
      <c r="AI1950" s="76">
        <f>ROUND(SUM(IF(Dyno_Data[[#This Row],[AcqCenter]]&gt;0,Dyno_Data[[#This Row],[Time]]-SUMIFS(Dyno_Data[Time],Dyno_Data[Team],Dyno_Data[[#This Row],[Team]],Dyno_Data[RecordType],"StartMatch",Dyno_Data[Match],Dyno_Data[[#This Row],[Match]]),0)*86400),0)</f>
        <v>0</v>
      </c>
    </row>
    <row r="1951" spans="1:35" x14ac:dyDescent="0.3">
      <c r="A1951">
        <v>1950</v>
      </c>
      <c r="B1951" t="s">
        <v>1296</v>
      </c>
      <c r="C1951">
        <v>38</v>
      </c>
      <c r="D1951" s="105">
        <v>45373.632044328704</v>
      </c>
      <c r="E1951" t="s">
        <v>312</v>
      </c>
      <c r="F1951" t="s">
        <v>1402</v>
      </c>
      <c r="G1951">
        <v>0</v>
      </c>
      <c r="H1951" t="s">
        <v>315</v>
      </c>
      <c r="I1951">
        <v>0</v>
      </c>
      <c r="J1951">
        <v>0</v>
      </c>
      <c r="K1951">
        <v>0</v>
      </c>
      <c r="L1951" t="s">
        <v>241</v>
      </c>
      <c r="M1951" t="s">
        <v>1398</v>
      </c>
      <c r="N1951">
        <v>0</v>
      </c>
      <c r="O1951" t="s">
        <v>319</v>
      </c>
      <c r="P1951" t="s">
        <v>310</v>
      </c>
      <c r="Q1951" t="s">
        <v>310</v>
      </c>
      <c r="R1951" t="s">
        <v>310</v>
      </c>
      <c r="S1951">
        <v>9</v>
      </c>
      <c r="T1951" t="s">
        <v>310</v>
      </c>
      <c r="U1951">
        <v>9</v>
      </c>
      <c r="V1951">
        <v>9</v>
      </c>
      <c r="W1951">
        <v>0</v>
      </c>
      <c r="X1951">
        <v>0</v>
      </c>
      <c r="Y1951">
        <v>0</v>
      </c>
      <c r="Z1951">
        <v>0</v>
      </c>
      <c r="AA1951">
        <v>9</v>
      </c>
      <c r="AB1951">
        <v>9</v>
      </c>
      <c r="AC1951" t="s">
        <v>310</v>
      </c>
      <c r="AD1951">
        <v>9</v>
      </c>
      <c r="AE1951" t="s">
        <v>1412</v>
      </c>
      <c r="AF1951">
        <v>40000000</v>
      </c>
      <c r="AG1951" t="s">
        <v>310</v>
      </c>
      <c r="AH1951">
        <f>SUM((MID(Dyno_Data[[#This Row],[Team]],4,5))+(Dyno_Data[[#This Row],[Match]]/100))</f>
        <v>3003.38</v>
      </c>
      <c r="AI1951" s="76">
        <f>ROUND(SUM(IF(Dyno_Data[[#This Row],[AcqCenter]]&gt;0,Dyno_Data[[#This Row],[Time]]-SUMIFS(Dyno_Data[Time],Dyno_Data[Team],Dyno_Data[[#This Row],[Team]],Dyno_Data[RecordType],"StartMatch",Dyno_Data[Match],Dyno_Data[[#This Row],[Match]]),0)*86400),0)</f>
        <v>0</v>
      </c>
    </row>
    <row r="1952" spans="1:35" x14ac:dyDescent="0.3">
      <c r="A1952">
        <v>1951</v>
      </c>
      <c r="B1952" t="s">
        <v>1310</v>
      </c>
      <c r="C1952">
        <v>38</v>
      </c>
      <c r="D1952" s="105">
        <v>45373.632130787038</v>
      </c>
      <c r="E1952" t="s">
        <v>312</v>
      </c>
      <c r="F1952" t="s">
        <v>1402</v>
      </c>
      <c r="G1952">
        <v>0</v>
      </c>
      <c r="H1952" t="s">
        <v>315</v>
      </c>
      <c r="I1952">
        <v>0</v>
      </c>
      <c r="J1952">
        <v>0</v>
      </c>
      <c r="K1952">
        <v>0</v>
      </c>
      <c r="L1952" t="s">
        <v>241</v>
      </c>
      <c r="M1952" t="s">
        <v>101</v>
      </c>
      <c r="N1952">
        <v>1</v>
      </c>
      <c r="O1952" t="s">
        <v>1391</v>
      </c>
      <c r="P1952" t="s">
        <v>310</v>
      </c>
      <c r="Q1952" t="s">
        <v>310</v>
      </c>
      <c r="R1952" t="s">
        <v>310</v>
      </c>
      <c r="S1952">
        <v>9</v>
      </c>
      <c r="T1952" t="s">
        <v>310</v>
      </c>
      <c r="U1952">
        <v>9</v>
      </c>
      <c r="V1952">
        <v>9</v>
      </c>
      <c r="W1952">
        <v>0</v>
      </c>
      <c r="X1952">
        <v>0</v>
      </c>
      <c r="Y1952">
        <v>0</v>
      </c>
      <c r="Z1952">
        <v>0</v>
      </c>
      <c r="AA1952">
        <v>9</v>
      </c>
      <c r="AB1952">
        <v>9</v>
      </c>
      <c r="AC1952" t="s">
        <v>310</v>
      </c>
      <c r="AD1952">
        <v>9</v>
      </c>
      <c r="AE1952" t="s">
        <v>1390</v>
      </c>
      <c r="AF1952">
        <v>50000000</v>
      </c>
      <c r="AG1952" t="s">
        <v>310</v>
      </c>
      <c r="AH1952">
        <f>SUM((MID(Dyno_Data[[#This Row],[Team]],4,5))+(Dyno_Data[[#This Row],[Match]]/100))</f>
        <v>6621.38</v>
      </c>
      <c r="AI1952" s="76">
        <f>ROUND(SUM(IF(Dyno_Data[[#This Row],[AcqCenter]]&gt;0,Dyno_Data[[#This Row],[Time]]-SUMIFS(Dyno_Data[Time],Dyno_Data[Team],Dyno_Data[[#This Row],[Team]],Dyno_Data[RecordType],"StartMatch",Dyno_Data[Match],Dyno_Data[[#This Row],[Match]]),0)*86400),0)</f>
        <v>0</v>
      </c>
    </row>
    <row r="1953" spans="1:35" x14ac:dyDescent="0.3">
      <c r="A1953">
        <v>1952</v>
      </c>
      <c r="B1953" t="s">
        <v>1296</v>
      </c>
      <c r="C1953">
        <v>38</v>
      </c>
      <c r="D1953" s="105">
        <v>45373.632169791665</v>
      </c>
      <c r="E1953" t="s">
        <v>312</v>
      </c>
      <c r="F1953" t="s">
        <v>1402</v>
      </c>
      <c r="G1953">
        <v>0</v>
      </c>
      <c r="H1953" t="s">
        <v>315</v>
      </c>
      <c r="I1953">
        <v>0</v>
      </c>
      <c r="J1953">
        <v>0</v>
      </c>
      <c r="K1953">
        <v>0</v>
      </c>
      <c r="L1953" t="s">
        <v>241</v>
      </c>
      <c r="M1953" t="s">
        <v>1398</v>
      </c>
      <c r="N1953">
        <v>0</v>
      </c>
      <c r="O1953" t="s">
        <v>319</v>
      </c>
      <c r="P1953" t="s">
        <v>310</v>
      </c>
      <c r="Q1953" t="s">
        <v>310</v>
      </c>
      <c r="R1953" t="s">
        <v>310</v>
      </c>
      <c r="S1953">
        <v>9</v>
      </c>
      <c r="T1953" t="s">
        <v>310</v>
      </c>
      <c r="U1953">
        <v>9</v>
      </c>
      <c r="V1953">
        <v>9</v>
      </c>
      <c r="W1953">
        <v>0</v>
      </c>
      <c r="X1953">
        <v>0</v>
      </c>
      <c r="Y1953">
        <v>0</v>
      </c>
      <c r="Z1953">
        <v>0</v>
      </c>
      <c r="AA1953">
        <v>9</v>
      </c>
      <c r="AB1953">
        <v>9</v>
      </c>
      <c r="AC1953" t="s">
        <v>310</v>
      </c>
      <c r="AD1953">
        <v>9</v>
      </c>
      <c r="AE1953" t="s">
        <v>1412</v>
      </c>
      <c r="AF1953">
        <v>50000000</v>
      </c>
      <c r="AG1953" t="s">
        <v>310</v>
      </c>
      <c r="AH1953">
        <f>SUM((MID(Dyno_Data[[#This Row],[Team]],4,5))+(Dyno_Data[[#This Row],[Match]]/100))</f>
        <v>3003.38</v>
      </c>
      <c r="AI1953" s="76">
        <f>ROUND(SUM(IF(Dyno_Data[[#This Row],[AcqCenter]]&gt;0,Dyno_Data[[#This Row],[Time]]-SUMIFS(Dyno_Data[Time],Dyno_Data[Team],Dyno_Data[[#This Row],[Team]],Dyno_Data[RecordType],"StartMatch",Dyno_Data[Match],Dyno_Data[[#This Row],[Match]]),0)*86400),0)</f>
        <v>0</v>
      </c>
    </row>
    <row r="1954" spans="1:35" x14ac:dyDescent="0.3">
      <c r="A1954">
        <v>1953</v>
      </c>
      <c r="B1954" t="s">
        <v>363</v>
      </c>
      <c r="C1954">
        <v>38</v>
      </c>
      <c r="D1954" s="105">
        <v>45373.632174965278</v>
      </c>
      <c r="E1954" t="s">
        <v>312</v>
      </c>
      <c r="F1954" t="s">
        <v>1402</v>
      </c>
      <c r="G1954">
        <v>0</v>
      </c>
      <c r="H1954" t="s">
        <v>315</v>
      </c>
      <c r="I1954">
        <v>0</v>
      </c>
      <c r="J1954">
        <v>0</v>
      </c>
      <c r="K1954">
        <v>0</v>
      </c>
      <c r="L1954" t="s">
        <v>240</v>
      </c>
      <c r="M1954" t="s">
        <v>1398</v>
      </c>
      <c r="N1954">
        <v>0</v>
      </c>
      <c r="O1954" t="s">
        <v>1393</v>
      </c>
      <c r="P1954" t="s">
        <v>310</v>
      </c>
      <c r="Q1954" t="s">
        <v>310</v>
      </c>
      <c r="R1954" t="s">
        <v>310</v>
      </c>
      <c r="S1954">
        <v>9</v>
      </c>
      <c r="T1954" t="s">
        <v>310</v>
      </c>
      <c r="U1954">
        <v>9</v>
      </c>
      <c r="V1954">
        <v>9</v>
      </c>
      <c r="W1954">
        <v>0</v>
      </c>
      <c r="X1954">
        <v>0</v>
      </c>
      <c r="Y1954">
        <v>0</v>
      </c>
      <c r="Z1954">
        <v>0</v>
      </c>
      <c r="AA1954">
        <v>9</v>
      </c>
      <c r="AB1954">
        <v>9</v>
      </c>
      <c r="AC1954" t="s">
        <v>310</v>
      </c>
      <c r="AD1954">
        <v>9</v>
      </c>
      <c r="AE1954" t="s">
        <v>1396</v>
      </c>
      <c r="AF1954">
        <v>60000000</v>
      </c>
      <c r="AG1954" t="s">
        <v>310</v>
      </c>
      <c r="AH1954">
        <f>SUM((MID(Dyno_Data[[#This Row],[Team]],4,5))+(Dyno_Data[[#This Row],[Match]]/100))</f>
        <v>2601.38</v>
      </c>
      <c r="AI1954" s="76">
        <f>ROUND(SUM(IF(Dyno_Data[[#This Row],[AcqCenter]]&gt;0,Dyno_Data[[#This Row],[Time]]-SUMIFS(Dyno_Data[Time],Dyno_Data[Team],Dyno_Data[[#This Row],[Team]],Dyno_Data[RecordType],"StartMatch",Dyno_Data[Match],Dyno_Data[[#This Row],[Match]]),0)*86400),0)</f>
        <v>0</v>
      </c>
    </row>
    <row r="1955" spans="1:35" x14ac:dyDescent="0.3">
      <c r="A1955">
        <v>1954</v>
      </c>
      <c r="B1955" t="s">
        <v>1305</v>
      </c>
      <c r="C1955">
        <v>38</v>
      </c>
      <c r="D1955" s="105">
        <v>45373.632189351854</v>
      </c>
      <c r="E1955" t="s">
        <v>312</v>
      </c>
      <c r="F1955" t="s">
        <v>1402</v>
      </c>
      <c r="G1955">
        <v>0</v>
      </c>
      <c r="H1955" t="s">
        <v>315</v>
      </c>
      <c r="I1955">
        <v>0</v>
      </c>
      <c r="J1955">
        <v>0</v>
      </c>
      <c r="K1955">
        <v>0</v>
      </c>
      <c r="L1955" t="s">
        <v>241</v>
      </c>
      <c r="M1955" t="s">
        <v>101</v>
      </c>
      <c r="N1955">
        <v>0</v>
      </c>
      <c r="O1955" t="s">
        <v>1389</v>
      </c>
      <c r="P1955" t="s">
        <v>310</v>
      </c>
      <c r="Q1955" t="s">
        <v>310</v>
      </c>
      <c r="R1955" t="s">
        <v>310</v>
      </c>
      <c r="S1955">
        <v>9</v>
      </c>
      <c r="T1955" t="s">
        <v>310</v>
      </c>
      <c r="U1955">
        <v>9</v>
      </c>
      <c r="V1955">
        <v>9</v>
      </c>
      <c r="W1955">
        <v>0</v>
      </c>
      <c r="X1955">
        <v>0</v>
      </c>
      <c r="Y1955">
        <v>0</v>
      </c>
      <c r="Z1955">
        <v>0</v>
      </c>
      <c r="AA1955">
        <v>9</v>
      </c>
      <c r="AB1955">
        <v>9</v>
      </c>
      <c r="AC1955" t="s">
        <v>310</v>
      </c>
      <c r="AD1955">
        <v>9</v>
      </c>
      <c r="AE1955" t="s">
        <v>1414</v>
      </c>
      <c r="AF1955">
        <v>90201000</v>
      </c>
      <c r="AG1955" t="s">
        <v>310</v>
      </c>
      <c r="AH1955">
        <f>SUM((MID(Dyno_Data[[#This Row],[Team]],4,5))+(Dyno_Data[[#This Row],[Match]]/100))</f>
        <v>3173.38</v>
      </c>
      <c r="AI1955" s="76">
        <f>ROUND(SUM(IF(Dyno_Data[[#This Row],[AcqCenter]]&gt;0,Dyno_Data[[#This Row],[Time]]-SUMIFS(Dyno_Data[Time],Dyno_Data[Team],Dyno_Data[[#This Row],[Team]],Dyno_Data[RecordType],"StartMatch",Dyno_Data[Match],Dyno_Data[[#This Row],[Match]]),0)*86400),0)</f>
        <v>0</v>
      </c>
    </row>
    <row r="1956" spans="1:35" x14ac:dyDescent="0.3">
      <c r="A1956">
        <v>1955</v>
      </c>
      <c r="B1956" t="s">
        <v>363</v>
      </c>
      <c r="C1956">
        <v>38</v>
      </c>
      <c r="D1956" s="105">
        <v>45373.632217511571</v>
      </c>
      <c r="E1956" t="s">
        <v>312</v>
      </c>
      <c r="F1956" t="s">
        <v>1402</v>
      </c>
      <c r="G1956">
        <v>0</v>
      </c>
      <c r="H1956" t="s">
        <v>315</v>
      </c>
      <c r="I1956">
        <v>0</v>
      </c>
      <c r="J1956">
        <v>0</v>
      </c>
      <c r="K1956">
        <v>0</v>
      </c>
      <c r="L1956" t="s">
        <v>240</v>
      </c>
      <c r="M1956" t="s">
        <v>1398</v>
      </c>
      <c r="N1956">
        <v>0</v>
      </c>
      <c r="O1956" t="s">
        <v>1393</v>
      </c>
      <c r="P1956" t="s">
        <v>310</v>
      </c>
      <c r="Q1956" t="s">
        <v>310</v>
      </c>
      <c r="R1956" t="s">
        <v>310</v>
      </c>
      <c r="S1956">
        <v>9</v>
      </c>
      <c r="T1956" t="s">
        <v>310</v>
      </c>
      <c r="U1956">
        <v>9</v>
      </c>
      <c r="V1956">
        <v>9</v>
      </c>
      <c r="W1956">
        <v>0</v>
      </c>
      <c r="X1956">
        <v>0</v>
      </c>
      <c r="Y1956">
        <v>0</v>
      </c>
      <c r="Z1956">
        <v>0</v>
      </c>
      <c r="AA1956">
        <v>9</v>
      </c>
      <c r="AB1956">
        <v>9</v>
      </c>
      <c r="AC1956" t="s">
        <v>310</v>
      </c>
      <c r="AD1956">
        <v>9</v>
      </c>
      <c r="AE1956" t="s">
        <v>1396</v>
      </c>
      <c r="AF1956">
        <v>70000000</v>
      </c>
      <c r="AG1956" t="s">
        <v>310</v>
      </c>
      <c r="AH1956">
        <f>SUM((MID(Dyno_Data[[#This Row],[Team]],4,5))+(Dyno_Data[[#This Row],[Match]]/100))</f>
        <v>2601.38</v>
      </c>
      <c r="AI1956" s="76">
        <f>ROUND(SUM(IF(Dyno_Data[[#This Row],[AcqCenter]]&gt;0,Dyno_Data[[#This Row],[Time]]-SUMIFS(Dyno_Data[Time],Dyno_Data[Team],Dyno_Data[[#This Row],[Team]],Dyno_Data[RecordType],"StartMatch",Dyno_Data[Match],Dyno_Data[[#This Row],[Match]]),0)*86400),0)</f>
        <v>0</v>
      </c>
    </row>
    <row r="1957" spans="1:35" x14ac:dyDescent="0.3">
      <c r="A1957">
        <v>1956</v>
      </c>
      <c r="B1957" t="s">
        <v>1303</v>
      </c>
      <c r="C1957">
        <v>38</v>
      </c>
      <c r="D1957" s="105">
        <v>45373.632255208337</v>
      </c>
      <c r="E1957" t="s">
        <v>312</v>
      </c>
      <c r="F1957" t="s">
        <v>1402</v>
      </c>
      <c r="G1957">
        <v>0</v>
      </c>
      <c r="H1957" t="s">
        <v>315</v>
      </c>
      <c r="I1957">
        <v>0</v>
      </c>
      <c r="J1957">
        <v>0</v>
      </c>
      <c r="K1957">
        <v>0</v>
      </c>
      <c r="L1957" t="s">
        <v>241</v>
      </c>
      <c r="M1957" t="s">
        <v>1398</v>
      </c>
      <c r="N1957">
        <v>0</v>
      </c>
      <c r="O1957" t="s">
        <v>311</v>
      </c>
      <c r="P1957" t="s">
        <v>310</v>
      </c>
      <c r="Q1957" t="s">
        <v>310</v>
      </c>
      <c r="R1957" t="s">
        <v>310</v>
      </c>
      <c r="S1957">
        <v>9</v>
      </c>
      <c r="T1957" t="s">
        <v>310</v>
      </c>
      <c r="U1957">
        <v>9</v>
      </c>
      <c r="V1957">
        <v>9</v>
      </c>
      <c r="W1957">
        <v>0</v>
      </c>
      <c r="X1957">
        <v>0</v>
      </c>
      <c r="Y1957">
        <v>0</v>
      </c>
      <c r="Z1957">
        <v>0</v>
      </c>
      <c r="AA1957">
        <v>9</v>
      </c>
      <c r="AB1957">
        <v>9</v>
      </c>
      <c r="AC1957" t="s">
        <v>310</v>
      </c>
      <c r="AD1957">
        <v>9</v>
      </c>
      <c r="AE1957" t="s">
        <v>1388</v>
      </c>
      <c r="AF1957">
        <v>80002000</v>
      </c>
      <c r="AG1957" t="s">
        <v>310</v>
      </c>
      <c r="AH1957">
        <f>SUM((MID(Dyno_Data[[#This Row],[Team]],4,5))+(Dyno_Data[[#This Row],[Match]]/100))</f>
        <v>7605.38</v>
      </c>
      <c r="AI1957" s="76">
        <f>ROUND(SUM(IF(Dyno_Data[[#This Row],[AcqCenter]]&gt;0,Dyno_Data[[#This Row],[Time]]-SUMIFS(Dyno_Data[Time],Dyno_Data[Team],Dyno_Data[[#This Row],[Team]],Dyno_Data[RecordType],"StartMatch",Dyno_Data[Match],Dyno_Data[[#This Row],[Match]]),0)*86400),0)</f>
        <v>0</v>
      </c>
    </row>
    <row r="1958" spans="1:35" x14ac:dyDescent="0.3">
      <c r="A1958">
        <v>1957</v>
      </c>
      <c r="B1958" t="s">
        <v>1305</v>
      </c>
      <c r="C1958">
        <v>38</v>
      </c>
      <c r="D1958" s="105">
        <v>45373.632323923608</v>
      </c>
      <c r="E1958" t="s">
        <v>312</v>
      </c>
      <c r="F1958" t="s">
        <v>1402</v>
      </c>
      <c r="G1958">
        <v>0</v>
      </c>
      <c r="H1958" t="s">
        <v>315</v>
      </c>
      <c r="I1958">
        <v>0</v>
      </c>
      <c r="J1958">
        <v>0</v>
      </c>
      <c r="K1958">
        <v>0</v>
      </c>
      <c r="L1958" t="s">
        <v>241</v>
      </c>
      <c r="M1958" t="s">
        <v>101</v>
      </c>
      <c r="N1958">
        <v>0</v>
      </c>
      <c r="O1958" t="s">
        <v>1389</v>
      </c>
      <c r="P1958" t="s">
        <v>310</v>
      </c>
      <c r="Q1958" t="s">
        <v>310</v>
      </c>
      <c r="R1958" t="s">
        <v>310</v>
      </c>
      <c r="S1958">
        <v>9</v>
      </c>
      <c r="T1958" t="s">
        <v>310</v>
      </c>
      <c r="U1958">
        <v>9</v>
      </c>
      <c r="V1958">
        <v>9</v>
      </c>
      <c r="W1958">
        <v>0</v>
      </c>
      <c r="X1958">
        <v>0</v>
      </c>
      <c r="Y1958">
        <v>0</v>
      </c>
      <c r="Z1958">
        <v>0</v>
      </c>
      <c r="AA1958">
        <v>9</v>
      </c>
      <c r="AB1958">
        <v>9</v>
      </c>
      <c r="AC1958" t="s">
        <v>310</v>
      </c>
      <c r="AD1958">
        <v>9</v>
      </c>
      <c r="AE1958" t="s">
        <v>1414</v>
      </c>
      <c r="AF1958">
        <v>100201000</v>
      </c>
      <c r="AG1958" t="s">
        <v>310</v>
      </c>
      <c r="AH1958">
        <f>SUM((MID(Dyno_Data[[#This Row],[Team]],4,5))+(Dyno_Data[[#This Row],[Match]]/100))</f>
        <v>3173.38</v>
      </c>
      <c r="AI1958" s="76">
        <f>ROUND(SUM(IF(Dyno_Data[[#This Row],[AcqCenter]]&gt;0,Dyno_Data[[#This Row],[Time]]-SUMIFS(Dyno_Data[Time],Dyno_Data[Team],Dyno_Data[[#This Row],[Team]],Dyno_Data[RecordType],"StartMatch",Dyno_Data[Match],Dyno_Data[[#This Row],[Match]]),0)*86400),0)</f>
        <v>0</v>
      </c>
    </row>
    <row r="1959" spans="1:35" x14ac:dyDescent="0.3">
      <c r="A1959">
        <v>1958</v>
      </c>
      <c r="B1959" t="s">
        <v>363</v>
      </c>
      <c r="C1959">
        <v>38</v>
      </c>
      <c r="D1959" s="105">
        <v>45373.632373067128</v>
      </c>
      <c r="E1959" t="s">
        <v>312</v>
      </c>
      <c r="F1959" t="s">
        <v>1402</v>
      </c>
      <c r="G1959">
        <v>0</v>
      </c>
      <c r="H1959" t="s">
        <v>315</v>
      </c>
      <c r="I1959">
        <v>0</v>
      </c>
      <c r="J1959">
        <v>0</v>
      </c>
      <c r="K1959">
        <v>0</v>
      </c>
      <c r="L1959" t="s">
        <v>240</v>
      </c>
      <c r="M1959" t="s">
        <v>1398</v>
      </c>
      <c r="N1959">
        <v>0</v>
      </c>
      <c r="O1959" t="s">
        <v>1393</v>
      </c>
      <c r="P1959" t="s">
        <v>310</v>
      </c>
      <c r="Q1959" t="s">
        <v>310</v>
      </c>
      <c r="R1959" t="s">
        <v>310</v>
      </c>
      <c r="S1959">
        <v>9</v>
      </c>
      <c r="T1959" t="s">
        <v>310</v>
      </c>
      <c r="U1959">
        <v>9</v>
      </c>
      <c r="V1959">
        <v>9</v>
      </c>
      <c r="W1959">
        <v>0</v>
      </c>
      <c r="X1959">
        <v>0</v>
      </c>
      <c r="Y1959">
        <v>0</v>
      </c>
      <c r="Z1959">
        <v>0</v>
      </c>
      <c r="AA1959">
        <v>9</v>
      </c>
      <c r="AB1959">
        <v>9</v>
      </c>
      <c r="AC1959" t="s">
        <v>310</v>
      </c>
      <c r="AD1959">
        <v>9</v>
      </c>
      <c r="AE1959" t="s">
        <v>1396</v>
      </c>
      <c r="AF1959">
        <v>80000000</v>
      </c>
      <c r="AG1959" t="s">
        <v>310</v>
      </c>
      <c r="AH1959">
        <f>SUM((MID(Dyno_Data[[#This Row],[Team]],4,5))+(Dyno_Data[[#This Row],[Match]]/100))</f>
        <v>2601.38</v>
      </c>
      <c r="AI1959" s="76">
        <f>ROUND(SUM(IF(Dyno_Data[[#This Row],[AcqCenter]]&gt;0,Dyno_Data[[#This Row],[Time]]-SUMIFS(Dyno_Data[Time],Dyno_Data[Team],Dyno_Data[[#This Row],[Team]],Dyno_Data[RecordType],"StartMatch",Dyno_Data[Match],Dyno_Data[[#This Row],[Match]]),0)*86400),0)</f>
        <v>0</v>
      </c>
    </row>
    <row r="1960" spans="1:35" x14ac:dyDescent="0.3">
      <c r="A1960">
        <v>1959</v>
      </c>
      <c r="B1960" t="s">
        <v>1303</v>
      </c>
      <c r="C1960">
        <v>38</v>
      </c>
      <c r="D1960" s="105">
        <v>45373.632441087961</v>
      </c>
      <c r="E1960" t="s">
        <v>312</v>
      </c>
      <c r="F1960" t="s">
        <v>1402</v>
      </c>
      <c r="G1960">
        <v>0</v>
      </c>
      <c r="H1960" t="s">
        <v>315</v>
      </c>
      <c r="I1960">
        <v>0</v>
      </c>
      <c r="J1960">
        <v>0</v>
      </c>
      <c r="K1960">
        <v>0</v>
      </c>
      <c r="L1960" t="s">
        <v>241</v>
      </c>
      <c r="M1960" t="s">
        <v>1398</v>
      </c>
      <c r="N1960">
        <v>0</v>
      </c>
      <c r="O1960" t="s">
        <v>311</v>
      </c>
      <c r="P1960" t="s">
        <v>310</v>
      </c>
      <c r="Q1960" t="s">
        <v>310</v>
      </c>
      <c r="R1960" t="s">
        <v>310</v>
      </c>
      <c r="S1960">
        <v>9</v>
      </c>
      <c r="T1960" t="s">
        <v>310</v>
      </c>
      <c r="U1960">
        <v>9</v>
      </c>
      <c r="V1960">
        <v>9</v>
      </c>
      <c r="W1960">
        <v>0</v>
      </c>
      <c r="X1960">
        <v>0</v>
      </c>
      <c r="Y1960">
        <v>0</v>
      </c>
      <c r="Z1960">
        <v>0</v>
      </c>
      <c r="AA1960">
        <v>9</v>
      </c>
      <c r="AB1960">
        <v>9</v>
      </c>
      <c r="AC1960" t="s">
        <v>310</v>
      </c>
      <c r="AD1960">
        <v>9</v>
      </c>
      <c r="AE1960" t="s">
        <v>1388</v>
      </c>
      <c r="AF1960">
        <v>90002000</v>
      </c>
      <c r="AG1960" t="s">
        <v>310</v>
      </c>
      <c r="AH1960">
        <f>SUM((MID(Dyno_Data[[#This Row],[Team]],4,5))+(Dyno_Data[[#This Row],[Match]]/100))</f>
        <v>7605.38</v>
      </c>
      <c r="AI1960" s="76">
        <f>ROUND(SUM(IF(Dyno_Data[[#This Row],[AcqCenter]]&gt;0,Dyno_Data[[#This Row],[Time]]-SUMIFS(Dyno_Data[Time],Dyno_Data[Team],Dyno_Data[[#This Row],[Team]],Dyno_Data[RecordType],"StartMatch",Dyno_Data[Match],Dyno_Data[[#This Row],[Match]]),0)*86400),0)</f>
        <v>0</v>
      </c>
    </row>
    <row r="1961" spans="1:35" x14ac:dyDescent="0.3">
      <c r="A1961">
        <v>1960</v>
      </c>
      <c r="B1961" t="s">
        <v>1305</v>
      </c>
      <c r="C1961">
        <v>38</v>
      </c>
      <c r="D1961" s="105">
        <v>45373.632467858799</v>
      </c>
      <c r="E1961" t="s">
        <v>312</v>
      </c>
      <c r="F1961" t="s">
        <v>1402</v>
      </c>
      <c r="G1961">
        <v>0</v>
      </c>
      <c r="H1961" t="s">
        <v>315</v>
      </c>
      <c r="I1961">
        <v>0</v>
      </c>
      <c r="J1961">
        <v>0</v>
      </c>
      <c r="K1961">
        <v>0</v>
      </c>
      <c r="L1961" t="s">
        <v>313</v>
      </c>
      <c r="M1961" t="s">
        <v>1398</v>
      </c>
      <c r="N1961">
        <v>0</v>
      </c>
      <c r="O1961" t="s">
        <v>1389</v>
      </c>
      <c r="P1961" t="s">
        <v>310</v>
      </c>
      <c r="Q1961" t="s">
        <v>310</v>
      </c>
      <c r="R1961" t="s">
        <v>310</v>
      </c>
      <c r="S1961">
        <v>9</v>
      </c>
      <c r="T1961" t="s">
        <v>310</v>
      </c>
      <c r="U1961">
        <v>9</v>
      </c>
      <c r="V1961">
        <v>9</v>
      </c>
      <c r="W1961">
        <v>0</v>
      </c>
      <c r="X1961">
        <v>0</v>
      </c>
      <c r="Y1961">
        <v>0</v>
      </c>
      <c r="Z1961">
        <v>0</v>
      </c>
      <c r="AA1961">
        <v>9</v>
      </c>
      <c r="AB1961">
        <v>9</v>
      </c>
      <c r="AC1961" t="s">
        <v>310</v>
      </c>
      <c r="AD1961">
        <v>9</v>
      </c>
      <c r="AE1961" t="s">
        <v>1414</v>
      </c>
      <c r="AF1961">
        <v>110201000</v>
      </c>
      <c r="AG1961" t="s">
        <v>310</v>
      </c>
      <c r="AH1961">
        <f>SUM((MID(Dyno_Data[[#This Row],[Team]],4,5))+(Dyno_Data[[#This Row],[Match]]/100))</f>
        <v>3173.38</v>
      </c>
      <c r="AI1961" s="76">
        <f>ROUND(SUM(IF(Dyno_Data[[#This Row],[AcqCenter]]&gt;0,Dyno_Data[[#This Row],[Time]]-SUMIFS(Dyno_Data[Time],Dyno_Data[Team],Dyno_Data[[#This Row],[Team]],Dyno_Data[RecordType],"StartMatch",Dyno_Data[Match],Dyno_Data[[#This Row],[Match]]),0)*86400),0)</f>
        <v>0</v>
      </c>
    </row>
    <row r="1962" spans="1:35" x14ac:dyDescent="0.3">
      <c r="A1962">
        <v>1961</v>
      </c>
      <c r="B1962" t="s">
        <v>363</v>
      </c>
      <c r="C1962">
        <v>38</v>
      </c>
      <c r="D1962" s="105">
        <v>45373.632522881948</v>
      </c>
      <c r="E1962" t="s">
        <v>312</v>
      </c>
      <c r="F1962" t="s">
        <v>1402</v>
      </c>
      <c r="G1962">
        <v>0</v>
      </c>
      <c r="H1962" t="s">
        <v>315</v>
      </c>
      <c r="I1962">
        <v>0</v>
      </c>
      <c r="J1962">
        <v>0</v>
      </c>
      <c r="K1962">
        <v>0</v>
      </c>
      <c r="L1962" t="s">
        <v>240</v>
      </c>
      <c r="M1962" t="s">
        <v>1398</v>
      </c>
      <c r="N1962">
        <v>0</v>
      </c>
      <c r="O1962" t="s">
        <v>1393</v>
      </c>
      <c r="P1962" t="s">
        <v>310</v>
      </c>
      <c r="Q1962" t="s">
        <v>310</v>
      </c>
      <c r="R1962" t="s">
        <v>310</v>
      </c>
      <c r="S1962">
        <v>9</v>
      </c>
      <c r="T1962" t="s">
        <v>310</v>
      </c>
      <c r="U1962">
        <v>9</v>
      </c>
      <c r="V1962">
        <v>9</v>
      </c>
      <c r="W1962">
        <v>0</v>
      </c>
      <c r="X1962">
        <v>0</v>
      </c>
      <c r="Y1962">
        <v>0</v>
      </c>
      <c r="Z1962">
        <v>0</v>
      </c>
      <c r="AA1962">
        <v>9</v>
      </c>
      <c r="AB1962">
        <v>9</v>
      </c>
      <c r="AC1962" t="s">
        <v>310</v>
      </c>
      <c r="AD1962">
        <v>9</v>
      </c>
      <c r="AE1962" t="s">
        <v>1396</v>
      </c>
      <c r="AF1962">
        <v>90000000</v>
      </c>
      <c r="AG1962" t="s">
        <v>310</v>
      </c>
      <c r="AH1962">
        <f>SUM((MID(Dyno_Data[[#This Row],[Team]],4,5))+(Dyno_Data[[#This Row],[Match]]/100))</f>
        <v>2601.38</v>
      </c>
      <c r="AI1962" s="76">
        <f>ROUND(SUM(IF(Dyno_Data[[#This Row],[AcqCenter]]&gt;0,Dyno_Data[[#This Row],[Time]]-SUMIFS(Dyno_Data[Time],Dyno_Data[Team],Dyno_Data[[#This Row],[Team]],Dyno_Data[RecordType],"StartMatch",Dyno_Data[Match],Dyno_Data[[#This Row],[Match]]),0)*86400),0)</f>
        <v>0</v>
      </c>
    </row>
    <row r="1963" spans="1:35" x14ac:dyDescent="0.3">
      <c r="A1963">
        <v>1962</v>
      </c>
      <c r="B1963" t="s">
        <v>1305</v>
      </c>
      <c r="C1963">
        <v>38</v>
      </c>
      <c r="D1963" s="105">
        <v>45373.632645057871</v>
      </c>
      <c r="E1963" t="s">
        <v>312</v>
      </c>
      <c r="F1963" t="s">
        <v>1402</v>
      </c>
      <c r="G1963">
        <v>0</v>
      </c>
      <c r="H1963" t="s">
        <v>315</v>
      </c>
      <c r="I1963">
        <v>0</v>
      </c>
      <c r="J1963">
        <v>0</v>
      </c>
      <c r="K1963">
        <v>0</v>
      </c>
      <c r="L1963" t="s">
        <v>240</v>
      </c>
      <c r="M1963" t="s">
        <v>1398</v>
      </c>
      <c r="N1963">
        <v>0</v>
      </c>
      <c r="O1963" t="s">
        <v>1389</v>
      </c>
      <c r="P1963" t="s">
        <v>310</v>
      </c>
      <c r="Q1963" t="s">
        <v>310</v>
      </c>
      <c r="R1963" t="s">
        <v>310</v>
      </c>
      <c r="S1963">
        <v>9</v>
      </c>
      <c r="T1963" t="s">
        <v>310</v>
      </c>
      <c r="U1963">
        <v>9</v>
      </c>
      <c r="V1963">
        <v>9</v>
      </c>
      <c r="W1963">
        <v>0</v>
      </c>
      <c r="X1963">
        <v>0</v>
      </c>
      <c r="Y1963">
        <v>0</v>
      </c>
      <c r="Z1963">
        <v>0</v>
      </c>
      <c r="AA1963">
        <v>9</v>
      </c>
      <c r="AB1963">
        <v>9</v>
      </c>
      <c r="AC1963" t="s">
        <v>310</v>
      </c>
      <c r="AD1963">
        <v>9</v>
      </c>
      <c r="AE1963" t="s">
        <v>1414</v>
      </c>
      <c r="AF1963">
        <v>120201000</v>
      </c>
      <c r="AG1963" t="s">
        <v>310</v>
      </c>
      <c r="AH1963">
        <f>SUM((MID(Dyno_Data[[#This Row],[Team]],4,5))+(Dyno_Data[[#This Row],[Match]]/100))</f>
        <v>3173.38</v>
      </c>
      <c r="AI1963" s="76">
        <f>ROUND(SUM(IF(Dyno_Data[[#This Row],[AcqCenter]]&gt;0,Dyno_Data[[#This Row],[Time]]-SUMIFS(Dyno_Data[Time],Dyno_Data[Team],Dyno_Data[[#This Row],[Team]],Dyno_Data[RecordType],"StartMatch",Dyno_Data[Match],Dyno_Data[[#This Row],[Match]]),0)*86400),0)</f>
        <v>0</v>
      </c>
    </row>
    <row r="1964" spans="1:35" x14ac:dyDescent="0.3">
      <c r="A1964">
        <v>1963</v>
      </c>
      <c r="B1964" t="s">
        <v>1296</v>
      </c>
      <c r="C1964">
        <v>38</v>
      </c>
      <c r="D1964" s="105">
        <v>45373.632669641207</v>
      </c>
      <c r="E1964" t="s">
        <v>1403</v>
      </c>
      <c r="F1964" t="s">
        <v>1402</v>
      </c>
      <c r="G1964">
        <v>0</v>
      </c>
      <c r="H1964" t="s">
        <v>310</v>
      </c>
      <c r="I1964">
        <v>0</v>
      </c>
      <c r="J1964">
        <v>0</v>
      </c>
      <c r="K1964">
        <v>0</v>
      </c>
      <c r="L1964" t="s">
        <v>310</v>
      </c>
      <c r="M1964" t="s">
        <v>310</v>
      </c>
      <c r="N1964">
        <v>0</v>
      </c>
      <c r="O1964" t="s">
        <v>319</v>
      </c>
      <c r="P1964" t="s">
        <v>310</v>
      </c>
      <c r="Q1964" t="s">
        <v>310</v>
      </c>
      <c r="R1964" t="s">
        <v>310</v>
      </c>
      <c r="S1964">
        <v>9</v>
      </c>
      <c r="T1964" t="s">
        <v>310</v>
      </c>
      <c r="U1964">
        <v>9</v>
      </c>
      <c r="V1964">
        <v>9</v>
      </c>
      <c r="W1964">
        <v>0</v>
      </c>
      <c r="X1964">
        <v>0</v>
      </c>
      <c r="Y1964">
        <v>0</v>
      </c>
      <c r="Z1964">
        <v>0</v>
      </c>
      <c r="AA1964">
        <v>9</v>
      </c>
      <c r="AB1964">
        <v>9</v>
      </c>
      <c r="AC1964" t="s">
        <v>310</v>
      </c>
      <c r="AD1964">
        <v>9</v>
      </c>
      <c r="AE1964" t="s">
        <v>1412</v>
      </c>
      <c r="AF1964">
        <v>120201000</v>
      </c>
      <c r="AG1964" t="s">
        <v>252</v>
      </c>
      <c r="AH1964">
        <f>SUM((MID(Dyno_Data[[#This Row],[Team]],4,5))+(Dyno_Data[[#This Row],[Match]]/100))</f>
        <v>3003.38</v>
      </c>
      <c r="AI1964" s="76">
        <f>ROUND(SUM(IF(Dyno_Data[[#This Row],[AcqCenter]]&gt;0,Dyno_Data[[#This Row],[Time]]-SUMIFS(Dyno_Data[Time],Dyno_Data[Team],Dyno_Data[[#This Row],[Team]],Dyno_Data[RecordType],"StartMatch",Dyno_Data[Match],Dyno_Data[[#This Row],[Match]]),0)*86400),0)</f>
        <v>0</v>
      </c>
    </row>
    <row r="1965" spans="1:35" x14ac:dyDescent="0.3">
      <c r="A1965">
        <v>1964</v>
      </c>
      <c r="B1965" t="s">
        <v>1303</v>
      </c>
      <c r="C1965">
        <v>38</v>
      </c>
      <c r="D1965" s="105">
        <v>45373.632671840278</v>
      </c>
      <c r="E1965" t="s">
        <v>312</v>
      </c>
      <c r="F1965" t="s">
        <v>317</v>
      </c>
      <c r="G1965">
        <v>0</v>
      </c>
      <c r="H1965" t="s">
        <v>315</v>
      </c>
      <c r="I1965">
        <v>0</v>
      </c>
      <c r="J1965">
        <v>0</v>
      </c>
      <c r="K1965">
        <v>0</v>
      </c>
      <c r="L1965" t="s">
        <v>1410</v>
      </c>
      <c r="M1965" t="s">
        <v>153</v>
      </c>
      <c r="N1965">
        <v>0</v>
      </c>
      <c r="O1965" t="s">
        <v>311</v>
      </c>
      <c r="P1965" t="s">
        <v>310</v>
      </c>
      <c r="Q1965" t="s">
        <v>310</v>
      </c>
      <c r="R1965" t="s">
        <v>310</v>
      </c>
      <c r="S1965">
        <v>9</v>
      </c>
      <c r="T1965" t="s">
        <v>310</v>
      </c>
      <c r="U1965">
        <v>9</v>
      </c>
      <c r="V1965">
        <v>9</v>
      </c>
      <c r="W1965">
        <v>0</v>
      </c>
      <c r="X1965">
        <v>0</v>
      </c>
      <c r="Y1965">
        <v>0</v>
      </c>
      <c r="Z1965">
        <v>0</v>
      </c>
      <c r="AA1965">
        <v>9</v>
      </c>
      <c r="AB1965">
        <v>9</v>
      </c>
      <c r="AC1965" t="s">
        <v>310</v>
      </c>
      <c r="AD1965">
        <v>9</v>
      </c>
      <c r="AE1965" t="s">
        <v>1388</v>
      </c>
      <c r="AF1965">
        <v>100002000</v>
      </c>
      <c r="AG1965" t="s">
        <v>310</v>
      </c>
      <c r="AH1965">
        <f>SUM((MID(Dyno_Data[[#This Row],[Team]],4,5))+(Dyno_Data[[#This Row],[Match]]/100))</f>
        <v>7605.38</v>
      </c>
      <c r="AI1965" s="76">
        <f>ROUND(SUM(IF(Dyno_Data[[#This Row],[AcqCenter]]&gt;0,Dyno_Data[[#This Row],[Time]]-SUMIFS(Dyno_Data[Time],Dyno_Data[Team],Dyno_Data[[#This Row],[Team]],Dyno_Data[RecordType],"StartMatch",Dyno_Data[Match],Dyno_Data[[#This Row],[Match]]),0)*86400),0)</f>
        <v>0</v>
      </c>
    </row>
    <row r="1966" spans="1:35" x14ac:dyDescent="0.3">
      <c r="A1966">
        <v>1965</v>
      </c>
      <c r="B1966" t="s">
        <v>1303</v>
      </c>
      <c r="C1966">
        <v>38</v>
      </c>
      <c r="D1966" s="105">
        <v>45373.633740659723</v>
      </c>
      <c r="E1966" t="s">
        <v>316</v>
      </c>
      <c r="F1966" t="s">
        <v>317</v>
      </c>
      <c r="G1966">
        <v>1</v>
      </c>
      <c r="H1966" t="s">
        <v>310</v>
      </c>
      <c r="I1966">
        <v>0</v>
      </c>
      <c r="J1966">
        <v>0</v>
      </c>
      <c r="K1966">
        <v>0</v>
      </c>
      <c r="L1966" t="s">
        <v>310</v>
      </c>
      <c r="M1966" t="s">
        <v>310</v>
      </c>
      <c r="N1966">
        <v>0</v>
      </c>
      <c r="O1966" t="s">
        <v>311</v>
      </c>
      <c r="P1966" t="s">
        <v>101</v>
      </c>
      <c r="Q1966" t="s">
        <v>1399</v>
      </c>
      <c r="R1966" t="s">
        <v>1405</v>
      </c>
      <c r="S1966">
        <v>1</v>
      </c>
      <c r="T1966" t="s">
        <v>1407</v>
      </c>
      <c r="U1966">
        <v>0</v>
      </c>
      <c r="V1966">
        <v>0</v>
      </c>
      <c r="W1966">
        <v>10.9399669</v>
      </c>
      <c r="X1966">
        <v>37.162130900000001</v>
      </c>
      <c r="Y1966">
        <v>20.634416299999998</v>
      </c>
      <c r="Z1966">
        <v>54.238184199999999</v>
      </c>
      <c r="AA1966">
        <v>0</v>
      </c>
      <c r="AB1966">
        <v>0</v>
      </c>
      <c r="AC1966" t="s">
        <v>1408</v>
      </c>
      <c r="AD1966">
        <v>0</v>
      </c>
      <c r="AE1966" t="s">
        <v>1388</v>
      </c>
      <c r="AF1966">
        <v>100002000</v>
      </c>
      <c r="AG1966" t="s">
        <v>310</v>
      </c>
      <c r="AH1966">
        <f>SUM((MID(Dyno_Data[[#This Row],[Team]],4,5))+(Dyno_Data[[#This Row],[Match]]/100))</f>
        <v>7605.38</v>
      </c>
      <c r="AI1966" s="76">
        <f>ROUND(SUM(IF(Dyno_Data[[#This Row],[AcqCenter]]&gt;0,Dyno_Data[[#This Row],[Time]]-SUMIFS(Dyno_Data[Time],Dyno_Data[Team],Dyno_Data[[#This Row],[Team]],Dyno_Data[RecordType],"StartMatch",Dyno_Data[Match],Dyno_Data[[#This Row],[Match]]),0)*86400),0)</f>
        <v>0</v>
      </c>
    </row>
    <row r="1967" spans="1:35" x14ac:dyDescent="0.3">
      <c r="A1967">
        <v>1966</v>
      </c>
      <c r="B1967" t="s">
        <v>1310</v>
      </c>
      <c r="C1967">
        <v>38</v>
      </c>
      <c r="D1967" s="105">
        <v>45373.633740821759</v>
      </c>
      <c r="E1967" t="s">
        <v>316</v>
      </c>
      <c r="F1967" t="s">
        <v>317</v>
      </c>
      <c r="G1967">
        <v>0</v>
      </c>
      <c r="H1967" t="s">
        <v>310</v>
      </c>
      <c r="I1967">
        <v>0</v>
      </c>
      <c r="J1967">
        <v>0</v>
      </c>
      <c r="K1967">
        <v>0</v>
      </c>
      <c r="L1967" t="s">
        <v>310</v>
      </c>
      <c r="M1967" t="s">
        <v>310</v>
      </c>
      <c r="N1967">
        <v>0</v>
      </c>
      <c r="O1967" t="s">
        <v>1391</v>
      </c>
      <c r="P1967" t="s">
        <v>240</v>
      </c>
      <c r="Q1967" t="s">
        <v>1400</v>
      </c>
      <c r="R1967" t="s">
        <v>321</v>
      </c>
      <c r="S1967">
        <v>0</v>
      </c>
      <c r="T1967" t="s">
        <v>105</v>
      </c>
      <c r="U1967">
        <v>9</v>
      </c>
      <c r="V1967">
        <v>9</v>
      </c>
      <c r="W1967">
        <v>0</v>
      </c>
      <c r="X1967">
        <v>1.5066504999999999</v>
      </c>
      <c r="Y1967">
        <v>4.3875187999999996</v>
      </c>
      <c r="Z1967">
        <v>129.7781473</v>
      </c>
      <c r="AA1967">
        <v>0</v>
      </c>
      <c r="AB1967">
        <v>0</v>
      </c>
      <c r="AC1967" t="s">
        <v>173</v>
      </c>
      <c r="AD1967">
        <v>9</v>
      </c>
      <c r="AE1967" t="s">
        <v>1390</v>
      </c>
      <c r="AF1967">
        <v>50000000</v>
      </c>
      <c r="AG1967" t="s">
        <v>310</v>
      </c>
      <c r="AH1967">
        <f>SUM((MID(Dyno_Data[[#This Row],[Team]],4,5))+(Dyno_Data[[#This Row],[Match]]/100))</f>
        <v>6621.38</v>
      </c>
      <c r="AI1967" s="76">
        <f>ROUND(SUM(IF(Dyno_Data[[#This Row],[AcqCenter]]&gt;0,Dyno_Data[[#This Row],[Time]]-SUMIFS(Dyno_Data[Time],Dyno_Data[Team],Dyno_Data[[#This Row],[Team]],Dyno_Data[RecordType],"StartMatch",Dyno_Data[Match],Dyno_Data[[#This Row],[Match]]),0)*86400),0)</f>
        <v>0</v>
      </c>
    </row>
    <row r="1968" spans="1:35" x14ac:dyDescent="0.3">
      <c r="A1968">
        <v>1967</v>
      </c>
      <c r="B1968" t="s">
        <v>1296</v>
      </c>
      <c r="C1968">
        <v>38</v>
      </c>
      <c r="D1968" s="105">
        <v>45373.633740937497</v>
      </c>
      <c r="E1968" t="s">
        <v>316</v>
      </c>
      <c r="F1968" t="s">
        <v>317</v>
      </c>
      <c r="G1968">
        <v>1</v>
      </c>
      <c r="H1968" t="s">
        <v>310</v>
      </c>
      <c r="I1968">
        <v>0</v>
      </c>
      <c r="J1968">
        <v>0</v>
      </c>
      <c r="K1968">
        <v>0</v>
      </c>
      <c r="L1968" t="s">
        <v>310</v>
      </c>
      <c r="M1968" t="s">
        <v>310</v>
      </c>
      <c r="N1968">
        <v>0</v>
      </c>
      <c r="O1968" t="s">
        <v>319</v>
      </c>
      <c r="P1968" t="s">
        <v>1401</v>
      </c>
      <c r="Q1968" t="s">
        <v>1400</v>
      </c>
      <c r="R1968" t="s">
        <v>1405</v>
      </c>
      <c r="S1968">
        <v>1</v>
      </c>
      <c r="T1968" t="s">
        <v>1409</v>
      </c>
      <c r="U1968">
        <v>0</v>
      </c>
      <c r="V1968">
        <v>0</v>
      </c>
      <c r="W1968">
        <v>7.1890413999999998</v>
      </c>
      <c r="X1968">
        <v>42.238226499999996</v>
      </c>
      <c r="Y1968">
        <v>44.133167100000001</v>
      </c>
      <c r="Z1968">
        <v>41.914444599999996</v>
      </c>
      <c r="AA1968">
        <v>0</v>
      </c>
      <c r="AB1968">
        <v>1</v>
      </c>
      <c r="AC1968" t="s">
        <v>174</v>
      </c>
      <c r="AD1968">
        <v>9</v>
      </c>
      <c r="AE1968" t="s">
        <v>1412</v>
      </c>
      <c r="AF1968">
        <v>50000000</v>
      </c>
      <c r="AG1968" t="s">
        <v>310</v>
      </c>
      <c r="AH1968">
        <f>SUM((MID(Dyno_Data[[#This Row],[Team]],4,5))+(Dyno_Data[[#This Row],[Match]]/100))</f>
        <v>3003.38</v>
      </c>
      <c r="AI1968" s="76">
        <f>ROUND(SUM(IF(Dyno_Data[[#This Row],[AcqCenter]]&gt;0,Dyno_Data[[#This Row],[Time]]-SUMIFS(Dyno_Data[Time],Dyno_Data[Team],Dyno_Data[[#This Row],[Team]],Dyno_Data[RecordType],"StartMatch",Dyno_Data[Match],Dyno_Data[[#This Row],[Match]]),0)*86400),0)</f>
        <v>0</v>
      </c>
    </row>
    <row r="1969" spans="1:35" x14ac:dyDescent="0.3">
      <c r="A1969">
        <v>1968</v>
      </c>
      <c r="B1969" t="s">
        <v>363</v>
      </c>
      <c r="C1969">
        <v>38</v>
      </c>
      <c r="D1969" s="105">
        <v>45373.633741006946</v>
      </c>
      <c r="E1969" t="s">
        <v>316</v>
      </c>
      <c r="F1969" t="s">
        <v>317</v>
      </c>
      <c r="G1969">
        <v>0</v>
      </c>
      <c r="H1969" t="s">
        <v>310</v>
      </c>
      <c r="I1969">
        <v>0</v>
      </c>
      <c r="J1969">
        <v>0</v>
      </c>
      <c r="K1969">
        <v>0</v>
      </c>
      <c r="L1969" t="s">
        <v>310</v>
      </c>
      <c r="M1969" t="s">
        <v>310</v>
      </c>
      <c r="N1969">
        <v>0</v>
      </c>
      <c r="O1969" t="s">
        <v>1393</v>
      </c>
      <c r="P1969" t="s">
        <v>320</v>
      </c>
      <c r="Q1969" t="s">
        <v>1400</v>
      </c>
      <c r="R1969" t="s">
        <v>1405</v>
      </c>
      <c r="S1969">
        <v>1</v>
      </c>
      <c r="T1969" t="s">
        <v>1406</v>
      </c>
      <c r="U1969">
        <v>0</v>
      </c>
      <c r="V1969">
        <v>1</v>
      </c>
      <c r="W1969">
        <v>10.1736209</v>
      </c>
      <c r="X1969">
        <v>34.350684799999996</v>
      </c>
      <c r="Y1969">
        <v>15.202649099999999</v>
      </c>
      <c r="Z1969">
        <v>65.431536399999999</v>
      </c>
      <c r="AA1969">
        <v>0</v>
      </c>
      <c r="AB1969">
        <v>1</v>
      </c>
      <c r="AC1969" t="s">
        <v>174</v>
      </c>
      <c r="AD1969">
        <v>9</v>
      </c>
      <c r="AE1969" t="s">
        <v>1396</v>
      </c>
      <c r="AF1969">
        <v>90000000</v>
      </c>
      <c r="AG1969" t="s">
        <v>310</v>
      </c>
      <c r="AH1969">
        <f>SUM((MID(Dyno_Data[[#This Row],[Team]],4,5))+(Dyno_Data[[#This Row],[Match]]/100))</f>
        <v>2601.38</v>
      </c>
      <c r="AI1969" s="76">
        <f>ROUND(SUM(IF(Dyno_Data[[#This Row],[AcqCenter]]&gt;0,Dyno_Data[[#This Row],[Time]]-SUMIFS(Dyno_Data[Time],Dyno_Data[Team],Dyno_Data[[#This Row],[Team]],Dyno_Data[RecordType],"StartMatch",Dyno_Data[Match],Dyno_Data[[#This Row],[Match]]),0)*86400),0)</f>
        <v>0</v>
      </c>
    </row>
    <row r="1970" spans="1:35" x14ac:dyDescent="0.3">
      <c r="A1970">
        <v>1969</v>
      </c>
      <c r="B1970" t="s">
        <v>1305</v>
      </c>
      <c r="C1970">
        <v>38</v>
      </c>
      <c r="D1970" s="105">
        <v>45373.633741122685</v>
      </c>
      <c r="E1970" t="s">
        <v>316</v>
      </c>
      <c r="F1970" t="s">
        <v>317</v>
      </c>
      <c r="G1970">
        <v>1</v>
      </c>
      <c r="H1970" t="s">
        <v>310</v>
      </c>
      <c r="I1970">
        <v>0</v>
      </c>
      <c r="J1970">
        <v>0</v>
      </c>
      <c r="K1970">
        <v>0</v>
      </c>
      <c r="L1970" t="s">
        <v>310</v>
      </c>
      <c r="M1970" t="s">
        <v>310</v>
      </c>
      <c r="N1970">
        <v>0</v>
      </c>
      <c r="O1970" t="s">
        <v>1389</v>
      </c>
      <c r="P1970" t="s">
        <v>101</v>
      </c>
      <c r="Q1970" t="s">
        <v>1400</v>
      </c>
      <c r="R1970" t="s">
        <v>1404</v>
      </c>
      <c r="S1970">
        <v>0</v>
      </c>
      <c r="T1970" t="s">
        <v>105</v>
      </c>
      <c r="U1970">
        <v>9</v>
      </c>
      <c r="V1970">
        <v>9</v>
      </c>
      <c r="W1970">
        <v>0</v>
      </c>
      <c r="X1970">
        <v>51.352731399999996</v>
      </c>
      <c r="Y1970">
        <v>26.423335699999999</v>
      </c>
      <c r="Z1970">
        <v>57.391929999999995</v>
      </c>
      <c r="AA1970">
        <v>1</v>
      </c>
      <c r="AB1970">
        <v>0</v>
      </c>
      <c r="AC1970" t="s">
        <v>174</v>
      </c>
      <c r="AD1970">
        <v>9</v>
      </c>
      <c r="AE1970" t="s">
        <v>1414</v>
      </c>
      <c r="AF1970">
        <v>120201000</v>
      </c>
      <c r="AG1970" t="s">
        <v>310</v>
      </c>
      <c r="AH1970">
        <f>SUM((MID(Dyno_Data[[#This Row],[Team]],4,5))+(Dyno_Data[[#This Row],[Match]]/100))</f>
        <v>3173.38</v>
      </c>
      <c r="AI1970" s="76">
        <f>ROUND(SUM(IF(Dyno_Data[[#This Row],[AcqCenter]]&gt;0,Dyno_Data[[#This Row],[Time]]-SUMIFS(Dyno_Data[Time],Dyno_Data[Team],Dyno_Data[[#This Row],[Team]],Dyno_Data[RecordType],"StartMatch",Dyno_Data[Match],Dyno_Data[[#This Row],[Match]]),0)*86400),0)</f>
        <v>0</v>
      </c>
    </row>
    <row r="1971" spans="1:35" x14ac:dyDescent="0.3">
      <c r="A1971">
        <v>1970</v>
      </c>
      <c r="B1971" t="s">
        <v>1277</v>
      </c>
      <c r="C1971">
        <v>38</v>
      </c>
      <c r="D1971" s="105">
        <v>45373.633741238424</v>
      </c>
      <c r="E1971" t="s">
        <v>316</v>
      </c>
      <c r="F1971" t="s">
        <v>317</v>
      </c>
      <c r="G1971">
        <v>0</v>
      </c>
      <c r="H1971" t="s">
        <v>310</v>
      </c>
      <c r="I1971">
        <v>0</v>
      </c>
      <c r="J1971">
        <v>0</v>
      </c>
      <c r="K1971">
        <v>0</v>
      </c>
      <c r="L1971" t="s">
        <v>310</v>
      </c>
      <c r="M1971" t="s">
        <v>310</v>
      </c>
      <c r="N1971">
        <v>0</v>
      </c>
      <c r="O1971" t="s">
        <v>1395</v>
      </c>
      <c r="P1971" t="s">
        <v>1401</v>
      </c>
      <c r="Q1971" t="s">
        <v>1399</v>
      </c>
      <c r="R1971" t="s">
        <v>1404</v>
      </c>
      <c r="S1971">
        <v>0</v>
      </c>
      <c r="T1971" t="s">
        <v>105</v>
      </c>
      <c r="U1971">
        <v>9</v>
      </c>
      <c r="V1971">
        <v>9</v>
      </c>
      <c r="W1971">
        <v>0</v>
      </c>
      <c r="X1971">
        <v>0.74664649999999999</v>
      </c>
      <c r="Y1971">
        <v>87.57883489999999</v>
      </c>
      <c r="Z1971">
        <v>43.341343799999997</v>
      </c>
      <c r="AA1971">
        <v>3</v>
      </c>
      <c r="AB1971">
        <v>0</v>
      </c>
      <c r="AC1971" t="s">
        <v>170</v>
      </c>
      <c r="AD1971">
        <v>2</v>
      </c>
      <c r="AE1971" t="s">
        <v>1413</v>
      </c>
      <c r="AF1971">
        <v>2000</v>
      </c>
      <c r="AG1971" t="s">
        <v>310</v>
      </c>
      <c r="AH1971">
        <f>SUM((MID(Dyno_Data[[#This Row],[Team]],4,5))+(Dyno_Data[[#This Row],[Match]]/100))</f>
        <v>3360.38</v>
      </c>
      <c r="AI1971" s="76">
        <f>ROUND(SUM(IF(Dyno_Data[[#This Row],[AcqCenter]]&gt;0,Dyno_Data[[#This Row],[Time]]-SUMIFS(Dyno_Data[Time],Dyno_Data[Team],Dyno_Data[[#This Row],[Team]],Dyno_Data[RecordType],"StartMatch",Dyno_Data[Match],Dyno_Data[[#This Row],[Match]]),0)*86400),0)</f>
        <v>0</v>
      </c>
    </row>
    <row r="1972" spans="1:35" x14ac:dyDescent="0.3">
      <c r="A1972">
        <v>1984</v>
      </c>
      <c r="B1972" t="s">
        <v>1282</v>
      </c>
      <c r="C1972">
        <v>39</v>
      </c>
      <c r="D1972" s="105">
        <v>45373.641565358797</v>
      </c>
      <c r="E1972" t="s">
        <v>308</v>
      </c>
      <c r="F1972" t="s">
        <v>309</v>
      </c>
      <c r="G1972">
        <v>0</v>
      </c>
      <c r="H1972" t="s">
        <v>310</v>
      </c>
      <c r="I1972">
        <v>0</v>
      </c>
      <c r="J1972">
        <v>0</v>
      </c>
      <c r="K1972">
        <v>0</v>
      </c>
      <c r="L1972" t="s">
        <v>310</v>
      </c>
      <c r="M1972" t="s">
        <v>310</v>
      </c>
      <c r="N1972">
        <v>0</v>
      </c>
      <c r="O1972" t="s">
        <v>1391</v>
      </c>
      <c r="P1972" t="s">
        <v>310</v>
      </c>
      <c r="Q1972" t="s">
        <v>310</v>
      </c>
      <c r="R1972" t="s">
        <v>310</v>
      </c>
      <c r="S1972">
        <v>9</v>
      </c>
      <c r="T1972" t="s">
        <v>310</v>
      </c>
      <c r="U1972">
        <v>9</v>
      </c>
      <c r="V1972">
        <v>9</v>
      </c>
      <c r="W1972">
        <v>0</v>
      </c>
      <c r="X1972">
        <v>0</v>
      </c>
      <c r="Y1972">
        <v>0</v>
      </c>
      <c r="Z1972">
        <v>0</v>
      </c>
      <c r="AA1972">
        <v>9</v>
      </c>
      <c r="AB1972">
        <v>9</v>
      </c>
      <c r="AC1972" t="s">
        <v>310</v>
      </c>
      <c r="AD1972">
        <v>9</v>
      </c>
      <c r="AE1972" t="s">
        <v>1390</v>
      </c>
      <c r="AF1972">
        <v>0</v>
      </c>
      <c r="AG1972" t="s">
        <v>310</v>
      </c>
      <c r="AH1972">
        <f>SUM((MID(Dyno_Data[[#This Row],[Team]],4,5))+(Dyno_Data[[#This Row],[Match]]/100))</f>
        <v>333.39</v>
      </c>
      <c r="AI1972" s="76">
        <f>ROUND(SUM(IF(Dyno_Data[[#This Row],[AcqCenter]]&gt;0,Dyno_Data[[#This Row],[Time]]-SUMIFS(Dyno_Data[Time],Dyno_Data[Team],Dyno_Data[[#This Row],[Team]],Dyno_Data[RecordType],"StartMatch",Dyno_Data[Match],Dyno_Data[[#This Row],[Match]]),0)*86400),0)</f>
        <v>0</v>
      </c>
    </row>
    <row r="1973" spans="1:35" x14ac:dyDescent="0.3">
      <c r="A1973">
        <v>1986</v>
      </c>
      <c r="B1973" t="s">
        <v>369</v>
      </c>
      <c r="C1973">
        <v>39</v>
      </c>
      <c r="D1973" s="105">
        <v>45373.641569675929</v>
      </c>
      <c r="E1973" t="s">
        <v>308</v>
      </c>
      <c r="F1973" t="s">
        <v>309</v>
      </c>
      <c r="G1973">
        <v>0</v>
      </c>
      <c r="H1973" t="s">
        <v>310</v>
      </c>
      <c r="I1973">
        <v>0</v>
      </c>
      <c r="J1973">
        <v>0</v>
      </c>
      <c r="K1973">
        <v>0</v>
      </c>
      <c r="L1973" t="s">
        <v>310</v>
      </c>
      <c r="M1973" t="s">
        <v>310</v>
      </c>
      <c r="N1973">
        <v>0</v>
      </c>
      <c r="O1973" t="s">
        <v>1395</v>
      </c>
      <c r="P1973" t="s">
        <v>310</v>
      </c>
      <c r="Q1973" t="s">
        <v>310</v>
      </c>
      <c r="R1973" t="s">
        <v>310</v>
      </c>
      <c r="S1973">
        <v>9</v>
      </c>
      <c r="T1973" t="s">
        <v>310</v>
      </c>
      <c r="U1973">
        <v>9</v>
      </c>
      <c r="V1973">
        <v>9</v>
      </c>
      <c r="W1973">
        <v>0</v>
      </c>
      <c r="X1973">
        <v>0</v>
      </c>
      <c r="Y1973">
        <v>0</v>
      </c>
      <c r="Z1973">
        <v>0</v>
      </c>
      <c r="AA1973">
        <v>9</v>
      </c>
      <c r="AB1973">
        <v>9</v>
      </c>
      <c r="AC1973" t="s">
        <v>310</v>
      </c>
      <c r="AD1973">
        <v>9</v>
      </c>
      <c r="AE1973" t="s">
        <v>1413</v>
      </c>
      <c r="AF1973">
        <v>0</v>
      </c>
      <c r="AG1973" t="s">
        <v>310</v>
      </c>
      <c r="AH1973">
        <f>SUM((MID(Dyno_Data[[#This Row],[Team]],4,5))+(Dyno_Data[[#This Row],[Match]]/100))</f>
        <v>6463.39</v>
      </c>
      <c r="AI1973" s="76">
        <f>ROUND(SUM(IF(Dyno_Data[[#This Row],[AcqCenter]]&gt;0,Dyno_Data[[#This Row],[Time]]-SUMIFS(Dyno_Data[Time],Dyno_Data[Team],Dyno_Data[[#This Row],[Team]],Dyno_Data[RecordType],"StartMatch",Dyno_Data[Match],Dyno_Data[[#This Row],[Match]]),0)*86400),0)</f>
        <v>0</v>
      </c>
    </row>
    <row r="1974" spans="1:35" x14ac:dyDescent="0.3">
      <c r="A1974">
        <v>1988</v>
      </c>
      <c r="B1974" t="s">
        <v>1276</v>
      </c>
      <c r="C1974">
        <v>39</v>
      </c>
      <c r="D1974" s="105">
        <v>45373.641571099535</v>
      </c>
      <c r="E1974" t="s">
        <v>308</v>
      </c>
      <c r="F1974" t="s">
        <v>309</v>
      </c>
      <c r="G1974">
        <v>0</v>
      </c>
      <c r="H1974" t="s">
        <v>310</v>
      </c>
      <c r="I1974">
        <v>0</v>
      </c>
      <c r="J1974">
        <v>0</v>
      </c>
      <c r="K1974">
        <v>0</v>
      </c>
      <c r="L1974" t="s">
        <v>310</v>
      </c>
      <c r="M1974" t="s">
        <v>310</v>
      </c>
      <c r="N1974">
        <v>0</v>
      </c>
      <c r="O1974" t="s">
        <v>1393</v>
      </c>
      <c r="P1974" t="s">
        <v>310</v>
      </c>
      <c r="Q1974" t="s">
        <v>310</v>
      </c>
      <c r="R1974" t="s">
        <v>310</v>
      </c>
      <c r="S1974">
        <v>9</v>
      </c>
      <c r="T1974" t="s">
        <v>310</v>
      </c>
      <c r="U1974">
        <v>9</v>
      </c>
      <c r="V1974">
        <v>9</v>
      </c>
      <c r="W1974">
        <v>0</v>
      </c>
      <c r="X1974">
        <v>0</v>
      </c>
      <c r="Y1974">
        <v>0</v>
      </c>
      <c r="Z1974">
        <v>0</v>
      </c>
      <c r="AA1974">
        <v>9</v>
      </c>
      <c r="AB1974">
        <v>9</v>
      </c>
      <c r="AC1974" t="s">
        <v>310</v>
      </c>
      <c r="AD1974">
        <v>9</v>
      </c>
      <c r="AE1974" t="s">
        <v>1396</v>
      </c>
      <c r="AF1974">
        <v>0</v>
      </c>
      <c r="AG1974" t="s">
        <v>310</v>
      </c>
      <c r="AH1974">
        <f>SUM((MID(Dyno_Data[[#This Row],[Team]],4,5))+(Dyno_Data[[#This Row],[Match]]/100))</f>
        <v>229.39</v>
      </c>
      <c r="AI1974" s="76">
        <f>ROUND(SUM(IF(Dyno_Data[[#This Row],[AcqCenter]]&gt;0,Dyno_Data[[#This Row],[Time]]-SUMIFS(Dyno_Data[Time],Dyno_Data[Team],Dyno_Data[[#This Row],[Team]],Dyno_Data[RecordType],"StartMatch",Dyno_Data[Match],Dyno_Data[[#This Row],[Match]]),0)*86400),0)</f>
        <v>0</v>
      </c>
    </row>
    <row r="1975" spans="1:35" x14ac:dyDescent="0.3">
      <c r="A1975">
        <v>1990</v>
      </c>
      <c r="B1975" t="s">
        <v>1312</v>
      </c>
      <c r="C1975">
        <v>39</v>
      </c>
      <c r="D1975" s="105">
        <v>45373.641571180553</v>
      </c>
      <c r="E1975" t="s">
        <v>308</v>
      </c>
      <c r="F1975" t="s">
        <v>309</v>
      </c>
      <c r="G1975">
        <v>0</v>
      </c>
      <c r="H1975" t="s">
        <v>310</v>
      </c>
      <c r="I1975">
        <v>0</v>
      </c>
      <c r="J1975">
        <v>0</v>
      </c>
      <c r="K1975">
        <v>0</v>
      </c>
      <c r="L1975" t="s">
        <v>310</v>
      </c>
      <c r="M1975" t="s">
        <v>310</v>
      </c>
      <c r="N1975">
        <v>0</v>
      </c>
      <c r="O1975" t="s">
        <v>1389</v>
      </c>
      <c r="P1975" t="s">
        <v>310</v>
      </c>
      <c r="Q1975" t="s">
        <v>310</v>
      </c>
      <c r="R1975" t="s">
        <v>310</v>
      </c>
      <c r="S1975">
        <v>9</v>
      </c>
      <c r="T1975" t="s">
        <v>310</v>
      </c>
      <c r="U1975">
        <v>9</v>
      </c>
      <c r="V1975">
        <v>9</v>
      </c>
      <c r="W1975">
        <v>0</v>
      </c>
      <c r="X1975">
        <v>0</v>
      </c>
      <c r="Y1975">
        <v>0</v>
      </c>
      <c r="Z1975">
        <v>0</v>
      </c>
      <c r="AA1975">
        <v>9</v>
      </c>
      <c r="AB1975">
        <v>9</v>
      </c>
      <c r="AC1975" t="s">
        <v>310</v>
      </c>
      <c r="AD1975">
        <v>9</v>
      </c>
      <c r="AE1975" t="s">
        <v>1412</v>
      </c>
      <c r="AF1975">
        <v>20000000</v>
      </c>
      <c r="AG1975" t="s">
        <v>310</v>
      </c>
      <c r="AH1975">
        <f>SUM((MID(Dyno_Data[[#This Row],[Team]],4,5))+(Dyno_Data[[#This Row],[Match]]/100))</f>
        <v>2053.39</v>
      </c>
      <c r="AI1975" s="76">
        <f>ROUND(SUM(IF(Dyno_Data[[#This Row],[AcqCenter]]&gt;0,Dyno_Data[[#This Row],[Time]]-SUMIFS(Dyno_Data[Time],Dyno_Data[Team],Dyno_Data[[#This Row],[Team]],Dyno_Data[RecordType],"StartMatch",Dyno_Data[Match],Dyno_Data[[#This Row],[Match]]),0)*86400),0)</f>
        <v>0</v>
      </c>
    </row>
    <row r="1976" spans="1:35" x14ac:dyDescent="0.3">
      <c r="A1976">
        <v>1992</v>
      </c>
      <c r="B1976" t="s">
        <v>368</v>
      </c>
      <c r="C1976">
        <v>39</v>
      </c>
      <c r="D1976" s="105">
        <v>45373.64157615741</v>
      </c>
      <c r="E1976" t="s">
        <v>308</v>
      </c>
      <c r="F1976" t="s">
        <v>309</v>
      </c>
      <c r="G1976">
        <v>0</v>
      </c>
      <c r="H1976" t="s">
        <v>310</v>
      </c>
      <c r="I1976">
        <v>0</v>
      </c>
      <c r="J1976">
        <v>0</v>
      </c>
      <c r="K1976">
        <v>0</v>
      </c>
      <c r="L1976" t="s">
        <v>310</v>
      </c>
      <c r="M1976" t="s">
        <v>310</v>
      </c>
      <c r="N1976">
        <v>0</v>
      </c>
      <c r="O1976" t="s">
        <v>311</v>
      </c>
      <c r="P1976" t="s">
        <v>310</v>
      </c>
      <c r="Q1976" t="s">
        <v>310</v>
      </c>
      <c r="R1976" t="s">
        <v>310</v>
      </c>
      <c r="S1976">
        <v>9</v>
      </c>
      <c r="T1976" t="s">
        <v>310</v>
      </c>
      <c r="U1976">
        <v>9</v>
      </c>
      <c r="V1976">
        <v>9</v>
      </c>
      <c r="W1976">
        <v>0</v>
      </c>
      <c r="X1976">
        <v>0</v>
      </c>
      <c r="Y1976">
        <v>0</v>
      </c>
      <c r="Z1976">
        <v>0</v>
      </c>
      <c r="AA1976">
        <v>9</v>
      </c>
      <c r="AB1976">
        <v>9</v>
      </c>
      <c r="AC1976" t="s">
        <v>310</v>
      </c>
      <c r="AD1976">
        <v>9</v>
      </c>
      <c r="AE1976" t="s">
        <v>1388</v>
      </c>
      <c r="AF1976">
        <v>30000000</v>
      </c>
      <c r="AG1976" t="s">
        <v>310</v>
      </c>
      <c r="AH1976">
        <f>SUM((MID(Dyno_Data[[#This Row],[Team]],4,5))+(Dyno_Data[[#This Row],[Match]]/100))</f>
        <v>6401.39</v>
      </c>
      <c r="AI1976" s="76">
        <f>ROUND(SUM(IF(Dyno_Data[[#This Row],[AcqCenter]]&gt;0,Dyno_Data[[#This Row],[Time]]-SUMIFS(Dyno_Data[Time],Dyno_Data[Team],Dyno_Data[[#This Row],[Team]],Dyno_Data[RecordType],"StartMatch",Dyno_Data[Match],Dyno_Data[[#This Row],[Match]]),0)*86400),0)</f>
        <v>0</v>
      </c>
    </row>
    <row r="1977" spans="1:35" x14ac:dyDescent="0.3">
      <c r="A1977">
        <v>1994</v>
      </c>
      <c r="B1977" t="s">
        <v>1300</v>
      </c>
      <c r="C1977">
        <v>39</v>
      </c>
      <c r="D1977" s="105">
        <v>45373.641576238428</v>
      </c>
      <c r="E1977" t="s">
        <v>308</v>
      </c>
      <c r="F1977" t="s">
        <v>309</v>
      </c>
      <c r="G1977">
        <v>0</v>
      </c>
      <c r="H1977" t="s">
        <v>310</v>
      </c>
      <c r="I1977">
        <v>0</v>
      </c>
      <c r="J1977">
        <v>0</v>
      </c>
      <c r="K1977">
        <v>0</v>
      </c>
      <c r="L1977" t="s">
        <v>310</v>
      </c>
      <c r="M1977" t="s">
        <v>310</v>
      </c>
      <c r="N1977">
        <v>0</v>
      </c>
      <c r="O1977" t="s">
        <v>319</v>
      </c>
      <c r="P1977" t="s">
        <v>310</v>
      </c>
      <c r="Q1977" t="s">
        <v>310</v>
      </c>
      <c r="R1977" t="s">
        <v>310</v>
      </c>
      <c r="S1977">
        <v>9</v>
      </c>
      <c r="T1977" t="s">
        <v>310</v>
      </c>
      <c r="U1977">
        <v>9</v>
      </c>
      <c r="V1977">
        <v>9</v>
      </c>
      <c r="W1977">
        <v>0</v>
      </c>
      <c r="X1977">
        <v>0</v>
      </c>
      <c r="Y1977">
        <v>0</v>
      </c>
      <c r="Z1977">
        <v>0</v>
      </c>
      <c r="AA1977">
        <v>9</v>
      </c>
      <c r="AB1977">
        <v>9</v>
      </c>
      <c r="AC1977" t="s">
        <v>310</v>
      </c>
      <c r="AD1977">
        <v>9</v>
      </c>
      <c r="AE1977" t="s">
        <v>1414</v>
      </c>
      <c r="AF1977">
        <v>30000000</v>
      </c>
      <c r="AG1977" t="s">
        <v>310</v>
      </c>
      <c r="AH1977">
        <f>SUM((MID(Dyno_Data[[#This Row],[Team]],4,5))+(Dyno_Data[[#This Row],[Match]]/100))</f>
        <v>3044.39</v>
      </c>
      <c r="AI1977" s="76">
        <f>ROUND(SUM(IF(Dyno_Data[[#This Row],[AcqCenter]]&gt;0,Dyno_Data[[#This Row],[Time]]-SUMIFS(Dyno_Data[Time],Dyno_Data[Team],Dyno_Data[[#This Row],[Team]],Dyno_Data[RecordType],"StartMatch",Dyno_Data[Match],Dyno_Data[[#This Row],[Match]]),0)*86400),0)</f>
        <v>0</v>
      </c>
    </row>
    <row r="1978" spans="1:35" x14ac:dyDescent="0.3">
      <c r="A1978">
        <v>1971</v>
      </c>
      <c r="B1978" t="s">
        <v>368</v>
      </c>
      <c r="C1978">
        <v>39</v>
      </c>
      <c r="D1978" s="105">
        <v>45373.64158984954</v>
      </c>
      <c r="E1978" t="s">
        <v>312</v>
      </c>
      <c r="F1978" t="s">
        <v>309</v>
      </c>
      <c r="G1978">
        <v>0</v>
      </c>
      <c r="H1978" t="s">
        <v>1397</v>
      </c>
      <c r="I1978">
        <v>0</v>
      </c>
      <c r="J1978">
        <v>0</v>
      </c>
      <c r="K1978">
        <v>0</v>
      </c>
      <c r="L1978" t="s">
        <v>240</v>
      </c>
      <c r="M1978" t="s">
        <v>1398</v>
      </c>
      <c r="N1978">
        <v>1</v>
      </c>
      <c r="O1978" t="s">
        <v>311</v>
      </c>
      <c r="P1978" t="s">
        <v>310</v>
      </c>
      <c r="Q1978" t="s">
        <v>310</v>
      </c>
      <c r="R1978" t="s">
        <v>310</v>
      </c>
      <c r="S1978">
        <v>9</v>
      </c>
      <c r="T1978" t="s">
        <v>310</v>
      </c>
      <c r="U1978">
        <v>9</v>
      </c>
      <c r="V1978">
        <v>9</v>
      </c>
      <c r="W1978">
        <v>0</v>
      </c>
      <c r="X1978">
        <v>0</v>
      </c>
      <c r="Y1978">
        <v>0</v>
      </c>
      <c r="Z1978">
        <v>0</v>
      </c>
      <c r="AA1978">
        <v>9</v>
      </c>
      <c r="AB1978">
        <v>9</v>
      </c>
      <c r="AC1978" t="s">
        <v>310</v>
      </c>
      <c r="AD1978">
        <v>9</v>
      </c>
      <c r="AE1978" t="s">
        <v>1388</v>
      </c>
      <c r="AF1978">
        <v>0</v>
      </c>
      <c r="AG1978" t="s">
        <v>310</v>
      </c>
      <c r="AH1978">
        <f>SUM((MID(Dyno_Data[[#This Row],[Team]],4,5))+(Dyno_Data[[#This Row],[Match]]/100))</f>
        <v>6401.39</v>
      </c>
      <c r="AI1978" s="76">
        <f>ROUND(SUM(IF(Dyno_Data[[#This Row],[AcqCenter]]&gt;0,Dyno_Data[[#This Row],[Time]]-SUMIFS(Dyno_Data[Time],Dyno_Data[Team],Dyno_Data[[#This Row],[Team]],Dyno_Data[RecordType],"StartMatch",Dyno_Data[Match],Dyno_Data[[#This Row],[Match]]),0)*86400),0)</f>
        <v>0</v>
      </c>
    </row>
    <row r="1979" spans="1:35" x14ac:dyDescent="0.3">
      <c r="A1979">
        <v>1972</v>
      </c>
      <c r="B1979" t="s">
        <v>1312</v>
      </c>
      <c r="C1979">
        <v>39</v>
      </c>
      <c r="D1979" s="105">
        <v>45373.641598726848</v>
      </c>
      <c r="E1979" t="s">
        <v>312</v>
      </c>
      <c r="F1979" t="s">
        <v>309</v>
      </c>
      <c r="G1979">
        <v>0</v>
      </c>
      <c r="H1979" t="s">
        <v>1397</v>
      </c>
      <c r="I1979">
        <v>0</v>
      </c>
      <c r="J1979">
        <v>0</v>
      </c>
      <c r="K1979">
        <v>0</v>
      </c>
      <c r="L1979" t="s">
        <v>240</v>
      </c>
      <c r="M1979" t="s">
        <v>1398</v>
      </c>
      <c r="N1979">
        <v>0</v>
      </c>
      <c r="O1979" t="s">
        <v>1389</v>
      </c>
      <c r="P1979" t="s">
        <v>310</v>
      </c>
      <c r="Q1979" t="s">
        <v>310</v>
      </c>
      <c r="R1979" t="s">
        <v>310</v>
      </c>
      <c r="S1979">
        <v>9</v>
      </c>
      <c r="T1979" t="s">
        <v>310</v>
      </c>
      <c r="U1979">
        <v>9</v>
      </c>
      <c r="V1979">
        <v>9</v>
      </c>
      <c r="W1979">
        <v>0</v>
      </c>
      <c r="X1979">
        <v>0</v>
      </c>
      <c r="Y1979">
        <v>0</v>
      </c>
      <c r="Z1979">
        <v>0</v>
      </c>
      <c r="AA1979">
        <v>9</v>
      </c>
      <c r="AB1979">
        <v>9</v>
      </c>
      <c r="AC1979" t="s">
        <v>310</v>
      </c>
      <c r="AD1979">
        <v>9</v>
      </c>
      <c r="AE1979" t="s">
        <v>1412</v>
      </c>
      <c r="AF1979">
        <v>0</v>
      </c>
      <c r="AG1979" t="s">
        <v>310</v>
      </c>
      <c r="AH1979">
        <f>SUM((MID(Dyno_Data[[#This Row],[Team]],4,5))+(Dyno_Data[[#This Row],[Match]]/100))</f>
        <v>2053.39</v>
      </c>
      <c r="AI1979" s="76">
        <f>ROUND(SUM(IF(Dyno_Data[[#This Row],[AcqCenter]]&gt;0,Dyno_Data[[#This Row],[Time]]-SUMIFS(Dyno_Data[Time],Dyno_Data[Team],Dyno_Data[[#This Row],[Team]],Dyno_Data[RecordType],"StartMatch",Dyno_Data[Match],Dyno_Data[[#This Row],[Match]]),0)*86400),0)</f>
        <v>0</v>
      </c>
    </row>
    <row r="1980" spans="1:35" x14ac:dyDescent="0.3">
      <c r="A1980">
        <v>1973</v>
      </c>
      <c r="B1980" t="s">
        <v>1282</v>
      </c>
      <c r="C1980">
        <v>39</v>
      </c>
      <c r="D1980" s="105">
        <v>45373.641627048608</v>
      </c>
      <c r="E1980" t="s">
        <v>312</v>
      </c>
      <c r="F1980" t="s">
        <v>309</v>
      </c>
      <c r="G1980">
        <v>0</v>
      </c>
      <c r="H1980" t="s">
        <v>1397</v>
      </c>
      <c r="I1980">
        <v>0</v>
      </c>
      <c r="J1980">
        <v>0</v>
      </c>
      <c r="K1980">
        <v>0</v>
      </c>
      <c r="L1980" t="s">
        <v>241</v>
      </c>
      <c r="M1980" t="s">
        <v>1398</v>
      </c>
      <c r="N1980">
        <v>1</v>
      </c>
      <c r="O1980" t="s">
        <v>1391</v>
      </c>
      <c r="P1980" t="s">
        <v>310</v>
      </c>
      <c r="Q1980" t="s">
        <v>310</v>
      </c>
      <c r="R1980" t="s">
        <v>310</v>
      </c>
      <c r="S1980">
        <v>9</v>
      </c>
      <c r="T1980" t="s">
        <v>310</v>
      </c>
      <c r="U1980">
        <v>9</v>
      </c>
      <c r="V1980">
        <v>9</v>
      </c>
      <c r="W1980">
        <v>0</v>
      </c>
      <c r="X1980">
        <v>0</v>
      </c>
      <c r="Y1980">
        <v>0</v>
      </c>
      <c r="Z1980">
        <v>0</v>
      </c>
      <c r="AA1980">
        <v>9</v>
      </c>
      <c r="AB1980">
        <v>9</v>
      </c>
      <c r="AC1980" t="s">
        <v>310</v>
      </c>
      <c r="AD1980">
        <v>9</v>
      </c>
      <c r="AE1980" t="s">
        <v>1390</v>
      </c>
      <c r="AF1980">
        <v>0</v>
      </c>
      <c r="AG1980" t="s">
        <v>310</v>
      </c>
      <c r="AH1980">
        <f>SUM((MID(Dyno_Data[[#This Row],[Team]],4,5))+(Dyno_Data[[#This Row],[Match]]/100))</f>
        <v>333.39</v>
      </c>
      <c r="AI1980" s="76">
        <f>ROUND(SUM(IF(Dyno_Data[[#This Row],[AcqCenter]]&gt;0,Dyno_Data[[#This Row],[Time]]-SUMIFS(Dyno_Data[Time],Dyno_Data[Team],Dyno_Data[[#This Row],[Team]],Dyno_Data[RecordType],"StartMatch",Dyno_Data[Match],Dyno_Data[[#This Row],[Match]]),0)*86400),0)</f>
        <v>0</v>
      </c>
    </row>
    <row r="1981" spans="1:35" x14ac:dyDescent="0.3">
      <c r="A1981">
        <v>1974</v>
      </c>
      <c r="B1981" t="s">
        <v>368</v>
      </c>
      <c r="C1981">
        <v>39</v>
      </c>
      <c r="D1981" s="105">
        <v>45373.641639664354</v>
      </c>
      <c r="E1981" t="s">
        <v>312</v>
      </c>
      <c r="F1981" t="s">
        <v>309</v>
      </c>
      <c r="G1981">
        <v>0</v>
      </c>
      <c r="H1981" t="s">
        <v>315</v>
      </c>
      <c r="I1981">
        <v>0</v>
      </c>
      <c r="J1981">
        <v>0</v>
      </c>
      <c r="K1981">
        <v>0</v>
      </c>
      <c r="L1981" t="s">
        <v>241</v>
      </c>
      <c r="M1981" t="s">
        <v>1398</v>
      </c>
      <c r="N1981">
        <v>0</v>
      </c>
      <c r="O1981" t="s">
        <v>311</v>
      </c>
      <c r="P1981" t="s">
        <v>310</v>
      </c>
      <c r="Q1981" t="s">
        <v>310</v>
      </c>
      <c r="R1981" t="s">
        <v>310</v>
      </c>
      <c r="S1981">
        <v>9</v>
      </c>
      <c r="T1981" t="s">
        <v>310</v>
      </c>
      <c r="U1981">
        <v>9</v>
      </c>
      <c r="V1981">
        <v>9</v>
      </c>
      <c r="W1981">
        <v>0</v>
      </c>
      <c r="X1981">
        <v>0</v>
      </c>
      <c r="Y1981">
        <v>0</v>
      </c>
      <c r="Z1981">
        <v>0</v>
      </c>
      <c r="AA1981">
        <v>9</v>
      </c>
      <c r="AB1981">
        <v>9</v>
      </c>
      <c r="AC1981" t="s">
        <v>310</v>
      </c>
      <c r="AD1981">
        <v>9</v>
      </c>
      <c r="AE1981" t="s">
        <v>1388</v>
      </c>
      <c r="AF1981">
        <v>10000000</v>
      </c>
      <c r="AG1981" t="s">
        <v>310</v>
      </c>
      <c r="AH1981">
        <f>SUM((MID(Dyno_Data[[#This Row],[Team]],4,5))+(Dyno_Data[[#This Row],[Match]]/100))</f>
        <v>6401.39</v>
      </c>
      <c r="AI1981" s="76">
        <f>ROUND(SUM(IF(Dyno_Data[[#This Row],[AcqCenter]]&gt;0,Dyno_Data[[#This Row],[Time]]-SUMIFS(Dyno_Data[Time],Dyno_Data[Team],Dyno_Data[[#This Row],[Team]],Dyno_Data[RecordType],"StartMatch",Dyno_Data[Match],Dyno_Data[[#This Row],[Match]]),0)*86400),0)</f>
        <v>0</v>
      </c>
    </row>
    <row r="1982" spans="1:35" x14ac:dyDescent="0.3">
      <c r="A1982">
        <v>1975</v>
      </c>
      <c r="B1982" t="s">
        <v>1312</v>
      </c>
      <c r="C1982">
        <v>39</v>
      </c>
      <c r="D1982" s="105">
        <v>45373.641643252318</v>
      </c>
      <c r="E1982" t="s">
        <v>312</v>
      </c>
      <c r="F1982" t="s">
        <v>309</v>
      </c>
      <c r="G1982">
        <v>0</v>
      </c>
      <c r="H1982" t="s">
        <v>315</v>
      </c>
      <c r="I1982">
        <v>0</v>
      </c>
      <c r="J1982">
        <v>0</v>
      </c>
      <c r="K1982">
        <v>0</v>
      </c>
      <c r="L1982" t="s">
        <v>240</v>
      </c>
      <c r="M1982" t="s">
        <v>1398</v>
      </c>
      <c r="N1982">
        <v>0</v>
      </c>
      <c r="O1982" t="s">
        <v>1389</v>
      </c>
      <c r="P1982" t="s">
        <v>310</v>
      </c>
      <c r="Q1982" t="s">
        <v>310</v>
      </c>
      <c r="R1982" t="s">
        <v>310</v>
      </c>
      <c r="S1982">
        <v>9</v>
      </c>
      <c r="T1982" t="s">
        <v>310</v>
      </c>
      <c r="U1982">
        <v>9</v>
      </c>
      <c r="V1982">
        <v>9</v>
      </c>
      <c r="W1982">
        <v>0</v>
      </c>
      <c r="X1982">
        <v>0</v>
      </c>
      <c r="Y1982">
        <v>0</v>
      </c>
      <c r="Z1982">
        <v>0</v>
      </c>
      <c r="AA1982">
        <v>9</v>
      </c>
      <c r="AB1982">
        <v>9</v>
      </c>
      <c r="AC1982" t="s">
        <v>310</v>
      </c>
      <c r="AD1982">
        <v>9</v>
      </c>
      <c r="AE1982" t="s">
        <v>1412</v>
      </c>
      <c r="AF1982">
        <v>10000000</v>
      </c>
      <c r="AG1982" t="s">
        <v>310</v>
      </c>
      <c r="AH1982">
        <f>SUM((MID(Dyno_Data[[#This Row],[Team]],4,5))+(Dyno_Data[[#This Row],[Match]]/100))</f>
        <v>2053.39</v>
      </c>
      <c r="AI1982" s="76">
        <f>ROUND(SUM(IF(Dyno_Data[[#This Row],[AcqCenter]]&gt;0,Dyno_Data[[#This Row],[Time]]-SUMIFS(Dyno_Data[Time],Dyno_Data[Team],Dyno_Data[[#This Row],[Team]],Dyno_Data[RecordType],"StartMatch",Dyno_Data[Match],Dyno_Data[[#This Row],[Match]]),0)*86400),0)</f>
        <v>0</v>
      </c>
    </row>
    <row r="1983" spans="1:35" x14ac:dyDescent="0.3">
      <c r="A1983">
        <v>1976</v>
      </c>
      <c r="B1983" t="s">
        <v>1300</v>
      </c>
      <c r="C1983">
        <v>39</v>
      </c>
      <c r="D1983" s="105">
        <v>45373.641683101851</v>
      </c>
      <c r="E1983" t="s">
        <v>312</v>
      </c>
      <c r="F1983" t="s">
        <v>309</v>
      </c>
      <c r="G1983">
        <v>0</v>
      </c>
      <c r="H1983" t="s">
        <v>1397</v>
      </c>
      <c r="I1983">
        <v>0</v>
      </c>
      <c r="J1983">
        <v>0</v>
      </c>
      <c r="K1983">
        <v>0</v>
      </c>
      <c r="L1983" t="s">
        <v>240</v>
      </c>
      <c r="M1983" t="s">
        <v>1398</v>
      </c>
      <c r="N1983">
        <v>0</v>
      </c>
      <c r="O1983" t="s">
        <v>319</v>
      </c>
      <c r="P1983" t="s">
        <v>310</v>
      </c>
      <c r="Q1983" t="s">
        <v>310</v>
      </c>
      <c r="R1983" t="s">
        <v>310</v>
      </c>
      <c r="S1983">
        <v>9</v>
      </c>
      <c r="T1983" t="s">
        <v>310</v>
      </c>
      <c r="U1983">
        <v>9</v>
      </c>
      <c r="V1983">
        <v>9</v>
      </c>
      <c r="W1983">
        <v>0</v>
      </c>
      <c r="X1983">
        <v>0</v>
      </c>
      <c r="Y1983">
        <v>0</v>
      </c>
      <c r="Z1983">
        <v>0</v>
      </c>
      <c r="AA1983">
        <v>9</v>
      </c>
      <c r="AB1983">
        <v>9</v>
      </c>
      <c r="AC1983" t="s">
        <v>310</v>
      </c>
      <c r="AD1983">
        <v>9</v>
      </c>
      <c r="AE1983" t="s">
        <v>1414</v>
      </c>
      <c r="AF1983">
        <v>0</v>
      </c>
      <c r="AG1983" t="s">
        <v>310</v>
      </c>
      <c r="AH1983">
        <f>SUM((MID(Dyno_Data[[#This Row],[Team]],4,5))+(Dyno_Data[[#This Row],[Match]]/100))</f>
        <v>3044.39</v>
      </c>
      <c r="AI1983" s="76">
        <f>ROUND(SUM(IF(Dyno_Data[[#This Row],[AcqCenter]]&gt;0,Dyno_Data[[#This Row],[Time]]-SUMIFS(Dyno_Data[Time],Dyno_Data[Team],Dyno_Data[[#This Row],[Team]],Dyno_Data[RecordType],"StartMatch",Dyno_Data[Match],Dyno_Data[[#This Row],[Match]]),0)*86400),0)</f>
        <v>0</v>
      </c>
    </row>
    <row r="1984" spans="1:35" x14ac:dyDescent="0.3">
      <c r="A1984">
        <v>1977</v>
      </c>
      <c r="B1984" t="s">
        <v>368</v>
      </c>
      <c r="C1984">
        <v>39</v>
      </c>
      <c r="D1984" s="105">
        <v>45373.641689583332</v>
      </c>
      <c r="E1984" t="s">
        <v>312</v>
      </c>
      <c r="F1984" t="s">
        <v>309</v>
      </c>
      <c r="G1984">
        <v>0</v>
      </c>
      <c r="H1984" t="s">
        <v>315</v>
      </c>
      <c r="I1984">
        <v>0</v>
      </c>
      <c r="J1984">
        <v>0</v>
      </c>
      <c r="K1984">
        <v>0</v>
      </c>
      <c r="L1984" t="s">
        <v>241</v>
      </c>
      <c r="M1984" t="s">
        <v>1398</v>
      </c>
      <c r="N1984">
        <v>0</v>
      </c>
      <c r="O1984" t="s">
        <v>311</v>
      </c>
      <c r="P1984" t="s">
        <v>310</v>
      </c>
      <c r="Q1984" t="s">
        <v>310</v>
      </c>
      <c r="R1984" t="s">
        <v>310</v>
      </c>
      <c r="S1984">
        <v>9</v>
      </c>
      <c r="T1984" t="s">
        <v>310</v>
      </c>
      <c r="U1984">
        <v>9</v>
      </c>
      <c r="V1984">
        <v>9</v>
      </c>
      <c r="W1984">
        <v>0</v>
      </c>
      <c r="X1984">
        <v>0</v>
      </c>
      <c r="Y1984">
        <v>0</v>
      </c>
      <c r="Z1984">
        <v>0</v>
      </c>
      <c r="AA1984">
        <v>9</v>
      </c>
      <c r="AB1984">
        <v>9</v>
      </c>
      <c r="AC1984" t="s">
        <v>310</v>
      </c>
      <c r="AD1984">
        <v>9</v>
      </c>
      <c r="AE1984" t="s">
        <v>1388</v>
      </c>
      <c r="AF1984">
        <v>20000000</v>
      </c>
      <c r="AG1984" t="s">
        <v>310</v>
      </c>
      <c r="AH1984">
        <f>SUM((MID(Dyno_Data[[#This Row],[Team]],4,5))+(Dyno_Data[[#This Row],[Match]]/100))</f>
        <v>6401.39</v>
      </c>
      <c r="AI1984" s="76">
        <f>ROUND(SUM(IF(Dyno_Data[[#This Row],[AcqCenter]]&gt;0,Dyno_Data[[#This Row],[Time]]-SUMIFS(Dyno_Data[Time],Dyno_Data[Team],Dyno_Data[[#This Row],[Team]],Dyno_Data[RecordType],"StartMatch",Dyno_Data[Match],Dyno_Data[[#This Row],[Match]]),0)*86400),0)</f>
        <v>0</v>
      </c>
    </row>
    <row r="1985" spans="1:35" x14ac:dyDescent="0.3">
      <c r="A1985">
        <v>1978</v>
      </c>
      <c r="B1985" t="s">
        <v>1300</v>
      </c>
      <c r="C1985">
        <v>39</v>
      </c>
      <c r="D1985" s="105">
        <v>45373.641695983795</v>
      </c>
      <c r="E1985" t="s">
        <v>312</v>
      </c>
      <c r="F1985" t="s">
        <v>309</v>
      </c>
      <c r="G1985">
        <v>0</v>
      </c>
      <c r="H1985" t="s">
        <v>315</v>
      </c>
      <c r="I1985">
        <v>0</v>
      </c>
      <c r="J1985">
        <v>0</v>
      </c>
      <c r="K1985">
        <v>0</v>
      </c>
      <c r="L1985" t="s">
        <v>240</v>
      </c>
      <c r="M1985" t="s">
        <v>1398</v>
      </c>
      <c r="N1985">
        <v>0</v>
      </c>
      <c r="O1985" t="s">
        <v>319</v>
      </c>
      <c r="P1985" t="s">
        <v>310</v>
      </c>
      <c r="Q1985" t="s">
        <v>310</v>
      </c>
      <c r="R1985" t="s">
        <v>310</v>
      </c>
      <c r="S1985">
        <v>9</v>
      </c>
      <c r="T1985" t="s">
        <v>310</v>
      </c>
      <c r="U1985">
        <v>9</v>
      </c>
      <c r="V1985">
        <v>9</v>
      </c>
      <c r="W1985">
        <v>0</v>
      </c>
      <c r="X1985">
        <v>0</v>
      </c>
      <c r="Y1985">
        <v>0</v>
      </c>
      <c r="Z1985">
        <v>0</v>
      </c>
      <c r="AA1985">
        <v>9</v>
      </c>
      <c r="AB1985">
        <v>9</v>
      </c>
      <c r="AC1985" t="s">
        <v>310</v>
      </c>
      <c r="AD1985">
        <v>9</v>
      </c>
      <c r="AE1985" t="s">
        <v>1414</v>
      </c>
      <c r="AF1985">
        <v>10000000</v>
      </c>
      <c r="AG1985" t="s">
        <v>310</v>
      </c>
      <c r="AH1985">
        <f>SUM((MID(Dyno_Data[[#This Row],[Team]],4,5))+(Dyno_Data[[#This Row],[Match]]/100))</f>
        <v>3044.39</v>
      </c>
      <c r="AI1985" s="76">
        <f>ROUND(SUM(IF(Dyno_Data[[#This Row],[AcqCenter]]&gt;0,Dyno_Data[[#This Row],[Time]]-SUMIFS(Dyno_Data[Time],Dyno_Data[Team],Dyno_Data[[#This Row],[Team]],Dyno_Data[RecordType],"StartMatch",Dyno_Data[Match],Dyno_Data[[#This Row],[Match]]),0)*86400),0)</f>
        <v>0</v>
      </c>
    </row>
    <row r="1986" spans="1:35" x14ac:dyDescent="0.3">
      <c r="A1986">
        <v>1979</v>
      </c>
      <c r="B1986" t="s">
        <v>1312</v>
      </c>
      <c r="C1986">
        <v>39</v>
      </c>
      <c r="D1986" s="105">
        <v>45373.641698182873</v>
      </c>
      <c r="E1986" t="s">
        <v>312</v>
      </c>
      <c r="F1986" t="s">
        <v>309</v>
      </c>
      <c r="G1986">
        <v>0</v>
      </c>
      <c r="H1986" t="s">
        <v>315</v>
      </c>
      <c r="I1986">
        <v>0</v>
      </c>
      <c r="J1986">
        <v>0</v>
      </c>
      <c r="K1986">
        <v>0</v>
      </c>
      <c r="L1986" t="s">
        <v>240</v>
      </c>
      <c r="M1986" t="s">
        <v>1398</v>
      </c>
      <c r="N1986">
        <v>0</v>
      </c>
      <c r="O1986" t="s">
        <v>1389</v>
      </c>
      <c r="P1986" t="s">
        <v>310</v>
      </c>
      <c r="Q1986" t="s">
        <v>310</v>
      </c>
      <c r="R1986" t="s">
        <v>310</v>
      </c>
      <c r="S1986">
        <v>9</v>
      </c>
      <c r="T1986" t="s">
        <v>310</v>
      </c>
      <c r="U1986">
        <v>9</v>
      </c>
      <c r="V1986">
        <v>9</v>
      </c>
      <c r="W1986">
        <v>0</v>
      </c>
      <c r="X1986">
        <v>0</v>
      </c>
      <c r="Y1986">
        <v>0</v>
      </c>
      <c r="Z1986">
        <v>0</v>
      </c>
      <c r="AA1986">
        <v>9</v>
      </c>
      <c r="AB1986">
        <v>9</v>
      </c>
      <c r="AC1986" t="s">
        <v>310</v>
      </c>
      <c r="AD1986">
        <v>9</v>
      </c>
      <c r="AE1986" t="s">
        <v>1412</v>
      </c>
      <c r="AF1986">
        <v>20000000</v>
      </c>
      <c r="AG1986" t="s">
        <v>310</v>
      </c>
      <c r="AH1986">
        <f>SUM((MID(Dyno_Data[[#This Row],[Team]],4,5))+(Dyno_Data[[#This Row],[Match]]/100))</f>
        <v>2053.39</v>
      </c>
      <c r="AI1986" s="76">
        <f>ROUND(SUM(IF(Dyno_Data[[#This Row],[AcqCenter]]&gt;0,Dyno_Data[[#This Row],[Time]]-SUMIFS(Dyno_Data[Time],Dyno_Data[Team],Dyno_Data[[#This Row],[Team]],Dyno_Data[RecordType],"StartMatch",Dyno_Data[Match],Dyno_Data[[#This Row],[Match]]),0)*86400),0)</f>
        <v>0</v>
      </c>
    </row>
    <row r="1987" spans="1:35" x14ac:dyDescent="0.3">
      <c r="A1987">
        <v>1980</v>
      </c>
      <c r="B1987" t="s">
        <v>1300</v>
      </c>
      <c r="C1987">
        <v>39</v>
      </c>
      <c r="D1987" s="105">
        <v>45373.641706828705</v>
      </c>
      <c r="E1987" t="s">
        <v>312</v>
      </c>
      <c r="F1987" t="s">
        <v>309</v>
      </c>
      <c r="G1987">
        <v>0</v>
      </c>
      <c r="H1987" t="s">
        <v>315</v>
      </c>
      <c r="I1987">
        <v>0</v>
      </c>
      <c r="J1987">
        <v>0</v>
      </c>
      <c r="K1987">
        <v>0</v>
      </c>
      <c r="L1987" t="s">
        <v>240</v>
      </c>
      <c r="M1987" t="s">
        <v>1398</v>
      </c>
      <c r="N1987">
        <v>0</v>
      </c>
      <c r="O1987" t="s">
        <v>319</v>
      </c>
      <c r="P1987" t="s">
        <v>310</v>
      </c>
      <c r="Q1987" t="s">
        <v>310</v>
      </c>
      <c r="R1987" t="s">
        <v>310</v>
      </c>
      <c r="S1987">
        <v>9</v>
      </c>
      <c r="T1987" t="s">
        <v>310</v>
      </c>
      <c r="U1987">
        <v>9</v>
      </c>
      <c r="V1987">
        <v>9</v>
      </c>
      <c r="W1987">
        <v>0</v>
      </c>
      <c r="X1987">
        <v>0</v>
      </c>
      <c r="Y1987">
        <v>0</v>
      </c>
      <c r="Z1987">
        <v>0</v>
      </c>
      <c r="AA1987">
        <v>9</v>
      </c>
      <c r="AB1987">
        <v>9</v>
      </c>
      <c r="AC1987" t="s">
        <v>310</v>
      </c>
      <c r="AD1987">
        <v>9</v>
      </c>
      <c r="AE1987" t="s">
        <v>1414</v>
      </c>
      <c r="AF1987">
        <v>20000000</v>
      </c>
      <c r="AG1987" t="s">
        <v>310</v>
      </c>
      <c r="AH1987">
        <f>SUM((MID(Dyno_Data[[#This Row],[Team]],4,5))+(Dyno_Data[[#This Row],[Match]]/100))</f>
        <v>3044.39</v>
      </c>
      <c r="AI1987" s="76">
        <f>ROUND(SUM(IF(Dyno_Data[[#This Row],[AcqCenter]]&gt;0,Dyno_Data[[#This Row],[Time]]-SUMIFS(Dyno_Data[Time],Dyno_Data[Team],Dyno_Data[[#This Row],[Team]],Dyno_Data[RecordType],"StartMatch",Dyno_Data[Match],Dyno_Data[[#This Row],[Match]]),0)*86400),0)</f>
        <v>0</v>
      </c>
    </row>
    <row r="1988" spans="1:35" x14ac:dyDescent="0.3">
      <c r="A1988">
        <v>1981</v>
      </c>
      <c r="B1988" t="s">
        <v>368</v>
      </c>
      <c r="C1988">
        <v>39</v>
      </c>
      <c r="D1988" s="105">
        <v>45373.641738854167</v>
      </c>
      <c r="E1988" t="s">
        <v>312</v>
      </c>
      <c r="F1988" t="s">
        <v>309</v>
      </c>
      <c r="G1988">
        <v>0</v>
      </c>
      <c r="H1988" t="s">
        <v>315</v>
      </c>
      <c r="I1988">
        <v>0</v>
      </c>
      <c r="J1988">
        <v>0</v>
      </c>
      <c r="K1988">
        <v>0</v>
      </c>
      <c r="L1988" t="s">
        <v>241</v>
      </c>
      <c r="M1988" t="s">
        <v>1398</v>
      </c>
      <c r="N1988">
        <v>1</v>
      </c>
      <c r="O1988" t="s">
        <v>311</v>
      </c>
      <c r="P1988" t="s">
        <v>310</v>
      </c>
      <c r="Q1988" t="s">
        <v>310</v>
      </c>
      <c r="R1988" t="s">
        <v>310</v>
      </c>
      <c r="S1988">
        <v>9</v>
      </c>
      <c r="T1988" t="s">
        <v>310</v>
      </c>
      <c r="U1988">
        <v>9</v>
      </c>
      <c r="V1988">
        <v>9</v>
      </c>
      <c r="W1988">
        <v>0</v>
      </c>
      <c r="X1988">
        <v>0</v>
      </c>
      <c r="Y1988">
        <v>0</v>
      </c>
      <c r="Z1988">
        <v>0</v>
      </c>
      <c r="AA1988">
        <v>9</v>
      </c>
      <c r="AB1988">
        <v>9</v>
      </c>
      <c r="AC1988" t="s">
        <v>310</v>
      </c>
      <c r="AD1988">
        <v>9</v>
      </c>
      <c r="AE1988" t="s">
        <v>1388</v>
      </c>
      <c r="AF1988">
        <v>30000000</v>
      </c>
      <c r="AG1988" t="s">
        <v>310</v>
      </c>
      <c r="AH1988">
        <f>SUM((MID(Dyno_Data[[#This Row],[Team]],4,5))+(Dyno_Data[[#This Row],[Match]]/100))</f>
        <v>6401.39</v>
      </c>
      <c r="AI1988" s="76">
        <f>ROUND(SUM(IF(Dyno_Data[[#This Row],[AcqCenter]]&gt;0,Dyno_Data[[#This Row],[Time]]-SUMIFS(Dyno_Data[Time],Dyno_Data[Team],Dyno_Data[[#This Row],[Team]],Dyno_Data[RecordType],"StartMatch",Dyno_Data[Match],Dyno_Data[[#This Row],[Match]]),0)*86400),0)</f>
        <v>0</v>
      </c>
    </row>
    <row r="1989" spans="1:35" x14ac:dyDescent="0.3">
      <c r="A1989">
        <v>1983</v>
      </c>
      <c r="B1989" t="s">
        <v>1312</v>
      </c>
      <c r="C1989">
        <v>39</v>
      </c>
      <c r="D1989" s="105">
        <v>45373.64174540509</v>
      </c>
      <c r="E1989" t="s">
        <v>312</v>
      </c>
      <c r="F1989" t="s">
        <v>309</v>
      </c>
      <c r="G1989">
        <v>0</v>
      </c>
      <c r="H1989" t="s">
        <v>143</v>
      </c>
      <c r="I1989">
        <v>3</v>
      </c>
      <c r="J1989">
        <v>1</v>
      </c>
      <c r="K1989">
        <v>0</v>
      </c>
      <c r="L1989" t="s">
        <v>310</v>
      </c>
      <c r="M1989" t="s">
        <v>310</v>
      </c>
      <c r="N1989">
        <v>0</v>
      </c>
      <c r="O1989" t="s">
        <v>1389</v>
      </c>
      <c r="P1989" t="s">
        <v>310</v>
      </c>
      <c r="Q1989" t="s">
        <v>310</v>
      </c>
      <c r="R1989" t="s">
        <v>310</v>
      </c>
      <c r="S1989">
        <v>9</v>
      </c>
      <c r="T1989" t="s">
        <v>310</v>
      </c>
      <c r="U1989">
        <v>9</v>
      </c>
      <c r="V1989">
        <v>9</v>
      </c>
      <c r="W1989">
        <v>0</v>
      </c>
      <c r="X1989">
        <v>0</v>
      </c>
      <c r="Y1989">
        <v>0</v>
      </c>
      <c r="Z1989">
        <v>0</v>
      </c>
      <c r="AA1989">
        <v>9</v>
      </c>
      <c r="AB1989">
        <v>9</v>
      </c>
      <c r="AC1989" t="s">
        <v>310</v>
      </c>
      <c r="AD1989">
        <v>9</v>
      </c>
      <c r="AE1989" t="s">
        <v>1412</v>
      </c>
      <c r="AF1989">
        <v>20000000</v>
      </c>
      <c r="AG1989" t="s">
        <v>310</v>
      </c>
      <c r="AH1989">
        <f>SUM((MID(Dyno_Data[[#This Row],[Team]],4,5))+(Dyno_Data[[#This Row],[Match]]/100))</f>
        <v>2053.39</v>
      </c>
      <c r="AI1989" s="76">
        <f>ROUND(SUM(IF(Dyno_Data[[#This Row],[AcqCenter]]&gt;0,Dyno_Data[[#This Row],[Time]]-SUMIFS(Dyno_Data[Time],Dyno_Data[Team],Dyno_Data[[#This Row],[Team]],Dyno_Data[RecordType],"StartMatch",Dyno_Data[Match],Dyno_Data[[#This Row],[Match]]),0)*86400),0)</f>
        <v>15</v>
      </c>
    </row>
    <row r="1990" spans="1:35" x14ac:dyDescent="0.3">
      <c r="A1990">
        <v>1982</v>
      </c>
      <c r="B1990" t="s">
        <v>1300</v>
      </c>
      <c r="C1990">
        <v>39</v>
      </c>
      <c r="D1990" s="105">
        <v>45373.641757673613</v>
      </c>
      <c r="E1990" t="s">
        <v>312</v>
      </c>
      <c r="F1990" t="s">
        <v>309</v>
      </c>
      <c r="G1990">
        <v>0</v>
      </c>
      <c r="H1990" t="s">
        <v>315</v>
      </c>
      <c r="I1990">
        <v>0</v>
      </c>
      <c r="J1990">
        <v>0</v>
      </c>
      <c r="K1990">
        <v>0</v>
      </c>
      <c r="L1990" t="s">
        <v>241</v>
      </c>
      <c r="M1990" t="s">
        <v>1398</v>
      </c>
      <c r="N1990">
        <v>1</v>
      </c>
      <c r="O1990" t="s">
        <v>319</v>
      </c>
      <c r="P1990" t="s">
        <v>310</v>
      </c>
      <c r="Q1990" t="s">
        <v>310</v>
      </c>
      <c r="R1990" t="s">
        <v>310</v>
      </c>
      <c r="S1990">
        <v>9</v>
      </c>
      <c r="T1990" t="s">
        <v>310</v>
      </c>
      <c r="U1990">
        <v>9</v>
      </c>
      <c r="V1990">
        <v>9</v>
      </c>
      <c r="W1990">
        <v>0</v>
      </c>
      <c r="X1990">
        <v>0</v>
      </c>
      <c r="Y1990">
        <v>0</v>
      </c>
      <c r="Z1990">
        <v>0</v>
      </c>
      <c r="AA1990">
        <v>9</v>
      </c>
      <c r="AB1990">
        <v>9</v>
      </c>
      <c r="AC1990" t="s">
        <v>310</v>
      </c>
      <c r="AD1990">
        <v>9</v>
      </c>
      <c r="AE1990" t="s">
        <v>1414</v>
      </c>
      <c r="AF1990">
        <v>30000000</v>
      </c>
      <c r="AG1990" t="s">
        <v>310</v>
      </c>
      <c r="AH1990">
        <f>SUM((MID(Dyno_Data[[#This Row],[Team]],4,5))+(Dyno_Data[[#This Row],[Match]]/100))</f>
        <v>3044.39</v>
      </c>
      <c r="AI1990" s="76">
        <f>ROUND(SUM(IF(Dyno_Data[[#This Row],[AcqCenter]]&gt;0,Dyno_Data[[#This Row],[Time]]-SUMIFS(Dyno_Data[Time],Dyno_Data[Team],Dyno_Data[[#This Row],[Team]],Dyno_Data[RecordType],"StartMatch",Dyno_Data[Match],Dyno_Data[[#This Row],[Match]]),0)*86400),0)</f>
        <v>0</v>
      </c>
    </row>
    <row r="1991" spans="1:35" x14ac:dyDescent="0.3">
      <c r="A1991">
        <v>1985</v>
      </c>
      <c r="B1991" t="s">
        <v>1282</v>
      </c>
      <c r="C1991">
        <v>39</v>
      </c>
      <c r="D1991" s="105">
        <v>45373.641773692128</v>
      </c>
      <c r="E1991" t="s">
        <v>314</v>
      </c>
      <c r="F1991" t="s">
        <v>309</v>
      </c>
      <c r="G1991">
        <v>1</v>
      </c>
      <c r="H1991" t="s">
        <v>310</v>
      </c>
      <c r="I1991">
        <v>0</v>
      </c>
      <c r="J1991">
        <v>0</v>
      </c>
      <c r="K1991">
        <v>0</v>
      </c>
      <c r="L1991" t="s">
        <v>310</v>
      </c>
      <c r="M1991" t="s">
        <v>310</v>
      </c>
      <c r="N1991">
        <v>0</v>
      </c>
      <c r="O1991" t="s">
        <v>1391</v>
      </c>
      <c r="P1991" t="s">
        <v>1401</v>
      </c>
      <c r="Q1991" t="s">
        <v>1399</v>
      </c>
      <c r="R1991" t="s">
        <v>310</v>
      </c>
      <c r="S1991">
        <v>9</v>
      </c>
      <c r="T1991" t="s">
        <v>310</v>
      </c>
      <c r="U1991">
        <v>9</v>
      </c>
      <c r="V1991">
        <v>9</v>
      </c>
      <c r="W1991">
        <v>0</v>
      </c>
      <c r="X1991">
        <v>0</v>
      </c>
      <c r="Y1991">
        <v>0</v>
      </c>
      <c r="Z1991">
        <v>0</v>
      </c>
      <c r="AA1991">
        <v>9</v>
      </c>
      <c r="AB1991">
        <v>9</v>
      </c>
      <c r="AC1991" t="s">
        <v>310</v>
      </c>
      <c r="AD1991">
        <v>9</v>
      </c>
      <c r="AE1991" t="s">
        <v>1390</v>
      </c>
      <c r="AF1991">
        <v>0</v>
      </c>
      <c r="AG1991" t="s">
        <v>310</v>
      </c>
      <c r="AH1991">
        <f>SUM((MID(Dyno_Data[[#This Row],[Team]],4,5))+(Dyno_Data[[#This Row],[Match]]/100))</f>
        <v>333.39</v>
      </c>
      <c r="AI1991" s="76">
        <f>ROUND(SUM(IF(Dyno_Data[[#This Row],[AcqCenter]]&gt;0,Dyno_Data[[#This Row],[Time]]-SUMIFS(Dyno_Data[Time],Dyno_Data[Team],Dyno_Data[[#This Row],[Team]],Dyno_Data[RecordType],"StartMatch",Dyno_Data[Match],Dyno_Data[[#This Row],[Match]]),0)*86400),0)</f>
        <v>0</v>
      </c>
    </row>
    <row r="1992" spans="1:35" x14ac:dyDescent="0.3">
      <c r="A1992">
        <v>1987</v>
      </c>
      <c r="B1992" t="s">
        <v>369</v>
      </c>
      <c r="C1992">
        <v>39</v>
      </c>
      <c r="D1992" s="105">
        <v>45373.64177800926</v>
      </c>
      <c r="E1992" t="s">
        <v>314</v>
      </c>
      <c r="F1992" t="s">
        <v>309</v>
      </c>
      <c r="G1992">
        <v>1</v>
      </c>
      <c r="H1992" t="s">
        <v>310</v>
      </c>
      <c r="I1992">
        <v>0</v>
      </c>
      <c r="J1992">
        <v>0</v>
      </c>
      <c r="K1992">
        <v>0</v>
      </c>
      <c r="L1992" t="s">
        <v>310</v>
      </c>
      <c r="M1992" t="s">
        <v>310</v>
      </c>
      <c r="N1992">
        <v>0</v>
      </c>
      <c r="O1992" t="s">
        <v>1395</v>
      </c>
      <c r="P1992" t="s">
        <v>320</v>
      </c>
      <c r="Q1992" t="s">
        <v>1400</v>
      </c>
      <c r="R1992" t="s">
        <v>310</v>
      </c>
      <c r="S1992">
        <v>9</v>
      </c>
      <c r="T1992" t="s">
        <v>310</v>
      </c>
      <c r="U1992">
        <v>9</v>
      </c>
      <c r="V1992">
        <v>9</v>
      </c>
      <c r="W1992">
        <v>0</v>
      </c>
      <c r="X1992">
        <v>0</v>
      </c>
      <c r="Y1992">
        <v>0</v>
      </c>
      <c r="Z1992">
        <v>0</v>
      </c>
      <c r="AA1992">
        <v>9</v>
      </c>
      <c r="AB1992">
        <v>9</v>
      </c>
      <c r="AC1992" t="s">
        <v>310</v>
      </c>
      <c r="AD1992">
        <v>9</v>
      </c>
      <c r="AE1992" t="s">
        <v>1413</v>
      </c>
      <c r="AF1992">
        <v>0</v>
      </c>
      <c r="AG1992" t="s">
        <v>310</v>
      </c>
      <c r="AH1992">
        <f>SUM((MID(Dyno_Data[[#This Row],[Team]],4,5))+(Dyno_Data[[#This Row],[Match]]/100))</f>
        <v>6463.39</v>
      </c>
      <c r="AI1992" s="76">
        <f>ROUND(SUM(IF(Dyno_Data[[#This Row],[AcqCenter]]&gt;0,Dyno_Data[[#This Row],[Time]]-SUMIFS(Dyno_Data[Time],Dyno_Data[Team],Dyno_Data[[#This Row],[Team]],Dyno_Data[RecordType],"StartMatch",Dyno_Data[Match],Dyno_Data[[#This Row],[Match]]),0)*86400),0)</f>
        <v>0</v>
      </c>
    </row>
    <row r="1993" spans="1:35" x14ac:dyDescent="0.3">
      <c r="A1993">
        <v>1989</v>
      </c>
      <c r="B1993" t="s">
        <v>1276</v>
      </c>
      <c r="C1993">
        <v>39</v>
      </c>
      <c r="D1993" s="105">
        <v>45373.641779432874</v>
      </c>
      <c r="E1993" t="s">
        <v>314</v>
      </c>
      <c r="F1993" t="s">
        <v>309</v>
      </c>
      <c r="G1993">
        <v>1</v>
      </c>
      <c r="H1993" t="s">
        <v>310</v>
      </c>
      <c r="I1993">
        <v>0</v>
      </c>
      <c r="J1993">
        <v>0</v>
      </c>
      <c r="K1993">
        <v>0</v>
      </c>
      <c r="L1993" t="s">
        <v>310</v>
      </c>
      <c r="M1993" t="s">
        <v>310</v>
      </c>
      <c r="N1993">
        <v>0</v>
      </c>
      <c r="O1993" t="s">
        <v>1393</v>
      </c>
      <c r="P1993" t="s">
        <v>320</v>
      </c>
      <c r="Q1993" t="s">
        <v>1399</v>
      </c>
      <c r="R1993" t="s">
        <v>310</v>
      </c>
      <c r="S1993">
        <v>9</v>
      </c>
      <c r="T1993" t="s">
        <v>310</v>
      </c>
      <c r="U1993">
        <v>9</v>
      </c>
      <c r="V1993">
        <v>9</v>
      </c>
      <c r="W1993">
        <v>0</v>
      </c>
      <c r="X1993">
        <v>0</v>
      </c>
      <c r="Y1993">
        <v>0</v>
      </c>
      <c r="Z1993">
        <v>0</v>
      </c>
      <c r="AA1993">
        <v>9</v>
      </c>
      <c r="AB1993">
        <v>9</v>
      </c>
      <c r="AC1993" t="s">
        <v>310</v>
      </c>
      <c r="AD1993">
        <v>9</v>
      </c>
      <c r="AE1993" t="s">
        <v>1396</v>
      </c>
      <c r="AF1993">
        <v>0</v>
      </c>
      <c r="AG1993" t="s">
        <v>310</v>
      </c>
      <c r="AH1993">
        <f>SUM((MID(Dyno_Data[[#This Row],[Team]],4,5))+(Dyno_Data[[#This Row],[Match]]/100))</f>
        <v>229.39</v>
      </c>
      <c r="AI1993" s="76">
        <f>ROUND(SUM(IF(Dyno_Data[[#This Row],[AcqCenter]]&gt;0,Dyno_Data[[#This Row],[Time]]-SUMIFS(Dyno_Data[Time],Dyno_Data[Team],Dyno_Data[[#This Row],[Team]],Dyno_Data[RecordType],"StartMatch",Dyno_Data[Match],Dyno_Data[[#This Row],[Match]]),0)*86400),0)</f>
        <v>0</v>
      </c>
    </row>
    <row r="1994" spans="1:35" x14ac:dyDescent="0.3">
      <c r="A1994">
        <v>1991</v>
      </c>
      <c r="B1994" t="s">
        <v>1312</v>
      </c>
      <c r="C1994">
        <v>39</v>
      </c>
      <c r="D1994" s="105">
        <v>45373.641779513891</v>
      </c>
      <c r="E1994" t="s">
        <v>314</v>
      </c>
      <c r="F1994" t="s">
        <v>309</v>
      </c>
      <c r="G1994">
        <v>1</v>
      </c>
      <c r="H1994" t="s">
        <v>310</v>
      </c>
      <c r="I1994">
        <v>0</v>
      </c>
      <c r="J1994">
        <v>0</v>
      </c>
      <c r="K1994">
        <v>0</v>
      </c>
      <c r="L1994" t="s">
        <v>310</v>
      </c>
      <c r="M1994" t="s">
        <v>310</v>
      </c>
      <c r="N1994">
        <v>0</v>
      </c>
      <c r="O1994" t="s">
        <v>1389</v>
      </c>
      <c r="P1994" t="s">
        <v>240</v>
      </c>
      <c r="Q1994" t="s">
        <v>1400</v>
      </c>
      <c r="R1994" t="s">
        <v>310</v>
      </c>
      <c r="S1994">
        <v>9</v>
      </c>
      <c r="T1994" t="s">
        <v>310</v>
      </c>
      <c r="U1994">
        <v>9</v>
      </c>
      <c r="V1994">
        <v>9</v>
      </c>
      <c r="W1994">
        <v>0</v>
      </c>
      <c r="X1994">
        <v>0</v>
      </c>
      <c r="Y1994">
        <v>0</v>
      </c>
      <c r="Z1994">
        <v>0</v>
      </c>
      <c r="AA1994">
        <v>9</v>
      </c>
      <c r="AB1994">
        <v>9</v>
      </c>
      <c r="AC1994" t="s">
        <v>310</v>
      </c>
      <c r="AD1994">
        <v>9</v>
      </c>
      <c r="AE1994" t="s">
        <v>1412</v>
      </c>
      <c r="AF1994">
        <v>20000000</v>
      </c>
      <c r="AG1994" t="s">
        <v>310</v>
      </c>
      <c r="AH1994">
        <f>SUM((MID(Dyno_Data[[#This Row],[Team]],4,5))+(Dyno_Data[[#This Row],[Match]]/100))</f>
        <v>2053.39</v>
      </c>
      <c r="AI1994" s="76">
        <f>ROUND(SUM(IF(Dyno_Data[[#This Row],[AcqCenter]]&gt;0,Dyno_Data[[#This Row],[Time]]-SUMIFS(Dyno_Data[Time],Dyno_Data[Team],Dyno_Data[[#This Row],[Team]],Dyno_Data[RecordType],"StartMatch",Dyno_Data[Match],Dyno_Data[[#This Row],[Match]]),0)*86400),0)</f>
        <v>0</v>
      </c>
    </row>
    <row r="1995" spans="1:35" x14ac:dyDescent="0.3">
      <c r="A1995">
        <v>1993</v>
      </c>
      <c r="B1995" t="s">
        <v>368</v>
      </c>
      <c r="C1995">
        <v>39</v>
      </c>
      <c r="D1995" s="105">
        <v>45373.641784490741</v>
      </c>
      <c r="E1995" t="s">
        <v>314</v>
      </c>
      <c r="F1995" t="s">
        <v>309</v>
      </c>
      <c r="G1995">
        <v>1</v>
      </c>
      <c r="H1995" t="s">
        <v>310</v>
      </c>
      <c r="I1995">
        <v>0</v>
      </c>
      <c r="J1995">
        <v>0</v>
      </c>
      <c r="K1995">
        <v>0</v>
      </c>
      <c r="L1995" t="s">
        <v>310</v>
      </c>
      <c r="M1995" t="s">
        <v>310</v>
      </c>
      <c r="N1995">
        <v>0</v>
      </c>
      <c r="O1995" t="s">
        <v>311</v>
      </c>
      <c r="P1995" t="s">
        <v>101</v>
      </c>
      <c r="Q1995" t="s">
        <v>1400</v>
      </c>
      <c r="R1995" t="s">
        <v>310</v>
      </c>
      <c r="S1995">
        <v>9</v>
      </c>
      <c r="T1995" t="s">
        <v>310</v>
      </c>
      <c r="U1995">
        <v>9</v>
      </c>
      <c r="V1995">
        <v>9</v>
      </c>
      <c r="W1995">
        <v>0</v>
      </c>
      <c r="X1995">
        <v>0</v>
      </c>
      <c r="Y1995">
        <v>0</v>
      </c>
      <c r="Z1995">
        <v>0</v>
      </c>
      <c r="AA1995">
        <v>9</v>
      </c>
      <c r="AB1995">
        <v>9</v>
      </c>
      <c r="AC1995" t="s">
        <v>310</v>
      </c>
      <c r="AD1995">
        <v>9</v>
      </c>
      <c r="AE1995" t="s">
        <v>1388</v>
      </c>
      <c r="AF1995">
        <v>30000000</v>
      </c>
      <c r="AG1995" t="s">
        <v>310</v>
      </c>
      <c r="AH1995">
        <f>SUM((MID(Dyno_Data[[#This Row],[Team]],4,5))+(Dyno_Data[[#This Row],[Match]]/100))</f>
        <v>6401.39</v>
      </c>
      <c r="AI1995" s="76">
        <f>ROUND(SUM(IF(Dyno_Data[[#This Row],[AcqCenter]]&gt;0,Dyno_Data[[#This Row],[Time]]-SUMIFS(Dyno_Data[Time],Dyno_Data[Team],Dyno_Data[[#This Row],[Team]],Dyno_Data[RecordType],"StartMatch",Dyno_Data[Match],Dyno_Data[[#This Row],[Match]]),0)*86400),0)</f>
        <v>0</v>
      </c>
    </row>
    <row r="1996" spans="1:35" x14ac:dyDescent="0.3">
      <c r="A1996">
        <v>1995</v>
      </c>
      <c r="B1996" t="s">
        <v>1300</v>
      </c>
      <c r="C1996">
        <v>39</v>
      </c>
      <c r="D1996" s="105">
        <v>45373.641784571759</v>
      </c>
      <c r="E1996" t="s">
        <v>314</v>
      </c>
      <c r="F1996" t="s">
        <v>309</v>
      </c>
      <c r="G1996">
        <v>1</v>
      </c>
      <c r="H1996" t="s">
        <v>310</v>
      </c>
      <c r="I1996">
        <v>0</v>
      </c>
      <c r="J1996">
        <v>0</v>
      </c>
      <c r="K1996">
        <v>0</v>
      </c>
      <c r="L1996" t="s">
        <v>310</v>
      </c>
      <c r="M1996" t="s">
        <v>310</v>
      </c>
      <c r="N1996">
        <v>0</v>
      </c>
      <c r="O1996" t="s">
        <v>319</v>
      </c>
      <c r="P1996" t="s">
        <v>240</v>
      </c>
      <c r="Q1996" t="s">
        <v>1400</v>
      </c>
      <c r="R1996" t="s">
        <v>310</v>
      </c>
      <c r="S1996">
        <v>9</v>
      </c>
      <c r="T1996" t="s">
        <v>310</v>
      </c>
      <c r="U1996">
        <v>9</v>
      </c>
      <c r="V1996">
        <v>9</v>
      </c>
      <c r="W1996">
        <v>0</v>
      </c>
      <c r="X1996">
        <v>0</v>
      </c>
      <c r="Y1996">
        <v>0</v>
      </c>
      <c r="Z1996">
        <v>0</v>
      </c>
      <c r="AA1996">
        <v>9</v>
      </c>
      <c r="AB1996">
        <v>9</v>
      </c>
      <c r="AC1996" t="s">
        <v>310</v>
      </c>
      <c r="AD1996">
        <v>9</v>
      </c>
      <c r="AE1996" t="s">
        <v>1414</v>
      </c>
      <c r="AF1996">
        <v>30000000</v>
      </c>
      <c r="AG1996" t="s">
        <v>310</v>
      </c>
      <c r="AH1996">
        <f>SUM((MID(Dyno_Data[[#This Row],[Team]],4,5))+(Dyno_Data[[#This Row],[Match]]/100))</f>
        <v>3044.39</v>
      </c>
      <c r="AI1996" s="76">
        <f>ROUND(SUM(IF(Dyno_Data[[#This Row],[AcqCenter]]&gt;0,Dyno_Data[[#This Row],[Time]]-SUMIFS(Dyno_Data[Time],Dyno_Data[Team],Dyno_Data[[#This Row],[Team]],Dyno_Data[RecordType],"StartMatch",Dyno_Data[Match],Dyno_Data[[#This Row],[Match]]),0)*86400),0)</f>
        <v>0</v>
      </c>
    </row>
    <row r="1997" spans="1:35" x14ac:dyDescent="0.3">
      <c r="A1997">
        <v>1996</v>
      </c>
      <c r="B1997" t="s">
        <v>1312</v>
      </c>
      <c r="C1997">
        <v>39</v>
      </c>
      <c r="D1997" s="105">
        <v>45373.641832870373</v>
      </c>
      <c r="E1997" t="s">
        <v>312</v>
      </c>
      <c r="F1997" t="s">
        <v>1402</v>
      </c>
      <c r="G1997">
        <v>0</v>
      </c>
      <c r="H1997" t="s">
        <v>143</v>
      </c>
      <c r="I1997">
        <v>0</v>
      </c>
      <c r="J1997">
        <v>0</v>
      </c>
      <c r="K1997">
        <v>0</v>
      </c>
      <c r="L1997" t="s">
        <v>241</v>
      </c>
      <c r="M1997" t="s">
        <v>101</v>
      </c>
      <c r="N1997">
        <v>0</v>
      </c>
      <c r="O1997" t="s">
        <v>1389</v>
      </c>
      <c r="P1997" t="s">
        <v>310</v>
      </c>
      <c r="Q1997" t="s">
        <v>310</v>
      </c>
      <c r="R1997" t="s">
        <v>310</v>
      </c>
      <c r="S1997">
        <v>9</v>
      </c>
      <c r="T1997" t="s">
        <v>310</v>
      </c>
      <c r="U1997">
        <v>9</v>
      </c>
      <c r="V1997">
        <v>9</v>
      </c>
      <c r="W1997">
        <v>0</v>
      </c>
      <c r="X1997">
        <v>0</v>
      </c>
      <c r="Y1997">
        <v>0</v>
      </c>
      <c r="Z1997">
        <v>0</v>
      </c>
      <c r="AA1997">
        <v>9</v>
      </c>
      <c r="AB1997">
        <v>9</v>
      </c>
      <c r="AC1997" t="s">
        <v>310</v>
      </c>
      <c r="AD1997">
        <v>9</v>
      </c>
      <c r="AE1997" t="s">
        <v>1412</v>
      </c>
      <c r="AF1997">
        <v>20000000</v>
      </c>
      <c r="AG1997" t="s">
        <v>310</v>
      </c>
      <c r="AH1997">
        <f>SUM((MID(Dyno_Data[[#This Row],[Team]],4,5))+(Dyno_Data[[#This Row],[Match]]/100))</f>
        <v>2053.39</v>
      </c>
      <c r="AI1997" s="76">
        <f>ROUND(SUM(IF(Dyno_Data[[#This Row],[AcqCenter]]&gt;0,Dyno_Data[[#This Row],[Time]]-SUMIFS(Dyno_Data[Time],Dyno_Data[Team],Dyno_Data[[#This Row],[Team]],Dyno_Data[RecordType],"StartMatch",Dyno_Data[Match],Dyno_Data[[#This Row],[Match]]),0)*86400),0)</f>
        <v>0</v>
      </c>
    </row>
    <row r="1998" spans="1:35" x14ac:dyDescent="0.3">
      <c r="A1998">
        <v>1997</v>
      </c>
      <c r="B1998" t="s">
        <v>1300</v>
      </c>
      <c r="C1998">
        <v>39</v>
      </c>
      <c r="D1998" s="105">
        <v>45373.641909918981</v>
      </c>
      <c r="E1998" t="s">
        <v>312</v>
      </c>
      <c r="F1998" t="s">
        <v>1402</v>
      </c>
      <c r="G1998">
        <v>0</v>
      </c>
      <c r="H1998" t="s">
        <v>315</v>
      </c>
      <c r="I1998">
        <v>0</v>
      </c>
      <c r="J1998">
        <v>0</v>
      </c>
      <c r="K1998">
        <v>0</v>
      </c>
      <c r="L1998" t="s">
        <v>241</v>
      </c>
      <c r="M1998" t="s">
        <v>101</v>
      </c>
      <c r="N1998">
        <v>0</v>
      </c>
      <c r="O1998" t="s">
        <v>319</v>
      </c>
      <c r="P1998" t="s">
        <v>310</v>
      </c>
      <c r="Q1998" t="s">
        <v>310</v>
      </c>
      <c r="R1998" t="s">
        <v>310</v>
      </c>
      <c r="S1998">
        <v>9</v>
      </c>
      <c r="T1998" t="s">
        <v>310</v>
      </c>
      <c r="U1998">
        <v>9</v>
      </c>
      <c r="V1998">
        <v>9</v>
      </c>
      <c r="W1998">
        <v>0</v>
      </c>
      <c r="X1998">
        <v>0</v>
      </c>
      <c r="Y1998">
        <v>0</v>
      </c>
      <c r="Z1998">
        <v>0</v>
      </c>
      <c r="AA1998">
        <v>9</v>
      </c>
      <c r="AB1998">
        <v>9</v>
      </c>
      <c r="AC1998" t="s">
        <v>310</v>
      </c>
      <c r="AD1998">
        <v>9</v>
      </c>
      <c r="AE1998" t="s">
        <v>1414</v>
      </c>
      <c r="AF1998">
        <v>40000000</v>
      </c>
      <c r="AG1998" t="s">
        <v>310</v>
      </c>
      <c r="AH1998">
        <f>SUM((MID(Dyno_Data[[#This Row],[Team]],4,5))+(Dyno_Data[[#This Row],[Match]]/100))</f>
        <v>3044.39</v>
      </c>
      <c r="AI1998" s="76">
        <f>ROUND(SUM(IF(Dyno_Data[[#This Row],[AcqCenter]]&gt;0,Dyno_Data[[#This Row],[Time]]-SUMIFS(Dyno_Data[Time],Dyno_Data[Team],Dyno_Data[[#This Row],[Team]],Dyno_Data[RecordType],"StartMatch",Dyno_Data[Match],Dyno_Data[[#This Row],[Match]]),0)*86400),0)</f>
        <v>0</v>
      </c>
    </row>
    <row r="1999" spans="1:35" x14ac:dyDescent="0.3">
      <c r="A1999">
        <v>1998</v>
      </c>
      <c r="B1999" t="s">
        <v>1312</v>
      </c>
      <c r="C1999">
        <v>39</v>
      </c>
      <c r="D1999" s="105">
        <v>45373.641913692132</v>
      </c>
      <c r="E1999" t="s">
        <v>312</v>
      </c>
      <c r="F1999" t="s">
        <v>1402</v>
      </c>
      <c r="G1999">
        <v>0</v>
      </c>
      <c r="H1999" t="s">
        <v>315</v>
      </c>
      <c r="I1999">
        <v>0</v>
      </c>
      <c r="J1999">
        <v>0</v>
      </c>
      <c r="K1999">
        <v>0</v>
      </c>
      <c r="L1999" t="s">
        <v>241</v>
      </c>
      <c r="M1999" t="s">
        <v>1398</v>
      </c>
      <c r="N1999">
        <v>0</v>
      </c>
      <c r="O1999" t="s">
        <v>1389</v>
      </c>
      <c r="P1999" t="s">
        <v>310</v>
      </c>
      <c r="Q1999" t="s">
        <v>310</v>
      </c>
      <c r="R1999" t="s">
        <v>310</v>
      </c>
      <c r="S1999">
        <v>9</v>
      </c>
      <c r="T1999" t="s">
        <v>310</v>
      </c>
      <c r="U1999">
        <v>9</v>
      </c>
      <c r="V1999">
        <v>9</v>
      </c>
      <c r="W1999">
        <v>0</v>
      </c>
      <c r="X1999">
        <v>0</v>
      </c>
      <c r="Y1999">
        <v>0</v>
      </c>
      <c r="Z1999">
        <v>0</v>
      </c>
      <c r="AA1999">
        <v>9</v>
      </c>
      <c r="AB1999">
        <v>9</v>
      </c>
      <c r="AC1999" t="s">
        <v>310</v>
      </c>
      <c r="AD1999">
        <v>9</v>
      </c>
      <c r="AE1999" t="s">
        <v>1412</v>
      </c>
      <c r="AF1999">
        <v>30000000</v>
      </c>
      <c r="AG1999" t="s">
        <v>310</v>
      </c>
      <c r="AH1999">
        <f>SUM((MID(Dyno_Data[[#This Row],[Team]],4,5))+(Dyno_Data[[#This Row],[Match]]/100))</f>
        <v>2053.39</v>
      </c>
      <c r="AI1999" s="76">
        <f>ROUND(SUM(IF(Dyno_Data[[#This Row],[AcqCenter]]&gt;0,Dyno_Data[[#This Row],[Time]]-SUMIFS(Dyno_Data[Time],Dyno_Data[Team],Dyno_Data[[#This Row],[Team]],Dyno_Data[RecordType],"StartMatch",Dyno_Data[Match],Dyno_Data[[#This Row],[Match]]),0)*86400),0)</f>
        <v>0</v>
      </c>
    </row>
    <row r="2000" spans="1:35" x14ac:dyDescent="0.3">
      <c r="A2000">
        <v>1999</v>
      </c>
      <c r="B2000" t="s">
        <v>1300</v>
      </c>
      <c r="C2000">
        <v>39</v>
      </c>
      <c r="D2000" s="105">
        <v>45373.641975196762</v>
      </c>
      <c r="E2000" t="s">
        <v>312</v>
      </c>
      <c r="F2000" t="s">
        <v>1402</v>
      </c>
      <c r="G2000">
        <v>0</v>
      </c>
      <c r="H2000" t="s">
        <v>315</v>
      </c>
      <c r="I2000">
        <v>0</v>
      </c>
      <c r="J2000">
        <v>0</v>
      </c>
      <c r="K2000">
        <v>0</v>
      </c>
      <c r="L2000" t="s">
        <v>241</v>
      </c>
      <c r="M2000" t="s">
        <v>1398</v>
      </c>
      <c r="N2000">
        <v>0</v>
      </c>
      <c r="O2000" t="s">
        <v>319</v>
      </c>
      <c r="P2000" t="s">
        <v>310</v>
      </c>
      <c r="Q2000" t="s">
        <v>310</v>
      </c>
      <c r="R2000" t="s">
        <v>310</v>
      </c>
      <c r="S2000">
        <v>9</v>
      </c>
      <c r="T2000" t="s">
        <v>310</v>
      </c>
      <c r="U2000">
        <v>9</v>
      </c>
      <c r="V2000">
        <v>9</v>
      </c>
      <c r="W2000">
        <v>0</v>
      </c>
      <c r="X2000">
        <v>0</v>
      </c>
      <c r="Y2000">
        <v>0</v>
      </c>
      <c r="Z2000">
        <v>0</v>
      </c>
      <c r="AA2000">
        <v>9</v>
      </c>
      <c r="AB2000">
        <v>9</v>
      </c>
      <c r="AC2000" t="s">
        <v>310</v>
      </c>
      <c r="AD2000">
        <v>9</v>
      </c>
      <c r="AE2000" t="s">
        <v>1414</v>
      </c>
      <c r="AF2000">
        <v>50000000</v>
      </c>
      <c r="AG2000" t="s">
        <v>310</v>
      </c>
      <c r="AH2000">
        <f>SUM((MID(Dyno_Data[[#This Row],[Team]],4,5))+(Dyno_Data[[#This Row],[Match]]/100))</f>
        <v>3044.39</v>
      </c>
      <c r="AI2000" s="76">
        <f>ROUND(SUM(IF(Dyno_Data[[#This Row],[AcqCenter]]&gt;0,Dyno_Data[[#This Row],[Time]]-SUMIFS(Dyno_Data[Time],Dyno_Data[Team],Dyno_Data[[#This Row],[Team]],Dyno_Data[RecordType],"StartMatch",Dyno_Data[Match],Dyno_Data[[#This Row],[Match]]),0)*86400),0)</f>
        <v>0</v>
      </c>
    </row>
    <row r="2001" spans="1:35" x14ac:dyDescent="0.3">
      <c r="A2001">
        <v>2000</v>
      </c>
      <c r="B2001" t="s">
        <v>1312</v>
      </c>
      <c r="C2001">
        <v>39</v>
      </c>
      <c r="D2001" s="105">
        <v>45373.64201246528</v>
      </c>
      <c r="E2001" t="s">
        <v>312</v>
      </c>
      <c r="F2001" t="s">
        <v>1402</v>
      </c>
      <c r="G2001">
        <v>0</v>
      </c>
      <c r="H2001" t="s">
        <v>315</v>
      </c>
      <c r="I2001">
        <v>0</v>
      </c>
      <c r="J2001">
        <v>0</v>
      </c>
      <c r="K2001">
        <v>0</v>
      </c>
      <c r="L2001" t="s">
        <v>241</v>
      </c>
      <c r="M2001" t="s">
        <v>1398</v>
      </c>
      <c r="N2001">
        <v>0</v>
      </c>
      <c r="O2001" t="s">
        <v>1389</v>
      </c>
      <c r="P2001" t="s">
        <v>310</v>
      </c>
      <c r="Q2001" t="s">
        <v>310</v>
      </c>
      <c r="R2001" t="s">
        <v>310</v>
      </c>
      <c r="S2001">
        <v>9</v>
      </c>
      <c r="T2001" t="s">
        <v>310</v>
      </c>
      <c r="U2001">
        <v>9</v>
      </c>
      <c r="V2001">
        <v>9</v>
      </c>
      <c r="W2001">
        <v>0</v>
      </c>
      <c r="X2001">
        <v>0</v>
      </c>
      <c r="Y2001">
        <v>0</v>
      </c>
      <c r="Z2001">
        <v>0</v>
      </c>
      <c r="AA2001">
        <v>9</v>
      </c>
      <c r="AB2001">
        <v>9</v>
      </c>
      <c r="AC2001" t="s">
        <v>310</v>
      </c>
      <c r="AD2001">
        <v>9</v>
      </c>
      <c r="AE2001" t="s">
        <v>1412</v>
      </c>
      <c r="AF2001">
        <v>40000000</v>
      </c>
      <c r="AG2001" t="s">
        <v>310</v>
      </c>
      <c r="AH2001">
        <f>SUM((MID(Dyno_Data[[#This Row],[Team]],4,5))+(Dyno_Data[[#This Row],[Match]]/100))</f>
        <v>2053.39</v>
      </c>
      <c r="AI2001" s="76">
        <f>ROUND(SUM(IF(Dyno_Data[[#This Row],[AcqCenter]]&gt;0,Dyno_Data[[#This Row],[Time]]-SUMIFS(Dyno_Data[Time],Dyno_Data[Team],Dyno_Data[[#This Row],[Team]],Dyno_Data[RecordType],"StartMatch",Dyno_Data[Match],Dyno_Data[[#This Row],[Match]]),0)*86400),0)</f>
        <v>0</v>
      </c>
    </row>
    <row r="2002" spans="1:35" x14ac:dyDescent="0.3">
      <c r="A2002">
        <v>2001</v>
      </c>
      <c r="B2002" t="s">
        <v>368</v>
      </c>
      <c r="C2002">
        <v>39</v>
      </c>
      <c r="D2002" s="105">
        <v>45373.642039236111</v>
      </c>
      <c r="E2002" t="s">
        <v>312</v>
      </c>
      <c r="F2002" t="s">
        <v>1402</v>
      </c>
      <c r="G2002">
        <v>0</v>
      </c>
      <c r="H2002" t="s">
        <v>315</v>
      </c>
      <c r="I2002">
        <v>0</v>
      </c>
      <c r="J2002">
        <v>0</v>
      </c>
      <c r="K2002">
        <v>0</v>
      </c>
      <c r="L2002" t="s">
        <v>240</v>
      </c>
      <c r="M2002" t="s">
        <v>1398</v>
      </c>
      <c r="N2002">
        <v>0</v>
      </c>
      <c r="O2002" t="s">
        <v>311</v>
      </c>
      <c r="P2002" t="s">
        <v>310</v>
      </c>
      <c r="Q2002" t="s">
        <v>310</v>
      </c>
      <c r="R2002" t="s">
        <v>310</v>
      </c>
      <c r="S2002">
        <v>9</v>
      </c>
      <c r="T2002" t="s">
        <v>310</v>
      </c>
      <c r="U2002">
        <v>9</v>
      </c>
      <c r="V2002">
        <v>9</v>
      </c>
      <c r="W2002">
        <v>0</v>
      </c>
      <c r="X2002">
        <v>0</v>
      </c>
      <c r="Y2002">
        <v>0</v>
      </c>
      <c r="Z2002">
        <v>0</v>
      </c>
      <c r="AA2002">
        <v>9</v>
      </c>
      <c r="AB2002">
        <v>9</v>
      </c>
      <c r="AC2002" t="s">
        <v>310</v>
      </c>
      <c r="AD2002">
        <v>9</v>
      </c>
      <c r="AE2002" t="s">
        <v>1388</v>
      </c>
      <c r="AF2002">
        <v>40000000</v>
      </c>
      <c r="AG2002" t="s">
        <v>310</v>
      </c>
      <c r="AH2002">
        <f>SUM((MID(Dyno_Data[[#This Row],[Team]],4,5))+(Dyno_Data[[#This Row],[Match]]/100))</f>
        <v>6401.39</v>
      </c>
      <c r="AI2002" s="76">
        <f>ROUND(SUM(IF(Dyno_Data[[#This Row],[AcqCenter]]&gt;0,Dyno_Data[[#This Row],[Time]]-SUMIFS(Dyno_Data[Time],Dyno_Data[Team],Dyno_Data[[#This Row],[Team]],Dyno_Data[RecordType],"StartMatch",Dyno_Data[Match],Dyno_Data[[#This Row],[Match]]),0)*86400),0)</f>
        <v>0</v>
      </c>
    </row>
    <row r="2003" spans="1:35" x14ac:dyDescent="0.3">
      <c r="A2003">
        <v>2002</v>
      </c>
      <c r="B2003" t="s">
        <v>1300</v>
      </c>
      <c r="C2003">
        <v>39</v>
      </c>
      <c r="D2003" s="105">
        <v>45373.642126192128</v>
      </c>
      <c r="E2003" t="s">
        <v>312</v>
      </c>
      <c r="F2003" t="s">
        <v>1402</v>
      </c>
      <c r="G2003">
        <v>0</v>
      </c>
      <c r="H2003" t="s">
        <v>315</v>
      </c>
      <c r="I2003">
        <v>0</v>
      </c>
      <c r="J2003">
        <v>0</v>
      </c>
      <c r="K2003">
        <v>0</v>
      </c>
      <c r="L2003" t="s">
        <v>241</v>
      </c>
      <c r="M2003" t="s">
        <v>1398</v>
      </c>
      <c r="N2003">
        <v>0</v>
      </c>
      <c r="O2003" t="s">
        <v>319</v>
      </c>
      <c r="P2003" t="s">
        <v>310</v>
      </c>
      <c r="Q2003" t="s">
        <v>310</v>
      </c>
      <c r="R2003" t="s">
        <v>310</v>
      </c>
      <c r="S2003">
        <v>9</v>
      </c>
      <c r="T2003" t="s">
        <v>310</v>
      </c>
      <c r="U2003">
        <v>9</v>
      </c>
      <c r="V2003">
        <v>9</v>
      </c>
      <c r="W2003">
        <v>0</v>
      </c>
      <c r="X2003">
        <v>0</v>
      </c>
      <c r="Y2003">
        <v>0</v>
      </c>
      <c r="Z2003">
        <v>0</v>
      </c>
      <c r="AA2003">
        <v>9</v>
      </c>
      <c r="AB2003">
        <v>9</v>
      </c>
      <c r="AC2003" t="s">
        <v>310</v>
      </c>
      <c r="AD2003">
        <v>9</v>
      </c>
      <c r="AE2003" t="s">
        <v>1414</v>
      </c>
      <c r="AF2003">
        <v>60000000</v>
      </c>
      <c r="AG2003" t="s">
        <v>310</v>
      </c>
      <c r="AH2003">
        <f>SUM((MID(Dyno_Data[[#This Row],[Team]],4,5))+(Dyno_Data[[#This Row],[Match]]/100))</f>
        <v>3044.39</v>
      </c>
      <c r="AI2003" s="76">
        <f>ROUND(SUM(IF(Dyno_Data[[#This Row],[AcqCenter]]&gt;0,Dyno_Data[[#This Row],[Time]]-SUMIFS(Dyno_Data[Time],Dyno_Data[Team],Dyno_Data[[#This Row],[Team]],Dyno_Data[RecordType],"StartMatch",Dyno_Data[Match],Dyno_Data[[#This Row],[Match]]),0)*86400),0)</f>
        <v>0</v>
      </c>
    </row>
    <row r="2004" spans="1:35" x14ac:dyDescent="0.3">
      <c r="A2004">
        <v>2003</v>
      </c>
      <c r="B2004" t="s">
        <v>1312</v>
      </c>
      <c r="C2004">
        <v>39</v>
      </c>
      <c r="D2004" s="105">
        <v>45373.642160185183</v>
      </c>
      <c r="E2004" t="s">
        <v>312</v>
      </c>
      <c r="F2004" t="s">
        <v>1402</v>
      </c>
      <c r="G2004">
        <v>0</v>
      </c>
      <c r="H2004" t="s">
        <v>315</v>
      </c>
      <c r="I2004">
        <v>0</v>
      </c>
      <c r="J2004">
        <v>0</v>
      </c>
      <c r="K2004">
        <v>0</v>
      </c>
      <c r="L2004" t="s">
        <v>241</v>
      </c>
      <c r="M2004" t="s">
        <v>101</v>
      </c>
      <c r="N2004">
        <v>0</v>
      </c>
      <c r="O2004" t="s">
        <v>1389</v>
      </c>
      <c r="P2004" t="s">
        <v>310</v>
      </c>
      <c r="Q2004" t="s">
        <v>310</v>
      </c>
      <c r="R2004" t="s">
        <v>310</v>
      </c>
      <c r="S2004">
        <v>9</v>
      </c>
      <c r="T2004" t="s">
        <v>310</v>
      </c>
      <c r="U2004">
        <v>9</v>
      </c>
      <c r="V2004">
        <v>9</v>
      </c>
      <c r="W2004">
        <v>0</v>
      </c>
      <c r="X2004">
        <v>0</v>
      </c>
      <c r="Y2004">
        <v>0</v>
      </c>
      <c r="Z2004">
        <v>0</v>
      </c>
      <c r="AA2004">
        <v>9</v>
      </c>
      <c r="AB2004">
        <v>9</v>
      </c>
      <c r="AC2004" t="s">
        <v>310</v>
      </c>
      <c r="AD2004">
        <v>9</v>
      </c>
      <c r="AE2004" t="s">
        <v>1412</v>
      </c>
      <c r="AF2004">
        <v>50000000</v>
      </c>
      <c r="AG2004" t="s">
        <v>310</v>
      </c>
      <c r="AH2004">
        <f>SUM((MID(Dyno_Data[[#This Row],[Team]],4,5))+(Dyno_Data[[#This Row],[Match]]/100))</f>
        <v>2053.39</v>
      </c>
      <c r="AI2004" s="76">
        <f>ROUND(SUM(IF(Dyno_Data[[#This Row],[AcqCenter]]&gt;0,Dyno_Data[[#This Row],[Time]]-SUMIFS(Dyno_Data[Time],Dyno_Data[Team],Dyno_Data[[#This Row],[Team]],Dyno_Data[RecordType],"StartMatch",Dyno_Data[Match],Dyno_Data[[#This Row],[Match]]),0)*86400),0)</f>
        <v>0</v>
      </c>
    </row>
    <row r="2005" spans="1:35" x14ac:dyDescent="0.3">
      <c r="A2005">
        <v>2004</v>
      </c>
      <c r="B2005" t="s">
        <v>1312</v>
      </c>
      <c r="C2005">
        <v>39</v>
      </c>
      <c r="D2005" s="105">
        <v>45373.642206631943</v>
      </c>
      <c r="E2005" t="s">
        <v>312</v>
      </c>
      <c r="F2005" t="s">
        <v>1402</v>
      </c>
      <c r="G2005">
        <v>0</v>
      </c>
      <c r="H2005" t="s">
        <v>315</v>
      </c>
      <c r="I2005">
        <v>0</v>
      </c>
      <c r="J2005">
        <v>0</v>
      </c>
      <c r="K2005">
        <v>0</v>
      </c>
      <c r="L2005" t="s">
        <v>241</v>
      </c>
      <c r="M2005" t="s">
        <v>1398</v>
      </c>
      <c r="N2005">
        <v>0</v>
      </c>
      <c r="O2005" t="s">
        <v>1389</v>
      </c>
      <c r="P2005" t="s">
        <v>310</v>
      </c>
      <c r="Q2005" t="s">
        <v>310</v>
      </c>
      <c r="R2005" t="s">
        <v>310</v>
      </c>
      <c r="S2005">
        <v>9</v>
      </c>
      <c r="T2005" t="s">
        <v>310</v>
      </c>
      <c r="U2005">
        <v>9</v>
      </c>
      <c r="V2005">
        <v>9</v>
      </c>
      <c r="W2005">
        <v>0</v>
      </c>
      <c r="X2005">
        <v>0</v>
      </c>
      <c r="Y2005">
        <v>0</v>
      </c>
      <c r="Z2005">
        <v>0</v>
      </c>
      <c r="AA2005">
        <v>9</v>
      </c>
      <c r="AB2005">
        <v>9</v>
      </c>
      <c r="AC2005" t="s">
        <v>310</v>
      </c>
      <c r="AD2005">
        <v>9</v>
      </c>
      <c r="AE2005" t="s">
        <v>1412</v>
      </c>
      <c r="AF2005">
        <v>60000000</v>
      </c>
      <c r="AG2005" t="s">
        <v>310</v>
      </c>
      <c r="AH2005">
        <f>SUM((MID(Dyno_Data[[#This Row],[Team]],4,5))+(Dyno_Data[[#This Row],[Match]]/100))</f>
        <v>2053.39</v>
      </c>
      <c r="AI2005" s="76">
        <f>ROUND(SUM(IF(Dyno_Data[[#This Row],[AcqCenter]]&gt;0,Dyno_Data[[#This Row],[Time]]-SUMIFS(Dyno_Data[Time],Dyno_Data[Team],Dyno_Data[[#This Row],[Team]],Dyno_Data[RecordType],"StartMatch",Dyno_Data[Match],Dyno_Data[[#This Row],[Match]]),0)*86400),0)</f>
        <v>0</v>
      </c>
    </row>
    <row r="2006" spans="1:35" x14ac:dyDescent="0.3">
      <c r="A2006">
        <v>2005</v>
      </c>
      <c r="B2006" t="s">
        <v>1300</v>
      </c>
      <c r="C2006">
        <v>39</v>
      </c>
      <c r="D2006" s="105">
        <v>45373.642244097224</v>
      </c>
      <c r="E2006" t="s">
        <v>312</v>
      </c>
      <c r="F2006" t="s">
        <v>1402</v>
      </c>
      <c r="G2006">
        <v>0</v>
      </c>
      <c r="H2006" t="s">
        <v>315</v>
      </c>
      <c r="I2006">
        <v>0</v>
      </c>
      <c r="J2006">
        <v>0</v>
      </c>
      <c r="K2006">
        <v>0</v>
      </c>
      <c r="L2006" t="s">
        <v>241</v>
      </c>
      <c r="M2006" t="s">
        <v>1398</v>
      </c>
      <c r="N2006">
        <v>0</v>
      </c>
      <c r="O2006" t="s">
        <v>319</v>
      </c>
      <c r="P2006" t="s">
        <v>310</v>
      </c>
      <c r="Q2006" t="s">
        <v>310</v>
      </c>
      <c r="R2006" t="s">
        <v>310</v>
      </c>
      <c r="S2006">
        <v>9</v>
      </c>
      <c r="T2006" t="s">
        <v>310</v>
      </c>
      <c r="U2006">
        <v>9</v>
      </c>
      <c r="V2006">
        <v>9</v>
      </c>
      <c r="W2006">
        <v>0</v>
      </c>
      <c r="X2006">
        <v>0</v>
      </c>
      <c r="Y2006">
        <v>0</v>
      </c>
      <c r="Z2006">
        <v>0</v>
      </c>
      <c r="AA2006">
        <v>9</v>
      </c>
      <c r="AB2006">
        <v>9</v>
      </c>
      <c r="AC2006" t="s">
        <v>310</v>
      </c>
      <c r="AD2006">
        <v>9</v>
      </c>
      <c r="AE2006" t="s">
        <v>1414</v>
      </c>
      <c r="AF2006">
        <v>70000000</v>
      </c>
      <c r="AG2006" t="s">
        <v>310</v>
      </c>
      <c r="AH2006">
        <f>SUM((MID(Dyno_Data[[#This Row],[Team]],4,5))+(Dyno_Data[[#This Row],[Match]]/100))</f>
        <v>3044.39</v>
      </c>
      <c r="AI2006" s="76">
        <f>ROUND(SUM(IF(Dyno_Data[[#This Row],[AcqCenter]]&gt;0,Dyno_Data[[#This Row],[Time]]-SUMIFS(Dyno_Data[Time],Dyno_Data[Team],Dyno_Data[[#This Row],[Team]],Dyno_Data[RecordType],"StartMatch",Dyno_Data[Match],Dyno_Data[[#This Row],[Match]]),0)*86400),0)</f>
        <v>0</v>
      </c>
    </row>
    <row r="2007" spans="1:35" x14ac:dyDescent="0.3">
      <c r="A2007">
        <v>2006</v>
      </c>
      <c r="B2007" t="s">
        <v>1312</v>
      </c>
      <c r="C2007">
        <v>39</v>
      </c>
      <c r="D2007" s="105">
        <v>45373.642371643517</v>
      </c>
      <c r="E2007" t="s">
        <v>312</v>
      </c>
      <c r="F2007" t="s">
        <v>1402</v>
      </c>
      <c r="G2007">
        <v>0</v>
      </c>
      <c r="H2007" t="s">
        <v>315</v>
      </c>
      <c r="I2007">
        <v>0</v>
      </c>
      <c r="J2007">
        <v>0</v>
      </c>
      <c r="K2007">
        <v>0</v>
      </c>
      <c r="L2007" t="s">
        <v>241</v>
      </c>
      <c r="M2007" t="s">
        <v>1398</v>
      </c>
      <c r="N2007">
        <v>0</v>
      </c>
      <c r="O2007" t="s">
        <v>1389</v>
      </c>
      <c r="P2007" t="s">
        <v>310</v>
      </c>
      <c r="Q2007" t="s">
        <v>310</v>
      </c>
      <c r="R2007" t="s">
        <v>310</v>
      </c>
      <c r="S2007">
        <v>9</v>
      </c>
      <c r="T2007" t="s">
        <v>310</v>
      </c>
      <c r="U2007">
        <v>9</v>
      </c>
      <c r="V2007">
        <v>9</v>
      </c>
      <c r="W2007">
        <v>0</v>
      </c>
      <c r="X2007">
        <v>0</v>
      </c>
      <c r="Y2007">
        <v>0</v>
      </c>
      <c r="Z2007">
        <v>0</v>
      </c>
      <c r="AA2007">
        <v>9</v>
      </c>
      <c r="AB2007">
        <v>9</v>
      </c>
      <c r="AC2007" t="s">
        <v>310</v>
      </c>
      <c r="AD2007">
        <v>9</v>
      </c>
      <c r="AE2007" t="s">
        <v>1412</v>
      </c>
      <c r="AF2007">
        <v>70000000</v>
      </c>
      <c r="AG2007" t="s">
        <v>310</v>
      </c>
      <c r="AH2007">
        <f>SUM((MID(Dyno_Data[[#This Row],[Team]],4,5))+(Dyno_Data[[#This Row],[Match]]/100))</f>
        <v>2053.39</v>
      </c>
      <c r="AI2007" s="76">
        <f>ROUND(SUM(IF(Dyno_Data[[#This Row],[AcqCenter]]&gt;0,Dyno_Data[[#This Row],[Time]]-SUMIFS(Dyno_Data[Time],Dyno_Data[Team],Dyno_Data[[#This Row],[Team]],Dyno_Data[RecordType],"StartMatch",Dyno_Data[Match],Dyno_Data[[#This Row],[Match]]),0)*86400),0)</f>
        <v>0</v>
      </c>
    </row>
    <row r="2008" spans="1:35" x14ac:dyDescent="0.3">
      <c r="A2008">
        <v>2007</v>
      </c>
      <c r="B2008" t="s">
        <v>368</v>
      </c>
      <c r="C2008">
        <v>39</v>
      </c>
      <c r="D2008" s="105">
        <v>45373.642425925929</v>
      </c>
      <c r="E2008" t="s">
        <v>312</v>
      </c>
      <c r="F2008" t="s">
        <v>1402</v>
      </c>
      <c r="G2008">
        <v>0</v>
      </c>
      <c r="H2008" t="s">
        <v>315</v>
      </c>
      <c r="I2008">
        <v>0</v>
      </c>
      <c r="J2008">
        <v>0</v>
      </c>
      <c r="K2008">
        <v>0</v>
      </c>
      <c r="L2008" t="s">
        <v>240</v>
      </c>
      <c r="M2008" t="s">
        <v>1398</v>
      </c>
      <c r="N2008">
        <v>0</v>
      </c>
      <c r="O2008" t="s">
        <v>311</v>
      </c>
      <c r="P2008" t="s">
        <v>310</v>
      </c>
      <c r="Q2008" t="s">
        <v>310</v>
      </c>
      <c r="R2008" t="s">
        <v>310</v>
      </c>
      <c r="S2008">
        <v>9</v>
      </c>
      <c r="T2008" t="s">
        <v>310</v>
      </c>
      <c r="U2008">
        <v>9</v>
      </c>
      <c r="V2008">
        <v>9</v>
      </c>
      <c r="W2008">
        <v>0</v>
      </c>
      <c r="X2008">
        <v>0</v>
      </c>
      <c r="Y2008">
        <v>0</v>
      </c>
      <c r="Z2008">
        <v>0</v>
      </c>
      <c r="AA2008">
        <v>9</v>
      </c>
      <c r="AB2008">
        <v>9</v>
      </c>
      <c r="AC2008" t="s">
        <v>310</v>
      </c>
      <c r="AD2008">
        <v>9</v>
      </c>
      <c r="AE2008" t="s">
        <v>1388</v>
      </c>
      <c r="AF2008">
        <v>50000000</v>
      </c>
      <c r="AG2008" t="s">
        <v>310</v>
      </c>
      <c r="AH2008">
        <f>SUM((MID(Dyno_Data[[#This Row],[Team]],4,5))+(Dyno_Data[[#This Row],[Match]]/100))</f>
        <v>6401.39</v>
      </c>
      <c r="AI2008" s="76">
        <f>ROUND(SUM(IF(Dyno_Data[[#This Row],[AcqCenter]]&gt;0,Dyno_Data[[#This Row],[Time]]-SUMIFS(Dyno_Data[Time],Dyno_Data[Team],Dyno_Data[[#This Row],[Team]],Dyno_Data[RecordType],"StartMatch",Dyno_Data[Match],Dyno_Data[[#This Row],[Match]]),0)*86400),0)</f>
        <v>0</v>
      </c>
    </row>
    <row r="2009" spans="1:35" x14ac:dyDescent="0.3">
      <c r="A2009">
        <v>2008</v>
      </c>
      <c r="B2009" t="s">
        <v>1312</v>
      </c>
      <c r="C2009">
        <v>39</v>
      </c>
      <c r="D2009" s="105">
        <v>45373.642438159724</v>
      </c>
      <c r="E2009" t="s">
        <v>312</v>
      </c>
      <c r="F2009" t="s">
        <v>1402</v>
      </c>
      <c r="G2009">
        <v>0</v>
      </c>
      <c r="H2009" t="s">
        <v>315</v>
      </c>
      <c r="I2009">
        <v>0</v>
      </c>
      <c r="J2009">
        <v>0</v>
      </c>
      <c r="K2009">
        <v>0</v>
      </c>
      <c r="L2009" t="s">
        <v>241</v>
      </c>
      <c r="M2009" t="s">
        <v>1398</v>
      </c>
      <c r="N2009">
        <v>0</v>
      </c>
      <c r="O2009" t="s">
        <v>1389</v>
      </c>
      <c r="P2009" t="s">
        <v>310</v>
      </c>
      <c r="Q2009" t="s">
        <v>310</v>
      </c>
      <c r="R2009" t="s">
        <v>310</v>
      </c>
      <c r="S2009">
        <v>9</v>
      </c>
      <c r="T2009" t="s">
        <v>310</v>
      </c>
      <c r="U2009">
        <v>9</v>
      </c>
      <c r="V2009">
        <v>9</v>
      </c>
      <c r="W2009">
        <v>0</v>
      </c>
      <c r="X2009">
        <v>0</v>
      </c>
      <c r="Y2009">
        <v>0</v>
      </c>
      <c r="Z2009">
        <v>0</v>
      </c>
      <c r="AA2009">
        <v>9</v>
      </c>
      <c r="AB2009">
        <v>9</v>
      </c>
      <c r="AC2009" t="s">
        <v>310</v>
      </c>
      <c r="AD2009">
        <v>9</v>
      </c>
      <c r="AE2009" t="s">
        <v>1412</v>
      </c>
      <c r="AF2009">
        <v>80000000</v>
      </c>
      <c r="AG2009" t="s">
        <v>310</v>
      </c>
      <c r="AH2009">
        <f>SUM((MID(Dyno_Data[[#This Row],[Team]],4,5))+(Dyno_Data[[#This Row],[Match]]/100))</f>
        <v>2053.39</v>
      </c>
      <c r="AI2009" s="76">
        <f>ROUND(SUM(IF(Dyno_Data[[#This Row],[AcqCenter]]&gt;0,Dyno_Data[[#This Row],[Time]]-SUMIFS(Dyno_Data[Time],Dyno_Data[Team],Dyno_Data[[#This Row],[Team]],Dyno_Data[RecordType],"StartMatch",Dyno_Data[Match],Dyno_Data[[#This Row],[Match]]),0)*86400),0)</f>
        <v>0</v>
      </c>
    </row>
    <row r="2010" spans="1:35" x14ac:dyDescent="0.3">
      <c r="A2010">
        <v>2009</v>
      </c>
      <c r="B2010" t="s">
        <v>1300</v>
      </c>
      <c r="C2010">
        <v>39</v>
      </c>
      <c r="D2010" s="105">
        <v>45373.642529317127</v>
      </c>
      <c r="E2010" t="s">
        <v>312</v>
      </c>
      <c r="F2010" t="s">
        <v>1402</v>
      </c>
      <c r="G2010">
        <v>0</v>
      </c>
      <c r="H2010" t="s">
        <v>315</v>
      </c>
      <c r="I2010">
        <v>0</v>
      </c>
      <c r="J2010">
        <v>0</v>
      </c>
      <c r="K2010">
        <v>0</v>
      </c>
      <c r="L2010" t="s">
        <v>241</v>
      </c>
      <c r="M2010" t="s">
        <v>1398</v>
      </c>
      <c r="N2010">
        <v>1</v>
      </c>
      <c r="O2010" t="s">
        <v>319</v>
      </c>
      <c r="P2010" t="s">
        <v>310</v>
      </c>
      <c r="Q2010" t="s">
        <v>310</v>
      </c>
      <c r="R2010" t="s">
        <v>310</v>
      </c>
      <c r="S2010">
        <v>9</v>
      </c>
      <c r="T2010" t="s">
        <v>310</v>
      </c>
      <c r="U2010">
        <v>9</v>
      </c>
      <c r="V2010">
        <v>9</v>
      </c>
      <c r="W2010">
        <v>0</v>
      </c>
      <c r="X2010">
        <v>0</v>
      </c>
      <c r="Y2010">
        <v>0</v>
      </c>
      <c r="Z2010">
        <v>0</v>
      </c>
      <c r="AA2010">
        <v>9</v>
      </c>
      <c r="AB2010">
        <v>9</v>
      </c>
      <c r="AC2010" t="s">
        <v>310</v>
      </c>
      <c r="AD2010">
        <v>9</v>
      </c>
      <c r="AE2010" t="s">
        <v>1414</v>
      </c>
      <c r="AF2010">
        <v>80000000</v>
      </c>
      <c r="AG2010" t="s">
        <v>310</v>
      </c>
      <c r="AH2010">
        <f>SUM((MID(Dyno_Data[[#This Row],[Team]],4,5))+(Dyno_Data[[#This Row],[Match]]/100))</f>
        <v>3044.39</v>
      </c>
      <c r="AI2010" s="76">
        <f>ROUND(SUM(IF(Dyno_Data[[#This Row],[AcqCenter]]&gt;0,Dyno_Data[[#This Row],[Time]]-SUMIFS(Dyno_Data[Time],Dyno_Data[Team],Dyno_Data[[#This Row],[Team]],Dyno_Data[RecordType],"StartMatch",Dyno_Data[Match],Dyno_Data[[#This Row],[Match]]),0)*86400),0)</f>
        <v>0</v>
      </c>
    </row>
    <row r="2011" spans="1:35" x14ac:dyDescent="0.3">
      <c r="A2011">
        <v>2010</v>
      </c>
      <c r="B2011" t="s">
        <v>1312</v>
      </c>
      <c r="C2011">
        <v>39</v>
      </c>
      <c r="D2011" s="105">
        <v>45373.642543865739</v>
      </c>
      <c r="E2011" t="s">
        <v>312</v>
      </c>
      <c r="F2011" t="s">
        <v>1402</v>
      </c>
      <c r="G2011">
        <v>0</v>
      </c>
      <c r="H2011" t="s">
        <v>315</v>
      </c>
      <c r="I2011">
        <v>0</v>
      </c>
      <c r="J2011">
        <v>0</v>
      </c>
      <c r="K2011">
        <v>0</v>
      </c>
      <c r="L2011" t="s">
        <v>241</v>
      </c>
      <c r="M2011" t="s">
        <v>1398</v>
      </c>
      <c r="N2011">
        <v>0</v>
      </c>
      <c r="O2011" t="s">
        <v>1389</v>
      </c>
      <c r="P2011" t="s">
        <v>310</v>
      </c>
      <c r="Q2011" t="s">
        <v>310</v>
      </c>
      <c r="R2011" t="s">
        <v>310</v>
      </c>
      <c r="S2011">
        <v>9</v>
      </c>
      <c r="T2011" t="s">
        <v>310</v>
      </c>
      <c r="U2011">
        <v>9</v>
      </c>
      <c r="V2011">
        <v>9</v>
      </c>
      <c r="W2011">
        <v>0</v>
      </c>
      <c r="X2011">
        <v>0</v>
      </c>
      <c r="Y2011">
        <v>0</v>
      </c>
      <c r="Z2011">
        <v>0</v>
      </c>
      <c r="AA2011">
        <v>9</v>
      </c>
      <c r="AB2011">
        <v>9</v>
      </c>
      <c r="AC2011" t="s">
        <v>310</v>
      </c>
      <c r="AD2011">
        <v>9</v>
      </c>
      <c r="AE2011" t="s">
        <v>1412</v>
      </c>
      <c r="AF2011">
        <v>90000000</v>
      </c>
      <c r="AG2011" t="s">
        <v>310</v>
      </c>
      <c r="AH2011">
        <f>SUM((MID(Dyno_Data[[#This Row],[Team]],4,5))+(Dyno_Data[[#This Row],[Match]]/100))</f>
        <v>2053.39</v>
      </c>
      <c r="AI2011" s="76">
        <f>ROUND(SUM(IF(Dyno_Data[[#This Row],[AcqCenter]]&gt;0,Dyno_Data[[#This Row],[Time]]-SUMIFS(Dyno_Data[Time],Dyno_Data[Team],Dyno_Data[[#This Row],[Team]],Dyno_Data[RecordType],"StartMatch",Dyno_Data[Match],Dyno_Data[[#This Row],[Match]]),0)*86400),0)</f>
        <v>0</v>
      </c>
    </row>
    <row r="2012" spans="1:35" x14ac:dyDescent="0.3">
      <c r="A2012">
        <v>2011</v>
      </c>
      <c r="B2012" t="s">
        <v>1300</v>
      </c>
      <c r="C2012">
        <v>39</v>
      </c>
      <c r="D2012" s="105">
        <v>45373.642611030089</v>
      </c>
      <c r="E2012" t="s">
        <v>312</v>
      </c>
      <c r="F2012" t="s">
        <v>1402</v>
      </c>
      <c r="G2012">
        <v>0</v>
      </c>
      <c r="H2012" t="s">
        <v>315</v>
      </c>
      <c r="I2012">
        <v>0</v>
      </c>
      <c r="J2012">
        <v>0</v>
      </c>
      <c r="K2012">
        <v>0</v>
      </c>
      <c r="L2012" t="s">
        <v>241</v>
      </c>
      <c r="M2012" t="s">
        <v>1398</v>
      </c>
      <c r="N2012">
        <v>1</v>
      </c>
      <c r="O2012" t="s">
        <v>319</v>
      </c>
      <c r="P2012" t="s">
        <v>310</v>
      </c>
      <c r="Q2012" t="s">
        <v>310</v>
      </c>
      <c r="R2012" t="s">
        <v>310</v>
      </c>
      <c r="S2012">
        <v>9</v>
      </c>
      <c r="T2012" t="s">
        <v>310</v>
      </c>
      <c r="U2012">
        <v>9</v>
      </c>
      <c r="V2012">
        <v>9</v>
      </c>
      <c r="W2012">
        <v>0</v>
      </c>
      <c r="X2012">
        <v>0</v>
      </c>
      <c r="Y2012">
        <v>0</v>
      </c>
      <c r="Z2012">
        <v>0</v>
      </c>
      <c r="AA2012">
        <v>9</v>
      </c>
      <c r="AB2012">
        <v>9</v>
      </c>
      <c r="AC2012" t="s">
        <v>310</v>
      </c>
      <c r="AD2012">
        <v>9</v>
      </c>
      <c r="AE2012" t="s">
        <v>1414</v>
      </c>
      <c r="AF2012">
        <v>90000000</v>
      </c>
      <c r="AG2012" t="s">
        <v>310</v>
      </c>
      <c r="AH2012">
        <f>SUM((MID(Dyno_Data[[#This Row],[Team]],4,5))+(Dyno_Data[[#This Row],[Match]]/100))</f>
        <v>3044.39</v>
      </c>
      <c r="AI2012" s="76">
        <f>ROUND(SUM(IF(Dyno_Data[[#This Row],[AcqCenter]]&gt;0,Dyno_Data[[#This Row],[Time]]-SUMIFS(Dyno_Data[Time],Dyno_Data[Team],Dyno_Data[[#This Row],[Team]],Dyno_Data[RecordType],"StartMatch",Dyno_Data[Match],Dyno_Data[[#This Row],[Match]]),0)*86400),0)</f>
        <v>0</v>
      </c>
    </row>
    <row r="2013" spans="1:35" x14ac:dyDescent="0.3">
      <c r="A2013">
        <v>2012</v>
      </c>
      <c r="B2013" t="s">
        <v>1312</v>
      </c>
      <c r="C2013">
        <v>39</v>
      </c>
      <c r="D2013" s="105">
        <v>45373.64270019676</v>
      </c>
      <c r="E2013" t="s">
        <v>312</v>
      </c>
      <c r="F2013" t="s">
        <v>1402</v>
      </c>
      <c r="G2013">
        <v>0</v>
      </c>
      <c r="H2013" t="s">
        <v>315</v>
      </c>
      <c r="I2013">
        <v>0</v>
      </c>
      <c r="J2013">
        <v>0</v>
      </c>
      <c r="K2013">
        <v>0</v>
      </c>
      <c r="L2013" t="s">
        <v>241</v>
      </c>
      <c r="M2013" t="s">
        <v>1398</v>
      </c>
      <c r="N2013">
        <v>0</v>
      </c>
      <c r="O2013" t="s">
        <v>1389</v>
      </c>
      <c r="P2013" t="s">
        <v>310</v>
      </c>
      <c r="Q2013" t="s">
        <v>310</v>
      </c>
      <c r="R2013" t="s">
        <v>310</v>
      </c>
      <c r="S2013">
        <v>9</v>
      </c>
      <c r="T2013" t="s">
        <v>310</v>
      </c>
      <c r="U2013">
        <v>9</v>
      </c>
      <c r="V2013">
        <v>9</v>
      </c>
      <c r="W2013">
        <v>0</v>
      </c>
      <c r="X2013">
        <v>0</v>
      </c>
      <c r="Y2013">
        <v>0</v>
      </c>
      <c r="Z2013">
        <v>0</v>
      </c>
      <c r="AA2013">
        <v>9</v>
      </c>
      <c r="AB2013">
        <v>9</v>
      </c>
      <c r="AC2013" t="s">
        <v>310</v>
      </c>
      <c r="AD2013">
        <v>9</v>
      </c>
      <c r="AE2013" t="s">
        <v>1412</v>
      </c>
      <c r="AF2013">
        <v>100000000</v>
      </c>
      <c r="AG2013" t="s">
        <v>310</v>
      </c>
      <c r="AH2013">
        <f>SUM((MID(Dyno_Data[[#This Row],[Team]],4,5))+(Dyno_Data[[#This Row],[Match]]/100))</f>
        <v>2053.39</v>
      </c>
      <c r="AI2013" s="76">
        <f>ROUND(SUM(IF(Dyno_Data[[#This Row],[AcqCenter]]&gt;0,Dyno_Data[[#This Row],[Time]]-SUMIFS(Dyno_Data[Time],Dyno_Data[Team],Dyno_Data[[#This Row],[Team]],Dyno_Data[RecordType],"StartMatch",Dyno_Data[Match],Dyno_Data[[#This Row],[Match]]),0)*86400),0)</f>
        <v>0</v>
      </c>
    </row>
    <row r="2014" spans="1:35" x14ac:dyDescent="0.3">
      <c r="A2014">
        <v>2013</v>
      </c>
      <c r="B2014" t="s">
        <v>1276</v>
      </c>
      <c r="C2014">
        <v>39</v>
      </c>
      <c r="D2014" s="105">
        <v>45373.642889386574</v>
      </c>
      <c r="E2014" t="s">
        <v>1403</v>
      </c>
      <c r="F2014" t="s">
        <v>1402</v>
      </c>
      <c r="G2014">
        <v>0</v>
      </c>
      <c r="H2014" t="s">
        <v>310</v>
      </c>
      <c r="I2014">
        <v>0</v>
      </c>
      <c r="J2014">
        <v>0</v>
      </c>
      <c r="K2014">
        <v>0</v>
      </c>
      <c r="L2014" t="s">
        <v>310</v>
      </c>
      <c r="M2014" t="s">
        <v>310</v>
      </c>
      <c r="N2014">
        <v>0</v>
      </c>
      <c r="O2014" t="s">
        <v>1393</v>
      </c>
      <c r="P2014" t="s">
        <v>310</v>
      </c>
      <c r="Q2014" t="s">
        <v>310</v>
      </c>
      <c r="R2014" t="s">
        <v>310</v>
      </c>
      <c r="S2014">
        <v>9</v>
      </c>
      <c r="T2014" t="s">
        <v>310</v>
      </c>
      <c r="U2014">
        <v>9</v>
      </c>
      <c r="V2014">
        <v>9</v>
      </c>
      <c r="W2014">
        <v>0</v>
      </c>
      <c r="X2014">
        <v>0</v>
      </c>
      <c r="Y2014">
        <v>0</v>
      </c>
      <c r="Z2014">
        <v>0</v>
      </c>
      <c r="AA2014">
        <v>9</v>
      </c>
      <c r="AB2014">
        <v>9</v>
      </c>
      <c r="AC2014" t="s">
        <v>310</v>
      </c>
      <c r="AD2014">
        <v>9</v>
      </c>
      <c r="AE2014" t="s">
        <v>1396</v>
      </c>
      <c r="AF2014">
        <v>100000000</v>
      </c>
      <c r="AG2014" t="s">
        <v>252</v>
      </c>
      <c r="AH2014">
        <f>SUM((MID(Dyno_Data[[#This Row],[Team]],4,5))+(Dyno_Data[[#This Row],[Match]]/100))</f>
        <v>229.39</v>
      </c>
      <c r="AI2014" s="76">
        <f>ROUND(SUM(IF(Dyno_Data[[#This Row],[AcqCenter]]&gt;0,Dyno_Data[[#This Row],[Time]]-SUMIFS(Dyno_Data[Time],Dyno_Data[Team],Dyno_Data[[#This Row],[Team]],Dyno_Data[RecordType],"StartMatch",Dyno_Data[Match],Dyno_Data[[#This Row],[Match]]),0)*86400),0)</f>
        <v>0</v>
      </c>
    </row>
    <row r="2015" spans="1:35" x14ac:dyDescent="0.3">
      <c r="A2015">
        <v>2014</v>
      </c>
      <c r="B2015" t="s">
        <v>1300</v>
      </c>
      <c r="C2015">
        <v>39</v>
      </c>
      <c r="D2015" s="105">
        <v>45373.642900960651</v>
      </c>
      <c r="E2015" t="s">
        <v>312</v>
      </c>
      <c r="F2015" t="s">
        <v>1402</v>
      </c>
      <c r="G2015">
        <v>0</v>
      </c>
      <c r="H2015" t="s">
        <v>315</v>
      </c>
      <c r="I2015">
        <v>0</v>
      </c>
      <c r="J2015">
        <v>0</v>
      </c>
      <c r="K2015">
        <v>0</v>
      </c>
      <c r="L2015" t="s">
        <v>241</v>
      </c>
      <c r="M2015" t="s">
        <v>1398</v>
      </c>
      <c r="N2015">
        <v>1</v>
      </c>
      <c r="O2015" t="s">
        <v>319</v>
      </c>
      <c r="P2015" t="s">
        <v>310</v>
      </c>
      <c r="Q2015" t="s">
        <v>310</v>
      </c>
      <c r="R2015" t="s">
        <v>310</v>
      </c>
      <c r="S2015">
        <v>9</v>
      </c>
      <c r="T2015" t="s">
        <v>310</v>
      </c>
      <c r="U2015">
        <v>9</v>
      </c>
      <c r="V2015">
        <v>9</v>
      </c>
      <c r="W2015">
        <v>0</v>
      </c>
      <c r="X2015">
        <v>0</v>
      </c>
      <c r="Y2015">
        <v>0</v>
      </c>
      <c r="Z2015">
        <v>0</v>
      </c>
      <c r="AA2015">
        <v>9</v>
      </c>
      <c r="AB2015">
        <v>9</v>
      </c>
      <c r="AC2015" t="s">
        <v>310</v>
      </c>
      <c r="AD2015">
        <v>9</v>
      </c>
      <c r="AE2015" t="s">
        <v>1414</v>
      </c>
      <c r="AF2015">
        <v>100000000</v>
      </c>
      <c r="AG2015" t="s">
        <v>310</v>
      </c>
      <c r="AH2015">
        <f>SUM((MID(Dyno_Data[[#This Row],[Team]],4,5))+(Dyno_Data[[#This Row],[Match]]/100))</f>
        <v>3044.39</v>
      </c>
      <c r="AI2015" s="76">
        <f>ROUND(SUM(IF(Dyno_Data[[#This Row],[AcqCenter]]&gt;0,Dyno_Data[[#This Row],[Time]]-SUMIFS(Dyno_Data[Time],Dyno_Data[Team],Dyno_Data[[#This Row],[Team]],Dyno_Data[RecordType],"StartMatch",Dyno_Data[Match],Dyno_Data[[#This Row],[Match]]),0)*86400),0)</f>
        <v>0</v>
      </c>
    </row>
    <row r="2016" spans="1:35" x14ac:dyDescent="0.3">
      <c r="A2016">
        <v>2015</v>
      </c>
      <c r="B2016" t="s">
        <v>1312</v>
      </c>
      <c r="C2016">
        <v>39</v>
      </c>
      <c r="D2016" s="105">
        <v>45373.643019062503</v>
      </c>
      <c r="E2016" t="s">
        <v>312</v>
      </c>
      <c r="F2016" t="s">
        <v>1402</v>
      </c>
      <c r="G2016">
        <v>0</v>
      </c>
      <c r="H2016" t="s">
        <v>315</v>
      </c>
      <c r="I2016">
        <v>0</v>
      </c>
      <c r="J2016">
        <v>0</v>
      </c>
      <c r="K2016">
        <v>0</v>
      </c>
      <c r="L2016" t="s">
        <v>241</v>
      </c>
      <c r="M2016" t="s">
        <v>1398</v>
      </c>
      <c r="N2016">
        <v>0</v>
      </c>
      <c r="O2016" t="s">
        <v>1389</v>
      </c>
      <c r="P2016" t="s">
        <v>310</v>
      </c>
      <c r="Q2016" t="s">
        <v>310</v>
      </c>
      <c r="R2016" t="s">
        <v>310</v>
      </c>
      <c r="S2016">
        <v>9</v>
      </c>
      <c r="T2016" t="s">
        <v>310</v>
      </c>
      <c r="U2016">
        <v>9</v>
      </c>
      <c r="V2016">
        <v>9</v>
      </c>
      <c r="W2016">
        <v>0</v>
      </c>
      <c r="X2016">
        <v>0</v>
      </c>
      <c r="Y2016">
        <v>0</v>
      </c>
      <c r="Z2016">
        <v>0</v>
      </c>
      <c r="AA2016">
        <v>9</v>
      </c>
      <c r="AB2016">
        <v>9</v>
      </c>
      <c r="AC2016" t="s">
        <v>310</v>
      </c>
      <c r="AD2016">
        <v>9</v>
      </c>
      <c r="AE2016" t="s">
        <v>1412</v>
      </c>
      <c r="AF2016">
        <v>110000000</v>
      </c>
      <c r="AG2016" t="s">
        <v>310</v>
      </c>
      <c r="AH2016">
        <f>SUM((MID(Dyno_Data[[#This Row],[Team]],4,5))+(Dyno_Data[[#This Row],[Match]]/100))</f>
        <v>2053.39</v>
      </c>
      <c r="AI2016" s="76">
        <f>ROUND(SUM(IF(Dyno_Data[[#This Row],[AcqCenter]]&gt;0,Dyno_Data[[#This Row],[Time]]-SUMIFS(Dyno_Data[Time],Dyno_Data[Team],Dyno_Data[[#This Row],[Team]],Dyno_Data[RecordType],"StartMatch",Dyno_Data[Match],Dyno_Data[[#This Row],[Match]]),0)*86400),0)</f>
        <v>0</v>
      </c>
    </row>
    <row r="2017" spans="1:35" x14ac:dyDescent="0.3">
      <c r="A2017">
        <v>2016</v>
      </c>
      <c r="B2017" t="s">
        <v>368</v>
      </c>
      <c r="C2017">
        <v>39</v>
      </c>
      <c r="D2017" s="105">
        <v>45373.643031446758</v>
      </c>
      <c r="E2017" t="s">
        <v>312</v>
      </c>
      <c r="F2017" t="s">
        <v>1402</v>
      </c>
      <c r="G2017">
        <v>0</v>
      </c>
      <c r="H2017" t="s">
        <v>315</v>
      </c>
      <c r="I2017">
        <v>0</v>
      </c>
      <c r="J2017">
        <v>0</v>
      </c>
      <c r="K2017">
        <v>0</v>
      </c>
      <c r="L2017" t="s">
        <v>240</v>
      </c>
      <c r="M2017" t="s">
        <v>1398</v>
      </c>
      <c r="N2017">
        <v>0</v>
      </c>
      <c r="O2017" t="s">
        <v>311</v>
      </c>
      <c r="P2017" t="s">
        <v>310</v>
      </c>
      <c r="Q2017" t="s">
        <v>310</v>
      </c>
      <c r="R2017" t="s">
        <v>310</v>
      </c>
      <c r="S2017">
        <v>9</v>
      </c>
      <c r="T2017" t="s">
        <v>310</v>
      </c>
      <c r="U2017">
        <v>9</v>
      </c>
      <c r="V2017">
        <v>9</v>
      </c>
      <c r="W2017">
        <v>0</v>
      </c>
      <c r="X2017">
        <v>0</v>
      </c>
      <c r="Y2017">
        <v>0</v>
      </c>
      <c r="Z2017">
        <v>0</v>
      </c>
      <c r="AA2017">
        <v>9</v>
      </c>
      <c r="AB2017">
        <v>9</v>
      </c>
      <c r="AC2017" t="s">
        <v>310</v>
      </c>
      <c r="AD2017">
        <v>9</v>
      </c>
      <c r="AE2017" t="s">
        <v>1388</v>
      </c>
      <c r="AF2017">
        <v>60000000</v>
      </c>
      <c r="AG2017" t="s">
        <v>310</v>
      </c>
      <c r="AH2017">
        <f>SUM((MID(Dyno_Data[[#This Row],[Team]],4,5))+(Dyno_Data[[#This Row],[Match]]/100))</f>
        <v>6401.39</v>
      </c>
      <c r="AI2017" s="76">
        <f>ROUND(SUM(IF(Dyno_Data[[#This Row],[AcqCenter]]&gt;0,Dyno_Data[[#This Row],[Time]]-SUMIFS(Dyno_Data[Time],Dyno_Data[Team],Dyno_Data[[#This Row],[Team]],Dyno_Data[RecordType],"StartMatch",Dyno_Data[Match],Dyno_Data[[#This Row],[Match]]),0)*86400),0)</f>
        <v>0</v>
      </c>
    </row>
    <row r="2018" spans="1:35" x14ac:dyDescent="0.3">
      <c r="A2018">
        <v>2017</v>
      </c>
      <c r="B2018" t="s">
        <v>1300</v>
      </c>
      <c r="C2018">
        <v>39</v>
      </c>
      <c r="D2018" s="105">
        <v>45373.643070520833</v>
      </c>
      <c r="E2018" t="s">
        <v>312</v>
      </c>
      <c r="F2018" t="s">
        <v>1402</v>
      </c>
      <c r="G2018">
        <v>0</v>
      </c>
      <c r="H2018" t="s">
        <v>315</v>
      </c>
      <c r="I2018">
        <v>0</v>
      </c>
      <c r="J2018">
        <v>0</v>
      </c>
      <c r="K2018">
        <v>0</v>
      </c>
      <c r="L2018" t="s">
        <v>241</v>
      </c>
      <c r="M2018" t="s">
        <v>1398</v>
      </c>
      <c r="N2018">
        <v>1</v>
      </c>
      <c r="O2018" t="s">
        <v>319</v>
      </c>
      <c r="P2018" t="s">
        <v>310</v>
      </c>
      <c r="Q2018" t="s">
        <v>310</v>
      </c>
      <c r="R2018" t="s">
        <v>310</v>
      </c>
      <c r="S2018">
        <v>9</v>
      </c>
      <c r="T2018" t="s">
        <v>310</v>
      </c>
      <c r="U2018">
        <v>9</v>
      </c>
      <c r="V2018">
        <v>9</v>
      </c>
      <c r="W2018">
        <v>0</v>
      </c>
      <c r="X2018">
        <v>0</v>
      </c>
      <c r="Y2018">
        <v>0</v>
      </c>
      <c r="Z2018">
        <v>0</v>
      </c>
      <c r="AA2018">
        <v>9</v>
      </c>
      <c r="AB2018">
        <v>9</v>
      </c>
      <c r="AC2018" t="s">
        <v>310</v>
      </c>
      <c r="AD2018">
        <v>9</v>
      </c>
      <c r="AE2018" t="s">
        <v>1414</v>
      </c>
      <c r="AF2018">
        <v>110000000</v>
      </c>
      <c r="AG2018" t="s">
        <v>310</v>
      </c>
      <c r="AH2018">
        <f>SUM((MID(Dyno_Data[[#This Row],[Team]],4,5))+(Dyno_Data[[#This Row],[Match]]/100))</f>
        <v>3044.39</v>
      </c>
      <c r="AI2018" s="76">
        <f>ROUND(SUM(IF(Dyno_Data[[#This Row],[AcqCenter]]&gt;0,Dyno_Data[[#This Row],[Time]]-SUMIFS(Dyno_Data[Time],Dyno_Data[Team],Dyno_Data[[#This Row],[Team]],Dyno_Data[RecordType],"StartMatch",Dyno_Data[Match],Dyno_Data[[#This Row],[Match]]),0)*86400),0)</f>
        <v>0</v>
      </c>
    </row>
    <row r="2019" spans="1:35" x14ac:dyDescent="0.3">
      <c r="A2019">
        <v>2018</v>
      </c>
      <c r="B2019" t="s">
        <v>1300</v>
      </c>
      <c r="C2019">
        <v>39</v>
      </c>
      <c r="D2019" s="105">
        <v>45373.643197337966</v>
      </c>
      <c r="E2019" t="s">
        <v>312</v>
      </c>
      <c r="F2019" t="s">
        <v>1402</v>
      </c>
      <c r="G2019">
        <v>0</v>
      </c>
      <c r="H2019" t="s">
        <v>315</v>
      </c>
      <c r="I2019">
        <v>0</v>
      </c>
      <c r="J2019">
        <v>0</v>
      </c>
      <c r="K2019">
        <v>0</v>
      </c>
      <c r="L2019" t="s">
        <v>241</v>
      </c>
      <c r="M2019" t="s">
        <v>1398</v>
      </c>
      <c r="N2019">
        <v>0</v>
      </c>
      <c r="O2019" t="s">
        <v>319</v>
      </c>
      <c r="P2019" t="s">
        <v>310</v>
      </c>
      <c r="Q2019" t="s">
        <v>310</v>
      </c>
      <c r="R2019" t="s">
        <v>310</v>
      </c>
      <c r="S2019">
        <v>9</v>
      </c>
      <c r="T2019" t="s">
        <v>310</v>
      </c>
      <c r="U2019">
        <v>9</v>
      </c>
      <c r="V2019">
        <v>9</v>
      </c>
      <c r="W2019">
        <v>0</v>
      </c>
      <c r="X2019">
        <v>0</v>
      </c>
      <c r="Y2019">
        <v>0</v>
      </c>
      <c r="Z2019">
        <v>0</v>
      </c>
      <c r="AA2019">
        <v>9</v>
      </c>
      <c r="AB2019">
        <v>9</v>
      </c>
      <c r="AC2019" t="s">
        <v>310</v>
      </c>
      <c r="AD2019">
        <v>9</v>
      </c>
      <c r="AE2019" t="s">
        <v>1414</v>
      </c>
      <c r="AF2019">
        <v>120000000</v>
      </c>
      <c r="AG2019" t="s">
        <v>310</v>
      </c>
      <c r="AH2019">
        <f>SUM((MID(Dyno_Data[[#This Row],[Team]],4,5))+(Dyno_Data[[#This Row],[Match]]/100))</f>
        <v>3044.39</v>
      </c>
      <c r="AI2019" s="76">
        <f>ROUND(SUM(IF(Dyno_Data[[#This Row],[AcqCenter]]&gt;0,Dyno_Data[[#This Row],[Time]]-SUMIFS(Dyno_Data[Time],Dyno_Data[Team],Dyno_Data[[#This Row],[Team]],Dyno_Data[RecordType],"StartMatch",Dyno_Data[Match],Dyno_Data[[#This Row],[Match]]),0)*86400),0)</f>
        <v>0</v>
      </c>
    </row>
    <row r="2020" spans="1:35" x14ac:dyDescent="0.3">
      <c r="A2020">
        <v>2019</v>
      </c>
      <c r="B2020" t="s">
        <v>1300</v>
      </c>
      <c r="C2020">
        <v>39</v>
      </c>
      <c r="D2020" s="105">
        <v>45373.643320868054</v>
      </c>
      <c r="E2020" t="s">
        <v>312</v>
      </c>
      <c r="F2020" t="s">
        <v>1402</v>
      </c>
      <c r="G2020">
        <v>0</v>
      </c>
      <c r="H2020" t="s">
        <v>315</v>
      </c>
      <c r="I2020">
        <v>0</v>
      </c>
      <c r="J2020">
        <v>0</v>
      </c>
      <c r="K2020">
        <v>0</v>
      </c>
      <c r="L2020" t="s">
        <v>241</v>
      </c>
      <c r="M2020" t="s">
        <v>1398</v>
      </c>
      <c r="N2020">
        <v>1</v>
      </c>
      <c r="O2020" t="s">
        <v>319</v>
      </c>
      <c r="P2020" t="s">
        <v>310</v>
      </c>
      <c r="Q2020" t="s">
        <v>310</v>
      </c>
      <c r="R2020" t="s">
        <v>310</v>
      </c>
      <c r="S2020">
        <v>9</v>
      </c>
      <c r="T2020" t="s">
        <v>310</v>
      </c>
      <c r="U2020">
        <v>9</v>
      </c>
      <c r="V2020">
        <v>9</v>
      </c>
      <c r="W2020">
        <v>0</v>
      </c>
      <c r="X2020">
        <v>0</v>
      </c>
      <c r="Y2020">
        <v>0</v>
      </c>
      <c r="Z2020">
        <v>0</v>
      </c>
      <c r="AA2020">
        <v>9</v>
      </c>
      <c r="AB2020">
        <v>9</v>
      </c>
      <c r="AC2020" t="s">
        <v>310</v>
      </c>
      <c r="AD2020">
        <v>9</v>
      </c>
      <c r="AE2020" t="s">
        <v>1414</v>
      </c>
      <c r="AF2020">
        <v>130000000</v>
      </c>
      <c r="AG2020" t="s">
        <v>310</v>
      </c>
      <c r="AH2020">
        <f>SUM((MID(Dyno_Data[[#This Row],[Team]],4,5))+(Dyno_Data[[#This Row],[Match]]/100))</f>
        <v>3044.39</v>
      </c>
      <c r="AI2020" s="76">
        <f>ROUND(SUM(IF(Dyno_Data[[#This Row],[AcqCenter]]&gt;0,Dyno_Data[[#This Row],[Time]]-SUMIFS(Dyno_Data[Time],Dyno_Data[Team],Dyno_Data[[#This Row],[Team]],Dyno_Data[RecordType],"StartMatch",Dyno_Data[Match],Dyno_Data[[#This Row],[Match]]),0)*86400),0)</f>
        <v>0</v>
      </c>
    </row>
    <row r="2021" spans="1:35" x14ac:dyDescent="0.3">
      <c r="A2021">
        <v>2020</v>
      </c>
      <c r="B2021" t="s">
        <v>368</v>
      </c>
      <c r="C2021">
        <v>39</v>
      </c>
      <c r="D2021" s="105">
        <v>45373.64543329861</v>
      </c>
      <c r="E2021" t="s">
        <v>316</v>
      </c>
      <c r="F2021" t="s">
        <v>317</v>
      </c>
      <c r="G2021">
        <v>1</v>
      </c>
      <c r="H2021" t="s">
        <v>310</v>
      </c>
      <c r="I2021">
        <v>0</v>
      </c>
      <c r="J2021">
        <v>0</v>
      </c>
      <c r="K2021">
        <v>0</v>
      </c>
      <c r="L2021" t="s">
        <v>310</v>
      </c>
      <c r="M2021" t="s">
        <v>310</v>
      </c>
      <c r="N2021">
        <v>0</v>
      </c>
      <c r="O2021" t="s">
        <v>311</v>
      </c>
      <c r="P2021" t="s">
        <v>101</v>
      </c>
      <c r="Q2021" t="s">
        <v>1400</v>
      </c>
      <c r="R2021" t="s">
        <v>1405</v>
      </c>
      <c r="S2021">
        <v>1</v>
      </c>
      <c r="T2021" t="s">
        <v>1409</v>
      </c>
      <c r="U2021">
        <v>0</v>
      </c>
      <c r="V2021">
        <v>0</v>
      </c>
      <c r="W2021">
        <v>17.456511599999999</v>
      </c>
      <c r="X2021">
        <v>0</v>
      </c>
      <c r="Y2021">
        <v>10.997423099999999</v>
      </c>
      <c r="Z2021">
        <v>102.8609489</v>
      </c>
      <c r="AA2021">
        <v>0</v>
      </c>
      <c r="AB2021">
        <v>3</v>
      </c>
      <c r="AC2021" t="s">
        <v>174</v>
      </c>
      <c r="AD2021">
        <v>9</v>
      </c>
      <c r="AE2021" t="s">
        <v>1388</v>
      </c>
      <c r="AF2021">
        <v>60000000</v>
      </c>
      <c r="AG2021" t="s">
        <v>310</v>
      </c>
      <c r="AH2021">
        <f>SUM((MID(Dyno_Data[[#This Row],[Team]],4,5))+(Dyno_Data[[#This Row],[Match]]/100))</f>
        <v>6401.39</v>
      </c>
      <c r="AI2021" s="76">
        <f>ROUND(SUM(IF(Dyno_Data[[#This Row],[AcqCenter]]&gt;0,Dyno_Data[[#This Row],[Time]]-SUMIFS(Dyno_Data[Time],Dyno_Data[Team],Dyno_Data[[#This Row],[Team]],Dyno_Data[RecordType],"StartMatch",Dyno_Data[Match],Dyno_Data[[#This Row],[Match]]),0)*86400),0)</f>
        <v>0</v>
      </c>
    </row>
    <row r="2022" spans="1:35" x14ac:dyDescent="0.3">
      <c r="A2022">
        <v>2021</v>
      </c>
      <c r="B2022" t="s">
        <v>1282</v>
      </c>
      <c r="C2022">
        <v>39</v>
      </c>
      <c r="D2022" s="105">
        <v>45373.645433449077</v>
      </c>
      <c r="E2022" t="s">
        <v>316</v>
      </c>
      <c r="F2022" t="s">
        <v>317</v>
      </c>
      <c r="G2022">
        <v>1</v>
      </c>
      <c r="H2022" t="s">
        <v>310</v>
      </c>
      <c r="I2022">
        <v>0</v>
      </c>
      <c r="J2022">
        <v>0</v>
      </c>
      <c r="K2022">
        <v>0</v>
      </c>
      <c r="L2022" t="s">
        <v>310</v>
      </c>
      <c r="M2022" t="s">
        <v>310</v>
      </c>
      <c r="N2022">
        <v>0</v>
      </c>
      <c r="O2022" t="s">
        <v>1391</v>
      </c>
      <c r="P2022" t="s">
        <v>1401</v>
      </c>
      <c r="Q2022" t="s">
        <v>1399</v>
      </c>
      <c r="R2022" t="s">
        <v>1404</v>
      </c>
      <c r="S2022">
        <v>-1</v>
      </c>
      <c r="T2022" t="s">
        <v>105</v>
      </c>
      <c r="U2022">
        <v>9</v>
      </c>
      <c r="V2022">
        <v>9</v>
      </c>
      <c r="W2022">
        <v>19.830712299999998</v>
      </c>
      <c r="X2022">
        <v>0</v>
      </c>
      <c r="Y2022">
        <v>39.6624123</v>
      </c>
      <c r="Z2022">
        <v>75.314975899999993</v>
      </c>
      <c r="AA2022">
        <v>0</v>
      </c>
      <c r="AB2022">
        <v>3</v>
      </c>
      <c r="AC2022" t="s">
        <v>1408</v>
      </c>
      <c r="AD2022">
        <v>1</v>
      </c>
      <c r="AE2022" t="s">
        <v>1390</v>
      </c>
      <c r="AF2022">
        <v>0</v>
      </c>
      <c r="AG2022" t="s">
        <v>310</v>
      </c>
      <c r="AH2022">
        <f>SUM((MID(Dyno_Data[[#This Row],[Team]],4,5))+(Dyno_Data[[#This Row],[Match]]/100))</f>
        <v>333.39</v>
      </c>
      <c r="AI2022" s="76">
        <f>ROUND(SUM(IF(Dyno_Data[[#This Row],[AcqCenter]]&gt;0,Dyno_Data[[#This Row],[Time]]-SUMIFS(Dyno_Data[Time],Dyno_Data[Team],Dyno_Data[[#This Row],[Team]],Dyno_Data[RecordType],"StartMatch",Dyno_Data[Match],Dyno_Data[[#This Row],[Match]]),0)*86400),0)</f>
        <v>0</v>
      </c>
    </row>
    <row r="2023" spans="1:35" x14ac:dyDescent="0.3">
      <c r="A2023">
        <v>2022</v>
      </c>
      <c r="B2023" t="s">
        <v>1300</v>
      </c>
      <c r="C2023">
        <v>39</v>
      </c>
      <c r="D2023" s="105">
        <v>45373.645433530095</v>
      </c>
      <c r="E2023" t="s">
        <v>316</v>
      </c>
      <c r="F2023" t="s">
        <v>317</v>
      </c>
      <c r="G2023">
        <v>1</v>
      </c>
      <c r="H2023" t="s">
        <v>310</v>
      </c>
      <c r="I2023">
        <v>0</v>
      </c>
      <c r="J2023">
        <v>0</v>
      </c>
      <c r="K2023">
        <v>0</v>
      </c>
      <c r="L2023" t="s">
        <v>310</v>
      </c>
      <c r="M2023" t="s">
        <v>310</v>
      </c>
      <c r="N2023">
        <v>0</v>
      </c>
      <c r="O2023" t="s">
        <v>319</v>
      </c>
      <c r="P2023" t="s">
        <v>240</v>
      </c>
      <c r="Q2023" t="s">
        <v>1400</v>
      </c>
      <c r="R2023" t="s">
        <v>321</v>
      </c>
      <c r="S2023">
        <v>0</v>
      </c>
      <c r="T2023" t="s">
        <v>105</v>
      </c>
      <c r="U2023">
        <v>9</v>
      </c>
      <c r="V2023">
        <v>9</v>
      </c>
      <c r="W2023">
        <v>0</v>
      </c>
      <c r="X2023">
        <v>23.091938799999998</v>
      </c>
      <c r="Y2023">
        <v>13.602472899999999</v>
      </c>
      <c r="Z2023">
        <v>98.362343899999999</v>
      </c>
      <c r="AA2023">
        <v>0</v>
      </c>
      <c r="AB2023">
        <v>2</v>
      </c>
      <c r="AC2023" t="s">
        <v>174</v>
      </c>
      <c r="AD2023">
        <v>9</v>
      </c>
      <c r="AE2023" t="s">
        <v>1414</v>
      </c>
      <c r="AF2023">
        <v>130000000</v>
      </c>
      <c r="AG2023" t="s">
        <v>310</v>
      </c>
      <c r="AH2023">
        <f>SUM((MID(Dyno_Data[[#This Row],[Team]],4,5))+(Dyno_Data[[#This Row],[Match]]/100))</f>
        <v>3044.39</v>
      </c>
      <c r="AI2023" s="76">
        <f>ROUND(SUM(IF(Dyno_Data[[#This Row],[AcqCenter]]&gt;0,Dyno_Data[[#This Row],[Time]]-SUMIFS(Dyno_Data[Time],Dyno_Data[Team],Dyno_Data[[#This Row],[Team]],Dyno_Data[RecordType],"StartMatch",Dyno_Data[Match],Dyno_Data[[#This Row],[Match]]),0)*86400),0)</f>
        <v>0</v>
      </c>
    </row>
    <row r="2024" spans="1:35" x14ac:dyDescent="0.3">
      <c r="A2024">
        <v>2023</v>
      </c>
      <c r="B2024" t="s">
        <v>1276</v>
      </c>
      <c r="C2024">
        <v>39</v>
      </c>
      <c r="D2024" s="105">
        <v>45373.645433645834</v>
      </c>
      <c r="E2024" t="s">
        <v>316</v>
      </c>
      <c r="F2024" t="s">
        <v>317</v>
      </c>
      <c r="G2024">
        <v>1</v>
      </c>
      <c r="H2024" t="s">
        <v>310</v>
      </c>
      <c r="I2024">
        <v>0</v>
      </c>
      <c r="J2024">
        <v>0</v>
      </c>
      <c r="K2024">
        <v>0</v>
      </c>
      <c r="L2024" t="s">
        <v>310</v>
      </c>
      <c r="M2024" t="s">
        <v>310</v>
      </c>
      <c r="N2024">
        <v>0</v>
      </c>
      <c r="O2024" t="s">
        <v>1393</v>
      </c>
      <c r="P2024" t="s">
        <v>320</v>
      </c>
      <c r="Q2024" t="s">
        <v>1399</v>
      </c>
      <c r="R2024" t="s">
        <v>1404</v>
      </c>
      <c r="S2024">
        <v>0</v>
      </c>
      <c r="T2024" t="s">
        <v>105</v>
      </c>
      <c r="U2024">
        <v>9</v>
      </c>
      <c r="V2024">
        <v>9</v>
      </c>
      <c r="W2024">
        <v>0</v>
      </c>
      <c r="X2024">
        <v>0</v>
      </c>
      <c r="Y2024">
        <v>24.074059699999999</v>
      </c>
      <c r="Z2024">
        <v>112.04329559999999</v>
      </c>
      <c r="AA2024">
        <v>0</v>
      </c>
      <c r="AB2024">
        <v>0</v>
      </c>
      <c r="AC2024" t="s">
        <v>167</v>
      </c>
      <c r="AD2024">
        <v>0</v>
      </c>
      <c r="AE2024" t="s">
        <v>1396</v>
      </c>
      <c r="AF2024">
        <v>0</v>
      </c>
      <c r="AG2024" t="s">
        <v>310</v>
      </c>
      <c r="AH2024">
        <f>SUM((MID(Dyno_Data[[#This Row],[Team]],4,5))+(Dyno_Data[[#This Row],[Match]]/100))</f>
        <v>229.39</v>
      </c>
      <c r="AI2024" s="76">
        <f>ROUND(SUM(IF(Dyno_Data[[#This Row],[AcqCenter]]&gt;0,Dyno_Data[[#This Row],[Time]]-SUMIFS(Dyno_Data[Time],Dyno_Data[Team],Dyno_Data[[#This Row],[Team]],Dyno_Data[RecordType],"StartMatch",Dyno_Data[Match],Dyno_Data[[#This Row],[Match]]),0)*86400),0)</f>
        <v>0</v>
      </c>
    </row>
    <row r="2025" spans="1:35" x14ac:dyDescent="0.3">
      <c r="A2025">
        <v>2024</v>
      </c>
      <c r="B2025" t="s">
        <v>1312</v>
      </c>
      <c r="C2025">
        <v>39</v>
      </c>
      <c r="D2025" s="105">
        <v>45373.645433715275</v>
      </c>
      <c r="E2025" t="s">
        <v>316</v>
      </c>
      <c r="F2025" t="s">
        <v>317</v>
      </c>
      <c r="G2025">
        <v>1</v>
      </c>
      <c r="H2025" t="s">
        <v>310</v>
      </c>
      <c r="I2025">
        <v>0</v>
      </c>
      <c r="J2025">
        <v>0</v>
      </c>
      <c r="K2025">
        <v>0</v>
      </c>
      <c r="L2025" t="s">
        <v>310</v>
      </c>
      <c r="M2025" t="s">
        <v>310</v>
      </c>
      <c r="N2025">
        <v>0</v>
      </c>
      <c r="O2025" t="s">
        <v>1389</v>
      </c>
      <c r="P2025" t="s">
        <v>240</v>
      </c>
      <c r="Q2025" t="s">
        <v>1400</v>
      </c>
      <c r="R2025" t="s">
        <v>1404</v>
      </c>
      <c r="S2025">
        <v>-1</v>
      </c>
      <c r="T2025" t="s">
        <v>105</v>
      </c>
      <c r="U2025">
        <v>9</v>
      </c>
      <c r="V2025">
        <v>9</v>
      </c>
      <c r="W2025">
        <v>7.2508806999999997</v>
      </c>
      <c r="X2025">
        <v>27.7810621</v>
      </c>
      <c r="Y2025">
        <v>11.426435399999999</v>
      </c>
      <c r="Z2025">
        <v>85.541756399999997</v>
      </c>
      <c r="AA2025">
        <v>1</v>
      </c>
      <c r="AB2025">
        <v>0</v>
      </c>
      <c r="AC2025" t="s">
        <v>173</v>
      </c>
      <c r="AD2025">
        <v>9</v>
      </c>
      <c r="AE2025" t="s">
        <v>1412</v>
      </c>
      <c r="AF2025">
        <v>110000000</v>
      </c>
      <c r="AG2025" t="s">
        <v>310</v>
      </c>
      <c r="AH2025">
        <f>SUM((MID(Dyno_Data[[#This Row],[Team]],4,5))+(Dyno_Data[[#This Row],[Match]]/100))</f>
        <v>2053.39</v>
      </c>
      <c r="AI2025" s="76">
        <f>ROUND(SUM(IF(Dyno_Data[[#This Row],[AcqCenter]]&gt;0,Dyno_Data[[#This Row],[Time]]-SUMIFS(Dyno_Data[Time],Dyno_Data[Team],Dyno_Data[[#This Row],[Team]],Dyno_Data[RecordType],"StartMatch",Dyno_Data[Match],Dyno_Data[[#This Row],[Match]]),0)*86400),0)</f>
        <v>0</v>
      </c>
    </row>
    <row r="2026" spans="1:35" x14ac:dyDescent="0.3">
      <c r="A2026">
        <v>2025</v>
      </c>
      <c r="B2026" t="s">
        <v>369</v>
      </c>
      <c r="C2026">
        <v>39</v>
      </c>
      <c r="D2026" s="105">
        <v>45373.645433831021</v>
      </c>
      <c r="E2026" t="s">
        <v>316</v>
      </c>
      <c r="F2026" t="s">
        <v>317</v>
      </c>
      <c r="G2026">
        <v>1</v>
      </c>
      <c r="H2026" t="s">
        <v>310</v>
      </c>
      <c r="I2026">
        <v>0</v>
      </c>
      <c r="J2026">
        <v>0</v>
      </c>
      <c r="K2026">
        <v>0</v>
      </c>
      <c r="L2026" t="s">
        <v>310</v>
      </c>
      <c r="M2026" t="s">
        <v>310</v>
      </c>
      <c r="N2026">
        <v>0</v>
      </c>
      <c r="O2026" t="s">
        <v>1395</v>
      </c>
      <c r="P2026" t="s">
        <v>320</v>
      </c>
      <c r="Q2026" t="s">
        <v>1400</v>
      </c>
      <c r="R2026" t="s">
        <v>1404</v>
      </c>
      <c r="S2026">
        <v>0</v>
      </c>
      <c r="T2026" t="s">
        <v>105</v>
      </c>
      <c r="U2026">
        <v>9</v>
      </c>
      <c r="V2026">
        <v>9</v>
      </c>
      <c r="W2026">
        <v>0</v>
      </c>
      <c r="X2026">
        <v>131.0921664</v>
      </c>
      <c r="Y2026">
        <v>0.68098969999999992</v>
      </c>
      <c r="Z2026">
        <v>10.2819287</v>
      </c>
      <c r="AA2026">
        <v>3</v>
      </c>
      <c r="AB2026">
        <v>0</v>
      </c>
      <c r="AC2026" t="s">
        <v>170</v>
      </c>
      <c r="AD2026">
        <v>9</v>
      </c>
      <c r="AE2026" t="s">
        <v>1413</v>
      </c>
      <c r="AF2026">
        <v>0</v>
      </c>
      <c r="AG2026" t="s">
        <v>310</v>
      </c>
      <c r="AH2026">
        <f>SUM((MID(Dyno_Data[[#This Row],[Team]],4,5))+(Dyno_Data[[#This Row],[Match]]/100))</f>
        <v>6463.39</v>
      </c>
      <c r="AI2026" s="76">
        <f>ROUND(SUM(IF(Dyno_Data[[#This Row],[AcqCenter]]&gt;0,Dyno_Data[[#This Row],[Time]]-SUMIFS(Dyno_Data[Time],Dyno_Data[Team],Dyno_Data[[#This Row],[Team]],Dyno_Data[RecordType],"StartMatch",Dyno_Data[Match],Dyno_Data[[#This Row],[Match]]),0)*86400),0)</f>
        <v>0</v>
      </c>
    </row>
    <row r="2027" spans="1:35" x14ac:dyDescent="0.3">
      <c r="A2027">
        <v>2035</v>
      </c>
      <c r="B2027" t="s">
        <v>360</v>
      </c>
      <c r="C2027">
        <v>40</v>
      </c>
      <c r="D2027" s="105">
        <v>45373.648919675928</v>
      </c>
      <c r="E2027" t="s">
        <v>308</v>
      </c>
      <c r="F2027" t="s">
        <v>309</v>
      </c>
      <c r="G2027">
        <v>0</v>
      </c>
      <c r="H2027" t="s">
        <v>310</v>
      </c>
      <c r="I2027">
        <v>0</v>
      </c>
      <c r="J2027">
        <v>0</v>
      </c>
      <c r="K2027">
        <v>0</v>
      </c>
      <c r="L2027" t="s">
        <v>310</v>
      </c>
      <c r="M2027" t="s">
        <v>310</v>
      </c>
      <c r="N2027">
        <v>0</v>
      </c>
      <c r="O2027" t="s">
        <v>1393</v>
      </c>
      <c r="P2027" t="s">
        <v>310</v>
      </c>
      <c r="Q2027" t="s">
        <v>310</v>
      </c>
      <c r="R2027" t="s">
        <v>310</v>
      </c>
      <c r="S2027">
        <v>9</v>
      </c>
      <c r="T2027" t="s">
        <v>310</v>
      </c>
      <c r="U2027">
        <v>9</v>
      </c>
      <c r="V2027">
        <v>9</v>
      </c>
      <c r="W2027">
        <v>0</v>
      </c>
      <c r="X2027">
        <v>0</v>
      </c>
      <c r="Y2027">
        <v>0</v>
      </c>
      <c r="Z2027">
        <v>0</v>
      </c>
      <c r="AA2027">
        <v>9</v>
      </c>
      <c r="AB2027">
        <v>9</v>
      </c>
      <c r="AC2027" t="s">
        <v>310</v>
      </c>
      <c r="AD2027">
        <v>9</v>
      </c>
      <c r="AE2027" t="s">
        <v>1388</v>
      </c>
      <c r="AF2027">
        <v>20000000</v>
      </c>
      <c r="AG2027" t="s">
        <v>310</v>
      </c>
      <c r="AH2027">
        <f>SUM((MID(Dyno_Data[[#This Row],[Team]],4,5))+(Dyno_Data[[#This Row],[Match]]/100))</f>
        <v>1796.4</v>
      </c>
      <c r="AI2027" s="76">
        <f>ROUND(SUM(IF(Dyno_Data[[#This Row],[AcqCenter]]&gt;0,Dyno_Data[[#This Row],[Time]]-SUMIFS(Dyno_Data[Time],Dyno_Data[Team],Dyno_Data[[#This Row],[Team]],Dyno_Data[RecordType],"StartMatch",Dyno_Data[Match],Dyno_Data[[#This Row],[Match]]),0)*86400),0)</f>
        <v>0</v>
      </c>
    </row>
    <row r="2028" spans="1:35" x14ac:dyDescent="0.3">
      <c r="A2028">
        <v>2037</v>
      </c>
      <c r="B2028" t="s">
        <v>364</v>
      </c>
      <c r="C2028">
        <v>40</v>
      </c>
      <c r="D2028" s="105">
        <v>45373.648921099535</v>
      </c>
      <c r="E2028" t="s">
        <v>308</v>
      </c>
      <c r="F2028" t="s">
        <v>309</v>
      </c>
      <c r="G2028">
        <v>0</v>
      </c>
      <c r="H2028" t="s">
        <v>310</v>
      </c>
      <c r="I2028">
        <v>0</v>
      </c>
      <c r="J2028">
        <v>0</v>
      </c>
      <c r="K2028">
        <v>0</v>
      </c>
      <c r="L2028" t="s">
        <v>310</v>
      </c>
      <c r="M2028" t="s">
        <v>310</v>
      </c>
      <c r="N2028">
        <v>0</v>
      </c>
      <c r="O2028" t="s">
        <v>1391</v>
      </c>
      <c r="P2028" t="s">
        <v>310</v>
      </c>
      <c r="Q2028" t="s">
        <v>310</v>
      </c>
      <c r="R2028" t="s">
        <v>310</v>
      </c>
      <c r="S2028">
        <v>9</v>
      </c>
      <c r="T2028" t="s">
        <v>310</v>
      </c>
      <c r="U2028">
        <v>9</v>
      </c>
      <c r="V2028">
        <v>9</v>
      </c>
      <c r="W2028">
        <v>0</v>
      </c>
      <c r="X2028">
        <v>0</v>
      </c>
      <c r="Y2028">
        <v>0</v>
      </c>
      <c r="Z2028">
        <v>0</v>
      </c>
      <c r="AA2028">
        <v>9</v>
      </c>
      <c r="AB2028">
        <v>9</v>
      </c>
      <c r="AC2028" t="s">
        <v>310</v>
      </c>
      <c r="AD2028">
        <v>9</v>
      </c>
      <c r="AE2028" t="s">
        <v>1412</v>
      </c>
      <c r="AF2028">
        <v>0</v>
      </c>
      <c r="AG2028" t="s">
        <v>310</v>
      </c>
      <c r="AH2028">
        <f>SUM((MID(Dyno_Data[[#This Row],[Team]],4,5))+(Dyno_Data[[#This Row],[Match]]/100))</f>
        <v>2791.4</v>
      </c>
      <c r="AI2028" s="76">
        <f>ROUND(SUM(IF(Dyno_Data[[#This Row],[AcqCenter]]&gt;0,Dyno_Data[[#This Row],[Time]]-SUMIFS(Dyno_Data[Time],Dyno_Data[Team],Dyno_Data[[#This Row],[Team]],Dyno_Data[RecordType],"StartMatch",Dyno_Data[Match],Dyno_Data[[#This Row],[Match]]),0)*86400),0)</f>
        <v>0</v>
      </c>
    </row>
    <row r="2029" spans="1:35" x14ac:dyDescent="0.3">
      <c r="A2029">
        <v>2039</v>
      </c>
      <c r="B2029" t="s">
        <v>1301</v>
      </c>
      <c r="C2029">
        <v>40</v>
      </c>
      <c r="D2029" s="105">
        <v>45373.648921840278</v>
      </c>
      <c r="E2029" t="s">
        <v>308</v>
      </c>
      <c r="F2029" t="s">
        <v>309</v>
      </c>
      <c r="G2029">
        <v>0</v>
      </c>
      <c r="H2029" t="s">
        <v>310</v>
      </c>
      <c r="I2029">
        <v>0</v>
      </c>
      <c r="J2029">
        <v>0</v>
      </c>
      <c r="K2029">
        <v>0</v>
      </c>
      <c r="L2029" t="s">
        <v>310</v>
      </c>
      <c r="M2029" t="s">
        <v>310</v>
      </c>
      <c r="N2029">
        <v>0</v>
      </c>
      <c r="O2029" t="s">
        <v>319</v>
      </c>
      <c r="P2029" t="s">
        <v>310</v>
      </c>
      <c r="Q2029" t="s">
        <v>310</v>
      </c>
      <c r="R2029" t="s">
        <v>310</v>
      </c>
      <c r="S2029">
        <v>9</v>
      </c>
      <c r="T2029" t="s">
        <v>310</v>
      </c>
      <c r="U2029">
        <v>9</v>
      </c>
      <c r="V2029">
        <v>9</v>
      </c>
      <c r="W2029">
        <v>0</v>
      </c>
      <c r="X2029">
        <v>0</v>
      </c>
      <c r="Y2029">
        <v>0</v>
      </c>
      <c r="Z2029">
        <v>0</v>
      </c>
      <c r="AA2029">
        <v>9</v>
      </c>
      <c r="AB2029">
        <v>9</v>
      </c>
      <c r="AC2029" t="s">
        <v>310</v>
      </c>
      <c r="AD2029">
        <v>9</v>
      </c>
      <c r="AE2029" t="s">
        <v>1396</v>
      </c>
      <c r="AF2029">
        <v>0</v>
      </c>
      <c r="AG2029" t="s">
        <v>310</v>
      </c>
      <c r="AH2029">
        <f>SUM((MID(Dyno_Data[[#This Row],[Team]],4,5))+(Dyno_Data[[#This Row],[Match]]/100))</f>
        <v>7031.4</v>
      </c>
      <c r="AI2029" s="76">
        <f>ROUND(SUM(IF(Dyno_Data[[#This Row],[AcqCenter]]&gt;0,Dyno_Data[[#This Row],[Time]]-SUMIFS(Dyno_Data[Time],Dyno_Data[Team],Dyno_Data[[#This Row],[Team]],Dyno_Data[RecordType],"StartMatch",Dyno_Data[Match],Dyno_Data[[#This Row],[Match]]),0)*86400),0)</f>
        <v>0</v>
      </c>
    </row>
    <row r="2030" spans="1:35" x14ac:dyDescent="0.3">
      <c r="A2030">
        <v>2041</v>
      </c>
      <c r="B2030" t="s">
        <v>1283</v>
      </c>
      <c r="C2030">
        <v>40</v>
      </c>
      <c r="D2030" s="105">
        <v>45373.648923993052</v>
      </c>
      <c r="E2030" t="s">
        <v>308</v>
      </c>
      <c r="F2030" t="s">
        <v>309</v>
      </c>
      <c r="G2030">
        <v>0</v>
      </c>
      <c r="H2030" t="s">
        <v>310</v>
      </c>
      <c r="I2030">
        <v>0</v>
      </c>
      <c r="J2030">
        <v>0</v>
      </c>
      <c r="K2030">
        <v>0</v>
      </c>
      <c r="L2030" t="s">
        <v>310</v>
      </c>
      <c r="M2030" t="s">
        <v>310</v>
      </c>
      <c r="N2030">
        <v>0</v>
      </c>
      <c r="O2030" t="s">
        <v>1389</v>
      </c>
      <c r="P2030" t="s">
        <v>310</v>
      </c>
      <c r="Q2030" t="s">
        <v>310</v>
      </c>
      <c r="R2030" t="s">
        <v>310</v>
      </c>
      <c r="S2030">
        <v>9</v>
      </c>
      <c r="T2030" t="s">
        <v>310</v>
      </c>
      <c r="U2030">
        <v>9</v>
      </c>
      <c r="V2030">
        <v>9</v>
      </c>
      <c r="W2030">
        <v>0</v>
      </c>
      <c r="X2030">
        <v>0</v>
      </c>
      <c r="Y2030">
        <v>0</v>
      </c>
      <c r="Z2030">
        <v>0</v>
      </c>
      <c r="AA2030">
        <v>9</v>
      </c>
      <c r="AB2030">
        <v>9</v>
      </c>
      <c r="AC2030" t="s">
        <v>310</v>
      </c>
      <c r="AD2030">
        <v>9</v>
      </c>
      <c r="AE2030" t="s">
        <v>1390</v>
      </c>
      <c r="AF2030">
        <v>0</v>
      </c>
      <c r="AG2030" t="s">
        <v>310</v>
      </c>
      <c r="AH2030">
        <f>SUM((MID(Dyno_Data[[#This Row],[Team]],4,5))+(Dyno_Data[[#This Row],[Match]]/100))</f>
        <v>1601.4</v>
      </c>
      <c r="AI2030" s="76">
        <f>ROUND(SUM(IF(Dyno_Data[[#This Row],[AcqCenter]]&gt;0,Dyno_Data[[#This Row],[Time]]-SUMIFS(Dyno_Data[Time],Dyno_Data[Team],Dyno_Data[[#This Row],[Team]],Dyno_Data[RecordType],"StartMatch",Dyno_Data[Match],Dyno_Data[[#This Row],[Match]]),0)*86400),0)</f>
        <v>0</v>
      </c>
    </row>
    <row r="2031" spans="1:35" x14ac:dyDescent="0.3">
      <c r="A2031">
        <v>2043</v>
      </c>
      <c r="B2031" t="s">
        <v>373</v>
      </c>
      <c r="C2031">
        <v>40</v>
      </c>
      <c r="D2031" s="105">
        <v>45373.648924733796</v>
      </c>
      <c r="E2031" t="s">
        <v>308</v>
      </c>
      <c r="F2031" t="s">
        <v>309</v>
      </c>
      <c r="G2031">
        <v>0</v>
      </c>
      <c r="H2031" t="s">
        <v>310</v>
      </c>
      <c r="I2031">
        <v>0</v>
      </c>
      <c r="J2031">
        <v>0</v>
      </c>
      <c r="K2031">
        <v>0</v>
      </c>
      <c r="L2031" t="s">
        <v>310</v>
      </c>
      <c r="M2031" t="s">
        <v>310</v>
      </c>
      <c r="N2031">
        <v>0</v>
      </c>
      <c r="O2031" t="s">
        <v>1395</v>
      </c>
      <c r="P2031" t="s">
        <v>310</v>
      </c>
      <c r="Q2031" t="s">
        <v>310</v>
      </c>
      <c r="R2031" t="s">
        <v>310</v>
      </c>
      <c r="S2031">
        <v>9</v>
      </c>
      <c r="T2031" t="s">
        <v>310</v>
      </c>
      <c r="U2031">
        <v>9</v>
      </c>
      <c r="V2031">
        <v>9</v>
      </c>
      <c r="W2031">
        <v>0</v>
      </c>
      <c r="X2031">
        <v>0</v>
      </c>
      <c r="Y2031">
        <v>0</v>
      </c>
      <c r="Z2031">
        <v>0</v>
      </c>
      <c r="AA2031">
        <v>9</v>
      </c>
      <c r="AB2031">
        <v>9</v>
      </c>
      <c r="AC2031" t="s">
        <v>310</v>
      </c>
      <c r="AD2031">
        <v>9</v>
      </c>
      <c r="AE2031" t="s">
        <v>1413</v>
      </c>
      <c r="AF2031">
        <v>0</v>
      </c>
      <c r="AG2031" t="s">
        <v>310</v>
      </c>
      <c r="AH2031">
        <f>SUM((MID(Dyno_Data[[#This Row],[Team]],4,5))+(Dyno_Data[[#This Row],[Match]]/100))</f>
        <v>7718.4</v>
      </c>
      <c r="AI2031" s="76">
        <f>ROUND(SUM(IF(Dyno_Data[[#This Row],[AcqCenter]]&gt;0,Dyno_Data[[#This Row],[Time]]-SUMIFS(Dyno_Data[Time],Dyno_Data[Team],Dyno_Data[[#This Row],[Team]],Dyno_Data[RecordType],"StartMatch",Dyno_Data[Match],Dyno_Data[[#This Row],[Match]]),0)*86400),0)</f>
        <v>0</v>
      </c>
    </row>
    <row r="2032" spans="1:35" x14ac:dyDescent="0.3">
      <c r="A2032">
        <v>2045</v>
      </c>
      <c r="B2032" t="s">
        <v>372</v>
      </c>
      <c r="C2032">
        <v>40</v>
      </c>
      <c r="D2032" s="105">
        <v>45373.648931215277</v>
      </c>
      <c r="E2032" t="s">
        <v>308</v>
      </c>
      <c r="F2032" t="s">
        <v>309</v>
      </c>
      <c r="G2032">
        <v>0</v>
      </c>
      <c r="H2032" t="s">
        <v>310</v>
      </c>
      <c r="I2032">
        <v>0</v>
      </c>
      <c r="J2032">
        <v>0</v>
      </c>
      <c r="K2032">
        <v>0</v>
      </c>
      <c r="L2032" t="s">
        <v>310</v>
      </c>
      <c r="M2032" t="s">
        <v>310</v>
      </c>
      <c r="N2032">
        <v>0</v>
      </c>
      <c r="O2032" t="s">
        <v>311</v>
      </c>
      <c r="P2032" t="s">
        <v>310</v>
      </c>
      <c r="Q2032" t="s">
        <v>310</v>
      </c>
      <c r="R2032" t="s">
        <v>310</v>
      </c>
      <c r="S2032">
        <v>9</v>
      </c>
      <c r="T2032" t="s">
        <v>310</v>
      </c>
      <c r="U2032">
        <v>9</v>
      </c>
      <c r="V2032">
        <v>9</v>
      </c>
      <c r="W2032">
        <v>0</v>
      </c>
      <c r="X2032">
        <v>0</v>
      </c>
      <c r="Y2032">
        <v>0</v>
      </c>
      <c r="Z2032">
        <v>0</v>
      </c>
      <c r="AA2032">
        <v>9</v>
      </c>
      <c r="AB2032">
        <v>9</v>
      </c>
      <c r="AC2032" t="s">
        <v>310</v>
      </c>
      <c r="AD2032">
        <v>9</v>
      </c>
      <c r="AE2032" t="s">
        <v>1414</v>
      </c>
      <c r="AF2032">
        <v>20000000</v>
      </c>
      <c r="AG2032" t="s">
        <v>310</v>
      </c>
      <c r="AH2032">
        <f>SUM((MID(Dyno_Data[[#This Row],[Team]],4,5))+(Dyno_Data[[#This Row],[Match]]/100))</f>
        <v>7504.4</v>
      </c>
      <c r="AI2032" s="76">
        <f>ROUND(SUM(IF(Dyno_Data[[#This Row],[AcqCenter]]&gt;0,Dyno_Data[[#This Row],[Time]]-SUMIFS(Dyno_Data[Time],Dyno_Data[Team],Dyno_Data[[#This Row],[Team]],Dyno_Data[RecordType],"StartMatch",Dyno_Data[Match],Dyno_Data[[#This Row],[Match]]),0)*86400),0)</f>
        <v>0</v>
      </c>
    </row>
    <row r="2033" spans="1:35" x14ac:dyDescent="0.3">
      <c r="A2033">
        <v>2026</v>
      </c>
      <c r="B2033" t="s">
        <v>360</v>
      </c>
      <c r="C2033">
        <v>40</v>
      </c>
      <c r="D2033" s="105">
        <v>45373.648937534723</v>
      </c>
      <c r="E2033" t="s">
        <v>312</v>
      </c>
      <c r="F2033" t="s">
        <v>309</v>
      </c>
      <c r="G2033">
        <v>0</v>
      </c>
      <c r="H2033" t="s">
        <v>1397</v>
      </c>
      <c r="I2033">
        <v>0</v>
      </c>
      <c r="J2033">
        <v>0</v>
      </c>
      <c r="K2033">
        <v>0</v>
      </c>
      <c r="L2033" t="s">
        <v>240</v>
      </c>
      <c r="M2033" t="s">
        <v>1398</v>
      </c>
      <c r="N2033">
        <v>0</v>
      </c>
      <c r="O2033" t="s">
        <v>1393</v>
      </c>
      <c r="P2033" t="s">
        <v>310</v>
      </c>
      <c r="Q2033" t="s">
        <v>310</v>
      </c>
      <c r="R2033" t="s">
        <v>310</v>
      </c>
      <c r="S2033">
        <v>9</v>
      </c>
      <c r="T2033" t="s">
        <v>310</v>
      </c>
      <c r="U2033">
        <v>9</v>
      </c>
      <c r="V2033">
        <v>9</v>
      </c>
      <c r="W2033">
        <v>0</v>
      </c>
      <c r="X2033">
        <v>0</v>
      </c>
      <c r="Y2033">
        <v>0</v>
      </c>
      <c r="Z2033">
        <v>0</v>
      </c>
      <c r="AA2033">
        <v>9</v>
      </c>
      <c r="AB2033">
        <v>9</v>
      </c>
      <c r="AC2033" t="s">
        <v>310</v>
      </c>
      <c r="AD2033">
        <v>9</v>
      </c>
      <c r="AE2033" t="s">
        <v>1388</v>
      </c>
      <c r="AF2033">
        <v>0</v>
      </c>
      <c r="AG2033" t="s">
        <v>310</v>
      </c>
      <c r="AH2033">
        <f>SUM((MID(Dyno_Data[[#This Row],[Team]],4,5))+(Dyno_Data[[#This Row],[Match]]/100))</f>
        <v>1796.4</v>
      </c>
      <c r="AI2033" s="76">
        <f>ROUND(SUM(IF(Dyno_Data[[#This Row],[AcqCenter]]&gt;0,Dyno_Data[[#This Row],[Time]]-SUMIFS(Dyno_Data[Time],Dyno_Data[Team],Dyno_Data[[#This Row],[Team]],Dyno_Data[RecordType],"StartMatch",Dyno_Data[Match],Dyno_Data[[#This Row],[Match]]),0)*86400),0)</f>
        <v>0</v>
      </c>
    </row>
    <row r="2034" spans="1:35" x14ac:dyDescent="0.3">
      <c r="A2034">
        <v>2027</v>
      </c>
      <c r="B2034" t="s">
        <v>360</v>
      </c>
      <c r="C2034">
        <v>40</v>
      </c>
      <c r="D2034" s="105">
        <v>45373.648954363423</v>
      </c>
      <c r="E2034" t="s">
        <v>312</v>
      </c>
      <c r="F2034" t="s">
        <v>309</v>
      </c>
      <c r="G2034">
        <v>0</v>
      </c>
      <c r="H2034" t="s">
        <v>315</v>
      </c>
      <c r="I2034">
        <v>0</v>
      </c>
      <c r="J2034">
        <v>0</v>
      </c>
      <c r="K2034">
        <v>0</v>
      </c>
      <c r="L2034" t="s">
        <v>240</v>
      </c>
      <c r="M2034" t="s">
        <v>1398</v>
      </c>
      <c r="N2034">
        <v>0</v>
      </c>
      <c r="O2034" t="s">
        <v>1393</v>
      </c>
      <c r="P2034" t="s">
        <v>310</v>
      </c>
      <c r="Q2034" t="s">
        <v>310</v>
      </c>
      <c r="R2034" t="s">
        <v>310</v>
      </c>
      <c r="S2034">
        <v>9</v>
      </c>
      <c r="T2034" t="s">
        <v>310</v>
      </c>
      <c r="U2034">
        <v>9</v>
      </c>
      <c r="V2034">
        <v>9</v>
      </c>
      <c r="W2034">
        <v>0</v>
      </c>
      <c r="X2034">
        <v>0</v>
      </c>
      <c r="Y2034">
        <v>0</v>
      </c>
      <c r="Z2034">
        <v>0</v>
      </c>
      <c r="AA2034">
        <v>9</v>
      </c>
      <c r="AB2034">
        <v>9</v>
      </c>
      <c r="AC2034" t="s">
        <v>310</v>
      </c>
      <c r="AD2034">
        <v>9</v>
      </c>
      <c r="AE2034" t="s">
        <v>1388</v>
      </c>
      <c r="AF2034">
        <v>10000000</v>
      </c>
      <c r="AG2034" t="s">
        <v>310</v>
      </c>
      <c r="AH2034">
        <f>SUM((MID(Dyno_Data[[#This Row],[Team]],4,5))+(Dyno_Data[[#This Row],[Match]]/100))</f>
        <v>1796.4</v>
      </c>
      <c r="AI2034" s="76">
        <f>ROUND(SUM(IF(Dyno_Data[[#This Row],[AcqCenter]]&gt;0,Dyno_Data[[#This Row],[Time]]-SUMIFS(Dyno_Data[Time],Dyno_Data[Team],Dyno_Data[[#This Row],[Team]],Dyno_Data[RecordType],"StartMatch",Dyno_Data[Match],Dyno_Data[[#This Row],[Match]]),0)*86400),0)</f>
        <v>0</v>
      </c>
    </row>
    <row r="2035" spans="1:35" x14ac:dyDescent="0.3">
      <c r="A2035">
        <v>2028</v>
      </c>
      <c r="B2035" t="s">
        <v>364</v>
      </c>
      <c r="C2035">
        <v>40</v>
      </c>
      <c r="D2035" s="105">
        <v>45373.648965972221</v>
      </c>
      <c r="E2035" t="s">
        <v>312</v>
      </c>
      <c r="F2035" t="s">
        <v>309</v>
      </c>
      <c r="G2035">
        <v>0</v>
      </c>
      <c r="H2035" t="s">
        <v>1397</v>
      </c>
      <c r="I2035">
        <v>0</v>
      </c>
      <c r="J2035">
        <v>0</v>
      </c>
      <c r="K2035">
        <v>0</v>
      </c>
      <c r="L2035" t="s">
        <v>241</v>
      </c>
      <c r="M2035" t="s">
        <v>1398</v>
      </c>
      <c r="N2035">
        <v>0</v>
      </c>
      <c r="O2035" t="s">
        <v>1391</v>
      </c>
      <c r="P2035" t="s">
        <v>310</v>
      </c>
      <c r="Q2035" t="s">
        <v>310</v>
      </c>
      <c r="R2035" t="s">
        <v>310</v>
      </c>
      <c r="S2035">
        <v>9</v>
      </c>
      <c r="T2035" t="s">
        <v>310</v>
      </c>
      <c r="U2035">
        <v>9</v>
      </c>
      <c r="V2035">
        <v>9</v>
      </c>
      <c r="W2035">
        <v>0</v>
      </c>
      <c r="X2035">
        <v>0</v>
      </c>
      <c r="Y2035">
        <v>0</v>
      </c>
      <c r="Z2035">
        <v>0</v>
      </c>
      <c r="AA2035">
        <v>9</v>
      </c>
      <c r="AB2035">
        <v>9</v>
      </c>
      <c r="AC2035" t="s">
        <v>310</v>
      </c>
      <c r="AD2035">
        <v>9</v>
      </c>
      <c r="AE2035" t="s">
        <v>1412</v>
      </c>
      <c r="AF2035">
        <v>0</v>
      </c>
      <c r="AG2035" t="s">
        <v>310</v>
      </c>
      <c r="AH2035">
        <f>SUM((MID(Dyno_Data[[#This Row],[Team]],4,5))+(Dyno_Data[[#This Row],[Match]]/100))</f>
        <v>2791.4</v>
      </c>
      <c r="AI2035" s="76">
        <f>ROUND(SUM(IF(Dyno_Data[[#This Row],[AcqCenter]]&gt;0,Dyno_Data[[#This Row],[Time]]-SUMIFS(Dyno_Data[Time],Dyno_Data[Team],Dyno_Data[[#This Row],[Team]],Dyno_Data[RecordType],"StartMatch",Dyno_Data[Match],Dyno_Data[[#This Row],[Match]]),0)*86400),0)</f>
        <v>0</v>
      </c>
    </row>
    <row r="2036" spans="1:35" x14ac:dyDescent="0.3">
      <c r="A2036">
        <v>2029</v>
      </c>
      <c r="B2036" t="s">
        <v>360</v>
      </c>
      <c r="C2036">
        <v>40</v>
      </c>
      <c r="D2036" s="105">
        <v>45373.648970254631</v>
      </c>
      <c r="E2036" t="s">
        <v>312</v>
      </c>
      <c r="F2036" t="s">
        <v>309</v>
      </c>
      <c r="G2036">
        <v>0</v>
      </c>
      <c r="H2036" t="s">
        <v>315</v>
      </c>
      <c r="I2036">
        <v>0</v>
      </c>
      <c r="J2036">
        <v>0</v>
      </c>
      <c r="K2036">
        <v>0</v>
      </c>
      <c r="L2036" t="s">
        <v>240</v>
      </c>
      <c r="M2036" t="s">
        <v>1398</v>
      </c>
      <c r="N2036">
        <v>0</v>
      </c>
      <c r="O2036" t="s">
        <v>1393</v>
      </c>
      <c r="P2036" t="s">
        <v>310</v>
      </c>
      <c r="Q2036" t="s">
        <v>310</v>
      </c>
      <c r="R2036" t="s">
        <v>310</v>
      </c>
      <c r="S2036">
        <v>9</v>
      </c>
      <c r="T2036" t="s">
        <v>310</v>
      </c>
      <c r="U2036">
        <v>9</v>
      </c>
      <c r="V2036">
        <v>9</v>
      </c>
      <c r="W2036">
        <v>0</v>
      </c>
      <c r="X2036">
        <v>0</v>
      </c>
      <c r="Y2036">
        <v>0</v>
      </c>
      <c r="Z2036">
        <v>0</v>
      </c>
      <c r="AA2036">
        <v>9</v>
      </c>
      <c r="AB2036">
        <v>9</v>
      </c>
      <c r="AC2036" t="s">
        <v>310</v>
      </c>
      <c r="AD2036">
        <v>9</v>
      </c>
      <c r="AE2036" t="s">
        <v>1388</v>
      </c>
      <c r="AF2036">
        <v>20000000</v>
      </c>
      <c r="AG2036" t="s">
        <v>310</v>
      </c>
      <c r="AH2036">
        <f>SUM((MID(Dyno_Data[[#This Row],[Team]],4,5))+(Dyno_Data[[#This Row],[Match]]/100))</f>
        <v>1796.4</v>
      </c>
      <c r="AI2036" s="76">
        <f>ROUND(SUM(IF(Dyno_Data[[#This Row],[AcqCenter]]&gt;0,Dyno_Data[[#This Row],[Time]]-SUMIFS(Dyno_Data[Time],Dyno_Data[Team],Dyno_Data[[#This Row],[Team]],Dyno_Data[RecordType],"StartMatch",Dyno_Data[Match],Dyno_Data[[#This Row],[Match]]),0)*86400),0)</f>
        <v>0</v>
      </c>
    </row>
    <row r="2037" spans="1:35" x14ac:dyDescent="0.3">
      <c r="A2037">
        <v>2030</v>
      </c>
      <c r="B2037" t="s">
        <v>1283</v>
      </c>
      <c r="C2037">
        <v>40</v>
      </c>
      <c r="D2037" s="105">
        <v>45373.648974768519</v>
      </c>
      <c r="E2037" t="s">
        <v>312</v>
      </c>
      <c r="F2037" t="s">
        <v>309</v>
      </c>
      <c r="G2037">
        <v>0</v>
      </c>
      <c r="H2037" t="s">
        <v>1397</v>
      </c>
      <c r="I2037">
        <v>0</v>
      </c>
      <c r="J2037">
        <v>0</v>
      </c>
      <c r="K2037">
        <v>0</v>
      </c>
      <c r="L2037" t="s">
        <v>240</v>
      </c>
      <c r="M2037" t="s">
        <v>1398</v>
      </c>
      <c r="N2037">
        <v>0</v>
      </c>
      <c r="O2037" t="s">
        <v>1389</v>
      </c>
      <c r="P2037" t="s">
        <v>310</v>
      </c>
      <c r="Q2037" t="s">
        <v>310</v>
      </c>
      <c r="R2037" t="s">
        <v>310</v>
      </c>
      <c r="S2037">
        <v>9</v>
      </c>
      <c r="T2037" t="s">
        <v>310</v>
      </c>
      <c r="U2037">
        <v>9</v>
      </c>
      <c r="V2037">
        <v>9</v>
      </c>
      <c r="W2037">
        <v>0</v>
      </c>
      <c r="X2037">
        <v>0</v>
      </c>
      <c r="Y2037">
        <v>0</v>
      </c>
      <c r="Z2037">
        <v>0</v>
      </c>
      <c r="AA2037">
        <v>9</v>
      </c>
      <c r="AB2037">
        <v>9</v>
      </c>
      <c r="AC2037" t="s">
        <v>310</v>
      </c>
      <c r="AD2037">
        <v>9</v>
      </c>
      <c r="AE2037" t="s">
        <v>1390</v>
      </c>
      <c r="AF2037">
        <v>0</v>
      </c>
      <c r="AG2037" t="s">
        <v>310</v>
      </c>
      <c r="AH2037">
        <f>SUM((MID(Dyno_Data[[#This Row],[Team]],4,5))+(Dyno_Data[[#This Row],[Match]]/100))</f>
        <v>1601.4</v>
      </c>
      <c r="AI2037" s="76">
        <f>ROUND(SUM(IF(Dyno_Data[[#This Row],[AcqCenter]]&gt;0,Dyno_Data[[#This Row],[Time]]-SUMIFS(Dyno_Data[Time],Dyno_Data[Team],Dyno_Data[[#This Row],[Team]],Dyno_Data[RecordType],"StartMatch",Dyno_Data[Match],Dyno_Data[[#This Row],[Match]]),0)*86400),0)</f>
        <v>0</v>
      </c>
    </row>
    <row r="2038" spans="1:35" x14ac:dyDescent="0.3">
      <c r="A2038">
        <v>2031</v>
      </c>
      <c r="B2038" t="s">
        <v>372</v>
      </c>
      <c r="C2038">
        <v>40</v>
      </c>
      <c r="D2038" s="105">
        <v>45373.64901947917</v>
      </c>
      <c r="E2038" t="s">
        <v>312</v>
      </c>
      <c r="F2038" t="s">
        <v>309</v>
      </c>
      <c r="G2038">
        <v>0</v>
      </c>
      <c r="H2038" t="s">
        <v>1397</v>
      </c>
      <c r="I2038">
        <v>0</v>
      </c>
      <c r="J2038">
        <v>0</v>
      </c>
      <c r="K2038">
        <v>0</v>
      </c>
      <c r="L2038" t="s">
        <v>240</v>
      </c>
      <c r="M2038" t="s">
        <v>1398</v>
      </c>
      <c r="N2038">
        <v>0</v>
      </c>
      <c r="O2038" t="s">
        <v>311</v>
      </c>
      <c r="P2038" t="s">
        <v>310</v>
      </c>
      <c r="Q2038" t="s">
        <v>310</v>
      </c>
      <c r="R2038" t="s">
        <v>310</v>
      </c>
      <c r="S2038">
        <v>9</v>
      </c>
      <c r="T2038" t="s">
        <v>310</v>
      </c>
      <c r="U2038">
        <v>9</v>
      </c>
      <c r="V2038">
        <v>9</v>
      </c>
      <c r="W2038">
        <v>0</v>
      </c>
      <c r="X2038">
        <v>0</v>
      </c>
      <c r="Y2038">
        <v>0</v>
      </c>
      <c r="Z2038">
        <v>0</v>
      </c>
      <c r="AA2038">
        <v>9</v>
      </c>
      <c r="AB2038">
        <v>9</v>
      </c>
      <c r="AC2038" t="s">
        <v>310</v>
      </c>
      <c r="AD2038">
        <v>9</v>
      </c>
      <c r="AE2038" t="s">
        <v>1414</v>
      </c>
      <c r="AF2038">
        <v>0</v>
      </c>
      <c r="AG2038" t="s">
        <v>310</v>
      </c>
      <c r="AH2038">
        <f>SUM((MID(Dyno_Data[[#This Row],[Team]],4,5))+(Dyno_Data[[#This Row],[Match]]/100))</f>
        <v>7504.4</v>
      </c>
      <c r="AI2038" s="76">
        <f>ROUND(SUM(IF(Dyno_Data[[#This Row],[AcqCenter]]&gt;0,Dyno_Data[[#This Row],[Time]]-SUMIFS(Dyno_Data[Time],Dyno_Data[Team],Dyno_Data[[#This Row],[Team]],Dyno_Data[RecordType],"StartMatch",Dyno_Data[Match],Dyno_Data[[#This Row],[Match]]),0)*86400),0)</f>
        <v>0</v>
      </c>
    </row>
    <row r="2039" spans="1:35" x14ac:dyDescent="0.3">
      <c r="A2039">
        <v>2032</v>
      </c>
      <c r="B2039" t="s">
        <v>372</v>
      </c>
      <c r="C2039">
        <v>40</v>
      </c>
      <c r="D2039" s="105">
        <v>45373.649046261577</v>
      </c>
      <c r="E2039" t="s">
        <v>312</v>
      </c>
      <c r="F2039" t="s">
        <v>309</v>
      </c>
      <c r="G2039">
        <v>0</v>
      </c>
      <c r="H2039" t="s">
        <v>315</v>
      </c>
      <c r="I2039">
        <v>0</v>
      </c>
      <c r="J2039">
        <v>0</v>
      </c>
      <c r="K2039">
        <v>0</v>
      </c>
      <c r="L2039" t="s">
        <v>240</v>
      </c>
      <c r="M2039" t="s">
        <v>101</v>
      </c>
      <c r="N2039">
        <v>0</v>
      </c>
      <c r="O2039" t="s">
        <v>311</v>
      </c>
      <c r="P2039" t="s">
        <v>310</v>
      </c>
      <c r="Q2039" t="s">
        <v>310</v>
      </c>
      <c r="R2039" t="s">
        <v>310</v>
      </c>
      <c r="S2039">
        <v>9</v>
      </c>
      <c r="T2039" t="s">
        <v>310</v>
      </c>
      <c r="U2039">
        <v>9</v>
      </c>
      <c r="V2039">
        <v>9</v>
      </c>
      <c r="W2039">
        <v>0</v>
      </c>
      <c r="X2039">
        <v>0</v>
      </c>
      <c r="Y2039">
        <v>0</v>
      </c>
      <c r="Z2039">
        <v>0</v>
      </c>
      <c r="AA2039">
        <v>9</v>
      </c>
      <c r="AB2039">
        <v>9</v>
      </c>
      <c r="AC2039" t="s">
        <v>310</v>
      </c>
      <c r="AD2039">
        <v>9</v>
      </c>
      <c r="AE2039" t="s">
        <v>1414</v>
      </c>
      <c r="AF2039">
        <v>10000000</v>
      </c>
      <c r="AG2039" t="s">
        <v>310</v>
      </c>
      <c r="AH2039">
        <f>SUM((MID(Dyno_Data[[#This Row],[Team]],4,5))+(Dyno_Data[[#This Row],[Match]]/100))</f>
        <v>7504.4</v>
      </c>
      <c r="AI2039" s="76">
        <f>ROUND(SUM(IF(Dyno_Data[[#This Row],[AcqCenter]]&gt;0,Dyno_Data[[#This Row],[Time]]-SUMIFS(Dyno_Data[Time],Dyno_Data[Team],Dyno_Data[[#This Row],[Team]],Dyno_Data[RecordType],"StartMatch",Dyno_Data[Match],Dyno_Data[[#This Row],[Match]]),0)*86400),0)</f>
        <v>0</v>
      </c>
    </row>
    <row r="2040" spans="1:35" x14ac:dyDescent="0.3">
      <c r="A2040">
        <v>2033</v>
      </c>
      <c r="B2040" t="s">
        <v>364</v>
      </c>
      <c r="C2040">
        <v>40</v>
      </c>
      <c r="D2040" s="105">
        <v>45373.649052118053</v>
      </c>
      <c r="E2040" t="s">
        <v>312</v>
      </c>
      <c r="F2040" t="s">
        <v>309</v>
      </c>
      <c r="G2040">
        <v>0</v>
      </c>
      <c r="H2040" t="s">
        <v>143</v>
      </c>
      <c r="I2040">
        <v>2</v>
      </c>
      <c r="J2040">
        <v>1</v>
      </c>
      <c r="K2040">
        <v>0</v>
      </c>
      <c r="L2040" t="s">
        <v>310</v>
      </c>
      <c r="M2040" t="s">
        <v>310</v>
      </c>
      <c r="N2040">
        <v>0</v>
      </c>
      <c r="O2040" t="s">
        <v>1391</v>
      </c>
      <c r="P2040" t="s">
        <v>310</v>
      </c>
      <c r="Q2040" t="s">
        <v>310</v>
      </c>
      <c r="R2040" t="s">
        <v>310</v>
      </c>
      <c r="S2040">
        <v>9</v>
      </c>
      <c r="T2040" t="s">
        <v>310</v>
      </c>
      <c r="U2040">
        <v>9</v>
      </c>
      <c r="V2040">
        <v>9</v>
      </c>
      <c r="W2040">
        <v>0</v>
      </c>
      <c r="X2040">
        <v>0</v>
      </c>
      <c r="Y2040">
        <v>0</v>
      </c>
      <c r="Z2040">
        <v>0</v>
      </c>
      <c r="AA2040">
        <v>9</v>
      </c>
      <c r="AB2040">
        <v>9</v>
      </c>
      <c r="AC2040" t="s">
        <v>310</v>
      </c>
      <c r="AD2040">
        <v>9</v>
      </c>
      <c r="AE2040" t="s">
        <v>1412</v>
      </c>
      <c r="AF2040">
        <v>0</v>
      </c>
      <c r="AG2040" t="s">
        <v>310</v>
      </c>
      <c r="AH2040">
        <f>SUM((MID(Dyno_Data[[#This Row],[Team]],4,5))+(Dyno_Data[[#This Row],[Match]]/100))</f>
        <v>2791.4</v>
      </c>
      <c r="AI2040" s="76">
        <f>ROUND(SUM(IF(Dyno_Data[[#This Row],[AcqCenter]]&gt;0,Dyno_Data[[#This Row],[Time]]-SUMIFS(Dyno_Data[Time],Dyno_Data[Team],Dyno_Data[[#This Row],[Team]],Dyno_Data[RecordType],"StartMatch",Dyno_Data[Match],Dyno_Data[[#This Row],[Match]]),0)*86400),0)</f>
        <v>11</v>
      </c>
    </row>
    <row r="2041" spans="1:35" x14ac:dyDescent="0.3">
      <c r="A2041">
        <v>2034</v>
      </c>
      <c r="B2041" t="s">
        <v>372</v>
      </c>
      <c r="C2041">
        <v>40</v>
      </c>
      <c r="D2041" s="105">
        <v>45373.649097719906</v>
      </c>
      <c r="E2041" t="s">
        <v>312</v>
      </c>
      <c r="F2041" t="s">
        <v>309</v>
      </c>
      <c r="G2041">
        <v>0</v>
      </c>
      <c r="H2041" t="s">
        <v>315</v>
      </c>
      <c r="I2041">
        <v>0</v>
      </c>
      <c r="J2041">
        <v>0</v>
      </c>
      <c r="K2041">
        <v>0</v>
      </c>
      <c r="L2041" t="s">
        <v>240</v>
      </c>
      <c r="M2041" t="s">
        <v>1398</v>
      </c>
      <c r="N2041">
        <v>0</v>
      </c>
      <c r="O2041" t="s">
        <v>311</v>
      </c>
      <c r="P2041" t="s">
        <v>310</v>
      </c>
      <c r="Q2041" t="s">
        <v>310</v>
      </c>
      <c r="R2041" t="s">
        <v>310</v>
      </c>
      <c r="S2041">
        <v>9</v>
      </c>
      <c r="T2041" t="s">
        <v>310</v>
      </c>
      <c r="U2041">
        <v>9</v>
      </c>
      <c r="V2041">
        <v>9</v>
      </c>
      <c r="W2041">
        <v>0</v>
      </c>
      <c r="X2041">
        <v>0</v>
      </c>
      <c r="Y2041">
        <v>0</v>
      </c>
      <c r="Z2041">
        <v>0</v>
      </c>
      <c r="AA2041">
        <v>9</v>
      </c>
      <c r="AB2041">
        <v>9</v>
      </c>
      <c r="AC2041" t="s">
        <v>310</v>
      </c>
      <c r="AD2041">
        <v>9</v>
      </c>
      <c r="AE2041" t="s">
        <v>1414</v>
      </c>
      <c r="AF2041">
        <v>20000000</v>
      </c>
      <c r="AG2041" t="s">
        <v>310</v>
      </c>
      <c r="AH2041">
        <f>SUM((MID(Dyno_Data[[#This Row],[Team]],4,5))+(Dyno_Data[[#This Row],[Match]]/100))</f>
        <v>7504.4</v>
      </c>
      <c r="AI2041" s="76">
        <f>ROUND(SUM(IF(Dyno_Data[[#This Row],[AcqCenter]]&gt;0,Dyno_Data[[#This Row],[Time]]-SUMIFS(Dyno_Data[Time],Dyno_Data[Team],Dyno_Data[[#This Row],[Team]],Dyno_Data[RecordType],"StartMatch",Dyno_Data[Match],Dyno_Data[[#This Row],[Match]]),0)*86400),0)</f>
        <v>0</v>
      </c>
    </row>
    <row r="2042" spans="1:35" x14ac:dyDescent="0.3">
      <c r="A2042">
        <v>2036</v>
      </c>
      <c r="B2042" t="s">
        <v>360</v>
      </c>
      <c r="C2042">
        <v>40</v>
      </c>
      <c r="D2042" s="105">
        <v>45373.64912800926</v>
      </c>
      <c r="E2042" t="s">
        <v>314</v>
      </c>
      <c r="F2042" t="s">
        <v>309</v>
      </c>
      <c r="G2042">
        <v>1</v>
      </c>
      <c r="H2042" t="s">
        <v>310</v>
      </c>
      <c r="I2042">
        <v>0</v>
      </c>
      <c r="J2042">
        <v>0</v>
      </c>
      <c r="K2042">
        <v>0</v>
      </c>
      <c r="L2042" t="s">
        <v>310</v>
      </c>
      <c r="M2042" t="s">
        <v>310</v>
      </c>
      <c r="N2042">
        <v>0</v>
      </c>
      <c r="O2042" t="s">
        <v>1393</v>
      </c>
      <c r="P2042" t="s">
        <v>240</v>
      </c>
      <c r="Q2042" t="s">
        <v>1399</v>
      </c>
      <c r="R2042" t="s">
        <v>310</v>
      </c>
      <c r="S2042">
        <v>9</v>
      </c>
      <c r="T2042" t="s">
        <v>310</v>
      </c>
      <c r="U2042">
        <v>9</v>
      </c>
      <c r="V2042">
        <v>9</v>
      </c>
      <c r="W2042">
        <v>0</v>
      </c>
      <c r="X2042">
        <v>0</v>
      </c>
      <c r="Y2042">
        <v>0</v>
      </c>
      <c r="Z2042">
        <v>0</v>
      </c>
      <c r="AA2042">
        <v>9</v>
      </c>
      <c r="AB2042">
        <v>9</v>
      </c>
      <c r="AC2042" t="s">
        <v>310</v>
      </c>
      <c r="AD2042">
        <v>9</v>
      </c>
      <c r="AE2042" t="s">
        <v>1388</v>
      </c>
      <c r="AF2042">
        <v>20000000</v>
      </c>
      <c r="AG2042" t="s">
        <v>310</v>
      </c>
      <c r="AH2042">
        <f>SUM((MID(Dyno_Data[[#This Row],[Team]],4,5))+(Dyno_Data[[#This Row],[Match]]/100))</f>
        <v>1796.4</v>
      </c>
      <c r="AI2042" s="76">
        <f>ROUND(SUM(IF(Dyno_Data[[#This Row],[AcqCenter]]&gt;0,Dyno_Data[[#This Row],[Time]]-SUMIFS(Dyno_Data[Time],Dyno_Data[Team],Dyno_Data[[#This Row],[Team]],Dyno_Data[RecordType],"StartMatch",Dyno_Data[Match],Dyno_Data[[#This Row],[Match]]),0)*86400),0)</f>
        <v>0</v>
      </c>
    </row>
    <row r="2043" spans="1:35" x14ac:dyDescent="0.3">
      <c r="A2043">
        <v>2038</v>
      </c>
      <c r="B2043" t="s">
        <v>364</v>
      </c>
      <c r="C2043">
        <v>40</v>
      </c>
      <c r="D2043" s="105">
        <v>45373.649129432873</v>
      </c>
      <c r="E2043" t="s">
        <v>314</v>
      </c>
      <c r="F2043" t="s">
        <v>309</v>
      </c>
      <c r="G2043">
        <v>1</v>
      </c>
      <c r="H2043" t="s">
        <v>310</v>
      </c>
      <c r="I2043">
        <v>0</v>
      </c>
      <c r="J2043">
        <v>0</v>
      </c>
      <c r="K2043">
        <v>0</v>
      </c>
      <c r="L2043" t="s">
        <v>310</v>
      </c>
      <c r="M2043" t="s">
        <v>310</v>
      </c>
      <c r="N2043">
        <v>0</v>
      </c>
      <c r="O2043" t="s">
        <v>1391</v>
      </c>
      <c r="P2043" t="s">
        <v>1401</v>
      </c>
      <c r="Q2043" t="s">
        <v>1400</v>
      </c>
      <c r="R2043" t="s">
        <v>310</v>
      </c>
      <c r="S2043">
        <v>9</v>
      </c>
      <c r="T2043" t="s">
        <v>310</v>
      </c>
      <c r="U2043">
        <v>9</v>
      </c>
      <c r="V2043">
        <v>9</v>
      </c>
      <c r="W2043">
        <v>0</v>
      </c>
      <c r="X2043">
        <v>0</v>
      </c>
      <c r="Y2043">
        <v>0</v>
      </c>
      <c r="Z2043">
        <v>0</v>
      </c>
      <c r="AA2043">
        <v>9</v>
      </c>
      <c r="AB2043">
        <v>9</v>
      </c>
      <c r="AC2043" t="s">
        <v>310</v>
      </c>
      <c r="AD2043">
        <v>9</v>
      </c>
      <c r="AE2043" t="s">
        <v>1412</v>
      </c>
      <c r="AF2043">
        <v>0</v>
      </c>
      <c r="AG2043" t="s">
        <v>310</v>
      </c>
      <c r="AH2043">
        <f>SUM((MID(Dyno_Data[[#This Row],[Team]],4,5))+(Dyno_Data[[#This Row],[Match]]/100))</f>
        <v>2791.4</v>
      </c>
      <c r="AI2043" s="76">
        <f>ROUND(SUM(IF(Dyno_Data[[#This Row],[AcqCenter]]&gt;0,Dyno_Data[[#This Row],[Time]]-SUMIFS(Dyno_Data[Time],Dyno_Data[Team],Dyno_Data[[#This Row],[Team]],Dyno_Data[RecordType],"StartMatch",Dyno_Data[Match],Dyno_Data[[#This Row],[Match]]),0)*86400),0)</f>
        <v>0</v>
      </c>
    </row>
    <row r="2044" spans="1:35" x14ac:dyDescent="0.3">
      <c r="A2044">
        <v>2040</v>
      </c>
      <c r="B2044" t="s">
        <v>1301</v>
      </c>
      <c r="C2044">
        <v>40</v>
      </c>
      <c r="D2044" s="105">
        <v>45373.64913017361</v>
      </c>
      <c r="E2044" t="s">
        <v>314</v>
      </c>
      <c r="F2044" t="s">
        <v>309</v>
      </c>
      <c r="G2044">
        <v>0</v>
      </c>
      <c r="H2044" t="s">
        <v>310</v>
      </c>
      <c r="I2044">
        <v>0</v>
      </c>
      <c r="J2044">
        <v>0</v>
      </c>
      <c r="K2044">
        <v>0</v>
      </c>
      <c r="L2044" t="s">
        <v>310</v>
      </c>
      <c r="M2044" t="s">
        <v>310</v>
      </c>
      <c r="N2044">
        <v>0</v>
      </c>
      <c r="O2044" t="s">
        <v>319</v>
      </c>
      <c r="P2044" t="s">
        <v>101</v>
      </c>
      <c r="Q2044" t="s">
        <v>1399</v>
      </c>
      <c r="R2044" t="s">
        <v>310</v>
      </c>
      <c r="S2044">
        <v>9</v>
      </c>
      <c r="T2044" t="s">
        <v>310</v>
      </c>
      <c r="U2044">
        <v>9</v>
      </c>
      <c r="V2044">
        <v>9</v>
      </c>
      <c r="W2044">
        <v>0</v>
      </c>
      <c r="X2044">
        <v>0</v>
      </c>
      <c r="Y2044">
        <v>0</v>
      </c>
      <c r="Z2044">
        <v>0</v>
      </c>
      <c r="AA2044">
        <v>9</v>
      </c>
      <c r="AB2044">
        <v>9</v>
      </c>
      <c r="AC2044" t="s">
        <v>310</v>
      </c>
      <c r="AD2044">
        <v>9</v>
      </c>
      <c r="AE2044" t="s">
        <v>1396</v>
      </c>
      <c r="AF2044">
        <v>0</v>
      </c>
      <c r="AG2044" t="s">
        <v>310</v>
      </c>
      <c r="AH2044">
        <f>SUM((MID(Dyno_Data[[#This Row],[Team]],4,5))+(Dyno_Data[[#This Row],[Match]]/100))</f>
        <v>7031.4</v>
      </c>
      <c r="AI2044" s="76">
        <f>ROUND(SUM(IF(Dyno_Data[[#This Row],[AcqCenter]]&gt;0,Dyno_Data[[#This Row],[Time]]-SUMIFS(Dyno_Data[Time],Dyno_Data[Team],Dyno_Data[[#This Row],[Team]],Dyno_Data[RecordType],"StartMatch",Dyno_Data[Match],Dyno_Data[[#This Row],[Match]]),0)*86400),0)</f>
        <v>0</v>
      </c>
    </row>
    <row r="2045" spans="1:35" x14ac:dyDescent="0.3">
      <c r="A2045">
        <v>2042</v>
      </c>
      <c r="B2045" t="s">
        <v>1283</v>
      </c>
      <c r="C2045">
        <v>40</v>
      </c>
      <c r="D2045" s="105">
        <v>45373.649132326391</v>
      </c>
      <c r="E2045" t="s">
        <v>314</v>
      </c>
      <c r="F2045" t="s">
        <v>309</v>
      </c>
      <c r="G2045">
        <v>1</v>
      </c>
      <c r="H2045" t="s">
        <v>310</v>
      </c>
      <c r="I2045">
        <v>0</v>
      </c>
      <c r="J2045">
        <v>0</v>
      </c>
      <c r="K2045">
        <v>0</v>
      </c>
      <c r="L2045" t="s">
        <v>310</v>
      </c>
      <c r="M2045" t="s">
        <v>310</v>
      </c>
      <c r="N2045">
        <v>0</v>
      </c>
      <c r="O2045" t="s">
        <v>1389</v>
      </c>
      <c r="P2045" t="s">
        <v>101</v>
      </c>
      <c r="Q2045" t="s">
        <v>1400</v>
      </c>
      <c r="R2045" t="s">
        <v>310</v>
      </c>
      <c r="S2045">
        <v>9</v>
      </c>
      <c r="T2045" t="s">
        <v>310</v>
      </c>
      <c r="U2045">
        <v>9</v>
      </c>
      <c r="V2045">
        <v>9</v>
      </c>
      <c r="W2045">
        <v>0</v>
      </c>
      <c r="X2045">
        <v>0</v>
      </c>
      <c r="Y2045">
        <v>0</v>
      </c>
      <c r="Z2045">
        <v>0</v>
      </c>
      <c r="AA2045">
        <v>9</v>
      </c>
      <c r="AB2045">
        <v>9</v>
      </c>
      <c r="AC2045" t="s">
        <v>310</v>
      </c>
      <c r="AD2045">
        <v>9</v>
      </c>
      <c r="AE2045" t="s">
        <v>1390</v>
      </c>
      <c r="AF2045">
        <v>0</v>
      </c>
      <c r="AG2045" t="s">
        <v>310</v>
      </c>
      <c r="AH2045">
        <f>SUM((MID(Dyno_Data[[#This Row],[Team]],4,5))+(Dyno_Data[[#This Row],[Match]]/100))</f>
        <v>1601.4</v>
      </c>
      <c r="AI2045" s="76">
        <f>ROUND(SUM(IF(Dyno_Data[[#This Row],[AcqCenter]]&gt;0,Dyno_Data[[#This Row],[Time]]-SUMIFS(Dyno_Data[Time],Dyno_Data[Team],Dyno_Data[[#This Row],[Team]],Dyno_Data[RecordType],"StartMatch",Dyno_Data[Match],Dyno_Data[[#This Row],[Match]]),0)*86400),0)</f>
        <v>0</v>
      </c>
    </row>
    <row r="2046" spans="1:35" x14ac:dyDescent="0.3">
      <c r="A2046">
        <v>2044</v>
      </c>
      <c r="B2046" t="s">
        <v>373</v>
      </c>
      <c r="C2046">
        <v>40</v>
      </c>
      <c r="D2046" s="105">
        <v>45373.649133067127</v>
      </c>
      <c r="E2046" t="s">
        <v>314</v>
      </c>
      <c r="F2046" t="s">
        <v>309</v>
      </c>
      <c r="G2046">
        <v>1</v>
      </c>
      <c r="H2046" t="s">
        <v>310</v>
      </c>
      <c r="I2046">
        <v>0</v>
      </c>
      <c r="J2046">
        <v>0</v>
      </c>
      <c r="K2046">
        <v>0</v>
      </c>
      <c r="L2046" t="s">
        <v>310</v>
      </c>
      <c r="M2046" t="s">
        <v>310</v>
      </c>
      <c r="N2046">
        <v>0</v>
      </c>
      <c r="O2046" t="s">
        <v>1395</v>
      </c>
      <c r="P2046" t="s">
        <v>1401</v>
      </c>
      <c r="Q2046" t="s">
        <v>1400</v>
      </c>
      <c r="R2046" t="s">
        <v>310</v>
      </c>
      <c r="S2046">
        <v>9</v>
      </c>
      <c r="T2046" t="s">
        <v>310</v>
      </c>
      <c r="U2046">
        <v>9</v>
      </c>
      <c r="V2046">
        <v>9</v>
      </c>
      <c r="W2046">
        <v>0</v>
      </c>
      <c r="X2046">
        <v>0</v>
      </c>
      <c r="Y2046">
        <v>0</v>
      </c>
      <c r="Z2046">
        <v>0</v>
      </c>
      <c r="AA2046">
        <v>9</v>
      </c>
      <c r="AB2046">
        <v>9</v>
      </c>
      <c r="AC2046" t="s">
        <v>310</v>
      </c>
      <c r="AD2046">
        <v>9</v>
      </c>
      <c r="AE2046" t="s">
        <v>1413</v>
      </c>
      <c r="AF2046">
        <v>0</v>
      </c>
      <c r="AG2046" t="s">
        <v>310</v>
      </c>
      <c r="AH2046">
        <f>SUM((MID(Dyno_Data[[#This Row],[Team]],4,5))+(Dyno_Data[[#This Row],[Match]]/100))</f>
        <v>7718.4</v>
      </c>
      <c r="AI2046" s="76">
        <f>ROUND(SUM(IF(Dyno_Data[[#This Row],[AcqCenter]]&gt;0,Dyno_Data[[#This Row],[Time]]-SUMIFS(Dyno_Data[Time],Dyno_Data[Team],Dyno_Data[[#This Row],[Team]],Dyno_Data[RecordType],"StartMatch",Dyno_Data[Match],Dyno_Data[[#This Row],[Match]]),0)*86400),0)</f>
        <v>0</v>
      </c>
    </row>
    <row r="2047" spans="1:35" x14ac:dyDescent="0.3">
      <c r="A2047">
        <v>2046</v>
      </c>
      <c r="B2047" t="s">
        <v>372</v>
      </c>
      <c r="C2047">
        <v>40</v>
      </c>
      <c r="D2047" s="105">
        <v>45373.649139548608</v>
      </c>
      <c r="E2047" t="s">
        <v>314</v>
      </c>
      <c r="F2047" t="s">
        <v>309</v>
      </c>
      <c r="G2047">
        <v>1</v>
      </c>
      <c r="H2047" t="s">
        <v>310</v>
      </c>
      <c r="I2047">
        <v>0</v>
      </c>
      <c r="J2047">
        <v>0</v>
      </c>
      <c r="K2047">
        <v>0</v>
      </c>
      <c r="L2047" t="s">
        <v>310</v>
      </c>
      <c r="M2047" t="s">
        <v>310</v>
      </c>
      <c r="N2047">
        <v>0</v>
      </c>
      <c r="O2047" t="s">
        <v>311</v>
      </c>
      <c r="P2047" t="s">
        <v>240</v>
      </c>
      <c r="Q2047" t="s">
        <v>1400</v>
      </c>
      <c r="R2047" t="s">
        <v>310</v>
      </c>
      <c r="S2047">
        <v>9</v>
      </c>
      <c r="T2047" t="s">
        <v>310</v>
      </c>
      <c r="U2047">
        <v>9</v>
      </c>
      <c r="V2047">
        <v>9</v>
      </c>
      <c r="W2047">
        <v>0</v>
      </c>
      <c r="X2047">
        <v>0</v>
      </c>
      <c r="Y2047">
        <v>0</v>
      </c>
      <c r="Z2047">
        <v>0</v>
      </c>
      <c r="AA2047">
        <v>9</v>
      </c>
      <c r="AB2047">
        <v>9</v>
      </c>
      <c r="AC2047" t="s">
        <v>310</v>
      </c>
      <c r="AD2047">
        <v>9</v>
      </c>
      <c r="AE2047" t="s">
        <v>1414</v>
      </c>
      <c r="AF2047">
        <v>20000000</v>
      </c>
      <c r="AG2047" t="s">
        <v>310</v>
      </c>
      <c r="AH2047">
        <f>SUM((MID(Dyno_Data[[#This Row],[Team]],4,5))+(Dyno_Data[[#This Row],[Match]]/100))</f>
        <v>7504.4</v>
      </c>
      <c r="AI2047" s="76">
        <f>ROUND(SUM(IF(Dyno_Data[[#This Row],[AcqCenter]]&gt;0,Dyno_Data[[#This Row],[Time]]-SUMIFS(Dyno_Data[Time],Dyno_Data[Team],Dyno_Data[[#This Row],[Team]],Dyno_Data[RecordType],"StartMatch",Dyno_Data[Match],Dyno_Data[[#This Row],[Match]]),0)*86400),0)</f>
        <v>0</v>
      </c>
    </row>
    <row r="2048" spans="1:35" x14ac:dyDescent="0.3">
      <c r="A2048">
        <v>2047</v>
      </c>
      <c r="B2048" t="s">
        <v>360</v>
      </c>
      <c r="C2048">
        <v>40</v>
      </c>
      <c r="D2048" s="105">
        <v>45373.649177893516</v>
      </c>
      <c r="E2048" t="s">
        <v>312</v>
      </c>
      <c r="F2048" t="s">
        <v>1402</v>
      </c>
      <c r="G2048">
        <v>0</v>
      </c>
      <c r="H2048" t="s">
        <v>315</v>
      </c>
      <c r="I2048">
        <v>0</v>
      </c>
      <c r="J2048">
        <v>0</v>
      </c>
      <c r="K2048">
        <v>0</v>
      </c>
      <c r="L2048" t="s">
        <v>242</v>
      </c>
      <c r="M2048" t="s">
        <v>241</v>
      </c>
      <c r="N2048">
        <v>0</v>
      </c>
      <c r="O2048" t="s">
        <v>1393</v>
      </c>
      <c r="P2048" t="s">
        <v>310</v>
      </c>
      <c r="Q2048" t="s">
        <v>310</v>
      </c>
      <c r="R2048" t="s">
        <v>310</v>
      </c>
      <c r="S2048">
        <v>9</v>
      </c>
      <c r="T2048" t="s">
        <v>310</v>
      </c>
      <c r="U2048">
        <v>9</v>
      </c>
      <c r="V2048">
        <v>9</v>
      </c>
      <c r="W2048">
        <v>0</v>
      </c>
      <c r="X2048">
        <v>0</v>
      </c>
      <c r="Y2048">
        <v>0</v>
      </c>
      <c r="Z2048">
        <v>0</v>
      </c>
      <c r="AA2048">
        <v>9</v>
      </c>
      <c r="AB2048">
        <v>9</v>
      </c>
      <c r="AC2048" t="s">
        <v>310</v>
      </c>
      <c r="AD2048">
        <v>9</v>
      </c>
      <c r="AE2048" t="s">
        <v>1388</v>
      </c>
      <c r="AF2048">
        <v>30000000</v>
      </c>
      <c r="AG2048" t="s">
        <v>310</v>
      </c>
      <c r="AH2048">
        <f>SUM((MID(Dyno_Data[[#This Row],[Team]],4,5))+(Dyno_Data[[#This Row],[Match]]/100))</f>
        <v>1796.4</v>
      </c>
      <c r="AI2048" s="76">
        <f>ROUND(SUM(IF(Dyno_Data[[#This Row],[AcqCenter]]&gt;0,Dyno_Data[[#This Row],[Time]]-SUMIFS(Dyno_Data[Time],Dyno_Data[Team],Dyno_Data[[#This Row],[Team]],Dyno_Data[RecordType],"StartMatch",Dyno_Data[Match],Dyno_Data[[#This Row],[Match]]),0)*86400),0)</f>
        <v>0</v>
      </c>
    </row>
    <row r="2049" spans="1:35" x14ac:dyDescent="0.3">
      <c r="A2049">
        <v>2048</v>
      </c>
      <c r="B2049" t="s">
        <v>360</v>
      </c>
      <c r="C2049">
        <v>40</v>
      </c>
      <c r="D2049" s="105">
        <v>45373.649199687497</v>
      </c>
      <c r="E2049" t="s">
        <v>312</v>
      </c>
      <c r="F2049" t="s">
        <v>1402</v>
      </c>
      <c r="G2049">
        <v>0</v>
      </c>
      <c r="H2049" t="s">
        <v>315</v>
      </c>
      <c r="I2049">
        <v>0</v>
      </c>
      <c r="J2049">
        <v>0</v>
      </c>
      <c r="K2049">
        <v>0</v>
      </c>
      <c r="L2049" t="s">
        <v>242</v>
      </c>
      <c r="M2049" t="s">
        <v>241</v>
      </c>
      <c r="N2049">
        <v>0</v>
      </c>
      <c r="O2049" t="s">
        <v>1393</v>
      </c>
      <c r="P2049" t="s">
        <v>310</v>
      </c>
      <c r="Q2049" t="s">
        <v>310</v>
      </c>
      <c r="R2049" t="s">
        <v>310</v>
      </c>
      <c r="S2049">
        <v>9</v>
      </c>
      <c r="T2049" t="s">
        <v>310</v>
      </c>
      <c r="U2049">
        <v>9</v>
      </c>
      <c r="V2049">
        <v>9</v>
      </c>
      <c r="W2049">
        <v>0</v>
      </c>
      <c r="X2049">
        <v>0</v>
      </c>
      <c r="Y2049">
        <v>0</v>
      </c>
      <c r="Z2049">
        <v>0</v>
      </c>
      <c r="AA2049">
        <v>9</v>
      </c>
      <c r="AB2049">
        <v>9</v>
      </c>
      <c r="AC2049" t="s">
        <v>310</v>
      </c>
      <c r="AD2049">
        <v>9</v>
      </c>
      <c r="AE2049" t="s">
        <v>1388</v>
      </c>
      <c r="AF2049">
        <v>40000000</v>
      </c>
      <c r="AG2049" t="s">
        <v>310</v>
      </c>
      <c r="AH2049">
        <f>SUM((MID(Dyno_Data[[#This Row],[Team]],4,5))+(Dyno_Data[[#This Row],[Match]]/100))</f>
        <v>1796.4</v>
      </c>
      <c r="AI2049" s="76">
        <f>ROUND(SUM(IF(Dyno_Data[[#This Row],[AcqCenter]]&gt;0,Dyno_Data[[#This Row],[Time]]-SUMIFS(Dyno_Data[Time],Dyno_Data[Team],Dyno_Data[[#This Row],[Team]],Dyno_Data[RecordType],"StartMatch",Dyno_Data[Match],Dyno_Data[[#This Row],[Match]]),0)*86400),0)</f>
        <v>0</v>
      </c>
    </row>
    <row r="2050" spans="1:35" x14ac:dyDescent="0.3">
      <c r="A2050">
        <v>2049</v>
      </c>
      <c r="B2050" t="s">
        <v>360</v>
      </c>
      <c r="C2050">
        <v>40</v>
      </c>
      <c r="D2050" s="105">
        <v>45373.64924244213</v>
      </c>
      <c r="E2050" t="s">
        <v>312</v>
      </c>
      <c r="F2050" t="s">
        <v>1402</v>
      </c>
      <c r="G2050">
        <v>0</v>
      </c>
      <c r="H2050" t="s">
        <v>315</v>
      </c>
      <c r="I2050">
        <v>0</v>
      </c>
      <c r="J2050">
        <v>0</v>
      </c>
      <c r="K2050">
        <v>0</v>
      </c>
      <c r="L2050" t="s">
        <v>242</v>
      </c>
      <c r="M2050" t="s">
        <v>241</v>
      </c>
      <c r="N2050">
        <v>0</v>
      </c>
      <c r="O2050" t="s">
        <v>1393</v>
      </c>
      <c r="P2050" t="s">
        <v>310</v>
      </c>
      <c r="Q2050" t="s">
        <v>310</v>
      </c>
      <c r="R2050" t="s">
        <v>310</v>
      </c>
      <c r="S2050">
        <v>9</v>
      </c>
      <c r="T2050" t="s">
        <v>310</v>
      </c>
      <c r="U2050">
        <v>9</v>
      </c>
      <c r="V2050">
        <v>9</v>
      </c>
      <c r="W2050">
        <v>0</v>
      </c>
      <c r="X2050">
        <v>0</v>
      </c>
      <c r="Y2050">
        <v>0</v>
      </c>
      <c r="Z2050">
        <v>0</v>
      </c>
      <c r="AA2050">
        <v>9</v>
      </c>
      <c r="AB2050">
        <v>9</v>
      </c>
      <c r="AC2050" t="s">
        <v>310</v>
      </c>
      <c r="AD2050">
        <v>9</v>
      </c>
      <c r="AE2050" t="s">
        <v>1388</v>
      </c>
      <c r="AF2050">
        <v>50000000</v>
      </c>
      <c r="AG2050" t="s">
        <v>310</v>
      </c>
      <c r="AH2050">
        <f>SUM((MID(Dyno_Data[[#This Row],[Team]],4,5))+(Dyno_Data[[#This Row],[Match]]/100))</f>
        <v>1796.4</v>
      </c>
      <c r="AI2050" s="76">
        <f>ROUND(SUM(IF(Dyno_Data[[#This Row],[AcqCenter]]&gt;0,Dyno_Data[[#This Row],[Time]]-SUMIFS(Dyno_Data[Time],Dyno_Data[Team],Dyno_Data[[#This Row],[Team]],Dyno_Data[RecordType],"StartMatch",Dyno_Data[Match],Dyno_Data[[#This Row],[Match]]),0)*86400),0)</f>
        <v>0</v>
      </c>
    </row>
    <row r="2051" spans="1:35" x14ac:dyDescent="0.3">
      <c r="A2051">
        <v>2050</v>
      </c>
      <c r="B2051" t="s">
        <v>360</v>
      </c>
      <c r="C2051">
        <v>40</v>
      </c>
      <c r="D2051" s="105">
        <v>45373.649289618057</v>
      </c>
      <c r="E2051" t="s">
        <v>312</v>
      </c>
      <c r="F2051" t="s">
        <v>1402</v>
      </c>
      <c r="G2051">
        <v>0</v>
      </c>
      <c r="H2051" t="s">
        <v>315</v>
      </c>
      <c r="I2051">
        <v>0</v>
      </c>
      <c r="J2051">
        <v>0</v>
      </c>
      <c r="K2051">
        <v>0</v>
      </c>
      <c r="L2051" t="s">
        <v>241</v>
      </c>
      <c r="M2051" t="s">
        <v>101</v>
      </c>
      <c r="N2051">
        <v>0</v>
      </c>
      <c r="O2051" t="s">
        <v>1393</v>
      </c>
      <c r="P2051" t="s">
        <v>310</v>
      </c>
      <c r="Q2051" t="s">
        <v>310</v>
      </c>
      <c r="R2051" t="s">
        <v>310</v>
      </c>
      <c r="S2051">
        <v>9</v>
      </c>
      <c r="T2051" t="s">
        <v>310</v>
      </c>
      <c r="U2051">
        <v>9</v>
      </c>
      <c r="V2051">
        <v>9</v>
      </c>
      <c r="W2051">
        <v>0</v>
      </c>
      <c r="X2051">
        <v>0</v>
      </c>
      <c r="Y2051">
        <v>0</v>
      </c>
      <c r="Z2051">
        <v>0</v>
      </c>
      <c r="AA2051">
        <v>9</v>
      </c>
      <c r="AB2051">
        <v>9</v>
      </c>
      <c r="AC2051" t="s">
        <v>310</v>
      </c>
      <c r="AD2051">
        <v>9</v>
      </c>
      <c r="AE2051" t="s">
        <v>1388</v>
      </c>
      <c r="AF2051">
        <v>60000000</v>
      </c>
      <c r="AG2051" t="s">
        <v>310</v>
      </c>
      <c r="AH2051">
        <f>SUM((MID(Dyno_Data[[#This Row],[Team]],4,5))+(Dyno_Data[[#This Row],[Match]]/100))</f>
        <v>1796.4</v>
      </c>
      <c r="AI2051" s="76">
        <f>ROUND(SUM(IF(Dyno_Data[[#This Row],[AcqCenter]]&gt;0,Dyno_Data[[#This Row],[Time]]-SUMIFS(Dyno_Data[Time],Dyno_Data[Team],Dyno_Data[[#This Row],[Team]],Dyno_Data[RecordType],"StartMatch",Dyno_Data[Match],Dyno_Data[[#This Row],[Match]]),0)*86400),0)</f>
        <v>0</v>
      </c>
    </row>
    <row r="2052" spans="1:35" x14ac:dyDescent="0.3">
      <c r="A2052">
        <v>2051</v>
      </c>
      <c r="B2052" t="s">
        <v>372</v>
      </c>
      <c r="C2052">
        <v>40</v>
      </c>
      <c r="D2052" s="105">
        <v>45373.649302546299</v>
      </c>
      <c r="E2052" t="s">
        <v>312</v>
      </c>
      <c r="F2052" t="s">
        <v>1402</v>
      </c>
      <c r="G2052">
        <v>0</v>
      </c>
      <c r="H2052" t="s">
        <v>315</v>
      </c>
      <c r="I2052">
        <v>0</v>
      </c>
      <c r="J2052">
        <v>0</v>
      </c>
      <c r="K2052">
        <v>0</v>
      </c>
      <c r="L2052" t="s">
        <v>240</v>
      </c>
      <c r="M2052" t="s">
        <v>1398</v>
      </c>
      <c r="N2052">
        <v>0</v>
      </c>
      <c r="O2052" t="s">
        <v>311</v>
      </c>
      <c r="P2052" t="s">
        <v>310</v>
      </c>
      <c r="Q2052" t="s">
        <v>310</v>
      </c>
      <c r="R2052" t="s">
        <v>310</v>
      </c>
      <c r="S2052">
        <v>9</v>
      </c>
      <c r="T2052" t="s">
        <v>310</v>
      </c>
      <c r="U2052">
        <v>9</v>
      </c>
      <c r="V2052">
        <v>9</v>
      </c>
      <c r="W2052">
        <v>0</v>
      </c>
      <c r="X2052">
        <v>0</v>
      </c>
      <c r="Y2052">
        <v>0</v>
      </c>
      <c r="Z2052">
        <v>0</v>
      </c>
      <c r="AA2052">
        <v>9</v>
      </c>
      <c r="AB2052">
        <v>9</v>
      </c>
      <c r="AC2052" t="s">
        <v>310</v>
      </c>
      <c r="AD2052">
        <v>9</v>
      </c>
      <c r="AE2052" t="s">
        <v>1414</v>
      </c>
      <c r="AF2052">
        <v>30000000</v>
      </c>
      <c r="AG2052" t="s">
        <v>310</v>
      </c>
      <c r="AH2052">
        <f>SUM((MID(Dyno_Data[[#This Row],[Team]],4,5))+(Dyno_Data[[#This Row],[Match]]/100))</f>
        <v>7504.4</v>
      </c>
      <c r="AI2052" s="76">
        <f>ROUND(SUM(IF(Dyno_Data[[#This Row],[AcqCenter]]&gt;0,Dyno_Data[[#This Row],[Time]]-SUMIFS(Dyno_Data[Time],Dyno_Data[Team],Dyno_Data[[#This Row],[Team]],Dyno_Data[RecordType],"StartMatch",Dyno_Data[Match],Dyno_Data[[#This Row],[Match]]),0)*86400),0)</f>
        <v>0</v>
      </c>
    </row>
    <row r="2053" spans="1:35" x14ac:dyDescent="0.3">
      <c r="A2053">
        <v>2052</v>
      </c>
      <c r="B2053" t="s">
        <v>360</v>
      </c>
      <c r="C2053">
        <v>40</v>
      </c>
      <c r="D2053" s="105">
        <v>45373.649339386575</v>
      </c>
      <c r="E2053" t="s">
        <v>1403</v>
      </c>
      <c r="F2053" t="s">
        <v>1402</v>
      </c>
      <c r="G2053">
        <v>0</v>
      </c>
      <c r="H2053" t="s">
        <v>310</v>
      </c>
      <c r="I2053">
        <v>0</v>
      </c>
      <c r="J2053">
        <v>0</v>
      </c>
      <c r="K2053">
        <v>0</v>
      </c>
      <c r="L2053" t="s">
        <v>310</v>
      </c>
      <c r="M2053" t="s">
        <v>310</v>
      </c>
      <c r="N2053">
        <v>0</v>
      </c>
      <c r="O2053" t="s">
        <v>1393</v>
      </c>
      <c r="P2053" t="s">
        <v>310</v>
      </c>
      <c r="Q2053" t="s">
        <v>310</v>
      </c>
      <c r="R2053" t="s">
        <v>310</v>
      </c>
      <c r="S2053">
        <v>9</v>
      </c>
      <c r="T2053" t="s">
        <v>310</v>
      </c>
      <c r="U2053">
        <v>9</v>
      </c>
      <c r="V2053">
        <v>9</v>
      </c>
      <c r="W2053">
        <v>0</v>
      </c>
      <c r="X2053">
        <v>0</v>
      </c>
      <c r="Y2053">
        <v>0</v>
      </c>
      <c r="Z2053">
        <v>0</v>
      </c>
      <c r="AA2053">
        <v>9</v>
      </c>
      <c r="AB2053">
        <v>9</v>
      </c>
      <c r="AC2053" t="s">
        <v>310</v>
      </c>
      <c r="AD2053">
        <v>9</v>
      </c>
      <c r="AE2053" t="s">
        <v>1388</v>
      </c>
      <c r="AF2053">
        <v>30000000</v>
      </c>
      <c r="AG2053" t="s">
        <v>248</v>
      </c>
      <c r="AH2053">
        <f>SUM((MID(Dyno_Data[[#This Row],[Team]],4,5))+(Dyno_Data[[#This Row],[Match]]/100))</f>
        <v>1796.4</v>
      </c>
      <c r="AI2053" s="76">
        <f>ROUND(SUM(IF(Dyno_Data[[#This Row],[AcqCenter]]&gt;0,Dyno_Data[[#This Row],[Time]]-SUMIFS(Dyno_Data[Time],Dyno_Data[Team],Dyno_Data[[#This Row],[Team]],Dyno_Data[RecordType],"StartMatch",Dyno_Data[Match],Dyno_Data[[#This Row],[Match]]),0)*86400),0)</f>
        <v>0</v>
      </c>
    </row>
    <row r="2054" spans="1:35" x14ac:dyDescent="0.3">
      <c r="A2054">
        <v>2053</v>
      </c>
      <c r="B2054" t="s">
        <v>364</v>
      </c>
      <c r="C2054">
        <v>40</v>
      </c>
      <c r="D2054" s="105">
        <v>45373.649363391203</v>
      </c>
      <c r="E2054" t="s">
        <v>312</v>
      </c>
      <c r="F2054" t="s">
        <v>1402</v>
      </c>
      <c r="G2054">
        <v>0</v>
      </c>
      <c r="H2054" t="s">
        <v>143</v>
      </c>
      <c r="I2054">
        <v>0</v>
      </c>
      <c r="J2054">
        <v>0</v>
      </c>
      <c r="K2054">
        <v>0</v>
      </c>
      <c r="L2054" t="s">
        <v>241</v>
      </c>
      <c r="M2054" t="s">
        <v>1398</v>
      </c>
      <c r="N2054">
        <v>0</v>
      </c>
      <c r="O2054" t="s">
        <v>1391</v>
      </c>
      <c r="P2054" t="s">
        <v>310</v>
      </c>
      <c r="Q2054" t="s">
        <v>310</v>
      </c>
      <c r="R2054" t="s">
        <v>310</v>
      </c>
      <c r="S2054">
        <v>9</v>
      </c>
      <c r="T2054" t="s">
        <v>310</v>
      </c>
      <c r="U2054">
        <v>9</v>
      </c>
      <c r="V2054">
        <v>9</v>
      </c>
      <c r="W2054">
        <v>0</v>
      </c>
      <c r="X2054">
        <v>0</v>
      </c>
      <c r="Y2054">
        <v>0</v>
      </c>
      <c r="Z2054">
        <v>0</v>
      </c>
      <c r="AA2054">
        <v>9</v>
      </c>
      <c r="AB2054">
        <v>9</v>
      </c>
      <c r="AC2054" t="s">
        <v>310</v>
      </c>
      <c r="AD2054">
        <v>9</v>
      </c>
      <c r="AE2054" t="s">
        <v>1412</v>
      </c>
      <c r="AF2054">
        <v>0</v>
      </c>
      <c r="AG2054" t="s">
        <v>310</v>
      </c>
      <c r="AH2054">
        <f>SUM((MID(Dyno_Data[[#This Row],[Team]],4,5))+(Dyno_Data[[#This Row],[Match]]/100))</f>
        <v>2791.4</v>
      </c>
      <c r="AI2054" s="76">
        <f>ROUND(SUM(IF(Dyno_Data[[#This Row],[AcqCenter]]&gt;0,Dyno_Data[[#This Row],[Time]]-SUMIFS(Dyno_Data[Time],Dyno_Data[Team],Dyno_Data[[#This Row],[Team]],Dyno_Data[RecordType],"StartMatch",Dyno_Data[Match],Dyno_Data[[#This Row],[Match]]),0)*86400),0)</f>
        <v>0</v>
      </c>
    </row>
    <row r="2055" spans="1:35" x14ac:dyDescent="0.3">
      <c r="A2055">
        <v>2054</v>
      </c>
      <c r="B2055" t="s">
        <v>372</v>
      </c>
      <c r="C2055">
        <v>40</v>
      </c>
      <c r="D2055" s="105">
        <v>45373.649385763892</v>
      </c>
      <c r="E2055" t="s">
        <v>312</v>
      </c>
      <c r="F2055" t="s">
        <v>1402</v>
      </c>
      <c r="G2055">
        <v>0</v>
      </c>
      <c r="H2055" t="s">
        <v>315</v>
      </c>
      <c r="I2055">
        <v>0</v>
      </c>
      <c r="J2055">
        <v>0</v>
      </c>
      <c r="K2055">
        <v>0</v>
      </c>
      <c r="L2055" t="s">
        <v>241</v>
      </c>
      <c r="M2055" t="s">
        <v>101</v>
      </c>
      <c r="N2055">
        <v>0</v>
      </c>
      <c r="O2055" t="s">
        <v>311</v>
      </c>
      <c r="P2055" t="s">
        <v>310</v>
      </c>
      <c r="Q2055" t="s">
        <v>310</v>
      </c>
      <c r="R2055" t="s">
        <v>310</v>
      </c>
      <c r="S2055">
        <v>9</v>
      </c>
      <c r="T2055" t="s">
        <v>310</v>
      </c>
      <c r="U2055">
        <v>9</v>
      </c>
      <c r="V2055">
        <v>9</v>
      </c>
      <c r="W2055">
        <v>0</v>
      </c>
      <c r="X2055">
        <v>0</v>
      </c>
      <c r="Y2055">
        <v>0</v>
      </c>
      <c r="Z2055">
        <v>0</v>
      </c>
      <c r="AA2055">
        <v>9</v>
      </c>
      <c r="AB2055">
        <v>9</v>
      </c>
      <c r="AC2055" t="s">
        <v>310</v>
      </c>
      <c r="AD2055">
        <v>9</v>
      </c>
      <c r="AE2055" t="s">
        <v>1414</v>
      </c>
      <c r="AF2055">
        <v>40000000</v>
      </c>
      <c r="AG2055" t="s">
        <v>310</v>
      </c>
      <c r="AH2055">
        <f>SUM((MID(Dyno_Data[[#This Row],[Team]],4,5))+(Dyno_Data[[#This Row],[Match]]/100))</f>
        <v>7504.4</v>
      </c>
      <c r="AI2055" s="76">
        <f>ROUND(SUM(IF(Dyno_Data[[#This Row],[AcqCenter]]&gt;0,Dyno_Data[[#This Row],[Time]]-SUMIFS(Dyno_Data[Time],Dyno_Data[Team],Dyno_Data[[#This Row],[Team]],Dyno_Data[RecordType],"StartMatch",Dyno_Data[Match],Dyno_Data[[#This Row],[Match]]),0)*86400),0)</f>
        <v>0</v>
      </c>
    </row>
    <row r="2056" spans="1:35" x14ac:dyDescent="0.3">
      <c r="A2056">
        <v>2055</v>
      </c>
      <c r="B2056" t="s">
        <v>360</v>
      </c>
      <c r="C2056">
        <v>40</v>
      </c>
      <c r="D2056" s="105">
        <v>45373.64941111111</v>
      </c>
      <c r="E2056" t="s">
        <v>312</v>
      </c>
      <c r="F2056" t="s">
        <v>1402</v>
      </c>
      <c r="G2056">
        <v>0</v>
      </c>
      <c r="H2056" t="s">
        <v>315</v>
      </c>
      <c r="I2056">
        <v>0</v>
      </c>
      <c r="J2056">
        <v>0</v>
      </c>
      <c r="K2056">
        <v>0</v>
      </c>
      <c r="L2056" t="s">
        <v>241</v>
      </c>
      <c r="M2056" t="s">
        <v>101</v>
      </c>
      <c r="N2056">
        <v>0</v>
      </c>
      <c r="O2056" t="s">
        <v>1393</v>
      </c>
      <c r="P2056" t="s">
        <v>310</v>
      </c>
      <c r="Q2056" t="s">
        <v>310</v>
      </c>
      <c r="R2056" t="s">
        <v>310</v>
      </c>
      <c r="S2056">
        <v>9</v>
      </c>
      <c r="T2056" t="s">
        <v>310</v>
      </c>
      <c r="U2056">
        <v>9</v>
      </c>
      <c r="V2056">
        <v>9</v>
      </c>
      <c r="W2056">
        <v>0</v>
      </c>
      <c r="X2056">
        <v>0</v>
      </c>
      <c r="Y2056">
        <v>0</v>
      </c>
      <c r="Z2056">
        <v>0</v>
      </c>
      <c r="AA2056">
        <v>9</v>
      </c>
      <c r="AB2056">
        <v>9</v>
      </c>
      <c r="AC2056" t="s">
        <v>310</v>
      </c>
      <c r="AD2056">
        <v>9</v>
      </c>
      <c r="AE2056" t="s">
        <v>1388</v>
      </c>
      <c r="AF2056">
        <v>70000000</v>
      </c>
      <c r="AG2056" t="s">
        <v>310</v>
      </c>
      <c r="AH2056">
        <f>SUM((MID(Dyno_Data[[#This Row],[Team]],4,5))+(Dyno_Data[[#This Row],[Match]]/100))</f>
        <v>1796.4</v>
      </c>
      <c r="AI2056" s="76">
        <f>ROUND(SUM(IF(Dyno_Data[[#This Row],[AcqCenter]]&gt;0,Dyno_Data[[#This Row],[Time]]-SUMIFS(Dyno_Data[Time],Dyno_Data[Team],Dyno_Data[[#This Row],[Team]],Dyno_Data[RecordType],"StartMatch",Dyno_Data[Match],Dyno_Data[[#This Row],[Match]]),0)*86400),0)</f>
        <v>0</v>
      </c>
    </row>
    <row r="2057" spans="1:35" x14ac:dyDescent="0.3">
      <c r="A2057">
        <v>2056</v>
      </c>
      <c r="B2057" t="s">
        <v>360</v>
      </c>
      <c r="C2057">
        <v>40</v>
      </c>
      <c r="D2057" s="105">
        <v>45373.64945459491</v>
      </c>
      <c r="E2057" t="s">
        <v>312</v>
      </c>
      <c r="F2057" t="s">
        <v>1402</v>
      </c>
      <c r="G2057">
        <v>0</v>
      </c>
      <c r="H2057" t="s">
        <v>315</v>
      </c>
      <c r="I2057">
        <v>0</v>
      </c>
      <c r="J2057">
        <v>0</v>
      </c>
      <c r="K2057">
        <v>0</v>
      </c>
      <c r="L2057" t="s">
        <v>241</v>
      </c>
      <c r="M2057" t="s">
        <v>101</v>
      </c>
      <c r="N2057">
        <v>0</v>
      </c>
      <c r="O2057" t="s">
        <v>1393</v>
      </c>
      <c r="P2057" t="s">
        <v>310</v>
      </c>
      <c r="Q2057" t="s">
        <v>310</v>
      </c>
      <c r="R2057" t="s">
        <v>310</v>
      </c>
      <c r="S2057">
        <v>9</v>
      </c>
      <c r="T2057" t="s">
        <v>310</v>
      </c>
      <c r="U2057">
        <v>9</v>
      </c>
      <c r="V2057">
        <v>9</v>
      </c>
      <c r="W2057">
        <v>0</v>
      </c>
      <c r="X2057">
        <v>0</v>
      </c>
      <c r="Y2057">
        <v>0</v>
      </c>
      <c r="Z2057">
        <v>0</v>
      </c>
      <c r="AA2057">
        <v>9</v>
      </c>
      <c r="AB2057">
        <v>9</v>
      </c>
      <c r="AC2057" t="s">
        <v>310</v>
      </c>
      <c r="AD2057">
        <v>9</v>
      </c>
      <c r="AE2057" t="s">
        <v>1388</v>
      </c>
      <c r="AF2057">
        <v>80000000</v>
      </c>
      <c r="AG2057" t="s">
        <v>310</v>
      </c>
      <c r="AH2057">
        <f>SUM((MID(Dyno_Data[[#This Row],[Team]],4,5))+(Dyno_Data[[#This Row],[Match]]/100))</f>
        <v>1796.4</v>
      </c>
      <c r="AI2057" s="76">
        <f>ROUND(SUM(IF(Dyno_Data[[#This Row],[AcqCenter]]&gt;0,Dyno_Data[[#This Row],[Time]]-SUMIFS(Dyno_Data[Time],Dyno_Data[Team],Dyno_Data[[#This Row],[Team]],Dyno_Data[RecordType],"StartMatch",Dyno_Data[Match],Dyno_Data[[#This Row],[Match]]),0)*86400),0)</f>
        <v>0</v>
      </c>
    </row>
    <row r="2058" spans="1:35" x14ac:dyDescent="0.3">
      <c r="A2058">
        <v>2057</v>
      </c>
      <c r="B2058" t="s">
        <v>360</v>
      </c>
      <c r="C2058">
        <v>40</v>
      </c>
      <c r="D2058" s="105">
        <v>45373.649517708334</v>
      </c>
      <c r="E2058" t="s">
        <v>1403</v>
      </c>
      <c r="F2058" t="s">
        <v>1402</v>
      </c>
      <c r="G2058">
        <v>0</v>
      </c>
      <c r="H2058" t="s">
        <v>310</v>
      </c>
      <c r="I2058">
        <v>0</v>
      </c>
      <c r="J2058">
        <v>0</v>
      </c>
      <c r="K2058">
        <v>0</v>
      </c>
      <c r="L2058" t="s">
        <v>310</v>
      </c>
      <c r="M2058" t="s">
        <v>310</v>
      </c>
      <c r="N2058">
        <v>0</v>
      </c>
      <c r="O2058" t="s">
        <v>1393</v>
      </c>
      <c r="P2058" t="s">
        <v>310</v>
      </c>
      <c r="Q2058" t="s">
        <v>310</v>
      </c>
      <c r="R2058" t="s">
        <v>310</v>
      </c>
      <c r="S2058">
        <v>9</v>
      </c>
      <c r="T2058" t="s">
        <v>310</v>
      </c>
      <c r="U2058">
        <v>9</v>
      </c>
      <c r="V2058">
        <v>9</v>
      </c>
      <c r="W2058">
        <v>0</v>
      </c>
      <c r="X2058">
        <v>0</v>
      </c>
      <c r="Y2058">
        <v>0</v>
      </c>
      <c r="Z2058">
        <v>0</v>
      </c>
      <c r="AA2058">
        <v>9</v>
      </c>
      <c r="AB2058">
        <v>9</v>
      </c>
      <c r="AC2058" t="s">
        <v>310</v>
      </c>
      <c r="AD2058">
        <v>9</v>
      </c>
      <c r="AE2058" t="s">
        <v>1388</v>
      </c>
      <c r="AF2058">
        <v>80000000</v>
      </c>
      <c r="AG2058" t="s">
        <v>248</v>
      </c>
      <c r="AH2058">
        <f>SUM((MID(Dyno_Data[[#This Row],[Team]],4,5))+(Dyno_Data[[#This Row],[Match]]/100))</f>
        <v>1796.4</v>
      </c>
      <c r="AI2058" s="76">
        <f>ROUND(SUM(IF(Dyno_Data[[#This Row],[AcqCenter]]&gt;0,Dyno_Data[[#This Row],[Time]]-SUMIFS(Dyno_Data[Time],Dyno_Data[Team],Dyno_Data[[#This Row],[Team]],Dyno_Data[RecordType],"StartMatch",Dyno_Data[Match],Dyno_Data[[#This Row],[Match]]),0)*86400),0)</f>
        <v>0</v>
      </c>
    </row>
    <row r="2059" spans="1:35" x14ac:dyDescent="0.3">
      <c r="A2059">
        <v>2058</v>
      </c>
      <c r="B2059" t="s">
        <v>360</v>
      </c>
      <c r="C2059">
        <v>40</v>
      </c>
      <c r="D2059" s="105">
        <v>45373.649596759256</v>
      </c>
      <c r="E2059" t="s">
        <v>312</v>
      </c>
      <c r="F2059" t="s">
        <v>1402</v>
      </c>
      <c r="G2059">
        <v>0</v>
      </c>
      <c r="H2059" t="s">
        <v>315</v>
      </c>
      <c r="I2059">
        <v>0</v>
      </c>
      <c r="J2059">
        <v>0</v>
      </c>
      <c r="K2059">
        <v>0</v>
      </c>
      <c r="L2059" t="s">
        <v>241</v>
      </c>
      <c r="M2059" t="s">
        <v>1398</v>
      </c>
      <c r="N2059">
        <v>1</v>
      </c>
      <c r="O2059" t="s">
        <v>1393</v>
      </c>
      <c r="P2059" t="s">
        <v>310</v>
      </c>
      <c r="Q2059" t="s">
        <v>310</v>
      </c>
      <c r="R2059" t="s">
        <v>310</v>
      </c>
      <c r="S2059">
        <v>9</v>
      </c>
      <c r="T2059" t="s">
        <v>310</v>
      </c>
      <c r="U2059">
        <v>9</v>
      </c>
      <c r="V2059">
        <v>9</v>
      </c>
      <c r="W2059">
        <v>0</v>
      </c>
      <c r="X2059">
        <v>0</v>
      </c>
      <c r="Y2059">
        <v>0</v>
      </c>
      <c r="Z2059">
        <v>0</v>
      </c>
      <c r="AA2059">
        <v>9</v>
      </c>
      <c r="AB2059">
        <v>9</v>
      </c>
      <c r="AC2059" t="s">
        <v>310</v>
      </c>
      <c r="AD2059">
        <v>9</v>
      </c>
      <c r="AE2059" t="s">
        <v>1388</v>
      </c>
      <c r="AF2059">
        <v>90000000</v>
      </c>
      <c r="AG2059" t="s">
        <v>310</v>
      </c>
      <c r="AH2059">
        <f>SUM((MID(Dyno_Data[[#This Row],[Team]],4,5))+(Dyno_Data[[#This Row],[Match]]/100))</f>
        <v>1796.4</v>
      </c>
      <c r="AI2059" s="76">
        <f>ROUND(SUM(IF(Dyno_Data[[#This Row],[AcqCenter]]&gt;0,Dyno_Data[[#This Row],[Time]]-SUMIFS(Dyno_Data[Time],Dyno_Data[Team],Dyno_Data[[#This Row],[Team]],Dyno_Data[RecordType],"StartMatch",Dyno_Data[Match],Dyno_Data[[#This Row],[Match]]),0)*86400),0)</f>
        <v>0</v>
      </c>
    </row>
    <row r="2060" spans="1:35" x14ac:dyDescent="0.3">
      <c r="A2060">
        <v>2059</v>
      </c>
      <c r="B2060" t="s">
        <v>364</v>
      </c>
      <c r="C2060">
        <v>40</v>
      </c>
      <c r="D2060" s="105">
        <v>45373.649607673608</v>
      </c>
      <c r="E2060" t="s">
        <v>312</v>
      </c>
      <c r="F2060" t="s">
        <v>1402</v>
      </c>
      <c r="G2060">
        <v>0</v>
      </c>
      <c r="H2060" t="s">
        <v>315</v>
      </c>
      <c r="I2060">
        <v>0</v>
      </c>
      <c r="J2060">
        <v>0</v>
      </c>
      <c r="K2060">
        <v>0</v>
      </c>
      <c r="L2060" t="s">
        <v>241</v>
      </c>
      <c r="M2060" t="s">
        <v>1398</v>
      </c>
      <c r="N2060">
        <v>0</v>
      </c>
      <c r="O2060" t="s">
        <v>1391</v>
      </c>
      <c r="P2060" t="s">
        <v>310</v>
      </c>
      <c r="Q2060" t="s">
        <v>310</v>
      </c>
      <c r="R2060" t="s">
        <v>310</v>
      </c>
      <c r="S2060">
        <v>9</v>
      </c>
      <c r="T2060" t="s">
        <v>310</v>
      </c>
      <c r="U2060">
        <v>9</v>
      </c>
      <c r="V2060">
        <v>9</v>
      </c>
      <c r="W2060">
        <v>0</v>
      </c>
      <c r="X2060">
        <v>0</v>
      </c>
      <c r="Y2060">
        <v>0</v>
      </c>
      <c r="Z2060">
        <v>0</v>
      </c>
      <c r="AA2060">
        <v>9</v>
      </c>
      <c r="AB2060">
        <v>9</v>
      </c>
      <c r="AC2060" t="s">
        <v>310</v>
      </c>
      <c r="AD2060">
        <v>9</v>
      </c>
      <c r="AE2060" t="s">
        <v>1412</v>
      </c>
      <c r="AF2060">
        <v>10000000</v>
      </c>
      <c r="AG2060" t="s">
        <v>310</v>
      </c>
      <c r="AH2060">
        <f>SUM((MID(Dyno_Data[[#This Row],[Team]],4,5))+(Dyno_Data[[#This Row],[Match]]/100))</f>
        <v>2791.4</v>
      </c>
      <c r="AI2060" s="76">
        <f>ROUND(SUM(IF(Dyno_Data[[#This Row],[AcqCenter]]&gt;0,Dyno_Data[[#This Row],[Time]]-SUMIFS(Dyno_Data[Time],Dyno_Data[Team],Dyno_Data[[#This Row],[Team]],Dyno_Data[RecordType],"StartMatch",Dyno_Data[Match],Dyno_Data[[#This Row],[Match]]),0)*86400),0)</f>
        <v>0</v>
      </c>
    </row>
    <row r="2061" spans="1:35" x14ac:dyDescent="0.3">
      <c r="A2061">
        <v>2060</v>
      </c>
      <c r="B2061" t="s">
        <v>372</v>
      </c>
      <c r="C2061">
        <v>40</v>
      </c>
      <c r="D2061" s="105">
        <v>45373.649629282409</v>
      </c>
      <c r="E2061" t="s">
        <v>312</v>
      </c>
      <c r="F2061" t="s">
        <v>1402</v>
      </c>
      <c r="G2061">
        <v>0</v>
      </c>
      <c r="H2061" t="s">
        <v>315</v>
      </c>
      <c r="I2061">
        <v>0</v>
      </c>
      <c r="J2061">
        <v>0</v>
      </c>
      <c r="K2061">
        <v>0</v>
      </c>
      <c r="L2061" t="s">
        <v>241</v>
      </c>
      <c r="M2061" t="s">
        <v>101</v>
      </c>
      <c r="N2061">
        <v>0</v>
      </c>
      <c r="O2061" t="s">
        <v>311</v>
      </c>
      <c r="P2061" t="s">
        <v>310</v>
      </c>
      <c r="Q2061" t="s">
        <v>310</v>
      </c>
      <c r="R2061" t="s">
        <v>310</v>
      </c>
      <c r="S2061">
        <v>9</v>
      </c>
      <c r="T2061" t="s">
        <v>310</v>
      </c>
      <c r="U2061">
        <v>9</v>
      </c>
      <c r="V2061">
        <v>9</v>
      </c>
      <c r="W2061">
        <v>0</v>
      </c>
      <c r="X2061">
        <v>0</v>
      </c>
      <c r="Y2061">
        <v>0</v>
      </c>
      <c r="Z2061">
        <v>0</v>
      </c>
      <c r="AA2061">
        <v>9</v>
      </c>
      <c r="AB2061">
        <v>9</v>
      </c>
      <c r="AC2061" t="s">
        <v>310</v>
      </c>
      <c r="AD2061">
        <v>9</v>
      </c>
      <c r="AE2061" t="s">
        <v>1414</v>
      </c>
      <c r="AF2061">
        <v>50100000</v>
      </c>
      <c r="AG2061" t="s">
        <v>310</v>
      </c>
      <c r="AH2061">
        <f>SUM((MID(Dyno_Data[[#This Row],[Team]],4,5))+(Dyno_Data[[#This Row],[Match]]/100))</f>
        <v>7504.4</v>
      </c>
      <c r="AI2061" s="76">
        <f>ROUND(SUM(IF(Dyno_Data[[#This Row],[AcqCenter]]&gt;0,Dyno_Data[[#This Row],[Time]]-SUMIFS(Dyno_Data[Time],Dyno_Data[Team],Dyno_Data[[#This Row],[Team]],Dyno_Data[RecordType],"StartMatch",Dyno_Data[Match],Dyno_Data[[#This Row],[Match]]),0)*86400),0)</f>
        <v>0</v>
      </c>
    </row>
    <row r="2062" spans="1:35" x14ac:dyDescent="0.3">
      <c r="A2062">
        <v>2061</v>
      </c>
      <c r="B2062" t="s">
        <v>360</v>
      </c>
      <c r="C2062">
        <v>40</v>
      </c>
      <c r="D2062" s="105">
        <v>45373.649659722221</v>
      </c>
      <c r="E2062" t="s">
        <v>312</v>
      </c>
      <c r="F2062" t="s">
        <v>1402</v>
      </c>
      <c r="G2062">
        <v>0</v>
      </c>
      <c r="H2062" t="s">
        <v>315</v>
      </c>
      <c r="I2062">
        <v>0</v>
      </c>
      <c r="J2062">
        <v>0</v>
      </c>
      <c r="K2062">
        <v>0</v>
      </c>
      <c r="L2062" t="s">
        <v>241</v>
      </c>
      <c r="M2062" t="s">
        <v>1398</v>
      </c>
      <c r="N2062">
        <v>1</v>
      </c>
      <c r="O2062" t="s">
        <v>1393</v>
      </c>
      <c r="P2062" t="s">
        <v>310</v>
      </c>
      <c r="Q2062" t="s">
        <v>310</v>
      </c>
      <c r="R2062" t="s">
        <v>310</v>
      </c>
      <c r="S2062">
        <v>9</v>
      </c>
      <c r="T2062" t="s">
        <v>310</v>
      </c>
      <c r="U2062">
        <v>9</v>
      </c>
      <c r="V2062">
        <v>9</v>
      </c>
      <c r="W2062">
        <v>0</v>
      </c>
      <c r="X2062">
        <v>0</v>
      </c>
      <c r="Y2062">
        <v>0</v>
      </c>
      <c r="Z2062">
        <v>0</v>
      </c>
      <c r="AA2062">
        <v>9</v>
      </c>
      <c r="AB2062">
        <v>9</v>
      </c>
      <c r="AC2062" t="s">
        <v>310</v>
      </c>
      <c r="AD2062">
        <v>9</v>
      </c>
      <c r="AE2062" t="s">
        <v>1388</v>
      </c>
      <c r="AF2062">
        <v>100000000</v>
      </c>
      <c r="AG2062" t="s">
        <v>310</v>
      </c>
      <c r="AH2062">
        <f>SUM((MID(Dyno_Data[[#This Row],[Team]],4,5))+(Dyno_Data[[#This Row],[Match]]/100))</f>
        <v>1796.4</v>
      </c>
      <c r="AI2062" s="76">
        <f>ROUND(SUM(IF(Dyno_Data[[#This Row],[AcqCenter]]&gt;0,Dyno_Data[[#This Row],[Time]]-SUMIFS(Dyno_Data[Time],Dyno_Data[Team],Dyno_Data[[#This Row],[Team]],Dyno_Data[RecordType],"StartMatch",Dyno_Data[Match],Dyno_Data[[#This Row],[Match]]),0)*86400),0)</f>
        <v>0</v>
      </c>
    </row>
    <row r="2063" spans="1:35" x14ac:dyDescent="0.3">
      <c r="A2063">
        <v>2062</v>
      </c>
      <c r="B2063" t="s">
        <v>360</v>
      </c>
      <c r="C2063">
        <v>40</v>
      </c>
      <c r="D2063" s="105">
        <v>45373.649690046295</v>
      </c>
      <c r="E2063" t="s">
        <v>312</v>
      </c>
      <c r="F2063" t="s">
        <v>1402</v>
      </c>
      <c r="G2063">
        <v>0</v>
      </c>
      <c r="H2063" t="s">
        <v>315</v>
      </c>
      <c r="I2063">
        <v>0</v>
      </c>
      <c r="J2063">
        <v>0</v>
      </c>
      <c r="K2063">
        <v>0</v>
      </c>
      <c r="L2063" t="s">
        <v>241</v>
      </c>
      <c r="M2063" t="s">
        <v>1398</v>
      </c>
      <c r="N2063">
        <v>1</v>
      </c>
      <c r="O2063" t="s">
        <v>1393</v>
      </c>
      <c r="P2063" t="s">
        <v>310</v>
      </c>
      <c r="Q2063" t="s">
        <v>310</v>
      </c>
      <c r="R2063" t="s">
        <v>310</v>
      </c>
      <c r="S2063">
        <v>9</v>
      </c>
      <c r="T2063" t="s">
        <v>310</v>
      </c>
      <c r="U2063">
        <v>9</v>
      </c>
      <c r="V2063">
        <v>9</v>
      </c>
      <c r="W2063">
        <v>0</v>
      </c>
      <c r="X2063">
        <v>0</v>
      </c>
      <c r="Y2063">
        <v>0</v>
      </c>
      <c r="Z2063">
        <v>0</v>
      </c>
      <c r="AA2063">
        <v>9</v>
      </c>
      <c r="AB2063">
        <v>9</v>
      </c>
      <c r="AC2063" t="s">
        <v>310</v>
      </c>
      <c r="AD2063">
        <v>9</v>
      </c>
      <c r="AE2063" t="s">
        <v>1388</v>
      </c>
      <c r="AF2063">
        <v>110000000</v>
      </c>
      <c r="AG2063" t="s">
        <v>310</v>
      </c>
      <c r="AH2063">
        <f>SUM((MID(Dyno_Data[[#This Row],[Team]],4,5))+(Dyno_Data[[#This Row],[Match]]/100))</f>
        <v>1796.4</v>
      </c>
      <c r="AI2063" s="76">
        <f>ROUND(SUM(IF(Dyno_Data[[#This Row],[AcqCenter]]&gt;0,Dyno_Data[[#This Row],[Time]]-SUMIFS(Dyno_Data[Time],Dyno_Data[Team],Dyno_Data[[#This Row],[Team]],Dyno_Data[RecordType],"StartMatch",Dyno_Data[Match],Dyno_Data[[#This Row],[Match]]),0)*86400),0)</f>
        <v>0</v>
      </c>
    </row>
    <row r="2064" spans="1:35" x14ac:dyDescent="0.3">
      <c r="A2064">
        <v>2063</v>
      </c>
      <c r="B2064" t="s">
        <v>1301</v>
      </c>
      <c r="C2064">
        <v>40</v>
      </c>
      <c r="D2064" s="105">
        <v>45373.649722569447</v>
      </c>
      <c r="E2064" t="s">
        <v>312</v>
      </c>
      <c r="F2064" t="s">
        <v>1402</v>
      </c>
      <c r="G2064">
        <v>0</v>
      </c>
      <c r="H2064" t="s">
        <v>1397</v>
      </c>
      <c r="I2064">
        <v>0</v>
      </c>
      <c r="J2064">
        <v>0</v>
      </c>
      <c r="K2064">
        <v>0</v>
      </c>
      <c r="L2064" t="s">
        <v>241</v>
      </c>
      <c r="M2064" t="s">
        <v>241</v>
      </c>
      <c r="N2064">
        <v>0</v>
      </c>
      <c r="O2064" t="s">
        <v>319</v>
      </c>
      <c r="P2064" t="s">
        <v>310</v>
      </c>
      <c r="Q2064" t="s">
        <v>310</v>
      </c>
      <c r="R2064" t="s">
        <v>310</v>
      </c>
      <c r="S2064">
        <v>9</v>
      </c>
      <c r="T2064" t="s">
        <v>310</v>
      </c>
      <c r="U2064">
        <v>9</v>
      </c>
      <c r="V2064">
        <v>9</v>
      </c>
      <c r="W2064">
        <v>0</v>
      </c>
      <c r="X2064">
        <v>0</v>
      </c>
      <c r="Y2064">
        <v>0</v>
      </c>
      <c r="Z2064">
        <v>0</v>
      </c>
      <c r="AA2064">
        <v>9</v>
      </c>
      <c r="AB2064">
        <v>9</v>
      </c>
      <c r="AC2064" t="s">
        <v>310</v>
      </c>
      <c r="AD2064">
        <v>9</v>
      </c>
      <c r="AE2064" t="s">
        <v>1396</v>
      </c>
      <c r="AF2064">
        <v>0</v>
      </c>
      <c r="AG2064" t="s">
        <v>310</v>
      </c>
      <c r="AH2064">
        <f>SUM((MID(Dyno_Data[[#This Row],[Team]],4,5))+(Dyno_Data[[#This Row],[Match]]/100))</f>
        <v>7031.4</v>
      </c>
      <c r="AI2064" s="76">
        <f>ROUND(SUM(IF(Dyno_Data[[#This Row],[AcqCenter]]&gt;0,Dyno_Data[[#This Row],[Time]]-SUMIFS(Dyno_Data[Time],Dyno_Data[Team],Dyno_Data[[#This Row],[Team]],Dyno_Data[RecordType],"StartMatch",Dyno_Data[Match],Dyno_Data[[#This Row],[Match]]),0)*86400),0)</f>
        <v>0</v>
      </c>
    </row>
    <row r="2065" spans="1:35" x14ac:dyDescent="0.3">
      <c r="A2065">
        <v>2064</v>
      </c>
      <c r="B2065" t="s">
        <v>372</v>
      </c>
      <c r="C2065">
        <v>40</v>
      </c>
      <c r="D2065" s="105">
        <v>45373.649753969905</v>
      </c>
      <c r="E2065" t="s">
        <v>312</v>
      </c>
      <c r="F2065" t="s">
        <v>1402</v>
      </c>
      <c r="G2065">
        <v>0</v>
      </c>
      <c r="H2065" t="s">
        <v>315</v>
      </c>
      <c r="I2065">
        <v>0</v>
      </c>
      <c r="J2065">
        <v>0</v>
      </c>
      <c r="K2065">
        <v>0</v>
      </c>
      <c r="L2065" t="s">
        <v>241</v>
      </c>
      <c r="M2065" t="s">
        <v>101</v>
      </c>
      <c r="N2065">
        <v>0</v>
      </c>
      <c r="O2065" t="s">
        <v>311</v>
      </c>
      <c r="P2065" t="s">
        <v>310</v>
      </c>
      <c r="Q2065" t="s">
        <v>310</v>
      </c>
      <c r="R2065" t="s">
        <v>310</v>
      </c>
      <c r="S2065">
        <v>9</v>
      </c>
      <c r="T2065" t="s">
        <v>310</v>
      </c>
      <c r="U2065">
        <v>9</v>
      </c>
      <c r="V2065">
        <v>9</v>
      </c>
      <c r="W2065">
        <v>0</v>
      </c>
      <c r="X2065">
        <v>0</v>
      </c>
      <c r="Y2065">
        <v>0</v>
      </c>
      <c r="Z2065">
        <v>0</v>
      </c>
      <c r="AA2065">
        <v>9</v>
      </c>
      <c r="AB2065">
        <v>9</v>
      </c>
      <c r="AC2065" t="s">
        <v>310</v>
      </c>
      <c r="AD2065">
        <v>9</v>
      </c>
      <c r="AE2065" t="s">
        <v>1414</v>
      </c>
      <c r="AF2065">
        <v>60100000</v>
      </c>
      <c r="AG2065" t="s">
        <v>310</v>
      </c>
      <c r="AH2065">
        <f>SUM((MID(Dyno_Data[[#This Row],[Team]],4,5))+(Dyno_Data[[#This Row],[Match]]/100))</f>
        <v>7504.4</v>
      </c>
      <c r="AI2065" s="76">
        <f>ROUND(SUM(IF(Dyno_Data[[#This Row],[AcqCenter]]&gt;0,Dyno_Data[[#This Row],[Time]]-SUMIFS(Dyno_Data[Time],Dyno_Data[Team],Dyno_Data[[#This Row],[Team]],Dyno_Data[RecordType],"StartMatch",Dyno_Data[Match],Dyno_Data[[#This Row],[Match]]),0)*86400),0)</f>
        <v>0</v>
      </c>
    </row>
    <row r="2066" spans="1:35" x14ac:dyDescent="0.3">
      <c r="A2066">
        <v>2065</v>
      </c>
      <c r="B2066" t="s">
        <v>360</v>
      </c>
      <c r="C2066">
        <v>40</v>
      </c>
      <c r="D2066" s="105">
        <v>45373.649758333333</v>
      </c>
      <c r="E2066" t="s">
        <v>312</v>
      </c>
      <c r="F2066" t="s">
        <v>1402</v>
      </c>
      <c r="G2066">
        <v>0</v>
      </c>
      <c r="H2066" t="s">
        <v>315</v>
      </c>
      <c r="I2066">
        <v>0</v>
      </c>
      <c r="J2066">
        <v>0</v>
      </c>
      <c r="K2066">
        <v>0</v>
      </c>
      <c r="L2066" t="s">
        <v>241</v>
      </c>
      <c r="M2066" t="s">
        <v>1398</v>
      </c>
      <c r="N2066">
        <v>1</v>
      </c>
      <c r="O2066" t="s">
        <v>1393</v>
      </c>
      <c r="P2066" t="s">
        <v>310</v>
      </c>
      <c r="Q2066" t="s">
        <v>310</v>
      </c>
      <c r="R2066" t="s">
        <v>310</v>
      </c>
      <c r="S2066">
        <v>9</v>
      </c>
      <c r="T2066" t="s">
        <v>310</v>
      </c>
      <c r="U2066">
        <v>9</v>
      </c>
      <c r="V2066">
        <v>9</v>
      </c>
      <c r="W2066">
        <v>0</v>
      </c>
      <c r="X2066">
        <v>0</v>
      </c>
      <c r="Y2066">
        <v>0</v>
      </c>
      <c r="Z2066">
        <v>0</v>
      </c>
      <c r="AA2066">
        <v>9</v>
      </c>
      <c r="AB2066">
        <v>9</v>
      </c>
      <c r="AC2066" t="s">
        <v>310</v>
      </c>
      <c r="AD2066">
        <v>9</v>
      </c>
      <c r="AE2066" t="s">
        <v>1388</v>
      </c>
      <c r="AF2066">
        <v>120000000</v>
      </c>
      <c r="AG2066" t="s">
        <v>310</v>
      </c>
      <c r="AH2066">
        <f>SUM((MID(Dyno_Data[[#This Row],[Team]],4,5))+(Dyno_Data[[#This Row],[Match]]/100))</f>
        <v>1796.4</v>
      </c>
      <c r="AI2066" s="76">
        <f>ROUND(SUM(IF(Dyno_Data[[#This Row],[AcqCenter]]&gt;0,Dyno_Data[[#This Row],[Time]]-SUMIFS(Dyno_Data[Time],Dyno_Data[Team],Dyno_Data[[#This Row],[Team]],Dyno_Data[RecordType],"StartMatch",Dyno_Data[Match],Dyno_Data[[#This Row],[Match]]),0)*86400),0)</f>
        <v>0</v>
      </c>
    </row>
    <row r="2067" spans="1:35" x14ac:dyDescent="0.3">
      <c r="A2067">
        <v>2066</v>
      </c>
      <c r="B2067" t="s">
        <v>360</v>
      </c>
      <c r="C2067">
        <v>40</v>
      </c>
      <c r="D2067" s="105">
        <v>45373.649812812502</v>
      </c>
      <c r="E2067" t="s">
        <v>312</v>
      </c>
      <c r="F2067" t="s">
        <v>1402</v>
      </c>
      <c r="G2067">
        <v>0</v>
      </c>
      <c r="H2067" t="s">
        <v>315</v>
      </c>
      <c r="I2067">
        <v>0</v>
      </c>
      <c r="J2067">
        <v>0</v>
      </c>
      <c r="K2067">
        <v>0</v>
      </c>
      <c r="L2067" t="s">
        <v>240</v>
      </c>
      <c r="M2067" t="s">
        <v>1398</v>
      </c>
      <c r="N2067">
        <v>0</v>
      </c>
      <c r="O2067" t="s">
        <v>1393</v>
      </c>
      <c r="P2067" t="s">
        <v>310</v>
      </c>
      <c r="Q2067" t="s">
        <v>310</v>
      </c>
      <c r="R2067" t="s">
        <v>310</v>
      </c>
      <c r="S2067">
        <v>9</v>
      </c>
      <c r="T2067" t="s">
        <v>310</v>
      </c>
      <c r="U2067">
        <v>9</v>
      </c>
      <c r="V2067">
        <v>9</v>
      </c>
      <c r="W2067">
        <v>0</v>
      </c>
      <c r="X2067">
        <v>0</v>
      </c>
      <c r="Y2067">
        <v>0</v>
      </c>
      <c r="Z2067">
        <v>0</v>
      </c>
      <c r="AA2067">
        <v>9</v>
      </c>
      <c r="AB2067">
        <v>9</v>
      </c>
      <c r="AC2067" t="s">
        <v>310</v>
      </c>
      <c r="AD2067">
        <v>9</v>
      </c>
      <c r="AE2067" t="s">
        <v>1388</v>
      </c>
      <c r="AF2067">
        <v>130000000</v>
      </c>
      <c r="AG2067" t="s">
        <v>310</v>
      </c>
      <c r="AH2067">
        <f>SUM((MID(Dyno_Data[[#This Row],[Team]],4,5))+(Dyno_Data[[#This Row],[Match]]/100))</f>
        <v>1796.4</v>
      </c>
      <c r="AI2067" s="76">
        <f>ROUND(SUM(IF(Dyno_Data[[#This Row],[AcqCenter]]&gt;0,Dyno_Data[[#This Row],[Time]]-SUMIFS(Dyno_Data[Time],Dyno_Data[Team],Dyno_Data[[#This Row],[Team]],Dyno_Data[RecordType],"StartMatch",Dyno_Data[Match],Dyno_Data[[#This Row],[Match]]),0)*86400),0)</f>
        <v>0</v>
      </c>
    </row>
    <row r="2068" spans="1:35" x14ac:dyDescent="0.3">
      <c r="A2068">
        <v>2067</v>
      </c>
      <c r="B2068" t="s">
        <v>364</v>
      </c>
      <c r="C2068">
        <v>40</v>
      </c>
      <c r="D2068" s="105">
        <v>45373.649857604163</v>
      </c>
      <c r="E2068" t="s">
        <v>312</v>
      </c>
      <c r="F2068" t="s">
        <v>1402</v>
      </c>
      <c r="G2068">
        <v>0</v>
      </c>
      <c r="H2068" t="s">
        <v>315</v>
      </c>
      <c r="I2068">
        <v>0</v>
      </c>
      <c r="J2068">
        <v>0</v>
      </c>
      <c r="K2068">
        <v>0</v>
      </c>
      <c r="L2068" t="s">
        <v>241</v>
      </c>
      <c r="M2068" t="s">
        <v>1398</v>
      </c>
      <c r="N2068">
        <v>0</v>
      </c>
      <c r="O2068" t="s">
        <v>1391</v>
      </c>
      <c r="P2068" t="s">
        <v>310</v>
      </c>
      <c r="Q2068" t="s">
        <v>310</v>
      </c>
      <c r="R2068" t="s">
        <v>310</v>
      </c>
      <c r="S2068">
        <v>9</v>
      </c>
      <c r="T2068" t="s">
        <v>310</v>
      </c>
      <c r="U2068">
        <v>9</v>
      </c>
      <c r="V2068">
        <v>9</v>
      </c>
      <c r="W2068">
        <v>0</v>
      </c>
      <c r="X2068">
        <v>0</v>
      </c>
      <c r="Y2068">
        <v>0</v>
      </c>
      <c r="Z2068">
        <v>0</v>
      </c>
      <c r="AA2068">
        <v>9</v>
      </c>
      <c r="AB2068">
        <v>9</v>
      </c>
      <c r="AC2068" t="s">
        <v>310</v>
      </c>
      <c r="AD2068">
        <v>9</v>
      </c>
      <c r="AE2068" t="s">
        <v>1412</v>
      </c>
      <c r="AF2068">
        <v>20000000</v>
      </c>
      <c r="AG2068" t="s">
        <v>310</v>
      </c>
      <c r="AH2068">
        <f>SUM((MID(Dyno_Data[[#This Row],[Team]],4,5))+(Dyno_Data[[#This Row],[Match]]/100))</f>
        <v>2791.4</v>
      </c>
      <c r="AI2068" s="76">
        <f>ROUND(SUM(IF(Dyno_Data[[#This Row],[AcqCenter]]&gt;0,Dyno_Data[[#This Row],[Time]]-SUMIFS(Dyno_Data[Time],Dyno_Data[Team],Dyno_Data[[#This Row],[Team]],Dyno_Data[RecordType],"StartMatch",Dyno_Data[Match],Dyno_Data[[#This Row],[Match]]),0)*86400),0)</f>
        <v>0</v>
      </c>
    </row>
    <row r="2069" spans="1:35" x14ac:dyDescent="0.3">
      <c r="A2069">
        <v>2068</v>
      </c>
      <c r="B2069" t="s">
        <v>360</v>
      </c>
      <c r="C2069">
        <v>40</v>
      </c>
      <c r="D2069" s="105">
        <v>45373.649937118054</v>
      </c>
      <c r="E2069" t="s">
        <v>312</v>
      </c>
      <c r="F2069" t="s">
        <v>1402</v>
      </c>
      <c r="G2069">
        <v>0</v>
      </c>
      <c r="H2069" t="s">
        <v>315</v>
      </c>
      <c r="I2069">
        <v>0</v>
      </c>
      <c r="J2069">
        <v>0</v>
      </c>
      <c r="K2069">
        <v>0</v>
      </c>
      <c r="L2069" t="s">
        <v>242</v>
      </c>
      <c r="M2069" t="s">
        <v>241</v>
      </c>
      <c r="N2069">
        <v>0</v>
      </c>
      <c r="O2069" t="s">
        <v>1393</v>
      </c>
      <c r="P2069" t="s">
        <v>310</v>
      </c>
      <c r="Q2069" t="s">
        <v>310</v>
      </c>
      <c r="R2069" t="s">
        <v>310</v>
      </c>
      <c r="S2069">
        <v>9</v>
      </c>
      <c r="T2069" t="s">
        <v>310</v>
      </c>
      <c r="U2069">
        <v>9</v>
      </c>
      <c r="V2069">
        <v>9</v>
      </c>
      <c r="W2069">
        <v>0</v>
      </c>
      <c r="X2069">
        <v>0</v>
      </c>
      <c r="Y2069">
        <v>0</v>
      </c>
      <c r="Z2069">
        <v>0</v>
      </c>
      <c r="AA2069">
        <v>9</v>
      </c>
      <c r="AB2069">
        <v>9</v>
      </c>
      <c r="AC2069" t="s">
        <v>310</v>
      </c>
      <c r="AD2069">
        <v>9</v>
      </c>
      <c r="AE2069" t="s">
        <v>1388</v>
      </c>
      <c r="AF2069">
        <v>140000000</v>
      </c>
      <c r="AG2069" t="s">
        <v>310</v>
      </c>
      <c r="AH2069">
        <f>SUM((MID(Dyno_Data[[#This Row],[Team]],4,5))+(Dyno_Data[[#This Row],[Match]]/100))</f>
        <v>1796.4</v>
      </c>
      <c r="AI2069" s="76">
        <f>ROUND(SUM(IF(Dyno_Data[[#This Row],[AcqCenter]]&gt;0,Dyno_Data[[#This Row],[Time]]-SUMIFS(Dyno_Data[Time],Dyno_Data[Team],Dyno_Data[[#This Row],[Team]],Dyno_Data[RecordType],"StartMatch",Dyno_Data[Match],Dyno_Data[[#This Row],[Match]]),0)*86400),0)</f>
        <v>0</v>
      </c>
    </row>
    <row r="2070" spans="1:35" x14ac:dyDescent="0.3">
      <c r="A2070">
        <v>2069</v>
      </c>
      <c r="B2070" t="s">
        <v>364</v>
      </c>
      <c r="C2070">
        <v>40</v>
      </c>
      <c r="D2070" s="105">
        <v>45373.649938506947</v>
      </c>
      <c r="E2070" t="s">
        <v>312</v>
      </c>
      <c r="F2070" t="s">
        <v>1402</v>
      </c>
      <c r="G2070">
        <v>0</v>
      </c>
      <c r="H2070" t="s">
        <v>315</v>
      </c>
      <c r="I2070">
        <v>0</v>
      </c>
      <c r="J2070">
        <v>0</v>
      </c>
      <c r="K2070">
        <v>0</v>
      </c>
      <c r="L2070" t="s">
        <v>241</v>
      </c>
      <c r="M2070" t="s">
        <v>1398</v>
      </c>
      <c r="N2070">
        <v>0</v>
      </c>
      <c r="O2070" t="s">
        <v>1391</v>
      </c>
      <c r="P2070" t="s">
        <v>310</v>
      </c>
      <c r="Q2070" t="s">
        <v>310</v>
      </c>
      <c r="R2070" t="s">
        <v>310</v>
      </c>
      <c r="S2070">
        <v>9</v>
      </c>
      <c r="T2070" t="s">
        <v>310</v>
      </c>
      <c r="U2070">
        <v>9</v>
      </c>
      <c r="V2070">
        <v>9</v>
      </c>
      <c r="W2070">
        <v>0</v>
      </c>
      <c r="X2070">
        <v>0</v>
      </c>
      <c r="Y2070">
        <v>0</v>
      </c>
      <c r="Z2070">
        <v>0</v>
      </c>
      <c r="AA2070">
        <v>9</v>
      </c>
      <c r="AB2070">
        <v>9</v>
      </c>
      <c r="AC2070" t="s">
        <v>310</v>
      </c>
      <c r="AD2070">
        <v>9</v>
      </c>
      <c r="AE2070" t="s">
        <v>1412</v>
      </c>
      <c r="AF2070">
        <v>30000000</v>
      </c>
      <c r="AG2070" t="s">
        <v>310</v>
      </c>
      <c r="AH2070">
        <f>SUM((MID(Dyno_Data[[#This Row],[Team]],4,5))+(Dyno_Data[[#This Row],[Match]]/100))</f>
        <v>2791.4</v>
      </c>
      <c r="AI2070" s="76">
        <f>ROUND(SUM(IF(Dyno_Data[[#This Row],[AcqCenter]]&gt;0,Dyno_Data[[#This Row],[Time]]-SUMIFS(Dyno_Data[Time],Dyno_Data[Team],Dyno_Data[[#This Row],[Team]],Dyno_Data[RecordType],"StartMatch",Dyno_Data[Match],Dyno_Data[[#This Row],[Match]]),0)*86400),0)</f>
        <v>0</v>
      </c>
    </row>
    <row r="2071" spans="1:35" x14ac:dyDescent="0.3">
      <c r="A2071">
        <v>2070</v>
      </c>
      <c r="B2071" t="s">
        <v>364</v>
      </c>
      <c r="C2071">
        <v>40</v>
      </c>
      <c r="D2071" s="105">
        <v>45373.650015196756</v>
      </c>
      <c r="E2071" t="s">
        <v>312</v>
      </c>
      <c r="F2071" t="s">
        <v>1402</v>
      </c>
      <c r="G2071">
        <v>0</v>
      </c>
      <c r="H2071" t="s">
        <v>315</v>
      </c>
      <c r="I2071">
        <v>0</v>
      </c>
      <c r="J2071">
        <v>0</v>
      </c>
      <c r="K2071">
        <v>0</v>
      </c>
      <c r="L2071" t="s">
        <v>241</v>
      </c>
      <c r="M2071" t="s">
        <v>1398</v>
      </c>
      <c r="N2071">
        <v>0</v>
      </c>
      <c r="O2071" t="s">
        <v>1391</v>
      </c>
      <c r="P2071" t="s">
        <v>310</v>
      </c>
      <c r="Q2071" t="s">
        <v>310</v>
      </c>
      <c r="R2071" t="s">
        <v>310</v>
      </c>
      <c r="S2071">
        <v>9</v>
      </c>
      <c r="T2071" t="s">
        <v>310</v>
      </c>
      <c r="U2071">
        <v>9</v>
      </c>
      <c r="V2071">
        <v>9</v>
      </c>
      <c r="W2071">
        <v>0</v>
      </c>
      <c r="X2071">
        <v>0</v>
      </c>
      <c r="Y2071">
        <v>0</v>
      </c>
      <c r="Z2071">
        <v>0</v>
      </c>
      <c r="AA2071">
        <v>9</v>
      </c>
      <c r="AB2071">
        <v>9</v>
      </c>
      <c r="AC2071" t="s">
        <v>310</v>
      </c>
      <c r="AD2071">
        <v>9</v>
      </c>
      <c r="AE2071" t="s">
        <v>1412</v>
      </c>
      <c r="AF2071">
        <v>40000000</v>
      </c>
      <c r="AG2071" t="s">
        <v>310</v>
      </c>
      <c r="AH2071">
        <f>SUM((MID(Dyno_Data[[#This Row],[Team]],4,5))+(Dyno_Data[[#This Row],[Match]]/100))</f>
        <v>2791.4</v>
      </c>
      <c r="AI2071" s="76">
        <f>ROUND(SUM(IF(Dyno_Data[[#This Row],[AcqCenter]]&gt;0,Dyno_Data[[#This Row],[Time]]-SUMIFS(Dyno_Data[Time],Dyno_Data[Team],Dyno_Data[[#This Row],[Team]],Dyno_Data[RecordType],"StartMatch",Dyno_Data[Match],Dyno_Data[[#This Row],[Match]]),0)*86400),0)</f>
        <v>0</v>
      </c>
    </row>
    <row r="2072" spans="1:35" x14ac:dyDescent="0.3">
      <c r="A2072">
        <v>2071</v>
      </c>
      <c r="B2072" t="s">
        <v>360</v>
      </c>
      <c r="C2072">
        <v>40</v>
      </c>
      <c r="D2072" s="105">
        <v>45373.650065856484</v>
      </c>
      <c r="E2072" t="s">
        <v>312</v>
      </c>
      <c r="F2072" t="s">
        <v>1402</v>
      </c>
      <c r="G2072">
        <v>0</v>
      </c>
      <c r="H2072" t="s">
        <v>315</v>
      </c>
      <c r="I2072">
        <v>0</v>
      </c>
      <c r="J2072">
        <v>0</v>
      </c>
      <c r="K2072">
        <v>0</v>
      </c>
      <c r="L2072" t="s">
        <v>241</v>
      </c>
      <c r="M2072" t="s">
        <v>101</v>
      </c>
      <c r="N2072">
        <v>0</v>
      </c>
      <c r="O2072" t="s">
        <v>1393</v>
      </c>
      <c r="P2072" t="s">
        <v>310</v>
      </c>
      <c r="Q2072" t="s">
        <v>310</v>
      </c>
      <c r="R2072" t="s">
        <v>310</v>
      </c>
      <c r="S2072">
        <v>9</v>
      </c>
      <c r="T2072" t="s">
        <v>310</v>
      </c>
      <c r="U2072">
        <v>9</v>
      </c>
      <c r="V2072">
        <v>9</v>
      </c>
      <c r="W2072">
        <v>0</v>
      </c>
      <c r="X2072">
        <v>0</v>
      </c>
      <c r="Y2072">
        <v>0</v>
      </c>
      <c r="Z2072">
        <v>0</v>
      </c>
      <c r="AA2072">
        <v>9</v>
      </c>
      <c r="AB2072">
        <v>9</v>
      </c>
      <c r="AC2072" t="s">
        <v>310</v>
      </c>
      <c r="AD2072">
        <v>9</v>
      </c>
      <c r="AE2072" t="s">
        <v>1388</v>
      </c>
      <c r="AF2072">
        <v>150000000</v>
      </c>
      <c r="AG2072" t="s">
        <v>310</v>
      </c>
      <c r="AH2072">
        <f>SUM((MID(Dyno_Data[[#This Row],[Team]],4,5))+(Dyno_Data[[#This Row],[Match]]/100))</f>
        <v>1796.4</v>
      </c>
      <c r="AI2072" s="76">
        <f>ROUND(SUM(IF(Dyno_Data[[#This Row],[AcqCenter]]&gt;0,Dyno_Data[[#This Row],[Time]]-SUMIFS(Dyno_Data[Time],Dyno_Data[Team],Dyno_Data[[#This Row],[Team]],Dyno_Data[RecordType],"StartMatch",Dyno_Data[Match],Dyno_Data[[#This Row],[Match]]),0)*86400),0)</f>
        <v>0</v>
      </c>
    </row>
    <row r="2073" spans="1:35" x14ac:dyDescent="0.3">
      <c r="A2073">
        <v>2072</v>
      </c>
      <c r="B2073" t="s">
        <v>360</v>
      </c>
      <c r="C2073">
        <v>40</v>
      </c>
      <c r="D2073" s="105">
        <v>45373.650123993059</v>
      </c>
      <c r="E2073" t="s">
        <v>312</v>
      </c>
      <c r="F2073" t="s">
        <v>1402</v>
      </c>
      <c r="G2073">
        <v>0</v>
      </c>
      <c r="H2073" t="s">
        <v>315</v>
      </c>
      <c r="I2073">
        <v>0</v>
      </c>
      <c r="J2073">
        <v>0</v>
      </c>
      <c r="K2073">
        <v>0</v>
      </c>
      <c r="L2073" t="s">
        <v>241</v>
      </c>
      <c r="M2073" t="s">
        <v>101</v>
      </c>
      <c r="N2073">
        <v>0</v>
      </c>
      <c r="O2073" t="s">
        <v>1393</v>
      </c>
      <c r="P2073" t="s">
        <v>310</v>
      </c>
      <c r="Q2073" t="s">
        <v>310</v>
      </c>
      <c r="R2073" t="s">
        <v>310</v>
      </c>
      <c r="S2073">
        <v>9</v>
      </c>
      <c r="T2073" t="s">
        <v>310</v>
      </c>
      <c r="U2073">
        <v>9</v>
      </c>
      <c r="V2073">
        <v>9</v>
      </c>
      <c r="W2073">
        <v>0</v>
      </c>
      <c r="X2073">
        <v>0</v>
      </c>
      <c r="Y2073">
        <v>0</v>
      </c>
      <c r="Z2073">
        <v>0</v>
      </c>
      <c r="AA2073">
        <v>9</v>
      </c>
      <c r="AB2073">
        <v>9</v>
      </c>
      <c r="AC2073" t="s">
        <v>310</v>
      </c>
      <c r="AD2073">
        <v>9</v>
      </c>
      <c r="AE2073" t="s">
        <v>1388</v>
      </c>
      <c r="AF2073">
        <v>160000000</v>
      </c>
      <c r="AG2073" t="s">
        <v>310</v>
      </c>
      <c r="AH2073">
        <f>SUM((MID(Dyno_Data[[#This Row],[Team]],4,5))+(Dyno_Data[[#This Row],[Match]]/100))</f>
        <v>1796.4</v>
      </c>
      <c r="AI2073" s="76">
        <f>ROUND(SUM(IF(Dyno_Data[[#This Row],[AcqCenter]]&gt;0,Dyno_Data[[#This Row],[Time]]-SUMIFS(Dyno_Data[Time],Dyno_Data[Team],Dyno_Data[[#This Row],[Team]],Dyno_Data[RecordType],"StartMatch",Dyno_Data[Match],Dyno_Data[[#This Row],[Match]]),0)*86400),0)</f>
        <v>0</v>
      </c>
    </row>
    <row r="2074" spans="1:35" x14ac:dyDescent="0.3">
      <c r="A2074">
        <v>2073</v>
      </c>
      <c r="B2074" t="s">
        <v>364</v>
      </c>
      <c r="C2074">
        <v>40</v>
      </c>
      <c r="D2074" s="105">
        <v>45373.650166631945</v>
      </c>
      <c r="E2074" t="s">
        <v>312</v>
      </c>
      <c r="F2074" t="s">
        <v>1402</v>
      </c>
      <c r="G2074">
        <v>0</v>
      </c>
      <c r="H2074" t="s">
        <v>315</v>
      </c>
      <c r="I2074">
        <v>0</v>
      </c>
      <c r="J2074">
        <v>0</v>
      </c>
      <c r="K2074">
        <v>0</v>
      </c>
      <c r="L2074" t="s">
        <v>241</v>
      </c>
      <c r="M2074" t="s">
        <v>1398</v>
      </c>
      <c r="N2074">
        <v>0</v>
      </c>
      <c r="O2074" t="s">
        <v>1391</v>
      </c>
      <c r="P2074" t="s">
        <v>310</v>
      </c>
      <c r="Q2074" t="s">
        <v>310</v>
      </c>
      <c r="R2074" t="s">
        <v>310</v>
      </c>
      <c r="S2074">
        <v>9</v>
      </c>
      <c r="T2074" t="s">
        <v>310</v>
      </c>
      <c r="U2074">
        <v>9</v>
      </c>
      <c r="V2074">
        <v>9</v>
      </c>
      <c r="W2074">
        <v>0</v>
      </c>
      <c r="X2074">
        <v>0</v>
      </c>
      <c r="Y2074">
        <v>0</v>
      </c>
      <c r="Z2074">
        <v>0</v>
      </c>
      <c r="AA2074">
        <v>9</v>
      </c>
      <c r="AB2074">
        <v>9</v>
      </c>
      <c r="AC2074" t="s">
        <v>310</v>
      </c>
      <c r="AD2074">
        <v>9</v>
      </c>
      <c r="AE2074" t="s">
        <v>1412</v>
      </c>
      <c r="AF2074">
        <v>50000000</v>
      </c>
      <c r="AG2074" t="s">
        <v>310</v>
      </c>
      <c r="AH2074">
        <f>SUM((MID(Dyno_Data[[#This Row],[Team]],4,5))+(Dyno_Data[[#This Row],[Match]]/100))</f>
        <v>2791.4</v>
      </c>
      <c r="AI2074" s="76">
        <f>ROUND(SUM(IF(Dyno_Data[[#This Row],[AcqCenter]]&gt;0,Dyno_Data[[#This Row],[Time]]-SUMIFS(Dyno_Data[Time],Dyno_Data[Team],Dyno_Data[[#This Row],[Team]],Dyno_Data[RecordType],"StartMatch",Dyno_Data[Match],Dyno_Data[[#This Row],[Match]]),0)*86400),0)</f>
        <v>0</v>
      </c>
    </row>
    <row r="2075" spans="1:35" x14ac:dyDescent="0.3">
      <c r="A2075">
        <v>2074</v>
      </c>
      <c r="B2075" t="s">
        <v>360</v>
      </c>
      <c r="C2075">
        <v>40</v>
      </c>
      <c r="D2075" s="105">
        <v>45373.650204201389</v>
      </c>
      <c r="E2075" t="s">
        <v>312</v>
      </c>
      <c r="F2075" t="s">
        <v>1402</v>
      </c>
      <c r="G2075">
        <v>0</v>
      </c>
      <c r="H2075" t="s">
        <v>315</v>
      </c>
      <c r="I2075">
        <v>0</v>
      </c>
      <c r="J2075">
        <v>0</v>
      </c>
      <c r="K2075">
        <v>0</v>
      </c>
      <c r="L2075" t="s">
        <v>240</v>
      </c>
      <c r="M2075" t="s">
        <v>1398</v>
      </c>
      <c r="N2075">
        <v>1</v>
      </c>
      <c r="O2075" t="s">
        <v>1393</v>
      </c>
      <c r="P2075" t="s">
        <v>310</v>
      </c>
      <c r="Q2075" t="s">
        <v>310</v>
      </c>
      <c r="R2075" t="s">
        <v>310</v>
      </c>
      <c r="S2075">
        <v>9</v>
      </c>
      <c r="T2075" t="s">
        <v>310</v>
      </c>
      <c r="U2075">
        <v>9</v>
      </c>
      <c r="V2075">
        <v>9</v>
      </c>
      <c r="W2075">
        <v>0</v>
      </c>
      <c r="X2075">
        <v>0</v>
      </c>
      <c r="Y2075">
        <v>0</v>
      </c>
      <c r="Z2075">
        <v>0</v>
      </c>
      <c r="AA2075">
        <v>9</v>
      </c>
      <c r="AB2075">
        <v>9</v>
      </c>
      <c r="AC2075" t="s">
        <v>310</v>
      </c>
      <c r="AD2075">
        <v>9</v>
      </c>
      <c r="AE2075" t="s">
        <v>1388</v>
      </c>
      <c r="AF2075">
        <v>170000000</v>
      </c>
      <c r="AG2075" t="s">
        <v>310</v>
      </c>
      <c r="AH2075">
        <f>SUM((MID(Dyno_Data[[#This Row],[Team]],4,5))+(Dyno_Data[[#This Row],[Match]]/100))</f>
        <v>1796.4</v>
      </c>
      <c r="AI2075" s="76">
        <f>ROUND(SUM(IF(Dyno_Data[[#This Row],[AcqCenter]]&gt;0,Dyno_Data[[#This Row],[Time]]-SUMIFS(Dyno_Data[Time],Dyno_Data[Team],Dyno_Data[[#This Row],[Team]],Dyno_Data[RecordType],"StartMatch",Dyno_Data[Match],Dyno_Data[[#This Row],[Match]]),0)*86400),0)</f>
        <v>0</v>
      </c>
    </row>
    <row r="2076" spans="1:35" x14ac:dyDescent="0.3">
      <c r="A2076">
        <v>2075</v>
      </c>
      <c r="B2076" t="s">
        <v>360</v>
      </c>
      <c r="C2076">
        <v>40</v>
      </c>
      <c r="D2076" s="105">
        <v>45373.650252743057</v>
      </c>
      <c r="E2076" t="s">
        <v>312</v>
      </c>
      <c r="F2076" t="s">
        <v>1402</v>
      </c>
      <c r="G2076">
        <v>0</v>
      </c>
      <c r="H2076" t="s">
        <v>315</v>
      </c>
      <c r="I2076">
        <v>0</v>
      </c>
      <c r="J2076">
        <v>0</v>
      </c>
      <c r="K2076">
        <v>0</v>
      </c>
      <c r="L2076" t="s">
        <v>240</v>
      </c>
      <c r="M2076" t="s">
        <v>1398</v>
      </c>
      <c r="N2076">
        <v>0</v>
      </c>
      <c r="O2076" t="s">
        <v>1393</v>
      </c>
      <c r="P2076" t="s">
        <v>310</v>
      </c>
      <c r="Q2076" t="s">
        <v>310</v>
      </c>
      <c r="R2076" t="s">
        <v>310</v>
      </c>
      <c r="S2076">
        <v>9</v>
      </c>
      <c r="T2076" t="s">
        <v>310</v>
      </c>
      <c r="U2076">
        <v>9</v>
      </c>
      <c r="V2076">
        <v>9</v>
      </c>
      <c r="W2076">
        <v>0</v>
      </c>
      <c r="X2076">
        <v>0</v>
      </c>
      <c r="Y2076">
        <v>0</v>
      </c>
      <c r="Z2076">
        <v>0</v>
      </c>
      <c r="AA2076">
        <v>9</v>
      </c>
      <c r="AB2076">
        <v>9</v>
      </c>
      <c r="AC2076" t="s">
        <v>310</v>
      </c>
      <c r="AD2076">
        <v>9</v>
      </c>
      <c r="AE2076" t="s">
        <v>1388</v>
      </c>
      <c r="AF2076">
        <v>180000000</v>
      </c>
      <c r="AG2076" t="s">
        <v>310</v>
      </c>
      <c r="AH2076">
        <f>SUM((MID(Dyno_Data[[#This Row],[Team]],4,5))+(Dyno_Data[[#This Row],[Match]]/100))</f>
        <v>1796.4</v>
      </c>
      <c r="AI2076" s="76">
        <f>ROUND(SUM(IF(Dyno_Data[[#This Row],[AcqCenter]]&gt;0,Dyno_Data[[#This Row],[Time]]-SUMIFS(Dyno_Data[Time],Dyno_Data[Team],Dyno_Data[[#This Row],[Team]],Dyno_Data[RecordType],"StartMatch",Dyno_Data[Match],Dyno_Data[[#This Row],[Match]]),0)*86400),0)</f>
        <v>0</v>
      </c>
    </row>
    <row r="2077" spans="1:35" x14ac:dyDescent="0.3">
      <c r="A2077">
        <v>2076</v>
      </c>
      <c r="B2077" t="s">
        <v>372</v>
      </c>
      <c r="C2077">
        <v>40</v>
      </c>
      <c r="D2077" s="105">
        <v>45373.650259178241</v>
      </c>
      <c r="E2077" t="s">
        <v>312</v>
      </c>
      <c r="F2077" t="s">
        <v>1402</v>
      </c>
      <c r="G2077">
        <v>0</v>
      </c>
      <c r="H2077" t="s">
        <v>315</v>
      </c>
      <c r="I2077">
        <v>0</v>
      </c>
      <c r="J2077">
        <v>0</v>
      </c>
      <c r="K2077">
        <v>0</v>
      </c>
      <c r="L2077" t="s">
        <v>240</v>
      </c>
      <c r="M2077" t="s">
        <v>1398</v>
      </c>
      <c r="N2077">
        <v>0</v>
      </c>
      <c r="O2077" t="s">
        <v>311</v>
      </c>
      <c r="P2077" t="s">
        <v>310</v>
      </c>
      <c r="Q2077" t="s">
        <v>310</v>
      </c>
      <c r="R2077" t="s">
        <v>310</v>
      </c>
      <c r="S2077">
        <v>9</v>
      </c>
      <c r="T2077" t="s">
        <v>310</v>
      </c>
      <c r="U2077">
        <v>9</v>
      </c>
      <c r="V2077">
        <v>9</v>
      </c>
      <c r="W2077">
        <v>0</v>
      </c>
      <c r="X2077">
        <v>0</v>
      </c>
      <c r="Y2077">
        <v>0</v>
      </c>
      <c r="Z2077">
        <v>0</v>
      </c>
      <c r="AA2077">
        <v>9</v>
      </c>
      <c r="AB2077">
        <v>9</v>
      </c>
      <c r="AC2077" t="s">
        <v>310</v>
      </c>
      <c r="AD2077">
        <v>9</v>
      </c>
      <c r="AE2077" t="s">
        <v>1414</v>
      </c>
      <c r="AF2077">
        <v>70200000</v>
      </c>
      <c r="AG2077" t="s">
        <v>310</v>
      </c>
      <c r="AH2077">
        <f>SUM((MID(Dyno_Data[[#This Row],[Team]],4,5))+(Dyno_Data[[#This Row],[Match]]/100))</f>
        <v>7504.4</v>
      </c>
      <c r="AI2077" s="76">
        <f>ROUND(SUM(IF(Dyno_Data[[#This Row],[AcqCenter]]&gt;0,Dyno_Data[[#This Row],[Time]]-SUMIFS(Dyno_Data[Time],Dyno_Data[Team],Dyno_Data[[#This Row],[Team]],Dyno_Data[RecordType],"StartMatch",Dyno_Data[Match],Dyno_Data[[#This Row],[Match]]),0)*86400),0)</f>
        <v>0</v>
      </c>
    </row>
    <row r="2078" spans="1:35" x14ac:dyDescent="0.3">
      <c r="A2078">
        <v>2077</v>
      </c>
      <c r="B2078" t="s">
        <v>360</v>
      </c>
      <c r="C2078">
        <v>40</v>
      </c>
      <c r="D2078" s="105">
        <v>45373.650283067131</v>
      </c>
      <c r="E2078" t="s">
        <v>312</v>
      </c>
      <c r="F2078" t="s">
        <v>1402</v>
      </c>
      <c r="G2078">
        <v>0</v>
      </c>
      <c r="H2078" t="s">
        <v>315</v>
      </c>
      <c r="I2078">
        <v>0</v>
      </c>
      <c r="J2078">
        <v>0</v>
      </c>
      <c r="K2078">
        <v>0</v>
      </c>
      <c r="L2078" t="s">
        <v>240</v>
      </c>
      <c r="M2078" t="s">
        <v>1398</v>
      </c>
      <c r="N2078">
        <v>1</v>
      </c>
      <c r="O2078" t="s">
        <v>1393</v>
      </c>
      <c r="P2078" t="s">
        <v>310</v>
      </c>
      <c r="Q2078" t="s">
        <v>310</v>
      </c>
      <c r="R2078" t="s">
        <v>310</v>
      </c>
      <c r="S2078">
        <v>9</v>
      </c>
      <c r="T2078" t="s">
        <v>310</v>
      </c>
      <c r="U2078">
        <v>9</v>
      </c>
      <c r="V2078">
        <v>9</v>
      </c>
      <c r="W2078">
        <v>0</v>
      </c>
      <c r="X2078">
        <v>0</v>
      </c>
      <c r="Y2078">
        <v>0</v>
      </c>
      <c r="Z2078">
        <v>0</v>
      </c>
      <c r="AA2078">
        <v>9</v>
      </c>
      <c r="AB2078">
        <v>9</v>
      </c>
      <c r="AC2078" t="s">
        <v>310</v>
      </c>
      <c r="AD2078">
        <v>9</v>
      </c>
      <c r="AE2078" t="s">
        <v>1388</v>
      </c>
      <c r="AF2078">
        <v>190000000</v>
      </c>
      <c r="AG2078" t="s">
        <v>310</v>
      </c>
      <c r="AH2078">
        <f>SUM((MID(Dyno_Data[[#This Row],[Team]],4,5))+(Dyno_Data[[#This Row],[Match]]/100))</f>
        <v>1796.4</v>
      </c>
      <c r="AI2078" s="76">
        <f>ROUND(SUM(IF(Dyno_Data[[#This Row],[AcqCenter]]&gt;0,Dyno_Data[[#This Row],[Time]]-SUMIFS(Dyno_Data[Time],Dyno_Data[Team],Dyno_Data[[#This Row],[Team]],Dyno_Data[RecordType],"StartMatch",Dyno_Data[Match],Dyno_Data[[#This Row],[Match]]),0)*86400),0)</f>
        <v>0</v>
      </c>
    </row>
    <row r="2079" spans="1:35" x14ac:dyDescent="0.3">
      <c r="A2079">
        <v>2078</v>
      </c>
      <c r="B2079" t="s">
        <v>360</v>
      </c>
      <c r="C2079">
        <v>40</v>
      </c>
      <c r="D2079" s="105">
        <v>45373.650319247688</v>
      </c>
      <c r="E2079" t="s">
        <v>312</v>
      </c>
      <c r="F2079" t="s">
        <v>1402</v>
      </c>
      <c r="G2079">
        <v>0</v>
      </c>
      <c r="H2079" t="s">
        <v>315</v>
      </c>
      <c r="I2079">
        <v>0</v>
      </c>
      <c r="J2079">
        <v>0</v>
      </c>
      <c r="K2079">
        <v>0</v>
      </c>
      <c r="L2079" t="s">
        <v>241</v>
      </c>
      <c r="M2079" t="s">
        <v>101</v>
      </c>
      <c r="N2079">
        <v>0</v>
      </c>
      <c r="O2079" t="s">
        <v>1393</v>
      </c>
      <c r="P2079" t="s">
        <v>310</v>
      </c>
      <c r="Q2079" t="s">
        <v>310</v>
      </c>
      <c r="R2079" t="s">
        <v>310</v>
      </c>
      <c r="S2079">
        <v>9</v>
      </c>
      <c r="T2079" t="s">
        <v>310</v>
      </c>
      <c r="U2079">
        <v>9</v>
      </c>
      <c r="V2079">
        <v>9</v>
      </c>
      <c r="W2079">
        <v>0</v>
      </c>
      <c r="X2079">
        <v>0</v>
      </c>
      <c r="Y2079">
        <v>0</v>
      </c>
      <c r="Z2079">
        <v>0</v>
      </c>
      <c r="AA2079">
        <v>9</v>
      </c>
      <c r="AB2079">
        <v>9</v>
      </c>
      <c r="AC2079" t="s">
        <v>310</v>
      </c>
      <c r="AD2079">
        <v>9</v>
      </c>
      <c r="AE2079" t="s">
        <v>1388</v>
      </c>
      <c r="AF2079">
        <v>200000000</v>
      </c>
      <c r="AG2079" t="s">
        <v>310</v>
      </c>
      <c r="AH2079">
        <f>SUM((MID(Dyno_Data[[#This Row],[Team]],4,5))+(Dyno_Data[[#This Row],[Match]]/100))</f>
        <v>1796.4</v>
      </c>
      <c r="AI2079" s="76">
        <f>ROUND(SUM(IF(Dyno_Data[[#This Row],[AcqCenter]]&gt;0,Dyno_Data[[#This Row],[Time]]-SUMIFS(Dyno_Data[Time],Dyno_Data[Team],Dyno_Data[[#This Row],[Team]],Dyno_Data[RecordType],"StartMatch",Dyno_Data[Match],Dyno_Data[[#This Row],[Match]]),0)*86400),0)</f>
        <v>0</v>
      </c>
    </row>
    <row r="2080" spans="1:35" x14ac:dyDescent="0.3">
      <c r="A2080">
        <v>2079</v>
      </c>
      <c r="B2080" t="s">
        <v>364</v>
      </c>
      <c r="C2080">
        <v>40</v>
      </c>
      <c r="D2080" s="105">
        <v>45373.650394756944</v>
      </c>
      <c r="E2080" t="s">
        <v>312</v>
      </c>
      <c r="F2080" t="s">
        <v>1402</v>
      </c>
      <c r="G2080">
        <v>0</v>
      </c>
      <c r="H2080" t="s">
        <v>315</v>
      </c>
      <c r="I2080">
        <v>0</v>
      </c>
      <c r="J2080">
        <v>0</v>
      </c>
      <c r="K2080">
        <v>0</v>
      </c>
      <c r="L2080" t="s">
        <v>241</v>
      </c>
      <c r="M2080" t="s">
        <v>1398</v>
      </c>
      <c r="N2080">
        <v>0</v>
      </c>
      <c r="O2080" t="s">
        <v>1391</v>
      </c>
      <c r="P2080" t="s">
        <v>310</v>
      </c>
      <c r="Q2080" t="s">
        <v>310</v>
      </c>
      <c r="R2080" t="s">
        <v>310</v>
      </c>
      <c r="S2080">
        <v>9</v>
      </c>
      <c r="T2080" t="s">
        <v>310</v>
      </c>
      <c r="U2080">
        <v>9</v>
      </c>
      <c r="V2080">
        <v>9</v>
      </c>
      <c r="W2080">
        <v>0</v>
      </c>
      <c r="X2080">
        <v>0</v>
      </c>
      <c r="Y2080">
        <v>0</v>
      </c>
      <c r="Z2080">
        <v>0</v>
      </c>
      <c r="AA2080">
        <v>9</v>
      </c>
      <c r="AB2080">
        <v>9</v>
      </c>
      <c r="AC2080" t="s">
        <v>310</v>
      </c>
      <c r="AD2080">
        <v>9</v>
      </c>
      <c r="AE2080" t="s">
        <v>1412</v>
      </c>
      <c r="AF2080">
        <v>60000000</v>
      </c>
      <c r="AG2080" t="s">
        <v>310</v>
      </c>
      <c r="AH2080">
        <f>SUM((MID(Dyno_Data[[#This Row],[Team]],4,5))+(Dyno_Data[[#This Row],[Match]]/100))</f>
        <v>2791.4</v>
      </c>
      <c r="AI2080" s="76">
        <f>ROUND(SUM(IF(Dyno_Data[[#This Row],[AcqCenter]]&gt;0,Dyno_Data[[#This Row],[Time]]-SUMIFS(Dyno_Data[Time],Dyno_Data[Team],Dyno_Data[[#This Row],[Team]],Dyno_Data[RecordType],"StartMatch",Dyno_Data[Match],Dyno_Data[[#This Row],[Match]]),0)*86400),0)</f>
        <v>0</v>
      </c>
    </row>
    <row r="2081" spans="1:35" x14ac:dyDescent="0.3">
      <c r="A2081">
        <v>2080</v>
      </c>
      <c r="B2081" t="s">
        <v>364</v>
      </c>
      <c r="C2081">
        <v>40</v>
      </c>
      <c r="D2081" s="105">
        <v>45373.650493900466</v>
      </c>
      <c r="E2081" t="s">
        <v>312</v>
      </c>
      <c r="F2081" t="s">
        <v>1402</v>
      </c>
      <c r="G2081">
        <v>0</v>
      </c>
      <c r="H2081" t="s">
        <v>315</v>
      </c>
      <c r="I2081">
        <v>0</v>
      </c>
      <c r="J2081">
        <v>0</v>
      </c>
      <c r="K2081">
        <v>0</v>
      </c>
      <c r="L2081" t="s">
        <v>241</v>
      </c>
      <c r="M2081" t="s">
        <v>1398</v>
      </c>
      <c r="N2081">
        <v>0</v>
      </c>
      <c r="O2081" t="s">
        <v>1391</v>
      </c>
      <c r="P2081" t="s">
        <v>310</v>
      </c>
      <c r="Q2081" t="s">
        <v>310</v>
      </c>
      <c r="R2081" t="s">
        <v>310</v>
      </c>
      <c r="S2081">
        <v>9</v>
      </c>
      <c r="T2081" t="s">
        <v>310</v>
      </c>
      <c r="U2081">
        <v>9</v>
      </c>
      <c r="V2081">
        <v>9</v>
      </c>
      <c r="W2081">
        <v>0</v>
      </c>
      <c r="X2081">
        <v>0</v>
      </c>
      <c r="Y2081">
        <v>0</v>
      </c>
      <c r="Z2081">
        <v>0</v>
      </c>
      <c r="AA2081">
        <v>9</v>
      </c>
      <c r="AB2081">
        <v>9</v>
      </c>
      <c r="AC2081" t="s">
        <v>310</v>
      </c>
      <c r="AD2081">
        <v>9</v>
      </c>
      <c r="AE2081" t="s">
        <v>1412</v>
      </c>
      <c r="AF2081">
        <v>70000000</v>
      </c>
      <c r="AG2081" t="s">
        <v>310</v>
      </c>
      <c r="AH2081">
        <f>SUM((MID(Dyno_Data[[#This Row],[Team]],4,5))+(Dyno_Data[[#This Row],[Match]]/100))</f>
        <v>2791.4</v>
      </c>
      <c r="AI2081" s="76">
        <f>ROUND(SUM(IF(Dyno_Data[[#This Row],[AcqCenter]]&gt;0,Dyno_Data[[#This Row],[Time]]-SUMIFS(Dyno_Data[Time],Dyno_Data[Team],Dyno_Data[[#This Row],[Team]],Dyno_Data[RecordType],"StartMatch",Dyno_Data[Match],Dyno_Data[[#This Row],[Match]]),0)*86400),0)</f>
        <v>0</v>
      </c>
    </row>
    <row r="2082" spans="1:35" x14ac:dyDescent="0.3">
      <c r="A2082">
        <v>2081</v>
      </c>
      <c r="B2082" t="s">
        <v>1301</v>
      </c>
      <c r="C2082">
        <v>40</v>
      </c>
      <c r="D2082" s="105">
        <v>45373.65051003472</v>
      </c>
      <c r="E2082" t="s">
        <v>312</v>
      </c>
      <c r="F2082" t="s">
        <v>1402</v>
      </c>
      <c r="G2082">
        <v>0</v>
      </c>
      <c r="H2082" t="s">
        <v>315</v>
      </c>
      <c r="I2082">
        <v>0</v>
      </c>
      <c r="J2082">
        <v>0</v>
      </c>
      <c r="K2082">
        <v>0</v>
      </c>
      <c r="L2082" t="s">
        <v>241</v>
      </c>
      <c r="M2082" t="s">
        <v>241</v>
      </c>
      <c r="N2082">
        <v>0</v>
      </c>
      <c r="O2082" t="s">
        <v>319</v>
      </c>
      <c r="P2082" t="s">
        <v>310</v>
      </c>
      <c r="Q2082" t="s">
        <v>310</v>
      </c>
      <c r="R2082" t="s">
        <v>310</v>
      </c>
      <c r="S2082">
        <v>9</v>
      </c>
      <c r="T2082" t="s">
        <v>310</v>
      </c>
      <c r="U2082">
        <v>9</v>
      </c>
      <c r="V2082">
        <v>9</v>
      </c>
      <c r="W2082">
        <v>0</v>
      </c>
      <c r="X2082">
        <v>0</v>
      </c>
      <c r="Y2082">
        <v>0</v>
      </c>
      <c r="Z2082">
        <v>0</v>
      </c>
      <c r="AA2082">
        <v>9</v>
      </c>
      <c r="AB2082">
        <v>9</v>
      </c>
      <c r="AC2082" t="s">
        <v>310</v>
      </c>
      <c r="AD2082">
        <v>9</v>
      </c>
      <c r="AE2082" t="s">
        <v>1396</v>
      </c>
      <c r="AF2082">
        <v>10000000</v>
      </c>
      <c r="AG2082" t="s">
        <v>310</v>
      </c>
      <c r="AH2082">
        <f>SUM((MID(Dyno_Data[[#This Row],[Team]],4,5))+(Dyno_Data[[#This Row],[Match]]/100))</f>
        <v>7031.4</v>
      </c>
      <c r="AI2082" s="76">
        <f>ROUND(SUM(IF(Dyno_Data[[#This Row],[AcqCenter]]&gt;0,Dyno_Data[[#This Row],[Time]]-SUMIFS(Dyno_Data[Time],Dyno_Data[Team],Dyno_Data[[#This Row],[Team]],Dyno_Data[RecordType],"StartMatch",Dyno_Data[Match],Dyno_Data[[#This Row],[Match]]),0)*86400),0)</f>
        <v>0</v>
      </c>
    </row>
    <row r="2083" spans="1:35" x14ac:dyDescent="0.3">
      <c r="A2083">
        <v>2082</v>
      </c>
      <c r="B2083" t="s">
        <v>372</v>
      </c>
      <c r="C2083">
        <v>40</v>
      </c>
      <c r="D2083" s="105">
        <v>45373.650787766201</v>
      </c>
      <c r="E2083" t="s">
        <v>312</v>
      </c>
      <c r="F2083" t="s">
        <v>317</v>
      </c>
      <c r="G2083">
        <v>0</v>
      </c>
      <c r="H2083" t="s">
        <v>315</v>
      </c>
      <c r="I2083">
        <v>0</v>
      </c>
      <c r="J2083">
        <v>0</v>
      </c>
      <c r="K2083">
        <v>0</v>
      </c>
      <c r="L2083" t="s">
        <v>1410</v>
      </c>
      <c r="M2083" t="s">
        <v>153</v>
      </c>
      <c r="N2083">
        <v>0</v>
      </c>
      <c r="O2083" t="s">
        <v>311</v>
      </c>
      <c r="P2083" t="s">
        <v>310</v>
      </c>
      <c r="Q2083" t="s">
        <v>310</v>
      </c>
      <c r="R2083" t="s">
        <v>310</v>
      </c>
      <c r="S2083">
        <v>9</v>
      </c>
      <c r="T2083" t="s">
        <v>310</v>
      </c>
      <c r="U2083">
        <v>9</v>
      </c>
      <c r="V2083">
        <v>9</v>
      </c>
      <c r="W2083">
        <v>0</v>
      </c>
      <c r="X2083">
        <v>0</v>
      </c>
      <c r="Y2083">
        <v>0</v>
      </c>
      <c r="Z2083">
        <v>0</v>
      </c>
      <c r="AA2083">
        <v>9</v>
      </c>
      <c r="AB2083">
        <v>9</v>
      </c>
      <c r="AC2083" t="s">
        <v>310</v>
      </c>
      <c r="AD2083">
        <v>9</v>
      </c>
      <c r="AE2083" t="s">
        <v>1414</v>
      </c>
      <c r="AF2083">
        <v>80300000</v>
      </c>
      <c r="AG2083" t="s">
        <v>310</v>
      </c>
      <c r="AH2083">
        <f>SUM((MID(Dyno_Data[[#This Row],[Team]],4,5))+(Dyno_Data[[#This Row],[Match]]/100))</f>
        <v>7504.4</v>
      </c>
      <c r="AI2083" s="76">
        <f>ROUND(SUM(IF(Dyno_Data[[#This Row],[AcqCenter]]&gt;0,Dyno_Data[[#This Row],[Time]]-SUMIFS(Dyno_Data[Time],Dyno_Data[Team],Dyno_Data[[#This Row],[Team]],Dyno_Data[RecordType],"StartMatch",Dyno_Data[Match],Dyno_Data[[#This Row],[Match]]),0)*86400),0)</f>
        <v>0</v>
      </c>
    </row>
    <row r="2084" spans="1:35" x14ac:dyDescent="0.3">
      <c r="A2084">
        <v>2083</v>
      </c>
      <c r="B2084" t="s">
        <v>372</v>
      </c>
      <c r="C2084">
        <v>40</v>
      </c>
      <c r="D2084" s="105">
        <v>45373.65398422454</v>
      </c>
      <c r="E2084" t="s">
        <v>316</v>
      </c>
      <c r="F2084" t="s">
        <v>317</v>
      </c>
      <c r="G2084">
        <v>1</v>
      </c>
      <c r="H2084" t="s">
        <v>310</v>
      </c>
      <c r="I2084">
        <v>0</v>
      </c>
      <c r="J2084">
        <v>0</v>
      </c>
      <c r="K2084">
        <v>0</v>
      </c>
      <c r="L2084" t="s">
        <v>310</v>
      </c>
      <c r="M2084" t="s">
        <v>310</v>
      </c>
      <c r="N2084">
        <v>0</v>
      </c>
      <c r="O2084" t="s">
        <v>311</v>
      </c>
      <c r="P2084" t="s">
        <v>240</v>
      </c>
      <c r="Q2084" t="s">
        <v>1400</v>
      </c>
      <c r="R2084" t="s">
        <v>1405</v>
      </c>
      <c r="S2084">
        <v>1</v>
      </c>
      <c r="T2084" t="s">
        <v>1407</v>
      </c>
      <c r="U2084">
        <v>1</v>
      </c>
      <c r="V2084">
        <v>0</v>
      </c>
      <c r="W2084">
        <v>4.3211389000000002</v>
      </c>
      <c r="X2084">
        <v>33.2772474</v>
      </c>
      <c r="Y2084">
        <v>22.392253499999999</v>
      </c>
      <c r="Z2084">
        <v>71.055488600000004</v>
      </c>
      <c r="AA2084">
        <v>0</v>
      </c>
      <c r="AB2084">
        <v>1</v>
      </c>
      <c r="AC2084" t="s">
        <v>174</v>
      </c>
      <c r="AD2084">
        <v>9</v>
      </c>
      <c r="AE2084" t="s">
        <v>1414</v>
      </c>
      <c r="AF2084">
        <v>80300000</v>
      </c>
      <c r="AG2084" t="s">
        <v>310</v>
      </c>
      <c r="AH2084">
        <f>SUM((MID(Dyno_Data[[#This Row],[Team]],4,5))+(Dyno_Data[[#This Row],[Match]]/100))</f>
        <v>7504.4</v>
      </c>
      <c r="AI2084" s="76">
        <f>ROUND(SUM(IF(Dyno_Data[[#This Row],[AcqCenter]]&gt;0,Dyno_Data[[#This Row],[Time]]-SUMIFS(Dyno_Data[Time],Dyno_Data[Team],Dyno_Data[[#This Row],[Team]],Dyno_Data[RecordType],"StartMatch",Dyno_Data[Match],Dyno_Data[[#This Row],[Match]]),0)*86400),0)</f>
        <v>0</v>
      </c>
    </row>
    <row r="2085" spans="1:35" x14ac:dyDescent="0.3">
      <c r="A2085">
        <v>2084</v>
      </c>
      <c r="B2085" t="s">
        <v>364</v>
      </c>
      <c r="C2085">
        <v>40</v>
      </c>
      <c r="D2085" s="105">
        <v>45373.653984340279</v>
      </c>
      <c r="E2085" t="s">
        <v>316</v>
      </c>
      <c r="F2085" t="s">
        <v>317</v>
      </c>
      <c r="G2085">
        <v>1</v>
      </c>
      <c r="H2085" t="s">
        <v>310</v>
      </c>
      <c r="I2085">
        <v>0</v>
      </c>
      <c r="J2085">
        <v>0</v>
      </c>
      <c r="K2085">
        <v>0</v>
      </c>
      <c r="L2085" t="s">
        <v>310</v>
      </c>
      <c r="M2085" t="s">
        <v>310</v>
      </c>
      <c r="N2085">
        <v>0</v>
      </c>
      <c r="O2085" t="s">
        <v>1391</v>
      </c>
      <c r="P2085" t="s">
        <v>1401</v>
      </c>
      <c r="Q2085" t="s">
        <v>1400</v>
      </c>
      <c r="R2085" t="s">
        <v>1405</v>
      </c>
      <c r="S2085">
        <v>1</v>
      </c>
      <c r="T2085" t="s">
        <v>1407</v>
      </c>
      <c r="U2085">
        <v>1</v>
      </c>
      <c r="V2085">
        <v>0</v>
      </c>
      <c r="W2085">
        <v>14.3118655</v>
      </c>
      <c r="X2085">
        <v>42.510476399999995</v>
      </c>
      <c r="Y2085">
        <v>21.520826799999998</v>
      </c>
      <c r="Z2085">
        <v>56.320834099999999</v>
      </c>
      <c r="AA2085">
        <v>0</v>
      </c>
      <c r="AB2085">
        <v>0</v>
      </c>
      <c r="AC2085" t="s">
        <v>174</v>
      </c>
      <c r="AD2085">
        <v>9</v>
      </c>
      <c r="AE2085" t="s">
        <v>1412</v>
      </c>
      <c r="AF2085">
        <v>70000000</v>
      </c>
      <c r="AG2085" t="s">
        <v>310</v>
      </c>
      <c r="AH2085">
        <f>SUM((MID(Dyno_Data[[#This Row],[Team]],4,5))+(Dyno_Data[[#This Row],[Match]]/100))</f>
        <v>2791.4</v>
      </c>
      <c r="AI2085" s="76">
        <f>ROUND(SUM(IF(Dyno_Data[[#This Row],[AcqCenter]]&gt;0,Dyno_Data[[#This Row],[Time]]-SUMIFS(Dyno_Data[Time],Dyno_Data[Team],Dyno_Data[[#This Row],[Team]],Dyno_Data[RecordType],"StartMatch",Dyno_Data[Match],Dyno_Data[[#This Row],[Match]]),0)*86400),0)</f>
        <v>0</v>
      </c>
    </row>
    <row r="2086" spans="1:35" x14ac:dyDescent="0.3">
      <c r="A2086">
        <v>2085</v>
      </c>
      <c r="B2086" t="s">
        <v>1301</v>
      </c>
      <c r="C2086">
        <v>40</v>
      </c>
      <c r="D2086" s="105">
        <v>45373.653984456017</v>
      </c>
      <c r="E2086" t="s">
        <v>316</v>
      </c>
      <c r="F2086" t="s">
        <v>317</v>
      </c>
      <c r="G2086">
        <v>0</v>
      </c>
      <c r="H2086" t="s">
        <v>310</v>
      </c>
      <c r="I2086">
        <v>0</v>
      </c>
      <c r="J2086">
        <v>0</v>
      </c>
      <c r="K2086">
        <v>0</v>
      </c>
      <c r="L2086" t="s">
        <v>310</v>
      </c>
      <c r="M2086" t="s">
        <v>310</v>
      </c>
      <c r="N2086">
        <v>0</v>
      </c>
      <c r="O2086" t="s">
        <v>319</v>
      </c>
      <c r="P2086" t="s">
        <v>101</v>
      </c>
      <c r="Q2086" t="s">
        <v>1399</v>
      </c>
      <c r="R2086" t="s">
        <v>1404</v>
      </c>
      <c r="S2086">
        <v>0</v>
      </c>
      <c r="T2086" t="s">
        <v>105</v>
      </c>
      <c r="U2086">
        <v>9</v>
      </c>
      <c r="V2086">
        <v>9</v>
      </c>
      <c r="W2086">
        <v>0</v>
      </c>
      <c r="X2086">
        <v>64.848339600000003</v>
      </c>
      <c r="Y2086">
        <v>26.623411699999998</v>
      </c>
      <c r="Z2086">
        <v>44.009544599999998</v>
      </c>
      <c r="AA2086">
        <v>2</v>
      </c>
      <c r="AB2086">
        <v>0</v>
      </c>
      <c r="AC2086" t="s">
        <v>174</v>
      </c>
      <c r="AD2086">
        <v>0</v>
      </c>
      <c r="AE2086" t="s">
        <v>1396</v>
      </c>
      <c r="AF2086">
        <v>10000000</v>
      </c>
      <c r="AG2086" t="s">
        <v>310</v>
      </c>
      <c r="AH2086">
        <f>SUM((MID(Dyno_Data[[#This Row],[Team]],4,5))+(Dyno_Data[[#This Row],[Match]]/100))</f>
        <v>7031.4</v>
      </c>
      <c r="AI2086" s="76">
        <f>ROUND(SUM(IF(Dyno_Data[[#This Row],[AcqCenter]]&gt;0,Dyno_Data[[#This Row],[Time]]-SUMIFS(Dyno_Data[Time],Dyno_Data[Team],Dyno_Data[[#This Row],[Team]],Dyno_Data[RecordType],"StartMatch",Dyno_Data[Match],Dyno_Data[[#This Row],[Match]]),0)*86400),0)</f>
        <v>0</v>
      </c>
    </row>
    <row r="2087" spans="1:35" x14ac:dyDescent="0.3">
      <c r="A2087">
        <v>2086</v>
      </c>
      <c r="B2087" t="s">
        <v>360</v>
      </c>
      <c r="C2087">
        <v>40</v>
      </c>
      <c r="D2087" s="105">
        <v>45373.653984571756</v>
      </c>
      <c r="E2087" t="s">
        <v>316</v>
      </c>
      <c r="F2087" t="s">
        <v>317</v>
      </c>
      <c r="G2087">
        <v>1</v>
      </c>
      <c r="H2087" t="s">
        <v>310</v>
      </c>
      <c r="I2087">
        <v>0</v>
      </c>
      <c r="J2087">
        <v>0</v>
      </c>
      <c r="K2087">
        <v>0</v>
      </c>
      <c r="L2087" t="s">
        <v>310</v>
      </c>
      <c r="M2087" t="s">
        <v>310</v>
      </c>
      <c r="N2087">
        <v>0</v>
      </c>
      <c r="O2087" t="s">
        <v>1393</v>
      </c>
      <c r="P2087" t="s">
        <v>240</v>
      </c>
      <c r="Q2087" t="s">
        <v>1399</v>
      </c>
      <c r="R2087" t="s">
        <v>1405</v>
      </c>
      <c r="S2087">
        <v>1</v>
      </c>
      <c r="T2087" t="s">
        <v>1407</v>
      </c>
      <c r="U2087">
        <v>0</v>
      </c>
      <c r="V2087">
        <v>0</v>
      </c>
      <c r="W2087">
        <v>15.9010251</v>
      </c>
      <c r="X2087">
        <v>14.0686237</v>
      </c>
      <c r="Y2087">
        <v>16.794408199999999</v>
      </c>
      <c r="Z2087">
        <v>85.280786599999999</v>
      </c>
      <c r="AA2087">
        <v>0</v>
      </c>
      <c r="AB2087">
        <v>0</v>
      </c>
      <c r="AC2087" t="s">
        <v>174</v>
      </c>
      <c r="AD2087">
        <v>0</v>
      </c>
      <c r="AE2087" t="s">
        <v>1388</v>
      </c>
      <c r="AF2087">
        <v>200000000</v>
      </c>
      <c r="AG2087" t="s">
        <v>310</v>
      </c>
      <c r="AH2087">
        <f>SUM((MID(Dyno_Data[[#This Row],[Team]],4,5))+(Dyno_Data[[#This Row],[Match]]/100))</f>
        <v>1796.4</v>
      </c>
      <c r="AI2087" s="76">
        <f>ROUND(SUM(IF(Dyno_Data[[#This Row],[AcqCenter]]&gt;0,Dyno_Data[[#This Row],[Time]]-SUMIFS(Dyno_Data[Time],Dyno_Data[Team],Dyno_Data[[#This Row],[Team]],Dyno_Data[RecordType],"StartMatch",Dyno_Data[Match],Dyno_Data[[#This Row],[Match]]),0)*86400),0)</f>
        <v>0</v>
      </c>
    </row>
    <row r="2088" spans="1:35" x14ac:dyDescent="0.3">
      <c r="A2088">
        <v>2087</v>
      </c>
      <c r="B2088" t="s">
        <v>1283</v>
      </c>
      <c r="C2088">
        <v>40</v>
      </c>
      <c r="D2088" s="105">
        <v>45373.653984641205</v>
      </c>
      <c r="E2088" t="s">
        <v>316</v>
      </c>
      <c r="F2088" t="s">
        <v>317</v>
      </c>
      <c r="G2088">
        <v>1</v>
      </c>
      <c r="H2088" t="s">
        <v>310</v>
      </c>
      <c r="I2088">
        <v>0</v>
      </c>
      <c r="J2088">
        <v>0</v>
      </c>
      <c r="K2088">
        <v>0</v>
      </c>
      <c r="L2088" t="s">
        <v>310</v>
      </c>
      <c r="M2088" t="s">
        <v>310</v>
      </c>
      <c r="N2088">
        <v>0</v>
      </c>
      <c r="O2088" t="s">
        <v>1389</v>
      </c>
      <c r="P2088" t="s">
        <v>101</v>
      </c>
      <c r="Q2088" t="s">
        <v>1400</v>
      </c>
      <c r="R2088" t="s">
        <v>1405</v>
      </c>
      <c r="S2088">
        <v>1</v>
      </c>
      <c r="T2088" t="s">
        <v>1406</v>
      </c>
      <c r="U2088">
        <v>0</v>
      </c>
      <c r="V2088">
        <v>0</v>
      </c>
      <c r="W2088">
        <v>6.6370519999999997</v>
      </c>
      <c r="X2088">
        <v>0</v>
      </c>
      <c r="Y2088">
        <v>9.344798299999999</v>
      </c>
      <c r="Z2088">
        <v>108.5590256</v>
      </c>
      <c r="AA2088">
        <v>3</v>
      </c>
      <c r="AB2088">
        <v>0</v>
      </c>
      <c r="AC2088" t="s">
        <v>170</v>
      </c>
      <c r="AD2088">
        <v>9</v>
      </c>
      <c r="AE2088" t="s">
        <v>1390</v>
      </c>
      <c r="AF2088">
        <v>0</v>
      </c>
      <c r="AG2088" t="s">
        <v>310</v>
      </c>
      <c r="AH2088">
        <f>SUM((MID(Dyno_Data[[#This Row],[Team]],4,5))+(Dyno_Data[[#This Row],[Match]]/100))</f>
        <v>1601.4</v>
      </c>
      <c r="AI2088" s="76">
        <f>ROUND(SUM(IF(Dyno_Data[[#This Row],[AcqCenter]]&gt;0,Dyno_Data[[#This Row],[Time]]-SUMIFS(Dyno_Data[Time],Dyno_Data[Team],Dyno_Data[[#This Row],[Team]],Dyno_Data[RecordType],"StartMatch",Dyno_Data[Match],Dyno_Data[[#This Row],[Match]]),0)*86400),0)</f>
        <v>0</v>
      </c>
    </row>
    <row r="2089" spans="1:35" x14ac:dyDescent="0.3">
      <c r="A2089">
        <v>2088</v>
      </c>
      <c r="B2089" t="s">
        <v>373</v>
      </c>
      <c r="C2089">
        <v>40</v>
      </c>
      <c r="D2089" s="105">
        <v>45373.653984756944</v>
      </c>
      <c r="E2089" t="s">
        <v>316</v>
      </c>
      <c r="F2089" t="s">
        <v>317</v>
      </c>
      <c r="G2089">
        <v>1</v>
      </c>
      <c r="H2089" t="s">
        <v>310</v>
      </c>
      <c r="I2089">
        <v>0</v>
      </c>
      <c r="J2089">
        <v>0</v>
      </c>
      <c r="K2089">
        <v>0</v>
      </c>
      <c r="L2089" t="s">
        <v>310</v>
      </c>
      <c r="M2089" t="s">
        <v>310</v>
      </c>
      <c r="N2089">
        <v>0</v>
      </c>
      <c r="O2089" t="s">
        <v>1395</v>
      </c>
      <c r="P2089" t="s">
        <v>1401</v>
      </c>
      <c r="Q2089" t="s">
        <v>1400</v>
      </c>
      <c r="R2089" t="s">
        <v>1404</v>
      </c>
      <c r="S2089">
        <v>-1</v>
      </c>
      <c r="T2089" t="s">
        <v>105</v>
      </c>
      <c r="U2089">
        <v>9</v>
      </c>
      <c r="V2089">
        <v>9</v>
      </c>
      <c r="W2089">
        <v>23.448446399999998</v>
      </c>
      <c r="X2089">
        <v>9.379912899999999</v>
      </c>
      <c r="Y2089">
        <v>12.0086415</v>
      </c>
      <c r="Z2089">
        <v>91.94477599999999</v>
      </c>
      <c r="AA2089">
        <v>3</v>
      </c>
      <c r="AB2089">
        <v>0</v>
      </c>
      <c r="AC2089" t="s">
        <v>170</v>
      </c>
      <c r="AD2089">
        <v>9</v>
      </c>
      <c r="AE2089" t="s">
        <v>1413</v>
      </c>
      <c r="AF2089">
        <v>0</v>
      </c>
      <c r="AG2089" t="s">
        <v>310</v>
      </c>
      <c r="AH2089">
        <f>SUM((MID(Dyno_Data[[#This Row],[Team]],4,5))+(Dyno_Data[[#This Row],[Match]]/100))</f>
        <v>7718.4</v>
      </c>
      <c r="AI2089" s="76">
        <f>ROUND(SUM(IF(Dyno_Data[[#This Row],[AcqCenter]]&gt;0,Dyno_Data[[#This Row],[Time]]-SUMIFS(Dyno_Data[Time],Dyno_Data[Team],Dyno_Data[[#This Row],[Team]],Dyno_Data[RecordType],"StartMatch",Dyno_Data[Match],Dyno_Data[[#This Row],[Match]]),0)*86400),0)</f>
        <v>0</v>
      </c>
    </row>
    <row r="2090" spans="1:35" x14ac:dyDescent="0.3">
      <c r="A2090">
        <v>2104</v>
      </c>
      <c r="B2090" t="s">
        <v>1314</v>
      </c>
      <c r="C2090">
        <v>41</v>
      </c>
      <c r="D2090" s="105">
        <v>45373.656194907409</v>
      </c>
      <c r="E2090" t="s">
        <v>308</v>
      </c>
      <c r="F2090" t="s">
        <v>309</v>
      </c>
      <c r="G2090">
        <v>0</v>
      </c>
      <c r="H2090" t="s">
        <v>310</v>
      </c>
      <c r="I2090">
        <v>0</v>
      </c>
      <c r="J2090">
        <v>0</v>
      </c>
      <c r="K2090">
        <v>0</v>
      </c>
      <c r="L2090" t="s">
        <v>310</v>
      </c>
      <c r="M2090" t="s">
        <v>310</v>
      </c>
      <c r="N2090">
        <v>0</v>
      </c>
      <c r="O2090" t="s">
        <v>1395</v>
      </c>
      <c r="P2090" t="s">
        <v>310</v>
      </c>
      <c r="Q2090" t="s">
        <v>310</v>
      </c>
      <c r="R2090" t="s">
        <v>310</v>
      </c>
      <c r="S2090">
        <v>9</v>
      </c>
      <c r="T2090" t="s">
        <v>310</v>
      </c>
      <c r="U2090">
        <v>9</v>
      </c>
      <c r="V2090">
        <v>9</v>
      </c>
      <c r="W2090">
        <v>0</v>
      </c>
      <c r="X2090">
        <v>0</v>
      </c>
      <c r="Y2090">
        <v>0</v>
      </c>
      <c r="Z2090">
        <v>0</v>
      </c>
      <c r="AA2090">
        <v>9</v>
      </c>
      <c r="AB2090">
        <v>9</v>
      </c>
      <c r="AC2090" t="s">
        <v>310</v>
      </c>
      <c r="AD2090">
        <v>9</v>
      </c>
      <c r="AE2090" t="s">
        <v>1412</v>
      </c>
      <c r="AF2090">
        <v>10000000</v>
      </c>
      <c r="AG2090" t="s">
        <v>310</v>
      </c>
      <c r="AH2090">
        <f>SUM((MID(Dyno_Data[[#This Row],[Team]],4,5))+(Dyno_Data[[#This Row],[Match]]/100))</f>
        <v>3419.41</v>
      </c>
      <c r="AI2090" s="76">
        <f>ROUND(SUM(IF(Dyno_Data[[#This Row],[AcqCenter]]&gt;0,Dyno_Data[[#This Row],[Time]]-SUMIFS(Dyno_Data[Time],Dyno_Data[Team],Dyno_Data[[#This Row],[Team]],Dyno_Data[RecordType],"StartMatch",Dyno_Data[Match],Dyno_Data[[#This Row],[Match]]),0)*86400),0)</f>
        <v>0</v>
      </c>
    </row>
    <row r="2091" spans="1:35" x14ac:dyDescent="0.3">
      <c r="A2091">
        <v>2106</v>
      </c>
      <c r="B2091" t="s">
        <v>1295</v>
      </c>
      <c r="C2091">
        <v>41</v>
      </c>
      <c r="D2091" s="105">
        <v>45373.656196331016</v>
      </c>
      <c r="E2091" t="s">
        <v>308</v>
      </c>
      <c r="F2091" t="s">
        <v>309</v>
      </c>
      <c r="G2091">
        <v>0</v>
      </c>
      <c r="H2091" t="s">
        <v>310</v>
      </c>
      <c r="I2091">
        <v>0</v>
      </c>
      <c r="J2091">
        <v>0</v>
      </c>
      <c r="K2091">
        <v>0</v>
      </c>
      <c r="L2091" t="s">
        <v>310</v>
      </c>
      <c r="M2091" t="s">
        <v>310</v>
      </c>
      <c r="N2091">
        <v>0</v>
      </c>
      <c r="O2091" t="s">
        <v>319</v>
      </c>
      <c r="P2091" t="s">
        <v>310</v>
      </c>
      <c r="Q2091" t="s">
        <v>310</v>
      </c>
      <c r="R2091" t="s">
        <v>310</v>
      </c>
      <c r="S2091">
        <v>9</v>
      </c>
      <c r="T2091" t="s">
        <v>310</v>
      </c>
      <c r="U2091">
        <v>9</v>
      </c>
      <c r="V2091">
        <v>9</v>
      </c>
      <c r="W2091">
        <v>0</v>
      </c>
      <c r="X2091">
        <v>0</v>
      </c>
      <c r="Y2091">
        <v>0</v>
      </c>
      <c r="Z2091">
        <v>0</v>
      </c>
      <c r="AA2091">
        <v>9</v>
      </c>
      <c r="AB2091">
        <v>9</v>
      </c>
      <c r="AC2091" t="s">
        <v>310</v>
      </c>
      <c r="AD2091">
        <v>9</v>
      </c>
      <c r="AE2091" t="s">
        <v>1388</v>
      </c>
      <c r="AF2091">
        <v>2000</v>
      </c>
      <c r="AG2091" t="s">
        <v>310</v>
      </c>
      <c r="AH2091">
        <f>SUM((MID(Dyno_Data[[#This Row],[Team]],4,5))+(Dyno_Data[[#This Row],[Match]]/100))</f>
        <v>6300.41</v>
      </c>
      <c r="AI2091" s="76">
        <f>ROUND(SUM(IF(Dyno_Data[[#This Row],[AcqCenter]]&gt;0,Dyno_Data[[#This Row],[Time]]-SUMIFS(Dyno_Data[Time],Dyno_Data[Team],Dyno_Data[[#This Row],[Team]],Dyno_Data[RecordType],"StartMatch",Dyno_Data[Match],Dyno_Data[[#This Row],[Match]]),0)*86400),0)</f>
        <v>0</v>
      </c>
    </row>
    <row r="2092" spans="1:35" x14ac:dyDescent="0.3">
      <c r="A2092">
        <v>2108</v>
      </c>
      <c r="B2092" t="s">
        <v>365</v>
      </c>
      <c r="C2092">
        <v>41</v>
      </c>
      <c r="D2092" s="105">
        <v>45373.656201469908</v>
      </c>
      <c r="E2092" t="s">
        <v>308</v>
      </c>
      <c r="F2092" t="s">
        <v>309</v>
      </c>
      <c r="G2092">
        <v>0</v>
      </c>
      <c r="H2092" t="s">
        <v>310</v>
      </c>
      <c r="I2092">
        <v>0</v>
      </c>
      <c r="J2092">
        <v>0</v>
      </c>
      <c r="K2092">
        <v>0</v>
      </c>
      <c r="L2092" t="s">
        <v>310</v>
      </c>
      <c r="M2092" t="s">
        <v>310</v>
      </c>
      <c r="N2092">
        <v>0</v>
      </c>
      <c r="O2092" t="s">
        <v>1393</v>
      </c>
      <c r="P2092" t="s">
        <v>310</v>
      </c>
      <c r="Q2092" t="s">
        <v>310</v>
      </c>
      <c r="R2092" t="s">
        <v>310</v>
      </c>
      <c r="S2092">
        <v>9</v>
      </c>
      <c r="T2092" t="s">
        <v>310</v>
      </c>
      <c r="U2092">
        <v>9</v>
      </c>
      <c r="V2092">
        <v>9</v>
      </c>
      <c r="W2092">
        <v>0</v>
      </c>
      <c r="X2092">
        <v>0</v>
      </c>
      <c r="Y2092">
        <v>0</v>
      </c>
      <c r="Z2092">
        <v>0</v>
      </c>
      <c r="AA2092">
        <v>9</v>
      </c>
      <c r="AB2092">
        <v>9</v>
      </c>
      <c r="AC2092" t="s">
        <v>310</v>
      </c>
      <c r="AD2092">
        <v>9</v>
      </c>
      <c r="AE2092" t="s">
        <v>1396</v>
      </c>
      <c r="AF2092">
        <v>20000000</v>
      </c>
      <c r="AG2092" t="s">
        <v>310</v>
      </c>
      <c r="AH2092">
        <f>SUM((MID(Dyno_Data[[#This Row],[Team]],4,5))+(Dyno_Data[[#This Row],[Match]]/100))</f>
        <v>3171.41</v>
      </c>
      <c r="AI2092" s="76">
        <f>ROUND(SUM(IF(Dyno_Data[[#This Row],[AcqCenter]]&gt;0,Dyno_Data[[#This Row],[Time]]-SUMIFS(Dyno_Data[Time],Dyno_Data[Team],Dyno_Data[[#This Row],[Team]],Dyno_Data[RecordType],"StartMatch",Dyno_Data[Match],Dyno_Data[[#This Row],[Match]]),0)*86400),0)</f>
        <v>0</v>
      </c>
    </row>
    <row r="2093" spans="1:35" x14ac:dyDescent="0.3">
      <c r="A2093">
        <v>2110</v>
      </c>
      <c r="B2093" t="s">
        <v>1315</v>
      </c>
      <c r="C2093">
        <v>41</v>
      </c>
      <c r="D2093" s="105">
        <v>45373.656202199076</v>
      </c>
      <c r="E2093" t="s">
        <v>308</v>
      </c>
      <c r="F2093" t="s">
        <v>309</v>
      </c>
      <c r="G2093">
        <v>0</v>
      </c>
      <c r="H2093" t="s">
        <v>310</v>
      </c>
      <c r="I2093">
        <v>0</v>
      </c>
      <c r="J2093">
        <v>0</v>
      </c>
      <c r="K2093">
        <v>0</v>
      </c>
      <c r="L2093" t="s">
        <v>310</v>
      </c>
      <c r="M2093" t="s">
        <v>310</v>
      </c>
      <c r="N2093">
        <v>0</v>
      </c>
      <c r="O2093" t="s">
        <v>1391</v>
      </c>
      <c r="P2093" t="s">
        <v>310</v>
      </c>
      <c r="Q2093" t="s">
        <v>310</v>
      </c>
      <c r="R2093" t="s">
        <v>310</v>
      </c>
      <c r="S2093">
        <v>9</v>
      </c>
      <c r="T2093" t="s">
        <v>310</v>
      </c>
      <c r="U2093">
        <v>9</v>
      </c>
      <c r="V2093">
        <v>9</v>
      </c>
      <c r="W2093">
        <v>0</v>
      </c>
      <c r="X2093">
        <v>0</v>
      </c>
      <c r="Y2093">
        <v>0</v>
      </c>
      <c r="Z2093">
        <v>0</v>
      </c>
      <c r="AA2093">
        <v>9</v>
      </c>
      <c r="AB2093">
        <v>9</v>
      </c>
      <c r="AC2093" t="s">
        <v>310</v>
      </c>
      <c r="AD2093">
        <v>9</v>
      </c>
      <c r="AE2093" t="s">
        <v>1413</v>
      </c>
      <c r="AF2093">
        <v>10000000</v>
      </c>
      <c r="AG2093" t="s">
        <v>310</v>
      </c>
      <c r="AH2093">
        <f>SUM((MID(Dyno_Data[[#This Row],[Team]],4,5))+(Dyno_Data[[#This Row],[Match]]/100))</f>
        <v>1511.41</v>
      </c>
      <c r="AI2093" s="76">
        <f>ROUND(SUM(IF(Dyno_Data[[#This Row],[AcqCenter]]&gt;0,Dyno_Data[[#This Row],[Time]]-SUMIFS(Dyno_Data[Time],Dyno_Data[Team],Dyno_Data[[#This Row],[Team]],Dyno_Data[RecordType],"StartMatch",Dyno_Data[Match],Dyno_Data[[#This Row],[Match]]),0)*86400),0)</f>
        <v>0</v>
      </c>
    </row>
    <row r="2094" spans="1:35" x14ac:dyDescent="0.3">
      <c r="A2094">
        <v>2112</v>
      </c>
      <c r="B2094" t="s">
        <v>367</v>
      </c>
      <c r="C2094">
        <v>41</v>
      </c>
      <c r="D2094" s="105">
        <v>45373.656208599539</v>
      </c>
      <c r="E2094" t="s">
        <v>308</v>
      </c>
      <c r="F2094" t="s">
        <v>309</v>
      </c>
      <c r="G2094">
        <v>0</v>
      </c>
      <c r="H2094" t="s">
        <v>310</v>
      </c>
      <c r="I2094">
        <v>0</v>
      </c>
      <c r="J2094">
        <v>0</v>
      </c>
      <c r="K2094">
        <v>0</v>
      </c>
      <c r="L2094" t="s">
        <v>310</v>
      </c>
      <c r="M2094" t="s">
        <v>310</v>
      </c>
      <c r="N2094">
        <v>0</v>
      </c>
      <c r="O2094" t="s">
        <v>311</v>
      </c>
      <c r="P2094" t="s">
        <v>310</v>
      </c>
      <c r="Q2094" t="s">
        <v>310</v>
      </c>
      <c r="R2094" t="s">
        <v>310</v>
      </c>
      <c r="S2094">
        <v>9</v>
      </c>
      <c r="T2094" t="s">
        <v>310</v>
      </c>
      <c r="U2094">
        <v>9</v>
      </c>
      <c r="V2094">
        <v>9</v>
      </c>
      <c r="W2094">
        <v>0</v>
      </c>
      <c r="X2094">
        <v>0</v>
      </c>
      <c r="Y2094">
        <v>0</v>
      </c>
      <c r="Z2094">
        <v>0</v>
      </c>
      <c r="AA2094">
        <v>9</v>
      </c>
      <c r="AB2094">
        <v>9</v>
      </c>
      <c r="AC2094" t="s">
        <v>310</v>
      </c>
      <c r="AD2094">
        <v>9</v>
      </c>
      <c r="AE2094" t="s">
        <v>1414</v>
      </c>
      <c r="AF2094">
        <v>0</v>
      </c>
      <c r="AG2094" t="s">
        <v>310</v>
      </c>
      <c r="AH2094">
        <f>SUM((MID(Dyno_Data[[#This Row],[Team]],4,5))+(Dyno_Data[[#This Row],[Match]]/100))</f>
        <v>5016.41</v>
      </c>
      <c r="AI2094" s="76">
        <f>ROUND(SUM(IF(Dyno_Data[[#This Row],[AcqCenter]]&gt;0,Dyno_Data[[#This Row],[Time]]-SUMIFS(Dyno_Data[Time],Dyno_Data[Team],Dyno_Data[[#This Row],[Team]],Dyno_Data[RecordType],"StartMatch",Dyno_Data[Match],Dyno_Data[[#This Row],[Match]]),0)*86400),0)</f>
        <v>0</v>
      </c>
    </row>
    <row r="2095" spans="1:35" x14ac:dyDescent="0.3">
      <c r="A2095">
        <v>2089</v>
      </c>
      <c r="B2095" t="s">
        <v>1295</v>
      </c>
      <c r="C2095">
        <v>41</v>
      </c>
      <c r="D2095" s="105">
        <v>45373.656219097225</v>
      </c>
      <c r="E2095" t="s">
        <v>312</v>
      </c>
      <c r="F2095" t="s">
        <v>309</v>
      </c>
      <c r="G2095">
        <v>0</v>
      </c>
      <c r="H2095" t="s">
        <v>1397</v>
      </c>
      <c r="I2095">
        <v>0</v>
      </c>
      <c r="J2095">
        <v>0</v>
      </c>
      <c r="K2095">
        <v>0</v>
      </c>
      <c r="L2095" t="s">
        <v>241</v>
      </c>
      <c r="M2095" t="s">
        <v>1398</v>
      </c>
      <c r="N2095">
        <v>0</v>
      </c>
      <c r="O2095" t="s">
        <v>319</v>
      </c>
      <c r="P2095" t="s">
        <v>310</v>
      </c>
      <c r="Q2095" t="s">
        <v>310</v>
      </c>
      <c r="R2095" t="s">
        <v>310</v>
      </c>
      <c r="S2095">
        <v>9</v>
      </c>
      <c r="T2095" t="s">
        <v>310</v>
      </c>
      <c r="U2095">
        <v>9</v>
      </c>
      <c r="V2095">
        <v>9</v>
      </c>
      <c r="W2095">
        <v>0</v>
      </c>
      <c r="X2095">
        <v>0</v>
      </c>
      <c r="Y2095">
        <v>0</v>
      </c>
      <c r="Z2095">
        <v>0</v>
      </c>
      <c r="AA2095">
        <v>9</v>
      </c>
      <c r="AB2095">
        <v>9</v>
      </c>
      <c r="AC2095" t="s">
        <v>310</v>
      </c>
      <c r="AD2095">
        <v>9</v>
      </c>
      <c r="AE2095" t="s">
        <v>1388</v>
      </c>
      <c r="AF2095">
        <v>0</v>
      </c>
      <c r="AG2095" t="s">
        <v>310</v>
      </c>
      <c r="AH2095">
        <f>SUM((MID(Dyno_Data[[#This Row],[Team]],4,5))+(Dyno_Data[[#This Row],[Match]]/100))</f>
        <v>6300.41</v>
      </c>
      <c r="AI2095" s="76">
        <f>ROUND(SUM(IF(Dyno_Data[[#This Row],[AcqCenter]]&gt;0,Dyno_Data[[#This Row],[Time]]-SUMIFS(Dyno_Data[Time],Dyno_Data[Team],Dyno_Data[[#This Row],[Team]],Dyno_Data[RecordType],"StartMatch",Dyno_Data[Match],Dyno_Data[[#This Row],[Match]]),0)*86400),0)</f>
        <v>0</v>
      </c>
    </row>
    <row r="2096" spans="1:35" x14ac:dyDescent="0.3">
      <c r="A2096">
        <v>2114</v>
      </c>
      <c r="B2096" t="s">
        <v>1284</v>
      </c>
      <c r="C2096">
        <v>41</v>
      </c>
      <c r="D2096" s="105">
        <v>45373.656220219906</v>
      </c>
      <c r="E2096" t="s">
        <v>308</v>
      </c>
      <c r="F2096" t="s">
        <v>309</v>
      </c>
      <c r="G2096">
        <v>0</v>
      </c>
      <c r="H2096" t="s">
        <v>310</v>
      </c>
      <c r="I2096">
        <v>0</v>
      </c>
      <c r="J2096">
        <v>0</v>
      </c>
      <c r="K2096">
        <v>0</v>
      </c>
      <c r="L2096" t="s">
        <v>310</v>
      </c>
      <c r="M2096" t="s">
        <v>310</v>
      </c>
      <c r="N2096">
        <v>0</v>
      </c>
      <c r="O2096" t="s">
        <v>1389</v>
      </c>
      <c r="P2096" t="s">
        <v>310</v>
      </c>
      <c r="Q2096" t="s">
        <v>310</v>
      </c>
      <c r="R2096" t="s">
        <v>310</v>
      </c>
      <c r="S2096">
        <v>9</v>
      </c>
      <c r="T2096" t="s">
        <v>310</v>
      </c>
      <c r="U2096">
        <v>9</v>
      </c>
      <c r="V2096">
        <v>9</v>
      </c>
      <c r="W2096">
        <v>0</v>
      </c>
      <c r="X2096">
        <v>0</v>
      </c>
      <c r="Y2096">
        <v>0</v>
      </c>
      <c r="Z2096">
        <v>0</v>
      </c>
      <c r="AA2096">
        <v>9</v>
      </c>
      <c r="AB2096">
        <v>9</v>
      </c>
      <c r="AC2096" t="s">
        <v>310</v>
      </c>
      <c r="AD2096">
        <v>9</v>
      </c>
      <c r="AE2096" t="s">
        <v>1390</v>
      </c>
      <c r="AF2096">
        <v>0</v>
      </c>
      <c r="AG2096" t="s">
        <v>310</v>
      </c>
      <c r="AH2096">
        <f>SUM((MID(Dyno_Data[[#This Row],[Team]],4,5))+(Dyno_Data[[#This Row],[Match]]/100))</f>
        <v>5590.41</v>
      </c>
      <c r="AI2096" s="76">
        <f>ROUND(SUM(IF(Dyno_Data[[#This Row],[AcqCenter]]&gt;0,Dyno_Data[[#This Row],[Time]]-SUMIFS(Dyno_Data[Time],Dyno_Data[Team],Dyno_Data[[#This Row],[Team]],Dyno_Data[RecordType],"StartMatch",Dyno_Data[Match],Dyno_Data[[#This Row],[Match]]),0)*86400),0)</f>
        <v>0</v>
      </c>
    </row>
    <row r="2097" spans="1:35" x14ac:dyDescent="0.3">
      <c r="A2097">
        <v>2090</v>
      </c>
      <c r="B2097" t="s">
        <v>1314</v>
      </c>
      <c r="C2097">
        <v>41</v>
      </c>
      <c r="D2097" s="105">
        <v>45373.656227858795</v>
      </c>
      <c r="E2097" t="s">
        <v>312</v>
      </c>
      <c r="F2097" t="s">
        <v>309</v>
      </c>
      <c r="G2097">
        <v>0</v>
      </c>
      <c r="H2097" t="s">
        <v>1397</v>
      </c>
      <c r="I2097">
        <v>0</v>
      </c>
      <c r="J2097">
        <v>0</v>
      </c>
      <c r="K2097">
        <v>0</v>
      </c>
      <c r="L2097" t="s">
        <v>241</v>
      </c>
      <c r="M2097" t="s">
        <v>1398</v>
      </c>
      <c r="N2097">
        <v>0</v>
      </c>
      <c r="O2097" t="s">
        <v>1395</v>
      </c>
      <c r="P2097" t="s">
        <v>310</v>
      </c>
      <c r="Q2097" t="s">
        <v>310</v>
      </c>
      <c r="R2097" t="s">
        <v>310</v>
      </c>
      <c r="S2097">
        <v>9</v>
      </c>
      <c r="T2097" t="s">
        <v>310</v>
      </c>
      <c r="U2097">
        <v>9</v>
      </c>
      <c r="V2097">
        <v>9</v>
      </c>
      <c r="W2097">
        <v>0</v>
      </c>
      <c r="X2097">
        <v>0</v>
      </c>
      <c r="Y2097">
        <v>0</v>
      </c>
      <c r="Z2097">
        <v>0</v>
      </c>
      <c r="AA2097">
        <v>9</v>
      </c>
      <c r="AB2097">
        <v>9</v>
      </c>
      <c r="AC2097" t="s">
        <v>310</v>
      </c>
      <c r="AD2097">
        <v>9</v>
      </c>
      <c r="AE2097" t="s">
        <v>1412</v>
      </c>
      <c r="AF2097">
        <v>0</v>
      </c>
      <c r="AG2097" t="s">
        <v>310</v>
      </c>
      <c r="AH2097">
        <f>SUM((MID(Dyno_Data[[#This Row],[Team]],4,5))+(Dyno_Data[[#This Row],[Match]]/100))</f>
        <v>3419.41</v>
      </c>
      <c r="AI2097" s="76">
        <f>ROUND(SUM(IF(Dyno_Data[[#This Row],[AcqCenter]]&gt;0,Dyno_Data[[#This Row],[Time]]-SUMIFS(Dyno_Data[Time],Dyno_Data[Team],Dyno_Data[[#This Row],[Team]],Dyno_Data[RecordType],"StartMatch",Dyno_Data[Match],Dyno_Data[[#This Row],[Match]]),0)*86400),0)</f>
        <v>0</v>
      </c>
    </row>
    <row r="2098" spans="1:35" x14ac:dyDescent="0.3">
      <c r="A2098">
        <v>2091</v>
      </c>
      <c r="B2098" t="s">
        <v>365</v>
      </c>
      <c r="C2098">
        <v>41</v>
      </c>
      <c r="D2098" s="105">
        <v>45373.656230752313</v>
      </c>
      <c r="E2098" t="s">
        <v>312</v>
      </c>
      <c r="F2098" t="s">
        <v>309</v>
      </c>
      <c r="G2098">
        <v>0</v>
      </c>
      <c r="H2098" t="s">
        <v>1397</v>
      </c>
      <c r="I2098">
        <v>0</v>
      </c>
      <c r="J2098">
        <v>0</v>
      </c>
      <c r="K2098">
        <v>0</v>
      </c>
      <c r="L2098" t="s">
        <v>240</v>
      </c>
      <c r="M2098" t="s">
        <v>1398</v>
      </c>
      <c r="N2098">
        <v>0</v>
      </c>
      <c r="O2098" t="s">
        <v>1393</v>
      </c>
      <c r="P2098" t="s">
        <v>310</v>
      </c>
      <c r="Q2098" t="s">
        <v>310</v>
      </c>
      <c r="R2098" t="s">
        <v>310</v>
      </c>
      <c r="S2098">
        <v>9</v>
      </c>
      <c r="T2098" t="s">
        <v>310</v>
      </c>
      <c r="U2098">
        <v>9</v>
      </c>
      <c r="V2098">
        <v>9</v>
      </c>
      <c r="W2098">
        <v>0</v>
      </c>
      <c r="X2098">
        <v>0</v>
      </c>
      <c r="Y2098">
        <v>0</v>
      </c>
      <c r="Z2098">
        <v>0</v>
      </c>
      <c r="AA2098">
        <v>9</v>
      </c>
      <c r="AB2098">
        <v>9</v>
      </c>
      <c r="AC2098" t="s">
        <v>310</v>
      </c>
      <c r="AD2098">
        <v>9</v>
      </c>
      <c r="AE2098" t="s">
        <v>1396</v>
      </c>
      <c r="AF2098">
        <v>0</v>
      </c>
      <c r="AG2098" t="s">
        <v>310</v>
      </c>
      <c r="AH2098">
        <f>SUM((MID(Dyno_Data[[#This Row],[Team]],4,5))+(Dyno_Data[[#This Row],[Match]]/100))</f>
        <v>3171.41</v>
      </c>
      <c r="AI2098" s="76">
        <f>ROUND(SUM(IF(Dyno_Data[[#This Row],[AcqCenter]]&gt;0,Dyno_Data[[#This Row],[Time]]-SUMIFS(Dyno_Data[Time],Dyno_Data[Team],Dyno_Data[[#This Row],[Team]],Dyno_Data[RecordType],"StartMatch",Dyno_Data[Match],Dyno_Data[[#This Row],[Match]]),0)*86400),0)</f>
        <v>0</v>
      </c>
    </row>
    <row r="2099" spans="1:35" x14ac:dyDescent="0.3">
      <c r="A2099">
        <v>2092</v>
      </c>
      <c r="B2099" t="s">
        <v>1284</v>
      </c>
      <c r="C2099">
        <v>41</v>
      </c>
      <c r="D2099" s="105">
        <v>45373.65623429398</v>
      </c>
      <c r="E2099" t="s">
        <v>312</v>
      </c>
      <c r="F2099" t="s">
        <v>309</v>
      </c>
      <c r="G2099">
        <v>0</v>
      </c>
      <c r="H2099" t="s">
        <v>1397</v>
      </c>
      <c r="I2099">
        <v>0</v>
      </c>
      <c r="J2099">
        <v>0</v>
      </c>
      <c r="K2099">
        <v>0</v>
      </c>
      <c r="L2099" t="s">
        <v>240</v>
      </c>
      <c r="M2099" t="s">
        <v>1398</v>
      </c>
      <c r="N2099">
        <v>0</v>
      </c>
      <c r="O2099" t="s">
        <v>1389</v>
      </c>
      <c r="P2099" t="s">
        <v>310</v>
      </c>
      <c r="Q2099" t="s">
        <v>310</v>
      </c>
      <c r="R2099" t="s">
        <v>310</v>
      </c>
      <c r="S2099">
        <v>9</v>
      </c>
      <c r="T2099" t="s">
        <v>310</v>
      </c>
      <c r="U2099">
        <v>9</v>
      </c>
      <c r="V2099">
        <v>9</v>
      </c>
      <c r="W2099">
        <v>0</v>
      </c>
      <c r="X2099">
        <v>0</v>
      </c>
      <c r="Y2099">
        <v>0</v>
      </c>
      <c r="Z2099">
        <v>0</v>
      </c>
      <c r="AA2099">
        <v>9</v>
      </c>
      <c r="AB2099">
        <v>9</v>
      </c>
      <c r="AC2099" t="s">
        <v>310</v>
      </c>
      <c r="AD2099">
        <v>9</v>
      </c>
      <c r="AE2099" t="s">
        <v>1390</v>
      </c>
      <c r="AF2099">
        <v>0</v>
      </c>
      <c r="AG2099" t="s">
        <v>310</v>
      </c>
      <c r="AH2099">
        <f>SUM((MID(Dyno_Data[[#This Row],[Team]],4,5))+(Dyno_Data[[#This Row],[Match]]/100))</f>
        <v>5590.41</v>
      </c>
      <c r="AI2099" s="76">
        <f>ROUND(SUM(IF(Dyno_Data[[#This Row],[AcqCenter]]&gt;0,Dyno_Data[[#This Row],[Time]]-SUMIFS(Dyno_Data[Time],Dyno_Data[Team],Dyno_Data[[#This Row],[Team]],Dyno_Data[RecordType],"StartMatch",Dyno_Data[Match],Dyno_Data[[#This Row],[Match]]),0)*86400),0)</f>
        <v>0</v>
      </c>
    </row>
    <row r="2100" spans="1:35" x14ac:dyDescent="0.3">
      <c r="A2100">
        <v>2093</v>
      </c>
      <c r="B2100" t="s">
        <v>1315</v>
      </c>
      <c r="C2100">
        <v>41</v>
      </c>
      <c r="D2100" s="105">
        <v>45373.65623792824</v>
      </c>
      <c r="E2100" t="s">
        <v>312</v>
      </c>
      <c r="F2100" t="s">
        <v>309</v>
      </c>
      <c r="G2100">
        <v>0</v>
      </c>
      <c r="H2100" t="s">
        <v>1397</v>
      </c>
      <c r="I2100">
        <v>0</v>
      </c>
      <c r="J2100">
        <v>0</v>
      </c>
      <c r="K2100">
        <v>0</v>
      </c>
      <c r="L2100" t="s">
        <v>240</v>
      </c>
      <c r="M2100" t="s">
        <v>1398</v>
      </c>
      <c r="N2100">
        <v>0</v>
      </c>
      <c r="O2100" t="s">
        <v>1391</v>
      </c>
      <c r="P2100" t="s">
        <v>310</v>
      </c>
      <c r="Q2100" t="s">
        <v>310</v>
      </c>
      <c r="R2100" t="s">
        <v>310</v>
      </c>
      <c r="S2100">
        <v>9</v>
      </c>
      <c r="T2100" t="s">
        <v>310</v>
      </c>
      <c r="U2100">
        <v>9</v>
      </c>
      <c r="V2100">
        <v>9</v>
      </c>
      <c r="W2100">
        <v>0</v>
      </c>
      <c r="X2100">
        <v>0</v>
      </c>
      <c r="Y2100">
        <v>0</v>
      </c>
      <c r="Z2100">
        <v>0</v>
      </c>
      <c r="AA2100">
        <v>9</v>
      </c>
      <c r="AB2100">
        <v>9</v>
      </c>
      <c r="AC2100" t="s">
        <v>310</v>
      </c>
      <c r="AD2100">
        <v>9</v>
      </c>
      <c r="AE2100" t="s">
        <v>1413</v>
      </c>
      <c r="AF2100">
        <v>0</v>
      </c>
      <c r="AG2100" t="s">
        <v>310</v>
      </c>
      <c r="AH2100">
        <f>SUM((MID(Dyno_Data[[#This Row],[Team]],4,5))+(Dyno_Data[[#This Row],[Match]]/100))</f>
        <v>1511.41</v>
      </c>
      <c r="AI2100" s="76">
        <f>ROUND(SUM(IF(Dyno_Data[[#This Row],[AcqCenter]]&gt;0,Dyno_Data[[#This Row],[Time]]-SUMIFS(Dyno_Data[Time],Dyno_Data[Team],Dyno_Data[[#This Row],[Team]],Dyno_Data[RecordType],"StartMatch",Dyno_Data[Match],Dyno_Data[[#This Row],[Match]]),0)*86400),0)</f>
        <v>0</v>
      </c>
    </row>
    <row r="2101" spans="1:35" x14ac:dyDescent="0.3">
      <c r="A2101">
        <v>2094</v>
      </c>
      <c r="B2101" t="s">
        <v>1295</v>
      </c>
      <c r="C2101">
        <v>41</v>
      </c>
      <c r="D2101" s="105">
        <v>45373.656254513888</v>
      </c>
      <c r="E2101" t="s">
        <v>312</v>
      </c>
      <c r="F2101" t="s">
        <v>309</v>
      </c>
      <c r="G2101">
        <v>0</v>
      </c>
      <c r="H2101" t="s">
        <v>143</v>
      </c>
      <c r="I2101">
        <v>2</v>
      </c>
      <c r="J2101">
        <v>1</v>
      </c>
      <c r="K2101">
        <v>0</v>
      </c>
      <c r="L2101" t="s">
        <v>310</v>
      </c>
      <c r="M2101" t="s">
        <v>310</v>
      </c>
      <c r="N2101">
        <v>0</v>
      </c>
      <c r="O2101" t="s">
        <v>319</v>
      </c>
      <c r="P2101" t="s">
        <v>310</v>
      </c>
      <c r="Q2101" t="s">
        <v>310</v>
      </c>
      <c r="R2101" t="s">
        <v>310</v>
      </c>
      <c r="S2101">
        <v>9</v>
      </c>
      <c r="T2101" t="s">
        <v>310</v>
      </c>
      <c r="U2101">
        <v>9</v>
      </c>
      <c r="V2101">
        <v>9</v>
      </c>
      <c r="W2101">
        <v>0</v>
      </c>
      <c r="X2101">
        <v>0</v>
      </c>
      <c r="Y2101">
        <v>0</v>
      </c>
      <c r="Z2101">
        <v>0</v>
      </c>
      <c r="AA2101">
        <v>9</v>
      </c>
      <c r="AB2101">
        <v>9</v>
      </c>
      <c r="AC2101" t="s">
        <v>310</v>
      </c>
      <c r="AD2101">
        <v>9</v>
      </c>
      <c r="AE2101" t="s">
        <v>1388</v>
      </c>
      <c r="AF2101">
        <v>1000</v>
      </c>
      <c r="AG2101" t="s">
        <v>310</v>
      </c>
      <c r="AH2101">
        <f>SUM((MID(Dyno_Data[[#This Row],[Team]],4,5))+(Dyno_Data[[#This Row],[Match]]/100))</f>
        <v>6300.41</v>
      </c>
      <c r="AI2101" s="76">
        <f>ROUND(SUM(IF(Dyno_Data[[#This Row],[AcqCenter]]&gt;0,Dyno_Data[[#This Row],[Time]]-SUMIFS(Dyno_Data[Time],Dyno_Data[Team],Dyno_Data[[#This Row],[Team]],Dyno_Data[RecordType],"StartMatch",Dyno_Data[Match],Dyno_Data[[#This Row],[Match]]),0)*86400),0)</f>
        <v>5</v>
      </c>
    </row>
    <row r="2102" spans="1:35" x14ac:dyDescent="0.3">
      <c r="A2102">
        <v>2095</v>
      </c>
      <c r="B2102" t="s">
        <v>367</v>
      </c>
      <c r="C2102">
        <v>41</v>
      </c>
      <c r="D2102" s="105">
        <v>45373.656269710649</v>
      </c>
      <c r="E2102" t="s">
        <v>312</v>
      </c>
      <c r="F2102" t="s">
        <v>309</v>
      </c>
      <c r="G2102">
        <v>0</v>
      </c>
      <c r="H2102" t="s">
        <v>1397</v>
      </c>
      <c r="I2102">
        <v>0</v>
      </c>
      <c r="J2102">
        <v>0</v>
      </c>
      <c r="K2102">
        <v>0</v>
      </c>
      <c r="L2102" t="s">
        <v>240</v>
      </c>
      <c r="M2102" t="s">
        <v>1398</v>
      </c>
      <c r="N2102">
        <v>0</v>
      </c>
      <c r="O2102" t="s">
        <v>311</v>
      </c>
      <c r="P2102" t="s">
        <v>310</v>
      </c>
      <c r="Q2102" t="s">
        <v>310</v>
      </c>
      <c r="R2102" t="s">
        <v>310</v>
      </c>
      <c r="S2102">
        <v>9</v>
      </c>
      <c r="T2102" t="s">
        <v>310</v>
      </c>
      <c r="U2102">
        <v>9</v>
      </c>
      <c r="V2102">
        <v>9</v>
      </c>
      <c r="W2102">
        <v>0</v>
      </c>
      <c r="X2102">
        <v>0</v>
      </c>
      <c r="Y2102">
        <v>0</v>
      </c>
      <c r="Z2102">
        <v>0</v>
      </c>
      <c r="AA2102">
        <v>9</v>
      </c>
      <c r="AB2102">
        <v>9</v>
      </c>
      <c r="AC2102" t="s">
        <v>310</v>
      </c>
      <c r="AD2102">
        <v>9</v>
      </c>
      <c r="AE2102" t="s">
        <v>1414</v>
      </c>
      <c r="AF2102">
        <v>0</v>
      </c>
      <c r="AG2102" t="s">
        <v>310</v>
      </c>
      <c r="AH2102">
        <f>SUM((MID(Dyno_Data[[#This Row],[Team]],4,5))+(Dyno_Data[[#This Row],[Match]]/100))</f>
        <v>5016.41</v>
      </c>
      <c r="AI2102" s="76">
        <f>ROUND(SUM(IF(Dyno_Data[[#This Row],[AcqCenter]]&gt;0,Dyno_Data[[#This Row],[Time]]-SUMIFS(Dyno_Data[Time],Dyno_Data[Team],Dyno_Data[[#This Row],[Team]],Dyno_Data[RecordType],"StartMatch",Dyno_Data[Match],Dyno_Data[[#This Row],[Match]]),0)*86400),0)</f>
        <v>0</v>
      </c>
    </row>
    <row r="2103" spans="1:35" x14ac:dyDescent="0.3">
      <c r="A2103">
        <v>2096</v>
      </c>
      <c r="B2103" t="s">
        <v>365</v>
      </c>
      <c r="C2103">
        <v>41</v>
      </c>
      <c r="D2103" s="105">
        <v>45373.656281284719</v>
      </c>
      <c r="E2103" t="s">
        <v>312</v>
      </c>
      <c r="F2103" t="s">
        <v>309</v>
      </c>
      <c r="G2103">
        <v>0</v>
      </c>
      <c r="H2103" t="s">
        <v>315</v>
      </c>
      <c r="I2103">
        <v>0</v>
      </c>
      <c r="J2103">
        <v>0</v>
      </c>
      <c r="K2103">
        <v>0</v>
      </c>
      <c r="L2103" t="s">
        <v>240</v>
      </c>
      <c r="M2103" t="s">
        <v>1398</v>
      </c>
      <c r="N2103">
        <v>0</v>
      </c>
      <c r="O2103" t="s">
        <v>1393</v>
      </c>
      <c r="P2103" t="s">
        <v>310</v>
      </c>
      <c r="Q2103" t="s">
        <v>310</v>
      </c>
      <c r="R2103" t="s">
        <v>310</v>
      </c>
      <c r="S2103">
        <v>9</v>
      </c>
      <c r="T2103" t="s">
        <v>310</v>
      </c>
      <c r="U2103">
        <v>9</v>
      </c>
      <c r="V2103">
        <v>9</v>
      </c>
      <c r="W2103">
        <v>0</v>
      </c>
      <c r="X2103">
        <v>0</v>
      </c>
      <c r="Y2103">
        <v>0</v>
      </c>
      <c r="Z2103">
        <v>0</v>
      </c>
      <c r="AA2103">
        <v>9</v>
      </c>
      <c r="AB2103">
        <v>9</v>
      </c>
      <c r="AC2103" t="s">
        <v>310</v>
      </c>
      <c r="AD2103">
        <v>9</v>
      </c>
      <c r="AE2103" t="s">
        <v>1396</v>
      </c>
      <c r="AF2103">
        <v>10000000</v>
      </c>
      <c r="AG2103" t="s">
        <v>310</v>
      </c>
      <c r="AH2103">
        <f>SUM((MID(Dyno_Data[[#This Row],[Team]],4,5))+(Dyno_Data[[#This Row],[Match]]/100))</f>
        <v>3171.41</v>
      </c>
      <c r="AI2103" s="76">
        <f>ROUND(SUM(IF(Dyno_Data[[#This Row],[AcqCenter]]&gt;0,Dyno_Data[[#This Row],[Time]]-SUMIFS(Dyno_Data[Time],Dyno_Data[Team],Dyno_Data[[#This Row],[Team]],Dyno_Data[RecordType],"StartMatch",Dyno_Data[Match],Dyno_Data[[#This Row],[Match]]),0)*86400),0)</f>
        <v>0</v>
      </c>
    </row>
    <row r="2104" spans="1:35" x14ac:dyDescent="0.3">
      <c r="A2104">
        <v>2097</v>
      </c>
      <c r="B2104" t="s">
        <v>1314</v>
      </c>
      <c r="C2104">
        <v>41</v>
      </c>
      <c r="D2104" s="105">
        <v>45373.656286493053</v>
      </c>
      <c r="E2104" t="s">
        <v>312</v>
      </c>
      <c r="F2104" t="s">
        <v>309</v>
      </c>
      <c r="G2104">
        <v>0</v>
      </c>
      <c r="H2104" t="s">
        <v>315</v>
      </c>
      <c r="I2104">
        <v>0</v>
      </c>
      <c r="J2104">
        <v>0</v>
      </c>
      <c r="K2104">
        <v>0</v>
      </c>
      <c r="L2104" t="s">
        <v>241</v>
      </c>
      <c r="M2104" t="s">
        <v>1398</v>
      </c>
      <c r="N2104">
        <v>0</v>
      </c>
      <c r="O2104" t="s">
        <v>1395</v>
      </c>
      <c r="P2104" t="s">
        <v>310</v>
      </c>
      <c r="Q2104" t="s">
        <v>310</v>
      </c>
      <c r="R2104" t="s">
        <v>310</v>
      </c>
      <c r="S2104">
        <v>9</v>
      </c>
      <c r="T2104" t="s">
        <v>310</v>
      </c>
      <c r="U2104">
        <v>9</v>
      </c>
      <c r="V2104">
        <v>9</v>
      </c>
      <c r="W2104">
        <v>0</v>
      </c>
      <c r="X2104">
        <v>0</v>
      </c>
      <c r="Y2104">
        <v>0</v>
      </c>
      <c r="Z2104">
        <v>0</v>
      </c>
      <c r="AA2104">
        <v>9</v>
      </c>
      <c r="AB2104">
        <v>9</v>
      </c>
      <c r="AC2104" t="s">
        <v>310</v>
      </c>
      <c r="AD2104">
        <v>9</v>
      </c>
      <c r="AE2104" t="s">
        <v>1412</v>
      </c>
      <c r="AF2104">
        <v>10000000</v>
      </c>
      <c r="AG2104" t="s">
        <v>310</v>
      </c>
      <c r="AH2104">
        <f>SUM((MID(Dyno_Data[[#This Row],[Team]],4,5))+(Dyno_Data[[#This Row],[Match]]/100))</f>
        <v>3419.41</v>
      </c>
      <c r="AI2104" s="76">
        <f>ROUND(SUM(IF(Dyno_Data[[#This Row],[AcqCenter]]&gt;0,Dyno_Data[[#This Row],[Time]]-SUMIFS(Dyno_Data[Time],Dyno_Data[Team],Dyno_Data[[#This Row],[Team]],Dyno_Data[RecordType],"StartMatch",Dyno_Data[Match],Dyno_Data[[#This Row],[Match]]),0)*86400),0)</f>
        <v>0</v>
      </c>
    </row>
    <row r="2105" spans="1:35" x14ac:dyDescent="0.3">
      <c r="A2105">
        <v>2098</v>
      </c>
      <c r="B2105" t="s">
        <v>1315</v>
      </c>
      <c r="C2105">
        <v>41</v>
      </c>
      <c r="D2105" s="105">
        <v>45373.656303738426</v>
      </c>
      <c r="E2105" t="s">
        <v>312</v>
      </c>
      <c r="F2105" t="s">
        <v>309</v>
      </c>
      <c r="G2105">
        <v>0</v>
      </c>
      <c r="H2105" t="s">
        <v>315</v>
      </c>
      <c r="I2105">
        <v>0</v>
      </c>
      <c r="J2105">
        <v>0</v>
      </c>
      <c r="K2105">
        <v>0</v>
      </c>
      <c r="L2105" t="s">
        <v>240</v>
      </c>
      <c r="M2105" t="s">
        <v>1398</v>
      </c>
      <c r="N2105">
        <v>0</v>
      </c>
      <c r="O2105" t="s">
        <v>1391</v>
      </c>
      <c r="P2105" t="s">
        <v>310</v>
      </c>
      <c r="Q2105" t="s">
        <v>310</v>
      </c>
      <c r="R2105" t="s">
        <v>310</v>
      </c>
      <c r="S2105">
        <v>9</v>
      </c>
      <c r="T2105" t="s">
        <v>310</v>
      </c>
      <c r="U2105">
        <v>9</v>
      </c>
      <c r="V2105">
        <v>9</v>
      </c>
      <c r="W2105">
        <v>0</v>
      </c>
      <c r="X2105">
        <v>0</v>
      </c>
      <c r="Y2105">
        <v>0</v>
      </c>
      <c r="Z2105">
        <v>0</v>
      </c>
      <c r="AA2105">
        <v>9</v>
      </c>
      <c r="AB2105">
        <v>9</v>
      </c>
      <c r="AC2105" t="s">
        <v>310</v>
      </c>
      <c r="AD2105">
        <v>9</v>
      </c>
      <c r="AE2105" t="s">
        <v>1413</v>
      </c>
      <c r="AF2105">
        <v>10000000</v>
      </c>
      <c r="AG2105" t="s">
        <v>310</v>
      </c>
      <c r="AH2105">
        <f>SUM((MID(Dyno_Data[[#This Row],[Team]],4,5))+(Dyno_Data[[#This Row],[Match]]/100))</f>
        <v>1511.41</v>
      </c>
      <c r="AI2105" s="76">
        <f>ROUND(SUM(IF(Dyno_Data[[#This Row],[AcqCenter]]&gt;0,Dyno_Data[[#This Row],[Time]]-SUMIFS(Dyno_Data[Time],Dyno_Data[Team],Dyno_Data[[#This Row],[Team]],Dyno_Data[RecordType],"StartMatch",Dyno_Data[Match],Dyno_Data[[#This Row],[Match]]),0)*86400),0)</f>
        <v>0</v>
      </c>
    </row>
    <row r="2106" spans="1:35" x14ac:dyDescent="0.3">
      <c r="A2106">
        <v>2099</v>
      </c>
      <c r="B2106" t="s">
        <v>1295</v>
      </c>
      <c r="C2106">
        <v>41</v>
      </c>
      <c r="D2106" s="105">
        <v>45373.656312581021</v>
      </c>
      <c r="E2106" t="s">
        <v>312</v>
      </c>
      <c r="F2106" t="s">
        <v>309</v>
      </c>
      <c r="G2106">
        <v>0</v>
      </c>
      <c r="H2106" t="s">
        <v>143</v>
      </c>
      <c r="I2106">
        <v>0</v>
      </c>
      <c r="J2106">
        <v>0</v>
      </c>
      <c r="K2106">
        <v>0</v>
      </c>
      <c r="L2106" t="s">
        <v>241</v>
      </c>
      <c r="M2106" t="s">
        <v>1398</v>
      </c>
      <c r="N2106">
        <v>0</v>
      </c>
      <c r="O2106" t="s">
        <v>319</v>
      </c>
      <c r="P2106" t="s">
        <v>310</v>
      </c>
      <c r="Q2106" t="s">
        <v>310</v>
      </c>
      <c r="R2106" t="s">
        <v>310</v>
      </c>
      <c r="S2106">
        <v>9</v>
      </c>
      <c r="T2106" t="s">
        <v>310</v>
      </c>
      <c r="U2106">
        <v>9</v>
      </c>
      <c r="V2106">
        <v>9</v>
      </c>
      <c r="W2106">
        <v>0</v>
      </c>
      <c r="X2106">
        <v>0</v>
      </c>
      <c r="Y2106">
        <v>0</v>
      </c>
      <c r="Z2106">
        <v>0</v>
      </c>
      <c r="AA2106">
        <v>9</v>
      </c>
      <c r="AB2106">
        <v>9</v>
      </c>
      <c r="AC2106" t="s">
        <v>310</v>
      </c>
      <c r="AD2106">
        <v>9</v>
      </c>
      <c r="AE2106" t="s">
        <v>1388</v>
      </c>
      <c r="AF2106">
        <v>1000</v>
      </c>
      <c r="AG2106" t="s">
        <v>310</v>
      </c>
      <c r="AH2106">
        <f>SUM((MID(Dyno_Data[[#This Row],[Team]],4,5))+(Dyno_Data[[#This Row],[Match]]/100))</f>
        <v>6300.41</v>
      </c>
      <c r="AI2106" s="76">
        <f>ROUND(SUM(IF(Dyno_Data[[#This Row],[AcqCenter]]&gt;0,Dyno_Data[[#This Row],[Time]]-SUMIFS(Dyno_Data[Time],Dyno_Data[Team],Dyno_Data[[#This Row],[Team]],Dyno_Data[RecordType],"StartMatch",Dyno_Data[Match],Dyno_Data[[#This Row],[Match]]),0)*86400),0)</f>
        <v>0</v>
      </c>
    </row>
    <row r="2107" spans="1:35" x14ac:dyDescent="0.3">
      <c r="A2107">
        <v>2100</v>
      </c>
      <c r="B2107" t="s">
        <v>1314</v>
      </c>
      <c r="C2107">
        <v>41</v>
      </c>
      <c r="D2107" s="105">
        <v>45373.656326620374</v>
      </c>
      <c r="E2107" t="s">
        <v>312</v>
      </c>
      <c r="F2107" t="s">
        <v>309</v>
      </c>
      <c r="G2107">
        <v>0</v>
      </c>
      <c r="H2107" t="s">
        <v>143</v>
      </c>
      <c r="I2107">
        <v>5</v>
      </c>
      <c r="J2107">
        <v>1</v>
      </c>
      <c r="K2107">
        <v>0</v>
      </c>
      <c r="L2107" t="s">
        <v>310</v>
      </c>
      <c r="M2107" t="s">
        <v>310</v>
      </c>
      <c r="N2107">
        <v>0</v>
      </c>
      <c r="O2107" t="s">
        <v>1395</v>
      </c>
      <c r="P2107" t="s">
        <v>310</v>
      </c>
      <c r="Q2107" t="s">
        <v>310</v>
      </c>
      <c r="R2107" t="s">
        <v>310</v>
      </c>
      <c r="S2107">
        <v>9</v>
      </c>
      <c r="T2107" t="s">
        <v>310</v>
      </c>
      <c r="U2107">
        <v>9</v>
      </c>
      <c r="V2107">
        <v>9</v>
      </c>
      <c r="W2107">
        <v>0</v>
      </c>
      <c r="X2107">
        <v>0</v>
      </c>
      <c r="Y2107">
        <v>0</v>
      </c>
      <c r="Z2107">
        <v>0</v>
      </c>
      <c r="AA2107">
        <v>9</v>
      </c>
      <c r="AB2107">
        <v>9</v>
      </c>
      <c r="AC2107" t="s">
        <v>310</v>
      </c>
      <c r="AD2107">
        <v>9</v>
      </c>
      <c r="AE2107" t="s">
        <v>1412</v>
      </c>
      <c r="AF2107">
        <v>10000000</v>
      </c>
      <c r="AG2107" t="s">
        <v>310</v>
      </c>
      <c r="AH2107">
        <f>SUM((MID(Dyno_Data[[#This Row],[Team]],4,5))+(Dyno_Data[[#This Row],[Match]]/100))</f>
        <v>3419.41</v>
      </c>
      <c r="AI2107" s="76">
        <f>ROUND(SUM(IF(Dyno_Data[[#This Row],[AcqCenter]]&gt;0,Dyno_Data[[#This Row],[Time]]-SUMIFS(Dyno_Data[Time],Dyno_Data[Team],Dyno_Data[[#This Row],[Team]],Dyno_Data[RecordType],"StartMatch",Dyno_Data[Match],Dyno_Data[[#This Row],[Match]]),0)*86400),0)</f>
        <v>11</v>
      </c>
    </row>
    <row r="2108" spans="1:35" x14ac:dyDescent="0.3">
      <c r="A2108">
        <v>2103</v>
      </c>
      <c r="B2108" t="s">
        <v>1295</v>
      </c>
      <c r="C2108">
        <v>41</v>
      </c>
      <c r="D2108" s="105">
        <v>45373.656356250001</v>
      </c>
      <c r="E2108" t="s">
        <v>312</v>
      </c>
      <c r="F2108" t="s">
        <v>309</v>
      </c>
      <c r="G2108">
        <v>0</v>
      </c>
      <c r="H2108" t="s">
        <v>143</v>
      </c>
      <c r="I2108">
        <v>3</v>
      </c>
      <c r="J2108">
        <v>-1</v>
      </c>
      <c r="K2108">
        <v>0</v>
      </c>
      <c r="L2108" t="s">
        <v>310</v>
      </c>
      <c r="M2108" t="s">
        <v>310</v>
      </c>
      <c r="N2108">
        <v>0</v>
      </c>
      <c r="O2108" t="s">
        <v>319</v>
      </c>
      <c r="P2108" t="s">
        <v>310</v>
      </c>
      <c r="Q2108" t="s">
        <v>310</v>
      </c>
      <c r="R2108" t="s">
        <v>310</v>
      </c>
      <c r="S2108">
        <v>9</v>
      </c>
      <c r="T2108" t="s">
        <v>310</v>
      </c>
      <c r="U2108">
        <v>9</v>
      </c>
      <c r="V2108">
        <v>9</v>
      </c>
      <c r="W2108">
        <v>0</v>
      </c>
      <c r="X2108">
        <v>0</v>
      </c>
      <c r="Y2108">
        <v>0</v>
      </c>
      <c r="Z2108">
        <v>0</v>
      </c>
      <c r="AA2108">
        <v>9</v>
      </c>
      <c r="AB2108">
        <v>9</v>
      </c>
      <c r="AC2108" t="s">
        <v>310</v>
      </c>
      <c r="AD2108">
        <v>9</v>
      </c>
      <c r="AE2108" t="s">
        <v>1388</v>
      </c>
      <c r="AF2108">
        <v>2000</v>
      </c>
      <c r="AG2108" t="s">
        <v>310</v>
      </c>
      <c r="AH2108">
        <f>SUM((MID(Dyno_Data[[#This Row],[Team]],4,5))+(Dyno_Data[[#This Row],[Match]]/100))</f>
        <v>6300.41</v>
      </c>
      <c r="AI2108" s="76">
        <f>ROUND(SUM(IF(Dyno_Data[[#This Row],[AcqCenter]]&gt;0,Dyno_Data[[#This Row],[Time]]-SUMIFS(Dyno_Data[Time],Dyno_Data[Team],Dyno_Data[[#This Row],[Team]],Dyno_Data[RecordType],"StartMatch",Dyno_Data[Match],Dyno_Data[[#This Row],[Match]]),0)*86400),0)</f>
        <v>14</v>
      </c>
    </row>
    <row r="2109" spans="1:35" x14ac:dyDescent="0.3">
      <c r="A2109">
        <v>2101</v>
      </c>
      <c r="B2109" t="s">
        <v>1314</v>
      </c>
      <c r="C2109">
        <v>41</v>
      </c>
      <c r="D2109" s="105">
        <v>45373.656357673608</v>
      </c>
      <c r="E2109" t="s">
        <v>312</v>
      </c>
      <c r="F2109" t="s">
        <v>309</v>
      </c>
      <c r="G2109">
        <v>0</v>
      </c>
      <c r="H2109" t="s">
        <v>143</v>
      </c>
      <c r="I2109">
        <v>0</v>
      </c>
      <c r="J2109">
        <v>0</v>
      </c>
      <c r="K2109">
        <v>0</v>
      </c>
      <c r="L2109" t="s">
        <v>241</v>
      </c>
      <c r="M2109" t="s">
        <v>1398</v>
      </c>
      <c r="N2109">
        <v>0</v>
      </c>
      <c r="O2109" t="s">
        <v>1395</v>
      </c>
      <c r="P2109" t="s">
        <v>310</v>
      </c>
      <c r="Q2109" t="s">
        <v>310</v>
      </c>
      <c r="R2109" t="s">
        <v>310</v>
      </c>
      <c r="S2109">
        <v>9</v>
      </c>
      <c r="T2109" t="s">
        <v>310</v>
      </c>
      <c r="U2109">
        <v>9</v>
      </c>
      <c r="V2109">
        <v>9</v>
      </c>
      <c r="W2109">
        <v>0</v>
      </c>
      <c r="X2109">
        <v>0</v>
      </c>
      <c r="Y2109">
        <v>0</v>
      </c>
      <c r="Z2109">
        <v>0</v>
      </c>
      <c r="AA2109">
        <v>9</v>
      </c>
      <c r="AB2109">
        <v>9</v>
      </c>
      <c r="AC2109" t="s">
        <v>310</v>
      </c>
      <c r="AD2109">
        <v>9</v>
      </c>
      <c r="AE2109" t="s">
        <v>1412</v>
      </c>
      <c r="AF2109">
        <v>10000000</v>
      </c>
      <c r="AG2109" t="s">
        <v>310</v>
      </c>
      <c r="AH2109">
        <f>SUM((MID(Dyno_Data[[#This Row],[Team]],4,5))+(Dyno_Data[[#This Row],[Match]]/100))</f>
        <v>3419.41</v>
      </c>
      <c r="AI2109" s="76">
        <f>ROUND(SUM(IF(Dyno_Data[[#This Row],[AcqCenter]]&gt;0,Dyno_Data[[#This Row],[Time]]-SUMIFS(Dyno_Data[Time],Dyno_Data[Team],Dyno_Data[[#This Row],[Team]],Dyno_Data[RecordType],"StartMatch",Dyno_Data[Match],Dyno_Data[[#This Row],[Match]]),0)*86400),0)</f>
        <v>0</v>
      </c>
    </row>
    <row r="2110" spans="1:35" x14ac:dyDescent="0.3">
      <c r="A2110">
        <v>2102</v>
      </c>
      <c r="B2110" t="s">
        <v>365</v>
      </c>
      <c r="C2110">
        <v>41</v>
      </c>
      <c r="D2110" s="105">
        <v>45373.656359803237</v>
      </c>
      <c r="E2110" t="s">
        <v>312</v>
      </c>
      <c r="F2110" t="s">
        <v>309</v>
      </c>
      <c r="G2110">
        <v>0</v>
      </c>
      <c r="H2110" t="s">
        <v>315</v>
      </c>
      <c r="I2110">
        <v>0</v>
      </c>
      <c r="J2110">
        <v>0</v>
      </c>
      <c r="K2110">
        <v>0</v>
      </c>
      <c r="L2110" t="s">
        <v>240</v>
      </c>
      <c r="M2110" t="s">
        <v>1398</v>
      </c>
      <c r="N2110">
        <v>0</v>
      </c>
      <c r="O2110" t="s">
        <v>1393</v>
      </c>
      <c r="P2110" t="s">
        <v>310</v>
      </c>
      <c r="Q2110" t="s">
        <v>310</v>
      </c>
      <c r="R2110" t="s">
        <v>310</v>
      </c>
      <c r="S2110">
        <v>9</v>
      </c>
      <c r="T2110" t="s">
        <v>310</v>
      </c>
      <c r="U2110">
        <v>9</v>
      </c>
      <c r="V2110">
        <v>9</v>
      </c>
      <c r="W2110">
        <v>0</v>
      </c>
      <c r="X2110">
        <v>0</v>
      </c>
      <c r="Y2110">
        <v>0</v>
      </c>
      <c r="Z2110">
        <v>0</v>
      </c>
      <c r="AA2110">
        <v>9</v>
      </c>
      <c r="AB2110">
        <v>9</v>
      </c>
      <c r="AC2110" t="s">
        <v>310</v>
      </c>
      <c r="AD2110">
        <v>9</v>
      </c>
      <c r="AE2110" t="s">
        <v>1396</v>
      </c>
      <c r="AF2110">
        <v>20000000</v>
      </c>
      <c r="AG2110" t="s">
        <v>310</v>
      </c>
      <c r="AH2110">
        <f>SUM((MID(Dyno_Data[[#This Row],[Team]],4,5))+(Dyno_Data[[#This Row],[Match]]/100))</f>
        <v>3171.41</v>
      </c>
      <c r="AI2110" s="76">
        <f>ROUND(SUM(IF(Dyno_Data[[#This Row],[AcqCenter]]&gt;0,Dyno_Data[[#This Row],[Time]]-SUMIFS(Dyno_Data[Time],Dyno_Data[Team],Dyno_Data[[#This Row],[Team]],Dyno_Data[RecordType],"StartMatch",Dyno_Data[Match],Dyno_Data[[#This Row],[Match]]),0)*86400),0)</f>
        <v>0</v>
      </c>
    </row>
    <row r="2111" spans="1:35" x14ac:dyDescent="0.3">
      <c r="A2111">
        <v>2105</v>
      </c>
      <c r="B2111" t="s">
        <v>1314</v>
      </c>
      <c r="C2111">
        <v>41</v>
      </c>
      <c r="D2111" s="105">
        <v>45373.65640324074</v>
      </c>
      <c r="E2111" t="s">
        <v>314</v>
      </c>
      <c r="F2111" t="s">
        <v>309</v>
      </c>
      <c r="G2111">
        <v>1</v>
      </c>
      <c r="H2111" t="s">
        <v>310</v>
      </c>
      <c r="I2111">
        <v>0</v>
      </c>
      <c r="J2111">
        <v>0</v>
      </c>
      <c r="K2111">
        <v>0</v>
      </c>
      <c r="L2111" t="s">
        <v>310</v>
      </c>
      <c r="M2111" t="s">
        <v>310</v>
      </c>
      <c r="N2111">
        <v>0</v>
      </c>
      <c r="O2111" t="s">
        <v>1395</v>
      </c>
      <c r="P2111" t="s">
        <v>101</v>
      </c>
      <c r="Q2111" t="s">
        <v>1400</v>
      </c>
      <c r="R2111" t="s">
        <v>310</v>
      </c>
      <c r="S2111">
        <v>9</v>
      </c>
      <c r="T2111" t="s">
        <v>310</v>
      </c>
      <c r="U2111">
        <v>9</v>
      </c>
      <c r="V2111">
        <v>9</v>
      </c>
      <c r="W2111">
        <v>0</v>
      </c>
      <c r="X2111">
        <v>0</v>
      </c>
      <c r="Y2111">
        <v>0</v>
      </c>
      <c r="Z2111">
        <v>0</v>
      </c>
      <c r="AA2111">
        <v>9</v>
      </c>
      <c r="AB2111">
        <v>9</v>
      </c>
      <c r="AC2111" t="s">
        <v>310</v>
      </c>
      <c r="AD2111">
        <v>9</v>
      </c>
      <c r="AE2111" t="s">
        <v>1412</v>
      </c>
      <c r="AF2111">
        <v>10000000</v>
      </c>
      <c r="AG2111" t="s">
        <v>310</v>
      </c>
      <c r="AH2111">
        <f>SUM((MID(Dyno_Data[[#This Row],[Team]],4,5))+(Dyno_Data[[#This Row],[Match]]/100))</f>
        <v>3419.41</v>
      </c>
      <c r="AI2111" s="76">
        <f>ROUND(SUM(IF(Dyno_Data[[#This Row],[AcqCenter]]&gt;0,Dyno_Data[[#This Row],[Time]]-SUMIFS(Dyno_Data[Time],Dyno_Data[Team],Dyno_Data[[#This Row],[Team]],Dyno_Data[RecordType],"StartMatch",Dyno_Data[Match],Dyno_Data[[#This Row],[Match]]),0)*86400),0)</f>
        <v>0</v>
      </c>
    </row>
    <row r="2112" spans="1:35" x14ac:dyDescent="0.3">
      <c r="A2112">
        <v>2107</v>
      </c>
      <c r="B2112" t="s">
        <v>1295</v>
      </c>
      <c r="C2112">
        <v>41</v>
      </c>
      <c r="D2112" s="105">
        <v>45373.656404664354</v>
      </c>
      <c r="E2112" t="s">
        <v>314</v>
      </c>
      <c r="F2112" t="s">
        <v>309</v>
      </c>
      <c r="G2112">
        <v>1</v>
      </c>
      <c r="H2112" t="s">
        <v>310</v>
      </c>
      <c r="I2112">
        <v>0</v>
      </c>
      <c r="J2112">
        <v>0</v>
      </c>
      <c r="K2112">
        <v>0</v>
      </c>
      <c r="L2112" t="s">
        <v>310</v>
      </c>
      <c r="M2112" t="s">
        <v>310</v>
      </c>
      <c r="N2112">
        <v>0</v>
      </c>
      <c r="O2112" t="s">
        <v>319</v>
      </c>
      <c r="P2112" t="s">
        <v>1401</v>
      </c>
      <c r="Q2112" t="s">
        <v>1400</v>
      </c>
      <c r="R2112" t="s">
        <v>310</v>
      </c>
      <c r="S2112">
        <v>9</v>
      </c>
      <c r="T2112" t="s">
        <v>310</v>
      </c>
      <c r="U2112">
        <v>9</v>
      </c>
      <c r="V2112">
        <v>9</v>
      </c>
      <c r="W2112">
        <v>0</v>
      </c>
      <c r="X2112">
        <v>0</v>
      </c>
      <c r="Y2112">
        <v>0</v>
      </c>
      <c r="Z2112">
        <v>0</v>
      </c>
      <c r="AA2112">
        <v>9</v>
      </c>
      <c r="AB2112">
        <v>9</v>
      </c>
      <c r="AC2112" t="s">
        <v>310</v>
      </c>
      <c r="AD2112">
        <v>9</v>
      </c>
      <c r="AE2112" t="s">
        <v>1388</v>
      </c>
      <c r="AF2112">
        <v>2000</v>
      </c>
      <c r="AG2112" t="s">
        <v>310</v>
      </c>
      <c r="AH2112">
        <f>SUM((MID(Dyno_Data[[#This Row],[Team]],4,5))+(Dyno_Data[[#This Row],[Match]]/100))</f>
        <v>6300.41</v>
      </c>
      <c r="AI2112" s="76">
        <f>ROUND(SUM(IF(Dyno_Data[[#This Row],[AcqCenter]]&gt;0,Dyno_Data[[#This Row],[Time]]-SUMIFS(Dyno_Data[Time],Dyno_Data[Team],Dyno_Data[[#This Row],[Team]],Dyno_Data[RecordType],"StartMatch",Dyno_Data[Match],Dyno_Data[[#This Row],[Match]]),0)*86400),0)</f>
        <v>0</v>
      </c>
    </row>
    <row r="2113" spans="1:35" x14ac:dyDescent="0.3">
      <c r="A2113">
        <v>2109</v>
      </c>
      <c r="B2113" t="s">
        <v>365</v>
      </c>
      <c r="C2113">
        <v>41</v>
      </c>
      <c r="D2113" s="105">
        <v>45373.65640980324</v>
      </c>
      <c r="E2113" t="s">
        <v>314</v>
      </c>
      <c r="F2113" t="s">
        <v>309</v>
      </c>
      <c r="G2113">
        <v>1</v>
      </c>
      <c r="H2113" t="s">
        <v>310</v>
      </c>
      <c r="I2113">
        <v>0</v>
      </c>
      <c r="J2113">
        <v>0</v>
      </c>
      <c r="K2113">
        <v>0</v>
      </c>
      <c r="L2113" t="s">
        <v>310</v>
      </c>
      <c r="M2113" t="s">
        <v>310</v>
      </c>
      <c r="N2113">
        <v>0</v>
      </c>
      <c r="O2113" t="s">
        <v>1393</v>
      </c>
      <c r="P2113" t="s">
        <v>240</v>
      </c>
      <c r="Q2113" t="s">
        <v>1399</v>
      </c>
      <c r="R2113" t="s">
        <v>310</v>
      </c>
      <c r="S2113">
        <v>9</v>
      </c>
      <c r="T2113" t="s">
        <v>310</v>
      </c>
      <c r="U2113">
        <v>9</v>
      </c>
      <c r="V2113">
        <v>9</v>
      </c>
      <c r="W2113">
        <v>0</v>
      </c>
      <c r="X2113">
        <v>0</v>
      </c>
      <c r="Y2113">
        <v>0</v>
      </c>
      <c r="Z2113">
        <v>0</v>
      </c>
      <c r="AA2113">
        <v>9</v>
      </c>
      <c r="AB2113">
        <v>9</v>
      </c>
      <c r="AC2113" t="s">
        <v>310</v>
      </c>
      <c r="AD2113">
        <v>9</v>
      </c>
      <c r="AE2113" t="s">
        <v>1396</v>
      </c>
      <c r="AF2113">
        <v>20000000</v>
      </c>
      <c r="AG2113" t="s">
        <v>310</v>
      </c>
      <c r="AH2113">
        <f>SUM((MID(Dyno_Data[[#This Row],[Team]],4,5))+(Dyno_Data[[#This Row],[Match]]/100))</f>
        <v>3171.41</v>
      </c>
      <c r="AI2113" s="76">
        <f>ROUND(SUM(IF(Dyno_Data[[#This Row],[AcqCenter]]&gt;0,Dyno_Data[[#This Row],[Time]]-SUMIFS(Dyno_Data[Time],Dyno_Data[Team],Dyno_Data[[#This Row],[Team]],Dyno_Data[RecordType],"StartMatch",Dyno_Data[Match],Dyno_Data[[#This Row],[Match]]),0)*86400),0)</f>
        <v>0</v>
      </c>
    </row>
    <row r="2114" spans="1:35" x14ac:dyDescent="0.3">
      <c r="A2114">
        <v>2111</v>
      </c>
      <c r="B2114" t="s">
        <v>1315</v>
      </c>
      <c r="C2114">
        <v>41</v>
      </c>
      <c r="D2114" s="105">
        <v>45373.656410532407</v>
      </c>
      <c r="E2114" t="s">
        <v>314</v>
      </c>
      <c r="F2114" t="s">
        <v>309</v>
      </c>
      <c r="G2114">
        <v>1</v>
      </c>
      <c r="H2114" t="s">
        <v>310</v>
      </c>
      <c r="I2114">
        <v>0</v>
      </c>
      <c r="J2114">
        <v>0</v>
      </c>
      <c r="K2114">
        <v>0</v>
      </c>
      <c r="L2114" t="s">
        <v>310</v>
      </c>
      <c r="M2114" t="s">
        <v>310</v>
      </c>
      <c r="N2114">
        <v>0</v>
      </c>
      <c r="O2114" t="s">
        <v>1391</v>
      </c>
      <c r="P2114" t="s">
        <v>101</v>
      </c>
      <c r="Q2114" t="s">
        <v>1400</v>
      </c>
      <c r="R2114" t="s">
        <v>310</v>
      </c>
      <c r="S2114">
        <v>9</v>
      </c>
      <c r="T2114" t="s">
        <v>310</v>
      </c>
      <c r="U2114">
        <v>9</v>
      </c>
      <c r="V2114">
        <v>9</v>
      </c>
      <c r="W2114">
        <v>0</v>
      </c>
      <c r="X2114">
        <v>0</v>
      </c>
      <c r="Y2114">
        <v>0</v>
      </c>
      <c r="Z2114">
        <v>0</v>
      </c>
      <c r="AA2114">
        <v>9</v>
      </c>
      <c r="AB2114">
        <v>9</v>
      </c>
      <c r="AC2114" t="s">
        <v>310</v>
      </c>
      <c r="AD2114">
        <v>9</v>
      </c>
      <c r="AE2114" t="s">
        <v>1413</v>
      </c>
      <c r="AF2114">
        <v>10000000</v>
      </c>
      <c r="AG2114" t="s">
        <v>310</v>
      </c>
      <c r="AH2114">
        <f>SUM((MID(Dyno_Data[[#This Row],[Team]],4,5))+(Dyno_Data[[#This Row],[Match]]/100))</f>
        <v>1511.41</v>
      </c>
      <c r="AI2114" s="76">
        <f>ROUND(SUM(IF(Dyno_Data[[#This Row],[AcqCenter]]&gt;0,Dyno_Data[[#This Row],[Time]]-SUMIFS(Dyno_Data[Time],Dyno_Data[Team],Dyno_Data[[#This Row],[Team]],Dyno_Data[RecordType],"StartMatch",Dyno_Data[Match],Dyno_Data[[#This Row],[Match]]),0)*86400),0)</f>
        <v>0</v>
      </c>
    </row>
    <row r="2115" spans="1:35" x14ac:dyDescent="0.3">
      <c r="A2115">
        <v>2113</v>
      </c>
      <c r="B2115" t="s">
        <v>367</v>
      </c>
      <c r="C2115">
        <v>41</v>
      </c>
      <c r="D2115" s="105">
        <v>45373.65641693287</v>
      </c>
      <c r="E2115" t="s">
        <v>314</v>
      </c>
      <c r="F2115" t="s">
        <v>309</v>
      </c>
      <c r="G2115">
        <v>1</v>
      </c>
      <c r="H2115" t="s">
        <v>310</v>
      </c>
      <c r="I2115">
        <v>0</v>
      </c>
      <c r="J2115">
        <v>0</v>
      </c>
      <c r="K2115">
        <v>0</v>
      </c>
      <c r="L2115" t="s">
        <v>310</v>
      </c>
      <c r="M2115" t="s">
        <v>310</v>
      </c>
      <c r="N2115">
        <v>0</v>
      </c>
      <c r="O2115" t="s">
        <v>311</v>
      </c>
      <c r="P2115" t="s">
        <v>240</v>
      </c>
      <c r="Q2115" t="s">
        <v>1399</v>
      </c>
      <c r="R2115" t="s">
        <v>310</v>
      </c>
      <c r="S2115">
        <v>9</v>
      </c>
      <c r="T2115" t="s">
        <v>310</v>
      </c>
      <c r="U2115">
        <v>9</v>
      </c>
      <c r="V2115">
        <v>9</v>
      </c>
      <c r="W2115">
        <v>0</v>
      </c>
      <c r="X2115">
        <v>0</v>
      </c>
      <c r="Y2115">
        <v>0</v>
      </c>
      <c r="Z2115">
        <v>0</v>
      </c>
      <c r="AA2115">
        <v>9</v>
      </c>
      <c r="AB2115">
        <v>9</v>
      </c>
      <c r="AC2115" t="s">
        <v>310</v>
      </c>
      <c r="AD2115">
        <v>9</v>
      </c>
      <c r="AE2115" t="s">
        <v>1414</v>
      </c>
      <c r="AF2115">
        <v>0</v>
      </c>
      <c r="AG2115" t="s">
        <v>310</v>
      </c>
      <c r="AH2115">
        <f>SUM((MID(Dyno_Data[[#This Row],[Team]],4,5))+(Dyno_Data[[#This Row],[Match]]/100))</f>
        <v>5016.41</v>
      </c>
      <c r="AI2115" s="76">
        <f>ROUND(SUM(IF(Dyno_Data[[#This Row],[AcqCenter]]&gt;0,Dyno_Data[[#This Row],[Time]]-SUMIFS(Dyno_Data[Time],Dyno_Data[Team],Dyno_Data[[#This Row],[Team]],Dyno_Data[RecordType],"StartMatch",Dyno_Data[Match],Dyno_Data[[#This Row],[Match]]),0)*86400),0)</f>
        <v>0</v>
      </c>
    </row>
    <row r="2116" spans="1:35" x14ac:dyDescent="0.3">
      <c r="A2116">
        <v>2115</v>
      </c>
      <c r="B2116" t="s">
        <v>1284</v>
      </c>
      <c r="C2116">
        <v>41</v>
      </c>
      <c r="D2116" s="105">
        <v>45373.656428553244</v>
      </c>
      <c r="E2116" t="s">
        <v>314</v>
      </c>
      <c r="F2116" t="s">
        <v>309</v>
      </c>
      <c r="G2116">
        <v>1</v>
      </c>
      <c r="H2116" t="s">
        <v>310</v>
      </c>
      <c r="I2116">
        <v>0</v>
      </c>
      <c r="J2116">
        <v>0</v>
      </c>
      <c r="K2116">
        <v>0</v>
      </c>
      <c r="L2116" t="s">
        <v>310</v>
      </c>
      <c r="M2116" t="s">
        <v>310</v>
      </c>
      <c r="N2116">
        <v>0</v>
      </c>
      <c r="O2116" t="s">
        <v>1389</v>
      </c>
      <c r="P2116" t="s">
        <v>1401</v>
      </c>
      <c r="Q2116" t="s">
        <v>1400</v>
      </c>
      <c r="R2116" t="s">
        <v>310</v>
      </c>
      <c r="S2116">
        <v>9</v>
      </c>
      <c r="T2116" t="s">
        <v>310</v>
      </c>
      <c r="U2116">
        <v>9</v>
      </c>
      <c r="V2116">
        <v>9</v>
      </c>
      <c r="W2116">
        <v>0</v>
      </c>
      <c r="X2116">
        <v>0</v>
      </c>
      <c r="Y2116">
        <v>0</v>
      </c>
      <c r="Z2116">
        <v>0</v>
      </c>
      <c r="AA2116">
        <v>9</v>
      </c>
      <c r="AB2116">
        <v>9</v>
      </c>
      <c r="AC2116" t="s">
        <v>310</v>
      </c>
      <c r="AD2116">
        <v>9</v>
      </c>
      <c r="AE2116" t="s">
        <v>1390</v>
      </c>
      <c r="AF2116">
        <v>0</v>
      </c>
      <c r="AG2116" t="s">
        <v>310</v>
      </c>
      <c r="AH2116">
        <f>SUM((MID(Dyno_Data[[#This Row],[Team]],4,5))+(Dyno_Data[[#This Row],[Match]]/100))</f>
        <v>5590.41</v>
      </c>
      <c r="AI2116" s="76">
        <f>ROUND(SUM(IF(Dyno_Data[[#This Row],[AcqCenter]]&gt;0,Dyno_Data[[#This Row],[Time]]-SUMIFS(Dyno_Data[Time],Dyno_Data[Team],Dyno_Data[[#This Row],[Team]],Dyno_Data[RecordType],"StartMatch",Dyno_Data[Match],Dyno_Data[[#This Row],[Match]]),0)*86400),0)</f>
        <v>0</v>
      </c>
    </row>
    <row r="2117" spans="1:35" x14ac:dyDescent="0.3">
      <c r="A2117">
        <v>2116</v>
      </c>
      <c r="B2117" t="s">
        <v>1314</v>
      </c>
      <c r="C2117">
        <v>41</v>
      </c>
      <c r="D2117" s="105">
        <v>45373.656490011577</v>
      </c>
      <c r="E2117" t="s">
        <v>312</v>
      </c>
      <c r="F2117" t="s">
        <v>1402</v>
      </c>
      <c r="G2117">
        <v>0</v>
      </c>
      <c r="H2117" t="s">
        <v>315</v>
      </c>
      <c r="I2117">
        <v>0</v>
      </c>
      <c r="J2117">
        <v>0</v>
      </c>
      <c r="K2117">
        <v>0</v>
      </c>
      <c r="L2117" t="s">
        <v>241</v>
      </c>
      <c r="M2117" t="s">
        <v>1398</v>
      </c>
      <c r="N2117">
        <v>0</v>
      </c>
      <c r="O2117" t="s">
        <v>1395</v>
      </c>
      <c r="P2117" t="s">
        <v>310</v>
      </c>
      <c r="Q2117" t="s">
        <v>310</v>
      </c>
      <c r="R2117" t="s">
        <v>310</v>
      </c>
      <c r="S2117">
        <v>9</v>
      </c>
      <c r="T2117" t="s">
        <v>310</v>
      </c>
      <c r="U2117">
        <v>9</v>
      </c>
      <c r="V2117">
        <v>9</v>
      </c>
      <c r="W2117">
        <v>0</v>
      </c>
      <c r="X2117">
        <v>0</v>
      </c>
      <c r="Y2117">
        <v>0</v>
      </c>
      <c r="Z2117">
        <v>0</v>
      </c>
      <c r="AA2117">
        <v>9</v>
      </c>
      <c r="AB2117">
        <v>9</v>
      </c>
      <c r="AC2117" t="s">
        <v>310</v>
      </c>
      <c r="AD2117">
        <v>9</v>
      </c>
      <c r="AE2117" t="s">
        <v>1412</v>
      </c>
      <c r="AF2117">
        <v>20000000</v>
      </c>
      <c r="AG2117" t="s">
        <v>310</v>
      </c>
      <c r="AH2117">
        <f>SUM((MID(Dyno_Data[[#This Row],[Team]],4,5))+(Dyno_Data[[#This Row],[Match]]/100))</f>
        <v>3419.41</v>
      </c>
      <c r="AI2117" s="76">
        <f>ROUND(SUM(IF(Dyno_Data[[#This Row],[AcqCenter]]&gt;0,Dyno_Data[[#This Row],[Time]]-SUMIFS(Dyno_Data[Time],Dyno_Data[Team],Dyno_Data[[#This Row],[Team]],Dyno_Data[RecordType],"StartMatch",Dyno_Data[Match],Dyno_Data[[#This Row],[Match]]),0)*86400),0)</f>
        <v>0</v>
      </c>
    </row>
    <row r="2118" spans="1:35" x14ac:dyDescent="0.3">
      <c r="A2118">
        <v>2117</v>
      </c>
      <c r="B2118" t="s">
        <v>367</v>
      </c>
      <c r="C2118">
        <v>41</v>
      </c>
      <c r="D2118" s="105">
        <v>45373.656494363429</v>
      </c>
      <c r="E2118" t="s">
        <v>312</v>
      </c>
      <c r="F2118" t="s">
        <v>1402</v>
      </c>
      <c r="G2118">
        <v>0</v>
      </c>
      <c r="H2118" t="s">
        <v>315</v>
      </c>
      <c r="I2118">
        <v>0</v>
      </c>
      <c r="J2118">
        <v>0</v>
      </c>
      <c r="K2118">
        <v>0</v>
      </c>
      <c r="L2118" t="s">
        <v>240</v>
      </c>
      <c r="M2118" t="s">
        <v>1398</v>
      </c>
      <c r="N2118">
        <v>0</v>
      </c>
      <c r="O2118" t="s">
        <v>311</v>
      </c>
      <c r="P2118" t="s">
        <v>310</v>
      </c>
      <c r="Q2118" t="s">
        <v>310</v>
      </c>
      <c r="R2118" t="s">
        <v>310</v>
      </c>
      <c r="S2118">
        <v>9</v>
      </c>
      <c r="T2118" t="s">
        <v>310</v>
      </c>
      <c r="U2118">
        <v>9</v>
      </c>
      <c r="V2118">
        <v>9</v>
      </c>
      <c r="W2118">
        <v>0</v>
      </c>
      <c r="X2118">
        <v>0</v>
      </c>
      <c r="Y2118">
        <v>0</v>
      </c>
      <c r="Z2118">
        <v>0</v>
      </c>
      <c r="AA2118">
        <v>9</v>
      </c>
      <c r="AB2118">
        <v>9</v>
      </c>
      <c r="AC2118" t="s">
        <v>310</v>
      </c>
      <c r="AD2118">
        <v>9</v>
      </c>
      <c r="AE2118" t="s">
        <v>1414</v>
      </c>
      <c r="AF2118">
        <v>10000000</v>
      </c>
      <c r="AG2118" t="s">
        <v>310</v>
      </c>
      <c r="AH2118">
        <f>SUM((MID(Dyno_Data[[#This Row],[Team]],4,5))+(Dyno_Data[[#This Row],[Match]]/100))</f>
        <v>5016.41</v>
      </c>
      <c r="AI2118" s="76">
        <f>ROUND(SUM(IF(Dyno_Data[[#This Row],[AcqCenter]]&gt;0,Dyno_Data[[#This Row],[Time]]-SUMIFS(Dyno_Data[Time],Dyno_Data[Team],Dyno_Data[[#This Row],[Team]],Dyno_Data[RecordType],"StartMatch",Dyno_Data[Match],Dyno_Data[[#This Row],[Match]]),0)*86400),0)</f>
        <v>0</v>
      </c>
    </row>
    <row r="2119" spans="1:35" x14ac:dyDescent="0.3">
      <c r="A2119">
        <v>2118</v>
      </c>
      <c r="B2119" t="s">
        <v>1295</v>
      </c>
      <c r="C2119">
        <v>41</v>
      </c>
      <c r="D2119" s="105">
        <v>45373.656503738428</v>
      </c>
      <c r="E2119" t="s">
        <v>312</v>
      </c>
      <c r="F2119" t="s">
        <v>1402</v>
      </c>
      <c r="G2119">
        <v>0</v>
      </c>
      <c r="H2119" t="s">
        <v>315</v>
      </c>
      <c r="I2119">
        <v>0</v>
      </c>
      <c r="J2119">
        <v>0</v>
      </c>
      <c r="K2119">
        <v>0</v>
      </c>
      <c r="L2119" t="s">
        <v>241</v>
      </c>
      <c r="M2119" t="s">
        <v>101</v>
      </c>
      <c r="N2119">
        <v>0</v>
      </c>
      <c r="O2119" t="s">
        <v>319</v>
      </c>
      <c r="P2119" t="s">
        <v>310</v>
      </c>
      <c r="Q2119" t="s">
        <v>310</v>
      </c>
      <c r="R2119" t="s">
        <v>310</v>
      </c>
      <c r="S2119">
        <v>9</v>
      </c>
      <c r="T2119" t="s">
        <v>310</v>
      </c>
      <c r="U2119">
        <v>9</v>
      </c>
      <c r="V2119">
        <v>9</v>
      </c>
      <c r="W2119">
        <v>0</v>
      </c>
      <c r="X2119">
        <v>0</v>
      </c>
      <c r="Y2119">
        <v>0</v>
      </c>
      <c r="Z2119">
        <v>0</v>
      </c>
      <c r="AA2119">
        <v>9</v>
      </c>
      <c r="AB2119">
        <v>9</v>
      </c>
      <c r="AC2119" t="s">
        <v>310</v>
      </c>
      <c r="AD2119">
        <v>9</v>
      </c>
      <c r="AE2119" t="s">
        <v>1388</v>
      </c>
      <c r="AF2119">
        <v>10002000</v>
      </c>
      <c r="AG2119" t="s">
        <v>310</v>
      </c>
      <c r="AH2119">
        <f>SUM((MID(Dyno_Data[[#This Row],[Team]],4,5))+(Dyno_Data[[#This Row],[Match]]/100))</f>
        <v>6300.41</v>
      </c>
      <c r="AI2119" s="76">
        <f>ROUND(SUM(IF(Dyno_Data[[#This Row],[AcqCenter]]&gt;0,Dyno_Data[[#This Row],[Time]]-SUMIFS(Dyno_Data[Time],Dyno_Data[Team],Dyno_Data[[#This Row],[Team]],Dyno_Data[RecordType],"StartMatch",Dyno_Data[Match],Dyno_Data[[#This Row],[Match]]),0)*86400),0)</f>
        <v>0</v>
      </c>
    </row>
    <row r="2120" spans="1:35" x14ac:dyDescent="0.3">
      <c r="A2120">
        <v>2119</v>
      </c>
      <c r="B2120" t="s">
        <v>1284</v>
      </c>
      <c r="C2120">
        <v>41</v>
      </c>
      <c r="D2120" s="105">
        <v>45373.65652271991</v>
      </c>
      <c r="E2120" t="s">
        <v>312</v>
      </c>
      <c r="F2120" t="s">
        <v>1402</v>
      </c>
      <c r="G2120">
        <v>0</v>
      </c>
      <c r="H2120" t="s">
        <v>315</v>
      </c>
      <c r="I2120">
        <v>0</v>
      </c>
      <c r="J2120">
        <v>0</v>
      </c>
      <c r="K2120">
        <v>0</v>
      </c>
      <c r="L2120" t="s">
        <v>241</v>
      </c>
      <c r="M2120" t="s">
        <v>1398</v>
      </c>
      <c r="N2120">
        <v>0</v>
      </c>
      <c r="O2120" t="s">
        <v>1389</v>
      </c>
      <c r="P2120" t="s">
        <v>310</v>
      </c>
      <c r="Q2120" t="s">
        <v>310</v>
      </c>
      <c r="R2120" t="s">
        <v>310</v>
      </c>
      <c r="S2120">
        <v>9</v>
      </c>
      <c r="T2120" t="s">
        <v>310</v>
      </c>
      <c r="U2120">
        <v>9</v>
      </c>
      <c r="V2120">
        <v>9</v>
      </c>
      <c r="W2120">
        <v>0</v>
      </c>
      <c r="X2120">
        <v>0</v>
      </c>
      <c r="Y2120">
        <v>0</v>
      </c>
      <c r="Z2120">
        <v>0</v>
      </c>
      <c r="AA2120">
        <v>9</v>
      </c>
      <c r="AB2120">
        <v>9</v>
      </c>
      <c r="AC2120" t="s">
        <v>310</v>
      </c>
      <c r="AD2120">
        <v>9</v>
      </c>
      <c r="AE2120" t="s">
        <v>1390</v>
      </c>
      <c r="AF2120">
        <v>10000000</v>
      </c>
      <c r="AG2120" t="s">
        <v>310</v>
      </c>
      <c r="AH2120">
        <f>SUM((MID(Dyno_Data[[#This Row],[Team]],4,5))+(Dyno_Data[[#This Row],[Match]]/100))</f>
        <v>5590.41</v>
      </c>
      <c r="AI2120" s="76">
        <f>ROUND(SUM(IF(Dyno_Data[[#This Row],[AcqCenter]]&gt;0,Dyno_Data[[#This Row],[Time]]-SUMIFS(Dyno_Data[Time],Dyno_Data[Team],Dyno_Data[[#This Row],[Team]],Dyno_Data[RecordType],"StartMatch",Dyno_Data[Match],Dyno_Data[[#This Row],[Match]]),0)*86400),0)</f>
        <v>0</v>
      </c>
    </row>
    <row r="2121" spans="1:35" x14ac:dyDescent="0.3">
      <c r="A2121">
        <v>2120</v>
      </c>
      <c r="B2121" t="s">
        <v>367</v>
      </c>
      <c r="C2121">
        <v>41</v>
      </c>
      <c r="D2121" s="105">
        <v>45373.656592245374</v>
      </c>
      <c r="E2121" t="s">
        <v>312</v>
      </c>
      <c r="F2121" t="s">
        <v>1402</v>
      </c>
      <c r="G2121">
        <v>0</v>
      </c>
      <c r="H2121" t="s">
        <v>315</v>
      </c>
      <c r="I2121">
        <v>0</v>
      </c>
      <c r="J2121">
        <v>0</v>
      </c>
      <c r="K2121">
        <v>0</v>
      </c>
      <c r="L2121" t="s">
        <v>240</v>
      </c>
      <c r="M2121" t="s">
        <v>1398</v>
      </c>
      <c r="N2121">
        <v>1</v>
      </c>
      <c r="O2121" t="s">
        <v>311</v>
      </c>
      <c r="P2121" t="s">
        <v>310</v>
      </c>
      <c r="Q2121" t="s">
        <v>310</v>
      </c>
      <c r="R2121" t="s">
        <v>310</v>
      </c>
      <c r="S2121">
        <v>9</v>
      </c>
      <c r="T2121" t="s">
        <v>310</v>
      </c>
      <c r="U2121">
        <v>9</v>
      </c>
      <c r="V2121">
        <v>9</v>
      </c>
      <c r="W2121">
        <v>0</v>
      </c>
      <c r="X2121">
        <v>0</v>
      </c>
      <c r="Y2121">
        <v>0</v>
      </c>
      <c r="Z2121">
        <v>0</v>
      </c>
      <c r="AA2121">
        <v>9</v>
      </c>
      <c r="AB2121">
        <v>9</v>
      </c>
      <c r="AC2121" t="s">
        <v>310</v>
      </c>
      <c r="AD2121">
        <v>9</v>
      </c>
      <c r="AE2121" t="s">
        <v>1414</v>
      </c>
      <c r="AF2121">
        <v>20000000</v>
      </c>
      <c r="AG2121" t="s">
        <v>310</v>
      </c>
      <c r="AH2121">
        <f>SUM((MID(Dyno_Data[[#This Row],[Team]],4,5))+(Dyno_Data[[#This Row],[Match]]/100))</f>
        <v>5016.41</v>
      </c>
      <c r="AI2121" s="76">
        <f>ROUND(SUM(IF(Dyno_Data[[#This Row],[AcqCenter]]&gt;0,Dyno_Data[[#This Row],[Time]]-SUMIFS(Dyno_Data[Time],Dyno_Data[Team],Dyno_Data[[#This Row],[Team]],Dyno_Data[RecordType],"StartMatch",Dyno_Data[Match],Dyno_Data[[#This Row],[Match]]),0)*86400),0)</f>
        <v>0</v>
      </c>
    </row>
    <row r="2122" spans="1:35" x14ac:dyDescent="0.3">
      <c r="A2122">
        <v>2121</v>
      </c>
      <c r="B2122" t="s">
        <v>1314</v>
      </c>
      <c r="C2122">
        <v>41</v>
      </c>
      <c r="D2122" s="105">
        <v>45373.656630057871</v>
      </c>
      <c r="E2122" t="s">
        <v>312</v>
      </c>
      <c r="F2122" t="s">
        <v>1402</v>
      </c>
      <c r="G2122">
        <v>0</v>
      </c>
      <c r="H2122" t="s">
        <v>315</v>
      </c>
      <c r="I2122">
        <v>0</v>
      </c>
      <c r="J2122">
        <v>0</v>
      </c>
      <c r="K2122">
        <v>0</v>
      </c>
      <c r="L2122" t="s">
        <v>241</v>
      </c>
      <c r="M2122" t="s">
        <v>1398</v>
      </c>
      <c r="N2122">
        <v>0</v>
      </c>
      <c r="O2122" t="s">
        <v>1395</v>
      </c>
      <c r="P2122" t="s">
        <v>310</v>
      </c>
      <c r="Q2122" t="s">
        <v>310</v>
      </c>
      <c r="R2122" t="s">
        <v>310</v>
      </c>
      <c r="S2122">
        <v>9</v>
      </c>
      <c r="T2122" t="s">
        <v>310</v>
      </c>
      <c r="U2122">
        <v>9</v>
      </c>
      <c r="V2122">
        <v>9</v>
      </c>
      <c r="W2122">
        <v>0</v>
      </c>
      <c r="X2122">
        <v>0</v>
      </c>
      <c r="Y2122">
        <v>0</v>
      </c>
      <c r="Z2122">
        <v>0</v>
      </c>
      <c r="AA2122">
        <v>9</v>
      </c>
      <c r="AB2122">
        <v>9</v>
      </c>
      <c r="AC2122" t="s">
        <v>310</v>
      </c>
      <c r="AD2122">
        <v>9</v>
      </c>
      <c r="AE2122" t="s">
        <v>1412</v>
      </c>
      <c r="AF2122">
        <v>30000000</v>
      </c>
      <c r="AG2122" t="s">
        <v>310</v>
      </c>
      <c r="AH2122">
        <f>SUM((MID(Dyno_Data[[#This Row],[Team]],4,5))+(Dyno_Data[[#This Row],[Match]]/100))</f>
        <v>3419.41</v>
      </c>
      <c r="AI2122" s="76">
        <f>ROUND(SUM(IF(Dyno_Data[[#This Row],[AcqCenter]]&gt;0,Dyno_Data[[#This Row],[Time]]-SUMIFS(Dyno_Data[Time],Dyno_Data[Team],Dyno_Data[[#This Row],[Team]],Dyno_Data[RecordType],"StartMatch",Dyno_Data[Match],Dyno_Data[[#This Row],[Match]]),0)*86400),0)</f>
        <v>0</v>
      </c>
    </row>
    <row r="2123" spans="1:35" x14ac:dyDescent="0.3">
      <c r="A2123">
        <v>2122</v>
      </c>
      <c r="B2123" t="s">
        <v>1315</v>
      </c>
      <c r="C2123">
        <v>41</v>
      </c>
      <c r="D2123" s="105">
        <v>45373.656658993059</v>
      </c>
      <c r="E2123" t="s">
        <v>312</v>
      </c>
      <c r="F2123" t="s">
        <v>1402</v>
      </c>
      <c r="G2123">
        <v>0</v>
      </c>
      <c r="H2123" t="s">
        <v>315</v>
      </c>
      <c r="I2123">
        <v>0</v>
      </c>
      <c r="J2123">
        <v>0</v>
      </c>
      <c r="K2123">
        <v>0</v>
      </c>
      <c r="L2123" t="s">
        <v>242</v>
      </c>
      <c r="M2123" t="s">
        <v>241</v>
      </c>
      <c r="N2123">
        <v>0</v>
      </c>
      <c r="O2123" t="s">
        <v>1391</v>
      </c>
      <c r="P2123" t="s">
        <v>310</v>
      </c>
      <c r="Q2123" t="s">
        <v>310</v>
      </c>
      <c r="R2123" t="s">
        <v>310</v>
      </c>
      <c r="S2123">
        <v>9</v>
      </c>
      <c r="T2123" t="s">
        <v>310</v>
      </c>
      <c r="U2123">
        <v>9</v>
      </c>
      <c r="V2123">
        <v>9</v>
      </c>
      <c r="W2123">
        <v>0</v>
      </c>
      <c r="X2123">
        <v>0</v>
      </c>
      <c r="Y2123">
        <v>0</v>
      </c>
      <c r="Z2123">
        <v>0</v>
      </c>
      <c r="AA2123">
        <v>9</v>
      </c>
      <c r="AB2123">
        <v>9</v>
      </c>
      <c r="AC2123" t="s">
        <v>310</v>
      </c>
      <c r="AD2123">
        <v>9</v>
      </c>
      <c r="AE2123" t="s">
        <v>1413</v>
      </c>
      <c r="AF2123">
        <v>20000000</v>
      </c>
      <c r="AG2123" t="s">
        <v>310</v>
      </c>
      <c r="AH2123">
        <f>SUM((MID(Dyno_Data[[#This Row],[Team]],4,5))+(Dyno_Data[[#This Row],[Match]]/100))</f>
        <v>1511.41</v>
      </c>
      <c r="AI2123" s="76">
        <f>ROUND(SUM(IF(Dyno_Data[[#This Row],[AcqCenter]]&gt;0,Dyno_Data[[#This Row],[Time]]-SUMIFS(Dyno_Data[Time],Dyno_Data[Team],Dyno_Data[[#This Row],[Team]],Dyno_Data[RecordType],"StartMatch",Dyno_Data[Match],Dyno_Data[[#This Row],[Match]]),0)*86400),0)</f>
        <v>0</v>
      </c>
    </row>
    <row r="2124" spans="1:35" x14ac:dyDescent="0.3">
      <c r="A2124">
        <v>2123</v>
      </c>
      <c r="B2124" t="s">
        <v>1295</v>
      </c>
      <c r="C2124">
        <v>41</v>
      </c>
      <c r="D2124" s="105">
        <v>45373.656689351854</v>
      </c>
      <c r="E2124" t="s">
        <v>312</v>
      </c>
      <c r="F2124" t="s">
        <v>1402</v>
      </c>
      <c r="G2124">
        <v>0</v>
      </c>
      <c r="H2124" t="s">
        <v>315</v>
      </c>
      <c r="I2124">
        <v>0</v>
      </c>
      <c r="J2124">
        <v>0</v>
      </c>
      <c r="K2124">
        <v>0</v>
      </c>
      <c r="L2124" t="s">
        <v>241</v>
      </c>
      <c r="M2124" t="s">
        <v>101</v>
      </c>
      <c r="N2124">
        <v>0</v>
      </c>
      <c r="O2124" t="s">
        <v>319</v>
      </c>
      <c r="P2124" t="s">
        <v>310</v>
      </c>
      <c r="Q2124" t="s">
        <v>310</v>
      </c>
      <c r="R2124" t="s">
        <v>310</v>
      </c>
      <c r="S2124">
        <v>9</v>
      </c>
      <c r="T2124" t="s">
        <v>310</v>
      </c>
      <c r="U2124">
        <v>9</v>
      </c>
      <c r="V2124">
        <v>9</v>
      </c>
      <c r="W2124">
        <v>0</v>
      </c>
      <c r="X2124">
        <v>0</v>
      </c>
      <c r="Y2124">
        <v>0</v>
      </c>
      <c r="Z2124">
        <v>0</v>
      </c>
      <c r="AA2124">
        <v>9</v>
      </c>
      <c r="AB2124">
        <v>9</v>
      </c>
      <c r="AC2124" t="s">
        <v>310</v>
      </c>
      <c r="AD2124">
        <v>9</v>
      </c>
      <c r="AE2124" t="s">
        <v>1388</v>
      </c>
      <c r="AF2124">
        <v>20002000</v>
      </c>
      <c r="AG2124" t="s">
        <v>310</v>
      </c>
      <c r="AH2124">
        <f>SUM((MID(Dyno_Data[[#This Row],[Team]],4,5))+(Dyno_Data[[#This Row],[Match]]/100))</f>
        <v>6300.41</v>
      </c>
      <c r="AI2124" s="76">
        <f>ROUND(SUM(IF(Dyno_Data[[#This Row],[AcqCenter]]&gt;0,Dyno_Data[[#This Row],[Time]]-SUMIFS(Dyno_Data[Time],Dyno_Data[Team],Dyno_Data[[#This Row],[Team]],Dyno_Data[RecordType],"StartMatch",Dyno_Data[Match],Dyno_Data[[#This Row],[Match]]),0)*86400),0)</f>
        <v>0</v>
      </c>
    </row>
    <row r="2125" spans="1:35" x14ac:dyDescent="0.3">
      <c r="A2125">
        <v>2124</v>
      </c>
      <c r="B2125" t="s">
        <v>365</v>
      </c>
      <c r="C2125">
        <v>41</v>
      </c>
      <c r="D2125" s="105">
        <v>45373.656689432872</v>
      </c>
      <c r="E2125" t="s">
        <v>312</v>
      </c>
      <c r="F2125" t="s">
        <v>1402</v>
      </c>
      <c r="G2125">
        <v>0</v>
      </c>
      <c r="H2125" t="s">
        <v>315</v>
      </c>
      <c r="I2125">
        <v>0</v>
      </c>
      <c r="J2125">
        <v>0</v>
      </c>
      <c r="K2125">
        <v>0</v>
      </c>
      <c r="L2125" t="s">
        <v>241</v>
      </c>
      <c r="M2125" t="s">
        <v>101</v>
      </c>
      <c r="N2125">
        <v>0</v>
      </c>
      <c r="O2125" t="s">
        <v>1393</v>
      </c>
      <c r="P2125" t="s">
        <v>310</v>
      </c>
      <c r="Q2125" t="s">
        <v>310</v>
      </c>
      <c r="R2125" t="s">
        <v>310</v>
      </c>
      <c r="S2125">
        <v>9</v>
      </c>
      <c r="T2125" t="s">
        <v>310</v>
      </c>
      <c r="U2125">
        <v>9</v>
      </c>
      <c r="V2125">
        <v>9</v>
      </c>
      <c r="W2125">
        <v>0</v>
      </c>
      <c r="X2125">
        <v>0</v>
      </c>
      <c r="Y2125">
        <v>0</v>
      </c>
      <c r="Z2125">
        <v>0</v>
      </c>
      <c r="AA2125">
        <v>9</v>
      </c>
      <c r="AB2125">
        <v>9</v>
      </c>
      <c r="AC2125" t="s">
        <v>310</v>
      </c>
      <c r="AD2125">
        <v>9</v>
      </c>
      <c r="AE2125" t="s">
        <v>1396</v>
      </c>
      <c r="AF2125">
        <v>30000000</v>
      </c>
      <c r="AG2125" t="s">
        <v>310</v>
      </c>
      <c r="AH2125">
        <f>SUM((MID(Dyno_Data[[#This Row],[Team]],4,5))+(Dyno_Data[[#This Row],[Match]]/100))</f>
        <v>3171.41</v>
      </c>
      <c r="AI2125" s="76">
        <f>ROUND(SUM(IF(Dyno_Data[[#This Row],[AcqCenter]]&gt;0,Dyno_Data[[#This Row],[Time]]-SUMIFS(Dyno_Data[Time],Dyno_Data[Team],Dyno_Data[[#This Row],[Team]],Dyno_Data[RecordType],"StartMatch",Dyno_Data[Match],Dyno_Data[[#This Row],[Match]]),0)*86400),0)</f>
        <v>0</v>
      </c>
    </row>
    <row r="2126" spans="1:35" x14ac:dyDescent="0.3">
      <c r="A2126">
        <v>2125</v>
      </c>
      <c r="B2126" t="s">
        <v>1314</v>
      </c>
      <c r="C2126">
        <v>41</v>
      </c>
      <c r="D2126" s="105">
        <v>45373.656711805554</v>
      </c>
      <c r="E2126" t="s">
        <v>312</v>
      </c>
      <c r="F2126" t="s">
        <v>1402</v>
      </c>
      <c r="G2126">
        <v>0</v>
      </c>
      <c r="H2126" t="s">
        <v>315</v>
      </c>
      <c r="I2126">
        <v>0</v>
      </c>
      <c r="J2126">
        <v>0</v>
      </c>
      <c r="K2126">
        <v>0</v>
      </c>
      <c r="L2126" t="s">
        <v>241</v>
      </c>
      <c r="M2126" t="s">
        <v>1398</v>
      </c>
      <c r="N2126">
        <v>0</v>
      </c>
      <c r="O2126" t="s">
        <v>1395</v>
      </c>
      <c r="P2126" t="s">
        <v>310</v>
      </c>
      <c r="Q2126" t="s">
        <v>310</v>
      </c>
      <c r="R2126" t="s">
        <v>310</v>
      </c>
      <c r="S2126">
        <v>9</v>
      </c>
      <c r="T2126" t="s">
        <v>310</v>
      </c>
      <c r="U2126">
        <v>9</v>
      </c>
      <c r="V2126">
        <v>9</v>
      </c>
      <c r="W2126">
        <v>0</v>
      </c>
      <c r="X2126">
        <v>0</v>
      </c>
      <c r="Y2126">
        <v>0</v>
      </c>
      <c r="Z2126">
        <v>0</v>
      </c>
      <c r="AA2126">
        <v>9</v>
      </c>
      <c r="AB2126">
        <v>9</v>
      </c>
      <c r="AC2126" t="s">
        <v>310</v>
      </c>
      <c r="AD2126">
        <v>9</v>
      </c>
      <c r="AE2126" t="s">
        <v>1412</v>
      </c>
      <c r="AF2126">
        <v>40000000</v>
      </c>
      <c r="AG2126" t="s">
        <v>310</v>
      </c>
      <c r="AH2126">
        <f>SUM((MID(Dyno_Data[[#This Row],[Team]],4,5))+(Dyno_Data[[#This Row],[Match]]/100))</f>
        <v>3419.41</v>
      </c>
      <c r="AI2126" s="76">
        <f>ROUND(SUM(IF(Dyno_Data[[#This Row],[AcqCenter]]&gt;0,Dyno_Data[[#This Row],[Time]]-SUMIFS(Dyno_Data[Time],Dyno_Data[Team],Dyno_Data[[#This Row],[Team]],Dyno_Data[RecordType],"StartMatch",Dyno_Data[Match],Dyno_Data[[#This Row],[Match]]),0)*86400),0)</f>
        <v>0</v>
      </c>
    </row>
    <row r="2127" spans="1:35" x14ac:dyDescent="0.3">
      <c r="A2127">
        <v>2126</v>
      </c>
      <c r="B2127" t="s">
        <v>1315</v>
      </c>
      <c r="C2127">
        <v>41</v>
      </c>
      <c r="D2127" s="105">
        <v>45373.656818321761</v>
      </c>
      <c r="E2127" t="s">
        <v>312</v>
      </c>
      <c r="F2127" t="s">
        <v>1402</v>
      </c>
      <c r="G2127">
        <v>0</v>
      </c>
      <c r="H2127" t="s">
        <v>315</v>
      </c>
      <c r="I2127">
        <v>0</v>
      </c>
      <c r="J2127">
        <v>0</v>
      </c>
      <c r="K2127">
        <v>0</v>
      </c>
      <c r="L2127" t="s">
        <v>242</v>
      </c>
      <c r="M2127" t="s">
        <v>241</v>
      </c>
      <c r="N2127">
        <v>0</v>
      </c>
      <c r="O2127" t="s">
        <v>1391</v>
      </c>
      <c r="P2127" t="s">
        <v>310</v>
      </c>
      <c r="Q2127" t="s">
        <v>310</v>
      </c>
      <c r="R2127" t="s">
        <v>310</v>
      </c>
      <c r="S2127">
        <v>9</v>
      </c>
      <c r="T2127" t="s">
        <v>310</v>
      </c>
      <c r="U2127">
        <v>9</v>
      </c>
      <c r="V2127">
        <v>9</v>
      </c>
      <c r="W2127">
        <v>0</v>
      </c>
      <c r="X2127">
        <v>0</v>
      </c>
      <c r="Y2127">
        <v>0</v>
      </c>
      <c r="Z2127">
        <v>0</v>
      </c>
      <c r="AA2127">
        <v>9</v>
      </c>
      <c r="AB2127">
        <v>9</v>
      </c>
      <c r="AC2127" t="s">
        <v>310</v>
      </c>
      <c r="AD2127">
        <v>9</v>
      </c>
      <c r="AE2127" t="s">
        <v>1413</v>
      </c>
      <c r="AF2127">
        <v>30000000</v>
      </c>
      <c r="AG2127" t="s">
        <v>310</v>
      </c>
      <c r="AH2127">
        <f>SUM((MID(Dyno_Data[[#This Row],[Team]],4,5))+(Dyno_Data[[#This Row],[Match]]/100))</f>
        <v>1511.41</v>
      </c>
      <c r="AI2127" s="76">
        <f>ROUND(SUM(IF(Dyno_Data[[#This Row],[AcqCenter]]&gt;0,Dyno_Data[[#This Row],[Time]]-SUMIFS(Dyno_Data[Time],Dyno_Data[Team],Dyno_Data[[#This Row],[Team]],Dyno_Data[RecordType],"StartMatch",Dyno_Data[Match],Dyno_Data[[#This Row],[Match]]),0)*86400),0)</f>
        <v>0</v>
      </c>
    </row>
    <row r="2128" spans="1:35" x14ac:dyDescent="0.3">
      <c r="A2128">
        <v>2127</v>
      </c>
      <c r="B2128" t="s">
        <v>367</v>
      </c>
      <c r="C2128">
        <v>41</v>
      </c>
      <c r="D2128" s="105">
        <v>45373.656859027775</v>
      </c>
      <c r="E2128" t="s">
        <v>312</v>
      </c>
      <c r="F2128" t="s">
        <v>1402</v>
      </c>
      <c r="G2128">
        <v>0</v>
      </c>
      <c r="H2128" t="s">
        <v>315</v>
      </c>
      <c r="I2128">
        <v>0</v>
      </c>
      <c r="J2128">
        <v>0</v>
      </c>
      <c r="K2128">
        <v>0</v>
      </c>
      <c r="L2128" t="s">
        <v>240</v>
      </c>
      <c r="M2128" t="s">
        <v>1398</v>
      </c>
      <c r="N2128">
        <v>0</v>
      </c>
      <c r="O2128" t="s">
        <v>311</v>
      </c>
      <c r="P2128" t="s">
        <v>310</v>
      </c>
      <c r="Q2128" t="s">
        <v>310</v>
      </c>
      <c r="R2128" t="s">
        <v>310</v>
      </c>
      <c r="S2128">
        <v>9</v>
      </c>
      <c r="T2128" t="s">
        <v>310</v>
      </c>
      <c r="U2128">
        <v>9</v>
      </c>
      <c r="V2128">
        <v>9</v>
      </c>
      <c r="W2128">
        <v>0</v>
      </c>
      <c r="X2128">
        <v>0</v>
      </c>
      <c r="Y2128">
        <v>0</v>
      </c>
      <c r="Z2128">
        <v>0</v>
      </c>
      <c r="AA2128">
        <v>9</v>
      </c>
      <c r="AB2128">
        <v>9</v>
      </c>
      <c r="AC2128" t="s">
        <v>310</v>
      </c>
      <c r="AD2128">
        <v>9</v>
      </c>
      <c r="AE2128" t="s">
        <v>1414</v>
      </c>
      <c r="AF2128">
        <v>30000000</v>
      </c>
      <c r="AG2128" t="s">
        <v>310</v>
      </c>
      <c r="AH2128">
        <f>SUM((MID(Dyno_Data[[#This Row],[Team]],4,5))+(Dyno_Data[[#This Row],[Match]]/100))</f>
        <v>5016.41</v>
      </c>
      <c r="AI2128" s="76">
        <f>ROUND(SUM(IF(Dyno_Data[[#This Row],[AcqCenter]]&gt;0,Dyno_Data[[#This Row],[Time]]-SUMIFS(Dyno_Data[Time],Dyno_Data[Team],Dyno_Data[[#This Row],[Team]],Dyno_Data[RecordType],"StartMatch",Dyno_Data[Match],Dyno_Data[[#This Row],[Match]]),0)*86400),0)</f>
        <v>0</v>
      </c>
    </row>
    <row r="2129" spans="1:35" x14ac:dyDescent="0.3">
      <c r="A2129">
        <v>2128</v>
      </c>
      <c r="B2129" t="s">
        <v>365</v>
      </c>
      <c r="C2129">
        <v>41</v>
      </c>
      <c r="D2129" s="105">
        <v>45373.656873495369</v>
      </c>
      <c r="E2129" t="s">
        <v>312</v>
      </c>
      <c r="F2129" t="s">
        <v>1402</v>
      </c>
      <c r="G2129">
        <v>0</v>
      </c>
      <c r="H2129" t="s">
        <v>315</v>
      </c>
      <c r="I2129">
        <v>0</v>
      </c>
      <c r="J2129">
        <v>0</v>
      </c>
      <c r="K2129">
        <v>0</v>
      </c>
      <c r="L2129" t="s">
        <v>241</v>
      </c>
      <c r="M2129" t="s">
        <v>101</v>
      </c>
      <c r="N2129">
        <v>0</v>
      </c>
      <c r="O2129" t="s">
        <v>1393</v>
      </c>
      <c r="P2129" t="s">
        <v>310</v>
      </c>
      <c r="Q2129" t="s">
        <v>310</v>
      </c>
      <c r="R2129" t="s">
        <v>310</v>
      </c>
      <c r="S2129">
        <v>9</v>
      </c>
      <c r="T2129" t="s">
        <v>310</v>
      </c>
      <c r="U2129">
        <v>9</v>
      </c>
      <c r="V2129">
        <v>9</v>
      </c>
      <c r="W2129">
        <v>0</v>
      </c>
      <c r="X2129">
        <v>0</v>
      </c>
      <c r="Y2129">
        <v>0</v>
      </c>
      <c r="Z2129">
        <v>0</v>
      </c>
      <c r="AA2129">
        <v>9</v>
      </c>
      <c r="AB2129">
        <v>9</v>
      </c>
      <c r="AC2129" t="s">
        <v>310</v>
      </c>
      <c r="AD2129">
        <v>9</v>
      </c>
      <c r="AE2129" t="s">
        <v>1396</v>
      </c>
      <c r="AF2129">
        <v>40000000</v>
      </c>
      <c r="AG2129" t="s">
        <v>310</v>
      </c>
      <c r="AH2129">
        <f>SUM((MID(Dyno_Data[[#This Row],[Team]],4,5))+(Dyno_Data[[#This Row],[Match]]/100))</f>
        <v>3171.41</v>
      </c>
      <c r="AI2129" s="76">
        <f>ROUND(SUM(IF(Dyno_Data[[#This Row],[AcqCenter]]&gt;0,Dyno_Data[[#This Row],[Time]]-SUMIFS(Dyno_Data[Time],Dyno_Data[Team],Dyno_Data[[#This Row],[Team]],Dyno_Data[RecordType],"StartMatch",Dyno_Data[Match],Dyno_Data[[#This Row],[Match]]),0)*86400),0)</f>
        <v>0</v>
      </c>
    </row>
    <row r="2130" spans="1:35" x14ac:dyDescent="0.3">
      <c r="A2130">
        <v>2129</v>
      </c>
      <c r="B2130" t="s">
        <v>1314</v>
      </c>
      <c r="C2130">
        <v>41</v>
      </c>
      <c r="D2130" s="105">
        <v>45373.656924039351</v>
      </c>
      <c r="E2130" t="s">
        <v>312</v>
      </c>
      <c r="F2130" t="s">
        <v>1402</v>
      </c>
      <c r="G2130">
        <v>0</v>
      </c>
      <c r="H2130" t="s">
        <v>315</v>
      </c>
      <c r="I2130">
        <v>0</v>
      </c>
      <c r="J2130">
        <v>0</v>
      </c>
      <c r="K2130">
        <v>0</v>
      </c>
      <c r="L2130" t="s">
        <v>241</v>
      </c>
      <c r="M2130" t="s">
        <v>1398</v>
      </c>
      <c r="N2130">
        <v>0</v>
      </c>
      <c r="O2130" t="s">
        <v>1395</v>
      </c>
      <c r="P2130" t="s">
        <v>310</v>
      </c>
      <c r="Q2130" t="s">
        <v>310</v>
      </c>
      <c r="R2130" t="s">
        <v>310</v>
      </c>
      <c r="S2130">
        <v>9</v>
      </c>
      <c r="T2130" t="s">
        <v>310</v>
      </c>
      <c r="U2130">
        <v>9</v>
      </c>
      <c r="V2130">
        <v>9</v>
      </c>
      <c r="W2130">
        <v>0</v>
      </c>
      <c r="X2130">
        <v>0</v>
      </c>
      <c r="Y2130">
        <v>0</v>
      </c>
      <c r="Z2130">
        <v>0</v>
      </c>
      <c r="AA2130">
        <v>9</v>
      </c>
      <c r="AB2130">
        <v>9</v>
      </c>
      <c r="AC2130" t="s">
        <v>310</v>
      </c>
      <c r="AD2130">
        <v>9</v>
      </c>
      <c r="AE2130" t="s">
        <v>1412</v>
      </c>
      <c r="AF2130">
        <v>50000000</v>
      </c>
      <c r="AG2130" t="s">
        <v>310</v>
      </c>
      <c r="AH2130">
        <f>SUM((MID(Dyno_Data[[#This Row],[Team]],4,5))+(Dyno_Data[[#This Row],[Match]]/100))</f>
        <v>3419.41</v>
      </c>
      <c r="AI2130" s="76">
        <f>ROUND(SUM(IF(Dyno_Data[[#This Row],[AcqCenter]]&gt;0,Dyno_Data[[#This Row],[Time]]-SUMIFS(Dyno_Data[Time],Dyno_Data[Team],Dyno_Data[[#This Row],[Team]],Dyno_Data[RecordType],"StartMatch",Dyno_Data[Match],Dyno_Data[[#This Row],[Match]]),0)*86400),0)</f>
        <v>0</v>
      </c>
    </row>
    <row r="2131" spans="1:35" x14ac:dyDescent="0.3">
      <c r="A2131">
        <v>2130</v>
      </c>
      <c r="B2131" t="s">
        <v>1315</v>
      </c>
      <c r="C2131">
        <v>41</v>
      </c>
      <c r="D2131" s="105">
        <v>45373.656953043981</v>
      </c>
      <c r="E2131" t="s">
        <v>312</v>
      </c>
      <c r="F2131" t="s">
        <v>1402</v>
      </c>
      <c r="G2131">
        <v>0</v>
      </c>
      <c r="H2131" t="s">
        <v>315</v>
      </c>
      <c r="I2131">
        <v>0</v>
      </c>
      <c r="J2131">
        <v>0</v>
      </c>
      <c r="K2131">
        <v>0</v>
      </c>
      <c r="L2131" t="s">
        <v>242</v>
      </c>
      <c r="M2131" t="s">
        <v>241</v>
      </c>
      <c r="N2131">
        <v>0</v>
      </c>
      <c r="O2131" t="s">
        <v>1391</v>
      </c>
      <c r="P2131" t="s">
        <v>310</v>
      </c>
      <c r="Q2131" t="s">
        <v>310</v>
      </c>
      <c r="R2131" t="s">
        <v>310</v>
      </c>
      <c r="S2131">
        <v>9</v>
      </c>
      <c r="T2131" t="s">
        <v>310</v>
      </c>
      <c r="U2131">
        <v>9</v>
      </c>
      <c r="V2131">
        <v>9</v>
      </c>
      <c r="W2131">
        <v>0</v>
      </c>
      <c r="X2131">
        <v>0</v>
      </c>
      <c r="Y2131">
        <v>0</v>
      </c>
      <c r="Z2131">
        <v>0</v>
      </c>
      <c r="AA2131">
        <v>9</v>
      </c>
      <c r="AB2131">
        <v>9</v>
      </c>
      <c r="AC2131" t="s">
        <v>310</v>
      </c>
      <c r="AD2131">
        <v>9</v>
      </c>
      <c r="AE2131" t="s">
        <v>1413</v>
      </c>
      <c r="AF2131">
        <v>40000000</v>
      </c>
      <c r="AG2131" t="s">
        <v>310</v>
      </c>
      <c r="AH2131">
        <f>SUM((MID(Dyno_Data[[#This Row],[Team]],4,5))+(Dyno_Data[[#This Row],[Match]]/100))</f>
        <v>1511.41</v>
      </c>
      <c r="AI2131" s="76">
        <f>ROUND(SUM(IF(Dyno_Data[[#This Row],[AcqCenter]]&gt;0,Dyno_Data[[#This Row],[Time]]-SUMIFS(Dyno_Data[Time],Dyno_Data[Team],Dyno_Data[[#This Row],[Team]],Dyno_Data[RecordType],"StartMatch",Dyno_Data[Match],Dyno_Data[[#This Row],[Match]]),0)*86400),0)</f>
        <v>0</v>
      </c>
    </row>
    <row r="2132" spans="1:35" x14ac:dyDescent="0.3">
      <c r="A2132">
        <v>2131</v>
      </c>
      <c r="B2132" t="s">
        <v>367</v>
      </c>
      <c r="C2132">
        <v>41</v>
      </c>
      <c r="D2132" s="105">
        <v>45373.656957407409</v>
      </c>
      <c r="E2132" t="s">
        <v>312</v>
      </c>
      <c r="F2132" t="s">
        <v>1402</v>
      </c>
      <c r="G2132">
        <v>0</v>
      </c>
      <c r="H2132" t="s">
        <v>315</v>
      </c>
      <c r="I2132">
        <v>0</v>
      </c>
      <c r="J2132">
        <v>0</v>
      </c>
      <c r="K2132">
        <v>0</v>
      </c>
      <c r="L2132" t="s">
        <v>240</v>
      </c>
      <c r="M2132" t="s">
        <v>1398</v>
      </c>
      <c r="N2132">
        <v>0</v>
      </c>
      <c r="O2132" t="s">
        <v>311</v>
      </c>
      <c r="P2132" t="s">
        <v>310</v>
      </c>
      <c r="Q2132" t="s">
        <v>310</v>
      </c>
      <c r="R2132" t="s">
        <v>310</v>
      </c>
      <c r="S2132">
        <v>9</v>
      </c>
      <c r="T2132" t="s">
        <v>310</v>
      </c>
      <c r="U2132">
        <v>9</v>
      </c>
      <c r="V2132">
        <v>9</v>
      </c>
      <c r="W2132">
        <v>0</v>
      </c>
      <c r="X2132">
        <v>0</v>
      </c>
      <c r="Y2132">
        <v>0</v>
      </c>
      <c r="Z2132">
        <v>0</v>
      </c>
      <c r="AA2132">
        <v>9</v>
      </c>
      <c r="AB2132">
        <v>9</v>
      </c>
      <c r="AC2132" t="s">
        <v>310</v>
      </c>
      <c r="AD2132">
        <v>9</v>
      </c>
      <c r="AE2132" t="s">
        <v>1414</v>
      </c>
      <c r="AF2132">
        <v>40000000</v>
      </c>
      <c r="AG2132" t="s">
        <v>310</v>
      </c>
      <c r="AH2132">
        <f>SUM((MID(Dyno_Data[[#This Row],[Team]],4,5))+(Dyno_Data[[#This Row],[Match]]/100))</f>
        <v>5016.41</v>
      </c>
      <c r="AI2132" s="76">
        <f>ROUND(SUM(IF(Dyno_Data[[#This Row],[AcqCenter]]&gt;0,Dyno_Data[[#This Row],[Time]]-SUMIFS(Dyno_Data[Time],Dyno_Data[Team],Dyno_Data[[#This Row],[Team]],Dyno_Data[RecordType],"StartMatch",Dyno_Data[Match],Dyno_Data[[#This Row],[Match]]),0)*86400),0)</f>
        <v>0</v>
      </c>
    </row>
    <row r="2133" spans="1:35" x14ac:dyDescent="0.3">
      <c r="A2133">
        <v>2132</v>
      </c>
      <c r="B2133" t="s">
        <v>1284</v>
      </c>
      <c r="C2133">
        <v>41</v>
      </c>
      <c r="D2133" s="105">
        <v>45373.656971099539</v>
      </c>
      <c r="E2133" t="s">
        <v>312</v>
      </c>
      <c r="F2133" t="s">
        <v>1402</v>
      </c>
      <c r="G2133">
        <v>0</v>
      </c>
      <c r="H2133" t="s">
        <v>315</v>
      </c>
      <c r="I2133">
        <v>0</v>
      </c>
      <c r="J2133">
        <v>0</v>
      </c>
      <c r="K2133">
        <v>0</v>
      </c>
      <c r="L2133" t="s">
        <v>241</v>
      </c>
      <c r="M2133" t="s">
        <v>1398</v>
      </c>
      <c r="N2133">
        <v>0</v>
      </c>
      <c r="O2133" t="s">
        <v>1389</v>
      </c>
      <c r="P2133" t="s">
        <v>310</v>
      </c>
      <c r="Q2133" t="s">
        <v>310</v>
      </c>
      <c r="R2133" t="s">
        <v>310</v>
      </c>
      <c r="S2133">
        <v>9</v>
      </c>
      <c r="T2133" t="s">
        <v>310</v>
      </c>
      <c r="U2133">
        <v>9</v>
      </c>
      <c r="V2133">
        <v>9</v>
      </c>
      <c r="W2133">
        <v>0</v>
      </c>
      <c r="X2133">
        <v>0</v>
      </c>
      <c r="Y2133">
        <v>0</v>
      </c>
      <c r="Z2133">
        <v>0</v>
      </c>
      <c r="AA2133">
        <v>9</v>
      </c>
      <c r="AB2133">
        <v>9</v>
      </c>
      <c r="AC2133" t="s">
        <v>310</v>
      </c>
      <c r="AD2133">
        <v>9</v>
      </c>
      <c r="AE2133" t="s">
        <v>1390</v>
      </c>
      <c r="AF2133">
        <v>20000000</v>
      </c>
      <c r="AG2133" t="s">
        <v>310</v>
      </c>
      <c r="AH2133">
        <f>SUM((MID(Dyno_Data[[#This Row],[Team]],4,5))+(Dyno_Data[[#This Row],[Match]]/100))</f>
        <v>5590.41</v>
      </c>
      <c r="AI2133" s="76">
        <f>ROUND(SUM(IF(Dyno_Data[[#This Row],[AcqCenter]]&gt;0,Dyno_Data[[#This Row],[Time]]-SUMIFS(Dyno_Data[Time],Dyno_Data[Team],Dyno_Data[[#This Row],[Team]],Dyno_Data[RecordType],"StartMatch",Dyno_Data[Match],Dyno_Data[[#This Row],[Match]]),0)*86400),0)</f>
        <v>0</v>
      </c>
    </row>
    <row r="2134" spans="1:35" x14ac:dyDescent="0.3">
      <c r="A2134">
        <v>2133</v>
      </c>
      <c r="B2134" t="s">
        <v>1295</v>
      </c>
      <c r="C2134">
        <v>41</v>
      </c>
      <c r="D2134" s="105">
        <v>45373.657027465277</v>
      </c>
      <c r="E2134" t="s">
        <v>312</v>
      </c>
      <c r="F2134" t="s">
        <v>1402</v>
      </c>
      <c r="G2134">
        <v>0</v>
      </c>
      <c r="H2134" t="s">
        <v>315</v>
      </c>
      <c r="I2134">
        <v>0</v>
      </c>
      <c r="J2134">
        <v>0</v>
      </c>
      <c r="K2134">
        <v>0</v>
      </c>
      <c r="L2134" t="s">
        <v>241</v>
      </c>
      <c r="M2134" t="s">
        <v>101</v>
      </c>
      <c r="N2134">
        <v>0</v>
      </c>
      <c r="O2134" t="s">
        <v>319</v>
      </c>
      <c r="P2134" t="s">
        <v>310</v>
      </c>
      <c r="Q2134" t="s">
        <v>310</v>
      </c>
      <c r="R2134" t="s">
        <v>310</v>
      </c>
      <c r="S2134">
        <v>9</v>
      </c>
      <c r="T2134" t="s">
        <v>310</v>
      </c>
      <c r="U2134">
        <v>9</v>
      </c>
      <c r="V2134">
        <v>9</v>
      </c>
      <c r="W2134">
        <v>0</v>
      </c>
      <c r="X2134">
        <v>0</v>
      </c>
      <c r="Y2134">
        <v>0</v>
      </c>
      <c r="Z2134">
        <v>0</v>
      </c>
      <c r="AA2134">
        <v>9</v>
      </c>
      <c r="AB2134">
        <v>9</v>
      </c>
      <c r="AC2134" t="s">
        <v>310</v>
      </c>
      <c r="AD2134">
        <v>9</v>
      </c>
      <c r="AE2134" t="s">
        <v>1388</v>
      </c>
      <c r="AF2134">
        <v>30002000</v>
      </c>
      <c r="AG2134" t="s">
        <v>310</v>
      </c>
      <c r="AH2134">
        <f>SUM((MID(Dyno_Data[[#This Row],[Team]],4,5))+(Dyno_Data[[#This Row],[Match]]/100))</f>
        <v>6300.41</v>
      </c>
      <c r="AI2134" s="76">
        <f>ROUND(SUM(IF(Dyno_Data[[#This Row],[AcqCenter]]&gt;0,Dyno_Data[[#This Row],[Time]]-SUMIFS(Dyno_Data[Time],Dyno_Data[Team],Dyno_Data[[#This Row],[Team]],Dyno_Data[RecordType],"StartMatch",Dyno_Data[Match],Dyno_Data[[#This Row],[Match]]),0)*86400),0)</f>
        <v>0</v>
      </c>
    </row>
    <row r="2135" spans="1:35" x14ac:dyDescent="0.3">
      <c r="A2135">
        <v>2134</v>
      </c>
      <c r="B2135" t="s">
        <v>365</v>
      </c>
      <c r="C2135">
        <v>41</v>
      </c>
      <c r="D2135" s="105">
        <v>45373.657028935188</v>
      </c>
      <c r="E2135" t="s">
        <v>312</v>
      </c>
      <c r="F2135" t="s">
        <v>1402</v>
      </c>
      <c r="G2135">
        <v>0</v>
      </c>
      <c r="H2135" t="s">
        <v>315</v>
      </c>
      <c r="I2135">
        <v>0</v>
      </c>
      <c r="J2135">
        <v>0</v>
      </c>
      <c r="K2135">
        <v>0</v>
      </c>
      <c r="L2135" t="s">
        <v>241</v>
      </c>
      <c r="M2135" t="s">
        <v>101</v>
      </c>
      <c r="N2135">
        <v>0</v>
      </c>
      <c r="O2135" t="s">
        <v>1393</v>
      </c>
      <c r="P2135" t="s">
        <v>310</v>
      </c>
      <c r="Q2135" t="s">
        <v>310</v>
      </c>
      <c r="R2135" t="s">
        <v>310</v>
      </c>
      <c r="S2135">
        <v>9</v>
      </c>
      <c r="T2135" t="s">
        <v>310</v>
      </c>
      <c r="U2135">
        <v>9</v>
      </c>
      <c r="V2135">
        <v>9</v>
      </c>
      <c r="W2135">
        <v>0</v>
      </c>
      <c r="X2135">
        <v>0</v>
      </c>
      <c r="Y2135">
        <v>0</v>
      </c>
      <c r="Z2135">
        <v>0</v>
      </c>
      <c r="AA2135">
        <v>9</v>
      </c>
      <c r="AB2135">
        <v>9</v>
      </c>
      <c r="AC2135" t="s">
        <v>310</v>
      </c>
      <c r="AD2135">
        <v>9</v>
      </c>
      <c r="AE2135" t="s">
        <v>1396</v>
      </c>
      <c r="AF2135">
        <v>50000000</v>
      </c>
      <c r="AG2135" t="s">
        <v>310</v>
      </c>
      <c r="AH2135">
        <f>SUM((MID(Dyno_Data[[#This Row],[Team]],4,5))+(Dyno_Data[[#This Row],[Match]]/100))</f>
        <v>3171.41</v>
      </c>
      <c r="AI2135" s="76">
        <f>ROUND(SUM(IF(Dyno_Data[[#This Row],[AcqCenter]]&gt;0,Dyno_Data[[#This Row],[Time]]-SUMIFS(Dyno_Data[Time],Dyno_Data[Team],Dyno_Data[[#This Row],[Team]],Dyno_Data[RecordType],"StartMatch",Dyno_Data[Match],Dyno_Data[[#This Row],[Match]]),0)*86400),0)</f>
        <v>0</v>
      </c>
    </row>
    <row r="2136" spans="1:35" x14ac:dyDescent="0.3">
      <c r="A2136">
        <v>2135</v>
      </c>
      <c r="B2136" t="s">
        <v>1314</v>
      </c>
      <c r="C2136">
        <v>41</v>
      </c>
      <c r="D2136" s="105">
        <v>45373.657081053243</v>
      </c>
      <c r="E2136" t="s">
        <v>312</v>
      </c>
      <c r="F2136" t="s">
        <v>1402</v>
      </c>
      <c r="G2136">
        <v>0</v>
      </c>
      <c r="H2136" t="s">
        <v>315</v>
      </c>
      <c r="I2136">
        <v>0</v>
      </c>
      <c r="J2136">
        <v>0</v>
      </c>
      <c r="K2136">
        <v>0</v>
      </c>
      <c r="L2136" t="s">
        <v>241</v>
      </c>
      <c r="M2136" t="s">
        <v>1398</v>
      </c>
      <c r="N2136">
        <v>0</v>
      </c>
      <c r="O2136" t="s">
        <v>1395</v>
      </c>
      <c r="P2136" t="s">
        <v>310</v>
      </c>
      <c r="Q2136" t="s">
        <v>310</v>
      </c>
      <c r="R2136" t="s">
        <v>310</v>
      </c>
      <c r="S2136">
        <v>9</v>
      </c>
      <c r="T2136" t="s">
        <v>310</v>
      </c>
      <c r="U2136">
        <v>9</v>
      </c>
      <c r="V2136">
        <v>9</v>
      </c>
      <c r="W2136">
        <v>0</v>
      </c>
      <c r="X2136">
        <v>0</v>
      </c>
      <c r="Y2136">
        <v>0</v>
      </c>
      <c r="Z2136">
        <v>0</v>
      </c>
      <c r="AA2136">
        <v>9</v>
      </c>
      <c r="AB2136">
        <v>9</v>
      </c>
      <c r="AC2136" t="s">
        <v>310</v>
      </c>
      <c r="AD2136">
        <v>9</v>
      </c>
      <c r="AE2136" t="s">
        <v>1412</v>
      </c>
      <c r="AF2136">
        <v>60000000</v>
      </c>
      <c r="AG2136" t="s">
        <v>310</v>
      </c>
      <c r="AH2136">
        <f>SUM((MID(Dyno_Data[[#This Row],[Team]],4,5))+(Dyno_Data[[#This Row],[Match]]/100))</f>
        <v>3419.41</v>
      </c>
      <c r="AI2136" s="76">
        <f>ROUND(SUM(IF(Dyno_Data[[#This Row],[AcqCenter]]&gt;0,Dyno_Data[[#This Row],[Time]]-SUMIFS(Dyno_Data[Time],Dyno_Data[Team],Dyno_Data[[#This Row],[Team]],Dyno_Data[RecordType],"StartMatch",Dyno_Data[Match],Dyno_Data[[#This Row],[Match]]),0)*86400),0)</f>
        <v>0</v>
      </c>
    </row>
    <row r="2137" spans="1:35" x14ac:dyDescent="0.3">
      <c r="A2137">
        <v>2136</v>
      </c>
      <c r="B2137" t="s">
        <v>1295</v>
      </c>
      <c r="C2137">
        <v>41</v>
      </c>
      <c r="D2137" s="105">
        <v>45373.657091122688</v>
      </c>
      <c r="E2137" t="s">
        <v>312</v>
      </c>
      <c r="F2137" t="s">
        <v>1402</v>
      </c>
      <c r="G2137">
        <v>0</v>
      </c>
      <c r="H2137" t="s">
        <v>315</v>
      </c>
      <c r="I2137">
        <v>0</v>
      </c>
      <c r="J2137">
        <v>0</v>
      </c>
      <c r="K2137">
        <v>0</v>
      </c>
      <c r="L2137" t="s">
        <v>241</v>
      </c>
      <c r="M2137" t="s">
        <v>1398</v>
      </c>
      <c r="N2137">
        <v>0</v>
      </c>
      <c r="O2137" t="s">
        <v>319</v>
      </c>
      <c r="P2137" t="s">
        <v>310</v>
      </c>
      <c r="Q2137" t="s">
        <v>310</v>
      </c>
      <c r="R2137" t="s">
        <v>310</v>
      </c>
      <c r="S2137">
        <v>9</v>
      </c>
      <c r="T2137" t="s">
        <v>310</v>
      </c>
      <c r="U2137">
        <v>9</v>
      </c>
      <c r="V2137">
        <v>9</v>
      </c>
      <c r="W2137">
        <v>0</v>
      </c>
      <c r="X2137">
        <v>0</v>
      </c>
      <c r="Y2137">
        <v>0</v>
      </c>
      <c r="Z2137">
        <v>0</v>
      </c>
      <c r="AA2137">
        <v>9</v>
      </c>
      <c r="AB2137">
        <v>9</v>
      </c>
      <c r="AC2137" t="s">
        <v>310</v>
      </c>
      <c r="AD2137">
        <v>9</v>
      </c>
      <c r="AE2137" t="s">
        <v>1388</v>
      </c>
      <c r="AF2137">
        <v>40002000</v>
      </c>
      <c r="AG2137" t="s">
        <v>310</v>
      </c>
      <c r="AH2137">
        <f>SUM((MID(Dyno_Data[[#This Row],[Team]],4,5))+(Dyno_Data[[#This Row],[Match]]/100))</f>
        <v>6300.41</v>
      </c>
      <c r="AI2137" s="76">
        <f>ROUND(SUM(IF(Dyno_Data[[#This Row],[AcqCenter]]&gt;0,Dyno_Data[[#This Row],[Time]]-SUMIFS(Dyno_Data[Time],Dyno_Data[Team],Dyno_Data[[#This Row],[Team]],Dyno_Data[RecordType],"StartMatch",Dyno_Data[Match],Dyno_Data[[#This Row],[Match]]),0)*86400),0)</f>
        <v>0</v>
      </c>
    </row>
    <row r="2138" spans="1:35" x14ac:dyDescent="0.3">
      <c r="A2138">
        <v>2137</v>
      </c>
      <c r="B2138" t="s">
        <v>1315</v>
      </c>
      <c r="C2138">
        <v>41</v>
      </c>
      <c r="D2138" s="105">
        <v>45373.657147071761</v>
      </c>
      <c r="E2138" t="s">
        <v>312</v>
      </c>
      <c r="F2138" t="s">
        <v>1402</v>
      </c>
      <c r="G2138">
        <v>0</v>
      </c>
      <c r="H2138" t="s">
        <v>315</v>
      </c>
      <c r="I2138">
        <v>0</v>
      </c>
      <c r="J2138">
        <v>0</v>
      </c>
      <c r="K2138">
        <v>0</v>
      </c>
      <c r="L2138" t="s">
        <v>242</v>
      </c>
      <c r="M2138" t="s">
        <v>1398</v>
      </c>
      <c r="N2138">
        <v>1</v>
      </c>
      <c r="O2138" t="s">
        <v>1391</v>
      </c>
      <c r="P2138" t="s">
        <v>310</v>
      </c>
      <c r="Q2138" t="s">
        <v>310</v>
      </c>
      <c r="R2138" t="s">
        <v>310</v>
      </c>
      <c r="S2138">
        <v>9</v>
      </c>
      <c r="T2138" t="s">
        <v>310</v>
      </c>
      <c r="U2138">
        <v>9</v>
      </c>
      <c r="V2138">
        <v>9</v>
      </c>
      <c r="W2138">
        <v>0</v>
      </c>
      <c r="X2138">
        <v>0</v>
      </c>
      <c r="Y2138">
        <v>0</v>
      </c>
      <c r="Z2138">
        <v>0</v>
      </c>
      <c r="AA2138">
        <v>9</v>
      </c>
      <c r="AB2138">
        <v>9</v>
      </c>
      <c r="AC2138" t="s">
        <v>310</v>
      </c>
      <c r="AD2138">
        <v>9</v>
      </c>
      <c r="AE2138" t="s">
        <v>1413</v>
      </c>
      <c r="AF2138">
        <v>50000000</v>
      </c>
      <c r="AG2138" t="s">
        <v>310</v>
      </c>
      <c r="AH2138">
        <f>SUM((MID(Dyno_Data[[#This Row],[Team]],4,5))+(Dyno_Data[[#This Row],[Match]]/100))</f>
        <v>1511.41</v>
      </c>
      <c r="AI2138" s="76">
        <f>ROUND(SUM(IF(Dyno_Data[[#This Row],[AcqCenter]]&gt;0,Dyno_Data[[#This Row],[Time]]-SUMIFS(Dyno_Data[Time],Dyno_Data[Team],Dyno_Data[[#This Row],[Team]],Dyno_Data[RecordType],"StartMatch",Dyno_Data[Match],Dyno_Data[[#This Row],[Match]]),0)*86400),0)</f>
        <v>0</v>
      </c>
    </row>
    <row r="2139" spans="1:35" x14ac:dyDescent="0.3">
      <c r="A2139">
        <v>2138</v>
      </c>
      <c r="B2139" t="s">
        <v>367</v>
      </c>
      <c r="C2139">
        <v>41</v>
      </c>
      <c r="D2139" s="105">
        <v>45373.657164583332</v>
      </c>
      <c r="E2139" t="s">
        <v>312</v>
      </c>
      <c r="F2139" t="s">
        <v>1402</v>
      </c>
      <c r="G2139">
        <v>0</v>
      </c>
      <c r="H2139" t="s">
        <v>315</v>
      </c>
      <c r="I2139">
        <v>0</v>
      </c>
      <c r="J2139">
        <v>0</v>
      </c>
      <c r="K2139">
        <v>0</v>
      </c>
      <c r="L2139" t="s">
        <v>240</v>
      </c>
      <c r="M2139" t="s">
        <v>1398</v>
      </c>
      <c r="N2139">
        <v>1</v>
      </c>
      <c r="O2139" t="s">
        <v>311</v>
      </c>
      <c r="P2139" t="s">
        <v>310</v>
      </c>
      <c r="Q2139" t="s">
        <v>310</v>
      </c>
      <c r="R2139" t="s">
        <v>310</v>
      </c>
      <c r="S2139">
        <v>9</v>
      </c>
      <c r="T2139" t="s">
        <v>310</v>
      </c>
      <c r="U2139">
        <v>9</v>
      </c>
      <c r="V2139">
        <v>9</v>
      </c>
      <c r="W2139">
        <v>0</v>
      </c>
      <c r="X2139">
        <v>0</v>
      </c>
      <c r="Y2139">
        <v>0</v>
      </c>
      <c r="Z2139">
        <v>0</v>
      </c>
      <c r="AA2139">
        <v>9</v>
      </c>
      <c r="AB2139">
        <v>9</v>
      </c>
      <c r="AC2139" t="s">
        <v>310</v>
      </c>
      <c r="AD2139">
        <v>9</v>
      </c>
      <c r="AE2139" t="s">
        <v>1414</v>
      </c>
      <c r="AF2139">
        <v>50000000</v>
      </c>
      <c r="AG2139" t="s">
        <v>310</v>
      </c>
      <c r="AH2139">
        <f>SUM((MID(Dyno_Data[[#This Row],[Team]],4,5))+(Dyno_Data[[#This Row],[Match]]/100))</f>
        <v>5016.41</v>
      </c>
      <c r="AI2139" s="76">
        <f>ROUND(SUM(IF(Dyno_Data[[#This Row],[AcqCenter]]&gt;0,Dyno_Data[[#This Row],[Time]]-SUMIFS(Dyno_Data[Time],Dyno_Data[Team],Dyno_Data[[#This Row],[Team]],Dyno_Data[RecordType],"StartMatch",Dyno_Data[Match],Dyno_Data[[#This Row],[Match]]),0)*86400),0)</f>
        <v>0</v>
      </c>
    </row>
    <row r="2140" spans="1:35" x14ac:dyDescent="0.3">
      <c r="A2140">
        <v>2139</v>
      </c>
      <c r="B2140" t="s">
        <v>365</v>
      </c>
      <c r="C2140">
        <v>41</v>
      </c>
      <c r="D2140" s="105">
        <v>45373.65720439815</v>
      </c>
      <c r="E2140" t="s">
        <v>312</v>
      </c>
      <c r="F2140" t="s">
        <v>1402</v>
      </c>
      <c r="G2140">
        <v>0</v>
      </c>
      <c r="H2140" t="s">
        <v>315</v>
      </c>
      <c r="I2140">
        <v>0</v>
      </c>
      <c r="J2140">
        <v>0</v>
      </c>
      <c r="K2140">
        <v>0</v>
      </c>
      <c r="L2140" t="s">
        <v>241</v>
      </c>
      <c r="M2140" t="s">
        <v>1398</v>
      </c>
      <c r="N2140">
        <v>1</v>
      </c>
      <c r="O2140" t="s">
        <v>1393</v>
      </c>
      <c r="P2140" t="s">
        <v>310</v>
      </c>
      <c r="Q2140" t="s">
        <v>310</v>
      </c>
      <c r="R2140" t="s">
        <v>310</v>
      </c>
      <c r="S2140">
        <v>9</v>
      </c>
      <c r="T2140" t="s">
        <v>310</v>
      </c>
      <c r="U2140">
        <v>9</v>
      </c>
      <c r="V2140">
        <v>9</v>
      </c>
      <c r="W2140">
        <v>0</v>
      </c>
      <c r="X2140">
        <v>0</v>
      </c>
      <c r="Y2140">
        <v>0</v>
      </c>
      <c r="Z2140">
        <v>0</v>
      </c>
      <c r="AA2140">
        <v>9</v>
      </c>
      <c r="AB2140">
        <v>9</v>
      </c>
      <c r="AC2140" t="s">
        <v>310</v>
      </c>
      <c r="AD2140">
        <v>9</v>
      </c>
      <c r="AE2140" t="s">
        <v>1396</v>
      </c>
      <c r="AF2140">
        <v>60000000</v>
      </c>
      <c r="AG2140" t="s">
        <v>310</v>
      </c>
      <c r="AH2140">
        <f>SUM((MID(Dyno_Data[[#This Row],[Team]],4,5))+(Dyno_Data[[#This Row],[Match]]/100))</f>
        <v>3171.41</v>
      </c>
      <c r="AI2140" s="76">
        <f>ROUND(SUM(IF(Dyno_Data[[#This Row],[AcqCenter]]&gt;0,Dyno_Data[[#This Row],[Time]]-SUMIFS(Dyno_Data[Time],Dyno_Data[Team],Dyno_Data[[#This Row],[Team]],Dyno_Data[RecordType],"StartMatch",Dyno_Data[Match],Dyno_Data[[#This Row],[Match]]),0)*86400),0)</f>
        <v>0</v>
      </c>
    </row>
    <row r="2141" spans="1:35" x14ac:dyDescent="0.3">
      <c r="A2141">
        <v>2140</v>
      </c>
      <c r="B2141" t="s">
        <v>1314</v>
      </c>
      <c r="C2141">
        <v>41</v>
      </c>
      <c r="D2141" s="105">
        <v>45373.657209375</v>
      </c>
      <c r="E2141" t="s">
        <v>312</v>
      </c>
      <c r="F2141" t="s">
        <v>1402</v>
      </c>
      <c r="G2141">
        <v>0</v>
      </c>
      <c r="H2141" t="s">
        <v>315</v>
      </c>
      <c r="I2141">
        <v>0</v>
      </c>
      <c r="J2141">
        <v>0</v>
      </c>
      <c r="K2141">
        <v>0</v>
      </c>
      <c r="L2141" t="s">
        <v>241</v>
      </c>
      <c r="M2141" t="s">
        <v>1398</v>
      </c>
      <c r="N2141">
        <v>0</v>
      </c>
      <c r="O2141" t="s">
        <v>1395</v>
      </c>
      <c r="P2141" t="s">
        <v>310</v>
      </c>
      <c r="Q2141" t="s">
        <v>310</v>
      </c>
      <c r="R2141" t="s">
        <v>310</v>
      </c>
      <c r="S2141">
        <v>9</v>
      </c>
      <c r="T2141" t="s">
        <v>310</v>
      </c>
      <c r="U2141">
        <v>9</v>
      </c>
      <c r="V2141">
        <v>9</v>
      </c>
      <c r="W2141">
        <v>0</v>
      </c>
      <c r="X2141">
        <v>0</v>
      </c>
      <c r="Y2141">
        <v>0</v>
      </c>
      <c r="Z2141">
        <v>0</v>
      </c>
      <c r="AA2141">
        <v>9</v>
      </c>
      <c r="AB2141">
        <v>9</v>
      </c>
      <c r="AC2141" t="s">
        <v>310</v>
      </c>
      <c r="AD2141">
        <v>9</v>
      </c>
      <c r="AE2141" t="s">
        <v>1412</v>
      </c>
      <c r="AF2141">
        <v>70000000</v>
      </c>
      <c r="AG2141" t="s">
        <v>310</v>
      </c>
      <c r="AH2141">
        <f>SUM((MID(Dyno_Data[[#This Row],[Team]],4,5))+(Dyno_Data[[#This Row],[Match]]/100))</f>
        <v>3419.41</v>
      </c>
      <c r="AI2141" s="76">
        <f>ROUND(SUM(IF(Dyno_Data[[#This Row],[AcqCenter]]&gt;0,Dyno_Data[[#This Row],[Time]]-SUMIFS(Dyno_Data[Time],Dyno_Data[Team],Dyno_Data[[#This Row],[Team]],Dyno_Data[RecordType],"StartMatch",Dyno_Data[Match],Dyno_Data[[#This Row],[Match]]),0)*86400),0)</f>
        <v>0</v>
      </c>
    </row>
    <row r="2142" spans="1:35" x14ac:dyDescent="0.3">
      <c r="A2142">
        <v>2141</v>
      </c>
      <c r="B2142" t="s">
        <v>1284</v>
      </c>
      <c r="C2142">
        <v>41</v>
      </c>
      <c r="D2142" s="105">
        <v>45373.657248611111</v>
      </c>
      <c r="E2142" t="s">
        <v>312</v>
      </c>
      <c r="F2142" t="s">
        <v>1402</v>
      </c>
      <c r="G2142">
        <v>0</v>
      </c>
      <c r="H2142" t="s">
        <v>315</v>
      </c>
      <c r="I2142">
        <v>0</v>
      </c>
      <c r="J2142">
        <v>0</v>
      </c>
      <c r="K2142">
        <v>0</v>
      </c>
      <c r="L2142" t="s">
        <v>241</v>
      </c>
      <c r="M2142" t="s">
        <v>1398</v>
      </c>
      <c r="N2142">
        <v>0</v>
      </c>
      <c r="O2142" t="s">
        <v>1389</v>
      </c>
      <c r="P2142" t="s">
        <v>310</v>
      </c>
      <c r="Q2142" t="s">
        <v>310</v>
      </c>
      <c r="R2142" t="s">
        <v>310</v>
      </c>
      <c r="S2142">
        <v>9</v>
      </c>
      <c r="T2142" t="s">
        <v>310</v>
      </c>
      <c r="U2142">
        <v>9</v>
      </c>
      <c r="V2142">
        <v>9</v>
      </c>
      <c r="W2142">
        <v>0</v>
      </c>
      <c r="X2142">
        <v>0</v>
      </c>
      <c r="Y2142">
        <v>0</v>
      </c>
      <c r="Z2142">
        <v>0</v>
      </c>
      <c r="AA2142">
        <v>9</v>
      </c>
      <c r="AB2142">
        <v>9</v>
      </c>
      <c r="AC2142" t="s">
        <v>310</v>
      </c>
      <c r="AD2142">
        <v>9</v>
      </c>
      <c r="AE2142" t="s">
        <v>1390</v>
      </c>
      <c r="AF2142">
        <v>30000000</v>
      </c>
      <c r="AG2142" t="s">
        <v>310</v>
      </c>
      <c r="AH2142">
        <f>SUM((MID(Dyno_Data[[#This Row],[Team]],4,5))+(Dyno_Data[[#This Row],[Match]]/100))</f>
        <v>5590.41</v>
      </c>
      <c r="AI2142" s="76">
        <f>ROUND(SUM(IF(Dyno_Data[[#This Row],[AcqCenter]]&gt;0,Dyno_Data[[#This Row],[Time]]-SUMIFS(Dyno_Data[Time],Dyno_Data[Team],Dyno_Data[[#This Row],[Team]],Dyno_Data[RecordType],"StartMatch",Dyno_Data[Match],Dyno_Data[[#This Row],[Match]]),0)*86400),0)</f>
        <v>0</v>
      </c>
    </row>
    <row r="2143" spans="1:35" x14ac:dyDescent="0.3">
      <c r="A2143">
        <v>2142</v>
      </c>
      <c r="B2143" t="s">
        <v>367</v>
      </c>
      <c r="C2143">
        <v>41</v>
      </c>
      <c r="D2143" s="105">
        <v>45373.657277627317</v>
      </c>
      <c r="E2143" t="s">
        <v>312</v>
      </c>
      <c r="F2143" t="s">
        <v>1402</v>
      </c>
      <c r="G2143">
        <v>0</v>
      </c>
      <c r="H2143" t="s">
        <v>315</v>
      </c>
      <c r="I2143">
        <v>0</v>
      </c>
      <c r="J2143">
        <v>0</v>
      </c>
      <c r="K2143">
        <v>0</v>
      </c>
      <c r="L2143" t="s">
        <v>240</v>
      </c>
      <c r="M2143" t="s">
        <v>1398</v>
      </c>
      <c r="N2143">
        <v>1</v>
      </c>
      <c r="O2143" t="s">
        <v>311</v>
      </c>
      <c r="P2143" t="s">
        <v>310</v>
      </c>
      <c r="Q2143" t="s">
        <v>310</v>
      </c>
      <c r="R2143" t="s">
        <v>310</v>
      </c>
      <c r="S2143">
        <v>9</v>
      </c>
      <c r="T2143" t="s">
        <v>310</v>
      </c>
      <c r="U2143">
        <v>9</v>
      </c>
      <c r="V2143">
        <v>9</v>
      </c>
      <c r="W2143">
        <v>0</v>
      </c>
      <c r="X2143">
        <v>0</v>
      </c>
      <c r="Y2143">
        <v>0</v>
      </c>
      <c r="Z2143">
        <v>0</v>
      </c>
      <c r="AA2143">
        <v>9</v>
      </c>
      <c r="AB2143">
        <v>9</v>
      </c>
      <c r="AC2143" t="s">
        <v>310</v>
      </c>
      <c r="AD2143">
        <v>9</v>
      </c>
      <c r="AE2143" t="s">
        <v>1414</v>
      </c>
      <c r="AF2143">
        <v>60000000</v>
      </c>
      <c r="AG2143" t="s">
        <v>310</v>
      </c>
      <c r="AH2143">
        <f>SUM((MID(Dyno_Data[[#This Row],[Team]],4,5))+(Dyno_Data[[#This Row],[Match]]/100))</f>
        <v>5016.41</v>
      </c>
      <c r="AI2143" s="76">
        <f>ROUND(SUM(IF(Dyno_Data[[#This Row],[AcqCenter]]&gt;0,Dyno_Data[[#This Row],[Time]]-SUMIFS(Dyno_Data[Time],Dyno_Data[Team],Dyno_Data[[#This Row],[Team]],Dyno_Data[RecordType],"StartMatch",Dyno_Data[Match],Dyno_Data[[#This Row],[Match]]),0)*86400),0)</f>
        <v>0</v>
      </c>
    </row>
    <row r="2144" spans="1:35" x14ac:dyDescent="0.3">
      <c r="A2144">
        <v>2143</v>
      </c>
      <c r="B2144" t="s">
        <v>1314</v>
      </c>
      <c r="C2144">
        <v>41</v>
      </c>
      <c r="D2144" s="105">
        <v>45373.657297881946</v>
      </c>
      <c r="E2144" t="s">
        <v>312</v>
      </c>
      <c r="F2144" t="s">
        <v>1402</v>
      </c>
      <c r="G2144">
        <v>0</v>
      </c>
      <c r="H2144" t="s">
        <v>315</v>
      </c>
      <c r="I2144">
        <v>0</v>
      </c>
      <c r="J2144">
        <v>0</v>
      </c>
      <c r="K2144">
        <v>0</v>
      </c>
      <c r="L2144" t="s">
        <v>241</v>
      </c>
      <c r="M2144" t="s">
        <v>1398</v>
      </c>
      <c r="N2144">
        <v>0</v>
      </c>
      <c r="O2144" t="s">
        <v>1395</v>
      </c>
      <c r="P2144" t="s">
        <v>310</v>
      </c>
      <c r="Q2144" t="s">
        <v>310</v>
      </c>
      <c r="R2144" t="s">
        <v>310</v>
      </c>
      <c r="S2144">
        <v>9</v>
      </c>
      <c r="T2144" t="s">
        <v>310</v>
      </c>
      <c r="U2144">
        <v>9</v>
      </c>
      <c r="V2144">
        <v>9</v>
      </c>
      <c r="W2144">
        <v>0</v>
      </c>
      <c r="X2144">
        <v>0</v>
      </c>
      <c r="Y2144">
        <v>0</v>
      </c>
      <c r="Z2144">
        <v>0</v>
      </c>
      <c r="AA2144">
        <v>9</v>
      </c>
      <c r="AB2144">
        <v>9</v>
      </c>
      <c r="AC2144" t="s">
        <v>310</v>
      </c>
      <c r="AD2144">
        <v>9</v>
      </c>
      <c r="AE2144" t="s">
        <v>1412</v>
      </c>
      <c r="AF2144">
        <v>80000000</v>
      </c>
      <c r="AG2144" t="s">
        <v>310</v>
      </c>
      <c r="AH2144">
        <f>SUM((MID(Dyno_Data[[#This Row],[Team]],4,5))+(Dyno_Data[[#This Row],[Match]]/100))</f>
        <v>3419.41</v>
      </c>
      <c r="AI2144" s="76">
        <f>ROUND(SUM(IF(Dyno_Data[[#This Row],[AcqCenter]]&gt;0,Dyno_Data[[#This Row],[Time]]-SUMIFS(Dyno_Data[Time],Dyno_Data[Team],Dyno_Data[[#This Row],[Team]],Dyno_Data[RecordType],"StartMatch",Dyno_Data[Match],Dyno_Data[[#This Row],[Match]]),0)*86400),0)</f>
        <v>0</v>
      </c>
    </row>
    <row r="2145" spans="1:35" x14ac:dyDescent="0.3">
      <c r="A2145">
        <v>2144</v>
      </c>
      <c r="B2145" t="s">
        <v>1315</v>
      </c>
      <c r="C2145">
        <v>41</v>
      </c>
      <c r="D2145" s="105">
        <v>45373.657328240741</v>
      </c>
      <c r="E2145" t="s">
        <v>312</v>
      </c>
      <c r="F2145" t="s">
        <v>1402</v>
      </c>
      <c r="G2145">
        <v>0</v>
      </c>
      <c r="H2145" t="s">
        <v>315</v>
      </c>
      <c r="I2145">
        <v>0</v>
      </c>
      <c r="J2145">
        <v>0</v>
      </c>
      <c r="K2145">
        <v>0</v>
      </c>
      <c r="L2145" t="s">
        <v>242</v>
      </c>
      <c r="M2145" t="s">
        <v>241</v>
      </c>
      <c r="N2145">
        <v>0</v>
      </c>
      <c r="O2145" t="s">
        <v>1391</v>
      </c>
      <c r="P2145" t="s">
        <v>310</v>
      </c>
      <c r="Q2145" t="s">
        <v>310</v>
      </c>
      <c r="R2145" t="s">
        <v>310</v>
      </c>
      <c r="S2145">
        <v>9</v>
      </c>
      <c r="T2145" t="s">
        <v>310</v>
      </c>
      <c r="U2145">
        <v>9</v>
      </c>
      <c r="V2145">
        <v>9</v>
      </c>
      <c r="W2145">
        <v>0</v>
      </c>
      <c r="X2145">
        <v>0</v>
      </c>
      <c r="Y2145">
        <v>0</v>
      </c>
      <c r="Z2145">
        <v>0</v>
      </c>
      <c r="AA2145">
        <v>9</v>
      </c>
      <c r="AB2145">
        <v>9</v>
      </c>
      <c r="AC2145" t="s">
        <v>310</v>
      </c>
      <c r="AD2145">
        <v>9</v>
      </c>
      <c r="AE2145" t="s">
        <v>1413</v>
      </c>
      <c r="AF2145">
        <v>60000000</v>
      </c>
      <c r="AG2145" t="s">
        <v>310</v>
      </c>
      <c r="AH2145">
        <f>SUM((MID(Dyno_Data[[#This Row],[Team]],4,5))+(Dyno_Data[[#This Row],[Match]]/100))</f>
        <v>1511.41</v>
      </c>
      <c r="AI2145" s="76">
        <f>ROUND(SUM(IF(Dyno_Data[[#This Row],[AcqCenter]]&gt;0,Dyno_Data[[#This Row],[Time]]-SUMIFS(Dyno_Data[Time],Dyno_Data[Team],Dyno_Data[[#This Row],[Team]],Dyno_Data[RecordType],"StartMatch",Dyno_Data[Match],Dyno_Data[[#This Row],[Match]]),0)*86400),0)</f>
        <v>0</v>
      </c>
    </row>
    <row r="2146" spans="1:35" x14ac:dyDescent="0.3">
      <c r="A2146">
        <v>2145</v>
      </c>
      <c r="B2146" t="s">
        <v>1295</v>
      </c>
      <c r="C2146">
        <v>41</v>
      </c>
      <c r="D2146" s="105">
        <v>45373.657353009257</v>
      </c>
      <c r="E2146" t="s">
        <v>312</v>
      </c>
      <c r="F2146" t="s">
        <v>1402</v>
      </c>
      <c r="G2146">
        <v>0</v>
      </c>
      <c r="H2146" t="s">
        <v>315</v>
      </c>
      <c r="I2146">
        <v>0</v>
      </c>
      <c r="J2146">
        <v>0</v>
      </c>
      <c r="K2146">
        <v>0</v>
      </c>
      <c r="L2146" t="s">
        <v>241</v>
      </c>
      <c r="M2146" t="s">
        <v>101</v>
      </c>
      <c r="N2146">
        <v>0</v>
      </c>
      <c r="O2146" t="s">
        <v>319</v>
      </c>
      <c r="P2146" t="s">
        <v>310</v>
      </c>
      <c r="Q2146" t="s">
        <v>310</v>
      </c>
      <c r="R2146" t="s">
        <v>310</v>
      </c>
      <c r="S2146">
        <v>9</v>
      </c>
      <c r="T2146" t="s">
        <v>310</v>
      </c>
      <c r="U2146">
        <v>9</v>
      </c>
      <c r="V2146">
        <v>9</v>
      </c>
      <c r="W2146">
        <v>0</v>
      </c>
      <c r="X2146">
        <v>0</v>
      </c>
      <c r="Y2146">
        <v>0</v>
      </c>
      <c r="Z2146">
        <v>0</v>
      </c>
      <c r="AA2146">
        <v>9</v>
      </c>
      <c r="AB2146">
        <v>9</v>
      </c>
      <c r="AC2146" t="s">
        <v>310</v>
      </c>
      <c r="AD2146">
        <v>9</v>
      </c>
      <c r="AE2146" t="s">
        <v>1388</v>
      </c>
      <c r="AF2146">
        <v>50002000</v>
      </c>
      <c r="AG2146" t="s">
        <v>310</v>
      </c>
      <c r="AH2146">
        <f>SUM((MID(Dyno_Data[[#This Row],[Team]],4,5))+(Dyno_Data[[#This Row],[Match]]/100))</f>
        <v>6300.41</v>
      </c>
      <c r="AI2146" s="76">
        <f>ROUND(SUM(IF(Dyno_Data[[#This Row],[AcqCenter]]&gt;0,Dyno_Data[[#This Row],[Time]]-SUMIFS(Dyno_Data[Time],Dyno_Data[Team],Dyno_Data[[#This Row],[Team]],Dyno_Data[RecordType],"StartMatch",Dyno_Data[Match],Dyno_Data[[#This Row],[Match]]),0)*86400),0)</f>
        <v>0</v>
      </c>
    </row>
    <row r="2147" spans="1:35" x14ac:dyDescent="0.3">
      <c r="A2147">
        <v>2146</v>
      </c>
      <c r="B2147" t="s">
        <v>365</v>
      </c>
      <c r="C2147">
        <v>41</v>
      </c>
      <c r="D2147" s="105">
        <v>45373.657399340278</v>
      </c>
      <c r="E2147" t="s">
        <v>312</v>
      </c>
      <c r="F2147" t="s">
        <v>1402</v>
      </c>
      <c r="G2147">
        <v>0</v>
      </c>
      <c r="H2147" t="s">
        <v>315</v>
      </c>
      <c r="I2147">
        <v>0</v>
      </c>
      <c r="J2147">
        <v>0</v>
      </c>
      <c r="K2147">
        <v>0</v>
      </c>
      <c r="L2147" t="s">
        <v>240</v>
      </c>
      <c r="M2147" t="s">
        <v>1398</v>
      </c>
      <c r="N2147">
        <v>0</v>
      </c>
      <c r="O2147" t="s">
        <v>1393</v>
      </c>
      <c r="P2147" t="s">
        <v>310</v>
      </c>
      <c r="Q2147" t="s">
        <v>310</v>
      </c>
      <c r="R2147" t="s">
        <v>310</v>
      </c>
      <c r="S2147">
        <v>9</v>
      </c>
      <c r="T2147" t="s">
        <v>310</v>
      </c>
      <c r="U2147">
        <v>9</v>
      </c>
      <c r="V2147">
        <v>9</v>
      </c>
      <c r="W2147">
        <v>0</v>
      </c>
      <c r="X2147">
        <v>0</v>
      </c>
      <c r="Y2147">
        <v>0</v>
      </c>
      <c r="Z2147">
        <v>0</v>
      </c>
      <c r="AA2147">
        <v>9</v>
      </c>
      <c r="AB2147">
        <v>9</v>
      </c>
      <c r="AC2147" t="s">
        <v>310</v>
      </c>
      <c r="AD2147">
        <v>9</v>
      </c>
      <c r="AE2147" t="s">
        <v>1396</v>
      </c>
      <c r="AF2147">
        <v>70000000</v>
      </c>
      <c r="AG2147" t="s">
        <v>310</v>
      </c>
      <c r="AH2147">
        <f>SUM((MID(Dyno_Data[[#This Row],[Team]],4,5))+(Dyno_Data[[#This Row],[Match]]/100))</f>
        <v>3171.41</v>
      </c>
      <c r="AI2147" s="76">
        <f>ROUND(SUM(IF(Dyno_Data[[#This Row],[AcqCenter]]&gt;0,Dyno_Data[[#This Row],[Time]]-SUMIFS(Dyno_Data[Time],Dyno_Data[Team],Dyno_Data[[#This Row],[Team]],Dyno_Data[RecordType],"StartMatch",Dyno_Data[Match],Dyno_Data[[#This Row],[Match]]),0)*86400),0)</f>
        <v>0</v>
      </c>
    </row>
    <row r="2148" spans="1:35" x14ac:dyDescent="0.3">
      <c r="A2148">
        <v>2147</v>
      </c>
      <c r="B2148" t="s">
        <v>1315</v>
      </c>
      <c r="C2148">
        <v>41</v>
      </c>
      <c r="D2148" s="105">
        <v>45373.657408680556</v>
      </c>
      <c r="E2148" t="s">
        <v>312</v>
      </c>
      <c r="F2148" t="s">
        <v>1402</v>
      </c>
      <c r="G2148">
        <v>0</v>
      </c>
      <c r="H2148" t="s">
        <v>315</v>
      </c>
      <c r="I2148">
        <v>0</v>
      </c>
      <c r="J2148">
        <v>0</v>
      </c>
      <c r="K2148">
        <v>0</v>
      </c>
      <c r="L2148" t="s">
        <v>242</v>
      </c>
      <c r="M2148" t="s">
        <v>241</v>
      </c>
      <c r="N2148">
        <v>0</v>
      </c>
      <c r="O2148" t="s">
        <v>1391</v>
      </c>
      <c r="P2148" t="s">
        <v>310</v>
      </c>
      <c r="Q2148" t="s">
        <v>310</v>
      </c>
      <c r="R2148" t="s">
        <v>310</v>
      </c>
      <c r="S2148">
        <v>9</v>
      </c>
      <c r="T2148" t="s">
        <v>310</v>
      </c>
      <c r="U2148">
        <v>9</v>
      </c>
      <c r="V2148">
        <v>9</v>
      </c>
      <c r="W2148">
        <v>0</v>
      </c>
      <c r="X2148">
        <v>0</v>
      </c>
      <c r="Y2148">
        <v>0</v>
      </c>
      <c r="Z2148">
        <v>0</v>
      </c>
      <c r="AA2148">
        <v>9</v>
      </c>
      <c r="AB2148">
        <v>9</v>
      </c>
      <c r="AC2148" t="s">
        <v>310</v>
      </c>
      <c r="AD2148">
        <v>9</v>
      </c>
      <c r="AE2148" t="s">
        <v>1413</v>
      </c>
      <c r="AF2148">
        <v>70000000</v>
      </c>
      <c r="AG2148" t="s">
        <v>310</v>
      </c>
      <c r="AH2148">
        <f>SUM((MID(Dyno_Data[[#This Row],[Team]],4,5))+(Dyno_Data[[#This Row],[Match]]/100))</f>
        <v>1511.41</v>
      </c>
      <c r="AI2148" s="76">
        <f>ROUND(SUM(IF(Dyno_Data[[#This Row],[AcqCenter]]&gt;0,Dyno_Data[[#This Row],[Time]]-SUMIFS(Dyno_Data[Time],Dyno_Data[Team],Dyno_Data[[#This Row],[Team]],Dyno_Data[RecordType],"StartMatch",Dyno_Data[Match],Dyno_Data[[#This Row],[Match]]),0)*86400),0)</f>
        <v>0</v>
      </c>
    </row>
    <row r="2149" spans="1:35" x14ac:dyDescent="0.3">
      <c r="A2149">
        <v>2148</v>
      </c>
      <c r="B2149" t="s">
        <v>367</v>
      </c>
      <c r="C2149">
        <v>41</v>
      </c>
      <c r="D2149" s="105">
        <v>45373.65743634259</v>
      </c>
      <c r="E2149" t="s">
        <v>312</v>
      </c>
      <c r="F2149" t="s">
        <v>1402</v>
      </c>
      <c r="G2149">
        <v>0</v>
      </c>
      <c r="H2149" t="s">
        <v>315</v>
      </c>
      <c r="I2149">
        <v>0</v>
      </c>
      <c r="J2149">
        <v>0</v>
      </c>
      <c r="K2149">
        <v>0</v>
      </c>
      <c r="L2149" t="s">
        <v>240</v>
      </c>
      <c r="M2149" t="s">
        <v>1398</v>
      </c>
      <c r="N2149">
        <v>0</v>
      </c>
      <c r="O2149" t="s">
        <v>311</v>
      </c>
      <c r="P2149" t="s">
        <v>310</v>
      </c>
      <c r="Q2149" t="s">
        <v>310</v>
      </c>
      <c r="R2149" t="s">
        <v>310</v>
      </c>
      <c r="S2149">
        <v>9</v>
      </c>
      <c r="T2149" t="s">
        <v>310</v>
      </c>
      <c r="U2149">
        <v>9</v>
      </c>
      <c r="V2149">
        <v>9</v>
      </c>
      <c r="W2149">
        <v>0</v>
      </c>
      <c r="X2149">
        <v>0</v>
      </c>
      <c r="Y2149">
        <v>0</v>
      </c>
      <c r="Z2149">
        <v>0</v>
      </c>
      <c r="AA2149">
        <v>9</v>
      </c>
      <c r="AB2149">
        <v>9</v>
      </c>
      <c r="AC2149" t="s">
        <v>310</v>
      </c>
      <c r="AD2149">
        <v>9</v>
      </c>
      <c r="AE2149" t="s">
        <v>1414</v>
      </c>
      <c r="AF2149">
        <v>70000000</v>
      </c>
      <c r="AG2149" t="s">
        <v>310</v>
      </c>
      <c r="AH2149">
        <f>SUM((MID(Dyno_Data[[#This Row],[Team]],4,5))+(Dyno_Data[[#This Row],[Match]]/100))</f>
        <v>5016.41</v>
      </c>
      <c r="AI2149" s="76">
        <f>ROUND(SUM(IF(Dyno_Data[[#This Row],[AcqCenter]]&gt;0,Dyno_Data[[#This Row],[Time]]-SUMIFS(Dyno_Data[Time],Dyno_Data[Team],Dyno_Data[[#This Row],[Team]],Dyno_Data[RecordType],"StartMatch",Dyno_Data[Match],Dyno_Data[[#This Row],[Match]]),0)*86400),0)</f>
        <v>0</v>
      </c>
    </row>
    <row r="2150" spans="1:35" x14ac:dyDescent="0.3">
      <c r="A2150">
        <v>2149</v>
      </c>
      <c r="B2150" t="s">
        <v>1295</v>
      </c>
      <c r="C2150">
        <v>41</v>
      </c>
      <c r="D2150" s="105">
        <v>45373.657441979165</v>
      </c>
      <c r="E2150" t="s">
        <v>312</v>
      </c>
      <c r="F2150" t="s">
        <v>1402</v>
      </c>
      <c r="G2150">
        <v>0</v>
      </c>
      <c r="H2150" t="s">
        <v>315</v>
      </c>
      <c r="I2150">
        <v>0</v>
      </c>
      <c r="J2150">
        <v>0</v>
      </c>
      <c r="K2150">
        <v>0</v>
      </c>
      <c r="L2150" t="s">
        <v>241</v>
      </c>
      <c r="M2150" t="s">
        <v>101</v>
      </c>
      <c r="N2150">
        <v>0</v>
      </c>
      <c r="O2150" t="s">
        <v>319</v>
      </c>
      <c r="P2150" t="s">
        <v>310</v>
      </c>
      <c r="Q2150" t="s">
        <v>310</v>
      </c>
      <c r="R2150" t="s">
        <v>310</v>
      </c>
      <c r="S2150">
        <v>9</v>
      </c>
      <c r="T2150" t="s">
        <v>310</v>
      </c>
      <c r="U2150">
        <v>9</v>
      </c>
      <c r="V2150">
        <v>9</v>
      </c>
      <c r="W2150">
        <v>0</v>
      </c>
      <c r="X2150">
        <v>0</v>
      </c>
      <c r="Y2150">
        <v>0</v>
      </c>
      <c r="Z2150">
        <v>0</v>
      </c>
      <c r="AA2150">
        <v>9</v>
      </c>
      <c r="AB2150">
        <v>9</v>
      </c>
      <c r="AC2150" t="s">
        <v>310</v>
      </c>
      <c r="AD2150">
        <v>9</v>
      </c>
      <c r="AE2150" t="s">
        <v>1388</v>
      </c>
      <c r="AF2150">
        <v>60002000</v>
      </c>
      <c r="AG2150" t="s">
        <v>310</v>
      </c>
      <c r="AH2150">
        <f>SUM((MID(Dyno_Data[[#This Row],[Team]],4,5))+(Dyno_Data[[#This Row],[Match]]/100))</f>
        <v>6300.41</v>
      </c>
      <c r="AI2150" s="76">
        <f>ROUND(SUM(IF(Dyno_Data[[#This Row],[AcqCenter]]&gt;0,Dyno_Data[[#This Row],[Time]]-SUMIFS(Dyno_Data[Time],Dyno_Data[Team],Dyno_Data[[#This Row],[Team]],Dyno_Data[RecordType],"StartMatch",Dyno_Data[Match],Dyno_Data[[#This Row],[Match]]),0)*86400),0)</f>
        <v>0</v>
      </c>
    </row>
    <row r="2151" spans="1:35" x14ac:dyDescent="0.3">
      <c r="A2151">
        <v>2150</v>
      </c>
      <c r="B2151" t="s">
        <v>1295</v>
      </c>
      <c r="C2151">
        <v>41</v>
      </c>
      <c r="D2151" s="105">
        <v>45373.657495601852</v>
      </c>
      <c r="E2151" t="s">
        <v>312</v>
      </c>
      <c r="F2151" t="s">
        <v>1402</v>
      </c>
      <c r="G2151">
        <v>0</v>
      </c>
      <c r="H2151" t="s">
        <v>315</v>
      </c>
      <c r="I2151">
        <v>0</v>
      </c>
      <c r="J2151">
        <v>0</v>
      </c>
      <c r="K2151">
        <v>0</v>
      </c>
      <c r="L2151" t="s">
        <v>240</v>
      </c>
      <c r="M2151" t="s">
        <v>1398</v>
      </c>
      <c r="N2151">
        <v>0</v>
      </c>
      <c r="O2151" t="s">
        <v>319</v>
      </c>
      <c r="P2151" t="s">
        <v>310</v>
      </c>
      <c r="Q2151" t="s">
        <v>310</v>
      </c>
      <c r="R2151" t="s">
        <v>310</v>
      </c>
      <c r="S2151">
        <v>9</v>
      </c>
      <c r="T2151" t="s">
        <v>310</v>
      </c>
      <c r="U2151">
        <v>9</v>
      </c>
      <c r="V2151">
        <v>9</v>
      </c>
      <c r="W2151">
        <v>0</v>
      </c>
      <c r="X2151">
        <v>0</v>
      </c>
      <c r="Y2151">
        <v>0</v>
      </c>
      <c r="Z2151">
        <v>0</v>
      </c>
      <c r="AA2151">
        <v>9</v>
      </c>
      <c r="AB2151">
        <v>9</v>
      </c>
      <c r="AC2151" t="s">
        <v>310</v>
      </c>
      <c r="AD2151">
        <v>9</v>
      </c>
      <c r="AE2151" t="s">
        <v>1388</v>
      </c>
      <c r="AF2151">
        <v>70002000</v>
      </c>
      <c r="AG2151" t="s">
        <v>310</v>
      </c>
      <c r="AH2151">
        <f>SUM((MID(Dyno_Data[[#This Row],[Team]],4,5))+(Dyno_Data[[#This Row],[Match]]/100))</f>
        <v>6300.41</v>
      </c>
      <c r="AI2151" s="76">
        <f>ROUND(SUM(IF(Dyno_Data[[#This Row],[AcqCenter]]&gt;0,Dyno_Data[[#This Row],[Time]]-SUMIFS(Dyno_Data[Time],Dyno_Data[Team],Dyno_Data[[#This Row],[Team]],Dyno_Data[RecordType],"StartMatch",Dyno_Data[Match],Dyno_Data[[#This Row],[Match]]),0)*86400),0)</f>
        <v>0</v>
      </c>
    </row>
    <row r="2152" spans="1:35" x14ac:dyDescent="0.3">
      <c r="A2152">
        <v>2151</v>
      </c>
      <c r="B2152" t="s">
        <v>1314</v>
      </c>
      <c r="C2152">
        <v>41</v>
      </c>
      <c r="D2152" s="105">
        <v>45373.657507835647</v>
      </c>
      <c r="E2152" t="s">
        <v>312</v>
      </c>
      <c r="F2152" t="s">
        <v>1402</v>
      </c>
      <c r="G2152">
        <v>0</v>
      </c>
      <c r="H2152" t="s">
        <v>315</v>
      </c>
      <c r="I2152">
        <v>0</v>
      </c>
      <c r="J2152">
        <v>0</v>
      </c>
      <c r="K2152">
        <v>0</v>
      </c>
      <c r="L2152" t="s">
        <v>241</v>
      </c>
      <c r="M2152" t="s">
        <v>1398</v>
      </c>
      <c r="N2152">
        <v>0</v>
      </c>
      <c r="O2152" t="s">
        <v>1395</v>
      </c>
      <c r="P2152" t="s">
        <v>310</v>
      </c>
      <c r="Q2152" t="s">
        <v>310</v>
      </c>
      <c r="R2152" t="s">
        <v>310</v>
      </c>
      <c r="S2152">
        <v>9</v>
      </c>
      <c r="T2152" t="s">
        <v>310</v>
      </c>
      <c r="U2152">
        <v>9</v>
      </c>
      <c r="V2152">
        <v>9</v>
      </c>
      <c r="W2152">
        <v>0</v>
      </c>
      <c r="X2152">
        <v>0</v>
      </c>
      <c r="Y2152">
        <v>0</v>
      </c>
      <c r="Z2152">
        <v>0</v>
      </c>
      <c r="AA2152">
        <v>9</v>
      </c>
      <c r="AB2152">
        <v>9</v>
      </c>
      <c r="AC2152" t="s">
        <v>310</v>
      </c>
      <c r="AD2152">
        <v>9</v>
      </c>
      <c r="AE2152" t="s">
        <v>1412</v>
      </c>
      <c r="AF2152">
        <v>90000000</v>
      </c>
      <c r="AG2152" t="s">
        <v>310</v>
      </c>
      <c r="AH2152">
        <f>SUM((MID(Dyno_Data[[#This Row],[Team]],4,5))+(Dyno_Data[[#This Row],[Match]]/100))</f>
        <v>3419.41</v>
      </c>
      <c r="AI2152" s="76">
        <f>ROUND(SUM(IF(Dyno_Data[[#This Row],[AcqCenter]]&gt;0,Dyno_Data[[#This Row],[Time]]-SUMIFS(Dyno_Data[Time],Dyno_Data[Team],Dyno_Data[[#This Row],[Team]],Dyno_Data[RecordType],"StartMatch",Dyno_Data[Match],Dyno_Data[[#This Row],[Match]]),0)*86400),0)</f>
        <v>0</v>
      </c>
    </row>
    <row r="2153" spans="1:35" x14ac:dyDescent="0.3">
      <c r="A2153">
        <v>2152</v>
      </c>
      <c r="B2153" t="s">
        <v>1284</v>
      </c>
      <c r="C2153">
        <v>41</v>
      </c>
      <c r="D2153" s="105">
        <v>45373.657508599536</v>
      </c>
      <c r="E2153" t="s">
        <v>312</v>
      </c>
      <c r="F2153" t="s">
        <v>1402</v>
      </c>
      <c r="G2153">
        <v>0</v>
      </c>
      <c r="H2153" t="s">
        <v>315</v>
      </c>
      <c r="I2153">
        <v>0</v>
      </c>
      <c r="J2153">
        <v>0</v>
      </c>
      <c r="K2153">
        <v>0</v>
      </c>
      <c r="L2153" t="s">
        <v>241</v>
      </c>
      <c r="M2153" t="s">
        <v>1398</v>
      </c>
      <c r="N2153">
        <v>0</v>
      </c>
      <c r="O2153" t="s">
        <v>1389</v>
      </c>
      <c r="P2153" t="s">
        <v>310</v>
      </c>
      <c r="Q2153" t="s">
        <v>310</v>
      </c>
      <c r="R2153" t="s">
        <v>310</v>
      </c>
      <c r="S2153">
        <v>9</v>
      </c>
      <c r="T2153" t="s">
        <v>310</v>
      </c>
      <c r="U2153">
        <v>9</v>
      </c>
      <c r="V2153">
        <v>9</v>
      </c>
      <c r="W2153">
        <v>0</v>
      </c>
      <c r="X2153">
        <v>0</v>
      </c>
      <c r="Y2153">
        <v>0</v>
      </c>
      <c r="Z2153">
        <v>0</v>
      </c>
      <c r="AA2153">
        <v>9</v>
      </c>
      <c r="AB2153">
        <v>9</v>
      </c>
      <c r="AC2153" t="s">
        <v>310</v>
      </c>
      <c r="AD2153">
        <v>9</v>
      </c>
      <c r="AE2153" t="s">
        <v>1390</v>
      </c>
      <c r="AF2153">
        <v>40000000</v>
      </c>
      <c r="AG2153" t="s">
        <v>310</v>
      </c>
      <c r="AH2153">
        <f>SUM((MID(Dyno_Data[[#This Row],[Team]],4,5))+(Dyno_Data[[#This Row],[Match]]/100))</f>
        <v>5590.41</v>
      </c>
      <c r="AI2153" s="76">
        <f>ROUND(SUM(IF(Dyno_Data[[#This Row],[AcqCenter]]&gt;0,Dyno_Data[[#This Row],[Time]]-SUMIFS(Dyno_Data[Time],Dyno_Data[Team],Dyno_Data[[#This Row],[Team]],Dyno_Data[RecordType],"StartMatch",Dyno_Data[Match],Dyno_Data[[#This Row],[Match]]),0)*86400),0)</f>
        <v>0</v>
      </c>
    </row>
    <row r="2154" spans="1:35" x14ac:dyDescent="0.3">
      <c r="A2154">
        <v>2153</v>
      </c>
      <c r="B2154" t="s">
        <v>367</v>
      </c>
      <c r="C2154">
        <v>41</v>
      </c>
      <c r="D2154" s="105">
        <v>45373.657557719911</v>
      </c>
      <c r="E2154" t="s">
        <v>312</v>
      </c>
      <c r="F2154" t="s">
        <v>1402</v>
      </c>
      <c r="G2154">
        <v>0</v>
      </c>
      <c r="H2154" t="s">
        <v>315</v>
      </c>
      <c r="I2154">
        <v>0</v>
      </c>
      <c r="J2154">
        <v>0</v>
      </c>
      <c r="K2154">
        <v>0</v>
      </c>
      <c r="L2154" t="s">
        <v>240</v>
      </c>
      <c r="M2154" t="s">
        <v>1398</v>
      </c>
      <c r="N2154">
        <v>0</v>
      </c>
      <c r="O2154" t="s">
        <v>311</v>
      </c>
      <c r="P2154" t="s">
        <v>310</v>
      </c>
      <c r="Q2154" t="s">
        <v>310</v>
      </c>
      <c r="R2154" t="s">
        <v>310</v>
      </c>
      <c r="S2154">
        <v>9</v>
      </c>
      <c r="T2154" t="s">
        <v>310</v>
      </c>
      <c r="U2154">
        <v>9</v>
      </c>
      <c r="V2154">
        <v>9</v>
      </c>
      <c r="W2154">
        <v>0</v>
      </c>
      <c r="X2154">
        <v>0</v>
      </c>
      <c r="Y2154">
        <v>0</v>
      </c>
      <c r="Z2154">
        <v>0</v>
      </c>
      <c r="AA2154">
        <v>9</v>
      </c>
      <c r="AB2154">
        <v>9</v>
      </c>
      <c r="AC2154" t="s">
        <v>310</v>
      </c>
      <c r="AD2154">
        <v>9</v>
      </c>
      <c r="AE2154" t="s">
        <v>1414</v>
      </c>
      <c r="AF2154">
        <v>80000000</v>
      </c>
      <c r="AG2154" t="s">
        <v>310</v>
      </c>
      <c r="AH2154">
        <f>SUM((MID(Dyno_Data[[#This Row],[Team]],4,5))+(Dyno_Data[[#This Row],[Match]]/100))</f>
        <v>5016.41</v>
      </c>
      <c r="AI2154" s="76">
        <f>ROUND(SUM(IF(Dyno_Data[[#This Row],[AcqCenter]]&gt;0,Dyno_Data[[#This Row],[Time]]-SUMIFS(Dyno_Data[Time],Dyno_Data[Team],Dyno_Data[[#This Row],[Team]],Dyno_Data[RecordType],"StartMatch",Dyno_Data[Match],Dyno_Data[[#This Row],[Match]]),0)*86400),0)</f>
        <v>0</v>
      </c>
    </row>
    <row r="2155" spans="1:35" x14ac:dyDescent="0.3">
      <c r="A2155">
        <v>2154</v>
      </c>
      <c r="B2155" t="s">
        <v>1315</v>
      </c>
      <c r="C2155">
        <v>41</v>
      </c>
      <c r="D2155" s="105">
        <v>45373.657567210648</v>
      </c>
      <c r="E2155" t="s">
        <v>312</v>
      </c>
      <c r="F2155" t="s">
        <v>1402</v>
      </c>
      <c r="G2155">
        <v>0</v>
      </c>
      <c r="H2155" t="s">
        <v>315</v>
      </c>
      <c r="I2155">
        <v>0</v>
      </c>
      <c r="J2155">
        <v>0</v>
      </c>
      <c r="K2155">
        <v>0</v>
      </c>
      <c r="L2155" t="s">
        <v>241</v>
      </c>
      <c r="M2155" t="s">
        <v>1398</v>
      </c>
      <c r="N2155">
        <v>0</v>
      </c>
      <c r="O2155" t="s">
        <v>1391</v>
      </c>
      <c r="P2155" t="s">
        <v>310</v>
      </c>
      <c r="Q2155" t="s">
        <v>310</v>
      </c>
      <c r="R2155" t="s">
        <v>310</v>
      </c>
      <c r="S2155">
        <v>9</v>
      </c>
      <c r="T2155" t="s">
        <v>310</v>
      </c>
      <c r="U2155">
        <v>9</v>
      </c>
      <c r="V2155">
        <v>9</v>
      </c>
      <c r="W2155">
        <v>0</v>
      </c>
      <c r="X2155">
        <v>0</v>
      </c>
      <c r="Y2155">
        <v>0</v>
      </c>
      <c r="Z2155">
        <v>0</v>
      </c>
      <c r="AA2155">
        <v>9</v>
      </c>
      <c r="AB2155">
        <v>9</v>
      </c>
      <c r="AC2155" t="s">
        <v>310</v>
      </c>
      <c r="AD2155">
        <v>9</v>
      </c>
      <c r="AE2155" t="s">
        <v>1413</v>
      </c>
      <c r="AF2155">
        <v>80000000</v>
      </c>
      <c r="AG2155" t="s">
        <v>310</v>
      </c>
      <c r="AH2155">
        <f>SUM((MID(Dyno_Data[[#This Row],[Team]],4,5))+(Dyno_Data[[#This Row],[Match]]/100))</f>
        <v>1511.41</v>
      </c>
      <c r="AI2155" s="76">
        <f>ROUND(SUM(IF(Dyno_Data[[#This Row],[AcqCenter]]&gt;0,Dyno_Data[[#This Row],[Time]]-SUMIFS(Dyno_Data[Time],Dyno_Data[Team],Dyno_Data[[#This Row],[Team]],Dyno_Data[RecordType],"StartMatch",Dyno_Data[Match],Dyno_Data[[#This Row],[Match]]),0)*86400),0)</f>
        <v>0</v>
      </c>
    </row>
    <row r="2156" spans="1:35" x14ac:dyDescent="0.3">
      <c r="A2156">
        <v>2155</v>
      </c>
      <c r="B2156" t="s">
        <v>365</v>
      </c>
      <c r="C2156">
        <v>41</v>
      </c>
      <c r="D2156" s="105">
        <v>45373.657599687504</v>
      </c>
      <c r="E2156" t="s">
        <v>312</v>
      </c>
      <c r="F2156" t="s">
        <v>1402</v>
      </c>
      <c r="G2156">
        <v>0</v>
      </c>
      <c r="H2156" t="s">
        <v>315</v>
      </c>
      <c r="I2156">
        <v>0</v>
      </c>
      <c r="J2156">
        <v>0</v>
      </c>
      <c r="K2156">
        <v>0</v>
      </c>
      <c r="L2156" t="s">
        <v>240</v>
      </c>
      <c r="M2156" t="s">
        <v>1398</v>
      </c>
      <c r="N2156">
        <v>0</v>
      </c>
      <c r="O2156" t="s">
        <v>1393</v>
      </c>
      <c r="P2156" t="s">
        <v>310</v>
      </c>
      <c r="Q2156" t="s">
        <v>310</v>
      </c>
      <c r="R2156" t="s">
        <v>310</v>
      </c>
      <c r="S2156">
        <v>9</v>
      </c>
      <c r="T2156" t="s">
        <v>310</v>
      </c>
      <c r="U2156">
        <v>9</v>
      </c>
      <c r="V2156">
        <v>9</v>
      </c>
      <c r="W2156">
        <v>0</v>
      </c>
      <c r="X2156">
        <v>0</v>
      </c>
      <c r="Y2156">
        <v>0</v>
      </c>
      <c r="Z2156">
        <v>0</v>
      </c>
      <c r="AA2156">
        <v>9</v>
      </c>
      <c r="AB2156">
        <v>9</v>
      </c>
      <c r="AC2156" t="s">
        <v>310</v>
      </c>
      <c r="AD2156">
        <v>9</v>
      </c>
      <c r="AE2156" t="s">
        <v>1396</v>
      </c>
      <c r="AF2156">
        <v>80000000</v>
      </c>
      <c r="AG2156" t="s">
        <v>310</v>
      </c>
      <c r="AH2156">
        <f>SUM((MID(Dyno_Data[[#This Row],[Team]],4,5))+(Dyno_Data[[#This Row],[Match]]/100))</f>
        <v>3171.41</v>
      </c>
      <c r="AI2156" s="76">
        <f>ROUND(SUM(IF(Dyno_Data[[#This Row],[AcqCenter]]&gt;0,Dyno_Data[[#This Row],[Time]]-SUMIFS(Dyno_Data[Time],Dyno_Data[Team],Dyno_Data[[#This Row],[Team]],Dyno_Data[RecordType],"StartMatch",Dyno_Data[Match],Dyno_Data[[#This Row],[Match]]),0)*86400),0)</f>
        <v>0</v>
      </c>
    </row>
    <row r="2157" spans="1:35" x14ac:dyDescent="0.3">
      <c r="A2157">
        <v>2156</v>
      </c>
      <c r="B2157" t="s">
        <v>1314</v>
      </c>
      <c r="C2157">
        <v>41</v>
      </c>
      <c r="D2157" s="105">
        <v>45373.65766478009</v>
      </c>
      <c r="E2157" t="s">
        <v>312</v>
      </c>
      <c r="F2157" t="s">
        <v>1402</v>
      </c>
      <c r="G2157">
        <v>0</v>
      </c>
      <c r="H2157" t="s">
        <v>315</v>
      </c>
      <c r="I2157">
        <v>0</v>
      </c>
      <c r="J2157">
        <v>0</v>
      </c>
      <c r="K2157">
        <v>0</v>
      </c>
      <c r="L2157" t="s">
        <v>241</v>
      </c>
      <c r="M2157" t="s">
        <v>1398</v>
      </c>
      <c r="N2157">
        <v>0</v>
      </c>
      <c r="O2157" t="s">
        <v>1395</v>
      </c>
      <c r="P2157" t="s">
        <v>310</v>
      </c>
      <c r="Q2157" t="s">
        <v>310</v>
      </c>
      <c r="R2157" t="s">
        <v>310</v>
      </c>
      <c r="S2157">
        <v>9</v>
      </c>
      <c r="T2157" t="s">
        <v>310</v>
      </c>
      <c r="U2157">
        <v>9</v>
      </c>
      <c r="V2157">
        <v>9</v>
      </c>
      <c r="W2157">
        <v>0</v>
      </c>
      <c r="X2157">
        <v>0</v>
      </c>
      <c r="Y2157">
        <v>0</v>
      </c>
      <c r="Z2157">
        <v>0</v>
      </c>
      <c r="AA2157">
        <v>9</v>
      </c>
      <c r="AB2157">
        <v>9</v>
      </c>
      <c r="AC2157" t="s">
        <v>310</v>
      </c>
      <c r="AD2157">
        <v>9</v>
      </c>
      <c r="AE2157" t="s">
        <v>1412</v>
      </c>
      <c r="AF2157">
        <v>100000000</v>
      </c>
      <c r="AG2157" t="s">
        <v>310</v>
      </c>
      <c r="AH2157">
        <f>SUM((MID(Dyno_Data[[#This Row],[Team]],4,5))+(Dyno_Data[[#This Row],[Match]]/100))</f>
        <v>3419.41</v>
      </c>
      <c r="AI2157" s="76">
        <f>ROUND(SUM(IF(Dyno_Data[[#This Row],[AcqCenter]]&gt;0,Dyno_Data[[#This Row],[Time]]-SUMIFS(Dyno_Data[Time],Dyno_Data[Team],Dyno_Data[[#This Row],[Team]],Dyno_Data[RecordType],"StartMatch",Dyno_Data[Match],Dyno_Data[[#This Row],[Match]]),0)*86400),0)</f>
        <v>0</v>
      </c>
    </row>
    <row r="2158" spans="1:35" x14ac:dyDescent="0.3">
      <c r="A2158">
        <v>2157</v>
      </c>
      <c r="B2158" t="s">
        <v>1315</v>
      </c>
      <c r="C2158">
        <v>41</v>
      </c>
      <c r="D2158" s="105">
        <v>45373.657665509258</v>
      </c>
      <c r="E2158" t="s">
        <v>312</v>
      </c>
      <c r="F2158" t="s">
        <v>1402</v>
      </c>
      <c r="G2158">
        <v>0</v>
      </c>
      <c r="H2158" t="s">
        <v>315</v>
      </c>
      <c r="I2158">
        <v>0</v>
      </c>
      <c r="J2158">
        <v>0</v>
      </c>
      <c r="K2158">
        <v>0</v>
      </c>
      <c r="L2158" t="s">
        <v>241</v>
      </c>
      <c r="M2158" t="s">
        <v>1398</v>
      </c>
      <c r="N2158">
        <v>0</v>
      </c>
      <c r="O2158" t="s">
        <v>1391</v>
      </c>
      <c r="P2158" t="s">
        <v>310</v>
      </c>
      <c r="Q2158" t="s">
        <v>310</v>
      </c>
      <c r="R2158" t="s">
        <v>310</v>
      </c>
      <c r="S2158">
        <v>9</v>
      </c>
      <c r="T2158" t="s">
        <v>310</v>
      </c>
      <c r="U2158">
        <v>9</v>
      </c>
      <c r="V2158">
        <v>9</v>
      </c>
      <c r="W2158">
        <v>0</v>
      </c>
      <c r="X2158">
        <v>0</v>
      </c>
      <c r="Y2158">
        <v>0</v>
      </c>
      <c r="Z2158">
        <v>0</v>
      </c>
      <c r="AA2158">
        <v>9</v>
      </c>
      <c r="AB2158">
        <v>9</v>
      </c>
      <c r="AC2158" t="s">
        <v>310</v>
      </c>
      <c r="AD2158">
        <v>9</v>
      </c>
      <c r="AE2158" t="s">
        <v>1413</v>
      </c>
      <c r="AF2158">
        <v>90000000</v>
      </c>
      <c r="AG2158" t="s">
        <v>310</v>
      </c>
      <c r="AH2158">
        <f>SUM((MID(Dyno_Data[[#This Row],[Team]],4,5))+(Dyno_Data[[#This Row],[Match]]/100))</f>
        <v>1511.41</v>
      </c>
      <c r="AI2158" s="76">
        <f>ROUND(SUM(IF(Dyno_Data[[#This Row],[AcqCenter]]&gt;0,Dyno_Data[[#This Row],[Time]]-SUMIFS(Dyno_Data[Time],Dyno_Data[Team],Dyno_Data[[#This Row],[Team]],Dyno_Data[RecordType],"StartMatch",Dyno_Data[Match],Dyno_Data[[#This Row],[Match]]),0)*86400),0)</f>
        <v>0</v>
      </c>
    </row>
    <row r="2159" spans="1:35" x14ac:dyDescent="0.3">
      <c r="A2159">
        <v>2158</v>
      </c>
      <c r="B2159" t="s">
        <v>1295</v>
      </c>
      <c r="C2159">
        <v>41</v>
      </c>
      <c r="D2159" s="105">
        <v>45373.657685763887</v>
      </c>
      <c r="E2159" t="s">
        <v>312</v>
      </c>
      <c r="F2159" t="s">
        <v>1402</v>
      </c>
      <c r="G2159">
        <v>0</v>
      </c>
      <c r="H2159" t="s">
        <v>315</v>
      </c>
      <c r="I2159">
        <v>0</v>
      </c>
      <c r="J2159">
        <v>0</v>
      </c>
      <c r="K2159">
        <v>0</v>
      </c>
      <c r="L2159" t="s">
        <v>241</v>
      </c>
      <c r="M2159" t="s">
        <v>101</v>
      </c>
      <c r="N2159">
        <v>0</v>
      </c>
      <c r="O2159" t="s">
        <v>319</v>
      </c>
      <c r="P2159" t="s">
        <v>310</v>
      </c>
      <c r="Q2159" t="s">
        <v>310</v>
      </c>
      <c r="R2159" t="s">
        <v>310</v>
      </c>
      <c r="S2159">
        <v>9</v>
      </c>
      <c r="T2159" t="s">
        <v>310</v>
      </c>
      <c r="U2159">
        <v>9</v>
      </c>
      <c r="V2159">
        <v>9</v>
      </c>
      <c r="W2159">
        <v>0</v>
      </c>
      <c r="X2159">
        <v>0</v>
      </c>
      <c r="Y2159">
        <v>0</v>
      </c>
      <c r="Z2159">
        <v>0</v>
      </c>
      <c r="AA2159">
        <v>9</v>
      </c>
      <c r="AB2159">
        <v>9</v>
      </c>
      <c r="AC2159" t="s">
        <v>310</v>
      </c>
      <c r="AD2159">
        <v>9</v>
      </c>
      <c r="AE2159" t="s">
        <v>1388</v>
      </c>
      <c r="AF2159">
        <v>80002000</v>
      </c>
      <c r="AG2159" t="s">
        <v>310</v>
      </c>
      <c r="AH2159">
        <f>SUM((MID(Dyno_Data[[#This Row],[Team]],4,5))+(Dyno_Data[[#This Row],[Match]]/100))</f>
        <v>6300.41</v>
      </c>
      <c r="AI2159" s="76">
        <f>ROUND(SUM(IF(Dyno_Data[[#This Row],[AcqCenter]]&gt;0,Dyno_Data[[#This Row],[Time]]-SUMIFS(Dyno_Data[Time],Dyno_Data[Team],Dyno_Data[[#This Row],[Team]],Dyno_Data[RecordType],"StartMatch",Dyno_Data[Match],Dyno_Data[[#This Row],[Match]]),0)*86400),0)</f>
        <v>0</v>
      </c>
    </row>
    <row r="2160" spans="1:35" x14ac:dyDescent="0.3">
      <c r="A2160">
        <v>2159</v>
      </c>
      <c r="B2160" t="s">
        <v>1315</v>
      </c>
      <c r="C2160">
        <v>41</v>
      </c>
      <c r="D2160" s="105">
        <v>45373.657837037033</v>
      </c>
      <c r="E2160" t="s">
        <v>312</v>
      </c>
      <c r="F2160" t="s">
        <v>1402</v>
      </c>
      <c r="G2160">
        <v>0</v>
      </c>
      <c r="H2160" t="s">
        <v>315</v>
      </c>
      <c r="I2160">
        <v>0</v>
      </c>
      <c r="J2160">
        <v>0</v>
      </c>
      <c r="K2160">
        <v>0</v>
      </c>
      <c r="L2160" t="s">
        <v>241</v>
      </c>
      <c r="M2160" t="s">
        <v>241</v>
      </c>
      <c r="N2160">
        <v>0</v>
      </c>
      <c r="O2160" t="s">
        <v>1391</v>
      </c>
      <c r="P2160" t="s">
        <v>310</v>
      </c>
      <c r="Q2160" t="s">
        <v>310</v>
      </c>
      <c r="R2160" t="s">
        <v>310</v>
      </c>
      <c r="S2160">
        <v>9</v>
      </c>
      <c r="T2160" t="s">
        <v>310</v>
      </c>
      <c r="U2160">
        <v>9</v>
      </c>
      <c r="V2160">
        <v>9</v>
      </c>
      <c r="W2160">
        <v>0</v>
      </c>
      <c r="X2160">
        <v>0</v>
      </c>
      <c r="Y2160">
        <v>0</v>
      </c>
      <c r="Z2160">
        <v>0</v>
      </c>
      <c r="AA2160">
        <v>9</v>
      </c>
      <c r="AB2160">
        <v>9</v>
      </c>
      <c r="AC2160" t="s">
        <v>310</v>
      </c>
      <c r="AD2160">
        <v>9</v>
      </c>
      <c r="AE2160" t="s">
        <v>1413</v>
      </c>
      <c r="AF2160">
        <v>100000000</v>
      </c>
      <c r="AG2160" t="s">
        <v>310</v>
      </c>
      <c r="AH2160">
        <f>SUM((MID(Dyno_Data[[#This Row],[Team]],4,5))+(Dyno_Data[[#This Row],[Match]]/100))</f>
        <v>1511.41</v>
      </c>
      <c r="AI2160" s="76">
        <f>ROUND(SUM(IF(Dyno_Data[[#This Row],[AcqCenter]]&gt;0,Dyno_Data[[#This Row],[Time]]-SUMIFS(Dyno_Data[Time],Dyno_Data[Team],Dyno_Data[[#This Row],[Team]],Dyno_Data[RecordType],"StartMatch",Dyno_Data[Match],Dyno_Data[[#This Row],[Match]]),0)*86400),0)</f>
        <v>0</v>
      </c>
    </row>
    <row r="2161" spans="1:35" x14ac:dyDescent="0.3">
      <c r="A2161">
        <v>2160</v>
      </c>
      <c r="B2161" t="s">
        <v>1295</v>
      </c>
      <c r="C2161">
        <v>41</v>
      </c>
      <c r="D2161" s="105">
        <v>45373.657857326391</v>
      </c>
      <c r="E2161" t="s">
        <v>312</v>
      </c>
      <c r="F2161" t="s">
        <v>1402</v>
      </c>
      <c r="G2161">
        <v>0</v>
      </c>
      <c r="H2161" t="s">
        <v>315</v>
      </c>
      <c r="I2161">
        <v>0</v>
      </c>
      <c r="J2161">
        <v>0</v>
      </c>
      <c r="K2161">
        <v>0</v>
      </c>
      <c r="L2161" t="s">
        <v>240</v>
      </c>
      <c r="M2161" t="s">
        <v>1398</v>
      </c>
      <c r="N2161">
        <v>1</v>
      </c>
      <c r="O2161" t="s">
        <v>319</v>
      </c>
      <c r="P2161" t="s">
        <v>310</v>
      </c>
      <c r="Q2161" t="s">
        <v>310</v>
      </c>
      <c r="R2161" t="s">
        <v>310</v>
      </c>
      <c r="S2161">
        <v>9</v>
      </c>
      <c r="T2161" t="s">
        <v>310</v>
      </c>
      <c r="U2161">
        <v>9</v>
      </c>
      <c r="V2161">
        <v>9</v>
      </c>
      <c r="W2161">
        <v>0</v>
      </c>
      <c r="X2161">
        <v>0</v>
      </c>
      <c r="Y2161">
        <v>0</v>
      </c>
      <c r="Z2161">
        <v>0</v>
      </c>
      <c r="AA2161">
        <v>9</v>
      </c>
      <c r="AB2161">
        <v>9</v>
      </c>
      <c r="AC2161" t="s">
        <v>310</v>
      </c>
      <c r="AD2161">
        <v>9</v>
      </c>
      <c r="AE2161" t="s">
        <v>1388</v>
      </c>
      <c r="AF2161">
        <v>90002000</v>
      </c>
      <c r="AG2161" t="s">
        <v>310</v>
      </c>
      <c r="AH2161">
        <f>SUM((MID(Dyno_Data[[#This Row],[Team]],4,5))+(Dyno_Data[[#This Row],[Match]]/100))</f>
        <v>6300.41</v>
      </c>
      <c r="AI2161" s="76">
        <f>ROUND(SUM(IF(Dyno_Data[[#This Row],[AcqCenter]]&gt;0,Dyno_Data[[#This Row],[Time]]-SUMIFS(Dyno_Data[Time],Dyno_Data[Team],Dyno_Data[[#This Row],[Team]],Dyno_Data[RecordType],"StartMatch",Dyno_Data[Match],Dyno_Data[[#This Row],[Match]]),0)*86400),0)</f>
        <v>0</v>
      </c>
    </row>
    <row r="2162" spans="1:35" x14ac:dyDescent="0.3">
      <c r="A2162">
        <v>2161</v>
      </c>
      <c r="B2162" t="s">
        <v>367</v>
      </c>
      <c r="C2162">
        <v>41</v>
      </c>
      <c r="D2162" s="105">
        <v>45373.658900115741</v>
      </c>
      <c r="E2162" t="s">
        <v>316</v>
      </c>
      <c r="F2162" t="s">
        <v>317</v>
      </c>
      <c r="G2162">
        <v>1</v>
      </c>
      <c r="H2162" t="s">
        <v>310</v>
      </c>
      <c r="I2162">
        <v>0</v>
      </c>
      <c r="J2162">
        <v>0</v>
      </c>
      <c r="K2162">
        <v>0</v>
      </c>
      <c r="L2162" t="s">
        <v>310</v>
      </c>
      <c r="M2162" t="s">
        <v>310</v>
      </c>
      <c r="N2162">
        <v>0</v>
      </c>
      <c r="O2162" t="s">
        <v>311</v>
      </c>
      <c r="P2162" t="s">
        <v>240</v>
      </c>
      <c r="Q2162" t="s">
        <v>1399</v>
      </c>
      <c r="R2162" t="s">
        <v>1405</v>
      </c>
      <c r="S2162">
        <v>1</v>
      </c>
      <c r="T2162" t="s">
        <v>1407</v>
      </c>
      <c r="U2162">
        <v>0</v>
      </c>
      <c r="V2162">
        <v>0</v>
      </c>
      <c r="W2162">
        <v>1.6282983</v>
      </c>
      <c r="X2162">
        <v>25.402569999999997</v>
      </c>
      <c r="Y2162">
        <v>11.654507199999999</v>
      </c>
      <c r="Z2162">
        <v>86.385257600000003</v>
      </c>
      <c r="AA2162">
        <v>0</v>
      </c>
      <c r="AB2162">
        <v>1</v>
      </c>
      <c r="AC2162" t="s">
        <v>174</v>
      </c>
      <c r="AD2162">
        <v>0</v>
      </c>
      <c r="AE2162" t="s">
        <v>1414</v>
      </c>
      <c r="AF2162">
        <v>80000000</v>
      </c>
      <c r="AG2162" t="s">
        <v>310</v>
      </c>
      <c r="AH2162">
        <f>SUM((MID(Dyno_Data[[#This Row],[Team]],4,5))+(Dyno_Data[[#This Row],[Match]]/100))</f>
        <v>5016.41</v>
      </c>
      <c r="AI2162" s="76">
        <f>ROUND(SUM(IF(Dyno_Data[[#This Row],[AcqCenter]]&gt;0,Dyno_Data[[#This Row],[Time]]-SUMIFS(Dyno_Data[Time],Dyno_Data[Team],Dyno_Data[[#This Row],[Team]],Dyno_Data[RecordType],"StartMatch",Dyno_Data[Match],Dyno_Data[[#This Row],[Match]]),0)*86400),0)</f>
        <v>0</v>
      </c>
    </row>
    <row r="2163" spans="1:35" x14ac:dyDescent="0.3">
      <c r="A2163">
        <v>2162</v>
      </c>
      <c r="B2163" t="s">
        <v>1315</v>
      </c>
      <c r="C2163">
        <v>41</v>
      </c>
      <c r="D2163" s="105">
        <v>45373.6589002662</v>
      </c>
      <c r="E2163" t="s">
        <v>316</v>
      </c>
      <c r="F2163" t="s">
        <v>317</v>
      </c>
      <c r="G2163">
        <v>1</v>
      </c>
      <c r="H2163" t="s">
        <v>310</v>
      </c>
      <c r="I2163">
        <v>0</v>
      </c>
      <c r="J2163">
        <v>0</v>
      </c>
      <c r="K2163">
        <v>0</v>
      </c>
      <c r="L2163" t="s">
        <v>310</v>
      </c>
      <c r="M2163" t="s">
        <v>310</v>
      </c>
      <c r="N2163">
        <v>0</v>
      </c>
      <c r="O2163" t="s">
        <v>1391</v>
      </c>
      <c r="P2163" t="s">
        <v>101</v>
      </c>
      <c r="Q2163" t="s">
        <v>1400</v>
      </c>
      <c r="R2163" t="s">
        <v>1404</v>
      </c>
      <c r="S2163">
        <v>-1</v>
      </c>
      <c r="T2163" t="s">
        <v>105</v>
      </c>
      <c r="U2163">
        <v>9</v>
      </c>
      <c r="V2163">
        <v>9</v>
      </c>
      <c r="W2163">
        <v>12.060832</v>
      </c>
      <c r="X2163">
        <v>24.739870799999998</v>
      </c>
      <c r="Y2163">
        <v>72.947005300000001</v>
      </c>
      <c r="Z2163">
        <v>28.5574941</v>
      </c>
      <c r="AA2163">
        <v>0</v>
      </c>
      <c r="AB2163">
        <v>0</v>
      </c>
      <c r="AC2163" t="s">
        <v>171</v>
      </c>
      <c r="AD2163">
        <v>9</v>
      </c>
      <c r="AE2163" t="s">
        <v>1413</v>
      </c>
      <c r="AF2163">
        <v>100000000</v>
      </c>
      <c r="AG2163" t="s">
        <v>310</v>
      </c>
      <c r="AH2163">
        <f>SUM((MID(Dyno_Data[[#This Row],[Team]],4,5))+(Dyno_Data[[#This Row],[Match]]/100))</f>
        <v>1511.41</v>
      </c>
      <c r="AI2163" s="76">
        <f>ROUND(SUM(IF(Dyno_Data[[#This Row],[AcqCenter]]&gt;0,Dyno_Data[[#This Row],[Time]]-SUMIFS(Dyno_Data[Time],Dyno_Data[Team],Dyno_Data[[#This Row],[Team]],Dyno_Data[RecordType],"StartMatch",Dyno_Data[Match],Dyno_Data[[#This Row],[Match]]),0)*86400),0)</f>
        <v>0</v>
      </c>
    </row>
    <row r="2164" spans="1:35" x14ac:dyDescent="0.3">
      <c r="A2164">
        <v>2163</v>
      </c>
      <c r="B2164" t="s">
        <v>1295</v>
      </c>
      <c r="C2164">
        <v>41</v>
      </c>
      <c r="D2164" s="105">
        <v>45373.658900381946</v>
      </c>
      <c r="E2164" t="s">
        <v>316</v>
      </c>
      <c r="F2164" t="s">
        <v>317</v>
      </c>
      <c r="G2164">
        <v>1</v>
      </c>
      <c r="H2164" t="s">
        <v>310</v>
      </c>
      <c r="I2164">
        <v>0</v>
      </c>
      <c r="J2164">
        <v>0</v>
      </c>
      <c r="K2164">
        <v>0</v>
      </c>
      <c r="L2164" t="s">
        <v>310</v>
      </c>
      <c r="M2164" t="s">
        <v>310</v>
      </c>
      <c r="N2164">
        <v>0</v>
      </c>
      <c r="O2164" t="s">
        <v>319</v>
      </c>
      <c r="P2164" t="s">
        <v>1401</v>
      </c>
      <c r="Q2164" t="s">
        <v>1400</v>
      </c>
      <c r="R2164" t="s">
        <v>1404</v>
      </c>
      <c r="S2164">
        <v>0</v>
      </c>
      <c r="T2164" t="s">
        <v>105</v>
      </c>
      <c r="U2164">
        <v>9</v>
      </c>
      <c r="V2164">
        <v>9</v>
      </c>
      <c r="W2164">
        <v>0</v>
      </c>
      <c r="X2164">
        <v>37.163894299999995</v>
      </c>
      <c r="Y2164">
        <v>18.206879199999999</v>
      </c>
      <c r="Z2164">
        <v>71.460311300000001</v>
      </c>
      <c r="AA2164">
        <v>0</v>
      </c>
      <c r="AB2164">
        <v>0</v>
      </c>
      <c r="AC2164" t="s">
        <v>174</v>
      </c>
      <c r="AD2164">
        <v>9</v>
      </c>
      <c r="AE2164" t="s">
        <v>1388</v>
      </c>
      <c r="AF2164">
        <v>90002000</v>
      </c>
      <c r="AG2164" t="s">
        <v>310</v>
      </c>
      <c r="AH2164">
        <f>SUM((MID(Dyno_Data[[#This Row],[Team]],4,5))+(Dyno_Data[[#This Row],[Match]]/100))</f>
        <v>6300.41</v>
      </c>
      <c r="AI2164" s="76">
        <f>ROUND(SUM(IF(Dyno_Data[[#This Row],[AcqCenter]]&gt;0,Dyno_Data[[#This Row],[Time]]-SUMIFS(Dyno_Data[Time],Dyno_Data[Team],Dyno_Data[[#This Row],[Team]],Dyno_Data[RecordType],"StartMatch",Dyno_Data[Match],Dyno_Data[[#This Row],[Match]]),0)*86400),0)</f>
        <v>0</v>
      </c>
    </row>
    <row r="2165" spans="1:35" x14ac:dyDescent="0.3">
      <c r="A2165">
        <v>2164</v>
      </c>
      <c r="B2165" t="s">
        <v>365</v>
      </c>
      <c r="C2165">
        <v>41</v>
      </c>
      <c r="D2165" s="105">
        <v>45373.658900497685</v>
      </c>
      <c r="E2165" t="s">
        <v>316</v>
      </c>
      <c r="F2165" t="s">
        <v>317</v>
      </c>
      <c r="G2165">
        <v>1</v>
      </c>
      <c r="H2165" t="s">
        <v>310</v>
      </c>
      <c r="I2165">
        <v>0</v>
      </c>
      <c r="J2165">
        <v>0</v>
      </c>
      <c r="K2165">
        <v>0</v>
      </c>
      <c r="L2165" t="s">
        <v>310</v>
      </c>
      <c r="M2165" t="s">
        <v>310</v>
      </c>
      <c r="N2165">
        <v>0</v>
      </c>
      <c r="O2165" t="s">
        <v>1393</v>
      </c>
      <c r="P2165" t="s">
        <v>240</v>
      </c>
      <c r="Q2165" t="s">
        <v>1399</v>
      </c>
      <c r="R2165" t="s">
        <v>1405</v>
      </c>
      <c r="S2165">
        <v>1</v>
      </c>
      <c r="T2165" t="s">
        <v>1407</v>
      </c>
      <c r="U2165">
        <v>1</v>
      </c>
      <c r="V2165">
        <v>1</v>
      </c>
      <c r="W2165">
        <v>13.1788346</v>
      </c>
      <c r="X2165">
        <v>32.902048600000001</v>
      </c>
      <c r="Y2165">
        <v>13.845925699999999</v>
      </c>
      <c r="Z2165">
        <v>64.504290299999994</v>
      </c>
      <c r="AA2165">
        <v>0</v>
      </c>
      <c r="AB2165">
        <v>0</v>
      </c>
      <c r="AC2165" t="s">
        <v>174</v>
      </c>
      <c r="AD2165">
        <v>1</v>
      </c>
      <c r="AE2165" t="s">
        <v>1396</v>
      </c>
      <c r="AF2165">
        <v>80000000</v>
      </c>
      <c r="AG2165" t="s">
        <v>310</v>
      </c>
      <c r="AH2165">
        <f>SUM((MID(Dyno_Data[[#This Row],[Team]],4,5))+(Dyno_Data[[#This Row],[Match]]/100))</f>
        <v>3171.41</v>
      </c>
      <c r="AI2165" s="76">
        <f>ROUND(SUM(IF(Dyno_Data[[#This Row],[AcqCenter]]&gt;0,Dyno_Data[[#This Row],[Time]]-SUMIFS(Dyno_Data[Time],Dyno_Data[Team],Dyno_Data[[#This Row],[Team]],Dyno_Data[RecordType],"StartMatch",Dyno_Data[Match],Dyno_Data[[#This Row],[Match]]),0)*86400),0)</f>
        <v>0</v>
      </c>
    </row>
    <row r="2166" spans="1:35" x14ac:dyDescent="0.3">
      <c r="A2166">
        <v>2165</v>
      </c>
      <c r="B2166" t="s">
        <v>1284</v>
      </c>
      <c r="C2166">
        <v>41</v>
      </c>
      <c r="D2166" s="105">
        <v>45373.658900578703</v>
      </c>
      <c r="E2166" t="s">
        <v>316</v>
      </c>
      <c r="F2166" t="s">
        <v>317</v>
      </c>
      <c r="G2166">
        <v>1</v>
      </c>
      <c r="H2166" t="s">
        <v>310</v>
      </c>
      <c r="I2166">
        <v>0</v>
      </c>
      <c r="J2166">
        <v>0</v>
      </c>
      <c r="K2166">
        <v>0</v>
      </c>
      <c r="L2166" t="s">
        <v>310</v>
      </c>
      <c r="M2166" t="s">
        <v>310</v>
      </c>
      <c r="N2166">
        <v>0</v>
      </c>
      <c r="O2166" t="s">
        <v>1389</v>
      </c>
      <c r="P2166" t="s">
        <v>1401</v>
      </c>
      <c r="Q2166" t="s">
        <v>1400</v>
      </c>
      <c r="R2166" t="s">
        <v>1404</v>
      </c>
      <c r="S2166">
        <v>0</v>
      </c>
      <c r="T2166" t="s">
        <v>105</v>
      </c>
      <c r="U2166">
        <v>9</v>
      </c>
      <c r="V2166">
        <v>9</v>
      </c>
      <c r="W2166">
        <v>0</v>
      </c>
      <c r="X2166">
        <v>33.268647099999995</v>
      </c>
      <c r="Y2166">
        <v>24.0217481</v>
      </c>
      <c r="Z2166">
        <v>76.400568800000002</v>
      </c>
      <c r="AA2166">
        <v>0</v>
      </c>
      <c r="AB2166">
        <v>0</v>
      </c>
      <c r="AC2166" t="s">
        <v>174</v>
      </c>
      <c r="AD2166">
        <v>9</v>
      </c>
      <c r="AE2166" t="s">
        <v>1390</v>
      </c>
      <c r="AF2166">
        <v>40000000</v>
      </c>
      <c r="AG2166" t="s">
        <v>310</v>
      </c>
      <c r="AH2166">
        <f>SUM((MID(Dyno_Data[[#This Row],[Team]],4,5))+(Dyno_Data[[#This Row],[Match]]/100))</f>
        <v>5590.41</v>
      </c>
      <c r="AI2166" s="76">
        <f>ROUND(SUM(IF(Dyno_Data[[#This Row],[AcqCenter]]&gt;0,Dyno_Data[[#This Row],[Time]]-SUMIFS(Dyno_Data[Time],Dyno_Data[Team],Dyno_Data[[#This Row],[Team]],Dyno_Data[RecordType],"StartMatch",Dyno_Data[Match],Dyno_Data[[#This Row],[Match]]),0)*86400),0)</f>
        <v>0</v>
      </c>
    </row>
    <row r="2167" spans="1:35" x14ac:dyDescent="0.3">
      <c r="A2167">
        <v>2166</v>
      </c>
      <c r="B2167" t="s">
        <v>1314</v>
      </c>
      <c r="C2167">
        <v>41</v>
      </c>
      <c r="D2167" s="105">
        <v>45373.658900694441</v>
      </c>
      <c r="E2167" t="s">
        <v>316</v>
      </c>
      <c r="F2167" t="s">
        <v>317</v>
      </c>
      <c r="G2167">
        <v>1</v>
      </c>
      <c r="H2167" t="s">
        <v>310</v>
      </c>
      <c r="I2167">
        <v>0</v>
      </c>
      <c r="J2167">
        <v>0</v>
      </c>
      <c r="K2167">
        <v>0</v>
      </c>
      <c r="L2167" t="s">
        <v>310</v>
      </c>
      <c r="M2167" t="s">
        <v>310</v>
      </c>
      <c r="N2167">
        <v>0</v>
      </c>
      <c r="O2167" t="s">
        <v>1395</v>
      </c>
      <c r="P2167" t="s">
        <v>101</v>
      </c>
      <c r="Q2167" t="s">
        <v>1400</v>
      </c>
      <c r="R2167" t="s">
        <v>1405</v>
      </c>
      <c r="S2167">
        <v>1</v>
      </c>
      <c r="T2167" t="s">
        <v>1407</v>
      </c>
      <c r="U2167">
        <v>1</v>
      </c>
      <c r="V2167">
        <v>1</v>
      </c>
      <c r="W2167">
        <v>15.869890499999999</v>
      </c>
      <c r="X2167">
        <v>34.116684100000001</v>
      </c>
      <c r="Y2167">
        <v>19.707434299999999</v>
      </c>
      <c r="Z2167">
        <v>57.468087099999998</v>
      </c>
      <c r="AA2167">
        <v>0</v>
      </c>
      <c r="AB2167">
        <v>0</v>
      </c>
      <c r="AC2167" t="s">
        <v>174</v>
      </c>
      <c r="AD2167">
        <v>9</v>
      </c>
      <c r="AE2167" t="s">
        <v>1412</v>
      </c>
      <c r="AF2167">
        <v>100000000</v>
      </c>
      <c r="AG2167" t="s">
        <v>310</v>
      </c>
      <c r="AH2167">
        <f>SUM((MID(Dyno_Data[[#This Row],[Team]],4,5))+(Dyno_Data[[#This Row],[Match]]/100))</f>
        <v>3419.41</v>
      </c>
      <c r="AI2167" s="76">
        <f>ROUND(SUM(IF(Dyno_Data[[#This Row],[AcqCenter]]&gt;0,Dyno_Data[[#This Row],[Time]]-SUMIFS(Dyno_Data[Time],Dyno_Data[Team],Dyno_Data[[#This Row],[Team]],Dyno_Data[RecordType],"StartMatch",Dyno_Data[Match],Dyno_Data[[#This Row],[Match]]),0)*86400),0)</f>
        <v>0</v>
      </c>
    </row>
    <row r="2168" spans="1:35" x14ac:dyDescent="0.3">
      <c r="A2168">
        <v>2173</v>
      </c>
      <c r="B2168" t="s">
        <v>1278</v>
      </c>
      <c r="C2168">
        <v>42</v>
      </c>
      <c r="D2168" s="105">
        <v>45373.666702511575</v>
      </c>
      <c r="E2168" t="s">
        <v>308</v>
      </c>
      <c r="F2168" t="s">
        <v>309</v>
      </c>
      <c r="G2168">
        <v>0</v>
      </c>
      <c r="H2168" t="s">
        <v>310</v>
      </c>
      <c r="I2168">
        <v>0</v>
      </c>
      <c r="J2168">
        <v>0</v>
      </c>
      <c r="K2168">
        <v>0</v>
      </c>
      <c r="L2168" t="s">
        <v>310</v>
      </c>
      <c r="M2168" t="s">
        <v>310</v>
      </c>
      <c r="N2168">
        <v>0</v>
      </c>
      <c r="O2168" t="s">
        <v>311</v>
      </c>
      <c r="P2168" t="s">
        <v>310</v>
      </c>
      <c r="Q2168" t="s">
        <v>310</v>
      </c>
      <c r="R2168" t="s">
        <v>310</v>
      </c>
      <c r="S2168">
        <v>9</v>
      </c>
      <c r="T2168" t="s">
        <v>310</v>
      </c>
      <c r="U2168">
        <v>9</v>
      </c>
      <c r="V2168">
        <v>9</v>
      </c>
      <c r="W2168">
        <v>0</v>
      </c>
      <c r="X2168">
        <v>0</v>
      </c>
      <c r="Y2168">
        <v>0</v>
      </c>
      <c r="Z2168">
        <v>0</v>
      </c>
      <c r="AA2168">
        <v>9</v>
      </c>
      <c r="AB2168">
        <v>9</v>
      </c>
      <c r="AC2168" t="s">
        <v>310</v>
      </c>
      <c r="AD2168">
        <v>9</v>
      </c>
      <c r="AE2168" t="s">
        <v>1388</v>
      </c>
      <c r="AF2168">
        <v>20100000</v>
      </c>
      <c r="AG2168" t="s">
        <v>310</v>
      </c>
      <c r="AH2168">
        <f>SUM((MID(Dyno_Data[[#This Row],[Team]],4,5))+(Dyno_Data[[#This Row],[Match]]/100))</f>
        <v>3951.42</v>
      </c>
      <c r="AI2168" s="76">
        <f>ROUND(SUM(IF(Dyno_Data[[#This Row],[AcqCenter]]&gt;0,Dyno_Data[[#This Row],[Time]]-SUMIFS(Dyno_Data[Time],Dyno_Data[Team],Dyno_Data[[#This Row],[Team]],Dyno_Data[RecordType],"StartMatch",Dyno_Data[Match],Dyno_Data[[#This Row],[Match]]),0)*86400),0)</f>
        <v>0</v>
      </c>
    </row>
    <row r="2169" spans="1:35" x14ac:dyDescent="0.3">
      <c r="A2169">
        <v>2175</v>
      </c>
      <c r="B2169" t="s">
        <v>1306</v>
      </c>
      <c r="C2169">
        <v>42</v>
      </c>
      <c r="D2169" s="105">
        <v>45373.66670396991</v>
      </c>
      <c r="E2169" t="s">
        <v>308</v>
      </c>
      <c r="F2169" t="s">
        <v>309</v>
      </c>
      <c r="G2169">
        <v>0</v>
      </c>
      <c r="H2169" t="s">
        <v>310</v>
      </c>
      <c r="I2169">
        <v>0</v>
      </c>
      <c r="J2169">
        <v>0</v>
      </c>
      <c r="K2169">
        <v>0</v>
      </c>
      <c r="L2169" t="s">
        <v>310</v>
      </c>
      <c r="M2169" t="s">
        <v>310</v>
      </c>
      <c r="N2169">
        <v>0</v>
      </c>
      <c r="O2169" t="s">
        <v>1391</v>
      </c>
      <c r="P2169" t="s">
        <v>310</v>
      </c>
      <c r="Q2169" t="s">
        <v>310</v>
      </c>
      <c r="R2169" t="s">
        <v>310</v>
      </c>
      <c r="S2169">
        <v>9</v>
      </c>
      <c r="T2169" t="s">
        <v>310</v>
      </c>
      <c r="U2169">
        <v>9</v>
      </c>
      <c r="V2169">
        <v>9</v>
      </c>
      <c r="W2169">
        <v>0</v>
      </c>
      <c r="X2169">
        <v>0</v>
      </c>
      <c r="Y2169">
        <v>0</v>
      </c>
      <c r="Z2169">
        <v>0</v>
      </c>
      <c r="AA2169">
        <v>9</v>
      </c>
      <c r="AB2169">
        <v>9</v>
      </c>
      <c r="AC2169" t="s">
        <v>310</v>
      </c>
      <c r="AD2169">
        <v>9</v>
      </c>
      <c r="AE2169" t="s">
        <v>1412</v>
      </c>
      <c r="AF2169">
        <v>0</v>
      </c>
      <c r="AG2169" t="s">
        <v>310</v>
      </c>
      <c r="AH2169">
        <f>SUM((MID(Dyno_Data[[#This Row],[Team]],4,5))+(Dyno_Data[[#This Row],[Match]]/100))</f>
        <v>3986.42</v>
      </c>
      <c r="AI2169" s="76">
        <f>ROUND(SUM(IF(Dyno_Data[[#This Row],[AcqCenter]]&gt;0,Dyno_Data[[#This Row],[Time]]-SUMIFS(Dyno_Data[Time],Dyno_Data[Team],Dyno_Data[[#This Row],[Team]],Dyno_Data[RecordType],"StartMatch",Dyno_Data[Match],Dyno_Data[[#This Row],[Match]]),0)*86400),0)</f>
        <v>0</v>
      </c>
    </row>
    <row r="2170" spans="1:35" x14ac:dyDescent="0.3">
      <c r="A2170">
        <v>2177</v>
      </c>
      <c r="B2170" t="s">
        <v>1285</v>
      </c>
      <c r="C2170">
        <v>42</v>
      </c>
      <c r="D2170" s="105">
        <v>45373.666706099539</v>
      </c>
      <c r="E2170" t="s">
        <v>308</v>
      </c>
      <c r="F2170" t="s">
        <v>309</v>
      </c>
      <c r="G2170">
        <v>0</v>
      </c>
      <c r="H2170" t="s">
        <v>310</v>
      </c>
      <c r="I2170">
        <v>0</v>
      </c>
      <c r="J2170">
        <v>0</v>
      </c>
      <c r="K2170">
        <v>0</v>
      </c>
      <c r="L2170" t="s">
        <v>310</v>
      </c>
      <c r="M2170" t="s">
        <v>310</v>
      </c>
      <c r="N2170">
        <v>0</v>
      </c>
      <c r="O2170" t="s">
        <v>1393</v>
      </c>
      <c r="P2170" t="s">
        <v>310</v>
      </c>
      <c r="Q2170" t="s">
        <v>310</v>
      </c>
      <c r="R2170" t="s">
        <v>310</v>
      </c>
      <c r="S2170">
        <v>9</v>
      </c>
      <c r="T2170" t="s">
        <v>310</v>
      </c>
      <c r="U2170">
        <v>9</v>
      </c>
      <c r="V2170">
        <v>9</v>
      </c>
      <c r="W2170">
        <v>0</v>
      </c>
      <c r="X2170">
        <v>0</v>
      </c>
      <c r="Y2170">
        <v>0</v>
      </c>
      <c r="Z2170">
        <v>0</v>
      </c>
      <c r="AA2170">
        <v>9</v>
      </c>
      <c r="AB2170">
        <v>9</v>
      </c>
      <c r="AC2170" t="s">
        <v>310</v>
      </c>
      <c r="AD2170">
        <v>9</v>
      </c>
      <c r="AE2170" t="s">
        <v>1396</v>
      </c>
      <c r="AF2170">
        <v>10000000</v>
      </c>
      <c r="AG2170" t="s">
        <v>310</v>
      </c>
      <c r="AH2170">
        <f>SUM((MID(Dyno_Data[[#This Row],[Team]],4,5))+(Dyno_Data[[#This Row],[Match]]/100))</f>
        <v>5993.42</v>
      </c>
      <c r="AI2170" s="76">
        <f>ROUND(SUM(IF(Dyno_Data[[#This Row],[AcqCenter]]&gt;0,Dyno_Data[[#This Row],[Time]]-SUMIFS(Dyno_Data[Time],Dyno_Data[Team],Dyno_Data[[#This Row],[Team]],Dyno_Data[RecordType],"StartMatch",Dyno_Data[Match],Dyno_Data[[#This Row],[Match]]),0)*86400),0)</f>
        <v>0</v>
      </c>
    </row>
    <row r="2171" spans="1:35" x14ac:dyDescent="0.3">
      <c r="A2171">
        <v>2179</v>
      </c>
      <c r="B2171" t="s">
        <v>1302</v>
      </c>
      <c r="C2171">
        <v>42</v>
      </c>
      <c r="D2171" s="105">
        <v>45373.666706284719</v>
      </c>
      <c r="E2171" t="s">
        <v>308</v>
      </c>
      <c r="F2171" t="s">
        <v>309</v>
      </c>
      <c r="G2171">
        <v>0</v>
      </c>
      <c r="H2171" t="s">
        <v>310</v>
      </c>
      <c r="I2171">
        <v>0</v>
      </c>
      <c r="J2171">
        <v>0</v>
      </c>
      <c r="K2171">
        <v>0</v>
      </c>
      <c r="L2171" t="s">
        <v>310</v>
      </c>
      <c r="M2171" t="s">
        <v>310</v>
      </c>
      <c r="N2171">
        <v>0</v>
      </c>
      <c r="O2171" t="s">
        <v>1389</v>
      </c>
      <c r="P2171" t="s">
        <v>310</v>
      </c>
      <c r="Q2171" t="s">
        <v>310</v>
      </c>
      <c r="R2171" t="s">
        <v>310</v>
      </c>
      <c r="S2171">
        <v>9</v>
      </c>
      <c r="T2171" t="s">
        <v>310</v>
      </c>
      <c r="U2171">
        <v>9</v>
      </c>
      <c r="V2171">
        <v>9</v>
      </c>
      <c r="W2171">
        <v>0</v>
      </c>
      <c r="X2171">
        <v>0</v>
      </c>
      <c r="Y2171">
        <v>0</v>
      </c>
      <c r="Z2171">
        <v>0</v>
      </c>
      <c r="AA2171">
        <v>9</v>
      </c>
      <c r="AB2171">
        <v>9</v>
      </c>
      <c r="AC2171" t="s">
        <v>310</v>
      </c>
      <c r="AD2171">
        <v>9</v>
      </c>
      <c r="AE2171" t="s">
        <v>1390</v>
      </c>
      <c r="AF2171">
        <v>0</v>
      </c>
      <c r="AG2171" t="s">
        <v>310</v>
      </c>
      <c r="AH2171">
        <f>SUM((MID(Dyno_Data[[#This Row],[Team]],4,5))+(Dyno_Data[[#This Row],[Match]]/100))</f>
        <v>2095.42</v>
      </c>
      <c r="AI2171" s="76">
        <f>ROUND(SUM(IF(Dyno_Data[[#This Row],[AcqCenter]]&gt;0,Dyno_Data[[#This Row],[Time]]-SUMIFS(Dyno_Data[Time],Dyno_Data[Team],Dyno_Data[[#This Row],[Team]],Dyno_Data[RecordType],"StartMatch",Dyno_Data[Match],Dyno_Data[[#This Row],[Match]]),0)*86400),0)</f>
        <v>0</v>
      </c>
    </row>
    <row r="2172" spans="1:35" x14ac:dyDescent="0.3">
      <c r="A2172">
        <v>2167</v>
      </c>
      <c r="B2172" t="s">
        <v>1292</v>
      </c>
      <c r="C2172">
        <v>42</v>
      </c>
      <c r="D2172" s="105">
        <v>45373.666716122687</v>
      </c>
      <c r="E2172" t="s">
        <v>312</v>
      </c>
      <c r="F2172" t="s">
        <v>309</v>
      </c>
      <c r="G2172">
        <v>0</v>
      </c>
      <c r="H2172" t="s">
        <v>1397</v>
      </c>
      <c r="I2172">
        <v>0</v>
      </c>
      <c r="J2172">
        <v>0</v>
      </c>
      <c r="K2172">
        <v>0</v>
      </c>
      <c r="L2172" t="s">
        <v>240</v>
      </c>
      <c r="M2172" t="s">
        <v>1398</v>
      </c>
      <c r="N2172">
        <v>1</v>
      </c>
      <c r="O2172" t="s">
        <v>1395</v>
      </c>
      <c r="P2172" t="s">
        <v>310</v>
      </c>
      <c r="Q2172" t="s">
        <v>310</v>
      </c>
      <c r="R2172" t="s">
        <v>310</v>
      </c>
      <c r="S2172">
        <v>9</v>
      </c>
      <c r="T2172" t="s">
        <v>310</v>
      </c>
      <c r="U2172">
        <v>9</v>
      </c>
      <c r="V2172">
        <v>9</v>
      </c>
      <c r="W2172">
        <v>0</v>
      </c>
      <c r="X2172">
        <v>0</v>
      </c>
      <c r="Y2172">
        <v>0</v>
      </c>
      <c r="Z2172">
        <v>0</v>
      </c>
      <c r="AA2172">
        <v>9</v>
      </c>
      <c r="AB2172">
        <v>9</v>
      </c>
      <c r="AC2172" t="s">
        <v>310</v>
      </c>
      <c r="AD2172">
        <v>9</v>
      </c>
      <c r="AE2172" t="s">
        <v>1413</v>
      </c>
      <c r="AF2172">
        <v>0</v>
      </c>
      <c r="AG2172" t="s">
        <v>310</v>
      </c>
      <c r="AH2172">
        <f>SUM((MID(Dyno_Data[[#This Row],[Team]],4,5))+(Dyno_Data[[#This Row],[Match]]/100))</f>
        <v>7030.42</v>
      </c>
      <c r="AI2172" s="76">
        <f>ROUND(SUM(IF(Dyno_Data[[#This Row],[AcqCenter]]&gt;0,Dyno_Data[[#This Row],[Time]]-SUMIFS(Dyno_Data[Time],Dyno_Data[Team],Dyno_Data[[#This Row],[Team]],Dyno_Data[RecordType],"StartMatch",Dyno_Data[Match],Dyno_Data[[#This Row],[Match]]),0)*86400),0)</f>
        <v>0</v>
      </c>
    </row>
    <row r="2173" spans="1:35" x14ac:dyDescent="0.3">
      <c r="A2173">
        <v>2181</v>
      </c>
      <c r="B2173" t="s">
        <v>1294</v>
      </c>
      <c r="C2173">
        <v>42</v>
      </c>
      <c r="D2173" s="105">
        <v>45373.666716585649</v>
      </c>
      <c r="E2173" t="s">
        <v>308</v>
      </c>
      <c r="F2173" t="s">
        <v>309</v>
      </c>
      <c r="G2173">
        <v>0</v>
      </c>
      <c r="H2173" t="s">
        <v>310</v>
      </c>
      <c r="I2173">
        <v>0</v>
      </c>
      <c r="J2173">
        <v>0</v>
      </c>
      <c r="K2173">
        <v>0</v>
      </c>
      <c r="L2173" t="s">
        <v>310</v>
      </c>
      <c r="M2173" t="s">
        <v>310</v>
      </c>
      <c r="N2173">
        <v>0</v>
      </c>
      <c r="O2173" t="s">
        <v>319</v>
      </c>
      <c r="P2173" t="s">
        <v>310</v>
      </c>
      <c r="Q2173" t="s">
        <v>310</v>
      </c>
      <c r="R2173" t="s">
        <v>310</v>
      </c>
      <c r="S2173">
        <v>9</v>
      </c>
      <c r="T2173" t="s">
        <v>310</v>
      </c>
      <c r="U2173">
        <v>9</v>
      </c>
      <c r="V2173">
        <v>9</v>
      </c>
      <c r="W2173">
        <v>0</v>
      </c>
      <c r="X2173">
        <v>0</v>
      </c>
      <c r="Y2173">
        <v>0</v>
      </c>
      <c r="Z2173">
        <v>0</v>
      </c>
      <c r="AA2173">
        <v>9</v>
      </c>
      <c r="AB2173">
        <v>9</v>
      </c>
      <c r="AC2173" t="s">
        <v>310</v>
      </c>
      <c r="AD2173">
        <v>9</v>
      </c>
      <c r="AE2173" t="s">
        <v>1414</v>
      </c>
      <c r="AF2173">
        <v>0</v>
      </c>
      <c r="AG2173" t="s">
        <v>310</v>
      </c>
      <c r="AH2173">
        <f>SUM((MID(Dyno_Data[[#This Row],[Team]],4,5))+(Dyno_Data[[#This Row],[Match]]/100))</f>
        <v>9076.42</v>
      </c>
      <c r="AI2173" s="76">
        <f>ROUND(SUM(IF(Dyno_Data[[#This Row],[AcqCenter]]&gt;0,Dyno_Data[[#This Row],[Time]]-SUMIFS(Dyno_Data[Time],Dyno_Data[Team],Dyno_Data[[#This Row],[Team]],Dyno_Data[RecordType],"StartMatch",Dyno_Data[Match],Dyno_Data[[#This Row],[Match]]),0)*86400),0)</f>
        <v>0</v>
      </c>
    </row>
    <row r="2174" spans="1:35" x14ac:dyDescent="0.3">
      <c r="A2174">
        <v>2183</v>
      </c>
      <c r="B2174" t="s">
        <v>1292</v>
      </c>
      <c r="C2174">
        <v>42</v>
      </c>
      <c r="D2174" s="105">
        <v>45373.666734687497</v>
      </c>
      <c r="E2174" t="s">
        <v>308</v>
      </c>
      <c r="F2174" t="s">
        <v>309</v>
      </c>
      <c r="G2174">
        <v>0</v>
      </c>
      <c r="H2174" t="s">
        <v>310</v>
      </c>
      <c r="I2174">
        <v>0</v>
      </c>
      <c r="J2174">
        <v>0</v>
      </c>
      <c r="K2174">
        <v>0</v>
      </c>
      <c r="L2174" t="s">
        <v>310</v>
      </c>
      <c r="M2174" t="s">
        <v>310</v>
      </c>
      <c r="N2174">
        <v>0</v>
      </c>
      <c r="O2174" t="s">
        <v>1395</v>
      </c>
      <c r="P2174" t="s">
        <v>310</v>
      </c>
      <c r="Q2174" t="s">
        <v>310</v>
      </c>
      <c r="R2174" t="s">
        <v>310</v>
      </c>
      <c r="S2174">
        <v>9</v>
      </c>
      <c r="T2174" t="s">
        <v>310</v>
      </c>
      <c r="U2174">
        <v>9</v>
      </c>
      <c r="V2174">
        <v>9</v>
      </c>
      <c r="W2174">
        <v>0</v>
      </c>
      <c r="X2174">
        <v>0</v>
      </c>
      <c r="Y2174">
        <v>0</v>
      </c>
      <c r="Z2174">
        <v>0</v>
      </c>
      <c r="AA2174">
        <v>9</v>
      </c>
      <c r="AB2174">
        <v>9</v>
      </c>
      <c r="AC2174" t="s">
        <v>310</v>
      </c>
      <c r="AD2174">
        <v>9</v>
      </c>
      <c r="AE2174" t="s">
        <v>1413</v>
      </c>
      <c r="AF2174">
        <v>0</v>
      </c>
      <c r="AG2174" t="s">
        <v>310</v>
      </c>
      <c r="AH2174">
        <f>SUM((MID(Dyno_Data[[#This Row],[Team]],4,5))+(Dyno_Data[[#This Row],[Match]]/100))</f>
        <v>7030.42</v>
      </c>
      <c r="AI2174" s="76">
        <f>ROUND(SUM(IF(Dyno_Data[[#This Row],[AcqCenter]]&gt;0,Dyno_Data[[#This Row],[Time]]-SUMIFS(Dyno_Data[Time],Dyno_Data[Team],Dyno_Data[[#This Row],[Team]],Dyno_Data[RecordType],"StartMatch",Dyno_Data[Match],Dyno_Data[[#This Row],[Match]]),0)*86400),0)</f>
        <v>0</v>
      </c>
    </row>
    <row r="2175" spans="1:35" x14ac:dyDescent="0.3">
      <c r="A2175">
        <v>2168</v>
      </c>
      <c r="B2175" t="s">
        <v>1278</v>
      </c>
      <c r="C2175">
        <v>42</v>
      </c>
      <c r="D2175" s="105">
        <v>45373.666735729166</v>
      </c>
      <c r="E2175" t="s">
        <v>312</v>
      </c>
      <c r="F2175" t="s">
        <v>309</v>
      </c>
      <c r="G2175">
        <v>0</v>
      </c>
      <c r="H2175" t="s">
        <v>1397</v>
      </c>
      <c r="I2175">
        <v>0</v>
      </c>
      <c r="J2175">
        <v>0</v>
      </c>
      <c r="K2175">
        <v>0</v>
      </c>
      <c r="L2175" t="s">
        <v>240</v>
      </c>
      <c r="M2175" t="s">
        <v>1398</v>
      </c>
      <c r="N2175">
        <v>0</v>
      </c>
      <c r="O2175" t="s">
        <v>311</v>
      </c>
      <c r="P2175" t="s">
        <v>310</v>
      </c>
      <c r="Q2175" t="s">
        <v>310</v>
      </c>
      <c r="R2175" t="s">
        <v>310</v>
      </c>
      <c r="S2175">
        <v>9</v>
      </c>
      <c r="T2175" t="s">
        <v>310</v>
      </c>
      <c r="U2175">
        <v>9</v>
      </c>
      <c r="V2175">
        <v>9</v>
      </c>
      <c r="W2175">
        <v>0</v>
      </c>
      <c r="X2175">
        <v>0</v>
      </c>
      <c r="Y2175">
        <v>0</v>
      </c>
      <c r="Z2175">
        <v>0</v>
      </c>
      <c r="AA2175">
        <v>9</v>
      </c>
      <c r="AB2175">
        <v>9</v>
      </c>
      <c r="AC2175" t="s">
        <v>310</v>
      </c>
      <c r="AD2175">
        <v>9</v>
      </c>
      <c r="AE2175" t="s">
        <v>1388</v>
      </c>
      <c r="AF2175">
        <v>100000</v>
      </c>
      <c r="AG2175" t="s">
        <v>310</v>
      </c>
      <c r="AH2175">
        <f>SUM((MID(Dyno_Data[[#This Row],[Team]],4,5))+(Dyno_Data[[#This Row],[Match]]/100))</f>
        <v>3951.42</v>
      </c>
      <c r="AI2175" s="76">
        <f>ROUND(SUM(IF(Dyno_Data[[#This Row],[AcqCenter]]&gt;0,Dyno_Data[[#This Row],[Time]]-SUMIFS(Dyno_Data[Time],Dyno_Data[Team],Dyno_Data[[#This Row],[Team]],Dyno_Data[RecordType],"StartMatch",Dyno_Data[Match],Dyno_Data[[#This Row],[Match]]),0)*86400),0)</f>
        <v>0</v>
      </c>
    </row>
    <row r="2176" spans="1:35" x14ac:dyDescent="0.3">
      <c r="A2176">
        <v>2169</v>
      </c>
      <c r="B2176" t="s">
        <v>1285</v>
      </c>
      <c r="C2176">
        <v>42</v>
      </c>
      <c r="D2176" s="105">
        <v>45373.666751620367</v>
      </c>
      <c r="E2176" t="s">
        <v>312</v>
      </c>
      <c r="F2176" t="s">
        <v>309</v>
      </c>
      <c r="G2176">
        <v>0</v>
      </c>
      <c r="H2176" t="s">
        <v>1397</v>
      </c>
      <c r="I2176">
        <v>0</v>
      </c>
      <c r="J2176">
        <v>0</v>
      </c>
      <c r="K2176">
        <v>0</v>
      </c>
      <c r="L2176" t="s">
        <v>240</v>
      </c>
      <c r="M2176" t="s">
        <v>1398</v>
      </c>
      <c r="N2176">
        <v>0</v>
      </c>
      <c r="O2176" t="s">
        <v>1393</v>
      </c>
      <c r="P2176" t="s">
        <v>310</v>
      </c>
      <c r="Q2176" t="s">
        <v>310</v>
      </c>
      <c r="R2176" t="s">
        <v>310</v>
      </c>
      <c r="S2176">
        <v>9</v>
      </c>
      <c r="T2176" t="s">
        <v>310</v>
      </c>
      <c r="U2176">
        <v>9</v>
      </c>
      <c r="V2176">
        <v>9</v>
      </c>
      <c r="W2176">
        <v>0</v>
      </c>
      <c r="X2176">
        <v>0</v>
      </c>
      <c r="Y2176">
        <v>0</v>
      </c>
      <c r="Z2176">
        <v>0</v>
      </c>
      <c r="AA2176">
        <v>9</v>
      </c>
      <c r="AB2176">
        <v>9</v>
      </c>
      <c r="AC2176" t="s">
        <v>310</v>
      </c>
      <c r="AD2176">
        <v>9</v>
      </c>
      <c r="AE2176" t="s">
        <v>1396</v>
      </c>
      <c r="AF2176">
        <v>0</v>
      </c>
      <c r="AG2176" t="s">
        <v>310</v>
      </c>
      <c r="AH2176">
        <f>SUM((MID(Dyno_Data[[#This Row],[Team]],4,5))+(Dyno_Data[[#This Row],[Match]]/100))</f>
        <v>5993.42</v>
      </c>
      <c r="AI2176" s="76">
        <f>ROUND(SUM(IF(Dyno_Data[[#This Row],[AcqCenter]]&gt;0,Dyno_Data[[#This Row],[Time]]-SUMIFS(Dyno_Data[Time],Dyno_Data[Team],Dyno_Data[[#This Row],[Team]],Dyno_Data[RecordType],"StartMatch",Dyno_Data[Match],Dyno_Data[[#This Row],[Match]]),0)*86400),0)</f>
        <v>0</v>
      </c>
    </row>
    <row r="2177" spans="1:35" x14ac:dyDescent="0.3">
      <c r="A2177">
        <v>2170</v>
      </c>
      <c r="B2177" t="s">
        <v>1278</v>
      </c>
      <c r="C2177">
        <v>42</v>
      </c>
      <c r="D2177" s="105">
        <v>45373.666815196761</v>
      </c>
      <c r="E2177" t="s">
        <v>312</v>
      </c>
      <c r="F2177" t="s">
        <v>309</v>
      </c>
      <c r="G2177">
        <v>0</v>
      </c>
      <c r="H2177" t="s">
        <v>315</v>
      </c>
      <c r="I2177">
        <v>0</v>
      </c>
      <c r="J2177">
        <v>0</v>
      </c>
      <c r="K2177">
        <v>0</v>
      </c>
      <c r="L2177" t="s">
        <v>240</v>
      </c>
      <c r="M2177" t="s">
        <v>1398</v>
      </c>
      <c r="N2177">
        <v>0</v>
      </c>
      <c r="O2177" t="s">
        <v>311</v>
      </c>
      <c r="P2177" t="s">
        <v>310</v>
      </c>
      <c r="Q2177" t="s">
        <v>310</v>
      </c>
      <c r="R2177" t="s">
        <v>310</v>
      </c>
      <c r="S2177">
        <v>9</v>
      </c>
      <c r="T2177" t="s">
        <v>310</v>
      </c>
      <c r="U2177">
        <v>9</v>
      </c>
      <c r="V2177">
        <v>9</v>
      </c>
      <c r="W2177">
        <v>0</v>
      </c>
      <c r="X2177">
        <v>0</v>
      </c>
      <c r="Y2177">
        <v>0</v>
      </c>
      <c r="Z2177">
        <v>0</v>
      </c>
      <c r="AA2177">
        <v>9</v>
      </c>
      <c r="AB2177">
        <v>9</v>
      </c>
      <c r="AC2177" t="s">
        <v>310</v>
      </c>
      <c r="AD2177">
        <v>9</v>
      </c>
      <c r="AE2177" t="s">
        <v>1388</v>
      </c>
      <c r="AF2177">
        <v>10100000</v>
      </c>
      <c r="AG2177" t="s">
        <v>310</v>
      </c>
      <c r="AH2177">
        <f>SUM((MID(Dyno_Data[[#This Row],[Team]],4,5))+(Dyno_Data[[#This Row],[Match]]/100))</f>
        <v>3951.42</v>
      </c>
      <c r="AI2177" s="76">
        <f>ROUND(SUM(IF(Dyno_Data[[#This Row],[AcqCenter]]&gt;0,Dyno_Data[[#This Row],[Time]]-SUMIFS(Dyno_Data[Time],Dyno_Data[Team],Dyno_Data[[#This Row],[Team]],Dyno_Data[RecordType],"StartMatch",Dyno_Data[Match],Dyno_Data[[#This Row],[Match]]),0)*86400),0)</f>
        <v>0</v>
      </c>
    </row>
    <row r="2178" spans="1:35" x14ac:dyDescent="0.3">
      <c r="A2178">
        <v>2171</v>
      </c>
      <c r="B2178" t="s">
        <v>1285</v>
      </c>
      <c r="C2178">
        <v>42</v>
      </c>
      <c r="D2178" s="105">
        <v>45373.666835567128</v>
      </c>
      <c r="E2178" t="s">
        <v>312</v>
      </c>
      <c r="F2178" t="s">
        <v>309</v>
      </c>
      <c r="G2178">
        <v>0</v>
      </c>
      <c r="H2178" t="s">
        <v>315</v>
      </c>
      <c r="I2178">
        <v>0</v>
      </c>
      <c r="J2178">
        <v>0</v>
      </c>
      <c r="K2178">
        <v>0</v>
      </c>
      <c r="L2178" t="s">
        <v>240</v>
      </c>
      <c r="M2178" t="s">
        <v>1398</v>
      </c>
      <c r="N2178">
        <v>1</v>
      </c>
      <c r="O2178" t="s">
        <v>1393</v>
      </c>
      <c r="P2178" t="s">
        <v>310</v>
      </c>
      <c r="Q2178" t="s">
        <v>310</v>
      </c>
      <c r="R2178" t="s">
        <v>310</v>
      </c>
      <c r="S2178">
        <v>9</v>
      </c>
      <c r="T2178" t="s">
        <v>310</v>
      </c>
      <c r="U2178">
        <v>9</v>
      </c>
      <c r="V2178">
        <v>9</v>
      </c>
      <c r="W2178">
        <v>0</v>
      </c>
      <c r="X2178">
        <v>0</v>
      </c>
      <c r="Y2178">
        <v>0</v>
      </c>
      <c r="Z2178">
        <v>0</v>
      </c>
      <c r="AA2178">
        <v>9</v>
      </c>
      <c r="AB2178">
        <v>9</v>
      </c>
      <c r="AC2178" t="s">
        <v>310</v>
      </c>
      <c r="AD2178">
        <v>9</v>
      </c>
      <c r="AE2178" t="s">
        <v>1396</v>
      </c>
      <c r="AF2178">
        <v>10000000</v>
      </c>
      <c r="AG2178" t="s">
        <v>310</v>
      </c>
      <c r="AH2178">
        <f>SUM((MID(Dyno_Data[[#This Row],[Team]],4,5))+(Dyno_Data[[#This Row],[Match]]/100))</f>
        <v>5993.42</v>
      </c>
      <c r="AI2178" s="76">
        <f>ROUND(SUM(IF(Dyno_Data[[#This Row],[AcqCenter]]&gt;0,Dyno_Data[[#This Row],[Time]]-SUMIFS(Dyno_Data[Time],Dyno_Data[Team],Dyno_Data[[#This Row],[Team]],Dyno_Data[RecordType],"StartMatch",Dyno_Data[Match],Dyno_Data[[#This Row],[Match]]),0)*86400),0)</f>
        <v>0</v>
      </c>
    </row>
    <row r="2179" spans="1:35" x14ac:dyDescent="0.3">
      <c r="A2179">
        <v>2172</v>
      </c>
      <c r="B2179" t="s">
        <v>1278</v>
      </c>
      <c r="C2179">
        <v>42</v>
      </c>
      <c r="D2179" s="105">
        <v>45373.666879085649</v>
      </c>
      <c r="E2179" t="s">
        <v>312</v>
      </c>
      <c r="F2179" t="s">
        <v>309</v>
      </c>
      <c r="G2179">
        <v>0</v>
      </c>
      <c r="H2179" t="s">
        <v>315</v>
      </c>
      <c r="I2179">
        <v>0</v>
      </c>
      <c r="J2179">
        <v>0</v>
      </c>
      <c r="K2179">
        <v>0</v>
      </c>
      <c r="L2179" t="s">
        <v>240</v>
      </c>
      <c r="M2179" t="s">
        <v>1398</v>
      </c>
      <c r="N2179">
        <v>1</v>
      </c>
      <c r="O2179" t="s">
        <v>311</v>
      </c>
      <c r="P2179" t="s">
        <v>310</v>
      </c>
      <c r="Q2179" t="s">
        <v>310</v>
      </c>
      <c r="R2179" t="s">
        <v>310</v>
      </c>
      <c r="S2179">
        <v>9</v>
      </c>
      <c r="T2179" t="s">
        <v>310</v>
      </c>
      <c r="U2179">
        <v>9</v>
      </c>
      <c r="V2179">
        <v>9</v>
      </c>
      <c r="W2179">
        <v>0</v>
      </c>
      <c r="X2179">
        <v>0</v>
      </c>
      <c r="Y2179">
        <v>0</v>
      </c>
      <c r="Z2179">
        <v>0</v>
      </c>
      <c r="AA2179">
        <v>9</v>
      </c>
      <c r="AB2179">
        <v>9</v>
      </c>
      <c r="AC2179" t="s">
        <v>310</v>
      </c>
      <c r="AD2179">
        <v>9</v>
      </c>
      <c r="AE2179" t="s">
        <v>1388</v>
      </c>
      <c r="AF2179">
        <v>20100000</v>
      </c>
      <c r="AG2179" t="s">
        <v>310</v>
      </c>
      <c r="AH2179">
        <f>SUM((MID(Dyno_Data[[#This Row],[Team]],4,5))+(Dyno_Data[[#This Row],[Match]]/100))</f>
        <v>3951.42</v>
      </c>
      <c r="AI2179" s="76">
        <f>ROUND(SUM(IF(Dyno_Data[[#This Row],[AcqCenter]]&gt;0,Dyno_Data[[#This Row],[Time]]-SUMIFS(Dyno_Data[Time],Dyno_Data[Team],Dyno_Data[[#This Row],[Team]],Dyno_Data[RecordType],"StartMatch",Dyno_Data[Match],Dyno_Data[[#This Row],[Match]]),0)*86400),0)</f>
        <v>0</v>
      </c>
    </row>
    <row r="2180" spans="1:35" x14ac:dyDescent="0.3">
      <c r="A2180">
        <v>2174</v>
      </c>
      <c r="B2180" t="s">
        <v>1278</v>
      </c>
      <c r="C2180">
        <v>42</v>
      </c>
      <c r="D2180" s="105">
        <v>45373.666910844906</v>
      </c>
      <c r="E2180" t="s">
        <v>314</v>
      </c>
      <c r="F2180" t="s">
        <v>309</v>
      </c>
      <c r="G2180">
        <v>1</v>
      </c>
      <c r="H2180" t="s">
        <v>310</v>
      </c>
      <c r="I2180">
        <v>0</v>
      </c>
      <c r="J2180">
        <v>0</v>
      </c>
      <c r="K2180">
        <v>0</v>
      </c>
      <c r="L2180" t="s">
        <v>310</v>
      </c>
      <c r="M2180" t="s">
        <v>310</v>
      </c>
      <c r="N2180">
        <v>0</v>
      </c>
      <c r="O2180" t="s">
        <v>311</v>
      </c>
      <c r="P2180" t="s">
        <v>240</v>
      </c>
      <c r="Q2180" t="s">
        <v>1399</v>
      </c>
      <c r="R2180" t="s">
        <v>310</v>
      </c>
      <c r="S2180">
        <v>9</v>
      </c>
      <c r="T2180" t="s">
        <v>310</v>
      </c>
      <c r="U2180">
        <v>9</v>
      </c>
      <c r="V2180">
        <v>9</v>
      </c>
      <c r="W2180">
        <v>0</v>
      </c>
      <c r="X2180">
        <v>0</v>
      </c>
      <c r="Y2180">
        <v>0</v>
      </c>
      <c r="Z2180">
        <v>0</v>
      </c>
      <c r="AA2180">
        <v>9</v>
      </c>
      <c r="AB2180">
        <v>9</v>
      </c>
      <c r="AC2180" t="s">
        <v>310</v>
      </c>
      <c r="AD2180">
        <v>9</v>
      </c>
      <c r="AE2180" t="s">
        <v>1388</v>
      </c>
      <c r="AF2180">
        <v>20100000</v>
      </c>
      <c r="AG2180" t="s">
        <v>310</v>
      </c>
      <c r="AH2180">
        <f>SUM((MID(Dyno_Data[[#This Row],[Team]],4,5))+(Dyno_Data[[#This Row],[Match]]/100))</f>
        <v>3951.42</v>
      </c>
      <c r="AI2180" s="76">
        <f>ROUND(SUM(IF(Dyno_Data[[#This Row],[AcqCenter]]&gt;0,Dyno_Data[[#This Row],[Time]]-SUMIFS(Dyno_Data[Time],Dyno_Data[Team],Dyno_Data[[#This Row],[Team]],Dyno_Data[RecordType],"StartMatch",Dyno_Data[Match],Dyno_Data[[#This Row],[Match]]),0)*86400),0)</f>
        <v>0</v>
      </c>
    </row>
    <row r="2181" spans="1:35" x14ac:dyDescent="0.3">
      <c r="A2181">
        <v>2176</v>
      </c>
      <c r="B2181" t="s">
        <v>1306</v>
      </c>
      <c r="C2181">
        <v>42</v>
      </c>
      <c r="D2181" s="105">
        <v>45373.666912303241</v>
      </c>
      <c r="E2181" t="s">
        <v>314</v>
      </c>
      <c r="F2181" t="s">
        <v>309</v>
      </c>
      <c r="G2181">
        <v>0</v>
      </c>
      <c r="H2181" t="s">
        <v>310</v>
      </c>
      <c r="I2181">
        <v>0</v>
      </c>
      <c r="J2181">
        <v>0</v>
      </c>
      <c r="K2181">
        <v>0</v>
      </c>
      <c r="L2181" t="s">
        <v>310</v>
      </c>
      <c r="M2181" t="s">
        <v>310</v>
      </c>
      <c r="N2181">
        <v>0</v>
      </c>
      <c r="O2181" t="s">
        <v>1391</v>
      </c>
      <c r="P2181" t="s">
        <v>320</v>
      </c>
      <c r="Q2181" t="s">
        <v>1400</v>
      </c>
      <c r="R2181" t="s">
        <v>310</v>
      </c>
      <c r="S2181">
        <v>9</v>
      </c>
      <c r="T2181" t="s">
        <v>310</v>
      </c>
      <c r="U2181">
        <v>9</v>
      </c>
      <c r="V2181">
        <v>9</v>
      </c>
      <c r="W2181">
        <v>0</v>
      </c>
      <c r="X2181">
        <v>0</v>
      </c>
      <c r="Y2181">
        <v>0</v>
      </c>
      <c r="Z2181">
        <v>0</v>
      </c>
      <c r="AA2181">
        <v>9</v>
      </c>
      <c r="AB2181">
        <v>9</v>
      </c>
      <c r="AC2181" t="s">
        <v>310</v>
      </c>
      <c r="AD2181">
        <v>9</v>
      </c>
      <c r="AE2181" t="s">
        <v>1412</v>
      </c>
      <c r="AF2181">
        <v>0</v>
      </c>
      <c r="AG2181" t="s">
        <v>310</v>
      </c>
      <c r="AH2181">
        <f>SUM((MID(Dyno_Data[[#This Row],[Team]],4,5))+(Dyno_Data[[#This Row],[Match]]/100))</f>
        <v>3986.42</v>
      </c>
      <c r="AI2181" s="76">
        <f>ROUND(SUM(IF(Dyno_Data[[#This Row],[AcqCenter]]&gt;0,Dyno_Data[[#This Row],[Time]]-SUMIFS(Dyno_Data[Time],Dyno_Data[Team],Dyno_Data[[#This Row],[Team]],Dyno_Data[RecordType],"StartMatch",Dyno_Data[Match],Dyno_Data[[#This Row],[Match]]),0)*86400),0)</f>
        <v>0</v>
      </c>
    </row>
    <row r="2182" spans="1:35" x14ac:dyDescent="0.3">
      <c r="A2182">
        <v>2178</v>
      </c>
      <c r="B2182" t="s">
        <v>1285</v>
      </c>
      <c r="C2182">
        <v>42</v>
      </c>
      <c r="D2182" s="105">
        <v>45373.66691443287</v>
      </c>
      <c r="E2182" t="s">
        <v>314</v>
      </c>
      <c r="F2182" t="s">
        <v>309</v>
      </c>
      <c r="G2182">
        <v>1</v>
      </c>
      <c r="H2182" t="s">
        <v>310</v>
      </c>
      <c r="I2182">
        <v>0</v>
      </c>
      <c r="J2182">
        <v>0</v>
      </c>
      <c r="K2182">
        <v>0</v>
      </c>
      <c r="L2182" t="s">
        <v>310</v>
      </c>
      <c r="M2182" t="s">
        <v>310</v>
      </c>
      <c r="N2182">
        <v>0</v>
      </c>
      <c r="O2182" t="s">
        <v>1393</v>
      </c>
      <c r="P2182" t="s">
        <v>240</v>
      </c>
      <c r="Q2182" t="s">
        <v>1399</v>
      </c>
      <c r="R2182" t="s">
        <v>310</v>
      </c>
      <c r="S2182">
        <v>9</v>
      </c>
      <c r="T2182" t="s">
        <v>310</v>
      </c>
      <c r="U2182">
        <v>9</v>
      </c>
      <c r="V2182">
        <v>9</v>
      </c>
      <c r="W2182">
        <v>0</v>
      </c>
      <c r="X2182">
        <v>0</v>
      </c>
      <c r="Y2182">
        <v>0</v>
      </c>
      <c r="Z2182">
        <v>0</v>
      </c>
      <c r="AA2182">
        <v>9</v>
      </c>
      <c r="AB2182">
        <v>9</v>
      </c>
      <c r="AC2182" t="s">
        <v>310</v>
      </c>
      <c r="AD2182">
        <v>9</v>
      </c>
      <c r="AE2182" t="s">
        <v>1396</v>
      </c>
      <c r="AF2182">
        <v>10000000</v>
      </c>
      <c r="AG2182" t="s">
        <v>310</v>
      </c>
      <c r="AH2182">
        <f>SUM((MID(Dyno_Data[[#This Row],[Team]],4,5))+(Dyno_Data[[#This Row],[Match]]/100))</f>
        <v>5993.42</v>
      </c>
      <c r="AI2182" s="76">
        <f>ROUND(SUM(IF(Dyno_Data[[#This Row],[AcqCenter]]&gt;0,Dyno_Data[[#This Row],[Time]]-SUMIFS(Dyno_Data[Time],Dyno_Data[Team],Dyno_Data[[#This Row],[Team]],Dyno_Data[RecordType],"StartMatch",Dyno_Data[Match],Dyno_Data[[#This Row],[Match]]),0)*86400),0)</f>
        <v>0</v>
      </c>
    </row>
    <row r="2183" spans="1:35" x14ac:dyDescent="0.3">
      <c r="A2183">
        <v>2180</v>
      </c>
      <c r="B2183" t="s">
        <v>1302</v>
      </c>
      <c r="C2183">
        <v>42</v>
      </c>
      <c r="D2183" s="105">
        <v>45373.666914618057</v>
      </c>
      <c r="E2183" t="s">
        <v>314</v>
      </c>
      <c r="F2183" t="s">
        <v>309</v>
      </c>
      <c r="G2183">
        <v>1</v>
      </c>
      <c r="H2183" t="s">
        <v>310</v>
      </c>
      <c r="I2183">
        <v>0</v>
      </c>
      <c r="J2183">
        <v>0</v>
      </c>
      <c r="K2183">
        <v>0</v>
      </c>
      <c r="L2183" t="s">
        <v>310</v>
      </c>
      <c r="M2183" t="s">
        <v>310</v>
      </c>
      <c r="N2183">
        <v>0</v>
      </c>
      <c r="O2183" t="s">
        <v>1389</v>
      </c>
      <c r="P2183" t="s">
        <v>320</v>
      </c>
      <c r="Q2183" t="s">
        <v>1400</v>
      </c>
      <c r="R2183" t="s">
        <v>310</v>
      </c>
      <c r="S2183">
        <v>9</v>
      </c>
      <c r="T2183" t="s">
        <v>310</v>
      </c>
      <c r="U2183">
        <v>9</v>
      </c>
      <c r="V2183">
        <v>9</v>
      </c>
      <c r="W2183">
        <v>0</v>
      </c>
      <c r="X2183">
        <v>0</v>
      </c>
      <c r="Y2183">
        <v>0</v>
      </c>
      <c r="Z2183">
        <v>0</v>
      </c>
      <c r="AA2183">
        <v>9</v>
      </c>
      <c r="AB2183">
        <v>9</v>
      </c>
      <c r="AC2183" t="s">
        <v>310</v>
      </c>
      <c r="AD2183">
        <v>9</v>
      </c>
      <c r="AE2183" t="s">
        <v>1390</v>
      </c>
      <c r="AF2183">
        <v>0</v>
      </c>
      <c r="AG2183" t="s">
        <v>310</v>
      </c>
      <c r="AH2183">
        <f>SUM((MID(Dyno_Data[[#This Row],[Team]],4,5))+(Dyno_Data[[#This Row],[Match]]/100))</f>
        <v>2095.42</v>
      </c>
      <c r="AI2183" s="76">
        <f>ROUND(SUM(IF(Dyno_Data[[#This Row],[AcqCenter]]&gt;0,Dyno_Data[[#This Row],[Time]]-SUMIFS(Dyno_Data[Time],Dyno_Data[Team],Dyno_Data[[#This Row],[Team]],Dyno_Data[RecordType],"StartMatch",Dyno_Data[Match],Dyno_Data[[#This Row],[Match]]),0)*86400),0)</f>
        <v>0</v>
      </c>
    </row>
    <row r="2184" spans="1:35" x14ac:dyDescent="0.3">
      <c r="A2184">
        <v>2182</v>
      </c>
      <c r="B2184" t="s">
        <v>1294</v>
      </c>
      <c r="C2184">
        <v>42</v>
      </c>
      <c r="D2184" s="105">
        <v>45373.66692491898</v>
      </c>
      <c r="E2184" t="s">
        <v>314</v>
      </c>
      <c r="F2184" t="s">
        <v>309</v>
      </c>
      <c r="G2184">
        <v>1</v>
      </c>
      <c r="H2184" t="s">
        <v>310</v>
      </c>
      <c r="I2184">
        <v>0</v>
      </c>
      <c r="J2184">
        <v>0</v>
      </c>
      <c r="K2184">
        <v>0</v>
      </c>
      <c r="L2184" t="s">
        <v>310</v>
      </c>
      <c r="M2184" t="s">
        <v>310</v>
      </c>
      <c r="N2184">
        <v>0</v>
      </c>
      <c r="O2184" t="s">
        <v>319</v>
      </c>
      <c r="P2184" t="s">
        <v>101</v>
      </c>
      <c r="Q2184" t="s">
        <v>1400</v>
      </c>
      <c r="R2184" t="s">
        <v>310</v>
      </c>
      <c r="S2184">
        <v>9</v>
      </c>
      <c r="T2184" t="s">
        <v>310</v>
      </c>
      <c r="U2184">
        <v>9</v>
      </c>
      <c r="V2184">
        <v>9</v>
      </c>
      <c r="W2184">
        <v>0</v>
      </c>
      <c r="X2184">
        <v>0</v>
      </c>
      <c r="Y2184">
        <v>0</v>
      </c>
      <c r="Z2184">
        <v>0</v>
      </c>
      <c r="AA2184">
        <v>9</v>
      </c>
      <c r="AB2184">
        <v>9</v>
      </c>
      <c r="AC2184" t="s">
        <v>310</v>
      </c>
      <c r="AD2184">
        <v>9</v>
      </c>
      <c r="AE2184" t="s">
        <v>1414</v>
      </c>
      <c r="AF2184">
        <v>0</v>
      </c>
      <c r="AG2184" t="s">
        <v>310</v>
      </c>
      <c r="AH2184">
        <f>SUM((MID(Dyno_Data[[#This Row],[Team]],4,5))+(Dyno_Data[[#This Row],[Match]]/100))</f>
        <v>9076.42</v>
      </c>
      <c r="AI2184" s="76">
        <f>ROUND(SUM(IF(Dyno_Data[[#This Row],[AcqCenter]]&gt;0,Dyno_Data[[#This Row],[Time]]-SUMIFS(Dyno_Data[Time],Dyno_Data[Team],Dyno_Data[[#This Row],[Team]],Dyno_Data[RecordType],"StartMatch",Dyno_Data[Match],Dyno_Data[[#This Row],[Match]]),0)*86400),0)</f>
        <v>0</v>
      </c>
    </row>
    <row r="2185" spans="1:35" x14ac:dyDescent="0.3">
      <c r="A2185">
        <v>2184</v>
      </c>
      <c r="B2185" t="s">
        <v>1292</v>
      </c>
      <c r="C2185">
        <v>42</v>
      </c>
      <c r="D2185" s="105">
        <v>45373.666943020835</v>
      </c>
      <c r="E2185" t="s">
        <v>314</v>
      </c>
      <c r="F2185" t="s">
        <v>309</v>
      </c>
      <c r="G2185">
        <v>0</v>
      </c>
      <c r="H2185" t="s">
        <v>310</v>
      </c>
      <c r="I2185">
        <v>0</v>
      </c>
      <c r="J2185">
        <v>0</v>
      </c>
      <c r="K2185">
        <v>0</v>
      </c>
      <c r="L2185" t="s">
        <v>310</v>
      </c>
      <c r="M2185" t="s">
        <v>310</v>
      </c>
      <c r="N2185">
        <v>0</v>
      </c>
      <c r="O2185" t="s">
        <v>1395</v>
      </c>
      <c r="P2185" t="s">
        <v>1401</v>
      </c>
      <c r="Q2185" t="s">
        <v>1400</v>
      </c>
      <c r="R2185" t="s">
        <v>310</v>
      </c>
      <c r="S2185">
        <v>9</v>
      </c>
      <c r="T2185" t="s">
        <v>310</v>
      </c>
      <c r="U2185">
        <v>9</v>
      </c>
      <c r="V2185">
        <v>9</v>
      </c>
      <c r="W2185">
        <v>0</v>
      </c>
      <c r="X2185">
        <v>0</v>
      </c>
      <c r="Y2185">
        <v>0</v>
      </c>
      <c r="Z2185">
        <v>0</v>
      </c>
      <c r="AA2185">
        <v>9</v>
      </c>
      <c r="AB2185">
        <v>9</v>
      </c>
      <c r="AC2185" t="s">
        <v>310</v>
      </c>
      <c r="AD2185">
        <v>9</v>
      </c>
      <c r="AE2185" t="s">
        <v>1413</v>
      </c>
      <c r="AF2185">
        <v>0</v>
      </c>
      <c r="AG2185" t="s">
        <v>310</v>
      </c>
      <c r="AH2185">
        <f>SUM((MID(Dyno_Data[[#This Row],[Team]],4,5))+(Dyno_Data[[#This Row],[Match]]/100))</f>
        <v>7030.42</v>
      </c>
      <c r="AI2185" s="76">
        <f>ROUND(SUM(IF(Dyno_Data[[#This Row],[AcqCenter]]&gt;0,Dyno_Data[[#This Row],[Time]]-SUMIFS(Dyno_Data[Time],Dyno_Data[Team],Dyno_Data[[#This Row],[Team]],Dyno_Data[RecordType],"StartMatch",Dyno_Data[Match],Dyno_Data[[#This Row],[Match]]),0)*86400),0)</f>
        <v>0</v>
      </c>
    </row>
    <row r="2186" spans="1:35" x14ac:dyDescent="0.3">
      <c r="A2186">
        <v>2185</v>
      </c>
      <c r="B2186" t="s">
        <v>1294</v>
      </c>
      <c r="C2186">
        <v>42</v>
      </c>
      <c r="D2186" s="105">
        <v>45373.667044444446</v>
      </c>
      <c r="E2186" t="s">
        <v>312</v>
      </c>
      <c r="F2186" t="s">
        <v>1402</v>
      </c>
      <c r="G2186">
        <v>0</v>
      </c>
      <c r="H2186" t="s">
        <v>1397</v>
      </c>
      <c r="I2186">
        <v>0</v>
      </c>
      <c r="J2186">
        <v>0</v>
      </c>
      <c r="K2186">
        <v>0</v>
      </c>
      <c r="L2186" t="s">
        <v>240</v>
      </c>
      <c r="M2186" t="s">
        <v>1398</v>
      </c>
      <c r="N2186">
        <v>0</v>
      </c>
      <c r="O2186" t="s">
        <v>319</v>
      </c>
      <c r="P2186" t="s">
        <v>310</v>
      </c>
      <c r="Q2186" t="s">
        <v>310</v>
      </c>
      <c r="R2186" t="s">
        <v>310</v>
      </c>
      <c r="S2186">
        <v>9</v>
      </c>
      <c r="T2186" t="s">
        <v>310</v>
      </c>
      <c r="U2186">
        <v>9</v>
      </c>
      <c r="V2186">
        <v>9</v>
      </c>
      <c r="W2186">
        <v>0</v>
      </c>
      <c r="X2186">
        <v>0</v>
      </c>
      <c r="Y2186">
        <v>0</v>
      </c>
      <c r="Z2186">
        <v>0</v>
      </c>
      <c r="AA2186">
        <v>9</v>
      </c>
      <c r="AB2186">
        <v>9</v>
      </c>
      <c r="AC2186" t="s">
        <v>310</v>
      </c>
      <c r="AD2186">
        <v>9</v>
      </c>
      <c r="AE2186" t="s">
        <v>1414</v>
      </c>
      <c r="AF2186">
        <v>0</v>
      </c>
      <c r="AG2186" t="s">
        <v>310</v>
      </c>
      <c r="AH2186">
        <f>SUM((MID(Dyno_Data[[#This Row],[Team]],4,5))+(Dyno_Data[[#This Row],[Match]]/100))</f>
        <v>9076.42</v>
      </c>
      <c r="AI2186" s="76">
        <f>ROUND(SUM(IF(Dyno_Data[[#This Row],[AcqCenter]]&gt;0,Dyno_Data[[#This Row],[Time]]-SUMIFS(Dyno_Data[Time],Dyno_Data[Team],Dyno_Data[[#This Row],[Team]],Dyno_Data[RecordType],"StartMatch",Dyno_Data[Match],Dyno_Data[[#This Row],[Match]]),0)*86400),0)</f>
        <v>0</v>
      </c>
    </row>
    <row r="2187" spans="1:35" x14ac:dyDescent="0.3">
      <c r="A2187">
        <v>2186</v>
      </c>
      <c r="B2187" t="s">
        <v>1285</v>
      </c>
      <c r="C2187">
        <v>42</v>
      </c>
      <c r="D2187" s="105">
        <v>45373.667047488423</v>
      </c>
      <c r="E2187" t="s">
        <v>312</v>
      </c>
      <c r="F2187" t="s">
        <v>1402</v>
      </c>
      <c r="G2187">
        <v>0</v>
      </c>
      <c r="H2187" t="s">
        <v>315</v>
      </c>
      <c r="I2187">
        <v>0</v>
      </c>
      <c r="J2187">
        <v>0</v>
      </c>
      <c r="K2187">
        <v>0</v>
      </c>
      <c r="L2187" t="s">
        <v>241</v>
      </c>
      <c r="M2187" t="s">
        <v>101</v>
      </c>
      <c r="N2187">
        <v>0</v>
      </c>
      <c r="O2187" t="s">
        <v>1393</v>
      </c>
      <c r="P2187" t="s">
        <v>310</v>
      </c>
      <c r="Q2187" t="s">
        <v>310</v>
      </c>
      <c r="R2187" t="s">
        <v>310</v>
      </c>
      <c r="S2187">
        <v>9</v>
      </c>
      <c r="T2187" t="s">
        <v>310</v>
      </c>
      <c r="U2187">
        <v>9</v>
      </c>
      <c r="V2187">
        <v>9</v>
      </c>
      <c r="W2187">
        <v>0</v>
      </c>
      <c r="X2187">
        <v>0</v>
      </c>
      <c r="Y2187">
        <v>0</v>
      </c>
      <c r="Z2187">
        <v>0</v>
      </c>
      <c r="AA2187">
        <v>9</v>
      </c>
      <c r="AB2187">
        <v>9</v>
      </c>
      <c r="AC2187" t="s">
        <v>310</v>
      </c>
      <c r="AD2187">
        <v>9</v>
      </c>
      <c r="AE2187" t="s">
        <v>1396</v>
      </c>
      <c r="AF2187">
        <v>20000000</v>
      </c>
      <c r="AG2187" t="s">
        <v>310</v>
      </c>
      <c r="AH2187">
        <f>SUM((MID(Dyno_Data[[#This Row],[Team]],4,5))+(Dyno_Data[[#This Row],[Match]]/100))</f>
        <v>5993.42</v>
      </c>
      <c r="AI2187" s="76">
        <f>ROUND(SUM(IF(Dyno_Data[[#This Row],[AcqCenter]]&gt;0,Dyno_Data[[#This Row],[Time]]-SUMIFS(Dyno_Data[Time],Dyno_Data[Team],Dyno_Data[[#This Row],[Team]],Dyno_Data[RecordType],"StartMatch",Dyno_Data[Match],Dyno_Data[[#This Row],[Match]]),0)*86400),0)</f>
        <v>0</v>
      </c>
    </row>
    <row r="2188" spans="1:35" x14ac:dyDescent="0.3">
      <c r="A2188">
        <v>2187</v>
      </c>
      <c r="B2188" t="s">
        <v>1302</v>
      </c>
      <c r="C2188">
        <v>42</v>
      </c>
      <c r="D2188" s="105">
        <v>45373.667121874998</v>
      </c>
      <c r="E2188" t="s">
        <v>312</v>
      </c>
      <c r="F2188" t="s">
        <v>1402</v>
      </c>
      <c r="G2188">
        <v>0</v>
      </c>
      <c r="H2188" t="s">
        <v>1397</v>
      </c>
      <c r="I2188">
        <v>0</v>
      </c>
      <c r="J2188">
        <v>0</v>
      </c>
      <c r="K2188">
        <v>0</v>
      </c>
      <c r="L2188" t="s">
        <v>241</v>
      </c>
      <c r="M2188" t="s">
        <v>1398</v>
      </c>
      <c r="N2188">
        <v>0</v>
      </c>
      <c r="O2188" t="s">
        <v>1389</v>
      </c>
      <c r="P2188" t="s">
        <v>310</v>
      </c>
      <c r="Q2188" t="s">
        <v>310</v>
      </c>
      <c r="R2188" t="s">
        <v>310</v>
      </c>
      <c r="S2188">
        <v>9</v>
      </c>
      <c r="T2188" t="s">
        <v>310</v>
      </c>
      <c r="U2188">
        <v>9</v>
      </c>
      <c r="V2188">
        <v>9</v>
      </c>
      <c r="W2188">
        <v>0</v>
      </c>
      <c r="X2188">
        <v>0</v>
      </c>
      <c r="Y2188">
        <v>0</v>
      </c>
      <c r="Z2188">
        <v>0</v>
      </c>
      <c r="AA2188">
        <v>9</v>
      </c>
      <c r="AB2188">
        <v>9</v>
      </c>
      <c r="AC2188" t="s">
        <v>310</v>
      </c>
      <c r="AD2188">
        <v>9</v>
      </c>
      <c r="AE2188" t="s">
        <v>1390</v>
      </c>
      <c r="AF2188">
        <v>0</v>
      </c>
      <c r="AG2188" t="s">
        <v>310</v>
      </c>
      <c r="AH2188">
        <f>SUM((MID(Dyno_Data[[#This Row],[Team]],4,5))+(Dyno_Data[[#This Row],[Match]]/100))</f>
        <v>2095.42</v>
      </c>
      <c r="AI2188" s="76">
        <f>ROUND(SUM(IF(Dyno_Data[[#This Row],[AcqCenter]]&gt;0,Dyno_Data[[#This Row],[Time]]-SUMIFS(Dyno_Data[Time],Dyno_Data[Team],Dyno_Data[[#This Row],[Team]],Dyno_Data[RecordType],"StartMatch",Dyno_Data[Match],Dyno_Data[[#This Row],[Match]]),0)*86400),0)</f>
        <v>0</v>
      </c>
    </row>
    <row r="2189" spans="1:35" x14ac:dyDescent="0.3">
      <c r="A2189">
        <v>2188</v>
      </c>
      <c r="B2189" t="s">
        <v>1294</v>
      </c>
      <c r="C2189">
        <v>42</v>
      </c>
      <c r="D2189" s="105">
        <v>45373.667166203704</v>
      </c>
      <c r="E2189" t="s">
        <v>312</v>
      </c>
      <c r="F2189" t="s">
        <v>1402</v>
      </c>
      <c r="G2189">
        <v>0</v>
      </c>
      <c r="H2189" t="s">
        <v>315</v>
      </c>
      <c r="I2189">
        <v>0</v>
      </c>
      <c r="J2189">
        <v>0</v>
      </c>
      <c r="K2189">
        <v>0</v>
      </c>
      <c r="L2189" t="s">
        <v>240</v>
      </c>
      <c r="M2189" t="s">
        <v>1398</v>
      </c>
      <c r="N2189">
        <v>0</v>
      </c>
      <c r="O2189" t="s">
        <v>319</v>
      </c>
      <c r="P2189" t="s">
        <v>310</v>
      </c>
      <c r="Q2189" t="s">
        <v>310</v>
      </c>
      <c r="R2189" t="s">
        <v>310</v>
      </c>
      <c r="S2189">
        <v>9</v>
      </c>
      <c r="T2189" t="s">
        <v>310</v>
      </c>
      <c r="U2189">
        <v>9</v>
      </c>
      <c r="V2189">
        <v>9</v>
      </c>
      <c r="W2189">
        <v>0</v>
      </c>
      <c r="X2189">
        <v>0</v>
      </c>
      <c r="Y2189">
        <v>0</v>
      </c>
      <c r="Z2189">
        <v>0</v>
      </c>
      <c r="AA2189">
        <v>9</v>
      </c>
      <c r="AB2189">
        <v>9</v>
      </c>
      <c r="AC2189" t="s">
        <v>310</v>
      </c>
      <c r="AD2189">
        <v>9</v>
      </c>
      <c r="AE2189" t="s">
        <v>1414</v>
      </c>
      <c r="AF2189">
        <v>10000000</v>
      </c>
      <c r="AG2189" t="s">
        <v>310</v>
      </c>
      <c r="AH2189">
        <f>SUM((MID(Dyno_Data[[#This Row],[Team]],4,5))+(Dyno_Data[[#This Row],[Match]]/100))</f>
        <v>9076.42</v>
      </c>
      <c r="AI2189" s="76">
        <f>ROUND(SUM(IF(Dyno_Data[[#This Row],[AcqCenter]]&gt;0,Dyno_Data[[#This Row],[Time]]-SUMIFS(Dyno_Data[Time],Dyno_Data[Team],Dyno_Data[[#This Row],[Team]],Dyno_Data[RecordType],"StartMatch",Dyno_Data[Match],Dyno_Data[[#This Row],[Match]]),0)*86400),0)</f>
        <v>0</v>
      </c>
    </row>
    <row r="2190" spans="1:35" x14ac:dyDescent="0.3">
      <c r="A2190">
        <v>2189</v>
      </c>
      <c r="B2190" t="s">
        <v>1285</v>
      </c>
      <c r="C2190">
        <v>42</v>
      </c>
      <c r="D2190" s="105">
        <v>45373.667172071757</v>
      </c>
      <c r="E2190" t="s">
        <v>312</v>
      </c>
      <c r="F2190" t="s">
        <v>1402</v>
      </c>
      <c r="G2190">
        <v>0</v>
      </c>
      <c r="H2190" t="s">
        <v>315</v>
      </c>
      <c r="I2190">
        <v>0</v>
      </c>
      <c r="J2190">
        <v>0</v>
      </c>
      <c r="K2190">
        <v>0</v>
      </c>
      <c r="L2190" t="s">
        <v>241</v>
      </c>
      <c r="M2190" t="s">
        <v>101</v>
      </c>
      <c r="N2190">
        <v>0</v>
      </c>
      <c r="O2190" t="s">
        <v>1393</v>
      </c>
      <c r="P2190" t="s">
        <v>310</v>
      </c>
      <c r="Q2190" t="s">
        <v>310</v>
      </c>
      <c r="R2190" t="s">
        <v>310</v>
      </c>
      <c r="S2190">
        <v>9</v>
      </c>
      <c r="T2190" t="s">
        <v>310</v>
      </c>
      <c r="U2190">
        <v>9</v>
      </c>
      <c r="V2190">
        <v>9</v>
      </c>
      <c r="W2190">
        <v>0</v>
      </c>
      <c r="X2190">
        <v>0</v>
      </c>
      <c r="Y2190">
        <v>0</v>
      </c>
      <c r="Z2190">
        <v>0</v>
      </c>
      <c r="AA2190">
        <v>9</v>
      </c>
      <c r="AB2190">
        <v>9</v>
      </c>
      <c r="AC2190" t="s">
        <v>310</v>
      </c>
      <c r="AD2190">
        <v>9</v>
      </c>
      <c r="AE2190" t="s">
        <v>1396</v>
      </c>
      <c r="AF2190">
        <v>30000000</v>
      </c>
      <c r="AG2190" t="s">
        <v>310</v>
      </c>
      <c r="AH2190">
        <f>SUM((MID(Dyno_Data[[#This Row],[Team]],4,5))+(Dyno_Data[[#This Row],[Match]]/100))</f>
        <v>5993.42</v>
      </c>
      <c r="AI2190" s="76">
        <f>ROUND(SUM(IF(Dyno_Data[[#This Row],[AcqCenter]]&gt;0,Dyno_Data[[#This Row],[Time]]-SUMIFS(Dyno_Data[Time],Dyno_Data[Team],Dyno_Data[[#This Row],[Team]],Dyno_Data[RecordType],"StartMatch",Dyno_Data[Match],Dyno_Data[[#This Row],[Match]]),0)*86400),0)</f>
        <v>0</v>
      </c>
    </row>
    <row r="2191" spans="1:35" x14ac:dyDescent="0.3">
      <c r="A2191">
        <v>2190</v>
      </c>
      <c r="B2191" t="s">
        <v>1285</v>
      </c>
      <c r="C2191">
        <v>42</v>
      </c>
      <c r="D2191" s="105">
        <v>45373.667292094906</v>
      </c>
      <c r="E2191" t="s">
        <v>312</v>
      </c>
      <c r="F2191" t="s">
        <v>1402</v>
      </c>
      <c r="G2191">
        <v>0</v>
      </c>
      <c r="H2191" t="s">
        <v>315</v>
      </c>
      <c r="I2191">
        <v>0</v>
      </c>
      <c r="J2191">
        <v>0</v>
      </c>
      <c r="K2191">
        <v>0</v>
      </c>
      <c r="L2191" t="s">
        <v>241</v>
      </c>
      <c r="M2191" t="s">
        <v>101</v>
      </c>
      <c r="N2191">
        <v>0</v>
      </c>
      <c r="O2191" t="s">
        <v>1393</v>
      </c>
      <c r="P2191" t="s">
        <v>310</v>
      </c>
      <c r="Q2191" t="s">
        <v>310</v>
      </c>
      <c r="R2191" t="s">
        <v>310</v>
      </c>
      <c r="S2191">
        <v>9</v>
      </c>
      <c r="T2191" t="s">
        <v>310</v>
      </c>
      <c r="U2191">
        <v>9</v>
      </c>
      <c r="V2191">
        <v>9</v>
      </c>
      <c r="W2191">
        <v>0</v>
      </c>
      <c r="X2191">
        <v>0</v>
      </c>
      <c r="Y2191">
        <v>0</v>
      </c>
      <c r="Z2191">
        <v>0</v>
      </c>
      <c r="AA2191">
        <v>9</v>
      </c>
      <c r="AB2191">
        <v>9</v>
      </c>
      <c r="AC2191" t="s">
        <v>310</v>
      </c>
      <c r="AD2191">
        <v>9</v>
      </c>
      <c r="AE2191" t="s">
        <v>1396</v>
      </c>
      <c r="AF2191">
        <v>40000000</v>
      </c>
      <c r="AG2191" t="s">
        <v>310</v>
      </c>
      <c r="AH2191">
        <f>SUM((MID(Dyno_Data[[#This Row],[Team]],4,5))+(Dyno_Data[[#This Row],[Match]]/100))</f>
        <v>5993.42</v>
      </c>
      <c r="AI2191" s="76">
        <f>ROUND(SUM(IF(Dyno_Data[[#This Row],[AcqCenter]]&gt;0,Dyno_Data[[#This Row],[Time]]-SUMIFS(Dyno_Data[Time],Dyno_Data[Team],Dyno_Data[[#This Row],[Team]],Dyno_Data[RecordType],"StartMatch",Dyno_Data[Match],Dyno_Data[[#This Row],[Match]]),0)*86400),0)</f>
        <v>0</v>
      </c>
    </row>
    <row r="2192" spans="1:35" x14ac:dyDescent="0.3">
      <c r="A2192">
        <v>2191</v>
      </c>
      <c r="B2192" t="s">
        <v>1294</v>
      </c>
      <c r="C2192">
        <v>42</v>
      </c>
      <c r="D2192" s="105">
        <v>45373.667326770832</v>
      </c>
      <c r="E2192" t="s">
        <v>312</v>
      </c>
      <c r="F2192" t="s">
        <v>1402</v>
      </c>
      <c r="G2192">
        <v>0</v>
      </c>
      <c r="H2192" t="s">
        <v>315</v>
      </c>
      <c r="I2192">
        <v>0</v>
      </c>
      <c r="J2192">
        <v>0</v>
      </c>
      <c r="K2192">
        <v>0</v>
      </c>
      <c r="L2192" t="s">
        <v>240</v>
      </c>
      <c r="M2192" t="s">
        <v>1398</v>
      </c>
      <c r="N2192">
        <v>1</v>
      </c>
      <c r="O2192" t="s">
        <v>319</v>
      </c>
      <c r="P2192" t="s">
        <v>310</v>
      </c>
      <c r="Q2192" t="s">
        <v>310</v>
      </c>
      <c r="R2192" t="s">
        <v>310</v>
      </c>
      <c r="S2192">
        <v>9</v>
      </c>
      <c r="T2192" t="s">
        <v>310</v>
      </c>
      <c r="U2192">
        <v>9</v>
      </c>
      <c r="V2192">
        <v>9</v>
      </c>
      <c r="W2192">
        <v>0</v>
      </c>
      <c r="X2192">
        <v>0</v>
      </c>
      <c r="Y2192">
        <v>0</v>
      </c>
      <c r="Z2192">
        <v>0</v>
      </c>
      <c r="AA2192">
        <v>9</v>
      </c>
      <c r="AB2192">
        <v>9</v>
      </c>
      <c r="AC2192" t="s">
        <v>310</v>
      </c>
      <c r="AD2192">
        <v>9</v>
      </c>
      <c r="AE2192" t="s">
        <v>1414</v>
      </c>
      <c r="AF2192">
        <v>20100000</v>
      </c>
      <c r="AG2192" t="s">
        <v>310</v>
      </c>
      <c r="AH2192">
        <f>SUM((MID(Dyno_Data[[#This Row],[Team]],4,5))+(Dyno_Data[[#This Row],[Match]]/100))</f>
        <v>9076.42</v>
      </c>
      <c r="AI2192" s="76">
        <f>ROUND(SUM(IF(Dyno_Data[[#This Row],[AcqCenter]]&gt;0,Dyno_Data[[#This Row],[Time]]-SUMIFS(Dyno_Data[Time],Dyno_Data[Team],Dyno_Data[[#This Row],[Team]],Dyno_Data[RecordType],"StartMatch",Dyno_Data[Match],Dyno_Data[[#This Row],[Match]]),0)*86400),0)</f>
        <v>0</v>
      </c>
    </row>
    <row r="2193" spans="1:35" x14ac:dyDescent="0.3">
      <c r="A2193">
        <v>2192</v>
      </c>
      <c r="B2193" t="s">
        <v>1306</v>
      </c>
      <c r="C2193">
        <v>42</v>
      </c>
      <c r="D2193" s="105">
        <v>45373.66739047454</v>
      </c>
      <c r="E2193" t="s">
        <v>1403</v>
      </c>
      <c r="F2193" t="s">
        <v>1402</v>
      </c>
      <c r="G2193">
        <v>0</v>
      </c>
      <c r="H2193" t="s">
        <v>310</v>
      </c>
      <c r="I2193">
        <v>0</v>
      </c>
      <c r="J2193">
        <v>0</v>
      </c>
      <c r="K2193">
        <v>0</v>
      </c>
      <c r="L2193" t="s">
        <v>310</v>
      </c>
      <c r="M2193" t="s">
        <v>310</v>
      </c>
      <c r="N2193">
        <v>0</v>
      </c>
      <c r="O2193" t="s">
        <v>1391</v>
      </c>
      <c r="P2193" t="s">
        <v>310</v>
      </c>
      <c r="Q2193" t="s">
        <v>310</v>
      </c>
      <c r="R2193" t="s">
        <v>310</v>
      </c>
      <c r="S2193">
        <v>9</v>
      </c>
      <c r="T2193" t="s">
        <v>310</v>
      </c>
      <c r="U2193">
        <v>9</v>
      </c>
      <c r="V2193">
        <v>9</v>
      </c>
      <c r="W2193">
        <v>0</v>
      </c>
      <c r="X2193">
        <v>0</v>
      </c>
      <c r="Y2193">
        <v>0</v>
      </c>
      <c r="Z2193">
        <v>0</v>
      </c>
      <c r="AA2193">
        <v>9</v>
      </c>
      <c r="AB2193">
        <v>9</v>
      </c>
      <c r="AC2193" t="s">
        <v>310</v>
      </c>
      <c r="AD2193">
        <v>9</v>
      </c>
      <c r="AE2193" t="s">
        <v>1412</v>
      </c>
      <c r="AF2193">
        <v>20100000</v>
      </c>
      <c r="AG2193" t="s">
        <v>249</v>
      </c>
      <c r="AH2193">
        <f>SUM((MID(Dyno_Data[[#This Row],[Team]],4,5))+(Dyno_Data[[#This Row],[Match]]/100))</f>
        <v>3986.42</v>
      </c>
      <c r="AI2193" s="76">
        <f>ROUND(SUM(IF(Dyno_Data[[#This Row],[AcqCenter]]&gt;0,Dyno_Data[[#This Row],[Time]]-SUMIFS(Dyno_Data[Time],Dyno_Data[Team],Dyno_Data[[#This Row],[Team]],Dyno_Data[RecordType],"StartMatch",Dyno_Data[Match],Dyno_Data[[#This Row],[Match]]),0)*86400),0)</f>
        <v>0</v>
      </c>
    </row>
    <row r="2194" spans="1:35" x14ac:dyDescent="0.3">
      <c r="A2194">
        <v>2193</v>
      </c>
      <c r="B2194" t="s">
        <v>1294</v>
      </c>
      <c r="C2194">
        <v>42</v>
      </c>
      <c r="D2194" s="105">
        <v>45373.667445636573</v>
      </c>
      <c r="E2194" t="s">
        <v>312</v>
      </c>
      <c r="F2194" t="s">
        <v>1402</v>
      </c>
      <c r="G2194">
        <v>0</v>
      </c>
      <c r="H2194" t="s">
        <v>315</v>
      </c>
      <c r="I2194">
        <v>0</v>
      </c>
      <c r="J2194">
        <v>0</v>
      </c>
      <c r="K2194">
        <v>0</v>
      </c>
      <c r="L2194" t="s">
        <v>240</v>
      </c>
      <c r="M2194" t="s">
        <v>1398</v>
      </c>
      <c r="N2194">
        <v>0</v>
      </c>
      <c r="O2194" t="s">
        <v>319</v>
      </c>
      <c r="P2194" t="s">
        <v>310</v>
      </c>
      <c r="Q2194" t="s">
        <v>310</v>
      </c>
      <c r="R2194" t="s">
        <v>310</v>
      </c>
      <c r="S2194">
        <v>9</v>
      </c>
      <c r="T2194" t="s">
        <v>310</v>
      </c>
      <c r="U2194">
        <v>9</v>
      </c>
      <c r="V2194">
        <v>9</v>
      </c>
      <c r="W2194">
        <v>0</v>
      </c>
      <c r="X2194">
        <v>0</v>
      </c>
      <c r="Y2194">
        <v>0</v>
      </c>
      <c r="Z2194">
        <v>0</v>
      </c>
      <c r="AA2194">
        <v>9</v>
      </c>
      <c r="AB2194">
        <v>9</v>
      </c>
      <c r="AC2194" t="s">
        <v>310</v>
      </c>
      <c r="AD2194">
        <v>9</v>
      </c>
      <c r="AE2194" t="s">
        <v>1414</v>
      </c>
      <c r="AF2194">
        <v>30100000</v>
      </c>
      <c r="AG2194" t="s">
        <v>310</v>
      </c>
      <c r="AH2194">
        <f>SUM((MID(Dyno_Data[[#This Row],[Team]],4,5))+(Dyno_Data[[#This Row],[Match]]/100))</f>
        <v>9076.42</v>
      </c>
      <c r="AI2194" s="76">
        <f>ROUND(SUM(IF(Dyno_Data[[#This Row],[AcqCenter]]&gt;0,Dyno_Data[[#This Row],[Time]]-SUMIFS(Dyno_Data[Time],Dyno_Data[Team],Dyno_Data[[#This Row],[Team]],Dyno_Data[RecordType],"StartMatch",Dyno_Data[Match],Dyno_Data[[#This Row],[Match]]),0)*86400),0)</f>
        <v>0</v>
      </c>
    </row>
    <row r="2195" spans="1:35" x14ac:dyDescent="0.3">
      <c r="A2195">
        <v>2194</v>
      </c>
      <c r="B2195" t="s">
        <v>1302</v>
      </c>
      <c r="C2195">
        <v>42</v>
      </c>
      <c r="D2195" s="105">
        <v>45373.667462187499</v>
      </c>
      <c r="E2195" t="s">
        <v>312</v>
      </c>
      <c r="F2195" t="s">
        <v>1402</v>
      </c>
      <c r="G2195">
        <v>0</v>
      </c>
      <c r="H2195" t="s">
        <v>315</v>
      </c>
      <c r="I2195">
        <v>0</v>
      </c>
      <c r="J2195">
        <v>0</v>
      </c>
      <c r="K2195">
        <v>0</v>
      </c>
      <c r="L2195" t="s">
        <v>241</v>
      </c>
      <c r="M2195" t="s">
        <v>1398</v>
      </c>
      <c r="N2195">
        <v>0</v>
      </c>
      <c r="O2195" t="s">
        <v>1389</v>
      </c>
      <c r="P2195" t="s">
        <v>310</v>
      </c>
      <c r="Q2195" t="s">
        <v>310</v>
      </c>
      <c r="R2195" t="s">
        <v>310</v>
      </c>
      <c r="S2195">
        <v>9</v>
      </c>
      <c r="T2195" t="s">
        <v>310</v>
      </c>
      <c r="U2195">
        <v>9</v>
      </c>
      <c r="V2195">
        <v>9</v>
      </c>
      <c r="W2195">
        <v>0</v>
      </c>
      <c r="X2195">
        <v>0</v>
      </c>
      <c r="Y2195">
        <v>0</v>
      </c>
      <c r="Z2195">
        <v>0</v>
      </c>
      <c r="AA2195">
        <v>9</v>
      </c>
      <c r="AB2195">
        <v>9</v>
      </c>
      <c r="AC2195" t="s">
        <v>310</v>
      </c>
      <c r="AD2195">
        <v>9</v>
      </c>
      <c r="AE2195" t="s">
        <v>1390</v>
      </c>
      <c r="AF2195">
        <v>10000000</v>
      </c>
      <c r="AG2195" t="s">
        <v>310</v>
      </c>
      <c r="AH2195">
        <f>SUM((MID(Dyno_Data[[#This Row],[Team]],4,5))+(Dyno_Data[[#This Row],[Match]]/100))</f>
        <v>2095.42</v>
      </c>
      <c r="AI2195" s="76">
        <f>ROUND(SUM(IF(Dyno_Data[[#This Row],[AcqCenter]]&gt;0,Dyno_Data[[#This Row],[Time]]-SUMIFS(Dyno_Data[Time],Dyno_Data[Team],Dyno_Data[[#This Row],[Team]],Dyno_Data[RecordType],"StartMatch",Dyno_Data[Match],Dyno_Data[[#This Row],[Match]]),0)*86400),0)</f>
        <v>0</v>
      </c>
    </row>
    <row r="2196" spans="1:35" x14ac:dyDescent="0.3">
      <c r="A2196">
        <v>2195</v>
      </c>
      <c r="B2196" t="s">
        <v>1285</v>
      </c>
      <c r="C2196">
        <v>42</v>
      </c>
      <c r="D2196" s="105">
        <v>45373.667550497688</v>
      </c>
      <c r="E2196" t="s">
        <v>312</v>
      </c>
      <c r="F2196" t="s">
        <v>1402</v>
      </c>
      <c r="G2196">
        <v>0</v>
      </c>
      <c r="H2196" t="s">
        <v>315</v>
      </c>
      <c r="I2196">
        <v>0</v>
      </c>
      <c r="J2196">
        <v>0</v>
      </c>
      <c r="K2196">
        <v>0</v>
      </c>
      <c r="L2196" t="s">
        <v>241</v>
      </c>
      <c r="M2196" t="s">
        <v>1398</v>
      </c>
      <c r="N2196">
        <v>1</v>
      </c>
      <c r="O2196" t="s">
        <v>1393</v>
      </c>
      <c r="P2196" t="s">
        <v>310</v>
      </c>
      <c r="Q2196" t="s">
        <v>310</v>
      </c>
      <c r="R2196" t="s">
        <v>310</v>
      </c>
      <c r="S2196">
        <v>9</v>
      </c>
      <c r="T2196" t="s">
        <v>310</v>
      </c>
      <c r="U2196">
        <v>9</v>
      </c>
      <c r="V2196">
        <v>9</v>
      </c>
      <c r="W2196">
        <v>0</v>
      </c>
      <c r="X2196">
        <v>0</v>
      </c>
      <c r="Y2196">
        <v>0</v>
      </c>
      <c r="Z2196">
        <v>0</v>
      </c>
      <c r="AA2196">
        <v>9</v>
      </c>
      <c r="AB2196">
        <v>9</v>
      </c>
      <c r="AC2196" t="s">
        <v>310</v>
      </c>
      <c r="AD2196">
        <v>9</v>
      </c>
      <c r="AE2196" t="s">
        <v>1396</v>
      </c>
      <c r="AF2196">
        <v>50000000</v>
      </c>
      <c r="AG2196" t="s">
        <v>310</v>
      </c>
      <c r="AH2196">
        <f>SUM((MID(Dyno_Data[[#This Row],[Team]],4,5))+(Dyno_Data[[#This Row],[Match]]/100))</f>
        <v>5993.42</v>
      </c>
      <c r="AI2196" s="76">
        <f>ROUND(SUM(IF(Dyno_Data[[#This Row],[AcqCenter]]&gt;0,Dyno_Data[[#This Row],[Time]]-SUMIFS(Dyno_Data[Time],Dyno_Data[Team],Dyno_Data[[#This Row],[Team]],Dyno_Data[RecordType],"StartMatch",Dyno_Data[Match],Dyno_Data[[#This Row],[Match]]),0)*86400),0)</f>
        <v>0</v>
      </c>
    </row>
    <row r="2197" spans="1:35" x14ac:dyDescent="0.3">
      <c r="A2197">
        <v>2196</v>
      </c>
      <c r="B2197" t="s">
        <v>1294</v>
      </c>
      <c r="C2197">
        <v>42</v>
      </c>
      <c r="D2197" s="105">
        <v>45373.667693055555</v>
      </c>
      <c r="E2197" t="s">
        <v>312</v>
      </c>
      <c r="F2197" t="s">
        <v>1402</v>
      </c>
      <c r="G2197">
        <v>0</v>
      </c>
      <c r="H2197" t="s">
        <v>315</v>
      </c>
      <c r="I2197">
        <v>0</v>
      </c>
      <c r="J2197">
        <v>0</v>
      </c>
      <c r="K2197">
        <v>0</v>
      </c>
      <c r="L2197" t="s">
        <v>240</v>
      </c>
      <c r="M2197" t="s">
        <v>1398</v>
      </c>
      <c r="N2197">
        <v>0</v>
      </c>
      <c r="O2197" t="s">
        <v>319</v>
      </c>
      <c r="P2197" t="s">
        <v>310</v>
      </c>
      <c r="Q2197" t="s">
        <v>310</v>
      </c>
      <c r="R2197" t="s">
        <v>310</v>
      </c>
      <c r="S2197">
        <v>9</v>
      </c>
      <c r="T2197" t="s">
        <v>310</v>
      </c>
      <c r="U2197">
        <v>9</v>
      </c>
      <c r="V2197">
        <v>9</v>
      </c>
      <c r="W2197">
        <v>0</v>
      </c>
      <c r="X2197">
        <v>0</v>
      </c>
      <c r="Y2197">
        <v>0</v>
      </c>
      <c r="Z2197">
        <v>0</v>
      </c>
      <c r="AA2197">
        <v>9</v>
      </c>
      <c r="AB2197">
        <v>9</v>
      </c>
      <c r="AC2197" t="s">
        <v>310</v>
      </c>
      <c r="AD2197">
        <v>9</v>
      </c>
      <c r="AE2197" t="s">
        <v>1414</v>
      </c>
      <c r="AF2197">
        <v>40100000</v>
      </c>
      <c r="AG2197" t="s">
        <v>310</v>
      </c>
      <c r="AH2197">
        <f>SUM((MID(Dyno_Data[[#This Row],[Team]],4,5))+(Dyno_Data[[#This Row],[Match]]/100))</f>
        <v>9076.42</v>
      </c>
      <c r="AI2197" s="76">
        <f>ROUND(SUM(IF(Dyno_Data[[#This Row],[AcqCenter]]&gt;0,Dyno_Data[[#This Row],[Time]]-SUMIFS(Dyno_Data[Time],Dyno_Data[Team],Dyno_Data[[#This Row],[Team]],Dyno_Data[RecordType],"StartMatch",Dyno_Data[Match],Dyno_Data[[#This Row],[Match]]),0)*86400),0)</f>
        <v>0</v>
      </c>
    </row>
    <row r="2198" spans="1:35" x14ac:dyDescent="0.3">
      <c r="A2198">
        <v>2197</v>
      </c>
      <c r="B2198" t="s">
        <v>1278</v>
      </c>
      <c r="C2198">
        <v>42</v>
      </c>
      <c r="D2198" s="105">
        <v>45373.667696643519</v>
      </c>
      <c r="E2198" t="s">
        <v>312</v>
      </c>
      <c r="F2198" t="s">
        <v>1402</v>
      </c>
      <c r="G2198">
        <v>0</v>
      </c>
      <c r="H2198" t="s">
        <v>315</v>
      </c>
      <c r="I2198">
        <v>0</v>
      </c>
      <c r="J2198">
        <v>0</v>
      </c>
      <c r="K2198">
        <v>0</v>
      </c>
      <c r="L2198" t="s">
        <v>241</v>
      </c>
      <c r="M2198" t="s">
        <v>101</v>
      </c>
      <c r="N2198">
        <v>1</v>
      </c>
      <c r="O2198" t="s">
        <v>311</v>
      </c>
      <c r="P2198" t="s">
        <v>310</v>
      </c>
      <c r="Q2198" t="s">
        <v>310</v>
      </c>
      <c r="R2198" t="s">
        <v>310</v>
      </c>
      <c r="S2198">
        <v>9</v>
      </c>
      <c r="T2198" t="s">
        <v>310</v>
      </c>
      <c r="U2198">
        <v>9</v>
      </c>
      <c r="V2198">
        <v>9</v>
      </c>
      <c r="W2198">
        <v>0</v>
      </c>
      <c r="X2198">
        <v>0</v>
      </c>
      <c r="Y2198">
        <v>0</v>
      </c>
      <c r="Z2198">
        <v>0</v>
      </c>
      <c r="AA2198">
        <v>9</v>
      </c>
      <c r="AB2198">
        <v>9</v>
      </c>
      <c r="AC2198" t="s">
        <v>310</v>
      </c>
      <c r="AD2198">
        <v>9</v>
      </c>
      <c r="AE2198" t="s">
        <v>1388</v>
      </c>
      <c r="AF2198">
        <v>30100000</v>
      </c>
      <c r="AG2198" t="s">
        <v>310</v>
      </c>
      <c r="AH2198">
        <f>SUM((MID(Dyno_Data[[#This Row],[Team]],4,5))+(Dyno_Data[[#This Row],[Match]]/100))</f>
        <v>3951.42</v>
      </c>
      <c r="AI2198" s="76">
        <f>ROUND(SUM(IF(Dyno_Data[[#This Row],[AcqCenter]]&gt;0,Dyno_Data[[#This Row],[Time]]-SUMIFS(Dyno_Data[Time],Dyno_Data[Team],Dyno_Data[[#This Row],[Team]],Dyno_Data[RecordType],"StartMatch",Dyno_Data[Match],Dyno_Data[[#This Row],[Match]]),0)*86400),0)</f>
        <v>0</v>
      </c>
    </row>
    <row r="2199" spans="1:35" x14ac:dyDescent="0.3">
      <c r="A2199">
        <v>2198</v>
      </c>
      <c r="B2199" t="s">
        <v>1285</v>
      </c>
      <c r="C2199">
        <v>42</v>
      </c>
      <c r="D2199" s="105">
        <v>45373.667832604166</v>
      </c>
      <c r="E2199" t="s">
        <v>312</v>
      </c>
      <c r="F2199" t="s">
        <v>1402</v>
      </c>
      <c r="G2199">
        <v>0</v>
      </c>
      <c r="H2199" t="s">
        <v>315</v>
      </c>
      <c r="I2199">
        <v>0</v>
      </c>
      <c r="J2199">
        <v>0</v>
      </c>
      <c r="K2199">
        <v>0</v>
      </c>
      <c r="L2199" t="s">
        <v>241</v>
      </c>
      <c r="M2199" t="s">
        <v>1398</v>
      </c>
      <c r="N2199">
        <v>0</v>
      </c>
      <c r="O2199" t="s">
        <v>1393</v>
      </c>
      <c r="P2199" t="s">
        <v>310</v>
      </c>
      <c r="Q2199" t="s">
        <v>310</v>
      </c>
      <c r="R2199" t="s">
        <v>310</v>
      </c>
      <c r="S2199">
        <v>9</v>
      </c>
      <c r="T2199" t="s">
        <v>310</v>
      </c>
      <c r="U2199">
        <v>9</v>
      </c>
      <c r="V2199">
        <v>9</v>
      </c>
      <c r="W2199">
        <v>0</v>
      </c>
      <c r="X2199">
        <v>0</v>
      </c>
      <c r="Y2199">
        <v>0</v>
      </c>
      <c r="Z2199">
        <v>0</v>
      </c>
      <c r="AA2199">
        <v>9</v>
      </c>
      <c r="AB2199">
        <v>9</v>
      </c>
      <c r="AC2199" t="s">
        <v>310</v>
      </c>
      <c r="AD2199">
        <v>9</v>
      </c>
      <c r="AE2199" t="s">
        <v>1396</v>
      </c>
      <c r="AF2199">
        <v>60000000</v>
      </c>
      <c r="AG2199" t="s">
        <v>310</v>
      </c>
      <c r="AH2199">
        <f>SUM((MID(Dyno_Data[[#This Row],[Team]],4,5))+(Dyno_Data[[#This Row],[Match]]/100))</f>
        <v>5993.42</v>
      </c>
      <c r="AI2199" s="76">
        <f>ROUND(SUM(IF(Dyno_Data[[#This Row],[AcqCenter]]&gt;0,Dyno_Data[[#This Row],[Time]]-SUMIFS(Dyno_Data[Time],Dyno_Data[Team],Dyno_Data[[#This Row],[Team]],Dyno_Data[RecordType],"StartMatch",Dyno_Data[Match],Dyno_Data[[#This Row],[Match]]),0)*86400),0)</f>
        <v>0</v>
      </c>
    </row>
    <row r="2200" spans="1:35" x14ac:dyDescent="0.3">
      <c r="A2200">
        <v>2199</v>
      </c>
      <c r="B2200" t="s">
        <v>1285</v>
      </c>
      <c r="C2200">
        <v>42</v>
      </c>
      <c r="D2200" s="105">
        <v>45373.667907488423</v>
      </c>
      <c r="E2200" t="s">
        <v>312</v>
      </c>
      <c r="F2200" t="s">
        <v>1402</v>
      </c>
      <c r="G2200">
        <v>0</v>
      </c>
      <c r="H2200" t="s">
        <v>315</v>
      </c>
      <c r="I2200">
        <v>0</v>
      </c>
      <c r="J2200">
        <v>0</v>
      </c>
      <c r="K2200">
        <v>0</v>
      </c>
      <c r="L2200" t="s">
        <v>240</v>
      </c>
      <c r="M2200" t="s">
        <v>1398</v>
      </c>
      <c r="N2200">
        <v>0</v>
      </c>
      <c r="O2200" t="s">
        <v>1393</v>
      </c>
      <c r="P2200" t="s">
        <v>310</v>
      </c>
      <c r="Q2200" t="s">
        <v>310</v>
      </c>
      <c r="R2200" t="s">
        <v>310</v>
      </c>
      <c r="S2200">
        <v>9</v>
      </c>
      <c r="T2200" t="s">
        <v>310</v>
      </c>
      <c r="U2200">
        <v>9</v>
      </c>
      <c r="V2200">
        <v>9</v>
      </c>
      <c r="W2200">
        <v>0</v>
      </c>
      <c r="X2200">
        <v>0</v>
      </c>
      <c r="Y2200">
        <v>0</v>
      </c>
      <c r="Z2200">
        <v>0</v>
      </c>
      <c r="AA2200">
        <v>9</v>
      </c>
      <c r="AB2200">
        <v>9</v>
      </c>
      <c r="AC2200" t="s">
        <v>310</v>
      </c>
      <c r="AD2200">
        <v>9</v>
      </c>
      <c r="AE2200" t="s">
        <v>1396</v>
      </c>
      <c r="AF2200">
        <v>70000000</v>
      </c>
      <c r="AG2200" t="s">
        <v>310</v>
      </c>
      <c r="AH2200">
        <f>SUM((MID(Dyno_Data[[#This Row],[Team]],4,5))+(Dyno_Data[[#This Row],[Match]]/100))</f>
        <v>5993.42</v>
      </c>
      <c r="AI2200" s="76">
        <f>ROUND(SUM(IF(Dyno_Data[[#This Row],[AcqCenter]]&gt;0,Dyno_Data[[#This Row],[Time]]-SUMIFS(Dyno_Data[Time],Dyno_Data[Team],Dyno_Data[[#This Row],[Team]],Dyno_Data[RecordType],"StartMatch",Dyno_Data[Match],Dyno_Data[[#This Row],[Match]]),0)*86400),0)</f>
        <v>0</v>
      </c>
    </row>
    <row r="2201" spans="1:35" x14ac:dyDescent="0.3">
      <c r="A2201">
        <v>2200</v>
      </c>
      <c r="B2201" t="s">
        <v>1294</v>
      </c>
      <c r="C2201">
        <v>42</v>
      </c>
      <c r="D2201" s="105">
        <v>45373.667984988424</v>
      </c>
      <c r="E2201" t="s">
        <v>312</v>
      </c>
      <c r="F2201" t="s">
        <v>1402</v>
      </c>
      <c r="G2201">
        <v>0</v>
      </c>
      <c r="H2201" t="s">
        <v>315</v>
      </c>
      <c r="I2201">
        <v>0</v>
      </c>
      <c r="J2201">
        <v>0</v>
      </c>
      <c r="K2201">
        <v>0</v>
      </c>
      <c r="L2201" t="s">
        <v>240</v>
      </c>
      <c r="M2201" t="s">
        <v>1398</v>
      </c>
      <c r="N2201">
        <v>0</v>
      </c>
      <c r="O2201" t="s">
        <v>319</v>
      </c>
      <c r="P2201" t="s">
        <v>310</v>
      </c>
      <c r="Q2201" t="s">
        <v>310</v>
      </c>
      <c r="R2201" t="s">
        <v>310</v>
      </c>
      <c r="S2201">
        <v>9</v>
      </c>
      <c r="T2201" t="s">
        <v>310</v>
      </c>
      <c r="U2201">
        <v>9</v>
      </c>
      <c r="V2201">
        <v>9</v>
      </c>
      <c r="W2201">
        <v>0</v>
      </c>
      <c r="X2201">
        <v>0</v>
      </c>
      <c r="Y2201">
        <v>0</v>
      </c>
      <c r="Z2201">
        <v>0</v>
      </c>
      <c r="AA2201">
        <v>9</v>
      </c>
      <c r="AB2201">
        <v>9</v>
      </c>
      <c r="AC2201" t="s">
        <v>310</v>
      </c>
      <c r="AD2201">
        <v>9</v>
      </c>
      <c r="AE2201" t="s">
        <v>1414</v>
      </c>
      <c r="AF2201">
        <v>50200000</v>
      </c>
      <c r="AG2201" t="s">
        <v>310</v>
      </c>
      <c r="AH2201">
        <f>SUM((MID(Dyno_Data[[#This Row],[Team]],4,5))+(Dyno_Data[[#This Row],[Match]]/100))</f>
        <v>9076.42</v>
      </c>
      <c r="AI2201" s="76">
        <f>ROUND(SUM(IF(Dyno_Data[[#This Row],[AcqCenter]]&gt;0,Dyno_Data[[#This Row],[Time]]-SUMIFS(Dyno_Data[Time],Dyno_Data[Team],Dyno_Data[[#This Row],[Team]],Dyno_Data[RecordType],"StartMatch",Dyno_Data[Match],Dyno_Data[[#This Row],[Match]]),0)*86400),0)</f>
        <v>0</v>
      </c>
    </row>
    <row r="2202" spans="1:35" x14ac:dyDescent="0.3">
      <c r="A2202">
        <v>2201</v>
      </c>
      <c r="B2202" t="s">
        <v>1278</v>
      </c>
      <c r="C2202">
        <v>42</v>
      </c>
      <c r="D2202" s="105">
        <v>45373.668005868058</v>
      </c>
      <c r="E2202" t="s">
        <v>1403</v>
      </c>
      <c r="F2202" t="s">
        <v>1402</v>
      </c>
      <c r="G2202">
        <v>0</v>
      </c>
      <c r="H2202" t="s">
        <v>310</v>
      </c>
      <c r="I2202">
        <v>0</v>
      </c>
      <c r="J2202">
        <v>0</v>
      </c>
      <c r="K2202">
        <v>0</v>
      </c>
      <c r="L2202" t="s">
        <v>310</v>
      </c>
      <c r="M2202" t="s">
        <v>310</v>
      </c>
      <c r="N2202">
        <v>0</v>
      </c>
      <c r="O2202" t="s">
        <v>311</v>
      </c>
      <c r="P2202" t="s">
        <v>310</v>
      </c>
      <c r="Q2202" t="s">
        <v>310</v>
      </c>
      <c r="R2202" t="s">
        <v>310</v>
      </c>
      <c r="S2202">
        <v>9</v>
      </c>
      <c r="T2202" t="s">
        <v>310</v>
      </c>
      <c r="U2202">
        <v>9</v>
      </c>
      <c r="V2202">
        <v>9</v>
      </c>
      <c r="W2202">
        <v>0</v>
      </c>
      <c r="X2202">
        <v>0</v>
      </c>
      <c r="Y2202">
        <v>0</v>
      </c>
      <c r="Z2202">
        <v>0</v>
      </c>
      <c r="AA2202">
        <v>9</v>
      </c>
      <c r="AB2202">
        <v>9</v>
      </c>
      <c r="AC2202" t="s">
        <v>310</v>
      </c>
      <c r="AD2202">
        <v>9</v>
      </c>
      <c r="AE2202" t="s">
        <v>1388</v>
      </c>
      <c r="AF2202">
        <v>50200000</v>
      </c>
      <c r="AG2202" t="s">
        <v>258</v>
      </c>
      <c r="AH2202">
        <f>SUM((MID(Dyno_Data[[#This Row],[Team]],4,5))+(Dyno_Data[[#This Row],[Match]]/100))</f>
        <v>3951.42</v>
      </c>
      <c r="AI2202" s="76">
        <f>ROUND(SUM(IF(Dyno_Data[[#This Row],[AcqCenter]]&gt;0,Dyno_Data[[#This Row],[Time]]-SUMIFS(Dyno_Data[Time],Dyno_Data[Team],Dyno_Data[[#This Row],[Team]],Dyno_Data[RecordType],"StartMatch",Dyno_Data[Match],Dyno_Data[[#This Row],[Match]]),0)*86400),0)</f>
        <v>0</v>
      </c>
    </row>
    <row r="2203" spans="1:35" x14ac:dyDescent="0.3">
      <c r="A2203">
        <v>2202</v>
      </c>
      <c r="B2203" t="s">
        <v>1294</v>
      </c>
      <c r="C2203">
        <v>42</v>
      </c>
      <c r="D2203" s="105">
        <v>45373.668289895832</v>
      </c>
      <c r="E2203" t="s">
        <v>312</v>
      </c>
      <c r="F2203" t="s">
        <v>1402</v>
      </c>
      <c r="G2203">
        <v>0</v>
      </c>
      <c r="H2203" t="s">
        <v>315</v>
      </c>
      <c r="I2203">
        <v>0</v>
      </c>
      <c r="J2203">
        <v>0</v>
      </c>
      <c r="K2203">
        <v>0</v>
      </c>
      <c r="L2203" t="s">
        <v>240</v>
      </c>
      <c r="M2203" t="s">
        <v>1398</v>
      </c>
      <c r="N2203">
        <v>0</v>
      </c>
      <c r="O2203" t="s">
        <v>319</v>
      </c>
      <c r="P2203" t="s">
        <v>310</v>
      </c>
      <c r="Q2203" t="s">
        <v>310</v>
      </c>
      <c r="R2203" t="s">
        <v>310</v>
      </c>
      <c r="S2203">
        <v>9</v>
      </c>
      <c r="T2203" t="s">
        <v>310</v>
      </c>
      <c r="U2203">
        <v>9</v>
      </c>
      <c r="V2203">
        <v>9</v>
      </c>
      <c r="W2203">
        <v>0</v>
      </c>
      <c r="X2203">
        <v>0</v>
      </c>
      <c r="Y2203">
        <v>0</v>
      </c>
      <c r="Z2203">
        <v>0</v>
      </c>
      <c r="AA2203">
        <v>9</v>
      </c>
      <c r="AB2203">
        <v>9</v>
      </c>
      <c r="AC2203" t="s">
        <v>310</v>
      </c>
      <c r="AD2203">
        <v>9</v>
      </c>
      <c r="AE2203" t="s">
        <v>1414</v>
      </c>
      <c r="AF2203">
        <v>60500000</v>
      </c>
      <c r="AG2203" t="s">
        <v>310</v>
      </c>
      <c r="AH2203">
        <f>SUM((MID(Dyno_Data[[#This Row],[Team]],4,5))+(Dyno_Data[[#This Row],[Match]]/100))</f>
        <v>9076.42</v>
      </c>
      <c r="AI2203" s="76">
        <f>ROUND(SUM(IF(Dyno_Data[[#This Row],[AcqCenter]]&gt;0,Dyno_Data[[#This Row],[Time]]-SUMIFS(Dyno_Data[Time],Dyno_Data[Team],Dyno_Data[[#This Row],[Team]],Dyno_Data[RecordType],"StartMatch",Dyno_Data[Match],Dyno_Data[[#This Row],[Match]]),0)*86400),0)</f>
        <v>0</v>
      </c>
    </row>
    <row r="2204" spans="1:35" x14ac:dyDescent="0.3">
      <c r="A2204">
        <v>2203</v>
      </c>
      <c r="B2204" t="s">
        <v>1278</v>
      </c>
      <c r="C2204">
        <v>42</v>
      </c>
      <c r="D2204" s="105">
        <v>45373.669458414355</v>
      </c>
      <c r="E2204" t="s">
        <v>316</v>
      </c>
      <c r="F2204" t="s">
        <v>317</v>
      </c>
      <c r="G2204">
        <v>1</v>
      </c>
      <c r="H2204" t="s">
        <v>310</v>
      </c>
      <c r="I2204">
        <v>0</v>
      </c>
      <c r="J2204">
        <v>0</v>
      </c>
      <c r="K2204">
        <v>0</v>
      </c>
      <c r="L2204" t="s">
        <v>310</v>
      </c>
      <c r="M2204" t="s">
        <v>310</v>
      </c>
      <c r="N2204">
        <v>0</v>
      </c>
      <c r="O2204" t="s">
        <v>311</v>
      </c>
      <c r="P2204" t="s">
        <v>240</v>
      </c>
      <c r="Q2204" t="s">
        <v>1399</v>
      </c>
      <c r="R2204" t="s">
        <v>1405</v>
      </c>
      <c r="S2204">
        <v>1</v>
      </c>
      <c r="T2204" t="s">
        <v>1407</v>
      </c>
      <c r="U2204">
        <v>0</v>
      </c>
      <c r="V2204">
        <v>0</v>
      </c>
      <c r="W2204">
        <v>13.401881699999999</v>
      </c>
      <c r="X2204">
        <v>0</v>
      </c>
      <c r="Y2204">
        <v>23.109821999999998</v>
      </c>
      <c r="Z2204">
        <v>97.468392100000003</v>
      </c>
      <c r="AA2204">
        <v>3</v>
      </c>
      <c r="AB2204">
        <v>0</v>
      </c>
      <c r="AC2204" t="s">
        <v>170</v>
      </c>
      <c r="AD2204">
        <v>0</v>
      </c>
      <c r="AE2204" t="s">
        <v>1388</v>
      </c>
      <c r="AF2204">
        <v>30100000</v>
      </c>
      <c r="AG2204" t="s">
        <v>310</v>
      </c>
      <c r="AH2204">
        <f>SUM((MID(Dyno_Data[[#This Row],[Team]],4,5))+(Dyno_Data[[#This Row],[Match]]/100))</f>
        <v>3951.42</v>
      </c>
      <c r="AI2204" s="76">
        <f>ROUND(SUM(IF(Dyno_Data[[#This Row],[AcqCenter]]&gt;0,Dyno_Data[[#This Row],[Time]]-SUMIFS(Dyno_Data[Time],Dyno_Data[Team],Dyno_Data[[#This Row],[Team]],Dyno_Data[RecordType],"StartMatch",Dyno_Data[Match],Dyno_Data[[#This Row],[Match]]),0)*86400),0)</f>
        <v>0</v>
      </c>
    </row>
    <row r="2205" spans="1:35" x14ac:dyDescent="0.3">
      <c r="A2205">
        <v>2204</v>
      </c>
      <c r="B2205" t="s">
        <v>1306</v>
      </c>
      <c r="C2205">
        <v>42</v>
      </c>
      <c r="D2205" s="105">
        <v>45373.669458564815</v>
      </c>
      <c r="E2205" t="s">
        <v>316</v>
      </c>
      <c r="F2205" t="s">
        <v>317</v>
      </c>
      <c r="G2205">
        <v>0</v>
      </c>
      <c r="H2205" t="s">
        <v>310</v>
      </c>
      <c r="I2205">
        <v>0</v>
      </c>
      <c r="J2205">
        <v>0</v>
      </c>
      <c r="K2205">
        <v>0</v>
      </c>
      <c r="L2205" t="s">
        <v>310</v>
      </c>
      <c r="M2205" t="s">
        <v>310</v>
      </c>
      <c r="N2205">
        <v>0</v>
      </c>
      <c r="O2205" t="s">
        <v>1391</v>
      </c>
      <c r="P2205" t="s">
        <v>320</v>
      </c>
      <c r="Q2205" t="s">
        <v>1400</v>
      </c>
      <c r="R2205" t="s">
        <v>321</v>
      </c>
      <c r="S2205">
        <v>0</v>
      </c>
      <c r="T2205" t="s">
        <v>105</v>
      </c>
      <c r="U2205">
        <v>9</v>
      </c>
      <c r="V2205">
        <v>9</v>
      </c>
      <c r="W2205">
        <v>0</v>
      </c>
      <c r="X2205">
        <v>0</v>
      </c>
      <c r="Y2205">
        <v>0</v>
      </c>
      <c r="Z2205">
        <v>135.2196031</v>
      </c>
      <c r="AA2205">
        <v>0</v>
      </c>
      <c r="AB2205">
        <v>0</v>
      </c>
      <c r="AC2205" t="s">
        <v>167</v>
      </c>
      <c r="AD2205">
        <v>9</v>
      </c>
      <c r="AE2205" t="s">
        <v>1412</v>
      </c>
      <c r="AF2205">
        <v>0</v>
      </c>
      <c r="AG2205" t="s">
        <v>310</v>
      </c>
      <c r="AH2205">
        <f>SUM((MID(Dyno_Data[[#This Row],[Team]],4,5))+(Dyno_Data[[#This Row],[Match]]/100))</f>
        <v>3986.42</v>
      </c>
      <c r="AI2205" s="76">
        <f>ROUND(SUM(IF(Dyno_Data[[#This Row],[AcqCenter]]&gt;0,Dyno_Data[[#This Row],[Time]]-SUMIFS(Dyno_Data[Time],Dyno_Data[Team],Dyno_Data[[#This Row],[Team]],Dyno_Data[RecordType],"StartMatch",Dyno_Data[Match],Dyno_Data[[#This Row],[Match]]),0)*86400),0)</f>
        <v>0</v>
      </c>
    </row>
    <row r="2206" spans="1:35" x14ac:dyDescent="0.3">
      <c r="A2206">
        <v>2205</v>
      </c>
      <c r="B2206" t="s">
        <v>1294</v>
      </c>
      <c r="C2206">
        <v>42</v>
      </c>
      <c r="D2206" s="105">
        <v>45373.669458761571</v>
      </c>
      <c r="E2206" t="s">
        <v>316</v>
      </c>
      <c r="F2206" t="s">
        <v>317</v>
      </c>
      <c r="G2206">
        <v>1</v>
      </c>
      <c r="H2206" t="s">
        <v>310</v>
      </c>
      <c r="I2206">
        <v>0</v>
      </c>
      <c r="J2206">
        <v>0</v>
      </c>
      <c r="K2206">
        <v>0</v>
      </c>
      <c r="L2206" t="s">
        <v>310</v>
      </c>
      <c r="M2206" t="s">
        <v>310</v>
      </c>
      <c r="N2206">
        <v>0</v>
      </c>
      <c r="O2206" t="s">
        <v>319</v>
      </c>
      <c r="P2206" t="s">
        <v>101</v>
      </c>
      <c r="Q2206" t="s">
        <v>1400</v>
      </c>
      <c r="R2206" t="s">
        <v>1404</v>
      </c>
      <c r="S2206">
        <v>0</v>
      </c>
      <c r="T2206" t="s">
        <v>105</v>
      </c>
      <c r="U2206">
        <v>9</v>
      </c>
      <c r="V2206">
        <v>9</v>
      </c>
      <c r="W2206">
        <v>0</v>
      </c>
      <c r="X2206">
        <v>10.608098399999999</v>
      </c>
      <c r="Y2206">
        <v>23.518185199999998</v>
      </c>
      <c r="Z2206">
        <v>97.677280499999995</v>
      </c>
      <c r="AA2206">
        <v>0</v>
      </c>
      <c r="AB2206">
        <v>1</v>
      </c>
      <c r="AC2206" t="s">
        <v>174</v>
      </c>
      <c r="AD2206">
        <v>9</v>
      </c>
      <c r="AE2206" t="s">
        <v>1414</v>
      </c>
      <c r="AF2206">
        <v>60500000</v>
      </c>
      <c r="AG2206" t="s">
        <v>310</v>
      </c>
      <c r="AH2206">
        <f>SUM((MID(Dyno_Data[[#This Row],[Team]],4,5))+(Dyno_Data[[#This Row],[Match]]/100))</f>
        <v>9076.42</v>
      </c>
      <c r="AI2206" s="76">
        <f>ROUND(SUM(IF(Dyno_Data[[#This Row],[AcqCenter]]&gt;0,Dyno_Data[[#This Row],[Time]]-SUMIFS(Dyno_Data[Time],Dyno_Data[Team],Dyno_Data[[#This Row],[Team]],Dyno_Data[RecordType],"StartMatch",Dyno_Data[Match],Dyno_Data[[#This Row],[Match]]),0)*86400),0)</f>
        <v>0</v>
      </c>
    </row>
    <row r="2207" spans="1:35" x14ac:dyDescent="0.3">
      <c r="A2207">
        <v>2206</v>
      </c>
      <c r="B2207" t="s">
        <v>1285</v>
      </c>
      <c r="C2207">
        <v>42</v>
      </c>
      <c r="D2207" s="105">
        <v>45373.669458912038</v>
      </c>
      <c r="E2207" t="s">
        <v>316</v>
      </c>
      <c r="F2207" t="s">
        <v>317</v>
      </c>
      <c r="G2207">
        <v>1</v>
      </c>
      <c r="H2207" t="s">
        <v>310</v>
      </c>
      <c r="I2207">
        <v>0</v>
      </c>
      <c r="J2207">
        <v>0</v>
      </c>
      <c r="K2207">
        <v>0</v>
      </c>
      <c r="L2207" t="s">
        <v>310</v>
      </c>
      <c r="M2207" t="s">
        <v>310</v>
      </c>
      <c r="N2207">
        <v>0</v>
      </c>
      <c r="O2207" t="s">
        <v>1393</v>
      </c>
      <c r="P2207" t="s">
        <v>240</v>
      </c>
      <c r="Q2207" t="s">
        <v>1399</v>
      </c>
      <c r="R2207" t="s">
        <v>1404</v>
      </c>
      <c r="S2207">
        <v>-1</v>
      </c>
      <c r="T2207" t="s">
        <v>105</v>
      </c>
      <c r="U2207">
        <v>9</v>
      </c>
      <c r="V2207">
        <v>9</v>
      </c>
      <c r="W2207">
        <v>12.277265999999999</v>
      </c>
      <c r="X2207">
        <v>17.848417999999999</v>
      </c>
      <c r="Y2207">
        <v>12.4399003</v>
      </c>
      <c r="Z2207">
        <v>92.042836699999995</v>
      </c>
      <c r="AA2207">
        <v>0</v>
      </c>
      <c r="AB2207">
        <v>0</v>
      </c>
      <c r="AC2207" t="s">
        <v>174</v>
      </c>
      <c r="AD2207">
        <v>0</v>
      </c>
      <c r="AE2207" t="s">
        <v>1396</v>
      </c>
      <c r="AF2207">
        <v>70000000</v>
      </c>
      <c r="AG2207" t="s">
        <v>310</v>
      </c>
      <c r="AH2207">
        <f>SUM((MID(Dyno_Data[[#This Row],[Team]],4,5))+(Dyno_Data[[#This Row],[Match]]/100))</f>
        <v>5993.42</v>
      </c>
      <c r="AI2207" s="76">
        <f>ROUND(SUM(IF(Dyno_Data[[#This Row],[AcqCenter]]&gt;0,Dyno_Data[[#This Row],[Time]]-SUMIFS(Dyno_Data[Time],Dyno_Data[Team],Dyno_Data[[#This Row],[Team]],Dyno_Data[RecordType],"StartMatch",Dyno_Data[Match],Dyno_Data[[#This Row],[Match]]),0)*86400),0)</f>
        <v>0</v>
      </c>
    </row>
    <row r="2208" spans="1:35" x14ac:dyDescent="0.3">
      <c r="A2208">
        <v>2207</v>
      </c>
      <c r="B2208" t="s">
        <v>1302</v>
      </c>
      <c r="C2208">
        <v>42</v>
      </c>
      <c r="D2208" s="105">
        <v>45373.669459108794</v>
      </c>
      <c r="E2208" t="s">
        <v>316</v>
      </c>
      <c r="F2208" t="s">
        <v>317</v>
      </c>
      <c r="G2208">
        <v>1</v>
      </c>
      <c r="H2208" t="s">
        <v>310</v>
      </c>
      <c r="I2208">
        <v>0</v>
      </c>
      <c r="J2208">
        <v>0</v>
      </c>
      <c r="K2208">
        <v>0</v>
      </c>
      <c r="L2208" t="s">
        <v>310</v>
      </c>
      <c r="M2208" t="s">
        <v>310</v>
      </c>
      <c r="N2208">
        <v>0</v>
      </c>
      <c r="O2208" t="s">
        <v>1389</v>
      </c>
      <c r="P2208" t="s">
        <v>320</v>
      </c>
      <c r="Q2208" t="s">
        <v>1400</v>
      </c>
      <c r="R2208" t="s">
        <v>1404</v>
      </c>
      <c r="S2208">
        <v>-1</v>
      </c>
      <c r="T2208" t="s">
        <v>105</v>
      </c>
      <c r="U2208">
        <v>9</v>
      </c>
      <c r="V2208">
        <v>9</v>
      </c>
      <c r="W2208">
        <v>5.3163337999999998</v>
      </c>
      <c r="X2208">
        <v>39.751121399999995</v>
      </c>
      <c r="Y2208">
        <v>25.200758199999999</v>
      </c>
      <c r="Z2208">
        <v>69.879162899999997</v>
      </c>
      <c r="AA2208">
        <v>0</v>
      </c>
      <c r="AB2208">
        <v>0</v>
      </c>
      <c r="AC2208" t="s">
        <v>174</v>
      </c>
      <c r="AD2208">
        <v>9</v>
      </c>
      <c r="AE2208" t="s">
        <v>1390</v>
      </c>
      <c r="AF2208">
        <v>10000000</v>
      </c>
      <c r="AG2208" t="s">
        <v>310</v>
      </c>
      <c r="AH2208">
        <f>SUM((MID(Dyno_Data[[#This Row],[Team]],4,5))+(Dyno_Data[[#This Row],[Match]]/100))</f>
        <v>2095.42</v>
      </c>
      <c r="AI2208" s="76">
        <f>ROUND(SUM(IF(Dyno_Data[[#This Row],[AcqCenter]]&gt;0,Dyno_Data[[#This Row],[Time]]-SUMIFS(Dyno_Data[Time],Dyno_Data[Team],Dyno_Data[[#This Row],[Team]],Dyno_Data[RecordType],"StartMatch",Dyno_Data[Match],Dyno_Data[[#This Row],[Match]]),0)*86400),0)</f>
        <v>0</v>
      </c>
    </row>
    <row r="2209" spans="1:35" x14ac:dyDescent="0.3">
      <c r="A2209">
        <v>2208</v>
      </c>
      <c r="B2209" t="s">
        <v>1292</v>
      </c>
      <c r="C2209">
        <v>42</v>
      </c>
      <c r="D2209" s="105">
        <v>45373.669459259261</v>
      </c>
      <c r="E2209" t="s">
        <v>316</v>
      </c>
      <c r="F2209" t="s">
        <v>317</v>
      </c>
      <c r="G2209">
        <v>0</v>
      </c>
      <c r="H2209" t="s">
        <v>310</v>
      </c>
      <c r="I2209">
        <v>0</v>
      </c>
      <c r="J2209">
        <v>0</v>
      </c>
      <c r="K2209">
        <v>0</v>
      </c>
      <c r="L2209" t="s">
        <v>310</v>
      </c>
      <c r="M2209" t="s">
        <v>310</v>
      </c>
      <c r="N2209">
        <v>0</v>
      </c>
      <c r="O2209" t="s">
        <v>1395</v>
      </c>
      <c r="P2209" t="s">
        <v>1401</v>
      </c>
      <c r="Q2209" t="s">
        <v>1400</v>
      </c>
      <c r="R2209" t="s">
        <v>1404</v>
      </c>
      <c r="S2209">
        <v>0</v>
      </c>
      <c r="T2209" t="s">
        <v>105</v>
      </c>
      <c r="U2209">
        <v>9</v>
      </c>
      <c r="V2209">
        <v>9</v>
      </c>
      <c r="W2209">
        <v>0</v>
      </c>
      <c r="X2209">
        <v>0.3778261</v>
      </c>
      <c r="Y2209">
        <v>105.58822149999999</v>
      </c>
      <c r="Z2209">
        <v>27.662361299999997</v>
      </c>
      <c r="AA2209">
        <v>3</v>
      </c>
      <c r="AB2209">
        <v>0</v>
      </c>
      <c r="AC2209" t="s">
        <v>170</v>
      </c>
      <c r="AD2209">
        <v>9</v>
      </c>
      <c r="AE2209" t="s">
        <v>1413</v>
      </c>
      <c r="AF2209">
        <v>0</v>
      </c>
      <c r="AG2209" t="s">
        <v>310</v>
      </c>
      <c r="AH2209">
        <f>SUM((MID(Dyno_Data[[#This Row],[Team]],4,5))+(Dyno_Data[[#This Row],[Match]]/100))</f>
        <v>7030.42</v>
      </c>
      <c r="AI2209" s="76">
        <f>ROUND(SUM(IF(Dyno_Data[[#This Row],[AcqCenter]]&gt;0,Dyno_Data[[#This Row],[Time]]-SUMIFS(Dyno_Data[Time],Dyno_Data[Team],Dyno_Data[[#This Row],[Team]],Dyno_Data[RecordType],"StartMatch",Dyno_Data[Match],Dyno_Data[[#This Row],[Match]]),0)*86400),0)</f>
        <v>0</v>
      </c>
    </row>
    <row r="2210" spans="1:35" x14ac:dyDescent="0.3">
      <c r="A2210">
        <v>2217</v>
      </c>
      <c r="B2210" t="s">
        <v>1308</v>
      </c>
      <c r="C2210">
        <v>43</v>
      </c>
      <c r="D2210" s="105">
        <v>45373.675054826388</v>
      </c>
      <c r="E2210" t="s">
        <v>308</v>
      </c>
      <c r="F2210" t="s">
        <v>309</v>
      </c>
      <c r="G2210">
        <v>0</v>
      </c>
      <c r="H2210" t="s">
        <v>310</v>
      </c>
      <c r="I2210">
        <v>0</v>
      </c>
      <c r="J2210">
        <v>0</v>
      </c>
      <c r="K2210">
        <v>0</v>
      </c>
      <c r="L2210" t="s">
        <v>310</v>
      </c>
      <c r="M2210" t="s">
        <v>310</v>
      </c>
      <c r="N2210">
        <v>0</v>
      </c>
      <c r="O2210" t="s">
        <v>1393</v>
      </c>
      <c r="P2210" t="s">
        <v>310</v>
      </c>
      <c r="Q2210" t="s">
        <v>310</v>
      </c>
      <c r="R2210" t="s">
        <v>310</v>
      </c>
      <c r="S2210">
        <v>9</v>
      </c>
      <c r="T2210" t="s">
        <v>310</v>
      </c>
      <c r="U2210">
        <v>9</v>
      </c>
      <c r="V2210">
        <v>9</v>
      </c>
      <c r="W2210">
        <v>0</v>
      </c>
      <c r="X2210">
        <v>0</v>
      </c>
      <c r="Y2210">
        <v>0</v>
      </c>
      <c r="Z2210">
        <v>0</v>
      </c>
      <c r="AA2210">
        <v>9</v>
      </c>
      <c r="AB2210">
        <v>9</v>
      </c>
      <c r="AC2210" t="s">
        <v>310</v>
      </c>
      <c r="AD2210">
        <v>9</v>
      </c>
      <c r="AE2210" t="s">
        <v>1412</v>
      </c>
      <c r="AF2210">
        <v>10000000</v>
      </c>
      <c r="AG2210" t="s">
        <v>310</v>
      </c>
      <c r="AH2210">
        <f>SUM((MID(Dyno_Data[[#This Row],[Team]],4,5))+(Dyno_Data[[#This Row],[Match]]/100))</f>
        <v>3799.43</v>
      </c>
      <c r="AI2210" s="76">
        <f>ROUND(SUM(IF(Dyno_Data[[#This Row],[AcqCenter]]&gt;0,Dyno_Data[[#This Row],[Time]]-SUMIFS(Dyno_Data[Time],Dyno_Data[Team],Dyno_Data[[#This Row],[Team]],Dyno_Data[RecordType],"StartMatch",Dyno_Data[Match],Dyno_Data[[#This Row],[Match]]),0)*86400),0)</f>
        <v>0</v>
      </c>
    </row>
    <row r="2211" spans="1:35" x14ac:dyDescent="0.3">
      <c r="A2211">
        <v>2219</v>
      </c>
      <c r="B2211" t="s">
        <v>363</v>
      </c>
      <c r="C2211">
        <v>43</v>
      </c>
      <c r="D2211" s="105">
        <v>45373.675056979169</v>
      </c>
      <c r="E2211" t="s">
        <v>308</v>
      </c>
      <c r="F2211" t="s">
        <v>309</v>
      </c>
      <c r="G2211">
        <v>0</v>
      </c>
      <c r="H2211" t="s">
        <v>310</v>
      </c>
      <c r="I2211">
        <v>0</v>
      </c>
      <c r="J2211">
        <v>0</v>
      </c>
      <c r="K2211">
        <v>0</v>
      </c>
      <c r="L2211" t="s">
        <v>310</v>
      </c>
      <c r="M2211" t="s">
        <v>310</v>
      </c>
      <c r="N2211">
        <v>0</v>
      </c>
      <c r="O2211" t="s">
        <v>1391</v>
      </c>
      <c r="P2211" t="s">
        <v>310</v>
      </c>
      <c r="Q2211" t="s">
        <v>310</v>
      </c>
      <c r="R2211" t="s">
        <v>310</v>
      </c>
      <c r="S2211">
        <v>9</v>
      </c>
      <c r="T2211" t="s">
        <v>310</v>
      </c>
      <c r="U2211">
        <v>9</v>
      </c>
      <c r="V2211">
        <v>9</v>
      </c>
      <c r="W2211">
        <v>0</v>
      </c>
      <c r="X2211">
        <v>0</v>
      </c>
      <c r="Y2211">
        <v>0</v>
      </c>
      <c r="Z2211">
        <v>0</v>
      </c>
      <c r="AA2211">
        <v>9</v>
      </c>
      <c r="AB2211">
        <v>9</v>
      </c>
      <c r="AC2211" t="s">
        <v>310</v>
      </c>
      <c r="AD2211">
        <v>9</v>
      </c>
      <c r="AE2211" t="s">
        <v>1416</v>
      </c>
      <c r="AF2211">
        <v>30000000</v>
      </c>
      <c r="AG2211" t="s">
        <v>310</v>
      </c>
      <c r="AH2211">
        <f>SUM((MID(Dyno_Data[[#This Row],[Team]],4,5))+(Dyno_Data[[#This Row],[Match]]/100))</f>
        <v>2601.4299999999998</v>
      </c>
      <c r="AI2211" s="76">
        <f>ROUND(SUM(IF(Dyno_Data[[#This Row],[AcqCenter]]&gt;0,Dyno_Data[[#This Row],[Time]]-SUMIFS(Dyno_Data[Time],Dyno_Data[Team],Dyno_Data[[#This Row],[Team]],Dyno_Data[RecordType],"StartMatch",Dyno_Data[Match],Dyno_Data[[#This Row],[Match]]),0)*86400),0)</f>
        <v>0</v>
      </c>
    </row>
    <row r="2212" spans="1:35" x14ac:dyDescent="0.3">
      <c r="A2212">
        <v>2221</v>
      </c>
      <c r="B2212" t="s">
        <v>366</v>
      </c>
      <c r="C2212">
        <v>43</v>
      </c>
      <c r="D2212" s="105">
        <v>45373.675061307869</v>
      </c>
      <c r="E2212" t="s">
        <v>308</v>
      </c>
      <c r="F2212" t="s">
        <v>309</v>
      </c>
      <c r="G2212">
        <v>0</v>
      </c>
      <c r="H2212" t="s">
        <v>310</v>
      </c>
      <c r="I2212">
        <v>0</v>
      </c>
      <c r="J2212">
        <v>0</v>
      </c>
      <c r="K2212">
        <v>0</v>
      </c>
      <c r="L2212" t="s">
        <v>310</v>
      </c>
      <c r="M2212" t="s">
        <v>310</v>
      </c>
      <c r="N2212">
        <v>0</v>
      </c>
      <c r="O2212" t="s">
        <v>1395</v>
      </c>
      <c r="P2212" t="s">
        <v>310</v>
      </c>
      <c r="Q2212" t="s">
        <v>310</v>
      </c>
      <c r="R2212" t="s">
        <v>310</v>
      </c>
      <c r="S2212">
        <v>9</v>
      </c>
      <c r="T2212" t="s">
        <v>310</v>
      </c>
      <c r="U2212">
        <v>9</v>
      </c>
      <c r="V2212">
        <v>9</v>
      </c>
      <c r="W2212">
        <v>0</v>
      </c>
      <c r="X2212">
        <v>0</v>
      </c>
      <c r="Y2212">
        <v>0</v>
      </c>
      <c r="Z2212">
        <v>0</v>
      </c>
      <c r="AA2212">
        <v>9</v>
      </c>
      <c r="AB2212">
        <v>9</v>
      </c>
      <c r="AC2212" t="s">
        <v>310</v>
      </c>
      <c r="AD2212">
        <v>9</v>
      </c>
      <c r="AE2212" t="s">
        <v>1413</v>
      </c>
      <c r="AF2212">
        <v>0</v>
      </c>
      <c r="AG2212" t="s">
        <v>310</v>
      </c>
      <c r="AH2212">
        <f>SUM((MID(Dyno_Data[[#This Row],[Team]],4,5))+(Dyno_Data[[#This Row],[Match]]/100))</f>
        <v>4122.43</v>
      </c>
      <c r="AI2212" s="76">
        <f>ROUND(SUM(IF(Dyno_Data[[#This Row],[AcqCenter]]&gt;0,Dyno_Data[[#This Row],[Time]]-SUMIFS(Dyno_Data[Time],Dyno_Data[Team],Dyno_Data[[#This Row],[Team]],Dyno_Data[RecordType],"StartMatch",Dyno_Data[Match],Dyno_Data[[#This Row],[Match]]),0)*86400),0)</f>
        <v>0</v>
      </c>
    </row>
    <row r="2213" spans="1:35" x14ac:dyDescent="0.3">
      <c r="A2213">
        <v>2223</v>
      </c>
      <c r="B2213" t="s">
        <v>1280</v>
      </c>
      <c r="C2213">
        <v>43</v>
      </c>
      <c r="D2213" s="105">
        <v>45373.675062037037</v>
      </c>
      <c r="E2213" t="s">
        <v>308</v>
      </c>
      <c r="F2213" t="s">
        <v>309</v>
      </c>
      <c r="G2213">
        <v>0</v>
      </c>
      <c r="H2213" t="s">
        <v>310</v>
      </c>
      <c r="I2213">
        <v>0</v>
      </c>
      <c r="J2213">
        <v>0</v>
      </c>
      <c r="K2213">
        <v>0</v>
      </c>
      <c r="L2213" t="s">
        <v>310</v>
      </c>
      <c r="M2213" t="s">
        <v>310</v>
      </c>
      <c r="N2213">
        <v>0</v>
      </c>
      <c r="O2213" t="s">
        <v>1389</v>
      </c>
      <c r="P2213" t="s">
        <v>310</v>
      </c>
      <c r="Q2213" t="s">
        <v>310</v>
      </c>
      <c r="R2213" t="s">
        <v>310</v>
      </c>
      <c r="S2213">
        <v>9</v>
      </c>
      <c r="T2213" t="s">
        <v>310</v>
      </c>
      <c r="U2213">
        <v>9</v>
      </c>
      <c r="V2213">
        <v>9</v>
      </c>
      <c r="W2213">
        <v>0</v>
      </c>
      <c r="X2213">
        <v>0</v>
      </c>
      <c r="Y2213">
        <v>0</v>
      </c>
      <c r="Z2213">
        <v>0</v>
      </c>
      <c r="AA2213">
        <v>9</v>
      </c>
      <c r="AB2213">
        <v>9</v>
      </c>
      <c r="AC2213" t="s">
        <v>310</v>
      </c>
      <c r="AD2213">
        <v>9</v>
      </c>
      <c r="AE2213" t="s">
        <v>1417</v>
      </c>
      <c r="AF2213">
        <v>0</v>
      </c>
      <c r="AG2213" t="s">
        <v>310</v>
      </c>
      <c r="AH2213">
        <f>SUM((MID(Dyno_Data[[#This Row],[Team]],4,5))+(Dyno_Data[[#This Row],[Match]]/100))</f>
        <v>1559.43</v>
      </c>
      <c r="AI2213" s="76">
        <f>ROUND(SUM(IF(Dyno_Data[[#This Row],[AcqCenter]]&gt;0,Dyno_Data[[#This Row],[Time]]-SUMIFS(Dyno_Data[Time],Dyno_Data[Team],Dyno_Data[[#This Row],[Team]],Dyno_Data[RecordType],"StartMatch",Dyno_Data[Match],Dyno_Data[[#This Row],[Match]]),0)*86400),0)</f>
        <v>0</v>
      </c>
    </row>
    <row r="2214" spans="1:35" x14ac:dyDescent="0.3">
      <c r="A2214">
        <v>2225</v>
      </c>
      <c r="B2214" t="s">
        <v>371</v>
      </c>
      <c r="C2214">
        <v>43</v>
      </c>
      <c r="D2214" s="105">
        <v>45373.67506721065</v>
      </c>
      <c r="E2214" t="s">
        <v>308</v>
      </c>
      <c r="F2214" t="s">
        <v>309</v>
      </c>
      <c r="G2214">
        <v>0</v>
      </c>
      <c r="H2214" t="s">
        <v>310</v>
      </c>
      <c r="I2214">
        <v>0</v>
      </c>
      <c r="J2214">
        <v>0</v>
      </c>
      <c r="K2214">
        <v>0</v>
      </c>
      <c r="L2214" t="s">
        <v>310</v>
      </c>
      <c r="M2214" t="s">
        <v>310</v>
      </c>
      <c r="N2214">
        <v>0</v>
      </c>
      <c r="O2214" t="s">
        <v>319</v>
      </c>
      <c r="P2214" t="s">
        <v>310</v>
      </c>
      <c r="Q2214" t="s">
        <v>310</v>
      </c>
      <c r="R2214" t="s">
        <v>310</v>
      </c>
      <c r="S2214">
        <v>9</v>
      </c>
      <c r="T2214" t="s">
        <v>310</v>
      </c>
      <c r="U2214">
        <v>9</v>
      </c>
      <c r="V2214">
        <v>9</v>
      </c>
      <c r="W2214">
        <v>0</v>
      </c>
      <c r="X2214">
        <v>0</v>
      </c>
      <c r="Y2214">
        <v>0</v>
      </c>
      <c r="Z2214">
        <v>0</v>
      </c>
      <c r="AA2214">
        <v>9</v>
      </c>
      <c r="AB2214">
        <v>9</v>
      </c>
      <c r="AC2214" t="s">
        <v>310</v>
      </c>
      <c r="AD2214">
        <v>9</v>
      </c>
      <c r="AE2214" t="s">
        <v>1414</v>
      </c>
      <c r="AF2214">
        <v>0</v>
      </c>
      <c r="AG2214" t="s">
        <v>310</v>
      </c>
      <c r="AH2214">
        <f>SUM((MID(Dyno_Data[[#This Row],[Team]],4,5))+(Dyno_Data[[#This Row],[Match]]/100))</f>
        <v>6969.43</v>
      </c>
      <c r="AI2214" s="76">
        <f>ROUND(SUM(IF(Dyno_Data[[#This Row],[AcqCenter]]&gt;0,Dyno_Data[[#This Row],[Time]]-SUMIFS(Dyno_Data[Time],Dyno_Data[Team],Dyno_Data[[#This Row],[Team]],Dyno_Data[RecordType],"StartMatch",Dyno_Data[Match],Dyno_Data[[#This Row],[Match]]),0)*86400),0)</f>
        <v>0</v>
      </c>
    </row>
    <row r="2215" spans="1:35" x14ac:dyDescent="0.3">
      <c r="A2215">
        <v>2227</v>
      </c>
      <c r="B2215" t="s">
        <v>1289</v>
      </c>
      <c r="C2215">
        <v>43</v>
      </c>
      <c r="D2215" s="105">
        <v>45373.67507222222</v>
      </c>
      <c r="E2215" t="s">
        <v>308</v>
      </c>
      <c r="F2215" t="s">
        <v>309</v>
      </c>
      <c r="G2215">
        <v>0</v>
      </c>
      <c r="H2215" t="s">
        <v>310</v>
      </c>
      <c r="I2215">
        <v>0</v>
      </c>
      <c r="J2215">
        <v>0</v>
      </c>
      <c r="K2215">
        <v>0</v>
      </c>
      <c r="L2215" t="s">
        <v>310</v>
      </c>
      <c r="M2215" t="s">
        <v>310</v>
      </c>
      <c r="N2215">
        <v>0</v>
      </c>
      <c r="O2215" t="s">
        <v>311</v>
      </c>
      <c r="P2215" t="s">
        <v>310</v>
      </c>
      <c r="Q2215" t="s">
        <v>310</v>
      </c>
      <c r="R2215" t="s">
        <v>310</v>
      </c>
      <c r="S2215">
        <v>9</v>
      </c>
      <c r="T2215" t="s">
        <v>310</v>
      </c>
      <c r="U2215">
        <v>9</v>
      </c>
      <c r="V2215">
        <v>9</v>
      </c>
      <c r="W2215">
        <v>0</v>
      </c>
      <c r="X2215">
        <v>0</v>
      </c>
      <c r="Y2215">
        <v>0</v>
      </c>
      <c r="Z2215">
        <v>0</v>
      </c>
      <c r="AA2215">
        <v>9</v>
      </c>
      <c r="AB2215">
        <v>9</v>
      </c>
      <c r="AC2215" t="s">
        <v>310</v>
      </c>
      <c r="AD2215">
        <v>9</v>
      </c>
      <c r="AE2215" t="s">
        <v>1418</v>
      </c>
      <c r="AF2215">
        <v>0</v>
      </c>
      <c r="AG2215" t="s">
        <v>310</v>
      </c>
      <c r="AH2215">
        <f>SUM((MID(Dyno_Data[[#This Row],[Team]],4,5))+(Dyno_Data[[#This Row],[Match]]/100))</f>
        <v>6648.43</v>
      </c>
      <c r="AI2215" s="76">
        <f>ROUND(SUM(IF(Dyno_Data[[#This Row],[AcqCenter]]&gt;0,Dyno_Data[[#This Row],[Time]]-SUMIFS(Dyno_Data[Time],Dyno_Data[Team],Dyno_Data[[#This Row],[Team]],Dyno_Data[RecordType],"StartMatch",Dyno_Data[Match],Dyno_Data[[#This Row],[Match]]),0)*86400),0)</f>
        <v>0</v>
      </c>
    </row>
    <row r="2216" spans="1:35" x14ac:dyDescent="0.3">
      <c r="A2216">
        <v>2209</v>
      </c>
      <c r="B2216" t="s">
        <v>1308</v>
      </c>
      <c r="C2216">
        <v>43</v>
      </c>
      <c r="D2216" s="105">
        <v>45373.675087233794</v>
      </c>
      <c r="E2216" t="s">
        <v>312</v>
      </c>
      <c r="F2216" t="s">
        <v>309</v>
      </c>
      <c r="G2216">
        <v>0</v>
      </c>
      <c r="H2216" t="s">
        <v>1397</v>
      </c>
      <c r="I2216">
        <v>0</v>
      </c>
      <c r="J2216">
        <v>0</v>
      </c>
      <c r="K2216">
        <v>0</v>
      </c>
      <c r="L2216" t="s">
        <v>240</v>
      </c>
      <c r="M2216" t="s">
        <v>1398</v>
      </c>
      <c r="N2216">
        <v>0</v>
      </c>
      <c r="O2216" t="s">
        <v>1393</v>
      </c>
      <c r="P2216" t="s">
        <v>310</v>
      </c>
      <c r="Q2216" t="s">
        <v>310</v>
      </c>
      <c r="R2216" t="s">
        <v>310</v>
      </c>
      <c r="S2216">
        <v>9</v>
      </c>
      <c r="T2216" t="s">
        <v>310</v>
      </c>
      <c r="U2216">
        <v>9</v>
      </c>
      <c r="V2216">
        <v>9</v>
      </c>
      <c r="W2216">
        <v>0</v>
      </c>
      <c r="X2216">
        <v>0</v>
      </c>
      <c r="Y2216">
        <v>0</v>
      </c>
      <c r="Z2216">
        <v>0</v>
      </c>
      <c r="AA2216">
        <v>9</v>
      </c>
      <c r="AB2216">
        <v>9</v>
      </c>
      <c r="AC2216" t="s">
        <v>310</v>
      </c>
      <c r="AD2216">
        <v>9</v>
      </c>
      <c r="AE2216" t="s">
        <v>1412</v>
      </c>
      <c r="AF2216">
        <v>0</v>
      </c>
      <c r="AG2216" t="s">
        <v>310</v>
      </c>
      <c r="AH2216">
        <f>SUM((MID(Dyno_Data[[#This Row],[Team]],4,5))+(Dyno_Data[[#This Row],[Match]]/100))</f>
        <v>3799.43</v>
      </c>
      <c r="AI2216" s="76">
        <f>ROUND(SUM(IF(Dyno_Data[[#This Row],[AcqCenter]]&gt;0,Dyno_Data[[#This Row],[Time]]-SUMIFS(Dyno_Data[Time],Dyno_Data[Team],Dyno_Data[[#This Row],[Team]],Dyno_Data[RecordType],"StartMatch",Dyno_Data[Match],Dyno_Data[[#This Row],[Match]]),0)*86400),0)</f>
        <v>0</v>
      </c>
    </row>
    <row r="2217" spans="1:35" x14ac:dyDescent="0.3">
      <c r="A2217">
        <v>2210</v>
      </c>
      <c r="B2217" t="s">
        <v>363</v>
      </c>
      <c r="C2217">
        <v>43</v>
      </c>
      <c r="D2217" s="105">
        <v>45373.675092939811</v>
      </c>
      <c r="E2217" t="s">
        <v>312</v>
      </c>
      <c r="F2217" t="s">
        <v>309</v>
      </c>
      <c r="G2217">
        <v>0</v>
      </c>
      <c r="H2217" t="s">
        <v>1397</v>
      </c>
      <c r="I2217">
        <v>0</v>
      </c>
      <c r="J2217">
        <v>0</v>
      </c>
      <c r="K2217">
        <v>0</v>
      </c>
      <c r="L2217" t="s">
        <v>240</v>
      </c>
      <c r="M2217" t="s">
        <v>1398</v>
      </c>
      <c r="N2217">
        <v>1</v>
      </c>
      <c r="O2217" t="s">
        <v>1391</v>
      </c>
      <c r="P2217" t="s">
        <v>310</v>
      </c>
      <c r="Q2217" t="s">
        <v>310</v>
      </c>
      <c r="R2217" t="s">
        <v>310</v>
      </c>
      <c r="S2217">
        <v>9</v>
      </c>
      <c r="T2217" t="s">
        <v>310</v>
      </c>
      <c r="U2217">
        <v>9</v>
      </c>
      <c r="V2217">
        <v>9</v>
      </c>
      <c r="W2217">
        <v>0</v>
      </c>
      <c r="X2217">
        <v>0</v>
      </c>
      <c r="Y2217">
        <v>0</v>
      </c>
      <c r="Z2217">
        <v>0</v>
      </c>
      <c r="AA2217">
        <v>9</v>
      </c>
      <c r="AB2217">
        <v>9</v>
      </c>
      <c r="AC2217" t="s">
        <v>310</v>
      </c>
      <c r="AD2217">
        <v>9</v>
      </c>
      <c r="AE2217" t="s">
        <v>1416</v>
      </c>
      <c r="AF2217">
        <v>0</v>
      </c>
      <c r="AG2217" t="s">
        <v>310</v>
      </c>
      <c r="AH2217">
        <f>SUM((MID(Dyno_Data[[#This Row],[Team]],4,5))+(Dyno_Data[[#This Row],[Match]]/100))</f>
        <v>2601.4299999999998</v>
      </c>
      <c r="AI2217" s="76">
        <f>ROUND(SUM(IF(Dyno_Data[[#This Row],[AcqCenter]]&gt;0,Dyno_Data[[#This Row],[Time]]-SUMIFS(Dyno_Data[Time],Dyno_Data[Team],Dyno_Data[[#This Row],[Team]],Dyno_Data[RecordType],"StartMatch",Dyno_Data[Match],Dyno_Data[[#This Row],[Match]]),0)*86400),0)</f>
        <v>0</v>
      </c>
    </row>
    <row r="2218" spans="1:35" x14ac:dyDescent="0.3">
      <c r="A2218">
        <v>2211</v>
      </c>
      <c r="B2218" t="s">
        <v>1280</v>
      </c>
      <c r="C2218">
        <v>43</v>
      </c>
      <c r="D2218" s="105">
        <v>45373.675093020836</v>
      </c>
      <c r="E2218" t="s">
        <v>312</v>
      </c>
      <c r="F2218" t="s">
        <v>309</v>
      </c>
      <c r="G2218">
        <v>0</v>
      </c>
      <c r="H2218" t="s">
        <v>1397</v>
      </c>
      <c r="I2218">
        <v>0</v>
      </c>
      <c r="J2218">
        <v>0</v>
      </c>
      <c r="K2218">
        <v>0</v>
      </c>
      <c r="L2218" t="s">
        <v>241</v>
      </c>
      <c r="M2218" t="s">
        <v>1398</v>
      </c>
      <c r="N2218">
        <v>1</v>
      </c>
      <c r="O2218" t="s">
        <v>1389</v>
      </c>
      <c r="P2218" t="s">
        <v>310</v>
      </c>
      <c r="Q2218" t="s">
        <v>310</v>
      </c>
      <c r="R2218" t="s">
        <v>310</v>
      </c>
      <c r="S2218">
        <v>9</v>
      </c>
      <c r="T2218" t="s">
        <v>310</v>
      </c>
      <c r="U2218">
        <v>9</v>
      </c>
      <c r="V2218">
        <v>9</v>
      </c>
      <c r="W2218">
        <v>0</v>
      </c>
      <c r="X2218">
        <v>0</v>
      </c>
      <c r="Y2218">
        <v>0</v>
      </c>
      <c r="Z2218">
        <v>0</v>
      </c>
      <c r="AA2218">
        <v>9</v>
      </c>
      <c r="AB2218">
        <v>9</v>
      </c>
      <c r="AC2218" t="s">
        <v>310</v>
      </c>
      <c r="AD2218">
        <v>9</v>
      </c>
      <c r="AE2218" t="s">
        <v>1417</v>
      </c>
      <c r="AF2218">
        <v>0</v>
      </c>
      <c r="AG2218" t="s">
        <v>310</v>
      </c>
      <c r="AH2218">
        <f>SUM((MID(Dyno_Data[[#This Row],[Team]],4,5))+(Dyno_Data[[#This Row],[Match]]/100))</f>
        <v>1559.43</v>
      </c>
      <c r="AI2218" s="76">
        <f>ROUND(SUM(IF(Dyno_Data[[#This Row],[AcqCenter]]&gt;0,Dyno_Data[[#This Row],[Time]]-SUMIFS(Dyno_Data[Time],Dyno_Data[Team],Dyno_Data[[#This Row],[Team]],Dyno_Data[RecordType],"StartMatch",Dyno_Data[Match],Dyno_Data[[#This Row],[Match]]),0)*86400),0)</f>
        <v>0</v>
      </c>
    </row>
    <row r="2219" spans="1:35" x14ac:dyDescent="0.3">
      <c r="A2219">
        <v>2212</v>
      </c>
      <c r="B2219" t="s">
        <v>366</v>
      </c>
      <c r="C2219">
        <v>43</v>
      </c>
      <c r="D2219" s="105">
        <v>45373.675110613425</v>
      </c>
      <c r="E2219" t="s">
        <v>312</v>
      </c>
      <c r="F2219" t="s">
        <v>309</v>
      </c>
      <c r="G2219">
        <v>0</v>
      </c>
      <c r="H2219" t="s">
        <v>1397</v>
      </c>
      <c r="I2219">
        <v>0</v>
      </c>
      <c r="J2219">
        <v>0</v>
      </c>
      <c r="K2219">
        <v>0</v>
      </c>
      <c r="L2219" t="s">
        <v>240</v>
      </c>
      <c r="M2219" t="s">
        <v>1398</v>
      </c>
      <c r="N2219">
        <v>1</v>
      </c>
      <c r="O2219" t="s">
        <v>1395</v>
      </c>
      <c r="P2219" t="s">
        <v>310</v>
      </c>
      <c r="Q2219" t="s">
        <v>310</v>
      </c>
      <c r="R2219" t="s">
        <v>310</v>
      </c>
      <c r="S2219">
        <v>9</v>
      </c>
      <c r="T2219" t="s">
        <v>310</v>
      </c>
      <c r="U2219">
        <v>9</v>
      </c>
      <c r="V2219">
        <v>9</v>
      </c>
      <c r="W2219">
        <v>0</v>
      </c>
      <c r="X2219">
        <v>0</v>
      </c>
      <c r="Y2219">
        <v>0</v>
      </c>
      <c r="Z2219">
        <v>0</v>
      </c>
      <c r="AA2219">
        <v>9</v>
      </c>
      <c r="AB2219">
        <v>9</v>
      </c>
      <c r="AC2219" t="s">
        <v>310</v>
      </c>
      <c r="AD2219">
        <v>9</v>
      </c>
      <c r="AE2219" t="s">
        <v>1413</v>
      </c>
      <c r="AF2219">
        <v>0</v>
      </c>
      <c r="AG2219" t="s">
        <v>310</v>
      </c>
      <c r="AH2219">
        <f>SUM((MID(Dyno_Data[[#This Row],[Team]],4,5))+(Dyno_Data[[#This Row],[Match]]/100))</f>
        <v>4122.43</v>
      </c>
      <c r="AI2219" s="76">
        <f>ROUND(SUM(IF(Dyno_Data[[#This Row],[AcqCenter]]&gt;0,Dyno_Data[[#This Row],[Time]]-SUMIFS(Dyno_Data[Time],Dyno_Data[Team],Dyno_Data[[#This Row],[Team]],Dyno_Data[RecordType],"StartMatch",Dyno_Data[Match],Dyno_Data[[#This Row],[Match]]),0)*86400),0)</f>
        <v>0</v>
      </c>
    </row>
    <row r="2220" spans="1:35" x14ac:dyDescent="0.3">
      <c r="A2220">
        <v>2213</v>
      </c>
      <c r="B2220" t="s">
        <v>1308</v>
      </c>
      <c r="C2220">
        <v>43</v>
      </c>
      <c r="D2220" s="105">
        <v>45373.675128668983</v>
      </c>
      <c r="E2220" t="s">
        <v>312</v>
      </c>
      <c r="F2220" t="s">
        <v>309</v>
      </c>
      <c r="G2220">
        <v>0</v>
      </c>
      <c r="H2220" t="s">
        <v>315</v>
      </c>
      <c r="I2220">
        <v>0</v>
      </c>
      <c r="J2220">
        <v>0</v>
      </c>
      <c r="K2220">
        <v>0</v>
      </c>
      <c r="L2220" t="s">
        <v>240</v>
      </c>
      <c r="M2220" t="s">
        <v>1398</v>
      </c>
      <c r="N2220">
        <v>0</v>
      </c>
      <c r="O2220" t="s">
        <v>1393</v>
      </c>
      <c r="P2220" t="s">
        <v>310</v>
      </c>
      <c r="Q2220" t="s">
        <v>310</v>
      </c>
      <c r="R2220" t="s">
        <v>310</v>
      </c>
      <c r="S2220">
        <v>9</v>
      </c>
      <c r="T2220" t="s">
        <v>310</v>
      </c>
      <c r="U2220">
        <v>9</v>
      </c>
      <c r="V2220">
        <v>9</v>
      </c>
      <c r="W2220">
        <v>0</v>
      </c>
      <c r="X2220">
        <v>0</v>
      </c>
      <c r="Y2220">
        <v>0</v>
      </c>
      <c r="Z2220">
        <v>0</v>
      </c>
      <c r="AA2220">
        <v>9</v>
      </c>
      <c r="AB2220">
        <v>9</v>
      </c>
      <c r="AC2220" t="s">
        <v>310</v>
      </c>
      <c r="AD2220">
        <v>9</v>
      </c>
      <c r="AE2220" t="s">
        <v>1412</v>
      </c>
      <c r="AF2220">
        <v>10000000</v>
      </c>
      <c r="AG2220" t="s">
        <v>310</v>
      </c>
      <c r="AH2220">
        <f>SUM((MID(Dyno_Data[[#This Row],[Team]],4,5))+(Dyno_Data[[#This Row],[Match]]/100))</f>
        <v>3799.43</v>
      </c>
      <c r="AI2220" s="76">
        <f>ROUND(SUM(IF(Dyno_Data[[#This Row],[AcqCenter]]&gt;0,Dyno_Data[[#This Row],[Time]]-SUMIFS(Dyno_Data[Time],Dyno_Data[Team],Dyno_Data[[#This Row],[Team]],Dyno_Data[RecordType],"StartMatch",Dyno_Data[Match],Dyno_Data[[#This Row],[Match]]),0)*86400),0)</f>
        <v>0</v>
      </c>
    </row>
    <row r="2221" spans="1:35" x14ac:dyDescent="0.3">
      <c r="A2221">
        <v>2214</v>
      </c>
      <c r="B2221" t="s">
        <v>363</v>
      </c>
      <c r="C2221">
        <v>43</v>
      </c>
      <c r="D2221" s="105">
        <v>45373.675144594905</v>
      </c>
      <c r="E2221" t="s">
        <v>312</v>
      </c>
      <c r="F2221" t="s">
        <v>309</v>
      </c>
      <c r="G2221">
        <v>0</v>
      </c>
      <c r="H2221" t="s">
        <v>315</v>
      </c>
      <c r="I2221">
        <v>0</v>
      </c>
      <c r="J2221">
        <v>0</v>
      </c>
      <c r="K2221">
        <v>0</v>
      </c>
      <c r="L2221" t="s">
        <v>240</v>
      </c>
      <c r="M2221" t="s">
        <v>1398</v>
      </c>
      <c r="N2221">
        <v>1</v>
      </c>
      <c r="O2221" t="s">
        <v>1391</v>
      </c>
      <c r="P2221" t="s">
        <v>310</v>
      </c>
      <c r="Q2221" t="s">
        <v>310</v>
      </c>
      <c r="R2221" t="s">
        <v>310</v>
      </c>
      <c r="S2221">
        <v>9</v>
      </c>
      <c r="T2221" t="s">
        <v>310</v>
      </c>
      <c r="U2221">
        <v>9</v>
      </c>
      <c r="V2221">
        <v>9</v>
      </c>
      <c r="W2221">
        <v>0</v>
      </c>
      <c r="X2221">
        <v>0</v>
      </c>
      <c r="Y2221">
        <v>0</v>
      </c>
      <c r="Z2221">
        <v>0</v>
      </c>
      <c r="AA2221">
        <v>9</v>
      </c>
      <c r="AB2221">
        <v>9</v>
      </c>
      <c r="AC2221" t="s">
        <v>310</v>
      </c>
      <c r="AD2221">
        <v>9</v>
      </c>
      <c r="AE2221" t="s">
        <v>1416</v>
      </c>
      <c r="AF2221">
        <v>10000000</v>
      </c>
      <c r="AG2221" t="s">
        <v>310</v>
      </c>
      <c r="AH2221">
        <f>SUM((MID(Dyno_Data[[#This Row],[Team]],4,5))+(Dyno_Data[[#This Row],[Match]]/100))</f>
        <v>2601.4299999999998</v>
      </c>
      <c r="AI2221" s="76">
        <f>ROUND(SUM(IF(Dyno_Data[[#This Row],[AcqCenter]]&gt;0,Dyno_Data[[#This Row],[Time]]-SUMIFS(Dyno_Data[Time],Dyno_Data[Team],Dyno_Data[[#This Row],[Team]],Dyno_Data[RecordType],"StartMatch",Dyno_Data[Match],Dyno_Data[[#This Row],[Match]]),0)*86400),0)</f>
        <v>0</v>
      </c>
    </row>
    <row r="2222" spans="1:35" x14ac:dyDescent="0.3">
      <c r="A2222">
        <v>2215</v>
      </c>
      <c r="B2222" t="s">
        <v>363</v>
      </c>
      <c r="C2222">
        <v>43</v>
      </c>
      <c r="D2222" s="105">
        <v>45373.675190821756</v>
      </c>
      <c r="E2222" t="s">
        <v>312</v>
      </c>
      <c r="F2222" t="s">
        <v>309</v>
      </c>
      <c r="G2222">
        <v>0</v>
      </c>
      <c r="H2222" t="s">
        <v>315</v>
      </c>
      <c r="I2222">
        <v>0</v>
      </c>
      <c r="J2222">
        <v>0</v>
      </c>
      <c r="K2222">
        <v>0</v>
      </c>
      <c r="L2222" t="s">
        <v>240</v>
      </c>
      <c r="M2222" t="s">
        <v>1398</v>
      </c>
      <c r="N2222">
        <v>0</v>
      </c>
      <c r="O2222" t="s">
        <v>1391</v>
      </c>
      <c r="P2222" t="s">
        <v>310</v>
      </c>
      <c r="Q2222" t="s">
        <v>310</v>
      </c>
      <c r="R2222" t="s">
        <v>310</v>
      </c>
      <c r="S2222">
        <v>9</v>
      </c>
      <c r="T2222" t="s">
        <v>310</v>
      </c>
      <c r="U2222">
        <v>9</v>
      </c>
      <c r="V2222">
        <v>9</v>
      </c>
      <c r="W2222">
        <v>0</v>
      </c>
      <c r="X2222">
        <v>0</v>
      </c>
      <c r="Y2222">
        <v>0</v>
      </c>
      <c r="Z2222">
        <v>0</v>
      </c>
      <c r="AA2222">
        <v>9</v>
      </c>
      <c r="AB2222">
        <v>9</v>
      </c>
      <c r="AC2222" t="s">
        <v>310</v>
      </c>
      <c r="AD2222">
        <v>9</v>
      </c>
      <c r="AE2222" t="s">
        <v>1416</v>
      </c>
      <c r="AF2222">
        <v>20000000</v>
      </c>
      <c r="AG2222" t="s">
        <v>310</v>
      </c>
      <c r="AH2222">
        <f>SUM((MID(Dyno_Data[[#This Row],[Team]],4,5))+(Dyno_Data[[#This Row],[Match]]/100))</f>
        <v>2601.4299999999998</v>
      </c>
      <c r="AI2222" s="76">
        <f>ROUND(SUM(IF(Dyno_Data[[#This Row],[AcqCenter]]&gt;0,Dyno_Data[[#This Row],[Time]]-SUMIFS(Dyno_Data[Time],Dyno_Data[Team],Dyno_Data[[#This Row],[Team]],Dyno_Data[RecordType],"StartMatch",Dyno_Data[Match],Dyno_Data[[#This Row],[Match]]),0)*86400),0)</f>
        <v>0</v>
      </c>
    </row>
    <row r="2223" spans="1:35" x14ac:dyDescent="0.3">
      <c r="A2223">
        <v>2216</v>
      </c>
      <c r="B2223" t="s">
        <v>363</v>
      </c>
      <c r="C2223">
        <v>43</v>
      </c>
      <c r="D2223" s="105">
        <v>45373.675232141206</v>
      </c>
      <c r="E2223" t="s">
        <v>312</v>
      </c>
      <c r="F2223" t="s">
        <v>309</v>
      </c>
      <c r="G2223">
        <v>0</v>
      </c>
      <c r="H2223" t="s">
        <v>315</v>
      </c>
      <c r="I2223">
        <v>0</v>
      </c>
      <c r="J2223">
        <v>0</v>
      </c>
      <c r="K2223">
        <v>0</v>
      </c>
      <c r="L2223" t="s">
        <v>240</v>
      </c>
      <c r="M2223" t="s">
        <v>1398</v>
      </c>
      <c r="N2223">
        <v>0</v>
      </c>
      <c r="O2223" t="s">
        <v>1391</v>
      </c>
      <c r="P2223" t="s">
        <v>310</v>
      </c>
      <c r="Q2223" t="s">
        <v>310</v>
      </c>
      <c r="R2223" t="s">
        <v>310</v>
      </c>
      <c r="S2223">
        <v>9</v>
      </c>
      <c r="T2223" t="s">
        <v>310</v>
      </c>
      <c r="U2223">
        <v>9</v>
      </c>
      <c r="V2223">
        <v>9</v>
      </c>
      <c r="W2223">
        <v>0</v>
      </c>
      <c r="X2223">
        <v>0</v>
      </c>
      <c r="Y2223">
        <v>0</v>
      </c>
      <c r="Z2223">
        <v>0</v>
      </c>
      <c r="AA2223">
        <v>9</v>
      </c>
      <c r="AB2223">
        <v>9</v>
      </c>
      <c r="AC2223" t="s">
        <v>310</v>
      </c>
      <c r="AD2223">
        <v>9</v>
      </c>
      <c r="AE2223" t="s">
        <v>1416</v>
      </c>
      <c r="AF2223">
        <v>30000000</v>
      </c>
      <c r="AG2223" t="s">
        <v>310</v>
      </c>
      <c r="AH2223">
        <f>SUM((MID(Dyno_Data[[#This Row],[Team]],4,5))+(Dyno_Data[[#This Row],[Match]]/100))</f>
        <v>2601.4299999999998</v>
      </c>
      <c r="AI2223" s="76">
        <f>ROUND(SUM(IF(Dyno_Data[[#This Row],[AcqCenter]]&gt;0,Dyno_Data[[#This Row],[Time]]-SUMIFS(Dyno_Data[Time],Dyno_Data[Team],Dyno_Data[[#This Row],[Team]],Dyno_Data[RecordType],"StartMatch",Dyno_Data[Match],Dyno_Data[[#This Row],[Match]]),0)*86400),0)</f>
        <v>0</v>
      </c>
    </row>
    <row r="2224" spans="1:35" x14ac:dyDescent="0.3">
      <c r="A2224">
        <v>2218</v>
      </c>
      <c r="B2224" t="s">
        <v>1308</v>
      </c>
      <c r="C2224">
        <v>43</v>
      </c>
      <c r="D2224" s="105">
        <v>45373.675263159719</v>
      </c>
      <c r="E2224" t="s">
        <v>314</v>
      </c>
      <c r="F2224" t="s">
        <v>309</v>
      </c>
      <c r="G2224">
        <v>1</v>
      </c>
      <c r="H2224" t="s">
        <v>310</v>
      </c>
      <c r="I2224">
        <v>0</v>
      </c>
      <c r="J2224">
        <v>0</v>
      </c>
      <c r="K2224">
        <v>0</v>
      </c>
      <c r="L2224" t="s">
        <v>310</v>
      </c>
      <c r="M2224" t="s">
        <v>310</v>
      </c>
      <c r="N2224">
        <v>0</v>
      </c>
      <c r="O2224" t="s">
        <v>1393</v>
      </c>
      <c r="P2224" t="s">
        <v>1401</v>
      </c>
      <c r="Q2224" t="s">
        <v>1399</v>
      </c>
      <c r="R2224" t="s">
        <v>310</v>
      </c>
      <c r="S2224">
        <v>9</v>
      </c>
      <c r="T2224" t="s">
        <v>310</v>
      </c>
      <c r="U2224">
        <v>9</v>
      </c>
      <c r="V2224">
        <v>9</v>
      </c>
      <c r="W2224">
        <v>0</v>
      </c>
      <c r="X2224">
        <v>0</v>
      </c>
      <c r="Y2224">
        <v>0</v>
      </c>
      <c r="Z2224">
        <v>0</v>
      </c>
      <c r="AA2224">
        <v>9</v>
      </c>
      <c r="AB2224">
        <v>9</v>
      </c>
      <c r="AC2224" t="s">
        <v>310</v>
      </c>
      <c r="AD2224">
        <v>9</v>
      </c>
      <c r="AE2224" t="s">
        <v>1412</v>
      </c>
      <c r="AF2224">
        <v>10000000</v>
      </c>
      <c r="AG2224" t="s">
        <v>310</v>
      </c>
      <c r="AH2224">
        <f>SUM((MID(Dyno_Data[[#This Row],[Team]],4,5))+(Dyno_Data[[#This Row],[Match]]/100))</f>
        <v>3799.43</v>
      </c>
      <c r="AI2224" s="76">
        <f>ROUND(SUM(IF(Dyno_Data[[#This Row],[AcqCenter]]&gt;0,Dyno_Data[[#This Row],[Time]]-SUMIFS(Dyno_Data[Time],Dyno_Data[Team],Dyno_Data[[#This Row],[Team]],Dyno_Data[RecordType],"StartMatch",Dyno_Data[Match],Dyno_Data[[#This Row],[Match]]),0)*86400),0)</f>
        <v>0</v>
      </c>
    </row>
    <row r="2225" spans="1:35" x14ac:dyDescent="0.3">
      <c r="A2225">
        <v>2220</v>
      </c>
      <c r="B2225" t="s">
        <v>363</v>
      </c>
      <c r="C2225">
        <v>43</v>
      </c>
      <c r="D2225" s="105">
        <v>45373.6752653125</v>
      </c>
      <c r="E2225" t="s">
        <v>314</v>
      </c>
      <c r="F2225" t="s">
        <v>309</v>
      </c>
      <c r="G2225">
        <v>1</v>
      </c>
      <c r="H2225" t="s">
        <v>310</v>
      </c>
      <c r="I2225">
        <v>0</v>
      </c>
      <c r="J2225">
        <v>0</v>
      </c>
      <c r="K2225">
        <v>0</v>
      </c>
      <c r="L2225" t="s">
        <v>310</v>
      </c>
      <c r="M2225" t="s">
        <v>310</v>
      </c>
      <c r="N2225">
        <v>0</v>
      </c>
      <c r="O2225" t="s">
        <v>1391</v>
      </c>
      <c r="P2225" t="s">
        <v>240</v>
      </c>
      <c r="Q2225" t="s">
        <v>1399</v>
      </c>
      <c r="R2225" t="s">
        <v>310</v>
      </c>
      <c r="S2225">
        <v>9</v>
      </c>
      <c r="T2225" t="s">
        <v>310</v>
      </c>
      <c r="U2225">
        <v>9</v>
      </c>
      <c r="V2225">
        <v>9</v>
      </c>
      <c r="W2225">
        <v>0</v>
      </c>
      <c r="X2225">
        <v>0</v>
      </c>
      <c r="Y2225">
        <v>0</v>
      </c>
      <c r="Z2225">
        <v>0</v>
      </c>
      <c r="AA2225">
        <v>9</v>
      </c>
      <c r="AB2225">
        <v>9</v>
      </c>
      <c r="AC2225" t="s">
        <v>310</v>
      </c>
      <c r="AD2225">
        <v>9</v>
      </c>
      <c r="AE2225" t="s">
        <v>1416</v>
      </c>
      <c r="AF2225">
        <v>30000000</v>
      </c>
      <c r="AG2225" t="s">
        <v>310</v>
      </c>
      <c r="AH2225">
        <f>SUM((MID(Dyno_Data[[#This Row],[Team]],4,5))+(Dyno_Data[[#This Row],[Match]]/100))</f>
        <v>2601.4299999999998</v>
      </c>
      <c r="AI2225" s="76">
        <f>ROUND(SUM(IF(Dyno_Data[[#This Row],[AcqCenter]]&gt;0,Dyno_Data[[#This Row],[Time]]-SUMIFS(Dyno_Data[Time],Dyno_Data[Team],Dyno_Data[[#This Row],[Team]],Dyno_Data[RecordType],"StartMatch",Dyno_Data[Match],Dyno_Data[[#This Row],[Match]]),0)*86400),0)</f>
        <v>0</v>
      </c>
    </row>
    <row r="2226" spans="1:35" x14ac:dyDescent="0.3">
      <c r="A2226">
        <v>2222</v>
      </c>
      <c r="B2226" t="s">
        <v>366</v>
      </c>
      <c r="C2226">
        <v>43</v>
      </c>
      <c r="D2226" s="105">
        <v>45373.6752696412</v>
      </c>
      <c r="E2226" t="s">
        <v>314</v>
      </c>
      <c r="F2226" t="s">
        <v>309</v>
      </c>
      <c r="G2226">
        <v>0</v>
      </c>
      <c r="H2226" t="s">
        <v>310</v>
      </c>
      <c r="I2226">
        <v>0</v>
      </c>
      <c r="J2226">
        <v>0</v>
      </c>
      <c r="K2226">
        <v>0</v>
      </c>
      <c r="L2226" t="s">
        <v>310</v>
      </c>
      <c r="M2226" t="s">
        <v>310</v>
      </c>
      <c r="N2226">
        <v>0</v>
      </c>
      <c r="O2226" t="s">
        <v>1395</v>
      </c>
      <c r="P2226" t="s">
        <v>101</v>
      </c>
      <c r="Q2226" t="s">
        <v>1400</v>
      </c>
      <c r="R2226" t="s">
        <v>310</v>
      </c>
      <c r="S2226">
        <v>9</v>
      </c>
      <c r="T2226" t="s">
        <v>310</v>
      </c>
      <c r="U2226">
        <v>9</v>
      </c>
      <c r="V2226">
        <v>9</v>
      </c>
      <c r="W2226">
        <v>0</v>
      </c>
      <c r="X2226">
        <v>0</v>
      </c>
      <c r="Y2226">
        <v>0</v>
      </c>
      <c r="Z2226">
        <v>0</v>
      </c>
      <c r="AA2226">
        <v>9</v>
      </c>
      <c r="AB2226">
        <v>9</v>
      </c>
      <c r="AC2226" t="s">
        <v>310</v>
      </c>
      <c r="AD2226">
        <v>9</v>
      </c>
      <c r="AE2226" t="s">
        <v>1413</v>
      </c>
      <c r="AF2226">
        <v>0</v>
      </c>
      <c r="AG2226" t="s">
        <v>310</v>
      </c>
      <c r="AH2226">
        <f>SUM((MID(Dyno_Data[[#This Row],[Team]],4,5))+(Dyno_Data[[#This Row],[Match]]/100))</f>
        <v>4122.43</v>
      </c>
      <c r="AI2226" s="76">
        <f>ROUND(SUM(IF(Dyno_Data[[#This Row],[AcqCenter]]&gt;0,Dyno_Data[[#This Row],[Time]]-SUMIFS(Dyno_Data[Time],Dyno_Data[Team],Dyno_Data[[#This Row],[Team]],Dyno_Data[RecordType],"StartMatch",Dyno_Data[Match],Dyno_Data[[#This Row],[Match]]),0)*86400),0)</f>
        <v>0</v>
      </c>
    </row>
    <row r="2227" spans="1:35" x14ac:dyDescent="0.3">
      <c r="A2227">
        <v>2224</v>
      </c>
      <c r="B2227" t="s">
        <v>1280</v>
      </c>
      <c r="C2227">
        <v>43</v>
      </c>
      <c r="D2227" s="105">
        <v>45373.675270370368</v>
      </c>
      <c r="E2227" t="s">
        <v>314</v>
      </c>
      <c r="F2227" t="s">
        <v>309</v>
      </c>
      <c r="G2227">
        <v>1</v>
      </c>
      <c r="H2227" t="s">
        <v>310</v>
      </c>
      <c r="I2227">
        <v>0</v>
      </c>
      <c r="J2227">
        <v>0</v>
      </c>
      <c r="K2227">
        <v>0</v>
      </c>
      <c r="L2227" t="s">
        <v>310</v>
      </c>
      <c r="M2227" t="s">
        <v>310</v>
      </c>
      <c r="N2227">
        <v>0</v>
      </c>
      <c r="O2227" t="s">
        <v>1389</v>
      </c>
      <c r="P2227" t="s">
        <v>320</v>
      </c>
      <c r="Q2227" t="s">
        <v>1400</v>
      </c>
      <c r="R2227" t="s">
        <v>310</v>
      </c>
      <c r="S2227">
        <v>9</v>
      </c>
      <c r="T2227" t="s">
        <v>310</v>
      </c>
      <c r="U2227">
        <v>9</v>
      </c>
      <c r="V2227">
        <v>9</v>
      </c>
      <c r="W2227">
        <v>0</v>
      </c>
      <c r="X2227">
        <v>0</v>
      </c>
      <c r="Y2227">
        <v>0</v>
      </c>
      <c r="Z2227">
        <v>0</v>
      </c>
      <c r="AA2227">
        <v>9</v>
      </c>
      <c r="AB2227">
        <v>9</v>
      </c>
      <c r="AC2227" t="s">
        <v>310</v>
      </c>
      <c r="AD2227">
        <v>9</v>
      </c>
      <c r="AE2227" t="s">
        <v>1417</v>
      </c>
      <c r="AF2227">
        <v>0</v>
      </c>
      <c r="AG2227" t="s">
        <v>310</v>
      </c>
      <c r="AH2227">
        <f>SUM((MID(Dyno_Data[[#This Row],[Team]],4,5))+(Dyno_Data[[#This Row],[Match]]/100))</f>
        <v>1559.43</v>
      </c>
      <c r="AI2227" s="76">
        <f>ROUND(SUM(IF(Dyno_Data[[#This Row],[AcqCenter]]&gt;0,Dyno_Data[[#This Row],[Time]]-SUMIFS(Dyno_Data[Time],Dyno_Data[Team],Dyno_Data[[#This Row],[Team]],Dyno_Data[RecordType],"StartMatch",Dyno_Data[Match],Dyno_Data[[#This Row],[Match]]),0)*86400),0)</f>
        <v>0</v>
      </c>
    </row>
    <row r="2228" spans="1:35" x14ac:dyDescent="0.3">
      <c r="A2228">
        <v>2226</v>
      </c>
      <c r="B2228" t="s">
        <v>371</v>
      </c>
      <c r="C2228">
        <v>43</v>
      </c>
      <c r="D2228" s="105">
        <v>45373.675275543981</v>
      </c>
      <c r="E2228" t="s">
        <v>314</v>
      </c>
      <c r="F2228" t="s">
        <v>309</v>
      </c>
      <c r="G2228">
        <v>0</v>
      </c>
      <c r="H2228" t="s">
        <v>310</v>
      </c>
      <c r="I2228">
        <v>0</v>
      </c>
      <c r="J2228">
        <v>0</v>
      </c>
      <c r="K2228">
        <v>0</v>
      </c>
      <c r="L2228" t="s">
        <v>310</v>
      </c>
      <c r="M2228" t="s">
        <v>310</v>
      </c>
      <c r="N2228">
        <v>0</v>
      </c>
      <c r="O2228" t="s">
        <v>319</v>
      </c>
      <c r="P2228" t="s">
        <v>320</v>
      </c>
      <c r="Q2228" t="s">
        <v>1400</v>
      </c>
      <c r="R2228" t="s">
        <v>310</v>
      </c>
      <c r="S2228">
        <v>9</v>
      </c>
      <c r="T2228" t="s">
        <v>310</v>
      </c>
      <c r="U2228">
        <v>9</v>
      </c>
      <c r="V2228">
        <v>9</v>
      </c>
      <c r="W2228">
        <v>0</v>
      </c>
      <c r="X2228">
        <v>0</v>
      </c>
      <c r="Y2228">
        <v>0</v>
      </c>
      <c r="Z2228">
        <v>0</v>
      </c>
      <c r="AA2228">
        <v>9</v>
      </c>
      <c r="AB2228">
        <v>9</v>
      </c>
      <c r="AC2228" t="s">
        <v>310</v>
      </c>
      <c r="AD2228">
        <v>9</v>
      </c>
      <c r="AE2228" t="s">
        <v>1414</v>
      </c>
      <c r="AF2228">
        <v>0</v>
      </c>
      <c r="AG2228" t="s">
        <v>310</v>
      </c>
      <c r="AH2228">
        <f>SUM((MID(Dyno_Data[[#This Row],[Team]],4,5))+(Dyno_Data[[#This Row],[Match]]/100))</f>
        <v>6969.43</v>
      </c>
      <c r="AI2228" s="76">
        <f>ROUND(SUM(IF(Dyno_Data[[#This Row],[AcqCenter]]&gt;0,Dyno_Data[[#This Row],[Time]]-SUMIFS(Dyno_Data[Time],Dyno_Data[Team],Dyno_Data[[#This Row],[Team]],Dyno_Data[RecordType],"StartMatch",Dyno_Data[Match],Dyno_Data[[#This Row],[Match]]),0)*86400),0)</f>
        <v>0</v>
      </c>
    </row>
    <row r="2229" spans="1:35" x14ac:dyDescent="0.3">
      <c r="A2229">
        <v>2228</v>
      </c>
      <c r="B2229" t="s">
        <v>1289</v>
      </c>
      <c r="C2229">
        <v>43</v>
      </c>
      <c r="D2229" s="105">
        <v>45373.675280555559</v>
      </c>
      <c r="E2229" t="s">
        <v>314</v>
      </c>
      <c r="F2229" t="s">
        <v>309</v>
      </c>
      <c r="G2229">
        <v>1</v>
      </c>
      <c r="H2229" t="s">
        <v>310</v>
      </c>
      <c r="I2229">
        <v>0</v>
      </c>
      <c r="J2229">
        <v>0</v>
      </c>
      <c r="K2229">
        <v>0</v>
      </c>
      <c r="L2229" t="s">
        <v>310</v>
      </c>
      <c r="M2229" t="s">
        <v>310</v>
      </c>
      <c r="N2229">
        <v>0</v>
      </c>
      <c r="O2229" t="s">
        <v>311</v>
      </c>
      <c r="P2229" t="s">
        <v>320</v>
      </c>
      <c r="Q2229" t="s">
        <v>1400</v>
      </c>
      <c r="R2229" t="s">
        <v>310</v>
      </c>
      <c r="S2229">
        <v>9</v>
      </c>
      <c r="T2229" t="s">
        <v>310</v>
      </c>
      <c r="U2229">
        <v>9</v>
      </c>
      <c r="V2229">
        <v>9</v>
      </c>
      <c r="W2229">
        <v>0</v>
      </c>
      <c r="X2229">
        <v>0</v>
      </c>
      <c r="Y2229">
        <v>0</v>
      </c>
      <c r="Z2229">
        <v>0</v>
      </c>
      <c r="AA2229">
        <v>9</v>
      </c>
      <c r="AB2229">
        <v>9</v>
      </c>
      <c r="AC2229" t="s">
        <v>310</v>
      </c>
      <c r="AD2229">
        <v>9</v>
      </c>
      <c r="AE2229" t="s">
        <v>1418</v>
      </c>
      <c r="AF2229">
        <v>0</v>
      </c>
      <c r="AG2229" t="s">
        <v>310</v>
      </c>
      <c r="AH2229">
        <f>SUM((MID(Dyno_Data[[#This Row],[Team]],4,5))+(Dyno_Data[[#This Row],[Match]]/100))</f>
        <v>6648.43</v>
      </c>
      <c r="AI2229" s="76">
        <f>ROUND(SUM(IF(Dyno_Data[[#This Row],[AcqCenter]]&gt;0,Dyno_Data[[#This Row],[Time]]-SUMIFS(Dyno_Data[Time],Dyno_Data[Team],Dyno_Data[[#This Row],[Team]],Dyno_Data[RecordType],"StartMatch",Dyno_Data[Match],Dyno_Data[[#This Row],[Match]]),0)*86400),0)</f>
        <v>0</v>
      </c>
    </row>
    <row r="2230" spans="1:35" x14ac:dyDescent="0.3">
      <c r="A2230">
        <v>2229</v>
      </c>
      <c r="B2230" t="s">
        <v>363</v>
      </c>
      <c r="C2230">
        <v>43</v>
      </c>
      <c r="D2230" s="105">
        <v>45373.675339849535</v>
      </c>
      <c r="E2230" t="s">
        <v>312</v>
      </c>
      <c r="F2230" t="s">
        <v>1402</v>
      </c>
      <c r="G2230">
        <v>0</v>
      </c>
      <c r="H2230" t="s">
        <v>315</v>
      </c>
      <c r="I2230">
        <v>0</v>
      </c>
      <c r="J2230">
        <v>0</v>
      </c>
      <c r="K2230">
        <v>0</v>
      </c>
      <c r="L2230" t="s">
        <v>240</v>
      </c>
      <c r="M2230" t="s">
        <v>1398</v>
      </c>
      <c r="N2230">
        <v>0</v>
      </c>
      <c r="O2230" t="s">
        <v>1391</v>
      </c>
      <c r="P2230" t="s">
        <v>310</v>
      </c>
      <c r="Q2230" t="s">
        <v>310</v>
      </c>
      <c r="R2230" t="s">
        <v>310</v>
      </c>
      <c r="S2230">
        <v>9</v>
      </c>
      <c r="T2230" t="s">
        <v>310</v>
      </c>
      <c r="U2230">
        <v>9</v>
      </c>
      <c r="V2230">
        <v>9</v>
      </c>
      <c r="W2230">
        <v>0</v>
      </c>
      <c r="X2230">
        <v>0</v>
      </c>
      <c r="Y2230">
        <v>0</v>
      </c>
      <c r="Z2230">
        <v>0</v>
      </c>
      <c r="AA2230">
        <v>9</v>
      </c>
      <c r="AB2230">
        <v>9</v>
      </c>
      <c r="AC2230" t="s">
        <v>310</v>
      </c>
      <c r="AD2230">
        <v>9</v>
      </c>
      <c r="AE2230" t="s">
        <v>1416</v>
      </c>
      <c r="AF2230">
        <v>40000000</v>
      </c>
      <c r="AG2230" t="s">
        <v>310</v>
      </c>
      <c r="AH2230">
        <f>SUM((MID(Dyno_Data[[#This Row],[Team]],4,5))+(Dyno_Data[[#This Row],[Match]]/100))</f>
        <v>2601.4299999999998</v>
      </c>
      <c r="AI2230" s="76">
        <f>ROUND(SUM(IF(Dyno_Data[[#This Row],[AcqCenter]]&gt;0,Dyno_Data[[#This Row],[Time]]-SUMIFS(Dyno_Data[Time],Dyno_Data[Team],Dyno_Data[[#This Row],[Team]],Dyno_Data[RecordType],"StartMatch",Dyno_Data[Match],Dyno_Data[[#This Row],[Match]]),0)*86400),0)</f>
        <v>0</v>
      </c>
    </row>
    <row r="2231" spans="1:35" x14ac:dyDescent="0.3">
      <c r="A2231">
        <v>2230</v>
      </c>
      <c r="B2231" t="s">
        <v>366</v>
      </c>
      <c r="C2231">
        <v>43</v>
      </c>
      <c r="D2231" s="105">
        <v>45373.675365937503</v>
      </c>
      <c r="E2231" t="s">
        <v>312</v>
      </c>
      <c r="F2231" t="s">
        <v>1402</v>
      </c>
      <c r="G2231">
        <v>0</v>
      </c>
      <c r="H2231" t="s">
        <v>315</v>
      </c>
      <c r="I2231">
        <v>0</v>
      </c>
      <c r="J2231">
        <v>0</v>
      </c>
      <c r="K2231">
        <v>0</v>
      </c>
      <c r="L2231" t="s">
        <v>241</v>
      </c>
      <c r="M2231" t="s">
        <v>1398</v>
      </c>
      <c r="N2231">
        <v>0</v>
      </c>
      <c r="O2231" t="s">
        <v>1395</v>
      </c>
      <c r="P2231" t="s">
        <v>310</v>
      </c>
      <c r="Q2231" t="s">
        <v>310</v>
      </c>
      <c r="R2231" t="s">
        <v>310</v>
      </c>
      <c r="S2231">
        <v>9</v>
      </c>
      <c r="T2231" t="s">
        <v>310</v>
      </c>
      <c r="U2231">
        <v>9</v>
      </c>
      <c r="V2231">
        <v>9</v>
      </c>
      <c r="W2231">
        <v>0</v>
      </c>
      <c r="X2231">
        <v>0</v>
      </c>
      <c r="Y2231">
        <v>0</v>
      </c>
      <c r="Z2231">
        <v>0</v>
      </c>
      <c r="AA2231">
        <v>9</v>
      </c>
      <c r="AB2231">
        <v>9</v>
      </c>
      <c r="AC2231" t="s">
        <v>310</v>
      </c>
      <c r="AD2231">
        <v>9</v>
      </c>
      <c r="AE2231" t="s">
        <v>1413</v>
      </c>
      <c r="AF2231">
        <v>10000000</v>
      </c>
      <c r="AG2231" t="s">
        <v>310</v>
      </c>
      <c r="AH2231">
        <f>SUM((MID(Dyno_Data[[#This Row],[Team]],4,5))+(Dyno_Data[[#This Row],[Match]]/100))</f>
        <v>4122.43</v>
      </c>
      <c r="AI2231" s="76">
        <f>ROUND(SUM(IF(Dyno_Data[[#This Row],[AcqCenter]]&gt;0,Dyno_Data[[#This Row],[Time]]-SUMIFS(Dyno_Data[Time],Dyno_Data[Team],Dyno_Data[[#This Row],[Team]],Dyno_Data[RecordType],"StartMatch",Dyno_Data[Match],Dyno_Data[[#This Row],[Match]]),0)*86400),0)</f>
        <v>0</v>
      </c>
    </row>
    <row r="2232" spans="1:35" x14ac:dyDescent="0.3">
      <c r="A2232">
        <v>2231</v>
      </c>
      <c r="B2232" t="s">
        <v>363</v>
      </c>
      <c r="C2232">
        <v>43</v>
      </c>
      <c r="D2232" s="105">
        <v>45373.675418090279</v>
      </c>
      <c r="E2232" t="s">
        <v>312</v>
      </c>
      <c r="F2232" t="s">
        <v>1402</v>
      </c>
      <c r="G2232">
        <v>0</v>
      </c>
      <c r="H2232" t="s">
        <v>315</v>
      </c>
      <c r="I2232">
        <v>0</v>
      </c>
      <c r="J2232">
        <v>0</v>
      </c>
      <c r="K2232">
        <v>0</v>
      </c>
      <c r="L2232" t="s">
        <v>240</v>
      </c>
      <c r="M2232" t="s">
        <v>1398</v>
      </c>
      <c r="N2232">
        <v>0</v>
      </c>
      <c r="O2232" t="s">
        <v>1391</v>
      </c>
      <c r="P2232" t="s">
        <v>310</v>
      </c>
      <c r="Q2232" t="s">
        <v>310</v>
      </c>
      <c r="R2232" t="s">
        <v>310</v>
      </c>
      <c r="S2232">
        <v>9</v>
      </c>
      <c r="T2232" t="s">
        <v>310</v>
      </c>
      <c r="U2232">
        <v>9</v>
      </c>
      <c r="V2232">
        <v>9</v>
      </c>
      <c r="W2232">
        <v>0</v>
      </c>
      <c r="X2232">
        <v>0</v>
      </c>
      <c r="Y2232">
        <v>0</v>
      </c>
      <c r="Z2232">
        <v>0</v>
      </c>
      <c r="AA2232">
        <v>9</v>
      </c>
      <c r="AB2232">
        <v>9</v>
      </c>
      <c r="AC2232" t="s">
        <v>310</v>
      </c>
      <c r="AD2232">
        <v>9</v>
      </c>
      <c r="AE2232" t="s">
        <v>1416</v>
      </c>
      <c r="AF2232">
        <v>50000000</v>
      </c>
      <c r="AG2232" t="s">
        <v>310</v>
      </c>
      <c r="AH2232">
        <f>SUM((MID(Dyno_Data[[#This Row],[Team]],4,5))+(Dyno_Data[[#This Row],[Match]]/100))</f>
        <v>2601.4299999999998</v>
      </c>
      <c r="AI2232" s="76">
        <f>ROUND(SUM(IF(Dyno_Data[[#This Row],[AcqCenter]]&gt;0,Dyno_Data[[#This Row],[Time]]-SUMIFS(Dyno_Data[Time],Dyno_Data[Team],Dyno_Data[[#This Row],[Team]],Dyno_Data[RecordType],"StartMatch",Dyno_Data[Match],Dyno_Data[[#This Row],[Match]]),0)*86400),0)</f>
        <v>0</v>
      </c>
    </row>
    <row r="2233" spans="1:35" x14ac:dyDescent="0.3">
      <c r="A2233">
        <v>2232</v>
      </c>
      <c r="B2233" t="s">
        <v>1308</v>
      </c>
      <c r="C2233">
        <v>43</v>
      </c>
      <c r="D2233" s="105">
        <v>45373.675422372682</v>
      </c>
      <c r="E2233" t="s">
        <v>312</v>
      </c>
      <c r="F2233" t="s">
        <v>1402</v>
      </c>
      <c r="G2233">
        <v>0</v>
      </c>
      <c r="H2233" t="s">
        <v>315</v>
      </c>
      <c r="I2233">
        <v>0</v>
      </c>
      <c r="J2233">
        <v>0</v>
      </c>
      <c r="K2233">
        <v>0</v>
      </c>
      <c r="L2233" t="s">
        <v>240</v>
      </c>
      <c r="M2233" t="s">
        <v>101</v>
      </c>
      <c r="N2233">
        <v>0</v>
      </c>
      <c r="O2233" t="s">
        <v>1393</v>
      </c>
      <c r="P2233" t="s">
        <v>310</v>
      </c>
      <c r="Q2233" t="s">
        <v>310</v>
      </c>
      <c r="R2233" t="s">
        <v>310</v>
      </c>
      <c r="S2233">
        <v>9</v>
      </c>
      <c r="T2233" t="s">
        <v>310</v>
      </c>
      <c r="U2233">
        <v>9</v>
      </c>
      <c r="V2233">
        <v>9</v>
      </c>
      <c r="W2233">
        <v>0</v>
      </c>
      <c r="X2233">
        <v>0</v>
      </c>
      <c r="Y2233">
        <v>0</v>
      </c>
      <c r="Z2233">
        <v>0</v>
      </c>
      <c r="AA2233">
        <v>9</v>
      </c>
      <c r="AB2233">
        <v>9</v>
      </c>
      <c r="AC2233" t="s">
        <v>310</v>
      </c>
      <c r="AD2233">
        <v>9</v>
      </c>
      <c r="AE2233" t="s">
        <v>1412</v>
      </c>
      <c r="AF2233">
        <v>20000000</v>
      </c>
      <c r="AG2233" t="s">
        <v>310</v>
      </c>
      <c r="AH2233">
        <f>SUM((MID(Dyno_Data[[#This Row],[Team]],4,5))+(Dyno_Data[[#This Row],[Match]]/100))</f>
        <v>3799.43</v>
      </c>
      <c r="AI2233" s="76">
        <f>ROUND(SUM(IF(Dyno_Data[[#This Row],[AcqCenter]]&gt;0,Dyno_Data[[#This Row],[Time]]-SUMIFS(Dyno_Data[Time],Dyno_Data[Team],Dyno_Data[[#This Row],[Team]],Dyno_Data[RecordType],"StartMatch",Dyno_Data[Match],Dyno_Data[[#This Row],[Match]]),0)*86400),0)</f>
        <v>0</v>
      </c>
    </row>
    <row r="2234" spans="1:35" x14ac:dyDescent="0.3">
      <c r="A2234">
        <v>2233</v>
      </c>
      <c r="B2234" t="s">
        <v>1289</v>
      </c>
      <c r="C2234">
        <v>43</v>
      </c>
      <c r="D2234" s="105">
        <v>45373.675444062501</v>
      </c>
      <c r="E2234" t="s">
        <v>1403</v>
      </c>
      <c r="F2234" t="s">
        <v>1402</v>
      </c>
      <c r="G2234">
        <v>0</v>
      </c>
      <c r="H2234" t="s">
        <v>310</v>
      </c>
      <c r="I2234">
        <v>0</v>
      </c>
      <c r="J2234">
        <v>0</v>
      </c>
      <c r="K2234">
        <v>0</v>
      </c>
      <c r="L2234" t="s">
        <v>310</v>
      </c>
      <c r="M2234" t="s">
        <v>310</v>
      </c>
      <c r="N2234">
        <v>0</v>
      </c>
      <c r="O2234" t="s">
        <v>311</v>
      </c>
      <c r="P2234" t="s">
        <v>310</v>
      </c>
      <c r="Q2234" t="s">
        <v>310</v>
      </c>
      <c r="R2234" t="s">
        <v>310</v>
      </c>
      <c r="S2234">
        <v>9</v>
      </c>
      <c r="T2234" t="s">
        <v>310</v>
      </c>
      <c r="U2234">
        <v>9</v>
      </c>
      <c r="V2234">
        <v>9</v>
      </c>
      <c r="W2234">
        <v>0</v>
      </c>
      <c r="X2234">
        <v>0</v>
      </c>
      <c r="Y2234">
        <v>0</v>
      </c>
      <c r="Z2234">
        <v>0</v>
      </c>
      <c r="AA2234">
        <v>9</v>
      </c>
      <c r="AB2234">
        <v>9</v>
      </c>
      <c r="AC2234" t="s">
        <v>310</v>
      </c>
      <c r="AD2234">
        <v>9</v>
      </c>
      <c r="AE2234" t="s">
        <v>1418</v>
      </c>
      <c r="AF2234">
        <v>20000000</v>
      </c>
      <c r="AG2234" t="s">
        <v>249</v>
      </c>
      <c r="AH2234">
        <f>SUM((MID(Dyno_Data[[#This Row],[Team]],4,5))+(Dyno_Data[[#This Row],[Match]]/100))</f>
        <v>6648.43</v>
      </c>
      <c r="AI2234" s="76">
        <f>ROUND(SUM(IF(Dyno_Data[[#This Row],[AcqCenter]]&gt;0,Dyno_Data[[#This Row],[Time]]-SUMIFS(Dyno_Data[Time],Dyno_Data[Team],Dyno_Data[[#This Row],[Team]],Dyno_Data[RecordType],"StartMatch",Dyno_Data[Match],Dyno_Data[[#This Row],[Match]]),0)*86400),0)</f>
        <v>0</v>
      </c>
    </row>
    <row r="2235" spans="1:35" x14ac:dyDescent="0.3">
      <c r="A2235">
        <v>2234</v>
      </c>
      <c r="B2235" t="s">
        <v>1308</v>
      </c>
      <c r="C2235">
        <v>43</v>
      </c>
      <c r="D2235" s="105">
        <v>45373.675453391203</v>
      </c>
      <c r="E2235" t="s">
        <v>312</v>
      </c>
      <c r="F2235" t="s">
        <v>1402</v>
      </c>
      <c r="G2235">
        <v>0</v>
      </c>
      <c r="H2235" t="s">
        <v>315</v>
      </c>
      <c r="I2235">
        <v>0</v>
      </c>
      <c r="J2235">
        <v>0</v>
      </c>
      <c r="K2235">
        <v>0</v>
      </c>
      <c r="L2235" t="s">
        <v>240</v>
      </c>
      <c r="M2235" t="s">
        <v>1398</v>
      </c>
      <c r="N2235">
        <v>0</v>
      </c>
      <c r="O2235" t="s">
        <v>1393</v>
      </c>
      <c r="P2235" t="s">
        <v>310</v>
      </c>
      <c r="Q2235" t="s">
        <v>310</v>
      </c>
      <c r="R2235" t="s">
        <v>310</v>
      </c>
      <c r="S2235">
        <v>9</v>
      </c>
      <c r="T2235" t="s">
        <v>310</v>
      </c>
      <c r="U2235">
        <v>9</v>
      </c>
      <c r="V2235">
        <v>9</v>
      </c>
      <c r="W2235">
        <v>0</v>
      </c>
      <c r="X2235">
        <v>0</v>
      </c>
      <c r="Y2235">
        <v>0</v>
      </c>
      <c r="Z2235">
        <v>0</v>
      </c>
      <c r="AA2235">
        <v>9</v>
      </c>
      <c r="AB2235">
        <v>9</v>
      </c>
      <c r="AC2235" t="s">
        <v>310</v>
      </c>
      <c r="AD2235">
        <v>9</v>
      </c>
      <c r="AE2235" t="s">
        <v>1412</v>
      </c>
      <c r="AF2235">
        <v>30000000</v>
      </c>
      <c r="AG2235" t="s">
        <v>310</v>
      </c>
      <c r="AH2235">
        <f>SUM((MID(Dyno_Data[[#This Row],[Team]],4,5))+(Dyno_Data[[#This Row],[Match]]/100))</f>
        <v>3799.43</v>
      </c>
      <c r="AI2235" s="76">
        <f>ROUND(SUM(IF(Dyno_Data[[#This Row],[AcqCenter]]&gt;0,Dyno_Data[[#This Row],[Time]]-SUMIFS(Dyno_Data[Time],Dyno_Data[Team],Dyno_Data[[#This Row],[Team]],Dyno_Data[RecordType],"StartMatch",Dyno_Data[Match],Dyno_Data[[#This Row],[Match]]),0)*86400),0)</f>
        <v>0</v>
      </c>
    </row>
    <row r="2236" spans="1:35" x14ac:dyDescent="0.3">
      <c r="A2236">
        <v>2235</v>
      </c>
      <c r="B2236" t="s">
        <v>366</v>
      </c>
      <c r="C2236">
        <v>43</v>
      </c>
      <c r="D2236" s="105">
        <v>45373.675455706019</v>
      </c>
      <c r="E2236" t="s">
        <v>312</v>
      </c>
      <c r="F2236" t="s">
        <v>1402</v>
      </c>
      <c r="G2236">
        <v>0</v>
      </c>
      <c r="H2236" t="s">
        <v>315</v>
      </c>
      <c r="I2236">
        <v>0</v>
      </c>
      <c r="J2236">
        <v>0</v>
      </c>
      <c r="K2236">
        <v>0</v>
      </c>
      <c r="L2236" t="s">
        <v>241</v>
      </c>
      <c r="M2236" t="s">
        <v>1398</v>
      </c>
      <c r="N2236">
        <v>0</v>
      </c>
      <c r="O2236" t="s">
        <v>1395</v>
      </c>
      <c r="P2236" t="s">
        <v>310</v>
      </c>
      <c r="Q2236" t="s">
        <v>310</v>
      </c>
      <c r="R2236" t="s">
        <v>310</v>
      </c>
      <c r="S2236">
        <v>9</v>
      </c>
      <c r="T2236" t="s">
        <v>310</v>
      </c>
      <c r="U2236">
        <v>9</v>
      </c>
      <c r="V2236">
        <v>9</v>
      </c>
      <c r="W2236">
        <v>0</v>
      </c>
      <c r="X2236">
        <v>0</v>
      </c>
      <c r="Y2236">
        <v>0</v>
      </c>
      <c r="Z2236">
        <v>0</v>
      </c>
      <c r="AA2236">
        <v>9</v>
      </c>
      <c r="AB2236">
        <v>9</v>
      </c>
      <c r="AC2236" t="s">
        <v>310</v>
      </c>
      <c r="AD2236">
        <v>9</v>
      </c>
      <c r="AE2236" t="s">
        <v>1413</v>
      </c>
      <c r="AF2236">
        <v>20000000</v>
      </c>
      <c r="AG2236" t="s">
        <v>310</v>
      </c>
      <c r="AH2236">
        <f>SUM((MID(Dyno_Data[[#This Row],[Team]],4,5))+(Dyno_Data[[#This Row],[Match]]/100))</f>
        <v>4122.43</v>
      </c>
      <c r="AI2236" s="76">
        <f>ROUND(SUM(IF(Dyno_Data[[#This Row],[AcqCenter]]&gt;0,Dyno_Data[[#This Row],[Time]]-SUMIFS(Dyno_Data[Time],Dyno_Data[Team],Dyno_Data[[#This Row],[Team]],Dyno_Data[RecordType],"StartMatch",Dyno_Data[Match],Dyno_Data[[#This Row],[Match]]),0)*86400),0)</f>
        <v>0</v>
      </c>
    </row>
    <row r="2237" spans="1:35" x14ac:dyDescent="0.3">
      <c r="A2237">
        <v>2236</v>
      </c>
      <c r="B2237" t="s">
        <v>363</v>
      </c>
      <c r="C2237">
        <v>43</v>
      </c>
      <c r="D2237" s="105">
        <v>45373.675486886576</v>
      </c>
      <c r="E2237" t="s">
        <v>312</v>
      </c>
      <c r="F2237" t="s">
        <v>1402</v>
      </c>
      <c r="G2237">
        <v>0</v>
      </c>
      <c r="H2237" t="s">
        <v>315</v>
      </c>
      <c r="I2237">
        <v>0</v>
      </c>
      <c r="J2237">
        <v>0</v>
      </c>
      <c r="K2237">
        <v>0</v>
      </c>
      <c r="L2237" t="s">
        <v>240</v>
      </c>
      <c r="M2237" t="s">
        <v>1398</v>
      </c>
      <c r="N2237">
        <v>0</v>
      </c>
      <c r="O2237" t="s">
        <v>1391</v>
      </c>
      <c r="P2237" t="s">
        <v>310</v>
      </c>
      <c r="Q2237" t="s">
        <v>310</v>
      </c>
      <c r="R2237" t="s">
        <v>310</v>
      </c>
      <c r="S2237">
        <v>9</v>
      </c>
      <c r="T2237" t="s">
        <v>310</v>
      </c>
      <c r="U2237">
        <v>9</v>
      </c>
      <c r="V2237">
        <v>9</v>
      </c>
      <c r="W2237">
        <v>0</v>
      </c>
      <c r="X2237">
        <v>0</v>
      </c>
      <c r="Y2237">
        <v>0</v>
      </c>
      <c r="Z2237">
        <v>0</v>
      </c>
      <c r="AA2237">
        <v>9</v>
      </c>
      <c r="AB2237">
        <v>9</v>
      </c>
      <c r="AC2237" t="s">
        <v>310</v>
      </c>
      <c r="AD2237">
        <v>9</v>
      </c>
      <c r="AE2237" t="s">
        <v>1416</v>
      </c>
      <c r="AF2237">
        <v>60000000</v>
      </c>
      <c r="AG2237" t="s">
        <v>310</v>
      </c>
      <c r="AH2237">
        <f>SUM((MID(Dyno_Data[[#This Row],[Team]],4,5))+(Dyno_Data[[#This Row],[Match]]/100))</f>
        <v>2601.4299999999998</v>
      </c>
      <c r="AI2237" s="76">
        <f>ROUND(SUM(IF(Dyno_Data[[#This Row],[AcqCenter]]&gt;0,Dyno_Data[[#This Row],[Time]]-SUMIFS(Dyno_Data[Time],Dyno_Data[Team],Dyno_Data[[#This Row],[Team]],Dyno_Data[RecordType],"StartMatch",Dyno_Data[Match],Dyno_Data[[#This Row],[Match]]),0)*86400),0)</f>
        <v>0</v>
      </c>
    </row>
    <row r="2238" spans="1:35" x14ac:dyDescent="0.3">
      <c r="A2238">
        <v>2237</v>
      </c>
      <c r="B2238" t="s">
        <v>1308</v>
      </c>
      <c r="C2238">
        <v>43</v>
      </c>
      <c r="D2238" s="105">
        <v>45373.675510729168</v>
      </c>
      <c r="E2238" t="s">
        <v>312</v>
      </c>
      <c r="F2238" t="s">
        <v>1402</v>
      </c>
      <c r="G2238">
        <v>0</v>
      </c>
      <c r="H2238" t="s">
        <v>315</v>
      </c>
      <c r="I2238">
        <v>0</v>
      </c>
      <c r="J2238">
        <v>0</v>
      </c>
      <c r="K2238">
        <v>0</v>
      </c>
      <c r="L2238" t="s">
        <v>240</v>
      </c>
      <c r="M2238" t="s">
        <v>1398</v>
      </c>
      <c r="N2238">
        <v>0</v>
      </c>
      <c r="O2238" t="s">
        <v>1393</v>
      </c>
      <c r="P2238" t="s">
        <v>310</v>
      </c>
      <c r="Q2238" t="s">
        <v>310</v>
      </c>
      <c r="R2238" t="s">
        <v>310</v>
      </c>
      <c r="S2238">
        <v>9</v>
      </c>
      <c r="T2238" t="s">
        <v>310</v>
      </c>
      <c r="U2238">
        <v>9</v>
      </c>
      <c r="V2238">
        <v>9</v>
      </c>
      <c r="W2238">
        <v>0</v>
      </c>
      <c r="X2238">
        <v>0</v>
      </c>
      <c r="Y2238">
        <v>0</v>
      </c>
      <c r="Z2238">
        <v>0</v>
      </c>
      <c r="AA2238">
        <v>9</v>
      </c>
      <c r="AB2238">
        <v>9</v>
      </c>
      <c r="AC2238" t="s">
        <v>310</v>
      </c>
      <c r="AD2238">
        <v>9</v>
      </c>
      <c r="AE2238" t="s">
        <v>1412</v>
      </c>
      <c r="AF2238">
        <v>40000000</v>
      </c>
      <c r="AG2238" t="s">
        <v>310</v>
      </c>
      <c r="AH2238">
        <f>SUM((MID(Dyno_Data[[#This Row],[Team]],4,5))+(Dyno_Data[[#This Row],[Match]]/100))</f>
        <v>3799.43</v>
      </c>
      <c r="AI2238" s="76">
        <f>ROUND(SUM(IF(Dyno_Data[[#This Row],[AcqCenter]]&gt;0,Dyno_Data[[#This Row],[Time]]-SUMIFS(Dyno_Data[Time],Dyno_Data[Team],Dyno_Data[[#This Row],[Team]],Dyno_Data[RecordType],"StartMatch",Dyno_Data[Match],Dyno_Data[[#This Row],[Match]]),0)*86400),0)</f>
        <v>0</v>
      </c>
    </row>
    <row r="2239" spans="1:35" x14ac:dyDescent="0.3">
      <c r="A2239">
        <v>2238</v>
      </c>
      <c r="B2239" t="s">
        <v>371</v>
      </c>
      <c r="C2239">
        <v>43</v>
      </c>
      <c r="D2239" s="105">
        <v>45373.675520173609</v>
      </c>
      <c r="E2239" t="s">
        <v>1403</v>
      </c>
      <c r="F2239" t="s">
        <v>1402</v>
      </c>
      <c r="G2239">
        <v>0</v>
      </c>
      <c r="H2239" t="s">
        <v>310</v>
      </c>
      <c r="I2239">
        <v>0</v>
      </c>
      <c r="J2239">
        <v>0</v>
      </c>
      <c r="K2239">
        <v>0</v>
      </c>
      <c r="L2239" t="s">
        <v>310</v>
      </c>
      <c r="M2239" t="s">
        <v>310</v>
      </c>
      <c r="N2239">
        <v>0</v>
      </c>
      <c r="O2239" t="s">
        <v>319</v>
      </c>
      <c r="P2239" t="s">
        <v>310</v>
      </c>
      <c r="Q2239" t="s">
        <v>310</v>
      </c>
      <c r="R2239" t="s">
        <v>310</v>
      </c>
      <c r="S2239">
        <v>9</v>
      </c>
      <c r="T2239" t="s">
        <v>310</v>
      </c>
      <c r="U2239">
        <v>9</v>
      </c>
      <c r="V2239">
        <v>9</v>
      </c>
      <c r="W2239">
        <v>0</v>
      </c>
      <c r="X2239">
        <v>0</v>
      </c>
      <c r="Y2239">
        <v>0</v>
      </c>
      <c r="Z2239">
        <v>0</v>
      </c>
      <c r="AA2239">
        <v>9</v>
      </c>
      <c r="AB2239">
        <v>9</v>
      </c>
      <c r="AC2239" t="s">
        <v>310</v>
      </c>
      <c r="AD2239">
        <v>9</v>
      </c>
      <c r="AE2239" t="s">
        <v>1414</v>
      </c>
      <c r="AF2239">
        <v>40000000</v>
      </c>
      <c r="AG2239" t="s">
        <v>249</v>
      </c>
      <c r="AH2239">
        <f>SUM((MID(Dyno_Data[[#This Row],[Team]],4,5))+(Dyno_Data[[#This Row],[Match]]/100))</f>
        <v>6969.43</v>
      </c>
      <c r="AI2239" s="76">
        <f>ROUND(SUM(IF(Dyno_Data[[#This Row],[AcqCenter]]&gt;0,Dyno_Data[[#This Row],[Time]]-SUMIFS(Dyno_Data[Time],Dyno_Data[Team],Dyno_Data[[#This Row],[Team]],Dyno_Data[RecordType],"StartMatch",Dyno_Data[Match],Dyno_Data[[#This Row],[Match]]),0)*86400),0)</f>
        <v>0</v>
      </c>
    </row>
    <row r="2240" spans="1:35" x14ac:dyDescent="0.3">
      <c r="A2240">
        <v>2239</v>
      </c>
      <c r="B2240" t="s">
        <v>363</v>
      </c>
      <c r="C2240">
        <v>43</v>
      </c>
      <c r="D2240" s="105">
        <v>45373.675548344909</v>
      </c>
      <c r="E2240" t="s">
        <v>312</v>
      </c>
      <c r="F2240" t="s">
        <v>1402</v>
      </c>
      <c r="G2240">
        <v>0</v>
      </c>
      <c r="H2240" t="s">
        <v>315</v>
      </c>
      <c r="I2240">
        <v>0</v>
      </c>
      <c r="J2240">
        <v>0</v>
      </c>
      <c r="K2240">
        <v>0</v>
      </c>
      <c r="L2240" t="s">
        <v>240</v>
      </c>
      <c r="M2240" t="s">
        <v>1398</v>
      </c>
      <c r="N2240">
        <v>0</v>
      </c>
      <c r="O2240" t="s">
        <v>1391</v>
      </c>
      <c r="P2240" t="s">
        <v>310</v>
      </c>
      <c r="Q2240" t="s">
        <v>310</v>
      </c>
      <c r="R2240" t="s">
        <v>310</v>
      </c>
      <c r="S2240">
        <v>9</v>
      </c>
      <c r="T2240" t="s">
        <v>310</v>
      </c>
      <c r="U2240">
        <v>9</v>
      </c>
      <c r="V2240">
        <v>9</v>
      </c>
      <c r="W2240">
        <v>0</v>
      </c>
      <c r="X2240">
        <v>0</v>
      </c>
      <c r="Y2240">
        <v>0</v>
      </c>
      <c r="Z2240">
        <v>0</v>
      </c>
      <c r="AA2240">
        <v>9</v>
      </c>
      <c r="AB2240">
        <v>9</v>
      </c>
      <c r="AC2240" t="s">
        <v>310</v>
      </c>
      <c r="AD2240">
        <v>9</v>
      </c>
      <c r="AE2240" t="s">
        <v>1416</v>
      </c>
      <c r="AF2240">
        <v>70000000</v>
      </c>
      <c r="AG2240" t="s">
        <v>310</v>
      </c>
      <c r="AH2240">
        <f>SUM((MID(Dyno_Data[[#This Row],[Team]],4,5))+(Dyno_Data[[#This Row],[Match]]/100))</f>
        <v>2601.4299999999998</v>
      </c>
      <c r="AI2240" s="76">
        <f>ROUND(SUM(IF(Dyno_Data[[#This Row],[AcqCenter]]&gt;0,Dyno_Data[[#This Row],[Time]]-SUMIFS(Dyno_Data[Time],Dyno_Data[Team],Dyno_Data[[#This Row],[Team]],Dyno_Data[RecordType],"StartMatch",Dyno_Data[Match],Dyno_Data[[#This Row],[Match]]),0)*86400),0)</f>
        <v>0</v>
      </c>
    </row>
    <row r="2241" spans="1:35" x14ac:dyDescent="0.3">
      <c r="A2241">
        <v>2240</v>
      </c>
      <c r="B2241" t="s">
        <v>363</v>
      </c>
      <c r="C2241">
        <v>43</v>
      </c>
      <c r="D2241" s="105">
        <v>45373.675597534719</v>
      </c>
      <c r="E2241" t="s">
        <v>312</v>
      </c>
      <c r="F2241" t="s">
        <v>1402</v>
      </c>
      <c r="G2241">
        <v>0</v>
      </c>
      <c r="H2241" t="s">
        <v>315</v>
      </c>
      <c r="I2241">
        <v>0</v>
      </c>
      <c r="J2241">
        <v>0</v>
      </c>
      <c r="K2241">
        <v>0</v>
      </c>
      <c r="L2241" t="s">
        <v>240</v>
      </c>
      <c r="M2241" t="s">
        <v>1398</v>
      </c>
      <c r="N2241">
        <v>0</v>
      </c>
      <c r="O2241" t="s">
        <v>1391</v>
      </c>
      <c r="P2241" t="s">
        <v>310</v>
      </c>
      <c r="Q2241" t="s">
        <v>310</v>
      </c>
      <c r="R2241" t="s">
        <v>310</v>
      </c>
      <c r="S2241">
        <v>9</v>
      </c>
      <c r="T2241" t="s">
        <v>310</v>
      </c>
      <c r="U2241">
        <v>9</v>
      </c>
      <c r="V2241">
        <v>9</v>
      </c>
      <c r="W2241">
        <v>0</v>
      </c>
      <c r="X2241">
        <v>0</v>
      </c>
      <c r="Y2241">
        <v>0</v>
      </c>
      <c r="Z2241">
        <v>0</v>
      </c>
      <c r="AA2241">
        <v>9</v>
      </c>
      <c r="AB2241">
        <v>9</v>
      </c>
      <c r="AC2241" t="s">
        <v>310</v>
      </c>
      <c r="AD2241">
        <v>9</v>
      </c>
      <c r="AE2241" t="s">
        <v>1416</v>
      </c>
      <c r="AF2241">
        <v>80000000</v>
      </c>
      <c r="AG2241" t="s">
        <v>310</v>
      </c>
      <c r="AH2241">
        <f>SUM((MID(Dyno_Data[[#This Row],[Team]],4,5))+(Dyno_Data[[#This Row],[Match]]/100))</f>
        <v>2601.4299999999998</v>
      </c>
      <c r="AI2241" s="76">
        <f>ROUND(SUM(IF(Dyno_Data[[#This Row],[AcqCenter]]&gt;0,Dyno_Data[[#This Row],[Time]]-SUMIFS(Dyno_Data[Time],Dyno_Data[Team],Dyno_Data[[#This Row],[Team]],Dyno_Data[RecordType],"StartMatch",Dyno_Data[Match],Dyno_Data[[#This Row],[Match]]),0)*86400),0)</f>
        <v>0</v>
      </c>
    </row>
    <row r="2242" spans="1:35" x14ac:dyDescent="0.3">
      <c r="A2242">
        <v>2241</v>
      </c>
      <c r="B2242" t="s">
        <v>366</v>
      </c>
      <c r="C2242">
        <v>43</v>
      </c>
      <c r="D2242" s="105">
        <v>45373.675604826392</v>
      </c>
      <c r="E2242" t="s">
        <v>312</v>
      </c>
      <c r="F2242" t="s">
        <v>1402</v>
      </c>
      <c r="G2242">
        <v>0</v>
      </c>
      <c r="H2242" t="s">
        <v>315</v>
      </c>
      <c r="I2242">
        <v>0</v>
      </c>
      <c r="J2242">
        <v>0</v>
      </c>
      <c r="K2242">
        <v>0</v>
      </c>
      <c r="L2242" t="s">
        <v>241</v>
      </c>
      <c r="M2242" t="s">
        <v>1398</v>
      </c>
      <c r="N2242">
        <v>1</v>
      </c>
      <c r="O2242" t="s">
        <v>1395</v>
      </c>
      <c r="P2242" t="s">
        <v>310</v>
      </c>
      <c r="Q2242" t="s">
        <v>310</v>
      </c>
      <c r="R2242" t="s">
        <v>310</v>
      </c>
      <c r="S2242">
        <v>9</v>
      </c>
      <c r="T2242" t="s">
        <v>310</v>
      </c>
      <c r="U2242">
        <v>9</v>
      </c>
      <c r="V2242">
        <v>9</v>
      </c>
      <c r="W2242">
        <v>0</v>
      </c>
      <c r="X2242">
        <v>0</v>
      </c>
      <c r="Y2242">
        <v>0</v>
      </c>
      <c r="Z2242">
        <v>0</v>
      </c>
      <c r="AA2242">
        <v>9</v>
      </c>
      <c r="AB2242">
        <v>9</v>
      </c>
      <c r="AC2242" t="s">
        <v>310</v>
      </c>
      <c r="AD2242">
        <v>9</v>
      </c>
      <c r="AE2242" t="s">
        <v>1413</v>
      </c>
      <c r="AF2242">
        <v>30000000</v>
      </c>
      <c r="AG2242" t="s">
        <v>310</v>
      </c>
      <c r="AH2242">
        <f>SUM((MID(Dyno_Data[[#This Row],[Team]],4,5))+(Dyno_Data[[#This Row],[Match]]/100))</f>
        <v>4122.43</v>
      </c>
      <c r="AI2242" s="76">
        <f>ROUND(SUM(IF(Dyno_Data[[#This Row],[AcqCenter]]&gt;0,Dyno_Data[[#This Row],[Time]]-SUMIFS(Dyno_Data[Time],Dyno_Data[Team],Dyno_Data[[#This Row],[Team]],Dyno_Data[RecordType],"StartMatch",Dyno_Data[Match],Dyno_Data[[#This Row],[Match]]),0)*86400),0)</f>
        <v>0</v>
      </c>
    </row>
    <row r="2243" spans="1:35" x14ac:dyDescent="0.3">
      <c r="A2243">
        <v>2242</v>
      </c>
      <c r="B2243" t="s">
        <v>366</v>
      </c>
      <c r="C2243">
        <v>43</v>
      </c>
      <c r="D2243" s="105">
        <v>45373.675676701387</v>
      </c>
      <c r="E2243" t="s">
        <v>312</v>
      </c>
      <c r="F2243" t="s">
        <v>1402</v>
      </c>
      <c r="G2243">
        <v>0</v>
      </c>
      <c r="H2243" t="s">
        <v>315</v>
      </c>
      <c r="I2243">
        <v>0</v>
      </c>
      <c r="J2243">
        <v>0</v>
      </c>
      <c r="K2243">
        <v>0</v>
      </c>
      <c r="L2243" t="s">
        <v>241</v>
      </c>
      <c r="M2243" t="s">
        <v>1398</v>
      </c>
      <c r="N2243">
        <v>0</v>
      </c>
      <c r="O2243" t="s">
        <v>1395</v>
      </c>
      <c r="P2243" t="s">
        <v>310</v>
      </c>
      <c r="Q2243" t="s">
        <v>310</v>
      </c>
      <c r="R2243" t="s">
        <v>310</v>
      </c>
      <c r="S2243">
        <v>9</v>
      </c>
      <c r="T2243" t="s">
        <v>310</v>
      </c>
      <c r="U2243">
        <v>9</v>
      </c>
      <c r="V2243">
        <v>9</v>
      </c>
      <c r="W2243">
        <v>0</v>
      </c>
      <c r="X2243">
        <v>0</v>
      </c>
      <c r="Y2243">
        <v>0</v>
      </c>
      <c r="Z2243">
        <v>0</v>
      </c>
      <c r="AA2243">
        <v>9</v>
      </c>
      <c r="AB2243">
        <v>9</v>
      </c>
      <c r="AC2243" t="s">
        <v>310</v>
      </c>
      <c r="AD2243">
        <v>9</v>
      </c>
      <c r="AE2243" t="s">
        <v>1413</v>
      </c>
      <c r="AF2243">
        <v>40000000</v>
      </c>
      <c r="AG2243" t="s">
        <v>310</v>
      </c>
      <c r="AH2243">
        <f>SUM((MID(Dyno_Data[[#This Row],[Team]],4,5))+(Dyno_Data[[#This Row],[Match]]/100))</f>
        <v>4122.43</v>
      </c>
      <c r="AI2243" s="76">
        <f>ROUND(SUM(IF(Dyno_Data[[#This Row],[AcqCenter]]&gt;0,Dyno_Data[[#This Row],[Time]]-SUMIFS(Dyno_Data[Time],Dyno_Data[Team],Dyno_Data[[#This Row],[Team]],Dyno_Data[RecordType],"StartMatch",Dyno_Data[Match],Dyno_Data[[#This Row],[Match]]),0)*86400),0)</f>
        <v>0</v>
      </c>
    </row>
    <row r="2244" spans="1:35" x14ac:dyDescent="0.3">
      <c r="A2244">
        <v>2243</v>
      </c>
      <c r="B2244" t="s">
        <v>1308</v>
      </c>
      <c r="C2244">
        <v>43</v>
      </c>
      <c r="D2244" s="105">
        <v>45373.675689618052</v>
      </c>
      <c r="E2244" t="s">
        <v>312</v>
      </c>
      <c r="F2244" t="s">
        <v>1402</v>
      </c>
      <c r="G2244">
        <v>0</v>
      </c>
      <c r="H2244" t="s">
        <v>315</v>
      </c>
      <c r="I2244">
        <v>0</v>
      </c>
      <c r="J2244">
        <v>0</v>
      </c>
      <c r="K2244">
        <v>0</v>
      </c>
      <c r="L2244" t="s">
        <v>241</v>
      </c>
      <c r="M2244" t="s">
        <v>1398</v>
      </c>
      <c r="N2244">
        <v>0</v>
      </c>
      <c r="O2244" t="s">
        <v>1393</v>
      </c>
      <c r="P2244" t="s">
        <v>310</v>
      </c>
      <c r="Q2244" t="s">
        <v>310</v>
      </c>
      <c r="R2244" t="s">
        <v>310</v>
      </c>
      <c r="S2244">
        <v>9</v>
      </c>
      <c r="T2244" t="s">
        <v>310</v>
      </c>
      <c r="U2244">
        <v>9</v>
      </c>
      <c r="V2244">
        <v>9</v>
      </c>
      <c r="W2244">
        <v>0</v>
      </c>
      <c r="X2244">
        <v>0</v>
      </c>
      <c r="Y2244">
        <v>0</v>
      </c>
      <c r="Z2244">
        <v>0</v>
      </c>
      <c r="AA2244">
        <v>9</v>
      </c>
      <c r="AB2244">
        <v>9</v>
      </c>
      <c r="AC2244" t="s">
        <v>310</v>
      </c>
      <c r="AD2244">
        <v>9</v>
      </c>
      <c r="AE2244" t="s">
        <v>1412</v>
      </c>
      <c r="AF2244">
        <v>50000000</v>
      </c>
      <c r="AG2244" t="s">
        <v>310</v>
      </c>
      <c r="AH2244">
        <f>SUM((MID(Dyno_Data[[#This Row],[Team]],4,5))+(Dyno_Data[[#This Row],[Match]]/100))</f>
        <v>3799.43</v>
      </c>
      <c r="AI2244" s="76">
        <f>ROUND(SUM(IF(Dyno_Data[[#This Row],[AcqCenter]]&gt;0,Dyno_Data[[#This Row],[Time]]-SUMIFS(Dyno_Data[Time],Dyno_Data[Team],Dyno_Data[[#This Row],[Team]],Dyno_Data[RecordType],"StartMatch",Dyno_Data[Match],Dyno_Data[[#This Row],[Match]]),0)*86400),0)</f>
        <v>0</v>
      </c>
    </row>
    <row r="2245" spans="1:35" x14ac:dyDescent="0.3">
      <c r="A2245">
        <v>2244</v>
      </c>
      <c r="B2245" t="s">
        <v>371</v>
      </c>
      <c r="C2245">
        <v>43</v>
      </c>
      <c r="D2245" s="105">
        <v>45373.675734525466</v>
      </c>
      <c r="E2245" t="s">
        <v>312</v>
      </c>
      <c r="F2245" t="s">
        <v>1402</v>
      </c>
      <c r="G2245">
        <v>0</v>
      </c>
      <c r="H2245" t="s">
        <v>1397</v>
      </c>
      <c r="I2245">
        <v>0</v>
      </c>
      <c r="J2245">
        <v>0</v>
      </c>
      <c r="K2245">
        <v>0</v>
      </c>
      <c r="L2245" t="s">
        <v>241</v>
      </c>
      <c r="M2245" t="s">
        <v>241</v>
      </c>
      <c r="N2245">
        <v>1</v>
      </c>
      <c r="O2245" t="s">
        <v>319</v>
      </c>
      <c r="P2245" t="s">
        <v>310</v>
      </c>
      <c r="Q2245" t="s">
        <v>310</v>
      </c>
      <c r="R2245" t="s">
        <v>310</v>
      </c>
      <c r="S2245">
        <v>9</v>
      </c>
      <c r="T2245" t="s">
        <v>310</v>
      </c>
      <c r="U2245">
        <v>9</v>
      </c>
      <c r="V2245">
        <v>9</v>
      </c>
      <c r="W2245">
        <v>0</v>
      </c>
      <c r="X2245">
        <v>0</v>
      </c>
      <c r="Y2245">
        <v>0</v>
      </c>
      <c r="Z2245">
        <v>0</v>
      </c>
      <c r="AA2245">
        <v>9</v>
      </c>
      <c r="AB2245">
        <v>9</v>
      </c>
      <c r="AC2245" t="s">
        <v>310</v>
      </c>
      <c r="AD2245">
        <v>9</v>
      </c>
      <c r="AE2245" t="s">
        <v>1414</v>
      </c>
      <c r="AF2245">
        <v>0</v>
      </c>
      <c r="AG2245" t="s">
        <v>310</v>
      </c>
      <c r="AH2245">
        <f>SUM((MID(Dyno_Data[[#This Row],[Team]],4,5))+(Dyno_Data[[#This Row],[Match]]/100))</f>
        <v>6969.43</v>
      </c>
      <c r="AI2245" s="76">
        <f>ROUND(SUM(IF(Dyno_Data[[#This Row],[AcqCenter]]&gt;0,Dyno_Data[[#This Row],[Time]]-SUMIFS(Dyno_Data[Time],Dyno_Data[Team],Dyno_Data[[#This Row],[Team]],Dyno_Data[RecordType],"StartMatch",Dyno_Data[Match],Dyno_Data[[#This Row],[Match]]),0)*86400),0)</f>
        <v>0</v>
      </c>
    </row>
    <row r="2246" spans="1:35" x14ac:dyDescent="0.3">
      <c r="A2246">
        <v>2245</v>
      </c>
      <c r="B2246" t="s">
        <v>363</v>
      </c>
      <c r="C2246">
        <v>43</v>
      </c>
      <c r="D2246" s="105">
        <v>45373.67577858796</v>
      </c>
      <c r="E2246" t="s">
        <v>312</v>
      </c>
      <c r="F2246" t="s">
        <v>1402</v>
      </c>
      <c r="G2246">
        <v>0</v>
      </c>
      <c r="H2246" t="s">
        <v>315</v>
      </c>
      <c r="I2246">
        <v>0</v>
      </c>
      <c r="J2246">
        <v>0</v>
      </c>
      <c r="K2246">
        <v>0</v>
      </c>
      <c r="L2246" t="s">
        <v>240</v>
      </c>
      <c r="M2246" t="s">
        <v>1398</v>
      </c>
      <c r="N2246">
        <v>0</v>
      </c>
      <c r="O2246" t="s">
        <v>1391</v>
      </c>
      <c r="P2246" t="s">
        <v>310</v>
      </c>
      <c r="Q2246" t="s">
        <v>310</v>
      </c>
      <c r="R2246" t="s">
        <v>310</v>
      </c>
      <c r="S2246">
        <v>9</v>
      </c>
      <c r="T2246" t="s">
        <v>310</v>
      </c>
      <c r="U2246">
        <v>9</v>
      </c>
      <c r="V2246">
        <v>9</v>
      </c>
      <c r="W2246">
        <v>0</v>
      </c>
      <c r="X2246">
        <v>0</v>
      </c>
      <c r="Y2246">
        <v>0</v>
      </c>
      <c r="Z2246">
        <v>0</v>
      </c>
      <c r="AA2246">
        <v>9</v>
      </c>
      <c r="AB2246">
        <v>9</v>
      </c>
      <c r="AC2246" t="s">
        <v>310</v>
      </c>
      <c r="AD2246">
        <v>9</v>
      </c>
      <c r="AE2246" t="s">
        <v>1416</v>
      </c>
      <c r="AF2246">
        <v>90000000</v>
      </c>
      <c r="AG2246" t="s">
        <v>310</v>
      </c>
      <c r="AH2246">
        <f>SUM((MID(Dyno_Data[[#This Row],[Team]],4,5))+(Dyno_Data[[#This Row],[Match]]/100))</f>
        <v>2601.4299999999998</v>
      </c>
      <c r="AI2246" s="76">
        <f>ROUND(SUM(IF(Dyno_Data[[#This Row],[AcqCenter]]&gt;0,Dyno_Data[[#This Row],[Time]]-SUMIFS(Dyno_Data[Time],Dyno_Data[Team],Dyno_Data[[#This Row],[Team]],Dyno_Data[RecordType],"StartMatch",Dyno_Data[Match],Dyno_Data[[#This Row],[Match]]),0)*86400),0)</f>
        <v>0</v>
      </c>
    </row>
    <row r="2247" spans="1:35" x14ac:dyDescent="0.3">
      <c r="A2247">
        <v>2246</v>
      </c>
      <c r="B2247" t="s">
        <v>366</v>
      </c>
      <c r="C2247">
        <v>43</v>
      </c>
      <c r="D2247" s="105">
        <v>45373.675859178242</v>
      </c>
      <c r="E2247" t="s">
        <v>312</v>
      </c>
      <c r="F2247" t="s">
        <v>1402</v>
      </c>
      <c r="G2247">
        <v>0</v>
      </c>
      <c r="H2247" t="s">
        <v>315</v>
      </c>
      <c r="I2247">
        <v>0</v>
      </c>
      <c r="J2247">
        <v>0</v>
      </c>
      <c r="K2247">
        <v>0</v>
      </c>
      <c r="L2247" t="s">
        <v>241</v>
      </c>
      <c r="M2247" t="s">
        <v>1398</v>
      </c>
      <c r="N2247">
        <v>0</v>
      </c>
      <c r="O2247" t="s">
        <v>1395</v>
      </c>
      <c r="P2247" t="s">
        <v>310</v>
      </c>
      <c r="Q2247" t="s">
        <v>310</v>
      </c>
      <c r="R2247" t="s">
        <v>310</v>
      </c>
      <c r="S2247">
        <v>9</v>
      </c>
      <c r="T2247" t="s">
        <v>310</v>
      </c>
      <c r="U2247">
        <v>9</v>
      </c>
      <c r="V2247">
        <v>9</v>
      </c>
      <c r="W2247">
        <v>0</v>
      </c>
      <c r="X2247">
        <v>0</v>
      </c>
      <c r="Y2247">
        <v>0</v>
      </c>
      <c r="Z2247">
        <v>0</v>
      </c>
      <c r="AA2247">
        <v>9</v>
      </c>
      <c r="AB2247">
        <v>9</v>
      </c>
      <c r="AC2247" t="s">
        <v>310</v>
      </c>
      <c r="AD2247">
        <v>9</v>
      </c>
      <c r="AE2247" t="s">
        <v>1413</v>
      </c>
      <c r="AF2247">
        <v>50000000</v>
      </c>
      <c r="AG2247" t="s">
        <v>310</v>
      </c>
      <c r="AH2247">
        <f>SUM((MID(Dyno_Data[[#This Row],[Team]],4,5))+(Dyno_Data[[#This Row],[Match]]/100))</f>
        <v>4122.43</v>
      </c>
      <c r="AI2247" s="76">
        <f>ROUND(SUM(IF(Dyno_Data[[#This Row],[AcqCenter]]&gt;0,Dyno_Data[[#This Row],[Time]]-SUMIFS(Dyno_Data[Time],Dyno_Data[Team],Dyno_Data[[#This Row],[Team]],Dyno_Data[RecordType],"StartMatch",Dyno_Data[Match],Dyno_Data[[#This Row],[Match]]),0)*86400),0)</f>
        <v>0</v>
      </c>
    </row>
    <row r="2248" spans="1:35" x14ac:dyDescent="0.3">
      <c r="A2248">
        <v>2247</v>
      </c>
      <c r="B2248" t="s">
        <v>363</v>
      </c>
      <c r="C2248">
        <v>43</v>
      </c>
      <c r="D2248" s="105">
        <v>45373.67592199074</v>
      </c>
      <c r="E2248" t="s">
        <v>312</v>
      </c>
      <c r="F2248" t="s">
        <v>1402</v>
      </c>
      <c r="G2248">
        <v>0</v>
      </c>
      <c r="H2248" t="s">
        <v>315</v>
      </c>
      <c r="I2248">
        <v>0</v>
      </c>
      <c r="J2248">
        <v>0</v>
      </c>
      <c r="K2248">
        <v>0</v>
      </c>
      <c r="L2248" t="s">
        <v>240</v>
      </c>
      <c r="M2248" t="s">
        <v>1398</v>
      </c>
      <c r="N2248">
        <v>0</v>
      </c>
      <c r="O2248" t="s">
        <v>1391</v>
      </c>
      <c r="P2248" t="s">
        <v>310</v>
      </c>
      <c r="Q2248" t="s">
        <v>310</v>
      </c>
      <c r="R2248" t="s">
        <v>310</v>
      </c>
      <c r="S2248">
        <v>9</v>
      </c>
      <c r="T2248" t="s">
        <v>310</v>
      </c>
      <c r="U2248">
        <v>9</v>
      </c>
      <c r="V2248">
        <v>9</v>
      </c>
      <c r="W2248">
        <v>0</v>
      </c>
      <c r="X2248">
        <v>0</v>
      </c>
      <c r="Y2248">
        <v>0</v>
      </c>
      <c r="Z2248">
        <v>0</v>
      </c>
      <c r="AA2248">
        <v>9</v>
      </c>
      <c r="AB2248">
        <v>9</v>
      </c>
      <c r="AC2248" t="s">
        <v>310</v>
      </c>
      <c r="AD2248">
        <v>9</v>
      </c>
      <c r="AE2248" t="s">
        <v>1416</v>
      </c>
      <c r="AF2248">
        <v>100000000</v>
      </c>
      <c r="AG2248" t="s">
        <v>310</v>
      </c>
      <c r="AH2248">
        <f>SUM((MID(Dyno_Data[[#This Row],[Team]],4,5))+(Dyno_Data[[#This Row],[Match]]/100))</f>
        <v>2601.4299999999998</v>
      </c>
      <c r="AI2248" s="76">
        <f>ROUND(SUM(IF(Dyno_Data[[#This Row],[AcqCenter]]&gt;0,Dyno_Data[[#This Row],[Time]]-SUMIFS(Dyno_Data[Time],Dyno_Data[Team],Dyno_Data[[#This Row],[Team]],Dyno_Data[RecordType],"StartMatch",Dyno_Data[Match],Dyno_Data[[#This Row],[Match]]),0)*86400),0)</f>
        <v>0</v>
      </c>
    </row>
    <row r="2249" spans="1:35" x14ac:dyDescent="0.3">
      <c r="A2249">
        <v>2248</v>
      </c>
      <c r="B2249" t="s">
        <v>1308</v>
      </c>
      <c r="C2249">
        <v>43</v>
      </c>
      <c r="D2249" s="105">
        <v>45373.675940046298</v>
      </c>
      <c r="E2249" t="s">
        <v>312</v>
      </c>
      <c r="F2249" t="s">
        <v>1402</v>
      </c>
      <c r="G2249">
        <v>0</v>
      </c>
      <c r="H2249" t="s">
        <v>315</v>
      </c>
      <c r="I2249">
        <v>0</v>
      </c>
      <c r="J2249">
        <v>0</v>
      </c>
      <c r="K2249">
        <v>0</v>
      </c>
      <c r="L2249" t="s">
        <v>241</v>
      </c>
      <c r="M2249" t="s">
        <v>1398</v>
      </c>
      <c r="N2249">
        <v>0</v>
      </c>
      <c r="O2249" t="s">
        <v>1393</v>
      </c>
      <c r="P2249" t="s">
        <v>310</v>
      </c>
      <c r="Q2249" t="s">
        <v>310</v>
      </c>
      <c r="R2249" t="s">
        <v>310</v>
      </c>
      <c r="S2249">
        <v>9</v>
      </c>
      <c r="T2249" t="s">
        <v>310</v>
      </c>
      <c r="U2249">
        <v>9</v>
      </c>
      <c r="V2249">
        <v>9</v>
      </c>
      <c r="W2249">
        <v>0</v>
      </c>
      <c r="X2249">
        <v>0</v>
      </c>
      <c r="Y2249">
        <v>0</v>
      </c>
      <c r="Z2249">
        <v>0</v>
      </c>
      <c r="AA2249">
        <v>9</v>
      </c>
      <c r="AB2249">
        <v>9</v>
      </c>
      <c r="AC2249" t="s">
        <v>310</v>
      </c>
      <c r="AD2249">
        <v>9</v>
      </c>
      <c r="AE2249" t="s">
        <v>1412</v>
      </c>
      <c r="AF2249">
        <v>60000000</v>
      </c>
      <c r="AG2249" t="s">
        <v>310</v>
      </c>
      <c r="AH2249">
        <f>SUM((MID(Dyno_Data[[#This Row],[Team]],4,5))+(Dyno_Data[[#This Row],[Match]]/100))</f>
        <v>3799.43</v>
      </c>
      <c r="AI2249" s="76">
        <f>ROUND(SUM(IF(Dyno_Data[[#This Row],[AcqCenter]]&gt;0,Dyno_Data[[#This Row],[Time]]-SUMIFS(Dyno_Data[Time],Dyno_Data[Team],Dyno_Data[[#This Row],[Team]],Dyno_Data[RecordType],"StartMatch",Dyno_Data[Match],Dyno_Data[[#This Row],[Match]]),0)*86400),0)</f>
        <v>0</v>
      </c>
    </row>
    <row r="2250" spans="1:35" x14ac:dyDescent="0.3">
      <c r="A2250">
        <v>2249</v>
      </c>
      <c r="B2250" t="s">
        <v>363</v>
      </c>
      <c r="C2250">
        <v>43</v>
      </c>
      <c r="D2250" s="105">
        <v>45373.676084571758</v>
      </c>
      <c r="E2250" t="s">
        <v>312</v>
      </c>
      <c r="F2250" t="s">
        <v>1402</v>
      </c>
      <c r="G2250">
        <v>0</v>
      </c>
      <c r="H2250" t="s">
        <v>315</v>
      </c>
      <c r="I2250">
        <v>0</v>
      </c>
      <c r="J2250">
        <v>0</v>
      </c>
      <c r="K2250">
        <v>0</v>
      </c>
      <c r="L2250" t="s">
        <v>240</v>
      </c>
      <c r="M2250" t="s">
        <v>1398</v>
      </c>
      <c r="N2250">
        <v>0</v>
      </c>
      <c r="O2250" t="s">
        <v>1391</v>
      </c>
      <c r="P2250" t="s">
        <v>310</v>
      </c>
      <c r="Q2250" t="s">
        <v>310</v>
      </c>
      <c r="R2250" t="s">
        <v>310</v>
      </c>
      <c r="S2250">
        <v>9</v>
      </c>
      <c r="T2250" t="s">
        <v>310</v>
      </c>
      <c r="U2250">
        <v>9</v>
      </c>
      <c r="V2250">
        <v>9</v>
      </c>
      <c r="W2250">
        <v>0</v>
      </c>
      <c r="X2250">
        <v>0</v>
      </c>
      <c r="Y2250">
        <v>0</v>
      </c>
      <c r="Z2250">
        <v>0</v>
      </c>
      <c r="AA2250">
        <v>9</v>
      </c>
      <c r="AB2250">
        <v>9</v>
      </c>
      <c r="AC2250" t="s">
        <v>310</v>
      </c>
      <c r="AD2250">
        <v>9</v>
      </c>
      <c r="AE2250" t="s">
        <v>1416</v>
      </c>
      <c r="AF2250">
        <v>110000000</v>
      </c>
      <c r="AG2250" t="s">
        <v>310</v>
      </c>
      <c r="AH2250">
        <f>SUM((MID(Dyno_Data[[#This Row],[Team]],4,5))+(Dyno_Data[[#This Row],[Match]]/100))</f>
        <v>2601.4299999999998</v>
      </c>
      <c r="AI2250" s="76">
        <f>ROUND(SUM(IF(Dyno_Data[[#This Row],[AcqCenter]]&gt;0,Dyno_Data[[#This Row],[Time]]-SUMIFS(Dyno_Data[Time],Dyno_Data[Team],Dyno_Data[[#This Row],[Team]],Dyno_Data[RecordType],"StartMatch",Dyno_Data[Match],Dyno_Data[[#This Row],[Match]]),0)*86400),0)</f>
        <v>0</v>
      </c>
    </row>
    <row r="2251" spans="1:35" x14ac:dyDescent="0.3">
      <c r="A2251">
        <v>2250</v>
      </c>
      <c r="B2251" t="s">
        <v>366</v>
      </c>
      <c r="C2251">
        <v>43</v>
      </c>
      <c r="D2251" s="105">
        <v>45373.676098298609</v>
      </c>
      <c r="E2251" t="s">
        <v>312</v>
      </c>
      <c r="F2251" t="s">
        <v>1402</v>
      </c>
      <c r="G2251">
        <v>0</v>
      </c>
      <c r="H2251" t="s">
        <v>315</v>
      </c>
      <c r="I2251">
        <v>0</v>
      </c>
      <c r="J2251">
        <v>0</v>
      </c>
      <c r="K2251">
        <v>0</v>
      </c>
      <c r="L2251" t="s">
        <v>241</v>
      </c>
      <c r="M2251" t="s">
        <v>1398</v>
      </c>
      <c r="N2251">
        <v>0</v>
      </c>
      <c r="O2251" t="s">
        <v>1395</v>
      </c>
      <c r="P2251" t="s">
        <v>310</v>
      </c>
      <c r="Q2251" t="s">
        <v>310</v>
      </c>
      <c r="R2251" t="s">
        <v>310</v>
      </c>
      <c r="S2251">
        <v>9</v>
      </c>
      <c r="T2251" t="s">
        <v>310</v>
      </c>
      <c r="U2251">
        <v>9</v>
      </c>
      <c r="V2251">
        <v>9</v>
      </c>
      <c r="W2251">
        <v>0</v>
      </c>
      <c r="X2251">
        <v>0</v>
      </c>
      <c r="Y2251">
        <v>0</v>
      </c>
      <c r="Z2251">
        <v>0</v>
      </c>
      <c r="AA2251">
        <v>9</v>
      </c>
      <c r="AB2251">
        <v>9</v>
      </c>
      <c r="AC2251" t="s">
        <v>310</v>
      </c>
      <c r="AD2251">
        <v>9</v>
      </c>
      <c r="AE2251" t="s">
        <v>1413</v>
      </c>
      <c r="AF2251">
        <v>60000000</v>
      </c>
      <c r="AG2251" t="s">
        <v>310</v>
      </c>
      <c r="AH2251">
        <f>SUM((MID(Dyno_Data[[#This Row],[Team]],4,5))+(Dyno_Data[[#This Row],[Match]]/100))</f>
        <v>4122.43</v>
      </c>
      <c r="AI2251" s="76">
        <f>ROUND(SUM(IF(Dyno_Data[[#This Row],[AcqCenter]]&gt;0,Dyno_Data[[#This Row],[Time]]-SUMIFS(Dyno_Data[Time],Dyno_Data[Team],Dyno_Data[[#This Row],[Team]],Dyno_Data[RecordType],"StartMatch",Dyno_Data[Match],Dyno_Data[[#This Row],[Match]]),0)*86400),0)</f>
        <v>0</v>
      </c>
    </row>
    <row r="2252" spans="1:35" x14ac:dyDescent="0.3">
      <c r="A2252">
        <v>2251</v>
      </c>
      <c r="B2252" t="s">
        <v>363</v>
      </c>
      <c r="C2252">
        <v>43</v>
      </c>
      <c r="D2252" s="105">
        <v>45373.676180937502</v>
      </c>
      <c r="E2252" t="s">
        <v>312</v>
      </c>
      <c r="F2252" t="s">
        <v>1402</v>
      </c>
      <c r="G2252">
        <v>0</v>
      </c>
      <c r="H2252" t="s">
        <v>315</v>
      </c>
      <c r="I2252">
        <v>0</v>
      </c>
      <c r="J2252">
        <v>0</v>
      </c>
      <c r="K2252">
        <v>0</v>
      </c>
      <c r="L2252" t="s">
        <v>240</v>
      </c>
      <c r="M2252" t="s">
        <v>1398</v>
      </c>
      <c r="N2252">
        <v>0</v>
      </c>
      <c r="O2252" t="s">
        <v>1391</v>
      </c>
      <c r="P2252" t="s">
        <v>310</v>
      </c>
      <c r="Q2252" t="s">
        <v>310</v>
      </c>
      <c r="R2252" t="s">
        <v>310</v>
      </c>
      <c r="S2252">
        <v>9</v>
      </c>
      <c r="T2252" t="s">
        <v>310</v>
      </c>
      <c r="U2252">
        <v>9</v>
      </c>
      <c r="V2252">
        <v>9</v>
      </c>
      <c r="W2252">
        <v>0</v>
      </c>
      <c r="X2252">
        <v>0</v>
      </c>
      <c r="Y2252">
        <v>0</v>
      </c>
      <c r="Z2252">
        <v>0</v>
      </c>
      <c r="AA2252">
        <v>9</v>
      </c>
      <c r="AB2252">
        <v>9</v>
      </c>
      <c r="AC2252" t="s">
        <v>310</v>
      </c>
      <c r="AD2252">
        <v>9</v>
      </c>
      <c r="AE2252" t="s">
        <v>1416</v>
      </c>
      <c r="AF2252">
        <v>120000000</v>
      </c>
      <c r="AG2252" t="s">
        <v>310</v>
      </c>
      <c r="AH2252">
        <f>SUM((MID(Dyno_Data[[#This Row],[Team]],4,5))+(Dyno_Data[[#This Row],[Match]]/100))</f>
        <v>2601.4299999999998</v>
      </c>
      <c r="AI2252" s="76">
        <f>ROUND(SUM(IF(Dyno_Data[[#This Row],[AcqCenter]]&gt;0,Dyno_Data[[#This Row],[Time]]-SUMIFS(Dyno_Data[Time],Dyno_Data[Team],Dyno_Data[[#This Row],[Team]],Dyno_Data[RecordType],"StartMatch",Dyno_Data[Match],Dyno_Data[[#This Row],[Match]]),0)*86400),0)</f>
        <v>0</v>
      </c>
    </row>
    <row r="2253" spans="1:35" x14ac:dyDescent="0.3">
      <c r="A2253">
        <v>2252</v>
      </c>
      <c r="B2253" t="s">
        <v>1308</v>
      </c>
      <c r="C2253">
        <v>43</v>
      </c>
      <c r="D2253" s="105">
        <v>45373.676194247688</v>
      </c>
      <c r="E2253" t="s">
        <v>312</v>
      </c>
      <c r="F2253" t="s">
        <v>1402</v>
      </c>
      <c r="G2253">
        <v>0</v>
      </c>
      <c r="H2253" t="s">
        <v>315</v>
      </c>
      <c r="I2253">
        <v>0</v>
      </c>
      <c r="J2253">
        <v>0</v>
      </c>
      <c r="K2253">
        <v>0</v>
      </c>
      <c r="L2253" t="s">
        <v>241</v>
      </c>
      <c r="M2253" t="s">
        <v>1398</v>
      </c>
      <c r="N2253">
        <v>0</v>
      </c>
      <c r="O2253" t="s">
        <v>1393</v>
      </c>
      <c r="P2253" t="s">
        <v>310</v>
      </c>
      <c r="Q2253" t="s">
        <v>310</v>
      </c>
      <c r="R2253" t="s">
        <v>310</v>
      </c>
      <c r="S2253">
        <v>9</v>
      </c>
      <c r="T2253" t="s">
        <v>310</v>
      </c>
      <c r="U2253">
        <v>9</v>
      </c>
      <c r="V2253">
        <v>9</v>
      </c>
      <c r="W2253">
        <v>0</v>
      </c>
      <c r="X2253">
        <v>0</v>
      </c>
      <c r="Y2253">
        <v>0</v>
      </c>
      <c r="Z2253">
        <v>0</v>
      </c>
      <c r="AA2253">
        <v>9</v>
      </c>
      <c r="AB2253">
        <v>9</v>
      </c>
      <c r="AC2253" t="s">
        <v>310</v>
      </c>
      <c r="AD2253">
        <v>9</v>
      </c>
      <c r="AE2253" t="s">
        <v>1412</v>
      </c>
      <c r="AF2253">
        <v>70000000</v>
      </c>
      <c r="AG2253" t="s">
        <v>310</v>
      </c>
      <c r="AH2253">
        <f>SUM((MID(Dyno_Data[[#This Row],[Team]],4,5))+(Dyno_Data[[#This Row],[Match]]/100))</f>
        <v>3799.43</v>
      </c>
      <c r="AI2253" s="76">
        <f>ROUND(SUM(IF(Dyno_Data[[#This Row],[AcqCenter]]&gt;0,Dyno_Data[[#This Row],[Time]]-SUMIFS(Dyno_Data[Time],Dyno_Data[Team],Dyno_Data[[#This Row],[Team]],Dyno_Data[RecordType],"StartMatch",Dyno_Data[Match],Dyno_Data[[#This Row],[Match]]),0)*86400),0)</f>
        <v>0</v>
      </c>
    </row>
    <row r="2254" spans="1:35" x14ac:dyDescent="0.3">
      <c r="A2254">
        <v>2253</v>
      </c>
      <c r="B2254" t="s">
        <v>363</v>
      </c>
      <c r="C2254">
        <v>43</v>
      </c>
      <c r="D2254" s="105">
        <v>45373.676310682873</v>
      </c>
      <c r="E2254" t="s">
        <v>312</v>
      </c>
      <c r="F2254" t="s">
        <v>1402</v>
      </c>
      <c r="G2254">
        <v>0</v>
      </c>
      <c r="H2254" t="s">
        <v>315</v>
      </c>
      <c r="I2254">
        <v>0</v>
      </c>
      <c r="J2254">
        <v>0</v>
      </c>
      <c r="K2254">
        <v>0</v>
      </c>
      <c r="L2254" t="s">
        <v>240</v>
      </c>
      <c r="M2254" t="s">
        <v>1398</v>
      </c>
      <c r="N2254">
        <v>0</v>
      </c>
      <c r="O2254" t="s">
        <v>1391</v>
      </c>
      <c r="P2254" t="s">
        <v>310</v>
      </c>
      <c r="Q2254" t="s">
        <v>310</v>
      </c>
      <c r="R2254" t="s">
        <v>310</v>
      </c>
      <c r="S2254">
        <v>9</v>
      </c>
      <c r="T2254" t="s">
        <v>310</v>
      </c>
      <c r="U2254">
        <v>9</v>
      </c>
      <c r="V2254">
        <v>9</v>
      </c>
      <c r="W2254">
        <v>0</v>
      </c>
      <c r="X2254">
        <v>0</v>
      </c>
      <c r="Y2254">
        <v>0</v>
      </c>
      <c r="Z2254">
        <v>0</v>
      </c>
      <c r="AA2254">
        <v>9</v>
      </c>
      <c r="AB2254">
        <v>9</v>
      </c>
      <c r="AC2254" t="s">
        <v>310</v>
      </c>
      <c r="AD2254">
        <v>9</v>
      </c>
      <c r="AE2254" t="s">
        <v>1416</v>
      </c>
      <c r="AF2254">
        <v>130000000</v>
      </c>
      <c r="AG2254" t="s">
        <v>310</v>
      </c>
      <c r="AH2254">
        <f>SUM((MID(Dyno_Data[[#This Row],[Team]],4,5))+(Dyno_Data[[#This Row],[Match]]/100))</f>
        <v>2601.4299999999998</v>
      </c>
      <c r="AI2254" s="76">
        <f>ROUND(SUM(IF(Dyno_Data[[#This Row],[AcqCenter]]&gt;0,Dyno_Data[[#This Row],[Time]]-SUMIFS(Dyno_Data[Time],Dyno_Data[Team],Dyno_Data[[#This Row],[Team]],Dyno_Data[RecordType],"StartMatch",Dyno_Data[Match],Dyno_Data[[#This Row],[Match]]),0)*86400),0)</f>
        <v>0</v>
      </c>
    </row>
    <row r="2255" spans="1:35" x14ac:dyDescent="0.3">
      <c r="A2255">
        <v>2254</v>
      </c>
      <c r="B2255" t="s">
        <v>366</v>
      </c>
      <c r="C2255">
        <v>43</v>
      </c>
      <c r="D2255" s="105">
        <v>45373.676332407405</v>
      </c>
      <c r="E2255" t="s">
        <v>312</v>
      </c>
      <c r="F2255" t="s">
        <v>1402</v>
      </c>
      <c r="G2255">
        <v>0</v>
      </c>
      <c r="H2255" t="s">
        <v>315</v>
      </c>
      <c r="I2255">
        <v>0</v>
      </c>
      <c r="J2255">
        <v>0</v>
      </c>
      <c r="K2255">
        <v>0</v>
      </c>
      <c r="L2255" t="s">
        <v>241</v>
      </c>
      <c r="M2255" t="s">
        <v>1398</v>
      </c>
      <c r="N2255">
        <v>0</v>
      </c>
      <c r="O2255" t="s">
        <v>1395</v>
      </c>
      <c r="P2255" t="s">
        <v>310</v>
      </c>
      <c r="Q2255" t="s">
        <v>310</v>
      </c>
      <c r="R2255" t="s">
        <v>310</v>
      </c>
      <c r="S2255">
        <v>9</v>
      </c>
      <c r="T2255" t="s">
        <v>310</v>
      </c>
      <c r="U2255">
        <v>9</v>
      </c>
      <c r="V2255">
        <v>9</v>
      </c>
      <c r="W2255">
        <v>0</v>
      </c>
      <c r="X2255">
        <v>0</v>
      </c>
      <c r="Y2255">
        <v>0</v>
      </c>
      <c r="Z2255">
        <v>0</v>
      </c>
      <c r="AA2255">
        <v>9</v>
      </c>
      <c r="AB2255">
        <v>9</v>
      </c>
      <c r="AC2255" t="s">
        <v>310</v>
      </c>
      <c r="AD2255">
        <v>9</v>
      </c>
      <c r="AE2255" t="s">
        <v>1413</v>
      </c>
      <c r="AF2255">
        <v>70000000</v>
      </c>
      <c r="AG2255" t="s">
        <v>310</v>
      </c>
      <c r="AH2255">
        <f>SUM((MID(Dyno_Data[[#This Row],[Team]],4,5))+(Dyno_Data[[#This Row],[Match]]/100))</f>
        <v>4122.43</v>
      </c>
      <c r="AI2255" s="76">
        <f>ROUND(SUM(IF(Dyno_Data[[#This Row],[AcqCenter]]&gt;0,Dyno_Data[[#This Row],[Time]]-SUMIFS(Dyno_Data[Time],Dyno_Data[Team],Dyno_Data[[#This Row],[Team]],Dyno_Data[RecordType],"StartMatch",Dyno_Data[Match],Dyno_Data[[#This Row],[Match]]),0)*86400),0)</f>
        <v>0</v>
      </c>
    </row>
    <row r="2256" spans="1:35" x14ac:dyDescent="0.3">
      <c r="A2256">
        <v>2255</v>
      </c>
      <c r="B2256" t="s">
        <v>1308</v>
      </c>
      <c r="C2256">
        <v>43</v>
      </c>
      <c r="D2256" s="105">
        <v>45373.676368518521</v>
      </c>
      <c r="E2256" t="s">
        <v>312</v>
      </c>
      <c r="F2256" t="s">
        <v>1402</v>
      </c>
      <c r="G2256">
        <v>0</v>
      </c>
      <c r="H2256" t="s">
        <v>315</v>
      </c>
      <c r="I2256">
        <v>0</v>
      </c>
      <c r="J2256">
        <v>0</v>
      </c>
      <c r="K2256">
        <v>0</v>
      </c>
      <c r="L2256" t="s">
        <v>241</v>
      </c>
      <c r="M2256" t="s">
        <v>1398</v>
      </c>
      <c r="N2256">
        <v>0</v>
      </c>
      <c r="O2256" t="s">
        <v>1393</v>
      </c>
      <c r="P2256" t="s">
        <v>310</v>
      </c>
      <c r="Q2256" t="s">
        <v>310</v>
      </c>
      <c r="R2256" t="s">
        <v>310</v>
      </c>
      <c r="S2256">
        <v>9</v>
      </c>
      <c r="T2256" t="s">
        <v>310</v>
      </c>
      <c r="U2256">
        <v>9</v>
      </c>
      <c r="V2256">
        <v>9</v>
      </c>
      <c r="W2256">
        <v>0</v>
      </c>
      <c r="X2256">
        <v>0</v>
      </c>
      <c r="Y2256">
        <v>0</v>
      </c>
      <c r="Z2256">
        <v>0</v>
      </c>
      <c r="AA2256">
        <v>9</v>
      </c>
      <c r="AB2256">
        <v>9</v>
      </c>
      <c r="AC2256" t="s">
        <v>310</v>
      </c>
      <c r="AD2256">
        <v>9</v>
      </c>
      <c r="AE2256" t="s">
        <v>1412</v>
      </c>
      <c r="AF2256">
        <v>80000000</v>
      </c>
      <c r="AG2256" t="s">
        <v>310</v>
      </c>
      <c r="AH2256">
        <f>SUM((MID(Dyno_Data[[#This Row],[Team]],4,5))+(Dyno_Data[[#This Row],[Match]]/100))</f>
        <v>3799.43</v>
      </c>
      <c r="AI2256" s="76">
        <f>ROUND(SUM(IF(Dyno_Data[[#This Row],[AcqCenter]]&gt;0,Dyno_Data[[#This Row],[Time]]-SUMIFS(Dyno_Data[Time],Dyno_Data[Team],Dyno_Data[[#This Row],[Team]],Dyno_Data[RecordType],"StartMatch",Dyno_Data[Match],Dyno_Data[[#This Row],[Match]]),0)*86400),0)</f>
        <v>0</v>
      </c>
    </row>
    <row r="2257" spans="1:35" x14ac:dyDescent="0.3">
      <c r="A2257">
        <v>2256</v>
      </c>
      <c r="B2257" t="s">
        <v>363</v>
      </c>
      <c r="C2257">
        <v>43</v>
      </c>
      <c r="D2257" s="105">
        <v>45373.676466122684</v>
      </c>
      <c r="E2257" t="s">
        <v>312</v>
      </c>
      <c r="F2257" t="s">
        <v>1402</v>
      </c>
      <c r="G2257">
        <v>0</v>
      </c>
      <c r="H2257" t="s">
        <v>315</v>
      </c>
      <c r="I2257">
        <v>0</v>
      </c>
      <c r="J2257">
        <v>0</v>
      </c>
      <c r="K2257">
        <v>0</v>
      </c>
      <c r="L2257" t="s">
        <v>240</v>
      </c>
      <c r="M2257" t="s">
        <v>1398</v>
      </c>
      <c r="N2257">
        <v>0</v>
      </c>
      <c r="O2257" t="s">
        <v>1391</v>
      </c>
      <c r="P2257" t="s">
        <v>310</v>
      </c>
      <c r="Q2257" t="s">
        <v>310</v>
      </c>
      <c r="R2257" t="s">
        <v>310</v>
      </c>
      <c r="S2257">
        <v>9</v>
      </c>
      <c r="T2257" t="s">
        <v>310</v>
      </c>
      <c r="U2257">
        <v>9</v>
      </c>
      <c r="V2257">
        <v>9</v>
      </c>
      <c r="W2257">
        <v>0</v>
      </c>
      <c r="X2257">
        <v>0</v>
      </c>
      <c r="Y2257">
        <v>0</v>
      </c>
      <c r="Z2257">
        <v>0</v>
      </c>
      <c r="AA2257">
        <v>9</v>
      </c>
      <c r="AB2257">
        <v>9</v>
      </c>
      <c r="AC2257" t="s">
        <v>310</v>
      </c>
      <c r="AD2257">
        <v>9</v>
      </c>
      <c r="AE2257" t="s">
        <v>1416</v>
      </c>
      <c r="AF2257">
        <v>140000000</v>
      </c>
      <c r="AG2257" t="s">
        <v>310</v>
      </c>
      <c r="AH2257">
        <f>SUM((MID(Dyno_Data[[#This Row],[Team]],4,5))+(Dyno_Data[[#This Row],[Match]]/100))</f>
        <v>2601.4299999999998</v>
      </c>
      <c r="AI2257" s="76">
        <f>ROUND(SUM(IF(Dyno_Data[[#This Row],[AcqCenter]]&gt;0,Dyno_Data[[#This Row],[Time]]-SUMIFS(Dyno_Data[Time],Dyno_Data[Team],Dyno_Data[[#This Row],[Team]],Dyno_Data[RecordType],"StartMatch",Dyno_Data[Match],Dyno_Data[[#This Row],[Match]]),0)*86400),0)</f>
        <v>0</v>
      </c>
    </row>
    <row r="2258" spans="1:35" x14ac:dyDescent="0.3">
      <c r="A2258">
        <v>2257</v>
      </c>
      <c r="B2258" t="s">
        <v>366</v>
      </c>
      <c r="C2258">
        <v>43</v>
      </c>
      <c r="D2258" s="105">
        <v>45373.676482754629</v>
      </c>
      <c r="E2258" t="s">
        <v>312</v>
      </c>
      <c r="F2258" t="s">
        <v>1402</v>
      </c>
      <c r="G2258">
        <v>0</v>
      </c>
      <c r="H2258" t="s">
        <v>315</v>
      </c>
      <c r="I2258">
        <v>0</v>
      </c>
      <c r="J2258">
        <v>0</v>
      </c>
      <c r="K2258">
        <v>0</v>
      </c>
      <c r="L2258" t="s">
        <v>241</v>
      </c>
      <c r="M2258" t="s">
        <v>1398</v>
      </c>
      <c r="N2258">
        <v>0</v>
      </c>
      <c r="O2258" t="s">
        <v>1395</v>
      </c>
      <c r="P2258" t="s">
        <v>310</v>
      </c>
      <c r="Q2258" t="s">
        <v>310</v>
      </c>
      <c r="R2258" t="s">
        <v>310</v>
      </c>
      <c r="S2258">
        <v>9</v>
      </c>
      <c r="T2258" t="s">
        <v>310</v>
      </c>
      <c r="U2258">
        <v>9</v>
      </c>
      <c r="V2258">
        <v>9</v>
      </c>
      <c r="W2258">
        <v>0</v>
      </c>
      <c r="X2258">
        <v>0</v>
      </c>
      <c r="Y2258">
        <v>0</v>
      </c>
      <c r="Z2258">
        <v>0</v>
      </c>
      <c r="AA2258">
        <v>9</v>
      </c>
      <c r="AB2258">
        <v>9</v>
      </c>
      <c r="AC2258" t="s">
        <v>310</v>
      </c>
      <c r="AD2258">
        <v>9</v>
      </c>
      <c r="AE2258" t="s">
        <v>1413</v>
      </c>
      <c r="AF2258">
        <v>80000000</v>
      </c>
      <c r="AG2258" t="s">
        <v>310</v>
      </c>
      <c r="AH2258">
        <f>SUM((MID(Dyno_Data[[#This Row],[Team]],4,5))+(Dyno_Data[[#This Row],[Match]]/100))</f>
        <v>4122.43</v>
      </c>
      <c r="AI2258" s="76">
        <f>ROUND(SUM(IF(Dyno_Data[[#This Row],[AcqCenter]]&gt;0,Dyno_Data[[#This Row],[Time]]-SUMIFS(Dyno_Data[Time],Dyno_Data[Team],Dyno_Data[[#This Row],[Team]],Dyno_Data[RecordType],"StartMatch",Dyno_Data[Match],Dyno_Data[[#This Row],[Match]]),0)*86400),0)</f>
        <v>0</v>
      </c>
    </row>
    <row r="2259" spans="1:35" x14ac:dyDescent="0.3">
      <c r="A2259">
        <v>2258</v>
      </c>
      <c r="B2259" t="s">
        <v>1308</v>
      </c>
      <c r="C2259">
        <v>43</v>
      </c>
      <c r="D2259" s="105">
        <v>45373.67651484954</v>
      </c>
      <c r="E2259" t="s">
        <v>312</v>
      </c>
      <c r="F2259" t="s">
        <v>1402</v>
      </c>
      <c r="G2259">
        <v>0</v>
      </c>
      <c r="H2259" t="s">
        <v>315</v>
      </c>
      <c r="I2259">
        <v>0</v>
      </c>
      <c r="J2259">
        <v>0</v>
      </c>
      <c r="K2259">
        <v>0</v>
      </c>
      <c r="L2259" t="s">
        <v>241</v>
      </c>
      <c r="M2259" t="s">
        <v>1398</v>
      </c>
      <c r="N2259">
        <v>0</v>
      </c>
      <c r="O2259" t="s">
        <v>1393</v>
      </c>
      <c r="P2259" t="s">
        <v>310</v>
      </c>
      <c r="Q2259" t="s">
        <v>310</v>
      </c>
      <c r="R2259" t="s">
        <v>310</v>
      </c>
      <c r="S2259">
        <v>9</v>
      </c>
      <c r="T2259" t="s">
        <v>310</v>
      </c>
      <c r="U2259">
        <v>9</v>
      </c>
      <c r="V2259">
        <v>9</v>
      </c>
      <c r="W2259">
        <v>0</v>
      </c>
      <c r="X2259">
        <v>0</v>
      </c>
      <c r="Y2259">
        <v>0</v>
      </c>
      <c r="Z2259">
        <v>0</v>
      </c>
      <c r="AA2259">
        <v>9</v>
      </c>
      <c r="AB2259">
        <v>9</v>
      </c>
      <c r="AC2259" t="s">
        <v>310</v>
      </c>
      <c r="AD2259">
        <v>9</v>
      </c>
      <c r="AE2259" t="s">
        <v>1412</v>
      </c>
      <c r="AF2259">
        <v>90000000</v>
      </c>
      <c r="AG2259" t="s">
        <v>310</v>
      </c>
      <c r="AH2259">
        <f>SUM((MID(Dyno_Data[[#This Row],[Team]],4,5))+(Dyno_Data[[#This Row],[Match]]/100))</f>
        <v>3799.43</v>
      </c>
      <c r="AI2259" s="76">
        <f>ROUND(SUM(IF(Dyno_Data[[#This Row],[AcqCenter]]&gt;0,Dyno_Data[[#This Row],[Time]]-SUMIFS(Dyno_Data[Time],Dyno_Data[Team],Dyno_Data[[#This Row],[Team]],Dyno_Data[RecordType],"StartMatch",Dyno_Data[Match],Dyno_Data[[#This Row],[Match]]),0)*86400),0)</f>
        <v>0</v>
      </c>
    </row>
    <row r="2260" spans="1:35" x14ac:dyDescent="0.3">
      <c r="A2260">
        <v>2259</v>
      </c>
      <c r="B2260" t="s">
        <v>363</v>
      </c>
      <c r="C2260">
        <v>43</v>
      </c>
      <c r="D2260" s="105">
        <v>45373.676590972223</v>
      </c>
      <c r="E2260" t="s">
        <v>312</v>
      </c>
      <c r="F2260" t="s">
        <v>1402</v>
      </c>
      <c r="G2260">
        <v>0</v>
      </c>
      <c r="H2260" t="s">
        <v>315</v>
      </c>
      <c r="I2260">
        <v>0</v>
      </c>
      <c r="J2260">
        <v>0</v>
      </c>
      <c r="K2260">
        <v>0</v>
      </c>
      <c r="L2260" t="s">
        <v>240</v>
      </c>
      <c r="M2260" t="s">
        <v>1398</v>
      </c>
      <c r="N2260">
        <v>0</v>
      </c>
      <c r="O2260" t="s">
        <v>1391</v>
      </c>
      <c r="P2260" t="s">
        <v>310</v>
      </c>
      <c r="Q2260" t="s">
        <v>310</v>
      </c>
      <c r="R2260" t="s">
        <v>310</v>
      </c>
      <c r="S2260">
        <v>9</v>
      </c>
      <c r="T2260" t="s">
        <v>310</v>
      </c>
      <c r="U2260">
        <v>9</v>
      </c>
      <c r="V2260">
        <v>9</v>
      </c>
      <c r="W2260">
        <v>0</v>
      </c>
      <c r="X2260">
        <v>0</v>
      </c>
      <c r="Y2260">
        <v>0</v>
      </c>
      <c r="Z2260">
        <v>0</v>
      </c>
      <c r="AA2260">
        <v>9</v>
      </c>
      <c r="AB2260">
        <v>9</v>
      </c>
      <c r="AC2260" t="s">
        <v>310</v>
      </c>
      <c r="AD2260">
        <v>9</v>
      </c>
      <c r="AE2260" t="s">
        <v>1416</v>
      </c>
      <c r="AF2260">
        <v>150000000</v>
      </c>
      <c r="AG2260" t="s">
        <v>310</v>
      </c>
      <c r="AH2260">
        <f>SUM((MID(Dyno_Data[[#This Row],[Team]],4,5))+(Dyno_Data[[#This Row],[Match]]/100))</f>
        <v>2601.4299999999998</v>
      </c>
      <c r="AI2260" s="76">
        <f>ROUND(SUM(IF(Dyno_Data[[#This Row],[AcqCenter]]&gt;0,Dyno_Data[[#This Row],[Time]]-SUMIFS(Dyno_Data[Time],Dyno_Data[Team],Dyno_Data[[#This Row],[Team]],Dyno_Data[RecordType],"StartMatch",Dyno_Data[Match],Dyno_Data[[#This Row],[Match]]),0)*86400),0)</f>
        <v>0</v>
      </c>
    </row>
    <row r="2261" spans="1:35" x14ac:dyDescent="0.3">
      <c r="A2261">
        <v>2260</v>
      </c>
      <c r="B2261" t="s">
        <v>366</v>
      </c>
      <c r="C2261">
        <v>43</v>
      </c>
      <c r="D2261" s="105">
        <v>45373.676650960646</v>
      </c>
      <c r="E2261" t="s">
        <v>312</v>
      </c>
      <c r="F2261" t="s">
        <v>1402</v>
      </c>
      <c r="G2261">
        <v>0</v>
      </c>
      <c r="H2261" t="s">
        <v>315</v>
      </c>
      <c r="I2261">
        <v>0</v>
      </c>
      <c r="J2261">
        <v>0</v>
      </c>
      <c r="K2261">
        <v>0</v>
      </c>
      <c r="L2261" t="s">
        <v>241</v>
      </c>
      <c r="M2261" t="s">
        <v>1398</v>
      </c>
      <c r="N2261">
        <v>0</v>
      </c>
      <c r="O2261" t="s">
        <v>1395</v>
      </c>
      <c r="P2261" t="s">
        <v>310</v>
      </c>
      <c r="Q2261" t="s">
        <v>310</v>
      </c>
      <c r="R2261" t="s">
        <v>310</v>
      </c>
      <c r="S2261">
        <v>9</v>
      </c>
      <c r="T2261" t="s">
        <v>310</v>
      </c>
      <c r="U2261">
        <v>9</v>
      </c>
      <c r="V2261">
        <v>9</v>
      </c>
      <c r="W2261">
        <v>0</v>
      </c>
      <c r="X2261">
        <v>0</v>
      </c>
      <c r="Y2261">
        <v>0</v>
      </c>
      <c r="Z2261">
        <v>0</v>
      </c>
      <c r="AA2261">
        <v>9</v>
      </c>
      <c r="AB2261">
        <v>9</v>
      </c>
      <c r="AC2261" t="s">
        <v>310</v>
      </c>
      <c r="AD2261">
        <v>9</v>
      </c>
      <c r="AE2261" t="s">
        <v>1413</v>
      </c>
      <c r="AF2261">
        <v>90000000</v>
      </c>
      <c r="AG2261" t="s">
        <v>310</v>
      </c>
      <c r="AH2261">
        <f>SUM((MID(Dyno_Data[[#This Row],[Team]],4,5))+(Dyno_Data[[#This Row],[Match]]/100))</f>
        <v>4122.43</v>
      </c>
      <c r="AI2261" s="76">
        <f>ROUND(SUM(IF(Dyno_Data[[#This Row],[AcqCenter]]&gt;0,Dyno_Data[[#This Row],[Time]]-SUMIFS(Dyno_Data[Time],Dyno_Data[Team],Dyno_Data[[#This Row],[Team]],Dyno_Data[RecordType],"StartMatch",Dyno_Data[Match],Dyno_Data[[#This Row],[Match]]),0)*86400),0)</f>
        <v>0</v>
      </c>
    </row>
    <row r="2262" spans="1:35" x14ac:dyDescent="0.3">
      <c r="A2262">
        <v>2261</v>
      </c>
      <c r="B2262" t="s">
        <v>1308</v>
      </c>
      <c r="C2262">
        <v>43</v>
      </c>
      <c r="D2262" s="105">
        <v>45373.676693634261</v>
      </c>
      <c r="E2262" t="s">
        <v>312</v>
      </c>
      <c r="F2262" t="s">
        <v>1402</v>
      </c>
      <c r="G2262">
        <v>0</v>
      </c>
      <c r="H2262" t="s">
        <v>315</v>
      </c>
      <c r="I2262">
        <v>0</v>
      </c>
      <c r="J2262">
        <v>0</v>
      </c>
      <c r="K2262">
        <v>0</v>
      </c>
      <c r="L2262" t="s">
        <v>241</v>
      </c>
      <c r="M2262" t="s">
        <v>1398</v>
      </c>
      <c r="N2262">
        <v>0</v>
      </c>
      <c r="O2262" t="s">
        <v>1393</v>
      </c>
      <c r="P2262" t="s">
        <v>310</v>
      </c>
      <c r="Q2262" t="s">
        <v>310</v>
      </c>
      <c r="R2262" t="s">
        <v>310</v>
      </c>
      <c r="S2262">
        <v>9</v>
      </c>
      <c r="T2262" t="s">
        <v>310</v>
      </c>
      <c r="U2262">
        <v>9</v>
      </c>
      <c r="V2262">
        <v>9</v>
      </c>
      <c r="W2262">
        <v>0</v>
      </c>
      <c r="X2262">
        <v>0</v>
      </c>
      <c r="Y2262">
        <v>0</v>
      </c>
      <c r="Z2262">
        <v>0</v>
      </c>
      <c r="AA2262">
        <v>9</v>
      </c>
      <c r="AB2262">
        <v>9</v>
      </c>
      <c r="AC2262" t="s">
        <v>310</v>
      </c>
      <c r="AD2262">
        <v>9</v>
      </c>
      <c r="AE2262" t="s">
        <v>1412</v>
      </c>
      <c r="AF2262">
        <v>100000000</v>
      </c>
      <c r="AG2262" t="s">
        <v>310</v>
      </c>
      <c r="AH2262">
        <f>SUM((MID(Dyno_Data[[#This Row],[Team]],4,5))+(Dyno_Data[[#This Row],[Match]]/100))</f>
        <v>3799.43</v>
      </c>
      <c r="AI2262" s="76">
        <f>ROUND(SUM(IF(Dyno_Data[[#This Row],[AcqCenter]]&gt;0,Dyno_Data[[#This Row],[Time]]-SUMIFS(Dyno_Data[Time],Dyno_Data[Team],Dyno_Data[[#This Row],[Team]],Dyno_Data[RecordType],"StartMatch",Dyno_Data[Match],Dyno_Data[[#This Row],[Match]]),0)*86400),0)</f>
        <v>0</v>
      </c>
    </row>
    <row r="2263" spans="1:35" x14ac:dyDescent="0.3">
      <c r="A2263">
        <v>2262</v>
      </c>
      <c r="B2263" t="s">
        <v>366</v>
      </c>
      <c r="C2263">
        <v>43</v>
      </c>
      <c r="D2263" s="105">
        <v>45373.6767946412</v>
      </c>
      <c r="E2263" t="s">
        <v>312</v>
      </c>
      <c r="F2263" t="s">
        <v>1402</v>
      </c>
      <c r="G2263">
        <v>0</v>
      </c>
      <c r="H2263" t="s">
        <v>315</v>
      </c>
      <c r="I2263">
        <v>0</v>
      </c>
      <c r="J2263">
        <v>0</v>
      </c>
      <c r="K2263">
        <v>0</v>
      </c>
      <c r="L2263" t="s">
        <v>241</v>
      </c>
      <c r="M2263" t="s">
        <v>1398</v>
      </c>
      <c r="N2263">
        <v>0</v>
      </c>
      <c r="O2263" t="s">
        <v>1395</v>
      </c>
      <c r="P2263" t="s">
        <v>310</v>
      </c>
      <c r="Q2263" t="s">
        <v>310</v>
      </c>
      <c r="R2263" t="s">
        <v>310</v>
      </c>
      <c r="S2263">
        <v>9</v>
      </c>
      <c r="T2263" t="s">
        <v>310</v>
      </c>
      <c r="U2263">
        <v>9</v>
      </c>
      <c r="V2263">
        <v>9</v>
      </c>
      <c r="W2263">
        <v>0</v>
      </c>
      <c r="X2263">
        <v>0</v>
      </c>
      <c r="Y2263">
        <v>0</v>
      </c>
      <c r="Z2263">
        <v>0</v>
      </c>
      <c r="AA2263">
        <v>9</v>
      </c>
      <c r="AB2263">
        <v>9</v>
      </c>
      <c r="AC2263" t="s">
        <v>310</v>
      </c>
      <c r="AD2263">
        <v>9</v>
      </c>
      <c r="AE2263" t="s">
        <v>1413</v>
      </c>
      <c r="AF2263">
        <v>100000000</v>
      </c>
      <c r="AG2263" t="s">
        <v>310</v>
      </c>
      <c r="AH2263">
        <f>SUM((MID(Dyno_Data[[#This Row],[Team]],4,5))+(Dyno_Data[[#This Row],[Match]]/100))</f>
        <v>4122.43</v>
      </c>
      <c r="AI2263" s="76">
        <f>ROUND(SUM(IF(Dyno_Data[[#This Row],[AcqCenter]]&gt;0,Dyno_Data[[#This Row],[Time]]-SUMIFS(Dyno_Data[Time],Dyno_Data[Team],Dyno_Data[[#This Row],[Team]],Dyno_Data[RecordType],"StartMatch",Dyno_Data[Match],Dyno_Data[[#This Row],[Match]]),0)*86400),0)</f>
        <v>0</v>
      </c>
    </row>
    <row r="2264" spans="1:35" x14ac:dyDescent="0.3">
      <c r="A2264">
        <v>2263</v>
      </c>
      <c r="B2264" t="s">
        <v>1289</v>
      </c>
      <c r="C2264">
        <v>43</v>
      </c>
      <c r="D2264" s="105">
        <v>45373.678882604167</v>
      </c>
      <c r="E2264" t="s">
        <v>316</v>
      </c>
      <c r="F2264" t="s">
        <v>317</v>
      </c>
      <c r="G2264">
        <v>1</v>
      </c>
      <c r="H2264" t="s">
        <v>310</v>
      </c>
      <c r="I2264">
        <v>0</v>
      </c>
      <c r="J2264">
        <v>0</v>
      </c>
      <c r="K2264">
        <v>0</v>
      </c>
      <c r="L2264" t="s">
        <v>310</v>
      </c>
      <c r="M2264" t="s">
        <v>310</v>
      </c>
      <c r="N2264">
        <v>0</v>
      </c>
      <c r="O2264" t="s">
        <v>311</v>
      </c>
      <c r="P2264" t="s">
        <v>320</v>
      </c>
      <c r="Q2264" t="s">
        <v>1400</v>
      </c>
      <c r="R2264" t="s">
        <v>1404</v>
      </c>
      <c r="S2264">
        <v>0</v>
      </c>
      <c r="T2264" t="s">
        <v>105</v>
      </c>
      <c r="U2264">
        <v>9</v>
      </c>
      <c r="V2264">
        <v>9</v>
      </c>
      <c r="W2264">
        <v>0</v>
      </c>
      <c r="X2264">
        <v>0</v>
      </c>
      <c r="Y2264">
        <v>0</v>
      </c>
      <c r="Z2264">
        <v>133.63077239999998</v>
      </c>
      <c r="AA2264">
        <v>0</v>
      </c>
      <c r="AB2264">
        <v>0</v>
      </c>
      <c r="AC2264" t="s">
        <v>167</v>
      </c>
      <c r="AD2264">
        <v>9</v>
      </c>
      <c r="AE2264" t="s">
        <v>1418</v>
      </c>
      <c r="AF2264">
        <v>0</v>
      </c>
      <c r="AG2264" t="s">
        <v>310</v>
      </c>
      <c r="AH2264">
        <f>SUM((MID(Dyno_Data[[#This Row],[Team]],4,5))+(Dyno_Data[[#This Row],[Match]]/100))</f>
        <v>6648.43</v>
      </c>
      <c r="AI2264" s="76">
        <f>ROUND(SUM(IF(Dyno_Data[[#This Row],[AcqCenter]]&gt;0,Dyno_Data[[#This Row],[Time]]-SUMIFS(Dyno_Data[Time],Dyno_Data[Team],Dyno_Data[[#This Row],[Team]],Dyno_Data[RecordType],"StartMatch",Dyno_Data[Match],Dyno_Data[[#This Row],[Match]]),0)*86400),0)</f>
        <v>0</v>
      </c>
    </row>
    <row r="2265" spans="1:35" x14ac:dyDescent="0.3">
      <c r="A2265">
        <v>2264</v>
      </c>
      <c r="B2265" t="s">
        <v>363</v>
      </c>
      <c r="C2265">
        <v>43</v>
      </c>
      <c r="D2265" s="105">
        <v>45373.678882754626</v>
      </c>
      <c r="E2265" t="s">
        <v>316</v>
      </c>
      <c r="F2265" t="s">
        <v>317</v>
      </c>
      <c r="G2265">
        <v>1</v>
      </c>
      <c r="H2265" t="s">
        <v>310</v>
      </c>
      <c r="I2265">
        <v>0</v>
      </c>
      <c r="J2265">
        <v>0</v>
      </c>
      <c r="K2265">
        <v>0</v>
      </c>
      <c r="L2265" t="s">
        <v>310</v>
      </c>
      <c r="M2265" t="s">
        <v>310</v>
      </c>
      <c r="N2265">
        <v>0</v>
      </c>
      <c r="O2265" t="s">
        <v>1391</v>
      </c>
      <c r="P2265" t="s">
        <v>240</v>
      </c>
      <c r="Q2265" t="s">
        <v>1399</v>
      </c>
      <c r="R2265" t="s">
        <v>1404</v>
      </c>
      <c r="S2265">
        <v>-1</v>
      </c>
      <c r="T2265" t="s">
        <v>105</v>
      </c>
      <c r="U2265">
        <v>9</v>
      </c>
      <c r="V2265">
        <v>9</v>
      </c>
      <c r="W2265">
        <v>1.7473841999999999</v>
      </c>
      <c r="X2265">
        <v>40.416118399999995</v>
      </c>
      <c r="Y2265">
        <v>37.210791</v>
      </c>
      <c r="Z2265">
        <v>55.8114542</v>
      </c>
      <c r="AA2265">
        <v>0</v>
      </c>
      <c r="AB2265">
        <v>0</v>
      </c>
      <c r="AC2265" t="s">
        <v>174</v>
      </c>
      <c r="AD2265">
        <v>0</v>
      </c>
      <c r="AE2265" t="s">
        <v>1416</v>
      </c>
      <c r="AF2265">
        <v>150000000</v>
      </c>
      <c r="AG2265" t="s">
        <v>310</v>
      </c>
      <c r="AH2265">
        <f>SUM((MID(Dyno_Data[[#This Row],[Team]],4,5))+(Dyno_Data[[#This Row],[Match]]/100))</f>
        <v>2601.4299999999998</v>
      </c>
      <c r="AI2265" s="76">
        <f>ROUND(SUM(IF(Dyno_Data[[#This Row],[AcqCenter]]&gt;0,Dyno_Data[[#This Row],[Time]]-SUMIFS(Dyno_Data[Time],Dyno_Data[Team],Dyno_Data[[#This Row],[Team]],Dyno_Data[RecordType],"StartMatch",Dyno_Data[Match],Dyno_Data[[#This Row],[Match]]),0)*86400),0)</f>
        <v>0</v>
      </c>
    </row>
    <row r="2266" spans="1:35" x14ac:dyDescent="0.3">
      <c r="A2266">
        <v>2265</v>
      </c>
      <c r="B2266" t="s">
        <v>371</v>
      </c>
      <c r="C2266">
        <v>43</v>
      </c>
      <c r="D2266" s="105">
        <v>45373.678882870372</v>
      </c>
      <c r="E2266" t="s">
        <v>316</v>
      </c>
      <c r="F2266" t="s">
        <v>317</v>
      </c>
      <c r="G2266">
        <v>0</v>
      </c>
      <c r="H2266" t="s">
        <v>310</v>
      </c>
      <c r="I2266">
        <v>0</v>
      </c>
      <c r="J2266">
        <v>0</v>
      </c>
      <c r="K2266">
        <v>0</v>
      </c>
      <c r="L2266" t="s">
        <v>310</v>
      </c>
      <c r="M2266" t="s">
        <v>310</v>
      </c>
      <c r="N2266">
        <v>0</v>
      </c>
      <c r="O2266" t="s">
        <v>319</v>
      </c>
      <c r="P2266" t="s">
        <v>320</v>
      </c>
      <c r="Q2266" t="s">
        <v>1400</v>
      </c>
      <c r="R2266" t="s">
        <v>1404</v>
      </c>
      <c r="S2266">
        <v>0</v>
      </c>
      <c r="T2266" t="s">
        <v>105</v>
      </c>
      <c r="U2266">
        <v>9</v>
      </c>
      <c r="V2266">
        <v>9</v>
      </c>
      <c r="W2266">
        <v>0</v>
      </c>
      <c r="X2266">
        <v>0</v>
      </c>
      <c r="Y2266">
        <v>31.424327299999998</v>
      </c>
      <c r="Z2266">
        <v>101.81566599999999</v>
      </c>
      <c r="AA2266">
        <v>1</v>
      </c>
      <c r="AB2266">
        <v>2</v>
      </c>
      <c r="AC2266" t="s">
        <v>170</v>
      </c>
      <c r="AD2266">
        <v>9</v>
      </c>
      <c r="AE2266" t="s">
        <v>1414</v>
      </c>
      <c r="AF2266">
        <v>0</v>
      </c>
      <c r="AG2266" t="s">
        <v>310</v>
      </c>
      <c r="AH2266">
        <f>SUM((MID(Dyno_Data[[#This Row],[Team]],4,5))+(Dyno_Data[[#This Row],[Match]]/100))</f>
        <v>6969.43</v>
      </c>
      <c r="AI2266" s="76">
        <f>ROUND(SUM(IF(Dyno_Data[[#This Row],[AcqCenter]]&gt;0,Dyno_Data[[#This Row],[Time]]-SUMIFS(Dyno_Data[Time],Dyno_Data[Team],Dyno_Data[[#This Row],[Team]],Dyno_Data[RecordType],"StartMatch",Dyno_Data[Match],Dyno_Data[[#This Row],[Match]]),0)*86400),0)</f>
        <v>0</v>
      </c>
    </row>
    <row r="2267" spans="1:35" x14ac:dyDescent="0.3">
      <c r="A2267">
        <v>2266</v>
      </c>
      <c r="B2267" t="s">
        <v>1308</v>
      </c>
      <c r="C2267">
        <v>43</v>
      </c>
      <c r="D2267" s="105">
        <v>45373.67888295139</v>
      </c>
      <c r="E2267" t="s">
        <v>316</v>
      </c>
      <c r="F2267" t="s">
        <v>317</v>
      </c>
      <c r="G2267">
        <v>1</v>
      </c>
      <c r="H2267" t="s">
        <v>310</v>
      </c>
      <c r="I2267">
        <v>0</v>
      </c>
      <c r="J2267">
        <v>0</v>
      </c>
      <c r="K2267">
        <v>0</v>
      </c>
      <c r="L2267" t="s">
        <v>310</v>
      </c>
      <c r="M2267" t="s">
        <v>310</v>
      </c>
      <c r="N2267">
        <v>0</v>
      </c>
      <c r="O2267" t="s">
        <v>1393</v>
      </c>
      <c r="P2267" t="s">
        <v>1401</v>
      </c>
      <c r="Q2267" t="s">
        <v>1399</v>
      </c>
      <c r="R2267" t="s">
        <v>1405</v>
      </c>
      <c r="S2267">
        <v>1</v>
      </c>
      <c r="T2267" t="s">
        <v>1407</v>
      </c>
      <c r="U2267">
        <v>1</v>
      </c>
      <c r="V2267">
        <v>0</v>
      </c>
      <c r="W2267">
        <v>5.3785224999999999</v>
      </c>
      <c r="X2267">
        <v>53.726227199999997</v>
      </c>
      <c r="Y2267">
        <v>19.061931299999998</v>
      </c>
      <c r="Z2267">
        <v>52.378467399999998</v>
      </c>
      <c r="AA2267">
        <v>0</v>
      </c>
      <c r="AB2267">
        <v>1</v>
      </c>
      <c r="AC2267" t="s">
        <v>174</v>
      </c>
      <c r="AD2267">
        <v>0</v>
      </c>
      <c r="AE2267" t="s">
        <v>1412</v>
      </c>
      <c r="AF2267">
        <v>100000000</v>
      </c>
      <c r="AG2267" t="s">
        <v>310</v>
      </c>
      <c r="AH2267">
        <f>SUM((MID(Dyno_Data[[#This Row],[Team]],4,5))+(Dyno_Data[[#This Row],[Match]]/100))</f>
        <v>3799.43</v>
      </c>
      <c r="AI2267" s="76">
        <f>ROUND(SUM(IF(Dyno_Data[[#This Row],[AcqCenter]]&gt;0,Dyno_Data[[#This Row],[Time]]-SUMIFS(Dyno_Data[Time],Dyno_Data[Team],Dyno_Data[[#This Row],[Team]],Dyno_Data[RecordType],"StartMatch",Dyno_Data[Match],Dyno_Data[[#This Row],[Match]]),0)*86400),0)</f>
        <v>0</v>
      </c>
    </row>
    <row r="2268" spans="1:35" x14ac:dyDescent="0.3">
      <c r="A2268">
        <v>2267</v>
      </c>
      <c r="B2268" t="s">
        <v>1280</v>
      </c>
      <c r="C2268">
        <v>43</v>
      </c>
      <c r="D2268" s="105">
        <v>45373.678883067128</v>
      </c>
      <c r="E2268" t="s">
        <v>316</v>
      </c>
      <c r="F2268" t="s">
        <v>317</v>
      </c>
      <c r="G2268">
        <v>1</v>
      </c>
      <c r="H2268" t="s">
        <v>310</v>
      </c>
      <c r="I2268">
        <v>0</v>
      </c>
      <c r="J2268">
        <v>0</v>
      </c>
      <c r="K2268">
        <v>0</v>
      </c>
      <c r="L2268" t="s">
        <v>310</v>
      </c>
      <c r="M2268" t="s">
        <v>310</v>
      </c>
      <c r="N2268">
        <v>0</v>
      </c>
      <c r="O2268" t="s">
        <v>1389</v>
      </c>
      <c r="P2268" t="s">
        <v>320</v>
      </c>
      <c r="Q2268" t="s">
        <v>1400</v>
      </c>
      <c r="R2268" t="s">
        <v>1405</v>
      </c>
      <c r="S2268">
        <v>1</v>
      </c>
      <c r="T2268" t="s">
        <v>1407</v>
      </c>
      <c r="U2268">
        <v>1</v>
      </c>
      <c r="V2268">
        <v>0</v>
      </c>
      <c r="W2268">
        <v>8.4375879000000005</v>
      </c>
      <c r="X2268">
        <v>14.1201846</v>
      </c>
      <c r="Y2268">
        <v>58.882417199999999</v>
      </c>
      <c r="Z2268">
        <v>43.583001599999996</v>
      </c>
      <c r="AA2268">
        <v>3</v>
      </c>
      <c r="AB2268">
        <v>0</v>
      </c>
      <c r="AC2268" t="s">
        <v>170</v>
      </c>
      <c r="AD2268">
        <v>9</v>
      </c>
      <c r="AE2268" t="s">
        <v>1417</v>
      </c>
      <c r="AF2268">
        <v>0</v>
      </c>
      <c r="AG2268" t="s">
        <v>310</v>
      </c>
      <c r="AH2268">
        <f>SUM((MID(Dyno_Data[[#This Row],[Team]],4,5))+(Dyno_Data[[#This Row],[Match]]/100))</f>
        <v>1559.43</v>
      </c>
      <c r="AI2268" s="76">
        <f>ROUND(SUM(IF(Dyno_Data[[#This Row],[AcqCenter]]&gt;0,Dyno_Data[[#This Row],[Time]]-SUMIFS(Dyno_Data[Time],Dyno_Data[Team],Dyno_Data[[#This Row],[Team]],Dyno_Data[RecordType],"StartMatch",Dyno_Data[Match],Dyno_Data[[#This Row],[Match]]),0)*86400),0)</f>
        <v>0</v>
      </c>
    </row>
    <row r="2269" spans="1:35" x14ac:dyDescent="0.3">
      <c r="A2269">
        <v>2268</v>
      </c>
      <c r="B2269" t="s">
        <v>366</v>
      </c>
      <c r="C2269">
        <v>43</v>
      </c>
      <c r="D2269" s="105">
        <v>45373.678883182867</v>
      </c>
      <c r="E2269" t="s">
        <v>316</v>
      </c>
      <c r="F2269" t="s">
        <v>317</v>
      </c>
      <c r="G2269">
        <v>0</v>
      </c>
      <c r="H2269" t="s">
        <v>310</v>
      </c>
      <c r="I2269">
        <v>0</v>
      </c>
      <c r="J2269">
        <v>0</v>
      </c>
      <c r="K2269">
        <v>0</v>
      </c>
      <c r="L2269" t="s">
        <v>310</v>
      </c>
      <c r="M2269" t="s">
        <v>310</v>
      </c>
      <c r="N2269">
        <v>0</v>
      </c>
      <c r="O2269" t="s">
        <v>1395</v>
      </c>
      <c r="P2269" t="s">
        <v>101</v>
      </c>
      <c r="Q2269" t="s">
        <v>1400</v>
      </c>
      <c r="R2269" t="s">
        <v>1404</v>
      </c>
      <c r="S2269">
        <v>0</v>
      </c>
      <c r="T2269" t="s">
        <v>105</v>
      </c>
      <c r="U2269">
        <v>9</v>
      </c>
      <c r="V2269">
        <v>9</v>
      </c>
      <c r="W2269">
        <v>0</v>
      </c>
      <c r="X2269">
        <v>45.375033099999996</v>
      </c>
      <c r="Y2269">
        <v>20.644632599999998</v>
      </c>
      <c r="Z2269">
        <v>74.059543599999998</v>
      </c>
      <c r="AA2269">
        <v>0</v>
      </c>
      <c r="AB2269">
        <v>0</v>
      </c>
      <c r="AC2269" t="s">
        <v>174</v>
      </c>
      <c r="AD2269">
        <v>9</v>
      </c>
      <c r="AE2269" t="s">
        <v>1413</v>
      </c>
      <c r="AF2269">
        <v>100000000</v>
      </c>
      <c r="AG2269" t="s">
        <v>310</v>
      </c>
      <c r="AH2269">
        <f>SUM((MID(Dyno_Data[[#This Row],[Team]],4,5))+(Dyno_Data[[#This Row],[Match]]/100))</f>
        <v>4122.43</v>
      </c>
      <c r="AI2269" s="76">
        <f>ROUND(SUM(IF(Dyno_Data[[#This Row],[AcqCenter]]&gt;0,Dyno_Data[[#This Row],[Time]]-SUMIFS(Dyno_Data[Time],Dyno_Data[Team],Dyno_Data[[#This Row],[Team]],Dyno_Data[RecordType],"StartMatch",Dyno_Data[Match],Dyno_Data[[#This Row],[Match]]),0)*86400),0)</f>
        <v>0</v>
      </c>
    </row>
    <row r="2270" spans="1:35" x14ac:dyDescent="0.3">
      <c r="A2270">
        <v>2280</v>
      </c>
      <c r="B2270" t="s">
        <v>361</v>
      </c>
      <c r="C2270">
        <v>44</v>
      </c>
      <c r="D2270" s="105">
        <v>45373.682062812499</v>
      </c>
      <c r="E2270" t="s">
        <v>308</v>
      </c>
      <c r="F2270" t="s">
        <v>309</v>
      </c>
      <c r="G2270">
        <v>0</v>
      </c>
      <c r="H2270" t="s">
        <v>310</v>
      </c>
      <c r="I2270">
        <v>0</v>
      </c>
      <c r="J2270">
        <v>0</v>
      </c>
      <c r="K2270">
        <v>0</v>
      </c>
      <c r="L2270" t="s">
        <v>310</v>
      </c>
      <c r="M2270" t="s">
        <v>310</v>
      </c>
      <c r="N2270">
        <v>0</v>
      </c>
      <c r="O2270" t="s">
        <v>319</v>
      </c>
      <c r="P2270" t="s">
        <v>310</v>
      </c>
      <c r="Q2270" t="s">
        <v>310</v>
      </c>
      <c r="R2270" t="s">
        <v>310</v>
      </c>
      <c r="S2270">
        <v>9</v>
      </c>
      <c r="T2270" t="s">
        <v>310</v>
      </c>
      <c r="U2270">
        <v>9</v>
      </c>
      <c r="V2270">
        <v>9</v>
      </c>
      <c r="W2270">
        <v>0</v>
      </c>
      <c r="X2270">
        <v>0</v>
      </c>
      <c r="Y2270">
        <v>0</v>
      </c>
      <c r="Z2270">
        <v>0</v>
      </c>
      <c r="AA2270">
        <v>9</v>
      </c>
      <c r="AB2270">
        <v>9</v>
      </c>
      <c r="AC2270" t="s">
        <v>310</v>
      </c>
      <c r="AD2270">
        <v>9</v>
      </c>
      <c r="AE2270" t="s">
        <v>1416</v>
      </c>
      <c r="AF2270">
        <v>0</v>
      </c>
      <c r="AG2270" t="s">
        <v>310</v>
      </c>
      <c r="AH2270">
        <f>SUM((MID(Dyno_Data[[#This Row],[Team]],4,5))+(Dyno_Data[[#This Row],[Match]]/100))</f>
        <v>20.440000000000001</v>
      </c>
      <c r="AI2270" s="76">
        <f>ROUND(SUM(IF(Dyno_Data[[#This Row],[AcqCenter]]&gt;0,Dyno_Data[[#This Row],[Time]]-SUMIFS(Dyno_Data[Time],Dyno_Data[Team],Dyno_Data[[#This Row],[Team]],Dyno_Data[RecordType],"StartMatch",Dyno_Data[Match],Dyno_Data[[#This Row],[Match]]),0)*86400),0)</f>
        <v>0</v>
      </c>
    </row>
    <row r="2271" spans="1:35" x14ac:dyDescent="0.3">
      <c r="A2271">
        <v>2282</v>
      </c>
      <c r="B2271" t="s">
        <v>1310</v>
      </c>
      <c r="C2271">
        <v>44</v>
      </c>
      <c r="D2271" s="105">
        <v>45373.682072303243</v>
      </c>
      <c r="E2271" t="s">
        <v>308</v>
      </c>
      <c r="F2271" t="s">
        <v>309</v>
      </c>
      <c r="G2271">
        <v>0</v>
      </c>
      <c r="H2271" t="s">
        <v>310</v>
      </c>
      <c r="I2271">
        <v>0</v>
      </c>
      <c r="J2271">
        <v>0</v>
      </c>
      <c r="K2271">
        <v>0</v>
      </c>
      <c r="L2271" t="s">
        <v>310</v>
      </c>
      <c r="M2271" t="s">
        <v>310</v>
      </c>
      <c r="N2271">
        <v>0</v>
      </c>
      <c r="O2271" t="s">
        <v>1395</v>
      </c>
      <c r="P2271" t="s">
        <v>310</v>
      </c>
      <c r="Q2271" t="s">
        <v>310</v>
      </c>
      <c r="R2271" t="s">
        <v>310</v>
      </c>
      <c r="S2271">
        <v>9</v>
      </c>
      <c r="T2271" t="s">
        <v>310</v>
      </c>
      <c r="U2271">
        <v>9</v>
      </c>
      <c r="V2271">
        <v>9</v>
      </c>
      <c r="W2271">
        <v>0</v>
      </c>
      <c r="X2271">
        <v>0</v>
      </c>
      <c r="Y2271">
        <v>0</v>
      </c>
      <c r="Z2271">
        <v>0</v>
      </c>
      <c r="AA2271">
        <v>9</v>
      </c>
      <c r="AB2271">
        <v>9</v>
      </c>
      <c r="AC2271" t="s">
        <v>310</v>
      </c>
      <c r="AD2271">
        <v>9</v>
      </c>
      <c r="AE2271" t="s">
        <v>1413</v>
      </c>
      <c r="AF2271">
        <v>0</v>
      </c>
      <c r="AG2271" t="s">
        <v>310</v>
      </c>
      <c r="AH2271">
        <f>SUM((MID(Dyno_Data[[#This Row],[Team]],4,5))+(Dyno_Data[[#This Row],[Match]]/100))</f>
        <v>6621.44</v>
      </c>
      <c r="AI2271" s="76">
        <f>ROUND(SUM(IF(Dyno_Data[[#This Row],[AcqCenter]]&gt;0,Dyno_Data[[#This Row],[Time]]-SUMIFS(Dyno_Data[Time],Dyno_Data[Team],Dyno_Data[[#This Row],[Team]],Dyno_Data[RecordType],"StartMatch",Dyno_Data[Match],Dyno_Data[[#This Row],[Match]]),0)*86400),0)</f>
        <v>0</v>
      </c>
    </row>
    <row r="2272" spans="1:35" x14ac:dyDescent="0.3">
      <c r="A2272">
        <v>2284</v>
      </c>
      <c r="B2272" t="s">
        <v>1317</v>
      </c>
      <c r="C2272">
        <v>44</v>
      </c>
      <c r="D2272" s="105">
        <v>45373.682072997683</v>
      </c>
      <c r="E2272" t="s">
        <v>308</v>
      </c>
      <c r="F2272" t="s">
        <v>309</v>
      </c>
      <c r="G2272">
        <v>0</v>
      </c>
      <c r="H2272" t="s">
        <v>310</v>
      </c>
      <c r="I2272">
        <v>0</v>
      </c>
      <c r="J2272">
        <v>0</v>
      </c>
      <c r="K2272">
        <v>0</v>
      </c>
      <c r="L2272" t="s">
        <v>310</v>
      </c>
      <c r="M2272" t="s">
        <v>310</v>
      </c>
      <c r="N2272">
        <v>0</v>
      </c>
      <c r="O2272" t="s">
        <v>1393</v>
      </c>
      <c r="P2272" t="s">
        <v>310</v>
      </c>
      <c r="Q2272" t="s">
        <v>310</v>
      </c>
      <c r="R2272" t="s">
        <v>310</v>
      </c>
      <c r="S2272">
        <v>9</v>
      </c>
      <c r="T2272" t="s">
        <v>310</v>
      </c>
      <c r="U2272">
        <v>9</v>
      </c>
      <c r="V2272">
        <v>9</v>
      </c>
      <c r="W2272">
        <v>0</v>
      </c>
      <c r="X2272">
        <v>0</v>
      </c>
      <c r="Y2272">
        <v>0</v>
      </c>
      <c r="Z2272">
        <v>0</v>
      </c>
      <c r="AA2272">
        <v>9</v>
      </c>
      <c r="AB2272">
        <v>9</v>
      </c>
      <c r="AC2272" t="s">
        <v>310</v>
      </c>
      <c r="AD2272">
        <v>9</v>
      </c>
      <c r="AE2272" t="s">
        <v>1414</v>
      </c>
      <c r="AF2272">
        <v>0</v>
      </c>
      <c r="AG2272" t="s">
        <v>310</v>
      </c>
      <c r="AH2272">
        <f>SUM((MID(Dyno_Data[[#This Row],[Team]],4,5))+(Dyno_Data[[#This Row],[Match]]/100))</f>
        <v>296.44</v>
      </c>
      <c r="AI2272" s="76">
        <f>ROUND(SUM(IF(Dyno_Data[[#This Row],[AcqCenter]]&gt;0,Dyno_Data[[#This Row],[Time]]-SUMIFS(Dyno_Data[Time],Dyno_Data[Team],Dyno_Data[[#This Row],[Team]],Dyno_Data[RecordType],"StartMatch",Dyno_Data[Match],Dyno_Data[[#This Row],[Match]]),0)*86400),0)</f>
        <v>0</v>
      </c>
    </row>
    <row r="2273" spans="1:35" x14ac:dyDescent="0.3">
      <c r="A2273">
        <v>2286</v>
      </c>
      <c r="B2273" t="s">
        <v>1298</v>
      </c>
      <c r="C2273">
        <v>44</v>
      </c>
      <c r="D2273" s="105">
        <v>45373.682074421296</v>
      </c>
      <c r="E2273" t="s">
        <v>308</v>
      </c>
      <c r="F2273" t="s">
        <v>309</v>
      </c>
      <c r="G2273">
        <v>0</v>
      </c>
      <c r="H2273" t="s">
        <v>310</v>
      </c>
      <c r="I2273">
        <v>0</v>
      </c>
      <c r="J2273">
        <v>0</v>
      </c>
      <c r="K2273">
        <v>0</v>
      </c>
      <c r="L2273" t="s">
        <v>310</v>
      </c>
      <c r="M2273" t="s">
        <v>310</v>
      </c>
      <c r="N2273">
        <v>0</v>
      </c>
      <c r="O2273" t="s">
        <v>1391</v>
      </c>
      <c r="P2273" t="s">
        <v>310</v>
      </c>
      <c r="Q2273" t="s">
        <v>310</v>
      </c>
      <c r="R2273" t="s">
        <v>310</v>
      </c>
      <c r="S2273">
        <v>9</v>
      </c>
      <c r="T2273" t="s">
        <v>310</v>
      </c>
      <c r="U2273">
        <v>9</v>
      </c>
      <c r="V2273">
        <v>9</v>
      </c>
      <c r="W2273">
        <v>0</v>
      </c>
      <c r="X2273">
        <v>0</v>
      </c>
      <c r="Y2273">
        <v>0</v>
      </c>
      <c r="Z2273">
        <v>0</v>
      </c>
      <c r="AA2273">
        <v>9</v>
      </c>
      <c r="AB2273">
        <v>9</v>
      </c>
      <c r="AC2273" t="s">
        <v>310</v>
      </c>
      <c r="AD2273">
        <v>9</v>
      </c>
      <c r="AE2273" t="s">
        <v>1418</v>
      </c>
      <c r="AF2273">
        <v>0</v>
      </c>
      <c r="AG2273" t="s">
        <v>310</v>
      </c>
      <c r="AH2273">
        <f>SUM((MID(Dyno_Data[[#This Row],[Team]],4,5))+(Dyno_Data[[#This Row],[Match]]/100))</f>
        <v>9624.44</v>
      </c>
      <c r="AI2273" s="76">
        <f>ROUND(SUM(IF(Dyno_Data[[#This Row],[AcqCenter]]&gt;0,Dyno_Data[[#This Row],[Time]]-SUMIFS(Dyno_Data[Time],Dyno_Data[Team],Dyno_Data[[#This Row],[Team]],Dyno_Data[RecordType],"StartMatch",Dyno_Data[Match],Dyno_Data[[#This Row],[Match]]),0)*86400),0)</f>
        <v>0</v>
      </c>
    </row>
    <row r="2274" spans="1:35" x14ac:dyDescent="0.3">
      <c r="A2274">
        <v>2288</v>
      </c>
      <c r="B2274" t="s">
        <v>1291</v>
      </c>
      <c r="C2274">
        <v>44</v>
      </c>
      <c r="D2274" s="105">
        <v>45373.682075775461</v>
      </c>
      <c r="E2274" t="s">
        <v>308</v>
      </c>
      <c r="F2274" t="s">
        <v>309</v>
      </c>
      <c r="G2274">
        <v>0</v>
      </c>
      <c r="H2274" t="s">
        <v>310</v>
      </c>
      <c r="I2274">
        <v>0</v>
      </c>
      <c r="J2274">
        <v>0</v>
      </c>
      <c r="K2274">
        <v>0</v>
      </c>
      <c r="L2274" t="s">
        <v>310</v>
      </c>
      <c r="M2274" t="s">
        <v>310</v>
      </c>
      <c r="N2274">
        <v>0</v>
      </c>
      <c r="O2274" t="s">
        <v>1389</v>
      </c>
      <c r="P2274" t="s">
        <v>310</v>
      </c>
      <c r="Q2274" t="s">
        <v>310</v>
      </c>
      <c r="R2274" t="s">
        <v>310</v>
      </c>
      <c r="S2274">
        <v>9</v>
      </c>
      <c r="T2274" t="s">
        <v>310</v>
      </c>
      <c r="U2274">
        <v>9</v>
      </c>
      <c r="V2274">
        <v>9</v>
      </c>
      <c r="W2274">
        <v>0</v>
      </c>
      <c r="X2274">
        <v>0</v>
      </c>
      <c r="Y2274">
        <v>0</v>
      </c>
      <c r="Z2274">
        <v>0</v>
      </c>
      <c r="AA2274">
        <v>9</v>
      </c>
      <c r="AB2274">
        <v>9</v>
      </c>
      <c r="AC2274" t="s">
        <v>310</v>
      </c>
      <c r="AD2274">
        <v>9</v>
      </c>
      <c r="AE2274" t="s">
        <v>1417</v>
      </c>
      <c r="AF2274">
        <v>10000000</v>
      </c>
      <c r="AG2274" t="s">
        <v>310</v>
      </c>
      <c r="AH2274">
        <f>SUM((MID(Dyno_Data[[#This Row],[Team]],4,5))+(Dyno_Data[[#This Row],[Match]]/100))</f>
        <v>1493.44</v>
      </c>
      <c r="AI2274" s="76">
        <f>ROUND(SUM(IF(Dyno_Data[[#This Row],[AcqCenter]]&gt;0,Dyno_Data[[#This Row],[Time]]-SUMIFS(Dyno_Data[Time],Dyno_Data[Team],Dyno_Data[[#This Row],[Team]],Dyno_Data[RecordType],"StartMatch",Dyno_Data[Match],Dyno_Data[[#This Row],[Match]]),0)*86400),0)</f>
        <v>0</v>
      </c>
    </row>
    <row r="2275" spans="1:35" x14ac:dyDescent="0.3">
      <c r="A2275">
        <v>2269</v>
      </c>
      <c r="B2275" t="s">
        <v>361</v>
      </c>
      <c r="C2275">
        <v>44</v>
      </c>
      <c r="D2275" s="105">
        <v>45373.682077395832</v>
      </c>
      <c r="E2275" t="s">
        <v>312</v>
      </c>
      <c r="F2275" t="s">
        <v>309</v>
      </c>
      <c r="G2275">
        <v>0</v>
      </c>
      <c r="H2275" t="s">
        <v>1397</v>
      </c>
      <c r="I2275">
        <v>0</v>
      </c>
      <c r="J2275">
        <v>0</v>
      </c>
      <c r="K2275">
        <v>0</v>
      </c>
      <c r="L2275" t="s">
        <v>241</v>
      </c>
      <c r="M2275" t="s">
        <v>1398</v>
      </c>
      <c r="N2275">
        <v>0</v>
      </c>
      <c r="O2275" t="s">
        <v>319</v>
      </c>
      <c r="P2275" t="s">
        <v>310</v>
      </c>
      <c r="Q2275" t="s">
        <v>310</v>
      </c>
      <c r="R2275" t="s">
        <v>310</v>
      </c>
      <c r="S2275">
        <v>9</v>
      </c>
      <c r="T2275" t="s">
        <v>310</v>
      </c>
      <c r="U2275">
        <v>9</v>
      </c>
      <c r="V2275">
        <v>9</v>
      </c>
      <c r="W2275">
        <v>0</v>
      </c>
      <c r="X2275">
        <v>0</v>
      </c>
      <c r="Y2275">
        <v>0</v>
      </c>
      <c r="Z2275">
        <v>0</v>
      </c>
      <c r="AA2275">
        <v>9</v>
      </c>
      <c r="AB2275">
        <v>9</v>
      </c>
      <c r="AC2275" t="s">
        <v>310</v>
      </c>
      <c r="AD2275">
        <v>9</v>
      </c>
      <c r="AE2275" t="s">
        <v>1416</v>
      </c>
      <c r="AF2275">
        <v>0</v>
      </c>
      <c r="AG2275" t="s">
        <v>310</v>
      </c>
      <c r="AH2275">
        <f>SUM((MID(Dyno_Data[[#This Row],[Team]],4,5))+(Dyno_Data[[#This Row],[Match]]/100))</f>
        <v>20.440000000000001</v>
      </c>
      <c r="AI2275" s="76">
        <f>ROUND(SUM(IF(Dyno_Data[[#This Row],[AcqCenter]]&gt;0,Dyno_Data[[#This Row],[Time]]-SUMIFS(Dyno_Data[Time],Dyno_Data[Team],Dyno_Data[[#This Row],[Team]],Dyno_Data[RecordType],"StartMatch",Dyno_Data[Match],Dyno_Data[[#This Row],[Match]]),0)*86400),0)</f>
        <v>0</v>
      </c>
    </row>
    <row r="2276" spans="1:35" x14ac:dyDescent="0.3">
      <c r="A2276">
        <v>2291</v>
      </c>
      <c r="B2276" t="s">
        <v>1286</v>
      </c>
      <c r="C2276">
        <v>44</v>
      </c>
      <c r="D2276" s="105">
        <v>45373.682083067128</v>
      </c>
      <c r="E2276" t="s">
        <v>308</v>
      </c>
      <c r="F2276" t="s">
        <v>309</v>
      </c>
      <c r="G2276">
        <v>0</v>
      </c>
      <c r="H2276" t="s">
        <v>310</v>
      </c>
      <c r="I2276">
        <v>0</v>
      </c>
      <c r="J2276">
        <v>0</v>
      </c>
      <c r="K2276">
        <v>0</v>
      </c>
      <c r="L2276" t="s">
        <v>310</v>
      </c>
      <c r="M2276" t="s">
        <v>310</v>
      </c>
      <c r="N2276">
        <v>0</v>
      </c>
      <c r="O2276" t="s">
        <v>311</v>
      </c>
      <c r="P2276" t="s">
        <v>310</v>
      </c>
      <c r="Q2276" t="s">
        <v>310</v>
      </c>
      <c r="R2276" t="s">
        <v>310</v>
      </c>
      <c r="S2276">
        <v>9</v>
      </c>
      <c r="T2276" t="s">
        <v>310</v>
      </c>
      <c r="U2276">
        <v>9</v>
      </c>
      <c r="V2276">
        <v>9</v>
      </c>
      <c r="W2276">
        <v>0</v>
      </c>
      <c r="X2276">
        <v>0</v>
      </c>
      <c r="Y2276">
        <v>0</v>
      </c>
      <c r="Z2276">
        <v>0</v>
      </c>
      <c r="AA2276">
        <v>9</v>
      </c>
      <c r="AB2276">
        <v>9</v>
      </c>
      <c r="AC2276" t="s">
        <v>310</v>
      </c>
      <c r="AD2276">
        <v>9</v>
      </c>
      <c r="AE2276" t="s">
        <v>1412</v>
      </c>
      <c r="AF2276">
        <v>10000000</v>
      </c>
      <c r="AG2276" t="s">
        <v>310</v>
      </c>
      <c r="AH2276">
        <f>SUM((MID(Dyno_Data[[#This Row],[Team]],4,5))+(Dyno_Data[[#This Row],[Match]]/100))</f>
        <v>1591.44</v>
      </c>
      <c r="AI2276" s="76">
        <f>ROUND(SUM(IF(Dyno_Data[[#This Row],[AcqCenter]]&gt;0,Dyno_Data[[#This Row],[Time]]-SUMIFS(Dyno_Data[Time],Dyno_Data[Team],Dyno_Data[[#This Row],[Team]],Dyno_Data[RecordType],"StartMatch",Dyno_Data[Match],Dyno_Data[[#This Row],[Match]]),0)*86400),0)</f>
        <v>0</v>
      </c>
    </row>
    <row r="2277" spans="1:35" x14ac:dyDescent="0.3">
      <c r="A2277">
        <v>2270</v>
      </c>
      <c r="B2277" t="s">
        <v>1310</v>
      </c>
      <c r="C2277">
        <v>44</v>
      </c>
      <c r="D2277" s="105">
        <v>45373.682096215278</v>
      </c>
      <c r="E2277" t="s">
        <v>312</v>
      </c>
      <c r="F2277" t="s">
        <v>309</v>
      </c>
      <c r="G2277">
        <v>0</v>
      </c>
      <c r="H2277" t="s">
        <v>1397</v>
      </c>
      <c r="I2277">
        <v>0</v>
      </c>
      <c r="J2277">
        <v>0</v>
      </c>
      <c r="K2277">
        <v>0</v>
      </c>
      <c r="L2277" t="s">
        <v>241</v>
      </c>
      <c r="M2277" t="s">
        <v>1398</v>
      </c>
      <c r="N2277">
        <v>1</v>
      </c>
      <c r="O2277" t="s">
        <v>1395</v>
      </c>
      <c r="P2277" t="s">
        <v>310</v>
      </c>
      <c r="Q2277" t="s">
        <v>310</v>
      </c>
      <c r="R2277" t="s">
        <v>310</v>
      </c>
      <c r="S2277">
        <v>9</v>
      </c>
      <c r="T2277" t="s">
        <v>310</v>
      </c>
      <c r="U2277">
        <v>9</v>
      </c>
      <c r="V2277">
        <v>9</v>
      </c>
      <c r="W2277">
        <v>0</v>
      </c>
      <c r="X2277">
        <v>0</v>
      </c>
      <c r="Y2277">
        <v>0</v>
      </c>
      <c r="Z2277">
        <v>0</v>
      </c>
      <c r="AA2277">
        <v>9</v>
      </c>
      <c r="AB2277">
        <v>9</v>
      </c>
      <c r="AC2277" t="s">
        <v>310</v>
      </c>
      <c r="AD2277">
        <v>9</v>
      </c>
      <c r="AE2277" t="s">
        <v>1413</v>
      </c>
      <c r="AF2277">
        <v>0</v>
      </c>
      <c r="AG2277" t="s">
        <v>310</v>
      </c>
      <c r="AH2277">
        <f>SUM((MID(Dyno_Data[[#This Row],[Team]],4,5))+(Dyno_Data[[#This Row],[Match]]/100))</f>
        <v>6621.44</v>
      </c>
      <c r="AI2277" s="76">
        <f>ROUND(SUM(IF(Dyno_Data[[#This Row],[AcqCenter]]&gt;0,Dyno_Data[[#This Row],[Time]]-SUMIFS(Dyno_Data[Time],Dyno_Data[Team],Dyno_Data[[#This Row],[Team]],Dyno_Data[RecordType],"StartMatch",Dyno_Data[Match],Dyno_Data[[#This Row],[Match]]),0)*86400),0)</f>
        <v>0</v>
      </c>
    </row>
    <row r="2278" spans="1:35" x14ac:dyDescent="0.3">
      <c r="A2278">
        <v>2271</v>
      </c>
      <c r="B2278" t="s">
        <v>1298</v>
      </c>
      <c r="C2278">
        <v>44</v>
      </c>
      <c r="D2278" s="105">
        <v>45373.682103553241</v>
      </c>
      <c r="E2278" t="s">
        <v>312</v>
      </c>
      <c r="F2278" t="s">
        <v>309</v>
      </c>
      <c r="G2278">
        <v>0</v>
      </c>
      <c r="H2278" t="s">
        <v>1397</v>
      </c>
      <c r="I2278">
        <v>0</v>
      </c>
      <c r="J2278">
        <v>0</v>
      </c>
      <c r="K2278">
        <v>0</v>
      </c>
      <c r="L2278" t="s">
        <v>240</v>
      </c>
      <c r="M2278" t="s">
        <v>1398</v>
      </c>
      <c r="N2278">
        <v>0</v>
      </c>
      <c r="O2278" t="s">
        <v>1391</v>
      </c>
      <c r="P2278" t="s">
        <v>310</v>
      </c>
      <c r="Q2278" t="s">
        <v>310</v>
      </c>
      <c r="R2278" t="s">
        <v>310</v>
      </c>
      <c r="S2278">
        <v>9</v>
      </c>
      <c r="T2278" t="s">
        <v>310</v>
      </c>
      <c r="U2278">
        <v>9</v>
      </c>
      <c r="V2278">
        <v>9</v>
      </c>
      <c r="W2278">
        <v>0</v>
      </c>
      <c r="X2278">
        <v>0</v>
      </c>
      <c r="Y2278">
        <v>0</v>
      </c>
      <c r="Z2278">
        <v>0</v>
      </c>
      <c r="AA2278">
        <v>9</v>
      </c>
      <c r="AB2278">
        <v>9</v>
      </c>
      <c r="AC2278" t="s">
        <v>310</v>
      </c>
      <c r="AD2278">
        <v>9</v>
      </c>
      <c r="AE2278" t="s">
        <v>1418</v>
      </c>
      <c r="AF2278">
        <v>0</v>
      </c>
      <c r="AG2278" t="s">
        <v>310</v>
      </c>
      <c r="AH2278">
        <f>SUM((MID(Dyno_Data[[#This Row],[Team]],4,5))+(Dyno_Data[[#This Row],[Match]]/100))</f>
        <v>9624.44</v>
      </c>
      <c r="AI2278" s="76">
        <f>ROUND(SUM(IF(Dyno_Data[[#This Row],[AcqCenter]]&gt;0,Dyno_Data[[#This Row],[Time]]-SUMIFS(Dyno_Data[Time],Dyno_Data[Team],Dyno_Data[[#This Row],[Team]],Dyno_Data[RecordType],"StartMatch",Dyno_Data[Match],Dyno_Data[[#This Row],[Match]]),0)*86400),0)</f>
        <v>0</v>
      </c>
    </row>
    <row r="2279" spans="1:35" x14ac:dyDescent="0.3">
      <c r="A2279">
        <v>2272</v>
      </c>
      <c r="B2279" t="s">
        <v>1291</v>
      </c>
      <c r="C2279">
        <v>44</v>
      </c>
      <c r="D2279" s="105">
        <v>45373.682105636573</v>
      </c>
      <c r="E2279" t="s">
        <v>312</v>
      </c>
      <c r="F2279" t="s">
        <v>309</v>
      </c>
      <c r="G2279">
        <v>0</v>
      </c>
      <c r="H2279" t="s">
        <v>1397</v>
      </c>
      <c r="I2279">
        <v>0</v>
      </c>
      <c r="J2279">
        <v>0</v>
      </c>
      <c r="K2279">
        <v>0</v>
      </c>
      <c r="L2279" t="s">
        <v>240</v>
      </c>
      <c r="M2279" t="s">
        <v>1398</v>
      </c>
      <c r="N2279">
        <v>0</v>
      </c>
      <c r="O2279" t="s">
        <v>1389</v>
      </c>
      <c r="P2279" t="s">
        <v>310</v>
      </c>
      <c r="Q2279" t="s">
        <v>310</v>
      </c>
      <c r="R2279" t="s">
        <v>310</v>
      </c>
      <c r="S2279">
        <v>9</v>
      </c>
      <c r="T2279" t="s">
        <v>310</v>
      </c>
      <c r="U2279">
        <v>9</v>
      </c>
      <c r="V2279">
        <v>9</v>
      </c>
      <c r="W2279">
        <v>0</v>
      </c>
      <c r="X2279">
        <v>0</v>
      </c>
      <c r="Y2279">
        <v>0</v>
      </c>
      <c r="Z2279">
        <v>0</v>
      </c>
      <c r="AA2279">
        <v>9</v>
      </c>
      <c r="AB2279">
        <v>9</v>
      </c>
      <c r="AC2279" t="s">
        <v>310</v>
      </c>
      <c r="AD2279">
        <v>9</v>
      </c>
      <c r="AE2279" t="s">
        <v>1417</v>
      </c>
      <c r="AF2279">
        <v>0</v>
      </c>
      <c r="AG2279" t="s">
        <v>310</v>
      </c>
      <c r="AH2279">
        <f>SUM((MID(Dyno_Data[[#This Row],[Team]],4,5))+(Dyno_Data[[#This Row],[Match]]/100))</f>
        <v>1493.44</v>
      </c>
      <c r="AI2279" s="76">
        <f>ROUND(SUM(IF(Dyno_Data[[#This Row],[AcqCenter]]&gt;0,Dyno_Data[[#This Row],[Time]]-SUMIFS(Dyno_Data[Time],Dyno_Data[Team],Dyno_Data[[#This Row],[Team]],Dyno_Data[RecordType],"StartMatch",Dyno_Data[Match],Dyno_Data[[#This Row],[Match]]),0)*86400),0)</f>
        <v>0</v>
      </c>
    </row>
    <row r="2280" spans="1:35" x14ac:dyDescent="0.3">
      <c r="A2280">
        <v>2273</v>
      </c>
      <c r="B2280" t="s">
        <v>1317</v>
      </c>
      <c r="C2280">
        <v>44</v>
      </c>
      <c r="D2280" s="105">
        <v>45373.682118020835</v>
      </c>
      <c r="E2280" t="s">
        <v>312</v>
      </c>
      <c r="F2280" t="s">
        <v>309</v>
      </c>
      <c r="G2280">
        <v>0</v>
      </c>
      <c r="H2280" t="s">
        <v>1397</v>
      </c>
      <c r="I2280">
        <v>0</v>
      </c>
      <c r="J2280">
        <v>0</v>
      </c>
      <c r="K2280">
        <v>0</v>
      </c>
      <c r="L2280" t="s">
        <v>240</v>
      </c>
      <c r="M2280" t="s">
        <v>1398</v>
      </c>
      <c r="N2280">
        <v>0</v>
      </c>
      <c r="O2280" t="s">
        <v>1393</v>
      </c>
      <c r="P2280" t="s">
        <v>310</v>
      </c>
      <c r="Q2280" t="s">
        <v>310</v>
      </c>
      <c r="R2280" t="s">
        <v>310</v>
      </c>
      <c r="S2280">
        <v>9</v>
      </c>
      <c r="T2280" t="s">
        <v>310</v>
      </c>
      <c r="U2280">
        <v>9</v>
      </c>
      <c r="V2280">
        <v>9</v>
      </c>
      <c r="W2280">
        <v>0</v>
      </c>
      <c r="X2280">
        <v>0</v>
      </c>
      <c r="Y2280">
        <v>0</v>
      </c>
      <c r="Z2280">
        <v>0</v>
      </c>
      <c r="AA2280">
        <v>9</v>
      </c>
      <c r="AB2280">
        <v>9</v>
      </c>
      <c r="AC2280" t="s">
        <v>310</v>
      </c>
      <c r="AD2280">
        <v>9</v>
      </c>
      <c r="AE2280" t="s">
        <v>1414</v>
      </c>
      <c r="AF2280">
        <v>0</v>
      </c>
      <c r="AG2280" t="s">
        <v>310</v>
      </c>
      <c r="AH2280">
        <f>SUM((MID(Dyno_Data[[#This Row],[Team]],4,5))+(Dyno_Data[[#This Row],[Match]]/100))</f>
        <v>296.44</v>
      </c>
      <c r="AI2280" s="76">
        <f>ROUND(SUM(IF(Dyno_Data[[#This Row],[AcqCenter]]&gt;0,Dyno_Data[[#This Row],[Time]]-SUMIFS(Dyno_Data[Time],Dyno_Data[Team],Dyno_Data[[#This Row],[Team]],Dyno_Data[RecordType],"StartMatch",Dyno_Data[Match],Dyno_Data[[#This Row],[Match]]),0)*86400),0)</f>
        <v>0</v>
      </c>
    </row>
    <row r="2281" spans="1:35" x14ac:dyDescent="0.3">
      <c r="A2281">
        <v>2275</v>
      </c>
      <c r="B2281" t="s">
        <v>361</v>
      </c>
      <c r="C2281">
        <v>44</v>
      </c>
      <c r="D2281" s="105">
        <v>45373.682139780096</v>
      </c>
      <c r="E2281" t="s">
        <v>312</v>
      </c>
      <c r="F2281" t="s">
        <v>309</v>
      </c>
      <c r="G2281">
        <v>0</v>
      </c>
      <c r="H2281" t="s">
        <v>143</v>
      </c>
      <c r="I2281">
        <v>2</v>
      </c>
      <c r="J2281">
        <v>-1</v>
      </c>
      <c r="K2281">
        <v>0</v>
      </c>
      <c r="L2281" t="s">
        <v>310</v>
      </c>
      <c r="M2281" t="s">
        <v>310</v>
      </c>
      <c r="N2281">
        <v>0</v>
      </c>
      <c r="O2281" t="s">
        <v>319</v>
      </c>
      <c r="P2281" t="s">
        <v>310</v>
      </c>
      <c r="Q2281" t="s">
        <v>310</v>
      </c>
      <c r="R2281" t="s">
        <v>310</v>
      </c>
      <c r="S2281">
        <v>9</v>
      </c>
      <c r="T2281" t="s">
        <v>310</v>
      </c>
      <c r="U2281">
        <v>9</v>
      </c>
      <c r="V2281">
        <v>9</v>
      </c>
      <c r="W2281">
        <v>0</v>
      </c>
      <c r="X2281">
        <v>0</v>
      </c>
      <c r="Y2281">
        <v>0</v>
      </c>
      <c r="Z2281">
        <v>0</v>
      </c>
      <c r="AA2281">
        <v>9</v>
      </c>
      <c r="AB2281">
        <v>9</v>
      </c>
      <c r="AC2281" t="s">
        <v>310</v>
      </c>
      <c r="AD2281">
        <v>9</v>
      </c>
      <c r="AE2281" t="s">
        <v>1416</v>
      </c>
      <c r="AF2281">
        <v>0</v>
      </c>
      <c r="AG2281" t="s">
        <v>310</v>
      </c>
      <c r="AH2281">
        <f>SUM((MID(Dyno_Data[[#This Row],[Team]],4,5))+(Dyno_Data[[#This Row],[Match]]/100))</f>
        <v>20.440000000000001</v>
      </c>
      <c r="AI2281" s="76">
        <f>ROUND(SUM(IF(Dyno_Data[[#This Row],[AcqCenter]]&gt;0,Dyno_Data[[#This Row],[Time]]-SUMIFS(Dyno_Data[Time],Dyno_Data[Team],Dyno_Data[[#This Row],[Team]],Dyno_Data[RecordType],"StartMatch",Dyno_Data[Match],Dyno_Data[[#This Row],[Match]]),0)*86400),0)</f>
        <v>7</v>
      </c>
    </row>
    <row r="2282" spans="1:35" x14ac:dyDescent="0.3">
      <c r="A2282">
        <v>2274</v>
      </c>
      <c r="B2282" t="s">
        <v>1286</v>
      </c>
      <c r="C2282">
        <v>44</v>
      </c>
      <c r="D2282" s="105">
        <v>45373.682147071762</v>
      </c>
      <c r="E2282" t="s">
        <v>312</v>
      </c>
      <c r="F2282" t="s">
        <v>309</v>
      </c>
      <c r="G2282">
        <v>0</v>
      </c>
      <c r="H2282" t="s">
        <v>1397</v>
      </c>
      <c r="I2282">
        <v>0</v>
      </c>
      <c r="J2282">
        <v>0</v>
      </c>
      <c r="K2282">
        <v>0</v>
      </c>
      <c r="L2282" t="s">
        <v>240</v>
      </c>
      <c r="M2282" t="s">
        <v>1398</v>
      </c>
      <c r="N2282">
        <v>0</v>
      </c>
      <c r="O2282" t="s">
        <v>311</v>
      </c>
      <c r="P2282" t="s">
        <v>310</v>
      </c>
      <c r="Q2282" t="s">
        <v>310</v>
      </c>
      <c r="R2282" t="s">
        <v>310</v>
      </c>
      <c r="S2282">
        <v>9</v>
      </c>
      <c r="T2282" t="s">
        <v>310</v>
      </c>
      <c r="U2282">
        <v>9</v>
      </c>
      <c r="V2282">
        <v>9</v>
      </c>
      <c r="W2282">
        <v>0</v>
      </c>
      <c r="X2282">
        <v>0</v>
      </c>
      <c r="Y2282">
        <v>0</v>
      </c>
      <c r="Z2282">
        <v>0</v>
      </c>
      <c r="AA2282">
        <v>9</v>
      </c>
      <c r="AB2282">
        <v>9</v>
      </c>
      <c r="AC2282" t="s">
        <v>310</v>
      </c>
      <c r="AD2282">
        <v>9</v>
      </c>
      <c r="AE2282" t="s">
        <v>1412</v>
      </c>
      <c r="AF2282">
        <v>0</v>
      </c>
      <c r="AG2282" t="s">
        <v>310</v>
      </c>
      <c r="AH2282">
        <f>SUM((MID(Dyno_Data[[#This Row],[Team]],4,5))+(Dyno_Data[[#This Row],[Match]]/100))</f>
        <v>1591.44</v>
      </c>
      <c r="AI2282" s="76">
        <f>ROUND(SUM(IF(Dyno_Data[[#This Row],[AcqCenter]]&gt;0,Dyno_Data[[#This Row],[Time]]-SUMIFS(Dyno_Data[Time],Dyno_Data[Team],Dyno_Data[[#This Row],[Team]],Dyno_Data[RecordType],"StartMatch",Dyno_Data[Match],Dyno_Data[[#This Row],[Match]]),0)*86400),0)</f>
        <v>0</v>
      </c>
    </row>
    <row r="2283" spans="1:35" x14ac:dyDescent="0.3">
      <c r="A2283">
        <v>2276</v>
      </c>
      <c r="B2283" t="s">
        <v>1317</v>
      </c>
      <c r="C2283">
        <v>44</v>
      </c>
      <c r="D2283" s="105">
        <v>45373.682163078702</v>
      </c>
      <c r="E2283" t="s">
        <v>312</v>
      </c>
      <c r="F2283" t="s">
        <v>309</v>
      </c>
      <c r="G2283">
        <v>0</v>
      </c>
      <c r="H2283" t="s">
        <v>143</v>
      </c>
      <c r="I2283">
        <v>1</v>
      </c>
      <c r="J2283">
        <v>1</v>
      </c>
      <c r="K2283">
        <v>0</v>
      </c>
      <c r="L2283" t="s">
        <v>310</v>
      </c>
      <c r="M2283" t="s">
        <v>310</v>
      </c>
      <c r="N2283">
        <v>0</v>
      </c>
      <c r="O2283" t="s">
        <v>1393</v>
      </c>
      <c r="P2283" t="s">
        <v>310</v>
      </c>
      <c r="Q2283" t="s">
        <v>310</v>
      </c>
      <c r="R2283" t="s">
        <v>310</v>
      </c>
      <c r="S2283">
        <v>9</v>
      </c>
      <c r="T2283" t="s">
        <v>310</v>
      </c>
      <c r="U2283">
        <v>9</v>
      </c>
      <c r="V2283">
        <v>9</v>
      </c>
      <c r="W2283">
        <v>0</v>
      </c>
      <c r="X2283">
        <v>0</v>
      </c>
      <c r="Y2283">
        <v>0</v>
      </c>
      <c r="Z2283">
        <v>0</v>
      </c>
      <c r="AA2283">
        <v>9</v>
      </c>
      <c r="AB2283">
        <v>9</v>
      </c>
      <c r="AC2283" t="s">
        <v>310</v>
      </c>
      <c r="AD2283">
        <v>9</v>
      </c>
      <c r="AE2283" t="s">
        <v>1414</v>
      </c>
      <c r="AF2283">
        <v>0</v>
      </c>
      <c r="AG2283" t="s">
        <v>310</v>
      </c>
      <c r="AH2283">
        <f>SUM((MID(Dyno_Data[[#This Row],[Team]],4,5))+(Dyno_Data[[#This Row],[Match]]/100))</f>
        <v>296.44</v>
      </c>
      <c r="AI2283" s="76">
        <f>ROUND(SUM(IF(Dyno_Data[[#This Row],[AcqCenter]]&gt;0,Dyno_Data[[#This Row],[Time]]-SUMIFS(Dyno_Data[Time],Dyno_Data[Team],Dyno_Data[[#This Row],[Team]],Dyno_Data[RecordType],"StartMatch",Dyno_Data[Match],Dyno_Data[[#This Row],[Match]]),0)*86400),0)</f>
        <v>8</v>
      </c>
    </row>
    <row r="2284" spans="1:35" x14ac:dyDescent="0.3">
      <c r="A2284">
        <v>2277</v>
      </c>
      <c r="B2284" t="s">
        <v>1291</v>
      </c>
      <c r="C2284">
        <v>44</v>
      </c>
      <c r="D2284" s="105">
        <v>45373.682176886578</v>
      </c>
      <c r="E2284" t="s">
        <v>312</v>
      </c>
      <c r="F2284" t="s">
        <v>309</v>
      </c>
      <c r="G2284">
        <v>0</v>
      </c>
      <c r="H2284" t="s">
        <v>315</v>
      </c>
      <c r="I2284">
        <v>0</v>
      </c>
      <c r="J2284">
        <v>0</v>
      </c>
      <c r="K2284">
        <v>0</v>
      </c>
      <c r="L2284" t="s">
        <v>240</v>
      </c>
      <c r="M2284" t="s">
        <v>1398</v>
      </c>
      <c r="N2284">
        <v>0</v>
      </c>
      <c r="O2284" t="s">
        <v>1389</v>
      </c>
      <c r="P2284" t="s">
        <v>310</v>
      </c>
      <c r="Q2284" t="s">
        <v>310</v>
      </c>
      <c r="R2284" t="s">
        <v>310</v>
      </c>
      <c r="S2284">
        <v>9</v>
      </c>
      <c r="T2284" t="s">
        <v>310</v>
      </c>
      <c r="U2284">
        <v>9</v>
      </c>
      <c r="V2284">
        <v>9</v>
      </c>
      <c r="W2284">
        <v>0</v>
      </c>
      <c r="X2284">
        <v>0</v>
      </c>
      <c r="Y2284">
        <v>0</v>
      </c>
      <c r="Z2284">
        <v>0</v>
      </c>
      <c r="AA2284">
        <v>9</v>
      </c>
      <c r="AB2284">
        <v>9</v>
      </c>
      <c r="AC2284" t="s">
        <v>310</v>
      </c>
      <c r="AD2284">
        <v>9</v>
      </c>
      <c r="AE2284" t="s">
        <v>1417</v>
      </c>
      <c r="AF2284">
        <v>10000000</v>
      </c>
      <c r="AG2284" t="s">
        <v>310</v>
      </c>
      <c r="AH2284">
        <f>SUM((MID(Dyno_Data[[#This Row],[Team]],4,5))+(Dyno_Data[[#This Row],[Match]]/100))</f>
        <v>1493.44</v>
      </c>
      <c r="AI2284" s="76">
        <f>ROUND(SUM(IF(Dyno_Data[[#This Row],[AcqCenter]]&gt;0,Dyno_Data[[#This Row],[Time]]-SUMIFS(Dyno_Data[Time],Dyno_Data[Team],Dyno_Data[[#This Row],[Team]],Dyno_Data[RecordType],"StartMatch",Dyno_Data[Match],Dyno_Data[[#This Row],[Match]]),0)*86400),0)</f>
        <v>0</v>
      </c>
    </row>
    <row r="2285" spans="1:35" x14ac:dyDescent="0.3">
      <c r="A2285">
        <v>2278</v>
      </c>
      <c r="B2285" t="s">
        <v>1286</v>
      </c>
      <c r="C2285">
        <v>44</v>
      </c>
      <c r="D2285" s="105">
        <v>45373.682199502313</v>
      </c>
      <c r="E2285" t="s">
        <v>312</v>
      </c>
      <c r="F2285" t="s">
        <v>309</v>
      </c>
      <c r="G2285">
        <v>0</v>
      </c>
      <c r="H2285" t="s">
        <v>315</v>
      </c>
      <c r="I2285">
        <v>0</v>
      </c>
      <c r="J2285">
        <v>0</v>
      </c>
      <c r="K2285">
        <v>0</v>
      </c>
      <c r="L2285" t="s">
        <v>240</v>
      </c>
      <c r="M2285" t="s">
        <v>1398</v>
      </c>
      <c r="N2285">
        <v>0</v>
      </c>
      <c r="O2285" t="s">
        <v>311</v>
      </c>
      <c r="P2285" t="s">
        <v>310</v>
      </c>
      <c r="Q2285" t="s">
        <v>310</v>
      </c>
      <c r="R2285" t="s">
        <v>310</v>
      </c>
      <c r="S2285">
        <v>9</v>
      </c>
      <c r="T2285" t="s">
        <v>310</v>
      </c>
      <c r="U2285">
        <v>9</v>
      </c>
      <c r="V2285">
        <v>9</v>
      </c>
      <c r="W2285">
        <v>0</v>
      </c>
      <c r="X2285">
        <v>0</v>
      </c>
      <c r="Y2285">
        <v>0</v>
      </c>
      <c r="Z2285">
        <v>0</v>
      </c>
      <c r="AA2285">
        <v>9</v>
      </c>
      <c r="AB2285">
        <v>9</v>
      </c>
      <c r="AC2285" t="s">
        <v>310</v>
      </c>
      <c r="AD2285">
        <v>9</v>
      </c>
      <c r="AE2285" t="s">
        <v>1412</v>
      </c>
      <c r="AF2285">
        <v>10000000</v>
      </c>
      <c r="AG2285" t="s">
        <v>310</v>
      </c>
      <c r="AH2285">
        <f>SUM((MID(Dyno_Data[[#This Row],[Team]],4,5))+(Dyno_Data[[#This Row],[Match]]/100))</f>
        <v>1591.44</v>
      </c>
      <c r="AI2285" s="76">
        <f>ROUND(SUM(IF(Dyno_Data[[#This Row],[AcqCenter]]&gt;0,Dyno_Data[[#This Row],[Time]]-SUMIFS(Dyno_Data[Time],Dyno_Data[Team],Dyno_Data[[#This Row],[Team]],Dyno_Data[RecordType],"StartMatch",Dyno_Data[Match],Dyno_Data[[#This Row],[Match]]),0)*86400),0)</f>
        <v>0</v>
      </c>
    </row>
    <row r="2286" spans="1:35" x14ac:dyDescent="0.3">
      <c r="A2286">
        <v>2279</v>
      </c>
      <c r="B2286" t="s">
        <v>1286</v>
      </c>
      <c r="C2286">
        <v>44</v>
      </c>
      <c r="D2286" s="105">
        <v>45373.682233564818</v>
      </c>
      <c r="E2286" t="s">
        <v>312</v>
      </c>
      <c r="F2286" t="s">
        <v>309</v>
      </c>
      <c r="G2286">
        <v>0</v>
      </c>
      <c r="H2286" t="s">
        <v>143</v>
      </c>
      <c r="I2286">
        <v>4</v>
      </c>
      <c r="J2286">
        <v>1</v>
      </c>
      <c r="K2286">
        <v>0</v>
      </c>
      <c r="L2286" t="s">
        <v>310</v>
      </c>
      <c r="M2286" t="s">
        <v>310</v>
      </c>
      <c r="N2286">
        <v>0</v>
      </c>
      <c r="O2286" t="s">
        <v>311</v>
      </c>
      <c r="P2286" t="s">
        <v>310</v>
      </c>
      <c r="Q2286" t="s">
        <v>310</v>
      </c>
      <c r="R2286" t="s">
        <v>310</v>
      </c>
      <c r="S2286">
        <v>9</v>
      </c>
      <c r="T2286" t="s">
        <v>310</v>
      </c>
      <c r="U2286">
        <v>9</v>
      </c>
      <c r="V2286">
        <v>9</v>
      </c>
      <c r="W2286">
        <v>0</v>
      </c>
      <c r="X2286">
        <v>0</v>
      </c>
      <c r="Y2286">
        <v>0</v>
      </c>
      <c r="Z2286">
        <v>0</v>
      </c>
      <c r="AA2286">
        <v>9</v>
      </c>
      <c r="AB2286">
        <v>9</v>
      </c>
      <c r="AC2286" t="s">
        <v>310</v>
      </c>
      <c r="AD2286">
        <v>9</v>
      </c>
      <c r="AE2286" t="s">
        <v>1412</v>
      </c>
      <c r="AF2286">
        <v>10000000</v>
      </c>
      <c r="AG2286" t="s">
        <v>310</v>
      </c>
      <c r="AH2286">
        <f>SUM((MID(Dyno_Data[[#This Row],[Team]],4,5))+(Dyno_Data[[#This Row],[Match]]/100))</f>
        <v>1591.44</v>
      </c>
      <c r="AI2286" s="76">
        <f>ROUND(SUM(IF(Dyno_Data[[#This Row],[AcqCenter]]&gt;0,Dyno_Data[[#This Row],[Time]]-SUMIFS(Dyno_Data[Time],Dyno_Data[Team],Dyno_Data[[#This Row],[Team]],Dyno_Data[RecordType],"StartMatch",Dyno_Data[Match],Dyno_Data[[#This Row],[Match]]),0)*86400),0)</f>
        <v>13</v>
      </c>
    </row>
    <row r="2287" spans="1:35" x14ac:dyDescent="0.3">
      <c r="A2287">
        <v>2281</v>
      </c>
      <c r="B2287" t="s">
        <v>361</v>
      </c>
      <c r="C2287">
        <v>44</v>
      </c>
      <c r="D2287" s="105">
        <v>45373.68227114583</v>
      </c>
      <c r="E2287" t="s">
        <v>314</v>
      </c>
      <c r="F2287" t="s">
        <v>309</v>
      </c>
      <c r="G2287">
        <v>1</v>
      </c>
      <c r="H2287" t="s">
        <v>310</v>
      </c>
      <c r="I2287">
        <v>0</v>
      </c>
      <c r="J2287">
        <v>0</v>
      </c>
      <c r="K2287">
        <v>0</v>
      </c>
      <c r="L2287" t="s">
        <v>310</v>
      </c>
      <c r="M2287" t="s">
        <v>310</v>
      </c>
      <c r="N2287">
        <v>0</v>
      </c>
      <c r="O2287" t="s">
        <v>319</v>
      </c>
      <c r="P2287" t="s">
        <v>320</v>
      </c>
      <c r="Q2287" t="s">
        <v>1399</v>
      </c>
      <c r="R2287" t="s">
        <v>310</v>
      </c>
      <c r="S2287">
        <v>9</v>
      </c>
      <c r="T2287" t="s">
        <v>310</v>
      </c>
      <c r="U2287">
        <v>9</v>
      </c>
      <c r="V2287">
        <v>9</v>
      </c>
      <c r="W2287">
        <v>0</v>
      </c>
      <c r="X2287">
        <v>0</v>
      </c>
      <c r="Y2287">
        <v>0</v>
      </c>
      <c r="Z2287">
        <v>0</v>
      </c>
      <c r="AA2287">
        <v>9</v>
      </c>
      <c r="AB2287">
        <v>9</v>
      </c>
      <c r="AC2287" t="s">
        <v>310</v>
      </c>
      <c r="AD2287">
        <v>9</v>
      </c>
      <c r="AE2287" t="s">
        <v>1416</v>
      </c>
      <c r="AF2287">
        <v>0</v>
      </c>
      <c r="AG2287" t="s">
        <v>310</v>
      </c>
      <c r="AH2287">
        <f>SUM((MID(Dyno_Data[[#This Row],[Team]],4,5))+(Dyno_Data[[#This Row],[Match]]/100))</f>
        <v>20.440000000000001</v>
      </c>
      <c r="AI2287" s="76">
        <f>ROUND(SUM(IF(Dyno_Data[[#This Row],[AcqCenter]]&gt;0,Dyno_Data[[#This Row],[Time]]-SUMIFS(Dyno_Data[Time],Dyno_Data[Team],Dyno_Data[[#This Row],[Team]],Dyno_Data[RecordType],"StartMatch",Dyno_Data[Match],Dyno_Data[[#This Row],[Match]]),0)*86400),0)</f>
        <v>0</v>
      </c>
    </row>
    <row r="2288" spans="1:35" x14ac:dyDescent="0.3">
      <c r="A2288">
        <v>2290</v>
      </c>
      <c r="B2288" t="s">
        <v>1286</v>
      </c>
      <c r="C2288">
        <v>44</v>
      </c>
      <c r="D2288" s="105">
        <v>45373.682278275461</v>
      </c>
      <c r="E2288" t="s">
        <v>312</v>
      </c>
      <c r="F2288" t="s">
        <v>309</v>
      </c>
      <c r="G2288">
        <v>0</v>
      </c>
      <c r="H2288" t="s">
        <v>143</v>
      </c>
      <c r="I2288">
        <v>5</v>
      </c>
      <c r="J2288">
        <v>1</v>
      </c>
      <c r="K2288">
        <v>0</v>
      </c>
      <c r="L2288" t="s">
        <v>310</v>
      </c>
      <c r="M2288" t="s">
        <v>310</v>
      </c>
      <c r="N2288">
        <v>0</v>
      </c>
      <c r="O2288" t="s">
        <v>311</v>
      </c>
      <c r="P2288" t="s">
        <v>310</v>
      </c>
      <c r="Q2288" t="s">
        <v>310</v>
      </c>
      <c r="R2288" t="s">
        <v>310</v>
      </c>
      <c r="S2288">
        <v>9</v>
      </c>
      <c r="T2288" t="s">
        <v>310</v>
      </c>
      <c r="U2288">
        <v>9</v>
      </c>
      <c r="V2288">
        <v>9</v>
      </c>
      <c r="W2288">
        <v>0</v>
      </c>
      <c r="X2288">
        <v>0</v>
      </c>
      <c r="Y2288">
        <v>0</v>
      </c>
      <c r="Z2288">
        <v>0</v>
      </c>
      <c r="AA2288">
        <v>9</v>
      </c>
      <c r="AB2288">
        <v>9</v>
      </c>
      <c r="AC2288" t="s">
        <v>310</v>
      </c>
      <c r="AD2288">
        <v>9</v>
      </c>
      <c r="AE2288" t="s">
        <v>1412</v>
      </c>
      <c r="AF2288">
        <v>10000000</v>
      </c>
      <c r="AG2288" t="s">
        <v>310</v>
      </c>
      <c r="AH2288">
        <f>SUM((MID(Dyno_Data[[#This Row],[Team]],4,5))+(Dyno_Data[[#This Row],[Match]]/100))</f>
        <v>1591.44</v>
      </c>
      <c r="AI2288" s="76">
        <f>ROUND(SUM(IF(Dyno_Data[[#This Row],[AcqCenter]]&gt;0,Dyno_Data[[#This Row],[Time]]-SUMIFS(Dyno_Data[Time],Dyno_Data[Team],Dyno_Data[[#This Row],[Team]],Dyno_Data[RecordType],"StartMatch",Dyno_Data[Match],Dyno_Data[[#This Row],[Match]]),0)*86400),0)</f>
        <v>17</v>
      </c>
    </row>
    <row r="2289" spans="1:35" x14ac:dyDescent="0.3">
      <c r="A2289">
        <v>2283</v>
      </c>
      <c r="B2289" t="s">
        <v>1310</v>
      </c>
      <c r="C2289">
        <v>44</v>
      </c>
      <c r="D2289" s="105">
        <v>45373.682280636574</v>
      </c>
      <c r="E2289" t="s">
        <v>314</v>
      </c>
      <c r="F2289" t="s">
        <v>309</v>
      </c>
      <c r="G2289">
        <v>0</v>
      </c>
      <c r="H2289" t="s">
        <v>310</v>
      </c>
      <c r="I2289">
        <v>0</v>
      </c>
      <c r="J2289">
        <v>0</v>
      </c>
      <c r="K2289">
        <v>0</v>
      </c>
      <c r="L2289" t="s">
        <v>310</v>
      </c>
      <c r="M2289" t="s">
        <v>310</v>
      </c>
      <c r="N2289">
        <v>0</v>
      </c>
      <c r="O2289" t="s">
        <v>1395</v>
      </c>
      <c r="P2289" t="s">
        <v>101</v>
      </c>
      <c r="Q2289" t="s">
        <v>1400</v>
      </c>
      <c r="R2289" t="s">
        <v>310</v>
      </c>
      <c r="S2289">
        <v>9</v>
      </c>
      <c r="T2289" t="s">
        <v>310</v>
      </c>
      <c r="U2289">
        <v>9</v>
      </c>
      <c r="V2289">
        <v>9</v>
      </c>
      <c r="W2289">
        <v>0</v>
      </c>
      <c r="X2289">
        <v>0</v>
      </c>
      <c r="Y2289">
        <v>0</v>
      </c>
      <c r="Z2289">
        <v>0</v>
      </c>
      <c r="AA2289">
        <v>9</v>
      </c>
      <c r="AB2289">
        <v>9</v>
      </c>
      <c r="AC2289" t="s">
        <v>310</v>
      </c>
      <c r="AD2289">
        <v>9</v>
      </c>
      <c r="AE2289" t="s">
        <v>1413</v>
      </c>
      <c r="AF2289">
        <v>0</v>
      </c>
      <c r="AG2289" t="s">
        <v>310</v>
      </c>
      <c r="AH2289">
        <f>SUM((MID(Dyno_Data[[#This Row],[Team]],4,5))+(Dyno_Data[[#This Row],[Match]]/100))</f>
        <v>6621.44</v>
      </c>
      <c r="AI2289" s="76">
        <f>ROUND(SUM(IF(Dyno_Data[[#This Row],[AcqCenter]]&gt;0,Dyno_Data[[#This Row],[Time]]-SUMIFS(Dyno_Data[Time],Dyno_Data[Team],Dyno_Data[[#This Row],[Team]],Dyno_Data[RecordType],"StartMatch",Dyno_Data[Match],Dyno_Data[[#This Row],[Match]]),0)*86400),0)</f>
        <v>0</v>
      </c>
    </row>
    <row r="2290" spans="1:35" x14ac:dyDescent="0.3">
      <c r="A2290">
        <v>2285</v>
      </c>
      <c r="B2290" t="s">
        <v>1317</v>
      </c>
      <c r="C2290">
        <v>44</v>
      </c>
      <c r="D2290" s="105">
        <v>45373.682281331021</v>
      </c>
      <c r="E2290" t="s">
        <v>314</v>
      </c>
      <c r="F2290" t="s">
        <v>309</v>
      </c>
      <c r="G2290">
        <v>0</v>
      </c>
      <c r="H2290" t="s">
        <v>310</v>
      </c>
      <c r="I2290">
        <v>0</v>
      </c>
      <c r="J2290">
        <v>0</v>
      </c>
      <c r="K2290">
        <v>0</v>
      </c>
      <c r="L2290" t="s">
        <v>310</v>
      </c>
      <c r="M2290" t="s">
        <v>310</v>
      </c>
      <c r="N2290">
        <v>0</v>
      </c>
      <c r="O2290" t="s">
        <v>1393</v>
      </c>
      <c r="P2290" t="s">
        <v>320</v>
      </c>
      <c r="Q2290" t="s">
        <v>1399</v>
      </c>
      <c r="R2290" t="s">
        <v>310</v>
      </c>
      <c r="S2290">
        <v>9</v>
      </c>
      <c r="T2290" t="s">
        <v>310</v>
      </c>
      <c r="U2290">
        <v>9</v>
      </c>
      <c r="V2290">
        <v>9</v>
      </c>
      <c r="W2290">
        <v>0</v>
      </c>
      <c r="X2290">
        <v>0</v>
      </c>
      <c r="Y2290">
        <v>0</v>
      </c>
      <c r="Z2290">
        <v>0</v>
      </c>
      <c r="AA2290">
        <v>9</v>
      </c>
      <c r="AB2290">
        <v>9</v>
      </c>
      <c r="AC2290" t="s">
        <v>310</v>
      </c>
      <c r="AD2290">
        <v>9</v>
      </c>
      <c r="AE2290" t="s">
        <v>1414</v>
      </c>
      <c r="AF2290">
        <v>0</v>
      </c>
      <c r="AG2290" t="s">
        <v>310</v>
      </c>
      <c r="AH2290">
        <f>SUM((MID(Dyno_Data[[#This Row],[Team]],4,5))+(Dyno_Data[[#This Row],[Match]]/100))</f>
        <v>296.44</v>
      </c>
      <c r="AI2290" s="76">
        <f>ROUND(SUM(IF(Dyno_Data[[#This Row],[AcqCenter]]&gt;0,Dyno_Data[[#This Row],[Time]]-SUMIFS(Dyno_Data[Time],Dyno_Data[Team],Dyno_Data[[#This Row],[Team]],Dyno_Data[RecordType],"StartMatch",Dyno_Data[Match],Dyno_Data[[#This Row],[Match]]),0)*86400),0)</f>
        <v>0</v>
      </c>
    </row>
    <row r="2291" spans="1:35" x14ac:dyDescent="0.3">
      <c r="A2291">
        <v>2287</v>
      </c>
      <c r="B2291" t="s">
        <v>1298</v>
      </c>
      <c r="C2291">
        <v>44</v>
      </c>
      <c r="D2291" s="105">
        <v>45373.682282754628</v>
      </c>
      <c r="E2291" t="s">
        <v>314</v>
      </c>
      <c r="F2291" t="s">
        <v>309</v>
      </c>
      <c r="G2291">
        <v>0</v>
      </c>
      <c r="H2291" t="s">
        <v>310</v>
      </c>
      <c r="I2291">
        <v>0</v>
      </c>
      <c r="J2291">
        <v>0</v>
      </c>
      <c r="K2291">
        <v>0</v>
      </c>
      <c r="L2291" t="s">
        <v>310</v>
      </c>
      <c r="M2291" t="s">
        <v>310</v>
      </c>
      <c r="N2291">
        <v>0</v>
      </c>
      <c r="O2291" t="s">
        <v>1391</v>
      </c>
      <c r="P2291" t="s">
        <v>101</v>
      </c>
      <c r="Q2291" t="s">
        <v>1400</v>
      </c>
      <c r="R2291" t="s">
        <v>310</v>
      </c>
      <c r="S2291">
        <v>9</v>
      </c>
      <c r="T2291" t="s">
        <v>310</v>
      </c>
      <c r="U2291">
        <v>9</v>
      </c>
      <c r="V2291">
        <v>9</v>
      </c>
      <c r="W2291">
        <v>0</v>
      </c>
      <c r="X2291">
        <v>0</v>
      </c>
      <c r="Y2291">
        <v>0</v>
      </c>
      <c r="Z2291">
        <v>0</v>
      </c>
      <c r="AA2291">
        <v>9</v>
      </c>
      <c r="AB2291">
        <v>9</v>
      </c>
      <c r="AC2291" t="s">
        <v>310</v>
      </c>
      <c r="AD2291">
        <v>9</v>
      </c>
      <c r="AE2291" t="s">
        <v>1418</v>
      </c>
      <c r="AF2291">
        <v>0</v>
      </c>
      <c r="AG2291" t="s">
        <v>310</v>
      </c>
      <c r="AH2291">
        <f>SUM((MID(Dyno_Data[[#This Row],[Team]],4,5))+(Dyno_Data[[#This Row],[Match]]/100))</f>
        <v>9624.44</v>
      </c>
      <c r="AI2291" s="76">
        <f>ROUND(SUM(IF(Dyno_Data[[#This Row],[AcqCenter]]&gt;0,Dyno_Data[[#This Row],[Time]]-SUMIFS(Dyno_Data[Time],Dyno_Data[Team],Dyno_Data[[#This Row],[Team]],Dyno_Data[RecordType],"StartMatch",Dyno_Data[Match],Dyno_Data[[#This Row],[Match]]),0)*86400),0)</f>
        <v>0</v>
      </c>
    </row>
    <row r="2292" spans="1:35" x14ac:dyDescent="0.3">
      <c r="A2292">
        <v>2289</v>
      </c>
      <c r="B2292" t="s">
        <v>1291</v>
      </c>
      <c r="C2292">
        <v>44</v>
      </c>
      <c r="D2292" s="105">
        <v>45373.6822841088</v>
      </c>
      <c r="E2292" t="s">
        <v>314</v>
      </c>
      <c r="F2292" t="s">
        <v>309</v>
      </c>
      <c r="G2292">
        <v>1</v>
      </c>
      <c r="H2292" t="s">
        <v>310</v>
      </c>
      <c r="I2292">
        <v>0</v>
      </c>
      <c r="J2292">
        <v>0</v>
      </c>
      <c r="K2292">
        <v>0</v>
      </c>
      <c r="L2292" t="s">
        <v>310</v>
      </c>
      <c r="M2292" t="s">
        <v>310</v>
      </c>
      <c r="N2292">
        <v>0</v>
      </c>
      <c r="O2292" t="s">
        <v>1389</v>
      </c>
      <c r="P2292" t="s">
        <v>240</v>
      </c>
      <c r="Q2292" t="s">
        <v>1400</v>
      </c>
      <c r="R2292" t="s">
        <v>310</v>
      </c>
      <c r="S2292">
        <v>9</v>
      </c>
      <c r="T2292" t="s">
        <v>310</v>
      </c>
      <c r="U2292">
        <v>9</v>
      </c>
      <c r="V2292">
        <v>9</v>
      </c>
      <c r="W2292">
        <v>0</v>
      </c>
      <c r="X2292">
        <v>0</v>
      </c>
      <c r="Y2292">
        <v>0</v>
      </c>
      <c r="Z2292">
        <v>0</v>
      </c>
      <c r="AA2292">
        <v>9</v>
      </c>
      <c r="AB2292">
        <v>9</v>
      </c>
      <c r="AC2292" t="s">
        <v>310</v>
      </c>
      <c r="AD2292">
        <v>9</v>
      </c>
      <c r="AE2292" t="s">
        <v>1417</v>
      </c>
      <c r="AF2292">
        <v>10000000</v>
      </c>
      <c r="AG2292" t="s">
        <v>310</v>
      </c>
      <c r="AH2292">
        <f>SUM((MID(Dyno_Data[[#This Row],[Team]],4,5))+(Dyno_Data[[#This Row],[Match]]/100))</f>
        <v>1493.44</v>
      </c>
      <c r="AI2292" s="76">
        <f>ROUND(SUM(IF(Dyno_Data[[#This Row],[AcqCenter]]&gt;0,Dyno_Data[[#This Row],[Time]]-SUMIFS(Dyno_Data[Time],Dyno_Data[Team],Dyno_Data[[#This Row],[Team]],Dyno_Data[RecordType],"StartMatch",Dyno_Data[Match],Dyno_Data[[#This Row],[Match]]),0)*86400),0)</f>
        <v>0</v>
      </c>
    </row>
    <row r="2293" spans="1:35" x14ac:dyDescent="0.3">
      <c r="A2293">
        <v>2292</v>
      </c>
      <c r="B2293" t="s">
        <v>1286</v>
      </c>
      <c r="C2293">
        <v>44</v>
      </c>
      <c r="D2293" s="105">
        <v>45373.682291400466</v>
      </c>
      <c r="E2293" t="s">
        <v>314</v>
      </c>
      <c r="F2293" t="s">
        <v>309</v>
      </c>
      <c r="G2293">
        <v>1</v>
      </c>
      <c r="H2293" t="s">
        <v>310</v>
      </c>
      <c r="I2293">
        <v>0</v>
      </c>
      <c r="J2293">
        <v>0</v>
      </c>
      <c r="K2293">
        <v>0</v>
      </c>
      <c r="L2293" t="s">
        <v>310</v>
      </c>
      <c r="M2293" t="s">
        <v>310</v>
      </c>
      <c r="N2293">
        <v>0</v>
      </c>
      <c r="O2293" t="s">
        <v>311</v>
      </c>
      <c r="P2293" t="s">
        <v>240</v>
      </c>
      <c r="Q2293" t="s">
        <v>1400</v>
      </c>
      <c r="R2293" t="s">
        <v>310</v>
      </c>
      <c r="S2293">
        <v>9</v>
      </c>
      <c r="T2293" t="s">
        <v>310</v>
      </c>
      <c r="U2293">
        <v>9</v>
      </c>
      <c r="V2293">
        <v>9</v>
      </c>
      <c r="W2293">
        <v>0</v>
      </c>
      <c r="X2293">
        <v>0</v>
      </c>
      <c r="Y2293">
        <v>0</v>
      </c>
      <c r="Z2293">
        <v>0</v>
      </c>
      <c r="AA2293">
        <v>9</v>
      </c>
      <c r="AB2293">
        <v>9</v>
      </c>
      <c r="AC2293" t="s">
        <v>310</v>
      </c>
      <c r="AD2293">
        <v>9</v>
      </c>
      <c r="AE2293" t="s">
        <v>1412</v>
      </c>
      <c r="AF2293">
        <v>10000000</v>
      </c>
      <c r="AG2293" t="s">
        <v>310</v>
      </c>
      <c r="AH2293">
        <f>SUM((MID(Dyno_Data[[#This Row],[Team]],4,5))+(Dyno_Data[[#This Row],[Match]]/100))</f>
        <v>1591.44</v>
      </c>
      <c r="AI2293" s="76">
        <f>ROUND(SUM(IF(Dyno_Data[[#This Row],[AcqCenter]]&gt;0,Dyno_Data[[#This Row],[Time]]-SUMIFS(Dyno_Data[Time],Dyno_Data[Team],Dyno_Data[[#This Row],[Team]],Dyno_Data[RecordType],"StartMatch",Dyno_Data[Match],Dyno_Data[[#This Row],[Match]]),0)*86400),0)</f>
        <v>0</v>
      </c>
    </row>
    <row r="2294" spans="1:35" x14ac:dyDescent="0.3">
      <c r="A2294">
        <v>2293</v>
      </c>
      <c r="B2294" t="s">
        <v>361</v>
      </c>
      <c r="C2294">
        <v>44</v>
      </c>
      <c r="D2294" s="105">
        <v>45373.682358136575</v>
      </c>
      <c r="E2294" t="s">
        <v>1403</v>
      </c>
      <c r="F2294" t="s">
        <v>1402</v>
      </c>
      <c r="G2294">
        <v>0</v>
      </c>
      <c r="H2294" t="s">
        <v>310</v>
      </c>
      <c r="I2294">
        <v>0</v>
      </c>
      <c r="J2294">
        <v>0</v>
      </c>
      <c r="K2294">
        <v>0</v>
      </c>
      <c r="L2294" t="s">
        <v>310</v>
      </c>
      <c r="M2294" t="s">
        <v>310</v>
      </c>
      <c r="N2294">
        <v>0</v>
      </c>
      <c r="O2294" t="s">
        <v>319</v>
      </c>
      <c r="P2294" t="s">
        <v>310</v>
      </c>
      <c r="Q2294" t="s">
        <v>310</v>
      </c>
      <c r="R2294" t="s">
        <v>310</v>
      </c>
      <c r="S2294">
        <v>9</v>
      </c>
      <c r="T2294" t="s">
        <v>310</v>
      </c>
      <c r="U2294">
        <v>9</v>
      </c>
      <c r="V2294">
        <v>9</v>
      </c>
      <c r="W2294">
        <v>0</v>
      </c>
      <c r="X2294">
        <v>0</v>
      </c>
      <c r="Y2294">
        <v>0</v>
      </c>
      <c r="Z2294">
        <v>0</v>
      </c>
      <c r="AA2294">
        <v>9</v>
      </c>
      <c r="AB2294">
        <v>9</v>
      </c>
      <c r="AC2294" t="s">
        <v>310</v>
      </c>
      <c r="AD2294">
        <v>9</v>
      </c>
      <c r="AE2294" t="s">
        <v>1416</v>
      </c>
      <c r="AF2294">
        <v>10000000</v>
      </c>
      <c r="AG2294" t="s">
        <v>249</v>
      </c>
      <c r="AH2294">
        <f>SUM((MID(Dyno_Data[[#This Row],[Team]],4,5))+(Dyno_Data[[#This Row],[Match]]/100))</f>
        <v>20.440000000000001</v>
      </c>
      <c r="AI2294" s="76">
        <f>ROUND(SUM(IF(Dyno_Data[[#This Row],[AcqCenter]]&gt;0,Dyno_Data[[#This Row],[Time]]-SUMIFS(Dyno_Data[Time],Dyno_Data[Team],Dyno_Data[[#This Row],[Team]],Dyno_Data[RecordType],"StartMatch",Dyno_Data[Match],Dyno_Data[[#This Row],[Match]]),0)*86400),0)</f>
        <v>0</v>
      </c>
    </row>
    <row r="2295" spans="1:35" x14ac:dyDescent="0.3">
      <c r="A2295">
        <v>2294</v>
      </c>
      <c r="B2295" t="s">
        <v>1286</v>
      </c>
      <c r="C2295">
        <v>44</v>
      </c>
      <c r="D2295" s="105">
        <v>45373.682374270837</v>
      </c>
      <c r="E2295" t="s">
        <v>312</v>
      </c>
      <c r="F2295" t="s">
        <v>1402</v>
      </c>
      <c r="G2295">
        <v>0</v>
      </c>
      <c r="H2295" t="s">
        <v>143</v>
      </c>
      <c r="I2295">
        <v>0</v>
      </c>
      <c r="J2295">
        <v>0</v>
      </c>
      <c r="K2295">
        <v>0</v>
      </c>
      <c r="L2295" t="s">
        <v>241</v>
      </c>
      <c r="M2295" t="s">
        <v>101</v>
      </c>
      <c r="N2295">
        <v>0</v>
      </c>
      <c r="O2295" t="s">
        <v>311</v>
      </c>
      <c r="P2295" t="s">
        <v>310</v>
      </c>
      <c r="Q2295" t="s">
        <v>310</v>
      </c>
      <c r="R2295" t="s">
        <v>310</v>
      </c>
      <c r="S2295">
        <v>9</v>
      </c>
      <c r="T2295" t="s">
        <v>310</v>
      </c>
      <c r="U2295">
        <v>9</v>
      </c>
      <c r="V2295">
        <v>9</v>
      </c>
      <c r="W2295">
        <v>0</v>
      </c>
      <c r="X2295">
        <v>0</v>
      </c>
      <c r="Y2295">
        <v>0</v>
      </c>
      <c r="Z2295">
        <v>0</v>
      </c>
      <c r="AA2295">
        <v>9</v>
      </c>
      <c r="AB2295">
        <v>9</v>
      </c>
      <c r="AC2295" t="s">
        <v>310</v>
      </c>
      <c r="AD2295">
        <v>9</v>
      </c>
      <c r="AE2295" t="s">
        <v>1412</v>
      </c>
      <c r="AF2295">
        <v>10000000</v>
      </c>
      <c r="AG2295" t="s">
        <v>310</v>
      </c>
      <c r="AH2295">
        <f>SUM((MID(Dyno_Data[[#This Row],[Team]],4,5))+(Dyno_Data[[#This Row],[Match]]/100))</f>
        <v>1591.44</v>
      </c>
      <c r="AI2295" s="76">
        <f>ROUND(SUM(IF(Dyno_Data[[#This Row],[AcqCenter]]&gt;0,Dyno_Data[[#This Row],[Time]]-SUMIFS(Dyno_Data[Time],Dyno_Data[Team],Dyno_Data[[#This Row],[Team]],Dyno_Data[RecordType],"StartMatch",Dyno_Data[Match],Dyno_Data[[#This Row],[Match]]),0)*86400),0)</f>
        <v>0</v>
      </c>
    </row>
    <row r="2296" spans="1:35" x14ac:dyDescent="0.3">
      <c r="A2296">
        <v>2295</v>
      </c>
      <c r="B2296" t="s">
        <v>1310</v>
      </c>
      <c r="C2296">
        <v>44</v>
      </c>
      <c r="D2296" s="105">
        <v>45373.682395173608</v>
      </c>
      <c r="E2296" t="s">
        <v>312</v>
      </c>
      <c r="F2296" t="s">
        <v>1402</v>
      </c>
      <c r="G2296">
        <v>0</v>
      </c>
      <c r="H2296" t="s">
        <v>315</v>
      </c>
      <c r="I2296">
        <v>0</v>
      </c>
      <c r="J2296">
        <v>0</v>
      </c>
      <c r="K2296">
        <v>0</v>
      </c>
      <c r="L2296" t="s">
        <v>241</v>
      </c>
      <c r="M2296" t="s">
        <v>1398</v>
      </c>
      <c r="N2296">
        <v>0</v>
      </c>
      <c r="O2296" t="s">
        <v>1395</v>
      </c>
      <c r="P2296" t="s">
        <v>310</v>
      </c>
      <c r="Q2296" t="s">
        <v>310</v>
      </c>
      <c r="R2296" t="s">
        <v>310</v>
      </c>
      <c r="S2296">
        <v>9</v>
      </c>
      <c r="T2296" t="s">
        <v>310</v>
      </c>
      <c r="U2296">
        <v>9</v>
      </c>
      <c r="V2296">
        <v>9</v>
      </c>
      <c r="W2296">
        <v>0</v>
      </c>
      <c r="X2296">
        <v>0</v>
      </c>
      <c r="Y2296">
        <v>0</v>
      </c>
      <c r="Z2296">
        <v>0</v>
      </c>
      <c r="AA2296">
        <v>9</v>
      </c>
      <c r="AB2296">
        <v>9</v>
      </c>
      <c r="AC2296" t="s">
        <v>310</v>
      </c>
      <c r="AD2296">
        <v>9</v>
      </c>
      <c r="AE2296" t="s">
        <v>1413</v>
      </c>
      <c r="AF2296">
        <v>10000000</v>
      </c>
      <c r="AG2296" t="s">
        <v>310</v>
      </c>
      <c r="AH2296">
        <f>SUM((MID(Dyno_Data[[#This Row],[Team]],4,5))+(Dyno_Data[[#This Row],[Match]]/100))</f>
        <v>6621.44</v>
      </c>
      <c r="AI2296" s="76">
        <f>ROUND(SUM(IF(Dyno_Data[[#This Row],[AcqCenter]]&gt;0,Dyno_Data[[#This Row],[Time]]-SUMIFS(Dyno_Data[Time],Dyno_Data[Team],Dyno_Data[[#This Row],[Team]],Dyno_Data[RecordType],"StartMatch",Dyno_Data[Match],Dyno_Data[[#This Row],[Match]]),0)*86400),0)</f>
        <v>0</v>
      </c>
    </row>
    <row r="2297" spans="1:35" x14ac:dyDescent="0.3">
      <c r="A2297">
        <v>2296</v>
      </c>
      <c r="B2297" t="s">
        <v>1298</v>
      </c>
      <c r="C2297">
        <v>44</v>
      </c>
      <c r="D2297" s="105">
        <v>45373.682411921298</v>
      </c>
      <c r="E2297" t="s">
        <v>312</v>
      </c>
      <c r="F2297" t="s">
        <v>1402</v>
      </c>
      <c r="G2297">
        <v>0</v>
      </c>
      <c r="H2297" t="s">
        <v>315</v>
      </c>
      <c r="I2297">
        <v>0</v>
      </c>
      <c r="J2297">
        <v>0</v>
      </c>
      <c r="K2297">
        <v>0</v>
      </c>
      <c r="L2297" t="s">
        <v>241</v>
      </c>
      <c r="M2297" t="s">
        <v>1398</v>
      </c>
      <c r="N2297">
        <v>0</v>
      </c>
      <c r="O2297" t="s">
        <v>1391</v>
      </c>
      <c r="P2297" t="s">
        <v>310</v>
      </c>
      <c r="Q2297" t="s">
        <v>310</v>
      </c>
      <c r="R2297" t="s">
        <v>310</v>
      </c>
      <c r="S2297">
        <v>9</v>
      </c>
      <c r="T2297" t="s">
        <v>310</v>
      </c>
      <c r="U2297">
        <v>9</v>
      </c>
      <c r="V2297">
        <v>9</v>
      </c>
      <c r="W2297">
        <v>0</v>
      </c>
      <c r="X2297">
        <v>0</v>
      </c>
      <c r="Y2297">
        <v>0</v>
      </c>
      <c r="Z2297">
        <v>0</v>
      </c>
      <c r="AA2297">
        <v>9</v>
      </c>
      <c r="AB2297">
        <v>9</v>
      </c>
      <c r="AC2297" t="s">
        <v>310</v>
      </c>
      <c r="AD2297">
        <v>9</v>
      </c>
      <c r="AE2297" t="s">
        <v>1418</v>
      </c>
      <c r="AF2297">
        <v>10000000</v>
      </c>
      <c r="AG2297" t="s">
        <v>310</v>
      </c>
      <c r="AH2297">
        <f>SUM((MID(Dyno_Data[[#This Row],[Team]],4,5))+(Dyno_Data[[#This Row],[Match]]/100))</f>
        <v>9624.44</v>
      </c>
      <c r="AI2297" s="76">
        <f>ROUND(SUM(IF(Dyno_Data[[#This Row],[AcqCenter]]&gt;0,Dyno_Data[[#This Row],[Time]]-SUMIFS(Dyno_Data[Time],Dyno_Data[Team],Dyno_Data[[#This Row],[Team]],Dyno_Data[RecordType],"StartMatch",Dyno_Data[Match],Dyno_Data[[#This Row],[Match]]),0)*86400),0)</f>
        <v>0</v>
      </c>
    </row>
    <row r="2298" spans="1:35" x14ac:dyDescent="0.3">
      <c r="A2298">
        <v>2297</v>
      </c>
      <c r="B2298" t="s">
        <v>1317</v>
      </c>
      <c r="C2298">
        <v>44</v>
      </c>
      <c r="D2298" s="105">
        <v>45373.682412037037</v>
      </c>
      <c r="E2298" t="s">
        <v>312</v>
      </c>
      <c r="F2298" t="s">
        <v>1402</v>
      </c>
      <c r="G2298">
        <v>0</v>
      </c>
      <c r="H2298" t="s">
        <v>143</v>
      </c>
      <c r="I2298">
        <v>0</v>
      </c>
      <c r="J2298">
        <v>0</v>
      </c>
      <c r="K2298">
        <v>0</v>
      </c>
      <c r="L2298" t="s">
        <v>241</v>
      </c>
      <c r="M2298" t="s">
        <v>1398</v>
      </c>
      <c r="N2298">
        <v>1</v>
      </c>
      <c r="O2298" t="s">
        <v>1393</v>
      </c>
      <c r="P2298" t="s">
        <v>310</v>
      </c>
      <c r="Q2298" t="s">
        <v>310</v>
      </c>
      <c r="R2298" t="s">
        <v>310</v>
      </c>
      <c r="S2298">
        <v>9</v>
      </c>
      <c r="T2298" t="s">
        <v>310</v>
      </c>
      <c r="U2298">
        <v>9</v>
      </c>
      <c r="V2298">
        <v>9</v>
      </c>
      <c r="W2298">
        <v>0</v>
      </c>
      <c r="X2298">
        <v>0</v>
      </c>
      <c r="Y2298">
        <v>0</v>
      </c>
      <c r="Z2298">
        <v>0</v>
      </c>
      <c r="AA2298">
        <v>9</v>
      </c>
      <c r="AB2298">
        <v>9</v>
      </c>
      <c r="AC2298" t="s">
        <v>310</v>
      </c>
      <c r="AD2298">
        <v>9</v>
      </c>
      <c r="AE2298" t="s">
        <v>1414</v>
      </c>
      <c r="AF2298">
        <v>0</v>
      </c>
      <c r="AG2298" t="s">
        <v>310</v>
      </c>
      <c r="AH2298">
        <f>SUM((MID(Dyno_Data[[#This Row],[Team]],4,5))+(Dyno_Data[[#This Row],[Match]]/100))</f>
        <v>296.44</v>
      </c>
      <c r="AI2298" s="76">
        <f>ROUND(SUM(IF(Dyno_Data[[#This Row],[AcqCenter]]&gt;0,Dyno_Data[[#This Row],[Time]]-SUMIFS(Dyno_Data[Time],Dyno_Data[Team],Dyno_Data[[#This Row],[Team]],Dyno_Data[RecordType],"StartMatch",Dyno_Data[Match],Dyno_Data[[#This Row],[Match]]),0)*86400),0)</f>
        <v>0</v>
      </c>
    </row>
    <row r="2299" spans="1:35" x14ac:dyDescent="0.3">
      <c r="A2299">
        <v>2298</v>
      </c>
      <c r="B2299" t="s">
        <v>361</v>
      </c>
      <c r="C2299">
        <v>44</v>
      </c>
      <c r="D2299" s="105">
        <v>45373.68245443287</v>
      </c>
      <c r="E2299" t="s">
        <v>312</v>
      </c>
      <c r="F2299" t="s">
        <v>1402</v>
      </c>
      <c r="G2299">
        <v>0</v>
      </c>
      <c r="H2299" t="s">
        <v>315</v>
      </c>
      <c r="I2299">
        <v>0</v>
      </c>
      <c r="J2299">
        <v>0</v>
      </c>
      <c r="K2299">
        <v>0</v>
      </c>
      <c r="L2299" t="s">
        <v>241</v>
      </c>
      <c r="M2299" t="s">
        <v>1398</v>
      </c>
      <c r="N2299">
        <v>0</v>
      </c>
      <c r="O2299" t="s">
        <v>319</v>
      </c>
      <c r="P2299" t="s">
        <v>310</v>
      </c>
      <c r="Q2299" t="s">
        <v>310</v>
      </c>
      <c r="R2299" t="s">
        <v>310</v>
      </c>
      <c r="S2299">
        <v>9</v>
      </c>
      <c r="T2299" t="s">
        <v>310</v>
      </c>
      <c r="U2299">
        <v>9</v>
      </c>
      <c r="V2299">
        <v>9</v>
      </c>
      <c r="W2299">
        <v>0</v>
      </c>
      <c r="X2299">
        <v>0</v>
      </c>
      <c r="Y2299">
        <v>0</v>
      </c>
      <c r="Z2299">
        <v>0</v>
      </c>
      <c r="AA2299">
        <v>9</v>
      </c>
      <c r="AB2299">
        <v>9</v>
      </c>
      <c r="AC2299" t="s">
        <v>310</v>
      </c>
      <c r="AD2299">
        <v>9</v>
      </c>
      <c r="AE2299" t="s">
        <v>1416</v>
      </c>
      <c r="AF2299">
        <v>10000000</v>
      </c>
      <c r="AG2299" t="s">
        <v>310</v>
      </c>
      <c r="AH2299">
        <f>SUM((MID(Dyno_Data[[#This Row],[Team]],4,5))+(Dyno_Data[[#This Row],[Match]]/100))</f>
        <v>20.440000000000001</v>
      </c>
      <c r="AI2299" s="76">
        <f>ROUND(SUM(IF(Dyno_Data[[#This Row],[AcqCenter]]&gt;0,Dyno_Data[[#This Row],[Time]]-SUMIFS(Dyno_Data[Time],Dyno_Data[Team],Dyno_Data[[#This Row],[Team]],Dyno_Data[RecordType],"StartMatch",Dyno_Data[Match],Dyno_Data[[#This Row],[Match]]),0)*86400),0)</f>
        <v>0</v>
      </c>
    </row>
    <row r="2300" spans="1:35" x14ac:dyDescent="0.3">
      <c r="A2300">
        <v>2299</v>
      </c>
      <c r="B2300" t="s">
        <v>1291</v>
      </c>
      <c r="C2300">
        <v>44</v>
      </c>
      <c r="D2300" s="105">
        <v>45373.682463854166</v>
      </c>
      <c r="E2300" t="s">
        <v>312</v>
      </c>
      <c r="F2300" t="s">
        <v>1402</v>
      </c>
      <c r="G2300">
        <v>0</v>
      </c>
      <c r="H2300" t="s">
        <v>315</v>
      </c>
      <c r="I2300">
        <v>0</v>
      </c>
      <c r="J2300">
        <v>0</v>
      </c>
      <c r="K2300">
        <v>0</v>
      </c>
      <c r="L2300" t="s">
        <v>241</v>
      </c>
      <c r="M2300" t="s">
        <v>1398</v>
      </c>
      <c r="N2300">
        <v>0</v>
      </c>
      <c r="O2300" t="s">
        <v>1389</v>
      </c>
      <c r="P2300" t="s">
        <v>310</v>
      </c>
      <c r="Q2300" t="s">
        <v>310</v>
      </c>
      <c r="R2300" t="s">
        <v>310</v>
      </c>
      <c r="S2300">
        <v>9</v>
      </c>
      <c r="T2300" t="s">
        <v>310</v>
      </c>
      <c r="U2300">
        <v>9</v>
      </c>
      <c r="V2300">
        <v>9</v>
      </c>
      <c r="W2300">
        <v>0</v>
      </c>
      <c r="X2300">
        <v>0</v>
      </c>
      <c r="Y2300">
        <v>0</v>
      </c>
      <c r="Z2300">
        <v>0</v>
      </c>
      <c r="AA2300">
        <v>9</v>
      </c>
      <c r="AB2300">
        <v>9</v>
      </c>
      <c r="AC2300" t="s">
        <v>310</v>
      </c>
      <c r="AD2300">
        <v>9</v>
      </c>
      <c r="AE2300" t="s">
        <v>1417</v>
      </c>
      <c r="AF2300">
        <v>20000000</v>
      </c>
      <c r="AG2300" t="s">
        <v>310</v>
      </c>
      <c r="AH2300">
        <f>SUM((MID(Dyno_Data[[#This Row],[Team]],4,5))+(Dyno_Data[[#This Row],[Match]]/100))</f>
        <v>1493.44</v>
      </c>
      <c r="AI2300" s="76">
        <f>ROUND(SUM(IF(Dyno_Data[[#This Row],[AcqCenter]]&gt;0,Dyno_Data[[#This Row],[Time]]-SUMIFS(Dyno_Data[Time],Dyno_Data[Team],Dyno_Data[[#This Row],[Team]],Dyno_Data[RecordType],"StartMatch",Dyno_Data[Match],Dyno_Data[[#This Row],[Match]]),0)*86400),0)</f>
        <v>0</v>
      </c>
    </row>
    <row r="2301" spans="1:35" x14ac:dyDescent="0.3">
      <c r="A2301">
        <v>2300</v>
      </c>
      <c r="B2301" t="s">
        <v>1286</v>
      </c>
      <c r="C2301">
        <v>44</v>
      </c>
      <c r="D2301" s="105">
        <v>45373.682479895833</v>
      </c>
      <c r="E2301" t="s">
        <v>312</v>
      </c>
      <c r="F2301" t="s">
        <v>1402</v>
      </c>
      <c r="G2301">
        <v>0</v>
      </c>
      <c r="H2301" t="s">
        <v>315</v>
      </c>
      <c r="I2301">
        <v>0</v>
      </c>
      <c r="J2301">
        <v>0</v>
      </c>
      <c r="K2301">
        <v>0</v>
      </c>
      <c r="L2301" t="s">
        <v>241</v>
      </c>
      <c r="M2301" t="s">
        <v>1398</v>
      </c>
      <c r="N2301">
        <v>0</v>
      </c>
      <c r="O2301" t="s">
        <v>311</v>
      </c>
      <c r="P2301" t="s">
        <v>310</v>
      </c>
      <c r="Q2301" t="s">
        <v>310</v>
      </c>
      <c r="R2301" t="s">
        <v>310</v>
      </c>
      <c r="S2301">
        <v>9</v>
      </c>
      <c r="T2301" t="s">
        <v>310</v>
      </c>
      <c r="U2301">
        <v>9</v>
      </c>
      <c r="V2301">
        <v>9</v>
      </c>
      <c r="W2301">
        <v>0</v>
      </c>
      <c r="X2301">
        <v>0</v>
      </c>
      <c r="Y2301">
        <v>0</v>
      </c>
      <c r="Z2301">
        <v>0</v>
      </c>
      <c r="AA2301">
        <v>9</v>
      </c>
      <c r="AB2301">
        <v>9</v>
      </c>
      <c r="AC2301" t="s">
        <v>310</v>
      </c>
      <c r="AD2301">
        <v>9</v>
      </c>
      <c r="AE2301" t="s">
        <v>1412</v>
      </c>
      <c r="AF2301">
        <v>20000000</v>
      </c>
      <c r="AG2301" t="s">
        <v>310</v>
      </c>
      <c r="AH2301">
        <f>SUM((MID(Dyno_Data[[#This Row],[Team]],4,5))+(Dyno_Data[[#This Row],[Match]]/100))</f>
        <v>1591.44</v>
      </c>
      <c r="AI2301" s="76">
        <f>ROUND(SUM(IF(Dyno_Data[[#This Row],[AcqCenter]]&gt;0,Dyno_Data[[#This Row],[Time]]-SUMIFS(Dyno_Data[Time],Dyno_Data[Team],Dyno_Data[[#This Row],[Team]],Dyno_Data[RecordType],"StartMatch",Dyno_Data[Match],Dyno_Data[[#This Row],[Match]]),0)*86400),0)</f>
        <v>0</v>
      </c>
    </row>
    <row r="2302" spans="1:35" x14ac:dyDescent="0.3">
      <c r="A2302">
        <v>2301</v>
      </c>
      <c r="B2302" t="s">
        <v>1286</v>
      </c>
      <c r="C2302">
        <v>44</v>
      </c>
      <c r="D2302" s="105">
        <v>45373.682518865739</v>
      </c>
      <c r="E2302" t="s">
        <v>312</v>
      </c>
      <c r="F2302" t="s">
        <v>1402</v>
      </c>
      <c r="G2302">
        <v>0</v>
      </c>
      <c r="H2302" t="s">
        <v>315</v>
      </c>
      <c r="I2302">
        <v>0</v>
      </c>
      <c r="J2302">
        <v>0</v>
      </c>
      <c r="K2302">
        <v>0</v>
      </c>
      <c r="L2302" t="s">
        <v>241</v>
      </c>
      <c r="M2302" t="s">
        <v>1398</v>
      </c>
      <c r="N2302">
        <v>0</v>
      </c>
      <c r="O2302" t="s">
        <v>311</v>
      </c>
      <c r="P2302" t="s">
        <v>310</v>
      </c>
      <c r="Q2302" t="s">
        <v>310</v>
      </c>
      <c r="R2302" t="s">
        <v>310</v>
      </c>
      <c r="S2302">
        <v>9</v>
      </c>
      <c r="T2302" t="s">
        <v>310</v>
      </c>
      <c r="U2302">
        <v>9</v>
      </c>
      <c r="V2302">
        <v>9</v>
      </c>
      <c r="W2302">
        <v>0</v>
      </c>
      <c r="X2302">
        <v>0</v>
      </c>
      <c r="Y2302">
        <v>0</v>
      </c>
      <c r="Z2302">
        <v>0</v>
      </c>
      <c r="AA2302">
        <v>9</v>
      </c>
      <c r="AB2302">
        <v>9</v>
      </c>
      <c r="AC2302" t="s">
        <v>310</v>
      </c>
      <c r="AD2302">
        <v>9</v>
      </c>
      <c r="AE2302" t="s">
        <v>1412</v>
      </c>
      <c r="AF2302">
        <v>30000000</v>
      </c>
      <c r="AG2302" t="s">
        <v>310</v>
      </c>
      <c r="AH2302">
        <f>SUM((MID(Dyno_Data[[#This Row],[Team]],4,5))+(Dyno_Data[[#This Row],[Match]]/100))</f>
        <v>1591.44</v>
      </c>
      <c r="AI2302" s="76">
        <f>ROUND(SUM(IF(Dyno_Data[[#This Row],[AcqCenter]]&gt;0,Dyno_Data[[#This Row],[Time]]-SUMIFS(Dyno_Data[Time],Dyno_Data[Team],Dyno_Data[[#This Row],[Team]],Dyno_Data[RecordType],"StartMatch",Dyno_Data[Match],Dyno_Data[[#This Row],[Match]]),0)*86400),0)</f>
        <v>0</v>
      </c>
    </row>
    <row r="2303" spans="1:35" x14ac:dyDescent="0.3">
      <c r="A2303">
        <v>2302</v>
      </c>
      <c r="B2303" t="s">
        <v>1310</v>
      </c>
      <c r="C2303">
        <v>44</v>
      </c>
      <c r="D2303" s="105">
        <v>45373.682575312501</v>
      </c>
      <c r="E2303" t="s">
        <v>312</v>
      </c>
      <c r="F2303" t="s">
        <v>1402</v>
      </c>
      <c r="G2303">
        <v>0</v>
      </c>
      <c r="H2303" t="s">
        <v>315</v>
      </c>
      <c r="I2303">
        <v>0</v>
      </c>
      <c r="J2303">
        <v>0</v>
      </c>
      <c r="K2303">
        <v>0</v>
      </c>
      <c r="L2303" t="s">
        <v>242</v>
      </c>
      <c r="M2303" t="s">
        <v>1398</v>
      </c>
      <c r="N2303">
        <v>0</v>
      </c>
      <c r="O2303" t="s">
        <v>1395</v>
      </c>
      <c r="P2303" t="s">
        <v>310</v>
      </c>
      <c r="Q2303" t="s">
        <v>310</v>
      </c>
      <c r="R2303" t="s">
        <v>310</v>
      </c>
      <c r="S2303">
        <v>9</v>
      </c>
      <c r="T2303" t="s">
        <v>310</v>
      </c>
      <c r="U2303">
        <v>9</v>
      </c>
      <c r="V2303">
        <v>9</v>
      </c>
      <c r="W2303">
        <v>0</v>
      </c>
      <c r="X2303">
        <v>0</v>
      </c>
      <c r="Y2303">
        <v>0</v>
      </c>
      <c r="Z2303">
        <v>0</v>
      </c>
      <c r="AA2303">
        <v>9</v>
      </c>
      <c r="AB2303">
        <v>9</v>
      </c>
      <c r="AC2303" t="s">
        <v>310</v>
      </c>
      <c r="AD2303">
        <v>9</v>
      </c>
      <c r="AE2303" t="s">
        <v>1413</v>
      </c>
      <c r="AF2303">
        <v>20000000</v>
      </c>
      <c r="AG2303" t="s">
        <v>310</v>
      </c>
      <c r="AH2303">
        <f>SUM((MID(Dyno_Data[[#This Row],[Team]],4,5))+(Dyno_Data[[#This Row],[Match]]/100))</f>
        <v>6621.44</v>
      </c>
      <c r="AI2303" s="76">
        <f>ROUND(SUM(IF(Dyno_Data[[#This Row],[AcqCenter]]&gt;0,Dyno_Data[[#This Row],[Time]]-SUMIFS(Dyno_Data[Time],Dyno_Data[Team],Dyno_Data[[#This Row],[Team]],Dyno_Data[RecordType],"StartMatch",Dyno_Data[Match],Dyno_Data[[#This Row],[Match]]),0)*86400),0)</f>
        <v>0</v>
      </c>
    </row>
    <row r="2304" spans="1:35" x14ac:dyDescent="0.3">
      <c r="A2304">
        <v>2303</v>
      </c>
      <c r="B2304" t="s">
        <v>1286</v>
      </c>
      <c r="C2304">
        <v>44</v>
      </c>
      <c r="D2304" s="105">
        <v>45373.682651238429</v>
      </c>
      <c r="E2304" t="s">
        <v>312</v>
      </c>
      <c r="F2304" t="s">
        <v>1402</v>
      </c>
      <c r="G2304">
        <v>0</v>
      </c>
      <c r="H2304" t="s">
        <v>315</v>
      </c>
      <c r="I2304">
        <v>0</v>
      </c>
      <c r="J2304">
        <v>0</v>
      </c>
      <c r="K2304">
        <v>0</v>
      </c>
      <c r="L2304" t="s">
        <v>241</v>
      </c>
      <c r="M2304" t="s">
        <v>1398</v>
      </c>
      <c r="N2304">
        <v>0</v>
      </c>
      <c r="O2304" t="s">
        <v>311</v>
      </c>
      <c r="P2304" t="s">
        <v>310</v>
      </c>
      <c r="Q2304" t="s">
        <v>310</v>
      </c>
      <c r="R2304" t="s">
        <v>310</v>
      </c>
      <c r="S2304">
        <v>9</v>
      </c>
      <c r="T2304" t="s">
        <v>310</v>
      </c>
      <c r="U2304">
        <v>9</v>
      </c>
      <c r="V2304">
        <v>9</v>
      </c>
      <c r="W2304">
        <v>0</v>
      </c>
      <c r="X2304">
        <v>0</v>
      </c>
      <c r="Y2304">
        <v>0</v>
      </c>
      <c r="Z2304">
        <v>0</v>
      </c>
      <c r="AA2304">
        <v>9</v>
      </c>
      <c r="AB2304">
        <v>9</v>
      </c>
      <c r="AC2304" t="s">
        <v>310</v>
      </c>
      <c r="AD2304">
        <v>9</v>
      </c>
      <c r="AE2304" t="s">
        <v>1412</v>
      </c>
      <c r="AF2304">
        <v>40000000</v>
      </c>
      <c r="AG2304" t="s">
        <v>310</v>
      </c>
      <c r="AH2304">
        <f>SUM((MID(Dyno_Data[[#This Row],[Team]],4,5))+(Dyno_Data[[#This Row],[Match]]/100))</f>
        <v>1591.44</v>
      </c>
      <c r="AI2304" s="76">
        <f>ROUND(SUM(IF(Dyno_Data[[#This Row],[AcqCenter]]&gt;0,Dyno_Data[[#This Row],[Time]]-SUMIFS(Dyno_Data[Time],Dyno_Data[Team],Dyno_Data[[#This Row],[Team]],Dyno_Data[RecordType],"StartMatch",Dyno_Data[Match],Dyno_Data[[#This Row],[Match]]),0)*86400),0)</f>
        <v>0</v>
      </c>
    </row>
    <row r="2305" spans="1:35" x14ac:dyDescent="0.3">
      <c r="A2305">
        <v>2304</v>
      </c>
      <c r="B2305" t="s">
        <v>1298</v>
      </c>
      <c r="C2305">
        <v>44</v>
      </c>
      <c r="D2305" s="105">
        <v>45373.682659178237</v>
      </c>
      <c r="E2305" t="s">
        <v>312</v>
      </c>
      <c r="F2305" t="s">
        <v>1402</v>
      </c>
      <c r="G2305">
        <v>0</v>
      </c>
      <c r="H2305" t="s">
        <v>315</v>
      </c>
      <c r="I2305">
        <v>0</v>
      </c>
      <c r="J2305">
        <v>0</v>
      </c>
      <c r="K2305">
        <v>0</v>
      </c>
      <c r="L2305" t="s">
        <v>240</v>
      </c>
      <c r="M2305" t="s">
        <v>1398</v>
      </c>
      <c r="N2305">
        <v>0</v>
      </c>
      <c r="O2305" t="s">
        <v>1391</v>
      </c>
      <c r="P2305" t="s">
        <v>310</v>
      </c>
      <c r="Q2305" t="s">
        <v>310</v>
      </c>
      <c r="R2305" t="s">
        <v>310</v>
      </c>
      <c r="S2305">
        <v>9</v>
      </c>
      <c r="T2305" t="s">
        <v>310</v>
      </c>
      <c r="U2305">
        <v>9</v>
      </c>
      <c r="V2305">
        <v>9</v>
      </c>
      <c r="W2305">
        <v>0</v>
      </c>
      <c r="X2305">
        <v>0</v>
      </c>
      <c r="Y2305">
        <v>0</v>
      </c>
      <c r="Z2305">
        <v>0</v>
      </c>
      <c r="AA2305">
        <v>9</v>
      </c>
      <c r="AB2305">
        <v>9</v>
      </c>
      <c r="AC2305" t="s">
        <v>310</v>
      </c>
      <c r="AD2305">
        <v>9</v>
      </c>
      <c r="AE2305" t="s">
        <v>1418</v>
      </c>
      <c r="AF2305">
        <v>20000000</v>
      </c>
      <c r="AG2305" t="s">
        <v>310</v>
      </c>
      <c r="AH2305">
        <f>SUM((MID(Dyno_Data[[#This Row],[Team]],4,5))+(Dyno_Data[[#This Row],[Match]]/100))</f>
        <v>9624.44</v>
      </c>
      <c r="AI2305" s="76">
        <f>ROUND(SUM(IF(Dyno_Data[[#This Row],[AcqCenter]]&gt;0,Dyno_Data[[#This Row],[Time]]-SUMIFS(Dyno_Data[Time],Dyno_Data[Team],Dyno_Data[[#This Row],[Team]],Dyno_Data[RecordType],"StartMatch",Dyno_Data[Match],Dyno_Data[[#This Row],[Match]]),0)*86400),0)</f>
        <v>0</v>
      </c>
    </row>
    <row r="2306" spans="1:35" x14ac:dyDescent="0.3">
      <c r="A2306">
        <v>2305</v>
      </c>
      <c r="B2306" t="s">
        <v>1317</v>
      </c>
      <c r="C2306">
        <v>44</v>
      </c>
      <c r="D2306" s="105">
        <v>45373.682702546299</v>
      </c>
      <c r="E2306" t="s">
        <v>312</v>
      </c>
      <c r="F2306" t="s">
        <v>1402</v>
      </c>
      <c r="G2306">
        <v>0</v>
      </c>
      <c r="H2306" t="s">
        <v>315</v>
      </c>
      <c r="I2306">
        <v>0</v>
      </c>
      <c r="J2306">
        <v>0</v>
      </c>
      <c r="K2306">
        <v>0</v>
      </c>
      <c r="L2306" t="s">
        <v>240</v>
      </c>
      <c r="M2306" t="s">
        <v>1398</v>
      </c>
      <c r="N2306">
        <v>1</v>
      </c>
      <c r="O2306" t="s">
        <v>1393</v>
      </c>
      <c r="P2306" t="s">
        <v>310</v>
      </c>
      <c r="Q2306" t="s">
        <v>310</v>
      </c>
      <c r="R2306" t="s">
        <v>310</v>
      </c>
      <c r="S2306">
        <v>9</v>
      </c>
      <c r="T2306" t="s">
        <v>310</v>
      </c>
      <c r="U2306">
        <v>9</v>
      </c>
      <c r="V2306">
        <v>9</v>
      </c>
      <c r="W2306">
        <v>0</v>
      </c>
      <c r="X2306">
        <v>0</v>
      </c>
      <c r="Y2306">
        <v>0</v>
      </c>
      <c r="Z2306">
        <v>0</v>
      </c>
      <c r="AA2306">
        <v>9</v>
      </c>
      <c r="AB2306">
        <v>9</v>
      </c>
      <c r="AC2306" t="s">
        <v>310</v>
      </c>
      <c r="AD2306">
        <v>9</v>
      </c>
      <c r="AE2306" t="s">
        <v>1414</v>
      </c>
      <c r="AF2306">
        <v>10000000</v>
      </c>
      <c r="AG2306" t="s">
        <v>310</v>
      </c>
      <c r="AH2306">
        <f>SUM((MID(Dyno_Data[[#This Row],[Team]],4,5))+(Dyno_Data[[#This Row],[Match]]/100))</f>
        <v>296.44</v>
      </c>
      <c r="AI2306" s="76">
        <f>ROUND(SUM(IF(Dyno_Data[[#This Row],[AcqCenter]]&gt;0,Dyno_Data[[#This Row],[Time]]-SUMIFS(Dyno_Data[Time],Dyno_Data[Team],Dyno_Data[[#This Row],[Team]],Dyno_Data[RecordType],"StartMatch",Dyno_Data[Match],Dyno_Data[[#This Row],[Match]]),0)*86400),0)</f>
        <v>0</v>
      </c>
    </row>
    <row r="2307" spans="1:35" x14ac:dyDescent="0.3">
      <c r="A2307">
        <v>2306</v>
      </c>
      <c r="B2307" t="s">
        <v>361</v>
      </c>
      <c r="C2307">
        <v>44</v>
      </c>
      <c r="D2307" s="105">
        <v>45373.682732951391</v>
      </c>
      <c r="E2307" t="s">
        <v>312</v>
      </c>
      <c r="F2307" t="s">
        <v>1402</v>
      </c>
      <c r="G2307">
        <v>0</v>
      </c>
      <c r="H2307" t="s">
        <v>315</v>
      </c>
      <c r="I2307">
        <v>0</v>
      </c>
      <c r="J2307">
        <v>0</v>
      </c>
      <c r="K2307">
        <v>0</v>
      </c>
      <c r="L2307" t="s">
        <v>241</v>
      </c>
      <c r="M2307" t="s">
        <v>101</v>
      </c>
      <c r="N2307">
        <v>0</v>
      </c>
      <c r="O2307" t="s">
        <v>319</v>
      </c>
      <c r="P2307" t="s">
        <v>310</v>
      </c>
      <c r="Q2307" t="s">
        <v>310</v>
      </c>
      <c r="R2307" t="s">
        <v>310</v>
      </c>
      <c r="S2307">
        <v>9</v>
      </c>
      <c r="T2307" t="s">
        <v>310</v>
      </c>
      <c r="U2307">
        <v>9</v>
      </c>
      <c r="V2307">
        <v>9</v>
      </c>
      <c r="W2307">
        <v>0</v>
      </c>
      <c r="X2307">
        <v>0</v>
      </c>
      <c r="Y2307">
        <v>0</v>
      </c>
      <c r="Z2307">
        <v>0</v>
      </c>
      <c r="AA2307">
        <v>9</v>
      </c>
      <c r="AB2307">
        <v>9</v>
      </c>
      <c r="AC2307" t="s">
        <v>310</v>
      </c>
      <c r="AD2307">
        <v>9</v>
      </c>
      <c r="AE2307" t="s">
        <v>1416</v>
      </c>
      <c r="AF2307">
        <v>20000000</v>
      </c>
      <c r="AG2307" t="s">
        <v>310</v>
      </c>
      <c r="AH2307">
        <f>SUM((MID(Dyno_Data[[#This Row],[Team]],4,5))+(Dyno_Data[[#This Row],[Match]]/100))</f>
        <v>20.440000000000001</v>
      </c>
      <c r="AI2307" s="76">
        <f>ROUND(SUM(IF(Dyno_Data[[#This Row],[AcqCenter]]&gt;0,Dyno_Data[[#This Row],[Time]]-SUMIFS(Dyno_Data[Time],Dyno_Data[Team],Dyno_Data[[#This Row],[Team]],Dyno_Data[RecordType],"StartMatch",Dyno_Data[Match],Dyno_Data[[#This Row],[Match]]),0)*86400),0)</f>
        <v>0</v>
      </c>
    </row>
    <row r="2308" spans="1:35" x14ac:dyDescent="0.3">
      <c r="A2308">
        <v>2307</v>
      </c>
      <c r="B2308" t="s">
        <v>1286</v>
      </c>
      <c r="C2308">
        <v>44</v>
      </c>
      <c r="D2308" s="105">
        <v>45373.68277777778</v>
      </c>
      <c r="E2308" t="s">
        <v>312</v>
      </c>
      <c r="F2308" t="s">
        <v>1402</v>
      </c>
      <c r="G2308">
        <v>0</v>
      </c>
      <c r="H2308" t="s">
        <v>315</v>
      </c>
      <c r="I2308">
        <v>0</v>
      </c>
      <c r="J2308">
        <v>0</v>
      </c>
      <c r="K2308">
        <v>0</v>
      </c>
      <c r="L2308" t="s">
        <v>241</v>
      </c>
      <c r="M2308" t="s">
        <v>1398</v>
      </c>
      <c r="N2308">
        <v>0</v>
      </c>
      <c r="O2308" t="s">
        <v>311</v>
      </c>
      <c r="P2308" t="s">
        <v>310</v>
      </c>
      <c r="Q2308" t="s">
        <v>310</v>
      </c>
      <c r="R2308" t="s">
        <v>310</v>
      </c>
      <c r="S2308">
        <v>9</v>
      </c>
      <c r="T2308" t="s">
        <v>310</v>
      </c>
      <c r="U2308">
        <v>9</v>
      </c>
      <c r="V2308">
        <v>9</v>
      </c>
      <c r="W2308">
        <v>0</v>
      </c>
      <c r="X2308">
        <v>0</v>
      </c>
      <c r="Y2308">
        <v>0</v>
      </c>
      <c r="Z2308">
        <v>0</v>
      </c>
      <c r="AA2308">
        <v>9</v>
      </c>
      <c r="AB2308">
        <v>9</v>
      </c>
      <c r="AC2308" t="s">
        <v>310</v>
      </c>
      <c r="AD2308">
        <v>9</v>
      </c>
      <c r="AE2308" t="s">
        <v>1412</v>
      </c>
      <c r="AF2308">
        <v>50000000</v>
      </c>
      <c r="AG2308" t="s">
        <v>310</v>
      </c>
      <c r="AH2308">
        <f>SUM((MID(Dyno_Data[[#This Row],[Team]],4,5))+(Dyno_Data[[#This Row],[Match]]/100))</f>
        <v>1591.44</v>
      </c>
      <c r="AI2308" s="76">
        <f>ROUND(SUM(IF(Dyno_Data[[#This Row],[AcqCenter]]&gt;0,Dyno_Data[[#This Row],[Time]]-SUMIFS(Dyno_Data[Time],Dyno_Data[Team],Dyno_Data[[#This Row],[Team]],Dyno_Data[RecordType],"StartMatch",Dyno_Data[Match],Dyno_Data[[#This Row],[Match]]),0)*86400),0)</f>
        <v>0</v>
      </c>
    </row>
    <row r="2309" spans="1:35" x14ac:dyDescent="0.3">
      <c r="A2309">
        <v>2308</v>
      </c>
      <c r="B2309" t="s">
        <v>1291</v>
      </c>
      <c r="C2309">
        <v>44</v>
      </c>
      <c r="D2309" s="105">
        <v>45373.682838692126</v>
      </c>
      <c r="E2309" t="s">
        <v>312</v>
      </c>
      <c r="F2309" t="s">
        <v>1402</v>
      </c>
      <c r="G2309">
        <v>0</v>
      </c>
      <c r="H2309" t="s">
        <v>315</v>
      </c>
      <c r="I2309">
        <v>0</v>
      </c>
      <c r="J2309">
        <v>0</v>
      </c>
      <c r="K2309">
        <v>0</v>
      </c>
      <c r="L2309" t="s">
        <v>241</v>
      </c>
      <c r="M2309" t="s">
        <v>101</v>
      </c>
      <c r="N2309">
        <v>0</v>
      </c>
      <c r="O2309" t="s">
        <v>1389</v>
      </c>
      <c r="P2309" t="s">
        <v>310</v>
      </c>
      <c r="Q2309" t="s">
        <v>310</v>
      </c>
      <c r="R2309" t="s">
        <v>310</v>
      </c>
      <c r="S2309">
        <v>9</v>
      </c>
      <c r="T2309" t="s">
        <v>310</v>
      </c>
      <c r="U2309">
        <v>9</v>
      </c>
      <c r="V2309">
        <v>9</v>
      </c>
      <c r="W2309">
        <v>0</v>
      </c>
      <c r="X2309">
        <v>0</v>
      </c>
      <c r="Y2309">
        <v>0</v>
      </c>
      <c r="Z2309">
        <v>0</v>
      </c>
      <c r="AA2309">
        <v>9</v>
      </c>
      <c r="AB2309">
        <v>9</v>
      </c>
      <c r="AC2309" t="s">
        <v>310</v>
      </c>
      <c r="AD2309">
        <v>9</v>
      </c>
      <c r="AE2309" t="s">
        <v>1417</v>
      </c>
      <c r="AF2309">
        <v>30000000</v>
      </c>
      <c r="AG2309" t="s">
        <v>310</v>
      </c>
      <c r="AH2309">
        <f>SUM((MID(Dyno_Data[[#This Row],[Team]],4,5))+(Dyno_Data[[#This Row],[Match]]/100))</f>
        <v>1493.44</v>
      </c>
      <c r="AI2309" s="76">
        <f>ROUND(SUM(IF(Dyno_Data[[#This Row],[AcqCenter]]&gt;0,Dyno_Data[[#This Row],[Time]]-SUMIFS(Dyno_Data[Time],Dyno_Data[Team],Dyno_Data[[#This Row],[Team]],Dyno_Data[RecordType],"StartMatch",Dyno_Data[Match],Dyno_Data[[#This Row],[Match]]),0)*86400),0)</f>
        <v>0</v>
      </c>
    </row>
    <row r="2310" spans="1:35" x14ac:dyDescent="0.3">
      <c r="A2310">
        <v>2309</v>
      </c>
      <c r="B2310" t="s">
        <v>1310</v>
      </c>
      <c r="C2310">
        <v>44</v>
      </c>
      <c r="D2310" s="105">
        <v>45373.682855289349</v>
      </c>
      <c r="E2310" t="s">
        <v>312</v>
      </c>
      <c r="F2310" t="s">
        <v>1402</v>
      </c>
      <c r="G2310">
        <v>0</v>
      </c>
      <c r="H2310" t="s">
        <v>315</v>
      </c>
      <c r="I2310">
        <v>0</v>
      </c>
      <c r="J2310">
        <v>0</v>
      </c>
      <c r="K2310">
        <v>0</v>
      </c>
      <c r="L2310" t="s">
        <v>241</v>
      </c>
      <c r="M2310" t="s">
        <v>1398</v>
      </c>
      <c r="N2310">
        <v>1</v>
      </c>
      <c r="O2310" t="s">
        <v>1395</v>
      </c>
      <c r="P2310" t="s">
        <v>310</v>
      </c>
      <c r="Q2310" t="s">
        <v>310</v>
      </c>
      <c r="R2310" t="s">
        <v>310</v>
      </c>
      <c r="S2310">
        <v>9</v>
      </c>
      <c r="T2310" t="s">
        <v>310</v>
      </c>
      <c r="U2310">
        <v>9</v>
      </c>
      <c r="V2310">
        <v>9</v>
      </c>
      <c r="W2310">
        <v>0</v>
      </c>
      <c r="X2310">
        <v>0</v>
      </c>
      <c r="Y2310">
        <v>0</v>
      </c>
      <c r="Z2310">
        <v>0</v>
      </c>
      <c r="AA2310">
        <v>9</v>
      </c>
      <c r="AB2310">
        <v>9</v>
      </c>
      <c r="AC2310" t="s">
        <v>310</v>
      </c>
      <c r="AD2310">
        <v>9</v>
      </c>
      <c r="AE2310" t="s">
        <v>1413</v>
      </c>
      <c r="AF2310">
        <v>30000000</v>
      </c>
      <c r="AG2310" t="s">
        <v>310</v>
      </c>
      <c r="AH2310">
        <f>SUM((MID(Dyno_Data[[#This Row],[Team]],4,5))+(Dyno_Data[[#This Row],[Match]]/100))</f>
        <v>6621.44</v>
      </c>
      <c r="AI2310" s="76">
        <f>ROUND(SUM(IF(Dyno_Data[[#This Row],[AcqCenter]]&gt;0,Dyno_Data[[#This Row],[Time]]-SUMIFS(Dyno_Data[Time],Dyno_Data[Team],Dyno_Data[[#This Row],[Team]],Dyno_Data[RecordType],"StartMatch",Dyno_Data[Match],Dyno_Data[[#This Row],[Match]]),0)*86400),0)</f>
        <v>0</v>
      </c>
    </row>
    <row r="2311" spans="1:35" x14ac:dyDescent="0.3">
      <c r="A2311">
        <v>2310</v>
      </c>
      <c r="B2311" t="s">
        <v>1298</v>
      </c>
      <c r="C2311">
        <v>44</v>
      </c>
      <c r="D2311" s="105">
        <v>45373.682906562499</v>
      </c>
      <c r="E2311" t="s">
        <v>312</v>
      </c>
      <c r="F2311" t="s">
        <v>1402</v>
      </c>
      <c r="G2311">
        <v>0</v>
      </c>
      <c r="H2311" t="s">
        <v>315</v>
      </c>
      <c r="I2311">
        <v>0</v>
      </c>
      <c r="J2311">
        <v>0</v>
      </c>
      <c r="K2311">
        <v>0</v>
      </c>
      <c r="L2311" t="s">
        <v>240</v>
      </c>
      <c r="M2311" t="s">
        <v>1398</v>
      </c>
      <c r="N2311">
        <v>0</v>
      </c>
      <c r="O2311" t="s">
        <v>1391</v>
      </c>
      <c r="P2311" t="s">
        <v>310</v>
      </c>
      <c r="Q2311" t="s">
        <v>310</v>
      </c>
      <c r="R2311" t="s">
        <v>310</v>
      </c>
      <c r="S2311">
        <v>9</v>
      </c>
      <c r="T2311" t="s">
        <v>310</v>
      </c>
      <c r="U2311">
        <v>9</v>
      </c>
      <c r="V2311">
        <v>9</v>
      </c>
      <c r="W2311">
        <v>0</v>
      </c>
      <c r="X2311">
        <v>0</v>
      </c>
      <c r="Y2311">
        <v>0</v>
      </c>
      <c r="Z2311">
        <v>0</v>
      </c>
      <c r="AA2311">
        <v>9</v>
      </c>
      <c r="AB2311">
        <v>9</v>
      </c>
      <c r="AC2311" t="s">
        <v>310</v>
      </c>
      <c r="AD2311">
        <v>9</v>
      </c>
      <c r="AE2311" t="s">
        <v>1418</v>
      </c>
      <c r="AF2311">
        <v>30000000</v>
      </c>
      <c r="AG2311" t="s">
        <v>310</v>
      </c>
      <c r="AH2311">
        <f>SUM((MID(Dyno_Data[[#This Row],[Team]],4,5))+(Dyno_Data[[#This Row],[Match]]/100))</f>
        <v>9624.44</v>
      </c>
      <c r="AI2311" s="76">
        <f>ROUND(SUM(IF(Dyno_Data[[#This Row],[AcqCenter]]&gt;0,Dyno_Data[[#This Row],[Time]]-SUMIFS(Dyno_Data[Time],Dyno_Data[Team],Dyno_Data[[#This Row],[Team]],Dyno_Data[RecordType],"StartMatch",Dyno_Data[Match],Dyno_Data[[#This Row],[Match]]),0)*86400),0)</f>
        <v>0</v>
      </c>
    </row>
    <row r="2312" spans="1:35" x14ac:dyDescent="0.3">
      <c r="A2312">
        <v>2311</v>
      </c>
      <c r="B2312" t="s">
        <v>1317</v>
      </c>
      <c r="C2312">
        <v>44</v>
      </c>
      <c r="D2312" s="105">
        <v>45373.682930474541</v>
      </c>
      <c r="E2312" t="s">
        <v>312</v>
      </c>
      <c r="F2312" t="s">
        <v>1402</v>
      </c>
      <c r="G2312">
        <v>0</v>
      </c>
      <c r="H2312" t="s">
        <v>315</v>
      </c>
      <c r="I2312">
        <v>0</v>
      </c>
      <c r="J2312">
        <v>0</v>
      </c>
      <c r="K2312">
        <v>0</v>
      </c>
      <c r="L2312" t="s">
        <v>241</v>
      </c>
      <c r="M2312" t="s">
        <v>1398</v>
      </c>
      <c r="N2312">
        <v>0</v>
      </c>
      <c r="O2312" t="s">
        <v>1393</v>
      </c>
      <c r="P2312" t="s">
        <v>310</v>
      </c>
      <c r="Q2312" t="s">
        <v>310</v>
      </c>
      <c r="R2312" t="s">
        <v>310</v>
      </c>
      <c r="S2312">
        <v>9</v>
      </c>
      <c r="T2312" t="s">
        <v>310</v>
      </c>
      <c r="U2312">
        <v>9</v>
      </c>
      <c r="V2312">
        <v>9</v>
      </c>
      <c r="W2312">
        <v>0</v>
      </c>
      <c r="X2312">
        <v>0</v>
      </c>
      <c r="Y2312">
        <v>0</v>
      </c>
      <c r="Z2312">
        <v>0</v>
      </c>
      <c r="AA2312">
        <v>9</v>
      </c>
      <c r="AB2312">
        <v>9</v>
      </c>
      <c r="AC2312" t="s">
        <v>310</v>
      </c>
      <c r="AD2312">
        <v>9</v>
      </c>
      <c r="AE2312" t="s">
        <v>1414</v>
      </c>
      <c r="AF2312">
        <v>20000000</v>
      </c>
      <c r="AG2312" t="s">
        <v>310</v>
      </c>
      <c r="AH2312">
        <f>SUM((MID(Dyno_Data[[#This Row],[Team]],4,5))+(Dyno_Data[[#This Row],[Match]]/100))</f>
        <v>296.44</v>
      </c>
      <c r="AI2312" s="76">
        <f>ROUND(SUM(IF(Dyno_Data[[#This Row],[AcqCenter]]&gt;0,Dyno_Data[[#This Row],[Time]]-SUMIFS(Dyno_Data[Time],Dyno_Data[Team],Dyno_Data[[#This Row],[Team]],Dyno_Data[RecordType],"StartMatch",Dyno_Data[Match],Dyno_Data[[#This Row],[Match]]),0)*86400),0)</f>
        <v>0</v>
      </c>
    </row>
    <row r="2313" spans="1:35" x14ac:dyDescent="0.3">
      <c r="A2313">
        <v>2312</v>
      </c>
      <c r="B2313" t="s">
        <v>1286</v>
      </c>
      <c r="C2313">
        <v>44</v>
      </c>
      <c r="D2313" s="105">
        <v>45373.682962268518</v>
      </c>
      <c r="E2313" t="s">
        <v>312</v>
      </c>
      <c r="F2313" t="s">
        <v>1402</v>
      </c>
      <c r="G2313">
        <v>0</v>
      </c>
      <c r="H2313" t="s">
        <v>315</v>
      </c>
      <c r="I2313">
        <v>0</v>
      </c>
      <c r="J2313">
        <v>0</v>
      </c>
      <c r="K2313">
        <v>0</v>
      </c>
      <c r="L2313" t="s">
        <v>241</v>
      </c>
      <c r="M2313" t="s">
        <v>1398</v>
      </c>
      <c r="N2313">
        <v>0</v>
      </c>
      <c r="O2313" t="s">
        <v>311</v>
      </c>
      <c r="P2313" t="s">
        <v>310</v>
      </c>
      <c r="Q2313" t="s">
        <v>310</v>
      </c>
      <c r="R2313" t="s">
        <v>310</v>
      </c>
      <c r="S2313">
        <v>9</v>
      </c>
      <c r="T2313" t="s">
        <v>310</v>
      </c>
      <c r="U2313">
        <v>9</v>
      </c>
      <c r="V2313">
        <v>9</v>
      </c>
      <c r="W2313">
        <v>0</v>
      </c>
      <c r="X2313">
        <v>0</v>
      </c>
      <c r="Y2313">
        <v>0</v>
      </c>
      <c r="Z2313">
        <v>0</v>
      </c>
      <c r="AA2313">
        <v>9</v>
      </c>
      <c r="AB2313">
        <v>9</v>
      </c>
      <c r="AC2313" t="s">
        <v>310</v>
      </c>
      <c r="AD2313">
        <v>9</v>
      </c>
      <c r="AE2313" t="s">
        <v>1412</v>
      </c>
      <c r="AF2313">
        <v>60000000</v>
      </c>
      <c r="AG2313" t="s">
        <v>310</v>
      </c>
      <c r="AH2313">
        <f>SUM((MID(Dyno_Data[[#This Row],[Team]],4,5))+(Dyno_Data[[#This Row],[Match]]/100))</f>
        <v>1591.44</v>
      </c>
      <c r="AI2313" s="76">
        <f>ROUND(SUM(IF(Dyno_Data[[#This Row],[AcqCenter]]&gt;0,Dyno_Data[[#This Row],[Time]]-SUMIFS(Dyno_Data[Time],Dyno_Data[Team],Dyno_Data[[#This Row],[Team]],Dyno_Data[RecordType],"StartMatch",Dyno_Data[Match],Dyno_Data[[#This Row],[Match]]),0)*86400),0)</f>
        <v>0</v>
      </c>
    </row>
    <row r="2314" spans="1:35" x14ac:dyDescent="0.3">
      <c r="A2314">
        <v>2313</v>
      </c>
      <c r="B2314" t="s">
        <v>361</v>
      </c>
      <c r="C2314">
        <v>44</v>
      </c>
      <c r="D2314" s="105">
        <v>45373.682988541666</v>
      </c>
      <c r="E2314" t="s">
        <v>312</v>
      </c>
      <c r="F2314" t="s">
        <v>1402</v>
      </c>
      <c r="G2314">
        <v>0</v>
      </c>
      <c r="H2314" t="s">
        <v>315</v>
      </c>
      <c r="I2314">
        <v>0</v>
      </c>
      <c r="J2314">
        <v>0</v>
      </c>
      <c r="K2314">
        <v>0</v>
      </c>
      <c r="L2314" t="s">
        <v>240</v>
      </c>
      <c r="M2314" t="s">
        <v>1398</v>
      </c>
      <c r="N2314">
        <v>0</v>
      </c>
      <c r="O2314" t="s">
        <v>319</v>
      </c>
      <c r="P2314" t="s">
        <v>310</v>
      </c>
      <c r="Q2314" t="s">
        <v>310</v>
      </c>
      <c r="R2314" t="s">
        <v>310</v>
      </c>
      <c r="S2314">
        <v>9</v>
      </c>
      <c r="T2314" t="s">
        <v>310</v>
      </c>
      <c r="U2314">
        <v>9</v>
      </c>
      <c r="V2314">
        <v>9</v>
      </c>
      <c r="W2314">
        <v>0</v>
      </c>
      <c r="X2314">
        <v>0</v>
      </c>
      <c r="Y2314">
        <v>0</v>
      </c>
      <c r="Z2314">
        <v>0</v>
      </c>
      <c r="AA2314">
        <v>9</v>
      </c>
      <c r="AB2314">
        <v>9</v>
      </c>
      <c r="AC2314" t="s">
        <v>310</v>
      </c>
      <c r="AD2314">
        <v>9</v>
      </c>
      <c r="AE2314" t="s">
        <v>1416</v>
      </c>
      <c r="AF2314">
        <v>30000000</v>
      </c>
      <c r="AG2314" t="s">
        <v>310</v>
      </c>
      <c r="AH2314">
        <f>SUM((MID(Dyno_Data[[#This Row],[Team]],4,5))+(Dyno_Data[[#This Row],[Match]]/100))</f>
        <v>20.440000000000001</v>
      </c>
      <c r="AI2314" s="76">
        <f>ROUND(SUM(IF(Dyno_Data[[#This Row],[AcqCenter]]&gt;0,Dyno_Data[[#This Row],[Time]]-SUMIFS(Dyno_Data[Time],Dyno_Data[Team],Dyno_Data[[#This Row],[Team]],Dyno_Data[RecordType],"StartMatch",Dyno_Data[Match],Dyno_Data[[#This Row],[Match]]),0)*86400),0)</f>
        <v>0</v>
      </c>
    </row>
    <row r="2315" spans="1:35" x14ac:dyDescent="0.3">
      <c r="A2315">
        <v>2314</v>
      </c>
      <c r="B2315" t="s">
        <v>1291</v>
      </c>
      <c r="C2315">
        <v>44</v>
      </c>
      <c r="D2315" s="105">
        <v>45373.683018900461</v>
      </c>
      <c r="E2315" t="s">
        <v>312</v>
      </c>
      <c r="F2315" t="s">
        <v>1402</v>
      </c>
      <c r="G2315">
        <v>0</v>
      </c>
      <c r="H2315" t="s">
        <v>315</v>
      </c>
      <c r="I2315">
        <v>0</v>
      </c>
      <c r="J2315">
        <v>0</v>
      </c>
      <c r="K2315">
        <v>0</v>
      </c>
      <c r="L2315" t="s">
        <v>241</v>
      </c>
      <c r="M2315" t="s">
        <v>1398</v>
      </c>
      <c r="N2315">
        <v>0</v>
      </c>
      <c r="O2315" t="s">
        <v>1389</v>
      </c>
      <c r="P2315" t="s">
        <v>310</v>
      </c>
      <c r="Q2315" t="s">
        <v>310</v>
      </c>
      <c r="R2315" t="s">
        <v>310</v>
      </c>
      <c r="S2315">
        <v>9</v>
      </c>
      <c r="T2315" t="s">
        <v>310</v>
      </c>
      <c r="U2315">
        <v>9</v>
      </c>
      <c r="V2315">
        <v>9</v>
      </c>
      <c r="W2315">
        <v>0</v>
      </c>
      <c r="X2315">
        <v>0</v>
      </c>
      <c r="Y2315">
        <v>0</v>
      </c>
      <c r="Z2315">
        <v>0</v>
      </c>
      <c r="AA2315">
        <v>9</v>
      </c>
      <c r="AB2315">
        <v>9</v>
      </c>
      <c r="AC2315" t="s">
        <v>310</v>
      </c>
      <c r="AD2315">
        <v>9</v>
      </c>
      <c r="AE2315" t="s">
        <v>1417</v>
      </c>
      <c r="AF2315">
        <v>40000000</v>
      </c>
      <c r="AG2315" t="s">
        <v>310</v>
      </c>
      <c r="AH2315">
        <f>SUM((MID(Dyno_Data[[#This Row],[Team]],4,5))+(Dyno_Data[[#This Row],[Match]]/100))</f>
        <v>1493.44</v>
      </c>
      <c r="AI2315" s="76">
        <f>ROUND(SUM(IF(Dyno_Data[[#This Row],[AcqCenter]]&gt;0,Dyno_Data[[#This Row],[Time]]-SUMIFS(Dyno_Data[Time],Dyno_Data[Team],Dyno_Data[[#This Row],[Team]],Dyno_Data[RecordType],"StartMatch",Dyno_Data[Match],Dyno_Data[[#This Row],[Match]]),0)*86400),0)</f>
        <v>0</v>
      </c>
    </row>
    <row r="2316" spans="1:35" x14ac:dyDescent="0.3">
      <c r="A2316">
        <v>2315</v>
      </c>
      <c r="B2316" t="s">
        <v>1286</v>
      </c>
      <c r="C2316">
        <v>44</v>
      </c>
      <c r="D2316" s="105">
        <v>45373.683131944446</v>
      </c>
      <c r="E2316" t="s">
        <v>312</v>
      </c>
      <c r="F2316" t="s">
        <v>1402</v>
      </c>
      <c r="G2316">
        <v>0</v>
      </c>
      <c r="H2316" t="s">
        <v>315</v>
      </c>
      <c r="I2316">
        <v>0</v>
      </c>
      <c r="J2316">
        <v>0</v>
      </c>
      <c r="K2316">
        <v>0</v>
      </c>
      <c r="L2316" t="s">
        <v>241</v>
      </c>
      <c r="M2316" t="s">
        <v>1398</v>
      </c>
      <c r="N2316">
        <v>0</v>
      </c>
      <c r="O2316" t="s">
        <v>311</v>
      </c>
      <c r="P2316" t="s">
        <v>310</v>
      </c>
      <c r="Q2316" t="s">
        <v>310</v>
      </c>
      <c r="R2316" t="s">
        <v>310</v>
      </c>
      <c r="S2316">
        <v>9</v>
      </c>
      <c r="T2316" t="s">
        <v>310</v>
      </c>
      <c r="U2316">
        <v>9</v>
      </c>
      <c r="V2316">
        <v>9</v>
      </c>
      <c r="W2316">
        <v>0</v>
      </c>
      <c r="X2316">
        <v>0</v>
      </c>
      <c r="Y2316">
        <v>0</v>
      </c>
      <c r="Z2316">
        <v>0</v>
      </c>
      <c r="AA2316">
        <v>9</v>
      </c>
      <c r="AB2316">
        <v>9</v>
      </c>
      <c r="AC2316" t="s">
        <v>310</v>
      </c>
      <c r="AD2316">
        <v>9</v>
      </c>
      <c r="AE2316" t="s">
        <v>1412</v>
      </c>
      <c r="AF2316">
        <v>70000000</v>
      </c>
      <c r="AG2316" t="s">
        <v>310</v>
      </c>
      <c r="AH2316">
        <f>SUM((MID(Dyno_Data[[#This Row],[Team]],4,5))+(Dyno_Data[[#This Row],[Match]]/100))</f>
        <v>1591.44</v>
      </c>
      <c r="AI2316" s="76">
        <f>ROUND(SUM(IF(Dyno_Data[[#This Row],[AcqCenter]]&gt;0,Dyno_Data[[#This Row],[Time]]-SUMIFS(Dyno_Data[Time],Dyno_Data[Team],Dyno_Data[[#This Row],[Team]],Dyno_Data[RecordType],"StartMatch",Dyno_Data[Match],Dyno_Data[[#This Row],[Match]]),0)*86400),0)</f>
        <v>0</v>
      </c>
    </row>
    <row r="2317" spans="1:35" x14ac:dyDescent="0.3">
      <c r="A2317">
        <v>2316</v>
      </c>
      <c r="B2317" t="s">
        <v>1291</v>
      </c>
      <c r="C2317">
        <v>44</v>
      </c>
      <c r="D2317" s="105">
        <v>45373.683180324071</v>
      </c>
      <c r="E2317" t="s">
        <v>312</v>
      </c>
      <c r="F2317" t="s">
        <v>1402</v>
      </c>
      <c r="G2317">
        <v>0</v>
      </c>
      <c r="H2317" t="s">
        <v>315</v>
      </c>
      <c r="I2317">
        <v>0</v>
      </c>
      <c r="J2317">
        <v>0</v>
      </c>
      <c r="K2317">
        <v>0</v>
      </c>
      <c r="L2317" t="s">
        <v>241</v>
      </c>
      <c r="M2317" t="s">
        <v>1398</v>
      </c>
      <c r="N2317">
        <v>0</v>
      </c>
      <c r="O2317" t="s">
        <v>1389</v>
      </c>
      <c r="P2317" t="s">
        <v>310</v>
      </c>
      <c r="Q2317" t="s">
        <v>310</v>
      </c>
      <c r="R2317" t="s">
        <v>310</v>
      </c>
      <c r="S2317">
        <v>9</v>
      </c>
      <c r="T2317" t="s">
        <v>310</v>
      </c>
      <c r="U2317">
        <v>9</v>
      </c>
      <c r="V2317">
        <v>9</v>
      </c>
      <c r="W2317">
        <v>0</v>
      </c>
      <c r="X2317">
        <v>0</v>
      </c>
      <c r="Y2317">
        <v>0</v>
      </c>
      <c r="Z2317">
        <v>0</v>
      </c>
      <c r="AA2317">
        <v>9</v>
      </c>
      <c r="AB2317">
        <v>9</v>
      </c>
      <c r="AC2317" t="s">
        <v>310</v>
      </c>
      <c r="AD2317">
        <v>9</v>
      </c>
      <c r="AE2317" t="s">
        <v>1417</v>
      </c>
      <c r="AF2317">
        <v>50000000</v>
      </c>
      <c r="AG2317" t="s">
        <v>310</v>
      </c>
      <c r="AH2317">
        <f>SUM((MID(Dyno_Data[[#This Row],[Team]],4,5))+(Dyno_Data[[#This Row],[Match]]/100))</f>
        <v>1493.44</v>
      </c>
      <c r="AI2317" s="76">
        <f>ROUND(SUM(IF(Dyno_Data[[#This Row],[AcqCenter]]&gt;0,Dyno_Data[[#This Row],[Time]]-SUMIFS(Dyno_Data[Time],Dyno_Data[Team],Dyno_Data[[#This Row],[Team]],Dyno_Data[RecordType],"StartMatch",Dyno_Data[Match],Dyno_Data[[#This Row],[Match]]),0)*86400),0)</f>
        <v>0</v>
      </c>
    </row>
    <row r="2318" spans="1:35" x14ac:dyDescent="0.3">
      <c r="A2318">
        <v>2317</v>
      </c>
      <c r="B2318" t="s">
        <v>361</v>
      </c>
      <c r="C2318">
        <v>44</v>
      </c>
      <c r="D2318" s="105">
        <v>45373.683196990743</v>
      </c>
      <c r="E2318" t="s">
        <v>312</v>
      </c>
      <c r="F2318" t="s">
        <v>1402</v>
      </c>
      <c r="G2318">
        <v>0</v>
      </c>
      <c r="H2318" t="s">
        <v>315</v>
      </c>
      <c r="I2318">
        <v>0</v>
      </c>
      <c r="J2318">
        <v>0</v>
      </c>
      <c r="K2318">
        <v>0</v>
      </c>
      <c r="L2318" t="s">
        <v>241</v>
      </c>
      <c r="M2318" t="s">
        <v>101</v>
      </c>
      <c r="N2318">
        <v>0</v>
      </c>
      <c r="O2318" t="s">
        <v>319</v>
      </c>
      <c r="P2318" t="s">
        <v>310</v>
      </c>
      <c r="Q2318" t="s">
        <v>310</v>
      </c>
      <c r="R2318" t="s">
        <v>310</v>
      </c>
      <c r="S2318">
        <v>9</v>
      </c>
      <c r="T2318" t="s">
        <v>310</v>
      </c>
      <c r="U2318">
        <v>9</v>
      </c>
      <c r="V2318">
        <v>9</v>
      </c>
      <c r="W2318">
        <v>0</v>
      </c>
      <c r="X2318">
        <v>0</v>
      </c>
      <c r="Y2318">
        <v>0</v>
      </c>
      <c r="Z2318">
        <v>0</v>
      </c>
      <c r="AA2318">
        <v>9</v>
      </c>
      <c r="AB2318">
        <v>9</v>
      </c>
      <c r="AC2318" t="s">
        <v>310</v>
      </c>
      <c r="AD2318">
        <v>9</v>
      </c>
      <c r="AE2318" t="s">
        <v>1416</v>
      </c>
      <c r="AF2318">
        <v>40000000</v>
      </c>
      <c r="AG2318" t="s">
        <v>310</v>
      </c>
      <c r="AH2318">
        <f>SUM((MID(Dyno_Data[[#This Row],[Team]],4,5))+(Dyno_Data[[#This Row],[Match]]/100))</f>
        <v>20.440000000000001</v>
      </c>
      <c r="AI2318" s="76">
        <f>ROUND(SUM(IF(Dyno_Data[[#This Row],[AcqCenter]]&gt;0,Dyno_Data[[#This Row],[Time]]-SUMIFS(Dyno_Data[Time],Dyno_Data[Team],Dyno_Data[[#This Row],[Team]],Dyno_Data[RecordType],"StartMatch",Dyno_Data[Match],Dyno_Data[[#This Row],[Match]]),0)*86400),0)</f>
        <v>0</v>
      </c>
    </row>
    <row r="2319" spans="1:35" x14ac:dyDescent="0.3">
      <c r="A2319">
        <v>2318</v>
      </c>
      <c r="B2319" t="s">
        <v>1317</v>
      </c>
      <c r="C2319">
        <v>44</v>
      </c>
      <c r="D2319" s="105">
        <v>45373.68321797454</v>
      </c>
      <c r="E2319" t="s">
        <v>312</v>
      </c>
      <c r="F2319" t="s">
        <v>1402</v>
      </c>
      <c r="G2319">
        <v>0</v>
      </c>
      <c r="H2319" t="s">
        <v>315</v>
      </c>
      <c r="I2319">
        <v>0</v>
      </c>
      <c r="J2319">
        <v>0</v>
      </c>
      <c r="K2319">
        <v>0</v>
      </c>
      <c r="L2319" t="s">
        <v>241</v>
      </c>
      <c r="M2319" t="s">
        <v>1398</v>
      </c>
      <c r="N2319">
        <v>1</v>
      </c>
      <c r="O2319" t="s">
        <v>1393</v>
      </c>
      <c r="P2319" t="s">
        <v>310</v>
      </c>
      <c r="Q2319" t="s">
        <v>310</v>
      </c>
      <c r="R2319" t="s">
        <v>310</v>
      </c>
      <c r="S2319">
        <v>9</v>
      </c>
      <c r="T2319" t="s">
        <v>310</v>
      </c>
      <c r="U2319">
        <v>9</v>
      </c>
      <c r="V2319">
        <v>9</v>
      </c>
      <c r="W2319">
        <v>0</v>
      </c>
      <c r="X2319">
        <v>0</v>
      </c>
      <c r="Y2319">
        <v>0</v>
      </c>
      <c r="Z2319">
        <v>0</v>
      </c>
      <c r="AA2319">
        <v>9</v>
      </c>
      <c r="AB2319">
        <v>9</v>
      </c>
      <c r="AC2319" t="s">
        <v>310</v>
      </c>
      <c r="AD2319">
        <v>9</v>
      </c>
      <c r="AE2319" t="s">
        <v>1414</v>
      </c>
      <c r="AF2319">
        <v>30000000</v>
      </c>
      <c r="AG2319" t="s">
        <v>310</v>
      </c>
      <c r="AH2319">
        <f>SUM((MID(Dyno_Data[[#This Row],[Team]],4,5))+(Dyno_Data[[#This Row],[Match]]/100))</f>
        <v>296.44</v>
      </c>
      <c r="AI2319" s="76">
        <f>ROUND(SUM(IF(Dyno_Data[[#This Row],[AcqCenter]]&gt;0,Dyno_Data[[#This Row],[Time]]-SUMIFS(Dyno_Data[Time],Dyno_Data[Team],Dyno_Data[[#This Row],[Team]],Dyno_Data[RecordType],"StartMatch",Dyno_Data[Match],Dyno_Data[[#This Row],[Match]]),0)*86400),0)</f>
        <v>0</v>
      </c>
    </row>
    <row r="2320" spans="1:35" x14ac:dyDescent="0.3">
      <c r="A2320">
        <v>2319</v>
      </c>
      <c r="B2320" t="s">
        <v>1298</v>
      </c>
      <c r="C2320">
        <v>44</v>
      </c>
      <c r="D2320" s="105">
        <v>45373.683261423612</v>
      </c>
      <c r="E2320" t="s">
        <v>312</v>
      </c>
      <c r="F2320" t="s">
        <v>1402</v>
      </c>
      <c r="G2320">
        <v>0</v>
      </c>
      <c r="H2320" t="s">
        <v>315</v>
      </c>
      <c r="I2320">
        <v>0</v>
      </c>
      <c r="J2320">
        <v>0</v>
      </c>
      <c r="K2320">
        <v>0</v>
      </c>
      <c r="L2320" t="s">
        <v>240</v>
      </c>
      <c r="M2320" t="s">
        <v>1398</v>
      </c>
      <c r="N2320">
        <v>0</v>
      </c>
      <c r="O2320" t="s">
        <v>1391</v>
      </c>
      <c r="P2320" t="s">
        <v>310</v>
      </c>
      <c r="Q2320" t="s">
        <v>310</v>
      </c>
      <c r="R2320" t="s">
        <v>310</v>
      </c>
      <c r="S2320">
        <v>9</v>
      </c>
      <c r="T2320" t="s">
        <v>310</v>
      </c>
      <c r="U2320">
        <v>9</v>
      </c>
      <c r="V2320">
        <v>9</v>
      </c>
      <c r="W2320">
        <v>0</v>
      </c>
      <c r="X2320">
        <v>0</v>
      </c>
      <c r="Y2320">
        <v>0</v>
      </c>
      <c r="Z2320">
        <v>0</v>
      </c>
      <c r="AA2320">
        <v>9</v>
      </c>
      <c r="AB2320">
        <v>9</v>
      </c>
      <c r="AC2320" t="s">
        <v>310</v>
      </c>
      <c r="AD2320">
        <v>9</v>
      </c>
      <c r="AE2320" t="s">
        <v>1418</v>
      </c>
      <c r="AF2320">
        <v>40000000</v>
      </c>
      <c r="AG2320" t="s">
        <v>310</v>
      </c>
      <c r="AH2320">
        <f>SUM((MID(Dyno_Data[[#This Row],[Team]],4,5))+(Dyno_Data[[#This Row],[Match]]/100))</f>
        <v>9624.44</v>
      </c>
      <c r="AI2320" s="76">
        <f>ROUND(SUM(IF(Dyno_Data[[#This Row],[AcqCenter]]&gt;0,Dyno_Data[[#This Row],[Time]]-SUMIFS(Dyno_Data[Time],Dyno_Data[Team],Dyno_Data[[#This Row],[Team]],Dyno_Data[RecordType],"StartMatch",Dyno_Data[Match],Dyno_Data[[#This Row],[Match]]),0)*86400),0)</f>
        <v>0</v>
      </c>
    </row>
    <row r="2321" spans="1:35" x14ac:dyDescent="0.3">
      <c r="A2321">
        <v>2320</v>
      </c>
      <c r="B2321" t="s">
        <v>1286</v>
      </c>
      <c r="C2321">
        <v>44</v>
      </c>
      <c r="D2321" s="105">
        <v>45373.683262928243</v>
      </c>
      <c r="E2321" t="s">
        <v>312</v>
      </c>
      <c r="F2321" t="s">
        <v>1402</v>
      </c>
      <c r="G2321">
        <v>0</v>
      </c>
      <c r="H2321" t="s">
        <v>315</v>
      </c>
      <c r="I2321">
        <v>0</v>
      </c>
      <c r="J2321">
        <v>0</v>
      </c>
      <c r="K2321">
        <v>0</v>
      </c>
      <c r="L2321" t="s">
        <v>241</v>
      </c>
      <c r="M2321" t="s">
        <v>1398</v>
      </c>
      <c r="N2321">
        <v>0</v>
      </c>
      <c r="O2321" t="s">
        <v>311</v>
      </c>
      <c r="P2321" t="s">
        <v>310</v>
      </c>
      <c r="Q2321" t="s">
        <v>310</v>
      </c>
      <c r="R2321" t="s">
        <v>310</v>
      </c>
      <c r="S2321">
        <v>9</v>
      </c>
      <c r="T2321" t="s">
        <v>310</v>
      </c>
      <c r="U2321">
        <v>9</v>
      </c>
      <c r="V2321">
        <v>9</v>
      </c>
      <c r="W2321">
        <v>0</v>
      </c>
      <c r="X2321">
        <v>0</v>
      </c>
      <c r="Y2321">
        <v>0</v>
      </c>
      <c r="Z2321">
        <v>0</v>
      </c>
      <c r="AA2321">
        <v>9</v>
      </c>
      <c r="AB2321">
        <v>9</v>
      </c>
      <c r="AC2321" t="s">
        <v>310</v>
      </c>
      <c r="AD2321">
        <v>9</v>
      </c>
      <c r="AE2321" t="s">
        <v>1412</v>
      </c>
      <c r="AF2321">
        <v>80000000</v>
      </c>
      <c r="AG2321" t="s">
        <v>310</v>
      </c>
      <c r="AH2321">
        <f>SUM((MID(Dyno_Data[[#This Row],[Team]],4,5))+(Dyno_Data[[#This Row],[Match]]/100))</f>
        <v>1591.44</v>
      </c>
      <c r="AI2321" s="76">
        <f>ROUND(SUM(IF(Dyno_Data[[#This Row],[AcqCenter]]&gt;0,Dyno_Data[[#This Row],[Time]]-SUMIFS(Dyno_Data[Time],Dyno_Data[Team],Dyno_Data[[#This Row],[Team]],Dyno_Data[RecordType],"StartMatch",Dyno_Data[Match],Dyno_Data[[#This Row],[Match]]),0)*86400),0)</f>
        <v>0</v>
      </c>
    </row>
    <row r="2322" spans="1:35" x14ac:dyDescent="0.3">
      <c r="A2322">
        <v>2321</v>
      </c>
      <c r="B2322" t="s">
        <v>1317</v>
      </c>
      <c r="C2322">
        <v>44</v>
      </c>
      <c r="D2322" s="105">
        <v>45373.683328819447</v>
      </c>
      <c r="E2322" t="s">
        <v>312</v>
      </c>
      <c r="F2322" t="s">
        <v>1402</v>
      </c>
      <c r="G2322">
        <v>0</v>
      </c>
      <c r="H2322" t="s">
        <v>315</v>
      </c>
      <c r="I2322">
        <v>0</v>
      </c>
      <c r="J2322">
        <v>0</v>
      </c>
      <c r="K2322">
        <v>0</v>
      </c>
      <c r="L2322" t="s">
        <v>241</v>
      </c>
      <c r="M2322" t="s">
        <v>1398</v>
      </c>
      <c r="N2322">
        <v>0</v>
      </c>
      <c r="O2322" t="s">
        <v>1393</v>
      </c>
      <c r="P2322" t="s">
        <v>310</v>
      </c>
      <c r="Q2322" t="s">
        <v>310</v>
      </c>
      <c r="R2322" t="s">
        <v>310</v>
      </c>
      <c r="S2322">
        <v>9</v>
      </c>
      <c r="T2322" t="s">
        <v>310</v>
      </c>
      <c r="U2322">
        <v>9</v>
      </c>
      <c r="V2322">
        <v>9</v>
      </c>
      <c r="W2322">
        <v>0</v>
      </c>
      <c r="X2322">
        <v>0</v>
      </c>
      <c r="Y2322">
        <v>0</v>
      </c>
      <c r="Z2322">
        <v>0</v>
      </c>
      <c r="AA2322">
        <v>9</v>
      </c>
      <c r="AB2322">
        <v>9</v>
      </c>
      <c r="AC2322" t="s">
        <v>310</v>
      </c>
      <c r="AD2322">
        <v>9</v>
      </c>
      <c r="AE2322" t="s">
        <v>1414</v>
      </c>
      <c r="AF2322">
        <v>40000000</v>
      </c>
      <c r="AG2322" t="s">
        <v>310</v>
      </c>
      <c r="AH2322">
        <f>SUM((MID(Dyno_Data[[#This Row],[Team]],4,5))+(Dyno_Data[[#This Row],[Match]]/100))</f>
        <v>296.44</v>
      </c>
      <c r="AI2322" s="76">
        <f>ROUND(SUM(IF(Dyno_Data[[#This Row],[AcqCenter]]&gt;0,Dyno_Data[[#This Row],[Time]]-SUMIFS(Dyno_Data[Time],Dyno_Data[Team],Dyno_Data[[#This Row],[Team]],Dyno_Data[RecordType],"StartMatch",Dyno_Data[Match],Dyno_Data[[#This Row],[Match]]),0)*86400),0)</f>
        <v>0</v>
      </c>
    </row>
    <row r="2323" spans="1:35" x14ac:dyDescent="0.3">
      <c r="A2323">
        <v>2322</v>
      </c>
      <c r="B2323" t="s">
        <v>1286</v>
      </c>
      <c r="C2323">
        <v>44</v>
      </c>
      <c r="D2323" s="105">
        <v>45373.683407673612</v>
      </c>
      <c r="E2323" t="s">
        <v>312</v>
      </c>
      <c r="F2323" t="s">
        <v>1402</v>
      </c>
      <c r="G2323">
        <v>0</v>
      </c>
      <c r="H2323" t="s">
        <v>315</v>
      </c>
      <c r="I2323">
        <v>0</v>
      </c>
      <c r="J2323">
        <v>0</v>
      </c>
      <c r="K2323">
        <v>0</v>
      </c>
      <c r="L2323" t="s">
        <v>241</v>
      </c>
      <c r="M2323" t="s">
        <v>1398</v>
      </c>
      <c r="N2323">
        <v>0</v>
      </c>
      <c r="O2323" t="s">
        <v>311</v>
      </c>
      <c r="P2323" t="s">
        <v>310</v>
      </c>
      <c r="Q2323" t="s">
        <v>310</v>
      </c>
      <c r="R2323" t="s">
        <v>310</v>
      </c>
      <c r="S2323">
        <v>9</v>
      </c>
      <c r="T2323" t="s">
        <v>310</v>
      </c>
      <c r="U2323">
        <v>9</v>
      </c>
      <c r="V2323">
        <v>9</v>
      </c>
      <c r="W2323">
        <v>0</v>
      </c>
      <c r="X2323">
        <v>0</v>
      </c>
      <c r="Y2323">
        <v>0</v>
      </c>
      <c r="Z2323">
        <v>0</v>
      </c>
      <c r="AA2323">
        <v>9</v>
      </c>
      <c r="AB2323">
        <v>9</v>
      </c>
      <c r="AC2323" t="s">
        <v>310</v>
      </c>
      <c r="AD2323">
        <v>9</v>
      </c>
      <c r="AE2323" t="s">
        <v>1412</v>
      </c>
      <c r="AF2323">
        <v>90000000</v>
      </c>
      <c r="AG2323" t="s">
        <v>310</v>
      </c>
      <c r="AH2323">
        <f>SUM((MID(Dyno_Data[[#This Row],[Team]],4,5))+(Dyno_Data[[#This Row],[Match]]/100))</f>
        <v>1591.44</v>
      </c>
      <c r="AI2323" s="76">
        <f>ROUND(SUM(IF(Dyno_Data[[#This Row],[AcqCenter]]&gt;0,Dyno_Data[[#This Row],[Time]]-SUMIFS(Dyno_Data[Time],Dyno_Data[Team],Dyno_Data[[#This Row],[Team]],Dyno_Data[RecordType],"StartMatch",Dyno_Data[Match],Dyno_Data[[#This Row],[Match]]),0)*86400),0)</f>
        <v>0</v>
      </c>
    </row>
    <row r="2324" spans="1:35" x14ac:dyDescent="0.3">
      <c r="A2324">
        <v>2323</v>
      </c>
      <c r="B2324" t="s">
        <v>361</v>
      </c>
      <c r="C2324">
        <v>44</v>
      </c>
      <c r="D2324" s="105">
        <v>45373.683432291669</v>
      </c>
      <c r="E2324" t="s">
        <v>312</v>
      </c>
      <c r="F2324" t="s">
        <v>1402</v>
      </c>
      <c r="G2324">
        <v>0</v>
      </c>
      <c r="H2324" t="s">
        <v>315</v>
      </c>
      <c r="I2324">
        <v>0</v>
      </c>
      <c r="J2324">
        <v>0</v>
      </c>
      <c r="K2324">
        <v>0</v>
      </c>
      <c r="L2324" t="s">
        <v>240</v>
      </c>
      <c r="M2324" t="s">
        <v>1398</v>
      </c>
      <c r="N2324">
        <v>0</v>
      </c>
      <c r="O2324" t="s">
        <v>319</v>
      </c>
      <c r="P2324" t="s">
        <v>310</v>
      </c>
      <c r="Q2324" t="s">
        <v>310</v>
      </c>
      <c r="R2324" t="s">
        <v>310</v>
      </c>
      <c r="S2324">
        <v>9</v>
      </c>
      <c r="T2324" t="s">
        <v>310</v>
      </c>
      <c r="U2324">
        <v>9</v>
      </c>
      <c r="V2324">
        <v>9</v>
      </c>
      <c r="W2324">
        <v>0</v>
      </c>
      <c r="X2324">
        <v>0</v>
      </c>
      <c r="Y2324">
        <v>0</v>
      </c>
      <c r="Z2324">
        <v>0</v>
      </c>
      <c r="AA2324">
        <v>9</v>
      </c>
      <c r="AB2324">
        <v>9</v>
      </c>
      <c r="AC2324" t="s">
        <v>310</v>
      </c>
      <c r="AD2324">
        <v>9</v>
      </c>
      <c r="AE2324" t="s">
        <v>1416</v>
      </c>
      <c r="AF2324">
        <v>50000000</v>
      </c>
      <c r="AG2324" t="s">
        <v>310</v>
      </c>
      <c r="AH2324">
        <f>SUM((MID(Dyno_Data[[#This Row],[Team]],4,5))+(Dyno_Data[[#This Row],[Match]]/100))</f>
        <v>20.440000000000001</v>
      </c>
      <c r="AI2324" s="76">
        <f>ROUND(SUM(IF(Dyno_Data[[#This Row],[AcqCenter]]&gt;0,Dyno_Data[[#This Row],[Time]]-SUMIFS(Dyno_Data[Time],Dyno_Data[Team],Dyno_Data[[#This Row],[Team]],Dyno_Data[RecordType],"StartMatch",Dyno_Data[Match],Dyno_Data[[#This Row],[Match]]),0)*86400),0)</f>
        <v>0</v>
      </c>
    </row>
    <row r="2325" spans="1:35" x14ac:dyDescent="0.3">
      <c r="A2325">
        <v>2324</v>
      </c>
      <c r="B2325" t="s">
        <v>1291</v>
      </c>
      <c r="C2325">
        <v>44</v>
      </c>
      <c r="D2325" s="105">
        <v>45373.683493020835</v>
      </c>
      <c r="E2325" t="s">
        <v>312</v>
      </c>
      <c r="F2325" t="s">
        <v>1402</v>
      </c>
      <c r="G2325">
        <v>0</v>
      </c>
      <c r="H2325" t="s">
        <v>315</v>
      </c>
      <c r="I2325">
        <v>0</v>
      </c>
      <c r="J2325">
        <v>0</v>
      </c>
      <c r="K2325">
        <v>0</v>
      </c>
      <c r="L2325" t="s">
        <v>313</v>
      </c>
      <c r="M2325" t="s">
        <v>1398</v>
      </c>
      <c r="N2325">
        <v>1</v>
      </c>
      <c r="O2325" t="s">
        <v>1389</v>
      </c>
      <c r="P2325" t="s">
        <v>310</v>
      </c>
      <c r="Q2325" t="s">
        <v>310</v>
      </c>
      <c r="R2325" t="s">
        <v>310</v>
      </c>
      <c r="S2325">
        <v>9</v>
      </c>
      <c r="T2325" t="s">
        <v>310</v>
      </c>
      <c r="U2325">
        <v>9</v>
      </c>
      <c r="V2325">
        <v>9</v>
      </c>
      <c r="W2325">
        <v>0</v>
      </c>
      <c r="X2325">
        <v>0</v>
      </c>
      <c r="Y2325">
        <v>0</v>
      </c>
      <c r="Z2325">
        <v>0</v>
      </c>
      <c r="AA2325">
        <v>9</v>
      </c>
      <c r="AB2325">
        <v>9</v>
      </c>
      <c r="AC2325" t="s">
        <v>310</v>
      </c>
      <c r="AD2325">
        <v>9</v>
      </c>
      <c r="AE2325" t="s">
        <v>1417</v>
      </c>
      <c r="AF2325">
        <v>60000000</v>
      </c>
      <c r="AG2325" t="s">
        <v>310</v>
      </c>
      <c r="AH2325">
        <f>SUM((MID(Dyno_Data[[#This Row],[Team]],4,5))+(Dyno_Data[[#This Row],[Match]]/100))</f>
        <v>1493.44</v>
      </c>
      <c r="AI2325" s="76">
        <f>ROUND(SUM(IF(Dyno_Data[[#This Row],[AcqCenter]]&gt;0,Dyno_Data[[#This Row],[Time]]-SUMIFS(Dyno_Data[Time],Dyno_Data[Team],Dyno_Data[[#This Row],[Team]],Dyno_Data[RecordType],"StartMatch",Dyno_Data[Match],Dyno_Data[[#This Row],[Match]]),0)*86400),0)</f>
        <v>0</v>
      </c>
    </row>
    <row r="2326" spans="1:35" x14ac:dyDescent="0.3">
      <c r="A2326">
        <v>2325</v>
      </c>
      <c r="B2326" t="s">
        <v>1298</v>
      </c>
      <c r="C2326">
        <v>44</v>
      </c>
      <c r="D2326" s="105">
        <v>45373.683529895832</v>
      </c>
      <c r="E2326" t="s">
        <v>312</v>
      </c>
      <c r="F2326" t="s">
        <v>1402</v>
      </c>
      <c r="G2326">
        <v>0</v>
      </c>
      <c r="H2326" t="s">
        <v>315</v>
      </c>
      <c r="I2326">
        <v>0</v>
      </c>
      <c r="J2326">
        <v>0</v>
      </c>
      <c r="K2326">
        <v>0</v>
      </c>
      <c r="L2326" t="s">
        <v>240</v>
      </c>
      <c r="M2326" t="s">
        <v>1398</v>
      </c>
      <c r="N2326">
        <v>0</v>
      </c>
      <c r="O2326" t="s">
        <v>1391</v>
      </c>
      <c r="P2326" t="s">
        <v>310</v>
      </c>
      <c r="Q2326" t="s">
        <v>310</v>
      </c>
      <c r="R2326" t="s">
        <v>310</v>
      </c>
      <c r="S2326">
        <v>9</v>
      </c>
      <c r="T2326" t="s">
        <v>310</v>
      </c>
      <c r="U2326">
        <v>9</v>
      </c>
      <c r="V2326">
        <v>9</v>
      </c>
      <c r="W2326">
        <v>0</v>
      </c>
      <c r="X2326">
        <v>0</v>
      </c>
      <c r="Y2326">
        <v>0</v>
      </c>
      <c r="Z2326">
        <v>0</v>
      </c>
      <c r="AA2326">
        <v>9</v>
      </c>
      <c r="AB2326">
        <v>9</v>
      </c>
      <c r="AC2326" t="s">
        <v>310</v>
      </c>
      <c r="AD2326">
        <v>9</v>
      </c>
      <c r="AE2326" t="s">
        <v>1418</v>
      </c>
      <c r="AF2326">
        <v>50000000</v>
      </c>
      <c r="AG2326" t="s">
        <v>310</v>
      </c>
      <c r="AH2326">
        <f>SUM((MID(Dyno_Data[[#This Row],[Team]],4,5))+(Dyno_Data[[#This Row],[Match]]/100))</f>
        <v>9624.44</v>
      </c>
      <c r="AI2326" s="76">
        <f>ROUND(SUM(IF(Dyno_Data[[#This Row],[AcqCenter]]&gt;0,Dyno_Data[[#This Row],[Time]]-SUMIFS(Dyno_Data[Time],Dyno_Data[Team],Dyno_Data[[#This Row],[Team]],Dyno_Data[RecordType],"StartMatch",Dyno_Data[Match],Dyno_Data[[#This Row],[Match]]),0)*86400),0)</f>
        <v>0</v>
      </c>
    </row>
    <row r="2327" spans="1:35" x14ac:dyDescent="0.3">
      <c r="A2327">
        <v>2326</v>
      </c>
      <c r="B2327" t="s">
        <v>1317</v>
      </c>
      <c r="C2327">
        <v>44</v>
      </c>
      <c r="D2327" s="105">
        <v>45373.683542280094</v>
      </c>
      <c r="E2327" t="s">
        <v>312</v>
      </c>
      <c r="F2327" t="s">
        <v>1402</v>
      </c>
      <c r="G2327">
        <v>0</v>
      </c>
      <c r="H2327" t="s">
        <v>315</v>
      </c>
      <c r="I2327">
        <v>0</v>
      </c>
      <c r="J2327">
        <v>0</v>
      </c>
      <c r="K2327">
        <v>0</v>
      </c>
      <c r="L2327" t="s">
        <v>241</v>
      </c>
      <c r="M2327" t="s">
        <v>1398</v>
      </c>
      <c r="N2327">
        <v>0</v>
      </c>
      <c r="O2327" t="s">
        <v>1393</v>
      </c>
      <c r="P2327" t="s">
        <v>310</v>
      </c>
      <c r="Q2327" t="s">
        <v>310</v>
      </c>
      <c r="R2327" t="s">
        <v>310</v>
      </c>
      <c r="S2327">
        <v>9</v>
      </c>
      <c r="T2327" t="s">
        <v>310</v>
      </c>
      <c r="U2327">
        <v>9</v>
      </c>
      <c r="V2327">
        <v>9</v>
      </c>
      <c r="W2327">
        <v>0</v>
      </c>
      <c r="X2327">
        <v>0</v>
      </c>
      <c r="Y2327">
        <v>0</v>
      </c>
      <c r="Z2327">
        <v>0</v>
      </c>
      <c r="AA2327">
        <v>9</v>
      </c>
      <c r="AB2327">
        <v>9</v>
      </c>
      <c r="AC2327" t="s">
        <v>310</v>
      </c>
      <c r="AD2327">
        <v>9</v>
      </c>
      <c r="AE2327" t="s">
        <v>1414</v>
      </c>
      <c r="AF2327">
        <v>50000000</v>
      </c>
      <c r="AG2327" t="s">
        <v>310</v>
      </c>
      <c r="AH2327">
        <f>SUM((MID(Dyno_Data[[#This Row],[Team]],4,5))+(Dyno_Data[[#This Row],[Match]]/100))</f>
        <v>296.44</v>
      </c>
      <c r="AI2327" s="76">
        <f>ROUND(SUM(IF(Dyno_Data[[#This Row],[AcqCenter]]&gt;0,Dyno_Data[[#This Row],[Time]]-SUMIFS(Dyno_Data[Time],Dyno_Data[Team],Dyno_Data[[#This Row],[Team]],Dyno_Data[RecordType],"StartMatch",Dyno_Data[Match],Dyno_Data[[#This Row],[Match]]),0)*86400),0)</f>
        <v>0</v>
      </c>
    </row>
    <row r="2328" spans="1:35" x14ac:dyDescent="0.3">
      <c r="A2328">
        <v>2327</v>
      </c>
      <c r="B2328" t="s">
        <v>1291</v>
      </c>
      <c r="C2328">
        <v>44</v>
      </c>
      <c r="D2328" s="105">
        <v>45373.683544444444</v>
      </c>
      <c r="E2328" t="s">
        <v>312</v>
      </c>
      <c r="F2328" t="s">
        <v>1402</v>
      </c>
      <c r="G2328">
        <v>0</v>
      </c>
      <c r="H2328" t="s">
        <v>315</v>
      </c>
      <c r="I2328">
        <v>0</v>
      </c>
      <c r="J2328">
        <v>0</v>
      </c>
      <c r="K2328">
        <v>0</v>
      </c>
      <c r="L2328" t="s">
        <v>241</v>
      </c>
      <c r="M2328" t="s">
        <v>1398</v>
      </c>
      <c r="N2328">
        <v>0</v>
      </c>
      <c r="O2328" t="s">
        <v>1389</v>
      </c>
      <c r="P2328" t="s">
        <v>310</v>
      </c>
      <c r="Q2328" t="s">
        <v>310</v>
      </c>
      <c r="R2328" t="s">
        <v>310</v>
      </c>
      <c r="S2328">
        <v>9</v>
      </c>
      <c r="T2328" t="s">
        <v>310</v>
      </c>
      <c r="U2328">
        <v>9</v>
      </c>
      <c r="V2328">
        <v>9</v>
      </c>
      <c r="W2328">
        <v>0</v>
      </c>
      <c r="X2328">
        <v>0</v>
      </c>
      <c r="Y2328">
        <v>0</v>
      </c>
      <c r="Z2328">
        <v>0</v>
      </c>
      <c r="AA2328">
        <v>9</v>
      </c>
      <c r="AB2328">
        <v>9</v>
      </c>
      <c r="AC2328" t="s">
        <v>310</v>
      </c>
      <c r="AD2328">
        <v>9</v>
      </c>
      <c r="AE2328" t="s">
        <v>1417</v>
      </c>
      <c r="AF2328">
        <v>70000000</v>
      </c>
      <c r="AG2328" t="s">
        <v>310</v>
      </c>
      <c r="AH2328">
        <f>SUM((MID(Dyno_Data[[#This Row],[Team]],4,5))+(Dyno_Data[[#This Row],[Match]]/100))</f>
        <v>1493.44</v>
      </c>
      <c r="AI2328" s="76">
        <f>ROUND(SUM(IF(Dyno_Data[[#This Row],[AcqCenter]]&gt;0,Dyno_Data[[#This Row],[Time]]-SUMIFS(Dyno_Data[Time],Dyno_Data[Team],Dyno_Data[[#This Row],[Team]],Dyno_Data[RecordType],"StartMatch",Dyno_Data[Match],Dyno_Data[[#This Row],[Match]]),0)*86400),0)</f>
        <v>0</v>
      </c>
    </row>
    <row r="2329" spans="1:35" x14ac:dyDescent="0.3">
      <c r="A2329">
        <v>2328</v>
      </c>
      <c r="B2329" t="s">
        <v>1286</v>
      </c>
      <c r="C2329">
        <v>44</v>
      </c>
      <c r="D2329" s="105">
        <v>45373.683566898151</v>
      </c>
      <c r="E2329" t="s">
        <v>312</v>
      </c>
      <c r="F2329" t="s">
        <v>1402</v>
      </c>
      <c r="G2329">
        <v>0</v>
      </c>
      <c r="H2329" t="s">
        <v>315</v>
      </c>
      <c r="I2329">
        <v>0</v>
      </c>
      <c r="J2329">
        <v>0</v>
      </c>
      <c r="K2329">
        <v>0</v>
      </c>
      <c r="L2329" t="s">
        <v>241</v>
      </c>
      <c r="M2329" t="s">
        <v>1398</v>
      </c>
      <c r="N2329">
        <v>0</v>
      </c>
      <c r="O2329" t="s">
        <v>311</v>
      </c>
      <c r="P2329" t="s">
        <v>310</v>
      </c>
      <c r="Q2329" t="s">
        <v>310</v>
      </c>
      <c r="R2329" t="s">
        <v>310</v>
      </c>
      <c r="S2329">
        <v>9</v>
      </c>
      <c r="T2329" t="s">
        <v>310</v>
      </c>
      <c r="U2329">
        <v>9</v>
      </c>
      <c r="V2329">
        <v>9</v>
      </c>
      <c r="W2329">
        <v>0</v>
      </c>
      <c r="X2329">
        <v>0</v>
      </c>
      <c r="Y2329">
        <v>0</v>
      </c>
      <c r="Z2329">
        <v>0</v>
      </c>
      <c r="AA2329">
        <v>9</v>
      </c>
      <c r="AB2329">
        <v>9</v>
      </c>
      <c r="AC2329" t="s">
        <v>310</v>
      </c>
      <c r="AD2329">
        <v>9</v>
      </c>
      <c r="AE2329" t="s">
        <v>1412</v>
      </c>
      <c r="AF2329">
        <v>100000000</v>
      </c>
      <c r="AG2329" t="s">
        <v>310</v>
      </c>
      <c r="AH2329">
        <f>SUM((MID(Dyno_Data[[#This Row],[Team]],4,5))+(Dyno_Data[[#This Row],[Match]]/100))</f>
        <v>1591.44</v>
      </c>
      <c r="AI2329" s="76">
        <f>ROUND(SUM(IF(Dyno_Data[[#This Row],[AcqCenter]]&gt;0,Dyno_Data[[#This Row],[Time]]-SUMIFS(Dyno_Data[Time],Dyno_Data[Team],Dyno_Data[[#This Row],[Team]],Dyno_Data[RecordType],"StartMatch",Dyno_Data[Match],Dyno_Data[[#This Row],[Match]]),0)*86400),0)</f>
        <v>0</v>
      </c>
    </row>
    <row r="2330" spans="1:35" x14ac:dyDescent="0.3">
      <c r="A2330">
        <v>2329</v>
      </c>
      <c r="B2330" t="s">
        <v>1286</v>
      </c>
      <c r="C2330">
        <v>44</v>
      </c>
      <c r="D2330" s="105">
        <v>45373.68535482639</v>
      </c>
      <c r="E2330" t="s">
        <v>316</v>
      </c>
      <c r="F2330" t="s">
        <v>317</v>
      </c>
      <c r="G2330">
        <v>1</v>
      </c>
      <c r="H2330" t="s">
        <v>310</v>
      </c>
      <c r="I2330">
        <v>0</v>
      </c>
      <c r="J2330">
        <v>0</v>
      </c>
      <c r="K2330">
        <v>0</v>
      </c>
      <c r="L2330" t="s">
        <v>310</v>
      </c>
      <c r="M2330" t="s">
        <v>310</v>
      </c>
      <c r="N2330">
        <v>0</v>
      </c>
      <c r="O2330" t="s">
        <v>311</v>
      </c>
      <c r="P2330" t="s">
        <v>240</v>
      </c>
      <c r="Q2330" t="s">
        <v>1400</v>
      </c>
      <c r="R2330" t="s">
        <v>1405</v>
      </c>
      <c r="S2330">
        <v>1</v>
      </c>
      <c r="T2330" t="s">
        <v>1406</v>
      </c>
      <c r="U2330">
        <v>0</v>
      </c>
      <c r="V2330">
        <v>1</v>
      </c>
      <c r="W2330">
        <v>12.8681491</v>
      </c>
      <c r="X2330">
        <v>40.933058699999997</v>
      </c>
      <c r="Y2330">
        <v>25.879414000000001</v>
      </c>
      <c r="Z2330">
        <v>45.639090099999997</v>
      </c>
      <c r="AA2330">
        <v>0</v>
      </c>
      <c r="AB2330">
        <v>0</v>
      </c>
      <c r="AC2330" t="s">
        <v>174</v>
      </c>
      <c r="AD2330">
        <v>9</v>
      </c>
      <c r="AE2330" t="s">
        <v>1412</v>
      </c>
      <c r="AF2330">
        <v>100000000</v>
      </c>
      <c r="AG2330" t="s">
        <v>310</v>
      </c>
      <c r="AH2330">
        <f>SUM((MID(Dyno_Data[[#This Row],[Team]],4,5))+(Dyno_Data[[#This Row],[Match]]/100))</f>
        <v>1591.44</v>
      </c>
      <c r="AI2330" s="76">
        <f>ROUND(SUM(IF(Dyno_Data[[#This Row],[AcqCenter]]&gt;0,Dyno_Data[[#This Row],[Time]]-SUMIFS(Dyno_Data[Time],Dyno_Data[Team],Dyno_Data[[#This Row],[Team]],Dyno_Data[RecordType],"StartMatch",Dyno_Data[Match],Dyno_Data[[#This Row],[Match]]),0)*86400),0)</f>
        <v>0</v>
      </c>
    </row>
    <row r="2331" spans="1:35" x14ac:dyDescent="0.3">
      <c r="A2331">
        <v>2330</v>
      </c>
      <c r="B2331" t="s">
        <v>1298</v>
      </c>
      <c r="C2331">
        <v>44</v>
      </c>
      <c r="D2331" s="105">
        <v>45373.685355752314</v>
      </c>
      <c r="E2331" t="s">
        <v>316</v>
      </c>
      <c r="F2331" t="s">
        <v>317</v>
      </c>
      <c r="G2331">
        <v>0</v>
      </c>
      <c r="H2331" t="s">
        <v>310</v>
      </c>
      <c r="I2331">
        <v>0</v>
      </c>
      <c r="J2331">
        <v>0</v>
      </c>
      <c r="K2331">
        <v>0</v>
      </c>
      <c r="L2331" t="s">
        <v>310</v>
      </c>
      <c r="M2331" t="s">
        <v>310</v>
      </c>
      <c r="N2331">
        <v>0</v>
      </c>
      <c r="O2331" t="s">
        <v>1391</v>
      </c>
      <c r="P2331" t="s">
        <v>101</v>
      </c>
      <c r="Q2331" t="s">
        <v>1400</v>
      </c>
      <c r="R2331" t="s">
        <v>1404</v>
      </c>
      <c r="S2331">
        <v>-1</v>
      </c>
      <c r="T2331" t="s">
        <v>105</v>
      </c>
      <c r="U2331">
        <v>9</v>
      </c>
      <c r="V2331">
        <v>9</v>
      </c>
      <c r="W2331">
        <v>18.371306699999998</v>
      </c>
      <c r="X2331">
        <v>47.035472499999997</v>
      </c>
      <c r="Y2331">
        <v>21.366734699999999</v>
      </c>
      <c r="Z2331">
        <v>47.918423499999996</v>
      </c>
      <c r="AA2331">
        <v>0</v>
      </c>
      <c r="AB2331">
        <v>0</v>
      </c>
      <c r="AC2331" t="s">
        <v>174</v>
      </c>
      <c r="AD2331">
        <v>9</v>
      </c>
      <c r="AE2331" t="s">
        <v>1418</v>
      </c>
      <c r="AF2331">
        <v>50000000</v>
      </c>
      <c r="AG2331" t="s">
        <v>310</v>
      </c>
      <c r="AH2331">
        <f>SUM((MID(Dyno_Data[[#This Row],[Team]],4,5))+(Dyno_Data[[#This Row],[Match]]/100))</f>
        <v>9624.44</v>
      </c>
      <c r="AI2331" s="76">
        <f>ROUND(SUM(IF(Dyno_Data[[#This Row],[AcqCenter]]&gt;0,Dyno_Data[[#This Row],[Time]]-SUMIFS(Dyno_Data[Time],Dyno_Data[Team],Dyno_Data[[#This Row],[Team]],Dyno_Data[RecordType],"StartMatch",Dyno_Data[Match],Dyno_Data[[#This Row],[Match]]),0)*86400),0)</f>
        <v>0</v>
      </c>
    </row>
    <row r="2332" spans="1:35" x14ac:dyDescent="0.3">
      <c r="A2332">
        <v>2331</v>
      </c>
      <c r="B2332" t="s">
        <v>361</v>
      </c>
      <c r="C2332">
        <v>44</v>
      </c>
      <c r="D2332" s="105">
        <v>45373.685355937501</v>
      </c>
      <c r="E2332" t="s">
        <v>316</v>
      </c>
      <c r="F2332" t="s">
        <v>317</v>
      </c>
      <c r="G2332">
        <v>1</v>
      </c>
      <c r="H2332" t="s">
        <v>310</v>
      </c>
      <c r="I2332">
        <v>0</v>
      </c>
      <c r="J2332">
        <v>0</v>
      </c>
      <c r="K2332">
        <v>0</v>
      </c>
      <c r="L2332" t="s">
        <v>310</v>
      </c>
      <c r="M2332" t="s">
        <v>310</v>
      </c>
      <c r="N2332">
        <v>0</v>
      </c>
      <c r="O2332" t="s">
        <v>319</v>
      </c>
      <c r="P2332" t="s">
        <v>320</v>
      </c>
      <c r="Q2332" t="s">
        <v>1399</v>
      </c>
      <c r="R2332" t="s">
        <v>1405</v>
      </c>
      <c r="S2332">
        <v>1</v>
      </c>
      <c r="T2332" t="s">
        <v>1406</v>
      </c>
      <c r="U2332">
        <v>1</v>
      </c>
      <c r="V2332">
        <v>1</v>
      </c>
      <c r="W2332">
        <v>7.8254381999999998</v>
      </c>
      <c r="X2332">
        <v>46.122160199999996</v>
      </c>
      <c r="Y2332">
        <v>13.6626008</v>
      </c>
      <c r="Z2332">
        <v>43.225869599999996</v>
      </c>
      <c r="AA2332">
        <v>0</v>
      </c>
      <c r="AB2332">
        <v>0</v>
      </c>
      <c r="AC2332" t="s">
        <v>174</v>
      </c>
      <c r="AD2332">
        <v>1</v>
      </c>
      <c r="AE2332" t="s">
        <v>1416</v>
      </c>
      <c r="AF2332">
        <v>50000000</v>
      </c>
      <c r="AG2332" t="s">
        <v>310</v>
      </c>
      <c r="AH2332">
        <f>SUM((MID(Dyno_Data[[#This Row],[Team]],4,5))+(Dyno_Data[[#This Row],[Match]]/100))</f>
        <v>20.440000000000001</v>
      </c>
      <c r="AI2332" s="76">
        <f>ROUND(SUM(IF(Dyno_Data[[#This Row],[AcqCenter]]&gt;0,Dyno_Data[[#This Row],[Time]]-SUMIFS(Dyno_Data[Time],Dyno_Data[Team],Dyno_Data[[#This Row],[Team]],Dyno_Data[RecordType],"StartMatch",Dyno_Data[Match],Dyno_Data[[#This Row],[Match]]),0)*86400),0)</f>
        <v>0</v>
      </c>
    </row>
    <row r="2333" spans="1:35" x14ac:dyDescent="0.3">
      <c r="A2333">
        <v>2332</v>
      </c>
      <c r="B2333" t="s">
        <v>1317</v>
      </c>
      <c r="C2333">
        <v>44</v>
      </c>
      <c r="D2333" s="105">
        <v>45373.685356099537</v>
      </c>
      <c r="E2333" t="s">
        <v>316</v>
      </c>
      <c r="F2333" t="s">
        <v>317</v>
      </c>
      <c r="G2333">
        <v>0</v>
      </c>
      <c r="H2333" t="s">
        <v>310</v>
      </c>
      <c r="I2333">
        <v>0</v>
      </c>
      <c r="J2333">
        <v>0</v>
      </c>
      <c r="K2333">
        <v>0</v>
      </c>
      <c r="L2333" t="s">
        <v>310</v>
      </c>
      <c r="M2333" t="s">
        <v>310</v>
      </c>
      <c r="N2333">
        <v>0</v>
      </c>
      <c r="O2333" t="s">
        <v>1393</v>
      </c>
      <c r="P2333" t="s">
        <v>320</v>
      </c>
      <c r="Q2333" t="s">
        <v>1399</v>
      </c>
      <c r="R2333" t="s">
        <v>1405</v>
      </c>
      <c r="S2333">
        <v>1</v>
      </c>
      <c r="T2333" t="s">
        <v>1407</v>
      </c>
      <c r="U2333">
        <v>0</v>
      </c>
      <c r="V2333">
        <v>0</v>
      </c>
      <c r="W2333">
        <v>2.6243626999999998</v>
      </c>
      <c r="X2333">
        <v>28.0161017</v>
      </c>
      <c r="Y2333">
        <v>17.022559999999999</v>
      </c>
      <c r="Z2333">
        <v>76.296391499999999</v>
      </c>
      <c r="AA2333">
        <v>0</v>
      </c>
      <c r="AB2333">
        <v>1</v>
      </c>
      <c r="AC2333" t="s">
        <v>174</v>
      </c>
      <c r="AD2333">
        <v>0</v>
      </c>
      <c r="AE2333" t="s">
        <v>1414</v>
      </c>
      <c r="AF2333">
        <v>50000000</v>
      </c>
      <c r="AG2333" t="s">
        <v>310</v>
      </c>
      <c r="AH2333">
        <f>SUM((MID(Dyno_Data[[#This Row],[Team]],4,5))+(Dyno_Data[[#This Row],[Match]]/100))</f>
        <v>296.44</v>
      </c>
      <c r="AI2333" s="76">
        <f>ROUND(SUM(IF(Dyno_Data[[#This Row],[AcqCenter]]&gt;0,Dyno_Data[[#This Row],[Time]]-SUMIFS(Dyno_Data[Time],Dyno_Data[Team],Dyno_Data[[#This Row],[Team]],Dyno_Data[RecordType],"StartMatch",Dyno_Data[Match],Dyno_Data[[#This Row],[Match]]),0)*86400),0)</f>
        <v>0</v>
      </c>
    </row>
    <row r="2334" spans="1:35" x14ac:dyDescent="0.3">
      <c r="A2334">
        <v>2333</v>
      </c>
      <c r="B2334" t="s">
        <v>1291</v>
      </c>
      <c r="C2334">
        <v>44</v>
      </c>
      <c r="D2334" s="105">
        <v>45373.685356249996</v>
      </c>
      <c r="E2334" t="s">
        <v>316</v>
      </c>
      <c r="F2334" t="s">
        <v>317</v>
      </c>
      <c r="G2334">
        <v>1</v>
      </c>
      <c r="H2334" t="s">
        <v>310</v>
      </c>
      <c r="I2334">
        <v>0</v>
      </c>
      <c r="J2334">
        <v>0</v>
      </c>
      <c r="K2334">
        <v>0</v>
      </c>
      <c r="L2334" t="s">
        <v>310</v>
      </c>
      <c r="M2334" t="s">
        <v>310</v>
      </c>
      <c r="N2334">
        <v>0</v>
      </c>
      <c r="O2334" t="s">
        <v>1389</v>
      </c>
      <c r="P2334" t="s">
        <v>240</v>
      </c>
      <c r="Q2334" t="s">
        <v>1400</v>
      </c>
      <c r="R2334" t="s">
        <v>1404</v>
      </c>
      <c r="S2334">
        <v>0</v>
      </c>
      <c r="T2334" t="s">
        <v>105</v>
      </c>
      <c r="U2334">
        <v>9</v>
      </c>
      <c r="V2334">
        <v>9</v>
      </c>
      <c r="W2334">
        <v>0</v>
      </c>
      <c r="X2334">
        <v>42.172568399999996</v>
      </c>
      <c r="Y2334">
        <v>38.598635899999998</v>
      </c>
      <c r="Z2334">
        <v>53.867238099999994</v>
      </c>
      <c r="AA2334">
        <v>0</v>
      </c>
      <c r="AB2334">
        <v>0</v>
      </c>
      <c r="AC2334" t="s">
        <v>174</v>
      </c>
      <c r="AD2334">
        <v>9</v>
      </c>
      <c r="AE2334" t="s">
        <v>1417</v>
      </c>
      <c r="AF2334">
        <v>70000000</v>
      </c>
      <c r="AG2334" t="s">
        <v>310</v>
      </c>
      <c r="AH2334">
        <f>SUM((MID(Dyno_Data[[#This Row],[Team]],4,5))+(Dyno_Data[[#This Row],[Match]]/100))</f>
        <v>1493.44</v>
      </c>
      <c r="AI2334" s="76">
        <f>ROUND(SUM(IF(Dyno_Data[[#This Row],[AcqCenter]]&gt;0,Dyno_Data[[#This Row],[Time]]-SUMIFS(Dyno_Data[Time],Dyno_Data[Team],Dyno_Data[[#This Row],[Team]],Dyno_Data[RecordType],"StartMatch",Dyno_Data[Match],Dyno_Data[[#This Row],[Match]]),0)*86400),0)</f>
        <v>0</v>
      </c>
    </row>
    <row r="2335" spans="1:35" x14ac:dyDescent="0.3">
      <c r="A2335">
        <v>2334</v>
      </c>
      <c r="B2335" t="s">
        <v>1310</v>
      </c>
      <c r="C2335">
        <v>44</v>
      </c>
      <c r="D2335" s="105">
        <v>45373.685356712966</v>
      </c>
      <c r="E2335" t="s">
        <v>316</v>
      </c>
      <c r="F2335" t="s">
        <v>317</v>
      </c>
      <c r="G2335">
        <v>0</v>
      </c>
      <c r="H2335" t="s">
        <v>310</v>
      </c>
      <c r="I2335">
        <v>0</v>
      </c>
      <c r="J2335">
        <v>0</v>
      </c>
      <c r="K2335">
        <v>0</v>
      </c>
      <c r="L2335" t="s">
        <v>310</v>
      </c>
      <c r="M2335" t="s">
        <v>310</v>
      </c>
      <c r="N2335">
        <v>0</v>
      </c>
      <c r="O2335" t="s">
        <v>1395</v>
      </c>
      <c r="P2335" t="s">
        <v>101</v>
      </c>
      <c r="Q2335" t="s">
        <v>1400</v>
      </c>
      <c r="R2335" t="s">
        <v>1405</v>
      </c>
      <c r="S2335">
        <v>1</v>
      </c>
      <c r="T2335" t="s">
        <v>1406</v>
      </c>
      <c r="U2335">
        <v>0</v>
      </c>
      <c r="V2335">
        <v>0</v>
      </c>
      <c r="W2335">
        <v>4.1227995000000002</v>
      </c>
      <c r="X2335">
        <v>12.813912199999999</v>
      </c>
      <c r="Y2335">
        <v>20.5004028</v>
      </c>
      <c r="Z2335">
        <v>90.310836600000002</v>
      </c>
      <c r="AA2335">
        <v>0</v>
      </c>
      <c r="AB2335">
        <v>0</v>
      </c>
      <c r="AC2335" t="s">
        <v>174</v>
      </c>
      <c r="AD2335">
        <v>9</v>
      </c>
      <c r="AE2335" t="s">
        <v>1413</v>
      </c>
      <c r="AF2335">
        <v>30000000</v>
      </c>
      <c r="AG2335" t="s">
        <v>310</v>
      </c>
      <c r="AH2335">
        <f>SUM((MID(Dyno_Data[[#This Row],[Team]],4,5))+(Dyno_Data[[#This Row],[Match]]/100))</f>
        <v>6621.44</v>
      </c>
      <c r="AI2335" s="76">
        <f>ROUND(SUM(IF(Dyno_Data[[#This Row],[AcqCenter]]&gt;0,Dyno_Data[[#This Row],[Time]]-SUMIFS(Dyno_Data[Time],Dyno_Data[Team],Dyno_Data[[#This Row],[Team]],Dyno_Data[RecordType],"StartMatch",Dyno_Data[Match],Dyno_Data[[#This Row],[Match]]),0)*86400),0)</f>
        <v>0</v>
      </c>
    </row>
    <row r="2336" spans="1:35" x14ac:dyDescent="0.3">
      <c r="A2336">
        <v>2340</v>
      </c>
      <c r="B2336" t="s">
        <v>373</v>
      </c>
      <c r="C2336">
        <v>45</v>
      </c>
      <c r="D2336" s="105">
        <v>45373.687997187502</v>
      </c>
      <c r="E2336" t="s">
        <v>308</v>
      </c>
      <c r="F2336" t="s">
        <v>309</v>
      </c>
      <c r="G2336">
        <v>0</v>
      </c>
      <c r="H2336" t="s">
        <v>310</v>
      </c>
      <c r="I2336">
        <v>0</v>
      </c>
      <c r="J2336">
        <v>0</v>
      </c>
      <c r="K2336">
        <v>0</v>
      </c>
      <c r="L2336" t="s">
        <v>310</v>
      </c>
      <c r="M2336" t="s">
        <v>310</v>
      </c>
      <c r="N2336">
        <v>0</v>
      </c>
      <c r="O2336" t="s">
        <v>311</v>
      </c>
      <c r="P2336" t="s">
        <v>310</v>
      </c>
      <c r="Q2336" t="s">
        <v>310</v>
      </c>
      <c r="R2336" t="s">
        <v>310</v>
      </c>
      <c r="S2336">
        <v>9</v>
      </c>
      <c r="T2336" t="s">
        <v>310</v>
      </c>
      <c r="U2336">
        <v>9</v>
      </c>
      <c r="V2336">
        <v>9</v>
      </c>
      <c r="W2336">
        <v>0</v>
      </c>
      <c r="X2336">
        <v>0</v>
      </c>
      <c r="Y2336">
        <v>0</v>
      </c>
      <c r="Z2336">
        <v>0</v>
      </c>
      <c r="AA2336">
        <v>9</v>
      </c>
      <c r="AB2336">
        <v>9</v>
      </c>
      <c r="AC2336" t="s">
        <v>310</v>
      </c>
      <c r="AD2336">
        <v>9</v>
      </c>
      <c r="AE2336" t="s">
        <v>1412</v>
      </c>
      <c r="AF2336">
        <v>0</v>
      </c>
      <c r="AG2336" t="s">
        <v>310</v>
      </c>
      <c r="AH2336">
        <f>SUM((MID(Dyno_Data[[#This Row],[Team]],4,5))+(Dyno_Data[[#This Row],[Match]]/100))</f>
        <v>7718.45</v>
      </c>
      <c r="AI2336" s="76">
        <f>ROUND(SUM(IF(Dyno_Data[[#This Row],[AcqCenter]]&gt;0,Dyno_Data[[#This Row],[Time]]-SUMIFS(Dyno_Data[Time],Dyno_Data[Team],Dyno_Data[[#This Row],[Team]],Dyno_Data[RecordType],"StartMatch",Dyno_Data[Match],Dyno_Data[[#This Row],[Match]]),0)*86400),0)</f>
        <v>0</v>
      </c>
    </row>
    <row r="2337" spans="1:35" x14ac:dyDescent="0.3">
      <c r="A2337">
        <v>2342</v>
      </c>
      <c r="B2337" t="s">
        <v>1311</v>
      </c>
      <c r="C2337">
        <v>45</v>
      </c>
      <c r="D2337" s="105">
        <v>45373.687998611109</v>
      </c>
      <c r="E2337" t="s">
        <v>308</v>
      </c>
      <c r="F2337" t="s">
        <v>309</v>
      </c>
      <c r="G2337">
        <v>0</v>
      </c>
      <c r="H2337" t="s">
        <v>310</v>
      </c>
      <c r="I2337">
        <v>0</v>
      </c>
      <c r="J2337">
        <v>0</v>
      </c>
      <c r="K2337">
        <v>0</v>
      </c>
      <c r="L2337" t="s">
        <v>310</v>
      </c>
      <c r="M2337" t="s">
        <v>310</v>
      </c>
      <c r="N2337">
        <v>0</v>
      </c>
      <c r="O2337" t="s">
        <v>319</v>
      </c>
      <c r="P2337" t="s">
        <v>310</v>
      </c>
      <c r="Q2337" t="s">
        <v>310</v>
      </c>
      <c r="R2337" t="s">
        <v>310</v>
      </c>
      <c r="S2337">
        <v>9</v>
      </c>
      <c r="T2337" t="s">
        <v>310</v>
      </c>
      <c r="U2337">
        <v>9</v>
      </c>
      <c r="V2337">
        <v>9</v>
      </c>
      <c r="W2337">
        <v>0</v>
      </c>
      <c r="X2337">
        <v>0</v>
      </c>
      <c r="Y2337">
        <v>0</v>
      </c>
      <c r="Z2337">
        <v>0</v>
      </c>
      <c r="AA2337">
        <v>9</v>
      </c>
      <c r="AB2337">
        <v>9</v>
      </c>
      <c r="AC2337" t="s">
        <v>310</v>
      </c>
      <c r="AD2337">
        <v>9</v>
      </c>
      <c r="AE2337" t="s">
        <v>1416</v>
      </c>
      <c r="AF2337">
        <v>0</v>
      </c>
      <c r="AG2337" t="s">
        <v>310</v>
      </c>
      <c r="AH2337">
        <f>SUM((MID(Dyno_Data[[#This Row],[Team]],4,5))+(Dyno_Data[[#This Row],[Match]]/100))</f>
        <v>2234.4499999999998</v>
      </c>
      <c r="AI2337" s="76">
        <f>ROUND(SUM(IF(Dyno_Data[[#This Row],[AcqCenter]]&gt;0,Dyno_Data[[#This Row],[Time]]-SUMIFS(Dyno_Data[Time],Dyno_Data[Team],Dyno_Data[[#This Row],[Team]],Dyno_Data[RecordType],"StartMatch",Dyno_Data[Match],Dyno_Data[[#This Row],[Match]]),0)*86400),0)</f>
        <v>0</v>
      </c>
    </row>
    <row r="2338" spans="1:35" x14ac:dyDescent="0.3">
      <c r="A2338">
        <v>2344</v>
      </c>
      <c r="B2338" t="s">
        <v>1297</v>
      </c>
      <c r="C2338">
        <v>45</v>
      </c>
      <c r="D2338" s="105">
        <v>45373.688003784722</v>
      </c>
      <c r="E2338" t="s">
        <v>308</v>
      </c>
      <c r="F2338" t="s">
        <v>309</v>
      </c>
      <c r="G2338">
        <v>0</v>
      </c>
      <c r="H2338" t="s">
        <v>310</v>
      </c>
      <c r="I2338">
        <v>0</v>
      </c>
      <c r="J2338">
        <v>0</v>
      </c>
      <c r="K2338">
        <v>0</v>
      </c>
      <c r="L2338" t="s">
        <v>310</v>
      </c>
      <c r="M2338" t="s">
        <v>310</v>
      </c>
      <c r="N2338">
        <v>0</v>
      </c>
      <c r="O2338" t="s">
        <v>1389</v>
      </c>
      <c r="P2338" t="s">
        <v>310</v>
      </c>
      <c r="Q2338" t="s">
        <v>310</v>
      </c>
      <c r="R2338" t="s">
        <v>310</v>
      </c>
      <c r="S2338">
        <v>9</v>
      </c>
      <c r="T2338" t="s">
        <v>310</v>
      </c>
      <c r="U2338">
        <v>9</v>
      </c>
      <c r="V2338">
        <v>9</v>
      </c>
      <c r="W2338">
        <v>0</v>
      </c>
      <c r="X2338">
        <v>0</v>
      </c>
      <c r="Y2338">
        <v>0</v>
      </c>
      <c r="Z2338">
        <v>0</v>
      </c>
      <c r="AA2338">
        <v>9</v>
      </c>
      <c r="AB2338">
        <v>9</v>
      </c>
      <c r="AC2338" t="s">
        <v>310</v>
      </c>
      <c r="AD2338">
        <v>9</v>
      </c>
      <c r="AE2338" t="s">
        <v>1417</v>
      </c>
      <c r="AF2338">
        <v>0</v>
      </c>
      <c r="AG2338" t="s">
        <v>310</v>
      </c>
      <c r="AH2338">
        <f>SUM((MID(Dyno_Data[[#This Row],[Team]],4,5))+(Dyno_Data[[#This Row],[Match]]/100))</f>
        <v>9750.4500000000007</v>
      </c>
      <c r="AI2338" s="76">
        <f>ROUND(SUM(IF(Dyno_Data[[#This Row],[AcqCenter]]&gt;0,Dyno_Data[[#This Row],[Time]]-SUMIFS(Dyno_Data[Time],Dyno_Data[Team],Dyno_Data[[#This Row],[Team]],Dyno_Data[RecordType],"StartMatch",Dyno_Data[Match],Dyno_Data[[#This Row],[Match]]),0)*86400),0)</f>
        <v>0</v>
      </c>
    </row>
    <row r="2339" spans="1:35" x14ac:dyDescent="0.3">
      <c r="A2339">
        <v>2346</v>
      </c>
      <c r="B2339" t="s">
        <v>1276</v>
      </c>
      <c r="C2339">
        <v>45</v>
      </c>
      <c r="D2339" s="105">
        <v>45373.688010150465</v>
      </c>
      <c r="E2339" t="s">
        <v>308</v>
      </c>
      <c r="F2339" t="s">
        <v>309</v>
      </c>
      <c r="G2339">
        <v>0</v>
      </c>
      <c r="H2339" t="s">
        <v>310</v>
      </c>
      <c r="I2339">
        <v>0</v>
      </c>
      <c r="J2339">
        <v>0</v>
      </c>
      <c r="K2339">
        <v>0</v>
      </c>
      <c r="L2339" t="s">
        <v>310</v>
      </c>
      <c r="M2339" t="s">
        <v>310</v>
      </c>
      <c r="N2339">
        <v>0</v>
      </c>
      <c r="O2339" t="s">
        <v>1393</v>
      </c>
      <c r="P2339" t="s">
        <v>310</v>
      </c>
      <c r="Q2339" t="s">
        <v>310</v>
      </c>
      <c r="R2339" t="s">
        <v>310</v>
      </c>
      <c r="S2339">
        <v>9</v>
      </c>
      <c r="T2339" t="s">
        <v>310</v>
      </c>
      <c r="U2339">
        <v>9</v>
      </c>
      <c r="V2339">
        <v>9</v>
      </c>
      <c r="W2339">
        <v>0</v>
      </c>
      <c r="X2339">
        <v>0</v>
      </c>
      <c r="Y2339">
        <v>0</v>
      </c>
      <c r="Z2339">
        <v>0</v>
      </c>
      <c r="AA2339">
        <v>9</v>
      </c>
      <c r="AB2339">
        <v>9</v>
      </c>
      <c r="AC2339" t="s">
        <v>310</v>
      </c>
      <c r="AD2339">
        <v>9</v>
      </c>
      <c r="AE2339" t="s">
        <v>1414</v>
      </c>
      <c r="AF2339">
        <v>0</v>
      </c>
      <c r="AG2339" t="s">
        <v>310</v>
      </c>
      <c r="AH2339">
        <f>SUM((MID(Dyno_Data[[#This Row],[Team]],4,5))+(Dyno_Data[[#This Row],[Match]]/100))</f>
        <v>229.45</v>
      </c>
      <c r="AI2339" s="76">
        <f>ROUND(SUM(IF(Dyno_Data[[#This Row],[AcqCenter]]&gt;0,Dyno_Data[[#This Row],[Time]]-SUMIFS(Dyno_Data[Time],Dyno_Data[Team],Dyno_Data[[#This Row],[Team]],Dyno_Data[RecordType],"StartMatch",Dyno_Data[Match],Dyno_Data[[#This Row],[Match]]),0)*86400),0)</f>
        <v>0</v>
      </c>
    </row>
    <row r="2340" spans="1:35" x14ac:dyDescent="0.3">
      <c r="A2340">
        <v>2348</v>
      </c>
      <c r="B2340" t="s">
        <v>370</v>
      </c>
      <c r="C2340">
        <v>45</v>
      </c>
      <c r="D2340" s="105">
        <v>45373.688022453702</v>
      </c>
      <c r="E2340" t="s">
        <v>308</v>
      </c>
      <c r="F2340" t="s">
        <v>309</v>
      </c>
      <c r="G2340">
        <v>0</v>
      </c>
      <c r="H2340" t="s">
        <v>310</v>
      </c>
      <c r="I2340">
        <v>0</v>
      </c>
      <c r="J2340">
        <v>0</v>
      </c>
      <c r="K2340">
        <v>0</v>
      </c>
      <c r="L2340" t="s">
        <v>310</v>
      </c>
      <c r="M2340" t="s">
        <v>310</v>
      </c>
      <c r="N2340">
        <v>0</v>
      </c>
      <c r="O2340" t="s">
        <v>1395</v>
      </c>
      <c r="P2340" t="s">
        <v>310</v>
      </c>
      <c r="Q2340" t="s">
        <v>310</v>
      </c>
      <c r="R2340" t="s">
        <v>310</v>
      </c>
      <c r="S2340">
        <v>9</v>
      </c>
      <c r="T2340" t="s">
        <v>310</v>
      </c>
      <c r="U2340">
        <v>9</v>
      </c>
      <c r="V2340">
        <v>9</v>
      </c>
      <c r="W2340">
        <v>0</v>
      </c>
      <c r="X2340">
        <v>0</v>
      </c>
      <c r="Y2340">
        <v>0</v>
      </c>
      <c r="Z2340">
        <v>0</v>
      </c>
      <c r="AA2340">
        <v>9</v>
      </c>
      <c r="AB2340">
        <v>9</v>
      </c>
      <c r="AC2340" t="s">
        <v>310</v>
      </c>
      <c r="AD2340">
        <v>9</v>
      </c>
      <c r="AE2340" t="s">
        <v>1413</v>
      </c>
      <c r="AF2340">
        <v>0</v>
      </c>
      <c r="AG2340" t="s">
        <v>310</v>
      </c>
      <c r="AH2340">
        <f>SUM((MID(Dyno_Data[[#This Row],[Team]],4,5))+(Dyno_Data[[#This Row],[Match]]/100))</f>
        <v>6911.45</v>
      </c>
      <c r="AI2340" s="76">
        <f>ROUND(SUM(IF(Dyno_Data[[#This Row],[AcqCenter]]&gt;0,Dyno_Data[[#This Row],[Time]]-SUMIFS(Dyno_Data[Time],Dyno_Data[Team],Dyno_Data[[#This Row],[Team]],Dyno_Data[RecordType],"StartMatch",Dyno_Data[Match],Dyno_Data[[#This Row],[Match]]),0)*86400),0)</f>
        <v>0</v>
      </c>
    </row>
    <row r="2341" spans="1:35" x14ac:dyDescent="0.3">
      <c r="A2341">
        <v>2350</v>
      </c>
      <c r="B2341" t="s">
        <v>1277</v>
      </c>
      <c r="C2341">
        <v>45</v>
      </c>
      <c r="D2341" s="105">
        <v>45373.688044247683</v>
      </c>
      <c r="E2341" t="s">
        <v>308</v>
      </c>
      <c r="F2341" t="s">
        <v>309</v>
      </c>
      <c r="G2341">
        <v>0</v>
      </c>
      <c r="H2341" t="s">
        <v>310</v>
      </c>
      <c r="I2341">
        <v>0</v>
      </c>
      <c r="J2341">
        <v>0</v>
      </c>
      <c r="K2341">
        <v>0</v>
      </c>
      <c r="L2341" t="s">
        <v>310</v>
      </c>
      <c r="M2341" t="s">
        <v>310</v>
      </c>
      <c r="N2341">
        <v>0</v>
      </c>
      <c r="O2341" t="s">
        <v>1391</v>
      </c>
      <c r="P2341" t="s">
        <v>310</v>
      </c>
      <c r="Q2341" t="s">
        <v>310</v>
      </c>
      <c r="R2341" t="s">
        <v>310</v>
      </c>
      <c r="S2341">
        <v>9</v>
      </c>
      <c r="T2341" t="s">
        <v>310</v>
      </c>
      <c r="U2341">
        <v>9</v>
      </c>
      <c r="V2341">
        <v>9</v>
      </c>
      <c r="W2341">
        <v>0</v>
      </c>
      <c r="X2341">
        <v>0</v>
      </c>
      <c r="Y2341">
        <v>0</v>
      </c>
      <c r="Z2341">
        <v>0</v>
      </c>
      <c r="AA2341">
        <v>9</v>
      </c>
      <c r="AB2341">
        <v>9</v>
      </c>
      <c r="AC2341" t="s">
        <v>310</v>
      </c>
      <c r="AD2341">
        <v>9</v>
      </c>
      <c r="AE2341" t="s">
        <v>1418</v>
      </c>
      <c r="AF2341">
        <v>30000000</v>
      </c>
      <c r="AG2341" t="s">
        <v>310</v>
      </c>
      <c r="AH2341">
        <f>SUM((MID(Dyno_Data[[#This Row],[Team]],4,5))+(Dyno_Data[[#This Row],[Match]]/100))</f>
        <v>3360.45</v>
      </c>
      <c r="AI2341" s="76">
        <f>ROUND(SUM(IF(Dyno_Data[[#This Row],[AcqCenter]]&gt;0,Dyno_Data[[#This Row],[Time]]-SUMIFS(Dyno_Data[Time],Dyno_Data[Team],Dyno_Data[[#This Row],[Team]],Dyno_Data[RecordType],"StartMatch",Dyno_Data[Match],Dyno_Data[[#This Row],[Match]]),0)*86400),0)</f>
        <v>0</v>
      </c>
    </row>
    <row r="2342" spans="1:35" x14ac:dyDescent="0.3">
      <c r="A2342">
        <v>2335</v>
      </c>
      <c r="B2342" t="s">
        <v>1277</v>
      </c>
      <c r="C2342">
        <v>45</v>
      </c>
      <c r="D2342" s="105">
        <v>45373.688052233796</v>
      </c>
      <c r="E2342" t="s">
        <v>312</v>
      </c>
      <c r="F2342" t="s">
        <v>309</v>
      </c>
      <c r="G2342">
        <v>0</v>
      </c>
      <c r="H2342" t="s">
        <v>1397</v>
      </c>
      <c r="I2342">
        <v>0</v>
      </c>
      <c r="J2342">
        <v>0</v>
      </c>
      <c r="K2342">
        <v>0</v>
      </c>
      <c r="L2342" t="s">
        <v>240</v>
      </c>
      <c r="M2342" t="s">
        <v>1398</v>
      </c>
      <c r="N2342">
        <v>0</v>
      </c>
      <c r="O2342" t="s">
        <v>1391</v>
      </c>
      <c r="P2342" t="s">
        <v>310</v>
      </c>
      <c r="Q2342" t="s">
        <v>310</v>
      </c>
      <c r="R2342" t="s">
        <v>310</v>
      </c>
      <c r="S2342">
        <v>9</v>
      </c>
      <c r="T2342" t="s">
        <v>310</v>
      </c>
      <c r="U2342">
        <v>9</v>
      </c>
      <c r="V2342">
        <v>9</v>
      </c>
      <c r="W2342">
        <v>0</v>
      </c>
      <c r="X2342">
        <v>0</v>
      </c>
      <c r="Y2342">
        <v>0</v>
      </c>
      <c r="Z2342">
        <v>0</v>
      </c>
      <c r="AA2342">
        <v>9</v>
      </c>
      <c r="AB2342">
        <v>9</v>
      </c>
      <c r="AC2342" t="s">
        <v>310</v>
      </c>
      <c r="AD2342">
        <v>9</v>
      </c>
      <c r="AE2342" t="s">
        <v>1418</v>
      </c>
      <c r="AF2342">
        <v>0</v>
      </c>
      <c r="AG2342" t="s">
        <v>310</v>
      </c>
      <c r="AH2342">
        <f>SUM((MID(Dyno_Data[[#This Row],[Team]],4,5))+(Dyno_Data[[#This Row],[Match]]/100))</f>
        <v>3360.45</v>
      </c>
      <c r="AI2342" s="76">
        <f>ROUND(SUM(IF(Dyno_Data[[#This Row],[AcqCenter]]&gt;0,Dyno_Data[[#This Row],[Time]]-SUMIFS(Dyno_Data[Time],Dyno_Data[Team],Dyno_Data[[#This Row],[Team]],Dyno_Data[RecordType],"StartMatch",Dyno_Data[Match],Dyno_Data[[#This Row],[Match]]),0)*86400),0)</f>
        <v>0</v>
      </c>
    </row>
    <row r="2343" spans="1:35" x14ac:dyDescent="0.3">
      <c r="A2343">
        <v>2336</v>
      </c>
      <c r="B2343" t="s">
        <v>1277</v>
      </c>
      <c r="C2343">
        <v>45</v>
      </c>
      <c r="D2343" s="105">
        <v>45373.688081863424</v>
      </c>
      <c r="E2343" t="s">
        <v>312</v>
      </c>
      <c r="F2343" t="s">
        <v>309</v>
      </c>
      <c r="G2343">
        <v>0</v>
      </c>
      <c r="H2343" t="s">
        <v>315</v>
      </c>
      <c r="I2343">
        <v>0</v>
      </c>
      <c r="J2343">
        <v>0</v>
      </c>
      <c r="K2343">
        <v>0</v>
      </c>
      <c r="L2343" t="s">
        <v>240</v>
      </c>
      <c r="M2343" t="s">
        <v>1398</v>
      </c>
      <c r="N2343">
        <v>0</v>
      </c>
      <c r="O2343" t="s">
        <v>1391</v>
      </c>
      <c r="P2343" t="s">
        <v>310</v>
      </c>
      <c r="Q2343" t="s">
        <v>310</v>
      </c>
      <c r="R2343" t="s">
        <v>310</v>
      </c>
      <c r="S2343">
        <v>9</v>
      </c>
      <c r="T2343" t="s">
        <v>310</v>
      </c>
      <c r="U2343">
        <v>9</v>
      </c>
      <c r="V2343">
        <v>9</v>
      </c>
      <c r="W2343">
        <v>0</v>
      </c>
      <c r="X2343">
        <v>0</v>
      </c>
      <c r="Y2343">
        <v>0</v>
      </c>
      <c r="Z2343">
        <v>0</v>
      </c>
      <c r="AA2343">
        <v>9</v>
      </c>
      <c r="AB2343">
        <v>9</v>
      </c>
      <c r="AC2343" t="s">
        <v>310</v>
      </c>
      <c r="AD2343">
        <v>9</v>
      </c>
      <c r="AE2343" t="s">
        <v>1418</v>
      </c>
      <c r="AF2343">
        <v>10000000</v>
      </c>
      <c r="AG2343" t="s">
        <v>310</v>
      </c>
      <c r="AH2343">
        <f>SUM((MID(Dyno_Data[[#This Row],[Team]],4,5))+(Dyno_Data[[#This Row],[Match]]/100))</f>
        <v>3360.45</v>
      </c>
      <c r="AI2343" s="76">
        <f>ROUND(SUM(IF(Dyno_Data[[#This Row],[AcqCenter]]&gt;0,Dyno_Data[[#This Row],[Time]]-SUMIFS(Dyno_Data[Time],Dyno_Data[Team],Dyno_Data[[#This Row],[Team]],Dyno_Data[RecordType],"StartMatch",Dyno_Data[Match],Dyno_Data[[#This Row],[Match]]),0)*86400),0)</f>
        <v>0</v>
      </c>
    </row>
    <row r="2344" spans="1:35" x14ac:dyDescent="0.3">
      <c r="A2344">
        <v>2337</v>
      </c>
      <c r="B2344" t="s">
        <v>370</v>
      </c>
      <c r="C2344">
        <v>45</v>
      </c>
      <c r="D2344" s="105">
        <v>45373.688089085648</v>
      </c>
      <c r="E2344" t="s">
        <v>312</v>
      </c>
      <c r="F2344" t="s">
        <v>309</v>
      </c>
      <c r="G2344">
        <v>0</v>
      </c>
      <c r="H2344" t="s">
        <v>1397</v>
      </c>
      <c r="I2344">
        <v>0</v>
      </c>
      <c r="J2344">
        <v>0</v>
      </c>
      <c r="K2344">
        <v>0</v>
      </c>
      <c r="L2344" t="s">
        <v>240</v>
      </c>
      <c r="M2344" t="s">
        <v>1398</v>
      </c>
      <c r="N2344">
        <v>0</v>
      </c>
      <c r="O2344" t="s">
        <v>1395</v>
      </c>
      <c r="P2344" t="s">
        <v>310</v>
      </c>
      <c r="Q2344" t="s">
        <v>310</v>
      </c>
      <c r="R2344" t="s">
        <v>310</v>
      </c>
      <c r="S2344">
        <v>9</v>
      </c>
      <c r="T2344" t="s">
        <v>310</v>
      </c>
      <c r="U2344">
        <v>9</v>
      </c>
      <c r="V2344">
        <v>9</v>
      </c>
      <c r="W2344">
        <v>0</v>
      </c>
      <c r="X2344">
        <v>0</v>
      </c>
      <c r="Y2344">
        <v>0</v>
      </c>
      <c r="Z2344">
        <v>0</v>
      </c>
      <c r="AA2344">
        <v>9</v>
      </c>
      <c r="AB2344">
        <v>9</v>
      </c>
      <c r="AC2344" t="s">
        <v>310</v>
      </c>
      <c r="AD2344">
        <v>9</v>
      </c>
      <c r="AE2344" t="s">
        <v>1413</v>
      </c>
      <c r="AF2344">
        <v>0</v>
      </c>
      <c r="AG2344" t="s">
        <v>310</v>
      </c>
      <c r="AH2344">
        <f>SUM((MID(Dyno_Data[[#This Row],[Team]],4,5))+(Dyno_Data[[#This Row],[Match]]/100))</f>
        <v>6911.45</v>
      </c>
      <c r="AI2344" s="76">
        <f>ROUND(SUM(IF(Dyno_Data[[#This Row],[AcqCenter]]&gt;0,Dyno_Data[[#This Row],[Time]]-SUMIFS(Dyno_Data[Time],Dyno_Data[Team],Dyno_Data[[#This Row],[Team]],Dyno_Data[RecordType],"StartMatch",Dyno_Data[Match],Dyno_Data[[#This Row],[Match]]),0)*86400),0)</f>
        <v>0</v>
      </c>
    </row>
    <row r="2345" spans="1:35" x14ac:dyDescent="0.3">
      <c r="A2345">
        <v>2338</v>
      </c>
      <c r="B2345" t="s">
        <v>1277</v>
      </c>
      <c r="C2345">
        <v>45</v>
      </c>
      <c r="D2345" s="105">
        <v>45373.688123877313</v>
      </c>
      <c r="E2345" t="s">
        <v>312</v>
      </c>
      <c r="F2345" t="s">
        <v>309</v>
      </c>
      <c r="G2345">
        <v>0</v>
      </c>
      <c r="H2345" t="s">
        <v>315</v>
      </c>
      <c r="I2345">
        <v>0</v>
      </c>
      <c r="J2345">
        <v>0</v>
      </c>
      <c r="K2345">
        <v>0</v>
      </c>
      <c r="L2345" t="s">
        <v>240</v>
      </c>
      <c r="M2345" t="s">
        <v>1398</v>
      </c>
      <c r="N2345">
        <v>0</v>
      </c>
      <c r="O2345" t="s">
        <v>1391</v>
      </c>
      <c r="P2345" t="s">
        <v>310</v>
      </c>
      <c r="Q2345" t="s">
        <v>310</v>
      </c>
      <c r="R2345" t="s">
        <v>310</v>
      </c>
      <c r="S2345">
        <v>9</v>
      </c>
      <c r="T2345" t="s">
        <v>310</v>
      </c>
      <c r="U2345">
        <v>9</v>
      </c>
      <c r="V2345">
        <v>9</v>
      </c>
      <c r="W2345">
        <v>0</v>
      </c>
      <c r="X2345">
        <v>0</v>
      </c>
      <c r="Y2345">
        <v>0</v>
      </c>
      <c r="Z2345">
        <v>0</v>
      </c>
      <c r="AA2345">
        <v>9</v>
      </c>
      <c r="AB2345">
        <v>9</v>
      </c>
      <c r="AC2345" t="s">
        <v>310</v>
      </c>
      <c r="AD2345">
        <v>9</v>
      </c>
      <c r="AE2345" t="s">
        <v>1418</v>
      </c>
      <c r="AF2345">
        <v>20000000</v>
      </c>
      <c r="AG2345" t="s">
        <v>310</v>
      </c>
      <c r="AH2345">
        <f>SUM((MID(Dyno_Data[[#This Row],[Team]],4,5))+(Dyno_Data[[#This Row],[Match]]/100))</f>
        <v>3360.45</v>
      </c>
      <c r="AI2345" s="76">
        <f>ROUND(SUM(IF(Dyno_Data[[#This Row],[AcqCenter]]&gt;0,Dyno_Data[[#This Row],[Time]]-SUMIFS(Dyno_Data[Time],Dyno_Data[Team],Dyno_Data[[#This Row],[Team]],Dyno_Data[RecordType],"StartMatch",Dyno_Data[Match],Dyno_Data[[#This Row],[Match]]),0)*86400),0)</f>
        <v>0</v>
      </c>
    </row>
    <row r="2346" spans="1:35" x14ac:dyDescent="0.3">
      <c r="A2346">
        <v>2339</v>
      </c>
      <c r="B2346" t="s">
        <v>1277</v>
      </c>
      <c r="C2346">
        <v>45</v>
      </c>
      <c r="D2346" s="105">
        <v>45373.688182372687</v>
      </c>
      <c r="E2346" t="s">
        <v>312</v>
      </c>
      <c r="F2346" t="s">
        <v>309</v>
      </c>
      <c r="G2346">
        <v>0</v>
      </c>
      <c r="H2346" t="s">
        <v>315</v>
      </c>
      <c r="I2346">
        <v>0</v>
      </c>
      <c r="J2346">
        <v>0</v>
      </c>
      <c r="K2346">
        <v>0</v>
      </c>
      <c r="L2346" t="s">
        <v>240</v>
      </c>
      <c r="M2346" t="s">
        <v>1398</v>
      </c>
      <c r="N2346">
        <v>0</v>
      </c>
      <c r="O2346" t="s">
        <v>1391</v>
      </c>
      <c r="P2346" t="s">
        <v>310</v>
      </c>
      <c r="Q2346" t="s">
        <v>310</v>
      </c>
      <c r="R2346" t="s">
        <v>310</v>
      </c>
      <c r="S2346">
        <v>9</v>
      </c>
      <c r="T2346" t="s">
        <v>310</v>
      </c>
      <c r="U2346">
        <v>9</v>
      </c>
      <c r="V2346">
        <v>9</v>
      </c>
      <c r="W2346">
        <v>0</v>
      </c>
      <c r="X2346">
        <v>0</v>
      </c>
      <c r="Y2346">
        <v>0</v>
      </c>
      <c r="Z2346">
        <v>0</v>
      </c>
      <c r="AA2346">
        <v>9</v>
      </c>
      <c r="AB2346">
        <v>9</v>
      </c>
      <c r="AC2346" t="s">
        <v>310</v>
      </c>
      <c r="AD2346">
        <v>9</v>
      </c>
      <c r="AE2346" t="s">
        <v>1418</v>
      </c>
      <c r="AF2346">
        <v>30000000</v>
      </c>
      <c r="AG2346" t="s">
        <v>310</v>
      </c>
      <c r="AH2346">
        <f>SUM((MID(Dyno_Data[[#This Row],[Team]],4,5))+(Dyno_Data[[#This Row],[Match]]/100))</f>
        <v>3360.45</v>
      </c>
      <c r="AI2346" s="76">
        <f>ROUND(SUM(IF(Dyno_Data[[#This Row],[AcqCenter]]&gt;0,Dyno_Data[[#This Row],[Time]]-SUMIFS(Dyno_Data[Time],Dyno_Data[Team],Dyno_Data[[#This Row],[Team]],Dyno_Data[RecordType],"StartMatch",Dyno_Data[Match],Dyno_Data[[#This Row],[Match]]),0)*86400),0)</f>
        <v>0</v>
      </c>
    </row>
    <row r="2347" spans="1:35" x14ac:dyDescent="0.3">
      <c r="A2347">
        <v>2341</v>
      </c>
      <c r="B2347" t="s">
        <v>373</v>
      </c>
      <c r="C2347">
        <v>45</v>
      </c>
      <c r="D2347" s="105">
        <v>45373.688205520833</v>
      </c>
      <c r="E2347" t="s">
        <v>314</v>
      </c>
      <c r="F2347" t="s">
        <v>309</v>
      </c>
      <c r="G2347">
        <v>1</v>
      </c>
      <c r="H2347" t="s">
        <v>310</v>
      </c>
      <c r="I2347">
        <v>0</v>
      </c>
      <c r="J2347">
        <v>0</v>
      </c>
      <c r="K2347">
        <v>0</v>
      </c>
      <c r="L2347" t="s">
        <v>310</v>
      </c>
      <c r="M2347" t="s">
        <v>310</v>
      </c>
      <c r="N2347">
        <v>0</v>
      </c>
      <c r="O2347" t="s">
        <v>311</v>
      </c>
      <c r="P2347" t="s">
        <v>1401</v>
      </c>
      <c r="Q2347" t="s">
        <v>1400</v>
      </c>
      <c r="R2347" t="s">
        <v>310</v>
      </c>
      <c r="S2347">
        <v>9</v>
      </c>
      <c r="T2347" t="s">
        <v>310</v>
      </c>
      <c r="U2347">
        <v>9</v>
      </c>
      <c r="V2347">
        <v>9</v>
      </c>
      <c r="W2347">
        <v>0</v>
      </c>
      <c r="X2347">
        <v>0</v>
      </c>
      <c r="Y2347">
        <v>0</v>
      </c>
      <c r="Z2347">
        <v>0</v>
      </c>
      <c r="AA2347">
        <v>9</v>
      </c>
      <c r="AB2347">
        <v>9</v>
      </c>
      <c r="AC2347" t="s">
        <v>310</v>
      </c>
      <c r="AD2347">
        <v>9</v>
      </c>
      <c r="AE2347" t="s">
        <v>1412</v>
      </c>
      <c r="AF2347">
        <v>0</v>
      </c>
      <c r="AG2347" t="s">
        <v>310</v>
      </c>
      <c r="AH2347">
        <f>SUM((MID(Dyno_Data[[#This Row],[Team]],4,5))+(Dyno_Data[[#This Row],[Match]]/100))</f>
        <v>7718.45</v>
      </c>
      <c r="AI2347" s="76">
        <f>ROUND(SUM(IF(Dyno_Data[[#This Row],[AcqCenter]]&gt;0,Dyno_Data[[#This Row],[Time]]-SUMIFS(Dyno_Data[Time],Dyno_Data[Team],Dyno_Data[[#This Row],[Team]],Dyno_Data[RecordType],"StartMatch",Dyno_Data[Match],Dyno_Data[[#This Row],[Match]]),0)*86400),0)</f>
        <v>0</v>
      </c>
    </row>
    <row r="2348" spans="1:35" x14ac:dyDescent="0.3">
      <c r="A2348">
        <v>2343</v>
      </c>
      <c r="B2348" t="s">
        <v>1311</v>
      </c>
      <c r="C2348">
        <v>45</v>
      </c>
      <c r="D2348" s="105">
        <v>45373.688206944447</v>
      </c>
      <c r="E2348" t="s">
        <v>314</v>
      </c>
      <c r="F2348" t="s">
        <v>309</v>
      </c>
      <c r="G2348">
        <v>1</v>
      </c>
      <c r="H2348" t="s">
        <v>310</v>
      </c>
      <c r="I2348">
        <v>0</v>
      </c>
      <c r="J2348">
        <v>0</v>
      </c>
      <c r="K2348">
        <v>0</v>
      </c>
      <c r="L2348" t="s">
        <v>310</v>
      </c>
      <c r="M2348" t="s">
        <v>310</v>
      </c>
      <c r="N2348">
        <v>0</v>
      </c>
      <c r="O2348" t="s">
        <v>319</v>
      </c>
      <c r="P2348" t="s">
        <v>320</v>
      </c>
      <c r="Q2348" t="s">
        <v>1400</v>
      </c>
      <c r="R2348" t="s">
        <v>310</v>
      </c>
      <c r="S2348">
        <v>9</v>
      </c>
      <c r="T2348" t="s">
        <v>310</v>
      </c>
      <c r="U2348">
        <v>9</v>
      </c>
      <c r="V2348">
        <v>9</v>
      </c>
      <c r="W2348">
        <v>0</v>
      </c>
      <c r="X2348">
        <v>0</v>
      </c>
      <c r="Y2348">
        <v>0</v>
      </c>
      <c r="Z2348">
        <v>0</v>
      </c>
      <c r="AA2348">
        <v>9</v>
      </c>
      <c r="AB2348">
        <v>9</v>
      </c>
      <c r="AC2348" t="s">
        <v>310</v>
      </c>
      <c r="AD2348">
        <v>9</v>
      </c>
      <c r="AE2348" t="s">
        <v>1416</v>
      </c>
      <c r="AF2348">
        <v>0</v>
      </c>
      <c r="AG2348" t="s">
        <v>310</v>
      </c>
      <c r="AH2348">
        <f>SUM((MID(Dyno_Data[[#This Row],[Team]],4,5))+(Dyno_Data[[#This Row],[Match]]/100))</f>
        <v>2234.4499999999998</v>
      </c>
      <c r="AI2348" s="76">
        <f>ROUND(SUM(IF(Dyno_Data[[#This Row],[AcqCenter]]&gt;0,Dyno_Data[[#This Row],[Time]]-SUMIFS(Dyno_Data[Time],Dyno_Data[Team],Dyno_Data[[#This Row],[Team]],Dyno_Data[RecordType],"StartMatch",Dyno_Data[Match],Dyno_Data[[#This Row],[Match]]),0)*86400),0)</f>
        <v>0</v>
      </c>
    </row>
    <row r="2349" spans="1:35" x14ac:dyDescent="0.3">
      <c r="A2349">
        <v>2345</v>
      </c>
      <c r="B2349" t="s">
        <v>1297</v>
      </c>
      <c r="C2349">
        <v>45</v>
      </c>
      <c r="D2349" s="105">
        <v>45373.688212118053</v>
      </c>
      <c r="E2349" t="s">
        <v>314</v>
      </c>
      <c r="F2349" t="s">
        <v>309</v>
      </c>
      <c r="G2349">
        <v>0</v>
      </c>
      <c r="H2349" t="s">
        <v>310</v>
      </c>
      <c r="I2349">
        <v>0</v>
      </c>
      <c r="J2349">
        <v>0</v>
      </c>
      <c r="K2349">
        <v>0</v>
      </c>
      <c r="L2349" t="s">
        <v>310</v>
      </c>
      <c r="M2349" t="s">
        <v>310</v>
      </c>
      <c r="N2349">
        <v>0</v>
      </c>
      <c r="O2349" t="s">
        <v>1389</v>
      </c>
      <c r="P2349" t="s">
        <v>101</v>
      </c>
      <c r="Q2349" t="s">
        <v>1400</v>
      </c>
      <c r="R2349" t="s">
        <v>310</v>
      </c>
      <c r="S2349">
        <v>9</v>
      </c>
      <c r="T2349" t="s">
        <v>310</v>
      </c>
      <c r="U2349">
        <v>9</v>
      </c>
      <c r="V2349">
        <v>9</v>
      </c>
      <c r="W2349">
        <v>0</v>
      </c>
      <c r="X2349">
        <v>0</v>
      </c>
      <c r="Y2349">
        <v>0</v>
      </c>
      <c r="Z2349">
        <v>0</v>
      </c>
      <c r="AA2349">
        <v>9</v>
      </c>
      <c r="AB2349">
        <v>9</v>
      </c>
      <c r="AC2349" t="s">
        <v>310</v>
      </c>
      <c r="AD2349">
        <v>9</v>
      </c>
      <c r="AE2349" t="s">
        <v>1417</v>
      </c>
      <c r="AF2349">
        <v>0</v>
      </c>
      <c r="AG2349" t="s">
        <v>310</v>
      </c>
      <c r="AH2349">
        <f>SUM((MID(Dyno_Data[[#This Row],[Team]],4,5))+(Dyno_Data[[#This Row],[Match]]/100))</f>
        <v>9750.4500000000007</v>
      </c>
      <c r="AI2349" s="76">
        <f>ROUND(SUM(IF(Dyno_Data[[#This Row],[AcqCenter]]&gt;0,Dyno_Data[[#This Row],[Time]]-SUMIFS(Dyno_Data[Time],Dyno_Data[Team],Dyno_Data[[#This Row],[Team]],Dyno_Data[RecordType],"StartMatch",Dyno_Data[Match],Dyno_Data[[#This Row],[Match]]),0)*86400),0)</f>
        <v>0</v>
      </c>
    </row>
    <row r="2350" spans="1:35" x14ac:dyDescent="0.3">
      <c r="A2350">
        <v>2347</v>
      </c>
      <c r="B2350" t="s">
        <v>1276</v>
      </c>
      <c r="C2350">
        <v>45</v>
      </c>
      <c r="D2350" s="105">
        <v>45373.688218483796</v>
      </c>
      <c r="E2350" t="s">
        <v>314</v>
      </c>
      <c r="F2350" t="s">
        <v>309</v>
      </c>
      <c r="G2350">
        <v>1</v>
      </c>
      <c r="H2350" t="s">
        <v>310</v>
      </c>
      <c r="I2350">
        <v>0</v>
      </c>
      <c r="J2350">
        <v>0</v>
      </c>
      <c r="K2350">
        <v>0</v>
      </c>
      <c r="L2350" t="s">
        <v>310</v>
      </c>
      <c r="M2350" t="s">
        <v>310</v>
      </c>
      <c r="N2350">
        <v>0</v>
      </c>
      <c r="O2350" t="s">
        <v>1393</v>
      </c>
      <c r="P2350" t="s">
        <v>320</v>
      </c>
      <c r="Q2350" t="s">
        <v>1400</v>
      </c>
      <c r="R2350" t="s">
        <v>310</v>
      </c>
      <c r="S2350">
        <v>9</v>
      </c>
      <c r="T2350" t="s">
        <v>310</v>
      </c>
      <c r="U2350">
        <v>9</v>
      </c>
      <c r="V2350">
        <v>9</v>
      </c>
      <c r="W2350">
        <v>0</v>
      </c>
      <c r="X2350">
        <v>0</v>
      </c>
      <c r="Y2350">
        <v>0</v>
      </c>
      <c r="Z2350">
        <v>0</v>
      </c>
      <c r="AA2350">
        <v>9</v>
      </c>
      <c r="AB2350">
        <v>9</v>
      </c>
      <c r="AC2350" t="s">
        <v>310</v>
      </c>
      <c r="AD2350">
        <v>9</v>
      </c>
      <c r="AE2350" t="s">
        <v>1414</v>
      </c>
      <c r="AF2350">
        <v>0</v>
      </c>
      <c r="AG2350" t="s">
        <v>310</v>
      </c>
      <c r="AH2350">
        <f>SUM((MID(Dyno_Data[[#This Row],[Team]],4,5))+(Dyno_Data[[#This Row],[Match]]/100))</f>
        <v>229.45</v>
      </c>
      <c r="AI2350" s="76">
        <f>ROUND(SUM(IF(Dyno_Data[[#This Row],[AcqCenter]]&gt;0,Dyno_Data[[#This Row],[Time]]-SUMIFS(Dyno_Data[Time],Dyno_Data[Team],Dyno_Data[[#This Row],[Team]],Dyno_Data[RecordType],"StartMatch",Dyno_Data[Match],Dyno_Data[[#This Row],[Match]]),0)*86400),0)</f>
        <v>0</v>
      </c>
    </row>
    <row r="2351" spans="1:35" x14ac:dyDescent="0.3">
      <c r="A2351">
        <v>2349</v>
      </c>
      <c r="B2351" t="s">
        <v>370</v>
      </c>
      <c r="C2351">
        <v>45</v>
      </c>
      <c r="D2351" s="105">
        <v>45373.68823078704</v>
      </c>
      <c r="E2351" t="s">
        <v>314</v>
      </c>
      <c r="F2351" t="s">
        <v>309</v>
      </c>
      <c r="G2351">
        <v>0</v>
      </c>
      <c r="H2351" t="s">
        <v>310</v>
      </c>
      <c r="I2351">
        <v>0</v>
      </c>
      <c r="J2351">
        <v>0</v>
      </c>
      <c r="K2351">
        <v>0</v>
      </c>
      <c r="L2351" t="s">
        <v>310</v>
      </c>
      <c r="M2351" t="s">
        <v>310</v>
      </c>
      <c r="N2351">
        <v>0</v>
      </c>
      <c r="O2351" t="s">
        <v>1395</v>
      </c>
      <c r="P2351" t="s">
        <v>240</v>
      </c>
      <c r="Q2351" t="s">
        <v>1399</v>
      </c>
      <c r="R2351" t="s">
        <v>310</v>
      </c>
      <c r="S2351">
        <v>9</v>
      </c>
      <c r="T2351" t="s">
        <v>310</v>
      </c>
      <c r="U2351">
        <v>9</v>
      </c>
      <c r="V2351">
        <v>9</v>
      </c>
      <c r="W2351">
        <v>0</v>
      </c>
      <c r="X2351">
        <v>0</v>
      </c>
      <c r="Y2351">
        <v>0</v>
      </c>
      <c r="Z2351">
        <v>0</v>
      </c>
      <c r="AA2351">
        <v>9</v>
      </c>
      <c r="AB2351">
        <v>9</v>
      </c>
      <c r="AC2351" t="s">
        <v>310</v>
      </c>
      <c r="AD2351">
        <v>9</v>
      </c>
      <c r="AE2351" t="s">
        <v>1413</v>
      </c>
      <c r="AF2351">
        <v>0</v>
      </c>
      <c r="AG2351" t="s">
        <v>310</v>
      </c>
      <c r="AH2351">
        <f>SUM((MID(Dyno_Data[[#This Row],[Team]],4,5))+(Dyno_Data[[#This Row],[Match]]/100))</f>
        <v>6911.45</v>
      </c>
      <c r="AI2351" s="76">
        <f>ROUND(SUM(IF(Dyno_Data[[#This Row],[AcqCenter]]&gt;0,Dyno_Data[[#This Row],[Time]]-SUMIFS(Dyno_Data[Time],Dyno_Data[Team],Dyno_Data[[#This Row],[Team]],Dyno_Data[RecordType],"StartMatch",Dyno_Data[Match],Dyno_Data[[#This Row],[Match]]),0)*86400),0)</f>
        <v>0</v>
      </c>
    </row>
    <row r="2352" spans="1:35" x14ac:dyDescent="0.3">
      <c r="A2352">
        <v>2351</v>
      </c>
      <c r="B2352" t="s">
        <v>1277</v>
      </c>
      <c r="C2352">
        <v>45</v>
      </c>
      <c r="D2352" s="105">
        <v>45373.688252581022</v>
      </c>
      <c r="E2352" t="s">
        <v>314</v>
      </c>
      <c r="F2352" t="s">
        <v>309</v>
      </c>
      <c r="G2352">
        <v>1</v>
      </c>
      <c r="H2352" t="s">
        <v>310</v>
      </c>
      <c r="I2352">
        <v>0</v>
      </c>
      <c r="J2352">
        <v>0</v>
      </c>
      <c r="K2352">
        <v>0</v>
      </c>
      <c r="L2352" t="s">
        <v>310</v>
      </c>
      <c r="M2352" t="s">
        <v>310</v>
      </c>
      <c r="N2352">
        <v>0</v>
      </c>
      <c r="O2352" t="s">
        <v>1391</v>
      </c>
      <c r="P2352" t="s">
        <v>240</v>
      </c>
      <c r="Q2352" t="s">
        <v>1399</v>
      </c>
      <c r="R2352" t="s">
        <v>310</v>
      </c>
      <c r="S2352">
        <v>9</v>
      </c>
      <c r="T2352" t="s">
        <v>310</v>
      </c>
      <c r="U2352">
        <v>9</v>
      </c>
      <c r="V2352">
        <v>9</v>
      </c>
      <c r="W2352">
        <v>0</v>
      </c>
      <c r="X2352">
        <v>0</v>
      </c>
      <c r="Y2352">
        <v>0</v>
      </c>
      <c r="Z2352">
        <v>0</v>
      </c>
      <c r="AA2352">
        <v>9</v>
      </c>
      <c r="AB2352">
        <v>9</v>
      </c>
      <c r="AC2352" t="s">
        <v>310</v>
      </c>
      <c r="AD2352">
        <v>9</v>
      </c>
      <c r="AE2352" t="s">
        <v>1418</v>
      </c>
      <c r="AF2352">
        <v>30000000</v>
      </c>
      <c r="AG2352" t="s">
        <v>310</v>
      </c>
      <c r="AH2352">
        <f>SUM((MID(Dyno_Data[[#This Row],[Team]],4,5))+(Dyno_Data[[#This Row],[Match]]/100))</f>
        <v>3360.45</v>
      </c>
      <c r="AI2352" s="76">
        <f>ROUND(SUM(IF(Dyno_Data[[#This Row],[AcqCenter]]&gt;0,Dyno_Data[[#This Row],[Time]]-SUMIFS(Dyno_Data[Time],Dyno_Data[Team],Dyno_Data[[#This Row],[Team]],Dyno_Data[RecordType],"StartMatch",Dyno_Data[Match],Dyno_Data[[#This Row],[Match]]),0)*86400),0)</f>
        <v>0</v>
      </c>
    </row>
    <row r="2353" spans="1:35" x14ac:dyDescent="0.3">
      <c r="A2353">
        <v>2352</v>
      </c>
      <c r="B2353" t="s">
        <v>370</v>
      </c>
      <c r="C2353">
        <v>45</v>
      </c>
      <c r="D2353" s="105">
        <v>45373.688287962963</v>
      </c>
      <c r="E2353" t="s">
        <v>312</v>
      </c>
      <c r="F2353" t="s">
        <v>1402</v>
      </c>
      <c r="G2353">
        <v>0</v>
      </c>
      <c r="H2353" t="s">
        <v>315</v>
      </c>
      <c r="I2353">
        <v>0</v>
      </c>
      <c r="J2353">
        <v>0</v>
      </c>
      <c r="K2353">
        <v>0</v>
      </c>
      <c r="L2353" t="s">
        <v>241</v>
      </c>
      <c r="M2353" t="s">
        <v>1398</v>
      </c>
      <c r="N2353">
        <v>0</v>
      </c>
      <c r="O2353" t="s">
        <v>1395</v>
      </c>
      <c r="P2353" t="s">
        <v>310</v>
      </c>
      <c r="Q2353" t="s">
        <v>310</v>
      </c>
      <c r="R2353" t="s">
        <v>310</v>
      </c>
      <c r="S2353">
        <v>9</v>
      </c>
      <c r="T2353" t="s">
        <v>310</v>
      </c>
      <c r="U2353">
        <v>9</v>
      </c>
      <c r="V2353">
        <v>9</v>
      </c>
      <c r="W2353">
        <v>0</v>
      </c>
      <c r="X2353">
        <v>0</v>
      </c>
      <c r="Y2353">
        <v>0</v>
      </c>
      <c r="Z2353">
        <v>0</v>
      </c>
      <c r="AA2353">
        <v>9</v>
      </c>
      <c r="AB2353">
        <v>9</v>
      </c>
      <c r="AC2353" t="s">
        <v>310</v>
      </c>
      <c r="AD2353">
        <v>9</v>
      </c>
      <c r="AE2353" t="s">
        <v>1413</v>
      </c>
      <c r="AF2353">
        <v>10000000</v>
      </c>
      <c r="AG2353" t="s">
        <v>310</v>
      </c>
      <c r="AH2353">
        <f>SUM((MID(Dyno_Data[[#This Row],[Team]],4,5))+(Dyno_Data[[#This Row],[Match]]/100))</f>
        <v>6911.45</v>
      </c>
      <c r="AI2353" s="76">
        <f>ROUND(SUM(IF(Dyno_Data[[#This Row],[AcqCenter]]&gt;0,Dyno_Data[[#This Row],[Time]]-SUMIFS(Dyno_Data[Time],Dyno_Data[Team],Dyno_Data[[#This Row],[Team]],Dyno_Data[RecordType],"StartMatch",Dyno_Data[Match],Dyno_Data[[#This Row],[Match]]),0)*86400),0)</f>
        <v>0</v>
      </c>
    </row>
    <row r="2354" spans="1:35" x14ac:dyDescent="0.3">
      <c r="A2354">
        <v>2353</v>
      </c>
      <c r="B2354" t="s">
        <v>1297</v>
      </c>
      <c r="C2354">
        <v>45</v>
      </c>
      <c r="D2354" s="105">
        <v>45373.688290972219</v>
      </c>
      <c r="E2354" t="s">
        <v>312</v>
      </c>
      <c r="F2354" t="s">
        <v>1402</v>
      </c>
      <c r="G2354">
        <v>0</v>
      </c>
      <c r="H2354" t="s">
        <v>1397</v>
      </c>
      <c r="I2354">
        <v>0</v>
      </c>
      <c r="J2354">
        <v>0</v>
      </c>
      <c r="K2354">
        <v>0</v>
      </c>
      <c r="L2354" t="s">
        <v>241</v>
      </c>
      <c r="M2354" t="s">
        <v>101</v>
      </c>
      <c r="N2354">
        <v>0</v>
      </c>
      <c r="O2354" t="s">
        <v>1389</v>
      </c>
      <c r="P2354" t="s">
        <v>310</v>
      </c>
      <c r="Q2354" t="s">
        <v>310</v>
      </c>
      <c r="R2354" t="s">
        <v>310</v>
      </c>
      <c r="S2354">
        <v>9</v>
      </c>
      <c r="T2354" t="s">
        <v>310</v>
      </c>
      <c r="U2354">
        <v>9</v>
      </c>
      <c r="V2354">
        <v>9</v>
      </c>
      <c r="W2354">
        <v>0</v>
      </c>
      <c r="X2354">
        <v>0</v>
      </c>
      <c r="Y2354">
        <v>0</v>
      </c>
      <c r="Z2354">
        <v>0</v>
      </c>
      <c r="AA2354">
        <v>9</v>
      </c>
      <c r="AB2354">
        <v>9</v>
      </c>
      <c r="AC2354" t="s">
        <v>310</v>
      </c>
      <c r="AD2354">
        <v>9</v>
      </c>
      <c r="AE2354" t="s">
        <v>1417</v>
      </c>
      <c r="AF2354">
        <v>0</v>
      </c>
      <c r="AG2354" t="s">
        <v>310</v>
      </c>
      <c r="AH2354">
        <f>SUM((MID(Dyno_Data[[#This Row],[Team]],4,5))+(Dyno_Data[[#This Row],[Match]]/100))</f>
        <v>9750.4500000000007</v>
      </c>
      <c r="AI2354" s="76">
        <f>ROUND(SUM(IF(Dyno_Data[[#This Row],[AcqCenter]]&gt;0,Dyno_Data[[#This Row],[Time]]-SUMIFS(Dyno_Data[Time],Dyno_Data[Team],Dyno_Data[[#This Row],[Team]],Dyno_Data[RecordType],"StartMatch",Dyno_Data[Match],Dyno_Data[[#This Row],[Match]]),0)*86400),0)</f>
        <v>0</v>
      </c>
    </row>
    <row r="2355" spans="1:35" x14ac:dyDescent="0.3">
      <c r="A2355">
        <v>2354</v>
      </c>
      <c r="B2355" t="s">
        <v>1277</v>
      </c>
      <c r="C2355">
        <v>45</v>
      </c>
      <c r="D2355" s="105">
        <v>45373.688341469904</v>
      </c>
      <c r="E2355" t="s">
        <v>312</v>
      </c>
      <c r="F2355" t="s">
        <v>1402</v>
      </c>
      <c r="G2355">
        <v>0</v>
      </c>
      <c r="H2355" t="s">
        <v>315</v>
      </c>
      <c r="I2355">
        <v>0</v>
      </c>
      <c r="J2355">
        <v>0</v>
      </c>
      <c r="K2355">
        <v>0</v>
      </c>
      <c r="L2355" t="s">
        <v>242</v>
      </c>
      <c r="M2355" t="s">
        <v>1398</v>
      </c>
      <c r="N2355">
        <v>0</v>
      </c>
      <c r="O2355" t="s">
        <v>1391</v>
      </c>
      <c r="P2355" t="s">
        <v>310</v>
      </c>
      <c r="Q2355" t="s">
        <v>310</v>
      </c>
      <c r="R2355" t="s">
        <v>310</v>
      </c>
      <c r="S2355">
        <v>9</v>
      </c>
      <c r="T2355" t="s">
        <v>310</v>
      </c>
      <c r="U2355">
        <v>9</v>
      </c>
      <c r="V2355">
        <v>9</v>
      </c>
      <c r="W2355">
        <v>0</v>
      </c>
      <c r="X2355">
        <v>0</v>
      </c>
      <c r="Y2355">
        <v>0</v>
      </c>
      <c r="Z2355">
        <v>0</v>
      </c>
      <c r="AA2355">
        <v>9</v>
      </c>
      <c r="AB2355">
        <v>9</v>
      </c>
      <c r="AC2355" t="s">
        <v>310</v>
      </c>
      <c r="AD2355">
        <v>9</v>
      </c>
      <c r="AE2355" t="s">
        <v>1418</v>
      </c>
      <c r="AF2355">
        <v>40000000</v>
      </c>
      <c r="AG2355" t="s">
        <v>310</v>
      </c>
      <c r="AH2355">
        <f>SUM((MID(Dyno_Data[[#This Row],[Team]],4,5))+(Dyno_Data[[#This Row],[Match]]/100))</f>
        <v>3360.45</v>
      </c>
      <c r="AI2355" s="76">
        <f>ROUND(SUM(IF(Dyno_Data[[#This Row],[AcqCenter]]&gt;0,Dyno_Data[[#This Row],[Time]]-SUMIFS(Dyno_Data[Time],Dyno_Data[Team],Dyno_Data[[#This Row],[Team]],Dyno_Data[RecordType],"StartMatch",Dyno_Data[Match],Dyno_Data[[#This Row],[Match]]),0)*86400),0)</f>
        <v>0</v>
      </c>
    </row>
    <row r="2356" spans="1:35" x14ac:dyDescent="0.3">
      <c r="A2356">
        <v>2355</v>
      </c>
      <c r="B2356" t="s">
        <v>1311</v>
      </c>
      <c r="C2356">
        <v>45</v>
      </c>
      <c r="D2356" s="105">
        <v>45373.688352349534</v>
      </c>
      <c r="E2356" t="s">
        <v>312</v>
      </c>
      <c r="F2356" t="s">
        <v>1402</v>
      </c>
      <c r="G2356">
        <v>0</v>
      </c>
      <c r="H2356" t="s">
        <v>1397</v>
      </c>
      <c r="I2356">
        <v>0</v>
      </c>
      <c r="J2356">
        <v>0</v>
      </c>
      <c r="K2356">
        <v>0</v>
      </c>
      <c r="L2356" t="s">
        <v>241</v>
      </c>
      <c r="M2356" t="s">
        <v>101</v>
      </c>
      <c r="N2356">
        <v>0</v>
      </c>
      <c r="O2356" t="s">
        <v>319</v>
      </c>
      <c r="P2356" t="s">
        <v>310</v>
      </c>
      <c r="Q2356" t="s">
        <v>310</v>
      </c>
      <c r="R2356" t="s">
        <v>310</v>
      </c>
      <c r="S2356">
        <v>9</v>
      </c>
      <c r="T2356" t="s">
        <v>310</v>
      </c>
      <c r="U2356">
        <v>9</v>
      </c>
      <c r="V2356">
        <v>9</v>
      </c>
      <c r="W2356">
        <v>0</v>
      </c>
      <c r="X2356">
        <v>0</v>
      </c>
      <c r="Y2356">
        <v>0</v>
      </c>
      <c r="Z2356">
        <v>0</v>
      </c>
      <c r="AA2356">
        <v>9</v>
      </c>
      <c r="AB2356">
        <v>9</v>
      </c>
      <c r="AC2356" t="s">
        <v>310</v>
      </c>
      <c r="AD2356">
        <v>9</v>
      </c>
      <c r="AE2356" t="s">
        <v>1416</v>
      </c>
      <c r="AF2356">
        <v>0</v>
      </c>
      <c r="AG2356" t="s">
        <v>310</v>
      </c>
      <c r="AH2356">
        <f>SUM((MID(Dyno_Data[[#This Row],[Team]],4,5))+(Dyno_Data[[#This Row],[Match]]/100))</f>
        <v>2234.4499999999998</v>
      </c>
      <c r="AI2356" s="76">
        <f>ROUND(SUM(IF(Dyno_Data[[#This Row],[AcqCenter]]&gt;0,Dyno_Data[[#This Row],[Time]]-SUMIFS(Dyno_Data[Time],Dyno_Data[Team],Dyno_Data[[#This Row],[Team]],Dyno_Data[RecordType],"StartMatch",Dyno_Data[Match],Dyno_Data[[#This Row],[Match]]),0)*86400),0)</f>
        <v>0</v>
      </c>
    </row>
    <row r="2357" spans="1:35" x14ac:dyDescent="0.3">
      <c r="A2357">
        <v>2356</v>
      </c>
      <c r="B2357" t="s">
        <v>370</v>
      </c>
      <c r="C2357">
        <v>45</v>
      </c>
      <c r="D2357" s="105">
        <v>45373.688366817129</v>
      </c>
      <c r="E2357" t="s">
        <v>312</v>
      </c>
      <c r="F2357" t="s">
        <v>1402</v>
      </c>
      <c r="G2357">
        <v>0</v>
      </c>
      <c r="H2357" t="s">
        <v>315</v>
      </c>
      <c r="I2357">
        <v>0</v>
      </c>
      <c r="J2357">
        <v>0</v>
      </c>
      <c r="K2357">
        <v>0</v>
      </c>
      <c r="L2357" t="s">
        <v>241</v>
      </c>
      <c r="M2357" t="s">
        <v>1398</v>
      </c>
      <c r="N2357">
        <v>0</v>
      </c>
      <c r="O2357" t="s">
        <v>1395</v>
      </c>
      <c r="P2357" t="s">
        <v>310</v>
      </c>
      <c r="Q2357" t="s">
        <v>310</v>
      </c>
      <c r="R2357" t="s">
        <v>310</v>
      </c>
      <c r="S2357">
        <v>9</v>
      </c>
      <c r="T2357" t="s">
        <v>310</v>
      </c>
      <c r="U2357">
        <v>9</v>
      </c>
      <c r="V2357">
        <v>9</v>
      </c>
      <c r="W2357">
        <v>0</v>
      </c>
      <c r="X2357">
        <v>0</v>
      </c>
      <c r="Y2357">
        <v>0</v>
      </c>
      <c r="Z2357">
        <v>0</v>
      </c>
      <c r="AA2357">
        <v>9</v>
      </c>
      <c r="AB2357">
        <v>9</v>
      </c>
      <c r="AC2357" t="s">
        <v>310</v>
      </c>
      <c r="AD2357">
        <v>9</v>
      </c>
      <c r="AE2357" t="s">
        <v>1413</v>
      </c>
      <c r="AF2357">
        <v>20000000</v>
      </c>
      <c r="AG2357" t="s">
        <v>310</v>
      </c>
      <c r="AH2357">
        <f>SUM((MID(Dyno_Data[[#This Row],[Team]],4,5))+(Dyno_Data[[#This Row],[Match]]/100))</f>
        <v>6911.45</v>
      </c>
      <c r="AI2357" s="76">
        <f>ROUND(SUM(IF(Dyno_Data[[#This Row],[AcqCenter]]&gt;0,Dyno_Data[[#This Row],[Time]]-SUMIFS(Dyno_Data[Time],Dyno_Data[Team],Dyno_Data[[#This Row],[Team]],Dyno_Data[RecordType],"StartMatch",Dyno_Data[Match],Dyno_Data[[#This Row],[Match]]),0)*86400),0)</f>
        <v>0</v>
      </c>
    </row>
    <row r="2358" spans="1:35" x14ac:dyDescent="0.3">
      <c r="A2358">
        <v>2357</v>
      </c>
      <c r="B2358" t="s">
        <v>1297</v>
      </c>
      <c r="C2358">
        <v>45</v>
      </c>
      <c r="D2358" s="105">
        <v>45373.688387233793</v>
      </c>
      <c r="E2358" t="s">
        <v>312</v>
      </c>
      <c r="F2358" t="s">
        <v>1402</v>
      </c>
      <c r="G2358">
        <v>0</v>
      </c>
      <c r="H2358" t="s">
        <v>315</v>
      </c>
      <c r="I2358">
        <v>0</v>
      </c>
      <c r="J2358">
        <v>0</v>
      </c>
      <c r="K2358">
        <v>0</v>
      </c>
      <c r="L2358" t="s">
        <v>241</v>
      </c>
      <c r="M2358" t="s">
        <v>101</v>
      </c>
      <c r="N2358">
        <v>0</v>
      </c>
      <c r="O2358" t="s">
        <v>1389</v>
      </c>
      <c r="P2358" t="s">
        <v>310</v>
      </c>
      <c r="Q2358" t="s">
        <v>310</v>
      </c>
      <c r="R2358" t="s">
        <v>310</v>
      </c>
      <c r="S2358">
        <v>9</v>
      </c>
      <c r="T2358" t="s">
        <v>310</v>
      </c>
      <c r="U2358">
        <v>9</v>
      </c>
      <c r="V2358">
        <v>9</v>
      </c>
      <c r="W2358">
        <v>0</v>
      </c>
      <c r="X2358">
        <v>0</v>
      </c>
      <c r="Y2358">
        <v>0</v>
      </c>
      <c r="Z2358">
        <v>0</v>
      </c>
      <c r="AA2358">
        <v>9</v>
      </c>
      <c r="AB2358">
        <v>9</v>
      </c>
      <c r="AC2358" t="s">
        <v>310</v>
      </c>
      <c r="AD2358">
        <v>9</v>
      </c>
      <c r="AE2358" t="s">
        <v>1417</v>
      </c>
      <c r="AF2358">
        <v>10000000</v>
      </c>
      <c r="AG2358" t="s">
        <v>310</v>
      </c>
      <c r="AH2358">
        <f>SUM((MID(Dyno_Data[[#This Row],[Team]],4,5))+(Dyno_Data[[#This Row],[Match]]/100))</f>
        <v>9750.4500000000007</v>
      </c>
      <c r="AI2358" s="76">
        <f>ROUND(SUM(IF(Dyno_Data[[#This Row],[AcqCenter]]&gt;0,Dyno_Data[[#This Row],[Time]]-SUMIFS(Dyno_Data[Time],Dyno_Data[Team],Dyno_Data[[#This Row],[Team]],Dyno_Data[RecordType],"StartMatch",Dyno_Data[Match],Dyno_Data[[#This Row],[Match]]),0)*86400),0)</f>
        <v>0</v>
      </c>
    </row>
    <row r="2359" spans="1:35" x14ac:dyDescent="0.3">
      <c r="A2359">
        <v>2358</v>
      </c>
      <c r="B2359" t="s">
        <v>370</v>
      </c>
      <c r="C2359">
        <v>45</v>
      </c>
      <c r="D2359" s="105">
        <v>45373.688459456018</v>
      </c>
      <c r="E2359" t="s">
        <v>312</v>
      </c>
      <c r="F2359" t="s">
        <v>1402</v>
      </c>
      <c r="G2359">
        <v>0</v>
      </c>
      <c r="H2359" t="s">
        <v>315</v>
      </c>
      <c r="I2359">
        <v>0</v>
      </c>
      <c r="J2359">
        <v>0</v>
      </c>
      <c r="K2359">
        <v>0</v>
      </c>
      <c r="L2359" t="s">
        <v>241</v>
      </c>
      <c r="M2359" t="s">
        <v>1398</v>
      </c>
      <c r="N2359">
        <v>0</v>
      </c>
      <c r="O2359" t="s">
        <v>1395</v>
      </c>
      <c r="P2359" t="s">
        <v>310</v>
      </c>
      <c r="Q2359" t="s">
        <v>310</v>
      </c>
      <c r="R2359" t="s">
        <v>310</v>
      </c>
      <c r="S2359">
        <v>9</v>
      </c>
      <c r="T2359" t="s">
        <v>310</v>
      </c>
      <c r="U2359">
        <v>9</v>
      </c>
      <c r="V2359">
        <v>9</v>
      </c>
      <c r="W2359">
        <v>0</v>
      </c>
      <c r="X2359">
        <v>0</v>
      </c>
      <c r="Y2359">
        <v>0</v>
      </c>
      <c r="Z2359">
        <v>0</v>
      </c>
      <c r="AA2359">
        <v>9</v>
      </c>
      <c r="AB2359">
        <v>9</v>
      </c>
      <c r="AC2359" t="s">
        <v>310</v>
      </c>
      <c r="AD2359">
        <v>9</v>
      </c>
      <c r="AE2359" t="s">
        <v>1413</v>
      </c>
      <c r="AF2359">
        <v>30000000</v>
      </c>
      <c r="AG2359" t="s">
        <v>310</v>
      </c>
      <c r="AH2359">
        <f>SUM((MID(Dyno_Data[[#This Row],[Team]],4,5))+(Dyno_Data[[#This Row],[Match]]/100))</f>
        <v>6911.45</v>
      </c>
      <c r="AI2359" s="76">
        <f>ROUND(SUM(IF(Dyno_Data[[#This Row],[AcqCenter]]&gt;0,Dyno_Data[[#This Row],[Time]]-SUMIFS(Dyno_Data[Time],Dyno_Data[Team],Dyno_Data[[#This Row],[Team]],Dyno_Data[RecordType],"StartMatch",Dyno_Data[Match],Dyno_Data[[#This Row],[Match]]),0)*86400),0)</f>
        <v>0</v>
      </c>
    </row>
    <row r="2360" spans="1:35" x14ac:dyDescent="0.3">
      <c r="A2360">
        <v>2359</v>
      </c>
      <c r="B2360" t="s">
        <v>1277</v>
      </c>
      <c r="C2360">
        <v>45</v>
      </c>
      <c r="D2360" s="105">
        <v>45373.688476076386</v>
      </c>
      <c r="E2360" t="s">
        <v>312</v>
      </c>
      <c r="F2360" t="s">
        <v>1402</v>
      </c>
      <c r="G2360">
        <v>0</v>
      </c>
      <c r="H2360" t="s">
        <v>315</v>
      </c>
      <c r="I2360">
        <v>0</v>
      </c>
      <c r="J2360">
        <v>0</v>
      </c>
      <c r="K2360">
        <v>0</v>
      </c>
      <c r="L2360" t="s">
        <v>242</v>
      </c>
      <c r="M2360" t="s">
        <v>101</v>
      </c>
      <c r="N2360">
        <v>1</v>
      </c>
      <c r="O2360" t="s">
        <v>1391</v>
      </c>
      <c r="P2360" t="s">
        <v>310</v>
      </c>
      <c r="Q2360" t="s">
        <v>310</v>
      </c>
      <c r="R2360" t="s">
        <v>310</v>
      </c>
      <c r="S2360">
        <v>9</v>
      </c>
      <c r="T2360" t="s">
        <v>310</v>
      </c>
      <c r="U2360">
        <v>9</v>
      </c>
      <c r="V2360">
        <v>9</v>
      </c>
      <c r="W2360">
        <v>0</v>
      </c>
      <c r="X2360">
        <v>0</v>
      </c>
      <c r="Y2360">
        <v>0</v>
      </c>
      <c r="Z2360">
        <v>0</v>
      </c>
      <c r="AA2360">
        <v>9</v>
      </c>
      <c r="AB2360">
        <v>9</v>
      </c>
      <c r="AC2360" t="s">
        <v>310</v>
      </c>
      <c r="AD2360">
        <v>9</v>
      </c>
      <c r="AE2360" t="s">
        <v>1418</v>
      </c>
      <c r="AF2360">
        <v>50000000</v>
      </c>
      <c r="AG2360" t="s">
        <v>310</v>
      </c>
      <c r="AH2360">
        <f>SUM((MID(Dyno_Data[[#This Row],[Team]],4,5))+(Dyno_Data[[#This Row],[Match]]/100))</f>
        <v>3360.45</v>
      </c>
      <c r="AI2360" s="76">
        <f>ROUND(SUM(IF(Dyno_Data[[#This Row],[AcqCenter]]&gt;0,Dyno_Data[[#This Row],[Time]]-SUMIFS(Dyno_Data[Time],Dyno_Data[Team],Dyno_Data[[#This Row],[Team]],Dyno_Data[RecordType],"StartMatch",Dyno_Data[Match],Dyno_Data[[#This Row],[Match]]),0)*86400),0)</f>
        <v>0</v>
      </c>
    </row>
    <row r="2361" spans="1:35" x14ac:dyDescent="0.3">
      <c r="A2361">
        <v>2360</v>
      </c>
      <c r="B2361" t="s">
        <v>1297</v>
      </c>
      <c r="C2361">
        <v>45</v>
      </c>
      <c r="D2361" s="105">
        <v>45373.688524618054</v>
      </c>
      <c r="E2361" t="s">
        <v>312</v>
      </c>
      <c r="F2361" t="s">
        <v>1402</v>
      </c>
      <c r="G2361">
        <v>0</v>
      </c>
      <c r="H2361" t="s">
        <v>315</v>
      </c>
      <c r="I2361">
        <v>0</v>
      </c>
      <c r="J2361">
        <v>0</v>
      </c>
      <c r="K2361">
        <v>0</v>
      </c>
      <c r="L2361" t="s">
        <v>242</v>
      </c>
      <c r="M2361" t="s">
        <v>101</v>
      </c>
      <c r="N2361">
        <v>0</v>
      </c>
      <c r="O2361" t="s">
        <v>1389</v>
      </c>
      <c r="P2361" t="s">
        <v>310</v>
      </c>
      <c r="Q2361" t="s">
        <v>310</v>
      </c>
      <c r="R2361" t="s">
        <v>310</v>
      </c>
      <c r="S2361">
        <v>9</v>
      </c>
      <c r="T2361" t="s">
        <v>310</v>
      </c>
      <c r="U2361">
        <v>9</v>
      </c>
      <c r="V2361">
        <v>9</v>
      </c>
      <c r="W2361">
        <v>0</v>
      </c>
      <c r="X2361">
        <v>0</v>
      </c>
      <c r="Y2361">
        <v>0</v>
      </c>
      <c r="Z2361">
        <v>0</v>
      </c>
      <c r="AA2361">
        <v>9</v>
      </c>
      <c r="AB2361">
        <v>9</v>
      </c>
      <c r="AC2361" t="s">
        <v>310</v>
      </c>
      <c r="AD2361">
        <v>9</v>
      </c>
      <c r="AE2361" t="s">
        <v>1417</v>
      </c>
      <c r="AF2361">
        <v>20000000</v>
      </c>
      <c r="AG2361" t="s">
        <v>310</v>
      </c>
      <c r="AH2361">
        <f>SUM((MID(Dyno_Data[[#This Row],[Team]],4,5))+(Dyno_Data[[#This Row],[Match]]/100))</f>
        <v>9750.4500000000007</v>
      </c>
      <c r="AI2361" s="76">
        <f>ROUND(SUM(IF(Dyno_Data[[#This Row],[AcqCenter]]&gt;0,Dyno_Data[[#This Row],[Time]]-SUMIFS(Dyno_Data[Time],Dyno_Data[Team],Dyno_Data[[#This Row],[Team]],Dyno_Data[RecordType],"StartMatch",Dyno_Data[Match],Dyno_Data[[#This Row],[Match]]),0)*86400),0)</f>
        <v>0</v>
      </c>
    </row>
    <row r="2362" spans="1:35" x14ac:dyDescent="0.3">
      <c r="A2362">
        <v>2361</v>
      </c>
      <c r="B2362" t="s">
        <v>1277</v>
      </c>
      <c r="C2362">
        <v>45</v>
      </c>
      <c r="D2362" s="105">
        <v>45373.688537118054</v>
      </c>
      <c r="E2362" t="s">
        <v>312</v>
      </c>
      <c r="F2362" t="s">
        <v>1402</v>
      </c>
      <c r="G2362">
        <v>0</v>
      </c>
      <c r="H2362" t="s">
        <v>315</v>
      </c>
      <c r="I2362">
        <v>0</v>
      </c>
      <c r="J2362">
        <v>0</v>
      </c>
      <c r="K2362">
        <v>0</v>
      </c>
      <c r="L2362" t="s">
        <v>242</v>
      </c>
      <c r="M2362" t="s">
        <v>101</v>
      </c>
      <c r="N2362">
        <v>0</v>
      </c>
      <c r="O2362" t="s">
        <v>1391</v>
      </c>
      <c r="P2362" t="s">
        <v>310</v>
      </c>
      <c r="Q2362" t="s">
        <v>310</v>
      </c>
      <c r="R2362" t="s">
        <v>310</v>
      </c>
      <c r="S2362">
        <v>9</v>
      </c>
      <c r="T2362" t="s">
        <v>310</v>
      </c>
      <c r="U2362">
        <v>9</v>
      </c>
      <c r="V2362">
        <v>9</v>
      </c>
      <c r="W2362">
        <v>0</v>
      </c>
      <c r="X2362">
        <v>0</v>
      </c>
      <c r="Y2362">
        <v>0</v>
      </c>
      <c r="Z2362">
        <v>0</v>
      </c>
      <c r="AA2362">
        <v>9</v>
      </c>
      <c r="AB2362">
        <v>9</v>
      </c>
      <c r="AC2362" t="s">
        <v>310</v>
      </c>
      <c r="AD2362">
        <v>9</v>
      </c>
      <c r="AE2362" t="s">
        <v>1418</v>
      </c>
      <c r="AF2362">
        <v>60000000</v>
      </c>
      <c r="AG2362" t="s">
        <v>310</v>
      </c>
      <c r="AH2362">
        <f>SUM((MID(Dyno_Data[[#This Row],[Team]],4,5))+(Dyno_Data[[#This Row],[Match]]/100))</f>
        <v>3360.45</v>
      </c>
      <c r="AI2362" s="76">
        <f>ROUND(SUM(IF(Dyno_Data[[#This Row],[AcqCenter]]&gt;0,Dyno_Data[[#This Row],[Time]]-SUMIFS(Dyno_Data[Time],Dyno_Data[Team],Dyno_Data[[#This Row],[Team]],Dyno_Data[RecordType],"StartMatch",Dyno_Data[Match],Dyno_Data[[#This Row],[Match]]),0)*86400),0)</f>
        <v>0</v>
      </c>
    </row>
    <row r="2363" spans="1:35" x14ac:dyDescent="0.3">
      <c r="A2363">
        <v>2362</v>
      </c>
      <c r="B2363" t="s">
        <v>1276</v>
      </c>
      <c r="C2363">
        <v>45</v>
      </c>
      <c r="D2363" s="105">
        <v>45373.688560300929</v>
      </c>
      <c r="E2363" t="s">
        <v>312</v>
      </c>
      <c r="F2363" t="s">
        <v>1402</v>
      </c>
      <c r="G2363">
        <v>0</v>
      </c>
      <c r="H2363" t="s">
        <v>1397</v>
      </c>
      <c r="I2363">
        <v>0</v>
      </c>
      <c r="J2363">
        <v>0</v>
      </c>
      <c r="K2363">
        <v>0</v>
      </c>
      <c r="L2363" t="s">
        <v>240</v>
      </c>
      <c r="M2363" t="s">
        <v>1398</v>
      </c>
      <c r="N2363">
        <v>1</v>
      </c>
      <c r="O2363" t="s">
        <v>1393</v>
      </c>
      <c r="P2363" t="s">
        <v>310</v>
      </c>
      <c r="Q2363" t="s">
        <v>310</v>
      </c>
      <c r="R2363" t="s">
        <v>310</v>
      </c>
      <c r="S2363">
        <v>9</v>
      </c>
      <c r="T2363" t="s">
        <v>310</v>
      </c>
      <c r="U2363">
        <v>9</v>
      </c>
      <c r="V2363">
        <v>9</v>
      </c>
      <c r="W2363">
        <v>0</v>
      </c>
      <c r="X2363">
        <v>0</v>
      </c>
      <c r="Y2363">
        <v>0</v>
      </c>
      <c r="Z2363">
        <v>0</v>
      </c>
      <c r="AA2363">
        <v>9</v>
      </c>
      <c r="AB2363">
        <v>9</v>
      </c>
      <c r="AC2363" t="s">
        <v>310</v>
      </c>
      <c r="AD2363">
        <v>9</v>
      </c>
      <c r="AE2363" t="s">
        <v>1414</v>
      </c>
      <c r="AF2363">
        <v>0</v>
      </c>
      <c r="AG2363" t="s">
        <v>310</v>
      </c>
      <c r="AH2363">
        <f>SUM((MID(Dyno_Data[[#This Row],[Team]],4,5))+(Dyno_Data[[#This Row],[Match]]/100))</f>
        <v>229.45</v>
      </c>
      <c r="AI2363" s="76">
        <f>ROUND(SUM(IF(Dyno_Data[[#This Row],[AcqCenter]]&gt;0,Dyno_Data[[#This Row],[Time]]-SUMIFS(Dyno_Data[Time],Dyno_Data[Team],Dyno_Data[[#This Row],[Team]],Dyno_Data[RecordType],"StartMatch",Dyno_Data[Match],Dyno_Data[[#This Row],[Match]]),0)*86400),0)</f>
        <v>0</v>
      </c>
    </row>
    <row r="2364" spans="1:35" x14ac:dyDescent="0.3">
      <c r="A2364">
        <v>2363</v>
      </c>
      <c r="B2364" t="s">
        <v>1277</v>
      </c>
      <c r="C2364">
        <v>45</v>
      </c>
      <c r="D2364" s="105">
        <v>45373.688599918984</v>
      </c>
      <c r="E2364" t="s">
        <v>312</v>
      </c>
      <c r="F2364" t="s">
        <v>1402</v>
      </c>
      <c r="G2364">
        <v>0</v>
      </c>
      <c r="H2364" t="s">
        <v>315</v>
      </c>
      <c r="I2364">
        <v>0</v>
      </c>
      <c r="J2364">
        <v>0</v>
      </c>
      <c r="K2364">
        <v>0</v>
      </c>
      <c r="L2364" t="s">
        <v>241</v>
      </c>
      <c r="M2364" t="s">
        <v>1398</v>
      </c>
      <c r="N2364">
        <v>0</v>
      </c>
      <c r="O2364" t="s">
        <v>1391</v>
      </c>
      <c r="P2364" t="s">
        <v>310</v>
      </c>
      <c r="Q2364" t="s">
        <v>310</v>
      </c>
      <c r="R2364" t="s">
        <v>310</v>
      </c>
      <c r="S2364">
        <v>9</v>
      </c>
      <c r="T2364" t="s">
        <v>310</v>
      </c>
      <c r="U2364">
        <v>9</v>
      </c>
      <c r="V2364">
        <v>9</v>
      </c>
      <c r="W2364">
        <v>0</v>
      </c>
      <c r="X2364">
        <v>0</v>
      </c>
      <c r="Y2364">
        <v>0</v>
      </c>
      <c r="Z2364">
        <v>0</v>
      </c>
      <c r="AA2364">
        <v>9</v>
      </c>
      <c r="AB2364">
        <v>9</v>
      </c>
      <c r="AC2364" t="s">
        <v>310</v>
      </c>
      <c r="AD2364">
        <v>9</v>
      </c>
      <c r="AE2364" t="s">
        <v>1418</v>
      </c>
      <c r="AF2364">
        <v>70000000</v>
      </c>
      <c r="AG2364" t="s">
        <v>310</v>
      </c>
      <c r="AH2364">
        <f>SUM((MID(Dyno_Data[[#This Row],[Team]],4,5))+(Dyno_Data[[#This Row],[Match]]/100))</f>
        <v>3360.45</v>
      </c>
      <c r="AI2364" s="76">
        <f>ROUND(SUM(IF(Dyno_Data[[#This Row],[AcqCenter]]&gt;0,Dyno_Data[[#This Row],[Time]]-SUMIFS(Dyno_Data[Time],Dyno_Data[Team],Dyno_Data[[#This Row],[Team]],Dyno_Data[RecordType],"StartMatch",Dyno_Data[Match],Dyno_Data[[#This Row],[Match]]),0)*86400),0)</f>
        <v>0</v>
      </c>
    </row>
    <row r="2365" spans="1:35" x14ac:dyDescent="0.3">
      <c r="A2365">
        <v>2364</v>
      </c>
      <c r="B2365" t="s">
        <v>370</v>
      </c>
      <c r="C2365">
        <v>45</v>
      </c>
      <c r="D2365" s="105">
        <v>45373.688610879632</v>
      </c>
      <c r="E2365" t="s">
        <v>312</v>
      </c>
      <c r="F2365" t="s">
        <v>1402</v>
      </c>
      <c r="G2365">
        <v>0</v>
      </c>
      <c r="H2365" t="s">
        <v>315</v>
      </c>
      <c r="I2365">
        <v>0</v>
      </c>
      <c r="J2365">
        <v>0</v>
      </c>
      <c r="K2365">
        <v>0</v>
      </c>
      <c r="L2365" t="s">
        <v>241</v>
      </c>
      <c r="M2365" t="s">
        <v>1398</v>
      </c>
      <c r="N2365">
        <v>0</v>
      </c>
      <c r="O2365" t="s">
        <v>1395</v>
      </c>
      <c r="P2365" t="s">
        <v>310</v>
      </c>
      <c r="Q2365" t="s">
        <v>310</v>
      </c>
      <c r="R2365" t="s">
        <v>310</v>
      </c>
      <c r="S2365">
        <v>9</v>
      </c>
      <c r="T2365" t="s">
        <v>310</v>
      </c>
      <c r="U2365">
        <v>9</v>
      </c>
      <c r="V2365">
        <v>9</v>
      </c>
      <c r="W2365">
        <v>0</v>
      </c>
      <c r="X2365">
        <v>0</v>
      </c>
      <c r="Y2365">
        <v>0</v>
      </c>
      <c r="Z2365">
        <v>0</v>
      </c>
      <c r="AA2365">
        <v>9</v>
      </c>
      <c r="AB2365">
        <v>9</v>
      </c>
      <c r="AC2365" t="s">
        <v>310</v>
      </c>
      <c r="AD2365">
        <v>9</v>
      </c>
      <c r="AE2365" t="s">
        <v>1413</v>
      </c>
      <c r="AF2365">
        <v>40000000</v>
      </c>
      <c r="AG2365" t="s">
        <v>310</v>
      </c>
      <c r="AH2365">
        <f>SUM((MID(Dyno_Data[[#This Row],[Team]],4,5))+(Dyno_Data[[#This Row],[Match]]/100))</f>
        <v>6911.45</v>
      </c>
      <c r="AI2365" s="76">
        <f>ROUND(SUM(IF(Dyno_Data[[#This Row],[AcqCenter]]&gt;0,Dyno_Data[[#This Row],[Time]]-SUMIFS(Dyno_Data[Time],Dyno_Data[Team],Dyno_Data[[#This Row],[Team]],Dyno_Data[RecordType],"StartMatch",Dyno_Data[Match],Dyno_Data[[#This Row],[Match]]),0)*86400),0)</f>
        <v>0</v>
      </c>
    </row>
    <row r="2366" spans="1:35" x14ac:dyDescent="0.3">
      <c r="A2366">
        <v>2365</v>
      </c>
      <c r="B2366" t="s">
        <v>1311</v>
      </c>
      <c r="C2366">
        <v>45</v>
      </c>
      <c r="D2366" s="105">
        <v>45373.688693090277</v>
      </c>
      <c r="E2366" t="s">
        <v>312</v>
      </c>
      <c r="F2366" t="s">
        <v>1402</v>
      </c>
      <c r="G2366">
        <v>0</v>
      </c>
      <c r="H2366" t="s">
        <v>315</v>
      </c>
      <c r="I2366">
        <v>0</v>
      </c>
      <c r="J2366">
        <v>0</v>
      </c>
      <c r="K2366">
        <v>0</v>
      </c>
      <c r="L2366" t="s">
        <v>241</v>
      </c>
      <c r="M2366" t="s">
        <v>101</v>
      </c>
      <c r="N2366">
        <v>0</v>
      </c>
      <c r="O2366" t="s">
        <v>319</v>
      </c>
      <c r="P2366" t="s">
        <v>310</v>
      </c>
      <c r="Q2366" t="s">
        <v>310</v>
      </c>
      <c r="R2366" t="s">
        <v>310</v>
      </c>
      <c r="S2366">
        <v>9</v>
      </c>
      <c r="T2366" t="s">
        <v>310</v>
      </c>
      <c r="U2366">
        <v>9</v>
      </c>
      <c r="V2366">
        <v>9</v>
      </c>
      <c r="W2366">
        <v>0</v>
      </c>
      <c r="X2366">
        <v>0</v>
      </c>
      <c r="Y2366">
        <v>0</v>
      </c>
      <c r="Z2366">
        <v>0</v>
      </c>
      <c r="AA2366">
        <v>9</v>
      </c>
      <c r="AB2366">
        <v>9</v>
      </c>
      <c r="AC2366" t="s">
        <v>310</v>
      </c>
      <c r="AD2366">
        <v>9</v>
      </c>
      <c r="AE2366" t="s">
        <v>1416</v>
      </c>
      <c r="AF2366">
        <v>10000000</v>
      </c>
      <c r="AG2366" t="s">
        <v>310</v>
      </c>
      <c r="AH2366">
        <f>SUM((MID(Dyno_Data[[#This Row],[Team]],4,5))+(Dyno_Data[[#This Row],[Match]]/100))</f>
        <v>2234.4499999999998</v>
      </c>
      <c r="AI2366" s="76">
        <f>ROUND(SUM(IF(Dyno_Data[[#This Row],[AcqCenter]]&gt;0,Dyno_Data[[#This Row],[Time]]-SUMIFS(Dyno_Data[Time],Dyno_Data[Team],Dyno_Data[[#This Row],[Team]],Dyno_Data[RecordType],"StartMatch",Dyno_Data[Match],Dyno_Data[[#This Row],[Match]]),0)*86400),0)</f>
        <v>0</v>
      </c>
    </row>
    <row r="2367" spans="1:35" x14ac:dyDescent="0.3">
      <c r="A2367">
        <v>2366</v>
      </c>
      <c r="B2367" t="s">
        <v>1277</v>
      </c>
      <c r="C2367">
        <v>45</v>
      </c>
      <c r="D2367" s="105">
        <v>45373.688725694446</v>
      </c>
      <c r="E2367" t="s">
        <v>312</v>
      </c>
      <c r="F2367" t="s">
        <v>1402</v>
      </c>
      <c r="G2367">
        <v>0</v>
      </c>
      <c r="H2367" t="s">
        <v>315</v>
      </c>
      <c r="I2367">
        <v>0</v>
      </c>
      <c r="J2367">
        <v>0</v>
      </c>
      <c r="K2367">
        <v>0</v>
      </c>
      <c r="L2367" t="s">
        <v>241</v>
      </c>
      <c r="M2367" t="s">
        <v>1398</v>
      </c>
      <c r="N2367">
        <v>0</v>
      </c>
      <c r="O2367" t="s">
        <v>1391</v>
      </c>
      <c r="P2367" t="s">
        <v>310</v>
      </c>
      <c r="Q2367" t="s">
        <v>310</v>
      </c>
      <c r="R2367" t="s">
        <v>310</v>
      </c>
      <c r="S2367">
        <v>9</v>
      </c>
      <c r="T2367" t="s">
        <v>310</v>
      </c>
      <c r="U2367">
        <v>9</v>
      </c>
      <c r="V2367">
        <v>9</v>
      </c>
      <c r="W2367">
        <v>0</v>
      </c>
      <c r="X2367">
        <v>0</v>
      </c>
      <c r="Y2367">
        <v>0</v>
      </c>
      <c r="Z2367">
        <v>0</v>
      </c>
      <c r="AA2367">
        <v>9</v>
      </c>
      <c r="AB2367">
        <v>9</v>
      </c>
      <c r="AC2367" t="s">
        <v>310</v>
      </c>
      <c r="AD2367">
        <v>9</v>
      </c>
      <c r="AE2367" t="s">
        <v>1418</v>
      </c>
      <c r="AF2367">
        <v>80000000</v>
      </c>
      <c r="AG2367" t="s">
        <v>310</v>
      </c>
      <c r="AH2367">
        <f>SUM((MID(Dyno_Data[[#This Row],[Team]],4,5))+(Dyno_Data[[#This Row],[Match]]/100))</f>
        <v>3360.45</v>
      </c>
      <c r="AI2367" s="76">
        <f>ROUND(SUM(IF(Dyno_Data[[#This Row],[AcqCenter]]&gt;0,Dyno_Data[[#This Row],[Time]]-SUMIFS(Dyno_Data[Time],Dyno_Data[Team],Dyno_Data[[#This Row],[Team]],Dyno_Data[RecordType],"StartMatch",Dyno_Data[Match],Dyno_Data[[#This Row],[Match]]),0)*86400),0)</f>
        <v>0</v>
      </c>
    </row>
    <row r="2368" spans="1:35" x14ac:dyDescent="0.3">
      <c r="A2368">
        <v>2367</v>
      </c>
      <c r="B2368" t="s">
        <v>370</v>
      </c>
      <c r="C2368">
        <v>45</v>
      </c>
      <c r="D2368" s="105">
        <v>45373.688820057869</v>
      </c>
      <c r="E2368" t="s">
        <v>312</v>
      </c>
      <c r="F2368" t="s">
        <v>1402</v>
      </c>
      <c r="G2368">
        <v>0</v>
      </c>
      <c r="H2368" t="s">
        <v>315</v>
      </c>
      <c r="I2368">
        <v>0</v>
      </c>
      <c r="J2368">
        <v>0</v>
      </c>
      <c r="K2368">
        <v>0</v>
      </c>
      <c r="L2368" t="s">
        <v>241</v>
      </c>
      <c r="M2368" t="s">
        <v>1398</v>
      </c>
      <c r="N2368">
        <v>0</v>
      </c>
      <c r="O2368" t="s">
        <v>1395</v>
      </c>
      <c r="P2368" t="s">
        <v>310</v>
      </c>
      <c r="Q2368" t="s">
        <v>310</v>
      </c>
      <c r="R2368" t="s">
        <v>310</v>
      </c>
      <c r="S2368">
        <v>9</v>
      </c>
      <c r="T2368" t="s">
        <v>310</v>
      </c>
      <c r="U2368">
        <v>9</v>
      </c>
      <c r="V2368">
        <v>9</v>
      </c>
      <c r="W2368">
        <v>0</v>
      </c>
      <c r="X2368">
        <v>0</v>
      </c>
      <c r="Y2368">
        <v>0</v>
      </c>
      <c r="Z2368">
        <v>0</v>
      </c>
      <c r="AA2368">
        <v>9</v>
      </c>
      <c r="AB2368">
        <v>9</v>
      </c>
      <c r="AC2368" t="s">
        <v>310</v>
      </c>
      <c r="AD2368">
        <v>9</v>
      </c>
      <c r="AE2368" t="s">
        <v>1413</v>
      </c>
      <c r="AF2368">
        <v>50000000</v>
      </c>
      <c r="AG2368" t="s">
        <v>310</v>
      </c>
      <c r="AH2368">
        <f>SUM((MID(Dyno_Data[[#This Row],[Team]],4,5))+(Dyno_Data[[#This Row],[Match]]/100))</f>
        <v>6911.45</v>
      </c>
      <c r="AI2368" s="76">
        <f>ROUND(SUM(IF(Dyno_Data[[#This Row],[AcqCenter]]&gt;0,Dyno_Data[[#This Row],[Time]]-SUMIFS(Dyno_Data[Time],Dyno_Data[Team],Dyno_Data[[#This Row],[Team]],Dyno_Data[RecordType],"StartMatch",Dyno_Data[Match],Dyno_Data[[#This Row],[Match]]),0)*86400),0)</f>
        <v>0</v>
      </c>
    </row>
    <row r="2369" spans="1:35" x14ac:dyDescent="0.3">
      <c r="A2369">
        <v>2368</v>
      </c>
      <c r="B2369" t="s">
        <v>1277</v>
      </c>
      <c r="C2369">
        <v>45</v>
      </c>
      <c r="D2369" s="105">
        <v>45373.688870405094</v>
      </c>
      <c r="E2369" t="s">
        <v>312</v>
      </c>
      <c r="F2369" t="s">
        <v>1402</v>
      </c>
      <c r="G2369">
        <v>0</v>
      </c>
      <c r="H2369" t="s">
        <v>315</v>
      </c>
      <c r="I2369">
        <v>0</v>
      </c>
      <c r="J2369">
        <v>0</v>
      </c>
      <c r="K2369">
        <v>0</v>
      </c>
      <c r="L2369" t="s">
        <v>241</v>
      </c>
      <c r="M2369" t="s">
        <v>101</v>
      </c>
      <c r="N2369">
        <v>0</v>
      </c>
      <c r="O2369" t="s">
        <v>1391</v>
      </c>
      <c r="P2369" t="s">
        <v>310</v>
      </c>
      <c r="Q2369" t="s">
        <v>310</v>
      </c>
      <c r="R2369" t="s">
        <v>310</v>
      </c>
      <c r="S2369">
        <v>9</v>
      </c>
      <c r="T2369" t="s">
        <v>310</v>
      </c>
      <c r="U2369">
        <v>9</v>
      </c>
      <c r="V2369">
        <v>9</v>
      </c>
      <c r="W2369">
        <v>0</v>
      </c>
      <c r="X2369">
        <v>0</v>
      </c>
      <c r="Y2369">
        <v>0</v>
      </c>
      <c r="Z2369">
        <v>0</v>
      </c>
      <c r="AA2369">
        <v>9</v>
      </c>
      <c r="AB2369">
        <v>9</v>
      </c>
      <c r="AC2369" t="s">
        <v>310</v>
      </c>
      <c r="AD2369">
        <v>9</v>
      </c>
      <c r="AE2369" t="s">
        <v>1418</v>
      </c>
      <c r="AF2369">
        <v>90000000</v>
      </c>
      <c r="AG2369" t="s">
        <v>310</v>
      </c>
      <c r="AH2369">
        <f>SUM((MID(Dyno_Data[[#This Row],[Team]],4,5))+(Dyno_Data[[#This Row],[Match]]/100))</f>
        <v>3360.45</v>
      </c>
      <c r="AI2369" s="76">
        <f>ROUND(SUM(IF(Dyno_Data[[#This Row],[AcqCenter]]&gt;0,Dyno_Data[[#This Row],[Time]]-SUMIFS(Dyno_Data[Time],Dyno_Data[Team],Dyno_Data[[#This Row],[Team]],Dyno_Data[RecordType],"StartMatch",Dyno_Data[Match],Dyno_Data[[#This Row],[Match]]),0)*86400),0)</f>
        <v>0</v>
      </c>
    </row>
    <row r="2370" spans="1:35" x14ac:dyDescent="0.3">
      <c r="A2370">
        <v>2369</v>
      </c>
      <c r="B2370" t="s">
        <v>370</v>
      </c>
      <c r="C2370">
        <v>45</v>
      </c>
      <c r="D2370" s="105">
        <v>45373.688912233796</v>
      </c>
      <c r="E2370" t="s">
        <v>312</v>
      </c>
      <c r="F2370" t="s">
        <v>1402</v>
      </c>
      <c r="G2370">
        <v>0</v>
      </c>
      <c r="H2370" t="s">
        <v>315</v>
      </c>
      <c r="I2370">
        <v>0</v>
      </c>
      <c r="J2370">
        <v>0</v>
      </c>
      <c r="K2370">
        <v>0</v>
      </c>
      <c r="L2370" t="s">
        <v>241</v>
      </c>
      <c r="M2370" t="s">
        <v>1398</v>
      </c>
      <c r="N2370">
        <v>0</v>
      </c>
      <c r="O2370" t="s">
        <v>1395</v>
      </c>
      <c r="P2370" t="s">
        <v>310</v>
      </c>
      <c r="Q2370" t="s">
        <v>310</v>
      </c>
      <c r="R2370" t="s">
        <v>310</v>
      </c>
      <c r="S2370">
        <v>9</v>
      </c>
      <c r="T2370" t="s">
        <v>310</v>
      </c>
      <c r="U2370">
        <v>9</v>
      </c>
      <c r="V2370">
        <v>9</v>
      </c>
      <c r="W2370">
        <v>0</v>
      </c>
      <c r="X2370">
        <v>0</v>
      </c>
      <c r="Y2370">
        <v>0</v>
      </c>
      <c r="Z2370">
        <v>0</v>
      </c>
      <c r="AA2370">
        <v>9</v>
      </c>
      <c r="AB2370">
        <v>9</v>
      </c>
      <c r="AC2370" t="s">
        <v>310</v>
      </c>
      <c r="AD2370">
        <v>9</v>
      </c>
      <c r="AE2370" t="s">
        <v>1413</v>
      </c>
      <c r="AF2370">
        <v>60000000</v>
      </c>
      <c r="AG2370" t="s">
        <v>310</v>
      </c>
      <c r="AH2370">
        <f>SUM((MID(Dyno_Data[[#This Row],[Team]],4,5))+(Dyno_Data[[#This Row],[Match]]/100))</f>
        <v>6911.45</v>
      </c>
      <c r="AI2370" s="76">
        <f>ROUND(SUM(IF(Dyno_Data[[#This Row],[AcqCenter]]&gt;0,Dyno_Data[[#This Row],[Time]]-SUMIFS(Dyno_Data[Time],Dyno_Data[Team],Dyno_Data[[#This Row],[Team]],Dyno_Data[RecordType],"StartMatch",Dyno_Data[Match],Dyno_Data[[#This Row],[Match]]),0)*86400),0)</f>
        <v>0</v>
      </c>
    </row>
    <row r="2371" spans="1:35" x14ac:dyDescent="0.3">
      <c r="A2371">
        <v>2370</v>
      </c>
      <c r="B2371" t="s">
        <v>1297</v>
      </c>
      <c r="C2371">
        <v>45</v>
      </c>
      <c r="D2371" s="105">
        <v>45373.688976620368</v>
      </c>
      <c r="E2371" t="s">
        <v>312</v>
      </c>
      <c r="F2371" t="s">
        <v>1402</v>
      </c>
      <c r="G2371">
        <v>0</v>
      </c>
      <c r="H2371" t="s">
        <v>315</v>
      </c>
      <c r="I2371">
        <v>0</v>
      </c>
      <c r="J2371">
        <v>0</v>
      </c>
      <c r="K2371">
        <v>0</v>
      </c>
      <c r="L2371" t="s">
        <v>241</v>
      </c>
      <c r="M2371" t="s">
        <v>101</v>
      </c>
      <c r="N2371">
        <v>0</v>
      </c>
      <c r="O2371" t="s">
        <v>1389</v>
      </c>
      <c r="P2371" t="s">
        <v>310</v>
      </c>
      <c r="Q2371" t="s">
        <v>310</v>
      </c>
      <c r="R2371" t="s">
        <v>310</v>
      </c>
      <c r="S2371">
        <v>9</v>
      </c>
      <c r="T2371" t="s">
        <v>310</v>
      </c>
      <c r="U2371">
        <v>9</v>
      </c>
      <c r="V2371">
        <v>9</v>
      </c>
      <c r="W2371">
        <v>0</v>
      </c>
      <c r="X2371">
        <v>0</v>
      </c>
      <c r="Y2371">
        <v>0</v>
      </c>
      <c r="Z2371">
        <v>0</v>
      </c>
      <c r="AA2371">
        <v>9</v>
      </c>
      <c r="AB2371">
        <v>9</v>
      </c>
      <c r="AC2371" t="s">
        <v>310</v>
      </c>
      <c r="AD2371">
        <v>9</v>
      </c>
      <c r="AE2371" t="s">
        <v>1417</v>
      </c>
      <c r="AF2371">
        <v>30000000</v>
      </c>
      <c r="AG2371" t="s">
        <v>310</v>
      </c>
      <c r="AH2371">
        <f>SUM((MID(Dyno_Data[[#This Row],[Team]],4,5))+(Dyno_Data[[#This Row],[Match]]/100))</f>
        <v>9750.4500000000007</v>
      </c>
      <c r="AI2371" s="76">
        <f>ROUND(SUM(IF(Dyno_Data[[#This Row],[AcqCenter]]&gt;0,Dyno_Data[[#This Row],[Time]]-SUMIFS(Dyno_Data[Time],Dyno_Data[Team],Dyno_Data[[#This Row],[Team]],Dyno_Data[RecordType],"StartMatch",Dyno_Data[Match],Dyno_Data[[#This Row],[Match]]),0)*86400),0)</f>
        <v>0</v>
      </c>
    </row>
    <row r="2372" spans="1:35" x14ac:dyDescent="0.3">
      <c r="A2372">
        <v>2371</v>
      </c>
      <c r="B2372" t="s">
        <v>370</v>
      </c>
      <c r="C2372">
        <v>45</v>
      </c>
      <c r="D2372" s="105">
        <v>45373.689131481478</v>
      </c>
      <c r="E2372" t="s">
        <v>312</v>
      </c>
      <c r="F2372" t="s">
        <v>1402</v>
      </c>
      <c r="G2372">
        <v>0</v>
      </c>
      <c r="H2372" t="s">
        <v>315</v>
      </c>
      <c r="I2372">
        <v>0</v>
      </c>
      <c r="J2372">
        <v>0</v>
      </c>
      <c r="K2372">
        <v>0</v>
      </c>
      <c r="L2372" t="s">
        <v>241</v>
      </c>
      <c r="M2372" t="s">
        <v>1398</v>
      </c>
      <c r="N2372">
        <v>0</v>
      </c>
      <c r="O2372" t="s">
        <v>1395</v>
      </c>
      <c r="P2372" t="s">
        <v>310</v>
      </c>
      <c r="Q2372" t="s">
        <v>310</v>
      </c>
      <c r="R2372" t="s">
        <v>310</v>
      </c>
      <c r="S2372">
        <v>9</v>
      </c>
      <c r="T2372" t="s">
        <v>310</v>
      </c>
      <c r="U2372">
        <v>9</v>
      </c>
      <c r="V2372">
        <v>9</v>
      </c>
      <c r="W2372">
        <v>0</v>
      </c>
      <c r="X2372">
        <v>0</v>
      </c>
      <c r="Y2372">
        <v>0</v>
      </c>
      <c r="Z2372">
        <v>0</v>
      </c>
      <c r="AA2372">
        <v>9</v>
      </c>
      <c r="AB2372">
        <v>9</v>
      </c>
      <c r="AC2372" t="s">
        <v>310</v>
      </c>
      <c r="AD2372">
        <v>9</v>
      </c>
      <c r="AE2372" t="s">
        <v>1413</v>
      </c>
      <c r="AF2372">
        <v>70000000</v>
      </c>
      <c r="AG2372" t="s">
        <v>310</v>
      </c>
      <c r="AH2372">
        <f>SUM((MID(Dyno_Data[[#This Row],[Team]],4,5))+(Dyno_Data[[#This Row],[Match]]/100))</f>
        <v>6911.45</v>
      </c>
      <c r="AI2372" s="76">
        <f>ROUND(SUM(IF(Dyno_Data[[#This Row],[AcqCenter]]&gt;0,Dyno_Data[[#This Row],[Time]]-SUMIFS(Dyno_Data[Time],Dyno_Data[Team],Dyno_Data[[#This Row],[Team]],Dyno_Data[RecordType],"StartMatch",Dyno_Data[Match],Dyno_Data[[#This Row],[Match]]),0)*86400),0)</f>
        <v>0</v>
      </c>
    </row>
    <row r="2373" spans="1:35" x14ac:dyDescent="0.3">
      <c r="A2373">
        <v>2372</v>
      </c>
      <c r="B2373" t="s">
        <v>1311</v>
      </c>
      <c r="C2373">
        <v>45</v>
      </c>
      <c r="D2373" s="105">
        <v>45373.689172650462</v>
      </c>
      <c r="E2373" t="s">
        <v>312</v>
      </c>
      <c r="F2373" t="s">
        <v>1402</v>
      </c>
      <c r="G2373">
        <v>0</v>
      </c>
      <c r="H2373" t="s">
        <v>315</v>
      </c>
      <c r="I2373">
        <v>0</v>
      </c>
      <c r="J2373">
        <v>0</v>
      </c>
      <c r="K2373">
        <v>0</v>
      </c>
      <c r="L2373" t="s">
        <v>241</v>
      </c>
      <c r="M2373" t="s">
        <v>101</v>
      </c>
      <c r="N2373">
        <v>0</v>
      </c>
      <c r="O2373" t="s">
        <v>319</v>
      </c>
      <c r="P2373" t="s">
        <v>310</v>
      </c>
      <c r="Q2373" t="s">
        <v>310</v>
      </c>
      <c r="R2373" t="s">
        <v>310</v>
      </c>
      <c r="S2373">
        <v>9</v>
      </c>
      <c r="T2373" t="s">
        <v>310</v>
      </c>
      <c r="U2373">
        <v>9</v>
      </c>
      <c r="V2373">
        <v>9</v>
      </c>
      <c r="W2373">
        <v>0</v>
      </c>
      <c r="X2373">
        <v>0</v>
      </c>
      <c r="Y2373">
        <v>0</v>
      </c>
      <c r="Z2373">
        <v>0</v>
      </c>
      <c r="AA2373">
        <v>9</v>
      </c>
      <c r="AB2373">
        <v>9</v>
      </c>
      <c r="AC2373" t="s">
        <v>310</v>
      </c>
      <c r="AD2373">
        <v>9</v>
      </c>
      <c r="AE2373" t="s">
        <v>1416</v>
      </c>
      <c r="AF2373">
        <v>20000000</v>
      </c>
      <c r="AG2373" t="s">
        <v>310</v>
      </c>
      <c r="AH2373">
        <f>SUM((MID(Dyno_Data[[#This Row],[Team]],4,5))+(Dyno_Data[[#This Row],[Match]]/100))</f>
        <v>2234.4499999999998</v>
      </c>
      <c r="AI2373" s="76">
        <f>ROUND(SUM(IF(Dyno_Data[[#This Row],[AcqCenter]]&gt;0,Dyno_Data[[#This Row],[Time]]-SUMIFS(Dyno_Data[Time],Dyno_Data[Team],Dyno_Data[[#This Row],[Team]],Dyno_Data[RecordType],"StartMatch",Dyno_Data[Match],Dyno_Data[[#This Row],[Match]]),0)*86400),0)</f>
        <v>0</v>
      </c>
    </row>
    <row r="2374" spans="1:35" x14ac:dyDescent="0.3">
      <c r="A2374">
        <v>2373</v>
      </c>
      <c r="B2374" t="s">
        <v>1277</v>
      </c>
      <c r="C2374">
        <v>45</v>
      </c>
      <c r="D2374" s="105">
        <v>45373.689173344908</v>
      </c>
      <c r="E2374" t="s">
        <v>312</v>
      </c>
      <c r="F2374" t="s">
        <v>1402</v>
      </c>
      <c r="G2374">
        <v>0</v>
      </c>
      <c r="H2374" t="s">
        <v>315</v>
      </c>
      <c r="I2374">
        <v>0</v>
      </c>
      <c r="J2374">
        <v>0</v>
      </c>
      <c r="K2374">
        <v>0</v>
      </c>
      <c r="L2374" t="s">
        <v>241</v>
      </c>
      <c r="M2374" t="s">
        <v>1398</v>
      </c>
      <c r="N2374">
        <v>0</v>
      </c>
      <c r="O2374" t="s">
        <v>1391</v>
      </c>
      <c r="P2374" t="s">
        <v>310</v>
      </c>
      <c r="Q2374" t="s">
        <v>310</v>
      </c>
      <c r="R2374" t="s">
        <v>310</v>
      </c>
      <c r="S2374">
        <v>9</v>
      </c>
      <c r="T2374" t="s">
        <v>310</v>
      </c>
      <c r="U2374">
        <v>9</v>
      </c>
      <c r="V2374">
        <v>9</v>
      </c>
      <c r="W2374">
        <v>0</v>
      </c>
      <c r="X2374">
        <v>0</v>
      </c>
      <c r="Y2374">
        <v>0</v>
      </c>
      <c r="Z2374">
        <v>0</v>
      </c>
      <c r="AA2374">
        <v>9</v>
      </c>
      <c r="AB2374">
        <v>9</v>
      </c>
      <c r="AC2374" t="s">
        <v>310</v>
      </c>
      <c r="AD2374">
        <v>9</v>
      </c>
      <c r="AE2374" t="s">
        <v>1418</v>
      </c>
      <c r="AF2374">
        <v>100000000</v>
      </c>
      <c r="AG2374" t="s">
        <v>310</v>
      </c>
      <c r="AH2374">
        <f>SUM((MID(Dyno_Data[[#This Row],[Team]],4,5))+(Dyno_Data[[#This Row],[Match]]/100))</f>
        <v>3360.45</v>
      </c>
      <c r="AI2374" s="76">
        <f>ROUND(SUM(IF(Dyno_Data[[#This Row],[AcqCenter]]&gt;0,Dyno_Data[[#This Row],[Time]]-SUMIFS(Dyno_Data[Time],Dyno_Data[Team],Dyno_Data[[#This Row],[Team]],Dyno_Data[RecordType],"StartMatch",Dyno_Data[Match],Dyno_Data[[#This Row],[Match]]),0)*86400),0)</f>
        <v>0</v>
      </c>
    </row>
    <row r="2375" spans="1:35" x14ac:dyDescent="0.3">
      <c r="A2375">
        <v>2374</v>
      </c>
      <c r="B2375" t="s">
        <v>1297</v>
      </c>
      <c r="C2375">
        <v>45</v>
      </c>
      <c r="D2375" s="105">
        <v>45373.689256863428</v>
      </c>
      <c r="E2375" t="s">
        <v>312</v>
      </c>
      <c r="F2375" t="s">
        <v>1402</v>
      </c>
      <c r="G2375">
        <v>0</v>
      </c>
      <c r="H2375" t="s">
        <v>315</v>
      </c>
      <c r="I2375">
        <v>0</v>
      </c>
      <c r="J2375">
        <v>0</v>
      </c>
      <c r="K2375">
        <v>0</v>
      </c>
      <c r="L2375" t="s">
        <v>241</v>
      </c>
      <c r="M2375" t="s">
        <v>101</v>
      </c>
      <c r="N2375">
        <v>0</v>
      </c>
      <c r="O2375" t="s">
        <v>1389</v>
      </c>
      <c r="P2375" t="s">
        <v>310</v>
      </c>
      <c r="Q2375" t="s">
        <v>310</v>
      </c>
      <c r="R2375" t="s">
        <v>310</v>
      </c>
      <c r="S2375">
        <v>9</v>
      </c>
      <c r="T2375" t="s">
        <v>310</v>
      </c>
      <c r="U2375">
        <v>9</v>
      </c>
      <c r="V2375">
        <v>9</v>
      </c>
      <c r="W2375">
        <v>0</v>
      </c>
      <c r="X2375">
        <v>0</v>
      </c>
      <c r="Y2375">
        <v>0</v>
      </c>
      <c r="Z2375">
        <v>0</v>
      </c>
      <c r="AA2375">
        <v>9</v>
      </c>
      <c r="AB2375">
        <v>9</v>
      </c>
      <c r="AC2375" t="s">
        <v>310</v>
      </c>
      <c r="AD2375">
        <v>9</v>
      </c>
      <c r="AE2375" t="s">
        <v>1417</v>
      </c>
      <c r="AF2375">
        <v>40000000</v>
      </c>
      <c r="AG2375" t="s">
        <v>310</v>
      </c>
      <c r="AH2375">
        <f>SUM((MID(Dyno_Data[[#This Row],[Team]],4,5))+(Dyno_Data[[#This Row],[Match]]/100))</f>
        <v>9750.4500000000007</v>
      </c>
      <c r="AI2375" s="76">
        <f>ROUND(SUM(IF(Dyno_Data[[#This Row],[AcqCenter]]&gt;0,Dyno_Data[[#This Row],[Time]]-SUMIFS(Dyno_Data[Time],Dyno_Data[Team],Dyno_Data[[#This Row],[Team]],Dyno_Data[RecordType],"StartMatch",Dyno_Data[Match],Dyno_Data[[#This Row],[Match]]),0)*86400),0)</f>
        <v>0</v>
      </c>
    </row>
    <row r="2376" spans="1:35" x14ac:dyDescent="0.3">
      <c r="A2376">
        <v>2375</v>
      </c>
      <c r="B2376" t="s">
        <v>370</v>
      </c>
      <c r="C2376">
        <v>45</v>
      </c>
      <c r="D2376" s="105">
        <v>45373.689268437498</v>
      </c>
      <c r="E2376" t="s">
        <v>312</v>
      </c>
      <c r="F2376" t="s">
        <v>1402</v>
      </c>
      <c r="G2376">
        <v>0</v>
      </c>
      <c r="H2376" t="s">
        <v>315</v>
      </c>
      <c r="I2376">
        <v>0</v>
      </c>
      <c r="J2376">
        <v>0</v>
      </c>
      <c r="K2376">
        <v>0</v>
      </c>
      <c r="L2376" t="s">
        <v>241</v>
      </c>
      <c r="M2376" t="s">
        <v>1398</v>
      </c>
      <c r="N2376">
        <v>0</v>
      </c>
      <c r="O2376" t="s">
        <v>1395</v>
      </c>
      <c r="P2376" t="s">
        <v>310</v>
      </c>
      <c r="Q2376" t="s">
        <v>310</v>
      </c>
      <c r="R2376" t="s">
        <v>310</v>
      </c>
      <c r="S2376">
        <v>9</v>
      </c>
      <c r="T2376" t="s">
        <v>310</v>
      </c>
      <c r="U2376">
        <v>9</v>
      </c>
      <c r="V2376">
        <v>9</v>
      </c>
      <c r="W2376">
        <v>0</v>
      </c>
      <c r="X2376">
        <v>0</v>
      </c>
      <c r="Y2376">
        <v>0</v>
      </c>
      <c r="Z2376">
        <v>0</v>
      </c>
      <c r="AA2376">
        <v>9</v>
      </c>
      <c r="AB2376">
        <v>9</v>
      </c>
      <c r="AC2376" t="s">
        <v>310</v>
      </c>
      <c r="AD2376">
        <v>9</v>
      </c>
      <c r="AE2376" t="s">
        <v>1413</v>
      </c>
      <c r="AF2376">
        <v>80000000</v>
      </c>
      <c r="AG2376" t="s">
        <v>310</v>
      </c>
      <c r="AH2376">
        <f>SUM((MID(Dyno_Data[[#This Row],[Team]],4,5))+(Dyno_Data[[#This Row],[Match]]/100))</f>
        <v>6911.45</v>
      </c>
      <c r="AI2376" s="76">
        <f>ROUND(SUM(IF(Dyno_Data[[#This Row],[AcqCenter]]&gt;0,Dyno_Data[[#This Row],[Time]]-SUMIFS(Dyno_Data[Time],Dyno_Data[Team],Dyno_Data[[#This Row],[Team]],Dyno_Data[RecordType],"StartMatch",Dyno_Data[Match],Dyno_Data[[#This Row],[Match]]),0)*86400),0)</f>
        <v>0</v>
      </c>
    </row>
    <row r="2377" spans="1:35" x14ac:dyDescent="0.3">
      <c r="A2377">
        <v>2376</v>
      </c>
      <c r="B2377" t="s">
        <v>370</v>
      </c>
      <c r="C2377">
        <v>45</v>
      </c>
      <c r="D2377" s="105">
        <v>45373.689415474539</v>
      </c>
      <c r="E2377" t="s">
        <v>312</v>
      </c>
      <c r="F2377" t="s">
        <v>1402</v>
      </c>
      <c r="G2377">
        <v>0</v>
      </c>
      <c r="H2377" t="s">
        <v>315</v>
      </c>
      <c r="I2377">
        <v>0</v>
      </c>
      <c r="J2377">
        <v>0</v>
      </c>
      <c r="K2377">
        <v>0</v>
      </c>
      <c r="L2377" t="s">
        <v>241</v>
      </c>
      <c r="M2377" t="s">
        <v>1398</v>
      </c>
      <c r="N2377">
        <v>0</v>
      </c>
      <c r="O2377" t="s">
        <v>1395</v>
      </c>
      <c r="P2377" t="s">
        <v>310</v>
      </c>
      <c r="Q2377" t="s">
        <v>310</v>
      </c>
      <c r="R2377" t="s">
        <v>310</v>
      </c>
      <c r="S2377">
        <v>9</v>
      </c>
      <c r="T2377" t="s">
        <v>310</v>
      </c>
      <c r="U2377">
        <v>9</v>
      </c>
      <c r="V2377">
        <v>9</v>
      </c>
      <c r="W2377">
        <v>0</v>
      </c>
      <c r="X2377">
        <v>0</v>
      </c>
      <c r="Y2377">
        <v>0</v>
      </c>
      <c r="Z2377">
        <v>0</v>
      </c>
      <c r="AA2377">
        <v>9</v>
      </c>
      <c r="AB2377">
        <v>9</v>
      </c>
      <c r="AC2377" t="s">
        <v>310</v>
      </c>
      <c r="AD2377">
        <v>9</v>
      </c>
      <c r="AE2377" t="s">
        <v>1413</v>
      </c>
      <c r="AF2377">
        <v>90000000</v>
      </c>
      <c r="AG2377" t="s">
        <v>310</v>
      </c>
      <c r="AH2377">
        <f>SUM((MID(Dyno_Data[[#This Row],[Team]],4,5))+(Dyno_Data[[#This Row],[Match]]/100))</f>
        <v>6911.45</v>
      </c>
      <c r="AI2377" s="76">
        <f>ROUND(SUM(IF(Dyno_Data[[#This Row],[AcqCenter]]&gt;0,Dyno_Data[[#This Row],[Time]]-SUMIFS(Dyno_Data[Time],Dyno_Data[Team],Dyno_Data[[#This Row],[Team]],Dyno_Data[RecordType],"StartMatch",Dyno_Data[Match],Dyno_Data[[#This Row],[Match]]),0)*86400),0)</f>
        <v>0</v>
      </c>
    </row>
    <row r="2378" spans="1:35" x14ac:dyDescent="0.3">
      <c r="A2378">
        <v>2377</v>
      </c>
      <c r="B2378" t="s">
        <v>1311</v>
      </c>
      <c r="C2378">
        <v>45</v>
      </c>
      <c r="D2378" s="105">
        <v>45373.689427627316</v>
      </c>
      <c r="E2378" t="s">
        <v>1403</v>
      </c>
      <c r="F2378" t="s">
        <v>1402</v>
      </c>
      <c r="G2378">
        <v>0</v>
      </c>
      <c r="H2378" t="s">
        <v>310</v>
      </c>
      <c r="I2378">
        <v>0</v>
      </c>
      <c r="J2378">
        <v>0</v>
      </c>
      <c r="K2378">
        <v>0</v>
      </c>
      <c r="L2378" t="s">
        <v>310</v>
      </c>
      <c r="M2378" t="s">
        <v>310</v>
      </c>
      <c r="N2378">
        <v>0</v>
      </c>
      <c r="O2378" t="s">
        <v>319</v>
      </c>
      <c r="P2378" t="s">
        <v>310</v>
      </c>
      <c r="Q2378" t="s">
        <v>310</v>
      </c>
      <c r="R2378" t="s">
        <v>310</v>
      </c>
      <c r="S2378">
        <v>9</v>
      </c>
      <c r="T2378" t="s">
        <v>310</v>
      </c>
      <c r="U2378">
        <v>9</v>
      </c>
      <c r="V2378">
        <v>9</v>
      </c>
      <c r="W2378">
        <v>0</v>
      </c>
      <c r="X2378">
        <v>0</v>
      </c>
      <c r="Y2378">
        <v>0</v>
      </c>
      <c r="Z2378">
        <v>0</v>
      </c>
      <c r="AA2378">
        <v>9</v>
      </c>
      <c r="AB2378">
        <v>9</v>
      </c>
      <c r="AC2378" t="s">
        <v>310</v>
      </c>
      <c r="AD2378">
        <v>9</v>
      </c>
      <c r="AE2378" t="s">
        <v>1416</v>
      </c>
      <c r="AF2378">
        <v>90000000</v>
      </c>
      <c r="AG2378" t="s">
        <v>248</v>
      </c>
      <c r="AH2378">
        <f>SUM((MID(Dyno_Data[[#This Row],[Team]],4,5))+(Dyno_Data[[#This Row],[Match]]/100))</f>
        <v>2234.4499999999998</v>
      </c>
      <c r="AI2378" s="76">
        <f>ROUND(SUM(IF(Dyno_Data[[#This Row],[AcqCenter]]&gt;0,Dyno_Data[[#This Row],[Time]]-SUMIFS(Dyno_Data[Time],Dyno_Data[Team],Dyno_Data[[#This Row],[Team]],Dyno_Data[RecordType],"StartMatch",Dyno_Data[Match],Dyno_Data[[#This Row],[Match]]),0)*86400),0)</f>
        <v>0</v>
      </c>
    </row>
    <row r="2379" spans="1:35" x14ac:dyDescent="0.3">
      <c r="A2379">
        <v>2378</v>
      </c>
      <c r="B2379" t="s">
        <v>370</v>
      </c>
      <c r="C2379">
        <v>45</v>
      </c>
      <c r="D2379" s="105">
        <v>45373.68955289352</v>
      </c>
      <c r="E2379" t="s">
        <v>312</v>
      </c>
      <c r="F2379" t="s">
        <v>1402</v>
      </c>
      <c r="G2379">
        <v>0</v>
      </c>
      <c r="H2379" t="s">
        <v>315</v>
      </c>
      <c r="I2379">
        <v>0</v>
      </c>
      <c r="J2379">
        <v>0</v>
      </c>
      <c r="K2379">
        <v>0</v>
      </c>
      <c r="L2379" t="s">
        <v>241</v>
      </c>
      <c r="M2379" t="s">
        <v>1398</v>
      </c>
      <c r="N2379">
        <v>0</v>
      </c>
      <c r="O2379" t="s">
        <v>1395</v>
      </c>
      <c r="P2379" t="s">
        <v>310</v>
      </c>
      <c r="Q2379" t="s">
        <v>310</v>
      </c>
      <c r="R2379" t="s">
        <v>310</v>
      </c>
      <c r="S2379">
        <v>9</v>
      </c>
      <c r="T2379" t="s">
        <v>310</v>
      </c>
      <c r="U2379">
        <v>9</v>
      </c>
      <c r="V2379">
        <v>9</v>
      </c>
      <c r="W2379">
        <v>0</v>
      </c>
      <c r="X2379">
        <v>0</v>
      </c>
      <c r="Y2379">
        <v>0</v>
      </c>
      <c r="Z2379">
        <v>0</v>
      </c>
      <c r="AA2379">
        <v>9</v>
      </c>
      <c r="AB2379">
        <v>9</v>
      </c>
      <c r="AC2379" t="s">
        <v>310</v>
      </c>
      <c r="AD2379">
        <v>9</v>
      </c>
      <c r="AE2379" t="s">
        <v>1413</v>
      </c>
      <c r="AF2379">
        <v>100000000</v>
      </c>
      <c r="AG2379" t="s">
        <v>310</v>
      </c>
      <c r="AH2379">
        <f>SUM((MID(Dyno_Data[[#This Row],[Team]],4,5))+(Dyno_Data[[#This Row],[Match]]/100))</f>
        <v>6911.45</v>
      </c>
      <c r="AI2379" s="76">
        <f>ROUND(SUM(IF(Dyno_Data[[#This Row],[AcqCenter]]&gt;0,Dyno_Data[[#This Row],[Time]]-SUMIFS(Dyno_Data[Time],Dyno_Data[Team],Dyno_Data[[#This Row],[Team]],Dyno_Data[RecordType],"StartMatch",Dyno_Data[Match],Dyno_Data[[#This Row],[Match]]),0)*86400),0)</f>
        <v>0</v>
      </c>
    </row>
    <row r="2380" spans="1:35" x14ac:dyDescent="0.3">
      <c r="A2380">
        <v>2379</v>
      </c>
      <c r="B2380" t="s">
        <v>1297</v>
      </c>
      <c r="C2380">
        <v>45</v>
      </c>
      <c r="D2380" s="105">
        <v>45373.689583333333</v>
      </c>
      <c r="E2380" t="s">
        <v>312</v>
      </c>
      <c r="F2380" t="s">
        <v>1402</v>
      </c>
      <c r="G2380">
        <v>0</v>
      </c>
      <c r="H2380" t="s">
        <v>315</v>
      </c>
      <c r="I2380">
        <v>0</v>
      </c>
      <c r="J2380">
        <v>0</v>
      </c>
      <c r="K2380">
        <v>0</v>
      </c>
      <c r="L2380" t="s">
        <v>241</v>
      </c>
      <c r="M2380" t="s">
        <v>101</v>
      </c>
      <c r="N2380">
        <v>0</v>
      </c>
      <c r="O2380" t="s">
        <v>1389</v>
      </c>
      <c r="P2380" t="s">
        <v>310</v>
      </c>
      <c r="Q2380" t="s">
        <v>310</v>
      </c>
      <c r="R2380" t="s">
        <v>310</v>
      </c>
      <c r="S2380">
        <v>9</v>
      </c>
      <c r="T2380" t="s">
        <v>310</v>
      </c>
      <c r="U2380">
        <v>9</v>
      </c>
      <c r="V2380">
        <v>9</v>
      </c>
      <c r="W2380">
        <v>0</v>
      </c>
      <c r="X2380">
        <v>0</v>
      </c>
      <c r="Y2380">
        <v>0</v>
      </c>
      <c r="Z2380">
        <v>0</v>
      </c>
      <c r="AA2380">
        <v>9</v>
      </c>
      <c r="AB2380">
        <v>9</v>
      </c>
      <c r="AC2380" t="s">
        <v>310</v>
      </c>
      <c r="AD2380">
        <v>9</v>
      </c>
      <c r="AE2380" t="s">
        <v>1417</v>
      </c>
      <c r="AF2380">
        <v>50000000</v>
      </c>
      <c r="AG2380" t="s">
        <v>310</v>
      </c>
      <c r="AH2380">
        <f>SUM((MID(Dyno_Data[[#This Row],[Team]],4,5))+(Dyno_Data[[#This Row],[Match]]/100))</f>
        <v>9750.4500000000007</v>
      </c>
      <c r="AI2380" s="76">
        <f>ROUND(SUM(IF(Dyno_Data[[#This Row],[AcqCenter]]&gt;0,Dyno_Data[[#This Row],[Time]]-SUMIFS(Dyno_Data[Time],Dyno_Data[Team],Dyno_Data[[#This Row],[Team]],Dyno_Data[RecordType],"StartMatch",Dyno_Data[Match],Dyno_Data[[#This Row],[Match]]),0)*86400),0)</f>
        <v>0</v>
      </c>
    </row>
    <row r="2381" spans="1:35" x14ac:dyDescent="0.3">
      <c r="A2381">
        <v>2380</v>
      </c>
      <c r="B2381" t="s">
        <v>373</v>
      </c>
      <c r="C2381">
        <v>45</v>
      </c>
      <c r="D2381" s="105">
        <v>45373.690533946756</v>
      </c>
      <c r="E2381" t="s">
        <v>316</v>
      </c>
      <c r="F2381" t="s">
        <v>317</v>
      </c>
      <c r="G2381">
        <v>1</v>
      </c>
      <c r="H2381" t="s">
        <v>310</v>
      </c>
      <c r="I2381">
        <v>0</v>
      </c>
      <c r="J2381">
        <v>0</v>
      </c>
      <c r="K2381">
        <v>0</v>
      </c>
      <c r="L2381" t="s">
        <v>310</v>
      </c>
      <c r="M2381" t="s">
        <v>310</v>
      </c>
      <c r="N2381">
        <v>0</v>
      </c>
      <c r="O2381" t="s">
        <v>311</v>
      </c>
      <c r="P2381" t="s">
        <v>1401</v>
      </c>
      <c r="Q2381" t="s">
        <v>1400</v>
      </c>
      <c r="R2381" t="s">
        <v>1404</v>
      </c>
      <c r="S2381">
        <v>-1</v>
      </c>
      <c r="T2381" t="s">
        <v>105</v>
      </c>
      <c r="U2381">
        <v>9</v>
      </c>
      <c r="V2381">
        <v>9</v>
      </c>
      <c r="W2381">
        <v>46.215116299999998</v>
      </c>
      <c r="X2381">
        <v>3.9376042999999998</v>
      </c>
      <c r="Y2381">
        <v>44.523478099999998</v>
      </c>
      <c r="Z2381">
        <v>42.308771700000001</v>
      </c>
      <c r="AA2381">
        <v>2</v>
      </c>
      <c r="AB2381">
        <v>0</v>
      </c>
      <c r="AC2381" t="s">
        <v>170</v>
      </c>
      <c r="AD2381">
        <v>9</v>
      </c>
      <c r="AE2381" t="s">
        <v>1412</v>
      </c>
      <c r="AF2381">
        <v>0</v>
      </c>
      <c r="AG2381" t="s">
        <v>310</v>
      </c>
      <c r="AH2381">
        <f>SUM((MID(Dyno_Data[[#This Row],[Team]],4,5))+(Dyno_Data[[#This Row],[Match]]/100))</f>
        <v>7718.45</v>
      </c>
      <c r="AI2381" s="76">
        <f>ROUND(SUM(IF(Dyno_Data[[#This Row],[AcqCenter]]&gt;0,Dyno_Data[[#This Row],[Time]]-SUMIFS(Dyno_Data[Time],Dyno_Data[Team],Dyno_Data[[#This Row],[Team]],Dyno_Data[RecordType],"StartMatch",Dyno_Data[Match],Dyno_Data[[#This Row],[Match]]),0)*86400),0)</f>
        <v>0</v>
      </c>
    </row>
    <row r="2382" spans="1:35" x14ac:dyDescent="0.3">
      <c r="A2382">
        <v>2381</v>
      </c>
      <c r="B2382" t="s">
        <v>1277</v>
      </c>
      <c r="C2382">
        <v>45</v>
      </c>
      <c r="D2382" s="105">
        <v>45373.690534027781</v>
      </c>
      <c r="E2382" t="s">
        <v>316</v>
      </c>
      <c r="F2382" t="s">
        <v>317</v>
      </c>
      <c r="G2382">
        <v>1</v>
      </c>
      <c r="H2382" t="s">
        <v>310</v>
      </c>
      <c r="I2382">
        <v>0</v>
      </c>
      <c r="J2382">
        <v>0</v>
      </c>
      <c r="K2382">
        <v>0</v>
      </c>
      <c r="L2382" t="s">
        <v>310</v>
      </c>
      <c r="M2382" t="s">
        <v>310</v>
      </c>
      <c r="N2382">
        <v>0</v>
      </c>
      <c r="O2382" t="s">
        <v>1391</v>
      </c>
      <c r="P2382" t="s">
        <v>240</v>
      </c>
      <c r="Q2382" t="s">
        <v>1399</v>
      </c>
      <c r="R2382" t="s">
        <v>1404</v>
      </c>
      <c r="S2382">
        <v>-1</v>
      </c>
      <c r="T2382" t="s">
        <v>105</v>
      </c>
      <c r="U2382">
        <v>9</v>
      </c>
      <c r="V2382">
        <v>9</v>
      </c>
      <c r="W2382">
        <v>15.066203399999999</v>
      </c>
      <c r="X2382">
        <v>28.430243099999998</v>
      </c>
      <c r="Y2382">
        <v>42.647309700000001</v>
      </c>
      <c r="Z2382">
        <v>45.405940999999999</v>
      </c>
      <c r="AA2382">
        <v>0</v>
      </c>
      <c r="AB2382">
        <v>1</v>
      </c>
      <c r="AC2382" t="s">
        <v>174</v>
      </c>
      <c r="AD2382">
        <v>0</v>
      </c>
      <c r="AE2382" t="s">
        <v>1418</v>
      </c>
      <c r="AF2382">
        <v>100000000</v>
      </c>
      <c r="AG2382" t="s">
        <v>310</v>
      </c>
      <c r="AH2382">
        <f>SUM((MID(Dyno_Data[[#This Row],[Team]],4,5))+(Dyno_Data[[#This Row],[Match]]/100))</f>
        <v>3360.45</v>
      </c>
      <c r="AI2382" s="76">
        <f>ROUND(SUM(IF(Dyno_Data[[#This Row],[AcqCenter]]&gt;0,Dyno_Data[[#This Row],[Time]]-SUMIFS(Dyno_Data[Time],Dyno_Data[Team],Dyno_Data[[#This Row],[Team]],Dyno_Data[RecordType],"StartMatch",Dyno_Data[Match],Dyno_Data[[#This Row],[Match]]),0)*86400),0)</f>
        <v>0</v>
      </c>
    </row>
    <row r="2383" spans="1:35" x14ac:dyDescent="0.3">
      <c r="A2383">
        <v>2382</v>
      </c>
      <c r="B2383" t="s">
        <v>1311</v>
      </c>
      <c r="C2383">
        <v>45</v>
      </c>
      <c r="D2383" s="105">
        <v>45373.690534143519</v>
      </c>
      <c r="E2383" t="s">
        <v>316</v>
      </c>
      <c r="F2383" t="s">
        <v>317</v>
      </c>
      <c r="G2383">
        <v>1</v>
      </c>
      <c r="H2383" t="s">
        <v>310</v>
      </c>
      <c r="I2383">
        <v>0</v>
      </c>
      <c r="J2383">
        <v>0</v>
      </c>
      <c r="K2383">
        <v>0</v>
      </c>
      <c r="L2383" t="s">
        <v>310</v>
      </c>
      <c r="M2383" t="s">
        <v>310</v>
      </c>
      <c r="N2383">
        <v>0</v>
      </c>
      <c r="O2383" t="s">
        <v>319</v>
      </c>
      <c r="P2383" t="s">
        <v>320</v>
      </c>
      <c r="Q2383" t="s">
        <v>1400</v>
      </c>
      <c r="R2383" t="s">
        <v>1404</v>
      </c>
      <c r="S2383">
        <v>-1</v>
      </c>
      <c r="T2383" t="s">
        <v>105</v>
      </c>
      <c r="U2383">
        <v>9</v>
      </c>
      <c r="V2383">
        <v>9</v>
      </c>
      <c r="W2383">
        <v>5.8005512000000001</v>
      </c>
      <c r="X2383">
        <v>46.479986400000001</v>
      </c>
      <c r="Y2383">
        <v>28.8414222</v>
      </c>
      <c r="Z2383">
        <v>53.989968499999996</v>
      </c>
      <c r="AA2383">
        <v>0</v>
      </c>
      <c r="AB2383">
        <v>1</v>
      </c>
      <c r="AC2383" t="s">
        <v>174</v>
      </c>
      <c r="AD2383">
        <v>9</v>
      </c>
      <c r="AE2383" t="s">
        <v>1416</v>
      </c>
      <c r="AF2383">
        <v>20000000</v>
      </c>
      <c r="AG2383" t="s">
        <v>310</v>
      </c>
      <c r="AH2383">
        <f>SUM((MID(Dyno_Data[[#This Row],[Team]],4,5))+(Dyno_Data[[#This Row],[Match]]/100))</f>
        <v>2234.4499999999998</v>
      </c>
      <c r="AI2383" s="76">
        <f>ROUND(SUM(IF(Dyno_Data[[#This Row],[AcqCenter]]&gt;0,Dyno_Data[[#This Row],[Time]]-SUMIFS(Dyno_Data[Time],Dyno_Data[Team],Dyno_Data[[#This Row],[Team]],Dyno_Data[RecordType],"StartMatch",Dyno_Data[Match],Dyno_Data[[#This Row],[Match]]),0)*86400),0)</f>
        <v>0</v>
      </c>
    </row>
    <row r="2384" spans="1:35" x14ac:dyDescent="0.3">
      <c r="A2384">
        <v>2383</v>
      </c>
      <c r="B2384" t="s">
        <v>1276</v>
      </c>
      <c r="C2384">
        <v>45</v>
      </c>
      <c r="D2384" s="105">
        <v>45373.690534259258</v>
      </c>
      <c r="E2384" t="s">
        <v>316</v>
      </c>
      <c r="F2384" t="s">
        <v>317</v>
      </c>
      <c r="G2384">
        <v>1</v>
      </c>
      <c r="H2384" t="s">
        <v>310</v>
      </c>
      <c r="I2384">
        <v>0</v>
      </c>
      <c r="J2384">
        <v>0</v>
      </c>
      <c r="K2384">
        <v>0</v>
      </c>
      <c r="L2384" t="s">
        <v>310</v>
      </c>
      <c r="M2384" t="s">
        <v>310</v>
      </c>
      <c r="N2384">
        <v>0</v>
      </c>
      <c r="O2384" t="s">
        <v>1393</v>
      </c>
      <c r="P2384" t="s">
        <v>320</v>
      </c>
      <c r="Q2384" t="s">
        <v>1400</v>
      </c>
      <c r="R2384" t="s">
        <v>1404</v>
      </c>
      <c r="S2384">
        <v>0</v>
      </c>
      <c r="T2384" t="s">
        <v>105</v>
      </c>
      <c r="U2384">
        <v>9</v>
      </c>
      <c r="V2384">
        <v>9</v>
      </c>
      <c r="W2384">
        <v>0</v>
      </c>
      <c r="X2384">
        <v>0</v>
      </c>
      <c r="Y2384">
        <v>22.191736799999997</v>
      </c>
      <c r="Z2384">
        <v>111.54620509999999</v>
      </c>
      <c r="AA2384">
        <v>1</v>
      </c>
      <c r="AB2384">
        <v>2</v>
      </c>
      <c r="AC2384" t="s">
        <v>170</v>
      </c>
      <c r="AD2384">
        <v>9</v>
      </c>
      <c r="AE2384" t="s">
        <v>1414</v>
      </c>
      <c r="AF2384">
        <v>0</v>
      </c>
      <c r="AG2384" t="s">
        <v>310</v>
      </c>
      <c r="AH2384">
        <f>SUM((MID(Dyno_Data[[#This Row],[Team]],4,5))+(Dyno_Data[[#This Row],[Match]]/100))</f>
        <v>229.45</v>
      </c>
      <c r="AI2384" s="76">
        <f>ROUND(SUM(IF(Dyno_Data[[#This Row],[AcqCenter]]&gt;0,Dyno_Data[[#This Row],[Time]]-SUMIFS(Dyno_Data[Time],Dyno_Data[Team],Dyno_Data[[#This Row],[Team]],Dyno_Data[RecordType],"StartMatch",Dyno_Data[Match],Dyno_Data[[#This Row],[Match]]),0)*86400),0)</f>
        <v>0</v>
      </c>
    </row>
    <row r="2385" spans="1:35" x14ac:dyDescent="0.3">
      <c r="A2385">
        <v>2384</v>
      </c>
      <c r="B2385" t="s">
        <v>1297</v>
      </c>
      <c r="C2385">
        <v>45</v>
      </c>
      <c r="D2385" s="105">
        <v>45373.690534340276</v>
      </c>
      <c r="E2385" t="s">
        <v>316</v>
      </c>
      <c r="F2385" t="s">
        <v>317</v>
      </c>
      <c r="G2385">
        <v>0</v>
      </c>
      <c r="H2385" t="s">
        <v>310</v>
      </c>
      <c r="I2385">
        <v>0</v>
      </c>
      <c r="J2385">
        <v>0</v>
      </c>
      <c r="K2385">
        <v>0</v>
      </c>
      <c r="L2385" t="s">
        <v>310</v>
      </c>
      <c r="M2385" t="s">
        <v>310</v>
      </c>
      <c r="N2385">
        <v>0</v>
      </c>
      <c r="O2385" t="s">
        <v>1389</v>
      </c>
      <c r="P2385" t="s">
        <v>101</v>
      </c>
      <c r="Q2385" t="s">
        <v>1400</v>
      </c>
      <c r="R2385" t="s">
        <v>1404</v>
      </c>
      <c r="S2385">
        <v>0</v>
      </c>
      <c r="T2385" t="s">
        <v>105</v>
      </c>
      <c r="U2385">
        <v>9</v>
      </c>
      <c r="V2385">
        <v>9</v>
      </c>
      <c r="W2385">
        <v>0</v>
      </c>
      <c r="X2385">
        <v>26.334818899999998</v>
      </c>
      <c r="Y2385">
        <v>38.980634899999998</v>
      </c>
      <c r="Z2385">
        <v>70.476810999999998</v>
      </c>
      <c r="AA2385">
        <v>0</v>
      </c>
      <c r="AB2385">
        <v>0</v>
      </c>
      <c r="AC2385" t="s">
        <v>174</v>
      </c>
      <c r="AD2385">
        <v>9</v>
      </c>
      <c r="AE2385" t="s">
        <v>1417</v>
      </c>
      <c r="AF2385">
        <v>50000000</v>
      </c>
      <c r="AG2385" t="s">
        <v>310</v>
      </c>
      <c r="AH2385">
        <f>SUM((MID(Dyno_Data[[#This Row],[Team]],4,5))+(Dyno_Data[[#This Row],[Match]]/100))</f>
        <v>9750.4500000000007</v>
      </c>
      <c r="AI2385" s="76">
        <f>ROUND(SUM(IF(Dyno_Data[[#This Row],[AcqCenter]]&gt;0,Dyno_Data[[#This Row],[Time]]-SUMIFS(Dyno_Data[Time],Dyno_Data[Team],Dyno_Data[[#This Row],[Team]],Dyno_Data[RecordType],"StartMatch",Dyno_Data[Match],Dyno_Data[[#This Row],[Match]]),0)*86400),0)</f>
        <v>0</v>
      </c>
    </row>
    <row r="2386" spans="1:35" x14ac:dyDescent="0.3">
      <c r="A2386">
        <v>2385</v>
      </c>
      <c r="B2386" t="s">
        <v>370</v>
      </c>
      <c r="C2386">
        <v>45</v>
      </c>
      <c r="D2386" s="105">
        <v>45373.690534456022</v>
      </c>
      <c r="E2386" t="s">
        <v>316</v>
      </c>
      <c r="F2386" t="s">
        <v>317</v>
      </c>
      <c r="G2386">
        <v>0</v>
      </c>
      <c r="H2386" t="s">
        <v>310</v>
      </c>
      <c r="I2386">
        <v>0</v>
      </c>
      <c r="J2386">
        <v>0</v>
      </c>
      <c r="K2386">
        <v>0</v>
      </c>
      <c r="L2386" t="s">
        <v>310</v>
      </c>
      <c r="M2386" t="s">
        <v>310</v>
      </c>
      <c r="N2386">
        <v>0</v>
      </c>
      <c r="O2386" t="s">
        <v>1395</v>
      </c>
      <c r="P2386" t="s">
        <v>240</v>
      </c>
      <c r="Q2386" t="s">
        <v>1399</v>
      </c>
      <c r="R2386" t="s">
        <v>1405</v>
      </c>
      <c r="S2386">
        <v>1</v>
      </c>
      <c r="T2386" t="s">
        <v>1407</v>
      </c>
      <c r="U2386">
        <v>0</v>
      </c>
      <c r="V2386">
        <v>1</v>
      </c>
      <c r="W2386">
        <v>6.8156764000000001</v>
      </c>
      <c r="X2386">
        <v>38.6422241</v>
      </c>
      <c r="Y2386">
        <v>28.3716173</v>
      </c>
      <c r="Z2386">
        <v>49.159084999999997</v>
      </c>
      <c r="AA2386">
        <v>0</v>
      </c>
      <c r="AB2386">
        <v>1</v>
      </c>
      <c r="AC2386" t="s">
        <v>174</v>
      </c>
      <c r="AD2386">
        <v>1</v>
      </c>
      <c r="AE2386" t="s">
        <v>1413</v>
      </c>
      <c r="AF2386">
        <v>100000000</v>
      </c>
      <c r="AG2386" t="s">
        <v>310</v>
      </c>
      <c r="AH2386">
        <f>SUM((MID(Dyno_Data[[#This Row],[Team]],4,5))+(Dyno_Data[[#This Row],[Match]]/100))</f>
        <v>6911.45</v>
      </c>
      <c r="AI2386" s="76">
        <f>ROUND(SUM(IF(Dyno_Data[[#This Row],[AcqCenter]]&gt;0,Dyno_Data[[#This Row],[Time]]-SUMIFS(Dyno_Data[Time],Dyno_Data[Team],Dyno_Data[[#This Row],[Team]],Dyno_Data[RecordType],"StartMatch",Dyno_Data[Match],Dyno_Data[[#This Row],[Match]]),0)*86400),0)</f>
        <v>0</v>
      </c>
    </row>
    <row r="2387" spans="1:35" x14ac:dyDescent="0.3">
      <c r="A2387">
        <v>2394</v>
      </c>
      <c r="B2387" t="s">
        <v>1303</v>
      </c>
      <c r="C2387">
        <v>46</v>
      </c>
      <c r="D2387" s="105">
        <v>45373.692890011574</v>
      </c>
      <c r="E2387" t="s">
        <v>308</v>
      </c>
      <c r="F2387" t="s">
        <v>309</v>
      </c>
      <c r="G2387">
        <v>0</v>
      </c>
      <c r="H2387" t="s">
        <v>310</v>
      </c>
      <c r="I2387">
        <v>0</v>
      </c>
      <c r="J2387">
        <v>0</v>
      </c>
      <c r="K2387">
        <v>0</v>
      </c>
      <c r="L2387" t="s">
        <v>310</v>
      </c>
      <c r="M2387" t="s">
        <v>310</v>
      </c>
      <c r="N2387">
        <v>0</v>
      </c>
      <c r="O2387" t="s">
        <v>1395</v>
      </c>
      <c r="P2387" t="s">
        <v>310</v>
      </c>
      <c r="Q2387" t="s">
        <v>310</v>
      </c>
      <c r="R2387" t="s">
        <v>310</v>
      </c>
      <c r="S2387">
        <v>9</v>
      </c>
      <c r="T2387" t="s">
        <v>310</v>
      </c>
      <c r="U2387">
        <v>9</v>
      </c>
      <c r="V2387">
        <v>9</v>
      </c>
      <c r="W2387">
        <v>0</v>
      </c>
      <c r="X2387">
        <v>0</v>
      </c>
      <c r="Y2387">
        <v>0</v>
      </c>
      <c r="Z2387">
        <v>0</v>
      </c>
      <c r="AA2387">
        <v>9</v>
      </c>
      <c r="AB2387">
        <v>9</v>
      </c>
      <c r="AC2387" t="s">
        <v>310</v>
      </c>
      <c r="AD2387">
        <v>9</v>
      </c>
      <c r="AE2387" t="s">
        <v>1412</v>
      </c>
      <c r="AF2387">
        <v>1000</v>
      </c>
      <c r="AG2387" t="s">
        <v>310</v>
      </c>
      <c r="AH2387">
        <f>SUM((MID(Dyno_Data[[#This Row],[Team]],4,5))+(Dyno_Data[[#This Row],[Match]]/100))</f>
        <v>7605.46</v>
      </c>
      <c r="AI2387" s="76">
        <f>ROUND(SUM(IF(Dyno_Data[[#This Row],[AcqCenter]]&gt;0,Dyno_Data[[#This Row],[Time]]-SUMIFS(Dyno_Data[Time],Dyno_Data[Team],Dyno_Data[[#This Row],[Team]],Dyno_Data[RecordType],"StartMatch",Dyno_Data[Match],Dyno_Data[[#This Row],[Match]]),0)*86400),0)</f>
        <v>0</v>
      </c>
    </row>
    <row r="2388" spans="1:35" x14ac:dyDescent="0.3">
      <c r="A2388">
        <v>2396</v>
      </c>
      <c r="B2388" t="s">
        <v>318</v>
      </c>
      <c r="C2388">
        <v>46</v>
      </c>
      <c r="D2388" s="105">
        <v>45373.692892824074</v>
      </c>
      <c r="E2388" t="s">
        <v>308</v>
      </c>
      <c r="F2388" t="s">
        <v>309</v>
      </c>
      <c r="G2388">
        <v>0</v>
      </c>
      <c r="H2388" t="s">
        <v>310</v>
      </c>
      <c r="I2388">
        <v>0</v>
      </c>
      <c r="J2388">
        <v>0</v>
      </c>
      <c r="K2388">
        <v>0</v>
      </c>
      <c r="L2388" t="s">
        <v>310</v>
      </c>
      <c r="M2388" t="s">
        <v>310</v>
      </c>
      <c r="N2388">
        <v>0</v>
      </c>
      <c r="O2388" t="s">
        <v>311</v>
      </c>
      <c r="P2388" t="s">
        <v>310</v>
      </c>
      <c r="Q2388" t="s">
        <v>310</v>
      </c>
      <c r="R2388" t="s">
        <v>310</v>
      </c>
      <c r="S2388">
        <v>9</v>
      </c>
      <c r="T2388" t="s">
        <v>310</v>
      </c>
      <c r="U2388">
        <v>9</v>
      </c>
      <c r="V2388">
        <v>9</v>
      </c>
      <c r="W2388">
        <v>0</v>
      </c>
      <c r="X2388">
        <v>0</v>
      </c>
      <c r="Y2388">
        <v>0</v>
      </c>
      <c r="Z2388">
        <v>0</v>
      </c>
      <c r="AA2388">
        <v>9</v>
      </c>
      <c r="AB2388">
        <v>9</v>
      </c>
      <c r="AC2388" t="s">
        <v>310</v>
      </c>
      <c r="AD2388">
        <v>9</v>
      </c>
      <c r="AE2388" t="s">
        <v>1413</v>
      </c>
      <c r="AF2388">
        <v>0</v>
      </c>
      <c r="AG2388" t="s">
        <v>310</v>
      </c>
      <c r="AH2388">
        <f>SUM((MID(Dyno_Data[[#This Row],[Team]],4,5))+(Dyno_Data[[#This Row],[Match]]/100))</f>
        <v>639.46</v>
      </c>
      <c r="AI2388" s="76">
        <f>ROUND(SUM(IF(Dyno_Data[[#This Row],[AcqCenter]]&gt;0,Dyno_Data[[#This Row],[Time]]-SUMIFS(Dyno_Data[Time],Dyno_Data[Team],Dyno_Data[[#This Row],[Team]],Dyno_Data[RecordType],"StartMatch",Dyno_Data[Match],Dyno_Data[[#This Row],[Match]]),0)*86400),0)</f>
        <v>0</v>
      </c>
    </row>
    <row r="2389" spans="1:35" x14ac:dyDescent="0.3">
      <c r="A2389">
        <v>2398</v>
      </c>
      <c r="B2389" t="s">
        <v>1295</v>
      </c>
      <c r="C2389">
        <v>46</v>
      </c>
      <c r="D2389" s="105">
        <v>45373.692892905092</v>
      </c>
      <c r="E2389" t="s">
        <v>308</v>
      </c>
      <c r="F2389" t="s">
        <v>309</v>
      </c>
      <c r="G2389">
        <v>0</v>
      </c>
      <c r="H2389" t="s">
        <v>310</v>
      </c>
      <c r="I2389">
        <v>0</v>
      </c>
      <c r="J2389">
        <v>0</v>
      </c>
      <c r="K2389">
        <v>0</v>
      </c>
      <c r="L2389" t="s">
        <v>310</v>
      </c>
      <c r="M2389" t="s">
        <v>310</v>
      </c>
      <c r="N2389">
        <v>0</v>
      </c>
      <c r="O2389" t="s">
        <v>1391</v>
      </c>
      <c r="P2389" t="s">
        <v>310</v>
      </c>
      <c r="Q2389" t="s">
        <v>310</v>
      </c>
      <c r="R2389" t="s">
        <v>310</v>
      </c>
      <c r="S2389">
        <v>9</v>
      </c>
      <c r="T2389" t="s">
        <v>310</v>
      </c>
      <c r="U2389">
        <v>9</v>
      </c>
      <c r="V2389">
        <v>9</v>
      </c>
      <c r="W2389">
        <v>0</v>
      </c>
      <c r="X2389">
        <v>0</v>
      </c>
      <c r="Y2389">
        <v>0</v>
      </c>
      <c r="Z2389">
        <v>0</v>
      </c>
      <c r="AA2389">
        <v>9</v>
      </c>
      <c r="AB2389">
        <v>9</v>
      </c>
      <c r="AC2389" t="s">
        <v>310</v>
      </c>
      <c r="AD2389">
        <v>9</v>
      </c>
      <c r="AE2389" t="s">
        <v>1416</v>
      </c>
      <c r="AF2389">
        <v>0</v>
      </c>
      <c r="AG2389" t="s">
        <v>310</v>
      </c>
      <c r="AH2389">
        <f>SUM((MID(Dyno_Data[[#This Row],[Team]],4,5))+(Dyno_Data[[#This Row],[Match]]/100))</f>
        <v>6300.46</v>
      </c>
      <c r="AI2389" s="76">
        <f>ROUND(SUM(IF(Dyno_Data[[#This Row],[AcqCenter]]&gt;0,Dyno_Data[[#This Row],[Time]]-SUMIFS(Dyno_Data[Time],Dyno_Data[Team],Dyno_Data[[#This Row],[Team]],Dyno_Data[RecordType],"StartMatch",Dyno_Data[Match],Dyno_Data[[#This Row],[Match]]),0)*86400),0)</f>
        <v>0</v>
      </c>
    </row>
    <row r="2390" spans="1:35" x14ac:dyDescent="0.3">
      <c r="A2390">
        <v>2400</v>
      </c>
      <c r="B2390" t="s">
        <v>367</v>
      </c>
      <c r="C2390">
        <v>46</v>
      </c>
      <c r="D2390" s="105">
        <v>45373.692894988424</v>
      </c>
      <c r="E2390" t="s">
        <v>308</v>
      </c>
      <c r="F2390" t="s">
        <v>309</v>
      </c>
      <c r="G2390">
        <v>0</v>
      </c>
      <c r="H2390" t="s">
        <v>310</v>
      </c>
      <c r="I2390">
        <v>0</v>
      </c>
      <c r="J2390">
        <v>0</v>
      </c>
      <c r="K2390">
        <v>0</v>
      </c>
      <c r="L2390" t="s">
        <v>310</v>
      </c>
      <c r="M2390" t="s">
        <v>310</v>
      </c>
      <c r="N2390">
        <v>0</v>
      </c>
      <c r="O2390" t="s">
        <v>1389</v>
      </c>
      <c r="P2390" t="s">
        <v>310</v>
      </c>
      <c r="Q2390" t="s">
        <v>310</v>
      </c>
      <c r="R2390" t="s">
        <v>310</v>
      </c>
      <c r="S2390">
        <v>9</v>
      </c>
      <c r="T2390" t="s">
        <v>310</v>
      </c>
      <c r="U2390">
        <v>9</v>
      </c>
      <c r="V2390">
        <v>9</v>
      </c>
      <c r="W2390">
        <v>0</v>
      </c>
      <c r="X2390">
        <v>0</v>
      </c>
      <c r="Y2390">
        <v>0</v>
      </c>
      <c r="Z2390">
        <v>0</v>
      </c>
      <c r="AA2390">
        <v>9</v>
      </c>
      <c r="AB2390">
        <v>9</v>
      </c>
      <c r="AC2390" t="s">
        <v>310</v>
      </c>
      <c r="AD2390">
        <v>9</v>
      </c>
      <c r="AE2390" t="s">
        <v>1417</v>
      </c>
      <c r="AF2390">
        <v>0</v>
      </c>
      <c r="AG2390" t="s">
        <v>310</v>
      </c>
      <c r="AH2390">
        <f>SUM((MID(Dyno_Data[[#This Row],[Team]],4,5))+(Dyno_Data[[#This Row],[Match]]/100))</f>
        <v>5016.46</v>
      </c>
      <c r="AI2390" s="76">
        <f>ROUND(SUM(IF(Dyno_Data[[#This Row],[AcqCenter]]&gt;0,Dyno_Data[[#This Row],[Time]]-SUMIFS(Dyno_Data[Time],Dyno_Data[Team],Dyno_Data[[#This Row],[Team]],Dyno_Data[RecordType],"StartMatch",Dyno_Data[Match],Dyno_Data[[#This Row],[Match]]),0)*86400),0)</f>
        <v>0</v>
      </c>
    </row>
    <row r="2391" spans="1:35" x14ac:dyDescent="0.3">
      <c r="A2391">
        <v>2402</v>
      </c>
      <c r="B2391" t="s">
        <v>1283</v>
      </c>
      <c r="C2391">
        <v>46</v>
      </c>
      <c r="D2391" s="105">
        <v>45373.692897997687</v>
      </c>
      <c r="E2391" t="s">
        <v>308</v>
      </c>
      <c r="F2391" t="s">
        <v>309</v>
      </c>
      <c r="G2391">
        <v>0</v>
      </c>
      <c r="H2391" t="s">
        <v>310</v>
      </c>
      <c r="I2391">
        <v>0</v>
      </c>
      <c r="J2391">
        <v>0</v>
      </c>
      <c r="K2391">
        <v>0</v>
      </c>
      <c r="L2391" t="s">
        <v>310</v>
      </c>
      <c r="M2391" t="s">
        <v>310</v>
      </c>
      <c r="N2391">
        <v>0</v>
      </c>
      <c r="O2391" t="s">
        <v>319</v>
      </c>
      <c r="P2391" t="s">
        <v>310</v>
      </c>
      <c r="Q2391" t="s">
        <v>310</v>
      </c>
      <c r="R2391" t="s">
        <v>310</v>
      </c>
      <c r="S2391">
        <v>9</v>
      </c>
      <c r="T2391" t="s">
        <v>310</v>
      </c>
      <c r="U2391">
        <v>9</v>
      </c>
      <c r="V2391">
        <v>9</v>
      </c>
      <c r="W2391">
        <v>0</v>
      </c>
      <c r="X2391">
        <v>0</v>
      </c>
      <c r="Y2391">
        <v>0</v>
      </c>
      <c r="Z2391">
        <v>0</v>
      </c>
      <c r="AA2391">
        <v>9</v>
      </c>
      <c r="AB2391">
        <v>9</v>
      </c>
      <c r="AC2391" t="s">
        <v>310</v>
      </c>
      <c r="AD2391">
        <v>9</v>
      </c>
      <c r="AE2391" t="s">
        <v>1418</v>
      </c>
      <c r="AF2391">
        <v>0</v>
      </c>
      <c r="AG2391" t="s">
        <v>310</v>
      </c>
      <c r="AH2391">
        <f>SUM((MID(Dyno_Data[[#This Row],[Team]],4,5))+(Dyno_Data[[#This Row],[Match]]/100))</f>
        <v>1601.46</v>
      </c>
      <c r="AI2391" s="76">
        <f>ROUND(SUM(IF(Dyno_Data[[#This Row],[AcqCenter]]&gt;0,Dyno_Data[[#This Row],[Time]]-SUMIFS(Dyno_Data[Time],Dyno_Data[Team],Dyno_Data[[#This Row],[Team]],Dyno_Data[RecordType],"StartMatch",Dyno_Data[Match],Dyno_Data[[#This Row],[Match]]),0)*86400),0)</f>
        <v>0</v>
      </c>
    </row>
    <row r="2392" spans="1:35" x14ac:dyDescent="0.3">
      <c r="A2392">
        <v>2404</v>
      </c>
      <c r="B2392" t="s">
        <v>368</v>
      </c>
      <c r="C2392">
        <v>46</v>
      </c>
      <c r="D2392" s="105">
        <v>45373.692901539354</v>
      </c>
      <c r="E2392" t="s">
        <v>308</v>
      </c>
      <c r="F2392" t="s">
        <v>309</v>
      </c>
      <c r="G2392">
        <v>0</v>
      </c>
      <c r="H2392" t="s">
        <v>310</v>
      </c>
      <c r="I2392">
        <v>0</v>
      </c>
      <c r="J2392">
        <v>0</v>
      </c>
      <c r="K2392">
        <v>0</v>
      </c>
      <c r="L2392" t="s">
        <v>310</v>
      </c>
      <c r="M2392" t="s">
        <v>310</v>
      </c>
      <c r="N2392">
        <v>0</v>
      </c>
      <c r="O2392" t="s">
        <v>1393</v>
      </c>
      <c r="P2392" t="s">
        <v>310</v>
      </c>
      <c r="Q2392" t="s">
        <v>310</v>
      </c>
      <c r="R2392" t="s">
        <v>310</v>
      </c>
      <c r="S2392">
        <v>9</v>
      </c>
      <c r="T2392" t="s">
        <v>310</v>
      </c>
      <c r="U2392">
        <v>9</v>
      </c>
      <c r="V2392">
        <v>9</v>
      </c>
      <c r="W2392">
        <v>0</v>
      </c>
      <c r="X2392">
        <v>0</v>
      </c>
      <c r="Y2392">
        <v>0</v>
      </c>
      <c r="Z2392">
        <v>0</v>
      </c>
      <c r="AA2392">
        <v>9</v>
      </c>
      <c r="AB2392">
        <v>9</v>
      </c>
      <c r="AC2392" t="s">
        <v>310</v>
      </c>
      <c r="AD2392">
        <v>9</v>
      </c>
      <c r="AE2392" t="s">
        <v>1414</v>
      </c>
      <c r="AF2392">
        <v>0</v>
      </c>
      <c r="AG2392" t="s">
        <v>310</v>
      </c>
      <c r="AH2392">
        <f>SUM((MID(Dyno_Data[[#This Row],[Team]],4,5))+(Dyno_Data[[#This Row],[Match]]/100))</f>
        <v>6401.46</v>
      </c>
      <c r="AI2392" s="76">
        <f>ROUND(SUM(IF(Dyno_Data[[#This Row],[AcqCenter]]&gt;0,Dyno_Data[[#This Row],[Time]]-SUMIFS(Dyno_Data[Time],Dyno_Data[Team],Dyno_Data[[#This Row],[Team]],Dyno_Data[RecordType],"StartMatch",Dyno_Data[Match],Dyno_Data[[#This Row],[Match]]),0)*86400),0)</f>
        <v>0</v>
      </c>
    </row>
    <row r="2393" spans="1:35" x14ac:dyDescent="0.3">
      <c r="A2393">
        <v>2386</v>
      </c>
      <c r="B2393" t="s">
        <v>1295</v>
      </c>
      <c r="C2393">
        <v>46</v>
      </c>
      <c r="D2393" s="105">
        <v>45373.692905520831</v>
      </c>
      <c r="E2393" t="s">
        <v>312</v>
      </c>
      <c r="F2393" t="s">
        <v>309</v>
      </c>
      <c r="G2393">
        <v>0</v>
      </c>
      <c r="H2393" t="s">
        <v>1397</v>
      </c>
      <c r="I2393">
        <v>0</v>
      </c>
      <c r="J2393">
        <v>0</v>
      </c>
      <c r="K2393">
        <v>0</v>
      </c>
      <c r="L2393" t="s">
        <v>240</v>
      </c>
      <c r="M2393" t="s">
        <v>1398</v>
      </c>
      <c r="N2393">
        <v>1</v>
      </c>
      <c r="O2393" t="s">
        <v>1391</v>
      </c>
      <c r="P2393" t="s">
        <v>310</v>
      </c>
      <c r="Q2393" t="s">
        <v>310</v>
      </c>
      <c r="R2393" t="s">
        <v>310</v>
      </c>
      <c r="S2393">
        <v>9</v>
      </c>
      <c r="T2393" t="s">
        <v>310</v>
      </c>
      <c r="U2393">
        <v>9</v>
      </c>
      <c r="V2393">
        <v>9</v>
      </c>
      <c r="W2393">
        <v>0</v>
      </c>
      <c r="X2393">
        <v>0</v>
      </c>
      <c r="Y2393">
        <v>0</v>
      </c>
      <c r="Z2393">
        <v>0</v>
      </c>
      <c r="AA2393">
        <v>9</v>
      </c>
      <c r="AB2393">
        <v>9</v>
      </c>
      <c r="AC2393" t="s">
        <v>310</v>
      </c>
      <c r="AD2393">
        <v>9</v>
      </c>
      <c r="AE2393" t="s">
        <v>1416</v>
      </c>
      <c r="AF2393">
        <v>0</v>
      </c>
      <c r="AG2393" t="s">
        <v>310</v>
      </c>
      <c r="AH2393">
        <f>SUM((MID(Dyno_Data[[#This Row],[Team]],4,5))+(Dyno_Data[[#This Row],[Match]]/100))</f>
        <v>6300.46</v>
      </c>
      <c r="AI2393" s="76">
        <f>ROUND(SUM(IF(Dyno_Data[[#This Row],[AcqCenter]]&gt;0,Dyno_Data[[#This Row],[Time]]-SUMIFS(Dyno_Data[Time],Dyno_Data[Team],Dyno_Data[[#This Row],[Team]],Dyno_Data[RecordType],"StartMatch",Dyno_Data[Match],Dyno_Data[[#This Row],[Match]]),0)*86400),0)</f>
        <v>0</v>
      </c>
    </row>
    <row r="2394" spans="1:35" x14ac:dyDescent="0.3">
      <c r="A2394">
        <v>2387</v>
      </c>
      <c r="B2394" t="s">
        <v>368</v>
      </c>
      <c r="C2394">
        <v>46</v>
      </c>
      <c r="D2394" s="105">
        <v>45373.692916435182</v>
      </c>
      <c r="E2394" t="s">
        <v>312</v>
      </c>
      <c r="F2394" t="s">
        <v>309</v>
      </c>
      <c r="G2394">
        <v>0</v>
      </c>
      <c r="H2394" t="s">
        <v>1397</v>
      </c>
      <c r="I2394">
        <v>0</v>
      </c>
      <c r="J2394">
        <v>0</v>
      </c>
      <c r="K2394">
        <v>0</v>
      </c>
      <c r="L2394" t="s">
        <v>240</v>
      </c>
      <c r="M2394" t="s">
        <v>1398</v>
      </c>
      <c r="N2394">
        <v>1</v>
      </c>
      <c r="O2394" t="s">
        <v>1393</v>
      </c>
      <c r="P2394" t="s">
        <v>310</v>
      </c>
      <c r="Q2394" t="s">
        <v>310</v>
      </c>
      <c r="R2394" t="s">
        <v>310</v>
      </c>
      <c r="S2394">
        <v>9</v>
      </c>
      <c r="T2394" t="s">
        <v>310</v>
      </c>
      <c r="U2394">
        <v>9</v>
      </c>
      <c r="V2394">
        <v>9</v>
      </c>
      <c r="W2394">
        <v>0</v>
      </c>
      <c r="X2394">
        <v>0</v>
      </c>
      <c r="Y2394">
        <v>0</v>
      </c>
      <c r="Z2394">
        <v>0</v>
      </c>
      <c r="AA2394">
        <v>9</v>
      </c>
      <c r="AB2394">
        <v>9</v>
      </c>
      <c r="AC2394" t="s">
        <v>310</v>
      </c>
      <c r="AD2394">
        <v>9</v>
      </c>
      <c r="AE2394" t="s">
        <v>1414</v>
      </c>
      <c r="AF2394">
        <v>0</v>
      </c>
      <c r="AG2394" t="s">
        <v>310</v>
      </c>
      <c r="AH2394">
        <f>SUM((MID(Dyno_Data[[#This Row],[Team]],4,5))+(Dyno_Data[[#This Row],[Match]]/100))</f>
        <v>6401.46</v>
      </c>
      <c r="AI2394" s="76">
        <f>ROUND(SUM(IF(Dyno_Data[[#This Row],[AcqCenter]]&gt;0,Dyno_Data[[#This Row],[Time]]-SUMIFS(Dyno_Data[Time],Dyno_Data[Team],Dyno_Data[[#This Row],[Team]],Dyno_Data[RecordType],"StartMatch",Dyno_Data[Match],Dyno_Data[[#This Row],[Match]]),0)*86400),0)</f>
        <v>0</v>
      </c>
    </row>
    <row r="2395" spans="1:35" x14ac:dyDescent="0.3">
      <c r="A2395">
        <v>2388</v>
      </c>
      <c r="B2395" t="s">
        <v>318</v>
      </c>
      <c r="C2395">
        <v>46</v>
      </c>
      <c r="D2395" s="105">
        <v>45373.692917858796</v>
      </c>
      <c r="E2395" t="s">
        <v>312</v>
      </c>
      <c r="F2395" t="s">
        <v>309</v>
      </c>
      <c r="G2395">
        <v>0</v>
      </c>
      <c r="H2395" t="s">
        <v>1397</v>
      </c>
      <c r="I2395">
        <v>0</v>
      </c>
      <c r="J2395">
        <v>0</v>
      </c>
      <c r="K2395">
        <v>0</v>
      </c>
      <c r="L2395" t="s">
        <v>240</v>
      </c>
      <c r="M2395" t="s">
        <v>1398</v>
      </c>
      <c r="N2395">
        <v>0</v>
      </c>
      <c r="O2395" t="s">
        <v>311</v>
      </c>
      <c r="P2395" t="s">
        <v>310</v>
      </c>
      <c r="Q2395" t="s">
        <v>310</v>
      </c>
      <c r="R2395" t="s">
        <v>310</v>
      </c>
      <c r="S2395">
        <v>9</v>
      </c>
      <c r="T2395" t="s">
        <v>310</v>
      </c>
      <c r="U2395">
        <v>9</v>
      </c>
      <c r="V2395">
        <v>9</v>
      </c>
      <c r="W2395">
        <v>0</v>
      </c>
      <c r="X2395">
        <v>0</v>
      </c>
      <c r="Y2395">
        <v>0</v>
      </c>
      <c r="Z2395">
        <v>0</v>
      </c>
      <c r="AA2395">
        <v>9</v>
      </c>
      <c r="AB2395">
        <v>9</v>
      </c>
      <c r="AC2395" t="s">
        <v>310</v>
      </c>
      <c r="AD2395">
        <v>9</v>
      </c>
      <c r="AE2395" t="s">
        <v>1413</v>
      </c>
      <c r="AF2395">
        <v>0</v>
      </c>
      <c r="AG2395" t="s">
        <v>310</v>
      </c>
      <c r="AH2395">
        <f>SUM((MID(Dyno_Data[[#This Row],[Team]],4,5))+(Dyno_Data[[#This Row],[Match]]/100))</f>
        <v>639.46</v>
      </c>
      <c r="AI2395" s="76">
        <f>ROUND(SUM(IF(Dyno_Data[[#This Row],[AcqCenter]]&gt;0,Dyno_Data[[#This Row],[Time]]-SUMIFS(Dyno_Data[Time],Dyno_Data[Team],Dyno_Data[[#This Row],[Team]],Dyno_Data[RecordType],"StartMatch",Dyno_Data[Match],Dyno_Data[[#This Row],[Match]]),0)*86400),0)</f>
        <v>0</v>
      </c>
    </row>
    <row r="2396" spans="1:35" x14ac:dyDescent="0.3">
      <c r="A2396">
        <v>2389</v>
      </c>
      <c r="B2396" t="s">
        <v>1303</v>
      </c>
      <c r="C2396">
        <v>46</v>
      </c>
      <c r="D2396" s="105">
        <v>45373.692923576389</v>
      </c>
      <c r="E2396" t="s">
        <v>312</v>
      </c>
      <c r="F2396" t="s">
        <v>309</v>
      </c>
      <c r="G2396">
        <v>0</v>
      </c>
      <c r="H2396" t="s">
        <v>1397</v>
      </c>
      <c r="I2396">
        <v>0</v>
      </c>
      <c r="J2396">
        <v>0</v>
      </c>
      <c r="K2396">
        <v>0</v>
      </c>
      <c r="L2396" t="s">
        <v>240</v>
      </c>
      <c r="M2396" t="s">
        <v>1398</v>
      </c>
      <c r="N2396">
        <v>0</v>
      </c>
      <c r="O2396" t="s">
        <v>1395</v>
      </c>
      <c r="P2396" t="s">
        <v>310</v>
      </c>
      <c r="Q2396" t="s">
        <v>310</v>
      </c>
      <c r="R2396" t="s">
        <v>310</v>
      </c>
      <c r="S2396">
        <v>9</v>
      </c>
      <c r="T2396" t="s">
        <v>310</v>
      </c>
      <c r="U2396">
        <v>9</v>
      </c>
      <c r="V2396">
        <v>9</v>
      </c>
      <c r="W2396">
        <v>0</v>
      </c>
      <c r="X2396">
        <v>0</v>
      </c>
      <c r="Y2396">
        <v>0</v>
      </c>
      <c r="Z2396">
        <v>0</v>
      </c>
      <c r="AA2396">
        <v>9</v>
      </c>
      <c r="AB2396">
        <v>9</v>
      </c>
      <c r="AC2396" t="s">
        <v>310</v>
      </c>
      <c r="AD2396">
        <v>9</v>
      </c>
      <c r="AE2396" t="s">
        <v>1412</v>
      </c>
      <c r="AF2396">
        <v>0</v>
      </c>
      <c r="AG2396" t="s">
        <v>310</v>
      </c>
      <c r="AH2396">
        <f>SUM((MID(Dyno_Data[[#This Row],[Team]],4,5))+(Dyno_Data[[#This Row],[Match]]/100))</f>
        <v>7605.46</v>
      </c>
      <c r="AI2396" s="76">
        <f>ROUND(SUM(IF(Dyno_Data[[#This Row],[AcqCenter]]&gt;0,Dyno_Data[[#This Row],[Time]]-SUMIFS(Dyno_Data[Time],Dyno_Data[Team],Dyno_Data[[#This Row],[Team]],Dyno_Data[RecordType],"StartMatch",Dyno_Data[Match],Dyno_Data[[#This Row],[Match]]),0)*86400),0)</f>
        <v>0</v>
      </c>
    </row>
    <row r="2397" spans="1:35" x14ac:dyDescent="0.3">
      <c r="A2397">
        <v>2390</v>
      </c>
      <c r="B2397" t="s">
        <v>1295</v>
      </c>
      <c r="C2397">
        <v>46</v>
      </c>
      <c r="D2397" s="105">
        <v>45373.6929815162</v>
      </c>
      <c r="E2397" t="s">
        <v>312</v>
      </c>
      <c r="F2397" t="s">
        <v>309</v>
      </c>
      <c r="G2397">
        <v>0</v>
      </c>
      <c r="H2397" t="s">
        <v>143</v>
      </c>
      <c r="I2397">
        <v>4</v>
      </c>
      <c r="J2397">
        <v>1</v>
      </c>
      <c r="K2397">
        <v>0</v>
      </c>
      <c r="L2397" t="s">
        <v>310</v>
      </c>
      <c r="M2397" t="s">
        <v>310</v>
      </c>
      <c r="N2397">
        <v>0</v>
      </c>
      <c r="O2397" t="s">
        <v>1391</v>
      </c>
      <c r="P2397" t="s">
        <v>310</v>
      </c>
      <c r="Q2397" t="s">
        <v>310</v>
      </c>
      <c r="R2397" t="s">
        <v>310</v>
      </c>
      <c r="S2397">
        <v>9</v>
      </c>
      <c r="T2397" t="s">
        <v>310</v>
      </c>
      <c r="U2397">
        <v>9</v>
      </c>
      <c r="V2397">
        <v>9</v>
      </c>
      <c r="W2397">
        <v>0</v>
      </c>
      <c r="X2397">
        <v>0</v>
      </c>
      <c r="Y2397">
        <v>0</v>
      </c>
      <c r="Z2397">
        <v>0</v>
      </c>
      <c r="AA2397">
        <v>9</v>
      </c>
      <c r="AB2397">
        <v>9</v>
      </c>
      <c r="AC2397" t="s">
        <v>310</v>
      </c>
      <c r="AD2397">
        <v>9</v>
      </c>
      <c r="AE2397" t="s">
        <v>1416</v>
      </c>
      <c r="AF2397">
        <v>0</v>
      </c>
      <c r="AG2397" t="s">
        <v>310</v>
      </c>
      <c r="AH2397">
        <f>SUM((MID(Dyno_Data[[#This Row],[Team]],4,5))+(Dyno_Data[[#This Row],[Match]]/100))</f>
        <v>6300.46</v>
      </c>
      <c r="AI2397" s="76">
        <f>ROUND(SUM(IF(Dyno_Data[[#This Row],[AcqCenter]]&gt;0,Dyno_Data[[#This Row],[Time]]-SUMIFS(Dyno_Data[Time],Dyno_Data[Team],Dyno_Data[[#This Row],[Team]],Dyno_Data[RecordType],"StartMatch",Dyno_Data[Match],Dyno_Data[[#This Row],[Match]]),0)*86400),0)</f>
        <v>8</v>
      </c>
    </row>
    <row r="2398" spans="1:35" x14ac:dyDescent="0.3">
      <c r="A2398">
        <v>2391</v>
      </c>
      <c r="B2398" t="s">
        <v>1303</v>
      </c>
      <c r="C2398">
        <v>46</v>
      </c>
      <c r="D2398" s="105">
        <v>45373.6929815162</v>
      </c>
      <c r="E2398" t="s">
        <v>312</v>
      </c>
      <c r="F2398" t="s">
        <v>309</v>
      </c>
      <c r="G2398">
        <v>0</v>
      </c>
      <c r="H2398" t="s">
        <v>143</v>
      </c>
      <c r="I2398">
        <v>5</v>
      </c>
      <c r="J2398">
        <v>1</v>
      </c>
      <c r="K2398">
        <v>0</v>
      </c>
      <c r="L2398" t="s">
        <v>310</v>
      </c>
      <c r="M2398" t="s">
        <v>310</v>
      </c>
      <c r="N2398">
        <v>0</v>
      </c>
      <c r="O2398" t="s">
        <v>1395</v>
      </c>
      <c r="P2398" t="s">
        <v>310</v>
      </c>
      <c r="Q2398" t="s">
        <v>310</v>
      </c>
      <c r="R2398" t="s">
        <v>310</v>
      </c>
      <c r="S2398">
        <v>9</v>
      </c>
      <c r="T2398" t="s">
        <v>310</v>
      </c>
      <c r="U2398">
        <v>9</v>
      </c>
      <c r="V2398">
        <v>9</v>
      </c>
      <c r="W2398">
        <v>0</v>
      </c>
      <c r="X2398">
        <v>0</v>
      </c>
      <c r="Y2398">
        <v>0</v>
      </c>
      <c r="Z2398">
        <v>0</v>
      </c>
      <c r="AA2398">
        <v>9</v>
      </c>
      <c r="AB2398">
        <v>9</v>
      </c>
      <c r="AC2398" t="s">
        <v>310</v>
      </c>
      <c r="AD2398">
        <v>9</v>
      </c>
      <c r="AE2398" t="s">
        <v>1412</v>
      </c>
      <c r="AF2398">
        <v>1000</v>
      </c>
      <c r="AG2398" t="s">
        <v>310</v>
      </c>
      <c r="AH2398">
        <f>SUM((MID(Dyno_Data[[#This Row],[Team]],4,5))+(Dyno_Data[[#This Row],[Match]]/100))</f>
        <v>7605.46</v>
      </c>
      <c r="AI2398" s="76">
        <f>ROUND(SUM(IF(Dyno_Data[[#This Row],[AcqCenter]]&gt;0,Dyno_Data[[#This Row],[Time]]-SUMIFS(Dyno_Data[Time],Dyno_Data[Team],Dyno_Data[[#This Row],[Team]],Dyno_Data[RecordType],"StartMatch",Dyno_Data[Match],Dyno_Data[[#This Row],[Match]]),0)*86400),0)</f>
        <v>8</v>
      </c>
    </row>
    <row r="2399" spans="1:35" x14ac:dyDescent="0.3">
      <c r="A2399">
        <v>2392</v>
      </c>
      <c r="B2399" t="s">
        <v>367</v>
      </c>
      <c r="C2399">
        <v>46</v>
      </c>
      <c r="D2399" s="105">
        <v>45373.693037500001</v>
      </c>
      <c r="E2399" t="s">
        <v>312</v>
      </c>
      <c r="F2399" t="s">
        <v>309</v>
      </c>
      <c r="G2399">
        <v>0</v>
      </c>
      <c r="H2399" t="s">
        <v>1397</v>
      </c>
      <c r="I2399">
        <v>0</v>
      </c>
      <c r="J2399">
        <v>0</v>
      </c>
      <c r="K2399">
        <v>0</v>
      </c>
      <c r="L2399" t="s">
        <v>240</v>
      </c>
      <c r="M2399" t="s">
        <v>1398</v>
      </c>
      <c r="N2399">
        <v>1</v>
      </c>
      <c r="O2399" t="s">
        <v>1389</v>
      </c>
      <c r="P2399" t="s">
        <v>310</v>
      </c>
      <c r="Q2399" t="s">
        <v>310</v>
      </c>
      <c r="R2399" t="s">
        <v>310</v>
      </c>
      <c r="S2399">
        <v>9</v>
      </c>
      <c r="T2399" t="s">
        <v>310</v>
      </c>
      <c r="U2399">
        <v>9</v>
      </c>
      <c r="V2399">
        <v>9</v>
      </c>
      <c r="W2399">
        <v>0</v>
      </c>
      <c r="X2399">
        <v>0</v>
      </c>
      <c r="Y2399">
        <v>0</v>
      </c>
      <c r="Z2399">
        <v>0</v>
      </c>
      <c r="AA2399">
        <v>9</v>
      </c>
      <c r="AB2399">
        <v>9</v>
      </c>
      <c r="AC2399" t="s">
        <v>310</v>
      </c>
      <c r="AD2399">
        <v>9</v>
      </c>
      <c r="AE2399" t="s">
        <v>1417</v>
      </c>
      <c r="AF2399">
        <v>0</v>
      </c>
      <c r="AG2399" t="s">
        <v>310</v>
      </c>
      <c r="AH2399">
        <f>SUM((MID(Dyno_Data[[#This Row],[Team]],4,5))+(Dyno_Data[[#This Row],[Match]]/100))</f>
        <v>5016.46</v>
      </c>
      <c r="AI2399" s="76">
        <f>ROUND(SUM(IF(Dyno_Data[[#This Row],[AcqCenter]]&gt;0,Dyno_Data[[#This Row],[Time]]-SUMIFS(Dyno_Data[Time],Dyno_Data[Team],Dyno_Data[[#This Row],[Team]],Dyno_Data[RecordType],"StartMatch",Dyno_Data[Match],Dyno_Data[[#This Row],[Match]]),0)*86400),0)</f>
        <v>0</v>
      </c>
    </row>
    <row r="2400" spans="1:35" x14ac:dyDescent="0.3">
      <c r="A2400">
        <v>2393</v>
      </c>
      <c r="B2400" t="s">
        <v>1295</v>
      </c>
      <c r="C2400">
        <v>46</v>
      </c>
      <c r="D2400" s="105">
        <v>45373.693072916663</v>
      </c>
      <c r="E2400" t="s">
        <v>312</v>
      </c>
      <c r="F2400" t="s">
        <v>309</v>
      </c>
      <c r="G2400">
        <v>0</v>
      </c>
      <c r="H2400" t="s">
        <v>143</v>
      </c>
      <c r="I2400">
        <v>0</v>
      </c>
      <c r="J2400">
        <v>0</v>
      </c>
      <c r="K2400">
        <v>0</v>
      </c>
      <c r="L2400" t="s">
        <v>241</v>
      </c>
      <c r="M2400" t="s">
        <v>1398</v>
      </c>
      <c r="N2400">
        <v>1</v>
      </c>
      <c r="O2400" t="s">
        <v>1391</v>
      </c>
      <c r="P2400" t="s">
        <v>310</v>
      </c>
      <c r="Q2400" t="s">
        <v>310</v>
      </c>
      <c r="R2400" t="s">
        <v>310</v>
      </c>
      <c r="S2400">
        <v>9</v>
      </c>
      <c r="T2400" t="s">
        <v>310</v>
      </c>
      <c r="U2400">
        <v>9</v>
      </c>
      <c r="V2400">
        <v>9</v>
      </c>
      <c r="W2400">
        <v>0</v>
      </c>
      <c r="X2400">
        <v>0</v>
      </c>
      <c r="Y2400">
        <v>0</v>
      </c>
      <c r="Z2400">
        <v>0</v>
      </c>
      <c r="AA2400">
        <v>9</v>
      </c>
      <c r="AB2400">
        <v>9</v>
      </c>
      <c r="AC2400" t="s">
        <v>310</v>
      </c>
      <c r="AD2400">
        <v>9</v>
      </c>
      <c r="AE2400" t="s">
        <v>1416</v>
      </c>
      <c r="AF2400">
        <v>0</v>
      </c>
      <c r="AG2400" t="s">
        <v>310</v>
      </c>
      <c r="AH2400">
        <f>SUM((MID(Dyno_Data[[#This Row],[Team]],4,5))+(Dyno_Data[[#This Row],[Match]]/100))</f>
        <v>6300.46</v>
      </c>
      <c r="AI2400" s="76">
        <f>ROUND(SUM(IF(Dyno_Data[[#This Row],[AcqCenter]]&gt;0,Dyno_Data[[#This Row],[Time]]-SUMIFS(Dyno_Data[Time],Dyno_Data[Team],Dyno_Data[[#This Row],[Team]],Dyno_Data[RecordType],"StartMatch",Dyno_Data[Match],Dyno_Data[[#This Row],[Match]]),0)*86400),0)</f>
        <v>0</v>
      </c>
    </row>
    <row r="2401" spans="1:35" x14ac:dyDescent="0.3">
      <c r="A2401">
        <v>2395</v>
      </c>
      <c r="B2401" t="s">
        <v>1303</v>
      </c>
      <c r="C2401">
        <v>46</v>
      </c>
      <c r="D2401" s="105">
        <v>45373.693098344906</v>
      </c>
      <c r="E2401" t="s">
        <v>314</v>
      </c>
      <c r="F2401" t="s">
        <v>309</v>
      </c>
      <c r="G2401">
        <v>1</v>
      </c>
      <c r="H2401" t="s">
        <v>310</v>
      </c>
      <c r="I2401">
        <v>0</v>
      </c>
      <c r="J2401">
        <v>0</v>
      </c>
      <c r="K2401">
        <v>0</v>
      </c>
      <c r="L2401" t="s">
        <v>310</v>
      </c>
      <c r="M2401" t="s">
        <v>310</v>
      </c>
      <c r="N2401">
        <v>0</v>
      </c>
      <c r="O2401" t="s">
        <v>1395</v>
      </c>
      <c r="P2401" t="s">
        <v>240</v>
      </c>
      <c r="Q2401" t="s">
        <v>1400</v>
      </c>
      <c r="R2401" t="s">
        <v>310</v>
      </c>
      <c r="S2401">
        <v>9</v>
      </c>
      <c r="T2401" t="s">
        <v>310</v>
      </c>
      <c r="U2401">
        <v>9</v>
      </c>
      <c r="V2401">
        <v>9</v>
      </c>
      <c r="W2401">
        <v>0</v>
      </c>
      <c r="X2401">
        <v>0</v>
      </c>
      <c r="Y2401">
        <v>0</v>
      </c>
      <c r="Z2401">
        <v>0</v>
      </c>
      <c r="AA2401">
        <v>9</v>
      </c>
      <c r="AB2401">
        <v>9</v>
      </c>
      <c r="AC2401" t="s">
        <v>310</v>
      </c>
      <c r="AD2401">
        <v>9</v>
      </c>
      <c r="AE2401" t="s">
        <v>1412</v>
      </c>
      <c r="AF2401">
        <v>1000</v>
      </c>
      <c r="AG2401" t="s">
        <v>310</v>
      </c>
      <c r="AH2401">
        <f>SUM((MID(Dyno_Data[[#This Row],[Team]],4,5))+(Dyno_Data[[#This Row],[Match]]/100))</f>
        <v>7605.46</v>
      </c>
      <c r="AI2401" s="76">
        <f>ROUND(SUM(IF(Dyno_Data[[#This Row],[AcqCenter]]&gt;0,Dyno_Data[[#This Row],[Time]]-SUMIFS(Dyno_Data[Time],Dyno_Data[Team],Dyno_Data[[#This Row],[Team]],Dyno_Data[RecordType],"StartMatch",Dyno_Data[Match],Dyno_Data[[#This Row],[Match]]),0)*86400),0)</f>
        <v>0</v>
      </c>
    </row>
    <row r="2402" spans="1:35" x14ac:dyDescent="0.3">
      <c r="A2402">
        <v>2397</v>
      </c>
      <c r="B2402" t="s">
        <v>318</v>
      </c>
      <c r="C2402">
        <v>46</v>
      </c>
      <c r="D2402" s="105">
        <v>45373.693101157405</v>
      </c>
      <c r="E2402" t="s">
        <v>314</v>
      </c>
      <c r="F2402" t="s">
        <v>309</v>
      </c>
      <c r="G2402">
        <v>0</v>
      </c>
      <c r="H2402" t="s">
        <v>310</v>
      </c>
      <c r="I2402">
        <v>0</v>
      </c>
      <c r="J2402">
        <v>0</v>
      </c>
      <c r="K2402">
        <v>0</v>
      </c>
      <c r="L2402" t="s">
        <v>310</v>
      </c>
      <c r="M2402" t="s">
        <v>310</v>
      </c>
      <c r="N2402">
        <v>0</v>
      </c>
      <c r="O2402" t="s">
        <v>311</v>
      </c>
      <c r="P2402" t="s">
        <v>1401</v>
      </c>
      <c r="Q2402" t="s">
        <v>1399</v>
      </c>
      <c r="R2402" t="s">
        <v>310</v>
      </c>
      <c r="S2402">
        <v>9</v>
      </c>
      <c r="T2402" t="s">
        <v>310</v>
      </c>
      <c r="U2402">
        <v>9</v>
      </c>
      <c r="V2402">
        <v>9</v>
      </c>
      <c r="W2402">
        <v>0</v>
      </c>
      <c r="X2402">
        <v>0</v>
      </c>
      <c r="Y2402">
        <v>0</v>
      </c>
      <c r="Z2402">
        <v>0</v>
      </c>
      <c r="AA2402">
        <v>9</v>
      </c>
      <c r="AB2402">
        <v>9</v>
      </c>
      <c r="AC2402" t="s">
        <v>310</v>
      </c>
      <c r="AD2402">
        <v>9</v>
      </c>
      <c r="AE2402" t="s">
        <v>1413</v>
      </c>
      <c r="AF2402">
        <v>0</v>
      </c>
      <c r="AG2402" t="s">
        <v>310</v>
      </c>
      <c r="AH2402">
        <f>SUM((MID(Dyno_Data[[#This Row],[Team]],4,5))+(Dyno_Data[[#This Row],[Match]]/100))</f>
        <v>639.46</v>
      </c>
      <c r="AI2402" s="76">
        <f>ROUND(SUM(IF(Dyno_Data[[#This Row],[AcqCenter]]&gt;0,Dyno_Data[[#This Row],[Time]]-SUMIFS(Dyno_Data[Time],Dyno_Data[Team],Dyno_Data[[#This Row],[Team]],Dyno_Data[RecordType],"StartMatch",Dyno_Data[Match],Dyno_Data[[#This Row],[Match]]),0)*86400),0)</f>
        <v>0</v>
      </c>
    </row>
    <row r="2403" spans="1:35" x14ac:dyDescent="0.3">
      <c r="A2403">
        <v>2399</v>
      </c>
      <c r="B2403" t="s">
        <v>1295</v>
      </c>
      <c r="C2403">
        <v>46</v>
      </c>
      <c r="D2403" s="105">
        <v>45373.693101238423</v>
      </c>
      <c r="E2403" t="s">
        <v>314</v>
      </c>
      <c r="F2403" t="s">
        <v>309</v>
      </c>
      <c r="G2403">
        <v>1</v>
      </c>
      <c r="H2403" t="s">
        <v>310</v>
      </c>
      <c r="I2403">
        <v>0</v>
      </c>
      <c r="J2403">
        <v>0</v>
      </c>
      <c r="K2403">
        <v>0</v>
      </c>
      <c r="L2403" t="s">
        <v>310</v>
      </c>
      <c r="M2403" t="s">
        <v>310</v>
      </c>
      <c r="N2403">
        <v>0</v>
      </c>
      <c r="O2403" t="s">
        <v>1391</v>
      </c>
      <c r="P2403" t="s">
        <v>101</v>
      </c>
      <c r="Q2403" t="s">
        <v>1400</v>
      </c>
      <c r="R2403" t="s">
        <v>310</v>
      </c>
      <c r="S2403">
        <v>9</v>
      </c>
      <c r="T2403" t="s">
        <v>310</v>
      </c>
      <c r="U2403">
        <v>9</v>
      </c>
      <c r="V2403">
        <v>9</v>
      </c>
      <c r="W2403">
        <v>0</v>
      </c>
      <c r="X2403">
        <v>0</v>
      </c>
      <c r="Y2403">
        <v>0</v>
      </c>
      <c r="Z2403">
        <v>0</v>
      </c>
      <c r="AA2403">
        <v>9</v>
      </c>
      <c r="AB2403">
        <v>9</v>
      </c>
      <c r="AC2403" t="s">
        <v>310</v>
      </c>
      <c r="AD2403">
        <v>9</v>
      </c>
      <c r="AE2403" t="s">
        <v>1416</v>
      </c>
      <c r="AF2403">
        <v>0</v>
      </c>
      <c r="AG2403" t="s">
        <v>310</v>
      </c>
      <c r="AH2403">
        <f>SUM((MID(Dyno_Data[[#This Row],[Team]],4,5))+(Dyno_Data[[#This Row],[Match]]/100))</f>
        <v>6300.46</v>
      </c>
      <c r="AI2403" s="76">
        <f>ROUND(SUM(IF(Dyno_Data[[#This Row],[AcqCenter]]&gt;0,Dyno_Data[[#This Row],[Time]]-SUMIFS(Dyno_Data[Time],Dyno_Data[Team],Dyno_Data[[#This Row],[Team]],Dyno_Data[RecordType],"StartMatch",Dyno_Data[Match],Dyno_Data[[#This Row],[Match]]),0)*86400),0)</f>
        <v>0</v>
      </c>
    </row>
    <row r="2404" spans="1:35" x14ac:dyDescent="0.3">
      <c r="A2404">
        <v>2401</v>
      </c>
      <c r="B2404" t="s">
        <v>367</v>
      </c>
      <c r="C2404">
        <v>46</v>
      </c>
      <c r="D2404" s="105">
        <v>45373.693103321762</v>
      </c>
      <c r="E2404" t="s">
        <v>314</v>
      </c>
      <c r="F2404" t="s">
        <v>309</v>
      </c>
      <c r="G2404">
        <v>0</v>
      </c>
      <c r="H2404" t="s">
        <v>310</v>
      </c>
      <c r="I2404">
        <v>0</v>
      </c>
      <c r="J2404">
        <v>0</v>
      </c>
      <c r="K2404">
        <v>0</v>
      </c>
      <c r="L2404" t="s">
        <v>310</v>
      </c>
      <c r="M2404" t="s">
        <v>310</v>
      </c>
      <c r="N2404">
        <v>0</v>
      </c>
      <c r="O2404" t="s">
        <v>1389</v>
      </c>
      <c r="P2404" t="s">
        <v>1401</v>
      </c>
      <c r="Q2404" t="s">
        <v>1399</v>
      </c>
      <c r="R2404" t="s">
        <v>310</v>
      </c>
      <c r="S2404">
        <v>9</v>
      </c>
      <c r="T2404" t="s">
        <v>310</v>
      </c>
      <c r="U2404">
        <v>9</v>
      </c>
      <c r="V2404">
        <v>9</v>
      </c>
      <c r="W2404">
        <v>0</v>
      </c>
      <c r="X2404">
        <v>0</v>
      </c>
      <c r="Y2404">
        <v>0</v>
      </c>
      <c r="Z2404">
        <v>0</v>
      </c>
      <c r="AA2404">
        <v>9</v>
      </c>
      <c r="AB2404">
        <v>9</v>
      </c>
      <c r="AC2404" t="s">
        <v>310</v>
      </c>
      <c r="AD2404">
        <v>9</v>
      </c>
      <c r="AE2404" t="s">
        <v>1417</v>
      </c>
      <c r="AF2404">
        <v>0</v>
      </c>
      <c r="AG2404" t="s">
        <v>310</v>
      </c>
      <c r="AH2404">
        <f>SUM((MID(Dyno_Data[[#This Row],[Team]],4,5))+(Dyno_Data[[#This Row],[Match]]/100))</f>
        <v>5016.46</v>
      </c>
      <c r="AI2404" s="76">
        <f>ROUND(SUM(IF(Dyno_Data[[#This Row],[AcqCenter]]&gt;0,Dyno_Data[[#This Row],[Time]]-SUMIFS(Dyno_Data[Time],Dyno_Data[Team],Dyno_Data[[#This Row],[Team]],Dyno_Data[RecordType],"StartMatch",Dyno_Data[Match],Dyno_Data[[#This Row],[Match]]),0)*86400),0)</f>
        <v>0</v>
      </c>
    </row>
    <row r="2405" spans="1:35" x14ac:dyDescent="0.3">
      <c r="A2405">
        <v>2403</v>
      </c>
      <c r="B2405" t="s">
        <v>1283</v>
      </c>
      <c r="C2405">
        <v>46</v>
      </c>
      <c r="D2405" s="105">
        <v>45373.693106331018</v>
      </c>
      <c r="E2405" t="s">
        <v>314</v>
      </c>
      <c r="F2405" t="s">
        <v>309</v>
      </c>
      <c r="G2405">
        <v>0</v>
      </c>
      <c r="H2405" t="s">
        <v>310</v>
      </c>
      <c r="I2405">
        <v>0</v>
      </c>
      <c r="J2405">
        <v>0</v>
      </c>
      <c r="K2405">
        <v>0</v>
      </c>
      <c r="L2405" t="s">
        <v>310</v>
      </c>
      <c r="M2405" t="s">
        <v>310</v>
      </c>
      <c r="N2405">
        <v>0</v>
      </c>
      <c r="O2405" t="s">
        <v>319</v>
      </c>
      <c r="P2405" t="s">
        <v>320</v>
      </c>
      <c r="Q2405" t="s">
        <v>1400</v>
      </c>
      <c r="R2405" t="s">
        <v>310</v>
      </c>
      <c r="S2405">
        <v>9</v>
      </c>
      <c r="T2405" t="s">
        <v>310</v>
      </c>
      <c r="U2405">
        <v>9</v>
      </c>
      <c r="V2405">
        <v>9</v>
      </c>
      <c r="W2405">
        <v>0</v>
      </c>
      <c r="X2405">
        <v>0</v>
      </c>
      <c r="Y2405">
        <v>0</v>
      </c>
      <c r="Z2405">
        <v>0</v>
      </c>
      <c r="AA2405">
        <v>9</v>
      </c>
      <c r="AB2405">
        <v>9</v>
      </c>
      <c r="AC2405" t="s">
        <v>310</v>
      </c>
      <c r="AD2405">
        <v>9</v>
      </c>
      <c r="AE2405" t="s">
        <v>1418</v>
      </c>
      <c r="AF2405">
        <v>0</v>
      </c>
      <c r="AG2405" t="s">
        <v>310</v>
      </c>
      <c r="AH2405">
        <f>SUM((MID(Dyno_Data[[#This Row],[Team]],4,5))+(Dyno_Data[[#This Row],[Match]]/100))</f>
        <v>1601.46</v>
      </c>
      <c r="AI2405" s="76">
        <f>ROUND(SUM(IF(Dyno_Data[[#This Row],[AcqCenter]]&gt;0,Dyno_Data[[#This Row],[Time]]-SUMIFS(Dyno_Data[Time],Dyno_Data[Team],Dyno_Data[[#This Row],[Team]],Dyno_Data[RecordType],"StartMatch",Dyno_Data[Match],Dyno_Data[[#This Row],[Match]]),0)*86400),0)</f>
        <v>0</v>
      </c>
    </row>
    <row r="2406" spans="1:35" x14ac:dyDescent="0.3">
      <c r="A2406">
        <v>2405</v>
      </c>
      <c r="B2406" t="s">
        <v>368</v>
      </c>
      <c r="C2406">
        <v>46</v>
      </c>
      <c r="D2406" s="105">
        <v>45373.693109872685</v>
      </c>
      <c r="E2406" t="s">
        <v>314</v>
      </c>
      <c r="F2406" t="s">
        <v>309</v>
      </c>
      <c r="G2406">
        <v>0</v>
      </c>
      <c r="H2406" t="s">
        <v>310</v>
      </c>
      <c r="I2406">
        <v>0</v>
      </c>
      <c r="J2406">
        <v>0</v>
      </c>
      <c r="K2406">
        <v>0</v>
      </c>
      <c r="L2406" t="s">
        <v>310</v>
      </c>
      <c r="M2406" t="s">
        <v>310</v>
      </c>
      <c r="N2406">
        <v>0</v>
      </c>
      <c r="O2406" t="s">
        <v>1393</v>
      </c>
      <c r="P2406" t="s">
        <v>101</v>
      </c>
      <c r="Q2406" t="s">
        <v>1400</v>
      </c>
      <c r="R2406" t="s">
        <v>310</v>
      </c>
      <c r="S2406">
        <v>9</v>
      </c>
      <c r="T2406" t="s">
        <v>310</v>
      </c>
      <c r="U2406">
        <v>9</v>
      </c>
      <c r="V2406">
        <v>9</v>
      </c>
      <c r="W2406">
        <v>0</v>
      </c>
      <c r="X2406">
        <v>0</v>
      </c>
      <c r="Y2406">
        <v>0</v>
      </c>
      <c r="Z2406">
        <v>0</v>
      </c>
      <c r="AA2406">
        <v>9</v>
      </c>
      <c r="AB2406">
        <v>9</v>
      </c>
      <c r="AC2406" t="s">
        <v>310</v>
      </c>
      <c r="AD2406">
        <v>9</v>
      </c>
      <c r="AE2406" t="s">
        <v>1414</v>
      </c>
      <c r="AF2406">
        <v>0</v>
      </c>
      <c r="AG2406" t="s">
        <v>310</v>
      </c>
      <c r="AH2406">
        <f>SUM((MID(Dyno_Data[[#This Row],[Team]],4,5))+(Dyno_Data[[#This Row],[Match]]/100))</f>
        <v>6401.46</v>
      </c>
      <c r="AI2406" s="76">
        <f>ROUND(SUM(IF(Dyno_Data[[#This Row],[AcqCenter]]&gt;0,Dyno_Data[[#This Row],[Time]]-SUMIFS(Dyno_Data[Time],Dyno_Data[Team],Dyno_Data[[#This Row],[Team]],Dyno_Data[RecordType],"StartMatch",Dyno_Data[Match],Dyno_Data[[#This Row],[Match]]),0)*86400),0)</f>
        <v>0</v>
      </c>
    </row>
    <row r="2407" spans="1:35" x14ac:dyDescent="0.3">
      <c r="A2407">
        <v>2406</v>
      </c>
      <c r="B2407" t="s">
        <v>1295</v>
      </c>
      <c r="C2407">
        <v>46</v>
      </c>
      <c r="D2407" s="105">
        <v>45373.693178125002</v>
      </c>
      <c r="E2407" t="s">
        <v>312</v>
      </c>
      <c r="F2407" t="s">
        <v>1402</v>
      </c>
      <c r="G2407">
        <v>0</v>
      </c>
      <c r="H2407" t="s">
        <v>315</v>
      </c>
      <c r="I2407">
        <v>0</v>
      </c>
      <c r="J2407">
        <v>0</v>
      </c>
      <c r="K2407">
        <v>0</v>
      </c>
      <c r="L2407" t="s">
        <v>241</v>
      </c>
      <c r="M2407" t="s">
        <v>101</v>
      </c>
      <c r="N2407">
        <v>0</v>
      </c>
      <c r="O2407" t="s">
        <v>1391</v>
      </c>
      <c r="P2407" t="s">
        <v>310</v>
      </c>
      <c r="Q2407" t="s">
        <v>310</v>
      </c>
      <c r="R2407" t="s">
        <v>310</v>
      </c>
      <c r="S2407">
        <v>9</v>
      </c>
      <c r="T2407" t="s">
        <v>310</v>
      </c>
      <c r="U2407">
        <v>9</v>
      </c>
      <c r="V2407">
        <v>9</v>
      </c>
      <c r="W2407">
        <v>0</v>
      </c>
      <c r="X2407">
        <v>0</v>
      </c>
      <c r="Y2407">
        <v>0</v>
      </c>
      <c r="Z2407">
        <v>0</v>
      </c>
      <c r="AA2407">
        <v>9</v>
      </c>
      <c r="AB2407">
        <v>9</v>
      </c>
      <c r="AC2407" t="s">
        <v>310</v>
      </c>
      <c r="AD2407">
        <v>9</v>
      </c>
      <c r="AE2407" t="s">
        <v>1416</v>
      </c>
      <c r="AF2407">
        <v>10000000</v>
      </c>
      <c r="AG2407" t="s">
        <v>310</v>
      </c>
      <c r="AH2407">
        <f>SUM((MID(Dyno_Data[[#This Row],[Team]],4,5))+(Dyno_Data[[#This Row],[Match]]/100))</f>
        <v>6300.46</v>
      </c>
      <c r="AI2407" s="76">
        <f>ROUND(SUM(IF(Dyno_Data[[#This Row],[AcqCenter]]&gt;0,Dyno_Data[[#This Row],[Time]]-SUMIFS(Dyno_Data[Time],Dyno_Data[Team],Dyno_Data[[#This Row],[Team]],Dyno_Data[RecordType],"StartMatch",Dyno_Data[Match],Dyno_Data[[#This Row],[Match]]),0)*86400),0)</f>
        <v>0</v>
      </c>
    </row>
    <row r="2408" spans="1:35" x14ac:dyDescent="0.3">
      <c r="A2408">
        <v>2407</v>
      </c>
      <c r="B2408" t="s">
        <v>367</v>
      </c>
      <c r="C2408">
        <v>46</v>
      </c>
      <c r="D2408" s="105">
        <v>45373.693201192131</v>
      </c>
      <c r="E2408" t="s">
        <v>312</v>
      </c>
      <c r="F2408" t="s">
        <v>1402</v>
      </c>
      <c r="G2408">
        <v>0</v>
      </c>
      <c r="H2408" t="s">
        <v>315</v>
      </c>
      <c r="I2408">
        <v>0</v>
      </c>
      <c r="J2408">
        <v>0</v>
      </c>
      <c r="K2408">
        <v>0</v>
      </c>
      <c r="L2408" t="s">
        <v>241</v>
      </c>
      <c r="M2408" t="s">
        <v>1398</v>
      </c>
      <c r="N2408">
        <v>0</v>
      </c>
      <c r="O2408" t="s">
        <v>1389</v>
      </c>
      <c r="P2408" t="s">
        <v>310</v>
      </c>
      <c r="Q2408" t="s">
        <v>310</v>
      </c>
      <c r="R2408" t="s">
        <v>310</v>
      </c>
      <c r="S2408">
        <v>9</v>
      </c>
      <c r="T2408" t="s">
        <v>310</v>
      </c>
      <c r="U2408">
        <v>9</v>
      </c>
      <c r="V2408">
        <v>9</v>
      </c>
      <c r="W2408">
        <v>0</v>
      </c>
      <c r="X2408">
        <v>0</v>
      </c>
      <c r="Y2408">
        <v>0</v>
      </c>
      <c r="Z2408">
        <v>0</v>
      </c>
      <c r="AA2408">
        <v>9</v>
      </c>
      <c r="AB2408">
        <v>9</v>
      </c>
      <c r="AC2408" t="s">
        <v>310</v>
      </c>
      <c r="AD2408">
        <v>9</v>
      </c>
      <c r="AE2408" t="s">
        <v>1417</v>
      </c>
      <c r="AF2408">
        <v>10000000</v>
      </c>
      <c r="AG2408" t="s">
        <v>310</v>
      </c>
      <c r="AH2408">
        <f>SUM((MID(Dyno_Data[[#This Row],[Team]],4,5))+(Dyno_Data[[#This Row],[Match]]/100))</f>
        <v>5016.46</v>
      </c>
      <c r="AI2408" s="76">
        <f>ROUND(SUM(IF(Dyno_Data[[#This Row],[AcqCenter]]&gt;0,Dyno_Data[[#This Row],[Time]]-SUMIFS(Dyno_Data[Time],Dyno_Data[Team],Dyno_Data[[#This Row],[Team]],Dyno_Data[RecordType],"StartMatch",Dyno_Data[Match],Dyno_Data[[#This Row],[Match]]),0)*86400),0)</f>
        <v>0</v>
      </c>
    </row>
    <row r="2409" spans="1:35" x14ac:dyDescent="0.3">
      <c r="A2409">
        <v>2408</v>
      </c>
      <c r="B2409" t="s">
        <v>368</v>
      </c>
      <c r="C2409">
        <v>46</v>
      </c>
      <c r="D2409" s="105">
        <v>45373.693202662034</v>
      </c>
      <c r="E2409" t="s">
        <v>312</v>
      </c>
      <c r="F2409" t="s">
        <v>1402</v>
      </c>
      <c r="G2409">
        <v>0</v>
      </c>
      <c r="H2409" t="s">
        <v>315</v>
      </c>
      <c r="I2409">
        <v>0</v>
      </c>
      <c r="J2409">
        <v>0</v>
      </c>
      <c r="K2409">
        <v>0</v>
      </c>
      <c r="L2409" t="s">
        <v>240</v>
      </c>
      <c r="M2409" t="s">
        <v>1398</v>
      </c>
      <c r="N2409">
        <v>0</v>
      </c>
      <c r="O2409" t="s">
        <v>1393</v>
      </c>
      <c r="P2409" t="s">
        <v>310</v>
      </c>
      <c r="Q2409" t="s">
        <v>310</v>
      </c>
      <c r="R2409" t="s">
        <v>310</v>
      </c>
      <c r="S2409">
        <v>9</v>
      </c>
      <c r="T2409" t="s">
        <v>310</v>
      </c>
      <c r="U2409">
        <v>9</v>
      </c>
      <c r="V2409">
        <v>9</v>
      </c>
      <c r="W2409">
        <v>0</v>
      </c>
      <c r="X2409">
        <v>0</v>
      </c>
      <c r="Y2409">
        <v>0</v>
      </c>
      <c r="Z2409">
        <v>0</v>
      </c>
      <c r="AA2409">
        <v>9</v>
      </c>
      <c r="AB2409">
        <v>9</v>
      </c>
      <c r="AC2409" t="s">
        <v>310</v>
      </c>
      <c r="AD2409">
        <v>9</v>
      </c>
      <c r="AE2409" t="s">
        <v>1414</v>
      </c>
      <c r="AF2409">
        <v>10000000</v>
      </c>
      <c r="AG2409" t="s">
        <v>310</v>
      </c>
      <c r="AH2409">
        <f>SUM((MID(Dyno_Data[[#This Row],[Team]],4,5))+(Dyno_Data[[#This Row],[Match]]/100))</f>
        <v>6401.46</v>
      </c>
      <c r="AI2409" s="76">
        <f>ROUND(SUM(IF(Dyno_Data[[#This Row],[AcqCenter]]&gt;0,Dyno_Data[[#This Row],[Time]]-SUMIFS(Dyno_Data[Time],Dyno_Data[Team],Dyno_Data[[#This Row],[Team]],Dyno_Data[RecordType],"StartMatch",Dyno_Data[Match],Dyno_Data[[#This Row],[Match]]),0)*86400),0)</f>
        <v>0</v>
      </c>
    </row>
    <row r="2410" spans="1:35" x14ac:dyDescent="0.3">
      <c r="A2410">
        <v>2409</v>
      </c>
      <c r="B2410" t="s">
        <v>318</v>
      </c>
      <c r="C2410">
        <v>46</v>
      </c>
      <c r="D2410" s="105">
        <v>45373.693231134261</v>
      </c>
      <c r="E2410" t="s">
        <v>312</v>
      </c>
      <c r="F2410" t="s">
        <v>1402</v>
      </c>
      <c r="G2410">
        <v>0</v>
      </c>
      <c r="H2410" t="s">
        <v>315</v>
      </c>
      <c r="I2410">
        <v>0</v>
      </c>
      <c r="J2410">
        <v>0</v>
      </c>
      <c r="K2410">
        <v>0</v>
      </c>
      <c r="L2410" t="s">
        <v>241</v>
      </c>
      <c r="M2410" t="s">
        <v>1398</v>
      </c>
      <c r="N2410">
        <v>0</v>
      </c>
      <c r="O2410" t="s">
        <v>311</v>
      </c>
      <c r="P2410" t="s">
        <v>310</v>
      </c>
      <c r="Q2410" t="s">
        <v>310</v>
      </c>
      <c r="R2410" t="s">
        <v>310</v>
      </c>
      <c r="S2410">
        <v>9</v>
      </c>
      <c r="T2410" t="s">
        <v>310</v>
      </c>
      <c r="U2410">
        <v>9</v>
      </c>
      <c r="V2410">
        <v>9</v>
      </c>
      <c r="W2410">
        <v>0</v>
      </c>
      <c r="X2410">
        <v>0</v>
      </c>
      <c r="Y2410">
        <v>0</v>
      </c>
      <c r="Z2410">
        <v>0</v>
      </c>
      <c r="AA2410">
        <v>9</v>
      </c>
      <c r="AB2410">
        <v>9</v>
      </c>
      <c r="AC2410" t="s">
        <v>310</v>
      </c>
      <c r="AD2410">
        <v>9</v>
      </c>
      <c r="AE2410" t="s">
        <v>1413</v>
      </c>
      <c r="AF2410">
        <v>10000000</v>
      </c>
      <c r="AG2410" t="s">
        <v>310</v>
      </c>
      <c r="AH2410">
        <f>SUM((MID(Dyno_Data[[#This Row],[Team]],4,5))+(Dyno_Data[[#This Row],[Match]]/100))</f>
        <v>639.46</v>
      </c>
      <c r="AI2410" s="76">
        <f>ROUND(SUM(IF(Dyno_Data[[#This Row],[AcqCenter]]&gt;0,Dyno_Data[[#This Row],[Time]]-SUMIFS(Dyno_Data[Time],Dyno_Data[Team],Dyno_Data[[#This Row],[Team]],Dyno_Data[RecordType],"StartMatch",Dyno_Data[Match],Dyno_Data[[#This Row],[Match]]),0)*86400),0)</f>
        <v>0</v>
      </c>
    </row>
    <row r="2411" spans="1:35" x14ac:dyDescent="0.3">
      <c r="A2411">
        <v>2410</v>
      </c>
      <c r="B2411" t="s">
        <v>1295</v>
      </c>
      <c r="C2411">
        <v>46</v>
      </c>
      <c r="D2411" s="105">
        <v>45373.69328521991</v>
      </c>
      <c r="E2411" t="s">
        <v>312</v>
      </c>
      <c r="F2411" t="s">
        <v>1402</v>
      </c>
      <c r="G2411">
        <v>0</v>
      </c>
      <c r="H2411" t="s">
        <v>315</v>
      </c>
      <c r="I2411">
        <v>0</v>
      </c>
      <c r="J2411">
        <v>0</v>
      </c>
      <c r="K2411">
        <v>0</v>
      </c>
      <c r="L2411" t="s">
        <v>241</v>
      </c>
      <c r="M2411" t="s">
        <v>101</v>
      </c>
      <c r="N2411">
        <v>0</v>
      </c>
      <c r="O2411" t="s">
        <v>1391</v>
      </c>
      <c r="P2411" t="s">
        <v>310</v>
      </c>
      <c r="Q2411" t="s">
        <v>310</v>
      </c>
      <c r="R2411" t="s">
        <v>310</v>
      </c>
      <c r="S2411">
        <v>9</v>
      </c>
      <c r="T2411" t="s">
        <v>310</v>
      </c>
      <c r="U2411">
        <v>9</v>
      </c>
      <c r="V2411">
        <v>9</v>
      </c>
      <c r="W2411">
        <v>0</v>
      </c>
      <c r="X2411">
        <v>0</v>
      </c>
      <c r="Y2411">
        <v>0</v>
      </c>
      <c r="Z2411">
        <v>0</v>
      </c>
      <c r="AA2411">
        <v>9</v>
      </c>
      <c r="AB2411">
        <v>9</v>
      </c>
      <c r="AC2411" t="s">
        <v>310</v>
      </c>
      <c r="AD2411">
        <v>9</v>
      </c>
      <c r="AE2411" t="s">
        <v>1416</v>
      </c>
      <c r="AF2411">
        <v>20000000</v>
      </c>
      <c r="AG2411" t="s">
        <v>310</v>
      </c>
      <c r="AH2411">
        <f>SUM((MID(Dyno_Data[[#This Row],[Team]],4,5))+(Dyno_Data[[#This Row],[Match]]/100))</f>
        <v>6300.46</v>
      </c>
      <c r="AI2411" s="76">
        <f>ROUND(SUM(IF(Dyno_Data[[#This Row],[AcqCenter]]&gt;0,Dyno_Data[[#This Row],[Time]]-SUMIFS(Dyno_Data[Time],Dyno_Data[Team],Dyno_Data[[#This Row],[Team]],Dyno_Data[RecordType],"StartMatch",Dyno_Data[Match],Dyno_Data[[#This Row],[Match]]),0)*86400),0)</f>
        <v>0</v>
      </c>
    </row>
    <row r="2412" spans="1:35" x14ac:dyDescent="0.3">
      <c r="A2412">
        <v>2411</v>
      </c>
      <c r="B2412" t="s">
        <v>1303</v>
      </c>
      <c r="C2412">
        <v>46</v>
      </c>
      <c r="D2412" s="105">
        <v>45373.693296793979</v>
      </c>
      <c r="E2412" t="s">
        <v>312</v>
      </c>
      <c r="F2412" t="s">
        <v>1402</v>
      </c>
      <c r="G2412">
        <v>0</v>
      </c>
      <c r="H2412" t="s">
        <v>143</v>
      </c>
      <c r="I2412">
        <v>0</v>
      </c>
      <c r="J2412">
        <v>0</v>
      </c>
      <c r="K2412">
        <v>0</v>
      </c>
      <c r="L2412" t="s">
        <v>241</v>
      </c>
      <c r="M2412" t="s">
        <v>101</v>
      </c>
      <c r="N2412">
        <v>0</v>
      </c>
      <c r="O2412" t="s">
        <v>1395</v>
      </c>
      <c r="P2412" t="s">
        <v>310</v>
      </c>
      <c r="Q2412" t="s">
        <v>310</v>
      </c>
      <c r="R2412" t="s">
        <v>310</v>
      </c>
      <c r="S2412">
        <v>9</v>
      </c>
      <c r="T2412" t="s">
        <v>310</v>
      </c>
      <c r="U2412">
        <v>9</v>
      </c>
      <c r="V2412">
        <v>9</v>
      </c>
      <c r="W2412">
        <v>0</v>
      </c>
      <c r="X2412">
        <v>0</v>
      </c>
      <c r="Y2412">
        <v>0</v>
      </c>
      <c r="Z2412">
        <v>0</v>
      </c>
      <c r="AA2412">
        <v>9</v>
      </c>
      <c r="AB2412">
        <v>9</v>
      </c>
      <c r="AC2412" t="s">
        <v>310</v>
      </c>
      <c r="AD2412">
        <v>9</v>
      </c>
      <c r="AE2412" t="s">
        <v>1412</v>
      </c>
      <c r="AF2412">
        <v>1000</v>
      </c>
      <c r="AG2412" t="s">
        <v>310</v>
      </c>
      <c r="AH2412">
        <f>SUM((MID(Dyno_Data[[#This Row],[Team]],4,5))+(Dyno_Data[[#This Row],[Match]]/100))</f>
        <v>7605.46</v>
      </c>
      <c r="AI2412" s="76">
        <f>ROUND(SUM(IF(Dyno_Data[[#This Row],[AcqCenter]]&gt;0,Dyno_Data[[#This Row],[Time]]-SUMIFS(Dyno_Data[Time],Dyno_Data[Team],Dyno_Data[[#This Row],[Team]],Dyno_Data[RecordType],"StartMatch",Dyno_Data[Match],Dyno_Data[[#This Row],[Match]]),0)*86400),0)</f>
        <v>0</v>
      </c>
    </row>
    <row r="2413" spans="1:35" x14ac:dyDescent="0.3">
      <c r="A2413">
        <v>2412</v>
      </c>
      <c r="B2413" t="s">
        <v>367</v>
      </c>
      <c r="C2413">
        <v>46</v>
      </c>
      <c r="D2413" s="105">
        <v>45373.693299849539</v>
      </c>
      <c r="E2413" t="s">
        <v>312</v>
      </c>
      <c r="F2413" t="s">
        <v>1402</v>
      </c>
      <c r="G2413">
        <v>0</v>
      </c>
      <c r="H2413" t="s">
        <v>315</v>
      </c>
      <c r="I2413">
        <v>0</v>
      </c>
      <c r="J2413">
        <v>0</v>
      </c>
      <c r="K2413">
        <v>0</v>
      </c>
      <c r="L2413" t="s">
        <v>241</v>
      </c>
      <c r="M2413" t="s">
        <v>1398</v>
      </c>
      <c r="N2413">
        <v>0</v>
      </c>
      <c r="O2413" t="s">
        <v>1389</v>
      </c>
      <c r="P2413" t="s">
        <v>310</v>
      </c>
      <c r="Q2413" t="s">
        <v>310</v>
      </c>
      <c r="R2413" t="s">
        <v>310</v>
      </c>
      <c r="S2413">
        <v>9</v>
      </c>
      <c r="T2413" t="s">
        <v>310</v>
      </c>
      <c r="U2413">
        <v>9</v>
      </c>
      <c r="V2413">
        <v>9</v>
      </c>
      <c r="W2413">
        <v>0</v>
      </c>
      <c r="X2413">
        <v>0</v>
      </c>
      <c r="Y2413">
        <v>0</v>
      </c>
      <c r="Z2413">
        <v>0</v>
      </c>
      <c r="AA2413">
        <v>9</v>
      </c>
      <c r="AB2413">
        <v>9</v>
      </c>
      <c r="AC2413" t="s">
        <v>310</v>
      </c>
      <c r="AD2413">
        <v>9</v>
      </c>
      <c r="AE2413" t="s">
        <v>1417</v>
      </c>
      <c r="AF2413">
        <v>20000000</v>
      </c>
      <c r="AG2413" t="s">
        <v>310</v>
      </c>
      <c r="AH2413">
        <f>SUM((MID(Dyno_Data[[#This Row],[Team]],4,5))+(Dyno_Data[[#This Row],[Match]]/100))</f>
        <v>5016.46</v>
      </c>
      <c r="AI2413" s="76">
        <f>ROUND(SUM(IF(Dyno_Data[[#This Row],[AcqCenter]]&gt;0,Dyno_Data[[#This Row],[Time]]-SUMIFS(Dyno_Data[Time],Dyno_Data[Team],Dyno_Data[[#This Row],[Team]],Dyno_Data[RecordType],"StartMatch",Dyno_Data[Match],Dyno_Data[[#This Row],[Match]]),0)*86400),0)</f>
        <v>0</v>
      </c>
    </row>
    <row r="2414" spans="1:35" x14ac:dyDescent="0.3">
      <c r="A2414">
        <v>2413</v>
      </c>
      <c r="B2414" t="s">
        <v>368</v>
      </c>
      <c r="C2414">
        <v>46</v>
      </c>
      <c r="D2414" s="105">
        <v>45373.693361226855</v>
      </c>
      <c r="E2414" t="s">
        <v>312</v>
      </c>
      <c r="F2414" t="s">
        <v>1402</v>
      </c>
      <c r="G2414">
        <v>0</v>
      </c>
      <c r="H2414" t="s">
        <v>315</v>
      </c>
      <c r="I2414">
        <v>0</v>
      </c>
      <c r="J2414">
        <v>0</v>
      </c>
      <c r="K2414">
        <v>0</v>
      </c>
      <c r="L2414" t="s">
        <v>241</v>
      </c>
      <c r="M2414" t="s">
        <v>1398</v>
      </c>
      <c r="N2414">
        <v>0</v>
      </c>
      <c r="O2414" t="s">
        <v>1393</v>
      </c>
      <c r="P2414" t="s">
        <v>310</v>
      </c>
      <c r="Q2414" t="s">
        <v>310</v>
      </c>
      <c r="R2414" t="s">
        <v>310</v>
      </c>
      <c r="S2414">
        <v>9</v>
      </c>
      <c r="T2414" t="s">
        <v>310</v>
      </c>
      <c r="U2414">
        <v>9</v>
      </c>
      <c r="V2414">
        <v>9</v>
      </c>
      <c r="W2414">
        <v>0</v>
      </c>
      <c r="X2414">
        <v>0</v>
      </c>
      <c r="Y2414">
        <v>0</v>
      </c>
      <c r="Z2414">
        <v>0</v>
      </c>
      <c r="AA2414">
        <v>9</v>
      </c>
      <c r="AB2414">
        <v>9</v>
      </c>
      <c r="AC2414" t="s">
        <v>310</v>
      </c>
      <c r="AD2414">
        <v>9</v>
      </c>
      <c r="AE2414" t="s">
        <v>1414</v>
      </c>
      <c r="AF2414">
        <v>20000000</v>
      </c>
      <c r="AG2414" t="s">
        <v>310</v>
      </c>
      <c r="AH2414">
        <f>SUM((MID(Dyno_Data[[#This Row],[Team]],4,5))+(Dyno_Data[[#This Row],[Match]]/100))</f>
        <v>6401.46</v>
      </c>
      <c r="AI2414" s="76">
        <f>ROUND(SUM(IF(Dyno_Data[[#This Row],[AcqCenter]]&gt;0,Dyno_Data[[#This Row],[Time]]-SUMIFS(Dyno_Data[Time],Dyno_Data[Team],Dyno_Data[[#This Row],[Team]],Dyno_Data[RecordType],"StartMatch",Dyno_Data[Match],Dyno_Data[[#This Row],[Match]]),0)*86400),0)</f>
        <v>0</v>
      </c>
    </row>
    <row r="2415" spans="1:35" x14ac:dyDescent="0.3">
      <c r="A2415">
        <v>2414</v>
      </c>
      <c r="B2415" t="s">
        <v>1295</v>
      </c>
      <c r="C2415">
        <v>46</v>
      </c>
      <c r="D2415" s="105">
        <v>45373.69336484954</v>
      </c>
      <c r="E2415" t="s">
        <v>312</v>
      </c>
      <c r="F2415" t="s">
        <v>1402</v>
      </c>
      <c r="G2415">
        <v>0</v>
      </c>
      <c r="H2415" t="s">
        <v>315</v>
      </c>
      <c r="I2415">
        <v>0</v>
      </c>
      <c r="J2415">
        <v>0</v>
      </c>
      <c r="K2415">
        <v>0</v>
      </c>
      <c r="L2415" t="s">
        <v>241</v>
      </c>
      <c r="M2415" t="s">
        <v>101</v>
      </c>
      <c r="N2415">
        <v>0</v>
      </c>
      <c r="O2415" t="s">
        <v>1391</v>
      </c>
      <c r="P2415" t="s">
        <v>310</v>
      </c>
      <c r="Q2415" t="s">
        <v>310</v>
      </c>
      <c r="R2415" t="s">
        <v>310</v>
      </c>
      <c r="S2415">
        <v>9</v>
      </c>
      <c r="T2415" t="s">
        <v>310</v>
      </c>
      <c r="U2415">
        <v>9</v>
      </c>
      <c r="V2415">
        <v>9</v>
      </c>
      <c r="W2415">
        <v>0</v>
      </c>
      <c r="X2415">
        <v>0</v>
      </c>
      <c r="Y2415">
        <v>0</v>
      </c>
      <c r="Z2415">
        <v>0</v>
      </c>
      <c r="AA2415">
        <v>9</v>
      </c>
      <c r="AB2415">
        <v>9</v>
      </c>
      <c r="AC2415" t="s">
        <v>310</v>
      </c>
      <c r="AD2415">
        <v>9</v>
      </c>
      <c r="AE2415" t="s">
        <v>1416</v>
      </c>
      <c r="AF2415">
        <v>30000000</v>
      </c>
      <c r="AG2415" t="s">
        <v>310</v>
      </c>
      <c r="AH2415">
        <f>SUM((MID(Dyno_Data[[#This Row],[Team]],4,5))+(Dyno_Data[[#This Row],[Match]]/100))</f>
        <v>6300.46</v>
      </c>
      <c r="AI2415" s="76">
        <f>ROUND(SUM(IF(Dyno_Data[[#This Row],[AcqCenter]]&gt;0,Dyno_Data[[#This Row],[Time]]-SUMIFS(Dyno_Data[Time],Dyno_Data[Team],Dyno_Data[[#This Row],[Team]],Dyno_Data[RecordType],"StartMatch",Dyno_Data[Match],Dyno_Data[[#This Row],[Match]]),0)*86400),0)</f>
        <v>0</v>
      </c>
    </row>
    <row r="2416" spans="1:35" x14ac:dyDescent="0.3">
      <c r="A2416">
        <v>2415</v>
      </c>
      <c r="B2416" t="s">
        <v>318</v>
      </c>
      <c r="C2416">
        <v>46</v>
      </c>
      <c r="D2416" s="105">
        <v>45373.693380787037</v>
      </c>
      <c r="E2416" t="s">
        <v>312</v>
      </c>
      <c r="F2416" t="s">
        <v>1402</v>
      </c>
      <c r="G2416">
        <v>0</v>
      </c>
      <c r="H2416" t="s">
        <v>315</v>
      </c>
      <c r="I2416">
        <v>0</v>
      </c>
      <c r="J2416">
        <v>0</v>
      </c>
      <c r="K2416">
        <v>0</v>
      </c>
      <c r="L2416" t="s">
        <v>241</v>
      </c>
      <c r="M2416" t="s">
        <v>1398</v>
      </c>
      <c r="N2416">
        <v>0</v>
      </c>
      <c r="O2416" t="s">
        <v>311</v>
      </c>
      <c r="P2416" t="s">
        <v>310</v>
      </c>
      <c r="Q2416" t="s">
        <v>310</v>
      </c>
      <c r="R2416" t="s">
        <v>310</v>
      </c>
      <c r="S2416">
        <v>9</v>
      </c>
      <c r="T2416" t="s">
        <v>310</v>
      </c>
      <c r="U2416">
        <v>9</v>
      </c>
      <c r="V2416">
        <v>9</v>
      </c>
      <c r="W2416">
        <v>0</v>
      </c>
      <c r="X2416">
        <v>0</v>
      </c>
      <c r="Y2416">
        <v>0</v>
      </c>
      <c r="Z2416">
        <v>0</v>
      </c>
      <c r="AA2416">
        <v>9</v>
      </c>
      <c r="AB2416">
        <v>9</v>
      </c>
      <c r="AC2416" t="s">
        <v>310</v>
      </c>
      <c r="AD2416">
        <v>9</v>
      </c>
      <c r="AE2416" t="s">
        <v>1413</v>
      </c>
      <c r="AF2416">
        <v>20000000</v>
      </c>
      <c r="AG2416" t="s">
        <v>310</v>
      </c>
      <c r="AH2416">
        <f>SUM((MID(Dyno_Data[[#This Row],[Team]],4,5))+(Dyno_Data[[#This Row],[Match]]/100))</f>
        <v>639.46</v>
      </c>
      <c r="AI2416" s="76">
        <f>ROUND(SUM(IF(Dyno_Data[[#This Row],[AcqCenter]]&gt;0,Dyno_Data[[#This Row],[Time]]-SUMIFS(Dyno_Data[Time],Dyno_Data[Team],Dyno_Data[[#This Row],[Team]],Dyno_Data[RecordType],"StartMatch",Dyno_Data[Match],Dyno_Data[[#This Row],[Match]]),0)*86400),0)</f>
        <v>0</v>
      </c>
    </row>
    <row r="2417" spans="1:35" x14ac:dyDescent="0.3">
      <c r="A2417">
        <v>2416</v>
      </c>
      <c r="B2417" t="s">
        <v>1283</v>
      </c>
      <c r="C2417">
        <v>46</v>
      </c>
      <c r="D2417" s="105">
        <v>45373.693405405094</v>
      </c>
      <c r="E2417" t="s">
        <v>312</v>
      </c>
      <c r="F2417" t="s">
        <v>1402</v>
      </c>
      <c r="G2417">
        <v>0</v>
      </c>
      <c r="H2417" t="s">
        <v>1397</v>
      </c>
      <c r="I2417">
        <v>0</v>
      </c>
      <c r="J2417">
        <v>0</v>
      </c>
      <c r="K2417">
        <v>0</v>
      </c>
      <c r="L2417" t="s">
        <v>240</v>
      </c>
      <c r="M2417" t="s">
        <v>1398</v>
      </c>
      <c r="N2417">
        <v>0</v>
      </c>
      <c r="O2417" t="s">
        <v>319</v>
      </c>
      <c r="P2417" t="s">
        <v>310</v>
      </c>
      <c r="Q2417" t="s">
        <v>310</v>
      </c>
      <c r="R2417" t="s">
        <v>310</v>
      </c>
      <c r="S2417">
        <v>9</v>
      </c>
      <c r="T2417" t="s">
        <v>310</v>
      </c>
      <c r="U2417">
        <v>9</v>
      </c>
      <c r="V2417">
        <v>9</v>
      </c>
      <c r="W2417">
        <v>0</v>
      </c>
      <c r="X2417">
        <v>0</v>
      </c>
      <c r="Y2417">
        <v>0</v>
      </c>
      <c r="Z2417">
        <v>0</v>
      </c>
      <c r="AA2417">
        <v>9</v>
      </c>
      <c r="AB2417">
        <v>9</v>
      </c>
      <c r="AC2417" t="s">
        <v>310</v>
      </c>
      <c r="AD2417">
        <v>9</v>
      </c>
      <c r="AE2417" t="s">
        <v>1418</v>
      </c>
      <c r="AF2417">
        <v>0</v>
      </c>
      <c r="AG2417" t="s">
        <v>310</v>
      </c>
      <c r="AH2417">
        <f>SUM((MID(Dyno_Data[[#This Row],[Team]],4,5))+(Dyno_Data[[#This Row],[Match]]/100))</f>
        <v>1601.46</v>
      </c>
      <c r="AI2417" s="76">
        <f>ROUND(SUM(IF(Dyno_Data[[#This Row],[AcqCenter]]&gt;0,Dyno_Data[[#This Row],[Time]]-SUMIFS(Dyno_Data[Time],Dyno_Data[Team],Dyno_Data[[#This Row],[Team]],Dyno_Data[RecordType],"StartMatch",Dyno_Data[Match],Dyno_Data[[#This Row],[Match]]),0)*86400),0)</f>
        <v>0</v>
      </c>
    </row>
    <row r="2418" spans="1:35" x14ac:dyDescent="0.3">
      <c r="A2418">
        <v>2417</v>
      </c>
      <c r="B2418" t="s">
        <v>367</v>
      </c>
      <c r="C2418">
        <v>46</v>
      </c>
      <c r="D2418" s="105">
        <v>45373.693428506944</v>
      </c>
      <c r="E2418" t="s">
        <v>312</v>
      </c>
      <c r="F2418" t="s">
        <v>1402</v>
      </c>
      <c r="G2418">
        <v>0</v>
      </c>
      <c r="H2418" t="s">
        <v>315</v>
      </c>
      <c r="I2418">
        <v>0</v>
      </c>
      <c r="J2418">
        <v>0</v>
      </c>
      <c r="K2418">
        <v>0</v>
      </c>
      <c r="L2418" t="s">
        <v>241</v>
      </c>
      <c r="M2418" t="s">
        <v>1398</v>
      </c>
      <c r="N2418">
        <v>0</v>
      </c>
      <c r="O2418" t="s">
        <v>1389</v>
      </c>
      <c r="P2418" t="s">
        <v>310</v>
      </c>
      <c r="Q2418" t="s">
        <v>310</v>
      </c>
      <c r="R2418" t="s">
        <v>310</v>
      </c>
      <c r="S2418">
        <v>9</v>
      </c>
      <c r="T2418" t="s">
        <v>310</v>
      </c>
      <c r="U2418">
        <v>9</v>
      </c>
      <c r="V2418">
        <v>9</v>
      </c>
      <c r="W2418">
        <v>0</v>
      </c>
      <c r="X2418">
        <v>0</v>
      </c>
      <c r="Y2418">
        <v>0</v>
      </c>
      <c r="Z2418">
        <v>0</v>
      </c>
      <c r="AA2418">
        <v>9</v>
      </c>
      <c r="AB2418">
        <v>9</v>
      </c>
      <c r="AC2418" t="s">
        <v>310</v>
      </c>
      <c r="AD2418">
        <v>9</v>
      </c>
      <c r="AE2418" t="s">
        <v>1417</v>
      </c>
      <c r="AF2418">
        <v>30000000</v>
      </c>
      <c r="AG2418" t="s">
        <v>310</v>
      </c>
      <c r="AH2418">
        <f>SUM((MID(Dyno_Data[[#This Row],[Team]],4,5))+(Dyno_Data[[#This Row],[Match]]/100))</f>
        <v>5016.46</v>
      </c>
      <c r="AI2418" s="76">
        <f>ROUND(SUM(IF(Dyno_Data[[#This Row],[AcqCenter]]&gt;0,Dyno_Data[[#This Row],[Time]]-SUMIFS(Dyno_Data[Time],Dyno_Data[Team],Dyno_Data[[#This Row],[Team]],Dyno_Data[RecordType],"StartMatch",Dyno_Data[Match],Dyno_Data[[#This Row],[Match]]),0)*86400),0)</f>
        <v>0</v>
      </c>
    </row>
    <row r="2419" spans="1:35" x14ac:dyDescent="0.3">
      <c r="A2419">
        <v>2418</v>
      </c>
      <c r="B2419" t="s">
        <v>1303</v>
      </c>
      <c r="C2419">
        <v>46</v>
      </c>
      <c r="D2419" s="105">
        <v>45373.693431516207</v>
      </c>
      <c r="E2419" t="s">
        <v>312</v>
      </c>
      <c r="F2419" t="s">
        <v>1402</v>
      </c>
      <c r="G2419">
        <v>0</v>
      </c>
      <c r="H2419" t="s">
        <v>315</v>
      </c>
      <c r="I2419">
        <v>0</v>
      </c>
      <c r="J2419">
        <v>0</v>
      </c>
      <c r="K2419">
        <v>0</v>
      </c>
      <c r="L2419" t="s">
        <v>241</v>
      </c>
      <c r="M2419" t="s">
        <v>101</v>
      </c>
      <c r="N2419">
        <v>0</v>
      </c>
      <c r="O2419" t="s">
        <v>1395</v>
      </c>
      <c r="P2419" t="s">
        <v>310</v>
      </c>
      <c r="Q2419" t="s">
        <v>310</v>
      </c>
      <c r="R2419" t="s">
        <v>310</v>
      </c>
      <c r="S2419">
        <v>9</v>
      </c>
      <c r="T2419" t="s">
        <v>310</v>
      </c>
      <c r="U2419">
        <v>9</v>
      </c>
      <c r="V2419">
        <v>9</v>
      </c>
      <c r="W2419">
        <v>0</v>
      </c>
      <c r="X2419">
        <v>0</v>
      </c>
      <c r="Y2419">
        <v>0</v>
      </c>
      <c r="Z2419">
        <v>0</v>
      </c>
      <c r="AA2419">
        <v>9</v>
      </c>
      <c r="AB2419">
        <v>9</v>
      </c>
      <c r="AC2419" t="s">
        <v>310</v>
      </c>
      <c r="AD2419">
        <v>9</v>
      </c>
      <c r="AE2419" t="s">
        <v>1412</v>
      </c>
      <c r="AF2419">
        <v>10001000</v>
      </c>
      <c r="AG2419" t="s">
        <v>310</v>
      </c>
      <c r="AH2419">
        <f>SUM((MID(Dyno_Data[[#This Row],[Team]],4,5))+(Dyno_Data[[#This Row],[Match]]/100))</f>
        <v>7605.46</v>
      </c>
      <c r="AI2419" s="76">
        <f>ROUND(SUM(IF(Dyno_Data[[#This Row],[AcqCenter]]&gt;0,Dyno_Data[[#This Row],[Time]]-SUMIFS(Dyno_Data[Time],Dyno_Data[Team],Dyno_Data[[#This Row],[Team]],Dyno_Data[RecordType],"StartMatch",Dyno_Data[Match],Dyno_Data[[#This Row],[Match]]),0)*86400),0)</f>
        <v>0</v>
      </c>
    </row>
    <row r="2420" spans="1:35" x14ac:dyDescent="0.3">
      <c r="A2420">
        <v>2419</v>
      </c>
      <c r="B2420" t="s">
        <v>1295</v>
      </c>
      <c r="C2420">
        <v>46</v>
      </c>
      <c r="D2420" s="105">
        <v>45373.693472685183</v>
      </c>
      <c r="E2420" t="s">
        <v>312</v>
      </c>
      <c r="F2420" t="s">
        <v>1402</v>
      </c>
      <c r="G2420">
        <v>0</v>
      </c>
      <c r="H2420" t="s">
        <v>315</v>
      </c>
      <c r="I2420">
        <v>0</v>
      </c>
      <c r="J2420">
        <v>0</v>
      </c>
      <c r="K2420">
        <v>0</v>
      </c>
      <c r="L2420" t="s">
        <v>240</v>
      </c>
      <c r="M2420" t="s">
        <v>1398</v>
      </c>
      <c r="N2420">
        <v>0</v>
      </c>
      <c r="O2420" t="s">
        <v>1391</v>
      </c>
      <c r="P2420" t="s">
        <v>310</v>
      </c>
      <c r="Q2420" t="s">
        <v>310</v>
      </c>
      <c r="R2420" t="s">
        <v>310</v>
      </c>
      <c r="S2420">
        <v>9</v>
      </c>
      <c r="T2420" t="s">
        <v>310</v>
      </c>
      <c r="U2420">
        <v>9</v>
      </c>
      <c r="V2420">
        <v>9</v>
      </c>
      <c r="W2420">
        <v>0</v>
      </c>
      <c r="X2420">
        <v>0</v>
      </c>
      <c r="Y2420">
        <v>0</v>
      </c>
      <c r="Z2420">
        <v>0</v>
      </c>
      <c r="AA2420">
        <v>9</v>
      </c>
      <c r="AB2420">
        <v>9</v>
      </c>
      <c r="AC2420" t="s">
        <v>310</v>
      </c>
      <c r="AD2420">
        <v>9</v>
      </c>
      <c r="AE2420" t="s">
        <v>1416</v>
      </c>
      <c r="AF2420">
        <v>40000000</v>
      </c>
      <c r="AG2420" t="s">
        <v>310</v>
      </c>
      <c r="AH2420">
        <f>SUM((MID(Dyno_Data[[#This Row],[Team]],4,5))+(Dyno_Data[[#This Row],[Match]]/100))</f>
        <v>6300.46</v>
      </c>
      <c r="AI2420" s="76">
        <f>ROUND(SUM(IF(Dyno_Data[[#This Row],[AcqCenter]]&gt;0,Dyno_Data[[#This Row],[Time]]-SUMIFS(Dyno_Data[Time],Dyno_Data[Team],Dyno_Data[[#This Row],[Team]],Dyno_Data[RecordType],"StartMatch",Dyno_Data[Match],Dyno_Data[[#This Row],[Match]]),0)*86400),0)</f>
        <v>0</v>
      </c>
    </row>
    <row r="2421" spans="1:35" x14ac:dyDescent="0.3">
      <c r="A2421">
        <v>2420</v>
      </c>
      <c r="B2421" t="s">
        <v>1303</v>
      </c>
      <c r="C2421">
        <v>46</v>
      </c>
      <c r="D2421" s="105">
        <v>45373.693590543982</v>
      </c>
      <c r="E2421" t="s">
        <v>312</v>
      </c>
      <c r="F2421" t="s">
        <v>1402</v>
      </c>
      <c r="G2421">
        <v>0</v>
      </c>
      <c r="H2421" t="s">
        <v>315</v>
      </c>
      <c r="I2421">
        <v>0</v>
      </c>
      <c r="J2421">
        <v>0</v>
      </c>
      <c r="K2421">
        <v>0</v>
      </c>
      <c r="L2421" t="s">
        <v>241</v>
      </c>
      <c r="M2421" t="s">
        <v>101</v>
      </c>
      <c r="N2421">
        <v>0</v>
      </c>
      <c r="O2421" t="s">
        <v>1395</v>
      </c>
      <c r="P2421" t="s">
        <v>310</v>
      </c>
      <c r="Q2421" t="s">
        <v>310</v>
      </c>
      <c r="R2421" t="s">
        <v>310</v>
      </c>
      <c r="S2421">
        <v>9</v>
      </c>
      <c r="T2421" t="s">
        <v>310</v>
      </c>
      <c r="U2421">
        <v>9</v>
      </c>
      <c r="V2421">
        <v>9</v>
      </c>
      <c r="W2421">
        <v>0</v>
      </c>
      <c r="X2421">
        <v>0</v>
      </c>
      <c r="Y2421">
        <v>0</v>
      </c>
      <c r="Z2421">
        <v>0</v>
      </c>
      <c r="AA2421">
        <v>9</v>
      </c>
      <c r="AB2421">
        <v>9</v>
      </c>
      <c r="AC2421" t="s">
        <v>310</v>
      </c>
      <c r="AD2421">
        <v>9</v>
      </c>
      <c r="AE2421" t="s">
        <v>1412</v>
      </c>
      <c r="AF2421">
        <v>20001000</v>
      </c>
      <c r="AG2421" t="s">
        <v>310</v>
      </c>
      <c r="AH2421">
        <f>SUM((MID(Dyno_Data[[#This Row],[Team]],4,5))+(Dyno_Data[[#This Row],[Match]]/100))</f>
        <v>7605.46</v>
      </c>
      <c r="AI2421" s="76">
        <f>ROUND(SUM(IF(Dyno_Data[[#This Row],[AcqCenter]]&gt;0,Dyno_Data[[#This Row],[Time]]-SUMIFS(Dyno_Data[Time],Dyno_Data[Team],Dyno_Data[[#This Row],[Team]],Dyno_Data[RecordType],"StartMatch",Dyno_Data[Match],Dyno_Data[[#This Row],[Match]]),0)*86400),0)</f>
        <v>0</v>
      </c>
    </row>
    <row r="2422" spans="1:35" x14ac:dyDescent="0.3">
      <c r="A2422">
        <v>2421</v>
      </c>
      <c r="B2422" t="s">
        <v>368</v>
      </c>
      <c r="C2422">
        <v>46</v>
      </c>
      <c r="D2422" s="105">
        <v>45373.693696909722</v>
      </c>
      <c r="E2422" t="s">
        <v>312</v>
      </c>
      <c r="F2422" t="s">
        <v>1402</v>
      </c>
      <c r="G2422">
        <v>0</v>
      </c>
      <c r="H2422" t="s">
        <v>315</v>
      </c>
      <c r="I2422">
        <v>0</v>
      </c>
      <c r="J2422">
        <v>0</v>
      </c>
      <c r="K2422">
        <v>0</v>
      </c>
      <c r="L2422" t="s">
        <v>240</v>
      </c>
      <c r="M2422" t="s">
        <v>1398</v>
      </c>
      <c r="N2422">
        <v>0</v>
      </c>
      <c r="O2422" t="s">
        <v>1393</v>
      </c>
      <c r="P2422" t="s">
        <v>310</v>
      </c>
      <c r="Q2422" t="s">
        <v>310</v>
      </c>
      <c r="R2422" t="s">
        <v>310</v>
      </c>
      <c r="S2422">
        <v>9</v>
      </c>
      <c r="T2422" t="s">
        <v>310</v>
      </c>
      <c r="U2422">
        <v>9</v>
      </c>
      <c r="V2422">
        <v>9</v>
      </c>
      <c r="W2422">
        <v>0</v>
      </c>
      <c r="X2422">
        <v>0</v>
      </c>
      <c r="Y2422">
        <v>0</v>
      </c>
      <c r="Z2422">
        <v>0</v>
      </c>
      <c r="AA2422">
        <v>9</v>
      </c>
      <c r="AB2422">
        <v>9</v>
      </c>
      <c r="AC2422" t="s">
        <v>310</v>
      </c>
      <c r="AD2422">
        <v>9</v>
      </c>
      <c r="AE2422" t="s">
        <v>1414</v>
      </c>
      <c r="AF2422">
        <v>30000000</v>
      </c>
      <c r="AG2422" t="s">
        <v>310</v>
      </c>
      <c r="AH2422">
        <f>SUM((MID(Dyno_Data[[#This Row],[Team]],4,5))+(Dyno_Data[[#This Row],[Match]]/100))</f>
        <v>6401.46</v>
      </c>
      <c r="AI2422" s="76">
        <f>ROUND(SUM(IF(Dyno_Data[[#This Row],[AcqCenter]]&gt;0,Dyno_Data[[#This Row],[Time]]-SUMIFS(Dyno_Data[Time],Dyno_Data[Team],Dyno_Data[[#This Row],[Team]],Dyno_Data[RecordType],"StartMatch",Dyno_Data[Match],Dyno_Data[[#This Row],[Match]]),0)*86400),0)</f>
        <v>0</v>
      </c>
    </row>
    <row r="2423" spans="1:35" x14ac:dyDescent="0.3">
      <c r="A2423">
        <v>2422</v>
      </c>
      <c r="B2423" t="s">
        <v>318</v>
      </c>
      <c r="C2423">
        <v>46</v>
      </c>
      <c r="D2423" s="105">
        <v>45373.693707094906</v>
      </c>
      <c r="E2423" t="s">
        <v>312</v>
      </c>
      <c r="F2423" t="s">
        <v>1402</v>
      </c>
      <c r="G2423">
        <v>0</v>
      </c>
      <c r="H2423" t="s">
        <v>315</v>
      </c>
      <c r="I2423">
        <v>0</v>
      </c>
      <c r="J2423">
        <v>0</v>
      </c>
      <c r="K2423">
        <v>0</v>
      </c>
      <c r="L2423" t="s">
        <v>241</v>
      </c>
      <c r="M2423" t="s">
        <v>1398</v>
      </c>
      <c r="N2423">
        <v>0</v>
      </c>
      <c r="O2423" t="s">
        <v>311</v>
      </c>
      <c r="P2423" t="s">
        <v>310</v>
      </c>
      <c r="Q2423" t="s">
        <v>310</v>
      </c>
      <c r="R2423" t="s">
        <v>310</v>
      </c>
      <c r="S2423">
        <v>9</v>
      </c>
      <c r="T2423" t="s">
        <v>310</v>
      </c>
      <c r="U2423">
        <v>9</v>
      </c>
      <c r="V2423">
        <v>9</v>
      </c>
      <c r="W2423">
        <v>0</v>
      </c>
      <c r="X2423">
        <v>0</v>
      </c>
      <c r="Y2423">
        <v>0</v>
      </c>
      <c r="Z2423">
        <v>0</v>
      </c>
      <c r="AA2423">
        <v>9</v>
      </c>
      <c r="AB2423">
        <v>9</v>
      </c>
      <c r="AC2423" t="s">
        <v>310</v>
      </c>
      <c r="AD2423">
        <v>9</v>
      </c>
      <c r="AE2423" t="s">
        <v>1413</v>
      </c>
      <c r="AF2423">
        <v>30000000</v>
      </c>
      <c r="AG2423" t="s">
        <v>310</v>
      </c>
      <c r="AH2423">
        <f>SUM((MID(Dyno_Data[[#This Row],[Team]],4,5))+(Dyno_Data[[#This Row],[Match]]/100))</f>
        <v>639.46</v>
      </c>
      <c r="AI2423" s="76">
        <f>ROUND(SUM(IF(Dyno_Data[[#This Row],[AcqCenter]]&gt;0,Dyno_Data[[#This Row],[Time]]-SUMIFS(Dyno_Data[Time],Dyno_Data[Team],Dyno_Data[[#This Row],[Team]],Dyno_Data[RecordType],"StartMatch",Dyno_Data[Match],Dyno_Data[[#This Row],[Match]]),0)*86400),0)</f>
        <v>0</v>
      </c>
    </row>
    <row r="2424" spans="1:35" x14ac:dyDescent="0.3">
      <c r="A2424">
        <v>2423</v>
      </c>
      <c r="B2424" t="s">
        <v>1295</v>
      </c>
      <c r="C2424">
        <v>46</v>
      </c>
      <c r="D2424" s="105">
        <v>45373.693741863426</v>
      </c>
      <c r="E2424" t="s">
        <v>312</v>
      </c>
      <c r="F2424" t="s">
        <v>1402</v>
      </c>
      <c r="G2424">
        <v>0</v>
      </c>
      <c r="H2424" t="s">
        <v>315</v>
      </c>
      <c r="I2424">
        <v>0</v>
      </c>
      <c r="J2424">
        <v>0</v>
      </c>
      <c r="K2424">
        <v>0</v>
      </c>
      <c r="L2424" t="s">
        <v>241</v>
      </c>
      <c r="M2424" t="s">
        <v>101</v>
      </c>
      <c r="N2424">
        <v>0</v>
      </c>
      <c r="O2424" t="s">
        <v>1391</v>
      </c>
      <c r="P2424" t="s">
        <v>310</v>
      </c>
      <c r="Q2424" t="s">
        <v>310</v>
      </c>
      <c r="R2424" t="s">
        <v>310</v>
      </c>
      <c r="S2424">
        <v>9</v>
      </c>
      <c r="T2424" t="s">
        <v>310</v>
      </c>
      <c r="U2424">
        <v>9</v>
      </c>
      <c r="V2424">
        <v>9</v>
      </c>
      <c r="W2424">
        <v>0</v>
      </c>
      <c r="X2424">
        <v>0</v>
      </c>
      <c r="Y2424">
        <v>0</v>
      </c>
      <c r="Z2424">
        <v>0</v>
      </c>
      <c r="AA2424">
        <v>9</v>
      </c>
      <c r="AB2424">
        <v>9</v>
      </c>
      <c r="AC2424" t="s">
        <v>310</v>
      </c>
      <c r="AD2424">
        <v>9</v>
      </c>
      <c r="AE2424" t="s">
        <v>1416</v>
      </c>
      <c r="AF2424">
        <v>50000000</v>
      </c>
      <c r="AG2424" t="s">
        <v>310</v>
      </c>
      <c r="AH2424">
        <f>SUM((MID(Dyno_Data[[#This Row],[Team]],4,5))+(Dyno_Data[[#This Row],[Match]]/100))</f>
        <v>6300.46</v>
      </c>
      <c r="AI2424" s="76">
        <f>ROUND(SUM(IF(Dyno_Data[[#This Row],[AcqCenter]]&gt;0,Dyno_Data[[#This Row],[Time]]-SUMIFS(Dyno_Data[Time],Dyno_Data[Team],Dyno_Data[[#This Row],[Team]],Dyno_Data[RecordType],"StartMatch",Dyno_Data[Match],Dyno_Data[[#This Row],[Match]]),0)*86400),0)</f>
        <v>0</v>
      </c>
    </row>
    <row r="2425" spans="1:35" x14ac:dyDescent="0.3">
      <c r="A2425">
        <v>2424</v>
      </c>
      <c r="B2425" t="s">
        <v>367</v>
      </c>
      <c r="C2425">
        <v>46</v>
      </c>
      <c r="D2425" s="105">
        <v>45373.69378321759</v>
      </c>
      <c r="E2425" t="s">
        <v>312</v>
      </c>
      <c r="F2425" t="s">
        <v>1402</v>
      </c>
      <c r="G2425">
        <v>0</v>
      </c>
      <c r="H2425" t="s">
        <v>315</v>
      </c>
      <c r="I2425">
        <v>0</v>
      </c>
      <c r="J2425">
        <v>0</v>
      </c>
      <c r="K2425">
        <v>0</v>
      </c>
      <c r="L2425" t="s">
        <v>241</v>
      </c>
      <c r="M2425" t="s">
        <v>1398</v>
      </c>
      <c r="N2425">
        <v>0</v>
      </c>
      <c r="O2425" t="s">
        <v>1389</v>
      </c>
      <c r="P2425" t="s">
        <v>310</v>
      </c>
      <c r="Q2425" t="s">
        <v>310</v>
      </c>
      <c r="R2425" t="s">
        <v>310</v>
      </c>
      <c r="S2425">
        <v>9</v>
      </c>
      <c r="T2425" t="s">
        <v>310</v>
      </c>
      <c r="U2425">
        <v>9</v>
      </c>
      <c r="V2425">
        <v>9</v>
      </c>
      <c r="W2425">
        <v>0</v>
      </c>
      <c r="X2425">
        <v>0</v>
      </c>
      <c r="Y2425">
        <v>0</v>
      </c>
      <c r="Z2425">
        <v>0</v>
      </c>
      <c r="AA2425">
        <v>9</v>
      </c>
      <c r="AB2425">
        <v>9</v>
      </c>
      <c r="AC2425" t="s">
        <v>310</v>
      </c>
      <c r="AD2425">
        <v>9</v>
      </c>
      <c r="AE2425" t="s">
        <v>1417</v>
      </c>
      <c r="AF2425">
        <v>40000000</v>
      </c>
      <c r="AG2425" t="s">
        <v>310</v>
      </c>
      <c r="AH2425">
        <f>SUM((MID(Dyno_Data[[#This Row],[Team]],4,5))+(Dyno_Data[[#This Row],[Match]]/100))</f>
        <v>5016.46</v>
      </c>
      <c r="AI2425" s="76">
        <f>ROUND(SUM(IF(Dyno_Data[[#This Row],[AcqCenter]]&gt;0,Dyno_Data[[#This Row],[Time]]-SUMIFS(Dyno_Data[Time],Dyno_Data[Team],Dyno_Data[[#This Row],[Team]],Dyno_Data[RecordType],"StartMatch",Dyno_Data[Match],Dyno_Data[[#This Row],[Match]]),0)*86400),0)</f>
        <v>0</v>
      </c>
    </row>
    <row r="2426" spans="1:35" x14ac:dyDescent="0.3">
      <c r="A2426">
        <v>2425</v>
      </c>
      <c r="B2426" t="s">
        <v>1303</v>
      </c>
      <c r="C2426">
        <v>46</v>
      </c>
      <c r="D2426" s="105">
        <v>45373.693805636576</v>
      </c>
      <c r="E2426" t="s">
        <v>312</v>
      </c>
      <c r="F2426" t="s">
        <v>1402</v>
      </c>
      <c r="G2426">
        <v>0</v>
      </c>
      <c r="H2426" t="s">
        <v>315</v>
      </c>
      <c r="I2426">
        <v>0</v>
      </c>
      <c r="J2426">
        <v>0</v>
      </c>
      <c r="K2426">
        <v>0</v>
      </c>
      <c r="L2426" t="s">
        <v>241</v>
      </c>
      <c r="M2426" t="s">
        <v>1398</v>
      </c>
      <c r="N2426">
        <v>0</v>
      </c>
      <c r="O2426" t="s">
        <v>1395</v>
      </c>
      <c r="P2426" t="s">
        <v>310</v>
      </c>
      <c r="Q2426" t="s">
        <v>310</v>
      </c>
      <c r="R2426" t="s">
        <v>310</v>
      </c>
      <c r="S2426">
        <v>9</v>
      </c>
      <c r="T2426" t="s">
        <v>310</v>
      </c>
      <c r="U2426">
        <v>9</v>
      </c>
      <c r="V2426">
        <v>9</v>
      </c>
      <c r="W2426">
        <v>0</v>
      </c>
      <c r="X2426">
        <v>0</v>
      </c>
      <c r="Y2426">
        <v>0</v>
      </c>
      <c r="Z2426">
        <v>0</v>
      </c>
      <c r="AA2426">
        <v>9</v>
      </c>
      <c r="AB2426">
        <v>9</v>
      </c>
      <c r="AC2426" t="s">
        <v>310</v>
      </c>
      <c r="AD2426">
        <v>9</v>
      </c>
      <c r="AE2426" t="s">
        <v>1412</v>
      </c>
      <c r="AF2426">
        <v>30001000</v>
      </c>
      <c r="AG2426" t="s">
        <v>310</v>
      </c>
      <c r="AH2426">
        <f>SUM((MID(Dyno_Data[[#This Row],[Team]],4,5))+(Dyno_Data[[#This Row],[Match]]/100))</f>
        <v>7605.46</v>
      </c>
      <c r="AI2426" s="76">
        <f>ROUND(SUM(IF(Dyno_Data[[#This Row],[AcqCenter]]&gt;0,Dyno_Data[[#This Row],[Time]]-SUMIFS(Dyno_Data[Time],Dyno_Data[Team],Dyno_Data[[#This Row],[Team]],Dyno_Data[RecordType],"StartMatch",Dyno_Data[Match],Dyno_Data[[#This Row],[Match]]),0)*86400),0)</f>
        <v>0</v>
      </c>
    </row>
    <row r="2427" spans="1:35" x14ac:dyDescent="0.3">
      <c r="A2427">
        <v>2426</v>
      </c>
      <c r="B2427" t="s">
        <v>318</v>
      </c>
      <c r="C2427">
        <v>46</v>
      </c>
      <c r="D2427" s="105">
        <v>45373.693880937499</v>
      </c>
      <c r="E2427" t="s">
        <v>312</v>
      </c>
      <c r="F2427" t="s">
        <v>1402</v>
      </c>
      <c r="G2427">
        <v>0</v>
      </c>
      <c r="H2427" t="s">
        <v>315</v>
      </c>
      <c r="I2427">
        <v>0</v>
      </c>
      <c r="J2427">
        <v>0</v>
      </c>
      <c r="K2427">
        <v>0</v>
      </c>
      <c r="L2427" t="s">
        <v>241</v>
      </c>
      <c r="M2427" t="s">
        <v>1398</v>
      </c>
      <c r="N2427">
        <v>0</v>
      </c>
      <c r="O2427" t="s">
        <v>311</v>
      </c>
      <c r="P2427" t="s">
        <v>310</v>
      </c>
      <c r="Q2427" t="s">
        <v>310</v>
      </c>
      <c r="R2427" t="s">
        <v>310</v>
      </c>
      <c r="S2427">
        <v>9</v>
      </c>
      <c r="T2427" t="s">
        <v>310</v>
      </c>
      <c r="U2427">
        <v>9</v>
      </c>
      <c r="V2427">
        <v>9</v>
      </c>
      <c r="W2427">
        <v>0</v>
      </c>
      <c r="X2427">
        <v>0</v>
      </c>
      <c r="Y2427">
        <v>0</v>
      </c>
      <c r="Z2427">
        <v>0</v>
      </c>
      <c r="AA2427">
        <v>9</v>
      </c>
      <c r="AB2427">
        <v>9</v>
      </c>
      <c r="AC2427" t="s">
        <v>310</v>
      </c>
      <c r="AD2427">
        <v>9</v>
      </c>
      <c r="AE2427" t="s">
        <v>1413</v>
      </c>
      <c r="AF2427">
        <v>40000000</v>
      </c>
      <c r="AG2427" t="s">
        <v>310</v>
      </c>
      <c r="AH2427">
        <f>SUM((MID(Dyno_Data[[#This Row],[Team]],4,5))+(Dyno_Data[[#This Row],[Match]]/100))</f>
        <v>639.46</v>
      </c>
      <c r="AI2427" s="76">
        <f>ROUND(SUM(IF(Dyno_Data[[#This Row],[AcqCenter]]&gt;0,Dyno_Data[[#This Row],[Time]]-SUMIFS(Dyno_Data[Time],Dyno_Data[Team],Dyno_Data[[#This Row],[Team]],Dyno_Data[RecordType],"StartMatch",Dyno_Data[Match],Dyno_Data[[#This Row],[Match]]),0)*86400),0)</f>
        <v>0</v>
      </c>
    </row>
    <row r="2428" spans="1:35" x14ac:dyDescent="0.3">
      <c r="A2428">
        <v>2427</v>
      </c>
      <c r="B2428" t="s">
        <v>1303</v>
      </c>
      <c r="C2428">
        <v>46</v>
      </c>
      <c r="D2428" s="105">
        <v>45373.693885381945</v>
      </c>
      <c r="E2428" t="s">
        <v>312</v>
      </c>
      <c r="F2428" t="s">
        <v>1402</v>
      </c>
      <c r="G2428">
        <v>0</v>
      </c>
      <c r="H2428" t="s">
        <v>315</v>
      </c>
      <c r="I2428">
        <v>0</v>
      </c>
      <c r="J2428">
        <v>0</v>
      </c>
      <c r="K2428">
        <v>0</v>
      </c>
      <c r="L2428" t="s">
        <v>241</v>
      </c>
      <c r="M2428" t="s">
        <v>101</v>
      </c>
      <c r="N2428">
        <v>0</v>
      </c>
      <c r="O2428" t="s">
        <v>1395</v>
      </c>
      <c r="P2428" t="s">
        <v>310</v>
      </c>
      <c r="Q2428" t="s">
        <v>310</v>
      </c>
      <c r="R2428" t="s">
        <v>310</v>
      </c>
      <c r="S2428">
        <v>9</v>
      </c>
      <c r="T2428" t="s">
        <v>310</v>
      </c>
      <c r="U2428">
        <v>9</v>
      </c>
      <c r="V2428">
        <v>9</v>
      </c>
      <c r="W2428">
        <v>0</v>
      </c>
      <c r="X2428">
        <v>0</v>
      </c>
      <c r="Y2428">
        <v>0</v>
      </c>
      <c r="Z2428">
        <v>0</v>
      </c>
      <c r="AA2428">
        <v>9</v>
      </c>
      <c r="AB2428">
        <v>9</v>
      </c>
      <c r="AC2428" t="s">
        <v>310</v>
      </c>
      <c r="AD2428">
        <v>9</v>
      </c>
      <c r="AE2428" t="s">
        <v>1412</v>
      </c>
      <c r="AF2428">
        <v>40001000</v>
      </c>
      <c r="AG2428" t="s">
        <v>310</v>
      </c>
      <c r="AH2428">
        <f>SUM((MID(Dyno_Data[[#This Row],[Team]],4,5))+(Dyno_Data[[#This Row],[Match]]/100))</f>
        <v>7605.46</v>
      </c>
      <c r="AI2428" s="76">
        <f>ROUND(SUM(IF(Dyno_Data[[#This Row],[AcqCenter]]&gt;0,Dyno_Data[[#This Row],[Time]]-SUMIFS(Dyno_Data[Time],Dyno_Data[Team],Dyno_Data[[#This Row],[Team]],Dyno_Data[RecordType],"StartMatch",Dyno_Data[Match],Dyno_Data[[#This Row],[Match]]),0)*86400),0)</f>
        <v>0</v>
      </c>
    </row>
    <row r="2429" spans="1:35" x14ac:dyDescent="0.3">
      <c r="A2429">
        <v>2428</v>
      </c>
      <c r="B2429" t="s">
        <v>1295</v>
      </c>
      <c r="C2429">
        <v>46</v>
      </c>
      <c r="D2429" s="105">
        <v>45373.693947766202</v>
      </c>
      <c r="E2429" t="s">
        <v>312</v>
      </c>
      <c r="F2429" t="s">
        <v>1402</v>
      </c>
      <c r="G2429">
        <v>0</v>
      </c>
      <c r="H2429" t="s">
        <v>315</v>
      </c>
      <c r="I2429">
        <v>0</v>
      </c>
      <c r="J2429">
        <v>0</v>
      </c>
      <c r="K2429">
        <v>0</v>
      </c>
      <c r="L2429" t="s">
        <v>241</v>
      </c>
      <c r="M2429" t="s">
        <v>101</v>
      </c>
      <c r="N2429">
        <v>0</v>
      </c>
      <c r="O2429" t="s">
        <v>1391</v>
      </c>
      <c r="P2429" t="s">
        <v>310</v>
      </c>
      <c r="Q2429" t="s">
        <v>310</v>
      </c>
      <c r="R2429" t="s">
        <v>310</v>
      </c>
      <c r="S2429">
        <v>9</v>
      </c>
      <c r="T2429" t="s">
        <v>310</v>
      </c>
      <c r="U2429">
        <v>9</v>
      </c>
      <c r="V2429">
        <v>9</v>
      </c>
      <c r="W2429">
        <v>0</v>
      </c>
      <c r="X2429">
        <v>0</v>
      </c>
      <c r="Y2429">
        <v>0</v>
      </c>
      <c r="Z2429">
        <v>0</v>
      </c>
      <c r="AA2429">
        <v>9</v>
      </c>
      <c r="AB2429">
        <v>9</v>
      </c>
      <c r="AC2429" t="s">
        <v>310</v>
      </c>
      <c r="AD2429">
        <v>9</v>
      </c>
      <c r="AE2429" t="s">
        <v>1416</v>
      </c>
      <c r="AF2429">
        <v>60000000</v>
      </c>
      <c r="AG2429" t="s">
        <v>310</v>
      </c>
      <c r="AH2429">
        <f>SUM((MID(Dyno_Data[[#This Row],[Team]],4,5))+(Dyno_Data[[#This Row],[Match]]/100))</f>
        <v>6300.46</v>
      </c>
      <c r="AI2429" s="76">
        <f>ROUND(SUM(IF(Dyno_Data[[#This Row],[AcqCenter]]&gt;0,Dyno_Data[[#This Row],[Time]]-SUMIFS(Dyno_Data[Time],Dyno_Data[Team],Dyno_Data[[#This Row],[Team]],Dyno_Data[RecordType],"StartMatch",Dyno_Data[Match],Dyno_Data[[#This Row],[Match]]),0)*86400),0)</f>
        <v>0</v>
      </c>
    </row>
    <row r="2430" spans="1:35" x14ac:dyDescent="0.3">
      <c r="A2430">
        <v>2429</v>
      </c>
      <c r="B2430" t="s">
        <v>318</v>
      </c>
      <c r="C2430">
        <v>46</v>
      </c>
      <c r="D2430" s="105">
        <v>45373.694024571756</v>
      </c>
      <c r="E2430" t="s">
        <v>312</v>
      </c>
      <c r="F2430" t="s">
        <v>1402</v>
      </c>
      <c r="G2430">
        <v>0</v>
      </c>
      <c r="H2430" t="s">
        <v>315</v>
      </c>
      <c r="I2430">
        <v>0</v>
      </c>
      <c r="J2430">
        <v>0</v>
      </c>
      <c r="K2430">
        <v>0</v>
      </c>
      <c r="L2430" t="s">
        <v>241</v>
      </c>
      <c r="M2430" t="s">
        <v>1398</v>
      </c>
      <c r="N2430">
        <v>0</v>
      </c>
      <c r="O2430" t="s">
        <v>311</v>
      </c>
      <c r="P2430" t="s">
        <v>310</v>
      </c>
      <c r="Q2430" t="s">
        <v>310</v>
      </c>
      <c r="R2430" t="s">
        <v>310</v>
      </c>
      <c r="S2430">
        <v>9</v>
      </c>
      <c r="T2430" t="s">
        <v>310</v>
      </c>
      <c r="U2430">
        <v>9</v>
      </c>
      <c r="V2430">
        <v>9</v>
      </c>
      <c r="W2430">
        <v>0</v>
      </c>
      <c r="X2430">
        <v>0</v>
      </c>
      <c r="Y2430">
        <v>0</v>
      </c>
      <c r="Z2430">
        <v>0</v>
      </c>
      <c r="AA2430">
        <v>9</v>
      </c>
      <c r="AB2430">
        <v>9</v>
      </c>
      <c r="AC2430" t="s">
        <v>310</v>
      </c>
      <c r="AD2430">
        <v>9</v>
      </c>
      <c r="AE2430" t="s">
        <v>1413</v>
      </c>
      <c r="AF2430">
        <v>50000000</v>
      </c>
      <c r="AG2430" t="s">
        <v>310</v>
      </c>
      <c r="AH2430">
        <f>SUM((MID(Dyno_Data[[#This Row],[Team]],4,5))+(Dyno_Data[[#This Row],[Match]]/100))</f>
        <v>639.46</v>
      </c>
      <c r="AI2430" s="76">
        <f>ROUND(SUM(IF(Dyno_Data[[#This Row],[AcqCenter]]&gt;0,Dyno_Data[[#This Row],[Time]]-SUMIFS(Dyno_Data[Time],Dyno_Data[Team],Dyno_Data[[#This Row],[Team]],Dyno_Data[RecordType],"StartMatch",Dyno_Data[Match],Dyno_Data[[#This Row],[Match]]),0)*86400),0)</f>
        <v>0</v>
      </c>
    </row>
    <row r="2431" spans="1:35" x14ac:dyDescent="0.3">
      <c r="A2431">
        <v>2430</v>
      </c>
      <c r="B2431" t="s">
        <v>367</v>
      </c>
      <c r="C2431">
        <v>46</v>
      </c>
      <c r="D2431" s="105">
        <v>45373.694134571757</v>
      </c>
      <c r="E2431" t="s">
        <v>312</v>
      </c>
      <c r="F2431" t="s">
        <v>1402</v>
      </c>
      <c r="G2431">
        <v>0</v>
      </c>
      <c r="H2431" t="s">
        <v>315</v>
      </c>
      <c r="I2431">
        <v>0</v>
      </c>
      <c r="J2431">
        <v>0</v>
      </c>
      <c r="K2431">
        <v>0</v>
      </c>
      <c r="L2431" t="s">
        <v>241</v>
      </c>
      <c r="M2431" t="s">
        <v>1398</v>
      </c>
      <c r="N2431">
        <v>1</v>
      </c>
      <c r="O2431" t="s">
        <v>1389</v>
      </c>
      <c r="P2431" t="s">
        <v>310</v>
      </c>
      <c r="Q2431" t="s">
        <v>310</v>
      </c>
      <c r="R2431" t="s">
        <v>310</v>
      </c>
      <c r="S2431">
        <v>9</v>
      </c>
      <c r="T2431" t="s">
        <v>310</v>
      </c>
      <c r="U2431">
        <v>9</v>
      </c>
      <c r="V2431">
        <v>9</v>
      </c>
      <c r="W2431">
        <v>0</v>
      </c>
      <c r="X2431">
        <v>0</v>
      </c>
      <c r="Y2431">
        <v>0</v>
      </c>
      <c r="Z2431">
        <v>0</v>
      </c>
      <c r="AA2431">
        <v>9</v>
      </c>
      <c r="AB2431">
        <v>9</v>
      </c>
      <c r="AC2431" t="s">
        <v>310</v>
      </c>
      <c r="AD2431">
        <v>9</v>
      </c>
      <c r="AE2431" t="s">
        <v>1417</v>
      </c>
      <c r="AF2431">
        <v>50000000</v>
      </c>
      <c r="AG2431" t="s">
        <v>310</v>
      </c>
      <c r="AH2431">
        <f>SUM((MID(Dyno_Data[[#This Row],[Team]],4,5))+(Dyno_Data[[#This Row],[Match]]/100))</f>
        <v>5016.46</v>
      </c>
      <c r="AI2431" s="76">
        <f>ROUND(SUM(IF(Dyno_Data[[#This Row],[AcqCenter]]&gt;0,Dyno_Data[[#This Row],[Time]]-SUMIFS(Dyno_Data[Time],Dyno_Data[Team],Dyno_Data[[#This Row],[Team]],Dyno_Data[RecordType],"StartMatch",Dyno_Data[Match],Dyno_Data[[#This Row],[Match]]),0)*86400),0)</f>
        <v>0</v>
      </c>
    </row>
    <row r="2432" spans="1:35" x14ac:dyDescent="0.3">
      <c r="A2432">
        <v>2431</v>
      </c>
      <c r="B2432" t="s">
        <v>1295</v>
      </c>
      <c r="C2432">
        <v>46</v>
      </c>
      <c r="D2432" s="105">
        <v>45373.694151886571</v>
      </c>
      <c r="E2432" t="s">
        <v>312</v>
      </c>
      <c r="F2432" t="s">
        <v>1402</v>
      </c>
      <c r="G2432">
        <v>0</v>
      </c>
      <c r="H2432" t="s">
        <v>315</v>
      </c>
      <c r="I2432">
        <v>0</v>
      </c>
      <c r="J2432">
        <v>0</v>
      </c>
      <c r="K2432">
        <v>0</v>
      </c>
      <c r="L2432" t="s">
        <v>240</v>
      </c>
      <c r="M2432" t="s">
        <v>1398</v>
      </c>
      <c r="N2432">
        <v>0</v>
      </c>
      <c r="O2432" t="s">
        <v>1391</v>
      </c>
      <c r="P2432" t="s">
        <v>310</v>
      </c>
      <c r="Q2432" t="s">
        <v>310</v>
      </c>
      <c r="R2432" t="s">
        <v>310</v>
      </c>
      <c r="S2432">
        <v>9</v>
      </c>
      <c r="T2432" t="s">
        <v>310</v>
      </c>
      <c r="U2432">
        <v>9</v>
      </c>
      <c r="V2432">
        <v>9</v>
      </c>
      <c r="W2432">
        <v>0</v>
      </c>
      <c r="X2432">
        <v>0</v>
      </c>
      <c r="Y2432">
        <v>0</v>
      </c>
      <c r="Z2432">
        <v>0</v>
      </c>
      <c r="AA2432">
        <v>9</v>
      </c>
      <c r="AB2432">
        <v>9</v>
      </c>
      <c r="AC2432" t="s">
        <v>310</v>
      </c>
      <c r="AD2432">
        <v>9</v>
      </c>
      <c r="AE2432" t="s">
        <v>1416</v>
      </c>
      <c r="AF2432">
        <v>70000000</v>
      </c>
      <c r="AG2432" t="s">
        <v>310</v>
      </c>
      <c r="AH2432">
        <f>SUM((MID(Dyno_Data[[#This Row],[Team]],4,5))+(Dyno_Data[[#This Row],[Match]]/100))</f>
        <v>6300.46</v>
      </c>
      <c r="AI2432" s="76">
        <f>ROUND(SUM(IF(Dyno_Data[[#This Row],[AcqCenter]]&gt;0,Dyno_Data[[#This Row],[Time]]-SUMIFS(Dyno_Data[Time],Dyno_Data[Team],Dyno_Data[[#This Row],[Team]],Dyno_Data[RecordType],"StartMatch",Dyno_Data[Match],Dyno_Data[[#This Row],[Match]]),0)*86400),0)</f>
        <v>0</v>
      </c>
    </row>
    <row r="2433" spans="1:35" x14ac:dyDescent="0.3">
      <c r="A2433">
        <v>2432</v>
      </c>
      <c r="B2433" t="s">
        <v>1303</v>
      </c>
      <c r="C2433">
        <v>46</v>
      </c>
      <c r="D2433" s="105">
        <v>45373.694192511575</v>
      </c>
      <c r="E2433" t="s">
        <v>312</v>
      </c>
      <c r="F2433" t="s">
        <v>1402</v>
      </c>
      <c r="G2433">
        <v>0</v>
      </c>
      <c r="H2433" t="s">
        <v>315</v>
      </c>
      <c r="I2433">
        <v>0</v>
      </c>
      <c r="J2433">
        <v>0</v>
      </c>
      <c r="K2433">
        <v>0</v>
      </c>
      <c r="L2433" t="s">
        <v>241</v>
      </c>
      <c r="M2433" t="s">
        <v>101</v>
      </c>
      <c r="N2433">
        <v>0</v>
      </c>
      <c r="O2433" t="s">
        <v>1395</v>
      </c>
      <c r="P2433" t="s">
        <v>310</v>
      </c>
      <c r="Q2433" t="s">
        <v>310</v>
      </c>
      <c r="R2433" t="s">
        <v>310</v>
      </c>
      <c r="S2433">
        <v>9</v>
      </c>
      <c r="T2433" t="s">
        <v>310</v>
      </c>
      <c r="U2433">
        <v>9</v>
      </c>
      <c r="V2433">
        <v>9</v>
      </c>
      <c r="W2433">
        <v>0</v>
      </c>
      <c r="X2433">
        <v>0</v>
      </c>
      <c r="Y2433">
        <v>0</v>
      </c>
      <c r="Z2433">
        <v>0</v>
      </c>
      <c r="AA2433">
        <v>9</v>
      </c>
      <c r="AB2433">
        <v>9</v>
      </c>
      <c r="AC2433" t="s">
        <v>310</v>
      </c>
      <c r="AD2433">
        <v>9</v>
      </c>
      <c r="AE2433" t="s">
        <v>1412</v>
      </c>
      <c r="AF2433">
        <v>50001000</v>
      </c>
      <c r="AG2433" t="s">
        <v>310</v>
      </c>
      <c r="AH2433">
        <f>SUM((MID(Dyno_Data[[#This Row],[Team]],4,5))+(Dyno_Data[[#This Row],[Match]]/100))</f>
        <v>7605.46</v>
      </c>
      <c r="AI2433" s="76">
        <f>ROUND(SUM(IF(Dyno_Data[[#This Row],[AcqCenter]]&gt;0,Dyno_Data[[#This Row],[Time]]-SUMIFS(Dyno_Data[Time],Dyno_Data[Team],Dyno_Data[[#This Row],[Team]],Dyno_Data[RecordType],"StartMatch",Dyno_Data[Match],Dyno_Data[[#This Row],[Match]]),0)*86400),0)</f>
        <v>0</v>
      </c>
    </row>
    <row r="2434" spans="1:35" x14ac:dyDescent="0.3">
      <c r="A2434">
        <v>2433</v>
      </c>
      <c r="B2434" t="s">
        <v>367</v>
      </c>
      <c r="C2434">
        <v>46</v>
      </c>
      <c r="D2434" s="105">
        <v>45373.694228553242</v>
      </c>
      <c r="E2434" t="s">
        <v>312</v>
      </c>
      <c r="F2434" t="s">
        <v>1402</v>
      </c>
      <c r="G2434">
        <v>0</v>
      </c>
      <c r="H2434" t="s">
        <v>315</v>
      </c>
      <c r="I2434">
        <v>0</v>
      </c>
      <c r="J2434">
        <v>0</v>
      </c>
      <c r="K2434">
        <v>0</v>
      </c>
      <c r="L2434" t="s">
        <v>241</v>
      </c>
      <c r="M2434" t="s">
        <v>101</v>
      </c>
      <c r="N2434">
        <v>0</v>
      </c>
      <c r="O2434" t="s">
        <v>1389</v>
      </c>
      <c r="P2434" t="s">
        <v>310</v>
      </c>
      <c r="Q2434" t="s">
        <v>310</v>
      </c>
      <c r="R2434" t="s">
        <v>310</v>
      </c>
      <c r="S2434">
        <v>9</v>
      </c>
      <c r="T2434" t="s">
        <v>310</v>
      </c>
      <c r="U2434">
        <v>9</v>
      </c>
      <c r="V2434">
        <v>9</v>
      </c>
      <c r="W2434">
        <v>0</v>
      </c>
      <c r="X2434">
        <v>0</v>
      </c>
      <c r="Y2434">
        <v>0</v>
      </c>
      <c r="Z2434">
        <v>0</v>
      </c>
      <c r="AA2434">
        <v>9</v>
      </c>
      <c r="AB2434">
        <v>9</v>
      </c>
      <c r="AC2434" t="s">
        <v>310</v>
      </c>
      <c r="AD2434">
        <v>9</v>
      </c>
      <c r="AE2434" t="s">
        <v>1417</v>
      </c>
      <c r="AF2434">
        <v>60000000</v>
      </c>
      <c r="AG2434" t="s">
        <v>310</v>
      </c>
      <c r="AH2434">
        <f>SUM((MID(Dyno_Data[[#This Row],[Team]],4,5))+(Dyno_Data[[#This Row],[Match]]/100))</f>
        <v>5016.46</v>
      </c>
      <c r="AI2434" s="76">
        <f>ROUND(SUM(IF(Dyno_Data[[#This Row],[AcqCenter]]&gt;0,Dyno_Data[[#This Row],[Time]]-SUMIFS(Dyno_Data[Time],Dyno_Data[Team],Dyno_Data[[#This Row],[Team]],Dyno_Data[RecordType],"StartMatch",Dyno_Data[Match],Dyno_Data[[#This Row],[Match]]),0)*86400),0)</f>
        <v>0</v>
      </c>
    </row>
    <row r="2435" spans="1:35" x14ac:dyDescent="0.3">
      <c r="A2435">
        <v>2434</v>
      </c>
      <c r="B2435" t="s">
        <v>1303</v>
      </c>
      <c r="C2435">
        <v>46</v>
      </c>
      <c r="D2435" s="105">
        <v>45373.694247453706</v>
      </c>
      <c r="E2435" t="s">
        <v>312</v>
      </c>
      <c r="F2435" t="s">
        <v>1402</v>
      </c>
      <c r="G2435">
        <v>0</v>
      </c>
      <c r="H2435" t="s">
        <v>315</v>
      </c>
      <c r="I2435">
        <v>0</v>
      </c>
      <c r="J2435">
        <v>0</v>
      </c>
      <c r="K2435">
        <v>0</v>
      </c>
      <c r="L2435" t="s">
        <v>241</v>
      </c>
      <c r="M2435" t="s">
        <v>1398</v>
      </c>
      <c r="N2435">
        <v>0</v>
      </c>
      <c r="O2435" t="s">
        <v>1395</v>
      </c>
      <c r="P2435" t="s">
        <v>310</v>
      </c>
      <c r="Q2435" t="s">
        <v>310</v>
      </c>
      <c r="R2435" t="s">
        <v>310</v>
      </c>
      <c r="S2435">
        <v>9</v>
      </c>
      <c r="T2435" t="s">
        <v>310</v>
      </c>
      <c r="U2435">
        <v>9</v>
      </c>
      <c r="V2435">
        <v>9</v>
      </c>
      <c r="W2435">
        <v>0</v>
      </c>
      <c r="X2435">
        <v>0</v>
      </c>
      <c r="Y2435">
        <v>0</v>
      </c>
      <c r="Z2435">
        <v>0</v>
      </c>
      <c r="AA2435">
        <v>9</v>
      </c>
      <c r="AB2435">
        <v>9</v>
      </c>
      <c r="AC2435" t="s">
        <v>310</v>
      </c>
      <c r="AD2435">
        <v>9</v>
      </c>
      <c r="AE2435" t="s">
        <v>1412</v>
      </c>
      <c r="AF2435">
        <v>60001000</v>
      </c>
      <c r="AG2435" t="s">
        <v>310</v>
      </c>
      <c r="AH2435">
        <f>SUM((MID(Dyno_Data[[#This Row],[Team]],4,5))+(Dyno_Data[[#This Row],[Match]]/100))</f>
        <v>7605.46</v>
      </c>
      <c r="AI2435" s="76">
        <f>ROUND(SUM(IF(Dyno_Data[[#This Row],[AcqCenter]]&gt;0,Dyno_Data[[#This Row],[Time]]-SUMIFS(Dyno_Data[Time],Dyno_Data[Team],Dyno_Data[[#This Row],[Team]],Dyno_Data[RecordType],"StartMatch",Dyno_Data[Match],Dyno_Data[[#This Row],[Match]]),0)*86400),0)</f>
        <v>0</v>
      </c>
    </row>
    <row r="2436" spans="1:35" x14ac:dyDescent="0.3">
      <c r="A2436">
        <v>2435</v>
      </c>
      <c r="B2436" t="s">
        <v>318</v>
      </c>
      <c r="C2436">
        <v>46</v>
      </c>
      <c r="D2436" s="105">
        <v>45373.694279398151</v>
      </c>
      <c r="E2436" t="s">
        <v>312</v>
      </c>
      <c r="F2436" t="s">
        <v>1402</v>
      </c>
      <c r="G2436">
        <v>0</v>
      </c>
      <c r="H2436" t="s">
        <v>315</v>
      </c>
      <c r="I2436">
        <v>0</v>
      </c>
      <c r="J2436">
        <v>0</v>
      </c>
      <c r="K2436">
        <v>0</v>
      </c>
      <c r="L2436" t="s">
        <v>241</v>
      </c>
      <c r="M2436" t="s">
        <v>1398</v>
      </c>
      <c r="N2436">
        <v>0</v>
      </c>
      <c r="O2436" t="s">
        <v>311</v>
      </c>
      <c r="P2436" t="s">
        <v>310</v>
      </c>
      <c r="Q2436" t="s">
        <v>310</v>
      </c>
      <c r="R2436" t="s">
        <v>310</v>
      </c>
      <c r="S2436">
        <v>9</v>
      </c>
      <c r="T2436" t="s">
        <v>310</v>
      </c>
      <c r="U2436">
        <v>9</v>
      </c>
      <c r="V2436">
        <v>9</v>
      </c>
      <c r="W2436">
        <v>0</v>
      </c>
      <c r="X2436">
        <v>0</v>
      </c>
      <c r="Y2436">
        <v>0</v>
      </c>
      <c r="Z2436">
        <v>0</v>
      </c>
      <c r="AA2436">
        <v>9</v>
      </c>
      <c r="AB2436">
        <v>9</v>
      </c>
      <c r="AC2436" t="s">
        <v>310</v>
      </c>
      <c r="AD2436">
        <v>9</v>
      </c>
      <c r="AE2436" t="s">
        <v>1413</v>
      </c>
      <c r="AF2436">
        <v>60000000</v>
      </c>
      <c r="AG2436" t="s">
        <v>310</v>
      </c>
      <c r="AH2436">
        <f>SUM((MID(Dyno_Data[[#This Row],[Team]],4,5))+(Dyno_Data[[#This Row],[Match]]/100))</f>
        <v>639.46</v>
      </c>
      <c r="AI2436" s="76">
        <f>ROUND(SUM(IF(Dyno_Data[[#This Row],[AcqCenter]]&gt;0,Dyno_Data[[#This Row],[Time]]-SUMIFS(Dyno_Data[Time],Dyno_Data[Team],Dyno_Data[[#This Row],[Team]],Dyno_Data[RecordType],"StartMatch",Dyno_Data[Match],Dyno_Data[[#This Row],[Match]]),0)*86400),0)</f>
        <v>0</v>
      </c>
    </row>
    <row r="2437" spans="1:35" x14ac:dyDescent="0.3">
      <c r="A2437">
        <v>2436</v>
      </c>
      <c r="B2437" t="s">
        <v>1295</v>
      </c>
      <c r="C2437">
        <v>46</v>
      </c>
      <c r="D2437" s="105">
        <v>45373.694319872688</v>
      </c>
      <c r="E2437" t="s">
        <v>312</v>
      </c>
      <c r="F2437" t="s">
        <v>1402</v>
      </c>
      <c r="G2437">
        <v>0</v>
      </c>
      <c r="H2437" t="s">
        <v>315</v>
      </c>
      <c r="I2437">
        <v>0</v>
      </c>
      <c r="J2437">
        <v>0</v>
      </c>
      <c r="K2437">
        <v>0</v>
      </c>
      <c r="L2437" t="s">
        <v>240</v>
      </c>
      <c r="M2437" t="s">
        <v>1398</v>
      </c>
      <c r="N2437">
        <v>0</v>
      </c>
      <c r="O2437" t="s">
        <v>1391</v>
      </c>
      <c r="P2437" t="s">
        <v>310</v>
      </c>
      <c r="Q2437" t="s">
        <v>310</v>
      </c>
      <c r="R2437" t="s">
        <v>310</v>
      </c>
      <c r="S2437">
        <v>9</v>
      </c>
      <c r="T2437" t="s">
        <v>310</v>
      </c>
      <c r="U2437">
        <v>9</v>
      </c>
      <c r="V2437">
        <v>9</v>
      </c>
      <c r="W2437">
        <v>0</v>
      </c>
      <c r="X2437">
        <v>0</v>
      </c>
      <c r="Y2437">
        <v>0</v>
      </c>
      <c r="Z2437">
        <v>0</v>
      </c>
      <c r="AA2437">
        <v>9</v>
      </c>
      <c r="AB2437">
        <v>9</v>
      </c>
      <c r="AC2437" t="s">
        <v>310</v>
      </c>
      <c r="AD2437">
        <v>9</v>
      </c>
      <c r="AE2437" t="s">
        <v>1416</v>
      </c>
      <c r="AF2437">
        <v>80000000</v>
      </c>
      <c r="AG2437" t="s">
        <v>310</v>
      </c>
      <c r="AH2437">
        <f>SUM((MID(Dyno_Data[[#This Row],[Team]],4,5))+(Dyno_Data[[#This Row],[Match]]/100))</f>
        <v>6300.46</v>
      </c>
      <c r="AI2437" s="76">
        <f>ROUND(SUM(IF(Dyno_Data[[#This Row],[AcqCenter]]&gt;0,Dyno_Data[[#This Row],[Time]]-SUMIFS(Dyno_Data[Time],Dyno_Data[Team],Dyno_Data[[#This Row],[Team]],Dyno_Data[RecordType],"StartMatch",Dyno_Data[Match],Dyno_Data[[#This Row],[Match]]),0)*86400),0)</f>
        <v>0</v>
      </c>
    </row>
    <row r="2438" spans="1:35" x14ac:dyDescent="0.3">
      <c r="A2438">
        <v>2437</v>
      </c>
      <c r="B2438" t="s">
        <v>1295</v>
      </c>
      <c r="C2438">
        <v>46</v>
      </c>
      <c r="D2438" s="105">
        <v>45373.694510763889</v>
      </c>
      <c r="E2438" t="s">
        <v>312</v>
      </c>
      <c r="F2438" t="s">
        <v>1402</v>
      </c>
      <c r="G2438">
        <v>0</v>
      </c>
      <c r="H2438" t="s">
        <v>315</v>
      </c>
      <c r="I2438">
        <v>0</v>
      </c>
      <c r="J2438">
        <v>0</v>
      </c>
      <c r="K2438">
        <v>0</v>
      </c>
      <c r="L2438" t="s">
        <v>240</v>
      </c>
      <c r="M2438" t="s">
        <v>1398</v>
      </c>
      <c r="N2438">
        <v>0</v>
      </c>
      <c r="O2438" t="s">
        <v>1391</v>
      </c>
      <c r="P2438" t="s">
        <v>310</v>
      </c>
      <c r="Q2438" t="s">
        <v>310</v>
      </c>
      <c r="R2438" t="s">
        <v>310</v>
      </c>
      <c r="S2438">
        <v>9</v>
      </c>
      <c r="T2438" t="s">
        <v>310</v>
      </c>
      <c r="U2438">
        <v>9</v>
      </c>
      <c r="V2438">
        <v>9</v>
      </c>
      <c r="W2438">
        <v>0</v>
      </c>
      <c r="X2438">
        <v>0</v>
      </c>
      <c r="Y2438">
        <v>0</v>
      </c>
      <c r="Z2438">
        <v>0</v>
      </c>
      <c r="AA2438">
        <v>9</v>
      </c>
      <c r="AB2438">
        <v>9</v>
      </c>
      <c r="AC2438" t="s">
        <v>310</v>
      </c>
      <c r="AD2438">
        <v>9</v>
      </c>
      <c r="AE2438" t="s">
        <v>1416</v>
      </c>
      <c r="AF2438">
        <v>90000000</v>
      </c>
      <c r="AG2438" t="s">
        <v>310</v>
      </c>
      <c r="AH2438">
        <f>SUM((MID(Dyno_Data[[#This Row],[Team]],4,5))+(Dyno_Data[[#This Row],[Match]]/100))</f>
        <v>6300.46</v>
      </c>
      <c r="AI2438" s="76">
        <f>ROUND(SUM(IF(Dyno_Data[[#This Row],[AcqCenter]]&gt;0,Dyno_Data[[#This Row],[Time]]-SUMIFS(Dyno_Data[Time],Dyno_Data[Team],Dyno_Data[[#This Row],[Team]],Dyno_Data[RecordType],"StartMatch",Dyno_Data[Match],Dyno_Data[[#This Row],[Match]]),0)*86400),0)</f>
        <v>0</v>
      </c>
    </row>
    <row r="2439" spans="1:35" x14ac:dyDescent="0.3">
      <c r="A2439">
        <v>2438</v>
      </c>
      <c r="B2439" t="s">
        <v>318</v>
      </c>
      <c r="C2439">
        <v>46</v>
      </c>
      <c r="D2439" s="105">
        <v>45373.694543206017</v>
      </c>
      <c r="E2439" t="s">
        <v>312</v>
      </c>
      <c r="F2439" t="s">
        <v>1402</v>
      </c>
      <c r="G2439">
        <v>0</v>
      </c>
      <c r="H2439" t="s">
        <v>315</v>
      </c>
      <c r="I2439">
        <v>0</v>
      </c>
      <c r="J2439">
        <v>0</v>
      </c>
      <c r="K2439">
        <v>0</v>
      </c>
      <c r="L2439" t="s">
        <v>241</v>
      </c>
      <c r="M2439" t="s">
        <v>1398</v>
      </c>
      <c r="N2439">
        <v>0</v>
      </c>
      <c r="O2439" t="s">
        <v>311</v>
      </c>
      <c r="P2439" t="s">
        <v>310</v>
      </c>
      <c r="Q2439" t="s">
        <v>310</v>
      </c>
      <c r="R2439" t="s">
        <v>310</v>
      </c>
      <c r="S2439">
        <v>9</v>
      </c>
      <c r="T2439" t="s">
        <v>310</v>
      </c>
      <c r="U2439">
        <v>9</v>
      </c>
      <c r="V2439">
        <v>9</v>
      </c>
      <c r="W2439">
        <v>0</v>
      </c>
      <c r="X2439">
        <v>0</v>
      </c>
      <c r="Y2439">
        <v>0</v>
      </c>
      <c r="Z2439">
        <v>0</v>
      </c>
      <c r="AA2439">
        <v>9</v>
      </c>
      <c r="AB2439">
        <v>9</v>
      </c>
      <c r="AC2439" t="s">
        <v>310</v>
      </c>
      <c r="AD2439">
        <v>9</v>
      </c>
      <c r="AE2439" t="s">
        <v>1413</v>
      </c>
      <c r="AF2439">
        <v>70000000</v>
      </c>
      <c r="AG2439" t="s">
        <v>310</v>
      </c>
      <c r="AH2439">
        <f>SUM((MID(Dyno_Data[[#This Row],[Team]],4,5))+(Dyno_Data[[#This Row],[Match]]/100))</f>
        <v>639.46</v>
      </c>
      <c r="AI2439" s="76">
        <f>ROUND(SUM(IF(Dyno_Data[[#This Row],[AcqCenter]]&gt;0,Dyno_Data[[#This Row],[Time]]-SUMIFS(Dyno_Data[Time],Dyno_Data[Team],Dyno_Data[[#This Row],[Team]],Dyno_Data[RecordType],"StartMatch",Dyno_Data[Match],Dyno_Data[[#This Row],[Match]]),0)*86400),0)</f>
        <v>0</v>
      </c>
    </row>
    <row r="2440" spans="1:35" x14ac:dyDescent="0.3">
      <c r="A2440">
        <v>2439</v>
      </c>
      <c r="B2440" t="s">
        <v>1295</v>
      </c>
      <c r="C2440">
        <v>46</v>
      </c>
      <c r="D2440" s="105">
        <v>45373.69465578704</v>
      </c>
      <c r="E2440" t="s">
        <v>312</v>
      </c>
      <c r="F2440" t="s">
        <v>1402</v>
      </c>
      <c r="G2440">
        <v>0</v>
      </c>
      <c r="H2440" t="s">
        <v>315</v>
      </c>
      <c r="I2440">
        <v>0</v>
      </c>
      <c r="J2440">
        <v>0</v>
      </c>
      <c r="K2440">
        <v>0</v>
      </c>
      <c r="L2440" t="s">
        <v>240</v>
      </c>
      <c r="M2440" t="s">
        <v>1398</v>
      </c>
      <c r="N2440">
        <v>1</v>
      </c>
      <c r="O2440" t="s">
        <v>1391</v>
      </c>
      <c r="P2440" t="s">
        <v>310</v>
      </c>
      <c r="Q2440" t="s">
        <v>310</v>
      </c>
      <c r="R2440" t="s">
        <v>310</v>
      </c>
      <c r="S2440">
        <v>9</v>
      </c>
      <c r="T2440" t="s">
        <v>310</v>
      </c>
      <c r="U2440">
        <v>9</v>
      </c>
      <c r="V2440">
        <v>9</v>
      </c>
      <c r="W2440">
        <v>0</v>
      </c>
      <c r="X2440">
        <v>0</v>
      </c>
      <c r="Y2440">
        <v>0</v>
      </c>
      <c r="Z2440">
        <v>0</v>
      </c>
      <c r="AA2440">
        <v>9</v>
      </c>
      <c r="AB2440">
        <v>9</v>
      </c>
      <c r="AC2440" t="s">
        <v>310</v>
      </c>
      <c r="AD2440">
        <v>9</v>
      </c>
      <c r="AE2440" t="s">
        <v>1416</v>
      </c>
      <c r="AF2440">
        <v>100000000</v>
      </c>
      <c r="AG2440" t="s">
        <v>310</v>
      </c>
      <c r="AH2440">
        <f>SUM((MID(Dyno_Data[[#This Row],[Team]],4,5))+(Dyno_Data[[#This Row],[Match]]/100))</f>
        <v>6300.46</v>
      </c>
      <c r="AI2440" s="76">
        <f>ROUND(SUM(IF(Dyno_Data[[#This Row],[AcqCenter]]&gt;0,Dyno_Data[[#This Row],[Time]]-SUMIFS(Dyno_Data[Time],Dyno_Data[Team],Dyno_Data[[#This Row],[Team]],Dyno_Data[RecordType],"StartMatch",Dyno_Data[Match],Dyno_Data[[#This Row],[Match]]),0)*86400),0)</f>
        <v>0</v>
      </c>
    </row>
    <row r="2441" spans="1:35" x14ac:dyDescent="0.3">
      <c r="A2441">
        <v>2440</v>
      </c>
      <c r="B2441" t="s">
        <v>318</v>
      </c>
      <c r="C2441">
        <v>46</v>
      </c>
      <c r="D2441" s="105">
        <v>45373.695629895832</v>
      </c>
      <c r="E2441" t="s">
        <v>316</v>
      </c>
      <c r="F2441" t="s">
        <v>317</v>
      </c>
      <c r="G2441">
        <v>0</v>
      </c>
      <c r="H2441" t="s">
        <v>310</v>
      </c>
      <c r="I2441">
        <v>0</v>
      </c>
      <c r="J2441">
        <v>0</v>
      </c>
      <c r="K2441">
        <v>0</v>
      </c>
      <c r="L2441" t="s">
        <v>310</v>
      </c>
      <c r="M2441" t="s">
        <v>310</v>
      </c>
      <c r="N2441">
        <v>0</v>
      </c>
      <c r="O2441" t="s">
        <v>311</v>
      </c>
      <c r="P2441" t="s">
        <v>1401</v>
      </c>
      <c r="Q2441" t="s">
        <v>1399</v>
      </c>
      <c r="R2441" t="s">
        <v>321</v>
      </c>
      <c r="S2441">
        <v>0</v>
      </c>
      <c r="T2441" t="s">
        <v>105</v>
      </c>
      <c r="U2441">
        <v>9</v>
      </c>
      <c r="V2441">
        <v>9</v>
      </c>
      <c r="W2441">
        <v>0</v>
      </c>
      <c r="X2441">
        <v>58.001441799999995</v>
      </c>
      <c r="Y2441">
        <v>27.448740599999997</v>
      </c>
      <c r="Z2441">
        <v>52.108137799999994</v>
      </c>
      <c r="AA2441">
        <v>0</v>
      </c>
      <c r="AB2441">
        <v>1</v>
      </c>
      <c r="AC2441" t="s">
        <v>174</v>
      </c>
      <c r="AD2441">
        <v>2</v>
      </c>
      <c r="AE2441" t="s">
        <v>1413</v>
      </c>
      <c r="AF2441">
        <v>70000000</v>
      </c>
      <c r="AG2441" t="s">
        <v>310</v>
      </c>
      <c r="AH2441">
        <f>SUM((MID(Dyno_Data[[#This Row],[Team]],4,5))+(Dyno_Data[[#This Row],[Match]]/100))</f>
        <v>639.46</v>
      </c>
      <c r="AI2441" s="76">
        <f>ROUND(SUM(IF(Dyno_Data[[#This Row],[AcqCenter]]&gt;0,Dyno_Data[[#This Row],[Time]]-SUMIFS(Dyno_Data[Time],Dyno_Data[Team],Dyno_Data[[#This Row],[Team]],Dyno_Data[RecordType],"StartMatch",Dyno_Data[Match],Dyno_Data[[#This Row],[Match]]),0)*86400),0)</f>
        <v>0</v>
      </c>
    </row>
    <row r="2442" spans="1:35" x14ac:dyDescent="0.3">
      <c r="A2442">
        <v>2441</v>
      </c>
      <c r="B2442" t="s">
        <v>1295</v>
      </c>
      <c r="C2442">
        <v>46</v>
      </c>
      <c r="D2442" s="105">
        <v>45373.695630011571</v>
      </c>
      <c r="E2442" t="s">
        <v>316</v>
      </c>
      <c r="F2442" t="s">
        <v>317</v>
      </c>
      <c r="G2442">
        <v>1</v>
      </c>
      <c r="H2442" t="s">
        <v>310</v>
      </c>
      <c r="I2442">
        <v>0</v>
      </c>
      <c r="J2442">
        <v>0</v>
      </c>
      <c r="K2442">
        <v>0</v>
      </c>
      <c r="L2442" t="s">
        <v>310</v>
      </c>
      <c r="M2442" t="s">
        <v>310</v>
      </c>
      <c r="N2442">
        <v>0</v>
      </c>
      <c r="O2442" t="s">
        <v>1391</v>
      </c>
      <c r="P2442" t="s">
        <v>101</v>
      </c>
      <c r="Q2442" t="s">
        <v>1400</v>
      </c>
      <c r="R2442" t="s">
        <v>1404</v>
      </c>
      <c r="S2442">
        <v>0</v>
      </c>
      <c r="T2442" t="s">
        <v>105</v>
      </c>
      <c r="U2442">
        <v>9</v>
      </c>
      <c r="V2442">
        <v>9</v>
      </c>
      <c r="W2442">
        <v>0</v>
      </c>
      <c r="X2442">
        <v>40.854066599999996</v>
      </c>
      <c r="Y2442">
        <v>23.154091099999999</v>
      </c>
      <c r="Z2442">
        <v>71.6149159</v>
      </c>
      <c r="AA2442">
        <v>0</v>
      </c>
      <c r="AB2442">
        <v>0</v>
      </c>
      <c r="AC2442" t="s">
        <v>174</v>
      </c>
      <c r="AD2442">
        <v>9</v>
      </c>
      <c r="AE2442" t="s">
        <v>1416</v>
      </c>
      <c r="AF2442">
        <v>100000000</v>
      </c>
      <c r="AG2442" t="s">
        <v>310</v>
      </c>
      <c r="AH2442">
        <f>SUM((MID(Dyno_Data[[#This Row],[Team]],4,5))+(Dyno_Data[[#This Row],[Match]]/100))</f>
        <v>6300.46</v>
      </c>
      <c r="AI2442" s="76">
        <f>ROUND(SUM(IF(Dyno_Data[[#This Row],[AcqCenter]]&gt;0,Dyno_Data[[#This Row],[Time]]-SUMIFS(Dyno_Data[Time],Dyno_Data[Team],Dyno_Data[[#This Row],[Team]],Dyno_Data[RecordType],"StartMatch",Dyno_Data[Match],Dyno_Data[[#This Row],[Match]]),0)*86400),0)</f>
        <v>0</v>
      </c>
    </row>
    <row r="2443" spans="1:35" x14ac:dyDescent="0.3">
      <c r="A2443">
        <v>2442</v>
      </c>
      <c r="B2443" t="s">
        <v>1283</v>
      </c>
      <c r="C2443">
        <v>46</v>
      </c>
      <c r="D2443" s="105">
        <v>45373.695630127317</v>
      </c>
      <c r="E2443" t="s">
        <v>316</v>
      </c>
      <c r="F2443" t="s">
        <v>317</v>
      </c>
      <c r="G2443">
        <v>0</v>
      </c>
      <c r="H2443" t="s">
        <v>310</v>
      </c>
      <c r="I2443">
        <v>0</v>
      </c>
      <c r="J2443">
        <v>0</v>
      </c>
      <c r="K2443">
        <v>0</v>
      </c>
      <c r="L2443" t="s">
        <v>310</v>
      </c>
      <c r="M2443" t="s">
        <v>310</v>
      </c>
      <c r="N2443">
        <v>0</v>
      </c>
      <c r="O2443" t="s">
        <v>319</v>
      </c>
      <c r="P2443" t="s">
        <v>320</v>
      </c>
      <c r="Q2443" t="s">
        <v>1400</v>
      </c>
      <c r="R2443" t="s">
        <v>1404</v>
      </c>
      <c r="S2443">
        <v>0</v>
      </c>
      <c r="T2443" t="s">
        <v>105</v>
      </c>
      <c r="U2443">
        <v>9</v>
      </c>
      <c r="V2443">
        <v>9</v>
      </c>
      <c r="W2443">
        <v>0</v>
      </c>
      <c r="X2443">
        <v>42.812015699999996</v>
      </c>
      <c r="Y2443">
        <v>42.340462899999999</v>
      </c>
      <c r="Z2443">
        <v>52.463744800000001</v>
      </c>
      <c r="AA2443">
        <v>2</v>
      </c>
      <c r="AB2443">
        <v>0</v>
      </c>
      <c r="AC2443" t="s">
        <v>170</v>
      </c>
      <c r="AD2443">
        <v>9</v>
      </c>
      <c r="AE2443" t="s">
        <v>1418</v>
      </c>
      <c r="AF2443">
        <v>0</v>
      </c>
      <c r="AG2443" t="s">
        <v>310</v>
      </c>
      <c r="AH2443">
        <f>SUM((MID(Dyno_Data[[#This Row],[Team]],4,5))+(Dyno_Data[[#This Row],[Match]]/100))</f>
        <v>1601.46</v>
      </c>
      <c r="AI2443" s="76">
        <f>ROUND(SUM(IF(Dyno_Data[[#This Row],[AcqCenter]]&gt;0,Dyno_Data[[#This Row],[Time]]-SUMIFS(Dyno_Data[Time],Dyno_Data[Team],Dyno_Data[[#This Row],[Team]],Dyno_Data[RecordType],"StartMatch",Dyno_Data[Match],Dyno_Data[[#This Row],[Match]]),0)*86400),0)</f>
        <v>0</v>
      </c>
    </row>
    <row r="2444" spans="1:35" x14ac:dyDescent="0.3">
      <c r="A2444">
        <v>2443</v>
      </c>
      <c r="B2444" t="s">
        <v>368</v>
      </c>
      <c r="C2444">
        <v>46</v>
      </c>
      <c r="D2444" s="105">
        <v>45373.695630208334</v>
      </c>
      <c r="E2444" t="s">
        <v>316</v>
      </c>
      <c r="F2444" t="s">
        <v>317</v>
      </c>
      <c r="G2444">
        <v>0</v>
      </c>
      <c r="H2444" t="s">
        <v>310</v>
      </c>
      <c r="I2444">
        <v>0</v>
      </c>
      <c r="J2444">
        <v>0</v>
      </c>
      <c r="K2444">
        <v>0</v>
      </c>
      <c r="L2444" t="s">
        <v>310</v>
      </c>
      <c r="M2444" t="s">
        <v>310</v>
      </c>
      <c r="N2444">
        <v>0</v>
      </c>
      <c r="O2444" t="s">
        <v>1393</v>
      </c>
      <c r="P2444" t="s">
        <v>101</v>
      </c>
      <c r="Q2444" t="s">
        <v>1400</v>
      </c>
      <c r="R2444" t="s">
        <v>1405</v>
      </c>
      <c r="S2444">
        <v>1</v>
      </c>
      <c r="T2444" t="s">
        <v>1407</v>
      </c>
      <c r="U2444">
        <v>0</v>
      </c>
      <c r="V2444">
        <v>0</v>
      </c>
      <c r="W2444">
        <v>5.759563</v>
      </c>
      <c r="X2444">
        <v>27.711103999999999</v>
      </c>
      <c r="Y2444">
        <v>19.288258599999999</v>
      </c>
      <c r="Z2444">
        <v>81.195148599999996</v>
      </c>
      <c r="AA2444">
        <v>0</v>
      </c>
      <c r="AB2444">
        <v>1</v>
      </c>
      <c r="AC2444" t="s">
        <v>174</v>
      </c>
      <c r="AD2444">
        <v>9</v>
      </c>
      <c r="AE2444" t="s">
        <v>1414</v>
      </c>
      <c r="AF2444">
        <v>30000000</v>
      </c>
      <c r="AG2444" t="s">
        <v>310</v>
      </c>
      <c r="AH2444">
        <f>SUM((MID(Dyno_Data[[#This Row],[Team]],4,5))+(Dyno_Data[[#This Row],[Match]]/100))</f>
        <v>6401.46</v>
      </c>
      <c r="AI2444" s="76">
        <f>ROUND(SUM(IF(Dyno_Data[[#This Row],[AcqCenter]]&gt;0,Dyno_Data[[#This Row],[Time]]-SUMIFS(Dyno_Data[Time],Dyno_Data[Team],Dyno_Data[[#This Row],[Team]],Dyno_Data[RecordType],"StartMatch",Dyno_Data[Match],Dyno_Data[[#This Row],[Match]]),0)*86400),0)</f>
        <v>0</v>
      </c>
    </row>
    <row r="2445" spans="1:35" x14ac:dyDescent="0.3">
      <c r="A2445">
        <v>2444</v>
      </c>
      <c r="B2445" t="s">
        <v>367</v>
      </c>
      <c r="C2445">
        <v>46</v>
      </c>
      <c r="D2445" s="105">
        <v>45373.695630324073</v>
      </c>
      <c r="E2445" t="s">
        <v>316</v>
      </c>
      <c r="F2445" t="s">
        <v>317</v>
      </c>
      <c r="G2445">
        <v>0</v>
      </c>
      <c r="H2445" t="s">
        <v>310</v>
      </c>
      <c r="I2445">
        <v>0</v>
      </c>
      <c r="J2445">
        <v>0</v>
      </c>
      <c r="K2445">
        <v>0</v>
      </c>
      <c r="L2445" t="s">
        <v>310</v>
      </c>
      <c r="M2445" t="s">
        <v>310</v>
      </c>
      <c r="N2445">
        <v>0</v>
      </c>
      <c r="O2445" t="s">
        <v>1389</v>
      </c>
      <c r="P2445" t="s">
        <v>1401</v>
      </c>
      <c r="Q2445" t="s">
        <v>1399</v>
      </c>
      <c r="R2445" t="s">
        <v>1405</v>
      </c>
      <c r="S2445">
        <v>1</v>
      </c>
      <c r="T2445" t="s">
        <v>1407</v>
      </c>
      <c r="U2445">
        <v>0</v>
      </c>
      <c r="V2445">
        <v>0</v>
      </c>
      <c r="W2445">
        <v>12.099801099999999</v>
      </c>
      <c r="X2445">
        <v>28.517518799999998</v>
      </c>
      <c r="Y2445">
        <v>11.196951799999999</v>
      </c>
      <c r="Z2445">
        <v>71.102768699999999</v>
      </c>
      <c r="AA2445">
        <v>0</v>
      </c>
      <c r="AB2445">
        <v>0</v>
      </c>
      <c r="AC2445" t="s">
        <v>174</v>
      </c>
      <c r="AD2445">
        <v>0</v>
      </c>
      <c r="AE2445" t="s">
        <v>1417</v>
      </c>
      <c r="AF2445">
        <v>60000000</v>
      </c>
      <c r="AG2445" t="s">
        <v>310</v>
      </c>
      <c r="AH2445">
        <f>SUM((MID(Dyno_Data[[#This Row],[Team]],4,5))+(Dyno_Data[[#This Row],[Match]]/100))</f>
        <v>5016.46</v>
      </c>
      <c r="AI2445" s="76">
        <f>ROUND(SUM(IF(Dyno_Data[[#This Row],[AcqCenter]]&gt;0,Dyno_Data[[#This Row],[Time]]-SUMIFS(Dyno_Data[Time],Dyno_Data[Team],Dyno_Data[[#This Row],[Team]],Dyno_Data[RecordType],"StartMatch",Dyno_Data[Match],Dyno_Data[[#This Row],[Match]]),0)*86400),0)</f>
        <v>0</v>
      </c>
    </row>
    <row r="2446" spans="1:35" x14ac:dyDescent="0.3">
      <c r="A2446">
        <v>2445</v>
      </c>
      <c r="B2446" t="s">
        <v>1303</v>
      </c>
      <c r="C2446">
        <v>46</v>
      </c>
      <c r="D2446" s="105">
        <v>45373.695630439812</v>
      </c>
      <c r="E2446" t="s">
        <v>316</v>
      </c>
      <c r="F2446" t="s">
        <v>317</v>
      </c>
      <c r="G2446">
        <v>1</v>
      </c>
      <c r="H2446" t="s">
        <v>310</v>
      </c>
      <c r="I2446">
        <v>0</v>
      </c>
      <c r="J2446">
        <v>0</v>
      </c>
      <c r="K2446">
        <v>0</v>
      </c>
      <c r="L2446" t="s">
        <v>310</v>
      </c>
      <c r="M2446" t="s">
        <v>310</v>
      </c>
      <c r="N2446">
        <v>0</v>
      </c>
      <c r="O2446" t="s">
        <v>1395</v>
      </c>
      <c r="P2446" t="s">
        <v>240</v>
      </c>
      <c r="Q2446" t="s">
        <v>1400</v>
      </c>
      <c r="R2446" t="s">
        <v>1405</v>
      </c>
      <c r="S2446">
        <v>1</v>
      </c>
      <c r="T2446" t="s">
        <v>1406</v>
      </c>
      <c r="U2446">
        <v>0</v>
      </c>
      <c r="V2446">
        <v>0</v>
      </c>
      <c r="W2446">
        <v>13.0429336</v>
      </c>
      <c r="X2446">
        <v>19.160761099999998</v>
      </c>
      <c r="Y2446">
        <v>9.7076055999999991</v>
      </c>
      <c r="Z2446">
        <v>87.079179199999999</v>
      </c>
      <c r="AA2446">
        <v>0</v>
      </c>
      <c r="AB2446">
        <v>0</v>
      </c>
      <c r="AC2446" t="s">
        <v>173</v>
      </c>
      <c r="AD2446">
        <v>9</v>
      </c>
      <c r="AE2446" t="s">
        <v>1412</v>
      </c>
      <c r="AF2446">
        <v>60001000</v>
      </c>
      <c r="AG2446" t="s">
        <v>310</v>
      </c>
      <c r="AH2446">
        <f>SUM((MID(Dyno_Data[[#This Row],[Team]],4,5))+(Dyno_Data[[#This Row],[Match]]/100))</f>
        <v>7605.46</v>
      </c>
      <c r="AI2446" s="76">
        <f>ROUND(SUM(IF(Dyno_Data[[#This Row],[AcqCenter]]&gt;0,Dyno_Data[[#This Row],[Time]]-SUMIFS(Dyno_Data[Time],Dyno_Data[Team],Dyno_Data[[#This Row],[Team]],Dyno_Data[RecordType],"StartMatch",Dyno_Data[Match],Dyno_Data[[#This Row],[Match]]),0)*86400),0)</f>
        <v>0</v>
      </c>
    </row>
    <row r="2447" spans="1:35" x14ac:dyDescent="0.3">
      <c r="A2447">
        <v>2456</v>
      </c>
      <c r="B2447" t="s">
        <v>1301</v>
      </c>
      <c r="C2447">
        <v>47</v>
      </c>
      <c r="D2447" s="105">
        <v>45373.69900552083</v>
      </c>
      <c r="E2447" t="s">
        <v>308</v>
      </c>
      <c r="F2447" t="s">
        <v>309</v>
      </c>
      <c r="G2447">
        <v>0</v>
      </c>
      <c r="H2447" t="s">
        <v>310</v>
      </c>
      <c r="I2447">
        <v>0</v>
      </c>
      <c r="J2447">
        <v>0</v>
      </c>
      <c r="K2447">
        <v>0</v>
      </c>
      <c r="L2447" t="s">
        <v>310</v>
      </c>
      <c r="M2447" t="s">
        <v>310</v>
      </c>
      <c r="N2447">
        <v>0</v>
      </c>
      <c r="O2447" t="s">
        <v>1395</v>
      </c>
      <c r="P2447" t="s">
        <v>310</v>
      </c>
      <c r="Q2447" t="s">
        <v>310</v>
      </c>
      <c r="R2447" t="s">
        <v>310</v>
      </c>
      <c r="S2447">
        <v>9</v>
      </c>
      <c r="T2447" t="s">
        <v>310</v>
      </c>
      <c r="U2447">
        <v>9</v>
      </c>
      <c r="V2447">
        <v>9</v>
      </c>
      <c r="W2447">
        <v>0</v>
      </c>
      <c r="X2447">
        <v>0</v>
      </c>
      <c r="Y2447">
        <v>0</v>
      </c>
      <c r="Z2447">
        <v>0</v>
      </c>
      <c r="AA2447">
        <v>9</v>
      </c>
      <c r="AB2447">
        <v>9</v>
      </c>
      <c r="AC2447" t="s">
        <v>310</v>
      </c>
      <c r="AD2447">
        <v>9</v>
      </c>
      <c r="AE2447" t="s">
        <v>1412</v>
      </c>
      <c r="AF2447">
        <v>0</v>
      </c>
      <c r="AG2447" t="s">
        <v>310</v>
      </c>
      <c r="AH2447">
        <f>SUM((MID(Dyno_Data[[#This Row],[Team]],4,5))+(Dyno_Data[[#This Row],[Match]]/100))</f>
        <v>7031.47</v>
      </c>
      <c r="AI2447" s="76">
        <f>ROUND(SUM(IF(Dyno_Data[[#This Row],[AcqCenter]]&gt;0,Dyno_Data[[#This Row],[Time]]-SUMIFS(Dyno_Data[Time],Dyno_Data[Team],Dyno_Data[[#This Row],[Team]],Dyno_Data[RecordType],"StartMatch",Dyno_Data[Match],Dyno_Data[[#This Row],[Match]]),0)*86400),0)</f>
        <v>0</v>
      </c>
    </row>
    <row r="2448" spans="1:35" x14ac:dyDescent="0.3">
      <c r="A2448">
        <v>2458</v>
      </c>
      <c r="B2448" t="s">
        <v>365</v>
      </c>
      <c r="C2448">
        <v>47</v>
      </c>
      <c r="D2448" s="105">
        <v>45373.699008333337</v>
      </c>
      <c r="E2448" t="s">
        <v>308</v>
      </c>
      <c r="F2448" t="s">
        <v>309</v>
      </c>
      <c r="G2448">
        <v>0</v>
      </c>
      <c r="H2448" t="s">
        <v>310</v>
      </c>
      <c r="I2448">
        <v>0</v>
      </c>
      <c r="J2448">
        <v>0</v>
      </c>
      <c r="K2448">
        <v>0</v>
      </c>
      <c r="L2448" t="s">
        <v>310</v>
      </c>
      <c r="M2448" t="s">
        <v>310</v>
      </c>
      <c r="N2448">
        <v>0</v>
      </c>
      <c r="O2448" t="s">
        <v>1389</v>
      </c>
      <c r="P2448" t="s">
        <v>310</v>
      </c>
      <c r="Q2448" t="s">
        <v>310</v>
      </c>
      <c r="R2448" t="s">
        <v>310</v>
      </c>
      <c r="S2448">
        <v>9</v>
      </c>
      <c r="T2448" t="s">
        <v>310</v>
      </c>
      <c r="U2448">
        <v>9</v>
      </c>
      <c r="V2448">
        <v>9</v>
      </c>
      <c r="W2448">
        <v>0</v>
      </c>
      <c r="X2448">
        <v>0</v>
      </c>
      <c r="Y2448">
        <v>0</v>
      </c>
      <c r="Z2448">
        <v>0</v>
      </c>
      <c r="AA2448">
        <v>9</v>
      </c>
      <c r="AB2448">
        <v>9</v>
      </c>
      <c r="AC2448" t="s">
        <v>310</v>
      </c>
      <c r="AD2448">
        <v>9</v>
      </c>
      <c r="AE2448" t="s">
        <v>1417</v>
      </c>
      <c r="AF2448">
        <v>10000000</v>
      </c>
      <c r="AG2448" t="s">
        <v>310</v>
      </c>
      <c r="AH2448">
        <f>SUM((MID(Dyno_Data[[#This Row],[Team]],4,5))+(Dyno_Data[[#This Row],[Match]]/100))</f>
        <v>3171.47</v>
      </c>
      <c r="AI2448" s="76">
        <f>ROUND(SUM(IF(Dyno_Data[[#This Row],[AcqCenter]]&gt;0,Dyno_Data[[#This Row],[Time]]-SUMIFS(Dyno_Data[Time],Dyno_Data[Team],Dyno_Data[[#This Row],[Team]],Dyno_Data[RecordType],"StartMatch",Dyno_Data[Match],Dyno_Data[[#This Row],[Match]]),0)*86400),0)</f>
        <v>0</v>
      </c>
    </row>
    <row r="2449" spans="1:35" x14ac:dyDescent="0.3">
      <c r="A2449">
        <v>2460</v>
      </c>
      <c r="B2449" t="s">
        <v>1305</v>
      </c>
      <c r="C2449">
        <v>47</v>
      </c>
      <c r="D2449" s="105">
        <v>45373.699009108794</v>
      </c>
      <c r="E2449" t="s">
        <v>308</v>
      </c>
      <c r="F2449" t="s">
        <v>309</v>
      </c>
      <c r="G2449">
        <v>0</v>
      </c>
      <c r="H2449" t="s">
        <v>310</v>
      </c>
      <c r="I2449">
        <v>0</v>
      </c>
      <c r="J2449">
        <v>0</v>
      </c>
      <c r="K2449">
        <v>0</v>
      </c>
      <c r="L2449" t="s">
        <v>310</v>
      </c>
      <c r="M2449" t="s">
        <v>310</v>
      </c>
      <c r="N2449">
        <v>0</v>
      </c>
      <c r="O2449" t="s">
        <v>1391</v>
      </c>
      <c r="P2449" t="s">
        <v>310</v>
      </c>
      <c r="Q2449" t="s">
        <v>310</v>
      </c>
      <c r="R2449" t="s">
        <v>310</v>
      </c>
      <c r="S2449">
        <v>9</v>
      </c>
      <c r="T2449" t="s">
        <v>310</v>
      </c>
      <c r="U2449">
        <v>9</v>
      </c>
      <c r="V2449">
        <v>9</v>
      </c>
      <c r="W2449">
        <v>0</v>
      </c>
      <c r="X2449">
        <v>0</v>
      </c>
      <c r="Y2449">
        <v>0</v>
      </c>
      <c r="Z2449">
        <v>0</v>
      </c>
      <c r="AA2449">
        <v>9</v>
      </c>
      <c r="AB2449">
        <v>9</v>
      </c>
      <c r="AC2449" t="s">
        <v>310</v>
      </c>
      <c r="AD2449">
        <v>9</v>
      </c>
      <c r="AE2449" t="s">
        <v>1416</v>
      </c>
      <c r="AF2449">
        <v>20001000</v>
      </c>
      <c r="AG2449" t="s">
        <v>310</v>
      </c>
      <c r="AH2449">
        <f>SUM((MID(Dyno_Data[[#This Row],[Team]],4,5))+(Dyno_Data[[#This Row],[Match]]/100))</f>
        <v>3173.47</v>
      </c>
      <c r="AI2449" s="76">
        <f>ROUND(SUM(IF(Dyno_Data[[#This Row],[AcqCenter]]&gt;0,Dyno_Data[[#This Row],[Time]]-SUMIFS(Dyno_Data[Time],Dyno_Data[Team],Dyno_Data[[#This Row],[Team]],Dyno_Data[RecordType],"StartMatch",Dyno_Data[Match],Dyno_Data[[#This Row],[Match]]),0)*86400),0)</f>
        <v>0</v>
      </c>
    </row>
    <row r="2450" spans="1:35" x14ac:dyDescent="0.3">
      <c r="A2450">
        <v>2462</v>
      </c>
      <c r="B2450" t="s">
        <v>1302</v>
      </c>
      <c r="C2450">
        <v>47</v>
      </c>
      <c r="D2450" s="105">
        <v>45373.699013425925</v>
      </c>
      <c r="E2450" t="s">
        <v>308</v>
      </c>
      <c r="F2450" t="s">
        <v>309</v>
      </c>
      <c r="G2450">
        <v>0</v>
      </c>
      <c r="H2450" t="s">
        <v>310</v>
      </c>
      <c r="I2450">
        <v>0</v>
      </c>
      <c r="J2450">
        <v>0</v>
      </c>
      <c r="K2450">
        <v>0</v>
      </c>
      <c r="L2450" t="s">
        <v>310</v>
      </c>
      <c r="M2450" t="s">
        <v>310</v>
      </c>
      <c r="N2450">
        <v>0</v>
      </c>
      <c r="O2450" t="s">
        <v>311</v>
      </c>
      <c r="P2450" t="s">
        <v>310</v>
      </c>
      <c r="Q2450" t="s">
        <v>310</v>
      </c>
      <c r="R2450" t="s">
        <v>310</v>
      </c>
      <c r="S2450">
        <v>9</v>
      </c>
      <c r="T2450" t="s">
        <v>310</v>
      </c>
      <c r="U2450">
        <v>9</v>
      </c>
      <c r="V2450">
        <v>9</v>
      </c>
      <c r="W2450">
        <v>0</v>
      </c>
      <c r="X2450">
        <v>0</v>
      </c>
      <c r="Y2450">
        <v>0</v>
      </c>
      <c r="Z2450">
        <v>0</v>
      </c>
      <c r="AA2450">
        <v>9</v>
      </c>
      <c r="AB2450">
        <v>9</v>
      </c>
      <c r="AC2450" t="s">
        <v>310</v>
      </c>
      <c r="AD2450">
        <v>9</v>
      </c>
      <c r="AE2450" t="s">
        <v>1413</v>
      </c>
      <c r="AF2450">
        <v>0</v>
      </c>
      <c r="AG2450" t="s">
        <v>310</v>
      </c>
      <c r="AH2450">
        <f>SUM((MID(Dyno_Data[[#This Row],[Team]],4,5))+(Dyno_Data[[#This Row],[Match]]/100))</f>
        <v>2095.4699999999998</v>
      </c>
      <c r="AI2450" s="76">
        <f>ROUND(SUM(IF(Dyno_Data[[#This Row],[AcqCenter]]&gt;0,Dyno_Data[[#This Row],[Time]]-SUMIFS(Dyno_Data[Time],Dyno_Data[Team],Dyno_Data[[#This Row],[Team]],Dyno_Data[RecordType],"StartMatch",Dyno_Data[Match],Dyno_Data[[#This Row],[Match]]),0)*86400),0)</f>
        <v>0</v>
      </c>
    </row>
    <row r="2451" spans="1:35" x14ac:dyDescent="0.3">
      <c r="A2451">
        <v>2464</v>
      </c>
      <c r="B2451" t="s">
        <v>1309</v>
      </c>
      <c r="C2451">
        <v>47</v>
      </c>
      <c r="D2451" s="105">
        <v>45373.699015543978</v>
      </c>
      <c r="E2451" t="s">
        <v>308</v>
      </c>
      <c r="F2451" t="s">
        <v>309</v>
      </c>
      <c r="G2451">
        <v>0</v>
      </c>
      <c r="H2451" t="s">
        <v>310</v>
      </c>
      <c r="I2451">
        <v>0</v>
      </c>
      <c r="J2451">
        <v>0</v>
      </c>
      <c r="K2451">
        <v>0</v>
      </c>
      <c r="L2451" t="s">
        <v>310</v>
      </c>
      <c r="M2451" t="s">
        <v>310</v>
      </c>
      <c r="N2451">
        <v>0</v>
      </c>
      <c r="O2451" t="s">
        <v>319</v>
      </c>
      <c r="P2451" t="s">
        <v>310</v>
      </c>
      <c r="Q2451" t="s">
        <v>310</v>
      </c>
      <c r="R2451" t="s">
        <v>310</v>
      </c>
      <c r="S2451">
        <v>9</v>
      </c>
      <c r="T2451" t="s">
        <v>310</v>
      </c>
      <c r="U2451">
        <v>9</v>
      </c>
      <c r="V2451">
        <v>9</v>
      </c>
      <c r="W2451">
        <v>0</v>
      </c>
      <c r="X2451">
        <v>0</v>
      </c>
      <c r="Y2451">
        <v>0</v>
      </c>
      <c r="Z2451">
        <v>0</v>
      </c>
      <c r="AA2451">
        <v>9</v>
      </c>
      <c r="AB2451">
        <v>9</v>
      </c>
      <c r="AC2451" t="s">
        <v>310</v>
      </c>
      <c r="AD2451">
        <v>9</v>
      </c>
      <c r="AE2451" t="s">
        <v>1414</v>
      </c>
      <c r="AF2451">
        <v>0</v>
      </c>
      <c r="AG2451" t="s">
        <v>310</v>
      </c>
      <c r="AH2451">
        <f>SUM((MID(Dyno_Data[[#This Row],[Team]],4,5))+(Dyno_Data[[#This Row],[Match]]/100))</f>
        <v>3550.47</v>
      </c>
      <c r="AI2451" s="76">
        <f>ROUND(SUM(IF(Dyno_Data[[#This Row],[AcqCenter]]&gt;0,Dyno_Data[[#This Row],[Time]]-SUMIFS(Dyno_Data[Time],Dyno_Data[Team],Dyno_Data[[#This Row],[Team]],Dyno_Data[RecordType],"StartMatch",Dyno_Data[Match],Dyno_Data[[#This Row],[Match]]),0)*86400),0)</f>
        <v>0</v>
      </c>
    </row>
    <row r="2452" spans="1:35" x14ac:dyDescent="0.3">
      <c r="A2452">
        <v>2446</v>
      </c>
      <c r="B2452" t="s">
        <v>365</v>
      </c>
      <c r="C2452">
        <v>47</v>
      </c>
      <c r="D2452" s="105">
        <v>45373.699029826392</v>
      </c>
      <c r="E2452" t="s">
        <v>312</v>
      </c>
      <c r="F2452" t="s">
        <v>309</v>
      </c>
      <c r="G2452">
        <v>0</v>
      </c>
      <c r="H2452" t="s">
        <v>1397</v>
      </c>
      <c r="I2452">
        <v>0</v>
      </c>
      <c r="J2452">
        <v>0</v>
      </c>
      <c r="K2452">
        <v>0</v>
      </c>
      <c r="L2452" t="s">
        <v>240</v>
      </c>
      <c r="M2452" t="s">
        <v>1398</v>
      </c>
      <c r="N2452">
        <v>0</v>
      </c>
      <c r="O2452" t="s">
        <v>1389</v>
      </c>
      <c r="P2452" t="s">
        <v>310</v>
      </c>
      <c r="Q2452" t="s">
        <v>310</v>
      </c>
      <c r="R2452" t="s">
        <v>310</v>
      </c>
      <c r="S2452">
        <v>9</v>
      </c>
      <c r="T2452" t="s">
        <v>310</v>
      </c>
      <c r="U2452">
        <v>9</v>
      </c>
      <c r="V2452">
        <v>9</v>
      </c>
      <c r="W2452">
        <v>0</v>
      </c>
      <c r="X2452">
        <v>0</v>
      </c>
      <c r="Y2452">
        <v>0</v>
      </c>
      <c r="Z2452">
        <v>0</v>
      </c>
      <c r="AA2452">
        <v>9</v>
      </c>
      <c r="AB2452">
        <v>9</v>
      </c>
      <c r="AC2452" t="s">
        <v>310</v>
      </c>
      <c r="AD2452">
        <v>9</v>
      </c>
      <c r="AE2452" t="s">
        <v>1417</v>
      </c>
      <c r="AF2452">
        <v>0</v>
      </c>
      <c r="AG2452" t="s">
        <v>310</v>
      </c>
      <c r="AH2452">
        <f>SUM((MID(Dyno_Data[[#This Row],[Team]],4,5))+(Dyno_Data[[#This Row],[Match]]/100))</f>
        <v>3171.47</v>
      </c>
      <c r="AI2452" s="76">
        <f>ROUND(SUM(IF(Dyno_Data[[#This Row],[AcqCenter]]&gt;0,Dyno_Data[[#This Row],[Time]]-SUMIFS(Dyno_Data[Time],Dyno_Data[Team],Dyno_Data[[#This Row],[Team]],Dyno_Data[RecordType],"StartMatch",Dyno_Data[Match],Dyno_Data[[#This Row],[Match]]),0)*86400),0)</f>
        <v>0</v>
      </c>
    </row>
    <row r="2453" spans="1:35" x14ac:dyDescent="0.3">
      <c r="A2453">
        <v>2466</v>
      </c>
      <c r="B2453" t="s">
        <v>1290</v>
      </c>
      <c r="C2453">
        <v>47</v>
      </c>
      <c r="D2453" s="105">
        <v>45373.699037928243</v>
      </c>
      <c r="E2453" t="s">
        <v>308</v>
      </c>
      <c r="F2453" t="s">
        <v>309</v>
      </c>
      <c r="G2453">
        <v>0</v>
      </c>
      <c r="H2453" t="s">
        <v>310</v>
      </c>
      <c r="I2453">
        <v>0</v>
      </c>
      <c r="J2453">
        <v>0</v>
      </c>
      <c r="K2453">
        <v>0</v>
      </c>
      <c r="L2453" t="s">
        <v>310</v>
      </c>
      <c r="M2453" t="s">
        <v>310</v>
      </c>
      <c r="N2453">
        <v>0</v>
      </c>
      <c r="O2453" t="s">
        <v>1393</v>
      </c>
      <c r="P2453" t="s">
        <v>310</v>
      </c>
      <c r="Q2453" t="s">
        <v>310</v>
      </c>
      <c r="R2453" t="s">
        <v>310</v>
      </c>
      <c r="S2453">
        <v>9</v>
      </c>
      <c r="T2453" t="s">
        <v>310</v>
      </c>
      <c r="U2453">
        <v>9</v>
      </c>
      <c r="V2453">
        <v>9</v>
      </c>
      <c r="W2453">
        <v>0</v>
      </c>
      <c r="X2453">
        <v>0</v>
      </c>
      <c r="Y2453">
        <v>0</v>
      </c>
      <c r="Z2453">
        <v>0</v>
      </c>
      <c r="AA2453">
        <v>9</v>
      </c>
      <c r="AB2453">
        <v>9</v>
      </c>
      <c r="AC2453" t="s">
        <v>310</v>
      </c>
      <c r="AD2453">
        <v>9</v>
      </c>
      <c r="AE2453" t="s">
        <v>1418</v>
      </c>
      <c r="AF2453">
        <v>10000000</v>
      </c>
      <c r="AG2453" t="s">
        <v>310</v>
      </c>
      <c r="AH2453">
        <f>SUM((MID(Dyno_Data[[#This Row],[Team]],4,5))+(Dyno_Data[[#This Row],[Match]]/100))</f>
        <v>5881.47</v>
      </c>
      <c r="AI2453" s="76">
        <f>ROUND(SUM(IF(Dyno_Data[[#This Row],[AcqCenter]]&gt;0,Dyno_Data[[#This Row],[Time]]-SUMIFS(Dyno_Data[Time],Dyno_Data[Team],Dyno_Data[[#This Row],[Team]],Dyno_Data[RecordType],"StartMatch",Dyno_Data[Match],Dyno_Data[[#This Row],[Match]]),0)*86400),0)</f>
        <v>0</v>
      </c>
    </row>
    <row r="2454" spans="1:35" x14ac:dyDescent="0.3">
      <c r="A2454">
        <v>2447</v>
      </c>
      <c r="B2454" t="s">
        <v>1305</v>
      </c>
      <c r="C2454">
        <v>47</v>
      </c>
      <c r="D2454" s="105">
        <v>45373.699045752313</v>
      </c>
      <c r="E2454" t="s">
        <v>312</v>
      </c>
      <c r="F2454" t="s">
        <v>309</v>
      </c>
      <c r="G2454">
        <v>0</v>
      </c>
      <c r="H2454" t="s">
        <v>1397</v>
      </c>
      <c r="I2454">
        <v>0</v>
      </c>
      <c r="J2454">
        <v>0</v>
      </c>
      <c r="K2454">
        <v>0</v>
      </c>
      <c r="L2454" t="s">
        <v>241</v>
      </c>
      <c r="M2454" t="s">
        <v>1398</v>
      </c>
      <c r="N2454">
        <v>1</v>
      </c>
      <c r="O2454" t="s">
        <v>1391</v>
      </c>
      <c r="P2454" t="s">
        <v>310</v>
      </c>
      <c r="Q2454" t="s">
        <v>310</v>
      </c>
      <c r="R2454" t="s">
        <v>310</v>
      </c>
      <c r="S2454">
        <v>9</v>
      </c>
      <c r="T2454" t="s">
        <v>310</v>
      </c>
      <c r="U2454">
        <v>9</v>
      </c>
      <c r="V2454">
        <v>9</v>
      </c>
      <c r="W2454">
        <v>0</v>
      </c>
      <c r="X2454">
        <v>0</v>
      </c>
      <c r="Y2454">
        <v>0</v>
      </c>
      <c r="Z2454">
        <v>0</v>
      </c>
      <c r="AA2454">
        <v>9</v>
      </c>
      <c r="AB2454">
        <v>9</v>
      </c>
      <c r="AC2454" t="s">
        <v>310</v>
      </c>
      <c r="AD2454">
        <v>9</v>
      </c>
      <c r="AE2454" t="s">
        <v>1416</v>
      </c>
      <c r="AF2454">
        <v>0</v>
      </c>
      <c r="AG2454" t="s">
        <v>310</v>
      </c>
      <c r="AH2454">
        <f>SUM((MID(Dyno_Data[[#This Row],[Team]],4,5))+(Dyno_Data[[#This Row],[Match]]/100))</f>
        <v>3173.47</v>
      </c>
      <c r="AI2454" s="76">
        <f>ROUND(SUM(IF(Dyno_Data[[#This Row],[AcqCenter]]&gt;0,Dyno_Data[[#This Row],[Time]]-SUMIFS(Dyno_Data[Time],Dyno_Data[Team],Dyno_Data[[#This Row],[Team]],Dyno_Data[RecordType],"StartMatch",Dyno_Data[Match],Dyno_Data[[#This Row],[Match]]),0)*86400),0)</f>
        <v>0</v>
      </c>
    </row>
    <row r="2455" spans="1:35" x14ac:dyDescent="0.3">
      <c r="A2455">
        <v>2448</v>
      </c>
      <c r="B2455" t="s">
        <v>1290</v>
      </c>
      <c r="C2455">
        <v>47</v>
      </c>
      <c r="D2455" s="105">
        <v>45373.699047881943</v>
      </c>
      <c r="E2455" t="s">
        <v>312</v>
      </c>
      <c r="F2455" t="s">
        <v>309</v>
      </c>
      <c r="G2455">
        <v>0</v>
      </c>
      <c r="H2455" t="s">
        <v>1397</v>
      </c>
      <c r="I2455">
        <v>0</v>
      </c>
      <c r="J2455">
        <v>0</v>
      </c>
      <c r="K2455">
        <v>0</v>
      </c>
      <c r="L2455" t="s">
        <v>240</v>
      </c>
      <c r="M2455" t="s">
        <v>1398</v>
      </c>
      <c r="N2455">
        <v>0</v>
      </c>
      <c r="O2455" t="s">
        <v>1393</v>
      </c>
      <c r="P2455" t="s">
        <v>310</v>
      </c>
      <c r="Q2455" t="s">
        <v>310</v>
      </c>
      <c r="R2455" t="s">
        <v>310</v>
      </c>
      <c r="S2455">
        <v>9</v>
      </c>
      <c r="T2455" t="s">
        <v>310</v>
      </c>
      <c r="U2455">
        <v>9</v>
      </c>
      <c r="V2455">
        <v>9</v>
      </c>
      <c r="W2455">
        <v>0</v>
      </c>
      <c r="X2455">
        <v>0</v>
      </c>
      <c r="Y2455">
        <v>0</v>
      </c>
      <c r="Z2455">
        <v>0</v>
      </c>
      <c r="AA2455">
        <v>9</v>
      </c>
      <c r="AB2455">
        <v>9</v>
      </c>
      <c r="AC2455" t="s">
        <v>310</v>
      </c>
      <c r="AD2455">
        <v>9</v>
      </c>
      <c r="AE2455" t="s">
        <v>1418</v>
      </c>
      <c r="AF2455">
        <v>0</v>
      </c>
      <c r="AG2455" t="s">
        <v>310</v>
      </c>
      <c r="AH2455">
        <f>SUM((MID(Dyno_Data[[#This Row],[Team]],4,5))+(Dyno_Data[[#This Row],[Match]]/100))</f>
        <v>5881.47</v>
      </c>
      <c r="AI2455" s="76">
        <f>ROUND(SUM(IF(Dyno_Data[[#This Row],[AcqCenter]]&gt;0,Dyno_Data[[#This Row],[Time]]-SUMIFS(Dyno_Data[Time],Dyno_Data[Team],Dyno_Data[[#This Row],[Team]],Dyno_Data[RecordType],"StartMatch",Dyno_Data[Match],Dyno_Data[[#This Row],[Match]]),0)*86400),0)</f>
        <v>0</v>
      </c>
    </row>
    <row r="2456" spans="1:35" x14ac:dyDescent="0.3">
      <c r="A2456">
        <v>2449</v>
      </c>
      <c r="B2456" t="s">
        <v>1305</v>
      </c>
      <c r="C2456">
        <v>47</v>
      </c>
      <c r="D2456" s="105">
        <v>45373.69906165509</v>
      </c>
      <c r="E2456" t="s">
        <v>312</v>
      </c>
      <c r="F2456" t="s">
        <v>309</v>
      </c>
      <c r="G2456">
        <v>0</v>
      </c>
      <c r="H2456" t="s">
        <v>315</v>
      </c>
      <c r="I2456">
        <v>0</v>
      </c>
      <c r="J2456">
        <v>0</v>
      </c>
      <c r="K2456">
        <v>0</v>
      </c>
      <c r="L2456" t="s">
        <v>241</v>
      </c>
      <c r="M2456" t="s">
        <v>1398</v>
      </c>
      <c r="N2456">
        <v>0</v>
      </c>
      <c r="O2456" t="s">
        <v>1391</v>
      </c>
      <c r="P2456" t="s">
        <v>310</v>
      </c>
      <c r="Q2456" t="s">
        <v>310</v>
      </c>
      <c r="R2456" t="s">
        <v>310</v>
      </c>
      <c r="S2456">
        <v>9</v>
      </c>
      <c r="T2456" t="s">
        <v>310</v>
      </c>
      <c r="U2456">
        <v>9</v>
      </c>
      <c r="V2456">
        <v>9</v>
      </c>
      <c r="W2456">
        <v>0</v>
      </c>
      <c r="X2456">
        <v>0</v>
      </c>
      <c r="Y2456">
        <v>0</v>
      </c>
      <c r="Z2456">
        <v>0</v>
      </c>
      <c r="AA2456">
        <v>9</v>
      </c>
      <c r="AB2456">
        <v>9</v>
      </c>
      <c r="AC2456" t="s">
        <v>310</v>
      </c>
      <c r="AD2456">
        <v>9</v>
      </c>
      <c r="AE2456" t="s">
        <v>1416</v>
      </c>
      <c r="AF2456">
        <v>10000000</v>
      </c>
      <c r="AG2456" t="s">
        <v>310</v>
      </c>
      <c r="AH2456">
        <f>SUM((MID(Dyno_Data[[#This Row],[Team]],4,5))+(Dyno_Data[[#This Row],[Match]]/100))</f>
        <v>3173.47</v>
      </c>
      <c r="AI2456" s="76">
        <f>ROUND(SUM(IF(Dyno_Data[[#This Row],[AcqCenter]]&gt;0,Dyno_Data[[#This Row],[Time]]-SUMIFS(Dyno_Data[Time],Dyno_Data[Team],Dyno_Data[[#This Row],[Team]],Dyno_Data[RecordType],"StartMatch",Dyno_Data[Match],Dyno_Data[[#This Row],[Match]]),0)*86400),0)</f>
        <v>0</v>
      </c>
    </row>
    <row r="2457" spans="1:35" x14ac:dyDescent="0.3">
      <c r="A2457">
        <v>2450</v>
      </c>
      <c r="B2457" t="s">
        <v>1305</v>
      </c>
      <c r="C2457">
        <v>47</v>
      </c>
      <c r="D2457" s="105">
        <v>45373.699080555554</v>
      </c>
      <c r="E2457" t="s">
        <v>312</v>
      </c>
      <c r="F2457" t="s">
        <v>309</v>
      </c>
      <c r="G2457">
        <v>0</v>
      </c>
      <c r="H2457" t="s">
        <v>143</v>
      </c>
      <c r="I2457">
        <v>5</v>
      </c>
      <c r="J2457">
        <v>1</v>
      </c>
      <c r="K2457">
        <v>0</v>
      </c>
      <c r="L2457" t="s">
        <v>310</v>
      </c>
      <c r="M2457" t="s">
        <v>310</v>
      </c>
      <c r="N2457">
        <v>0</v>
      </c>
      <c r="O2457" t="s">
        <v>1391</v>
      </c>
      <c r="P2457" t="s">
        <v>310</v>
      </c>
      <c r="Q2457" t="s">
        <v>310</v>
      </c>
      <c r="R2457" t="s">
        <v>310</v>
      </c>
      <c r="S2457">
        <v>9</v>
      </c>
      <c r="T2457" t="s">
        <v>310</v>
      </c>
      <c r="U2457">
        <v>9</v>
      </c>
      <c r="V2457">
        <v>9</v>
      </c>
      <c r="W2457">
        <v>0</v>
      </c>
      <c r="X2457">
        <v>0</v>
      </c>
      <c r="Y2457">
        <v>0</v>
      </c>
      <c r="Z2457">
        <v>0</v>
      </c>
      <c r="AA2457">
        <v>9</v>
      </c>
      <c r="AB2457">
        <v>9</v>
      </c>
      <c r="AC2457" t="s">
        <v>310</v>
      </c>
      <c r="AD2457">
        <v>9</v>
      </c>
      <c r="AE2457" t="s">
        <v>1416</v>
      </c>
      <c r="AF2457">
        <v>10001000</v>
      </c>
      <c r="AG2457" t="s">
        <v>310</v>
      </c>
      <c r="AH2457">
        <f>SUM((MID(Dyno_Data[[#This Row],[Team]],4,5))+(Dyno_Data[[#This Row],[Match]]/100))</f>
        <v>3173.47</v>
      </c>
      <c r="AI2457" s="76">
        <f>ROUND(SUM(IF(Dyno_Data[[#This Row],[AcqCenter]]&gt;0,Dyno_Data[[#This Row],[Time]]-SUMIFS(Dyno_Data[Time],Dyno_Data[Team],Dyno_Data[[#This Row],[Team]],Dyno_Data[RecordType],"StartMatch",Dyno_Data[Match],Dyno_Data[[#This Row],[Match]]),0)*86400),0)</f>
        <v>6</v>
      </c>
    </row>
    <row r="2458" spans="1:35" x14ac:dyDescent="0.3">
      <c r="A2458">
        <v>2451</v>
      </c>
      <c r="B2458" t="s">
        <v>365</v>
      </c>
      <c r="C2458">
        <v>47</v>
      </c>
      <c r="D2458" s="105">
        <v>45373.699092824078</v>
      </c>
      <c r="E2458" t="s">
        <v>312</v>
      </c>
      <c r="F2458" t="s">
        <v>309</v>
      </c>
      <c r="G2458">
        <v>0</v>
      </c>
      <c r="H2458" t="s">
        <v>315</v>
      </c>
      <c r="I2458">
        <v>0</v>
      </c>
      <c r="J2458">
        <v>0</v>
      </c>
      <c r="K2458">
        <v>0</v>
      </c>
      <c r="L2458" t="s">
        <v>240</v>
      </c>
      <c r="M2458" t="s">
        <v>1398</v>
      </c>
      <c r="N2458">
        <v>0</v>
      </c>
      <c r="O2458" t="s">
        <v>1389</v>
      </c>
      <c r="P2458" t="s">
        <v>310</v>
      </c>
      <c r="Q2458" t="s">
        <v>310</v>
      </c>
      <c r="R2458" t="s">
        <v>310</v>
      </c>
      <c r="S2458">
        <v>9</v>
      </c>
      <c r="T2458" t="s">
        <v>310</v>
      </c>
      <c r="U2458">
        <v>9</v>
      </c>
      <c r="V2458">
        <v>9</v>
      </c>
      <c r="W2458">
        <v>0</v>
      </c>
      <c r="X2458">
        <v>0</v>
      </c>
      <c r="Y2458">
        <v>0</v>
      </c>
      <c r="Z2458">
        <v>0</v>
      </c>
      <c r="AA2458">
        <v>9</v>
      </c>
      <c r="AB2458">
        <v>9</v>
      </c>
      <c r="AC2458" t="s">
        <v>310</v>
      </c>
      <c r="AD2458">
        <v>9</v>
      </c>
      <c r="AE2458" t="s">
        <v>1417</v>
      </c>
      <c r="AF2458">
        <v>10000000</v>
      </c>
      <c r="AG2458" t="s">
        <v>310</v>
      </c>
      <c r="AH2458">
        <f>SUM((MID(Dyno_Data[[#This Row],[Team]],4,5))+(Dyno_Data[[#This Row],[Match]]/100))</f>
        <v>3171.47</v>
      </c>
      <c r="AI2458" s="76">
        <f>ROUND(SUM(IF(Dyno_Data[[#This Row],[AcqCenter]]&gt;0,Dyno_Data[[#This Row],[Time]]-SUMIFS(Dyno_Data[Time],Dyno_Data[Team],Dyno_Data[[#This Row],[Team]],Dyno_Data[RecordType],"StartMatch",Dyno_Data[Match],Dyno_Data[[#This Row],[Match]]),0)*86400),0)</f>
        <v>0</v>
      </c>
    </row>
    <row r="2459" spans="1:35" x14ac:dyDescent="0.3">
      <c r="A2459">
        <v>2452</v>
      </c>
      <c r="B2459" t="s">
        <v>1305</v>
      </c>
      <c r="C2459">
        <v>47</v>
      </c>
      <c r="D2459" s="105">
        <v>45373.699108136578</v>
      </c>
      <c r="E2459" t="s">
        <v>312</v>
      </c>
      <c r="F2459" t="s">
        <v>309</v>
      </c>
      <c r="G2459">
        <v>0</v>
      </c>
      <c r="H2459" t="s">
        <v>143</v>
      </c>
      <c r="I2459">
        <v>0</v>
      </c>
      <c r="J2459">
        <v>0</v>
      </c>
      <c r="K2459">
        <v>0</v>
      </c>
      <c r="L2459" t="s">
        <v>241</v>
      </c>
      <c r="M2459" t="s">
        <v>1398</v>
      </c>
      <c r="N2459">
        <v>0</v>
      </c>
      <c r="O2459" t="s">
        <v>1391</v>
      </c>
      <c r="P2459" t="s">
        <v>310</v>
      </c>
      <c r="Q2459" t="s">
        <v>310</v>
      </c>
      <c r="R2459" t="s">
        <v>310</v>
      </c>
      <c r="S2459">
        <v>9</v>
      </c>
      <c r="T2459" t="s">
        <v>310</v>
      </c>
      <c r="U2459">
        <v>9</v>
      </c>
      <c r="V2459">
        <v>9</v>
      </c>
      <c r="W2459">
        <v>0</v>
      </c>
      <c r="X2459">
        <v>0</v>
      </c>
      <c r="Y2459">
        <v>0</v>
      </c>
      <c r="Z2459">
        <v>0</v>
      </c>
      <c r="AA2459">
        <v>9</v>
      </c>
      <c r="AB2459">
        <v>9</v>
      </c>
      <c r="AC2459" t="s">
        <v>310</v>
      </c>
      <c r="AD2459">
        <v>9</v>
      </c>
      <c r="AE2459" t="s">
        <v>1416</v>
      </c>
      <c r="AF2459">
        <v>10001000</v>
      </c>
      <c r="AG2459" t="s">
        <v>310</v>
      </c>
      <c r="AH2459">
        <f>SUM((MID(Dyno_Data[[#This Row],[Team]],4,5))+(Dyno_Data[[#This Row],[Match]]/100))</f>
        <v>3173.47</v>
      </c>
      <c r="AI2459" s="76">
        <f>ROUND(SUM(IF(Dyno_Data[[#This Row],[AcqCenter]]&gt;0,Dyno_Data[[#This Row],[Time]]-SUMIFS(Dyno_Data[Time],Dyno_Data[Team],Dyno_Data[[#This Row],[Team]],Dyno_Data[RecordType],"StartMatch",Dyno_Data[Match],Dyno_Data[[#This Row],[Match]]),0)*86400),0)</f>
        <v>0</v>
      </c>
    </row>
    <row r="2460" spans="1:35" x14ac:dyDescent="0.3">
      <c r="A2460">
        <v>2453</v>
      </c>
      <c r="B2460" t="s">
        <v>1290</v>
      </c>
      <c r="C2460">
        <v>47</v>
      </c>
      <c r="D2460" s="105">
        <v>45373.699132789348</v>
      </c>
      <c r="E2460" t="s">
        <v>312</v>
      </c>
      <c r="F2460" t="s">
        <v>309</v>
      </c>
      <c r="G2460">
        <v>0</v>
      </c>
      <c r="H2460" t="s">
        <v>315</v>
      </c>
      <c r="I2460">
        <v>0</v>
      </c>
      <c r="J2460">
        <v>0</v>
      </c>
      <c r="K2460">
        <v>0</v>
      </c>
      <c r="L2460" t="s">
        <v>240</v>
      </c>
      <c r="M2460" t="s">
        <v>1398</v>
      </c>
      <c r="N2460">
        <v>0</v>
      </c>
      <c r="O2460" t="s">
        <v>1393</v>
      </c>
      <c r="P2460" t="s">
        <v>310</v>
      </c>
      <c r="Q2460" t="s">
        <v>310</v>
      </c>
      <c r="R2460" t="s">
        <v>310</v>
      </c>
      <c r="S2460">
        <v>9</v>
      </c>
      <c r="T2460" t="s">
        <v>310</v>
      </c>
      <c r="U2460">
        <v>9</v>
      </c>
      <c r="V2460">
        <v>9</v>
      </c>
      <c r="W2460">
        <v>0</v>
      </c>
      <c r="X2460">
        <v>0</v>
      </c>
      <c r="Y2460">
        <v>0</v>
      </c>
      <c r="Z2460">
        <v>0</v>
      </c>
      <c r="AA2460">
        <v>9</v>
      </c>
      <c r="AB2460">
        <v>9</v>
      </c>
      <c r="AC2460" t="s">
        <v>310</v>
      </c>
      <c r="AD2460">
        <v>9</v>
      </c>
      <c r="AE2460" t="s">
        <v>1418</v>
      </c>
      <c r="AF2460">
        <v>10000000</v>
      </c>
      <c r="AG2460" t="s">
        <v>310</v>
      </c>
      <c r="AH2460">
        <f>SUM((MID(Dyno_Data[[#This Row],[Team]],4,5))+(Dyno_Data[[#This Row],[Match]]/100))</f>
        <v>5881.47</v>
      </c>
      <c r="AI2460" s="76">
        <f>ROUND(SUM(IF(Dyno_Data[[#This Row],[AcqCenter]]&gt;0,Dyno_Data[[#This Row],[Time]]-SUMIFS(Dyno_Data[Time],Dyno_Data[Team],Dyno_Data[[#This Row],[Team]],Dyno_Data[RecordType],"StartMatch",Dyno_Data[Match],Dyno_Data[[#This Row],[Match]]),0)*86400),0)</f>
        <v>0</v>
      </c>
    </row>
    <row r="2461" spans="1:35" x14ac:dyDescent="0.3">
      <c r="A2461">
        <v>2454</v>
      </c>
      <c r="B2461" t="s">
        <v>1309</v>
      </c>
      <c r="C2461">
        <v>47</v>
      </c>
      <c r="D2461" s="105">
        <v>45373.69913483796</v>
      </c>
      <c r="E2461" t="s">
        <v>312</v>
      </c>
      <c r="F2461" t="s">
        <v>309</v>
      </c>
      <c r="G2461">
        <v>0</v>
      </c>
      <c r="H2461" t="s">
        <v>1397</v>
      </c>
      <c r="I2461">
        <v>0</v>
      </c>
      <c r="J2461">
        <v>0</v>
      </c>
      <c r="K2461">
        <v>0</v>
      </c>
      <c r="L2461" t="s">
        <v>240</v>
      </c>
      <c r="M2461" t="s">
        <v>1398</v>
      </c>
      <c r="N2461">
        <v>0</v>
      </c>
      <c r="O2461" t="s">
        <v>319</v>
      </c>
      <c r="P2461" t="s">
        <v>310</v>
      </c>
      <c r="Q2461" t="s">
        <v>310</v>
      </c>
      <c r="R2461" t="s">
        <v>310</v>
      </c>
      <c r="S2461">
        <v>9</v>
      </c>
      <c r="T2461" t="s">
        <v>310</v>
      </c>
      <c r="U2461">
        <v>9</v>
      </c>
      <c r="V2461">
        <v>9</v>
      </c>
      <c r="W2461">
        <v>0</v>
      </c>
      <c r="X2461">
        <v>0</v>
      </c>
      <c r="Y2461">
        <v>0</v>
      </c>
      <c r="Z2461">
        <v>0</v>
      </c>
      <c r="AA2461">
        <v>9</v>
      </c>
      <c r="AB2461">
        <v>9</v>
      </c>
      <c r="AC2461" t="s">
        <v>310</v>
      </c>
      <c r="AD2461">
        <v>9</v>
      </c>
      <c r="AE2461" t="s">
        <v>1414</v>
      </c>
      <c r="AF2461">
        <v>0</v>
      </c>
      <c r="AG2461" t="s">
        <v>310</v>
      </c>
      <c r="AH2461">
        <f>SUM((MID(Dyno_Data[[#This Row],[Team]],4,5))+(Dyno_Data[[#This Row],[Match]]/100))</f>
        <v>3550.47</v>
      </c>
      <c r="AI2461" s="76">
        <f>ROUND(SUM(IF(Dyno_Data[[#This Row],[AcqCenter]]&gt;0,Dyno_Data[[#This Row],[Time]]-SUMIFS(Dyno_Data[Time],Dyno_Data[Team],Dyno_Data[[#This Row],[Team]],Dyno_Data[RecordType],"StartMatch",Dyno_Data[Match],Dyno_Data[[#This Row],[Match]]),0)*86400),0)</f>
        <v>0</v>
      </c>
    </row>
    <row r="2462" spans="1:35" x14ac:dyDescent="0.3">
      <c r="A2462">
        <v>2455</v>
      </c>
      <c r="B2462" t="s">
        <v>1305</v>
      </c>
      <c r="C2462">
        <v>47</v>
      </c>
      <c r="D2462" s="105">
        <v>45373.69915015046</v>
      </c>
      <c r="E2462" t="s">
        <v>312</v>
      </c>
      <c r="F2462" t="s">
        <v>309</v>
      </c>
      <c r="G2462">
        <v>0</v>
      </c>
      <c r="H2462" t="s">
        <v>315</v>
      </c>
      <c r="I2462">
        <v>0</v>
      </c>
      <c r="J2462">
        <v>0</v>
      </c>
      <c r="K2462">
        <v>0</v>
      </c>
      <c r="L2462" t="s">
        <v>241</v>
      </c>
      <c r="M2462" t="s">
        <v>1398</v>
      </c>
      <c r="N2462">
        <v>0</v>
      </c>
      <c r="O2462" t="s">
        <v>1391</v>
      </c>
      <c r="P2462" t="s">
        <v>310</v>
      </c>
      <c r="Q2462" t="s">
        <v>310</v>
      </c>
      <c r="R2462" t="s">
        <v>310</v>
      </c>
      <c r="S2462">
        <v>9</v>
      </c>
      <c r="T2462" t="s">
        <v>310</v>
      </c>
      <c r="U2462">
        <v>9</v>
      </c>
      <c r="V2462">
        <v>9</v>
      </c>
      <c r="W2462">
        <v>0</v>
      </c>
      <c r="X2462">
        <v>0</v>
      </c>
      <c r="Y2462">
        <v>0</v>
      </c>
      <c r="Z2462">
        <v>0</v>
      </c>
      <c r="AA2462">
        <v>9</v>
      </c>
      <c r="AB2462">
        <v>9</v>
      </c>
      <c r="AC2462" t="s">
        <v>310</v>
      </c>
      <c r="AD2462">
        <v>9</v>
      </c>
      <c r="AE2462" t="s">
        <v>1416</v>
      </c>
      <c r="AF2462">
        <v>20001000</v>
      </c>
      <c r="AG2462" t="s">
        <v>310</v>
      </c>
      <c r="AH2462">
        <f>SUM((MID(Dyno_Data[[#This Row],[Team]],4,5))+(Dyno_Data[[#This Row],[Match]]/100))</f>
        <v>3173.47</v>
      </c>
      <c r="AI2462" s="76">
        <f>ROUND(SUM(IF(Dyno_Data[[#This Row],[AcqCenter]]&gt;0,Dyno_Data[[#This Row],[Time]]-SUMIFS(Dyno_Data[Time],Dyno_Data[Team],Dyno_Data[[#This Row],[Team]],Dyno_Data[RecordType],"StartMatch",Dyno_Data[Match],Dyno_Data[[#This Row],[Match]]),0)*86400),0)</f>
        <v>0</v>
      </c>
    </row>
    <row r="2463" spans="1:35" x14ac:dyDescent="0.3">
      <c r="A2463">
        <v>2457</v>
      </c>
      <c r="B2463" t="s">
        <v>1301</v>
      </c>
      <c r="C2463">
        <v>47</v>
      </c>
      <c r="D2463" s="105">
        <v>45373.699213854168</v>
      </c>
      <c r="E2463" t="s">
        <v>314</v>
      </c>
      <c r="F2463" t="s">
        <v>309</v>
      </c>
      <c r="G2463">
        <v>0</v>
      </c>
      <c r="H2463" t="s">
        <v>310</v>
      </c>
      <c r="I2463">
        <v>0</v>
      </c>
      <c r="J2463">
        <v>0</v>
      </c>
      <c r="K2463">
        <v>0</v>
      </c>
      <c r="L2463" t="s">
        <v>310</v>
      </c>
      <c r="M2463" t="s">
        <v>310</v>
      </c>
      <c r="N2463">
        <v>0</v>
      </c>
      <c r="O2463" t="s">
        <v>1395</v>
      </c>
      <c r="P2463" t="s">
        <v>320</v>
      </c>
      <c r="Q2463" t="s">
        <v>1400</v>
      </c>
      <c r="R2463" t="s">
        <v>310</v>
      </c>
      <c r="S2463">
        <v>9</v>
      </c>
      <c r="T2463" t="s">
        <v>310</v>
      </c>
      <c r="U2463">
        <v>9</v>
      </c>
      <c r="V2463">
        <v>9</v>
      </c>
      <c r="W2463">
        <v>0</v>
      </c>
      <c r="X2463">
        <v>0</v>
      </c>
      <c r="Y2463">
        <v>0</v>
      </c>
      <c r="Z2463">
        <v>0</v>
      </c>
      <c r="AA2463">
        <v>9</v>
      </c>
      <c r="AB2463">
        <v>9</v>
      </c>
      <c r="AC2463" t="s">
        <v>310</v>
      </c>
      <c r="AD2463">
        <v>9</v>
      </c>
      <c r="AE2463" t="s">
        <v>1412</v>
      </c>
      <c r="AF2463">
        <v>0</v>
      </c>
      <c r="AG2463" t="s">
        <v>310</v>
      </c>
      <c r="AH2463">
        <f>SUM((MID(Dyno_Data[[#This Row],[Team]],4,5))+(Dyno_Data[[#This Row],[Match]]/100))</f>
        <v>7031.47</v>
      </c>
      <c r="AI2463" s="76">
        <f>ROUND(SUM(IF(Dyno_Data[[#This Row],[AcqCenter]]&gt;0,Dyno_Data[[#This Row],[Time]]-SUMIFS(Dyno_Data[Time],Dyno_Data[Team],Dyno_Data[[#This Row],[Team]],Dyno_Data[RecordType],"StartMatch",Dyno_Data[Match],Dyno_Data[[#This Row],[Match]]),0)*86400),0)</f>
        <v>0</v>
      </c>
    </row>
    <row r="2464" spans="1:35" x14ac:dyDescent="0.3">
      <c r="A2464">
        <v>2459</v>
      </c>
      <c r="B2464" t="s">
        <v>365</v>
      </c>
      <c r="C2464">
        <v>47</v>
      </c>
      <c r="D2464" s="105">
        <v>45373.699216666668</v>
      </c>
      <c r="E2464" t="s">
        <v>314</v>
      </c>
      <c r="F2464" t="s">
        <v>309</v>
      </c>
      <c r="G2464">
        <v>1</v>
      </c>
      <c r="H2464" t="s">
        <v>310</v>
      </c>
      <c r="I2464">
        <v>0</v>
      </c>
      <c r="J2464">
        <v>0</v>
      </c>
      <c r="K2464">
        <v>0</v>
      </c>
      <c r="L2464" t="s">
        <v>310</v>
      </c>
      <c r="M2464" t="s">
        <v>310</v>
      </c>
      <c r="N2464">
        <v>0</v>
      </c>
      <c r="O2464" t="s">
        <v>1389</v>
      </c>
      <c r="P2464" t="s">
        <v>240</v>
      </c>
      <c r="Q2464" t="s">
        <v>1399</v>
      </c>
      <c r="R2464" t="s">
        <v>310</v>
      </c>
      <c r="S2464">
        <v>9</v>
      </c>
      <c r="T2464" t="s">
        <v>310</v>
      </c>
      <c r="U2464">
        <v>9</v>
      </c>
      <c r="V2464">
        <v>9</v>
      </c>
      <c r="W2464">
        <v>0</v>
      </c>
      <c r="X2464">
        <v>0</v>
      </c>
      <c r="Y2464">
        <v>0</v>
      </c>
      <c r="Z2464">
        <v>0</v>
      </c>
      <c r="AA2464">
        <v>9</v>
      </c>
      <c r="AB2464">
        <v>9</v>
      </c>
      <c r="AC2464" t="s">
        <v>310</v>
      </c>
      <c r="AD2464">
        <v>9</v>
      </c>
      <c r="AE2464" t="s">
        <v>1417</v>
      </c>
      <c r="AF2464">
        <v>10000000</v>
      </c>
      <c r="AG2464" t="s">
        <v>310</v>
      </c>
      <c r="AH2464">
        <f>SUM((MID(Dyno_Data[[#This Row],[Team]],4,5))+(Dyno_Data[[#This Row],[Match]]/100))</f>
        <v>3171.47</v>
      </c>
      <c r="AI2464" s="76">
        <f>ROUND(SUM(IF(Dyno_Data[[#This Row],[AcqCenter]]&gt;0,Dyno_Data[[#This Row],[Time]]-SUMIFS(Dyno_Data[Time],Dyno_Data[Team],Dyno_Data[[#This Row],[Team]],Dyno_Data[RecordType],"StartMatch",Dyno_Data[Match],Dyno_Data[[#This Row],[Match]]),0)*86400),0)</f>
        <v>0</v>
      </c>
    </row>
    <row r="2465" spans="1:35" x14ac:dyDescent="0.3">
      <c r="A2465">
        <v>2461</v>
      </c>
      <c r="B2465" t="s">
        <v>1305</v>
      </c>
      <c r="C2465">
        <v>47</v>
      </c>
      <c r="D2465" s="105">
        <v>45373.699217442132</v>
      </c>
      <c r="E2465" t="s">
        <v>314</v>
      </c>
      <c r="F2465" t="s">
        <v>309</v>
      </c>
      <c r="G2465">
        <v>1</v>
      </c>
      <c r="H2465" t="s">
        <v>310</v>
      </c>
      <c r="I2465">
        <v>0</v>
      </c>
      <c r="J2465">
        <v>0</v>
      </c>
      <c r="K2465">
        <v>0</v>
      </c>
      <c r="L2465" t="s">
        <v>310</v>
      </c>
      <c r="M2465" t="s">
        <v>310</v>
      </c>
      <c r="N2465">
        <v>0</v>
      </c>
      <c r="O2465" t="s">
        <v>1391</v>
      </c>
      <c r="P2465" t="s">
        <v>101</v>
      </c>
      <c r="Q2465" t="s">
        <v>1400</v>
      </c>
      <c r="R2465" t="s">
        <v>310</v>
      </c>
      <c r="S2465">
        <v>9</v>
      </c>
      <c r="T2465" t="s">
        <v>310</v>
      </c>
      <c r="U2465">
        <v>9</v>
      </c>
      <c r="V2465">
        <v>9</v>
      </c>
      <c r="W2465">
        <v>0</v>
      </c>
      <c r="X2465">
        <v>0</v>
      </c>
      <c r="Y2465">
        <v>0</v>
      </c>
      <c r="Z2465">
        <v>0</v>
      </c>
      <c r="AA2465">
        <v>9</v>
      </c>
      <c r="AB2465">
        <v>9</v>
      </c>
      <c r="AC2465" t="s">
        <v>310</v>
      </c>
      <c r="AD2465">
        <v>9</v>
      </c>
      <c r="AE2465" t="s">
        <v>1416</v>
      </c>
      <c r="AF2465">
        <v>20001000</v>
      </c>
      <c r="AG2465" t="s">
        <v>310</v>
      </c>
      <c r="AH2465">
        <f>SUM((MID(Dyno_Data[[#This Row],[Team]],4,5))+(Dyno_Data[[#This Row],[Match]]/100))</f>
        <v>3173.47</v>
      </c>
      <c r="AI2465" s="76">
        <f>ROUND(SUM(IF(Dyno_Data[[#This Row],[AcqCenter]]&gt;0,Dyno_Data[[#This Row],[Time]]-SUMIFS(Dyno_Data[Time],Dyno_Data[Team],Dyno_Data[[#This Row],[Team]],Dyno_Data[RecordType],"StartMatch",Dyno_Data[Match],Dyno_Data[[#This Row],[Match]]),0)*86400),0)</f>
        <v>0</v>
      </c>
    </row>
    <row r="2466" spans="1:35" x14ac:dyDescent="0.3">
      <c r="A2466">
        <v>2463</v>
      </c>
      <c r="B2466" t="s">
        <v>1302</v>
      </c>
      <c r="C2466">
        <v>47</v>
      </c>
      <c r="D2466" s="105">
        <v>45373.699221759256</v>
      </c>
      <c r="E2466" t="s">
        <v>314</v>
      </c>
      <c r="F2466" t="s">
        <v>309</v>
      </c>
      <c r="G2466">
        <v>1</v>
      </c>
      <c r="H2466" t="s">
        <v>310</v>
      </c>
      <c r="I2466">
        <v>0</v>
      </c>
      <c r="J2466">
        <v>0</v>
      </c>
      <c r="K2466">
        <v>0</v>
      </c>
      <c r="L2466" t="s">
        <v>310</v>
      </c>
      <c r="M2466" t="s">
        <v>310</v>
      </c>
      <c r="N2466">
        <v>0</v>
      </c>
      <c r="O2466" t="s">
        <v>311</v>
      </c>
      <c r="P2466" t="s">
        <v>320</v>
      </c>
      <c r="Q2466" t="s">
        <v>1400</v>
      </c>
      <c r="R2466" t="s">
        <v>310</v>
      </c>
      <c r="S2466">
        <v>9</v>
      </c>
      <c r="T2466" t="s">
        <v>310</v>
      </c>
      <c r="U2466">
        <v>9</v>
      </c>
      <c r="V2466">
        <v>9</v>
      </c>
      <c r="W2466">
        <v>0</v>
      </c>
      <c r="X2466">
        <v>0</v>
      </c>
      <c r="Y2466">
        <v>0</v>
      </c>
      <c r="Z2466">
        <v>0</v>
      </c>
      <c r="AA2466">
        <v>9</v>
      </c>
      <c r="AB2466">
        <v>9</v>
      </c>
      <c r="AC2466" t="s">
        <v>310</v>
      </c>
      <c r="AD2466">
        <v>9</v>
      </c>
      <c r="AE2466" t="s">
        <v>1413</v>
      </c>
      <c r="AF2466">
        <v>0</v>
      </c>
      <c r="AG2466" t="s">
        <v>310</v>
      </c>
      <c r="AH2466">
        <f>SUM((MID(Dyno_Data[[#This Row],[Team]],4,5))+(Dyno_Data[[#This Row],[Match]]/100))</f>
        <v>2095.4699999999998</v>
      </c>
      <c r="AI2466" s="76">
        <f>ROUND(SUM(IF(Dyno_Data[[#This Row],[AcqCenter]]&gt;0,Dyno_Data[[#This Row],[Time]]-SUMIFS(Dyno_Data[Time],Dyno_Data[Team],Dyno_Data[[#This Row],[Team]],Dyno_Data[RecordType],"StartMatch",Dyno_Data[Match],Dyno_Data[[#This Row],[Match]]),0)*86400),0)</f>
        <v>0</v>
      </c>
    </row>
    <row r="2467" spans="1:35" x14ac:dyDescent="0.3">
      <c r="A2467">
        <v>2465</v>
      </c>
      <c r="B2467" t="s">
        <v>1309</v>
      </c>
      <c r="C2467">
        <v>47</v>
      </c>
      <c r="D2467" s="105">
        <v>45373.699223877316</v>
      </c>
      <c r="E2467" t="s">
        <v>314</v>
      </c>
      <c r="F2467" t="s">
        <v>309</v>
      </c>
      <c r="G2467">
        <v>0</v>
      </c>
      <c r="H2467" t="s">
        <v>310</v>
      </c>
      <c r="I2467">
        <v>0</v>
      </c>
      <c r="J2467">
        <v>0</v>
      </c>
      <c r="K2467">
        <v>0</v>
      </c>
      <c r="L2467" t="s">
        <v>310</v>
      </c>
      <c r="M2467" t="s">
        <v>310</v>
      </c>
      <c r="N2467">
        <v>0</v>
      </c>
      <c r="O2467" t="s">
        <v>319</v>
      </c>
      <c r="P2467" t="s">
        <v>1401</v>
      </c>
      <c r="Q2467" t="s">
        <v>1399</v>
      </c>
      <c r="R2467" t="s">
        <v>310</v>
      </c>
      <c r="S2467">
        <v>9</v>
      </c>
      <c r="T2467" t="s">
        <v>310</v>
      </c>
      <c r="U2467">
        <v>9</v>
      </c>
      <c r="V2467">
        <v>9</v>
      </c>
      <c r="W2467">
        <v>0</v>
      </c>
      <c r="X2467">
        <v>0</v>
      </c>
      <c r="Y2467">
        <v>0</v>
      </c>
      <c r="Z2467">
        <v>0</v>
      </c>
      <c r="AA2467">
        <v>9</v>
      </c>
      <c r="AB2467">
        <v>9</v>
      </c>
      <c r="AC2467" t="s">
        <v>310</v>
      </c>
      <c r="AD2467">
        <v>9</v>
      </c>
      <c r="AE2467" t="s">
        <v>1414</v>
      </c>
      <c r="AF2467">
        <v>0</v>
      </c>
      <c r="AG2467" t="s">
        <v>310</v>
      </c>
      <c r="AH2467">
        <f>SUM((MID(Dyno_Data[[#This Row],[Team]],4,5))+(Dyno_Data[[#This Row],[Match]]/100))</f>
        <v>3550.47</v>
      </c>
      <c r="AI2467" s="76">
        <f>ROUND(SUM(IF(Dyno_Data[[#This Row],[AcqCenter]]&gt;0,Dyno_Data[[#This Row],[Time]]-SUMIFS(Dyno_Data[Time],Dyno_Data[Team],Dyno_Data[[#This Row],[Team]],Dyno_Data[RecordType],"StartMatch",Dyno_Data[Match],Dyno_Data[[#This Row],[Match]]),0)*86400),0)</f>
        <v>0</v>
      </c>
    </row>
    <row r="2468" spans="1:35" x14ac:dyDescent="0.3">
      <c r="A2468">
        <v>2467</v>
      </c>
      <c r="B2468" t="s">
        <v>1290</v>
      </c>
      <c r="C2468">
        <v>47</v>
      </c>
      <c r="D2468" s="105">
        <v>45373.699246261574</v>
      </c>
      <c r="E2468" t="s">
        <v>314</v>
      </c>
      <c r="F2468" t="s">
        <v>309</v>
      </c>
      <c r="G2468">
        <v>1</v>
      </c>
      <c r="H2468" t="s">
        <v>310</v>
      </c>
      <c r="I2468">
        <v>0</v>
      </c>
      <c r="J2468">
        <v>0</v>
      </c>
      <c r="K2468">
        <v>0</v>
      </c>
      <c r="L2468" t="s">
        <v>310</v>
      </c>
      <c r="M2468" t="s">
        <v>310</v>
      </c>
      <c r="N2468">
        <v>0</v>
      </c>
      <c r="O2468" t="s">
        <v>1393</v>
      </c>
      <c r="P2468" t="s">
        <v>101</v>
      </c>
      <c r="Q2468" t="s">
        <v>1400</v>
      </c>
      <c r="R2468" t="s">
        <v>310</v>
      </c>
      <c r="S2468">
        <v>9</v>
      </c>
      <c r="T2468" t="s">
        <v>310</v>
      </c>
      <c r="U2468">
        <v>9</v>
      </c>
      <c r="V2468">
        <v>9</v>
      </c>
      <c r="W2468">
        <v>0</v>
      </c>
      <c r="X2468">
        <v>0</v>
      </c>
      <c r="Y2468">
        <v>0</v>
      </c>
      <c r="Z2468">
        <v>0</v>
      </c>
      <c r="AA2468">
        <v>9</v>
      </c>
      <c r="AB2468">
        <v>9</v>
      </c>
      <c r="AC2468" t="s">
        <v>310</v>
      </c>
      <c r="AD2468">
        <v>9</v>
      </c>
      <c r="AE2468" t="s">
        <v>1418</v>
      </c>
      <c r="AF2468">
        <v>10000000</v>
      </c>
      <c r="AG2468" t="s">
        <v>310</v>
      </c>
      <c r="AH2468">
        <f>SUM((MID(Dyno_Data[[#This Row],[Team]],4,5))+(Dyno_Data[[#This Row],[Match]]/100))</f>
        <v>5881.47</v>
      </c>
      <c r="AI2468" s="76">
        <f>ROUND(SUM(IF(Dyno_Data[[#This Row],[AcqCenter]]&gt;0,Dyno_Data[[#This Row],[Time]]-SUMIFS(Dyno_Data[Time],Dyno_Data[Team],Dyno_Data[[#This Row],[Team]],Dyno_Data[RecordType],"StartMatch",Dyno_Data[Match],Dyno_Data[[#This Row],[Match]]),0)*86400),0)</f>
        <v>0</v>
      </c>
    </row>
    <row r="2469" spans="1:35" x14ac:dyDescent="0.3">
      <c r="A2469">
        <v>2468</v>
      </c>
      <c r="B2469" t="s">
        <v>1305</v>
      </c>
      <c r="C2469">
        <v>47</v>
      </c>
      <c r="D2469" s="105">
        <v>45373.699283136571</v>
      </c>
      <c r="E2469" t="s">
        <v>312</v>
      </c>
      <c r="F2469" t="s">
        <v>1402</v>
      </c>
      <c r="G2469">
        <v>0</v>
      </c>
      <c r="H2469" t="s">
        <v>315</v>
      </c>
      <c r="I2469">
        <v>0</v>
      </c>
      <c r="J2469">
        <v>0</v>
      </c>
      <c r="K2469">
        <v>0</v>
      </c>
      <c r="L2469" t="s">
        <v>241</v>
      </c>
      <c r="M2469" t="s">
        <v>101</v>
      </c>
      <c r="N2469">
        <v>0</v>
      </c>
      <c r="O2469" t="s">
        <v>1391</v>
      </c>
      <c r="P2469" t="s">
        <v>310</v>
      </c>
      <c r="Q2469" t="s">
        <v>310</v>
      </c>
      <c r="R2469" t="s">
        <v>310</v>
      </c>
      <c r="S2469">
        <v>9</v>
      </c>
      <c r="T2469" t="s">
        <v>310</v>
      </c>
      <c r="U2469">
        <v>9</v>
      </c>
      <c r="V2469">
        <v>9</v>
      </c>
      <c r="W2469">
        <v>0</v>
      </c>
      <c r="X2469">
        <v>0</v>
      </c>
      <c r="Y2469">
        <v>0</v>
      </c>
      <c r="Z2469">
        <v>0</v>
      </c>
      <c r="AA2469">
        <v>9</v>
      </c>
      <c r="AB2469">
        <v>9</v>
      </c>
      <c r="AC2469" t="s">
        <v>310</v>
      </c>
      <c r="AD2469">
        <v>9</v>
      </c>
      <c r="AE2469" t="s">
        <v>1416</v>
      </c>
      <c r="AF2469">
        <v>30001000</v>
      </c>
      <c r="AG2469" t="s">
        <v>310</v>
      </c>
      <c r="AH2469">
        <f>SUM((MID(Dyno_Data[[#This Row],[Team]],4,5))+(Dyno_Data[[#This Row],[Match]]/100))</f>
        <v>3173.47</v>
      </c>
      <c r="AI2469" s="76">
        <f>ROUND(SUM(IF(Dyno_Data[[#This Row],[AcqCenter]]&gt;0,Dyno_Data[[#This Row],[Time]]-SUMIFS(Dyno_Data[Time],Dyno_Data[Team],Dyno_Data[[#This Row],[Team]],Dyno_Data[RecordType],"StartMatch",Dyno_Data[Match],Dyno_Data[[#This Row],[Match]]),0)*86400),0)</f>
        <v>0</v>
      </c>
    </row>
    <row r="2470" spans="1:35" x14ac:dyDescent="0.3">
      <c r="A2470">
        <v>2469</v>
      </c>
      <c r="B2470" t="s">
        <v>1290</v>
      </c>
      <c r="C2470">
        <v>47</v>
      </c>
      <c r="D2470" s="105">
        <v>45373.699364386572</v>
      </c>
      <c r="E2470" t="s">
        <v>312</v>
      </c>
      <c r="F2470" t="s">
        <v>1402</v>
      </c>
      <c r="G2470">
        <v>0</v>
      </c>
      <c r="H2470" t="s">
        <v>315</v>
      </c>
      <c r="I2470">
        <v>0</v>
      </c>
      <c r="J2470">
        <v>0</v>
      </c>
      <c r="K2470">
        <v>0</v>
      </c>
      <c r="L2470" t="s">
        <v>240</v>
      </c>
      <c r="M2470" t="s">
        <v>1398</v>
      </c>
      <c r="N2470">
        <v>1</v>
      </c>
      <c r="O2470" t="s">
        <v>1393</v>
      </c>
      <c r="P2470" t="s">
        <v>310</v>
      </c>
      <c r="Q2470" t="s">
        <v>310</v>
      </c>
      <c r="R2470" t="s">
        <v>310</v>
      </c>
      <c r="S2470">
        <v>9</v>
      </c>
      <c r="T2470" t="s">
        <v>310</v>
      </c>
      <c r="U2470">
        <v>9</v>
      </c>
      <c r="V2470">
        <v>9</v>
      </c>
      <c r="W2470">
        <v>0</v>
      </c>
      <c r="X2470">
        <v>0</v>
      </c>
      <c r="Y2470">
        <v>0</v>
      </c>
      <c r="Z2470">
        <v>0</v>
      </c>
      <c r="AA2470">
        <v>9</v>
      </c>
      <c r="AB2470">
        <v>9</v>
      </c>
      <c r="AC2470" t="s">
        <v>310</v>
      </c>
      <c r="AD2470">
        <v>9</v>
      </c>
      <c r="AE2470" t="s">
        <v>1418</v>
      </c>
      <c r="AF2470">
        <v>20000000</v>
      </c>
      <c r="AG2470" t="s">
        <v>310</v>
      </c>
      <c r="AH2470">
        <f>SUM((MID(Dyno_Data[[#This Row],[Team]],4,5))+(Dyno_Data[[#This Row],[Match]]/100))</f>
        <v>5881.47</v>
      </c>
      <c r="AI2470" s="76">
        <f>ROUND(SUM(IF(Dyno_Data[[#This Row],[AcqCenter]]&gt;0,Dyno_Data[[#This Row],[Time]]-SUMIFS(Dyno_Data[Time],Dyno_Data[Team],Dyno_Data[[#This Row],[Team]],Dyno_Data[RecordType],"StartMatch",Dyno_Data[Match],Dyno_Data[[#This Row],[Match]]),0)*86400),0)</f>
        <v>0</v>
      </c>
    </row>
    <row r="2471" spans="1:35" x14ac:dyDescent="0.3">
      <c r="A2471">
        <v>2470</v>
      </c>
      <c r="B2471" t="s">
        <v>1305</v>
      </c>
      <c r="C2471">
        <v>47</v>
      </c>
      <c r="D2471" s="105">
        <v>45373.699392048613</v>
      </c>
      <c r="E2471" t="s">
        <v>312</v>
      </c>
      <c r="F2471" t="s">
        <v>1402</v>
      </c>
      <c r="G2471">
        <v>0</v>
      </c>
      <c r="H2471" t="s">
        <v>315</v>
      </c>
      <c r="I2471">
        <v>0</v>
      </c>
      <c r="J2471">
        <v>0</v>
      </c>
      <c r="K2471">
        <v>0</v>
      </c>
      <c r="L2471" t="s">
        <v>241</v>
      </c>
      <c r="M2471" t="s">
        <v>101</v>
      </c>
      <c r="N2471">
        <v>0</v>
      </c>
      <c r="O2471" t="s">
        <v>1391</v>
      </c>
      <c r="P2471" t="s">
        <v>310</v>
      </c>
      <c r="Q2471" t="s">
        <v>310</v>
      </c>
      <c r="R2471" t="s">
        <v>310</v>
      </c>
      <c r="S2471">
        <v>9</v>
      </c>
      <c r="T2471" t="s">
        <v>310</v>
      </c>
      <c r="U2471">
        <v>9</v>
      </c>
      <c r="V2471">
        <v>9</v>
      </c>
      <c r="W2471">
        <v>0</v>
      </c>
      <c r="X2471">
        <v>0</v>
      </c>
      <c r="Y2471">
        <v>0</v>
      </c>
      <c r="Z2471">
        <v>0</v>
      </c>
      <c r="AA2471">
        <v>9</v>
      </c>
      <c r="AB2471">
        <v>9</v>
      </c>
      <c r="AC2471" t="s">
        <v>310</v>
      </c>
      <c r="AD2471">
        <v>9</v>
      </c>
      <c r="AE2471" t="s">
        <v>1416</v>
      </c>
      <c r="AF2471">
        <v>40001000</v>
      </c>
      <c r="AG2471" t="s">
        <v>310</v>
      </c>
      <c r="AH2471">
        <f>SUM((MID(Dyno_Data[[#This Row],[Team]],4,5))+(Dyno_Data[[#This Row],[Match]]/100))</f>
        <v>3173.47</v>
      </c>
      <c r="AI2471" s="76">
        <f>ROUND(SUM(IF(Dyno_Data[[#This Row],[AcqCenter]]&gt;0,Dyno_Data[[#This Row],[Time]]-SUMIFS(Dyno_Data[Time],Dyno_Data[Team],Dyno_Data[[#This Row],[Team]],Dyno_Data[RecordType],"StartMatch",Dyno_Data[Match],Dyno_Data[[#This Row],[Match]]),0)*86400),0)</f>
        <v>0</v>
      </c>
    </row>
    <row r="2472" spans="1:35" x14ac:dyDescent="0.3">
      <c r="A2472">
        <v>2471</v>
      </c>
      <c r="B2472" t="s">
        <v>1302</v>
      </c>
      <c r="C2472">
        <v>47</v>
      </c>
      <c r="D2472" s="105">
        <v>45373.699397800927</v>
      </c>
      <c r="E2472" t="s">
        <v>312</v>
      </c>
      <c r="F2472" t="s">
        <v>1402</v>
      </c>
      <c r="G2472">
        <v>0</v>
      </c>
      <c r="H2472" t="s">
        <v>1397</v>
      </c>
      <c r="I2472">
        <v>0</v>
      </c>
      <c r="J2472">
        <v>0</v>
      </c>
      <c r="K2472">
        <v>0</v>
      </c>
      <c r="L2472" t="s">
        <v>241</v>
      </c>
      <c r="M2472" t="s">
        <v>1398</v>
      </c>
      <c r="N2472">
        <v>0</v>
      </c>
      <c r="O2472" t="s">
        <v>311</v>
      </c>
      <c r="P2472" t="s">
        <v>310</v>
      </c>
      <c r="Q2472" t="s">
        <v>310</v>
      </c>
      <c r="R2472" t="s">
        <v>310</v>
      </c>
      <c r="S2472">
        <v>9</v>
      </c>
      <c r="T2472" t="s">
        <v>310</v>
      </c>
      <c r="U2472">
        <v>9</v>
      </c>
      <c r="V2472">
        <v>9</v>
      </c>
      <c r="W2472">
        <v>0</v>
      </c>
      <c r="X2472">
        <v>0</v>
      </c>
      <c r="Y2472">
        <v>0</v>
      </c>
      <c r="Z2472">
        <v>0</v>
      </c>
      <c r="AA2472">
        <v>9</v>
      </c>
      <c r="AB2472">
        <v>9</v>
      </c>
      <c r="AC2472" t="s">
        <v>310</v>
      </c>
      <c r="AD2472">
        <v>9</v>
      </c>
      <c r="AE2472" t="s">
        <v>1413</v>
      </c>
      <c r="AF2472">
        <v>0</v>
      </c>
      <c r="AG2472" t="s">
        <v>310</v>
      </c>
      <c r="AH2472">
        <f>SUM((MID(Dyno_Data[[#This Row],[Team]],4,5))+(Dyno_Data[[#This Row],[Match]]/100))</f>
        <v>2095.4699999999998</v>
      </c>
      <c r="AI2472" s="76">
        <f>ROUND(SUM(IF(Dyno_Data[[#This Row],[AcqCenter]]&gt;0,Dyno_Data[[#This Row],[Time]]-SUMIFS(Dyno_Data[Time],Dyno_Data[Team],Dyno_Data[[#This Row],[Team]],Dyno_Data[RecordType],"StartMatch",Dyno_Data[Match],Dyno_Data[[#This Row],[Match]]),0)*86400),0)</f>
        <v>0</v>
      </c>
    </row>
    <row r="2473" spans="1:35" x14ac:dyDescent="0.3">
      <c r="A2473">
        <v>2472</v>
      </c>
      <c r="B2473" t="s">
        <v>1305</v>
      </c>
      <c r="C2473">
        <v>47</v>
      </c>
      <c r="D2473" s="105">
        <v>45373.699499074071</v>
      </c>
      <c r="E2473" t="s">
        <v>312</v>
      </c>
      <c r="F2473" t="s">
        <v>1402</v>
      </c>
      <c r="G2473">
        <v>0</v>
      </c>
      <c r="H2473" t="s">
        <v>315</v>
      </c>
      <c r="I2473">
        <v>0</v>
      </c>
      <c r="J2473">
        <v>0</v>
      </c>
      <c r="K2473">
        <v>0</v>
      </c>
      <c r="L2473" t="s">
        <v>241</v>
      </c>
      <c r="M2473" t="s">
        <v>101</v>
      </c>
      <c r="N2473">
        <v>0</v>
      </c>
      <c r="O2473" t="s">
        <v>1391</v>
      </c>
      <c r="P2473" t="s">
        <v>310</v>
      </c>
      <c r="Q2473" t="s">
        <v>310</v>
      </c>
      <c r="R2473" t="s">
        <v>310</v>
      </c>
      <c r="S2473">
        <v>9</v>
      </c>
      <c r="T2473" t="s">
        <v>310</v>
      </c>
      <c r="U2473">
        <v>9</v>
      </c>
      <c r="V2473">
        <v>9</v>
      </c>
      <c r="W2473">
        <v>0</v>
      </c>
      <c r="X2473">
        <v>0</v>
      </c>
      <c r="Y2473">
        <v>0</v>
      </c>
      <c r="Z2473">
        <v>0</v>
      </c>
      <c r="AA2473">
        <v>9</v>
      </c>
      <c r="AB2473">
        <v>9</v>
      </c>
      <c r="AC2473" t="s">
        <v>310</v>
      </c>
      <c r="AD2473">
        <v>9</v>
      </c>
      <c r="AE2473" t="s">
        <v>1416</v>
      </c>
      <c r="AF2473">
        <v>50001000</v>
      </c>
      <c r="AG2473" t="s">
        <v>310</v>
      </c>
      <c r="AH2473">
        <f>SUM((MID(Dyno_Data[[#This Row],[Team]],4,5))+(Dyno_Data[[#This Row],[Match]]/100))</f>
        <v>3173.47</v>
      </c>
      <c r="AI2473" s="76">
        <f>ROUND(SUM(IF(Dyno_Data[[#This Row],[AcqCenter]]&gt;0,Dyno_Data[[#This Row],[Time]]-SUMIFS(Dyno_Data[Time],Dyno_Data[Team],Dyno_Data[[#This Row],[Team]],Dyno_Data[RecordType],"StartMatch",Dyno_Data[Match],Dyno_Data[[#This Row],[Match]]),0)*86400),0)</f>
        <v>0</v>
      </c>
    </row>
    <row r="2474" spans="1:35" x14ac:dyDescent="0.3">
      <c r="A2474">
        <v>2473</v>
      </c>
      <c r="B2474" t="s">
        <v>1305</v>
      </c>
      <c r="C2474">
        <v>47</v>
      </c>
      <c r="D2474" s="105">
        <v>45373.699660104168</v>
      </c>
      <c r="E2474" t="s">
        <v>312</v>
      </c>
      <c r="F2474" t="s">
        <v>1402</v>
      </c>
      <c r="G2474">
        <v>0</v>
      </c>
      <c r="H2474" t="s">
        <v>315</v>
      </c>
      <c r="I2474">
        <v>0</v>
      </c>
      <c r="J2474">
        <v>0</v>
      </c>
      <c r="K2474">
        <v>0</v>
      </c>
      <c r="L2474" t="s">
        <v>241</v>
      </c>
      <c r="M2474" t="s">
        <v>1398</v>
      </c>
      <c r="N2474">
        <v>0</v>
      </c>
      <c r="O2474" t="s">
        <v>1391</v>
      </c>
      <c r="P2474" t="s">
        <v>310</v>
      </c>
      <c r="Q2474" t="s">
        <v>310</v>
      </c>
      <c r="R2474" t="s">
        <v>310</v>
      </c>
      <c r="S2474">
        <v>9</v>
      </c>
      <c r="T2474" t="s">
        <v>310</v>
      </c>
      <c r="U2474">
        <v>9</v>
      </c>
      <c r="V2474">
        <v>9</v>
      </c>
      <c r="W2474">
        <v>0</v>
      </c>
      <c r="X2474">
        <v>0</v>
      </c>
      <c r="Y2474">
        <v>0</v>
      </c>
      <c r="Z2474">
        <v>0</v>
      </c>
      <c r="AA2474">
        <v>9</v>
      </c>
      <c r="AB2474">
        <v>9</v>
      </c>
      <c r="AC2474" t="s">
        <v>310</v>
      </c>
      <c r="AD2474">
        <v>9</v>
      </c>
      <c r="AE2474" t="s">
        <v>1416</v>
      </c>
      <c r="AF2474">
        <v>60001000</v>
      </c>
      <c r="AG2474" t="s">
        <v>310</v>
      </c>
      <c r="AH2474">
        <f>SUM((MID(Dyno_Data[[#This Row],[Team]],4,5))+(Dyno_Data[[#This Row],[Match]]/100))</f>
        <v>3173.47</v>
      </c>
      <c r="AI2474" s="76">
        <f>ROUND(SUM(IF(Dyno_Data[[#This Row],[AcqCenter]]&gt;0,Dyno_Data[[#This Row],[Time]]-SUMIFS(Dyno_Data[Time],Dyno_Data[Team],Dyno_Data[[#This Row],[Team]],Dyno_Data[RecordType],"StartMatch",Dyno_Data[Match],Dyno_Data[[#This Row],[Match]]),0)*86400),0)</f>
        <v>0</v>
      </c>
    </row>
    <row r="2475" spans="1:35" x14ac:dyDescent="0.3">
      <c r="A2475">
        <v>2474</v>
      </c>
      <c r="B2475" t="s">
        <v>1309</v>
      </c>
      <c r="C2475">
        <v>47</v>
      </c>
      <c r="D2475" s="105">
        <v>45373.699671562499</v>
      </c>
      <c r="E2475" t="s">
        <v>1403</v>
      </c>
      <c r="F2475" t="s">
        <v>1402</v>
      </c>
      <c r="G2475">
        <v>0</v>
      </c>
      <c r="H2475" t="s">
        <v>310</v>
      </c>
      <c r="I2475">
        <v>0</v>
      </c>
      <c r="J2475">
        <v>0</v>
      </c>
      <c r="K2475">
        <v>0</v>
      </c>
      <c r="L2475" t="s">
        <v>310</v>
      </c>
      <c r="M2475" t="s">
        <v>310</v>
      </c>
      <c r="N2475">
        <v>0</v>
      </c>
      <c r="O2475" t="s">
        <v>319</v>
      </c>
      <c r="P2475" t="s">
        <v>310</v>
      </c>
      <c r="Q2475" t="s">
        <v>310</v>
      </c>
      <c r="R2475" t="s">
        <v>310</v>
      </c>
      <c r="S2475">
        <v>9</v>
      </c>
      <c r="T2475" t="s">
        <v>310</v>
      </c>
      <c r="U2475">
        <v>9</v>
      </c>
      <c r="V2475">
        <v>9</v>
      </c>
      <c r="W2475">
        <v>0</v>
      </c>
      <c r="X2475">
        <v>0</v>
      </c>
      <c r="Y2475">
        <v>0</v>
      </c>
      <c r="Z2475">
        <v>0</v>
      </c>
      <c r="AA2475">
        <v>9</v>
      </c>
      <c r="AB2475">
        <v>9</v>
      </c>
      <c r="AC2475" t="s">
        <v>310</v>
      </c>
      <c r="AD2475">
        <v>9</v>
      </c>
      <c r="AE2475" t="s">
        <v>1414</v>
      </c>
      <c r="AF2475">
        <v>60001000</v>
      </c>
      <c r="AG2475" t="s">
        <v>249</v>
      </c>
      <c r="AH2475">
        <f>SUM((MID(Dyno_Data[[#This Row],[Team]],4,5))+(Dyno_Data[[#This Row],[Match]]/100))</f>
        <v>3550.47</v>
      </c>
      <c r="AI2475" s="76">
        <f>ROUND(SUM(IF(Dyno_Data[[#This Row],[AcqCenter]]&gt;0,Dyno_Data[[#This Row],[Time]]-SUMIFS(Dyno_Data[Time],Dyno_Data[Team],Dyno_Data[[#This Row],[Team]],Dyno_Data[RecordType],"StartMatch",Dyno_Data[Match],Dyno_Data[[#This Row],[Match]]),0)*86400),0)</f>
        <v>0</v>
      </c>
    </row>
    <row r="2476" spans="1:35" x14ac:dyDescent="0.3">
      <c r="A2476">
        <v>2475</v>
      </c>
      <c r="B2476" t="s">
        <v>1305</v>
      </c>
      <c r="C2476">
        <v>47</v>
      </c>
      <c r="D2476" s="105">
        <v>45373.699728900465</v>
      </c>
      <c r="E2476" t="s">
        <v>312</v>
      </c>
      <c r="F2476" t="s">
        <v>1402</v>
      </c>
      <c r="G2476">
        <v>0</v>
      </c>
      <c r="H2476" t="s">
        <v>315</v>
      </c>
      <c r="I2476">
        <v>0</v>
      </c>
      <c r="J2476">
        <v>0</v>
      </c>
      <c r="K2476">
        <v>0</v>
      </c>
      <c r="L2476" t="s">
        <v>241</v>
      </c>
      <c r="M2476" t="s">
        <v>1398</v>
      </c>
      <c r="N2476">
        <v>0</v>
      </c>
      <c r="O2476" t="s">
        <v>1391</v>
      </c>
      <c r="P2476" t="s">
        <v>310</v>
      </c>
      <c r="Q2476" t="s">
        <v>310</v>
      </c>
      <c r="R2476" t="s">
        <v>310</v>
      </c>
      <c r="S2476">
        <v>9</v>
      </c>
      <c r="T2476" t="s">
        <v>310</v>
      </c>
      <c r="U2476">
        <v>9</v>
      </c>
      <c r="V2476">
        <v>9</v>
      </c>
      <c r="W2476">
        <v>0</v>
      </c>
      <c r="X2476">
        <v>0</v>
      </c>
      <c r="Y2476">
        <v>0</v>
      </c>
      <c r="Z2476">
        <v>0</v>
      </c>
      <c r="AA2476">
        <v>9</v>
      </c>
      <c r="AB2476">
        <v>9</v>
      </c>
      <c r="AC2476" t="s">
        <v>310</v>
      </c>
      <c r="AD2476">
        <v>9</v>
      </c>
      <c r="AE2476" t="s">
        <v>1416</v>
      </c>
      <c r="AF2476">
        <v>70001000</v>
      </c>
      <c r="AG2476" t="s">
        <v>310</v>
      </c>
      <c r="AH2476">
        <f>SUM((MID(Dyno_Data[[#This Row],[Team]],4,5))+(Dyno_Data[[#This Row],[Match]]/100))</f>
        <v>3173.47</v>
      </c>
      <c r="AI2476" s="76">
        <f>ROUND(SUM(IF(Dyno_Data[[#This Row],[AcqCenter]]&gt;0,Dyno_Data[[#This Row],[Time]]-SUMIFS(Dyno_Data[Time],Dyno_Data[Team],Dyno_Data[[#This Row],[Team]],Dyno_Data[RecordType],"StartMatch",Dyno_Data[Match],Dyno_Data[[#This Row],[Match]]),0)*86400),0)</f>
        <v>0</v>
      </c>
    </row>
    <row r="2477" spans="1:35" x14ac:dyDescent="0.3">
      <c r="A2477">
        <v>2476</v>
      </c>
      <c r="B2477" t="s">
        <v>1302</v>
      </c>
      <c r="C2477">
        <v>47</v>
      </c>
      <c r="D2477" s="105">
        <v>45373.699791203704</v>
      </c>
      <c r="E2477" t="s">
        <v>1403</v>
      </c>
      <c r="F2477" t="s">
        <v>1402</v>
      </c>
      <c r="G2477">
        <v>0</v>
      </c>
      <c r="H2477" t="s">
        <v>310</v>
      </c>
      <c r="I2477">
        <v>0</v>
      </c>
      <c r="J2477">
        <v>0</v>
      </c>
      <c r="K2477">
        <v>0</v>
      </c>
      <c r="L2477" t="s">
        <v>310</v>
      </c>
      <c r="M2477" t="s">
        <v>310</v>
      </c>
      <c r="N2477">
        <v>0</v>
      </c>
      <c r="O2477" t="s">
        <v>311</v>
      </c>
      <c r="P2477" t="s">
        <v>310</v>
      </c>
      <c r="Q2477" t="s">
        <v>310</v>
      </c>
      <c r="R2477" t="s">
        <v>310</v>
      </c>
      <c r="S2477">
        <v>9</v>
      </c>
      <c r="T2477" t="s">
        <v>310</v>
      </c>
      <c r="U2477">
        <v>9</v>
      </c>
      <c r="V2477">
        <v>9</v>
      </c>
      <c r="W2477">
        <v>0</v>
      </c>
      <c r="X2477">
        <v>0</v>
      </c>
      <c r="Y2477">
        <v>0</v>
      </c>
      <c r="Z2477">
        <v>0</v>
      </c>
      <c r="AA2477">
        <v>9</v>
      </c>
      <c r="AB2477">
        <v>9</v>
      </c>
      <c r="AC2477" t="s">
        <v>310</v>
      </c>
      <c r="AD2477">
        <v>9</v>
      </c>
      <c r="AE2477" t="s">
        <v>1413</v>
      </c>
      <c r="AF2477">
        <v>70001000</v>
      </c>
      <c r="AG2477" t="s">
        <v>249</v>
      </c>
      <c r="AH2477">
        <f>SUM((MID(Dyno_Data[[#This Row],[Team]],4,5))+(Dyno_Data[[#This Row],[Match]]/100))</f>
        <v>2095.4699999999998</v>
      </c>
      <c r="AI2477" s="76">
        <f>ROUND(SUM(IF(Dyno_Data[[#This Row],[AcqCenter]]&gt;0,Dyno_Data[[#This Row],[Time]]-SUMIFS(Dyno_Data[Time],Dyno_Data[Team],Dyno_Data[[#This Row],[Team]],Dyno_Data[RecordType],"StartMatch",Dyno_Data[Match],Dyno_Data[[#This Row],[Match]]),0)*86400),0)</f>
        <v>0</v>
      </c>
    </row>
    <row r="2478" spans="1:35" x14ac:dyDescent="0.3">
      <c r="A2478">
        <v>2477</v>
      </c>
      <c r="B2478" t="s">
        <v>1290</v>
      </c>
      <c r="C2478">
        <v>47</v>
      </c>
      <c r="D2478" s="105">
        <v>45373.69987809028</v>
      </c>
      <c r="E2478" t="s">
        <v>312</v>
      </c>
      <c r="F2478" t="s">
        <v>1402</v>
      </c>
      <c r="G2478">
        <v>0</v>
      </c>
      <c r="H2478" t="s">
        <v>315</v>
      </c>
      <c r="I2478">
        <v>0</v>
      </c>
      <c r="J2478">
        <v>0</v>
      </c>
      <c r="K2478">
        <v>0</v>
      </c>
      <c r="L2478" t="s">
        <v>240</v>
      </c>
      <c r="M2478" t="s">
        <v>1398</v>
      </c>
      <c r="N2478">
        <v>1</v>
      </c>
      <c r="O2478" t="s">
        <v>1393</v>
      </c>
      <c r="P2478" t="s">
        <v>310</v>
      </c>
      <c r="Q2478" t="s">
        <v>310</v>
      </c>
      <c r="R2478" t="s">
        <v>310</v>
      </c>
      <c r="S2478">
        <v>9</v>
      </c>
      <c r="T2478" t="s">
        <v>310</v>
      </c>
      <c r="U2478">
        <v>9</v>
      </c>
      <c r="V2478">
        <v>9</v>
      </c>
      <c r="W2478">
        <v>0</v>
      </c>
      <c r="X2478">
        <v>0</v>
      </c>
      <c r="Y2478">
        <v>0</v>
      </c>
      <c r="Z2478">
        <v>0</v>
      </c>
      <c r="AA2478">
        <v>9</v>
      </c>
      <c r="AB2478">
        <v>9</v>
      </c>
      <c r="AC2478" t="s">
        <v>310</v>
      </c>
      <c r="AD2478">
        <v>9</v>
      </c>
      <c r="AE2478" t="s">
        <v>1418</v>
      </c>
      <c r="AF2478">
        <v>30000000</v>
      </c>
      <c r="AG2478" t="s">
        <v>310</v>
      </c>
      <c r="AH2478">
        <f>SUM((MID(Dyno_Data[[#This Row],[Team]],4,5))+(Dyno_Data[[#This Row],[Match]]/100))</f>
        <v>5881.47</v>
      </c>
      <c r="AI2478" s="76">
        <f>ROUND(SUM(IF(Dyno_Data[[#This Row],[AcqCenter]]&gt;0,Dyno_Data[[#This Row],[Time]]-SUMIFS(Dyno_Data[Time],Dyno_Data[Team],Dyno_Data[[#This Row],[Team]],Dyno_Data[RecordType],"StartMatch",Dyno_Data[Match],Dyno_Data[[#This Row],[Match]]),0)*86400),0)</f>
        <v>0</v>
      </c>
    </row>
    <row r="2479" spans="1:35" x14ac:dyDescent="0.3">
      <c r="A2479">
        <v>2478</v>
      </c>
      <c r="B2479" t="s">
        <v>1305</v>
      </c>
      <c r="C2479">
        <v>47</v>
      </c>
      <c r="D2479" s="105">
        <v>45373.699898182873</v>
      </c>
      <c r="E2479" t="s">
        <v>312</v>
      </c>
      <c r="F2479" t="s">
        <v>1402</v>
      </c>
      <c r="G2479">
        <v>0</v>
      </c>
      <c r="H2479" t="s">
        <v>315</v>
      </c>
      <c r="I2479">
        <v>0</v>
      </c>
      <c r="J2479">
        <v>0</v>
      </c>
      <c r="K2479">
        <v>0</v>
      </c>
      <c r="L2479" t="s">
        <v>241</v>
      </c>
      <c r="M2479" t="s">
        <v>101</v>
      </c>
      <c r="N2479">
        <v>0</v>
      </c>
      <c r="O2479" t="s">
        <v>1391</v>
      </c>
      <c r="P2479" t="s">
        <v>310</v>
      </c>
      <c r="Q2479" t="s">
        <v>310</v>
      </c>
      <c r="R2479" t="s">
        <v>310</v>
      </c>
      <c r="S2479">
        <v>9</v>
      </c>
      <c r="T2479" t="s">
        <v>310</v>
      </c>
      <c r="U2479">
        <v>9</v>
      </c>
      <c r="V2479">
        <v>9</v>
      </c>
      <c r="W2479">
        <v>0</v>
      </c>
      <c r="X2479">
        <v>0</v>
      </c>
      <c r="Y2479">
        <v>0</v>
      </c>
      <c r="Z2479">
        <v>0</v>
      </c>
      <c r="AA2479">
        <v>9</v>
      </c>
      <c r="AB2479">
        <v>9</v>
      </c>
      <c r="AC2479" t="s">
        <v>310</v>
      </c>
      <c r="AD2479">
        <v>9</v>
      </c>
      <c r="AE2479" t="s">
        <v>1416</v>
      </c>
      <c r="AF2479">
        <v>80001000</v>
      </c>
      <c r="AG2479" t="s">
        <v>310</v>
      </c>
      <c r="AH2479">
        <f>SUM((MID(Dyno_Data[[#This Row],[Team]],4,5))+(Dyno_Data[[#This Row],[Match]]/100))</f>
        <v>3173.47</v>
      </c>
      <c r="AI2479" s="76">
        <f>ROUND(SUM(IF(Dyno_Data[[#This Row],[AcqCenter]]&gt;0,Dyno_Data[[#This Row],[Time]]-SUMIFS(Dyno_Data[Time],Dyno_Data[Team],Dyno_Data[[#This Row],[Team]],Dyno_Data[RecordType],"StartMatch",Dyno_Data[Match],Dyno_Data[[#This Row],[Match]]),0)*86400),0)</f>
        <v>0</v>
      </c>
    </row>
    <row r="2480" spans="1:35" x14ac:dyDescent="0.3">
      <c r="A2480">
        <v>2479</v>
      </c>
      <c r="B2480" t="s">
        <v>1290</v>
      </c>
      <c r="C2480">
        <v>47</v>
      </c>
      <c r="D2480" s="105">
        <v>45373.70001177083</v>
      </c>
      <c r="E2480" t="s">
        <v>312</v>
      </c>
      <c r="F2480" t="s">
        <v>1402</v>
      </c>
      <c r="G2480">
        <v>0</v>
      </c>
      <c r="H2480" t="s">
        <v>315</v>
      </c>
      <c r="I2480">
        <v>0</v>
      </c>
      <c r="J2480">
        <v>0</v>
      </c>
      <c r="K2480">
        <v>0</v>
      </c>
      <c r="L2480" t="s">
        <v>241</v>
      </c>
      <c r="M2480" t="s">
        <v>1398</v>
      </c>
      <c r="N2480">
        <v>1</v>
      </c>
      <c r="O2480" t="s">
        <v>1393</v>
      </c>
      <c r="P2480" t="s">
        <v>310</v>
      </c>
      <c r="Q2480" t="s">
        <v>310</v>
      </c>
      <c r="R2480" t="s">
        <v>310</v>
      </c>
      <c r="S2480">
        <v>9</v>
      </c>
      <c r="T2480" t="s">
        <v>310</v>
      </c>
      <c r="U2480">
        <v>9</v>
      </c>
      <c r="V2480">
        <v>9</v>
      </c>
      <c r="W2480">
        <v>0</v>
      </c>
      <c r="X2480">
        <v>0</v>
      </c>
      <c r="Y2480">
        <v>0</v>
      </c>
      <c r="Z2480">
        <v>0</v>
      </c>
      <c r="AA2480">
        <v>9</v>
      </c>
      <c r="AB2480">
        <v>9</v>
      </c>
      <c r="AC2480" t="s">
        <v>310</v>
      </c>
      <c r="AD2480">
        <v>9</v>
      </c>
      <c r="AE2480" t="s">
        <v>1418</v>
      </c>
      <c r="AF2480">
        <v>40000000</v>
      </c>
      <c r="AG2480" t="s">
        <v>310</v>
      </c>
      <c r="AH2480">
        <f>SUM((MID(Dyno_Data[[#This Row],[Team]],4,5))+(Dyno_Data[[#This Row],[Match]]/100))</f>
        <v>5881.47</v>
      </c>
      <c r="AI2480" s="76">
        <f>ROUND(SUM(IF(Dyno_Data[[#This Row],[AcqCenter]]&gt;0,Dyno_Data[[#This Row],[Time]]-SUMIFS(Dyno_Data[Time],Dyno_Data[Team],Dyno_Data[[#This Row],[Team]],Dyno_Data[RecordType],"StartMatch",Dyno_Data[Match],Dyno_Data[[#This Row],[Match]]),0)*86400),0)</f>
        <v>0</v>
      </c>
    </row>
    <row r="2481" spans="1:35" x14ac:dyDescent="0.3">
      <c r="A2481">
        <v>2480</v>
      </c>
      <c r="B2481" t="s">
        <v>365</v>
      </c>
      <c r="C2481">
        <v>47</v>
      </c>
      <c r="D2481" s="105">
        <v>45373.700017627314</v>
      </c>
      <c r="E2481" t="s">
        <v>312</v>
      </c>
      <c r="F2481" t="s">
        <v>1402</v>
      </c>
      <c r="G2481">
        <v>0</v>
      </c>
      <c r="H2481" t="s">
        <v>315</v>
      </c>
      <c r="I2481">
        <v>0</v>
      </c>
      <c r="J2481">
        <v>0</v>
      </c>
      <c r="K2481">
        <v>0</v>
      </c>
      <c r="L2481" t="s">
        <v>241</v>
      </c>
      <c r="M2481" t="s">
        <v>1398</v>
      </c>
      <c r="N2481">
        <v>0</v>
      </c>
      <c r="O2481" t="s">
        <v>1389</v>
      </c>
      <c r="P2481" t="s">
        <v>310</v>
      </c>
      <c r="Q2481" t="s">
        <v>310</v>
      </c>
      <c r="R2481" t="s">
        <v>310</v>
      </c>
      <c r="S2481">
        <v>9</v>
      </c>
      <c r="T2481" t="s">
        <v>310</v>
      </c>
      <c r="U2481">
        <v>9</v>
      </c>
      <c r="V2481">
        <v>9</v>
      </c>
      <c r="W2481">
        <v>0</v>
      </c>
      <c r="X2481">
        <v>0</v>
      </c>
      <c r="Y2481">
        <v>0</v>
      </c>
      <c r="Z2481">
        <v>0</v>
      </c>
      <c r="AA2481">
        <v>9</v>
      </c>
      <c r="AB2481">
        <v>9</v>
      </c>
      <c r="AC2481" t="s">
        <v>310</v>
      </c>
      <c r="AD2481">
        <v>9</v>
      </c>
      <c r="AE2481" t="s">
        <v>1417</v>
      </c>
      <c r="AF2481">
        <v>20000000</v>
      </c>
      <c r="AG2481" t="s">
        <v>310</v>
      </c>
      <c r="AH2481">
        <f>SUM((MID(Dyno_Data[[#This Row],[Team]],4,5))+(Dyno_Data[[#This Row],[Match]]/100))</f>
        <v>3171.47</v>
      </c>
      <c r="AI2481" s="76">
        <f>ROUND(SUM(IF(Dyno_Data[[#This Row],[AcqCenter]]&gt;0,Dyno_Data[[#This Row],[Time]]-SUMIFS(Dyno_Data[Time],Dyno_Data[Team],Dyno_Data[[#This Row],[Team]],Dyno_Data[RecordType],"StartMatch",Dyno_Data[Match],Dyno_Data[[#This Row],[Match]]),0)*86400),0)</f>
        <v>0</v>
      </c>
    </row>
    <row r="2482" spans="1:35" x14ac:dyDescent="0.3">
      <c r="A2482">
        <v>2481</v>
      </c>
      <c r="B2482" t="s">
        <v>1305</v>
      </c>
      <c r="C2482">
        <v>47</v>
      </c>
      <c r="D2482" s="105">
        <v>45373.700039270836</v>
      </c>
      <c r="E2482" t="s">
        <v>312</v>
      </c>
      <c r="F2482" t="s">
        <v>1402</v>
      </c>
      <c r="G2482">
        <v>0</v>
      </c>
      <c r="H2482" t="s">
        <v>315</v>
      </c>
      <c r="I2482">
        <v>0</v>
      </c>
      <c r="J2482">
        <v>0</v>
      </c>
      <c r="K2482">
        <v>0</v>
      </c>
      <c r="L2482" t="s">
        <v>241</v>
      </c>
      <c r="M2482" t="s">
        <v>101</v>
      </c>
      <c r="N2482">
        <v>0</v>
      </c>
      <c r="O2482" t="s">
        <v>1391</v>
      </c>
      <c r="P2482" t="s">
        <v>310</v>
      </c>
      <c r="Q2482" t="s">
        <v>310</v>
      </c>
      <c r="R2482" t="s">
        <v>310</v>
      </c>
      <c r="S2482">
        <v>9</v>
      </c>
      <c r="T2482" t="s">
        <v>310</v>
      </c>
      <c r="U2482">
        <v>9</v>
      </c>
      <c r="V2482">
        <v>9</v>
      </c>
      <c r="W2482">
        <v>0</v>
      </c>
      <c r="X2482">
        <v>0</v>
      </c>
      <c r="Y2482">
        <v>0</v>
      </c>
      <c r="Z2482">
        <v>0</v>
      </c>
      <c r="AA2482">
        <v>9</v>
      </c>
      <c r="AB2482">
        <v>9</v>
      </c>
      <c r="AC2482" t="s">
        <v>310</v>
      </c>
      <c r="AD2482">
        <v>9</v>
      </c>
      <c r="AE2482" t="s">
        <v>1416</v>
      </c>
      <c r="AF2482">
        <v>90001000</v>
      </c>
      <c r="AG2482" t="s">
        <v>310</v>
      </c>
      <c r="AH2482">
        <f>SUM((MID(Dyno_Data[[#This Row],[Team]],4,5))+(Dyno_Data[[#This Row],[Match]]/100))</f>
        <v>3173.47</v>
      </c>
      <c r="AI2482" s="76">
        <f>ROUND(SUM(IF(Dyno_Data[[#This Row],[AcqCenter]]&gt;0,Dyno_Data[[#This Row],[Time]]-SUMIFS(Dyno_Data[Time],Dyno_Data[Team],Dyno_Data[[#This Row],[Team]],Dyno_Data[RecordType],"StartMatch",Dyno_Data[Match],Dyno_Data[[#This Row],[Match]]),0)*86400),0)</f>
        <v>0</v>
      </c>
    </row>
    <row r="2483" spans="1:35" x14ac:dyDescent="0.3">
      <c r="A2483">
        <v>2482</v>
      </c>
      <c r="B2483" t="s">
        <v>365</v>
      </c>
      <c r="C2483">
        <v>47</v>
      </c>
      <c r="D2483" s="105">
        <v>45373.700140624998</v>
      </c>
      <c r="E2483" t="s">
        <v>312</v>
      </c>
      <c r="F2483" t="s">
        <v>1402</v>
      </c>
      <c r="G2483">
        <v>0</v>
      </c>
      <c r="H2483" t="s">
        <v>315</v>
      </c>
      <c r="I2483">
        <v>0</v>
      </c>
      <c r="J2483">
        <v>0</v>
      </c>
      <c r="K2483">
        <v>0</v>
      </c>
      <c r="L2483" t="s">
        <v>241</v>
      </c>
      <c r="M2483" t="s">
        <v>1398</v>
      </c>
      <c r="N2483">
        <v>0</v>
      </c>
      <c r="O2483" t="s">
        <v>1389</v>
      </c>
      <c r="P2483" t="s">
        <v>310</v>
      </c>
      <c r="Q2483" t="s">
        <v>310</v>
      </c>
      <c r="R2483" t="s">
        <v>310</v>
      </c>
      <c r="S2483">
        <v>9</v>
      </c>
      <c r="T2483" t="s">
        <v>310</v>
      </c>
      <c r="U2483">
        <v>9</v>
      </c>
      <c r="V2483">
        <v>9</v>
      </c>
      <c r="W2483">
        <v>0</v>
      </c>
      <c r="X2483">
        <v>0</v>
      </c>
      <c r="Y2483">
        <v>0</v>
      </c>
      <c r="Z2483">
        <v>0</v>
      </c>
      <c r="AA2483">
        <v>9</v>
      </c>
      <c r="AB2483">
        <v>9</v>
      </c>
      <c r="AC2483" t="s">
        <v>310</v>
      </c>
      <c r="AD2483">
        <v>9</v>
      </c>
      <c r="AE2483" t="s">
        <v>1417</v>
      </c>
      <c r="AF2483">
        <v>30000000</v>
      </c>
      <c r="AG2483" t="s">
        <v>310</v>
      </c>
      <c r="AH2483">
        <f>SUM((MID(Dyno_Data[[#This Row],[Team]],4,5))+(Dyno_Data[[#This Row],[Match]]/100))</f>
        <v>3171.47</v>
      </c>
      <c r="AI2483" s="76">
        <f>ROUND(SUM(IF(Dyno_Data[[#This Row],[AcqCenter]]&gt;0,Dyno_Data[[#This Row],[Time]]-SUMIFS(Dyno_Data[Time],Dyno_Data[Team],Dyno_Data[[#This Row],[Team]],Dyno_Data[RecordType],"StartMatch",Dyno_Data[Match],Dyno_Data[[#This Row],[Match]]),0)*86400),0)</f>
        <v>0</v>
      </c>
    </row>
    <row r="2484" spans="1:35" x14ac:dyDescent="0.3">
      <c r="A2484">
        <v>2483</v>
      </c>
      <c r="B2484" t="s">
        <v>1305</v>
      </c>
      <c r="C2484">
        <v>47</v>
      </c>
      <c r="D2484" s="105">
        <v>45373.700199155093</v>
      </c>
      <c r="E2484" t="s">
        <v>312</v>
      </c>
      <c r="F2484" t="s">
        <v>1402</v>
      </c>
      <c r="G2484">
        <v>0</v>
      </c>
      <c r="H2484" t="s">
        <v>315</v>
      </c>
      <c r="I2484">
        <v>0</v>
      </c>
      <c r="J2484">
        <v>0</v>
      </c>
      <c r="K2484">
        <v>0</v>
      </c>
      <c r="L2484" t="s">
        <v>240</v>
      </c>
      <c r="M2484" t="s">
        <v>1398</v>
      </c>
      <c r="N2484">
        <v>0</v>
      </c>
      <c r="O2484" t="s">
        <v>1391</v>
      </c>
      <c r="P2484" t="s">
        <v>310</v>
      </c>
      <c r="Q2484" t="s">
        <v>310</v>
      </c>
      <c r="R2484" t="s">
        <v>310</v>
      </c>
      <c r="S2484">
        <v>9</v>
      </c>
      <c r="T2484" t="s">
        <v>310</v>
      </c>
      <c r="U2484">
        <v>9</v>
      </c>
      <c r="V2484">
        <v>9</v>
      </c>
      <c r="W2484">
        <v>0</v>
      </c>
      <c r="X2484">
        <v>0</v>
      </c>
      <c r="Y2484">
        <v>0</v>
      </c>
      <c r="Z2484">
        <v>0</v>
      </c>
      <c r="AA2484">
        <v>9</v>
      </c>
      <c r="AB2484">
        <v>9</v>
      </c>
      <c r="AC2484" t="s">
        <v>310</v>
      </c>
      <c r="AD2484">
        <v>9</v>
      </c>
      <c r="AE2484" t="s">
        <v>1416</v>
      </c>
      <c r="AF2484">
        <v>100001000</v>
      </c>
      <c r="AG2484" t="s">
        <v>310</v>
      </c>
      <c r="AH2484">
        <f>SUM((MID(Dyno_Data[[#This Row],[Team]],4,5))+(Dyno_Data[[#This Row],[Match]]/100))</f>
        <v>3173.47</v>
      </c>
      <c r="AI2484" s="76">
        <f>ROUND(SUM(IF(Dyno_Data[[#This Row],[AcqCenter]]&gt;0,Dyno_Data[[#This Row],[Time]]-SUMIFS(Dyno_Data[Time],Dyno_Data[Team],Dyno_Data[[#This Row],[Team]],Dyno_Data[RecordType],"StartMatch",Dyno_Data[Match],Dyno_Data[[#This Row],[Match]]),0)*86400),0)</f>
        <v>0</v>
      </c>
    </row>
    <row r="2485" spans="1:35" x14ac:dyDescent="0.3">
      <c r="A2485">
        <v>2484</v>
      </c>
      <c r="B2485" t="s">
        <v>1290</v>
      </c>
      <c r="C2485">
        <v>47</v>
      </c>
      <c r="D2485" s="105">
        <v>45373.700199884261</v>
      </c>
      <c r="E2485" t="s">
        <v>312</v>
      </c>
      <c r="F2485" t="s">
        <v>1402</v>
      </c>
      <c r="G2485">
        <v>0</v>
      </c>
      <c r="H2485" t="s">
        <v>315</v>
      </c>
      <c r="I2485">
        <v>0</v>
      </c>
      <c r="J2485">
        <v>0</v>
      </c>
      <c r="K2485">
        <v>0</v>
      </c>
      <c r="L2485" t="s">
        <v>240</v>
      </c>
      <c r="M2485" t="s">
        <v>1398</v>
      </c>
      <c r="N2485">
        <v>0</v>
      </c>
      <c r="O2485" t="s">
        <v>1393</v>
      </c>
      <c r="P2485" t="s">
        <v>310</v>
      </c>
      <c r="Q2485" t="s">
        <v>310</v>
      </c>
      <c r="R2485" t="s">
        <v>310</v>
      </c>
      <c r="S2485">
        <v>9</v>
      </c>
      <c r="T2485" t="s">
        <v>310</v>
      </c>
      <c r="U2485">
        <v>9</v>
      </c>
      <c r="V2485">
        <v>9</v>
      </c>
      <c r="W2485">
        <v>0</v>
      </c>
      <c r="X2485">
        <v>0</v>
      </c>
      <c r="Y2485">
        <v>0</v>
      </c>
      <c r="Z2485">
        <v>0</v>
      </c>
      <c r="AA2485">
        <v>9</v>
      </c>
      <c r="AB2485">
        <v>9</v>
      </c>
      <c r="AC2485" t="s">
        <v>310</v>
      </c>
      <c r="AD2485">
        <v>9</v>
      </c>
      <c r="AE2485" t="s">
        <v>1418</v>
      </c>
      <c r="AF2485">
        <v>50000000</v>
      </c>
      <c r="AG2485" t="s">
        <v>310</v>
      </c>
      <c r="AH2485">
        <f>SUM((MID(Dyno_Data[[#This Row],[Team]],4,5))+(Dyno_Data[[#This Row],[Match]]/100))</f>
        <v>5881.47</v>
      </c>
      <c r="AI2485" s="76">
        <f>ROUND(SUM(IF(Dyno_Data[[#This Row],[AcqCenter]]&gt;0,Dyno_Data[[#This Row],[Time]]-SUMIFS(Dyno_Data[Time],Dyno_Data[Team],Dyno_Data[[#This Row],[Team]],Dyno_Data[RecordType],"StartMatch",Dyno_Data[Match],Dyno_Data[[#This Row],[Match]]),0)*86400),0)</f>
        <v>0</v>
      </c>
    </row>
    <row r="2486" spans="1:35" x14ac:dyDescent="0.3">
      <c r="A2486">
        <v>2485</v>
      </c>
      <c r="B2486" t="s">
        <v>1305</v>
      </c>
      <c r="C2486">
        <v>47</v>
      </c>
      <c r="D2486" s="105">
        <v>45373.700371527775</v>
      </c>
      <c r="E2486" t="s">
        <v>312</v>
      </c>
      <c r="F2486" t="s">
        <v>1402</v>
      </c>
      <c r="G2486">
        <v>0</v>
      </c>
      <c r="H2486" t="s">
        <v>315</v>
      </c>
      <c r="I2486">
        <v>0</v>
      </c>
      <c r="J2486">
        <v>0</v>
      </c>
      <c r="K2486">
        <v>0</v>
      </c>
      <c r="L2486" t="s">
        <v>241</v>
      </c>
      <c r="M2486" t="s">
        <v>1398</v>
      </c>
      <c r="N2486">
        <v>0</v>
      </c>
      <c r="O2486" t="s">
        <v>1391</v>
      </c>
      <c r="P2486" t="s">
        <v>310</v>
      </c>
      <c r="Q2486" t="s">
        <v>310</v>
      </c>
      <c r="R2486" t="s">
        <v>310</v>
      </c>
      <c r="S2486">
        <v>9</v>
      </c>
      <c r="T2486" t="s">
        <v>310</v>
      </c>
      <c r="U2486">
        <v>9</v>
      </c>
      <c r="V2486">
        <v>9</v>
      </c>
      <c r="W2486">
        <v>0</v>
      </c>
      <c r="X2486">
        <v>0</v>
      </c>
      <c r="Y2486">
        <v>0</v>
      </c>
      <c r="Z2486">
        <v>0</v>
      </c>
      <c r="AA2486">
        <v>9</v>
      </c>
      <c r="AB2486">
        <v>9</v>
      </c>
      <c r="AC2486" t="s">
        <v>310</v>
      </c>
      <c r="AD2486">
        <v>9</v>
      </c>
      <c r="AE2486" t="s">
        <v>1416</v>
      </c>
      <c r="AF2486">
        <v>110001000</v>
      </c>
      <c r="AG2486" t="s">
        <v>310</v>
      </c>
      <c r="AH2486">
        <f>SUM((MID(Dyno_Data[[#This Row],[Team]],4,5))+(Dyno_Data[[#This Row],[Match]]/100))</f>
        <v>3173.47</v>
      </c>
      <c r="AI2486" s="76">
        <f>ROUND(SUM(IF(Dyno_Data[[#This Row],[AcqCenter]]&gt;0,Dyno_Data[[#This Row],[Time]]-SUMIFS(Dyno_Data[Time],Dyno_Data[Team],Dyno_Data[[#This Row],[Team]],Dyno_Data[RecordType],"StartMatch",Dyno_Data[Match],Dyno_Data[[#This Row],[Match]]),0)*86400),0)</f>
        <v>0</v>
      </c>
    </row>
    <row r="2487" spans="1:35" x14ac:dyDescent="0.3">
      <c r="A2487">
        <v>2486</v>
      </c>
      <c r="B2487" t="s">
        <v>365</v>
      </c>
      <c r="C2487">
        <v>47</v>
      </c>
      <c r="D2487" s="105">
        <v>45373.700391747683</v>
      </c>
      <c r="E2487" t="s">
        <v>312</v>
      </c>
      <c r="F2487" t="s">
        <v>1402</v>
      </c>
      <c r="G2487">
        <v>0</v>
      </c>
      <c r="H2487" t="s">
        <v>315</v>
      </c>
      <c r="I2487">
        <v>0</v>
      </c>
      <c r="J2487">
        <v>0</v>
      </c>
      <c r="K2487">
        <v>0</v>
      </c>
      <c r="L2487" t="s">
        <v>241</v>
      </c>
      <c r="M2487" t="s">
        <v>101</v>
      </c>
      <c r="N2487">
        <v>0</v>
      </c>
      <c r="O2487" t="s">
        <v>1389</v>
      </c>
      <c r="P2487" t="s">
        <v>310</v>
      </c>
      <c r="Q2487" t="s">
        <v>310</v>
      </c>
      <c r="R2487" t="s">
        <v>310</v>
      </c>
      <c r="S2487">
        <v>9</v>
      </c>
      <c r="T2487" t="s">
        <v>310</v>
      </c>
      <c r="U2487">
        <v>9</v>
      </c>
      <c r="V2487">
        <v>9</v>
      </c>
      <c r="W2487">
        <v>0</v>
      </c>
      <c r="X2487">
        <v>0</v>
      </c>
      <c r="Y2487">
        <v>0</v>
      </c>
      <c r="Z2487">
        <v>0</v>
      </c>
      <c r="AA2487">
        <v>9</v>
      </c>
      <c r="AB2487">
        <v>9</v>
      </c>
      <c r="AC2487" t="s">
        <v>310</v>
      </c>
      <c r="AD2487">
        <v>9</v>
      </c>
      <c r="AE2487" t="s">
        <v>1417</v>
      </c>
      <c r="AF2487">
        <v>40000000</v>
      </c>
      <c r="AG2487" t="s">
        <v>310</v>
      </c>
      <c r="AH2487">
        <f>SUM((MID(Dyno_Data[[#This Row],[Team]],4,5))+(Dyno_Data[[#This Row],[Match]]/100))</f>
        <v>3171.47</v>
      </c>
      <c r="AI2487" s="76">
        <f>ROUND(SUM(IF(Dyno_Data[[#This Row],[AcqCenter]]&gt;0,Dyno_Data[[#This Row],[Time]]-SUMIFS(Dyno_Data[Time],Dyno_Data[Team],Dyno_Data[[#This Row],[Team]],Dyno_Data[RecordType],"StartMatch",Dyno_Data[Match],Dyno_Data[[#This Row],[Match]]),0)*86400),0)</f>
        <v>0</v>
      </c>
    </row>
    <row r="2488" spans="1:35" x14ac:dyDescent="0.3">
      <c r="A2488">
        <v>2487</v>
      </c>
      <c r="B2488" t="s">
        <v>1305</v>
      </c>
      <c r="C2488">
        <v>47</v>
      </c>
      <c r="D2488" s="105">
        <v>45373.700490972224</v>
      </c>
      <c r="E2488" t="s">
        <v>312</v>
      </c>
      <c r="F2488" t="s">
        <v>1402</v>
      </c>
      <c r="G2488">
        <v>0</v>
      </c>
      <c r="H2488" t="s">
        <v>315</v>
      </c>
      <c r="I2488">
        <v>0</v>
      </c>
      <c r="J2488">
        <v>0</v>
      </c>
      <c r="K2488">
        <v>0</v>
      </c>
      <c r="L2488" t="s">
        <v>241</v>
      </c>
      <c r="M2488" t="s">
        <v>1398</v>
      </c>
      <c r="N2488">
        <v>0</v>
      </c>
      <c r="O2488" t="s">
        <v>1391</v>
      </c>
      <c r="P2488" t="s">
        <v>310</v>
      </c>
      <c r="Q2488" t="s">
        <v>310</v>
      </c>
      <c r="R2488" t="s">
        <v>310</v>
      </c>
      <c r="S2488">
        <v>9</v>
      </c>
      <c r="T2488" t="s">
        <v>310</v>
      </c>
      <c r="U2488">
        <v>9</v>
      </c>
      <c r="V2488">
        <v>9</v>
      </c>
      <c r="W2488">
        <v>0</v>
      </c>
      <c r="X2488">
        <v>0</v>
      </c>
      <c r="Y2488">
        <v>0</v>
      </c>
      <c r="Z2488">
        <v>0</v>
      </c>
      <c r="AA2488">
        <v>9</v>
      </c>
      <c r="AB2488">
        <v>9</v>
      </c>
      <c r="AC2488" t="s">
        <v>310</v>
      </c>
      <c r="AD2488">
        <v>9</v>
      </c>
      <c r="AE2488" t="s">
        <v>1416</v>
      </c>
      <c r="AF2488">
        <v>120001000</v>
      </c>
      <c r="AG2488" t="s">
        <v>310</v>
      </c>
      <c r="AH2488">
        <f>SUM((MID(Dyno_Data[[#This Row],[Team]],4,5))+(Dyno_Data[[#This Row],[Match]]/100))</f>
        <v>3173.47</v>
      </c>
      <c r="AI2488" s="76">
        <f>ROUND(SUM(IF(Dyno_Data[[#This Row],[AcqCenter]]&gt;0,Dyno_Data[[#This Row],[Time]]-SUMIFS(Dyno_Data[Time],Dyno_Data[Team],Dyno_Data[[#This Row],[Team]],Dyno_Data[RecordType],"StartMatch",Dyno_Data[Match],Dyno_Data[[#This Row],[Match]]),0)*86400),0)</f>
        <v>0</v>
      </c>
    </row>
    <row r="2489" spans="1:35" x14ac:dyDescent="0.3">
      <c r="A2489">
        <v>2488</v>
      </c>
      <c r="B2489" t="s">
        <v>365</v>
      </c>
      <c r="C2489">
        <v>47</v>
      </c>
      <c r="D2489" s="105">
        <v>45373.700520752318</v>
      </c>
      <c r="E2489" t="s">
        <v>312</v>
      </c>
      <c r="F2489" t="s">
        <v>1402</v>
      </c>
      <c r="G2489">
        <v>0</v>
      </c>
      <c r="H2489" t="s">
        <v>315</v>
      </c>
      <c r="I2489">
        <v>0</v>
      </c>
      <c r="J2489">
        <v>0</v>
      </c>
      <c r="K2489">
        <v>0</v>
      </c>
      <c r="L2489" t="s">
        <v>241</v>
      </c>
      <c r="M2489" t="s">
        <v>1398</v>
      </c>
      <c r="N2489">
        <v>0</v>
      </c>
      <c r="O2489" t="s">
        <v>1389</v>
      </c>
      <c r="P2489" t="s">
        <v>310</v>
      </c>
      <c r="Q2489" t="s">
        <v>310</v>
      </c>
      <c r="R2489" t="s">
        <v>310</v>
      </c>
      <c r="S2489">
        <v>9</v>
      </c>
      <c r="T2489" t="s">
        <v>310</v>
      </c>
      <c r="U2489">
        <v>9</v>
      </c>
      <c r="V2489">
        <v>9</v>
      </c>
      <c r="W2489">
        <v>0</v>
      </c>
      <c r="X2489">
        <v>0</v>
      </c>
      <c r="Y2489">
        <v>0</v>
      </c>
      <c r="Z2489">
        <v>0</v>
      </c>
      <c r="AA2489">
        <v>9</v>
      </c>
      <c r="AB2489">
        <v>9</v>
      </c>
      <c r="AC2489" t="s">
        <v>310</v>
      </c>
      <c r="AD2489">
        <v>9</v>
      </c>
      <c r="AE2489" t="s">
        <v>1417</v>
      </c>
      <c r="AF2489">
        <v>50000000</v>
      </c>
      <c r="AG2489" t="s">
        <v>310</v>
      </c>
      <c r="AH2489">
        <f>SUM((MID(Dyno_Data[[#This Row],[Team]],4,5))+(Dyno_Data[[#This Row],[Match]]/100))</f>
        <v>3171.47</v>
      </c>
      <c r="AI2489" s="76">
        <f>ROUND(SUM(IF(Dyno_Data[[#This Row],[AcqCenter]]&gt;0,Dyno_Data[[#This Row],[Time]]-SUMIFS(Dyno_Data[Time],Dyno_Data[Team],Dyno_Data[[#This Row],[Team]],Dyno_Data[RecordType],"StartMatch",Dyno_Data[Match],Dyno_Data[[#This Row],[Match]]),0)*86400),0)</f>
        <v>0</v>
      </c>
    </row>
    <row r="2490" spans="1:35" x14ac:dyDescent="0.3">
      <c r="A2490">
        <v>2489</v>
      </c>
      <c r="B2490" t="s">
        <v>1290</v>
      </c>
      <c r="C2490">
        <v>47</v>
      </c>
      <c r="D2490" s="105">
        <v>45373.700630011575</v>
      </c>
      <c r="E2490" t="s">
        <v>312</v>
      </c>
      <c r="F2490" t="s">
        <v>1402</v>
      </c>
      <c r="G2490">
        <v>0</v>
      </c>
      <c r="H2490" t="s">
        <v>315</v>
      </c>
      <c r="I2490">
        <v>0</v>
      </c>
      <c r="J2490">
        <v>0</v>
      </c>
      <c r="K2490">
        <v>0</v>
      </c>
      <c r="L2490" t="s">
        <v>241</v>
      </c>
      <c r="M2490" t="s">
        <v>1398</v>
      </c>
      <c r="N2490">
        <v>1</v>
      </c>
      <c r="O2490" t="s">
        <v>1393</v>
      </c>
      <c r="P2490" t="s">
        <v>310</v>
      </c>
      <c r="Q2490" t="s">
        <v>310</v>
      </c>
      <c r="R2490" t="s">
        <v>310</v>
      </c>
      <c r="S2490">
        <v>9</v>
      </c>
      <c r="T2490" t="s">
        <v>310</v>
      </c>
      <c r="U2490">
        <v>9</v>
      </c>
      <c r="V2490">
        <v>9</v>
      </c>
      <c r="W2490">
        <v>0</v>
      </c>
      <c r="X2490">
        <v>0</v>
      </c>
      <c r="Y2490">
        <v>0</v>
      </c>
      <c r="Z2490">
        <v>0</v>
      </c>
      <c r="AA2490">
        <v>9</v>
      </c>
      <c r="AB2490">
        <v>9</v>
      </c>
      <c r="AC2490" t="s">
        <v>310</v>
      </c>
      <c r="AD2490">
        <v>9</v>
      </c>
      <c r="AE2490" t="s">
        <v>1418</v>
      </c>
      <c r="AF2490">
        <v>60000000</v>
      </c>
      <c r="AG2490" t="s">
        <v>310</v>
      </c>
      <c r="AH2490">
        <f>SUM((MID(Dyno_Data[[#This Row],[Team]],4,5))+(Dyno_Data[[#This Row],[Match]]/100))</f>
        <v>5881.47</v>
      </c>
      <c r="AI2490" s="76">
        <f>ROUND(SUM(IF(Dyno_Data[[#This Row],[AcqCenter]]&gt;0,Dyno_Data[[#This Row],[Time]]-SUMIFS(Dyno_Data[Time],Dyno_Data[Team],Dyno_Data[[#This Row],[Team]],Dyno_Data[RecordType],"StartMatch",Dyno_Data[Match],Dyno_Data[[#This Row],[Match]]),0)*86400),0)</f>
        <v>0</v>
      </c>
    </row>
    <row r="2491" spans="1:35" x14ac:dyDescent="0.3">
      <c r="A2491">
        <v>2490</v>
      </c>
      <c r="B2491" t="s">
        <v>365</v>
      </c>
      <c r="C2491">
        <v>47</v>
      </c>
      <c r="D2491" s="105">
        <v>45373.700643090277</v>
      </c>
      <c r="E2491" t="s">
        <v>312</v>
      </c>
      <c r="F2491" t="s">
        <v>1402</v>
      </c>
      <c r="G2491">
        <v>0</v>
      </c>
      <c r="H2491" t="s">
        <v>315</v>
      </c>
      <c r="I2491">
        <v>0</v>
      </c>
      <c r="J2491">
        <v>0</v>
      </c>
      <c r="K2491">
        <v>0</v>
      </c>
      <c r="L2491" t="s">
        <v>241</v>
      </c>
      <c r="M2491" t="s">
        <v>1398</v>
      </c>
      <c r="N2491">
        <v>0</v>
      </c>
      <c r="O2491" t="s">
        <v>1389</v>
      </c>
      <c r="P2491" t="s">
        <v>310</v>
      </c>
      <c r="Q2491" t="s">
        <v>310</v>
      </c>
      <c r="R2491" t="s">
        <v>310</v>
      </c>
      <c r="S2491">
        <v>9</v>
      </c>
      <c r="T2491" t="s">
        <v>310</v>
      </c>
      <c r="U2491">
        <v>9</v>
      </c>
      <c r="V2491">
        <v>9</v>
      </c>
      <c r="W2491">
        <v>0</v>
      </c>
      <c r="X2491">
        <v>0</v>
      </c>
      <c r="Y2491">
        <v>0</v>
      </c>
      <c r="Z2491">
        <v>0</v>
      </c>
      <c r="AA2491">
        <v>9</v>
      </c>
      <c r="AB2491">
        <v>9</v>
      </c>
      <c r="AC2491" t="s">
        <v>310</v>
      </c>
      <c r="AD2491">
        <v>9</v>
      </c>
      <c r="AE2491" t="s">
        <v>1417</v>
      </c>
      <c r="AF2491">
        <v>60000000</v>
      </c>
      <c r="AG2491" t="s">
        <v>310</v>
      </c>
      <c r="AH2491">
        <f>SUM((MID(Dyno_Data[[#This Row],[Team]],4,5))+(Dyno_Data[[#This Row],[Match]]/100))</f>
        <v>3171.47</v>
      </c>
      <c r="AI2491" s="76">
        <f>ROUND(SUM(IF(Dyno_Data[[#This Row],[AcqCenter]]&gt;0,Dyno_Data[[#This Row],[Time]]-SUMIFS(Dyno_Data[Time],Dyno_Data[Team],Dyno_Data[[#This Row],[Team]],Dyno_Data[RecordType],"StartMatch",Dyno_Data[Match],Dyno_Data[[#This Row],[Match]]),0)*86400),0)</f>
        <v>0</v>
      </c>
    </row>
    <row r="2492" spans="1:35" x14ac:dyDescent="0.3">
      <c r="A2492">
        <v>2491</v>
      </c>
      <c r="B2492" t="s">
        <v>1305</v>
      </c>
      <c r="C2492">
        <v>47</v>
      </c>
      <c r="D2492" s="105">
        <v>45373.700668518519</v>
      </c>
      <c r="E2492" t="s">
        <v>312</v>
      </c>
      <c r="F2492" t="s">
        <v>1402</v>
      </c>
      <c r="G2492">
        <v>0</v>
      </c>
      <c r="H2492" t="s">
        <v>315</v>
      </c>
      <c r="I2492">
        <v>0</v>
      </c>
      <c r="J2492">
        <v>0</v>
      </c>
      <c r="K2492">
        <v>0</v>
      </c>
      <c r="L2492" t="s">
        <v>241</v>
      </c>
      <c r="M2492" t="s">
        <v>1398</v>
      </c>
      <c r="N2492">
        <v>0</v>
      </c>
      <c r="O2492" t="s">
        <v>1391</v>
      </c>
      <c r="P2492" t="s">
        <v>310</v>
      </c>
      <c r="Q2492" t="s">
        <v>310</v>
      </c>
      <c r="R2492" t="s">
        <v>310</v>
      </c>
      <c r="S2492">
        <v>9</v>
      </c>
      <c r="T2492" t="s">
        <v>310</v>
      </c>
      <c r="U2492">
        <v>9</v>
      </c>
      <c r="V2492">
        <v>9</v>
      </c>
      <c r="W2492">
        <v>0</v>
      </c>
      <c r="X2492">
        <v>0</v>
      </c>
      <c r="Y2492">
        <v>0</v>
      </c>
      <c r="Z2492">
        <v>0</v>
      </c>
      <c r="AA2492">
        <v>9</v>
      </c>
      <c r="AB2492">
        <v>9</v>
      </c>
      <c r="AC2492" t="s">
        <v>310</v>
      </c>
      <c r="AD2492">
        <v>9</v>
      </c>
      <c r="AE2492" t="s">
        <v>1416</v>
      </c>
      <c r="AF2492">
        <v>130001000</v>
      </c>
      <c r="AG2492" t="s">
        <v>310</v>
      </c>
      <c r="AH2492">
        <f>SUM((MID(Dyno_Data[[#This Row],[Team]],4,5))+(Dyno_Data[[#This Row],[Match]]/100))</f>
        <v>3173.47</v>
      </c>
      <c r="AI2492" s="76">
        <f>ROUND(SUM(IF(Dyno_Data[[#This Row],[AcqCenter]]&gt;0,Dyno_Data[[#This Row],[Time]]-SUMIFS(Dyno_Data[Time],Dyno_Data[Team],Dyno_Data[[#This Row],[Team]],Dyno_Data[RecordType],"StartMatch",Dyno_Data[Match],Dyno_Data[[#This Row],[Match]]),0)*86400),0)</f>
        <v>0</v>
      </c>
    </row>
    <row r="2493" spans="1:35" x14ac:dyDescent="0.3">
      <c r="A2493">
        <v>2492</v>
      </c>
      <c r="B2493" t="s">
        <v>1290</v>
      </c>
      <c r="C2493">
        <v>47</v>
      </c>
      <c r="D2493" s="105">
        <v>45373.70068371528</v>
      </c>
      <c r="E2493" t="s">
        <v>312</v>
      </c>
      <c r="F2493" t="s">
        <v>1402</v>
      </c>
      <c r="G2493">
        <v>0</v>
      </c>
      <c r="H2493" t="s">
        <v>315</v>
      </c>
      <c r="I2493">
        <v>0</v>
      </c>
      <c r="J2493">
        <v>0</v>
      </c>
      <c r="K2493">
        <v>0</v>
      </c>
      <c r="L2493" t="s">
        <v>242</v>
      </c>
      <c r="M2493" t="s">
        <v>1398</v>
      </c>
      <c r="N2493">
        <v>1</v>
      </c>
      <c r="O2493" t="s">
        <v>1393</v>
      </c>
      <c r="P2493" t="s">
        <v>310</v>
      </c>
      <c r="Q2493" t="s">
        <v>310</v>
      </c>
      <c r="R2493" t="s">
        <v>310</v>
      </c>
      <c r="S2493">
        <v>9</v>
      </c>
      <c r="T2493" t="s">
        <v>310</v>
      </c>
      <c r="U2493">
        <v>9</v>
      </c>
      <c r="V2493">
        <v>9</v>
      </c>
      <c r="W2493">
        <v>0</v>
      </c>
      <c r="X2493">
        <v>0</v>
      </c>
      <c r="Y2493">
        <v>0</v>
      </c>
      <c r="Z2493">
        <v>0</v>
      </c>
      <c r="AA2493">
        <v>9</v>
      </c>
      <c r="AB2493">
        <v>9</v>
      </c>
      <c r="AC2493" t="s">
        <v>310</v>
      </c>
      <c r="AD2493">
        <v>9</v>
      </c>
      <c r="AE2493" t="s">
        <v>1418</v>
      </c>
      <c r="AF2493">
        <v>70000000</v>
      </c>
      <c r="AG2493" t="s">
        <v>310</v>
      </c>
      <c r="AH2493">
        <f>SUM((MID(Dyno_Data[[#This Row],[Team]],4,5))+(Dyno_Data[[#This Row],[Match]]/100))</f>
        <v>5881.47</v>
      </c>
      <c r="AI2493" s="76">
        <f>ROUND(SUM(IF(Dyno_Data[[#This Row],[AcqCenter]]&gt;0,Dyno_Data[[#This Row],[Time]]-SUMIFS(Dyno_Data[Time],Dyno_Data[Team],Dyno_Data[[#This Row],[Team]],Dyno_Data[RecordType],"StartMatch",Dyno_Data[Match],Dyno_Data[[#This Row],[Match]]),0)*86400),0)</f>
        <v>0</v>
      </c>
    </row>
    <row r="2494" spans="1:35" x14ac:dyDescent="0.3">
      <c r="A2494">
        <v>2493</v>
      </c>
      <c r="B2494" t="s">
        <v>1305</v>
      </c>
      <c r="C2494">
        <v>47</v>
      </c>
      <c r="D2494" s="105">
        <v>45373.700767326387</v>
      </c>
      <c r="E2494" t="s">
        <v>312</v>
      </c>
      <c r="F2494" t="s">
        <v>1402</v>
      </c>
      <c r="G2494">
        <v>0</v>
      </c>
      <c r="H2494" t="s">
        <v>315</v>
      </c>
      <c r="I2494">
        <v>0</v>
      </c>
      <c r="J2494">
        <v>0</v>
      </c>
      <c r="K2494">
        <v>0</v>
      </c>
      <c r="L2494" t="s">
        <v>241</v>
      </c>
      <c r="M2494" t="s">
        <v>1398</v>
      </c>
      <c r="N2494">
        <v>0</v>
      </c>
      <c r="O2494" t="s">
        <v>1391</v>
      </c>
      <c r="P2494" t="s">
        <v>310</v>
      </c>
      <c r="Q2494" t="s">
        <v>310</v>
      </c>
      <c r="R2494" t="s">
        <v>310</v>
      </c>
      <c r="S2494">
        <v>9</v>
      </c>
      <c r="T2494" t="s">
        <v>310</v>
      </c>
      <c r="U2494">
        <v>9</v>
      </c>
      <c r="V2494">
        <v>9</v>
      </c>
      <c r="W2494">
        <v>0</v>
      </c>
      <c r="X2494">
        <v>0</v>
      </c>
      <c r="Y2494">
        <v>0</v>
      </c>
      <c r="Z2494">
        <v>0</v>
      </c>
      <c r="AA2494">
        <v>9</v>
      </c>
      <c r="AB2494">
        <v>9</v>
      </c>
      <c r="AC2494" t="s">
        <v>310</v>
      </c>
      <c r="AD2494">
        <v>9</v>
      </c>
      <c r="AE2494" t="s">
        <v>1416</v>
      </c>
      <c r="AF2494">
        <v>140001000</v>
      </c>
      <c r="AG2494" t="s">
        <v>310</v>
      </c>
      <c r="AH2494">
        <f>SUM((MID(Dyno_Data[[#This Row],[Team]],4,5))+(Dyno_Data[[#This Row],[Match]]/100))</f>
        <v>3173.47</v>
      </c>
      <c r="AI2494" s="76">
        <f>ROUND(SUM(IF(Dyno_Data[[#This Row],[AcqCenter]]&gt;0,Dyno_Data[[#This Row],[Time]]-SUMIFS(Dyno_Data[Time],Dyno_Data[Team],Dyno_Data[[#This Row],[Team]],Dyno_Data[RecordType],"StartMatch",Dyno_Data[Match],Dyno_Data[[#This Row],[Match]]),0)*86400),0)</f>
        <v>0</v>
      </c>
    </row>
    <row r="2495" spans="1:35" x14ac:dyDescent="0.3">
      <c r="A2495">
        <v>2494</v>
      </c>
      <c r="B2495" t="s">
        <v>1302</v>
      </c>
      <c r="C2495">
        <v>47</v>
      </c>
      <c r="D2495" s="105">
        <v>45373.702140706017</v>
      </c>
      <c r="E2495" t="s">
        <v>316</v>
      </c>
      <c r="F2495" t="s">
        <v>317</v>
      </c>
      <c r="G2495">
        <v>1</v>
      </c>
      <c r="H2495" t="s">
        <v>310</v>
      </c>
      <c r="I2495">
        <v>0</v>
      </c>
      <c r="J2495">
        <v>0</v>
      </c>
      <c r="K2495">
        <v>0</v>
      </c>
      <c r="L2495" t="s">
        <v>310</v>
      </c>
      <c r="M2495" t="s">
        <v>310</v>
      </c>
      <c r="N2495">
        <v>0</v>
      </c>
      <c r="O2495" t="s">
        <v>311</v>
      </c>
      <c r="P2495" t="s">
        <v>320</v>
      </c>
      <c r="Q2495" t="s">
        <v>1400</v>
      </c>
      <c r="R2495" t="s">
        <v>321</v>
      </c>
      <c r="S2495">
        <v>0</v>
      </c>
      <c r="T2495" t="s">
        <v>105</v>
      </c>
      <c r="U2495">
        <v>9</v>
      </c>
      <c r="V2495">
        <v>9</v>
      </c>
      <c r="W2495">
        <v>0</v>
      </c>
      <c r="X2495">
        <v>9.0078801999999989</v>
      </c>
      <c r="Y2495">
        <v>109.5465643</v>
      </c>
      <c r="Z2495">
        <v>18.157693899999998</v>
      </c>
      <c r="AA2495">
        <v>0</v>
      </c>
      <c r="AB2495">
        <v>0</v>
      </c>
      <c r="AC2495" t="s">
        <v>167</v>
      </c>
      <c r="AD2495">
        <v>9</v>
      </c>
      <c r="AE2495" t="s">
        <v>1413</v>
      </c>
      <c r="AF2495">
        <v>0</v>
      </c>
      <c r="AG2495" t="s">
        <v>310</v>
      </c>
      <c r="AH2495">
        <f>SUM((MID(Dyno_Data[[#This Row],[Team]],4,5))+(Dyno_Data[[#This Row],[Match]]/100))</f>
        <v>2095.4699999999998</v>
      </c>
      <c r="AI2495" s="76">
        <f>ROUND(SUM(IF(Dyno_Data[[#This Row],[AcqCenter]]&gt;0,Dyno_Data[[#This Row],[Time]]-SUMIFS(Dyno_Data[Time],Dyno_Data[Team],Dyno_Data[[#This Row],[Team]],Dyno_Data[RecordType],"StartMatch",Dyno_Data[Match],Dyno_Data[[#This Row],[Match]]),0)*86400),0)</f>
        <v>0</v>
      </c>
    </row>
    <row r="2496" spans="1:35" x14ac:dyDescent="0.3">
      <c r="A2496">
        <v>2495</v>
      </c>
      <c r="B2496" t="s">
        <v>1305</v>
      </c>
      <c r="C2496">
        <v>47</v>
      </c>
      <c r="D2496" s="105">
        <v>45373.702141122689</v>
      </c>
      <c r="E2496" t="s">
        <v>316</v>
      </c>
      <c r="F2496" t="s">
        <v>317</v>
      </c>
      <c r="G2496">
        <v>1</v>
      </c>
      <c r="H2496" t="s">
        <v>310</v>
      </c>
      <c r="I2496">
        <v>0</v>
      </c>
      <c r="J2496">
        <v>0</v>
      </c>
      <c r="K2496">
        <v>0</v>
      </c>
      <c r="L2496" t="s">
        <v>310</v>
      </c>
      <c r="M2496" t="s">
        <v>310</v>
      </c>
      <c r="N2496">
        <v>0</v>
      </c>
      <c r="O2496" t="s">
        <v>1391</v>
      </c>
      <c r="P2496" t="s">
        <v>101</v>
      </c>
      <c r="Q2496" t="s">
        <v>1400</v>
      </c>
      <c r="R2496" t="s">
        <v>1404</v>
      </c>
      <c r="S2496">
        <v>0</v>
      </c>
      <c r="T2496" t="s">
        <v>105</v>
      </c>
      <c r="U2496">
        <v>9</v>
      </c>
      <c r="V2496">
        <v>9</v>
      </c>
      <c r="W2496">
        <v>0</v>
      </c>
      <c r="X2496">
        <v>36.836976999999997</v>
      </c>
      <c r="Y2496">
        <v>36.6732163</v>
      </c>
      <c r="Z2496">
        <v>61.509726899999997</v>
      </c>
      <c r="AA2496">
        <v>0</v>
      </c>
      <c r="AB2496">
        <v>3</v>
      </c>
      <c r="AC2496" t="s">
        <v>174</v>
      </c>
      <c r="AD2496">
        <v>9</v>
      </c>
      <c r="AE2496" t="s">
        <v>1416</v>
      </c>
      <c r="AF2496">
        <v>140001000</v>
      </c>
      <c r="AG2496" t="s">
        <v>310</v>
      </c>
      <c r="AH2496">
        <f>SUM((MID(Dyno_Data[[#This Row],[Team]],4,5))+(Dyno_Data[[#This Row],[Match]]/100))</f>
        <v>3173.47</v>
      </c>
      <c r="AI2496" s="76">
        <f>ROUND(SUM(IF(Dyno_Data[[#This Row],[AcqCenter]]&gt;0,Dyno_Data[[#This Row],[Time]]-SUMIFS(Dyno_Data[Time],Dyno_Data[Team],Dyno_Data[[#This Row],[Team]],Dyno_Data[RecordType],"StartMatch",Dyno_Data[Match],Dyno_Data[[#This Row],[Match]]),0)*86400),0)</f>
        <v>0</v>
      </c>
    </row>
    <row r="2497" spans="1:35" x14ac:dyDescent="0.3">
      <c r="A2497">
        <v>2496</v>
      </c>
      <c r="B2497" t="s">
        <v>1309</v>
      </c>
      <c r="C2497">
        <v>47</v>
      </c>
      <c r="D2497" s="105">
        <v>45373.702141203707</v>
      </c>
      <c r="E2497" t="s">
        <v>316</v>
      </c>
      <c r="F2497" t="s">
        <v>317</v>
      </c>
      <c r="G2497">
        <v>0</v>
      </c>
      <c r="H2497" t="s">
        <v>310</v>
      </c>
      <c r="I2497">
        <v>0</v>
      </c>
      <c r="J2497">
        <v>0</v>
      </c>
      <c r="K2497">
        <v>0</v>
      </c>
      <c r="L2497" t="s">
        <v>310</v>
      </c>
      <c r="M2497" t="s">
        <v>310</v>
      </c>
      <c r="N2497">
        <v>0</v>
      </c>
      <c r="O2497" t="s">
        <v>319</v>
      </c>
      <c r="P2497" t="s">
        <v>1401</v>
      </c>
      <c r="Q2497" t="s">
        <v>1399</v>
      </c>
      <c r="R2497" t="s">
        <v>321</v>
      </c>
      <c r="S2497">
        <v>0</v>
      </c>
      <c r="T2497" t="s">
        <v>105</v>
      </c>
      <c r="U2497">
        <v>9</v>
      </c>
      <c r="V2497">
        <v>9</v>
      </c>
      <c r="W2497">
        <v>0</v>
      </c>
      <c r="X2497">
        <v>0</v>
      </c>
      <c r="Y2497">
        <v>0.18445159999999999</v>
      </c>
      <c r="Z2497">
        <v>136.40757209999998</v>
      </c>
      <c r="AA2497">
        <v>0</v>
      </c>
      <c r="AB2497">
        <v>0</v>
      </c>
      <c r="AC2497" t="s">
        <v>167</v>
      </c>
      <c r="AD2497">
        <v>0</v>
      </c>
      <c r="AE2497" t="s">
        <v>1414</v>
      </c>
      <c r="AF2497">
        <v>0</v>
      </c>
      <c r="AG2497" t="s">
        <v>310</v>
      </c>
      <c r="AH2497">
        <f>SUM((MID(Dyno_Data[[#This Row],[Team]],4,5))+(Dyno_Data[[#This Row],[Match]]/100))</f>
        <v>3550.47</v>
      </c>
      <c r="AI2497" s="76">
        <f>ROUND(SUM(IF(Dyno_Data[[#This Row],[AcqCenter]]&gt;0,Dyno_Data[[#This Row],[Time]]-SUMIFS(Dyno_Data[Time],Dyno_Data[Team],Dyno_Data[[#This Row],[Team]],Dyno_Data[RecordType],"StartMatch",Dyno_Data[Match],Dyno_Data[[#This Row],[Match]]),0)*86400),0)</f>
        <v>0</v>
      </c>
    </row>
    <row r="2498" spans="1:35" x14ac:dyDescent="0.3">
      <c r="A2498">
        <v>2497</v>
      </c>
      <c r="B2498" t="s">
        <v>1290</v>
      </c>
      <c r="C2498">
        <v>47</v>
      </c>
      <c r="D2498" s="105">
        <v>45373.702141319445</v>
      </c>
      <c r="E2498" t="s">
        <v>316</v>
      </c>
      <c r="F2498" t="s">
        <v>317</v>
      </c>
      <c r="G2498">
        <v>1</v>
      </c>
      <c r="H2498" t="s">
        <v>310</v>
      </c>
      <c r="I2498">
        <v>0</v>
      </c>
      <c r="J2498">
        <v>0</v>
      </c>
      <c r="K2498">
        <v>0</v>
      </c>
      <c r="L2498" t="s">
        <v>310</v>
      </c>
      <c r="M2498" t="s">
        <v>310</v>
      </c>
      <c r="N2498">
        <v>0</v>
      </c>
      <c r="O2498" t="s">
        <v>1393</v>
      </c>
      <c r="P2498" t="s">
        <v>101</v>
      </c>
      <c r="Q2498" t="s">
        <v>1400</v>
      </c>
      <c r="R2498" t="s">
        <v>1404</v>
      </c>
      <c r="S2498">
        <v>-1</v>
      </c>
      <c r="T2498" t="s">
        <v>105</v>
      </c>
      <c r="U2498">
        <v>9</v>
      </c>
      <c r="V2498">
        <v>9</v>
      </c>
      <c r="W2498">
        <v>2.8781466999999998</v>
      </c>
      <c r="X2498">
        <v>36.787252699999996</v>
      </c>
      <c r="Y2498">
        <v>31.111257599999998</v>
      </c>
      <c r="Z2498">
        <v>60.992992999999998</v>
      </c>
      <c r="AA2498">
        <v>1</v>
      </c>
      <c r="AB2498">
        <v>0</v>
      </c>
      <c r="AC2498" t="s">
        <v>174</v>
      </c>
      <c r="AD2498">
        <v>9</v>
      </c>
      <c r="AE2498" t="s">
        <v>1418</v>
      </c>
      <c r="AF2498">
        <v>70000000</v>
      </c>
      <c r="AG2498" t="s">
        <v>310</v>
      </c>
      <c r="AH2498">
        <f>SUM((MID(Dyno_Data[[#This Row],[Team]],4,5))+(Dyno_Data[[#This Row],[Match]]/100))</f>
        <v>5881.47</v>
      </c>
      <c r="AI2498" s="76">
        <f>ROUND(SUM(IF(Dyno_Data[[#This Row],[AcqCenter]]&gt;0,Dyno_Data[[#This Row],[Time]]-SUMIFS(Dyno_Data[Time],Dyno_Data[Team],Dyno_Data[[#This Row],[Team]],Dyno_Data[RecordType],"StartMatch",Dyno_Data[Match],Dyno_Data[[#This Row],[Match]]),0)*86400),0)</f>
        <v>0</v>
      </c>
    </row>
    <row r="2499" spans="1:35" x14ac:dyDescent="0.3">
      <c r="A2499">
        <v>2498</v>
      </c>
      <c r="B2499" t="s">
        <v>365</v>
      </c>
      <c r="C2499">
        <v>47</v>
      </c>
      <c r="D2499" s="105">
        <v>45373.702141435184</v>
      </c>
      <c r="E2499" t="s">
        <v>316</v>
      </c>
      <c r="F2499" t="s">
        <v>317</v>
      </c>
      <c r="G2499">
        <v>1</v>
      </c>
      <c r="H2499" t="s">
        <v>310</v>
      </c>
      <c r="I2499">
        <v>0</v>
      </c>
      <c r="J2499">
        <v>0</v>
      </c>
      <c r="K2499">
        <v>0</v>
      </c>
      <c r="L2499" t="s">
        <v>310</v>
      </c>
      <c r="M2499" t="s">
        <v>310</v>
      </c>
      <c r="N2499">
        <v>0</v>
      </c>
      <c r="O2499" t="s">
        <v>1389</v>
      </c>
      <c r="P2499" t="s">
        <v>240</v>
      </c>
      <c r="Q2499" t="s">
        <v>1399</v>
      </c>
      <c r="R2499" t="s">
        <v>1404</v>
      </c>
      <c r="S2499">
        <v>-1</v>
      </c>
      <c r="T2499" t="s">
        <v>105</v>
      </c>
      <c r="U2499">
        <v>9</v>
      </c>
      <c r="V2499">
        <v>9</v>
      </c>
      <c r="W2499">
        <v>5.9478928</v>
      </c>
      <c r="X2499">
        <v>34.023590499999997</v>
      </c>
      <c r="Y2499">
        <v>19.188161099999999</v>
      </c>
      <c r="Z2499">
        <v>76.9906012</v>
      </c>
      <c r="AA2499">
        <v>0</v>
      </c>
      <c r="AB2499">
        <v>0</v>
      </c>
      <c r="AC2499" t="s">
        <v>174</v>
      </c>
      <c r="AD2499">
        <v>0</v>
      </c>
      <c r="AE2499" t="s">
        <v>1417</v>
      </c>
      <c r="AF2499">
        <v>60000000</v>
      </c>
      <c r="AG2499" t="s">
        <v>310</v>
      </c>
      <c r="AH2499">
        <f>SUM((MID(Dyno_Data[[#This Row],[Team]],4,5))+(Dyno_Data[[#This Row],[Match]]/100))</f>
        <v>3171.47</v>
      </c>
      <c r="AI2499" s="76">
        <f>ROUND(SUM(IF(Dyno_Data[[#This Row],[AcqCenter]]&gt;0,Dyno_Data[[#This Row],[Time]]-SUMIFS(Dyno_Data[Time],Dyno_Data[Team],Dyno_Data[[#This Row],[Team]],Dyno_Data[RecordType],"StartMatch",Dyno_Data[Match],Dyno_Data[[#This Row],[Match]]),0)*86400),0)</f>
        <v>0</v>
      </c>
    </row>
    <row r="2500" spans="1:35" x14ac:dyDescent="0.3">
      <c r="A2500">
        <v>2499</v>
      </c>
      <c r="B2500" t="s">
        <v>1301</v>
      </c>
      <c r="C2500">
        <v>47</v>
      </c>
      <c r="D2500" s="105">
        <v>45373.702141516202</v>
      </c>
      <c r="E2500" t="s">
        <v>316</v>
      </c>
      <c r="F2500" t="s">
        <v>317</v>
      </c>
      <c r="G2500">
        <v>0</v>
      </c>
      <c r="H2500" t="s">
        <v>310</v>
      </c>
      <c r="I2500">
        <v>0</v>
      </c>
      <c r="J2500">
        <v>0</v>
      </c>
      <c r="K2500">
        <v>0</v>
      </c>
      <c r="L2500" t="s">
        <v>310</v>
      </c>
      <c r="M2500" t="s">
        <v>310</v>
      </c>
      <c r="N2500">
        <v>0</v>
      </c>
      <c r="O2500" t="s">
        <v>1395</v>
      </c>
      <c r="P2500" t="s">
        <v>320</v>
      </c>
      <c r="Q2500" t="s">
        <v>1400</v>
      </c>
      <c r="R2500" t="s">
        <v>1404</v>
      </c>
      <c r="S2500">
        <v>0</v>
      </c>
      <c r="T2500" t="s">
        <v>105</v>
      </c>
      <c r="U2500">
        <v>9</v>
      </c>
      <c r="V2500">
        <v>9</v>
      </c>
      <c r="W2500">
        <v>0</v>
      </c>
      <c r="X2500">
        <v>4.4978166999999996</v>
      </c>
      <c r="Y2500">
        <v>71.162833300000003</v>
      </c>
      <c r="Z2500">
        <v>60.367061899999996</v>
      </c>
      <c r="AA2500">
        <v>1</v>
      </c>
      <c r="AB2500">
        <v>0</v>
      </c>
      <c r="AC2500" t="s">
        <v>170</v>
      </c>
      <c r="AD2500">
        <v>9</v>
      </c>
      <c r="AE2500" t="s">
        <v>1412</v>
      </c>
      <c r="AF2500">
        <v>0</v>
      </c>
      <c r="AG2500" t="s">
        <v>310</v>
      </c>
      <c r="AH2500">
        <f>SUM((MID(Dyno_Data[[#This Row],[Team]],4,5))+(Dyno_Data[[#This Row],[Match]]/100))</f>
        <v>7031.47</v>
      </c>
      <c r="AI2500" s="76">
        <f>ROUND(SUM(IF(Dyno_Data[[#This Row],[AcqCenter]]&gt;0,Dyno_Data[[#This Row],[Time]]-SUMIFS(Dyno_Data[Time],Dyno_Data[Team],Dyno_Data[[#This Row],[Team]],Dyno_Data[RecordType],"StartMatch",Dyno_Data[Match],Dyno_Data[[#This Row],[Match]]),0)*86400),0)</f>
        <v>0</v>
      </c>
    </row>
    <row r="2501" spans="1:35" x14ac:dyDescent="0.3">
      <c r="A2501">
        <v>2501</v>
      </c>
      <c r="B2501" t="s">
        <v>362</v>
      </c>
      <c r="C2501">
        <v>48</v>
      </c>
      <c r="D2501" s="105">
        <v>45373.703109988426</v>
      </c>
      <c r="E2501" t="s">
        <v>312</v>
      </c>
      <c r="F2501" t="s">
        <v>309</v>
      </c>
      <c r="G2501">
        <v>0</v>
      </c>
      <c r="H2501" t="s">
        <v>143</v>
      </c>
      <c r="I2501">
        <v>1</v>
      </c>
      <c r="J2501">
        <v>-1</v>
      </c>
      <c r="K2501">
        <v>0</v>
      </c>
      <c r="L2501" t="s">
        <v>310</v>
      </c>
      <c r="M2501" t="s">
        <v>310</v>
      </c>
      <c r="N2501">
        <v>0</v>
      </c>
      <c r="O2501" t="s">
        <v>1391</v>
      </c>
      <c r="P2501" t="s">
        <v>310</v>
      </c>
      <c r="Q2501" t="s">
        <v>310</v>
      </c>
      <c r="R2501" t="s">
        <v>310</v>
      </c>
      <c r="S2501">
        <v>9</v>
      </c>
      <c r="T2501" t="s">
        <v>310</v>
      </c>
      <c r="U2501">
        <v>9</v>
      </c>
      <c r="V2501">
        <v>9</v>
      </c>
      <c r="W2501">
        <v>0</v>
      </c>
      <c r="X2501">
        <v>0</v>
      </c>
      <c r="Y2501">
        <v>0</v>
      </c>
      <c r="Z2501">
        <v>0</v>
      </c>
      <c r="AA2501">
        <v>9</v>
      </c>
      <c r="AB2501">
        <v>9</v>
      </c>
      <c r="AC2501" t="s">
        <v>310</v>
      </c>
      <c r="AD2501">
        <v>9</v>
      </c>
      <c r="AE2501" t="s">
        <v>1416</v>
      </c>
      <c r="AF2501">
        <v>1000</v>
      </c>
      <c r="AG2501" t="s">
        <v>310</v>
      </c>
      <c r="AH2501">
        <f>SUM((MID(Dyno_Data[[#This Row],[Team]],4,5))+(Dyno_Data[[#This Row],[Match]]/100))</f>
        <v>250.48</v>
      </c>
      <c r="AI2501" s="76">
        <f>ROUND(SUM(IF(Dyno_Data[[#This Row],[AcqCenter]]&gt;0,Dyno_Data[[#This Row],[Time]]-SUMIFS(Dyno_Data[Time],Dyno_Data[Team],Dyno_Data[[#This Row],[Team]],Dyno_Data[RecordType],"StartMatch",Dyno_Data[Match],Dyno_Data[[#This Row],[Match]]),0)*86400),0)</f>
        <v>-93</v>
      </c>
    </row>
    <row r="2502" spans="1:35" x14ac:dyDescent="0.3">
      <c r="A2502">
        <v>2506</v>
      </c>
      <c r="B2502" t="s">
        <v>1278</v>
      </c>
      <c r="C2502">
        <v>48</v>
      </c>
      <c r="D2502" s="105">
        <v>45373.704190358796</v>
      </c>
      <c r="E2502" t="s">
        <v>308</v>
      </c>
      <c r="F2502" t="s">
        <v>309</v>
      </c>
      <c r="G2502">
        <v>0</v>
      </c>
      <c r="H2502" t="s">
        <v>310</v>
      </c>
      <c r="I2502">
        <v>0</v>
      </c>
      <c r="J2502">
        <v>0</v>
      </c>
      <c r="K2502">
        <v>0</v>
      </c>
      <c r="L2502" t="s">
        <v>310</v>
      </c>
      <c r="M2502" t="s">
        <v>310</v>
      </c>
      <c r="N2502">
        <v>0</v>
      </c>
      <c r="O2502" t="s">
        <v>311</v>
      </c>
      <c r="P2502" t="s">
        <v>310</v>
      </c>
      <c r="Q2502" t="s">
        <v>310</v>
      </c>
      <c r="R2502" t="s">
        <v>310</v>
      </c>
      <c r="S2502">
        <v>9</v>
      </c>
      <c r="T2502" t="s">
        <v>310</v>
      </c>
      <c r="U2502">
        <v>9</v>
      </c>
      <c r="V2502">
        <v>9</v>
      </c>
      <c r="W2502">
        <v>0</v>
      </c>
      <c r="X2502">
        <v>0</v>
      </c>
      <c r="Y2502">
        <v>0</v>
      </c>
      <c r="Z2502">
        <v>0</v>
      </c>
      <c r="AA2502">
        <v>9</v>
      </c>
      <c r="AB2502">
        <v>9</v>
      </c>
      <c r="AC2502" t="s">
        <v>310</v>
      </c>
      <c r="AD2502">
        <v>9</v>
      </c>
      <c r="AE2502" t="s">
        <v>1412</v>
      </c>
      <c r="AF2502">
        <v>10000000</v>
      </c>
      <c r="AG2502" t="s">
        <v>310</v>
      </c>
      <c r="AH2502">
        <f>SUM((MID(Dyno_Data[[#This Row],[Team]],4,5))+(Dyno_Data[[#This Row],[Match]]/100))</f>
        <v>3951.48</v>
      </c>
      <c r="AI2502" s="76">
        <f>ROUND(SUM(IF(Dyno_Data[[#This Row],[AcqCenter]]&gt;0,Dyno_Data[[#This Row],[Time]]-SUMIFS(Dyno_Data[Time],Dyno_Data[Team],Dyno_Data[[#This Row],[Team]],Dyno_Data[RecordType],"StartMatch",Dyno_Data[Match],Dyno_Data[[#This Row],[Match]]),0)*86400),0)</f>
        <v>0</v>
      </c>
    </row>
    <row r="2503" spans="1:35" x14ac:dyDescent="0.3">
      <c r="A2503">
        <v>2508</v>
      </c>
      <c r="B2503" t="s">
        <v>362</v>
      </c>
      <c r="C2503">
        <v>48</v>
      </c>
      <c r="D2503" s="105">
        <v>45373.704191817131</v>
      </c>
      <c r="E2503" t="s">
        <v>308</v>
      </c>
      <c r="F2503" t="s">
        <v>309</v>
      </c>
      <c r="G2503">
        <v>0</v>
      </c>
      <c r="H2503" t="s">
        <v>310</v>
      </c>
      <c r="I2503">
        <v>0</v>
      </c>
      <c r="J2503">
        <v>0</v>
      </c>
      <c r="K2503">
        <v>0</v>
      </c>
      <c r="L2503" t="s">
        <v>310</v>
      </c>
      <c r="M2503" t="s">
        <v>310</v>
      </c>
      <c r="N2503">
        <v>0</v>
      </c>
      <c r="O2503" t="s">
        <v>1391</v>
      </c>
      <c r="P2503" t="s">
        <v>310</v>
      </c>
      <c r="Q2503" t="s">
        <v>310</v>
      </c>
      <c r="R2503" t="s">
        <v>310</v>
      </c>
      <c r="S2503">
        <v>9</v>
      </c>
      <c r="T2503" t="s">
        <v>310</v>
      </c>
      <c r="U2503">
        <v>9</v>
      </c>
      <c r="V2503">
        <v>9</v>
      </c>
      <c r="W2503">
        <v>0</v>
      </c>
      <c r="X2503">
        <v>0</v>
      </c>
      <c r="Y2503">
        <v>0</v>
      </c>
      <c r="Z2503">
        <v>0</v>
      </c>
      <c r="AA2503">
        <v>9</v>
      </c>
      <c r="AB2503">
        <v>9</v>
      </c>
      <c r="AC2503" t="s">
        <v>310</v>
      </c>
      <c r="AD2503">
        <v>9</v>
      </c>
      <c r="AE2503" t="s">
        <v>1416</v>
      </c>
      <c r="AF2503">
        <v>3000</v>
      </c>
      <c r="AG2503" t="s">
        <v>310</v>
      </c>
      <c r="AH2503">
        <f>SUM((MID(Dyno_Data[[#This Row],[Team]],4,5))+(Dyno_Data[[#This Row],[Match]]/100))</f>
        <v>250.48</v>
      </c>
      <c r="AI2503" s="76">
        <f>ROUND(SUM(IF(Dyno_Data[[#This Row],[AcqCenter]]&gt;0,Dyno_Data[[#This Row],[Time]]-SUMIFS(Dyno_Data[Time],Dyno_Data[Team],Dyno_Data[[#This Row],[Team]],Dyno_Data[RecordType],"StartMatch",Dyno_Data[Match],Dyno_Data[[#This Row],[Match]]),0)*86400),0)</f>
        <v>0</v>
      </c>
    </row>
    <row r="2504" spans="1:35" x14ac:dyDescent="0.3">
      <c r="A2504">
        <v>2510</v>
      </c>
      <c r="B2504" t="s">
        <v>1289</v>
      </c>
      <c r="C2504">
        <v>48</v>
      </c>
      <c r="D2504" s="105">
        <v>45373.70420443287</v>
      </c>
      <c r="E2504" t="s">
        <v>308</v>
      </c>
      <c r="F2504" t="s">
        <v>309</v>
      </c>
      <c r="G2504">
        <v>0</v>
      </c>
      <c r="H2504" t="s">
        <v>310</v>
      </c>
      <c r="I2504">
        <v>0</v>
      </c>
      <c r="J2504">
        <v>0</v>
      </c>
      <c r="K2504">
        <v>0</v>
      </c>
      <c r="L2504" t="s">
        <v>310</v>
      </c>
      <c r="M2504" t="s">
        <v>310</v>
      </c>
      <c r="N2504">
        <v>0</v>
      </c>
      <c r="O2504" t="s">
        <v>319</v>
      </c>
      <c r="P2504" t="s">
        <v>310</v>
      </c>
      <c r="Q2504" t="s">
        <v>310</v>
      </c>
      <c r="R2504" t="s">
        <v>310</v>
      </c>
      <c r="S2504">
        <v>9</v>
      </c>
      <c r="T2504" t="s">
        <v>310</v>
      </c>
      <c r="U2504">
        <v>9</v>
      </c>
      <c r="V2504">
        <v>9</v>
      </c>
      <c r="W2504">
        <v>0</v>
      </c>
      <c r="X2504">
        <v>0</v>
      </c>
      <c r="Y2504">
        <v>0</v>
      </c>
      <c r="Z2504">
        <v>0</v>
      </c>
      <c r="AA2504">
        <v>9</v>
      </c>
      <c r="AB2504">
        <v>9</v>
      </c>
      <c r="AC2504" t="s">
        <v>310</v>
      </c>
      <c r="AD2504">
        <v>9</v>
      </c>
      <c r="AE2504" t="s">
        <v>1414</v>
      </c>
      <c r="AF2504">
        <v>0</v>
      </c>
      <c r="AG2504" t="s">
        <v>310</v>
      </c>
      <c r="AH2504">
        <f>SUM((MID(Dyno_Data[[#This Row],[Team]],4,5))+(Dyno_Data[[#This Row],[Match]]/100))</f>
        <v>6648.48</v>
      </c>
      <c r="AI2504" s="76">
        <f>ROUND(SUM(IF(Dyno_Data[[#This Row],[AcqCenter]]&gt;0,Dyno_Data[[#This Row],[Time]]-SUMIFS(Dyno_Data[Time],Dyno_Data[Team],Dyno_Data[[#This Row],[Team]],Dyno_Data[RecordType],"StartMatch",Dyno_Data[Match],Dyno_Data[[#This Row],[Match]]),0)*86400),0)</f>
        <v>0</v>
      </c>
    </row>
    <row r="2505" spans="1:35" x14ac:dyDescent="0.3">
      <c r="A2505">
        <v>2512</v>
      </c>
      <c r="B2505" t="s">
        <v>369</v>
      </c>
      <c r="C2505">
        <v>48</v>
      </c>
      <c r="D2505" s="105">
        <v>45373.704209456017</v>
      </c>
      <c r="E2505" t="s">
        <v>308</v>
      </c>
      <c r="F2505" t="s">
        <v>309</v>
      </c>
      <c r="G2505">
        <v>0</v>
      </c>
      <c r="H2505" t="s">
        <v>310</v>
      </c>
      <c r="I2505">
        <v>0</v>
      </c>
      <c r="J2505">
        <v>0</v>
      </c>
      <c r="K2505">
        <v>0</v>
      </c>
      <c r="L2505" t="s">
        <v>310</v>
      </c>
      <c r="M2505" t="s">
        <v>310</v>
      </c>
      <c r="N2505">
        <v>0</v>
      </c>
      <c r="O2505" t="s">
        <v>1389</v>
      </c>
      <c r="P2505" t="s">
        <v>310</v>
      </c>
      <c r="Q2505" t="s">
        <v>310</v>
      </c>
      <c r="R2505" t="s">
        <v>310</v>
      </c>
      <c r="S2505">
        <v>9</v>
      </c>
      <c r="T2505" t="s">
        <v>310</v>
      </c>
      <c r="U2505">
        <v>9</v>
      </c>
      <c r="V2505">
        <v>9</v>
      </c>
      <c r="W2505">
        <v>0</v>
      </c>
      <c r="X2505">
        <v>0</v>
      </c>
      <c r="Y2505">
        <v>0</v>
      </c>
      <c r="Z2505">
        <v>0</v>
      </c>
      <c r="AA2505">
        <v>9</v>
      </c>
      <c r="AB2505">
        <v>9</v>
      </c>
      <c r="AC2505" t="s">
        <v>310</v>
      </c>
      <c r="AD2505">
        <v>9</v>
      </c>
      <c r="AE2505" t="s">
        <v>1417</v>
      </c>
      <c r="AF2505">
        <v>0</v>
      </c>
      <c r="AG2505" t="s">
        <v>310</v>
      </c>
      <c r="AH2505">
        <f>SUM((MID(Dyno_Data[[#This Row],[Team]],4,5))+(Dyno_Data[[#This Row],[Match]]/100))</f>
        <v>6463.48</v>
      </c>
      <c r="AI2505" s="76">
        <f>ROUND(SUM(IF(Dyno_Data[[#This Row],[AcqCenter]]&gt;0,Dyno_Data[[#This Row],[Time]]-SUMIFS(Dyno_Data[Time],Dyno_Data[Team],Dyno_Data[[#This Row],[Team]],Dyno_Data[RecordType],"StartMatch",Dyno_Data[Match],Dyno_Data[[#This Row],[Match]]),0)*86400),0)</f>
        <v>0</v>
      </c>
    </row>
    <row r="2506" spans="1:35" x14ac:dyDescent="0.3">
      <c r="A2506">
        <v>2514</v>
      </c>
      <c r="B2506" t="s">
        <v>372</v>
      </c>
      <c r="C2506">
        <v>48</v>
      </c>
      <c r="D2506" s="105">
        <v>45373.704210185184</v>
      </c>
      <c r="E2506" t="s">
        <v>308</v>
      </c>
      <c r="F2506" t="s">
        <v>309</v>
      </c>
      <c r="G2506">
        <v>0</v>
      </c>
      <c r="H2506" t="s">
        <v>310</v>
      </c>
      <c r="I2506">
        <v>0</v>
      </c>
      <c r="J2506">
        <v>0</v>
      </c>
      <c r="K2506">
        <v>0</v>
      </c>
      <c r="L2506" t="s">
        <v>310</v>
      </c>
      <c r="M2506" t="s">
        <v>310</v>
      </c>
      <c r="N2506">
        <v>0</v>
      </c>
      <c r="O2506" t="s">
        <v>1393</v>
      </c>
      <c r="P2506" t="s">
        <v>310</v>
      </c>
      <c r="Q2506" t="s">
        <v>310</v>
      </c>
      <c r="R2506" t="s">
        <v>310</v>
      </c>
      <c r="S2506">
        <v>9</v>
      </c>
      <c r="T2506" t="s">
        <v>310</v>
      </c>
      <c r="U2506">
        <v>9</v>
      </c>
      <c r="V2506">
        <v>9</v>
      </c>
      <c r="W2506">
        <v>0</v>
      </c>
      <c r="X2506">
        <v>0</v>
      </c>
      <c r="Y2506">
        <v>0</v>
      </c>
      <c r="Z2506">
        <v>0</v>
      </c>
      <c r="AA2506">
        <v>9</v>
      </c>
      <c r="AB2506">
        <v>9</v>
      </c>
      <c r="AC2506" t="s">
        <v>310</v>
      </c>
      <c r="AD2506">
        <v>9</v>
      </c>
      <c r="AE2506" t="s">
        <v>1418</v>
      </c>
      <c r="AF2506">
        <v>0</v>
      </c>
      <c r="AG2506" t="s">
        <v>310</v>
      </c>
      <c r="AH2506">
        <f>SUM((MID(Dyno_Data[[#This Row],[Team]],4,5))+(Dyno_Data[[#This Row],[Match]]/100))</f>
        <v>7504.48</v>
      </c>
      <c r="AI2506" s="76">
        <f>ROUND(SUM(IF(Dyno_Data[[#This Row],[AcqCenter]]&gt;0,Dyno_Data[[#This Row],[Time]]-SUMIFS(Dyno_Data[Time],Dyno_Data[Team],Dyno_Data[[#This Row],[Team]],Dyno_Data[RecordType],"StartMatch",Dyno_Data[Match],Dyno_Data[[#This Row],[Match]]),0)*86400),0)</f>
        <v>0</v>
      </c>
    </row>
    <row r="2507" spans="1:35" x14ac:dyDescent="0.3">
      <c r="A2507">
        <v>2500</v>
      </c>
      <c r="B2507" t="s">
        <v>1278</v>
      </c>
      <c r="C2507">
        <v>48</v>
      </c>
      <c r="D2507" s="105">
        <v>45373.704224618057</v>
      </c>
      <c r="E2507" t="s">
        <v>312</v>
      </c>
      <c r="F2507" t="s">
        <v>309</v>
      </c>
      <c r="G2507">
        <v>0</v>
      </c>
      <c r="H2507" t="s">
        <v>1397</v>
      </c>
      <c r="I2507">
        <v>0</v>
      </c>
      <c r="J2507">
        <v>0</v>
      </c>
      <c r="K2507">
        <v>0</v>
      </c>
      <c r="L2507" t="s">
        <v>240</v>
      </c>
      <c r="M2507" t="s">
        <v>1398</v>
      </c>
      <c r="N2507">
        <v>0</v>
      </c>
      <c r="O2507" t="s">
        <v>311</v>
      </c>
      <c r="P2507" t="s">
        <v>310</v>
      </c>
      <c r="Q2507" t="s">
        <v>310</v>
      </c>
      <c r="R2507" t="s">
        <v>310</v>
      </c>
      <c r="S2507">
        <v>9</v>
      </c>
      <c r="T2507" t="s">
        <v>310</v>
      </c>
      <c r="U2507">
        <v>9</v>
      </c>
      <c r="V2507">
        <v>9</v>
      </c>
      <c r="W2507">
        <v>0</v>
      </c>
      <c r="X2507">
        <v>0</v>
      </c>
      <c r="Y2507">
        <v>0</v>
      </c>
      <c r="Z2507">
        <v>0</v>
      </c>
      <c r="AA2507">
        <v>9</v>
      </c>
      <c r="AB2507">
        <v>9</v>
      </c>
      <c r="AC2507" t="s">
        <v>310</v>
      </c>
      <c r="AD2507">
        <v>9</v>
      </c>
      <c r="AE2507" t="s">
        <v>1412</v>
      </c>
      <c r="AF2507">
        <v>0</v>
      </c>
      <c r="AG2507" t="s">
        <v>310</v>
      </c>
      <c r="AH2507">
        <f>SUM((MID(Dyno_Data[[#This Row],[Team]],4,5))+(Dyno_Data[[#This Row],[Match]]/100))</f>
        <v>3951.48</v>
      </c>
      <c r="AI2507" s="76">
        <f>ROUND(SUM(IF(Dyno_Data[[#This Row],[AcqCenter]]&gt;0,Dyno_Data[[#This Row],[Time]]-SUMIFS(Dyno_Data[Time],Dyno_Data[Team],Dyno_Data[[#This Row],[Team]],Dyno_Data[RecordType],"StartMatch",Dyno_Data[Match],Dyno_Data[[#This Row],[Match]]),0)*86400),0)</f>
        <v>0</v>
      </c>
    </row>
    <row r="2508" spans="1:35" x14ac:dyDescent="0.3">
      <c r="A2508">
        <v>2516</v>
      </c>
      <c r="B2508" t="s">
        <v>1285</v>
      </c>
      <c r="C2508">
        <v>48</v>
      </c>
      <c r="D2508" s="105">
        <v>45373.70425934028</v>
      </c>
      <c r="E2508" t="s">
        <v>308</v>
      </c>
      <c r="F2508" t="s">
        <v>309</v>
      </c>
      <c r="G2508">
        <v>0</v>
      </c>
      <c r="H2508" t="s">
        <v>310</v>
      </c>
      <c r="I2508">
        <v>0</v>
      </c>
      <c r="J2508">
        <v>0</v>
      </c>
      <c r="K2508">
        <v>0</v>
      </c>
      <c r="L2508" t="s">
        <v>310</v>
      </c>
      <c r="M2508" t="s">
        <v>310</v>
      </c>
      <c r="N2508">
        <v>0</v>
      </c>
      <c r="O2508" t="s">
        <v>1395</v>
      </c>
      <c r="P2508" t="s">
        <v>310</v>
      </c>
      <c r="Q2508" t="s">
        <v>310</v>
      </c>
      <c r="R2508" t="s">
        <v>310</v>
      </c>
      <c r="S2508">
        <v>9</v>
      </c>
      <c r="T2508" t="s">
        <v>310</v>
      </c>
      <c r="U2508">
        <v>9</v>
      </c>
      <c r="V2508">
        <v>9</v>
      </c>
      <c r="W2508">
        <v>0</v>
      </c>
      <c r="X2508">
        <v>0</v>
      </c>
      <c r="Y2508">
        <v>0</v>
      </c>
      <c r="Z2508">
        <v>0</v>
      </c>
      <c r="AA2508">
        <v>9</v>
      </c>
      <c r="AB2508">
        <v>9</v>
      </c>
      <c r="AC2508" t="s">
        <v>310</v>
      </c>
      <c r="AD2508">
        <v>9</v>
      </c>
      <c r="AE2508" t="s">
        <v>1413</v>
      </c>
      <c r="AF2508">
        <v>0</v>
      </c>
      <c r="AG2508" t="s">
        <v>310</v>
      </c>
      <c r="AH2508">
        <f>SUM((MID(Dyno_Data[[#This Row],[Team]],4,5))+(Dyno_Data[[#This Row],[Match]]/100))</f>
        <v>5993.48</v>
      </c>
      <c r="AI2508" s="76">
        <f>ROUND(SUM(IF(Dyno_Data[[#This Row],[AcqCenter]]&gt;0,Dyno_Data[[#This Row],[Time]]-SUMIFS(Dyno_Data[Time],Dyno_Data[Team],Dyno_Data[[#This Row],[Team]],Dyno_Data[RecordType],"StartMatch",Dyno_Data[Match],Dyno_Data[[#This Row],[Match]]),0)*86400),0)</f>
        <v>0</v>
      </c>
    </row>
    <row r="2509" spans="1:35" x14ac:dyDescent="0.3">
      <c r="A2509">
        <v>2502</v>
      </c>
      <c r="B2509" t="s">
        <v>362</v>
      </c>
      <c r="C2509">
        <v>48</v>
      </c>
      <c r="D2509" s="105">
        <v>45373.704269560185</v>
      </c>
      <c r="E2509" t="s">
        <v>312</v>
      </c>
      <c r="F2509" t="s">
        <v>309</v>
      </c>
      <c r="G2509">
        <v>0</v>
      </c>
      <c r="H2509" t="s">
        <v>143</v>
      </c>
      <c r="I2509">
        <v>2</v>
      </c>
      <c r="J2509">
        <v>-1</v>
      </c>
      <c r="K2509">
        <v>0</v>
      </c>
      <c r="L2509" t="s">
        <v>310</v>
      </c>
      <c r="M2509" t="s">
        <v>310</v>
      </c>
      <c r="N2509">
        <v>0</v>
      </c>
      <c r="O2509" t="s">
        <v>1391</v>
      </c>
      <c r="P2509" t="s">
        <v>310</v>
      </c>
      <c r="Q2509" t="s">
        <v>310</v>
      </c>
      <c r="R2509" t="s">
        <v>310</v>
      </c>
      <c r="S2509">
        <v>9</v>
      </c>
      <c r="T2509" t="s">
        <v>310</v>
      </c>
      <c r="U2509">
        <v>9</v>
      </c>
      <c r="V2509">
        <v>9</v>
      </c>
      <c r="W2509">
        <v>0</v>
      </c>
      <c r="X2509">
        <v>0</v>
      </c>
      <c r="Y2509">
        <v>0</v>
      </c>
      <c r="Z2509">
        <v>0</v>
      </c>
      <c r="AA2509">
        <v>9</v>
      </c>
      <c r="AB2509">
        <v>9</v>
      </c>
      <c r="AC2509" t="s">
        <v>310</v>
      </c>
      <c r="AD2509">
        <v>9</v>
      </c>
      <c r="AE2509" t="s">
        <v>1416</v>
      </c>
      <c r="AF2509">
        <v>2000</v>
      </c>
      <c r="AG2509" t="s">
        <v>310</v>
      </c>
      <c r="AH2509">
        <f>SUM((MID(Dyno_Data[[#This Row],[Team]],4,5))+(Dyno_Data[[#This Row],[Match]]/100))</f>
        <v>250.48</v>
      </c>
      <c r="AI2509" s="76">
        <f>ROUND(SUM(IF(Dyno_Data[[#This Row],[AcqCenter]]&gt;0,Dyno_Data[[#This Row],[Time]]-SUMIFS(Dyno_Data[Time],Dyno_Data[Team],Dyno_Data[[#This Row],[Team]],Dyno_Data[RecordType],"StartMatch",Dyno_Data[Match],Dyno_Data[[#This Row],[Match]]),0)*86400),0)</f>
        <v>7</v>
      </c>
    </row>
    <row r="2510" spans="1:35" x14ac:dyDescent="0.3">
      <c r="A2510">
        <v>2503</v>
      </c>
      <c r="B2510" t="s">
        <v>1278</v>
      </c>
      <c r="C2510">
        <v>48</v>
      </c>
      <c r="D2510" s="105">
        <v>45373.704313391201</v>
      </c>
      <c r="E2510" t="s">
        <v>312</v>
      </c>
      <c r="F2510" t="s">
        <v>309</v>
      </c>
      <c r="G2510">
        <v>0</v>
      </c>
      <c r="H2510" t="s">
        <v>315</v>
      </c>
      <c r="I2510">
        <v>0</v>
      </c>
      <c r="J2510">
        <v>0</v>
      </c>
      <c r="K2510">
        <v>0</v>
      </c>
      <c r="L2510" t="s">
        <v>240</v>
      </c>
      <c r="M2510" t="s">
        <v>1398</v>
      </c>
      <c r="N2510">
        <v>0</v>
      </c>
      <c r="O2510" t="s">
        <v>311</v>
      </c>
      <c r="P2510" t="s">
        <v>310</v>
      </c>
      <c r="Q2510" t="s">
        <v>310</v>
      </c>
      <c r="R2510" t="s">
        <v>310</v>
      </c>
      <c r="S2510">
        <v>9</v>
      </c>
      <c r="T2510" t="s">
        <v>310</v>
      </c>
      <c r="U2510">
        <v>9</v>
      </c>
      <c r="V2510">
        <v>9</v>
      </c>
      <c r="W2510">
        <v>0</v>
      </c>
      <c r="X2510">
        <v>0</v>
      </c>
      <c r="Y2510">
        <v>0</v>
      </c>
      <c r="Z2510">
        <v>0</v>
      </c>
      <c r="AA2510">
        <v>9</v>
      </c>
      <c r="AB2510">
        <v>9</v>
      </c>
      <c r="AC2510" t="s">
        <v>310</v>
      </c>
      <c r="AD2510">
        <v>9</v>
      </c>
      <c r="AE2510" t="s">
        <v>1412</v>
      </c>
      <c r="AF2510">
        <v>10000000</v>
      </c>
      <c r="AG2510" t="s">
        <v>310</v>
      </c>
      <c r="AH2510">
        <f>SUM((MID(Dyno_Data[[#This Row],[Team]],4,5))+(Dyno_Data[[#This Row],[Match]]/100))</f>
        <v>3951.48</v>
      </c>
      <c r="AI2510" s="76">
        <f>ROUND(SUM(IF(Dyno_Data[[#This Row],[AcqCenter]]&gt;0,Dyno_Data[[#This Row],[Time]]-SUMIFS(Dyno_Data[Time],Dyno_Data[Team],Dyno_Data[[#This Row],[Team]],Dyno_Data[RecordType],"StartMatch",Dyno_Data[Match],Dyno_Data[[#This Row],[Match]]),0)*86400),0)</f>
        <v>0</v>
      </c>
    </row>
    <row r="2511" spans="1:35" x14ac:dyDescent="0.3">
      <c r="A2511">
        <v>2504</v>
      </c>
      <c r="B2511" t="s">
        <v>362</v>
      </c>
      <c r="C2511">
        <v>48</v>
      </c>
      <c r="D2511" s="105">
        <v>45373.704316238429</v>
      </c>
      <c r="E2511" t="s">
        <v>312</v>
      </c>
      <c r="F2511" t="s">
        <v>309</v>
      </c>
      <c r="G2511">
        <v>0</v>
      </c>
      <c r="H2511" t="s">
        <v>143</v>
      </c>
      <c r="I2511">
        <v>3</v>
      </c>
      <c r="J2511">
        <v>-1</v>
      </c>
      <c r="K2511">
        <v>0</v>
      </c>
      <c r="L2511" t="s">
        <v>310</v>
      </c>
      <c r="M2511" t="s">
        <v>310</v>
      </c>
      <c r="N2511">
        <v>0</v>
      </c>
      <c r="O2511" t="s">
        <v>1391</v>
      </c>
      <c r="P2511" t="s">
        <v>310</v>
      </c>
      <c r="Q2511" t="s">
        <v>310</v>
      </c>
      <c r="R2511" t="s">
        <v>310</v>
      </c>
      <c r="S2511">
        <v>9</v>
      </c>
      <c r="T2511" t="s">
        <v>310</v>
      </c>
      <c r="U2511">
        <v>9</v>
      </c>
      <c r="V2511">
        <v>9</v>
      </c>
      <c r="W2511">
        <v>0</v>
      </c>
      <c r="X2511">
        <v>0</v>
      </c>
      <c r="Y2511">
        <v>0</v>
      </c>
      <c r="Z2511">
        <v>0</v>
      </c>
      <c r="AA2511">
        <v>9</v>
      </c>
      <c r="AB2511">
        <v>9</v>
      </c>
      <c r="AC2511" t="s">
        <v>310</v>
      </c>
      <c r="AD2511">
        <v>9</v>
      </c>
      <c r="AE2511" t="s">
        <v>1416</v>
      </c>
      <c r="AF2511">
        <v>3000</v>
      </c>
      <c r="AG2511" t="s">
        <v>310</v>
      </c>
      <c r="AH2511">
        <f>SUM((MID(Dyno_Data[[#This Row],[Team]],4,5))+(Dyno_Data[[#This Row],[Match]]/100))</f>
        <v>250.48</v>
      </c>
      <c r="AI2511" s="76">
        <f>ROUND(SUM(IF(Dyno_Data[[#This Row],[AcqCenter]]&gt;0,Dyno_Data[[#This Row],[Time]]-SUMIFS(Dyno_Data[Time],Dyno_Data[Team],Dyno_Data[[#This Row],[Team]],Dyno_Data[RecordType],"StartMatch",Dyno_Data[Match],Dyno_Data[[#This Row],[Match]]),0)*86400),0)</f>
        <v>11</v>
      </c>
    </row>
    <row r="2512" spans="1:35" x14ac:dyDescent="0.3">
      <c r="A2512">
        <v>2505</v>
      </c>
      <c r="B2512" t="s">
        <v>372</v>
      </c>
      <c r="C2512">
        <v>48</v>
      </c>
      <c r="D2512" s="105">
        <v>45373.704392210646</v>
      </c>
      <c r="E2512" t="s">
        <v>312</v>
      </c>
      <c r="F2512" t="s">
        <v>309</v>
      </c>
      <c r="G2512">
        <v>0</v>
      </c>
      <c r="H2512" t="s">
        <v>1397</v>
      </c>
      <c r="I2512">
        <v>0</v>
      </c>
      <c r="J2512">
        <v>0</v>
      </c>
      <c r="K2512">
        <v>0</v>
      </c>
      <c r="L2512" t="s">
        <v>240</v>
      </c>
      <c r="M2512" t="s">
        <v>1398</v>
      </c>
      <c r="N2512">
        <v>0</v>
      </c>
      <c r="O2512" t="s">
        <v>1393</v>
      </c>
      <c r="P2512" t="s">
        <v>310</v>
      </c>
      <c r="Q2512" t="s">
        <v>310</v>
      </c>
      <c r="R2512" t="s">
        <v>310</v>
      </c>
      <c r="S2512">
        <v>9</v>
      </c>
      <c r="T2512" t="s">
        <v>310</v>
      </c>
      <c r="U2512">
        <v>9</v>
      </c>
      <c r="V2512">
        <v>9</v>
      </c>
      <c r="W2512">
        <v>0</v>
      </c>
      <c r="X2512">
        <v>0</v>
      </c>
      <c r="Y2512">
        <v>0</v>
      </c>
      <c r="Z2512">
        <v>0</v>
      </c>
      <c r="AA2512">
        <v>9</v>
      </c>
      <c r="AB2512">
        <v>9</v>
      </c>
      <c r="AC2512" t="s">
        <v>310</v>
      </c>
      <c r="AD2512">
        <v>9</v>
      </c>
      <c r="AE2512" t="s">
        <v>1418</v>
      </c>
      <c r="AF2512">
        <v>0</v>
      </c>
      <c r="AG2512" t="s">
        <v>310</v>
      </c>
      <c r="AH2512">
        <f>SUM((MID(Dyno_Data[[#This Row],[Team]],4,5))+(Dyno_Data[[#This Row],[Match]]/100))</f>
        <v>7504.48</v>
      </c>
      <c r="AI2512" s="76">
        <f>ROUND(SUM(IF(Dyno_Data[[#This Row],[AcqCenter]]&gt;0,Dyno_Data[[#This Row],[Time]]-SUMIFS(Dyno_Data[Time],Dyno_Data[Team],Dyno_Data[[#This Row],[Team]],Dyno_Data[RecordType],"StartMatch",Dyno_Data[Match],Dyno_Data[[#This Row],[Match]]),0)*86400),0)</f>
        <v>0</v>
      </c>
    </row>
    <row r="2513" spans="1:35" x14ac:dyDescent="0.3">
      <c r="A2513">
        <v>2507</v>
      </c>
      <c r="B2513" t="s">
        <v>1278</v>
      </c>
      <c r="C2513">
        <v>48</v>
      </c>
      <c r="D2513" s="105">
        <v>45373.704398692127</v>
      </c>
      <c r="E2513" t="s">
        <v>314</v>
      </c>
      <c r="F2513" t="s">
        <v>309</v>
      </c>
      <c r="G2513">
        <v>1</v>
      </c>
      <c r="H2513" t="s">
        <v>310</v>
      </c>
      <c r="I2513">
        <v>0</v>
      </c>
      <c r="J2513">
        <v>0</v>
      </c>
      <c r="K2513">
        <v>0</v>
      </c>
      <c r="L2513" t="s">
        <v>310</v>
      </c>
      <c r="M2513" t="s">
        <v>310</v>
      </c>
      <c r="N2513">
        <v>0</v>
      </c>
      <c r="O2513" t="s">
        <v>311</v>
      </c>
      <c r="P2513" t="s">
        <v>240</v>
      </c>
      <c r="Q2513" t="s">
        <v>1400</v>
      </c>
      <c r="R2513" t="s">
        <v>310</v>
      </c>
      <c r="S2513">
        <v>9</v>
      </c>
      <c r="T2513" t="s">
        <v>310</v>
      </c>
      <c r="U2513">
        <v>9</v>
      </c>
      <c r="V2513">
        <v>9</v>
      </c>
      <c r="W2513">
        <v>0</v>
      </c>
      <c r="X2513">
        <v>0</v>
      </c>
      <c r="Y2513">
        <v>0</v>
      </c>
      <c r="Z2513">
        <v>0</v>
      </c>
      <c r="AA2513">
        <v>9</v>
      </c>
      <c r="AB2513">
        <v>9</v>
      </c>
      <c r="AC2513" t="s">
        <v>310</v>
      </c>
      <c r="AD2513">
        <v>9</v>
      </c>
      <c r="AE2513" t="s">
        <v>1412</v>
      </c>
      <c r="AF2513">
        <v>10000000</v>
      </c>
      <c r="AG2513" t="s">
        <v>310</v>
      </c>
      <c r="AH2513">
        <f>SUM((MID(Dyno_Data[[#This Row],[Team]],4,5))+(Dyno_Data[[#This Row],[Match]]/100))</f>
        <v>3951.48</v>
      </c>
      <c r="AI2513" s="76">
        <f>ROUND(SUM(IF(Dyno_Data[[#This Row],[AcqCenter]]&gt;0,Dyno_Data[[#This Row],[Time]]-SUMIFS(Dyno_Data[Time],Dyno_Data[Team],Dyno_Data[[#This Row],[Team]],Dyno_Data[RecordType],"StartMatch",Dyno_Data[Match],Dyno_Data[[#This Row],[Match]]),0)*86400),0)</f>
        <v>0</v>
      </c>
    </row>
    <row r="2514" spans="1:35" x14ac:dyDescent="0.3">
      <c r="A2514">
        <v>2509</v>
      </c>
      <c r="B2514" t="s">
        <v>362</v>
      </c>
      <c r="C2514">
        <v>48</v>
      </c>
      <c r="D2514" s="105">
        <v>45373.704400150462</v>
      </c>
      <c r="E2514" t="s">
        <v>314</v>
      </c>
      <c r="F2514" t="s">
        <v>309</v>
      </c>
      <c r="G2514">
        <v>1</v>
      </c>
      <c r="H2514" t="s">
        <v>310</v>
      </c>
      <c r="I2514">
        <v>0</v>
      </c>
      <c r="J2514">
        <v>0</v>
      </c>
      <c r="K2514">
        <v>0</v>
      </c>
      <c r="L2514" t="s">
        <v>310</v>
      </c>
      <c r="M2514" t="s">
        <v>310</v>
      </c>
      <c r="N2514">
        <v>0</v>
      </c>
      <c r="O2514" t="s">
        <v>1391</v>
      </c>
      <c r="P2514" t="s">
        <v>320</v>
      </c>
      <c r="Q2514" t="s">
        <v>1399</v>
      </c>
      <c r="R2514" t="s">
        <v>310</v>
      </c>
      <c r="S2514">
        <v>9</v>
      </c>
      <c r="T2514" t="s">
        <v>310</v>
      </c>
      <c r="U2514">
        <v>9</v>
      </c>
      <c r="V2514">
        <v>9</v>
      </c>
      <c r="W2514">
        <v>0</v>
      </c>
      <c r="X2514">
        <v>0</v>
      </c>
      <c r="Y2514">
        <v>0</v>
      </c>
      <c r="Z2514">
        <v>0</v>
      </c>
      <c r="AA2514">
        <v>9</v>
      </c>
      <c r="AB2514">
        <v>9</v>
      </c>
      <c r="AC2514" t="s">
        <v>310</v>
      </c>
      <c r="AD2514">
        <v>9</v>
      </c>
      <c r="AE2514" t="s">
        <v>1416</v>
      </c>
      <c r="AF2514">
        <v>3000</v>
      </c>
      <c r="AG2514" t="s">
        <v>310</v>
      </c>
      <c r="AH2514">
        <f>SUM((MID(Dyno_Data[[#This Row],[Team]],4,5))+(Dyno_Data[[#This Row],[Match]]/100))</f>
        <v>250.48</v>
      </c>
      <c r="AI2514" s="76">
        <f>ROUND(SUM(IF(Dyno_Data[[#This Row],[AcqCenter]]&gt;0,Dyno_Data[[#This Row],[Time]]-SUMIFS(Dyno_Data[Time],Dyno_Data[Team],Dyno_Data[[#This Row],[Team]],Dyno_Data[RecordType],"StartMatch",Dyno_Data[Match],Dyno_Data[[#This Row],[Match]]),0)*86400),0)</f>
        <v>0</v>
      </c>
    </row>
    <row r="2515" spans="1:35" x14ac:dyDescent="0.3">
      <c r="A2515">
        <v>2511</v>
      </c>
      <c r="B2515" t="s">
        <v>1289</v>
      </c>
      <c r="C2515">
        <v>48</v>
      </c>
      <c r="D2515" s="105">
        <v>45373.704412766201</v>
      </c>
      <c r="E2515" t="s">
        <v>314</v>
      </c>
      <c r="F2515" t="s">
        <v>309</v>
      </c>
      <c r="G2515">
        <v>1</v>
      </c>
      <c r="H2515" t="s">
        <v>310</v>
      </c>
      <c r="I2515">
        <v>0</v>
      </c>
      <c r="J2515">
        <v>0</v>
      </c>
      <c r="K2515">
        <v>0</v>
      </c>
      <c r="L2515" t="s">
        <v>310</v>
      </c>
      <c r="M2515" t="s">
        <v>310</v>
      </c>
      <c r="N2515">
        <v>0</v>
      </c>
      <c r="O2515" t="s">
        <v>319</v>
      </c>
      <c r="P2515" t="s">
        <v>101</v>
      </c>
      <c r="Q2515" t="s">
        <v>1400</v>
      </c>
      <c r="R2515" t="s">
        <v>310</v>
      </c>
      <c r="S2515">
        <v>9</v>
      </c>
      <c r="T2515" t="s">
        <v>310</v>
      </c>
      <c r="U2515">
        <v>9</v>
      </c>
      <c r="V2515">
        <v>9</v>
      </c>
      <c r="W2515">
        <v>0</v>
      </c>
      <c r="X2515">
        <v>0</v>
      </c>
      <c r="Y2515">
        <v>0</v>
      </c>
      <c r="Z2515">
        <v>0</v>
      </c>
      <c r="AA2515">
        <v>9</v>
      </c>
      <c r="AB2515">
        <v>9</v>
      </c>
      <c r="AC2515" t="s">
        <v>310</v>
      </c>
      <c r="AD2515">
        <v>9</v>
      </c>
      <c r="AE2515" t="s">
        <v>1414</v>
      </c>
      <c r="AF2515">
        <v>0</v>
      </c>
      <c r="AG2515" t="s">
        <v>310</v>
      </c>
      <c r="AH2515">
        <f>SUM((MID(Dyno_Data[[#This Row],[Team]],4,5))+(Dyno_Data[[#This Row],[Match]]/100))</f>
        <v>6648.48</v>
      </c>
      <c r="AI2515" s="76">
        <f>ROUND(SUM(IF(Dyno_Data[[#This Row],[AcqCenter]]&gt;0,Dyno_Data[[#This Row],[Time]]-SUMIFS(Dyno_Data[Time],Dyno_Data[Team],Dyno_Data[[#This Row],[Team]],Dyno_Data[RecordType],"StartMatch",Dyno_Data[Match],Dyno_Data[[#This Row],[Match]]),0)*86400),0)</f>
        <v>0</v>
      </c>
    </row>
    <row r="2516" spans="1:35" x14ac:dyDescent="0.3">
      <c r="A2516">
        <v>2513</v>
      </c>
      <c r="B2516" t="s">
        <v>369</v>
      </c>
      <c r="C2516">
        <v>48</v>
      </c>
      <c r="D2516" s="105">
        <v>45373.704417789355</v>
      </c>
      <c r="E2516" t="s">
        <v>314</v>
      </c>
      <c r="F2516" t="s">
        <v>309</v>
      </c>
      <c r="G2516">
        <v>0</v>
      </c>
      <c r="H2516" t="s">
        <v>310</v>
      </c>
      <c r="I2516">
        <v>0</v>
      </c>
      <c r="J2516">
        <v>0</v>
      </c>
      <c r="K2516">
        <v>0</v>
      </c>
      <c r="L2516" t="s">
        <v>310</v>
      </c>
      <c r="M2516" t="s">
        <v>310</v>
      </c>
      <c r="N2516">
        <v>0</v>
      </c>
      <c r="O2516" t="s">
        <v>1389</v>
      </c>
      <c r="P2516" t="s">
        <v>320</v>
      </c>
      <c r="Q2516" t="s">
        <v>1399</v>
      </c>
      <c r="R2516" t="s">
        <v>310</v>
      </c>
      <c r="S2516">
        <v>9</v>
      </c>
      <c r="T2516" t="s">
        <v>310</v>
      </c>
      <c r="U2516">
        <v>9</v>
      </c>
      <c r="V2516">
        <v>9</v>
      </c>
      <c r="W2516">
        <v>0</v>
      </c>
      <c r="X2516">
        <v>0</v>
      </c>
      <c r="Y2516">
        <v>0</v>
      </c>
      <c r="Z2516">
        <v>0</v>
      </c>
      <c r="AA2516">
        <v>9</v>
      </c>
      <c r="AB2516">
        <v>9</v>
      </c>
      <c r="AC2516" t="s">
        <v>310</v>
      </c>
      <c r="AD2516">
        <v>9</v>
      </c>
      <c r="AE2516" t="s">
        <v>1417</v>
      </c>
      <c r="AF2516">
        <v>0</v>
      </c>
      <c r="AG2516" t="s">
        <v>310</v>
      </c>
      <c r="AH2516">
        <f>SUM((MID(Dyno_Data[[#This Row],[Team]],4,5))+(Dyno_Data[[#This Row],[Match]]/100))</f>
        <v>6463.48</v>
      </c>
      <c r="AI2516" s="76">
        <f>ROUND(SUM(IF(Dyno_Data[[#This Row],[AcqCenter]]&gt;0,Dyno_Data[[#This Row],[Time]]-SUMIFS(Dyno_Data[Time],Dyno_Data[Team],Dyno_Data[[#This Row],[Team]],Dyno_Data[RecordType],"StartMatch",Dyno_Data[Match],Dyno_Data[[#This Row],[Match]]),0)*86400),0)</f>
        <v>0</v>
      </c>
    </row>
    <row r="2517" spans="1:35" x14ac:dyDescent="0.3">
      <c r="A2517">
        <v>2515</v>
      </c>
      <c r="B2517" t="s">
        <v>372</v>
      </c>
      <c r="C2517">
        <v>48</v>
      </c>
      <c r="D2517" s="105">
        <v>45373.704418518515</v>
      </c>
      <c r="E2517" t="s">
        <v>314</v>
      </c>
      <c r="F2517" t="s">
        <v>309</v>
      </c>
      <c r="G2517">
        <v>1</v>
      </c>
      <c r="H2517" t="s">
        <v>310</v>
      </c>
      <c r="I2517">
        <v>0</v>
      </c>
      <c r="J2517">
        <v>0</v>
      </c>
      <c r="K2517">
        <v>0</v>
      </c>
      <c r="L2517" t="s">
        <v>310</v>
      </c>
      <c r="M2517" t="s">
        <v>310</v>
      </c>
      <c r="N2517">
        <v>0</v>
      </c>
      <c r="O2517" t="s">
        <v>1393</v>
      </c>
      <c r="P2517" t="s">
        <v>240</v>
      </c>
      <c r="Q2517" t="s">
        <v>1400</v>
      </c>
      <c r="R2517" t="s">
        <v>310</v>
      </c>
      <c r="S2517">
        <v>9</v>
      </c>
      <c r="T2517" t="s">
        <v>310</v>
      </c>
      <c r="U2517">
        <v>9</v>
      </c>
      <c r="V2517">
        <v>9</v>
      </c>
      <c r="W2517">
        <v>0</v>
      </c>
      <c r="X2517">
        <v>0</v>
      </c>
      <c r="Y2517">
        <v>0</v>
      </c>
      <c r="Z2517">
        <v>0</v>
      </c>
      <c r="AA2517">
        <v>9</v>
      </c>
      <c r="AB2517">
        <v>9</v>
      </c>
      <c r="AC2517" t="s">
        <v>310</v>
      </c>
      <c r="AD2517">
        <v>9</v>
      </c>
      <c r="AE2517" t="s">
        <v>1418</v>
      </c>
      <c r="AF2517">
        <v>0</v>
      </c>
      <c r="AG2517" t="s">
        <v>310</v>
      </c>
      <c r="AH2517">
        <f>SUM((MID(Dyno_Data[[#This Row],[Team]],4,5))+(Dyno_Data[[#This Row],[Match]]/100))</f>
        <v>7504.48</v>
      </c>
      <c r="AI2517" s="76">
        <f>ROUND(SUM(IF(Dyno_Data[[#This Row],[AcqCenter]]&gt;0,Dyno_Data[[#This Row],[Time]]-SUMIFS(Dyno_Data[Time],Dyno_Data[Team],Dyno_Data[[#This Row],[Team]],Dyno_Data[RecordType],"StartMatch",Dyno_Data[Match],Dyno_Data[[#This Row],[Match]]),0)*86400),0)</f>
        <v>0</v>
      </c>
    </row>
    <row r="2518" spans="1:35" x14ac:dyDescent="0.3">
      <c r="A2518">
        <v>2517</v>
      </c>
      <c r="B2518" t="s">
        <v>1285</v>
      </c>
      <c r="C2518">
        <v>48</v>
      </c>
      <c r="D2518" s="105">
        <v>45373.704467673611</v>
      </c>
      <c r="E2518" t="s">
        <v>314</v>
      </c>
      <c r="F2518" t="s">
        <v>309</v>
      </c>
      <c r="G2518">
        <v>0</v>
      </c>
      <c r="H2518" t="s">
        <v>310</v>
      </c>
      <c r="I2518">
        <v>0</v>
      </c>
      <c r="J2518">
        <v>0</v>
      </c>
      <c r="K2518">
        <v>0</v>
      </c>
      <c r="L2518" t="s">
        <v>310</v>
      </c>
      <c r="M2518" t="s">
        <v>310</v>
      </c>
      <c r="N2518">
        <v>0</v>
      </c>
      <c r="O2518" t="s">
        <v>1395</v>
      </c>
      <c r="P2518" t="s">
        <v>1401</v>
      </c>
      <c r="Q2518" t="s">
        <v>1400</v>
      </c>
      <c r="R2518" t="s">
        <v>310</v>
      </c>
      <c r="S2518">
        <v>9</v>
      </c>
      <c r="T2518" t="s">
        <v>310</v>
      </c>
      <c r="U2518">
        <v>9</v>
      </c>
      <c r="V2518">
        <v>9</v>
      </c>
      <c r="W2518">
        <v>0</v>
      </c>
      <c r="X2518">
        <v>0</v>
      </c>
      <c r="Y2518">
        <v>0</v>
      </c>
      <c r="Z2518">
        <v>0</v>
      </c>
      <c r="AA2518">
        <v>9</v>
      </c>
      <c r="AB2518">
        <v>9</v>
      </c>
      <c r="AC2518" t="s">
        <v>310</v>
      </c>
      <c r="AD2518">
        <v>9</v>
      </c>
      <c r="AE2518" t="s">
        <v>1413</v>
      </c>
      <c r="AF2518">
        <v>0</v>
      </c>
      <c r="AG2518" t="s">
        <v>310</v>
      </c>
      <c r="AH2518">
        <f>SUM((MID(Dyno_Data[[#This Row],[Team]],4,5))+(Dyno_Data[[#This Row],[Match]]/100))</f>
        <v>5993.48</v>
      </c>
      <c r="AI2518" s="76">
        <f>ROUND(SUM(IF(Dyno_Data[[#This Row],[AcqCenter]]&gt;0,Dyno_Data[[#This Row],[Time]]-SUMIFS(Dyno_Data[Time],Dyno_Data[Team],Dyno_Data[[#This Row],[Team]],Dyno_Data[RecordType],"StartMatch",Dyno_Data[Match],Dyno_Data[[#This Row],[Match]]),0)*86400),0)</f>
        <v>0</v>
      </c>
    </row>
    <row r="2519" spans="1:35" x14ac:dyDescent="0.3">
      <c r="A2519">
        <v>2518</v>
      </c>
      <c r="B2519" t="s">
        <v>1278</v>
      </c>
      <c r="C2519">
        <v>48</v>
      </c>
      <c r="D2519" s="105">
        <v>45373.704480636574</v>
      </c>
      <c r="E2519" t="s">
        <v>312</v>
      </c>
      <c r="F2519" t="s">
        <v>1402</v>
      </c>
      <c r="G2519">
        <v>0</v>
      </c>
      <c r="H2519" t="s">
        <v>315</v>
      </c>
      <c r="I2519">
        <v>0</v>
      </c>
      <c r="J2519">
        <v>0</v>
      </c>
      <c r="K2519">
        <v>0</v>
      </c>
      <c r="L2519" t="s">
        <v>241</v>
      </c>
      <c r="M2519" t="s">
        <v>241</v>
      </c>
      <c r="N2519">
        <v>0</v>
      </c>
      <c r="O2519" t="s">
        <v>311</v>
      </c>
      <c r="P2519" t="s">
        <v>310</v>
      </c>
      <c r="Q2519" t="s">
        <v>310</v>
      </c>
      <c r="R2519" t="s">
        <v>310</v>
      </c>
      <c r="S2519">
        <v>9</v>
      </c>
      <c r="T2519" t="s">
        <v>310</v>
      </c>
      <c r="U2519">
        <v>9</v>
      </c>
      <c r="V2519">
        <v>9</v>
      </c>
      <c r="W2519">
        <v>0</v>
      </c>
      <c r="X2519">
        <v>0</v>
      </c>
      <c r="Y2519">
        <v>0</v>
      </c>
      <c r="Z2519">
        <v>0</v>
      </c>
      <c r="AA2519">
        <v>9</v>
      </c>
      <c r="AB2519">
        <v>9</v>
      </c>
      <c r="AC2519" t="s">
        <v>310</v>
      </c>
      <c r="AD2519">
        <v>9</v>
      </c>
      <c r="AE2519" t="s">
        <v>1412</v>
      </c>
      <c r="AF2519">
        <v>20000000</v>
      </c>
      <c r="AG2519" t="s">
        <v>310</v>
      </c>
      <c r="AH2519">
        <f>SUM((MID(Dyno_Data[[#This Row],[Team]],4,5))+(Dyno_Data[[#This Row],[Match]]/100))</f>
        <v>3951.48</v>
      </c>
      <c r="AI2519" s="76">
        <f>ROUND(SUM(IF(Dyno_Data[[#This Row],[AcqCenter]]&gt;0,Dyno_Data[[#This Row],[Time]]-SUMIFS(Dyno_Data[Time],Dyno_Data[Team],Dyno_Data[[#This Row],[Team]],Dyno_Data[RecordType],"StartMatch",Dyno_Data[Match],Dyno_Data[[#This Row],[Match]]),0)*86400),0)</f>
        <v>0</v>
      </c>
    </row>
    <row r="2520" spans="1:35" x14ac:dyDescent="0.3">
      <c r="A2520">
        <v>2519</v>
      </c>
      <c r="B2520" t="s">
        <v>362</v>
      </c>
      <c r="C2520">
        <v>48</v>
      </c>
      <c r="D2520" s="105">
        <v>45373.704493634257</v>
      </c>
      <c r="E2520" t="s">
        <v>312</v>
      </c>
      <c r="F2520" t="s">
        <v>1402</v>
      </c>
      <c r="G2520">
        <v>0</v>
      </c>
      <c r="H2520" t="s">
        <v>315</v>
      </c>
      <c r="I2520">
        <v>0</v>
      </c>
      <c r="J2520">
        <v>0</v>
      </c>
      <c r="K2520">
        <v>0</v>
      </c>
      <c r="L2520" t="s">
        <v>242</v>
      </c>
      <c r="M2520" t="s">
        <v>241</v>
      </c>
      <c r="N2520">
        <v>0</v>
      </c>
      <c r="O2520" t="s">
        <v>1391</v>
      </c>
      <c r="P2520" t="s">
        <v>310</v>
      </c>
      <c r="Q2520" t="s">
        <v>310</v>
      </c>
      <c r="R2520" t="s">
        <v>310</v>
      </c>
      <c r="S2520">
        <v>9</v>
      </c>
      <c r="T2520" t="s">
        <v>310</v>
      </c>
      <c r="U2520">
        <v>9</v>
      </c>
      <c r="V2520">
        <v>9</v>
      </c>
      <c r="W2520">
        <v>0</v>
      </c>
      <c r="X2520">
        <v>0</v>
      </c>
      <c r="Y2520">
        <v>0</v>
      </c>
      <c r="Z2520">
        <v>0</v>
      </c>
      <c r="AA2520">
        <v>9</v>
      </c>
      <c r="AB2520">
        <v>9</v>
      </c>
      <c r="AC2520" t="s">
        <v>310</v>
      </c>
      <c r="AD2520">
        <v>9</v>
      </c>
      <c r="AE2520" t="s">
        <v>1416</v>
      </c>
      <c r="AF2520">
        <v>10003000</v>
      </c>
      <c r="AG2520" t="s">
        <v>310</v>
      </c>
      <c r="AH2520">
        <f>SUM((MID(Dyno_Data[[#This Row],[Team]],4,5))+(Dyno_Data[[#This Row],[Match]]/100))</f>
        <v>250.48</v>
      </c>
      <c r="AI2520" s="76">
        <f>ROUND(SUM(IF(Dyno_Data[[#This Row],[AcqCenter]]&gt;0,Dyno_Data[[#This Row],[Time]]-SUMIFS(Dyno_Data[Time],Dyno_Data[Team],Dyno_Data[[#This Row],[Team]],Dyno_Data[RecordType],"StartMatch",Dyno_Data[Match],Dyno_Data[[#This Row],[Match]]),0)*86400),0)</f>
        <v>0</v>
      </c>
    </row>
    <row r="2521" spans="1:35" x14ac:dyDescent="0.3">
      <c r="A2521">
        <v>2520</v>
      </c>
      <c r="B2521" t="s">
        <v>372</v>
      </c>
      <c r="C2521">
        <v>48</v>
      </c>
      <c r="D2521" s="105">
        <v>45373.704500150459</v>
      </c>
      <c r="E2521" t="s">
        <v>312</v>
      </c>
      <c r="F2521" t="s">
        <v>1402</v>
      </c>
      <c r="G2521">
        <v>0</v>
      </c>
      <c r="H2521" t="s">
        <v>315</v>
      </c>
      <c r="I2521">
        <v>0</v>
      </c>
      <c r="J2521">
        <v>0</v>
      </c>
      <c r="K2521">
        <v>0</v>
      </c>
      <c r="L2521" t="s">
        <v>313</v>
      </c>
      <c r="M2521" t="s">
        <v>1398</v>
      </c>
      <c r="N2521">
        <v>0</v>
      </c>
      <c r="O2521" t="s">
        <v>1393</v>
      </c>
      <c r="P2521" t="s">
        <v>310</v>
      </c>
      <c r="Q2521" t="s">
        <v>310</v>
      </c>
      <c r="R2521" t="s">
        <v>310</v>
      </c>
      <c r="S2521">
        <v>9</v>
      </c>
      <c r="T2521" t="s">
        <v>310</v>
      </c>
      <c r="U2521">
        <v>9</v>
      </c>
      <c r="V2521">
        <v>9</v>
      </c>
      <c r="W2521">
        <v>0</v>
      </c>
      <c r="X2521">
        <v>0</v>
      </c>
      <c r="Y2521">
        <v>0</v>
      </c>
      <c r="Z2521">
        <v>0</v>
      </c>
      <c r="AA2521">
        <v>9</v>
      </c>
      <c r="AB2521">
        <v>9</v>
      </c>
      <c r="AC2521" t="s">
        <v>310</v>
      </c>
      <c r="AD2521">
        <v>9</v>
      </c>
      <c r="AE2521" t="s">
        <v>1418</v>
      </c>
      <c r="AF2521">
        <v>10000000</v>
      </c>
      <c r="AG2521" t="s">
        <v>310</v>
      </c>
      <c r="AH2521">
        <f>SUM((MID(Dyno_Data[[#This Row],[Team]],4,5))+(Dyno_Data[[#This Row],[Match]]/100))</f>
        <v>7504.48</v>
      </c>
      <c r="AI2521" s="76">
        <f>ROUND(SUM(IF(Dyno_Data[[#This Row],[AcqCenter]]&gt;0,Dyno_Data[[#This Row],[Time]]-SUMIFS(Dyno_Data[Time],Dyno_Data[Team],Dyno_Data[[#This Row],[Team]],Dyno_Data[RecordType],"StartMatch",Dyno_Data[Match],Dyno_Data[[#This Row],[Match]]),0)*86400),0)</f>
        <v>0</v>
      </c>
    </row>
    <row r="2522" spans="1:35" x14ac:dyDescent="0.3">
      <c r="A2522">
        <v>2521</v>
      </c>
      <c r="B2522" t="s">
        <v>1285</v>
      </c>
      <c r="C2522">
        <v>48</v>
      </c>
      <c r="D2522" s="105">
        <v>45373.704528391201</v>
      </c>
      <c r="E2522" t="s">
        <v>312</v>
      </c>
      <c r="F2522" t="s">
        <v>1402</v>
      </c>
      <c r="G2522">
        <v>0</v>
      </c>
      <c r="H2522" t="s">
        <v>1397</v>
      </c>
      <c r="I2522">
        <v>0</v>
      </c>
      <c r="J2522">
        <v>0</v>
      </c>
      <c r="K2522">
        <v>0</v>
      </c>
      <c r="L2522" t="s">
        <v>240</v>
      </c>
      <c r="M2522" t="s">
        <v>1398</v>
      </c>
      <c r="N2522">
        <v>0</v>
      </c>
      <c r="O2522" t="s">
        <v>1395</v>
      </c>
      <c r="P2522" t="s">
        <v>310</v>
      </c>
      <c r="Q2522" t="s">
        <v>310</v>
      </c>
      <c r="R2522" t="s">
        <v>310</v>
      </c>
      <c r="S2522">
        <v>9</v>
      </c>
      <c r="T2522" t="s">
        <v>310</v>
      </c>
      <c r="U2522">
        <v>9</v>
      </c>
      <c r="V2522">
        <v>9</v>
      </c>
      <c r="W2522">
        <v>0</v>
      </c>
      <c r="X2522">
        <v>0</v>
      </c>
      <c r="Y2522">
        <v>0</v>
      </c>
      <c r="Z2522">
        <v>0</v>
      </c>
      <c r="AA2522">
        <v>9</v>
      </c>
      <c r="AB2522">
        <v>9</v>
      </c>
      <c r="AC2522" t="s">
        <v>310</v>
      </c>
      <c r="AD2522">
        <v>9</v>
      </c>
      <c r="AE2522" t="s">
        <v>1413</v>
      </c>
      <c r="AF2522">
        <v>0</v>
      </c>
      <c r="AG2522" t="s">
        <v>310</v>
      </c>
      <c r="AH2522">
        <f>SUM((MID(Dyno_Data[[#This Row],[Team]],4,5))+(Dyno_Data[[#This Row],[Match]]/100))</f>
        <v>5993.48</v>
      </c>
      <c r="AI2522" s="76">
        <f>ROUND(SUM(IF(Dyno_Data[[#This Row],[AcqCenter]]&gt;0,Dyno_Data[[#This Row],[Time]]-SUMIFS(Dyno_Data[Time],Dyno_Data[Team],Dyno_Data[[#This Row],[Team]],Dyno_Data[RecordType],"StartMatch",Dyno_Data[Match],Dyno_Data[[#This Row],[Match]]),0)*86400),0)</f>
        <v>0</v>
      </c>
    </row>
    <row r="2523" spans="1:35" x14ac:dyDescent="0.3">
      <c r="A2523">
        <v>2522</v>
      </c>
      <c r="B2523" t="s">
        <v>362</v>
      </c>
      <c r="C2523">
        <v>48</v>
      </c>
      <c r="D2523" s="105">
        <v>45373.704543553242</v>
      </c>
      <c r="E2523" t="s">
        <v>312</v>
      </c>
      <c r="F2523" t="s">
        <v>1402</v>
      </c>
      <c r="G2523">
        <v>0</v>
      </c>
      <c r="H2523" t="s">
        <v>315</v>
      </c>
      <c r="I2523">
        <v>0</v>
      </c>
      <c r="J2523">
        <v>0</v>
      </c>
      <c r="K2523">
        <v>0</v>
      </c>
      <c r="L2523" t="s">
        <v>242</v>
      </c>
      <c r="M2523" t="s">
        <v>241</v>
      </c>
      <c r="N2523">
        <v>0</v>
      </c>
      <c r="O2523" t="s">
        <v>1391</v>
      </c>
      <c r="P2523" t="s">
        <v>310</v>
      </c>
      <c r="Q2523" t="s">
        <v>310</v>
      </c>
      <c r="R2523" t="s">
        <v>310</v>
      </c>
      <c r="S2523">
        <v>9</v>
      </c>
      <c r="T2523" t="s">
        <v>310</v>
      </c>
      <c r="U2523">
        <v>9</v>
      </c>
      <c r="V2523">
        <v>9</v>
      </c>
      <c r="W2523">
        <v>0</v>
      </c>
      <c r="X2523">
        <v>0</v>
      </c>
      <c r="Y2523">
        <v>0</v>
      </c>
      <c r="Z2523">
        <v>0</v>
      </c>
      <c r="AA2523">
        <v>9</v>
      </c>
      <c r="AB2523">
        <v>9</v>
      </c>
      <c r="AC2523" t="s">
        <v>310</v>
      </c>
      <c r="AD2523">
        <v>9</v>
      </c>
      <c r="AE2523" t="s">
        <v>1416</v>
      </c>
      <c r="AF2523">
        <v>20003000</v>
      </c>
      <c r="AG2523" t="s">
        <v>310</v>
      </c>
      <c r="AH2523">
        <f>SUM((MID(Dyno_Data[[#This Row],[Team]],4,5))+(Dyno_Data[[#This Row],[Match]]/100))</f>
        <v>250.48</v>
      </c>
      <c r="AI2523" s="76">
        <f>ROUND(SUM(IF(Dyno_Data[[#This Row],[AcqCenter]]&gt;0,Dyno_Data[[#This Row],[Time]]-SUMIFS(Dyno_Data[Time],Dyno_Data[Team],Dyno_Data[[#This Row],[Team]],Dyno_Data[RecordType],"StartMatch",Dyno_Data[Match],Dyno_Data[[#This Row],[Match]]),0)*86400),0)</f>
        <v>0</v>
      </c>
    </row>
    <row r="2524" spans="1:35" x14ac:dyDescent="0.3">
      <c r="A2524">
        <v>2523</v>
      </c>
      <c r="B2524" t="s">
        <v>1278</v>
      </c>
      <c r="C2524">
        <v>48</v>
      </c>
      <c r="D2524" s="105">
        <v>45373.704599421297</v>
      </c>
      <c r="E2524" t="s">
        <v>312</v>
      </c>
      <c r="F2524" t="s">
        <v>1402</v>
      </c>
      <c r="G2524">
        <v>0</v>
      </c>
      <c r="H2524" t="s">
        <v>315</v>
      </c>
      <c r="I2524">
        <v>0</v>
      </c>
      <c r="J2524">
        <v>0</v>
      </c>
      <c r="K2524">
        <v>0</v>
      </c>
      <c r="L2524" t="s">
        <v>241</v>
      </c>
      <c r="M2524" t="s">
        <v>101</v>
      </c>
      <c r="N2524">
        <v>0</v>
      </c>
      <c r="O2524" t="s">
        <v>311</v>
      </c>
      <c r="P2524" t="s">
        <v>310</v>
      </c>
      <c r="Q2524" t="s">
        <v>310</v>
      </c>
      <c r="R2524" t="s">
        <v>310</v>
      </c>
      <c r="S2524">
        <v>9</v>
      </c>
      <c r="T2524" t="s">
        <v>310</v>
      </c>
      <c r="U2524">
        <v>9</v>
      </c>
      <c r="V2524">
        <v>9</v>
      </c>
      <c r="W2524">
        <v>0</v>
      </c>
      <c r="X2524">
        <v>0</v>
      </c>
      <c r="Y2524">
        <v>0</v>
      </c>
      <c r="Z2524">
        <v>0</v>
      </c>
      <c r="AA2524">
        <v>9</v>
      </c>
      <c r="AB2524">
        <v>9</v>
      </c>
      <c r="AC2524" t="s">
        <v>310</v>
      </c>
      <c r="AD2524">
        <v>9</v>
      </c>
      <c r="AE2524" t="s">
        <v>1412</v>
      </c>
      <c r="AF2524">
        <v>30000000</v>
      </c>
      <c r="AG2524" t="s">
        <v>310</v>
      </c>
      <c r="AH2524">
        <f>SUM((MID(Dyno_Data[[#This Row],[Team]],4,5))+(Dyno_Data[[#This Row],[Match]]/100))</f>
        <v>3951.48</v>
      </c>
      <c r="AI2524" s="76">
        <f>ROUND(SUM(IF(Dyno_Data[[#This Row],[AcqCenter]]&gt;0,Dyno_Data[[#This Row],[Time]]-SUMIFS(Dyno_Data[Time],Dyno_Data[Team],Dyno_Data[[#This Row],[Team]],Dyno_Data[RecordType],"StartMatch",Dyno_Data[Match],Dyno_Data[[#This Row],[Match]]),0)*86400),0)</f>
        <v>0</v>
      </c>
    </row>
    <row r="2525" spans="1:35" x14ac:dyDescent="0.3">
      <c r="A2525">
        <v>2524</v>
      </c>
      <c r="B2525" t="s">
        <v>1285</v>
      </c>
      <c r="C2525">
        <v>48</v>
      </c>
      <c r="D2525" s="105">
        <v>45373.70460957176</v>
      </c>
      <c r="E2525" t="s">
        <v>312</v>
      </c>
      <c r="F2525" t="s">
        <v>1402</v>
      </c>
      <c r="G2525">
        <v>0</v>
      </c>
      <c r="H2525" t="s">
        <v>315</v>
      </c>
      <c r="I2525">
        <v>0</v>
      </c>
      <c r="J2525">
        <v>0</v>
      </c>
      <c r="K2525">
        <v>0</v>
      </c>
      <c r="L2525" t="s">
        <v>241</v>
      </c>
      <c r="M2525" t="s">
        <v>1398</v>
      </c>
      <c r="N2525">
        <v>0</v>
      </c>
      <c r="O2525" t="s">
        <v>1395</v>
      </c>
      <c r="P2525" t="s">
        <v>310</v>
      </c>
      <c r="Q2525" t="s">
        <v>310</v>
      </c>
      <c r="R2525" t="s">
        <v>310</v>
      </c>
      <c r="S2525">
        <v>9</v>
      </c>
      <c r="T2525" t="s">
        <v>310</v>
      </c>
      <c r="U2525">
        <v>9</v>
      </c>
      <c r="V2525">
        <v>9</v>
      </c>
      <c r="W2525">
        <v>0</v>
      </c>
      <c r="X2525">
        <v>0</v>
      </c>
      <c r="Y2525">
        <v>0</v>
      </c>
      <c r="Z2525">
        <v>0</v>
      </c>
      <c r="AA2525">
        <v>9</v>
      </c>
      <c r="AB2525">
        <v>9</v>
      </c>
      <c r="AC2525" t="s">
        <v>310</v>
      </c>
      <c r="AD2525">
        <v>9</v>
      </c>
      <c r="AE2525" t="s">
        <v>1413</v>
      </c>
      <c r="AF2525">
        <v>10000000</v>
      </c>
      <c r="AG2525" t="s">
        <v>310</v>
      </c>
      <c r="AH2525">
        <f>SUM((MID(Dyno_Data[[#This Row],[Team]],4,5))+(Dyno_Data[[#This Row],[Match]]/100))</f>
        <v>5993.48</v>
      </c>
      <c r="AI2525" s="76">
        <f>ROUND(SUM(IF(Dyno_Data[[#This Row],[AcqCenter]]&gt;0,Dyno_Data[[#This Row],[Time]]-SUMIFS(Dyno_Data[Time],Dyno_Data[Team],Dyno_Data[[#This Row],[Team]],Dyno_Data[RecordType],"StartMatch",Dyno_Data[Match],Dyno_Data[[#This Row],[Match]]),0)*86400),0)</f>
        <v>0</v>
      </c>
    </row>
    <row r="2526" spans="1:35" x14ac:dyDescent="0.3">
      <c r="A2526">
        <v>2525</v>
      </c>
      <c r="B2526" t="s">
        <v>1289</v>
      </c>
      <c r="C2526">
        <v>48</v>
      </c>
      <c r="D2526" s="105">
        <v>45373.704716932873</v>
      </c>
      <c r="E2526" t="s">
        <v>1403</v>
      </c>
      <c r="F2526" t="s">
        <v>1402</v>
      </c>
      <c r="G2526">
        <v>0</v>
      </c>
      <c r="H2526" t="s">
        <v>310</v>
      </c>
      <c r="I2526">
        <v>0</v>
      </c>
      <c r="J2526">
        <v>0</v>
      </c>
      <c r="K2526">
        <v>0</v>
      </c>
      <c r="L2526" t="s">
        <v>310</v>
      </c>
      <c r="M2526" t="s">
        <v>310</v>
      </c>
      <c r="N2526">
        <v>0</v>
      </c>
      <c r="O2526" t="s">
        <v>319</v>
      </c>
      <c r="P2526" t="s">
        <v>310</v>
      </c>
      <c r="Q2526" t="s">
        <v>310</v>
      </c>
      <c r="R2526" t="s">
        <v>310</v>
      </c>
      <c r="S2526">
        <v>9</v>
      </c>
      <c r="T2526" t="s">
        <v>310</v>
      </c>
      <c r="U2526">
        <v>9</v>
      </c>
      <c r="V2526">
        <v>9</v>
      </c>
      <c r="W2526">
        <v>0</v>
      </c>
      <c r="X2526">
        <v>0</v>
      </c>
      <c r="Y2526">
        <v>0</v>
      </c>
      <c r="Z2526">
        <v>0</v>
      </c>
      <c r="AA2526">
        <v>9</v>
      </c>
      <c r="AB2526">
        <v>9</v>
      </c>
      <c r="AC2526" t="s">
        <v>310</v>
      </c>
      <c r="AD2526">
        <v>9</v>
      </c>
      <c r="AE2526" t="s">
        <v>1414</v>
      </c>
      <c r="AF2526">
        <v>10000000</v>
      </c>
      <c r="AG2526" t="s">
        <v>252</v>
      </c>
      <c r="AH2526">
        <f>SUM((MID(Dyno_Data[[#This Row],[Team]],4,5))+(Dyno_Data[[#This Row],[Match]]/100))</f>
        <v>6648.48</v>
      </c>
      <c r="AI2526" s="76">
        <f>ROUND(SUM(IF(Dyno_Data[[#This Row],[AcqCenter]]&gt;0,Dyno_Data[[#This Row],[Time]]-SUMIFS(Dyno_Data[Time],Dyno_Data[Team],Dyno_Data[[#This Row],[Team]],Dyno_Data[RecordType],"StartMatch",Dyno_Data[Match],Dyno_Data[[#This Row],[Match]]),0)*86400),0)</f>
        <v>0</v>
      </c>
    </row>
    <row r="2527" spans="1:35" x14ac:dyDescent="0.3">
      <c r="A2527">
        <v>2526</v>
      </c>
      <c r="B2527" t="s">
        <v>1278</v>
      </c>
      <c r="C2527">
        <v>48</v>
      </c>
      <c r="D2527" s="105">
        <v>45373.704787731484</v>
      </c>
      <c r="E2527" t="s">
        <v>312</v>
      </c>
      <c r="F2527" t="s">
        <v>1402</v>
      </c>
      <c r="G2527">
        <v>0</v>
      </c>
      <c r="H2527" t="s">
        <v>315</v>
      </c>
      <c r="I2527">
        <v>0</v>
      </c>
      <c r="J2527">
        <v>0</v>
      </c>
      <c r="K2527">
        <v>0</v>
      </c>
      <c r="L2527" t="s">
        <v>241</v>
      </c>
      <c r="M2527" t="s">
        <v>101</v>
      </c>
      <c r="N2527">
        <v>0</v>
      </c>
      <c r="O2527" t="s">
        <v>311</v>
      </c>
      <c r="P2527" t="s">
        <v>310</v>
      </c>
      <c r="Q2527" t="s">
        <v>310</v>
      </c>
      <c r="R2527" t="s">
        <v>310</v>
      </c>
      <c r="S2527">
        <v>9</v>
      </c>
      <c r="T2527" t="s">
        <v>310</v>
      </c>
      <c r="U2527">
        <v>9</v>
      </c>
      <c r="V2527">
        <v>9</v>
      </c>
      <c r="W2527">
        <v>0</v>
      </c>
      <c r="X2527">
        <v>0</v>
      </c>
      <c r="Y2527">
        <v>0</v>
      </c>
      <c r="Z2527">
        <v>0</v>
      </c>
      <c r="AA2527">
        <v>9</v>
      </c>
      <c r="AB2527">
        <v>9</v>
      </c>
      <c r="AC2527" t="s">
        <v>310</v>
      </c>
      <c r="AD2527">
        <v>9</v>
      </c>
      <c r="AE2527" t="s">
        <v>1412</v>
      </c>
      <c r="AF2527">
        <v>40000000</v>
      </c>
      <c r="AG2527" t="s">
        <v>310</v>
      </c>
      <c r="AH2527">
        <f>SUM((MID(Dyno_Data[[#This Row],[Team]],4,5))+(Dyno_Data[[#This Row],[Match]]/100))</f>
        <v>3951.48</v>
      </c>
      <c r="AI2527" s="76">
        <f>ROUND(SUM(IF(Dyno_Data[[#This Row],[AcqCenter]]&gt;0,Dyno_Data[[#This Row],[Time]]-SUMIFS(Dyno_Data[Time],Dyno_Data[Team],Dyno_Data[[#This Row],[Team]],Dyno_Data[RecordType],"StartMatch",Dyno_Data[Match],Dyno_Data[[#This Row],[Match]]),0)*86400),0)</f>
        <v>0</v>
      </c>
    </row>
    <row r="2528" spans="1:35" x14ac:dyDescent="0.3">
      <c r="A2528">
        <v>2527</v>
      </c>
      <c r="B2528" t="s">
        <v>362</v>
      </c>
      <c r="C2528">
        <v>48</v>
      </c>
      <c r="D2528" s="105">
        <v>45373.70479059028</v>
      </c>
      <c r="E2528" t="s">
        <v>312</v>
      </c>
      <c r="F2528" t="s">
        <v>1402</v>
      </c>
      <c r="G2528">
        <v>0</v>
      </c>
      <c r="H2528" t="s">
        <v>315</v>
      </c>
      <c r="I2528">
        <v>0</v>
      </c>
      <c r="J2528">
        <v>0</v>
      </c>
      <c r="K2528">
        <v>0</v>
      </c>
      <c r="L2528" t="s">
        <v>241</v>
      </c>
      <c r="M2528" t="s">
        <v>241</v>
      </c>
      <c r="N2528">
        <v>0</v>
      </c>
      <c r="O2528" t="s">
        <v>1391</v>
      </c>
      <c r="P2528" t="s">
        <v>310</v>
      </c>
      <c r="Q2528" t="s">
        <v>310</v>
      </c>
      <c r="R2528" t="s">
        <v>310</v>
      </c>
      <c r="S2528">
        <v>9</v>
      </c>
      <c r="T2528" t="s">
        <v>310</v>
      </c>
      <c r="U2528">
        <v>9</v>
      </c>
      <c r="V2528">
        <v>9</v>
      </c>
      <c r="W2528">
        <v>0</v>
      </c>
      <c r="X2528">
        <v>0</v>
      </c>
      <c r="Y2528">
        <v>0</v>
      </c>
      <c r="Z2528">
        <v>0</v>
      </c>
      <c r="AA2528">
        <v>9</v>
      </c>
      <c r="AB2528">
        <v>9</v>
      </c>
      <c r="AC2528" t="s">
        <v>310</v>
      </c>
      <c r="AD2528">
        <v>9</v>
      </c>
      <c r="AE2528" t="s">
        <v>1416</v>
      </c>
      <c r="AF2528">
        <v>30003000</v>
      </c>
      <c r="AG2528" t="s">
        <v>310</v>
      </c>
      <c r="AH2528">
        <f>SUM((MID(Dyno_Data[[#This Row],[Team]],4,5))+(Dyno_Data[[#This Row],[Match]]/100))</f>
        <v>250.48</v>
      </c>
      <c r="AI2528" s="76">
        <f>ROUND(SUM(IF(Dyno_Data[[#This Row],[AcqCenter]]&gt;0,Dyno_Data[[#This Row],[Time]]-SUMIFS(Dyno_Data[Time],Dyno_Data[Team],Dyno_Data[[#This Row],[Team]],Dyno_Data[RecordType],"StartMatch",Dyno_Data[Match],Dyno_Data[[#This Row],[Match]]),0)*86400),0)</f>
        <v>0</v>
      </c>
    </row>
    <row r="2529" spans="1:35" x14ac:dyDescent="0.3">
      <c r="A2529">
        <v>2528</v>
      </c>
      <c r="B2529" t="s">
        <v>362</v>
      </c>
      <c r="C2529">
        <v>48</v>
      </c>
      <c r="D2529" s="105">
        <v>45373.704834722223</v>
      </c>
      <c r="E2529" t="s">
        <v>312</v>
      </c>
      <c r="F2529" t="s">
        <v>1402</v>
      </c>
      <c r="G2529">
        <v>0</v>
      </c>
      <c r="H2529" t="s">
        <v>315</v>
      </c>
      <c r="I2529">
        <v>0</v>
      </c>
      <c r="J2529">
        <v>0</v>
      </c>
      <c r="K2529">
        <v>0</v>
      </c>
      <c r="L2529" t="s">
        <v>240</v>
      </c>
      <c r="M2529" t="s">
        <v>1398</v>
      </c>
      <c r="N2529">
        <v>0</v>
      </c>
      <c r="O2529" t="s">
        <v>1391</v>
      </c>
      <c r="P2529" t="s">
        <v>310</v>
      </c>
      <c r="Q2529" t="s">
        <v>310</v>
      </c>
      <c r="R2529" t="s">
        <v>310</v>
      </c>
      <c r="S2529">
        <v>9</v>
      </c>
      <c r="T2529" t="s">
        <v>310</v>
      </c>
      <c r="U2529">
        <v>9</v>
      </c>
      <c r="V2529">
        <v>9</v>
      </c>
      <c r="W2529">
        <v>0</v>
      </c>
      <c r="X2529">
        <v>0</v>
      </c>
      <c r="Y2529">
        <v>0</v>
      </c>
      <c r="Z2529">
        <v>0</v>
      </c>
      <c r="AA2529">
        <v>9</v>
      </c>
      <c r="AB2529">
        <v>9</v>
      </c>
      <c r="AC2529" t="s">
        <v>310</v>
      </c>
      <c r="AD2529">
        <v>9</v>
      </c>
      <c r="AE2529" t="s">
        <v>1416</v>
      </c>
      <c r="AF2529">
        <v>40003000</v>
      </c>
      <c r="AG2529" t="s">
        <v>310</v>
      </c>
      <c r="AH2529">
        <f>SUM((MID(Dyno_Data[[#This Row],[Team]],4,5))+(Dyno_Data[[#This Row],[Match]]/100))</f>
        <v>250.48</v>
      </c>
      <c r="AI2529" s="76">
        <f>ROUND(SUM(IF(Dyno_Data[[#This Row],[AcqCenter]]&gt;0,Dyno_Data[[#This Row],[Time]]-SUMIFS(Dyno_Data[Time],Dyno_Data[Team],Dyno_Data[[#This Row],[Team]],Dyno_Data[RecordType],"StartMatch",Dyno_Data[Match],Dyno_Data[[#This Row],[Match]]),0)*86400),0)</f>
        <v>0</v>
      </c>
    </row>
    <row r="2530" spans="1:35" x14ac:dyDescent="0.3">
      <c r="A2530">
        <v>2529</v>
      </c>
      <c r="B2530" t="s">
        <v>372</v>
      </c>
      <c r="C2530">
        <v>48</v>
      </c>
      <c r="D2530" s="105">
        <v>45373.704866747685</v>
      </c>
      <c r="E2530" t="s">
        <v>312</v>
      </c>
      <c r="F2530" t="s">
        <v>1402</v>
      </c>
      <c r="G2530">
        <v>0</v>
      </c>
      <c r="H2530" t="s">
        <v>315</v>
      </c>
      <c r="I2530">
        <v>0</v>
      </c>
      <c r="J2530">
        <v>0</v>
      </c>
      <c r="K2530">
        <v>0</v>
      </c>
      <c r="L2530" t="s">
        <v>313</v>
      </c>
      <c r="M2530" t="s">
        <v>101</v>
      </c>
      <c r="N2530">
        <v>0</v>
      </c>
      <c r="O2530" t="s">
        <v>1393</v>
      </c>
      <c r="P2530" t="s">
        <v>310</v>
      </c>
      <c r="Q2530" t="s">
        <v>310</v>
      </c>
      <c r="R2530" t="s">
        <v>310</v>
      </c>
      <c r="S2530">
        <v>9</v>
      </c>
      <c r="T2530" t="s">
        <v>310</v>
      </c>
      <c r="U2530">
        <v>9</v>
      </c>
      <c r="V2530">
        <v>9</v>
      </c>
      <c r="W2530">
        <v>0</v>
      </c>
      <c r="X2530">
        <v>0</v>
      </c>
      <c r="Y2530">
        <v>0</v>
      </c>
      <c r="Z2530">
        <v>0</v>
      </c>
      <c r="AA2530">
        <v>9</v>
      </c>
      <c r="AB2530">
        <v>9</v>
      </c>
      <c r="AC2530" t="s">
        <v>310</v>
      </c>
      <c r="AD2530">
        <v>9</v>
      </c>
      <c r="AE2530" t="s">
        <v>1418</v>
      </c>
      <c r="AF2530">
        <v>20000000</v>
      </c>
      <c r="AG2530" t="s">
        <v>310</v>
      </c>
      <c r="AH2530">
        <f>SUM((MID(Dyno_Data[[#This Row],[Team]],4,5))+(Dyno_Data[[#This Row],[Match]]/100))</f>
        <v>7504.48</v>
      </c>
      <c r="AI2530" s="76">
        <f>ROUND(SUM(IF(Dyno_Data[[#This Row],[AcqCenter]]&gt;0,Dyno_Data[[#This Row],[Time]]-SUMIFS(Dyno_Data[Time],Dyno_Data[Team],Dyno_Data[[#This Row],[Team]],Dyno_Data[RecordType],"StartMatch",Dyno_Data[Match],Dyno_Data[[#This Row],[Match]]),0)*86400),0)</f>
        <v>0</v>
      </c>
    </row>
    <row r="2531" spans="1:35" x14ac:dyDescent="0.3">
      <c r="A2531">
        <v>2530</v>
      </c>
      <c r="B2531" t="s">
        <v>1278</v>
      </c>
      <c r="C2531">
        <v>48</v>
      </c>
      <c r="D2531" s="105">
        <v>45373.704905057872</v>
      </c>
      <c r="E2531" t="s">
        <v>312</v>
      </c>
      <c r="F2531" t="s">
        <v>1402</v>
      </c>
      <c r="G2531">
        <v>0</v>
      </c>
      <c r="H2531" t="s">
        <v>315</v>
      </c>
      <c r="I2531">
        <v>0</v>
      </c>
      <c r="J2531">
        <v>0</v>
      </c>
      <c r="K2531">
        <v>0</v>
      </c>
      <c r="L2531" t="s">
        <v>241</v>
      </c>
      <c r="M2531" t="s">
        <v>101</v>
      </c>
      <c r="N2531">
        <v>0</v>
      </c>
      <c r="O2531" t="s">
        <v>311</v>
      </c>
      <c r="P2531" t="s">
        <v>310</v>
      </c>
      <c r="Q2531" t="s">
        <v>310</v>
      </c>
      <c r="R2531" t="s">
        <v>310</v>
      </c>
      <c r="S2531">
        <v>9</v>
      </c>
      <c r="T2531" t="s">
        <v>310</v>
      </c>
      <c r="U2531">
        <v>9</v>
      </c>
      <c r="V2531">
        <v>9</v>
      </c>
      <c r="W2531">
        <v>0</v>
      </c>
      <c r="X2531">
        <v>0</v>
      </c>
      <c r="Y2531">
        <v>0</v>
      </c>
      <c r="Z2531">
        <v>0</v>
      </c>
      <c r="AA2531">
        <v>9</v>
      </c>
      <c r="AB2531">
        <v>9</v>
      </c>
      <c r="AC2531" t="s">
        <v>310</v>
      </c>
      <c r="AD2531">
        <v>9</v>
      </c>
      <c r="AE2531" t="s">
        <v>1412</v>
      </c>
      <c r="AF2531">
        <v>50000000</v>
      </c>
      <c r="AG2531" t="s">
        <v>310</v>
      </c>
      <c r="AH2531">
        <f>SUM((MID(Dyno_Data[[#This Row],[Team]],4,5))+(Dyno_Data[[#This Row],[Match]]/100))</f>
        <v>3951.48</v>
      </c>
      <c r="AI2531" s="76">
        <f>ROUND(SUM(IF(Dyno_Data[[#This Row],[AcqCenter]]&gt;0,Dyno_Data[[#This Row],[Time]]-SUMIFS(Dyno_Data[Time],Dyno_Data[Team],Dyno_Data[[#This Row],[Team]],Dyno_Data[RecordType],"StartMatch",Dyno_Data[Match],Dyno_Data[[#This Row],[Match]]),0)*86400),0)</f>
        <v>0</v>
      </c>
    </row>
    <row r="2532" spans="1:35" x14ac:dyDescent="0.3">
      <c r="A2532">
        <v>2531</v>
      </c>
      <c r="B2532" t="s">
        <v>369</v>
      </c>
      <c r="C2532">
        <v>48</v>
      </c>
      <c r="D2532" s="105">
        <v>45373.704943402779</v>
      </c>
      <c r="E2532" t="s">
        <v>1403</v>
      </c>
      <c r="F2532" t="s">
        <v>1402</v>
      </c>
      <c r="G2532">
        <v>0</v>
      </c>
      <c r="H2532" t="s">
        <v>310</v>
      </c>
      <c r="I2532">
        <v>0</v>
      </c>
      <c r="J2532">
        <v>0</v>
      </c>
      <c r="K2532">
        <v>0</v>
      </c>
      <c r="L2532" t="s">
        <v>310</v>
      </c>
      <c r="M2532" t="s">
        <v>310</v>
      </c>
      <c r="N2532">
        <v>0</v>
      </c>
      <c r="O2532" t="s">
        <v>1389</v>
      </c>
      <c r="P2532" t="s">
        <v>310</v>
      </c>
      <c r="Q2532" t="s">
        <v>310</v>
      </c>
      <c r="R2532" t="s">
        <v>310</v>
      </c>
      <c r="S2532">
        <v>9</v>
      </c>
      <c r="T2532" t="s">
        <v>310</v>
      </c>
      <c r="U2532">
        <v>9</v>
      </c>
      <c r="V2532">
        <v>9</v>
      </c>
      <c r="W2532">
        <v>0</v>
      </c>
      <c r="X2532">
        <v>0</v>
      </c>
      <c r="Y2532">
        <v>0</v>
      </c>
      <c r="Z2532">
        <v>0</v>
      </c>
      <c r="AA2532">
        <v>9</v>
      </c>
      <c r="AB2532">
        <v>9</v>
      </c>
      <c r="AC2532" t="s">
        <v>310</v>
      </c>
      <c r="AD2532">
        <v>9</v>
      </c>
      <c r="AE2532" t="s">
        <v>1417</v>
      </c>
      <c r="AF2532">
        <v>50000000</v>
      </c>
      <c r="AG2532" t="s">
        <v>249</v>
      </c>
      <c r="AH2532">
        <f>SUM((MID(Dyno_Data[[#This Row],[Team]],4,5))+(Dyno_Data[[#This Row],[Match]]/100))</f>
        <v>6463.48</v>
      </c>
      <c r="AI2532" s="76">
        <f>ROUND(SUM(IF(Dyno_Data[[#This Row],[AcqCenter]]&gt;0,Dyno_Data[[#This Row],[Time]]-SUMIFS(Dyno_Data[Time],Dyno_Data[Team],Dyno_Data[[#This Row],[Team]],Dyno_Data[RecordType],"StartMatch",Dyno_Data[Match],Dyno_Data[[#This Row],[Match]]),0)*86400),0)</f>
        <v>0</v>
      </c>
    </row>
    <row r="2533" spans="1:35" x14ac:dyDescent="0.3">
      <c r="A2533">
        <v>2532</v>
      </c>
      <c r="B2533" t="s">
        <v>372</v>
      </c>
      <c r="C2533">
        <v>48</v>
      </c>
      <c r="D2533" s="105">
        <v>45373.705062766203</v>
      </c>
      <c r="E2533" t="s">
        <v>312</v>
      </c>
      <c r="F2533" t="s">
        <v>1402</v>
      </c>
      <c r="G2533">
        <v>0</v>
      </c>
      <c r="H2533" t="s">
        <v>315</v>
      </c>
      <c r="I2533">
        <v>0</v>
      </c>
      <c r="J2533">
        <v>0</v>
      </c>
      <c r="K2533">
        <v>0</v>
      </c>
      <c r="L2533" t="s">
        <v>313</v>
      </c>
      <c r="M2533" t="s">
        <v>101</v>
      </c>
      <c r="N2533">
        <v>0</v>
      </c>
      <c r="O2533" t="s">
        <v>1393</v>
      </c>
      <c r="P2533" t="s">
        <v>310</v>
      </c>
      <c r="Q2533" t="s">
        <v>310</v>
      </c>
      <c r="R2533" t="s">
        <v>310</v>
      </c>
      <c r="S2533">
        <v>9</v>
      </c>
      <c r="T2533" t="s">
        <v>310</v>
      </c>
      <c r="U2533">
        <v>9</v>
      </c>
      <c r="V2533">
        <v>9</v>
      </c>
      <c r="W2533">
        <v>0</v>
      </c>
      <c r="X2533">
        <v>0</v>
      </c>
      <c r="Y2533">
        <v>0</v>
      </c>
      <c r="Z2533">
        <v>0</v>
      </c>
      <c r="AA2533">
        <v>9</v>
      </c>
      <c r="AB2533">
        <v>9</v>
      </c>
      <c r="AC2533" t="s">
        <v>310</v>
      </c>
      <c r="AD2533">
        <v>9</v>
      </c>
      <c r="AE2533" t="s">
        <v>1418</v>
      </c>
      <c r="AF2533">
        <v>30000000</v>
      </c>
      <c r="AG2533" t="s">
        <v>310</v>
      </c>
      <c r="AH2533">
        <f>SUM((MID(Dyno_Data[[#This Row],[Team]],4,5))+(Dyno_Data[[#This Row],[Match]]/100))</f>
        <v>7504.48</v>
      </c>
      <c r="AI2533" s="76">
        <f>ROUND(SUM(IF(Dyno_Data[[#This Row],[AcqCenter]]&gt;0,Dyno_Data[[#This Row],[Time]]-SUMIFS(Dyno_Data[Time],Dyno_Data[Team],Dyno_Data[[#This Row],[Team]],Dyno_Data[RecordType],"StartMatch",Dyno_Data[Match],Dyno_Data[[#This Row],[Match]]),0)*86400),0)</f>
        <v>0</v>
      </c>
    </row>
    <row r="2534" spans="1:35" x14ac:dyDescent="0.3">
      <c r="A2534">
        <v>2533</v>
      </c>
      <c r="B2534" t="s">
        <v>362</v>
      </c>
      <c r="C2534">
        <v>48</v>
      </c>
      <c r="D2534" s="105">
        <v>45373.70521565972</v>
      </c>
      <c r="E2534" t="s">
        <v>312</v>
      </c>
      <c r="F2534" t="s">
        <v>1402</v>
      </c>
      <c r="G2534">
        <v>0</v>
      </c>
      <c r="H2534" t="s">
        <v>315</v>
      </c>
      <c r="I2534">
        <v>0</v>
      </c>
      <c r="J2534">
        <v>0</v>
      </c>
      <c r="K2534">
        <v>0</v>
      </c>
      <c r="L2534" t="s">
        <v>240</v>
      </c>
      <c r="M2534" t="s">
        <v>1398</v>
      </c>
      <c r="N2534">
        <v>0</v>
      </c>
      <c r="O2534" t="s">
        <v>1391</v>
      </c>
      <c r="P2534" t="s">
        <v>310</v>
      </c>
      <c r="Q2534" t="s">
        <v>310</v>
      </c>
      <c r="R2534" t="s">
        <v>310</v>
      </c>
      <c r="S2534">
        <v>9</v>
      </c>
      <c r="T2534" t="s">
        <v>310</v>
      </c>
      <c r="U2534">
        <v>9</v>
      </c>
      <c r="V2534">
        <v>9</v>
      </c>
      <c r="W2534">
        <v>0</v>
      </c>
      <c r="X2534">
        <v>0</v>
      </c>
      <c r="Y2534">
        <v>0</v>
      </c>
      <c r="Z2534">
        <v>0</v>
      </c>
      <c r="AA2534">
        <v>9</v>
      </c>
      <c r="AB2534">
        <v>9</v>
      </c>
      <c r="AC2534" t="s">
        <v>310</v>
      </c>
      <c r="AD2534">
        <v>9</v>
      </c>
      <c r="AE2534" t="s">
        <v>1416</v>
      </c>
      <c r="AF2534">
        <v>50003000</v>
      </c>
      <c r="AG2534" t="s">
        <v>310</v>
      </c>
      <c r="AH2534">
        <f>SUM((MID(Dyno_Data[[#This Row],[Team]],4,5))+(Dyno_Data[[#This Row],[Match]]/100))</f>
        <v>250.48</v>
      </c>
      <c r="AI2534" s="76">
        <f>ROUND(SUM(IF(Dyno_Data[[#This Row],[AcqCenter]]&gt;0,Dyno_Data[[#This Row],[Time]]-SUMIFS(Dyno_Data[Time],Dyno_Data[Team],Dyno_Data[[#This Row],[Team]],Dyno_Data[RecordType],"StartMatch",Dyno_Data[Match],Dyno_Data[[#This Row],[Match]]),0)*86400),0)</f>
        <v>0</v>
      </c>
    </row>
    <row r="2535" spans="1:35" x14ac:dyDescent="0.3">
      <c r="A2535">
        <v>2534</v>
      </c>
      <c r="B2535" t="s">
        <v>1278</v>
      </c>
      <c r="C2535">
        <v>48</v>
      </c>
      <c r="D2535" s="105">
        <v>45373.705217824077</v>
      </c>
      <c r="E2535" t="s">
        <v>312</v>
      </c>
      <c r="F2535" t="s">
        <v>1402</v>
      </c>
      <c r="G2535">
        <v>0</v>
      </c>
      <c r="H2535" t="s">
        <v>315</v>
      </c>
      <c r="I2535">
        <v>0</v>
      </c>
      <c r="J2535">
        <v>0</v>
      </c>
      <c r="K2535">
        <v>0</v>
      </c>
      <c r="L2535" t="s">
        <v>241</v>
      </c>
      <c r="M2535" t="s">
        <v>101</v>
      </c>
      <c r="N2535">
        <v>0</v>
      </c>
      <c r="O2535" t="s">
        <v>311</v>
      </c>
      <c r="P2535" t="s">
        <v>310</v>
      </c>
      <c r="Q2535" t="s">
        <v>310</v>
      </c>
      <c r="R2535" t="s">
        <v>310</v>
      </c>
      <c r="S2535">
        <v>9</v>
      </c>
      <c r="T2535" t="s">
        <v>310</v>
      </c>
      <c r="U2535">
        <v>9</v>
      </c>
      <c r="V2535">
        <v>9</v>
      </c>
      <c r="W2535">
        <v>0</v>
      </c>
      <c r="X2535">
        <v>0</v>
      </c>
      <c r="Y2535">
        <v>0</v>
      </c>
      <c r="Z2535">
        <v>0</v>
      </c>
      <c r="AA2535">
        <v>9</v>
      </c>
      <c r="AB2535">
        <v>9</v>
      </c>
      <c r="AC2535" t="s">
        <v>310</v>
      </c>
      <c r="AD2535">
        <v>9</v>
      </c>
      <c r="AE2535" t="s">
        <v>1412</v>
      </c>
      <c r="AF2535">
        <v>60000000</v>
      </c>
      <c r="AG2535" t="s">
        <v>310</v>
      </c>
      <c r="AH2535">
        <f>SUM((MID(Dyno_Data[[#This Row],[Team]],4,5))+(Dyno_Data[[#This Row],[Match]]/100))</f>
        <v>3951.48</v>
      </c>
      <c r="AI2535" s="76">
        <f>ROUND(SUM(IF(Dyno_Data[[#This Row],[AcqCenter]]&gt;0,Dyno_Data[[#This Row],[Time]]-SUMIFS(Dyno_Data[Time],Dyno_Data[Team],Dyno_Data[[#This Row],[Team]],Dyno_Data[RecordType],"StartMatch",Dyno_Data[Match],Dyno_Data[[#This Row],[Match]]),0)*86400),0)</f>
        <v>0</v>
      </c>
    </row>
    <row r="2536" spans="1:35" x14ac:dyDescent="0.3">
      <c r="A2536">
        <v>2535</v>
      </c>
      <c r="B2536" t="s">
        <v>1278</v>
      </c>
      <c r="C2536">
        <v>48</v>
      </c>
      <c r="D2536" s="105">
        <v>45373.705412847223</v>
      </c>
      <c r="E2536" t="s">
        <v>312</v>
      </c>
      <c r="F2536" t="s">
        <v>1402</v>
      </c>
      <c r="G2536">
        <v>0</v>
      </c>
      <c r="H2536" t="s">
        <v>315</v>
      </c>
      <c r="I2536">
        <v>0</v>
      </c>
      <c r="J2536">
        <v>0</v>
      </c>
      <c r="K2536">
        <v>0</v>
      </c>
      <c r="L2536" t="s">
        <v>241</v>
      </c>
      <c r="M2536" t="s">
        <v>101</v>
      </c>
      <c r="N2536">
        <v>0</v>
      </c>
      <c r="O2536" t="s">
        <v>311</v>
      </c>
      <c r="P2536" t="s">
        <v>310</v>
      </c>
      <c r="Q2536" t="s">
        <v>310</v>
      </c>
      <c r="R2536" t="s">
        <v>310</v>
      </c>
      <c r="S2536">
        <v>9</v>
      </c>
      <c r="T2536" t="s">
        <v>310</v>
      </c>
      <c r="U2536">
        <v>9</v>
      </c>
      <c r="V2536">
        <v>9</v>
      </c>
      <c r="W2536">
        <v>0</v>
      </c>
      <c r="X2536">
        <v>0</v>
      </c>
      <c r="Y2536">
        <v>0</v>
      </c>
      <c r="Z2536">
        <v>0</v>
      </c>
      <c r="AA2536">
        <v>9</v>
      </c>
      <c r="AB2536">
        <v>9</v>
      </c>
      <c r="AC2536" t="s">
        <v>310</v>
      </c>
      <c r="AD2536">
        <v>9</v>
      </c>
      <c r="AE2536" t="s">
        <v>1412</v>
      </c>
      <c r="AF2536">
        <v>70000000</v>
      </c>
      <c r="AG2536" t="s">
        <v>310</v>
      </c>
      <c r="AH2536">
        <f>SUM((MID(Dyno_Data[[#This Row],[Team]],4,5))+(Dyno_Data[[#This Row],[Match]]/100))</f>
        <v>3951.48</v>
      </c>
      <c r="AI2536" s="76">
        <f>ROUND(SUM(IF(Dyno_Data[[#This Row],[AcqCenter]]&gt;0,Dyno_Data[[#This Row],[Time]]-SUMIFS(Dyno_Data[Time],Dyno_Data[Team],Dyno_Data[[#This Row],[Team]],Dyno_Data[RecordType],"StartMatch",Dyno_Data[Match],Dyno_Data[[#This Row],[Match]]),0)*86400),0)</f>
        <v>0</v>
      </c>
    </row>
    <row r="2537" spans="1:35" x14ac:dyDescent="0.3">
      <c r="A2537">
        <v>2536</v>
      </c>
      <c r="B2537" t="s">
        <v>372</v>
      </c>
      <c r="C2537">
        <v>48</v>
      </c>
      <c r="D2537" s="105">
        <v>45373.705480208337</v>
      </c>
      <c r="E2537" t="s">
        <v>312</v>
      </c>
      <c r="F2537" t="s">
        <v>1402</v>
      </c>
      <c r="G2537">
        <v>0</v>
      </c>
      <c r="H2537" t="s">
        <v>315</v>
      </c>
      <c r="I2537">
        <v>0</v>
      </c>
      <c r="J2537">
        <v>0</v>
      </c>
      <c r="K2537">
        <v>0</v>
      </c>
      <c r="L2537" t="s">
        <v>241</v>
      </c>
      <c r="M2537" t="s">
        <v>1398</v>
      </c>
      <c r="N2537">
        <v>0</v>
      </c>
      <c r="O2537" t="s">
        <v>1393</v>
      </c>
      <c r="P2537" t="s">
        <v>310</v>
      </c>
      <c r="Q2537" t="s">
        <v>310</v>
      </c>
      <c r="R2537" t="s">
        <v>310</v>
      </c>
      <c r="S2537">
        <v>9</v>
      </c>
      <c r="T2537" t="s">
        <v>310</v>
      </c>
      <c r="U2537">
        <v>9</v>
      </c>
      <c r="V2537">
        <v>9</v>
      </c>
      <c r="W2537">
        <v>0</v>
      </c>
      <c r="X2537">
        <v>0</v>
      </c>
      <c r="Y2537">
        <v>0</v>
      </c>
      <c r="Z2537">
        <v>0</v>
      </c>
      <c r="AA2537">
        <v>9</v>
      </c>
      <c r="AB2537">
        <v>9</v>
      </c>
      <c r="AC2537" t="s">
        <v>310</v>
      </c>
      <c r="AD2537">
        <v>9</v>
      </c>
      <c r="AE2537" t="s">
        <v>1418</v>
      </c>
      <c r="AF2537">
        <v>40000000</v>
      </c>
      <c r="AG2537" t="s">
        <v>310</v>
      </c>
      <c r="AH2537">
        <f>SUM((MID(Dyno_Data[[#This Row],[Team]],4,5))+(Dyno_Data[[#This Row],[Match]]/100))</f>
        <v>7504.48</v>
      </c>
      <c r="AI2537" s="76">
        <f>ROUND(SUM(IF(Dyno_Data[[#This Row],[AcqCenter]]&gt;0,Dyno_Data[[#This Row],[Time]]-SUMIFS(Dyno_Data[Time],Dyno_Data[Team],Dyno_Data[[#This Row],[Team]],Dyno_Data[RecordType],"StartMatch",Dyno_Data[Match],Dyno_Data[[#This Row],[Match]]),0)*86400),0)</f>
        <v>0</v>
      </c>
    </row>
    <row r="2538" spans="1:35" x14ac:dyDescent="0.3">
      <c r="A2538">
        <v>2537</v>
      </c>
      <c r="B2538" t="s">
        <v>362</v>
      </c>
      <c r="C2538">
        <v>48</v>
      </c>
      <c r="D2538" s="105">
        <v>45373.70563290509</v>
      </c>
      <c r="E2538" t="s">
        <v>1403</v>
      </c>
      <c r="F2538" t="s">
        <v>1402</v>
      </c>
      <c r="G2538">
        <v>0</v>
      </c>
      <c r="H2538" t="s">
        <v>310</v>
      </c>
      <c r="I2538">
        <v>0</v>
      </c>
      <c r="J2538">
        <v>0</v>
      </c>
      <c r="K2538">
        <v>0</v>
      </c>
      <c r="L2538" t="s">
        <v>310</v>
      </c>
      <c r="M2538" t="s">
        <v>310</v>
      </c>
      <c r="N2538">
        <v>0</v>
      </c>
      <c r="O2538" t="s">
        <v>1391</v>
      </c>
      <c r="P2538" t="s">
        <v>310</v>
      </c>
      <c r="Q2538" t="s">
        <v>310</v>
      </c>
      <c r="R2538" t="s">
        <v>310</v>
      </c>
      <c r="S2538">
        <v>9</v>
      </c>
      <c r="T2538" t="s">
        <v>310</v>
      </c>
      <c r="U2538">
        <v>9</v>
      </c>
      <c r="V2538">
        <v>9</v>
      </c>
      <c r="W2538">
        <v>0</v>
      </c>
      <c r="X2538">
        <v>0</v>
      </c>
      <c r="Y2538">
        <v>0</v>
      </c>
      <c r="Z2538">
        <v>0</v>
      </c>
      <c r="AA2538">
        <v>9</v>
      </c>
      <c r="AB2538">
        <v>9</v>
      </c>
      <c r="AC2538" t="s">
        <v>310</v>
      </c>
      <c r="AD2538">
        <v>9</v>
      </c>
      <c r="AE2538" t="s">
        <v>1416</v>
      </c>
      <c r="AF2538">
        <v>40000000</v>
      </c>
      <c r="AG2538" t="s">
        <v>258</v>
      </c>
      <c r="AH2538">
        <f>SUM((MID(Dyno_Data[[#This Row],[Team]],4,5))+(Dyno_Data[[#This Row],[Match]]/100))</f>
        <v>250.48</v>
      </c>
      <c r="AI2538" s="76">
        <f>ROUND(SUM(IF(Dyno_Data[[#This Row],[AcqCenter]]&gt;0,Dyno_Data[[#This Row],[Time]]-SUMIFS(Dyno_Data[Time],Dyno_Data[Team],Dyno_Data[[#This Row],[Team]],Dyno_Data[RecordType],"StartMatch",Dyno_Data[Match],Dyno_Data[[#This Row],[Match]]),0)*86400),0)</f>
        <v>0</v>
      </c>
    </row>
    <row r="2539" spans="1:35" x14ac:dyDescent="0.3">
      <c r="A2539">
        <v>2538</v>
      </c>
      <c r="B2539" t="s">
        <v>372</v>
      </c>
      <c r="C2539">
        <v>48</v>
      </c>
      <c r="D2539" s="105">
        <v>45373.705671145835</v>
      </c>
      <c r="E2539" t="s">
        <v>312</v>
      </c>
      <c r="F2539" t="s">
        <v>1402</v>
      </c>
      <c r="G2539">
        <v>0</v>
      </c>
      <c r="H2539" t="s">
        <v>315</v>
      </c>
      <c r="I2539">
        <v>0</v>
      </c>
      <c r="J2539">
        <v>0</v>
      </c>
      <c r="K2539">
        <v>0</v>
      </c>
      <c r="L2539" t="s">
        <v>241</v>
      </c>
      <c r="M2539" t="s">
        <v>1398</v>
      </c>
      <c r="N2539">
        <v>0</v>
      </c>
      <c r="O2539" t="s">
        <v>1393</v>
      </c>
      <c r="P2539" t="s">
        <v>310</v>
      </c>
      <c r="Q2539" t="s">
        <v>310</v>
      </c>
      <c r="R2539" t="s">
        <v>310</v>
      </c>
      <c r="S2539">
        <v>9</v>
      </c>
      <c r="T2539" t="s">
        <v>310</v>
      </c>
      <c r="U2539">
        <v>9</v>
      </c>
      <c r="V2539">
        <v>9</v>
      </c>
      <c r="W2539">
        <v>0</v>
      </c>
      <c r="X2539">
        <v>0</v>
      </c>
      <c r="Y2539">
        <v>0</v>
      </c>
      <c r="Z2539">
        <v>0</v>
      </c>
      <c r="AA2539">
        <v>9</v>
      </c>
      <c r="AB2539">
        <v>9</v>
      </c>
      <c r="AC2539" t="s">
        <v>310</v>
      </c>
      <c r="AD2539">
        <v>9</v>
      </c>
      <c r="AE2539" t="s">
        <v>1418</v>
      </c>
      <c r="AF2539">
        <v>50000000</v>
      </c>
      <c r="AG2539" t="s">
        <v>310</v>
      </c>
      <c r="AH2539">
        <f>SUM((MID(Dyno_Data[[#This Row],[Team]],4,5))+(Dyno_Data[[#This Row],[Match]]/100))</f>
        <v>7504.48</v>
      </c>
      <c r="AI2539" s="76">
        <f>ROUND(SUM(IF(Dyno_Data[[#This Row],[AcqCenter]]&gt;0,Dyno_Data[[#This Row],[Time]]-SUMIFS(Dyno_Data[Time],Dyno_Data[Team],Dyno_Data[[#This Row],[Team]],Dyno_Data[RecordType],"StartMatch",Dyno_Data[Match],Dyno_Data[[#This Row],[Match]]),0)*86400),0)</f>
        <v>0</v>
      </c>
    </row>
    <row r="2540" spans="1:35" x14ac:dyDescent="0.3">
      <c r="A2540">
        <v>2539</v>
      </c>
      <c r="B2540" t="s">
        <v>1278</v>
      </c>
      <c r="C2540">
        <v>48</v>
      </c>
      <c r="D2540" s="105">
        <v>45373.707706909721</v>
      </c>
      <c r="E2540" t="s">
        <v>316</v>
      </c>
      <c r="F2540" t="s">
        <v>317</v>
      </c>
      <c r="G2540">
        <v>1</v>
      </c>
      <c r="H2540" t="s">
        <v>310</v>
      </c>
      <c r="I2540">
        <v>0</v>
      </c>
      <c r="J2540">
        <v>0</v>
      </c>
      <c r="K2540">
        <v>0</v>
      </c>
      <c r="L2540" t="s">
        <v>310</v>
      </c>
      <c r="M2540" t="s">
        <v>310</v>
      </c>
      <c r="N2540">
        <v>0</v>
      </c>
      <c r="O2540" t="s">
        <v>311</v>
      </c>
      <c r="P2540" t="s">
        <v>240</v>
      </c>
      <c r="Q2540" t="s">
        <v>1400</v>
      </c>
      <c r="R2540" t="s">
        <v>1404</v>
      </c>
      <c r="S2540">
        <v>-1</v>
      </c>
      <c r="T2540" t="s">
        <v>105</v>
      </c>
      <c r="U2540">
        <v>9</v>
      </c>
      <c r="V2540">
        <v>9</v>
      </c>
      <c r="W2540">
        <v>18.292381299999999</v>
      </c>
      <c r="X2540">
        <v>8.8118368</v>
      </c>
      <c r="Y2540">
        <v>4.9286408999999995</v>
      </c>
      <c r="Z2540">
        <v>104.69723119999999</v>
      </c>
      <c r="AA2540">
        <v>0</v>
      </c>
      <c r="AB2540">
        <v>0</v>
      </c>
      <c r="AC2540" t="s">
        <v>173</v>
      </c>
      <c r="AD2540">
        <v>9</v>
      </c>
      <c r="AE2540" t="s">
        <v>1412</v>
      </c>
      <c r="AF2540">
        <v>70000000</v>
      </c>
      <c r="AG2540" t="s">
        <v>310</v>
      </c>
      <c r="AH2540">
        <f>SUM((MID(Dyno_Data[[#This Row],[Team]],4,5))+(Dyno_Data[[#This Row],[Match]]/100))</f>
        <v>3951.48</v>
      </c>
      <c r="AI2540" s="76">
        <f>ROUND(SUM(IF(Dyno_Data[[#This Row],[AcqCenter]]&gt;0,Dyno_Data[[#This Row],[Time]]-SUMIFS(Dyno_Data[Time],Dyno_Data[Team],Dyno_Data[[#This Row],[Team]],Dyno_Data[RecordType],"StartMatch",Dyno_Data[Match],Dyno_Data[[#This Row],[Match]]),0)*86400),0)</f>
        <v>0</v>
      </c>
    </row>
    <row r="2541" spans="1:35" x14ac:dyDescent="0.3">
      <c r="A2541">
        <v>2540</v>
      </c>
      <c r="B2541" t="s">
        <v>362</v>
      </c>
      <c r="C2541">
        <v>48</v>
      </c>
      <c r="D2541" s="105">
        <v>45373.707707060188</v>
      </c>
      <c r="E2541" t="s">
        <v>316</v>
      </c>
      <c r="F2541" t="s">
        <v>317</v>
      </c>
      <c r="G2541">
        <v>1</v>
      </c>
      <c r="H2541" t="s">
        <v>310</v>
      </c>
      <c r="I2541">
        <v>0</v>
      </c>
      <c r="J2541">
        <v>0</v>
      </c>
      <c r="K2541">
        <v>0</v>
      </c>
      <c r="L2541" t="s">
        <v>310</v>
      </c>
      <c r="M2541" t="s">
        <v>310</v>
      </c>
      <c r="N2541">
        <v>0</v>
      </c>
      <c r="O2541" t="s">
        <v>1391</v>
      </c>
      <c r="P2541" t="s">
        <v>320</v>
      </c>
      <c r="Q2541" t="s">
        <v>1399</v>
      </c>
      <c r="R2541" t="s">
        <v>1404</v>
      </c>
      <c r="S2541">
        <v>0</v>
      </c>
      <c r="T2541" t="s">
        <v>105</v>
      </c>
      <c r="U2541">
        <v>9</v>
      </c>
      <c r="V2541">
        <v>9</v>
      </c>
      <c r="W2541">
        <v>0</v>
      </c>
      <c r="X2541">
        <v>0</v>
      </c>
      <c r="Y2541">
        <v>58.367042699999999</v>
      </c>
      <c r="Z2541">
        <v>77.926428999999999</v>
      </c>
      <c r="AA2541">
        <v>0</v>
      </c>
      <c r="AB2541">
        <v>0</v>
      </c>
      <c r="AC2541" t="s">
        <v>174</v>
      </c>
      <c r="AD2541">
        <v>2</v>
      </c>
      <c r="AE2541" t="s">
        <v>1416</v>
      </c>
      <c r="AF2541">
        <v>50003000</v>
      </c>
      <c r="AG2541" t="s">
        <v>310</v>
      </c>
      <c r="AH2541">
        <f>SUM((MID(Dyno_Data[[#This Row],[Team]],4,5))+(Dyno_Data[[#This Row],[Match]]/100))</f>
        <v>250.48</v>
      </c>
      <c r="AI2541" s="76">
        <f>ROUND(SUM(IF(Dyno_Data[[#This Row],[AcqCenter]]&gt;0,Dyno_Data[[#This Row],[Time]]-SUMIFS(Dyno_Data[Time],Dyno_Data[Team],Dyno_Data[[#This Row],[Team]],Dyno_Data[RecordType],"StartMatch",Dyno_Data[Match],Dyno_Data[[#This Row],[Match]]),0)*86400),0)</f>
        <v>0</v>
      </c>
    </row>
    <row r="2542" spans="1:35" x14ac:dyDescent="0.3">
      <c r="A2542">
        <v>2541</v>
      </c>
      <c r="B2542" t="s">
        <v>1289</v>
      </c>
      <c r="C2542">
        <v>48</v>
      </c>
      <c r="D2542" s="105">
        <v>45373.707707210648</v>
      </c>
      <c r="E2542" t="s">
        <v>316</v>
      </c>
      <c r="F2542" t="s">
        <v>317</v>
      </c>
      <c r="G2542">
        <v>1</v>
      </c>
      <c r="H2542" t="s">
        <v>310</v>
      </c>
      <c r="I2542">
        <v>0</v>
      </c>
      <c r="J2542">
        <v>0</v>
      </c>
      <c r="K2542">
        <v>0</v>
      </c>
      <c r="L2542" t="s">
        <v>310</v>
      </c>
      <c r="M2542" t="s">
        <v>310</v>
      </c>
      <c r="N2542">
        <v>0</v>
      </c>
      <c r="O2542" t="s">
        <v>319</v>
      </c>
      <c r="P2542" t="s">
        <v>101</v>
      </c>
      <c r="Q2542" t="s">
        <v>1400</v>
      </c>
      <c r="R2542" t="s">
        <v>1404</v>
      </c>
      <c r="S2542">
        <v>0</v>
      </c>
      <c r="T2542" t="s">
        <v>105</v>
      </c>
      <c r="U2542">
        <v>9</v>
      </c>
      <c r="V2542">
        <v>9</v>
      </c>
      <c r="W2542">
        <v>0</v>
      </c>
      <c r="X2542">
        <v>0</v>
      </c>
      <c r="Y2542">
        <v>64.950355099999996</v>
      </c>
      <c r="Z2542">
        <v>69.621656899999991</v>
      </c>
      <c r="AA2542">
        <v>0</v>
      </c>
      <c r="AB2542">
        <v>0</v>
      </c>
      <c r="AC2542" t="s">
        <v>167</v>
      </c>
      <c r="AD2542">
        <v>9</v>
      </c>
      <c r="AE2542" t="s">
        <v>1414</v>
      </c>
      <c r="AF2542">
        <v>0</v>
      </c>
      <c r="AG2542" t="s">
        <v>310</v>
      </c>
      <c r="AH2542">
        <f>SUM((MID(Dyno_Data[[#This Row],[Team]],4,5))+(Dyno_Data[[#This Row],[Match]]/100))</f>
        <v>6648.48</v>
      </c>
      <c r="AI2542" s="76">
        <f>ROUND(SUM(IF(Dyno_Data[[#This Row],[AcqCenter]]&gt;0,Dyno_Data[[#This Row],[Time]]-SUMIFS(Dyno_Data[Time],Dyno_Data[Team],Dyno_Data[[#This Row],[Team]],Dyno_Data[RecordType],"StartMatch",Dyno_Data[Match],Dyno_Data[[#This Row],[Match]]),0)*86400),0)</f>
        <v>0</v>
      </c>
    </row>
    <row r="2543" spans="1:35" x14ac:dyDescent="0.3">
      <c r="A2543">
        <v>2542</v>
      </c>
      <c r="B2543" t="s">
        <v>372</v>
      </c>
      <c r="C2543">
        <v>48</v>
      </c>
      <c r="D2543" s="105">
        <v>45373.707707557871</v>
      </c>
      <c r="E2543" t="s">
        <v>316</v>
      </c>
      <c r="F2543" t="s">
        <v>317</v>
      </c>
      <c r="G2543">
        <v>1</v>
      </c>
      <c r="H2543" t="s">
        <v>310</v>
      </c>
      <c r="I2543">
        <v>0</v>
      </c>
      <c r="J2543">
        <v>0</v>
      </c>
      <c r="K2543">
        <v>0</v>
      </c>
      <c r="L2543" t="s">
        <v>310</v>
      </c>
      <c r="M2543" t="s">
        <v>310</v>
      </c>
      <c r="N2543">
        <v>0</v>
      </c>
      <c r="O2543" t="s">
        <v>1393</v>
      </c>
      <c r="P2543" t="s">
        <v>240</v>
      </c>
      <c r="Q2543" t="s">
        <v>1400</v>
      </c>
      <c r="R2543" t="s">
        <v>1405</v>
      </c>
      <c r="S2543">
        <v>1</v>
      </c>
      <c r="T2543" t="s">
        <v>1407</v>
      </c>
      <c r="U2543">
        <v>0</v>
      </c>
      <c r="V2543">
        <v>0</v>
      </c>
      <c r="W2543">
        <v>7.3199608999999999</v>
      </c>
      <c r="X2543">
        <v>56.6673665</v>
      </c>
      <c r="Y2543">
        <v>0</v>
      </c>
      <c r="Z2543">
        <v>62.836517000000001</v>
      </c>
      <c r="AA2543">
        <v>0</v>
      </c>
      <c r="AB2543">
        <v>0</v>
      </c>
      <c r="AC2543" t="s">
        <v>174</v>
      </c>
      <c r="AD2543">
        <v>9</v>
      </c>
      <c r="AE2543" t="s">
        <v>1418</v>
      </c>
      <c r="AF2543">
        <v>50000000</v>
      </c>
      <c r="AG2543" t="s">
        <v>310</v>
      </c>
      <c r="AH2543">
        <f>SUM((MID(Dyno_Data[[#This Row],[Team]],4,5))+(Dyno_Data[[#This Row],[Match]]/100))</f>
        <v>7504.48</v>
      </c>
      <c r="AI2543" s="76">
        <f>ROUND(SUM(IF(Dyno_Data[[#This Row],[AcqCenter]]&gt;0,Dyno_Data[[#This Row],[Time]]-SUMIFS(Dyno_Data[Time],Dyno_Data[Team],Dyno_Data[[#This Row],[Team]],Dyno_Data[RecordType],"StartMatch",Dyno_Data[Match],Dyno_Data[[#This Row],[Match]]),0)*86400),0)</f>
        <v>0</v>
      </c>
    </row>
    <row r="2544" spans="1:35" x14ac:dyDescent="0.3">
      <c r="A2544">
        <v>2543</v>
      </c>
      <c r="B2544" t="s">
        <v>369</v>
      </c>
      <c r="C2544">
        <v>48</v>
      </c>
      <c r="D2544" s="105">
        <v>45373.707707719906</v>
      </c>
      <c r="E2544" t="s">
        <v>316</v>
      </c>
      <c r="F2544" t="s">
        <v>317</v>
      </c>
      <c r="G2544">
        <v>0</v>
      </c>
      <c r="H2544" t="s">
        <v>310</v>
      </c>
      <c r="I2544">
        <v>0</v>
      </c>
      <c r="J2544">
        <v>0</v>
      </c>
      <c r="K2544">
        <v>0</v>
      </c>
      <c r="L2544" t="s">
        <v>310</v>
      </c>
      <c r="M2544" t="s">
        <v>310</v>
      </c>
      <c r="N2544">
        <v>0</v>
      </c>
      <c r="O2544" t="s">
        <v>1389</v>
      </c>
      <c r="P2544" t="s">
        <v>320</v>
      </c>
      <c r="Q2544" t="s">
        <v>1399</v>
      </c>
      <c r="R2544" t="s">
        <v>321</v>
      </c>
      <c r="S2544">
        <v>0</v>
      </c>
      <c r="T2544" t="s">
        <v>105</v>
      </c>
      <c r="U2544">
        <v>9</v>
      </c>
      <c r="V2544">
        <v>9</v>
      </c>
      <c r="W2544">
        <v>0</v>
      </c>
      <c r="X2544">
        <v>1.1803859999999999</v>
      </c>
      <c r="Y2544">
        <v>135.1507967</v>
      </c>
      <c r="Z2544">
        <v>4.9237373</v>
      </c>
      <c r="AA2544">
        <v>0</v>
      </c>
      <c r="AB2544">
        <v>0</v>
      </c>
      <c r="AC2544" t="s">
        <v>167</v>
      </c>
      <c r="AD2544">
        <v>0</v>
      </c>
      <c r="AE2544" t="s">
        <v>1417</v>
      </c>
      <c r="AF2544">
        <v>0</v>
      </c>
      <c r="AG2544" t="s">
        <v>310</v>
      </c>
      <c r="AH2544">
        <f>SUM((MID(Dyno_Data[[#This Row],[Team]],4,5))+(Dyno_Data[[#This Row],[Match]]/100))</f>
        <v>6463.48</v>
      </c>
      <c r="AI2544" s="76">
        <f>ROUND(SUM(IF(Dyno_Data[[#This Row],[AcqCenter]]&gt;0,Dyno_Data[[#This Row],[Time]]-SUMIFS(Dyno_Data[Time],Dyno_Data[Team],Dyno_Data[[#This Row],[Team]],Dyno_Data[RecordType],"StartMatch",Dyno_Data[Match],Dyno_Data[[#This Row],[Match]]),0)*86400),0)</f>
        <v>0</v>
      </c>
    </row>
    <row r="2545" spans="1:35" x14ac:dyDescent="0.3">
      <c r="A2545">
        <v>2544</v>
      </c>
      <c r="B2545" t="s">
        <v>1285</v>
      </c>
      <c r="C2545">
        <v>48</v>
      </c>
      <c r="D2545" s="105">
        <v>45373.707707986112</v>
      </c>
      <c r="E2545" t="s">
        <v>316</v>
      </c>
      <c r="F2545" t="s">
        <v>317</v>
      </c>
      <c r="G2545">
        <v>0</v>
      </c>
      <c r="H2545" t="s">
        <v>310</v>
      </c>
      <c r="I2545">
        <v>0</v>
      </c>
      <c r="J2545">
        <v>0</v>
      </c>
      <c r="K2545">
        <v>0</v>
      </c>
      <c r="L2545" t="s">
        <v>310</v>
      </c>
      <c r="M2545" t="s">
        <v>310</v>
      </c>
      <c r="N2545">
        <v>0</v>
      </c>
      <c r="O2545" t="s">
        <v>1395</v>
      </c>
      <c r="P2545" t="s">
        <v>1401</v>
      </c>
      <c r="Q2545" t="s">
        <v>1400</v>
      </c>
      <c r="R2545" t="s">
        <v>1404</v>
      </c>
      <c r="S2545">
        <v>0</v>
      </c>
      <c r="T2545" t="s">
        <v>105</v>
      </c>
      <c r="U2545">
        <v>9</v>
      </c>
      <c r="V2545">
        <v>9</v>
      </c>
      <c r="W2545">
        <v>0</v>
      </c>
      <c r="X2545">
        <v>0.30931729999999996</v>
      </c>
      <c r="Y2545">
        <v>3.8057434999999997</v>
      </c>
      <c r="Z2545">
        <v>129.46604589999998</v>
      </c>
      <c r="AA2545">
        <v>0</v>
      </c>
      <c r="AB2545">
        <v>0</v>
      </c>
      <c r="AC2545" t="s">
        <v>174</v>
      </c>
      <c r="AD2545">
        <v>9</v>
      </c>
      <c r="AE2545" t="s">
        <v>1413</v>
      </c>
      <c r="AF2545">
        <v>10000000</v>
      </c>
      <c r="AG2545" t="s">
        <v>310</v>
      </c>
      <c r="AH2545">
        <f>SUM((MID(Dyno_Data[[#This Row],[Team]],4,5))+(Dyno_Data[[#This Row],[Match]]/100))</f>
        <v>5993.48</v>
      </c>
      <c r="AI2545" s="76">
        <f>ROUND(SUM(IF(Dyno_Data[[#This Row],[AcqCenter]]&gt;0,Dyno_Data[[#This Row],[Time]]-SUMIFS(Dyno_Data[Time],Dyno_Data[Team],Dyno_Data[[#This Row],[Team]],Dyno_Data[RecordType],"StartMatch",Dyno_Data[Match],Dyno_Data[[#This Row],[Match]]),0)*86400),0)</f>
        <v>0</v>
      </c>
    </row>
    <row r="2546" spans="1:35" x14ac:dyDescent="0.3">
      <c r="A2546">
        <v>2555</v>
      </c>
      <c r="B2546" t="s">
        <v>1288</v>
      </c>
      <c r="C2546">
        <v>49</v>
      </c>
      <c r="D2546" s="105">
        <v>45373.7097096875</v>
      </c>
      <c r="E2546" t="s">
        <v>308</v>
      </c>
      <c r="F2546" t="s">
        <v>309</v>
      </c>
      <c r="G2546">
        <v>0</v>
      </c>
      <c r="H2546" t="s">
        <v>310</v>
      </c>
      <c r="I2546">
        <v>0</v>
      </c>
      <c r="J2546">
        <v>0</v>
      </c>
      <c r="K2546">
        <v>0</v>
      </c>
      <c r="L2546" t="s">
        <v>310</v>
      </c>
      <c r="M2546" t="s">
        <v>310</v>
      </c>
      <c r="N2546">
        <v>0</v>
      </c>
      <c r="O2546" t="s">
        <v>311</v>
      </c>
      <c r="P2546" t="s">
        <v>310</v>
      </c>
      <c r="Q2546" t="s">
        <v>310</v>
      </c>
      <c r="R2546" t="s">
        <v>310</v>
      </c>
      <c r="S2546">
        <v>9</v>
      </c>
      <c r="T2546" t="s">
        <v>310</v>
      </c>
      <c r="U2546">
        <v>9</v>
      </c>
      <c r="V2546">
        <v>9</v>
      </c>
      <c r="W2546">
        <v>0</v>
      </c>
      <c r="X2546">
        <v>0</v>
      </c>
      <c r="Y2546">
        <v>0</v>
      </c>
      <c r="Z2546">
        <v>0</v>
      </c>
      <c r="AA2546">
        <v>9</v>
      </c>
      <c r="AB2546">
        <v>9</v>
      </c>
      <c r="AC2546" t="s">
        <v>310</v>
      </c>
      <c r="AD2546">
        <v>9</v>
      </c>
      <c r="AE2546" t="s">
        <v>1412</v>
      </c>
      <c r="AF2546">
        <v>10000000</v>
      </c>
      <c r="AG2546" t="s">
        <v>310</v>
      </c>
      <c r="AH2546">
        <f>SUM((MID(Dyno_Data[[#This Row],[Team]],4,5))+(Dyno_Data[[#This Row],[Match]]/100))</f>
        <v>3181.49</v>
      </c>
      <c r="AI2546" s="76">
        <f>ROUND(SUM(IF(Dyno_Data[[#This Row],[AcqCenter]]&gt;0,Dyno_Data[[#This Row],[Time]]-SUMIFS(Dyno_Data[Time],Dyno_Data[Team],Dyno_Data[[#This Row],[Team]],Dyno_Data[RecordType],"StartMatch",Dyno_Data[Match],Dyno_Data[[#This Row],[Match]]),0)*86400),0)</f>
        <v>0</v>
      </c>
    </row>
    <row r="2547" spans="1:35" x14ac:dyDescent="0.3">
      <c r="A2547">
        <v>2557</v>
      </c>
      <c r="B2547" t="s">
        <v>1282</v>
      </c>
      <c r="C2547">
        <v>49</v>
      </c>
      <c r="D2547" s="105">
        <v>45373.709713275464</v>
      </c>
      <c r="E2547" t="s">
        <v>308</v>
      </c>
      <c r="F2547" t="s">
        <v>309</v>
      </c>
      <c r="G2547">
        <v>0</v>
      </c>
      <c r="H2547" t="s">
        <v>310</v>
      </c>
      <c r="I2547">
        <v>0</v>
      </c>
      <c r="J2547">
        <v>0</v>
      </c>
      <c r="K2547">
        <v>0</v>
      </c>
      <c r="L2547" t="s">
        <v>310</v>
      </c>
      <c r="M2547" t="s">
        <v>310</v>
      </c>
      <c r="N2547">
        <v>0</v>
      </c>
      <c r="O2547" t="s">
        <v>1391</v>
      </c>
      <c r="P2547" t="s">
        <v>310</v>
      </c>
      <c r="Q2547" t="s">
        <v>310</v>
      </c>
      <c r="R2547" t="s">
        <v>310</v>
      </c>
      <c r="S2547">
        <v>9</v>
      </c>
      <c r="T2547" t="s">
        <v>310</v>
      </c>
      <c r="U2547">
        <v>9</v>
      </c>
      <c r="V2547">
        <v>9</v>
      </c>
      <c r="W2547">
        <v>0</v>
      </c>
      <c r="X2547">
        <v>0</v>
      </c>
      <c r="Y2547">
        <v>0</v>
      </c>
      <c r="Z2547">
        <v>0</v>
      </c>
      <c r="AA2547">
        <v>9</v>
      </c>
      <c r="AB2547">
        <v>9</v>
      </c>
      <c r="AC2547" t="s">
        <v>310</v>
      </c>
      <c r="AD2547">
        <v>9</v>
      </c>
      <c r="AE2547" t="s">
        <v>1418</v>
      </c>
      <c r="AF2547">
        <v>0</v>
      </c>
      <c r="AG2547" t="s">
        <v>310</v>
      </c>
      <c r="AH2547">
        <f>SUM((MID(Dyno_Data[[#This Row],[Team]],4,5))+(Dyno_Data[[#This Row],[Match]]/100))</f>
        <v>333.49</v>
      </c>
      <c r="AI2547" s="76">
        <f>ROUND(SUM(IF(Dyno_Data[[#This Row],[AcqCenter]]&gt;0,Dyno_Data[[#This Row],[Time]]-SUMIFS(Dyno_Data[Time],Dyno_Data[Team],Dyno_Data[[#This Row],[Team]],Dyno_Data[RecordType],"StartMatch",Dyno_Data[Match],Dyno_Data[[#This Row],[Match]]),0)*86400),0)</f>
        <v>0</v>
      </c>
    </row>
    <row r="2548" spans="1:35" x14ac:dyDescent="0.3">
      <c r="A2548">
        <v>2559</v>
      </c>
      <c r="B2548" t="s">
        <v>1308</v>
      </c>
      <c r="C2548">
        <v>49</v>
      </c>
      <c r="D2548" s="105">
        <v>45373.709720486113</v>
      </c>
      <c r="E2548" t="s">
        <v>308</v>
      </c>
      <c r="F2548" t="s">
        <v>309</v>
      </c>
      <c r="G2548">
        <v>0</v>
      </c>
      <c r="H2548" t="s">
        <v>310</v>
      </c>
      <c r="I2548">
        <v>0</v>
      </c>
      <c r="J2548">
        <v>0</v>
      </c>
      <c r="K2548">
        <v>0</v>
      </c>
      <c r="L2548" t="s">
        <v>310</v>
      </c>
      <c r="M2548" t="s">
        <v>310</v>
      </c>
      <c r="N2548">
        <v>0</v>
      </c>
      <c r="O2548" t="s">
        <v>1389</v>
      </c>
      <c r="P2548" t="s">
        <v>310</v>
      </c>
      <c r="Q2548" t="s">
        <v>310</v>
      </c>
      <c r="R2548" t="s">
        <v>310</v>
      </c>
      <c r="S2548">
        <v>9</v>
      </c>
      <c r="T2548" t="s">
        <v>310</v>
      </c>
      <c r="U2548">
        <v>9</v>
      </c>
      <c r="V2548">
        <v>9</v>
      </c>
      <c r="W2548">
        <v>0</v>
      </c>
      <c r="X2548">
        <v>0</v>
      </c>
      <c r="Y2548">
        <v>0</v>
      </c>
      <c r="Z2548">
        <v>0</v>
      </c>
      <c r="AA2548">
        <v>9</v>
      </c>
      <c r="AB2548">
        <v>9</v>
      </c>
      <c r="AC2548" t="s">
        <v>310</v>
      </c>
      <c r="AD2548">
        <v>9</v>
      </c>
      <c r="AE2548" t="s">
        <v>1414</v>
      </c>
      <c r="AF2548">
        <v>0</v>
      </c>
      <c r="AG2548" t="s">
        <v>310</v>
      </c>
      <c r="AH2548">
        <f>SUM((MID(Dyno_Data[[#This Row],[Team]],4,5))+(Dyno_Data[[#This Row],[Match]]/100))</f>
        <v>3799.49</v>
      </c>
      <c r="AI2548" s="76">
        <f>ROUND(SUM(IF(Dyno_Data[[#This Row],[AcqCenter]]&gt;0,Dyno_Data[[#This Row],[Time]]-SUMIFS(Dyno_Data[Time],Dyno_Data[Team],Dyno_Data[[#This Row],[Team]],Dyno_Data[RecordType],"StartMatch",Dyno_Data[Match],Dyno_Data[[#This Row],[Match]]),0)*86400),0)</f>
        <v>0</v>
      </c>
    </row>
    <row r="2549" spans="1:35" x14ac:dyDescent="0.3">
      <c r="A2549">
        <v>2561</v>
      </c>
      <c r="B2549" t="s">
        <v>1314</v>
      </c>
      <c r="C2549">
        <v>49</v>
      </c>
      <c r="D2549" s="105">
        <v>45373.709725497683</v>
      </c>
      <c r="E2549" t="s">
        <v>308</v>
      </c>
      <c r="F2549" t="s">
        <v>309</v>
      </c>
      <c r="G2549">
        <v>0</v>
      </c>
      <c r="H2549" t="s">
        <v>310</v>
      </c>
      <c r="I2549">
        <v>0</v>
      </c>
      <c r="J2549">
        <v>0</v>
      </c>
      <c r="K2549">
        <v>0</v>
      </c>
      <c r="L2549" t="s">
        <v>310</v>
      </c>
      <c r="M2549" t="s">
        <v>310</v>
      </c>
      <c r="N2549">
        <v>0</v>
      </c>
      <c r="O2549" t="s">
        <v>1393</v>
      </c>
      <c r="P2549" t="s">
        <v>310</v>
      </c>
      <c r="Q2549" t="s">
        <v>310</v>
      </c>
      <c r="R2549" t="s">
        <v>310</v>
      </c>
      <c r="S2549">
        <v>9</v>
      </c>
      <c r="T2549" t="s">
        <v>310</v>
      </c>
      <c r="U2549">
        <v>9</v>
      </c>
      <c r="V2549">
        <v>9</v>
      </c>
      <c r="W2549">
        <v>0</v>
      </c>
      <c r="X2549">
        <v>0</v>
      </c>
      <c r="Y2549">
        <v>0</v>
      </c>
      <c r="Z2549">
        <v>0</v>
      </c>
      <c r="AA2549">
        <v>9</v>
      </c>
      <c r="AB2549">
        <v>9</v>
      </c>
      <c r="AC2549" t="s">
        <v>310</v>
      </c>
      <c r="AD2549">
        <v>9</v>
      </c>
      <c r="AE2549" t="s">
        <v>1416</v>
      </c>
      <c r="AF2549">
        <v>0</v>
      </c>
      <c r="AG2549" t="s">
        <v>310</v>
      </c>
      <c r="AH2549">
        <f>SUM((MID(Dyno_Data[[#This Row],[Team]],4,5))+(Dyno_Data[[#This Row],[Match]]/100))</f>
        <v>3419.49</v>
      </c>
      <c r="AI2549" s="76">
        <f>ROUND(SUM(IF(Dyno_Data[[#This Row],[AcqCenter]]&gt;0,Dyno_Data[[#This Row],[Time]]-SUMIFS(Dyno_Data[Time],Dyno_Data[Team],Dyno_Data[[#This Row],[Team]],Dyno_Data[RecordType],"StartMatch",Dyno_Data[Match],Dyno_Data[[#This Row],[Match]]),0)*86400),0)</f>
        <v>0</v>
      </c>
    </row>
    <row r="2550" spans="1:35" x14ac:dyDescent="0.3">
      <c r="A2550">
        <v>2563</v>
      </c>
      <c r="B2550" t="s">
        <v>1279</v>
      </c>
      <c r="C2550">
        <v>49</v>
      </c>
      <c r="D2550" s="105">
        <v>45373.709726932873</v>
      </c>
      <c r="E2550" t="s">
        <v>308</v>
      </c>
      <c r="F2550" t="s">
        <v>309</v>
      </c>
      <c r="G2550">
        <v>0</v>
      </c>
      <c r="H2550" t="s">
        <v>310</v>
      </c>
      <c r="I2550">
        <v>0</v>
      </c>
      <c r="J2550">
        <v>0</v>
      </c>
      <c r="K2550">
        <v>0</v>
      </c>
      <c r="L2550" t="s">
        <v>310</v>
      </c>
      <c r="M2550" t="s">
        <v>310</v>
      </c>
      <c r="N2550">
        <v>0</v>
      </c>
      <c r="O2550" t="s">
        <v>319</v>
      </c>
      <c r="P2550" t="s">
        <v>310</v>
      </c>
      <c r="Q2550" t="s">
        <v>310</v>
      </c>
      <c r="R2550" t="s">
        <v>310</v>
      </c>
      <c r="S2550">
        <v>9</v>
      </c>
      <c r="T2550" t="s">
        <v>310</v>
      </c>
      <c r="U2550">
        <v>9</v>
      </c>
      <c r="V2550">
        <v>9</v>
      </c>
      <c r="W2550">
        <v>0</v>
      </c>
      <c r="X2550">
        <v>0</v>
      </c>
      <c r="Y2550">
        <v>0</v>
      </c>
      <c r="Z2550">
        <v>0</v>
      </c>
      <c r="AA2550">
        <v>9</v>
      </c>
      <c r="AB2550">
        <v>9</v>
      </c>
      <c r="AC2550" t="s">
        <v>310</v>
      </c>
      <c r="AD2550">
        <v>9</v>
      </c>
      <c r="AE2550" t="s">
        <v>1413</v>
      </c>
      <c r="AF2550">
        <v>0</v>
      </c>
      <c r="AG2550" t="s">
        <v>310</v>
      </c>
      <c r="AH2550">
        <f>SUM((MID(Dyno_Data[[#This Row],[Team]],4,5))+(Dyno_Data[[#This Row],[Match]]/100))</f>
        <v>5149.49</v>
      </c>
      <c r="AI2550" s="76">
        <f>ROUND(SUM(IF(Dyno_Data[[#This Row],[AcqCenter]]&gt;0,Dyno_Data[[#This Row],[Time]]-SUMIFS(Dyno_Data[Time],Dyno_Data[Team],Dyno_Data[[#This Row],[Team]],Dyno_Data[RecordType],"StartMatch",Dyno_Data[Match],Dyno_Data[[#This Row],[Match]]),0)*86400),0)</f>
        <v>0</v>
      </c>
    </row>
    <row r="2551" spans="1:35" x14ac:dyDescent="0.3">
      <c r="A2551">
        <v>2565</v>
      </c>
      <c r="B2551" t="s">
        <v>1306</v>
      </c>
      <c r="C2551">
        <v>49</v>
      </c>
      <c r="D2551" s="105">
        <v>45373.709731979165</v>
      </c>
      <c r="E2551" t="s">
        <v>308</v>
      </c>
      <c r="F2551" t="s">
        <v>309</v>
      </c>
      <c r="G2551">
        <v>0</v>
      </c>
      <c r="H2551" t="s">
        <v>310</v>
      </c>
      <c r="I2551">
        <v>0</v>
      </c>
      <c r="J2551">
        <v>0</v>
      </c>
      <c r="K2551">
        <v>0</v>
      </c>
      <c r="L2551" t="s">
        <v>310</v>
      </c>
      <c r="M2551" t="s">
        <v>310</v>
      </c>
      <c r="N2551">
        <v>0</v>
      </c>
      <c r="O2551" t="s">
        <v>1395</v>
      </c>
      <c r="P2551" t="s">
        <v>310</v>
      </c>
      <c r="Q2551" t="s">
        <v>310</v>
      </c>
      <c r="R2551" t="s">
        <v>310</v>
      </c>
      <c r="S2551">
        <v>9</v>
      </c>
      <c r="T2551" t="s">
        <v>310</v>
      </c>
      <c r="U2551">
        <v>9</v>
      </c>
      <c r="V2551">
        <v>9</v>
      </c>
      <c r="W2551">
        <v>0</v>
      </c>
      <c r="X2551">
        <v>0</v>
      </c>
      <c r="Y2551">
        <v>0</v>
      </c>
      <c r="Z2551">
        <v>0</v>
      </c>
      <c r="AA2551">
        <v>9</v>
      </c>
      <c r="AB2551">
        <v>9</v>
      </c>
      <c r="AC2551" t="s">
        <v>310</v>
      </c>
      <c r="AD2551">
        <v>9</v>
      </c>
      <c r="AE2551" t="s">
        <v>1417</v>
      </c>
      <c r="AF2551">
        <v>0</v>
      </c>
      <c r="AG2551" t="s">
        <v>310</v>
      </c>
      <c r="AH2551">
        <f>SUM((MID(Dyno_Data[[#This Row],[Team]],4,5))+(Dyno_Data[[#This Row],[Match]]/100))</f>
        <v>3986.49</v>
      </c>
      <c r="AI2551" s="76">
        <f>ROUND(SUM(IF(Dyno_Data[[#This Row],[AcqCenter]]&gt;0,Dyno_Data[[#This Row],[Time]]-SUMIFS(Dyno_Data[Time],Dyno_Data[Team],Dyno_Data[[#This Row],[Team]],Dyno_Data[RecordType],"StartMatch",Dyno_Data[Match],Dyno_Data[[#This Row],[Match]]),0)*86400),0)</f>
        <v>0</v>
      </c>
    </row>
    <row r="2552" spans="1:35" x14ac:dyDescent="0.3">
      <c r="A2552">
        <v>2545</v>
      </c>
      <c r="B2552" t="s">
        <v>1288</v>
      </c>
      <c r="C2552">
        <v>49</v>
      </c>
      <c r="D2552" s="105">
        <v>45373.709733333337</v>
      </c>
      <c r="E2552" t="s">
        <v>312</v>
      </c>
      <c r="F2552" t="s">
        <v>309</v>
      </c>
      <c r="G2552">
        <v>0</v>
      </c>
      <c r="H2552" t="s">
        <v>1397</v>
      </c>
      <c r="I2552">
        <v>0</v>
      </c>
      <c r="J2552">
        <v>0</v>
      </c>
      <c r="K2552">
        <v>0</v>
      </c>
      <c r="L2552" t="s">
        <v>240</v>
      </c>
      <c r="M2552" t="s">
        <v>1398</v>
      </c>
      <c r="N2552">
        <v>0</v>
      </c>
      <c r="O2552" t="s">
        <v>311</v>
      </c>
      <c r="P2552" t="s">
        <v>310</v>
      </c>
      <c r="Q2552" t="s">
        <v>310</v>
      </c>
      <c r="R2552" t="s">
        <v>310</v>
      </c>
      <c r="S2552">
        <v>9</v>
      </c>
      <c r="T2552" t="s">
        <v>310</v>
      </c>
      <c r="U2552">
        <v>9</v>
      </c>
      <c r="V2552">
        <v>9</v>
      </c>
      <c r="W2552">
        <v>0</v>
      </c>
      <c r="X2552">
        <v>0</v>
      </c>
      <c r="Y2552">
        <v>0</v>
      </c>
      <c r="Z2552">
        <v>0</v>
      </c>
      <c r="AA2552">
        <v>9</v>
      </c>
      <c r="AB2552">
        <v>9</v>
      </c>
      <c r="AC2552" t="s">
        <v>310</v>
      </c>
      <c r="AD2552">
        <v>9</v>
      </c>
      <c r="AE2552" t="s">
        <v>1412</v>
      </c>
      <c r="AF2552">
        <v>0</v>
      </c>
      <c r="AG2552" t="s">
        <v>310</v>
      </c>
      <c r="AH2552">
        <f>SUM((MID(Dyno_Data[[#This Row],[Team]],4,5))+(Dyno_Data[[#This Row],[Match]]/100))</f>
        <v>3181.49</v>
      </c>
      <c r="AI2552" s="76">
        <f>ROUND(SUM(IF(Dyno_Data[[#This Row],[AcqCenter]]&gt;0,Dyno_Data[[#This Row],[Time]]-SUMIFS(Dyno_Data[Time],Dyno_Data[Team],Dyno_Data[[#This Row],[Team]],Dyno_Data[RecordType],"StartMatch",Dyno_Data[Match],Dyno_Data[[#This Row],[Match]]),0)*86400),0)</f>
        <v>0</v>
      </c>
    </row>
    <row r="2553" spans="1:35" x14ac:dyDescent="0.3">
      <c r="A2553">
        <v>2546</v>
      </c>
      <c r="B2553" t="s">
        <v>1314</v>
      </c>
      <c r="C2553">
        <v>49</v>
      </c>
      <c r="D2553" s="105">
        <v>45373.709740659724</v>
      </c>
      <c r="E2553" t="s">
        <v>312</v>
      </c>
      <c r="F2553" t="s">
        <v>309</v>
      </c>
      <c r="G2553">
        <v>0</v>
      </c>
      <c r="H2553" t="s">
        <v>1397</v>
      </c>
      <c r="I2553">
        <v>0</v>
      </c>
      <c r="J2553">
        <v>0</v>
      </c>
      <c r="K2553">
        <v>0</v>
      </c>
      <c r="L2553" t="s">
        <v>313</v>
      </c>
      <c r="M2553" t="s">
        <v>1398</v>
      </c>
      <c r="N2553">
        <v>0</v>
      </c>
      <c r="O2553" t="s">
        <v>1393</v>
      </c>
      <c r="P2553" t="s">
        <v>310</v>
      </c>
      <c r="Q2553" t="s">
        <v>310</v>
      </c>
      <c r="R2553" t="s">
        <v>310</v>
      </c>
      <c r="S2553">
        <v>9</v>
      </c>
      <c r="T2553" t="s">
        <v>310</v>
      </c>
      <c r="U2553">
        <v>9</v>
      </c>
      <c r="V2553">
        <v>9</v>
      </c>
      <c r="W2553">
        <v>0</v>
      </c>
      <c r="X2553">
        <v>0</v>
      </c>
      <c r="Y2553">
        <v>0</v>
      </c>
      <c r="Z2553">
        <v>0</v>
      </c>
      <c r="AA2553">
        <v>9</v>
      </c>
      <c r="AB2553">
        <v>9</v>
      </c>
      <c r="AC2553" t="s">
        <v>310</v>
      </c>
      <c r="AD2553">
        <v>9</v>
      </c>
      <c r="AE2553" t="s">
        <v>1416</v>
      </c>
      <c r="AF2553">
        <v>0</v>
      </c>
      <c r="AG2553" t="s">
        <v>310</v>
      </c>
      <c r="AH2553">
        <f>SUM((MID(Dyno_Data[[#This Row],[Team]],4,5))+(Dyno_Data[[#This Row],[Match]]/100))</f>
        <v>3419.49</v>
      </c>
      <c r="AI2553" s="76">
        <f>ROUND(SUM(IF(Dyno_Data[[#This Row],[AcqCenter]]&gt;0,Dyno_Data[[#This Row],[Time]]-SUMIFS(Dyno_Data[Time],Dyno_Data[Team],Dyno_Data[[#This Row],[Team]],Dyno_Data[RecordType],"StartMatch",Dyno_Data[Match],Dyno_Data[[#This Row],[Match]]),0)*86400),0)</f>
        <v>0</v>
      </c>
    </row>
    <row r="2554" spans="1:35" x14ac:dyDescent="0.3">
      <c r="A2554">
        <v>2547</v>
      </c>
      <c r="B2554" t="s">
        <v>1308</v>
      </c>
      <c r="C2554">
        <v>49</v>
      </c>
      <c r="D2554" s="105">
        <v>45373.709764502317</v>
      </c>
      <c r="E2554" t="s">
        <v>312</v>
      </c>
      <c r="F2554" t="s">
        <v>309</v>
      </c>
      <c r="G2554">
        <v>0</v>
      </c>
      <c r="H2554" t="s">
        <v>1397</v>
      </c>
      <c r="I2554">
        <v>0</v>
      </c>
      <c r="J2554">
        <v>0</v>
      </c>
      <c r="K2554">
        <v>0</v>
      </c>
      <c r="L2554" t="s">
        <v>240</v>
      </c>
      <c r="M2554" t="s">
        <v>1398</v>
      </c>
      <c r="N2554">
        <v>1</v>
      </c>
      <c r="O2554" t="s">
        <v>1389</v>
      </c>
      <c r="P2554" t="s">
        <v>310</v>
      </c>
      <c r="Q2554" t="s">
        <v>310</v>
      </c>
      <c r="R2554" t="s">
        <v>310</v>
      </c>
      <c r="S2554">
        <v>9</v>
      </c>
      <c r="T2554" t="s">
        <v>310</v>
      </c>
      <c r="U2554">
        <v>9</v>
      </c>
      <c r="V2554">
        <v>9</v>
      </c>
      <c r="W2554">
        <v>0</v>
      </c>
      <c r="X2554">
        <v>0</v>
      </c>
      <c r="Y2554">
        <v>0</v>
      </c>
      <c r="Z2554">
        <v>0</v>
      </c>
      <c r="AA2554">
        <v>9</v>
      </c>
      <c r="AB2554">
        <v>9</v>
      </c>
      <c r="AC2554" t="s">
        <v>310</v>
      </c>
      <c r="AD2554">
        <v>9</v>
      </c>
      <c r="AE2554" t="s">
        <v>1414</v>
      </c>
      <c r="AF2554">
        <v>0</v>
      </c>
      <c r="AG2554" t="s">
        <v>310</v>
      </c>
      <c r="AH2554">
        <f>SUM((MID(Dyno_Data[[#This Row],[Team]],4,5))+(Dyno_Data[[#This Row],[Match]]/100))</f>
        <v>3799.49</v>
      </c>
      <c r="AI2554" s="76">
        <f>ROUND(SUM(IF(Dyno_Data[[#This Row],[AcqCenter]]&gt;0,Dyno_Data[[#This Row],[Time]]-SUMIFS(Dyno_Data[Time],Dyno_Data[Team],Dyno_Data[[#This Row],[Team]],Dyno_Data[RecordType],"StartMatch",Dyno_Data[Match],Dyno_Data[[#This Row],[Match]]),0)*86400),0)</f>
        <v>0</v>
      </c>
    </row>
    <row r="2555" spans="1:35" x14ac:dyDescent="0.3">
      <c r="A2555">
        <v>2548</v>
      </c>
      <c r="B2555" t="s">
        <v>1282</v>
      </c>
      <c r="C2555">
        <v>49</v>
      </c>
      <c r="D2555" s="105">
        <v>45373.709777465279</v>
      </c>
      <c r="E2555" t="s">
        <v>312</v>
      </c>
      <c r="F2555" t="s">
        <v>309</v>
      </c>
      <c r="G2555">
        <v>0</v>
      </c>
      <c r="H2555" t="s">
        <v>1397</v>
      </c>
      <c r="I2555">
        <v>0</v>
      </c>
      <c r="J2555">
        <v>0</v>
      </c>
      <c r="K2555">
        <v>0</v>
      </c>
      <c r="L2555" t="s">
        <v>240</v>
      </c>
      <c r="M2555" t="s">
        <v>1398</v>
      </c>
      <c r="N2555">
        <v>1</v>
      </c>
      <c r="O2555" t="s">
        <v>1391</v>
      </c>
      <c r="P2555" t="s">
        <v>310</v>
      </c>
      <c r="Q2555" t="s">
        <v>310</v>
      </c>
      <c r="R2555" t="s">
        <v>310</v>
      </c>
      <c r="S2555">
        <v>9</v>
      </c>
      <c r="T2555" t="s">
        <v>310</v>
      </c>
      <c r="U2555">
        <v>9</v>
      </c>
      <c r="V2555">
        <v>9</v>
      </c>
      <c r="W2555">
        <v>0</v>
      </c>
      <c r="X2555">
        <v>0</v>
      </c>
      <c r="Y2555">
        <v>0</v>
      </c>
      <c r="Z2555">
        <v>0</v>
      </c>
      <c r="AA2555">
        <v>9</v>
      </c>
      <c r="AB2555">
        <v>9</v>
      </c>
      <c r="AC2555" t="s">
        <v>310</v>
      </c>
      <c r="AD2555">
        <v>9</v>
      </c>
      <c r="AE2555" t="s">
        <v>1418</v>
      </c>
      <c r="AF2555">
        <v>0</v>
      </c>
      <c r="AG2555" t="s">
        <v>310</v>
      </c>
      <c r="AH2555">
        <f>SUM((MID(Dyno_Data[[#This Row],[Team]],4,5))+(Dyno_Data[[#This Row],[Match]]/100))</f>
        <v>333.49</v>
      </c>
      <c r="AI2555" s="76">
        <f>ROUND(SUM(IF(Dyno_Data[[#This Row],[AcqCenter]]&gt;0,Dyno_Data[[#This Row],[Time]]-SUMIFS(Dyno_Data[Time],Dyno_Data[Team],Dyno_Data[[#This Row],[Team]],Dyno_Data[RecordType],"StartMatch",Dyno_Data[Match],Dyno_Data[[#This Row],[Match]]),0)*86400),0)</f>
        <v>0</v>
      </c>
    </row>
    <row r="2556" spans="1:35" x14ac:dyDescent="0.3">
      <c r="A2556">
        <v>2549</v>
      </c>
      <c r="B2556" t="s">
        <v>1288</v>
      </c>
      <c r="C2556">
        <v>49</v>
      </c>
      <c r="D2556" s="105">
        <v>45373.709778900462</v>
      </c>
      <c r="E2556" t="s">
        <v>312</v>
      </c>
      <c r="F2556" t="s">
        <v>309</v>
      </c>
      <c r="G2556">
        <v>0</v>
      </c>
      <c r="H2556" t="s">
        <v>315</v>
      </c>
      <c r="I2556">
        <v>0</v>
      </c>
      <c r="J2556">
        <v>0</v>
      </c>
      <c r="K2556">
        <v>0</v>
      </c>
      <c r="L2556" t="s">
        <v>240</v>
      </c>
      <c r="M2556" t="s">
        <v>1398</v>
      </c>
      <c r="N2556">
        <v>0</v>
      </c>
      <c r="O2556" t="s">
        <v>311</v>
      </c>
      <c r="P2556" t="s">
        <v>310</v>
      </c>
      <c r="Q2556" t="s">
        <v>310</v>
      </c>
      <c r="R2556" t="s">
        <v>310</v>
      </c>
      <c r="S2556">
        <v>9</v>
      </c>
      <c r="T2556" t="s">
        <v>310</v>
      </c>
      <c r="U2556">
        <v>9</v>
      </c>
      <c r="V2556">
        <v>9</v>
      </c>
      <c r="W2556">
        <v>0</v>
      </c>
      <c r="X2556">
        <v>0</v>
      </c>
      <c r="Y2556">
        <v>0</v>
      </c>
      <c r="Z2556">
        <v>0</v>
      </c>
      <c r="AA2556">
        <v>9</v>
      </c>
      <c r="AB2556">
        <v>9</v>
      </c>
      <c r="AC2556" t="s">
        <v>310</v>
      </c>
      <c r="AD2556">
        <v>9</v>
      </c>
      <c r="AE2556" t="s">
        <v>1412</v>
      </c>
      <c r="AF2556">
        <v>10000000</v>
      </c>
      <c r="AG2556" t="s">
        <v>310</v>
      </c>
      <c r="AH2556">
        <f>SUM((MID(Dyno_Data[[#This Row],[Team]],4,5))+(Dyno_Data[[#This Row],[Match]]/100))</f>
        <v>3181.49</v>
      </c>
      <c r="AI2556" s="76">
        <f>ROUND(SUM(IF(Dyno_Data[[#This Row],[AcqCenter]]&gt;0,Dyno_Data[[#This Row],[Time]]-SUMIFS(Dyno_Data[Time],Dyno_Data[Team],Dyno_Data[[#This Row],[Team]],Dyno_Data[RecordType],"StartMatch",Dyno_Data[Match],Dyno_Data[[#This Row],[Match]]),0)*86400),0)</f>
        <v>0</v>
      </c>
    </row>
    <row r="2557" spans="1:35" x14ac:dyDescent="0.3">
      <c r="A2557">
        <v>2550</v>
      </c>
      <c r="B2557" t="s">
        <v>1279</v>
      </c>
      <c r="C2557">
        <v>49</v>
      </c>
      <c r="D2557" s="105">
        <v>45373.709783946761</v>
      </c>
      <c r="E2557" t="s">
        <v>312</v>
      </c>
      <c r="F2557" t="s">
        <v>309</v>
      </c>
      <c r="G2557">
        <v>0</v>
      </c>
      <c r="H2557" t="s">
        <v>1397</v>
      </c>
      <c r="I2557">
        <v>0</v>
      </c>
      <c r="J2557">
        <v>0</v>
      </c>
      <c r="K2557">
        <v>0</v>
      </c>
      <c r="L2557" t="s">
        <v>240</v>
      </c>
      <c r="M2557" t="s">
        <v>1398</v>
      </c>
      <c r="N2557">
        <v>0</v>
      </c>
      <c r="O2557" t="s">
        <v>319</v>
      </c>
      <c r="P2557" t="s">
        <v>310</v>
      </c>
      <c r="Q2557" t="s">
        <v>310</v>
      </c>
      <c r="R2557" t="s">
        <v>310</v>
      </c>
      <c r="S2557">
        <v>9</v>
      </c>
      <c r="T2557" t="s">
        <v>310</v>
      </c>
      <c r="U2557">
        <v>9</v>
      </c>
      <c r="V2557">
        <v>9</v>
      </c>
      <c r="W2557">
        <v>0</v>
      </c>
      <c r="X2557">
        <v>0</v>
      </c>
      <c r="Y2557">
        <v>0</v>
      </c>
      <c r="Z2557">
        <v>0</v>
      </c>
      <c r="AA2557">
        <v>9</v>
      </c>
      <c r="AB2557">
        <v>9</v>
      </c>
      <c r="AC2557" t="s">
        <v>310</v>
      </c>
      <c r="AD2557">
        <v>9</v>
      </c>
      <c r="AE2557" t="s">
        <v>1413</v>
      </c>
      <c r="AF2557">
        <v>0</v>
      </c>
      <c r="AG2557" t="s">
        <v>310</v>
      </c>
      <c r="AH2557">
        <f>SUM((MID(Dyno_Data[[#This Row],[Team]],4,5))+(Dyno_Data[[#This Row],[Match]]/100))</f>
        <v>5149.49</v>
      </c>
      <c r="AI2557" s="76">
        <f>ROUND(SUM(IF(Dyno_Data[[#This Row],[AcqCenter]]&gt;0,Dyno_Data[[#This Row],[Time]]-SUMIFS(Dyno_Data[Time],Dyno_Data[Team],Dyno_Data[[#This Row],[Team]],Dyno_Data[RecordType],"StartMatch",Dyno_Data[Match],Dyno_Data[[#This Row],[Match]]),0)*86400),0)</f>
        <v>0</v>
      </c>
    </row>
    <row r="2558" spans="1:35" x14ac:dyDescent="0.3">
      <c r="A2558">
        <v>2551</v>
      </c>
      <c r="B2558" t="s">
        <v>1306</v>
      </c>
      <c r="C2558">
        <v>49</v>
      </c>
      <c r="D2558" s="105">
        <v>45373.709804166669</v>
      </c>
      <c r="E2558" t="s">
        <v>312</v>
      </c>
      <c r="F2558" t="s">
        <v>309</v>
      </c>
      <c r="G2558">
        <v>0</v>
      </c>
      <c r="H2558" t="s">
        <v>1397</v>
      </c>
      <c r="I2558">
        <v>0</v>
      </c>
      <c r="J2558">
        <v>0</v>
      </c>
      <c r="K2558">
        <v>0</v>
      </c>
      <c r="L2558" t="s">
        <v>241</v>
      </c>
      <c r="M2558" t="s">
        <v>1398</v>
      </c>
      <c r="N2558">
        <v>0</v>
      </c>
      <c r="O2558" t="s">
        <v>1395</v>
      </c>
      <c r="P2558" t="s">
        <v>310</v>
      </c>
      <c r="Q2558" t="s">
        <v>310</v>
      </c>
      <c r="R2558" t="s">
        <v>310</v>
      </c>
      <c r="S2558">
        <v>9</v>
      </c>
      <c r="T2558" t="s">
        <v>310</v>
      </c>
      <c r="U2558">
        <v>9</v>
      </c>
      <c r="V2558">
        <v>9</v>
      </c>
      <c r="W2558">
        <v>0</v>
      </c>
      <c r="X2558">
        <v>0</v>
      </c>
      <c r="Y2558">
        <v>0</v>
      </c>
      <c r="Z2558">
        <v>0</v>
      </c>
      <c r="AA2558">
        <v>9</v>
      </c>
      <c r="AB2558">
        <v>9</v>
      </c>
      <c r="AC2558" t="s">
        <v>310</v>
      </c>
      <c r="AD2558">
        <v>9</v>
      </c>
      <c r="AE2558" t="s">
        <v>1417</v>
      </c>
      <c r="AF2558">
        <v>0</v>
      </c>
      <c r="AG2558" t="s">
        <v>310</v>
      </c>
      <c r="AH2558">
        <f>SUM((MID(Dyno_Data[[#This Row],[Team]],4,5))+(Dyno_Data[[#This Row],[Match]]/100))</f>
        <v>3986.49</v>
      </c>
      <c r="AI2558" s="76">
        <f>ROUND(SUM(IF(Dyno_Data[[#This Row],[AcqCenter]]&gt;0,Dyno_Data[[#This Row],[Time]]-SUMIFS(Dyno_Data[Time],Dyno_Data[Team],Dyno_Data[[#This Row],[Team]],Dyno_Data[RecordType],"StartMatch",Dyno_Data[Match],Dyno_Data[[#This Row],[Match]]),0)*86400),0)</f>
        <v>0</v>
      </c>
    </row>
    <row r="2559" spans="1:35" x14ac:dyDescent="0.3">
      <c r="A2559">
        <v>2552</v>
      </c>
      <c r="B2559" t="s">
        <v>1288</v>
      </c>
      <c r="C2559">
        <v>49</v>
      </c>
      <c r="D2559" s="105">
        <v>45373.709854085646</v>
      </c>
      <c r="E2559" t="s">
        <v>312</v>
      </c>
      <c r="F2559" t="s">
        <v>309</v>
      </c>
      <c r="G2559">
        <v>0</v>
      </c>
      <c r="H2559" t="s">
        <v>143</v>
      </c>
      <c r="I2559">
        <v>2</v>
      </c>
      <c r="J2559">
        <v>1</v>
      </c>
      <c r="K2559">
        <v>0</v>
      </c>
      <c r="L2559" t="s">
        <v>310</v>
      </c>
      <c r="M2559" t="s">
        <v>310</v>
      </c>
      <c r="N2559">
        <v>0</v>
      </c>
      <c r="O2559" t="s">
        <v>311</v>
      </c>
      <c r="P2559" t="s">
        <v>310</v>
      </c>
      <c r="Q2559" t="s">
        <v>310</v>
      </c>
      <c r="R2559" t="s">
        <v>310</v>
      </c>
      <c r="S2559">
        <v>9</v>
      </c>
      <c r="T2559" t="s">
        <v>310</v>
      </c>
      <c r="U2559">
        <v>9</v>
      </c>
      <c r="V2559">
        <v>9</v>
      </c>
      <c r="W2559">
        <v>0</v>
      </c>
      <c r="X2559">
        <v>0</v>
      </c>
      <c r="Y2559">
        <v>0</v>
      </c>
      <c r="Z2559">
        <v>0</v>
      </c>
      <c r="AA2559">
        <v>9</v>
      </c>
      <c r="AB2559">
        <v>9</v>
      </c>
      <c r="AC2559" t="s">
        <v>310</v>
      </c>
      <c r="AD2559">
        <v>9</v>
      </c>
      <c r="AE2559" t="s">
        <v>1412</v>
      </c>
      <c r="AF2559">
        <v>10000000</v>
      </c>
      <c r="AG2559" t="s">
        <v>310</v>
      </c>
      <c r="AH2559">
        <f>SUM((MID(Dyno_Data[[#This Row],[Team]],4,5))+(Dyno_Data[[#This Row],[Match]]/100))</f>
        <v>3181.49</v>
      </c>
      <c r="AI2559" s="76">
        <f>ROUND(SUM(IF(Dyno_Data[[#This Row],[AcqCenter]]&gt;0,Dyno_Data[[#This Row],[Time]]-SUMIFS(Dyno_Data[Time],Dyno_Data[Team],Dyno_Data[[#This Row],[Team]],Dyno_Data[RecordType],"StartMatch",Dyno_Data[Match],Dyno_Data[[#This Row],[Match]]),0)*86400),0)</f>
        <v>12</v>
      </c>
    </row>
    <row r="2560" spans="1:35" x14ac:dyDescent="0.3">
      <c r="A2560">
        <v>2553</v>
      </c>
      <c r="B2560" t="s">
        <v>1306</v>
      </c>
      <c r="C2560">
        <v>49</v>
      </c>
      <c r="D2560" s="105">
        <v>45373.709873842592</v>
      </c>
      <c r="E2560" t="s">
        <v>312</v>
      </c>
      <c r="F2560" t="s">
        <v>309</v>
      </c>
      <c r="G2560">
        <v>0</v>
      </c>
      <c r="H2560" t="s">
        <v>143</v>
      </c>
      <c r="I2560">
        <v>1</v>
      </c>
      <c r="J2560">
        <v>-1</v>
      </c>
      <c r="K2560">
        <v>0</v>
      </c>
      <c r="L2560" t="s">
        <v>310</v>
      </c>
      <c r="M2560" t="s">
        <v>310</v>
      </c>
      <c r="N2560">
        <v>0</v>
      </c>
      <c r="O2560" t="s">
        <v>1395</v>
      </c>
      <c r="P2560" t="s">
        <v>310</v>
      </c>
      <c r="Q2560" t="s">
        <v>310</v>
      </c>
      <c r="R2560" t="s">
        <v>310</v>
      </c>
      <c r="S2560">
        <v>9</v>
      </c>
      <c r="T2560" t="s">
        <v>310</v>
      </c>
      <c r="U2560">
        <v>9</v>
      </c>
      <c r="V2560">
        <v>9</v>
      </c>
      <c r="W2560">
        <v>0</v>
      </c>
      <c r="X2560">
        <v>0</v>
      </c>
      <c r="Y2560">
        <v>0</v>
      </c>
      <c r="Z2560">
        <v>0</v>
      </c>
      <c r="AA2560">
        <v>9</v>
      </c>
      <c r="AB2560">
        <v>9</v>
      </c>
      <c r="AC2560" t="s">
        <v>310</v>
      </c>
      <c r="AD2560">
        <v>9</v>
      </c>
      <c r="AE2560" t="s">
        <v>1417</v>
      </c>
      <c r="AF2560">
        <v>0</v>
      </c>
      <c r="AG2560" t="s">
        <v>310</v>
      </c>
      <c r="AH2560">
        <f>SUM((MID(Dyno_Data[[#This Row],[Team]],4,5))+(Dyno_Data[[#This Row],[Match]]/100))</f>
        <v>3986.49</v>
      </c>
      <c r="AI2560" s="76">
        <f>ROUND(SUM(IF(Dyno_Data[[#This Row],[AcqCenter]]&gt;0,Dyno_Data[[#This Row],[Time]]-SUMIFS(Dyno_Data[Time],Dyno_Data[Team],Dyno_Data[[#This Row],[Team]],Dyno_Data[RecordType],"StartMatch",Dyno_Data[Match],Dyno_Data[[#This Row],[Match]]),0)*86400),0)</f>
        <v>12</v>
      </c>
    </row>
    <row r="2561" spans="1:35" x14ac:dyDescent="0.3">
      <c r="A2561">
        <v>2554</v>
      </c>
      <c r="B2561" t="s">
        <v>1288</v>
      </c>
      <c r="C2561">
        <v>49</v>
      </c>
      <c r="D2561" s="105">
        <v>45373.709893368054</v>
      </c>
      <c r="E2561" t="s">
        <v>312</v>
      </c>
      <c r="F2561" t="s">
        <v>309</v>
      </c>
      <c r="G2561">
        <v>0</v>
      </c>
      <c r="H2561" t="s">
        <v>143</v>
      </c>
      <c r="I2561">
        <v>0</v>
      </c>
      <c r="J2561">
        <v>0</v>
      </c>
      <c r="K2561">
        <v>0</v>
      </c>
      <c r="L2561" t="s">
        <v>241</v>
      </c>
      <c r="M2561" t="s">
        <v>1398</v>
      </c>
      <c r="N2561">
        <v>0</v>
      </c>
      <c r="O2561" t="s">
        <v>311</v>
      </c>
      <c r="P2561" t="s">
        <v>310</v>
      </c>
      <c r="Q2561" t="s">
        <v>310</v>
      </c>
      <c r="R2561" t="s">
        <v>310</v>
      </c>
      <c r="S2561">
        <v>9</v>
      </c>
      <c r="T2561" t="s">
        <v>310</v>
      </c>
      <c r="U2561">
        <v>9</v>
      </c>
      <c r="V2561">
        <v>9</v>
      </c>
      <c r="W2561">
        <v>0</v>
      </c>
      <c r="X2561">
        <v>0</v>
      </c>
      <c r="Y2561">
        <v>0</v>
      </c>
      <c r="Z2561">
        <v>0</v>
      </c>
      <c r="AA2561">
        <v>9</v>
      </c>
      <c r="AB2561">
        <v>9</v>
      </c>
      <c r="AC2561" t="s">
        <v>310</v>
      </c>
      <c r="AD2561">
        <v>9</v>
      </c>
      <c r="AE2561" t="s">
        <v>1412</v>
      </c>
      <c r="AF2561">
        <v>10000000</v>
      </c>
      <c r="AG2561" t="s">
        <v>310</v>
      </c>
      <c r="AH2561">
        <f>SUM((MID(Dyno_Data[[#This Row],[Team]],4,5))+(Dyno_Data[[#This Row],[Match]]/100))</f>
        <v>3181.49</v>
      </c>
      <c r="AI2561" s="76">
        <f>ROUND(SUM(IF(Dyno_Data[[#This Row],[AcqCenter]]&gt;0,Dyno_Data[[#This Row],[Time]]-SUMIFS(Dyno_Data[Time],Dyno_Data[Team],Dyno_Data[[#This Row],[Team]],Dyno_Data[RecordType],"StartMatch",Dyno_Data[Match],Dyno_Data[[#This Row],[Match]]),0)*86400),0)</f>
        <v>0</v>
      </c>
    </row>
    <row r="2562" spans="1:35" x14ac:dyDescent="0.3">
      <c r="A2562">
        <v>2556</v>
      </c>
      <c r="B2562" t="s">
        <v>1288</v>
      </c>
      <c r="C2562">
        <v>49</v>
      </c>
      <c r="D2562" s="105">
        <v>45373.709918020832</v>
      </c>
      <c r="E2562" t="s">
        <v>314</v>
      </c>
      <c r="F2562" t="s">
        <v>309</v>
      </c>
      <c r="G2562">
        <v>1</v>
      </c>
      <c r="H2562" t="s">
        <v>310</v>
      </c>
      <c r="I2562">
        <v>0</v>
      </c>
      <c r="J2562">
        <v>0</v>
      </c>
      <c r="K2562">
        <v>0</v>
      </c>
      <c r="L2562" t="s">
        <v>310</v>
      </c>
      <c r="M2562" t="s">
        <v>310</v>
      </c>
      <c r="N2562">
        <v>0</v>
      </c>
      <c r="O2562" t="s">
        <v>311</v>
      </c>
      <c r="P2562" t="s">
        <v>1401</v>
      </c>
      <c r="Q2562" t="s">
        <v>1400</v>
      </c>
      <c r="R2562" t="s">
        <v>310</v>
      </c>
      <c r="S2562">
        <v>9</v>
      </c>
      <c r="T2562" t="s">
        <v>310</v>
      </c>
      <c r="U2562">
        <v>9</v>
      </c>
      <c r="V2562">
        <v>9</v>
      </c>
      <c r="W2562">
        <v>0</v>
      </c>
      <c r="X2562">
        <v>0</v>
      </c>
      <c r="Y2562">
        <v>0</v>
      </c>
      <c r="Z2562">
        <v>0</v>
      </c>
      <c r="AA2562">
        <v>9</v>
      </c>
      <c r="AB2562">
        <v>9</v>
      </c>
      <c r="AC2562" t="s">
        <v>310</v>
      </c>
      <c r="AD2562">
        <v>9</v>
      </c>
      <c r="AE2562" t="s">
        <v>1412</v>
      </c>
      <c r="AF2562">
        <v>10000000</v>
      </c>
      <c r="AG2562" t="s">
        <v>310</v>
      </c>
      <c r="AH2562">
        <f>SUM((MID(Dyno_Data[[#This Row],[Team]],4,5))+(Dyno_Data[[#This Row],[Match]]/100))</f>
        <v>3181.49</v>
      </c>
      <c r="AI2562" s="76">
        <f>ROUND(SUM(IF(Dyno_Data[[#This Row],[AcqCenter]]&gt;0,Dyno_Data[[#This Row],[Time]]-SUMIFS(Dyno_Data[Time],Dyno_Data[Team],Dyno_Data[[#This Row],[Team]],Dyno_Data[RecordType],"StartMatch",Dyno_Data[Match],Dyno_Data[[#This Row],[Match]]),0)*86400),0)</f>
        <v>0</v>
      </c>
    </row>
    <row r="2563" spans="1:35" x14ac:dyDescent="0.3">
      <c r="A2563">
        <v>2558</v>
      </c>
      <c r="B2563" t="s">
        <v>1282</v>
      </c>
      <c r="C2563">
        <v>49</v>
      </c>
      <c r="D2563" s="105">
        <v>45373.709921608795</v>
      </c>
      <c r="E2563" t="s">
        <v>314</v>
      </c>
      <c r="F2563" t="s">
        <v>309</v>
      </c>
      <c r="G2563">
        <v>0</v>
      </c>
      <c r="H2563" t="s">
        <v>310</v>
      </c>
      <c r="I2563">
        <v>0</v>
      </c>
      <c r="J2563">
        <v>0</v>
      </c>
      <c r="K2563">
        <v>0</v>
      </c>
      <c r="L2563" t="s">
        <v>310</v>
      </c>
      <c r="M2563" t="s">
        <v>310</v>
      </c>
      <c r="N2563">
        <v>0</v>
      </c>
      <c r="O2563" t="s">
        <v>1391</v>
      </c>
      <c r="P2563" t="s">
        <v>240</v>
      </c>
      <c r="Q2563" t="s">
        <v>1400</v>
      </c>
      <c r="R2563" t="s">
        <v>310</v>
      </c>
      <c r="S2563">
        <v>9</v>
      </c>
      <c r="T2563" t="s">
        <v>310</v>
      </c>
      <c r="U2563">
        <v>9</v>
      </c>
      <c r="V2563">
        <v>9</v>
      </c>
      <c r="W2563">
        <v>0</v>
      </c>
      <c r="X2563">
        <v>0</v>
      </c>
      <c r="Y2563">
        <v>0</v>
      </c>
      <c r="Z2563">
        <v>0</v>
      </c>
      <c r="AA2563">
        <v>9</v>
      </c>
      <c r="AB2563">
        <v>9</v>
      </c>
      <c r="AC2563" t="s">
        <v>310</v>
      </c>
      <c r="AD2563">
        <v>9</v>
      </c>
      <c r="AE2563" t="s">
        <v>1418</v>
      </c>
      <c r="AF2563">
        <v>0</v>
      </c>
      <c r="AG2563" t="s">
        <v>310</v>
      </c>
      <c r="AH2563">
        <f>SUM((MID(Dyno_Data[[#This Row],[Team]],4,5))+(Dyno_Data[[#This Row],[Match]]/100))</f>
        <v>333.49</v>
      </c>
      <c r="AI2563" s="76">
        <f>ROUND(SUM(IF(Dyno_Data[[#This Row],[AcqCenter]]&gt;0,Dyno_Data[[#This Row],[Time]]-SUMIFS(Dyno_Data[Time],Dyno_Data[Team],Dyno_Data[[#This Row],[Team]],Dyno_Data[RecordType],"StartMatch",Dyno_Data[Match],Dyno_Data[[#This Row],[Match]]),0)*86400),0)</f>
        <v>0</v>
      </c>
    </row>
    <row r="2564" spans="1:35" x14ac:dyDescent="0.3">
      <c r="A2564">
        <v>2560</v>
      </c>
      <c r="B2564" t="s">
        <v>1308</v>
      </c>
      <c r="C2564">
        <v>49</v>
      </c>
      <c r="D2564" s="105">
        <v>45373.709928819444</v>
      </c>
      <c r="E2564" t="s">
        <v>314</v>
      </c>
      <c r="F2564" t="s">
        <v>309</v>
      </c>
      <c r="G2564">
        <v>0</v>
      </c>
      <c r="H2564" t="s">
        <v>310</v>
      </c>
      <c r="I2564">
        <v>0</v>
      </c>
      <c r="J2564">
        <v>0</v>
      </c>
      <c r="K2564">
        <v>0</v>
      </c>
      <c r="L2564" t="s">
        <v>310</v>
      </c>
      <c r="M2564" t="s">
        <v>310</v>
      </c>
      <c r="N2564">
        <v>0</v>
      </c>
      <c r="O2564" t="s">
        <v>1389</v>
      </c>
      <c r="P2564" t="s">
        <v>101</v>
      </c>
      <c r="Q2564" t="s">
        <v>1399</v>
      </c>
      <c r="R2564" t="s">
        <v>310</v>
      </c>
      <c r="S2564">
        <v>9</v>
      </c>
      <c r="T2564" t="s">
        <v>310</v>
      </c>
      <c r="U2564">
        <v>9</v>
      </c>
      <c r="V2564">
        <v>9</v>
      </c>
      <c r="W2564">
        <v>0</v>
      </c>
      <c r="X2564">
        <v>0</v>
      </c>
      <c r="Y2564">
        <v>0</v>
      </c>
      <c r="Z2564">
        <v>0</v>
      </c>
      <c r="AA2564">
        <v>9</v>
      </c>
      <c r="AB2564">
        <v>9</v>
      </c>
      <c r="AC2564" t="s">
        <v>310</v>
      </c>
      <c r="AD2564">
        <v>9</v>
      </c>
      <c r="AE2564" t="s">
        <v>1414</v>
      </c>
      <c r="AF2564">
        <v>0</v>
      </c>
      <c r="AG2564" t="s">
        <v>310</v>
      </c>
      <c r="AH2564">
        <f>SUM((MID(Dyno_Data[[#This Row],[Team]],4,5))+(Dyno_Data[[#This Row],[Match]]/100))</f>
        <v>3799.49</v>
      </c>
      <c r="AI2564" s="76">
        <f>ROUND(SUM(IF(Dyno_Data[[#This Row],[AcqCenter]]&gt;0,Dyno_Data[[#This Row],[Time]]-SUMIFS(Dyno_Data[Time],Dyno_Data[Team],Dyno_Data[[#This Row],[Team]],Dyno_Data[RecordType],"StartMatch",Dyno_Data[Match],Dyno_Data[[#This Row],[Match]]),0)*86400),0)</f>
        <v>0</v>
      </c>
    </row>
    <row r="2565" spans="1:35" x14ac:dyDescent="0.3">
      <c r="A2565">
        <v>2562</v>
      </c>
      <c r="B2565" t="s">
        <v>1314</v>
      </c>
      <c r="C2565">
        <v>49</v>
      </c>
      <c r="D2565" s="105">
        <v>45373.709933831022</v>
      </c>
      <c r="E2565" t="s">
        <v>314</v>
      </c>
      <c r="F2565" t="s">
        <v>309</v>
      </c>
      <c r="G2565">
        <v>1</v>
      </c>
      <c r="H2565" t="s">
        <v>310</v>
      </c>
      <c r="I2565">
        <v>0</v>
      </c>
      <c r="J2565">
        <v>0</v>
      </c>
      <c r="K2565">
        <v>0</v>
      </c>
      <c r="L2565" t="s">
        <v>310</v>
      </c>
      <c r="M2565" t="s">
        <v>310</v>
      </c>
      <c r="N2565">
        <v>0</v>
      </c>
      <c r="O2565" t="s">
        <v>1393</v>
      </c>
      <c r="P2565" t="s">
        <v>1401</v>
      </c>
      <c r="Q2565" t="s">
        <v>1400</v>
      </c>
      <c r="R2565" t="s">
        <v>310</v>
      </c>
      <c r="S2565">
        <v>9</v>
      </c>
      <c r="T2565" t="s">
        <v>310</v>
      </c>
      <c r="U2565">
        <v>9</v>
      </c>
      <c r="V2565">
        <v>9</v>
      </c>
      <c r="W2565">
        <v>0</v>
      </c>
      <c r="X2565">
        <v>0</v>
      </c>
      <c r="Y2565">
        <v>0</v>
      </c>
      <c r="Z2565">
        <v>0</v>
      </c>
      <c r="AA2565">
        <v>9</v>
      </c>
      <c r="AB2565">
        <v>9</v>
      </c>
      <c r="AC2565" t="s">
        <v>310</v>
      </c>
      <c r="AD2565">
        <v>9</v>
      </c>
      <c r="AE2565" t="s">
        <v>1416</v>
      </c>
      <c r="AF2565">
        <v>0</v>
      </c>
      <c r="AG2565" t="s">
        <v>310</v>
      </c>
      <c r="AH2565">
        <f>SUM((MID(Dyno_Data[[#This Row],[Team]],4,5))+(Dyno_Data[[#This Row],[Match]]/100))</f>
        <v>3419.49</v>
      </c>
      <c r="AI2565" s="76">
        <f>ROUND(SUM(IF(Dyno_Data[[#This Row],[AcqCenter]]&gt;0,Dyno_Data[[#This Row],[Time]]-SUMIFS(Dyno_Data[Time],Dyno_Data[Team],Dyno_Data[[#This Row],[Team]],Dyno_Data[RecordType],"StartMatch",Dyno_Data[Match],Dyno_Data[[#This Row],[Match]]),0)*86400),0)</f>
        <v>0</v>
      </c>
    </row>
    <row r="2566" spans="1:35" x14ac:dyDescent="0.3">
      <c r="A2566">
        <v>2564</v>
      </c>
      <c r="B2566" t="s">
        <v>1279</v>
      </c>
      <c r="C2566">
        <v>49</v>
      </c>
      <c r="D2566" s="105">
        <v>45373.709935266204</v>
      </c>
      <c r="E2566" t="s">
        <v>314</v>
      </c>
      <c r="F2566" t="s">
        <v>309</v>
      </c>
      <c r="G2566">
        <v>1</v>
      </c>
      <c r="H2566" t="s">
        <v>310</v>
      </c>
      <c r="I2566">
        <v>0</v>
      </c>
      <c r="J2566">
        <v>0</v>
      </c>
      <c r="K2566">
        <v>0</v>
      </c>
      <c r="L2566" t="s">
        <v>310</v>
      </c>
      <c r="M2566" t="s">
        <v>310</v>
      </c>
      <c r="N2566">
        <v>0</v>
      </c>
      <c r="O2566" t="s">
        <v>319</v>
      </c>
      <c r="P2566" t="s">
        <v>101</v>
      </c>
      <c r="Q2566" t="s">
        <v>1399</v>
      </c>
      <c r="R2566" t="s">
        <v>310</v>
      </c>
      <c r="S2566">
        <v>9</v>
      </c>
      <c r="T2566" t="s">
        <v>310</v>
      </c>
      <c r="U2566">
        <v>9</v>
      </c>
      <c r="V2566">
        <v>9</v>
      </c>
      <c r="W2566">
        <v>0</v>
      </c>
      <c r="X2566">
        <v>0</v>
      </c>
      <c r="Y2566">
        <v>0</v>
      </c>
      <c r="Z2566">
        <v>0</v>
      </c>
      <c r="AA2566">
        <v>9</v>
      </c>
      <c r="AB2566">
        <v>9</v>
      </c>
      <c r="AC2566" t="s">
        <v>310</v>
      </c>
      <c r="AD2566">
        <v>9</v>
      </c>
      <c r="AE2566" t="s">
        <v>1413</v>
      </c>
      <c r="AF2566">
        <v>0</v>
      </c>
      <c r="AG2566" t="s">
        <v>310</v>
      </c>
      <c r="AH2566">
        <f>SUM((MID(Dyno_Data[[#This Row],[Team]],4,5))+(Dyno_Data[[#This Row],[Match]]/100))</f>
        <v>5149.49</v>
      </c>
      <c r="AI2566" s="76">
        <f>ROUND(SUM(IF(Dyno_Data[[#This Row],[AcqCenter]]&gt;0,Dyno_Data[[#This Row],[Time]]-SUMIFS(Dyno_Data[Time],Dyno_Data[Team],Dyno_Data[[#This Row],[Team]],Dyno_Data[RecordType],"StartMatch",Dyno_Data[Match],Dyno_Data[[#This Row],[Match]]),0)*86400),0)</f>
        <v>0</v>
      </c>
    </row>
    <row r="2567" spans="1:35" x14ac:dyDescent="0.3">
      <c r="A2567">
        <v>2566</v>
      </c>
      <c r="B2567" t="s">
        <v>1306</v>
      </c>
      <c r="C2567">
        <v>49</v>
      </c>
      <c r="D2567" s="105">
        <v>45373.709940312503</v>
      </c>
      <c r="E2567" t="s">
        <v>314</v>
      </c>
      <c r="F2567" t="s">
        <v>309</v>
      </c>
      <c r="G2567">
        <v>1</v>
      </c>
      <c r="H2567" t="s">
        <v>310</v>
      </c>
      <c r="I2567">
        <v>0</v>
      </c>
      <c r="J2567">
        <v>0</v>
      </c>
      <c r="K2567">
        <v>0</v>
      </c>
      <c r="L2567" t="s">
        <v>310</v>
      </c>
      <c r="M2567" t="s">
        <v>310</v>
      </c>
      <c r="N2567">
        <v>0</v>
      </c>
      <c r="O2567" t="s">
        <v>1395</v>
      </c>
      <c r="P2567" t="s">
        <v>320</v>
      </c>
      <c r="Q2567" t="s">
        <v>1400</v>
      </c>
      <c r="R2567" t="s">
        <v>310</v>
      </c>
      <c r="S2567">
        <v>9</v>
      </c>
      <c r="T2567" t="s">
        <v>310</v>
      </c>
      <c r="U2567">
        <v>9</v>
      </c>
      <c r="V2567">
        <v>9</v>
      </c>
      <c r="W2567">
        <v>0</v>
      </c>
      <c r="X2567">
        <v>0</v>
      </c>
      <c r="Y2567">
        <v>0</v>
      </c>
      <c r="Z2567">
        <v>0</v>
      </c>
      <c r="AA2567">
        <v>9</v>
      </c>
      <c r="AB2567">
        <v>9</v>
      </c>
      <c r="AC2567" t="s">
        <v>310</v>
      </c>
      <c r="AD2567">
        <v>9</v>
      </c>
      <c r="AE2567" t="s">
        <v>1417</v>
      </c>
      <c r="AF2567">
        <v>0</v>
      </c>
      <c r="AG2567" t="s">
        <v>310</v>
      </c>
      <c r="AH2567">
        <f>SUM((MID(Dyno_Data[[#This Row],[Team]],4,5))+(Dyno_Data[[#This Row],[Match]]/100))</f>
        <v>3986.49</v>
      </c>
      <c r="AI2567" s="76">
        <f>ROUND(SUM(IF(Dyno_Data[[#This Row],[AcqCenter]]&gt;0,Dyno_Data[[#This Row],[Time]]-SUMIFS(Dyno_Data[Time],Dyno_Data[Team],Dyno_Data[[#This Row],[Team]],Dyno_Data[RecordType],"StartMatch",Dyno_Data[Match],Dyno_Data[[#This Row],[Match]]),0)*86400),0)</f>
        <v>0</v>
      </c>
    </row>
    <row r="2568" spans="1:35" x14ac:dyDescent="0.3">
      <c r="A2568">
        <v>2567</v>
      </c>
      <c r="B2568" t="s">
        <v>1279</v>
      </c>
      <c r="C2568">
        <v>49</v>
      </c>
      <c r="D2568" s="105">
        <v>45373.709967129631</v>
      </c>
      <c r="E2568" t="s">
        <v>312</v>
      </c>
      <c r="F2568" t="s">
        <v>1402</v>
      </c>
      <c r="G2568">
        <v>0</v>
      </c>
      <c r="H2568" t="s">
        <v>315</v>
      </c>
      <c r="I2568">
        <v>0</v>
      </c>
      <c r="J2568">
        <v>0</v>
      </c>
      <c r="K2568">
        <v>0</v>
      </c>
      <c r="L2568" t="s">
        <v>240</v>
      </c>
      <c r="M2568" t="s">
        <v>1398</v>
      </c>
      <c r="N2568">
        <v>1</v>
      </c>
      <c r="O2568" t="s">
        <v>319</v>
      </c>
      <c r="P2568" t="s">
        <v>310</v>
      </c>
      <c r="Q2568" t="s">
        <v>310</v>
      </c>
      <c r="R2568" t="s">
        <v>310</v>
      </c>
      <c r="S2568">
        <v>9</v>
      </c>
      <c r="T2568" t="s">
        <v>310</v>
      </c>
      <c r="U2568">
        <v>9</v>
      </c>
      <c r="V2568">
        <v>9</v>
      </c>
      <c r="W2568">
        <v>0</v>
      </c>
      <c r="X2568">
        <v>0</v>
      </c>
      <c r="Y2568">
        <v>0</v>
      </c>
      <c r="Z2568">
        <v>0</v>
      </c>
      <c r="AA2568">
        <v>9</v>
      </c>
      <c r="AB2568">
        <v>9</v>
      </c>
      <c r="AC2568" t="s">
        <v>310</v>
      </c>
      <c r="AD2568">
        <v>9</v>
      </c>
      <c r="AE2568" t="s">
        <v>1413</v>
      </c>
      <c r="AF2568">
        <v>10000000</v>
      </c>
      <c r="AG2568" t="s">
        <v>310</v>
      </c>
      <c r="AH2568">
        <f>SUM((MID(Dyno_Data[[#This Row],[Team]],4,5))+(Dyno_Data[[#This Row],[Match]]/100))</f>
        <v>5149.49</v>
      </c>
      <c r="AI2568" s="76">
        <f>ROUND(SUM(IF(Dyno_Data[[#This Row],[AcqCenter]]&gt;0,Dyno_Data[[#This Row],[Time]]-SUMIFS(Dyno_Data[Time],Dyno_Data[Team],Dyno_Data[[#This Row],[Team]],Dyno_Data[RecordType],"StartMatch",Dyno_Data[Match],Dyno_Data[[#This Row],[Match]]),0)*86400),0)</f>
        <v>0</v>
      </c>
    </row>
    <row r="2569" spans="1:35" x14ac:dyDescent="0.3">
      <c r="A2569">
        <v>2568</v>
      </c>
      <c r="B2569" t="s">
        <v>1282</v>
      </c>
      <c r="C2569">
        <v>49</v>
      </c>
      <c r="D2569" s="105">
        <v>45373.709996909725</v>
      </c>
      <c r="E2569" t="s">
        <v>312</v>
      </c>
      <c r="F2569" t="s">
        <v>1402</v>
      </c>
      <c r="G2569">
        <v>0</v>
      </c>
      <c r="H2569" t="s">
        <v>315</v>
      </c>
      <c r="I2569">
        <v>0</v>
      </c>
      <c r="J2569">
        <v>0</v>
      </c>
      <c r="K2569">
        <v>0</v>
      </c>
      <c r="L2569" t="s">
        <v>240</v>
      </c>
      <c r="M2569" t="s">
        <v>1398</v>
      </c>
      <c r="N2569">
        <v>1</v>
      </c>
      <c r="O2569" t="s">
        <v>1391</v>
      </c>
      <c r="P2569" t="s">
        <v>310</v>
      </c>
      <c r="Q2569" t="s">
        <v>310</v>
      </c>
      <c r="R2569" t="s">
        <v>310</v>
      </c>
      <c r="S2569">
        <v>9</v>
      </c>
      <c r="T2569" t="s">
        <v>310</v>
      </c>
      <c r="U2569">
        <v>9</v>
      </c>
      <c r="V2569">
        <v>9</v>
      </c>
      <c r="W2569">
        <v>0</v>
      </c>
      <c r="X2569">
        <v>0</v>
      </c>
      <c r="Y2569">
        <v>0</v>
      </c>
      <c r="Z2569">
        <v>0</v>
      </c>
      <c r="AA2569">
        <v>9</v>
      </c>
      <c r="AB2569">
        <v>9</v>
      </c>
      <c r="AC2569" t="s">
        <v>310</v>
      </c>
      <c r="AD2569">
        <v>9</v>
      </c>
      <c r="AE2569" t="s">
        <v>1418</v>
      </c>
      <c r="AF2569">
        <v>10000000</v>
      </c>
      <c r="AG2569" t="s">
        <v>310</v>
      </c>
      <c r="AH2569">
        <f>SUM((MID(Dyno_Data[[#This Row],[Team]],4,5))+(Dyno_Data[[#This Row],[Match]]/100))</f>
        <v>333.49</v>
      </c>
      <c r="AI2569" s="76">
        <f>ROUND(SUM(IF(Dyno_Data[[#This Row],[AcqCenter]]&gt;0,Dyno_Data[[#This Row],[Time]]-SUMIFS(Dyno_Data[Time],Dyno_Data[Team],Dyno_Data[[#This Row],[Team]],Dyno_Data[RecordType],"StartMatch",Dyno_Data[Match],Dyno_Data[[#This Row],[Match]]),0)*86400),0)</f>
        <v>0</v>
      </c>
    </row>
    <row r="2570" spans="1:35" x14ac:dyDescent="0.3">
      <c r="A2570">
        <v>2569</v>
      </c>
      <c r="B2570" t="s">
        <v>1314</v>
      </c>
      <c r="C2570">
        <v>49</v>
      </c>
      <c r="D2570" s="105">
        <v>45373.710014965276</v>
      </c>
      <c r="E2570" t="s">
        <v>312</v>
      </c>
      <c r="F2570" t="s">
        <v>1402</v>
      </c>
      <c r="G2570">
        <v>0</v>
      </c>
      <c r="H2570" t="s">
        <v>315</v>
      </c>
      <c r="I2570">
        <v>0</v>
      </c>
      <c r="J2570">
        <v>0</v>
      </c>
      <c r="K2570">
        <v>0</v>
      </c>
      <c r="L2570" t="s">
        <v>241</v>
      </c>
      <c r="M2570" t="s">
        <v>101</v>
      </c>
      <c r="N2570">
        <v>0</v>
      </c>
      <c r="O2570" t="s">
        <v>1393</v>
      </c>
      <c r="P2570" t="s">
        <v>310</v>
      </c>
      <c r="Q2570" t="s">
        <v>310</v>
      </c>
      <c r="R2570" t="s">
        <v>310</v>
      </c>
      <c r="S2570">
        <v>9</v>
      </c>
      <c r="T2570" t="s">
        <v>310</v>
      </c>
      <c r="U2570">
        <v>9</v>
      </c>
      <c r="V2570">
        <v>9</v>
      </c>
      <c r="W2570">
        <v>0</v>
      </c>
      <c r="X2570">
        <v>0</v>
      </c>
      <c r="Y2570">
        <v>0</v>
      </c>
      <c r="Z2570">
        <v>0</v>
      </c>
      <c r="AA2570">
        <v>9</v>
      </c>
      <c r="AB2570">
        <v>9</v>
      </c>
      <c r="AC2570" t="s">
        <v>310</v>
      </c>
      <c r="AD2570">
        <v>9</v>
      </c>
      <c r="AE2570" t="s">
        <v>1416</v>
      </c>
      <c r="AF2570">
        <v>10000000</v>
      </c>
      <c r="AG2570" t="s">
        <v>310</v>
      </c>
      <c r="AH2570">
        <f>SUM((MID(Dyno_Data[[#This Row],[Team]],4,5))+(Dyno_Data[[#This Row],[Match]]/100))</f>
        <v>3419.49</v>
      </c>
      <c r="AI2570" s="76">
        <f>ROUND(SUM(IF(Dyno_Data[[#This Row],[AcqCenter]]&gt;0,Dyno_Data[[#This Row],[Time]]-SUMIFS(Dyno_Data[Time],Dyno_Data[Team],Dyno_Data[[#This Row],[Team]],Dyno_Data[RecordType],"StartMatch",Dyno_Data[Match],Dyno_Data[[#This Row],[Match]]),0)*86400),0)</f>
        <v>0</v>
      </c>
    </row>
    <row r="2571" spans="1:35" x14ac:dyDescent="0.3">
      <c r="A2571">
        <v>2570</v>
      </c>
      <c r="B2571" t="s">
        <v>1308</v>
      </c>
      <c r="C2571">
        <v>49</v>
      </c>
      <c r="D2571" s="105">
        <v>45373.710033020834</v>
      </c>
      <c r="E2571" t="s">
        <v>312</v>
      </c>
      <c r="F2571" t="s">
        <v>1402</v>
      </c>
      <c r="G2571">
        <v>0</v>
      </c>
      <c r="H2571" t="s">
        <v>315</v>
      </c>
      <c r="I2571">
        <v>0</v>
      </c>
      <c r="J2571">
        <v>0</v>
      </c>
      <c r="K2571">
        <v>0</v>
      </c>
      <c r="L2571" t="s">
        <v>241</v>
      </c>
      <c r="M2571" t="s">
        <v>101</v>
      </c>
      <c r="N2571">
        <v>0</v>
      </c>
      <c r="O2571" t="s">
        <v>1389</v>
      </c>
      <c r="P2571" t="s">
        <v>310</v>
      </c>
      <c r="Q2571" t="s">
        <v>310</v>
      </c>
      <c r="R2571" t="s">
        <v>310</v>
      </c>
      <c r="S2571">
        <v>9</v>
      </c>
      <c r="T2571" t="s">
        <v>310</v>
      </c>
      <c r="U2571">
        <v>9</v>
      </c>
      <c r="V2571">
        <v>9</v>
      </c>
      <c r="W2571">
        <v>0</v>
      </c>
      <c r="X2571">
        <v>0</v>
      </c>
      <c r="Y2571">
        <v>0</v>
      </c>
      <c r="Z2571">
        <v>0</v>
      </c>
      <c r="AA2571">
        <v>9</v>
      </c>
      <c r="AB2571">
        <v>9</v>
      </c>
      <c r="AC2571" t="s">
        <v>310</v>
      </c>
      <c r="AD2571">
        <v>9</v>
      </c>
      <c r="AE2571" t="s">
        <v>1414</v>
      </c>
      <c r="AF2571">
        <v>10000000</v>
      </c>
      <c r="AG2571" t="s">
        <v>310</v>
      </c>
      <c r="AH2571">
        <f>SUM((MID(Dyno_Data[[#This Row],[Team]],4,5))+(Dyno_Data[[#This Row],[Match]]/100))</f>
        <v>3799.49</v>
      </c>
      <c r="AI2571" s="76">
        <f>ROUND(SUM(IF(Dyno_Data[[#This Row],[AcqCenter]]&gt;0,Dyno_Data[[#This Row],[Time]]-SUMIFS(Dyno_Data[Time],Dyno_Data[Team],Dyno_Data[[#This Row],[Team]],Dyno_Data[RecordType],"StartMatch",Dyno_Data[Match],Dyno_Data[[#This Row],[Match]]),0)*86400),0)</f>
        <v>0</v>
      </c>
    </row>
    <row r="2572" spans="1:35" x14ac:dyDescent="0.3">
      <c r="A2572">
        <v>2571</v>
      </c>
      <c r="B2572" t="s">
        <v>1308</v>
      </c>
      <c r="C2572">
        <v>49</v>
      </c>
      <c r="D2572" s="105">
        <v>45373.710047418979</v>
      </c>
      <c r="E2572" t="s">
        <v>312</v>
      </c>
      <c r="F2572" t="s">
        <v>1402</v>
      </c>
      <c r="G2572">
        <v>0</v>
      </c>
      <c r="H2572" t="s">
        <v>315</v>
      </c>
      <c r="I2572">
        <v>0</v>
      </c>
      <c r="J2572">
        <v>0</v>
      </c>
      <c r="K2572">
        <v>0</v>
      </c>
      <c r="L2572" t="s">
        <v>241</v>
      </c>
      <c r="M2572" t="s">
        <v>1398</v>
      </c>
      <c r="N2572">
        <v>0</v>
      </c>
      <c r="O2572" t="s">
        <v>1389</v>
      </c>
      <c r="P2572" t="s">
        <v>310</v>
      </c>
      <c r="Q2572" t="s">
        <v>310</v>
      </c>
      <c r="R2572" t="s">
        <v>310</v>
      </c>
      <c r="S2572">
        <v>9</v>
      </c>
      <c r="T2572" t="s">
        <v>310</v>
      </c>
      <c r="U2572">
        <v>9</v>
      </c>
      <c r="V2572">
        <v>9</v>
      </c>
      <c r="W2572">
        <v>0</v>
      </c>
      <c r="X2572">
        <v>0</v>
      </c>
      <c r="Y2572">
        <v>0</v>
      </c>
      <c r="Z2572">
        <v>0</v>
      </c>
      <c r="AA2572">
        <v>9</v>
      </c>
      <c r="AB2572">
        <v>9</v>
      </c>
      <c r="AC2572" t="s">
        <v>310</v>
      </c>
      <c r="AD2572">
        <v>9</v>
      </c>
      <c r="AE2572" t="s">
        <v>1414</v>
      </c>
      <c r="AF2572">
        <v>20000000</v>
      </c>
      <c r="AG2572" t="s">
        <v>310</v>
      </c>
      <c r="AH2572">
        <f>SUM((MID(Dyno_Data[[#This Row],[Team]],4,5))+(Dyno_Data[[#This Row],[Match]]/100))</f>
        <v>3799.49</v>
      </c>
      <c r="AI2572" s="76">
        <f>ROUND(SUM(IF(Dyno_Data[[#This Row],[AcqCenter]]&gt;0,Dyno_Data[[#This Row],[Time]]-SUMIFS(Dyno_Data[Time],Dyno_Data[Team],Dyno_Data[[#This Row],[Team]],Dyno_Data[RecordType],"StartMatch",Dyno_Data[Match],Dyno_Data[[#This Row],[Match]]),0)*86400),0)</f>
        <v>0</v>
      </c>
    </row>
    <row r="2573" spans="1:35" x14ac:dyDescent="0.3">
      <c r="A2573">
        <v>2572</v>
      </c>
      <c r="B2573" t="s">
        <v>1288</v>
      </c>
      <c r="C2573">
        <v>49</v>
      </c>
      <c r="D2573" s="105">
        <v>45373.710062002312</v>
      </c>
      <c r="E2573" t="s">
        <v>312</v>
      </c>
      <c r="F2573" t="s">
        <v>1402</v>
      </c>
      <c r="G2573">
        <v>0</v>
      </c>
      <c r="H2573" t="s">
        <v>315</v>
      </c>
      <c r="I2573">
        <v>0</v>
      </c>
      <c r="J2573">
        <v>0</v>
      </c>
      <c r="K2573">
        <v>0</v>
      </c>
      <c r="L2573" t="s">
        <v>241</v>
      </c>
      <c r="M2573" t="s">
        <v>1398</v>
      </c>
      <c r="N2573">
        <v>0</v>
      </c>
      <c r="O2573" t="s">
        <v>311</v>
      </c>
      <c r="P2573" t="s">
        <v>310</v>
      </c>
      <c r="Q2573" t="s">
        <v>310</v>
      </c>
      <c r="R2573" t="s">
        <v>310</v>
      </c>
      <c r="S2573">
        <v>9</v>
      </c>
      <c r="T2573" t="s">
        <v>310</v>
      </c>
      <c r="U2573">
        <v>9</v>
      </c>
      <c r="V2573">
        <v>9</v>
      </c>
      <c r="W2573">
        <v>0</v>
      </c>
      <c r="X2573">
        <v>0</v>
      </c>
      <c r="Y2573">
        <v>0</v>
      </c>
      <c r="Z2573">
        <v>0</v>
      </c>
      <c r="AA2573">
        <v>9</v>
      </c>
      <c r="AB2573">
        <v>9</v>
      </c>
      <c r="AC2573" t="s">
        <v>310</v>
      </c>
      <c r="AD2573">
        <v>9</v>
      </c>
      <c r="AE2573" t="s">
        <v>1412</v>
      </c>
      <c r="AF2573">
        <v>20000000</v>
      </c>
      <c r="AG2573" t="s">
        <v>310</v>
      </c>
      <c r="AH2573">
        <f>SUM((MID(Dyno_Data[[#This Row],[Team]],4,5))+(Dyno_Data[[#This Row],[Match]]/100))</f>
        <v>3181.49</v>
      </c>
      <c r="AI2573" s="76">
        <f>ROUND(SUM(IF(Dyno_Data[[#This Row],[AcqCenter]]&gt;0,Dyno_Data[[#This Row],[Time]]-SUMIFS(Dyno_Data[Time],Dyno_Data[Team],Dyno_Data[[#This Row],[Team]],Dyno_Data[RecordType],"StartMatch",Dyno_Data[Match],Dyno_Data[[#This Row],[Match]]),0)*86400),0)</f>
        <v>0</v>
      </c>
    </row>
    <row r="2574" spans="1:35" x14ac:dyDescent="0.3">
      <c r="A2574">
        <v>2573</v>
      </c>
      <c r="B2574" t="s">
        <v>1288</v>
      </c>
      <c r="C2574">
        <v>49</v>
      </c>
      <c r="D2574" s="105">
        <v>45373.710133020832</v>
      </c>
      <c r="E2574" t="s">
        <v>312</v>
      </c>
      <c r="F2574" t="s">
        <v>1402</v>
      </c>
      <c r="G2574">
        <v>0</v>
      </c>
      <c r="H2574" t="s">
        <v>315</v>
      </c>
      <c r="I2574">
        <v>0</v>
      </c>
      <c r="J2574">
        <v>0</v>
      </c>
      <c r="K2574">
        <v>0</v>
      </c>
      <c r="L2574" t="s">
        <v>241</v>
      </c>
      <c r="M2574" t="s">
        <v>1398</v>
      </c>
      <c r="N2574">
        <v>0</v>
      </c>
      <c r="O2574" t="s">
        <v>311</v>
      </c>
      <c r="P2574" t="s">
        <v>310</v>
      </c>
      <c r="Q2574" t="s">
        <v>310</v>
      </c>
      <c r="R2574" t="s">
        <v>310</v>
      </c>
      <c r="S2574">
        <v>9</v>
      </c>
      <c r="T2574" t="s">
        <v>310</v>
      </c>
      <c r="U2574">
        <v>9</v>
      </c>
      <c r="V2574">
        <v>9</v>
      </c>
      <c r="W2574">
        <v>0</v>
      </c>
      <c r="X2574">
        <v>0</v>
      </c>
      <c r="Y2574">
        <v>0</v>
      </c>
      <c r="Z2574">
        <v>0</v>
      </c>
      <c r="AA2574">
        <v>9</v>
      </c>
      <c r="AB2574">
        <v>9</v>
      </c>
      <c r="AC2574" t="s">
        <v>310</v>
      </c>
      <c r="AD2574">
        <v>9</v>
      </c>
      <c r="AE2574" t="s">
        <v>1412</v>
      </c>
      <c r="AF2574">
        <v>30000000</v>
      </c>
      <c r="AG2574" t="s">
        <v>310</v>
      </c>
      <c r="AH2574">
        <f>SUM((MID(Dyno_Data[[#This Row],[Team]],4,5))+(Dyno_Data[[#This Row],[Match]]/100))</f>
        <v>3181.49</v>
      </c>
      <c r="AI2574" s="76">
        <f>ROUND(SUM(IF(Dyno_Data[[#This Row],[AcqCenter]]&gt;0,Dyno_Data[[#This Row],[Time]]-SUMIFS(Dyno_Data[Time],Dyno_Data[Team],Dyno_Data[[#This Row],[Team]],Dyno_Data[RecordType],"StartMatch",Dyno_Data[Match],Dyno_Data[[#This Row],[Match]]),0)*86400),0)</f>
        <v>0</v>
      </c>
    </row>
    <row r="2575" spans="1:35" x14ac:dyDescent="0.3">
      <c r="A2575">
        <v>2574</v>
      </c>
      <c r="B2575" t="s">
        <v>1314</v>
      </c>
      <c r="C2575">
        <v>49</v>
      </c>
      <c r="D2575" s="105">
        <v>45373.710163344906</v>
      </c>
      <c r="E2575" t="s">
        <v>312</v>
      </c>
      <c r="F2575" t="s">
        <v>1402</v>
      </c>
      <c r="G2575">
        <v>0</v>
      </c>
      <c r="H2575" t="s">
        <v>315</v>
      </c>
      <c r="I2575">
        <v>0</v>
      </c>
      <c r="J2575">
        <v>0</v>
      </c>
      <c r="K2575">
        <v>0</v>
      </c>
      <c r="L2575" t="s">
        <v>241</v>
      </c>
      <c r="M2575" t="s">
        <v>101</v>
      </c>
      <c r="N2575">
        <v>1</v>
      </c>
      <c r="O2575" t="s">
        <v>1393</v>
      </c>
      <c r="P2575" t="s">
        <v>310</v>
      </c>
      <c r="Q2575" t="s">
        <v>310</v>
      </c>
      <c r="R2575" t="s">
        <v>310</v>
      </c>
      <c r="S2575">
        <v>9</v>
      </c>
      <c r="T2575" t="s">
        <v>310</v>
      </c>
      <c r="U2575">
        <v>9</v>
      </c>
      <c r="V2575">
        <v>9</v>
      </c>
      <c r="W2575">
        <v>0</v>
      </c>
      <c r="X2575">
        <v>0</v>
      </c>
      <c r="Y2575">
        <v>0</v>
      </c>
      <c r="Z2575">
        <v>0</v>
      </c>
      <c r="AA2575">
        <v>9</v>
      </c>
      <c r="AB2575">
        <v>9</v>
      </c>
      <c r="AC2575" t="s">
        <v>310</v>
      </c>
      <c r="AD2575">
        <v>9</v>
      </c>
      <c r="AE2575" t="s">
        <v>1416</v>
      </c>
      <c r="AF2575">
        <v>20000000</v>
      </c>
      <c r="AG2575" t="s">
        <v>310</v>
      </c>
      <c r="AH2575">
        <f>SUM((MID(Dyno_Data[[#This Row],[Team]],4,5))+(Dyno_Data[[#This Row],[Match]]/100))</f>
        <v>3419.49</v>
      </c>
      <c r="AI2575" s="76">
        <f>ROUND(SUM(IF(Dyno_Data[[#This Row],[AcqCenter]]&gt;0,Dyno_Data[[#This Row],[Time]]-SUMIFS(Dyno_Data[Time],Dyno_Data[Team],Dyno_Data[[#This Row],[Team]],Dyno_Data[RecordType],"StartMatch",Dyno_Data[Match],Dyno_Data[[#This Row],[Match]]),0)*86400),0)</f>
        <v>0</v>
      </c>
    </row>
    <row r="2576" spans="1:35" x14ac:dyDescent="0.3">
      <c r="A2576">
        <v>2575</v>
      </c>
      <c r="B2576" t="s">
        <v>1288</v>
      </c>
      <c r="C2576">
        <v>49</v>
      </c>
      <c r="D2576" s="105">
        <v>45373.710208182871</v>
      </c>
      <c r="E2576" t="s">
        <v>312</v>
      </c>
      <c r="F2576" t="s">
        <v>1402</v>
      </c>
      <c r="G2576">
        <v>0</v>
      </c>
      <c r="H2576" t="s">
        <v>315</v>
      </c>
      <c r="I2576">
        <v>0</v>
      </c>
      <c r="J2576">
        <v>0</v>
      </c>
      <c r="K2576">
        <v>0</v>
      </c>
      <c r="L2576" t="s">
        <v>241</v>
      </c>
      <c r="M2576" t="s">
        <v>1398</v>
      </c>
      <c r="N2576">
        <v>0</v>
      </c>
      <c r="O2576" t="s">
        <v>311</v>
      </c>
      <c r="P2576" t="s">
        <v>310</v>
      </c>
      <c r="Q2576" t="s">
        <v>310</v>
      </c>
      <c r="R2576" t="s">
        <v>310</v>
      </c>
      <c r="S2576">
        <v>9</v>
      </c>
      <c r="T2576" t="s">
        <v>310</v>
      </c>
      <c r="U2576">
        <v>9</v>
      </c>
      <c r="V2576">
        <v>9</v>
      </c>
      <c r="W2576">
        <v>0</v>
      </c>
      <c r="X2576">
        <v>0</v>
      </c>
      <c r="Y2576">
        <v>0</v>
      </c>
      <c r="Z2576">
        <v>0</v>
      </c>
      <c r="AA2576">
        <v>9</v>
      </c>
      <c r="AB2576">
        <v>9</v>
      </c>
      <c r="AC2576" t="s">
        <v>310</v>
      </c>
      <c r="AD2576">
        <v>9</v>
      </c>
      <c r="AE2576" t="s">
        <v>1412</v>
      </c>
      <c r="AF2576">
        <v>40000000</v>
      </c>
      <c r="AG2576" t="s">
        <v>310</v>
      </c>
      <c r="AH2576">
        <f>SUM((MID(Dyno_Data[[#This Row],[Team]],4,5))+(Dyno_Data[[#This Row],[Match]]/100))</f>
        <v>3181.49</v>
      </c>
      <c r="AI2576" s="76">
        <f>ROUND(SUM(IF(Dyno_Data[[#This Row],[AcqCenter]]&gt;0,Dyno_Data[[#This Row],[Time]]-SUMIFS(Dyno_Data[Time],Dyno_Data[Team],Dyno_Data[[#This Row],[Team]],Dyno_Data[RecordType],"StartMatch",Dyno_Data[Match],Dyno_Data[[#This Row],[Match]]),0)*86400),0)</f>
        <v>0</v>
      </c>
    </row>
    <row r="2577" spans="1:35" x14ac:dyDescent="0.3">
      <c r="A2577">
        <v>2576</v>
      </c>
      <c r="B2577" t="s">
        <v>1308</v>
      </c>
      <c r="C2577">
        <v>49</v>
      </c>
      <c r="D2577" s="105">
        <v>45373.710235648148</v>
      </c>
      <c r="E2577" t="s">
        <v>312</v>
      </c>
      <c r="F2577" t="s">
        <v>1402</v>
      </c>
      <c r="G2577">
        <v>0</v>
      </c>
      <c r="H2577" t="s">
        <v>315</v>
      </c>
      <c r="I2577">
        <v>0</v>
      </c>
      <c r="J2577">
        <v>0</v>
      </c>
      <c r="K2577">
        <v>0</v>
      </c>
      <c r="L2577" t="s">
        <v>240</v>
      </c>
      <c r="M2577" t="s">
        <v>1398</v>
      </c>
      <c r="N2577">
        <v>0</v>
      </c>
      <c r="O2577" t="s">
        <v>1389</v>
      </c>
      <c r="P2577" t="s">
        <v>310</v>
      </c>
      <c r="Q2577" t="s">
        <v>310</v>
      </c>
      <c r="R2577" t="s">
        <v>310</v>
      </c>
      <c r="S2577">
        <v>9</v>
      </c>
      <c r="T2577" t="s">
        <v>310</v>
      </c>
      <c r="U2577">
        <v>9</v>
      </c>
      <c r="V2577">
        <v>9</v>
      </c>
      <c r="W2577">
        <v>0</v>
      </c>
      <c r="X2577">
        <v>0</v>
      </c>
      <c r="Y2577">
        <v>0</v>
      </c>
      <c r="Z2577">
        <v>0</v>
      </c>
      <c r="AA2577">
        <v>9</v>
      </c>
      <c r="AB2577">
        <v>9</v>
      </c>
      <c r="AC2577" t="s">
        <v>310</v>
      </c>
      <c r="AD2577">
        <v>9</v>
      </c>
      <c r="AE2577" t="s">
        <v>1414</v>
      </c>
      <c r="AF2577">
        <v>30000000</v>
      </c>
      <c r="AG2577" t="s">
        <v>310</v>
      </c>
      <c r="AH2577">
        <f>SUM((MID(Dyno_Data[[#This Row],[Team]],4,5))+(Dyno_Data[[#This Row],[Match]]/100))</f>
        <v>3799.49</v>
      </c>
      <c r="AI2577" s="76">
        <f>ROUND(SUM(IF(Dyno_Data[[#This Row],[AcqCenter]]&gt;0,Dyno_Data[[#This Row],[Time]]-SUMIFS(Dyno_Data[Time],Dyno_Data[Team],Dyno_Data[[#This Row],[Team]],Dyno_Data[RecordType],"StartMatch",Dyno_Data[Match],Dyno_Data[[#This Row],[Match]]),0)*86400),0)</f>
        <v>0</v>
      </c>
    </row>
    <row r="2578" spans="1:35" x14ac:dyDescent="0.3">
      <c r="A2578">
        <v>2577</v>
      </c>
      <c r="B2578" t="s">
        <v>1282</v>
      </c>
      <c r="C2578">
        <v>49</v>
      </c>
      <c r="D2578" s="105">
        <v>45373.710276238424</v>
      </c>
      <c r="E2578" t="s">
        <v>312</v>
      </c>
      <c r="F2578" t="s">
        <v>1402</v>
      </c>
      <c r="G2578">
        <v>0</v>
      </c>
      <c r="H2578" t="s">
        <v>315</v>
      </c>
      <c r="I2578">
        <v>0</v>
      </c>
      <c r="J2578">
        <v>0</v>
      </c>
      <c r="K2578">
        <v>0</v>
      </c>
      <c r="L2578" t="s">
        <v>240</v>
      </c>
      <c r="M2578" t="s">
        <v>101</v>
      </c>
      <c r="N2578">
        <v>1</v>
      </c>
      <c r="O2578" t="s">
        <v>1391</v>
      </c>
      <c r="P2578" t="s">
        <v>310</v>
      </c>
      <c r="Q2578" t="s">
        <v>310</v>
      </c>
      <c r="R2578" t="s">
        <v>310</v>
      </c>
      <c r="S2578">
        <v>9</v>
      </c>
      <c r="T2578" t="s">
        <v>310</v>
      </c>
      <c r="U2578">
        <v>9</v>
      </c>
      <c r="V2578">
        <v>9</v>
      </c>
      <c r="W2578">
        <v>0</v>
      </c>
      <c r="X2578">
        <v>0</v>
      </c>
      <c r="Y2578">
        <v>0</v>
      </c>
      <c r="Z2578">
        <v>0</v>
      </c>
      <c r="AA2578">
        <v>9</v>
      </c>
      <c r="AB2578">
        <v>9</v>
      </c>
      <c r="AC2578" t="s">
        <v>310</v>
      </c>
      <c r="AD2578">
        <v>9</v>
      </c>
      <c r="AE2578" t="s">
        <v>1418</v>
      </c>
      <c r="AF2578">
        <v>20000000</v>
      </c>
      <c r="AG2578" t="s">
        <v>310</v>
      </c>
      <c r="AH2578">
        <f>SUM((MID(Dyno_Data[[#This Row],[Team]],4,5))+(Dyno_Data[[#This Row],[Match]]/100))</f>
        <v>333.49</v>
      </c>
      <c r="AI2578" s="76">
        <f>ROUND(SUM(IF(Dyno_Data[[#This Row],[AcqCenter]]&gt;0,Dyno_Data[[#This Row],[Time]]-SUMIFS(Dyno_Data[Time],Dyno_Data[Team],Dyno_Data[[#This Row],[Team]],Dyno_Data[RecordType],"StartMatch",Dyno_Data[Match],Dyno_Data[[#This Row],[Match]]),0)*86400),0)</f>
        <v>0</v>
      </c>
    </row>
    <row r="2579" spans="1:35" x14ac:dyDescent="0.3">
      <c r="A2579">
        <v>2578</v>
      </c>
      <c r="B2579" t="s">
        <v>1288</v>
      </c>
      <c r="C2579">
        <v>49</v>
      </c>
      <c r="D2579" s="105">
        <v>45373.710284837965</v>
      </c>
      <c r="E2579" t="s">
        <v>312</v>
      </c>
      <c r="F2579" t="s">
        <v>1402</v>
      </c>
      <c r="G2579">
        <v>0</v>
      </c>
      <c r="H2579" t="s">
        <v>315</v>
      </c>
      <c r="I2579">
        <v>0</v>
      </c>
      <c r="J2579">
        <v>0</v>
      </c>
      <c r="K2579">
        <v>0</v>
      </c>
      <c r="L2579" t="s">
        <v>241</v>
      </c>
      <c r="M2579" t="s">
        <v>1398</v>
      </c>
      <c r="N2579">
        <v>0</v>
      </c>
      <c r="O2579" t="s">
        <v>311</v>
      </c>
      <c r="P2579" t="s">
        <v>310</v>
      </c>
      <c r="Q2579" t="s">
        <v>310</v>
      </c>
      <c r="R2579" t="s">
        <v>310</v>
      </c>
      <c r="S2579">
        <v>9</v>
      </c>
      <c r="T2579" t="s">
        <v>310</v>
      </c>
      <c r="U2579">
        <v>9</v>
      </c>
      <c r="V2579">
        <v>9</v>
      </c>
      <c r="W2579">
        <v>0</v>
      </c>
      <c r="X2579">
        <v>0</v>
      </c>
      <c r="Y2579">
        <v>0</v>
      </c>
      <c r="Z2579">
        <v>0</v>
      </c>
      <c r="AA2579">
        <v>9</v>
      </c>
      <c r="AB2579">
        <v>9</v>
      </c>
      <c r="AC2579" t="s">
        <v>310</v>
      </c>
      <c r="AD2579">
        <v>9</v>
      </c>
      <c r="AE2579" t="s">
        <v>1412</v>
      </c>
      <c r="AF2579">
        <v>50000000</v>
      </c>
      <c r="AG2579" t="s">
        <v>310</v>
      </c>
      <c r="AH2579">
        <f>SUM((MID(Dyno_Data[[#This Row],[Team]],4,5))+(Dyno_Data[[#This Row],[Match]]/100))</f>
        <v>3181.49</v>
      </c>
      <c r="AI2579" s="76">
        <f>ROUND(SUM(IF(Dyno_Data[[#This Row],[AcqCenter]]&gt;0,Dyno_Data[[#This Row],[Time]]-SUMIFS(Dyno_Data[Time],Dyno_Data[Team],Dyno_Data[[#This Row],[Team]],Dyno_Data[RecordType],"StartMatch",Dyno_Data[Match],Dyno_Data[[#This Row],[Match]]),0)*86400),0)</f>
        <v>0</v>
      </c>
    </row>
    <row r="2580" spans="1:35" x14ac:dyDescent="0.3">
      <c r="A2580">
        <v>2579</v>
      </c>
      <c r="B2580" t="s">
        <v>1308</v>
      </c>
      <c r="C2580">
        <v>49</v>
      </c>
      <c r="D2580" s="105">
        <v>45373.710343599538</v>
      </c>
      <c r="E2580" t="s">
        <v>312</v>
      </c>
      <c r="F2580" t="s">
        <v>1402</v>
      </c>
      <c r="G2580">
        <v>0</v>
      </c>
      <c r="H2580" t="s">
        <v>315</v>
      </c>
      <c r="I2580">
        <v>0</v>
      </c>
      <c r="J2580">
        <v>0</v>
      </c>
      <c r="K2580">
        <v>0</v>
      </c>
      <c r="L2580" t="s">
        <v>240</v>
      </c>
      <c r="M2580" t="s">
        <v>1398</v>
      </c>
      <c r="N2580">
        <v>0</v>
      </c>
      <c r="O2580" t="s">
        <v>1389</v>
      </c>
      <c r="P2580" t="s">
        <v>310</v>
      </c>
      <c r="Q2580" t="s">
        <v>310</v>
      </c>
      <c r="R2580" t="s">
        <v>310</v>
      </c>
      <c r="S2580">
        <v>9</v>
      </c>
      <c r="T2580" t="s">
        <v>310</v>
      </c>
      <c r="U2580">
        <v>9</v>
      </c>
      <c r="V2580">
        <v>9</v>
      </c>
      <c r="W2580">
        <v>0</v>
      </c>
      <c r="X2580">
        <v>0</v>
      </c>
      <c r="Y2580">
        <v>0</v>
      </c>
      <c r="Z2580">
        <v>0</v>
      </c>
      <c r="AA2580">
        <v>9</v>
      </c>
      <c r="AB2580">
        <v>9</v>
      </c>
      <c r="AC2580" t="s">
        <v>310</v>
      </c>
      <c r="AD2580">
        <v>9</v>
      </c>
      <c r="AE2580" t="s">
        <v>1414</v>
      </c>
      <c r="AF2580">
        <v>40000000</v>
      </c>
      <c r="AG2580" t="s">
        <v>310</v>
      </c>
      <c r="AH2580">
        <f>SUM((MID(Dyno_Data[[#This Row],[Team]],4,5))+(Dyno_Data[[#This Row],[Match]]/100))</f>
        <v>3799.49</v>
      </c>
      <c r="AI2580" s="76">
        <f>ROUND(SUM(IF(Dyno_Data[[#This Row],[AcqCenter]]&gt;0,Dyno_Data[[#This Row],[Time]]-SUMIFS(Dyno_Data[Time],Dyno_Data[Team],Dyno_Data[[#This Row],[Team]],Dyno_Data[RecordType],"StartMatch",Dyno_Data[Match],Dyno_Data[[#This Row],[Match]]),0)*86400),0)</f>
        <v>0</v>
      </c>
    </row>
    <row r="2581" spans="1:35" x14ac:dyDescent="0.3">
      <c r="A2581">
        <v>2580</v>
      </c>
      <c r="B2581" t="s">
        <v>1306</v>
      </c>
      <c r="C2581">
        <v>49</v>
      </c>
      <c r="D2581" s="105">
        <v>45373.710348611108</v>
      </c>
      <c r="E2581" t="s">
        <v>312</v>
      </c>
      <c r="F2581" t="s">
        <v>1402</v>
      </c>
      <c r="G2581">
        <v>0</v>
      </c>
      <c r="H2581" t="s">
        <v>315</v>
      </c>
      <c r="I2581">
        <v>0</v>
      </c>
      <c r="J2581">
        <v>0</v>
      </c>
      <c r="K2581">
        <v>0</v>
      </c>
      <c r="L2581" t="s">
        <v>241</v>
      </c>
      <c r="M2581" t="s">
        <v>1398</v>
      </c>
      <c r="N2581">
        <v>0</v>
      </c>
      <c r="O2581" t="s">
        <v>1395</v>
      </c>
      <c r="P2581" t="s">
        <v>310</v>
      </c>
      <c r="Q2581" t="s">
        <v>310</v>
      </c>
      <c r="R2581" t="s">
        <v>310</v>
      </c>
      <c r="S2581">
        <v>9</v>
      </c>
      <c r="T2581" t="s">
        <v>310</v>
      </c>
      <c r="U2581">
        <v>9</v>
      </c>
      <c r="V2581">
        <v>9</v>
      </c>
      <c r="W2581">
        <v>0</v>
      </c>
      <c r="X2581">
        <v>0</v>
      </c>
      <c r="Y2581">
        <v>0</v>
      </c>
      <c r="Z2581">
        <v>0</v>
      </c>
      <c r="AA2581">
        <v>9</v>
      </c>
      <c r="AB2581">
        <v>9</v>
      </c>
      <c r="AC2581" t="s">
        <v>310</v>
      </c>
      <c r="AD2581">
        <v>9</v>
      </c>
      <c r="AE2581" t="s">
        <v>1417</v>
      </c>
      <c r="AF2581">
        <v>10000000</v>
      </c>
      <c r="AG2581" t="s">
        <v>310</v>
      </c>
      <c r="AH2581">
        <f>SUM((MID(Dyno_Data[[#This Row],[Team]],4,5))+(Dyno_Data[[#This Row],[Match]]/100))</f>
        <v>3986.49</v>
      </c>
      <c r="AI2581" s="76">
        <f>ROUND(SUM(IF(Dyno_Data[[#This Row],[AcqCenter]]&gt;0,Dyno_Data[[#This Row],[Time]]-SUMIFS(Dyno_Data[Time],Dyno_Data[Team],Dyno_Data[[#This Row],[Team]],Dyno_Data[RecordType],"StartMatch",Dyno_Data[Match],Dyno_Data[[#This Row],[Match]]),0)*86400),0)</f>
        <v>0</v>
      </c>
    </row>
    <row r="2582" spans="1:35" x14ac:dyDescent="0.3">
      <c r="A2582">
        <v>2581</v>
      </c>
      <c r="B2582" t="s">
        <v>1314</v>
      </c>
      <c r="C2582">
        <v>49</v>
      </c>
      <c r="D2582" s="105">
        <v>45373.710369479166</v>
      </c>
      <c r="E2582" t="s">
        <v>312</v>
      </c>
      <c r="F2582" t="s">
        <v>1402</v>
      </c>
      <c r="G2582">
        <v>0</v>
      </c>
      <c r="H2582" t="s">
        <v>315</v>
      </c>
      <c r="I2582">
        <v>0</v>
      </c>
      <c r="J2582">
        <v>0</v>
      </c>
      <c r="K2582">
        <v>0</v>
      </c>
      <c r="L2582" t="s">
        <v>241</v>
      </c>
      <c r="M2582" t="s">
        <v>101</v>
      </c>
      <c r="N2582">
        <v>0</v>
      </c>
      <c r="O2582" t="s">
        <v>1393</v>
      </c>
      <c r="P2582" t="s">
        <v>310</v>
      </c>
      <c r="Q2582" t="s">
        <v>310</v>
      </c>
      <c r="R2582" t="s">
        <v>310</v>
      </c>
      <c r="S2582">
        <v>9</v>
      </c>
      <c r="T2582" t="s">
        <v>310</v>
      </c>
      <c r="U2582">
        <v>9</v>
      </c>
      <c r="V2582">
        <v>9</v>
      </c>
      <c r="W2582">
        <v>0</v>
      </c>
      <c r="X2582">
        <v>0</v>
      </c>
      <c r="Y2582">
        <v>0</v>
      </c>
      <c r="Z2582">
        <v>0</v>
      </c>
      <c r="AA2582">
        <v>9</v>
      </c>
      <c r="AB2582">
        <v>9</v>
      </c>
      <c r="AC2582" t="s">
        <v>310</v>
      </c>
      <c r="AD2582">
        <v>9</v>
      </c>
      <c r="AE2582" t="s">
        <v>1416</v>
      </c>
      <c r="AF2582">
        <v>30000000</v>
      </c>
      <c r="AG2582" t="s">
        <v>310</v>
      </c>
      <c r="AH2582">
        <f>SUM((MID(Dyno_Data[[#This Row],[Team]],4,5))+(Dyno_Data[[#This Row],[Match]]/100))</f>
        <v>3419.49</v>
      </c>
      <c r="AI2582" s="76">
        <f>ROUND(SUM(IF(Dyno_Data[[#This Row],[AcqCenter]]&gt;0,Dyno_Data[[#This Row],[Time]]-SUMIFS(Dyno_Data[Time],Dyno_Data[Team],Dyno_Data[[#This Row],[Team]],Dyno_Data[RecordType],"StartMatch",Dyno_Data[Match],Dyno_Data[[#This Row],[Match]]),0)*86400),0)</f>
        <v>0</v>
      </c>
    </row>
    <row r="2583" spans="1:35" x14ac:dyDescent="0.3">
      <c r="A2583">
        <v>2582</v>
      </c>
      <c r="B2583" t="s">
        <v>1288</v>
      </c>
      <c r="C2583">
        <v>49</v>
      </c>
      <c r="D2583" s="105">
        <v>45373.710395601855</v>
      </c>
      <c r="E2583" t="s">
        <v>312</v>
      </c>
      <c r="F2583" t="s">
        <v>1402</v>
      </c>
      <c r="G2583">
        <v>0</v>
      </c>
      <c r="H2583" t="s">
        <v>315</v>
      </c>
      <c r="I2583">
        <v>0</v>
      </c>
      <c r="J2583">
        <v>0</v>
      </c>
      <c r="K2583">
        <v>0</v>
      </c>
      <c r="L2583" t="s">
        <v>241</v>
      </c>
      <c r="M2583" t="s">
        <v>101</v>
      </c>
      <c r="N2583">
        <v>0</v>
      </c>
      <c r="O2583" t="s">
        <v>311</v>
      </c>
      <c r="P2583" t="s">
        <v>310</v>
      </c>
      <c r="Q2583" t="s">
        <v>310</v>
      </c>
      <c r="R2583" t="s">
        <v>310</v>
      </c>
      <c r="S2583">
        <v>9</v>
      </c>
      <c r="T2583" t="s">
        <v>310</v>
      </c>
      <c r="U2583">
        <v>9</v>
      </c>
      <c r="V2583">
        <v>9</v>
      </c>
      <c r="W2583">
        <v>0</v>
      </c>
      <c r="X2583">
        <v>0</v>
      </c>
      <c r="Y2583">
        <v>0</v>
      </c>
      <c r="Z2583">
        <v>0</v>
      </c>
      <c r="AA2583">
        <v>9</v>
      </c>
      <c r="AB2583">
        <v>9</v>
      </c>
      <c r="AC2583" t="s">
        <v>310</v>
      </c>
      <c r="AD2583">
        <v>9</v>
      </c>
      <c r="AE2583" t="s">
        <v>1412</v>
      </c>
      <c r="AF2583">
        <v>60000000</v>
      </c>
      <c r="AG2583" t="s">
        <v>310</v>
      </c>
      <c r="AH2583">
        <f>SUM((MID(Dyno_Data[[#This Row],[Team]],4,5))+(Dyno_Data[[#This Row],[Match]]/100))</f>
        <v>3181.49</v>
      </c>
      <c r="AI2583" s="76">
        <f>ROUND(SUM(IF(Dyno_Data[[#This Row],[AcqCenter]]&gt;0,Dyno_Data[[#This Row],[Time]]-SUMIFS(Dyno_Data[Time],Dyno_Data[Team],Dyno_Data[[#This Row],[Team]],Dyno_Data[RecordType],"StartMatch",Dyno_Data[Match],Dyno_Data[[#This Row],[Match]]),0)*86400),0)</f>
        <v>0</v>
      </c>
    </row>
    <row r="2584" spans="1:35" x14ac:dyDescent="0.3">
      <c r="A2584">
        <v>2583</v>
      </c>
      <c r="B2584" t="s">
        <v>1306</v>
      </c>
      <c r="C2584">
        <v>49</v>
      </c>
      <c r="D2584" s="105">
        <v>45373.710449849539</v>
      </c>
      <c r="E2584" t="s">
        <v>312</v>
      </c>
      <c r="F2584" t="s">
        <v>1402</v>
      </c>
      <c r="G2584">
        <v>0</v>
      </c>
      <c r="H2584" t="s">
        <v>315</v>
      </c>
      <c r="I2584">
        <v>0</v>
      </c>
      <c r="J2584">
        <v>0</v>
      </c>
      <c r="K2584">
        <v>0</v>
      </c>
      <c r="L2584" t="s">
        <v>241</v>
      </c>
      <c r="M2584" t="s">
        <v>1398</v>
      </c>
      <c r="N2584">
        <v>0</v>
      </c>
      <c r="O2584" t="s">
        <v>1395</v>
      </c>
      <c r="P2584" t="s">
        <v>310</v>
      </c>
      <c r="Q2584" t="s">
        <v>310</v>
      </c>
      <c r="R2584" t="s">
        <v>310</v>
      </c>
      <c r="S2584">
        <v>9</v>
      </c>
      <c r="T2584" t="s">
        <v>310</v>
      </c>
      <c r="U2584">
        <v>9</v>
      </c>
      <c r="V2584">
        <v>9</v>
      </c>
      <c r="W2584">
        <v>0</v>
      </c>
      <c r="X2584">
        <v>0</v>
      </c>
      <c r="Y2584">
        <v>0</v>
      </c>
      <c r="Z2584">
        <v>0</v>
      </c>
      <c r="AA2584">
        <v>9</v>
      </c>
      <c r="AB2584">
        <v>9</v>
      </c>
      <c r="AC2584" t="s">
        <v>310</v>
      </c>
      <c r="AD2584">
        <v>9</v>
      </c>
      <c r="AE2584" t="s">
        <v>1417</v>
      </c>
      <c r="AF2584">
        <v>20000000</v>
      </c>
      <c r="AG2584" t="s">
        <v>310</v>
      </c>
      <c r="AH2584">
        <f>SUM((MID(Dyno_Data[[#This Row],[Team]],4,5))+(Dyno_Data[[#This Row],[Match]]/100))</f>
        <v>3986.49</v>
      </c>
      <c r="AI2584" s="76">
        <f>ROUND(SUM(IF(Dyno_Data[[#This Row],[AcqCenter]]&gt;0,Dyno_Data[[#This Row],[Time]]-SUMIFS(Dyno_Data[Time],Dyno_Data[Team],Dyno_Data[[#This Row],[Team]],Dyno_Data[RecordType],"StartMatch",Dyno_Data[Match],Dyno_Data[[#This Row],[Match]]),0)*86400),0)</f>
        <v>0</v>
      </c>
    </row>
    <row r="2585" spans="1:35" x14ac:dyDescent="0.3">
      <c r="A2585">
        <v>2584</v>
      </c>
      <c r="B2585" t="s">
        <v>1308</v>
      </c>
      <c r="C2585">
        <v>49</v>
      </c>
      <c r="D2585" s="105">
        <v>45373.710462118055</v>
      </c>
      <c r="E2585" t="s">
        <v>312</v>
      </c>
      <c r="F2585" t="s">
        <v>1402</v>
      </c>
      <c r="G2585">
        <v>0</v>
      </c>
      <c r="H2585" t="s">
        <v>315</v>
      </c>
      <c r="I2585">
        <v>0</v>
      </c>
      <c r="J2585">
        <v>0</v>
      </c>
      <c r="K2585">
        <v>0</v>
      </c>
      <c r="L2585" t="s">
        <v>241</v>
      </c>
      <c r="M2585" t="s">
        <v>1398</v>
      </c>
      <c r="N2585">
        <v>0</v>
      </c>
      <c r="O2585" t="s">
        <v>1389</v>
      </c>
      <c r="P2585" t="s">
        <v>310</v>
      </c>
      <c r="Q2585" t="s">
        <v>310</v>
      </c>
      <c r="R2585" t="s">
        <v>310</v>
      </c>
      <c r="S2585">
        <v>9</v>
      </c>
      <c r="T2585" t="s">
        <v>310</v>
      </c>
      <c r="U2585">
        <v>9</v>
      </c>
      <c r="V2585">
        <v>9</v>
      </c>
      <c r="W2585">
        <v>0</v>
      </c>
      <c r="X2585">
        <v>0</v>
      </c>
      <c r="Y2585">
        <v>0</v>
      </c>
      <c r="Z2585">
        <v>0</v>
      </c>
      <c r="AA2585">
        <v>9</v>
      </c>
      <c r="AB2585">
        <v>9</v>
      </c>
      <c r="AC2585" t="s">
        <v>310</v>
      </c>
      <c r="AD2585">
        <v>9</v>
      </c>
      <c r="AE2585" t="s">
        <v>1414</v>
      </c>
      <c r="AF2585">
        <v>50000000</v>
      </c>
      <c r="AG2585" t="s">
        <v>310</v>
      </c>
      <c r="AH2585">
        <f>SUM((MID(Dyno_Data[[#This Row],[Team]],4,5))+(Dyno_Data[[#This Row],[Match]]/100))</f>
        <v>3799.49</v>
      </c>
      <c r="AI2585" s="76">
        <f>ROUND(SUM(IF(Dyno_Data[[#This Row],[AcqCenter]]&gt;0,Dyno_Data[[#This Row],[Time]]-SUMIFS(Dyno_Data[Time],Dyno_Data[Team],Dyno_Data[[#This Row],[Team]],Dyno_Data[RecordType],"StartMatch",Dyno_Data[Match],Dyno_Data[[#This Row],[Match]]),0)*86400),0)</f>
        <v>0</v>
      </c>
    </row>
    <row r="2586" spans="1:35" x14ac:dyDescent="0.3">
      <c r="A2586">
        <v>2585</v>
      </c>
      <c r="B2586" t="s">
        <v>1288</v>
      </c>
      <c r="C2586">
        <v>49</v>
      </c>
      <c r="D2586" s="105">
        <v>45373.710477465276</v>
      </c>
      <c r="E2586" t="s">
        <v>312</v>
      </c>
      <c r="F2586" t="s">
        <v>1402</v>
      </c>
      <c r="G2586">
        <v>0</v>
      </c>
      <c r="H2586" t="s">
        <v>315</v>
      </c>
      <c r="I2586">
        <v>0</v>
      </c>
      <c r="J2586">
        <v>0</v>
      </c>
      <c r="K2586">
        <v>0</v>
      </c>
      <c r="L2586" t="s">
        <v>241</v>
      </c>
      <c r="M2586" t="s">
        <v>1398</v>
      </c>
      <c r="N2586">
        <v>0</v>
      </c>
      <c r="O2586" t="s">
        <v>311</v>
      </c>
      <c r="P2586" t="s">
        <v>310</v>
      </c>
      <c r="Q2586" t="s">
        <v>310</v>
      </c>
      <c r="R2586" t="s">
        <v>310</v>
      </c>
      <c r="S2586">
        <v>9</v>
      </c>
      <c r="T2586" t="s">
        <v>310</v>
      </c>
      <c r="U2586">
        <v>9</v>
      </c>
      <c r="V2586">
        <v>9</v>
      </c>
      <c r="W2586">
        <v>0</v>
      </c>
      <c r="X2586">
        <v>0</v>
      </c>
      <c r="Y2586">
        <v>0</v>
      </c>
      <c r="Z2586">
        <v>0</v>
      </c>
      <c r="AA2586">
        <v>9</v>
      </c>
      <c r="AB2586">
        <v>9</v>
      </c>
      <c r="AC2586" t="s">
        <v>310</v>
      </c>
      <c r="AD2586">
        <v>9</v>
      </c>
      <c r="AE2586" t="s">
        <v>1412</v>
      </c>
      <c r="AF2586">
        <v>70000000</v>
      </c>
      <c r="AG2586" t="s">
        <v>310</v>
      </c>
      <c r="AH2586">
        <f>SUM((MID(Dyno_Data[[#This Row],[Team]],4,5))+(Dyno_Data[[#This Row],[Match]]/100))</f>
        <v>3181.49</v>
      </c>
      <c r="AI2586" s="76">
        <f>ROUND(SUM(IF(Dyno_Data[[#This Row],[AcqCenter]]&gt;0,Dyno_Data[[#This Row],[Time]]-SUMIFS(Dyno_Data[Time],Dyno_Data[Team],Dyno_Data[[#This Row],[Team]],Dyno_Data[RecordType],"StartMatch",Dyno_Data[Match],Dyno_Data[[#This Row],[Match]]),0)*86400),0)</f>
        <v>0</v>
      </c>
    </row>
    <row r="2587" spans="1:35" x14ac:dyDescent="0.3">
      <c r="A2587">
        <v>2586</v>
      </c>
      <c r="B2587" t="s">
        <v>1306</v>
      </c>
      <c r="C2587">
        <v>49</v>
      </c>
      <c r="D2587" s="105">
        <v>45373.710510763885</v>
      </c>
      <c r="E2587" t="s">
        <v>312</v>
      </c>
      <c r="F2587" t="s">
        <v>1402</v>
      </c>
      <c r="G2587">
        <v>0</v>
      </c>
      <c r="H2587" t="s">
        <v>315</v>
      </c>
      <c r="I2587">
        <v>0</v>
      </c>
      <c r="J2587">
        <v>0</v>
      </c>
      <c r="K2587">
        <v>0</v>
      </c>
      <c r="L2587" t="s">
        <v>241</v>
      </c>
      <c r="M2587" t="s">
        <v>1398</v>
      </c>
      <c r="N2587">
        <v>0</v>
      </c>
      <c r="O2587" t="s">
        <v>1395</v>
      </c>
      <c r="P2587" t="s">
        <v>310</v>
      </c>
      <c r="Q2587" t="s">
        <v>310</v>
      </c>
      <c r="R2587" t="s">
        <v>310</v>
      </c>
      <c r="S2587">
        <v>9</v>
      </c>
      <c r="T2587" t="s">
        <v>310</v>
      </c>
      <c r="U2587">
        <v>9</v>
      </c>
      <c r="V2587">
        <v>9</v>
      </c>
      <c r="W2587">
        <v>0</v>
      </c>
      <c r="X2587">
        <v>0</v>
      </c>
      <c r="Y2587">
        <v>0</v>
      </c>
      <c r="Z2587">
        <v>0</v>
      </c>
      <c r="AA2587">
        <v>9</v>
      </c>
      <c r="AB2587">
        <v>9</v>
      </c>
      <c r="AC2587" t="s">
        <v>310</v>
      </c>
      <c r="AD2587">
        <v>9</v>
      </c>
      <c r="AE2587" t="s">
        <v>1417</v>
      </c>
      <c r="AF2587">
        <v>30000000</v>
      </c>
      <c r="AG2587" t="s">
        <v>310</v>
      </c>
      <c r="AH2587">
        <f>SUM((MID(Dyno_Data[[#This Row],[Team]],4,5))+(Dyno_Data[[#This Row],[Match]]/100))</f>
        <v>3986.49</v>
      </c>
      <c r="AI2587" s="76">
        <f>ROUND(SUM(IF(Dyno_Data[[#This Row],[AcqCenter]]&gt;0,Dyno_Data[[#This Row],[Time]]-SUMIFS(Dyno_Data[Time],Dyno_Data[Team],Dyno_Data[[#This Row],[Team]],Dyno_Data[RecordType],"StartMatch",Dyno_Data[Match],Dyno_Data[[#This Row],[Match]]),0)*86400),0)</f>
        <v>0</v>
      </c>
    </row>
    <row r="2588" spans="1:35" x14ac:dyDescent="0.3">
      <c r="A2588">
        <v>2587</v>
      </c>
      <c r="B2588" t="s">
        <v>1308</v>
      </c>
      <c r="C2588">
        <v>49</v>
      </c>
      <c r="D2588" s="105">
        <v>45373.710511493053</v>
      </c>
      <c r="E2588" t="s">
        <v>312</v>
      </c>
      <c r="F2588" t="s">
        <v>1402</v>
      </c>
      <c r="G2588">
        <v>0</v>
      </c>
      <c r="H2588" t="s">
        <v>315</v>
      </c>
      <c r="I2588">
        <v>0</v>
      </c>
      <c r="J2588">
        <v>0</v>
      </c>
      <c r="K2588">
        <v>0</v>
      </c>
      <c r="L2588" t="s">
        <v>240</v>
      </c>
      <c r="M2588" t="s">
        <v>1398</v>
      </c>
      <c r="N2588">
        <v>0</v>
      </c>
      <c r="O2588" t="s">
        <v>1389</v>
      </c>
      <c r="P2588" t="s">
        <v>310</v>
      </c>
      <c r="Q2588" t="s">
        <v>310</v>
      </c>
      <c r="R2588" t="s">
        <v>310</v>
      </c>
      <c r="S2588">
        <v>9</v>
      </c>
      <c r="T2588" t="s">
        <v>310</v>
      </c>
      <c r="U2588">
        <v>9</v>
      </c>
      <c r="V2588">
        <v>9</v>
      </c>
      <c r="W2588">
        <v>0</v>
      </c>
      <c r="X2588">
        <v>0</v>
      </c>
      <c r="Y2588">
        <v>0</v>
      </c>
      <c r="Z2588">
        <v>0</v>
      </c>
      <c r="AA2588">
        <v>9</v>
      </c>
      <c r="AB2588">
        <v>9</v>
      </c>
      <c r="AC2588" t="s">
        <v>310</v>
      </c>
      <c r="AD2588">
        <v>9</v>
      </c>
      <c r="AE2588" t="s">
        <v>1414</v>
      </c>
      <c r="AF2588">
        <v>60000000</v>
      </c>
      <c r="AG2588" t="s">
        <v>310</v>
      </c>
      <c r="AH2588">
        <f>SUM((MID(Dyno_Data[[#This Row],[Team]],4,5))+(Dyno_Data[[#This Row],[Match]]/100))</f>
        <v>3799.49</v>
      </c>
      <c r="AI2588" s="76">
        <f>ROUND(SUM(IF(Dyno_Data[[#This Row],[AcqCenter]]&gt;0,Dyno_Data[[#This Row],[Time]]-SUMIFS(Dyno_Data[Time],Dyno_Data[Team],Dyno_Data[[#This Row],[Team]],Dyno_Data[RecordType],"StartMatch",Dyno_Data[Match],Dyno_Data[[#This Row],[Match]]),0)*86400),0)</f>
        <v>0</v>
      </c>
    </row>
    <row r="2589" spans="1:35" x14ac:dyDescent="0.3">
      <c r="A2589">
        <v>2588</v>
      </c>
      <c r="B2589" t="s">
        <v>1282</v>
      </c>
      <c r="C2589">
        <v>49</v>
      </c>
      <c r="D2589" s="105">
        <v>45373.710556284721</v>
      </c>
      <c r="E2589" t="s">
        <v>312</v>
      </c>
      <c r="F2589" t="s">
        <v>1402</v>
      </c>
      <c r="G2589">
        <v>0</v>
      </c>
      <c r="H2589" t="s">
        <v>315</v>
      </c>
      <c r="I2589">
        <v>0</v>
      </c>
      <c r="J2589">
        <v>0</v>
      </c>
      <c r="K2589">
        <v>0</v>
      </c>
      <c r="L2589" t="s">
        <v>240</v>
      </c>
      <c r="M2589" t="s">
        <v>1398</v>
      </c>
      <c r="N2589">
        <v>0</v>
      </c>
      <c r="O2589" t="s">
        <v>1391</v>
      </c>
      <c r="P2589" t="s">
        <v>310</v>
      </c>
      <c r="Q2589" t="s">
        <v>310</v>
      </c>
      <c r="R2589" t="s">
        <v>310</v>
      </c>
      <c r="S2589">
        <v>9</v>
      </c>
      <c r="T2589" t="s">
        <v>310</v>
      </c>
      <c r="U2589">
        <v>9</v>
      </c>
      <c r="V2589">
        <v>9</v>
      </c>
      <c r="W2589">
        <v>0</v>
      </c>
      <c r="X2589">
        <v>0</v>
      </c>
      <c r="Y2589">
        <v>0</v>
      </c>
      <c r="Z2589">
        <v>0</v>
      </c>
      <c r="AA2589">
        <v>9</v>
      </c>
      <c r="AB2589">
        <v>9</v>
      </c>
      <c r="AC2589" t="s">
        <v>310</v>
      </c>
      <c r="AD2589">
        <v>9</v>
      </c>
      <c r="AE2589" t="s">
        <v>1418</v>
      </c>
      <c r="AF2589">
        <v>30000000</v>
      </c>
      <c r="AG2589" t="s">
        <v>310</v>
      </c>
      <c r="AH2589">
        <f>SUM((MID(Dyno_Data[[#This Row],[Team]],4,5))+(Dyno_Data[[#This Row],[Match]]/100))</f>
        <v>333.49</v>
      </c>
      <c r="AI2589" s="76">
        <f>ROUND(SUM(IF(Dyno_Data[[#This Row],[AcqCenter]]&gt;0,Dyno_Data[[#This Row],[Time]]-SUMIFS(Dyno_Data[Time],Dyno_Data[Team],Dyno_Data[[#This Row],[Team]],Dyno_Data[RecordType],"StartMatch",Dyno_Data[Match],Dyno_Data[[#This Row],[Match]]),0)*86400),0)</f>
        <v>0</v>
      </c>
    </row>
    <row r="2590" spans="1:35" x14ac:dyDescent="0.3">
      <c r="A2590">
        <v>2589</v>
      </c>
      <c r="B2590" t="s">
        <v>1314</v>
      </c>
      <c r="C2590">
        <v>49</v>
      </c>
      <c r="D2590" s="105">
        <v>45373.710581018517</v>
      </c>
      <c r="E2590" t="s">
        <v>312</v>
      </c>
      <c r="F2590" t="s">
        <v>1402</v>
      </c>
      <c r="G2590">
        <v>0</v>
      </c>
      <c r="H2590" t="s">
        <v>315</v>
      </c>
      <c r="I2590">
        <v>0</v>
      </c>
      <c r="J2590">
        <v>0</v>
      </c>
      <c r="K2590">
        <v>0</v>
      </c>
      <c r="L2590" t="s">
        <v>241</v>
      </c>
      <c r="M2590" t="s">
        <v>101</v>
      </c>
      <c r="N2590">
        <v>0</v>
      </c>
      <c r="O2590" t="s">
        <v>1393</v>
      </c>
      <c r="P2590" t="s">
        <v>310</v>
      </c>
      <c r="Q2590" t="s">
        <v>310</v>
      </c>
      <c r="R2590" t="s">
        <v>310</v>
      </c>
      <c r="S2590">
        <v>9</v>
      </c>
      <c r="T2590" t="s">
        <v>310</v>
      </c>
      <c r="U2590">
        <v>9</v>
      </c>
      <c r="V2590">
        <v>9</v>
      </c>
      <c r="W2590">
        <v>0</v>
      </c>
      <c r="X2590">
        <v>0</v>
      </c>
      <c r="Y2590">
        <v>0</v>
      </c>
      <c r="Z2590">
        <v>0</v>
      </c>
      <c r="AA2590">
        <v>9</v>
      </c>
      <c r="AB2590">
        <v>9</v>
      </c>
      <c r="AC2590" t="s">
        <v>310</v>
      </c>
      <c r="AD2590">
        <v>9</v>
      </c>
      <c r="AE2590" t="s">
        <v>1416</v>
      </c>
      <c r="AF2590">
        <v>40000000</v>
      </c>
      <c r="AG2590" t="s">
        <v>310</v>
      </c>
      <c r="AH2590">
        <f>SUM((MID(Dyno_Data[[#This Row],[Team]],4,5))+(Dyno_Data[[#This Row],[Match]]/100))</f>
        <v>3419.49</v>
      </c>
      <c r="AI2590" s="76">
        <f>ROUND(SUM(IF(Dyno_Data[[#This Row],[AcqCenter]]&gt;0,Dyno_Data[[#This Row],[Time]]-SUMIFS(Dyno_Data[Time],Dyno_Data[Team],Dyno_Data[[#This Row],[Team]],Dyno_Data[RecordType],"StartMatch",Dyno_Data[Match],Dyno_Data[[#This Row],[Match]]),0)*86400),0)</f>
        <v>0</v>
      </c>
    </row>
    <row r="2591" spans="1:35" x14ac:dyDescent="0.3">
      <c r="A2591">
        <v>2590</v>
      </c>
      <c r="B2591" t="s">
        <v>1308</v>
      </c>
      <c r="C2591">
        <v>49</v>
      </c>
      <c r="D2591" s="105">
        <v>45373.710582442131</v>
      </c>
      <c r="E2591" t="s">
        <v>312</v>
      </c>
      <c r="F2591" t="s">
        <v>1402</v>
      </c>
      <c r="G2591">
        <v>0</v>
      </c>
      <c r="H2591" t="s">
        <v>315</v>
      </c>
      <c r="I2591">
        <v>0</v>
      </c>
      <c r="J2591">
        <v>0</v>
      </c>
      <c r="K2591">
        <v>0</v>
      </c>
      <c r="L2591" t="s">
        <v>240</v>
      </c>
      <c r="M2591" t="s">
        <v>1398</v>
      </c>
      <c r="N2591">
        <v>0</v>
      </c>
      <c r="O2591" t="s">
        <v>1389</v>
      </c>
      <c r="P2591" t="s">
        <v>310</v>
      </c>
      <c r="Q2591" t="s">
        <v>310</v>
      </c>
      <c r="R2591" t="s">
        <v>310</v>
      </c>
      <c r="S2591">
        <v>9</v>
      </c>
      <c r="T2591" t="s">
        <v>310</v>
      </c>
      <c r="U2591">
        <v>9</v>
      </c>
      <c r="V2591">
        <v>9</v>
      </c>
      <c r="W2591">
        <v>0</v>
      </c>
      <c r="X2591">
        <v>0</v>
      </c>
      <c r="Y2591">
        <v>0</v>
      </c>
      <c r="Z2591">
        <v>0</v>
      </c>
      <c r="AA2591">
        <v>9</v>
      </c>
      <c r="AB2591">
        <v>9</v>
      </c>
      <c r="AC2591" t="s">
        <v>310</v>
      </c>
      <c r="AD2591">
        <v>9</v>
      </c>
      <c r="AE2591" t="s">
        <v>1414</v>
      </c>
      <c r="AF2591">
        <v>70000000</v>
      </c>
      <c r="AG2591" t="s">
        <v>310</v>
      </c>
      <c r="AH2591">
        <f>SUM((MID(Dyno_Data[[#This Row],[Team]],4,5))+(Dyno_Data[[#This Row],[Match]]/100))</f>
        <v>3799.49</v>
      </c>
      <c r="AI2591" s="76">
        <f>ROUND(SUM(IF(Dyno_Data[[#This Row],[AcqCenter]]&gt;0,Dyno_Data[[#This Row],[Time]]-SUMIFS(Dyno_Data[Time],Dyno_Data[Team],Dyno_Data[[#This Row],[Team]],Dyno_Data[RecordType],"StartMatch",Dyno_Data[Match],Dyno_Data[[#This Row],[Match]]),0)*86400),0)</f>
        <v>0</v>
      </c>
    </row>
    <row r="2592" spans="1:35" x14ac:dyDescent="0.3">
      <c r="A2592">
        <v>2591</v>
      </c>
      <c r="B2592" t="s">
        <v>1306</v>
      </c>
      <c r="C2592">
        <v>49</v>
      </c>
      <c r="D2592" s="105">
        <v>45373.710598344907</v>
      </c>
      <c r="E2592" t="s">
        <v>312</v>
      </c>
      <c r="F2592" t="s">
        <v>1402</v>
      </c>
      <c r="G2592">
        <v>0</v>
      </c>
      <c r="H2592" t="s">
        <v>315</v>
      </c>
      <c r="I2592">
        <v>0</v>
      </c>
      <c r="J2592">
        <v>0</v>
      </c>
      <c r="K2592">
        <v>0</v>
      </c>
      <c r="L2592" t="s">
        <v>241</v>
      </c>
      <c r="M2592" t="s">
        <v>1398</v>
      </c>
      <c r="N2592">
        <v>0</v>
      </c>
      <c r="O2592" t="s">
        <v>1395</v>
      </c>
      <c r="P2592" t="s">
        <v>310</v>
      </c>
      <c r="Q2592" t="s">
        <v>310</v>
      </c>
      <c r="R2592" t="s">
        <v>310</v>
      </c>
      <c r="S2592">
        <v>9</v>
      </c>
      <c r="T2592" t="s">
        <v>310</v>
      </c>
      <c r="U2592">
        <v>9</v>
      </c>
      <c r="V2592">
        <v>9</v>
      </c>
      <c r="W2592">
        <v>0</v>
      </c>
      <c r="X2592">
        <v>0</v>
      </c>
      <c r="Y2592">
        <v>0</v>
      </c>
      <c r="Z2592">
        <v>0</v>
      </c>
      <c r="AA2592">
        <v>9</v>
      </c>
      <c r="AB2592">
        <v>9</v>
      </c>
      <c r="AC2592" t="s">
        <v>310</v>
      </c>
      <c r="AD2592">
        <v>9</v>
      </c>
      <c r="AE2592" t="s">
        <v>1417</v>
      </c>
      <c r="AF2592">
        <v>40000000</v>
      </c>
      <c r="AG2592" t="s">
        <v>310</v>
      </c>
      <c r="AH2592">
        <f>SUM((MID(Dyno_Data[[#This Row],[Team]],4,5))+(Dyno_Data[[#This Row],[Match]]/100))</f>
        <v>3986.49</v>
      </c>
      <c r="AI2592" s="76">
        <f>ROUND(SUM(IF(Dyno_Data[[#This Row],[AcqCenter]]&gt;0,Dyno_Data[[#This Row],[Time]]-SUMIFS(Dyno_Data[Time],Dyno_Data[Team],Dyno_Data[[#This Row],[Team]],Dyno_Data[RecordType],"StartMatch",Dyno_Data[Match],Dyno_Data[[#This Row],[Match]]),0)*86400),0)</f>
        <v>0</v>
      </c>
    </row>
    <row r="2593" spans="1:35" x14ac:dyDescent="0.3">
      <c r="A2593">
        <v>2592</v>
      </c>
      <c r="B2593" t="s">
        <v>1288</v>
      </c>
      <c r="C2593">
        <v>49</v>
      </c>
      <c r="D2593" s="105">
        <v>45373.710692280096</v>
      </c>
      <c r="E2593" t="s">
        <v>312</v>
      </c>
      <c r="F2593" t="s">
        <v>1402</v>
      </c>
      <c r="G2593">
        <v>0</v>
      </c>
      <c r="H2593" t="s">
        <v>315</v>
      </c>
      <c r="I2593">
        <v>0</v>
      </c>
      <c r="J2593">
        <v>0</v>
      </c>
      <c r="K2593">
        <v>0</v>
      </c>
      <c r="L2593" t="s">
        <v>241</v>
      </c>
      <c r="M2593" t="s">
        <v>1398</v>
      </c>
      <c r="N2593">
        <v>0</v>
      </c>
      <c r="O2593" t="s">
        <v>311</v>
      </c>
      <c r="P2593" t="s">
        <v>310</v>
      </c>
      <c r="Q2593" t="s">
        <v>310</v>
      </c>
      <c r="R2593" t="s">
        <v>310</v>
      </c>
      <c r="S2593">
        <v>9</v>
      </c>
      <c r="T2593" t="s">
        <v>310</v>
      </c>
      <c r="U2593">
        <v>9</v>
      </c>
      <c r="V2593">
        <v>9</v>
      </c>
      <c r="W2593">
        <v>0</v>
      </c>
      <c r="X2593">
        <v>0</v>
      </c>
      <c r="Y2593">
        <v>0</v>
      </c>
      <c r="Z2593">
        <v>0</v>
      </c>
      <c r="AA2593">
        <v>9</v>
      </c>
      <c r="AB2593">
        <v>9</v>
      </c>
      <c r="AC2593" t="s">
        <v>310</v>
      </c>
      <c r="AD2593">
        <v>9</v>
      </c>
      <c r="AE2593" t="s">
        <v>1412</v>
      </c>
      <c r="AF2593">
        <v>80000000</v>
      </c>
      <c r="AG2593" t="s">
        <v>310</v>
      </c>
      <c r="AH2593">
        <f>SUM((MID(Dyno_Data[[#This Row],[Team]],4,5))+(Dyno_Data[[#This Row],[Match]]/100))</f>
        <v>3181.49</v>
      </c>
      <c r="AI2593" s="76">
        <f>ROUND(SUM(IF(Dyno_Data[[#This Row],[AcqCenter]]&gt;0,Dyno_Data[[#This Row],[Time]]-SUMIFS(Dyno_Data[Time],Dyno_Data[Team],Dyno_Data[[#This Row],[Team]],Dyno_Data[RecordType],"StartMatch",Dyno_Data[Match],Dyno_Data[[#This Row],[Match]]),0)*86400),0)</f>
        <v>0</v>
      </c>
    </row>
    <row r="2594" spans="1:35" x14ac:dyDescent="0.3">
      <c r="A2594">
        <v>2593</v>
      </c>
      <c r="B2594" t="s">
        <v>1314</v>
      </c>
      <c r="C2594">
        <v>49</v>
      </c>
      <c r="D2594" s="105">
        <v>45373.710794479164</v>
      </c>
      <c r="E2594" t="s">
        <v>312</v>
      </c>
      <c r="F2594" t="s">
        <v>1402</v>
      </c>
      <c r="G2594">
        <v>0</v>
      </c>
      <c r="H2594" t="s">
        <v>315</v>
      </c>
      <c r="I2594">
        <v>0</v>
      </c>
      <c r="J2594">
        <v>0</v>
      </c>
      <c r="K2594">
        <v>0</v>
      </c>
      <c r="L2594" t="s">
        <v>241</v>
      </c>
      <c r="M2594" t="s">
        <v>101</v>
      </c>
      <c r="N2594">
        <v>1</v>
      </c>
      <c r="O2594" t="s">
        <v>1393</v>
      </c>
      <c r="P2594" t="s">
        <v>310</v>
      </c>
      <c r="Q2594" t="s">
        <v>310</v>
      </c>
      <c r="R2594" t="s">
        <v>310</v>
      </c>
      <c r="S2594">
        <v>9</v>
      </c>
      <c r="T2594" t="s">
        <v>310</v>
      </c>
      <c r="U2594">
        <v>9</v>
      </c>
      <c r="V2594">
        <v>9</v>
      </c>
      <c r="W2594">
        <v>0</v>
      </c>
      <c r="X2594">
        <v>0</v>
      </c>
      <c r="Y2594">
        <v>0</v>
      </c>
      <c r="Z2594">
        <v>0</v>
      </c>
      <c r="AA2594">
        <v>9</v>
      </c>
      <c r="AB2594">
        <v>9</v>
      </c>
      <c r="AC2594" t="s">
        <v>310</v>
      </c>
      <c r="AD2594">
        <v>9</v>
      </c>
      <c r="AE2594" t="s">
        <v>1416</v>
      </c>
      <c r="AF2594">
        <v>50000000</v>
      </c>
      <c r="AG2594" t="s">
        <v>310</v>
      </c>
      <c r="AH2594">
        <f>SUM((MID(Dyno_Data[[#This Row],[Team]],4,5))+(Dyno_Data[[#This Row],[Match]]/100))</f>
        <v>3419.49</v>
      </c>
      <c r="AI2594" s="76">
        <f>ROUND(SUM(IF(Dyno_Data[[#This Row],[AcqCenter]]&gt;0,Dyno_Data[[#This Row],[Time]]-SUMIFS(Dyno_Data[Time],Dyno_Data[Team],Dyno_Data[[#This Row],[Team]],Dyno_Data[RecordType],"StartMatch",Dyno_Data[Match],Dyno_Data[[#This Row],[Match]]),0)*86400),0)</f>
        <v>0</v>
      </c>
    </row>
    <row r="2595" spans="1:35" x14ac:dyDescent="0.3">
      <c r="A2595">
        <v>2594</v>
      </c>
      <c r="B2595" t="s">
        <v>1308</v>
      </c>
      <c r="C2595">
        <v>49</v>
      </c>
      <c r="D2595" s="105">
        <v>45373.710805439812</v>
      </c>
      <c r="E2595" t="s">
        <v>312</v>
      </c>
      <c r="F2595" t="s">
        <v>1402</v>
      </c>
      <c r="G2595">
        <v>0</v>
      </c>
      <c r="H2595" t="s">
        <v>315</v>
      </c>
      <c r="I2595">
        <v>0</v>
      </c>
      <c r="J2595">
        <v>0</v>
      </c>
      <c r="K2595">
        <v>0</v>
      </c>
      <c r="L2595" t="s">
        <v>240</v>
      </c>
      <c r="M2595" t="s">
        <v>1398</v>
      </c>
      <c r="N2595">
        <v>0</v>
      </c>
      <c r="O2595" t="s">
        <v>1389</v>
      </c>
      <c r="P2595" t="s">
        <v>310</v>
      </c>
      <c r="Q2595" t="s">
        <v>310</v>
      </c>
      <c r="R2595" t="s">
        <v>310</v>
      </c>
      <c r="S2595">
        <v>9</v>
      </c>
      <c r="T2595" t="s">
        <v>310</v>
      </c>
      <c r="U2595">
        <v>9</v>
      </c>
      <c r="V2595">
        <v>9</v>
      </c>
      <c r="W2595">
        <v>0</v>
      </c>
      <c r="X2595">
        <v>0</v>
      </c>
      <c r="Y2595">
        <v>0</v>
      </c>
      <c r="Z2595">
        <v>0</v>
      </c>
      <c r="AA2595">
        <v>9</v>
      </c>
      <c r="AB2595">
        <v>9</v>
      </c>
      <c r="AC2595" t="s">
        <v>310</v>
      </c>
      <c r="AD2595">
        <v>9</v>
      </c>
      <c r="AE2595" t="s">
        <v>1414</v>
      </c>
      <c r="AF2595">
        <v>80000000</v>
      </c>
      <c r="AG2595" t="s">
        <v>310</v>
      </c>
      <c r="AH2595">
        <f>SUM((MID(Dyno_Data[[#This Row],[Team]],4,5))+(Dyno_Data[[#This Row],[Match]]/100))</f>
        <v>3799.49</v>
      </c>
      <c r="AI2595" s="76">
        <f>ROUND(SUM(IF(Dyno_Data[[#This Row],[AcqCenter]]&gt;0,Dyno_Data[[#This Row],[Time]]-SUMIFS(Dyno_Data[Time],Dyno_Data[Team],Dyno_Data[[#This Row],[Team]],Dyno_Data[RecordType],"StartMatch",Dyno_Data[Match],Dyno_Data[[#This Row],[Match]]),0)*86400),0)</f>
        <v>0</v>
      </c>
    </row>
    <row r="2596" spans="1:35" x14ac:dyDescent="0.3">
      <c r="A2596">
        <v>2595</v>
      </c>
      <c r="B2596" t="s">
        <v>1306</v>
      </c>
      <c r="C2596">
        <v>49</v>
      </c>
      <c r="D2596" s="105">
        <v>45373.710816319443</v>
      </c>
      <c r="E2596" t="s">
        <v>312</v>
      </c>
      <c r="F2596" t="s">
        <v>1402</v>
      </c>
      <c r="G2596">
        <v>0</v>
      </c>
      <c r="H2596" t="s">
        <v>315</v>
      </c>
      <c r="I2596">
        <v>0</v>
      </c>
      <c r="J2596">
        <v>0</v>
      </c>
      <c r="K2596">
        <v>0</v>
      </c>
      <c r="L2596" t="s">
        <v>241</v>
      </c>
      <c r="M2596" t="s">
        <v>1398</v>
      </c>
      <c r="N2596">
        <v>0</v>
      </c>
      <c r="O2596" t="s">
        <v>1395</v>
      </c>
      <c r="P2596" t="s">
        <v>310</v>
      </c>
      <c r="Q2596" t="s">
        <v>310</v>
      </c>
      <c r="R2596" t="s">
        <v>310</v>
      </c>
      <c r="S2596">
        <v>9</v>
      </c>
      <c r="T2596" t="s">
        <v>310</v>
      </c>
      <c r="U2596">
        <v>9</v>
      </c>
      <c r="V2596">
        <v>9</v>
      </c>
      <c r="W2596">
        <v>0</v>
      </c>
      <c r="X2596">
        <v>0</v>
      </c>
      <c r="Y2596">
        <v>0</v>
      </c>
      <c r="Z2596">
        <v>0</v>
      </c>
      <c r="AA2596">
        <v>9</v>
      </c>
      <c r="AB2596">
        <v>9</v>
      </c>
      <c r="AC2596" t="s">
        <v>310</v>
      </c>
      <c r="AD2596">
        <v>9</v>
      </c>
      <c r="AE2596" t="s">
        <v>1417</v>
      </c>
      <c r="AF2596">
        <v>50000000</v>
      </c>
      <c r="AG2596" t="s">
        <v>310</v>
      </c>
      <c r="AH2596">
        <f>SUM((MID(Dyno_Data[[#This Row],[Team]],4,5))+(Dyno_Data[[#This Row],[Match]]/100))</f>
        <v>3986.49</v>
      </c>
      <c r="AI2596" s="76">
        <f>ROUND(SUM(IF(Dyno_Data[[#This Row],[AcqCenter]]&gt;0,Dyno_Data[[#This Row],[Time]]-SUMIFS(Dyno_Data[Time],Dyno_Data[Team],Dyno_Data[[#This Row],[Team]],Dyno_Data[RecordType],"StartMatch",Dyno_Data[Match],Dyno_Data[[#This Row],[Match]]),0)*86400),0)</f>
        <v>0</v>
      </c>
    </row>
    <row r="2597" spans="1:35" x14ac:dyDescent="0.3">
      <c r="A2597">
        <v>2596</v>
      </c>
      <c r="B2597" t="s">
        <v>1282</v>
      </c>
      <c r="C2597">
        <v>49</v>
      </c>
      <c r="D2597" s="105">
        <v>45373.710864814813</v>
      </c>
      <c r="E2597" t="s">
        <v>312</v>
      </c>
      <c r="F2597" t="s">
        <v>1402</v>
      </c>
      <c r="G2597">
        <v>0</v>
      </c>
      <c r="H2597" t="s">
        <v>315</v>
      </c>
      <c r="I2597">
        <v>0</v>
      </c>
      <c r="J2597">
        <v>0</v>
      </c>
      <c r="K2597">
        <v>0</v>
      </c>
      <c r="L2597" t="s">
        <v>240</v>
      </c>
      <c r="M2597" t="s">
        <v>1398</v>
      </c>
      <c r="N2597">
        <v>0</v>
      </c>
      <c r="O2597" t="s">
        <v>1391</v>
      </c>
      <c r="P2597" t="s">
        <v>310</v>
      </c>
      <c r="Q2597" t="s">
        <v>310</v>
      </c>
      <c r="R2597" t="s">
        <v>310</v>
      </c>
      <c r="S2597">
        <v>9</v>
      </c>
      <c r="T2597" t="s">
        <v>310</v>
      </c>
      <c r="U2597">
        <v>9</v>
      </c>
      <c r="V2597">
        <v>9</v>
      </c>
      <c r="W2597">
        <v>0</v>
      </c>
      <c r="X2597">
        <v>0</v>
      </c>
      <c r="Y2597">
        <v>0</v>
      </c>
      <c r="Z2597">
        <v>0</v>
      </c>
      <c r="AA2597">
        <v>9</v>
      </c>
      <c r="AB2597">
        <v>9</v>
      </c>
      <c r="AC2597" t="s">
        <v>310</v>
      </c>
      <c r="AD2597">
        <v>9</v>
      </c>
      <c r="AE2597" t="s">
        <v>1418</v>
      </c>
      <c r="AF2597">
        <v>40000000</v>
      </c>
      <c r="AG2597" t="s">
        <v>310</v>
      </c>
      <c r="AH2597">
        <f>SUM((MID(Dyno_Data[[#This Row],[Team]],4,5))+(Dyno_Data[[#This Row],[Match]]/100))</f>
        <v>333.49</v>
      </c>
      <c r="AI2597" s="76">
        <f>ROUND(SUM(IF(Dyno_Data[[#This Row],[AcqCenter]]&gt;0,Dyno_Data[[#This Row],[Time]]-SUMIFS(Dyno_Data[Time],Dyno_Data[Team],Dyno_Data[[#This Row],[Team]],Dyno_Data[RecordType],"StartMatch",Dyno_Data[Match],Dyno_Data[[#This Row],[Match]]),0)*86400),0)</f>
        <v>0</v>
      </c>
    </row>
    <row r="2598" spans="1:35" x14ac:dyDescent="0.3">
      <c r="A2598">
        <v>2597</v>
      </c>
      <c r="B2598" t="s">
        <v>1314</v>
      </c>
      <c r="C2598">
        <v>49</v>
      </c>
      <c r="D2598" s="105">
        <v>45373.710880706021</v>
      </c>
      <c r="E2598" t="s">
        <v>312</v>
      </c>
      <c r="F2598" t="s">
        <v>1402</v>
      </c>
      <c r="G2598">
        <v>0</v>
      </c>
      <c r="H2598" t="s">
        <v>315</v>
      </c>
      <c r="I2598">
        <v>0</v>
      </c>
      <c r="J2598">
        <v>0</v>
      </c>
      <c r="K2598">
        <v>0</v>
      </c>
      <c r="L2598" t="s">
        <v>241</v>
      </c>
      <c r="M2598" t="s">
        <v>101</v>
      </c>
      <c r="N2598">
        <v>0</v>
      </c>
      <c r="O2598" t="s">
        <v>1393</v>
      </c>
      <c r="P2598" t="s">
        <v>310</v>
      </c>
      <c r="Q2598" t="s">
        <v>310</v>
      </c>
      <c r="R2598" t="s">
        <v>310</v>
      </c>
      <c r="S2598">
        <v>9</v>
      </c>
      <c r="T2598" t="s">
        <v>310</v>
      </c>
      <c r="U2598">
        <v>9</v>
      </c>
      <c r="V2598">
        <v>9</v>
      </c>
      <c r="W2598">
        <v>0</v>
      </c>
      <c r="X2598">
        <v>0</v>
      </c>
      <c r="Y2598">
        <v>0</v>
      </c>
      <c r="Z2598">
        <v>0</v>
      </c>
      <c r="AA2598">
        <v>9</v>
      </c>
      <c r="AB2598">
        <v>9</v>
      </c>
      <c r="AC2598" t="s">
        <v>310</v>
      </c>
      <c r="AD2598">
        <v>9</v>
      </c>
      <c r="AE2598" t="s">
        <v>1416</v>
      </c>
      <c r="AF2598">
        <v>60000000</v>
      </c>
      <c r="AG2598" t="s">
        <v>310</v>
      </c>
      <c r="AH2598">
        <f>SUM((MID(Dyno_Data[[#This Row],[Team]],4,5))+(Dyno_Data[[#This Row],[Match]]/100))</f>
        <v>3419.49</v>
      </c>
      <c r="AI2598" s="76">
        <f>ROUND(SUM(IF(Dyno_Data[[#This Row],[AcqCenter]]&gt;0,Dyno_Data[[#This Row],[Time]]-SUMIFS(Dyno_Data[Time],Dyno_Data[Team],Dyno_Data[[#This Row],[Team]],Dyno_Data[RecordType],"StartMatch",Dyno_Data[Match],Dyno_Data[[#This Row],[Match]]),0)*86400),0)</f>
        <v>0</v>
      </c>
    </row>
    <row r="2599" spans="1:35" x14ac:dyDescent="0.3">
      <c r="A2599">
        <v>2598</v>
      </c>
      <c r="B2599" t="s">
        <v>1288</v>
      </c>
      <c r="C2599">
        <v>49</v>
      </c>
      <c r="D2599" s="105">
        <v>45373.711013194443</v>
      </c>
      <c r="E2599" t="s">
        <v>312</v>
      </c>
      <c r="F2599" t="s">
        <v>1402</v>
      </c>
      <c r="G2599">
        <v>0</v>
      </c>
      <c r="H2599" t="s">
        <v>315</v>
      </c>
      <c r="I2599">
        <v>0</v>
      </c>
      <c r="J2599">
        <v>0</v>
      </c>
      <c r="K2599">
        <v>0</v>
      </c>
      <c r="L2599" t="s">
        <v>241</v>
      </c>
      <c r="M2599" t="s">
        <v>1398</v>
      </c>
      <c r="N2599">
        <v>0</v>
      </c>
      <c r="O2599" t="s">
        <v>311</v>
      </c>
      <c r="P2599" t="s">
        <v>310</v>
      </c>
      <c r="Q2599" t="s">
        <v>310</v>
      </c>
      <c r="R2599" t="s">
        <v>310</v>
      </c>
      <c r="S2599">
        <v>9</v>
      </c>
      <c r="T2599" t="s">
        <v>310</v>
      </c>
      <c r="U2599">
        <v>9</v>
      </c>
      <c r="V2599">
        <v>9</v>
      </c>
      <c r="W2599">
        <v>0</v>
      </c>
      <c r="X2599">
        <v>0</v>
      </c>
      <c r="Y2599">
        <v>0</v>
      </c>
      <c r="Z2599">
        <v>0</v>
      </c>
      <c r="AA2599">
        <v>9</v>
      </c>
      <c r="AB2599">
        <v>9</v>
      </c>
      <c r="AC2599" t="s">
        <v>310</v>
      </c>
      <c r="AD2599">
        <v>9</v>
      </c>
      <c r="AE2599" t="s">
        <v>1412</v>
      </c>
      <c r="AF2599">
        <v>90000000</v>
      </c>
      <c r="AG2599" t="s">
        <v>310</v>
      </c>
      <c r="AH2599">
        <f>SUM((MID(Dyno_Data[[#This Row],[Team]],4,5))+(Dyno_Data[[#This Row],[Match]]/100))</f>
        <v>3181.49</v>
      </c>
      <c r="AI2599" s="76">
        <f>ROUND(SUM(IF(Dyno_Data[[#This Row],[AcqCenter]]&gt;0,Dyno_Data[[#This Row],[Time]]-SUMIFS(Dyno_Data[Time],Dyno_Data[Team],Dyno_Data[[#This Row],[Team]],Dyno_Data[RecordType],"StartMatch",Dyno_Data[Match],Dyno_Data[[#This Row],[Match]]),0)*86400),0)</f>
        <v>0</v>
      </c>
    </row>
    <row r="2600" spans="1:35" x14ac:dyDescent="0.3">
      <c r="A2600">
        <v>2599</v>
      </c>
      <c r="B2600" t="s">
        <v>1308</v>
      </c>
      <c r="C2600">
        <v>49</v>
      </c>
      <c r="D2600" s="105">
        <v>45373.711015358793</v>
      </c>
      <c r="E2600" t="s">
        <v>312</v>
      </c>
      <c r="F2600" t="s">
        <v>1402</v>
      </c>
      <c r="G2600">
        <v>0</v>
      </c>
      <c r="H2600" t="s">
        <v>315</v>
      </c>
      <c r="I2600">
        <v>0</v>
      </c>
      <c r="J2600">
        <v>0</v>
      </c>
      <c r="K2600">
        <v>0</v>
      </c>
      <c r="L2600" t="s">
        <v>240</v>
      </c>
      <c r="M2600" t="s">
        <v>1398</v>
      </c>
      <c r="N2600">
        <v>0</v>
      </c>
      <c r="O2600" t="s">
        <v>1389</v>
      </c>
      <c r="P2600" t="s">
        <v>310</v>
      </c>
      <c r="Q2600" t="s">
        <v>310</v>
      </c>
      <c r="R2600" t="s">
        <v>310</v>
      </c>
      <c r="S2600">
        <v>9</v>
      </c>
      <c r="T2600" t="s">
        <v>310</v>
      </c>
      <c r="U2600">
        <v>9</v>
      </c>
      <c r="V2600">
        <v>9</v>
      </c>
      <c r="W2600">
        <v>0</v>
      </c>
      <c r="X2600">
        <v>0</v>
      </c>
      <c r="Y2600">
        <v>0</v>
      </c>
      <c r="Z2600">
        <v>0</v>
      </c>
      <c r="AA2600">
        <v>9</v>
      </c>
      <c r="AB2600">
        <v>9</v>
      </c>
      <c r="AC2600" t="s">
        <v>310</v>
      </c>
      <c r="AD2600">
        <v>9</v>
      </c>
      <c r="AE2600" t="s">
        <v>1414</v>
      </c>
      <c r="AF2600">
        <v>90000000</v>
      </c>
      <c r="AG2600" t="s">
        <v>310</v>
      </c>
      <c r="AH2600">
        <f>SUM((MID(Dyno_Data[[#This Row],[Team]],4,5))+(Dyno_Data[[#This Row],[Match]]/100))</f>
        <v>3799.49</v>
      </c>
      <c r="AI2600" s="76">
        <f>ROUND(SUM(IF(Dyno_Data[[#This Row],[AcqCenter]]&gt;0,Dyno_Data[[#This Row],[Time]]-SUMIFS(Dyno_Data[Time],Dyno_Data[Team],Dyno_Data[[#This Row],[Team]],Dyno_Data[RecordType],"StartMatch",Dyno_Data[Match],Dyno_Data[[#This Row],[Match]]),0)*86400),0)</f>
        <v>0</v>
      </c>
    </row>
    <row r="2601" spans="1:35" x14ac:dyDescent="0.3">
      <c r="A2601">
        <v>2600</v>
      </c>
      <c r="B2601" t="s">
        <v>1306</v>
      </c>
      <c r="C2601">
        <v>49</v>
      </c>
      <c r="D2601" s="105">
        <v>45373.711029016202</v>
      </c>
      <c r="E2601" t="s">
        <v>312</v>
      </c>
      <c r="F2601" t="s">
        <v>1402</v>
      </c>
      <c r="G2601">
        <v>0</v>
      </c>
      <c r="H2601" t="s">
        <v>315</v>
      </c>
      <c r="I2601">
        <v>0</v>
      </c>
      <c r="J2601">
        <v>0</v>
      </c>
      <c r="K2601">
        <v>0</v>
      </c>
      <c r="L2601" t="s">
        <v>241</v>
      </c>
      <c r="M2601" t="s">
        <v>1398</v>
      </c>
      <c r="N2601">
        <v>0</v>
      </c>
      <c r="O2601" t="s">
        <v>1395</v>
      </c>
      <c r="P2601" t="s">
        <v>310</v>
      </c>
      <c r="Q2601" t="s">
        <v>310</v>
      </c>
      <c r="R2601" t="s">
        <v>310</v>
      </c>
      <c r="S2601">
        <v>9</v>
      </c>
      <c r="T2601" t="s">
        <v>310</v>
      </c>
      <c r="U2601">
        <v>9</v>
      </c>
      <c r="V2601">
        <v>9</v>
      </c>
      <c r="W2601">
        <v>0</v>
      </c>
      <c r="X2601">
        <v>0</v>
      </c>
      <c r="Y2601">
        <v>0</v>
      </c>
      <c r="Z2601">
        <v>0</v>
      </c>
      <c r="AA2601">
        <v>9</v>
      </c>
      <c r="AB2601">
        <v>9</v>
      </c>
      <c r="AC2601" t="s">
        <v>310</v>
      </c>
      <c r="AD2601">
        <v>9</v>
      </c>
      <c r="AE2601" t="s">
        <v>1417</v>
      </c>
      <c r="AF2601">
        <v>60000000</v>
      </c>
      <c r="AG2601" t="s">
        <v>310</v>
      </c>
      <c r="AH2601">
        <f>SUM((MID(Dyno_Data[[#This Row],[Team]],4,5))+(Dyno_Data[[#This Row],[Match]]/100))</f>
        <v>3986.49</v>
      </c>
      <c r="AI2601" s="76">
        <f>ROUND(SUM(IF(Dyno_Data[[#This Row],[AcqCenter]]&gt;0,Dyno_Data[[#This Row],[Time]]-SUMIFS(Dyno_Data[Time],Dyno_Data[Team],Dyno_Data[[#This Row],[Team]],Dyno_Data[RecordType],"StartMatch",Dyno_Data[Match],Dyno_Data[[#This Row],[Match]]),0)*86400),0)</f>
        <v>0</v>
      </c>
    </row>
    <row r="2602" spans="1:35" x14ac:dyDescent="0.3">
      <c r="A2602">
        <v>2601</v>
      </c>
      <c r="B2602" t="s">
        <v>1282</v>
      </c>
      <c r="C2602">
        <v>49</v>
      </c>
      <c r="D2602" s="105">
        <v>45373.711060960646</v>
      </c>
      <c r="E2602" t="s">
        <v>312</v>
      </c>
      <c r="F2602" t="s">
        <v>1402</v>
      </c>
      <c r="G2602">
        <v>0</v>
      </c>
      <c r="H2602" t="s">
        <v>315</v>
      </c>
      <c r="I2602">
        <v>0</v>
      </c>
      <c r="J2602">
        <v>0</v>
      </c>
      <c r="K2602">
        <v>0</v>
      </c>
      <c r="L2602" t="s">
        <v>240</v>
      </c>
      <c r="M2602" t="s">
        <v>1398</v>
      </c>
      <c r="N2602">
        <v>0</v>
      </c>
      <c r="O2602" t="s">
        <v>1391</v>
      </c>
      <c r="P2602" t="s">
        <v>310</v>
      </c>
      <c r="Q2602" t="s">
        <v>310</v>
      </c>
      <c r="R2602" t="s">
        <v>310</v>
      </c>
      <c r="S2602">
        <v>9</v>
      </c>
      <c r="T2602" t="s">
        <v>310</v>
      </c>
      <c r="U2602">
        <v>9</v>
      </c>
      <c r="V2602">
        <v>9</v>
      </c>
      <c r="W2602">
        <v>0</v>
      </c>
      <c r="X2602">
        <v>0</v>
      </c>
      <c r="Y2602">
        <v>0</v>
      </c>
      <c r="Z2602">
        <v>0</v>
      </c>
      <c r="AA2602">
        <v>9</v>
      </c>
      <c r="AB2602">
        <v>9</v>
      </c>
      <c r="AC2602" t="s">
        <v>310</v>
      </c>
      <c r="AD2602">
        <v>9</v>
      </c>
      <c r="AE2602" t="s">
        <v>1418</v>
      </c>
      <c r="AF2602">
        <v>50000000</v>
      </c>
      <c r="AG2602" t="s">
        <v>310</v>
      </c>
      <c r="AH2602">
        <f>SUM((MID(Dyno_Data[[#This Row],[Team]],4,5))+(Dyno_Data[[#This Row],[Match]]/100))</f>
        <v>333.49</v>
      </c>
      <c r="AI2602" s="76">
        <f>ROUND(SUM(IF(Dyno_Data[[#This Row],[AcqCenter]]&gt;0,Dyno_Data[[#This Row],[Time]]-SUMIFS(Dyno_Data[Time],Dyno_Data[Team],Dyno_Data[[#This Row],[Team]],Dyno_Data[RecordType],"StartMatch",Dyno_Data[Match],Dyno_Data[[#This Row],[Match]]),0)*86400),0)</f>
        <v>0</v>
      </c>
    </row>
    <row r="2603" spans="1:35" x14ac:dyDescent="0.3">
      <c r="A2603">
        <v>2602</v>
      </c>
      <c r="B2603" t="s">
        <v>1314</v>
      </c>
      <c r="C2603">
        <v>49</v>
      </c>
      <c r="D2603" s="105">
        <v>45373.711143483793</v>
      </c>
      <c r="E2603" t="s">
        <v>312</v>
      </c>
      <c r="F2603" t="s">
        <v>1402</v>
      </c>
      <c r="G2603">
        <v>0</v>
      </c>
      <c r="H2603" t="s">
        <v>315</v>
      </c>
      <c r="I2603">
        <v>0</v>
      </c>
      <c r="J2603">
        <v>0</v>
      </c>
      <c r="K2603">
        <v>0</v>
      </c>
      <c r="L2603" t="s">
        <v>241</v>
      </c>
      <c r="M2603" t="s">
        <v>101</v>
      </c>
      <c r="N2603">
        <v>0</v>
      </c>
      <c r="O2603" t="s">
        <v>1393</v>
      </c>
      <c r="P2603" t="s">
        <v>310</v>
      </c>
      <c r="Q2603" t="s">
        <v>310</v>
      </c>
      <c r="R2603" t="s">
        <v>310</v>
      </c>
      <c r="S2603">
        <v>9</v>
      </c>
      <c r="T2603" t="s">
        <v>310</v>
      </c>
      <c r="U2603">
        <v>9</v>
      </c>
      <c r="V2603">
        <v>9</v>
      </c>
      <c r="W2603">
        <v>0</v>
      </c>
      <c r="X2603">
        <v>0</v>
      </c>
      <c r="Y2603">
        <v>0</v>
      </c>
      <c r="Z2603">
        <v>0</v>
      </c>
      <c r="AA2603">
        <v>9</v>
      </c>
      <c r="AB2603">
        <v>9</v>
      </c>
      <c r="AC2603" t="s">
        <v>310</v>
      </c>
      <c r="AD2603">
        <v>9</v>
      </c>
      <c r="AE2603" t="s">
        <v>1416</v>
      </c>
      <c r="AF2603">
        <v>70000000</v>
      </c>
      <c r="AG2603" t="s">
        <v>310</v>
      </c>
      <c r="AH2603">
        <f>SUM((MID(Dyno_Data[[#This Row],[Team]],4,5))+(Dyno_Data[[#This Row],[Match]]/100))</f>
        <v>3419.49</v>
      </c>
      <c r="AI2603" s="76">
        <f>ROUND(SUM(IF(Dyno_Data[[#This Row],[AcqCenter]]&gt;0,Dyno_Data[[#This Row],[Time]]-SUMIFS(Dyno_Data[Time],Dyno_Data[Team],Dyno_Data[[#This Row],[Team]],Dyno_Data[RecordType],"StartMatch",Dyno_Data[Match],Dyno_Data[[#This Row],[Match]]),0)*86400),0)</f>
        <v>0</v>
      </c>
    </row>
    <row r="2604" spans="1:35" x14ac:dyDescent="0.3">
      <c r="A2604">
        <v>2603</v>
      </c>
      <c r="B2604" t="s">
        <v>1308</v>
      </c>
      <c r="C2604">
        <v>49</v>
      </c>
      <c r="D2604" s="105">
        <v>45373.711192939816</v>
      </c>
      <c r="E2604" t="s">
        <v>312</v>
      </c>
      <c r="F2604" t="s">
        <v>1402</v>
      </c>
      <c r="G2604">
        <v>0</v>
      </c>
      <c r="H2604" t="s">
        <v>315</v>
      </c>
      <c r="I2604">
        <v>0</v>
      </c>
      <c r="J2604">
        <v>0</v>
      </c>
      <c r="K2604">
        <v>0</v>
      </c>
      <c r="L2604" t="s">
        <v>240</v>
      </c>
      <c r="M2604" t="s">
        <v>1398</v>
      </c>
      <c r="N2604">
        <v>0</v>
      </c>
      <c r="O2604" t="s">
        <v>1389</v>
      </c>
      <c r="P2604" t="s">
        <v>310</v>
      </c>
      <c r="Q2604" t="s">
        <v>310</v>
      </c>
      <c r="R2604" t="s">
        <v>310</v>
      </c>
      <c r="S2604">
        <v>9</v>
      </c>
      <c r="T2604" t="s">
        <v>310</v>
      </c>
      <c r="U2604">
        <v>9</v>
      </c>
      <c r="V2604">
        <v>9</v>
      </c>
      <c r="W2604">
        <v>0</v>
      </c>
      <c r="X2604">
        <v>0</v>
      </c>
      <c r="Y2604">
        <v>0</v>
      </c>
      <c r="Z2604">
        <v>0</v>
      </c>
      <c r="AA2604">
        <v>9</v>
      </c>
      <c r="AB2604">
        <v>9</v>
      </c>
      <c r="AC2604" t="s">
        <v>310</v>
      </c>
      <c r="AD2604">
        <v>9</v>
      </c>
      <c r="AE2604" t="s">
        <v>1414</v>
      </c>
      <c r="AF2604">
        <v>100000000</v>
      </c>
      <c r="AG2604" t="s">
        <v>310</v>
      </c>
      <c r="AH2604">
        <f>SUM((MID(Dyno_Data[[#This Row],[Team]],4,5))+(Dyno_Data[[#This Row],[Match]]/100))</f>
        <v>3799.49</v>
      </c>
      <c r="AI2604" s="76">
        <f>ROUND(SUM(IF(Dyno_Data[[#This Row],[AcqCenter]]&gt;0,Dyno_Data[[#This Row],[Time]]-SUMIFS(Dyno_Data[Time],Dyno_Data[Team],Dyno_Data[[#This Row],[Team]],Dyno_Data[RecordType],"StartMatch",Dyno_Data[Match],Dyno_Data[[#This Row],[Match]]),0)*86400),0)</f>
        <v>0</v>
      </c>
    </row>
    <row r="2605" spans="1:35" x14ac:dyDescent="0.3">
      <c r="A2605">
        <v>2604</v>
      </c>
      <c r="B2605" t="s">
        <v>1288</v>
      </c>
      <c r="C2605">
        <v>49</v>
      </c>
      <c r="D2605" s="105">
        <v>45373.711209490742</v>
      </c>
      <c r="E2605" t="s">
        <v>312</v>
      </c>
      <c r="F2605" t="s">
        <v>1402</v>
      </c>
      <c r="G2605">
        <v>0</v>
      </c>
      <c r="H2605" t="s">
        <v>315</v>
      </c>
      <c r="I2605">
        <v>0</v>
      </c>
      <c r="J2605">
        <v>0</v>
      </c>
      <c r="K2605">
        <v>0</v>
      </c>
      <c r="L2605" t="s">
        <v>241</v>
      </c>
      <c r="M2605" t="s">
        <v>1398</v>
      </c>
      <c r="N2605">
        <v>0</v>
      </c>
      <c r="O2605" t="s">
        <v>311</v>
      </c>
      <c r="P2605" t="s">
        <v>310</v>
      </c>
      <c r="Q2605" t="s">
        <v>310</v>
      </c>
      <c r="R2605" t="s">
        <v>310</v>
      </c>
      <c r="S2605">
        <v>9</v>
      </c>
      <c r="T2605" t="s">
        <v>310</v>
      </c>
      <c r="U2605">
        <v>9</v>
      </c>
      <c r="V2605">
        <v>9</v>
      </c>
      <c r="W2605">
        <v>0</v>
      </c>
      <c r="X2605">
        <v>0</v>
      </c>
      <c r="Y2605">
        <v>0</v>
      </c>
      <c r="Z2605">
        <v>0</v>
      </c>
      <c r="AA2605">
        <v>9</v>
      </c>
      <c r="AB2605">
        <v>9</v>
      </c>
      <c r="AC2605" t="s">
        <v>310</v>
      </c>
      <c r="AD2605">
        <v>9</v>
      </c>
      <c r="AE2605" t="s">
        <v>1412</v>
      </c>
      <c r="AF2605">
        <v>100000000</v>
      </c>
      <c r="AG2605" t="s">
        <v>310</v>
      </c>
      <c r="AH2605">
        <f>SUM((MID(Dyno_Data[[#This Row],[Team]],4,5))+(Dyno_Data[[#This Row],[Match]]/100))</f>
        <v>3181.49</v>
      </c>
      <c r="AI2605" s="76">
        <f>ROUND(SUM(IF(Dyno_Data[[#This Row],[AcqCenter]]&gt;0,Dyno_Data[[#This Row],[Time]]-SUMIFS(Dyno_Data[Time],Dyno_Data[Team],Dyno_Data[[#This Row],[Team]],Dyno_Data[RecordType],"StartMatch",Dyno_Data[Match],Dyno_Data[[#This Row],[Match]]),0)*86400),0)</f>
        <v>0</v>
      </c>
    </row>
    <row r="2606" spans="1:35" x14ac:dyDescent="0.3">
      <c r="A2606">
        <v>2605</v>
      </c>
      <c r="B2606" t="s">
        <v>1306</v>
      </c>
      <c r="C2606">
        <v>49</v>
      </c>
      <c r="D2606" s="105">
        <v>45373.711215428244</v>
      </c>
      <c r="E2606" t="s">
        <v>312</v>
      </c>
      <c r="F2606" t="s">
        <v>1402</v>
      </c>
      <c r="G2606">
        <v>0</v>
      </c>
      <c r="H2606" t="s">
        <v>315</v>
      </c>
      <c r="I2606">
        <v>0</v>
      </c>
      <c r="J2606">
        <v>0</v>
      </c>
      <c r="K2606">
        <v>0</v>
      </c>
      <c r="L2606" t="s">
        <v>241</v>
      </c>
      <c r="M2606" t="s">
        <v>1398</v>
      </c>
      <c r="N2606">
        <v>0</v>
      </c>
      <c r="O2606" t="s">
        <v>1395</v>
      </c>
      <c r="P2606" t="s">
        <v>310</v>
      </c>
      <c r="Q2606" t="s">
        <v>310</v>
      </c>
      <c r="R2606" t="s">
        <v>310</v>
      </c>
      <c r="S2606">
        <v>9</v>
      </c>
      <c r="T2606" t="s">
        <v>310</v>
      </c>
      <c r="U2606">
        <v>9</v>
      </c>
      <c r="V2606">
        <v>9</v>
      </c>
      <c r="W2606">
        <v>0</v>
      </c>
      <c r="X2606">
        <v>0</v>
      </c>
      <c r="Y2606">
        <v>0</v>
      </c>
      <c r="Z2606">
        <v>0</v>
      </c>
      <c r="AA2606">
        <v>9</v>
      </c>
      <c r="AB2606">
        <v>9</v>
      </c>
      <c r="AC2606" t="s">
        <v>310</v>
      </c>
      <c r="AD2606">
        <v>9</v>
      </c>
      <c r="AE2606" t="s">
        <v>1417</v>
      </c>
      <c r="AF2606">
        <v>70000000</v>
      </c>
      <c r="AG2606" t="s">
        <v>310</v>
      </c>
      <c r="AH2606">
        <f>SUM((MID(Dyno_Data[[#This Row],[Team]],4,5))+(Dyno_Data[[#This Row],[Match]]/100))</f>
        <v>3986.49</v>
      </c>
      <c r="AI2606" s="76">
        <f>ROUND(SUM(IF(Dyno_Data[[#This Row],[AcqCenter]]&gt;0,Dyno_Data[[#This Row],[Time]]-SUMIFS(Dyno_Data[Time],Dyno_Data[Team],Dyno_Data[[#This Row],[Team]],Dyno_Data[RecordType],"StartMatch",Dyno_Data[Match],Dyno_Data[[#This Row],[Match]]),0)*86400),0)</f>
        <v>0</v>
      </c>
    </row>
    <row r="2607" spans="1:35" x14ac:dyDescent="0.3">
      <c r="A2607">
        <v>2606</v>
      </c>
      <c r="B2607" t="s">
        <v>1314</v>
      </c>
      <c r="C2607">
        <v>49</v>
      </c>
      <c r="D2607" s="105">
        <v>45373.71131230324</v>
      </c>
      <c r="E2607" t="s">
        <v>312</v>
      </c>
      <c r="F2607" t="s">
        <v>1402</v>
      </c>
      <c r="G2607">
        <v>0</v>
      </c>
      <c r="H2607" t="s">
        <v>315</v>
      </c>
      <c r="I2607">
        <v>0</v>
      </c>
      <c r="J2607">
        <v>0</v>
      </c>
      <c r="K2607">
        <v>0</v>
      </c>
      <c r="L2607" t="s">
        <v>240</v>
      </c>
      <c r="M2607" t="s">
        <v>1398</v>
      </c>
      <c r="N2607">
        <v>0</v>
      </c>
      <c r="O2607" t="s">
        <v>1393</v>
      </c>
      <c r="P2607" t="s">
        <v>310</v>
      </c>
      <c r="Q2607" t="s">
        <v>310</v>
      </c>
      <c r="R2607" t="s">
        <v>310</v>
      </c>
      <c r="S2607">
        <v>9</v>
      </c>
      <c r="T2607" t="s">
        <v>310</v>
      </c>
      <c r="U2607">
        <v>9</v>
      </c>
      <c r="V2607">
        <v>9</v>
      </c>
      <c r="W2607">
        <v>0</v>
      </c>
      <c r="X2607">
        <v>0</v>
      </c>
      <c r="Y2607">
        <v>0</v>
      </c>
      <c r="Z2607">
        <v>0</v>
      </c>
      <c r="AA2607">
        <v>9</v>
      </c>
      <c r="AB2607">
        <v>9</v>
      </c>
      <c r="AC2607" t="s">
        <v>310</v>
      </c>
      <c r="AD2607">
        <v>9</v>
      </c>
      <c r="AE2607" t="s">
        <v>1416</v>
      </c>
      <c r="AF2607">
        <v>80000000</v>
      </c>
      <c r="AG2607" t="s">
        <v>310</v>
      </c>
      <c r="AH2607">
        <f>SUM((MID(Dyno_Data[[#This Row],[Team]],4,5))+(Dyno_Data[[#This Row],[Match]]/100))</f>
        <v>3419.49</v>
      </c>
      <c r="AI2607" s="76">
        <f>ROUND(SUM(IF(Dyno_Data[[#This Row],[AcqCenter]]&gt;0,Dyno_Data[[#This Row],[Time]]-SUMIFS(Dyno_Data[Time],Dyno_Data[Team],Dyno_Data[[#This Row],[Team]],Dyno_Data[RecordType],"StartMatch",Dyno_Data[Match],Dyno_Data[[#This Row],[Match]]),0)*86400),0)</f>
        <v>0</v>
      </c>
    </row>
    <row r="2608" spans="1:35" x14ac:dyDescent="0.3">
      <c r="A2608">
        <v>2607</v>
      </c>
      <c r="B2608" t="s">
        <v>1308</v>
      </c>
      <c r="C2608">
        <v>49</v>
      </c>
      <c r="D2608" s="105">
        <v>45373.711370914352</v>
      </c>
      <c r="E2608" t="s">
        <v>312</v>
      </c>
      <c r="F2608" t="s">
        <v>1402</v>
      </c>
      <c r="G2608">
        <v>0</v>
      </c>
      <c r="H2608" t="s">
        <v>315</v>
      </c>
      <c r="I2608">
        <v>0</v>
      </c>
      <c r="J2608">
        <v>0</v>
      </c>
      <c r="K2608">
        <v>0</v>
      </c>
      <c r="L2608" t="s">
        <v>240</v>
      </c>
      <c r="M2608" t="s">
        <v>1398</v>
      </c>
      <c r="N2608">
        <v>0</v>
      </c>
      <c r="O2608" t="s">
        <v>1389</v>
      </c>
      <c r="P2608" t="s">
        <v>310</v>
      </c>
      <c r="Q2608" t="s">
        <v>310</v>
      </c>
      <c r="R2608" t="s">
        <v>310</v>
      </c>
      <c r="S2608">
        <v>9</v>
      </c>
      <c r="T2608" t="s">
        <v>310</v>
      </c>
      <c r="U2608">
        <v>9</v>
      </c>
      <c r="V2608">
        <v>9</v>
      </c>
      <c r="W2608">
        <v>0</v>
      </c>
      <c r="X2608">
        <v>0</v>
      </c>
      <c r="Y2608">
        <v>0</v>
      </c>
      <c r="Z2608">
        <v>0</v>
      </c>
      <c r="AA2608">
        <v>9</v>
      </c>
      <c r="AB2608">
        <v>9</v>
      </c>
      <c r="AC2608" t="s">
        <v>310</v>
      </c>
      <c r="AD2608">
        <v>9</v>
      </c>
      <c r="AE2608" t="s">
        <v>1414</v>
      </c>
      <c r="AF2608">
        <v>110000000</v>
      </c>
      <c r="AG2608" t="s">
        <v>310</v>
      </c>
      <c r="AH2608">
        <f>SUM((MID(Dyno_Data[[#This Row],[Team]],4,5))+(Dyno_Data[[#This Row],[Match]]/100))</f>
        <v>3799.49</v>
      </c>
      <c r="AI2608" s="76">
        <f>ROUND(SUM(IF(Dyno_Data[[#This Row],[AcqCenter]]&gt;0,Dyno_Data[[#This Row],[Time]]-SUMIFS(Dyno_Data[Time],Dyno_Data[Team],Dyno_Data[[#This Row],[Team]],Dyno_Data[RecordType],"StartMatch",Dyno_Data[Match],Dyno_Data[[#This Row],[Match]]),0)*86400),0)</f>
        <v>0</v>
      </c>
    </row>
    <row r="2609" spans="1:35" x14ac:dyDescent="0.3">
      <c r="A2609">
        <v>2608</v>
      </c>
      <c r="B2609" t="s">
        <v>1306</v>
      </c>
      <c r="C2609">
        <v>49</v>
      </c>
      <c r="D2609" s="105">
        <v>45373.711379548608</v>
      </c>
      <c r="E2609" t="s">
        <v>312</v>
      </c>
      <c r="F2609" t="s">
        <v>1402</v>
      </c>
      <c r="G2609">
        <v>0</v>
      </c>
      <c r="H2609" t="s">
        <v>315</v>
      </c>
      <c r="I2609">
        <v>0</v>
      </c>
      <c r="J2609">
        <v>0</v>
      </c>
      <c r="K2609">
        <v>0</v>
      </c>
      <c r="L2609" t="s">
        <v>241</v>
      </c>
      <c r="M2609" t="s">
        <v>1398</v>
      </c>
      <c r="N2609">
        <v>0</v>
      </c>
      <c r="O2609" t="s">
        <v>1395</v>
      </c>
      <c r="P2609" t="s">
        <v>310</v>
      </c>
      <c r="Q2609" t="s">
        <v>310</v>
      </c>
      <c r="R2609" t="s">
        <v>310</v>
      </c>
      <c r="S2609">
        <v>9</v>
      </c>
      <c r="T2609" t="s">
        <v>310</v>
      </c>
      <c r="U2609">
        <v>9</v>
      </c>
      <c r="V2609">
        <v>9</v>
      </c>
      <c r="W2609">
        <v>0</v>
      </c>
      <c r="X2609">
        <v>0</v>
      </c>
      <c r="Y2609">
        <v>0</v>
      </c>
      <c r="Z2609">
        <v>0</v>
      </c>
      <c r="AA2609">
        <v>9</v>
      </c>
      <c r="AB2609">
        <v>9</v>
      </c>
      <c r="AC2609" t="s">
        <v>310</v>
      </c>
      <c r="AD2609">
        <v>9</v>
      </c>
      <c r="AE2609" t="s">
        <v>1417</v>
      </c>
      <c r="AF2609">
        <v>80000000</v>
      </c>
      <c r="AG2609" t="s">
        <v>310</v>
      </c>
      <c r="AH2609">
        <f>SUM((MID(Dyno_Data[[#This Row],[Team]],4,5))+(Dyno_Data[[#This Row],[Match]]/100))</f>
        <v>3986.49</v>
      </c>
      <c r="AI2609" s="76">
        <f>ROUND(SUM(IF(Dyno_Data[[#This Row],[AcqCenter]]&gt;0,Dyno_Data[[#This Row],[Time]]-SUMIFS(Dyno_Data[Time],Dyno_Data[Team],Dyno_Data[[#This Row],[Team]],Dyno_Data[RecordType],"StartMatch",Dyno_Data[Match],Dyno_Data[[#This Row],[Match]]),0)*86400),0)</f>
        <v>0</v>
      </c>
    </row>
    <row r="2610" spans="1:35" x14ac:dyDescent="0.3">
      <c r="A2610">
        <v>2609</v>
      </c>
      <c r="B2610" t="s">
        <v>1282</v>
      </c>
      <c r="C2610">
        <v>49</v>
      </c>
      <c r="D2610" s="105">
        <v>45373.711388923613</v>
      </c>
      <c r="E2610" t="s">
        <v>312</v>
      </c>
      <c r="F2610" t="s">
        <v>1402</v>
      </c>
      <c r="G2610">
        <v>0</v>
      </c>
      <c r="H2610" t="s">
        <v>315</v>
      </c>
      <c r="I2610">
        <v>0</v>
      </c>
      <c r="J2610">
        <v>0</v>
      </c>
      <c r="K2610">
        <v>0</v>
      </c>
      <c r="L2610" t="s">
        <v>240</v>
      </c>
      <c r="M2610" t="s">
        <v>1398</v>
      </c>
      <c r="N2610">
        <v>0</v>
      </c>
      <c r="O2610" t="s">
        <v>1391</v>
      </c>
      <c r="P2610" t="s">
        <v>310</v>
      </c>
      <c r="Q2610" t="s">
        <v>310</v>
      </c>
      <c r="R2610" t="s">
        <v>310</v>
      </c>
      <c r="S2610">
        <v>9</v>
      </c>
      <c r="T2610" t="s">
        <v>310</v>
      </c>
      <c r="U2610">
        <v>9</v>
      </c>
      <c r="V2610">
        <v>9</v>
      </c>
      <c r="W2610">
        <v>0</v>
      </c>
      <c r="X2610">
        <v>0</v>
      </c>
      <c r="Y2610">
        <v>0</v>
      </c>
      <c r="Z2610">
        <v>0</v>
      </c>
      <c r="AA2610">
        <v>9</v>
      </c>
      <c r="AB2610">
        <v>9</v>
      </c>
      <c r="AC2610" t="s">
        <v>310</v>
      </c>
      <c r="AD2610">
        <v>9</v>
      </c>
      <c r="AE2610" t="s">
        <v>1418</v>
      </c>
      <c r="AF2610">
        <v>60000000</v>
      </c>
      <c r="AG2610" t="s">
        <v>310</v>
      </c>
      <c r="AH2610">
        <f>SUM((MID(Dyno_Data[[#This Row],[Team]],4,5))+(Dyno_Data[[#This Row],[Match]]/100))</f>
        <v>333.49</v>
      </c>
      <c r="AI2610" s="76">
        <f>ROUND(SUM(IF(Dyno_Data[[#This Row],[AcqCenter]]&gt;0,Dyno_Data[[#This Row],[Time]]-SUMIFS(Dyno_Data[Time],Dyno_Data[Team],Dyno_Data[[#This Row],[Team]],Dyno_Data[RecordType],"StartMatch",Dyno_Data[Match],Dyno_Data[[#This Row],[Match]]),0)*86400),0)</f>
        <v>0</v>
      </c>
    </row>
    <row r="2611" spans="1:35" x14ac:dyDescent="0.3">
      <c r="A2611">
        <v>2610</v>
      </c>
      <c r="B2611" t="s">
        <v>1288</v>
      </c>
      <c r="C2611">
        <v>49</v>
      </c>
      <c r="D2611" s="105">
        <v>45373.711511261572</v>
      </c>
      <c r="E2611" t="s">
        <v>312</v>
      </c>
      <c r="F2611" t="s">
        <v>1402</v>
      </c>
      <c r="G2611">
        <v>0</v>
      </c>
      <c r="H2611" t="s">
        <v>315</v>
      </c>
      <c r="I2611">
        <v>0</v>
      </c>
      <c r="J2611">
        <v>0</v>
      </c>
      <c r="K2611">
        <v>0</v>
      </c>
      <c r="L2611" t="s">
        <v>241</v>
      </c>
      <c r="M2611" t="s">
        <v>1398</v>
      </c>
      <c r="N2611">
        <v>0</v>
      </c>
      <c r="O2611" t="s">
        <v>311</v>
      </c>
      <c r="P2611" t="s">
        <v>310</v>
      </c>
      <c r="Q2611" t="s">
        <v>310</v>
      </c>
      <c r="R2611" t="s">
        <v>310</v>
      </c>
      <c r="S2611">
        <v>9</v>
      </c>
      <c r="T2611" t="s">
        <v>310</v>
      </c>
      <c r="U2611">
        <v>9</v>
      </c>
      <c r="V2611">
        <v>9</v>
      </c>
      <c r="W2611">
        <v>0</v>
      </c>
      <c r="X2611">
        <v>0</v>
      </c>
      <c r="Y2611">
        <v>0</v>
      </c>
      <c r="Z2611">
        <v>0</v>
      </c>
      <c r="AA2611">
        <v>9</v>
      </c>
      <c r="AB2611">
        <v>9</v>
      </c>
      <c r="AC2611" t="s">
        <v>310</v>
      </c>
      <c r="AD2611">
        <v>9</v>
      </c>
      <c r="AE2611" t="s">
        <v>1412</v>
      </c>
      <c r="AF2611">
        <v>110000000</v>
      </c>
      <c r="AG2611" t="s">
        <v>310</v>
      </c>
      <c r="AH2611">
        <f>SUM((MID(Dyno_Data[[#This Row],[Team]],4,5))+(Dyno_Data[[#This Row],[Match]]/100))</f>
        <v>3181.49</v>
      </c>
      <c r="AI2611" s="76">
        <f>ROUND(SUM(IF(Dyno_Data[[#This Row],[AcqCenter]]&gt;0,Dyno_Data[[#This Row],[Time]]-SUMIFS(Dyno_Data[Time],Dyno_Data[Team],Dyno_Data[[#This Row],[Team]],Dyno_Data[RecordType],"StartMatch",Dyno_Data[Match],Dyno_Data[[#This Row],[Match]]),0)*86400),0)</f>
        <v>0</v>
      </c>
    </row>
    <row r="2612" spans="1:35" x14ac:dyDescent="0.3">
      <c r="A2612">
        <v>2611</v>
      </c>
      <c r="B2612" t="s">
        <v>1288</v>
      </c>
      <c r="C2612">
        <v>49</v>
      </c>
      <c r="D2612" s="105">
        <v>45373.712758449074</v>
      </c>
      <c r="E2612" t="s">
        <v>316</v>
      </c>
      <c r="F2612" t="s">
        <v>317</v>
      </c>
      <c r="G2612">
        <v>1</v>
      </c>
      <c r="H2612" t="s">
        <v>310</v>
      </c>
      <c r="I2612">
        <v>0</v>
      </c>
      <c r="J2612">
        <v>0</v>
      </c>
      <c r="K2612">
        <v>0</v>
      </c>
      <c r="L2612" t="s">
        <v>310</v>
      </c>
      <c r="M2612" t="s">
        <v>310</v>
      </c>
      <c r="N2612">
        <v>0</v>
      </c>
      <c r="O2612" t="s">
        <v>311</v>
      </c>
      <c r="P2612" t="s">
        <v>1401</v>
      </c>
      <c r="Q2612" t="s">
        <v>1400</v>
      </c>
      <c r="R2612" t="s">
        <v>321</v>
      </c>
      <c r="S2612">
        <v>0</v>
      </c>
      <c r="T2612" t="s">
        <v>105</v>
      </c>
      <c r="U2612">
        <v>9</v>
      </c>
      <c r="V2612">
        <v>9</v>
      </c>
      <c r="W2612">
        <v>0</v>
      </c>
      <c r="X2612">
        <v>38.981957600000001</v>
      </c>
      <c r="Y2612">
        <v>23.8232961</v>
      </c>
      <c r="Z2612">
        <v>75.777307399999998</v>
      </c>
      <c r="AA2612">
        <v>0</v>
      </c>
      <c r="AB2612">
        <v>0</v>
      </c>
      <c r="AC2612" t="s">
        <v>173</v>
      </c>
      <c r="AD2612">
        <v>9</v>
      </c>
      <c r="AE2612" t="s">
        <v>1412</v>
      </c>
      <c r="AF2612">
        <v>110000000</v>
      </c>
      <c r="AG2612" t="s">
        <v>310</v>
      </c>
      <c r="AH2612">
        <f>SUM((MID(Dyno_Data[[#This Row],[Team]],4,5))+(Dyno_Data[[#This Row],[Match]]/100))</f>
        <v>3181.49</v>
      </c>
      <c r="AI2612" s="76">
        <f>ROUND(SUM(IF(Dyno_Data[[#This Row],[AcqCenter]]&gt;0,Dyno_Data[[#This Row],[Time]]-SUMIFS(Dyno_Data[Time],Dyno_Data[Team],Dyno_Data[[#This Row],[Team]],Dyno_Data[RecordType],"StartMatch",Dyno_Data[Match],Dyno_Data[[#This Row],[Match]]),0)*86400),0)</f>
        <v>0</v>
      </c>
    </row>
    <row r="2613" spans="1:35" x14ac:dyDescent="0.3">
      <c r="A2613">
        <v>2612</v>
      </c>
      <c r="B2613" t="s">
        <v>1282</v>
      </c>
      <c r="C2613">
        <v>49</v>
      </c>
      <c r="D2613" s="105">
        <v>45373.712758761576</v>
      </c>
      <c r="E2613" t="s">
        <v>316</v>
      </c>
      <c r="F2613" t="s">
        <v>317</v>
      </c>
      <c r="G2613">
        <v>0</v>
      </c>
      <c r="H2613" t="s">
        <v>310</v>
      </c>
      <c r="I2613">
        <v>0</v>
      </c>
      <c r="J2613">
        <v>0</v>
      </c>
      <c r="K2613">
        <v>0</v>
      </c>
      <c r="L2613" t="s">
        <v>310</v>
      </c>
      <c r="M2613" t="s">
        <v>310</v>
      </c>
      <c r="N2613">
        <v>0</v>
      </c>
      <c r="O2613" t="s">
        <v>1391</v>
      </c>
      <c r="P2613" t="s">
        <v>240</v>
      </c>
      <c r="Q2613" t="s">
        <v>1400</v>
      </c>
      <c r="R2613" t="s">
        <v>1404</v>
      </c>
      <c r="S2613">
        <v>-1</v>
      </c>
      <c r="T2613" t="s">
        <v>105</v>
      </c>
      <c r="U2613">
        <v>9</v>
      </c>
      <c r="V2613">
        <v>9</v>
      </c>
      <c r="W2613">
        <v>0.44043060000000001</v>
      </c>
      <c r="X2613">
        <v>51.517323699999999</v>
      </c>
      <c r="Y2613">
        <v>11.120442499999999</v>
      </c>
      <c r="Z2613">
        <v>75.383773199999993</v>
      </c>
      <c r="AA2613">
        <v>0</v>
      </c>
      <c r="AB2613">
        <v>1</v>
      </c>
      <c r="AC2613" t="s">
        <v>174</v>
      </c>
      <c r="AD2613">
        <v>9</v>
      </c>
      <c r="AE2613" t="s">
        <v>1418</v>
      </c>
      <c r="AF2613">
        <v>60000000</v>
      </c>
      <c r="AG2613" t="s">
        <v>310</v>
      </c>
      <c r="AH2613">
        <f>SUM((MID(Dyno_Data[[#This Row],[Team]],4,5))+(Dyno_Data[[#This Row],[Match]]/100))</f>
        <v>333.49</v>
      </c>
      <c r="AI2613" s="76">
        <f>ROUND(SUM(IF(Dyno_Data[[#This Row],[AcqCenter]]&gt;0,Dyno_Data[[#This Row],[Time]]-SUMIFS(Dyno_Data[Time],Dyno_Data[Team],Dyno_Data[[#This Row],[Team]],Dyno_Data[RecordType],"StartMatch",Dyno_Data[Match],Dyno_Data[[#This Row],[Match]]),0)*86400),0)</f>
        <v>0</v>
      </c>
    </row>
    <row r="2614" spans="1:35" x14ac:dyDescent="0.3">
      <c r="A2614">
        <v>2613</v>
      </c>
      <c r="B2614" t="s">
        <v>1279</v>
      </c>
      <c r="C2614">
        <v>49</v>
      </c>
      <c r="D2614" s="105">
        <v>45373.712758912035</v>
      </c>
      <c r="E2614" t="s">
        <v>316</v>
      </c>
      <c r="F2614" t="s">
        <v>317</v>
      </c>
      <c r="G2614">
        <v>1</v>
      </c>
      <c r="H2614" t="s">
        <v>310</v>
      </c>
      <c r="I2614">
        <v>0</v>
      </c>
      <c r="J2614">
        <v>0</v>
      </c>
      <c r="K2614">
        <v>0</v>
      </c>
      <c r="L2614" t="s">
        <v>310</v>
      </c>
      <c r="M2614" t="s">
        <v>310</v>
      </c>
      <c r="N2614">
        <v>0</v>
      </c>
      <c r="O2614" t="s">
        <v>319</v>
      </c>
      <c r="P2614" t="s">
        <v>101</v>
      </c>
      <c r="Q2614" t="s">
        <v>1399</v>
      </c>
      <c r="R2614" t="s">
        <v>1404</v>
      </c>
      <c r="S2614">
        <v>0</v>
      </c>
      <c r="T2614" t="s">
        <v>105</v>
      </c>
      <c r="U2614">
        <v>9</v>
      </c>
      <c r="V2614">
        <v>9</v>
      </c>
      <c r="W2614">
        <v>0</v>
      </c>
      <c r="X2614">
        <v>0</v>
      </c>
      <c r="Y2614">
        <v>38.977489299999995</v>
      </c>
      <c r="Z2614">
        <v>109.9290254</v>
      </c>
      <c r="AA2614">
        <v>3</v>
      </c>
      <c r="AB2614">
        <v>0</v>
      </c>
      <c r="AC2614" t="s">
        <v>170</v>
      </c>
      <c r="AD2614">
        <v>0</v>
      </c>
      <c r="AE2614" t="s">
        <v>1413</v>
      </c>
      <c r="AF2614">
        <v>10000000</v>
      </c>
      <c r="AG2614" t="s">
        <v>310</v>
      </c>
      <c r="AH2614">
        <f>SUM((MID(Dyno_Data[[#This Row],[Team]],4,5))+(Dyno_Data[[#This Row],[Match]]/100))</f>
        <v>5149.49</v>
      </c>
      <c r="AI2614" s="76">
        <f>ROUND(SUM(IF(Dyno_Data[[#This Row],[AcqCenter]]&gt;0,Dyno_Data[[#This Row],[Time]]-SUMIFS(Dyno_Data[Time],Dyno_Data[Team],Dyno_Data[[#This Row],[Team]],Dyno_Data[RecordType],"StartMatch",Dyno_Data[Match],Dyno_Data[[#This Row],[Match]]),0)*86400),0)</f>
        <v>0</v>
      </c>
    </row>
    <row r="2615" spans="1:35" x14ac:dyDescent="0.3">
      <c r="A2615">
        <v>2614</v>
      </c>
      <c r="B2615" t="s">
        <v>1314</v>
      </c>
      <c r="C2615">
        <v>49</v>
      </c>
      <c r="D2615" s="105">
        <v>45373.712758993053</v>
      </c>
      <c r="E2615" t="s">
        <v>316</v>
      </c>
      <c r="F2615" t="s">
        <v>317</v>
      </c>
      <c r="G2615">
        <v>1</v>
      </c>
      <c r="H2615" t="s">
        <v>310</v>
      </c>
      <c r="I2615">
        <v>0</v>
      </c>
      <c r="J2615">
        <v>0</v>
      </c>
      <c r="K2615">
        <v>0</v>
      </c>
      <c r="L2615" t="s">
        <v>310</v>
      </c>
      <c r="M2615" t="s">
        <v>310</v>
      </c>
      <c r="N2615">
        <v>0</v>
      </c>
      <c r="O2615" t="s">
        <v>1393</v>
      </c>
      <c r="P2615" t="s">
        <v>1401</v>
      </c>
      <c r="Q2615" t="s">
        <v>1400</v>
      </c>
      <c r="R2615" t="s">
        <v>321</v>
      </c>
      <c r="S2615">
        <v>0</v>
      </c>
      <c r="T2615" t="s">
        <v>105</v>
      </c>
      <c r="U2615">
        <v>9</v>
      </c>
      <c r="V2615">
        <v>9</v>
      </c>
      <c r="W2615">
        <v>0</v>
      </c>
      <c r="X2615">
        <v>35.364224299999997</v>
      </c>
      <c r="Y2615">
        <v>16.6539538</v>
      </c>
      <c r="Z2615">
        <v>83.575168300000001</v>
      </c>
      <c r="AA2615">
        <v>0</v>
      </c>
      <c r="AB2615">
        <v>0</v>
      </c>
      <c r="AC2615" t="s">
        <v>174</v>
      </c>
      <c r="AD2615">
        <v>9</v>
      </c>
      <c r="AE2615" t="s">
        <v>1416</v>
      </c>
      <c r="AF2615">
        <v>80000000</v>
      </c>
      <c r="AG2615" t="s">
        <v>310</v>
      </c>
      <c r="AH2615">
        <f>SUM((MID(Dyno_Data[[#This Row],[Team]],4,5))+(Dyno_Data[[#This Row],[Match]]/100))</f>
        <v>3419.49</v>
      </c>
      <c r="AI2615" s="76">
        <f>ROUND(SUM(IF(Dyno_Data[[#This Row],[AcqCenter]]&gt;0,Dyno_Data[[#This Row],[Time]]-SUMIFS(Dyno_Data[Time],Dyno_Data[Team],Dyno_Data[[#This Row],[Team]],Dyno_Data[RecordType],"StartMatch",Dyno_Data[Match],Dyno_Data[[#This Row],[Match]]),0)*86400),0)</f>
        <v>0</v>
      </c>
    </row>
    <row r="2616" spans="1:35" x14ac:dyDescent="0.3">
      <c r="A2616">
        <v>2615</v>
      </c>
      <c r="B2616" t="s">
        <v>1308</v>
      </c>
      <c r="C2616">
        <v>49</v>
      </c>
      <c r="D2616" s="105">
        <v>45373.712759108799</v>
      </c>
      <c r="E2616" t="s">
        <v>316</v>
      </c>
      <c r="F2616" t="s">
        <v>317</v>
      </c>
      <c r="G2616">
        <v>0</v>
      </c>
      <c r="H2616" t="s">
        <v>310</v>
      </c>
      <c r="I2616">
        <v>0</v>
      </c>
      <c r="J2616">
        <v>0</v>
      </c>
      <c r="K2616">
        <v>0</v>
      </c>
      <c r="L2616" t="s">
        <v>310</v>
      </c>
      <c r="M2616" t="s">
        <v>310</v>
      </c>
      <c r="N2616">
        <v>0</v>
      </c>
      <c r="O2616" t="s">
        <v>1389</v>
      </c>
      <c r="P2616" t="s">
        <v>101</v>
      </c>
      <c r="Q2616" t="s">
        <v>1399</v>
      </c>
      <c r="R2616" t="s">
        <v>1405</v>
      </c>
      <c r="S2616">
        <v>1</v>
      </c>
      <c r="T2616" t="s">
        <v>1407</v>
      </c>
      <c r="U2616">
        <v>0</v>
      </c>
      <c r="V2616">
        <v>1</v>
      </c>
      <c r="W2616">
        <v>1.3730921</v>
      </c>
      <c r="X2616">
        <v>30.467596799999999</v>
      </c>
      <c r="Y2616">
        <v>24.787464199999999</v>
      </c>
      <c r="Z2616">
        <v>80.047275799999994</v>
      </c>
      <c r="AA2616">
        <v>0</v>
      </c>
      <c r="AB2616">
        <v>1</v>
      </c>
      <c r="AC2616" t="s">
        <v>174</v>
      </c>
      <c r="AD2616">
        <v>1</v>
      </c>
      <c r="AE2616" t="s">
        <v>1414</v>
      </c>
      <c r="AF2616">
        <v>110000000</v>
      </c>
      <c r="AG2616" t="s">
        <v>310</v>
      </c>
      <c r="AH2616">
        <f>SUM((MID(Dyno_Data[[#This Row],[Team]],4,5))+(Dyno_Data[[#This Row],[Match]]/100))</f>
        <v>3799.49</v>
      </c>
      <c r="AI2616" s="76">
        <f>ROUND(SUM(IF(Dyno_Data[[#This Row],[AcqCenter]]&gt;0,Dyno_Data[[#This Row],[Time]]-SUMIFS(Dyno_Data[Time],Dyno_Data[Team],Dyno_Data[[#This Row],[Team]],Dyno_Data[RecordType],"StartMatch",Dyno_Data[Match],Dyno_Data[[#This Row],[Match]]),0)*86400),0)</f>
        <v>0</v>
      </c>
    </row>
    <row r="2617" spans="1:35" x14ac:dyDescent="0.3">
      <c r="A2617">
        <v>2616</v>
      </c>
      <c r="B2617" t="s">
        <v>1306</v>
      </c>
      <c r="C2617">
        <v>49</v>
      </c>
      <c r="D2617" s="105">
        <v>45373.712759259259</v>
      </c>
      <c r="E2617" t="s">
        <v>316</v>
      </c>
      <c r="F2617" t="s">
        <v>317</v>
      </c>
      <c r="G2617">
        <v>1</v>
      </c>
      <c r="H2617" t="s">
        <v>310</v>
      </c>
      <c r="I2617">
        <v>0</v>
      </c>
      <c r="J2617">
        <v>0</v>
      </c>
      <c r="K2617">
        <v>0</v>
      </c>
      <c r="L2617" t="s">
        <v>310</v>
      </c>
      <c r="M2617" t="s">
        <v>310</v>
      </c>
      <c r="N2617">
        <v>0</v>
      </c>
      <c r="O2617" t="s">
        <v>1395</v>
      </c>
      <c r="P2617" t="s">
        <v>320</v>
      </c>
      <c r="Q2617" t="s">
        <v>1400</v>
      </c>
      <c r="R2617" t="s">
        <v>1405</v>
      </c>
      <c r="S2617">
        <v>1</v>
      </c>
      <c r="T2617" t="s">
        <v>1406</v>
      </c>
      <c r="U2617">
        <v>0</v>
      </c>
      <c r="V2617">
        <v>0</v>
      </c>
      <c r="W2617">
        <v>8.298503199999999</v>
      </c>
      <c r="X2617">
        <v>32.1402967</v>
      </c>
      <c r="Y2617">
        <v>25.424280799999998</v>
      </c>
      <c r="Z2617">
        <v>70.168298800000002</v>
      </c>
      <c r="AA2617">
        <v>0</v>
      </c>
      <c r="AB2617">
        <v>0</v>
      </c>
      <c r="AC2617" t="s">
        <v>174</v>
      </c>
      <c r="AD2617">
        <v>9</v>
      </c>
      <c r="AE2617" t="s">
        <v>1417</v>
      </c>
      <c r="AF2617">
        <v>80000000</v>
      </c>
      <c r="AG2617" t="s">
        <v>310</v>
      </c>
      <c r="AH2617">
        <f>SUM((MID(Dyno_Data[[#This Row],[Team]],4,5))+(Dyno_Data[[#This Row],[Match]]/100))</f>
        <v>3986.49</v>
      </c>
      <c r="AI2617" s="76">
        <f>ROUND(SUM(IF(Dyno_Data[[#This Row],[AcqCenter]]&gt;0,Dyno_Data[[#This Row],[Time]]-SUMIFS(Dyno_Data[Time],Dyno_Data[Team],Dyno_Data[[#This Row],[Team]],Dyno_Data[RecordType],"StartMatch",Dyno_Data[Match],Dyno_Data[[#This Row],[Match]]),0)*86400),0)</f>
        <v>0</v>
      </c>
    </row>
    <row r="2618" spans="1:35" x14ac:dyDescent="0.3">
      <c r="A2618">
        <v>2630</v>
      </c>
      <c r="B2618" t="s">
        <v>1284</v>
      </c>
      <c r="C2618">
        <v>50</v>
      </c>
      <c r="D2618" s="105">
        <v>45373.71472369213</v>
      </c>
      <c r="E2618" t="s">
        <v>308</v>
      </c>
      <c r="F2618" t="s">
        <v>309</v>
      </c>
      <c r="G2618">
        <v>0</v>
      </c>
      <c r="H2618" t="s">
        <v>310</v>
      </c>
      <c r="I2618">
        <v>0</v>
      </c>
      <c r="J2618">
        <v>0</v>
      </c>
      <c r="K2618">
        <v>0</v>
      </c>
      <c r="L2618" t="s">
        <v>310</v>
      </c>
      <c r="M2618" t="s">
        <v>310</v>
      </c>
      <c r="N2618">
        <v>0</v>
      </c>
      <c r="O2618" t="s">
        <v>319</v>
      </c>
      <c r="P2618" t="s">
        <v>310</v>
      </c>
      <c r="Q2618" t="s">
        <v>310</v>
      </c>
      <c r="R2618" t="s">
        <v>310</v>
      </c>
      <c r="S2618">
        <v>9</v>
      </c>
      <c r="T2618" t="s">
        <v>310</v>
      </c>
      <c r="U2618">
        <v>9</v>
      </c>
      <c r="V2618">
        <v>9</v>
      </c>
      <c r="W2618">
        <v>0</v>
      </c>
      <c r="X2618">
        <v>0</v>
      </c>
      <c r="Y2618">
        <v>0</v>
      </c>
      <c r="Z2618">
        <v>0</v>
      </c>
      <c r="AA2618">
        <v>9</v>
      </c>
      <c r="AB2618">
        <v>9</v>
      </c>
      <c r="AC2618" t="s">
        <v>310</v>
      </c>
      <c r="AD2618">
        <v>9</v>
      </c>
      <c r="AE2618" t="s">
        <v>1387</v>
      </c>
      <c r="AF2618">
        <v>0</v>
      </c>
      <c r="AG2618" t="s">
        <v>310</v>
      </c>
      <c r="AH2618">
        <f>SUM((MID(Dyno_Data[[#This Row],[Team]],4,5))+(Dyno_Data[[#This Row],[Match]]/100))</f>
        <v>5590.5</v>
      </c>
      <c r="AI2618" s="76">
        <f>ROUND(SUM(IF(Dyno_Data[[#This Row],[AcqCenter]]&gt;0,Dyno_Data[[#This Row],[Time]]-SUMIFS(Dyno_Data[Time],Dyno_Data[Team],Dyno_Data[[#This Row],[Team]],Dyno_Data[RecordType],"StartMatch",Dyno_Data[Match],Dyno_Data[[#This Row],[Match]]),0)*86400),0)</f>
        <v>0</v>
      </c>
    </row>
    <row r="2619" spans="1:35" x14ac:dyDescent="0.3">
      <c r="A2619">
        <v>2632</v>
      </c>
      <c r="B2619" t="s">
        <v>360</v>
      </c>
      <c r="C2619">
        <v>50</v>
      </c>
      <c r="D2619" s="105">
        <v>45373.714724421297</v>
      </c>
      <c r="E2619" t="s">
        <v>308</v>
      </c>
      <c r="F2619" t="s">
        <v>309</v>
      </c>
      <c r="G2619">
        <v>0</v>
      </c>
      <c r="H2619" t="s">
        <v>310</v>
      </c>
      <c r="I2619">
        <v>0</v>
      </c>
      <c r="J2619">
        <v>0</v>
      </c>
      <c r="K2619">
        <v>0</v>
      </c>
      <c r="L2619" t="s">
        <v>310</v>
      </c>
      <c r="M2619" t="s">
        <v>310</v>
      </c>
      <c r="N2619">
        <v>0</v>
      </c>
      <c r="O2619" t="s">
        <v>1395</v>
      </c>
      <c r="P2619" t="s">
        <v>310</v>
      </c>
      <c r="Q2619" t="s">
        <v>310</v>
      </c>
      <c r="R2619" t="s">
        <v>310</v>
      </c>
      <c r="S2619">
        <v>9</v>
      </c>
      <c r="T2619" t="s">
        <v>310</v>
      </c>
      <c r="U2619">
        <v>9</v>
      </c>
      <c r="V2619">
        <v>9</v>
      </c>
      <c r="W2619">
        <v>0</v>
      </c>
      <c r="X2619">
        <v>0</v>
      </c>
      <c r="Y2619">
        <v>0</v>
      </c>
      <c r="Z2619">
        <v>0</v>
      </c>
      <c r="AA2619">
        <v>9</v>
      </c>
      <c r="AB2619">
        <v>9</v>
      </c>
      <c r="AC2619" t="s">
        <v>310</v>
      </c>
      <c r="AD2619">
        <v>9</v>
      </c>
      <c r="AE2619" t="s">
        <v>1416</v>
      </c>
      <c r="AF2619">
        <v>20003000</v>
      </c>
      <c r="AG2619" t="s">
        <v>310</v>
      </c>
      <c r="AH2619">
        <f>SUM((MID(Dyno_Data[[#This Row],[Team]],4,5))+(Dyno_Data[[#This Row],[Match]]/100))</f>
        <v>1796.5</v>
      </c>
      <c r="AI2619" s="76">
        <f>ROUND(SUM(IF(Dyno_Data[[#This Row],[AcqCenter]]&gt;0,Dyno_Data[[#This Row],[Time]]-SUMIFS(Dyno_Data[Time],Dyno_Data[Team],Dyno_Data[[#This Row],[Team]],Dyno_Data[RecordType],"StartMatch",Dyno_Data[Match],Dyno_Data[[#This Row],[Match]]),0)*86400),0)</f>
        <v>0</v>
      </c>
    </row>
    <row r="2620" spans="1:35" x14ac:dyDescent="0.3">
      <c r="A2620">
        <v>2635</v>
      </c>
      <c r="B2620" t="s">
        <v>1280</v>
      </c>
      <c r="C2620">
        <v>50</v>
      </c>
      <c r="D2620" s="105">
        <v>45373.714734687499</v>
      </c>
      <c r="E2620" t="s">
        <v>308</v>
      </c>
      <c r="F2620" t="s">
        <v>309</v>
      </c>
      <c r="G2620">
        <v>0</v>
      </c>
      <c r="H2620" t="s">
        <v>310</v>
      </c>
      <c r="I2620">
        <v>0</v>
      </c>
      <c r="J2620">
        <v>0</v>
      </c>
      <c r="K2620">
        <v>0</v>
      </c>
      <c r="L2620" t="s">
        <v>310</v>
      </c>
      <c r="M2620" t="s">
        <v>310</v>
      </c>
      <c r="N2620">
        <v>0</v>
      </c>
      <c r="O2620" t="s">
        <v>311</v>
      </c>
      <c r="P2620" t="s">
        <v>310</v>
      </c>
      <c r="Q2620" t="s">
        <v>310</v>
      </c>
      <c r="R2620" t="s">
        <v>310</v>
      </c>
      <c r="S2620">
        <v>9</v>
      </c>
      <c r="T2620" t="s">
        <v>310</v>
      </c>
      <c r="U2620">
        <v>9</v>
      </c>
      <c r="V2620">
        <v>9</v>
      </c>
      <c r="W2620">
        <v>0</v>
      </c>
      <c r="X2620">
        <v>0</v>
      </c>
      <c r="Y2620">
        <v>0</v>
      </c>
      <c r="Z2620">
        <v>0</v>
      </c>
      <c r="AA2620">
        <v>9</v>
      </c>
      <c r="AB2620">
        <v>9</v>
      </c>
      <c r="AC2620" t="s">
        <v>310</v>
      </c>
      <c r="AD2620">
        <v>9</v>
      </c>
      <c r="AE2620" t="s">
        <v>1394</v>
      </c>
      <c r="AF2620">
        <v>0</v>
      </c>
      <c r="AG2620" t="s">
        <v>310</v>
      </c>
      <c r="AH2620">
        <f>SUM((MID(Dyno_Data[[#This Row],[Team]],4,5))+(Dyno_Data[[#This Row],[Match]]/100))</f>
        <v>1559.5</v>
      </c>
      <c r="AI2620" s="76">
        <f>ROUND(SUM(IF(Dyno_Data[[#This Row],[AcqCenter]]&gt;0,Dyno_Data[[#This Row],[Time]]-SUMIFS(Dyno_Data[Time],Dyno_Data[Team],Dyno_Data[[#This Row],[Team]],Dyno_Data[RecordType],"StartMatch",Dyno_Data[Match],Dyno_Data[[#This Row],[Match]]),0)*86400),0)</f>
        <v>0</v>
      </c>
    </row>
    <row r="2621" spans="1:35" x14ac:dyDescent="0.3">
      <c r="A2621">
        <v>2637</v>
      </c>
      <c r="B2621" t="s">
        <v>1292</v>
      </c>
      <c r="C2621">
        <v>50</v>
      </c>
      <c r="D2621" s="105">
        <v>45373.714736261572</v>
      </c>
      <c r="E2621" t="s">
        <v>308</v>
      </c>
      <c r="F2621" t="s">
        <v>309</v>
      </c>
      <c r="G2621">
        <v>0</v>
      </c>
      <c r="H2621" t="s">
        <v>310</v>
      </c>
      <c r="I2621">
        <v>0</v>
      </c>
      <c r="J2621">
        <v>0</v>
      </c>
      <c r="K2621">
        <v>0</v>
      </c>
      <c r="L2621" t="s">
        <v>310</v>
      </c>
      <c r="M2621" t="s">
        <v>310</v>
      </c>
      <c r="N2621">
        <v>0</v>
      </c>
      <c r="O2621" t="s">
        <v>1389</v>
      </c>
      <c r="P2621" t="s">
        <v>310</v>
      </c>
      <c r="Q2621" t="s">
        <v>310</v>
      </c>
      <c r="R2621" t="s">
        <v>310</v>
      </c>
      <c r="S2621">
        <v>9</v>
      </c>
      <c r="T2621" t="s">
        <v>310</v>
      </c>
      <c r="U2621">
        <v>9</v>
      </c>
      <c r="V2621">
        <v>9</v>
      </c>
      <c r="W2621">
        <v>0</v>
      </c>
      <c r="X2621">
        <v>0</v>
      </c>
      <c r="Y2621">
        <v>0</v>
      </c>
      <c r="Z2621">
        <v>0</v>
      </c>
      <c r="AA2621">
        <v>9</v>
      </c>
      <c r="AB2621">
        <v>9</v>
      </c>
      <c r="AC2621" t="s">
        <v>310</v>
      </c>
      <c r="AD2621">
        <v>9</v>
      </c>
      <c r="AE2621" t="s">
        <v>1417</v>
      </c>
      <c r="AF2621">
        <v>0</v>
      </c>
      <c r="AG2621" t="s">
        <v>310</v>
      </c>
      <c r="AH2621">
        <f>SUM((MID(Dyno_Data[[#This Row],[Team]],4,5))+(Dyno_Data[[#This Row],[Match]]/100))</f>
        <v>7030.5</v>
      </c>
      <c r="AI2621" s="76">
        <f>ROUND(SUM(IF(Dyno_Data[[#This Row],[AcqCenter]]&gt;0,Dyno_Data[[#This Row],[Time]]-SUMIFS(Dyno_Data[Time],Dyno_Data[Team],Dyno_Data[[#This Row],[Team]],Dyno_Data[RecordType],"StartMatch",Dyno_Data[Match],Dyno_Data[[#This Row],[Match]]),0)*86400),0)</f>
        <v>0</v>
      </c>
    </row>
    <row r="2622" spans="1:35" x14ac:dyDescent="0.3">
      <c r="A2622">
        <v>2639</v>
      </c>
      <c r="B2622" t="s">
        <v>1318</v>
      </c>
      <c r="C2622">
        <v>50</v>
      </c>
      <c r="D2622" s="105">
        <v>45373.714741979165</v>
      </c>
      <c r="E2622" t="s">
        <v>308</v>
      </c>
      <c r="F2622" t="s">
        <v>309</v>
      </c>
      <c r="G2622">
        <v>0</v>
      </c>
      <c r="H2622" t="s">
        <v>310</v>
      </c>
      <c r="I2622">
        <v>0</v>
      </c>
      <c r="J2622">
        <v>0</v>
      </c>
      <c r="K2622">
        <v>0</v>
      </c>
      <c r="L2622" t="s">
        <v>310</v>
      </c>
      <c r="M2622" t="s">
        <v>310</v>
      </c>
      <c r="N2622">
        <v>0</v>
      </c>
      <c r="O2622" t="s">
        <v>1391</v>
      </c>
      <c r="P2622" t="s">
        <v>310</v>
      </c>
      <c r="Q2622" t="s">
        <v>310</v>
      </c>
      <c r="R2622" t="s">
        <v>310</v>
      </c>
      <c r="S2622">
        <v>9</v>
      </c>
      <c r="T2622" t="s">
        <v>310</v>
      </c>
      <c r="U2622">
        <v>9</v>
      </c>
      <c r="V2622">
        <v>9</v>
      </c>
      <c r="W2622">
        <v>0</v>
      </c>
      <c r="X2622">
        <v>0</v>
      </c>
      <c r="Y2622">
        <v>0</v>
      </c>
      <c r="Z2622">
        <v>0</v>
      </c>
      <c r="AA2622">
        <v>9</v>
      </c>
      <c r="AB2622">
        <v>9</v>
      </c>
      <c r="AC2622" t="s">
        <v>310</v>
      </c>
      <c r="AD2622">
        <v>9</v>
      </c>
      <c r="AE2622" t="s">
        <v>1418</v>
      </c>
      <c r="AF2622">
        <v>20000000</v>
      </c>
      <c r="AG2622" t="s">
        <v>310</v>
      </c>
      <c r="AH2622">
        <f>SUM((MID(Dyno_Data[[#This Row],[Team]],4,5))+(Dyno_Data[[#This Row],[Match]]/100))</f>
        <v>7709.5</v>
      </c>
      <c r="AI2622" s="76">
        <f>ROUND(SUM(IF(Dyno_Data[[#This Row],[AcqCenter]]&gt;0,Dyno_Data[[#This Row],[Time]]-SUMIFS(Dyno_Data[Time],Dyno_Data[Team],Dyno_Data[[#This Row],[Team]],Dyno_Data[RecordType],"StartMatch",Dyno_Data[Match],Dyno_Data[[#This Row],[Match]]),0)*86400),0)</f>
        <v>0</v>
      </c>
    </row>
    <row r="2623" spans="1:35" x14ac:dyDescent="0.3">
      <c r="A2623">
        <v>2641</v>
      </c>
      <c r="B2623" t="s">
        <v>1312</v>
      </c>
      <c r="C2623">
        <v>50</v>
      </c>
      <c r="D2623" s="105">
        <v>45373.714742789351</v>
      </c>
      <c r="E2623" t="s">
        <v>308</v>
      </c>
      <c r="F2623" t="s">
        <v>309</v>
      </c>
      <c r="G2623">
        <v>0</v>
      </c>
      <c r="H2623" t="s">
        <v>310</v>
      </c>
      <c r="I2623">
        <v>0</v>
      </c>
      <c r="J2623">
        <v>0</v>
      </c>
      <c r="K2623">
        <v>0</v>
      </c>
      <c r="L2623" t="s">
        <v>310</v>
      </c>
      <c r="M2623" t="s">
        <v>310</v>
      </c>
      <c r="N2623">
        <v>0</v>
      </c>
      <c r="O2623" t="s">
        <v>1393</v>
      </c>
      <c r="P2623" t="s">
        <v>310</v>
      </c>
      <c r="Q2623" t="s">
        <v>310</v>
      </c>
      <c r="R2623" t="s">
        <v>310</v>
      </c>
      <c r="S2623">
        <v>9</v>
      </c>
      <c r="T2623" t="s">
        <v>310</v>
      </c>
      <c r="U2623">
        <v>9</v>
      </c>
      <c r="V2623">
        <v>9</v>
      </c>
      <c r="W2623">
        <v>0</v>
      </c>
      <c r="X2623">
        <v>0</v>
      </c>
      <c r="Y2623">
        <v>0</v>
      </c>
      <c r="Z2623">
        <v>0</v>
      </c>
      <c r="AA2623">
        <v>9</v>
      </c>
      <c r="AB2623">
        <v>9</v>
      </c>
      <c r="AC2623" t="s">
        <v>310</v>
      </c>
      <c r="AD2623">
        <v>9</v>
      </c>
      <c r="AE2623" t="s">
        <v>1392</v>
      </c>
      <c r="AF2623">
        <v>0</v>
      </c>
      <c r="AG2623" t="s">
        <v>310</v>
      </c>
      <c r="AH2623">
        <f>SUM((MID(Dyno_Data[[#This Row],[Team]],4,5))+(Dyno_Data[[#This Row],[Match]]/100))</f>
        <v>2053.5</v>
      </c>
      <c r="AI2623" s="76">
        <f>ROUND(SUM(IF(Dyno_Data[[#This Row],[AcqCenter]]&gt;0,Dyno_Data[[#This Row],[Time]]-SUMIFS(Dyno_Data[Time],Dyno_Data[Team],Dyno_Data[[#This Row],[Team]],Dyno_Data[RecordType],"StartMatch",Dyno_Data[Match],Dyno_Data[[#This Row],[Match]]),0)*86400),0)</f>
        <v>0</v>
      </c>
    </row>
    <row r="2624" spans="1:35" x14ac:dyDescent="0.3">
      <c r="A2624">
        <v>2617</v>
      </c>
      <c r="B2624" t="s">
        <v>1318</v>
      </c>
      <c r="C2624">
        <v>50</v>
      </c>
      <c r="D2624" s="105">
        <v>45373.714746030091</v>
      </c>
      <c r="E2624" t="s">
        <v>312</v>
      </c>
      <c r="F2624" t="s">
        <v>309</v>
      </c>
      <c r="G2624">
        <v>0</v>
      </c>
      <c r="H2624" t="s">
        <v>1397</v>
      </c>
      <c r="I2624">
        <v>0</v>
      </c>
      <c r="J2624">
        <v>0</v>
      </c>
      <c r="K2624">
        <v>0</v>
      </c>
      <c r="L2624" t="s">
        <v>240</v>
      </c>
      <c r="M2624" t="s">
        <v>1398</v>
      </c>
      <c r="N2624">
        <v>0</v>
      </c>
      <c r="O2624" t="s">
        <v>1391</v>
      </c>
      <c r="P2624" t="s">
        <v>310</v>
      </c>
      <c r="Q2624" t="s">
        <v>310</v>
      </c>
      <c r="R2624" t="s">
        <v>310</v>
      </c>
      <c r="S2624">
        <v>9</v>
      </c>
      <c r="T2624" t="s">
        <v>310</v>
      </c>
      <c r="U2624">
        <v>9</v>
      </c>
      <c r="V2624">
        <v>9</v>
      </c>
      <c r="W2624">
        <v>0</v>
      </c>
      <c r="X2624">
        <v>0</v>
      </c>
      <c r="Y2624">
        <v>0</v>
      </c>
      <c r="Z2624">
        <v>0</v>
      </c>
      <c r="AA2624">
        <v>9</v>
      </c>
      <c r="AB2624">
        <v>9</v>
      </c>
      <c r="AC2624" t="s">
        <v>310</v>
      </c>
      <c r="AD2624">
        <v>9</v>
      </c>
      <c r="AE2624" t="s">
        <v>1418</v>
      </c>
      <c r="AF2624">
        <v>0</v>
      </c>
      <c r="AG2624" t="s">
        <v>310</v>
      </c>
      <c r="AH2624">
        <f>SUM((MID(Dyno_Data[[#This Row],[Team]],4,5))+(Dyno_Data[[#This Row],[Match]]/100))</f>
        <v>7709.5</v>
      </c>
      <c r="AI2624" s="76">
        <f>ROUND(SUM(IF(Dyno_Data[[#This Row],[AcqCenter]]&gt;0,Dyno_Data[[#This Row],[Time]]-SUMIFS(Dyno_Data[Time],Dyno_Data[Team],Dyno_Data[[#This Row],[Team]],Dyno_Data[RecordType],"StartMatch",Dyno_Data[Match],Dyno_Data[[#This Row],[Match]]),0)*86400),0)</f>
        <v>0</v>
      </c>
    </row>
    <row r="2625" spans="1:35" x14ac:dyDescent="0.3">
      <c r="A2625">
        <v>2618</v>
      </c>
      <c r="B2625" t="s">
        <v>360</v>
      </c>
      <c r="C2625">
        <v>50</v>
      </c>
      <c r="D2625" s="105">
        <v>45373.714755358793</v>
      </c>
      <c r="E2625" t="s">
        <v>312</v>
      </c>
      <c r="F2625" t="s">
        <v>309</v>
      </c>
      <c r="G2625">
        <v>0</v>
      </c>
      <c r="H2625" t="s">
        <v>1397</v>
      </c>
      <c r="I2625">
        <v>0</v>
      </c>
      <c r="J2625">
        <v>0</v>
      </c>
      <c r="K2625">
        <v>0</v>
      </c>
      <c r="L2625" t="s">
        <v>241</v>
      </c>
      <c r="M2625" t="s">
        <v>1398</v>
      </c>
      <c r="N2625">
        <v>0</v>
      </c>
      <c r="O2625" t="s">
        <v>1395</v>
      </c>
      <c r="P2625" t="s">
        <v>310</v>
      </c>
      <c r="Q2625" t="s">
        <v>310</v>
      </c>
      <c r="R2625" t="s">
        <v>310</v>
      </c>
      <c r="S2625">
        <v>9</v>
      </c>
      <c r="T2625" t="s">
        <v>310</v>
      </c>
      <c r="U2625">
        <v>9</v>
      </c>
      <c r="V2625">
        <v>9</v>
      </c>
      <c r="W2625">
        <v>0</v>
      </c>
      <c r="X2625">
        <v>0</v>
      </c>
      <c r="Y2625">
        <v>0</v>
      </c>
      <c r="Z2625">
        <v>0</v>
      </c>
      <c r="AA2625">
        <v>9</v>
      </c>
      <c r="AB2625">
        <v>9</v>
      </c>
      <c r="AC2625" t="s">
        <v>310</v>
      </c>
      <c r="AD2625">
        <v>9</v>
      </c>
      <c r="AE2625" t="s">
        <v>1416</v>
      </c>
      <c r="AF2625">
        <v>0</v>
      </c>
      <c r="AG2625" t="s">
        <v>310</v>
      </c>
      <c r="AH2625">
        <f>SUM((MID(Dyno_Data[[#This Row],[Team]],4,5))+(Dyno_Data[[#This Row],[Match]]/100))</f>
        <v>1796.5</v>
      </c>
      <c r="AI2625" s="76">
        <f>ROUND(SUM(IF(Dyno_Data[[#This Row],[AcqCenter]]&gt;0,Dyno_Data[[#This Row],[Time]]-SUMIFS(Dyno_Data[Time],Dyno_Data[Team],Dyno_Data[[#This Row],[Team]],Dyno_Data[RecordType],"StartMatch",Dyno_Data[Match],Dyno_Data[[#This Row],[Match]]),0)*86400),0)</f>
        <v>0</v>
      </c>
    </row>
    <row r="2626" spans="1:35" x14ac:dyDescent="0.3">
      <c r="A2626">
        <v>2619</v>
      </c>
      <c r="B2626" t="s">
        <v>360</v>
      </c>
      <c r="C2626">
        <v>50</v>
      </c>
      <c r="D2626" s="105">
        <v>45373.714772719904</v>
      </c>
      <c r="E2626" t="s">
        <v>312</v>
      </c>
      <c r="F2626" t="s">
        <v>309</v>
      </c>
      <c r="G2626">
        <v>0</v>
      </c>
      <c r="H2626" t="s">
        <v>315</v>
      </c>
      <c r="I2626">
        <v>0</v>
      </c>
      <c r="J2626">
        <v>0</v>
      </c>
      <c r="K2626">
        <v>0</v>
      </c>
      <c r="L2626" t="s">
        <v>241</v>
      </c>
      <c r="M2626" t="s">
        <v>1398</v>
      </c>
      <c r="N2626">
        <v>0</v>
      </c>
      <c r="O2626" t="s">
        <v>1395</v>
      </c>
      <c r="P2626" t="s">
        <v>310</v>
      </c>
      <c r="Q2626" t="s">
        <v>310</v>
      </c>
      <c r="R2626" t="s">
        <v>310</v>
      </c>
      <c r="S2626">
        <v>9</v>
      </c>
      <c r="T2626" t="s">
        <v>310</v>
      </c>
      <c r="U2626">
        <v>9</v>
      </c>
      <c r="V2626">
        <v>9</v>
      </c>
      <c r="W2626">
        <v>0</v>
      </c>
      <c r="X2626">
        <v>0</v>
      </c>
      <c r="Y2626">
        <v>0</v>
      </c>
      <c r="Z2626">
        <v>0</v>
      </c>
      <c r="AA2626">
        <v>9</v>
      </c>
      <c r="AB2626">
        <v>9</v>
      </c>
      <c r="AC2626" t="s">
        <v>310</v>
      </c>
      <c r="AD2626">
        <v>9</v>
      </c>
      <c r="AE2626" t="s">
        <v>1416</v>
      </c>
      <c r="AF2626">
        <v>10000000</v>
      </c>
      <c r="AG2626" t="s">
        <v>310</v>
      </c>
      <c r="AH2626">
        <f>SUM((MID(Dyno_Data[[#This Row],[Team]],4,5))+(Dyno_Data[[#This Row],[Match]]/100))</f>
        <v>1796.5</v>
      </c>
      <c r="AI2626" s="76">
        <f>ROUND(SUM(IF(Dyno_Data[[#This Row],[AcqCenter]]&gt;0,Dyno_Data[[#This Row],[Time]]-SUMIFS(Dyno_Data[Time],Dyno_Data[Team],Dyno_Data[[#This Row],[Team]],Dyno_Data[RecordType],"StartMatch",Dyno_Data[Match],Dyno_Data[[#This Row],[Match]]),0)*86400),0)</f>
        <v>0</v>
      </c>
    </row>
    <row r="2627" spans="1:35" x14ac:dyDescent="0.3">
      <c r="A2627">
        <v>2620</v>
      </c>
      <c r="B2627" t="s">
        <v>360</v>
      </c>
      <c r="C2627">
        <v>50</v>
      </c>
      <c r="D2627" s="105">
        <v>45373.714789386577</v>
      </c>
      <c r="E2627" t="s">
        <v>312</v>
      </c>
      <c r="F2627" t="s">
        <v>309</v>
      </c>
      <c r="G2627">
        <v>0</v>
      </c>
      <c r="H2627" t="s">
        <v>315</v>
      </c>
      <c r="I2627">
        <v>0</v>
      </c>
      <c r="J2627">
        <v>0</v>
      </c>
      <c r="K2627">
        <v>0</v>
      </c>
      <c r="L2627" t="s">
        <v>241</v>
      </c>
      <c r="M2627" t="s">
        <v>1398</v>
      </c>
      <c r="N2627">
        <v>0</v>
      </c>
      <c r="O2627" t="s">
        <v>1395</v>
      </c>
      <c r="P2627" t="s">
        <v>310</v>
      </c>
      <c r="Q2627" t="s">
        <v>310</v>
      </c>
      <c r="R2627" t="s">
        <v>310</v>
      </c>
      <c r="S2627">
        <v>9</v>
      </c>
      <c r="T2627" t="s">
        <v>310</v>
      </c>
      <c r="U2627">
        <v>9</v>
      </c>
      <c r="V2627">
        <v>9</v>
      </c>
      <c r="W2627">
        <v>0</v>
      </c>
      <c r="X2627">
        <v>0</v>
      </c>
      <c r="Y2627">
        <v>0</v>
      </c>
      <c r="Z2627">
        <v>0</v>
      </c>
      <c r="AA2627">
        <v>9</v>
      </c>
      <c r="AB2627">
        <v>9</v>
      </c>
      <c r="AC2627" t="s">
        <v>310</v>
      </c>
      <c r="AD2627">
        <v>9</v>
      </c>
      <c r="AE2627" t="s">
        <v>1416</v>
      </c>
      <c r="AF2627">
        <v>20000000</v>
      </c>
      <c r="AG2627" t="s">
        <v>310</v>
      </c>
      <c r="AH2627">
        <f>SUM((MID(Dyno_Data[[#This Row],[Team]],4,5))+(Dyno_Data[[#This Row],[Match]]/100))</f>
        <v>1796.5</v>
      </c>
      <c r="AI2627" s="76">
        <f>ROUND(SUM(IF(Dyno_Data[[#This Row],[AcqCenter]]&gt;0,Dyno_Data[[#This Row],[Time]]-SUMIFS(Dyno_Data[Time],Dyno_Data[Team],Dyno_Data[[#This Row],[Team]],Dyno_Data[RecordType],"StartMatch",Dyno_Data[Match],Dyno_Data[[#This Row],[Match]]),0)*86400),0)</f>
        <v>0</v>
      </c>
    </row>
    <row r="2628" spans="1:35" x14ac:dyDescent="0.3">
      <c r="A2628">
        <v>2621</v>
      </c>
      <c r="B2628" t="s">
        <v>1318</v>
      </c>
      <c r="C2628">
        <v>50</v>
      </c>
      <c r="D2628" s="105">
        <v>45373.714790081016</v>
      </c>
      <c r="E2628" t="s">
        <v>312</v>
      </c>
      <c r="F2628" t="s">
        <v>309</v>
      </c>
      <c r="G2628">
        <v>0</v>
      </c>
      <c r="H2628" t="s">
        <v>315</v>
      </c>
      <c r="I2628">
        <v>0</v>
      </c>
      <c r="J2628">
        <v>0</v>
      </c>
      <c r="K2628">
        <v>0</v>
      </c>
      <c r="L2628" t="s">
        <v>240</v>
      </c>
      <c r="M2628" t="s">
        <v>1398</v>
      </c>
      <c r="N2628">
        <v>0</v>
      </c>
      <c r="O2628" t="s">
        <v>1391</v>
      </c>
      <c r="P2628" t="s">
        <v>310</v>
      </c>
      <c r="Q2628" t="s">
        <v>310</v>
      </c>
      <c r="R2628" t="s">
        <v>310</v>
      </c>
      <c r="S2628">
        <v>9</v>
      </c>
      <c r="T2628" t="s">
        <v>310</v>
      </c>
      <c r="U2628">
        <v>9</v>
      </c>
      <c r="V2628">
        <v>9</v>
      </c>
      <c r="W2628">
        <v>0</v>
      </c>
      <c r="X2628">
        <v>0</v>
      </c>
      <c r="Y2628">
        <v>0</v>
      </c>
      <c r="Z2628">
        <v>0</v>
      </c>
      <c r="AA2628">
        <v>9</v>
      </c>
      <c r="AB2628">
        <v>9</v>
      </c>
      <c r="AC2628" t="s">
        <v>310</v>
      </c>
      <c r="AD2628">
        <v>9</v>
      </c>
      <c r="AE2628" t="s">
        <v>1418</v>
      </c>
      <c r="AF2628">
        <v>10000000</v>
      </c>
      <c r="AG2628" t="s">
        <v>310</v>
      </c>
      <c r="AH2628">
        <f>SUM((MID(Dyno_Data[[#This Row],[Team]],4,5))+(Dyno_Data[[#This Row],[Match]]/100))</f>
        <v>7709.5</v>
      </c>
      <c r="AI2628" s="76">
        <f>ROUND(SUM(IF(Dyno_Data[[#This Row],[AcqCenter]]&gt;0,Dyno_Data[[#This Row],[Time]]-SUMIFS(Dyno_Data[Time],Dyno_Data[Team],Dyno_Data[[#This Row],[Team]],Dyno_Data[RecordType],"StartMatch",Dyno_Data[Match],Dyno_Data[[#This Row],[Match]]),0)*86400),0)</f>
        <v>0</v>
      </c>
    </row>
    <row r="2629" spans="1:35" x14ac:dyDescent="0.3">
      <c r="A2629">
        <v>2622</v>
      </c>
      <c r="B2629" t="s">
        <v>360</v>
      </c>
      <c r="C2629">
        <v>50</v>
      </c>
      <c r="D2629" s="105">
        <v>45373.714816168984</v>
      </c>
      <c r="E2629" t="s">
        <v>312</v>
      </c>
      <c r="F2629" t="s">
        <v>309</v>
      </c>
      <c r="G2629">
        <v>0</v>
      </c>
      <c r="H2629" t="s">
        <v>143</v>
      </c>
      <c r="I2629">
        <v>5</v>
      </c>
      <c r="J2629">
        <v>1</v>
      </c>
      <c r="K2629">
        <v>0</v>
      </c>
      <c r="L2629" t="s">
        <v>310</v>
      </c>
      <c r="M2629" t="s">
        <v>310</v>
      </c>
      <c r="N2629">
        <v>0</v>
      </c>
      <c r="O2629" t="s">
        <v>1395</v>
      </c>
      <c r="P2629" t="s">
        <v>310</v>
      </c>
      <c r="Q2629" t="s">
        <v>310</v>
      </c>
      <c r="R2629" t="s">
        <v>310</v>
      </c>
      <c r="S2629">
        <v>9</v>
      </c>
      <c r="T2629" t="s">
        <v>310</v>
      </c>
      <c r="U2629">
        <v>9</v>
      </c>
      <c r="V2629">
        <v>9</v>
      </c>
      <c r="W2629">
        <v>0</v>
      </c>
      <c r="X2629">
        <v>0</v>
      </c>
      <c r="Y2629">
        <v>0</v>
      </c>
      <c r="Z2629">
        <v>0</v>
      </c>
      <c r="AA2629">
        <v>9</v>
      </c>
      <c r="AB2629">
        <v>9</v>
      </c>
      <c r="AC2629" t="s">
        <v>310</v>
      </c>
      <c r="AD2629">
        <v>9</v>
      </c>
      <c r="AE2629" t="s">
        <v>1416</v>
      </c>
      <c r="AF2629">
        <v>20001000</v>
      </c>
      <c r="AG2629" t="s">
        <v>310</v>
      </c>
      <c r="AH2629">
        <f>SUM((MID(Dyno_Data[[#This Row],[Team]],4,5))+(Dyno_Data[[#This Row],[Match]]/100))</f>
        <v>1796.5</v>
      </c>
      <c r="AI2629" s="76">
        <f>ROUND(SUM(IF(Dyno_Data[[#This Row],[AcqCenter]]&gt;0,Dyno_Data[[#This Row],[Time]]-SUMIFS(Dyno_Data[Time],Dyno_Data[Team],Dyno_Data[[#This Row],[Team]],Dyno_Data[RecordType],"StartMatch",Dyno_Data[Match],Dyno_Data[[#This Row],[Match]]),0)*86400),0)</f>
        <v>8</v>
      </c>
    </row>
    <row r="2630" spans="1:35" x14ac:dyDescent="0.3">
      <c r="A2630">
        <v>2623</v>
      </c>
      <c r="B2630" t="s">
        <v>1312</v>
      </c>
      <c r="C2630">
        <v>50</v>
      </c>
      <c r="D2630" s="105">
        <v>45373.714824849536</v>
      </c>
      <c r="E2630" t="s">
        <v>312</v>
      </c>
      <c r="F2630" t="s">
        <v>309</v>
      </c>
      <c r="G2630">
        <v>0</v>
      </c>
      <c r="H2630" t="s">
        <v>1397</v>
      </c>
      <c r="I2630">
        <v>0</v>
      </c>
      <c r="J2630">
        <v>0</v>
      </c>
      <c r="K2630">
        <v>0</v>
      </c>
      <c r="L2630" t="s">
        <v>241</v>
      </c>
      <c r="M2630" t="s">
        <v>1398</v>
      </c>
      <c r="N2630">
        <v>1</v>
      </c>
      <c r="O2630" t="s">
        <v>1393</v>
      </c>
      <c r="P2630" t="s">
        <v>310</v>
      </c>
      <c r="Q2630" t="s">
        <v>310</v>
      </c>
      <c r="R2630" t="s">
        <v>310</v>
      </c>
      <c r="S2630">
        <v>9</v>
      </c>
      <c r="T2630" t="s">
        <v>310</v>
      </c>
      <c r="U2630">
        <v>9</v>
      </c>
      <c r="V2630">
        <v>9</v>
      </c>
      <c r="W2630">
        <v>0</v>
      </c>
      <c r="X2630">
        <v>0</v>
      </c>
      <c r="Y2630">
        <v>0</v>
      </c>
      <c r="Z2630">
        <v>0</v>
      </c>
      <c r="AA2630">
        <v>9</v>
      </c>
      <c r="AB2630">
        <v>9</v>
      </c>
      <c r="AC2630" t="s">
        <v>310</v>
      </c>
      <c r="AD2630">
        <v>9</v>
      </c>
      <c r="AE2630" t="s">
        <v>1392</v>
      </c>
      <c r="AF2630">
        <v>0</v>
      </c>
      <c r="AG2630" t="s">
        <v>310</v>
      </c>
      <c r="AH2630">
        <f>SUM((MID(Dyno_Data[[#This Row],[Team]],4,5))+(Dyno_Data[[#This Row],[Match]]/100))</f>
        <v>2053.5</v>
      </c>
      <c r="AI2630" s="76">
        <f>ROUND(SUM(IF(Dyno_Data[[#This Row],[AcqCenter]]&gt;0,Dyno_Data[[#This Row],[Time]]-SUMIFS(Dyno_Data[Time],Dyno_Data[Team],Dyno_Data[[#This Row],[Team]],Dyno_Data[RecordType],"StartMatch",Dyno_Data[Match],Dyno_Data[[#This Row],[Match]]),0)*86400),0)</f>
        <v>0</v>
      </c>
    </row>
    <row r="2631" spans="1:35" x14ac:dyDescent="0.3">
      <c r="A2631">
        <v>2624</v>
      </c>
      <c r="B2631" t="s">
        <v>1318</v>
      </c>
      <c r="C2631">
        <v>50</v>
      </c>
      <c r="D2631" s="105">
        <v>45373.714837071762</v>
      </c>
      <c r="E2631" t="s">
        <v>312</v>
      </c>
      <c r="F2631" t="s">
        <v>309</v>
      </c>
      <c r="G2631">
        <v>0</v>
      </c>
      <c r="H2631" t="s">
        <v>315</v>
      </c>
      <c r="I2631">
        <v>0</v>
      </c>
      <c r="J2631">
        <v>0</v>
      </c>
      <c r="K2631">
        <v>0</v>
      </c>
      <c r="L2631" t="s">
        <v>240</v>
      </c>
      <c r="M2631" t="s">
        <v>1398</v>
      </c>
      <c r="N2631">
        <v>0</v>
      </c>
      <c r="O2631" t="s">
        <v>1391</v>
      </c>
      <c r="P2631" t="s">
        <v>310</v>
      </c>
      <c r="Q2631" t="s">
        <v>310</v>
      </c>
      <c r="R2631" t="s">
        <v>310</v>
      </c>
      <c r="S2631">
        <v>9</v>
      </c>
      <c r="T2631" t="s">
        <v>310</v>
      </c>
      <c r="U2631">
        <v>9</v>
      </c>
      <c r="V2631">
        <v>9</v>
      </c>
      <c r="W2631">
        <v>0</v>
      </c>
      <c r="X2631">
        <v>0</v>
      </c>
      <c r="Y2631">
        <v>0</v>
      </c>
      <c r="Z2631">
        <v>0</v>
      </c>
      <c r="AA2631">
        <v>9</v>
      </c>
      <c r="AB2631">
        <v>9</v>
      </c>
      <c r="AC2631" t="s">
        <v>310</v>
      </c>
      <c r="AD2631">
        <v>9</v>
      </c>
      <c r="AE2631" t="s">
        <v>1418</v>
      </c>
      <c r="AF2631">
        <v>20000000</v>
      </c>
      <c r="AG2631" t="s">
        <v>310</v>
      </c>
      <c r="AH2631">
        <f>SUM((MID(Dyno_Data[[#This Row],[Team]],4,5))+(Dyno_Data[[#This Row],[Match]]/100))</f>
        <v>7709.5</v>
      </c>
      <c r="AI2631" s="76">
        <f>ROUND(SUM(IF(Dyno_Data[[#This Row],[AcqCenter]]&gt;0,Dyno_Data[[#This Row],[Time]]-SUMIFS(Dyno_Data[Time],Dyno_Data[Team],Dyno_Data[[#This Row],[Team]],Dyno_Data[RecordType],"StartMatch",Dyno_Data[Match],Dyno_Data[[#This Row],[Match]]),0)*86400),0)</f>
        <v>0</v>
      </c>
    </row>
    <row r="2632" spans="1:35" x14ac:dyDescent="0.3">
      <c r="A2632">
        <v>2625</v>
      </c>
      <c r="B2632" t="s">
        <v>360</v>
      </c>
      <c r="C2632">
        <v>50</v>
      </c>
      <c r="D2632" s="105">
        <v>45373.714837118052</v>
      </c>
      <c r="E2632" t="s">
        <v>312</v>
      </c>
      <c r="F2632" t="s">
        <v>309</v>
      </c>
      <c r="G2632">
        <v>0</v>
      </c>
      <c r="H2632" t="s">
        <v>143</v>
      </c>
      <c r="I2632">
        <v>0</v>
      </c>
      <c r="J2632">
        <v>0</v>
      </c>
      <c r="K2632">
        <v>0</v>
      </c>
      <c r="L2632" t="s">
        <v>241</v>
      </c>
      <c r="M2632" t="s">
        <v>1398</v>
      </c>
      <c r="N2632">
        <v>0</v>
      </c>
      <c r="O2632" t="s">
        <v>1395</v>
      </c>
      <c r="P2632" t="s">
        <v>310</v>
      </c>
      <c r="Q2632" t="s">
        <v>310</v>
      </c>
      <c r="R2632" t="s">
        <v>310</v>
      </c>
      <c r="S2632">
        <v>9</v>
      </c>
      <c r="T2632" t="s">
        <v>310</v>
      </c>
      <c r="U2632">
        <v>9</v>
      </c>
      <c r="V2632">
        <v>9</v>
      </c>
      <c r="W2632">
        <v>0</v>
      </c>
      <c r="X2632">
        <v>0</v>
      </c>
      <c r="Y2632">
        <v>0</v>
      </c>
      <c r="Z2632">
        <v>0</v>
      </c>
      <c r="AA2632">
        <v>9</v>
      </c>
      <c r="AB2632">
        <v>9</v>
      </c>
      <c r="AC2632" t="s">
        <v>310</v>
      </c>
      <c r="AD2632">
        <v>9</v>
      </c>
      <c r="AE2632" t="s">
        <v>1416</v>
      </c>
      <c r="AF2632">
        <v>20001000</v>
      </c>
      <c r="AG2632" t="s">
        <v>310</v>
      </c>
      <c r="AH2632">
        <f>SUM((MID(Dyno_Data[[#This Row],[Team]],4,5))+(Dyno_Data[[#This Row],[Match]]/100))</f>
        <v>1796.5</v>
      </c>
      <c r="AI2632" s="76">
        <f>ROUND(SUM(IF(Dyno_Data[[#This Row],[AcqCenter]]&gt;0,Dyno_Data[[#This Row],[Time]]-SUMIFS(Dyno_Data[Time],Dyno_Data[Team],Dyno_Data[[#This Row],[Team]],Dyno_Data[RecordType],"StartMatch",Dyno_Data[Match],Dyno_Data[[#This Row],[Match]]),0)*86400),0)</f>
        <v>0</v>
      </c>
    </row>
    <row r="2633" spans="1:35" x14ac:dyDescent="0.3">
      <c r="A2633">
        <v>2626</v>
      </c>
      <c r="B2633" t="s">
        <v>360</v>
      </c>
      <c r="C2633">
        <v>50</v>
      </c>
      <c r="D2633" s="105">
        <v>45373.714849421296</v>
      </c>
      <c r="E2633" t="s">
        <v>312</v>
      </c>
      <c r="F2633" t="s">
        <v>309</v>
      </c>
      <c r="G2633">
        <v>0</v>
      </c>
      <c r="H2633" t="s">
        <v>143</v>
      </c>
      <c r="I2633">
        <v>4</v>
      </c>
      <c r="J2633">
        <v>1</v>
      </c>
      <c r="K2633">
        <v>0</v>
      </c>
      <c r="L2633" t="s">
        <v>310</v>
      </c>
      <c r="M2633" t="s">
        <v>310</v>
      </c>
      <c r="N2633">
        <v>0</v>
      </c>
      <c r="O2633" t="s">
        <v>1395</v>
      </c>
      <c r="P2633" t="s">
        <v>310</v>
      </c>
      <c r="Q2633" t="s">
        <v>310</v>
      </c>
      <c r="R2633" t="s">
        <v>310</v>
      </c>
      <c r="S2633">
        <v>9</v>
      </c>
      <c r="T2633" t="s">
        <v>310</v>
      </c>
      <c r="U2633">
        <v>9</v>
      </c>
      <c r="V2633">
        <v>9</v>
      </c>
      <c r="W2633">
        <v>0</v>
      </c>
      <c r="X2633">
        <v>0</v>
      </c>
      <c r="Y2633">
        <v>0</v>
      </c>
      <c r="Z2633">
        <v>0</v>
      </c>
      <c r="AA2633">
        <v>9</v>
      </c>
      <c r="AB2633">
        <v>9</v>
      </c>
      <c r="AC2633" t="s">
        <v>310</v>
      </c>
      <c r="AD2633">
        <v>9</v>
      </c>
      <c r="AE2633" t="s">
        <v>1416</v>
      </c>
      <c r="AF2633">
        <v>20002000</v>
      </c>
      <c r="AG2633" t="s">
        <v>310</v>
      </c>
      <c r="AH2633">
        <f>SUM((MID(Dyno_Data[[#This Row],[Team]],4,5))+(Dyno_Data[[#This Row],[Match]]/100))</f>
        <v>1796.5</v>
      </c>
      <c r="AI2633" s="76">
        <f>ROUND(SUM(IF(Dyno_Data[[#This Row],[AcqCenter]]&gt;0,Dyno_Data[[#This Row],[Time]]-SUMIFS(Dyno_Data[Time],Dyno_Data[Team],Dyno_Data[[#This Row],[Team]],Dyno_Data[RecordType],"StartMatch",Dyno_Data[Match],Dyno_Data[[#This Row],[Match]]),0)*86400),0)</f>
        <v>11</v>
      </c>
    </row>
    <row r="2634" spans="1:35" x14ac:dyDescent="0.3">
      <c r="A2634">
        <v>2627</v>
      </c>
      <c r="B2634" t="s">
        <v>360</v>
      </c>
      <c r="C2634">
        <v>50</v>
      </c>
      <c r="D2634" s="105">
        <v>45373.714869131945</v>
      </c>
      <c r="E2634" t="s">
        <v>312</v>
      </c>
      <c r="F2634" t="s">
        <v>309</v>
      </c>
      <c r="G2634">
        <v>0</v>
      </c>
      <c r="H2634" t="s">
        <v>143</v>
      </c>
      <c r="I2634">
        <v>0</v>
      </c>
      <c r="J2634">
        <v>0</v>
      </c>
      <c r="K2634">
        <v>0</v>
      </c>
      <c r="L2634" t="s">
        <v>241</v>
      </c>
      <c r="M2634" t="s">
        <v>1398</v>
      </c>
      <c r="N2634">
        <v>0</v>
      </c>
      <c r="O2634" t="s">
        <v>1395</v>
      </c>
      <c r="P2634" t="s">
        <v>310</v>
      </c>
      <c r="Q2634" t="s">
        <v>310</v>
      </c>
      <c r="R2634" t="s">
        <v>310</v>
      </c>
      <c r="S2634">
        <v>9</v>
      </c>
      <c r="T2634" t="s">
        <v>310</v>
      </c>
      <c r="U2634">
        <v>9</v>
      </c>
      <c r="V2634">
        <v>9</v>
      </c>
      <c r="W2634">
        <v>0</v>
      </c>
      <c r="X2634">
        <v>0</v>
      </c>
      <c r="Y2634">
        <v>0</v>
      </c>
      <c r="Z2634">
        <v>0</v>
      </c>
      <c r="AA2634">
        <v>9</v>
      </c>
      <c r="AB2634">
        <v>9</v>
      </c>
      <c r="AC2634" t="s">
        <v>310</v>
      </c>
      <c r="AD2634">
        <v>9</v>
      </c>
      <c r="AE2634" t="s">
        <v>1416</v>
      </c>
      <c r="AF2634">
        <v>20002000</v>
      </c>
      <c r="AG2634" t="s">
        <v>310</v>
      </c>
      <c r="AH2634">
        <f>SUM((MID(Dyno_Data[[#This Row],[Team]],4,5))+(Dyno_Data[[#This Row],[Match]]/100))</f>
        <v>1796.5</v>
      </c>
      <c r="AI2634" s="76">
        <f>ROUND(SUM(IF(Dyno_Data[[#This Row],[AcqCenter]]&gt;0,Dyno_Data[[#This Row],[Time]]-SUMIFS(Dyno_Data[Time],Dyno_Data[Team],Dyno_Data[[#This Row],[Team]],Dyno_Data[RecordType],"StartMatch",Dyno_Data[Match],Dyno_Data[[#This Row],[Match]]),0)*86400),0)</f>
        <v>0</v>
      </c>
    </row>
    <row r="2635" spans="1:35" x14ac:dyDescent="0.3">
      <c r="A2635">
        <v>2628</v>
      </c>
      <c r="B2635" t="s">
        <v>360</v>
      </c>
      <c r="C2635">
        <v>50</v>
      </c>
      <c r="D2635" s="105">
        <v>45373.714886423608</v>
      </c>
      <c r="E2635" t="s">
        <v>312</v>
      </c>
      <c r="F2635" t="s">
        <v>309</v>
      </c>
      <c r="G2635">
        <v>0</v>
      </c>
      <c r="H2635" t="s">
        <v>143</v>
      </c>
      <c r="I2635">
        <v>3</v>
      </c>
      <c r="J2635">
        <v>1</v>
      </c>
      <c r="K2635">
        <v>0</v>
      </c>
      <c r="L2635" t="s">
        <v>310</v>
      </c>
      <c r="M2635" t="s">
        <v>310</v>
      </c>
      <c r="N2635">
        <v>0</v>
      </c>
      <c r="O2635" t="s">
        <v>1395</v>
      </c>
      <c r="P2635" t="s">
        <v>310</v>
      </c>
      <c r="Q2635" t="s">
        <v>310</v>
      </c>
      <c r="R2635" t="s">
        <v>310</v>
      </c>
      <c r="S2635">
        <v>9</v>
      </c>
      <c r="T2635" t="s">
        <v>310</v>
      </c>
      <c r="U2635">
        <v>9</v>
      </c>
      <c r="V2635">
        <v>9</v>
      </c>
      <c r="W2635">
        <v>0</v>
      </c>
      <c r="X2635">
        <v>0</v>
      </c>
      <c r="Y2635">
        <v>0</v>
      </c>
      <c r="Z2635">
        <v>0</v>
      </c>
      <c r="AA2635">
        <v>9</v>
      </c>
      <c r="AB2635">
        <v>9</v>
      </c>
      <c r="AC2635" t="s">
        <v>310</v>
      </c>
      <c r="AD2635">
        <v>9</v>
      </c>
      <c r="AE2635" t="s">
        <v>1416</v>
      </c>
      <c r="AF2635">
        <v>20003000</v>
      </c>
      <c r="AG2635" t="s">
        <v>310</v>
      </c>
      <c r="AH2635">
        <f>SUM((MID(Dyno_Data[[#This Row],[Team]],4,5))+(Dyno_Data[[#This Row],[Match]]/100))</f>
        <v>1796.5</v>
      </c>
      <c r="AI2635" s="76">
        <f>ROUND(SUM(IF(Dyno_Data[[#This Row],[AcqCenter]]&gt;0,Dyno_Data[[#This Row],[Time]]-SUMIFS(Dyno_Data[Time],Dyno_Data[Team],Dyno_Data[[#This Row],[Team]],Dyno_Data[RecordType],"StartMatch",Dyno_Data[Match],Dyno_Data[[#This Row],[Match]]),0)*86400),0)</f>
        <v>14</v>
      </c>
    </row>
    <row r="2636" spans="1:35" x14ac:dyDescent="0.3">
      <c r="A2636">
        <v>2629</v>
      </c>
      <c r="B2636" t="s">
        <v>1284</v>
      </c>
      <c r="C2636">
        <v>50</v>
      </c>
      <c r="D2636" s="105">
        <v>45373.714895173609</v>
      </c>
      <c r="E2636" t="s">
        <v>312</v>
      </c>
      <c r="F2636" t="s">
        <v>309</v>
      </c>
      <c r="G2636">
        <v>0</v>
      </c>
      <c r="H2636" t="s">
        <v>1397</v>
      </c>
      <c r="I2636">
        <v>0</v>
      </c>
      <c r="J2636">
        <v>0</v>
      </c>
      <c r="K2636">
        <v>0</v>
      </c>
      <c r="L2636" t="s">
        <v>240</v>
      </c>
      <c r="M2636" t="s">
        <v>1398</v>
      </c>
      <c r="N2636">
        <v>0</v>
      </c>
      <c r="O2636" t="s">
        <v>319</v>
      </c>
      <c r="P2636" t="s">
        <v>310</v>
      </c>
      <c r="Q2636" t="s">
        <v>310</v>
      </c>
      <c r="R2636" t="s">
        <v>310</v>
      </c>
      <c r="S2636">
        <v>9</v>
      </c>
      <c r="T2636" t="s">
        <v>310</v>
      </c>
      <c r="U2636">
        <v>9</v>
      </c>
      <c r="V2636">
        <v>9</v>
      </c>
      <c r="W2636">
        <v>0</v>
      </c>
      <c r="X2636">
        <v>0</v>
      </c>
      <c r="Y2636">
        <v>0</v>
      </c>
      <c r="Z2636">
        <v>0</v>
      </c>
      <c r="AA2636">
        <v>9</v>
      </c>
      <c r="AB2636">
        <v>9</v>
      </c>
      <c r="AC2636" t="s">
        <v>310</v>
      </c>
      <c r="AD2636">
        <v>9</v>
      </c>
      <c r="AE2636" t="s">
        <v>1387</v>
      </c>
      <c r="AF2636">
        <v>0</v>
      </c>
      <c r="AG2636" t="s">
        <v>310</v>
      </c>
      <c r="AH2636">
        <f>SUM((MID(Dyno_Data[[#This Row],[Team]],4,5))+(Dyno_Data[[#This Row],[Match]]/100))</f>
        <v>5590.5</v>
      </c>
      <c r="AI2636" s="76">
        <f>ROUND(SUM(IF(Dyno_Data[[#This Row],[AcqCenter]]&gt;0,Dyno_Data[[#This Row],[Time]]-SUMIFS(Dyno_Data[Time],Dyno_Data[Team],Dyno_Data[[#This Row],[Team]],Dyno_Data[RecordType],"StartMatch",Dyno_Data[Match],Dyno_Data[[#This Row],[Match]]),0)*86400),0)</f>
        <v>0</v>
      </c>
    </row>
    <row r="2637" spans="1:35" x14ac:dyDescent="0.3">
      <c r="A2637">
        <v>2634</v>
      </c>
      <c r="B2637" t="s">
        <v>1312</v>
      </c>
      <c r="C2637">
        <v>50</v>
      </c>
      <c r="D2637" s="105">
        <v>45373.714922604166</v>
      </c>
      <c r="E2637" t="s">
        <v>312</v>
      </c>
      <c r="F2637" t="s">
        <v>309</v>
      </c>
      <c r="G2637">
        <v>0</v>
      </c>
      <c r="H2637" t="s">
        <v>143</v>
      </c>
      <c r="I2637">
        <v>1</v>
      </c>
      <c r="J2637">
        <v>-1</v>
      </c>
      <c r="K2637">
        <v>0</v>
      </c>
      <c r="L2637" t="s">
        <v>310</v>
      </c>
      <c r="M2637" t="s">
        <v>310</v>
      </c>
      <c r="N2637">
        <v>0</v>
      </c>
      <c r="O2637" t="s">
        <v>1393</v>
      </c>
      <c r="P2637" t="s">
        <v>310</v>
      </c>
      <c r="Q2637" t="s">
        <v>310</v>
      </c>
      <c r="R2637" t="s">
        <v>310</v>
      </c>
      <c r="S2637">
        <v>9</v>
      </c>
      <c r="T2637" t="s">
        <v>310</v>
      </c>
      <c r="U2637">
        <v>9</v>
      </c>
      <c r="V2637">
        <v>9</v>
      </c>
      <c r="W2637">
        <v>0</v>
      </c>
      <c r="X2637">
        <v>0</v>
      </c>
      <c r="Y2637">
        <v>0</v>
      </c>
      <c r="Z2637">
        <v>0</v>
      </c>
      <c r="AA2637">
        <v>9</v>
      </c>
      <c r="AB2637">
        <v>9</v>
      </c>
      <c r="AC2637" t="s">
        <v>310</v>
      </c>
      <c r="AD2637">
        <v>9</v>
      </c>
      <c r="AE2637" t="s">
        <v>1392</v>
      </c>
      <c r="AF2637">
        <v>0</v>
      </c>
      <c r="AG2637" t="s">
        <v>310</v>
      </c>
      <c r="AH2637">
        <f>SUM((MID(Dyno_Data[[#This Row],[Team]],4,5))+(Dyno_Data[[#This Row],[Match]]/100))</f>
        <v>2053.5</v>
      </c>
      <c r="AI2637" s="76">
        <f>ROUND(SUM(IF(Dyno_Data[[#This Row],[AcqCenter]]&gt;0,Dyno_Data[[#This Row],[Time]]-SUMIFS(Dyno_Data[Time],Dyno_Data[Team],Dyno_Data[[#This Row],[Team]],Dyno_Data[RecordType],"StartMatch",Dyno_Data[Match],Dyno_Data[[#This Row],[Match]]),0)*86400),0)</f>
        <v>16</v>
      </c>
    </row>
    <row r="2638" spans="1:35" x14ac:dyDescent="0.3">
      <c r="A2638">
        <v>2631</v>
      </c>
      <c r="B2638" t="s">
        <v>1284</v>
      </c>
      <c r="C2638">
        <v>50</v>
      </c>
      <c r="D2638" s="105">
        <v>45373.714932025461</v>
      </c>
      <c r="E2638" t="s">
        <v>314</v>
      </c>
      <c r="F2638" t="s">
        <v>309</v>
      </c>
      <c r="G2638">
        <v>1</v>
      </c>
      <c r="H2638" t="s">
        <v>310</v>
      </c>
      <c r="I2638">
        <v>0</v>
      </c>
      <c r="J2638">
        <v>0</v>
      </c>
      <c r="K2638">
        <v>0</v>
      </c>
      <c r="L2638" t="s">
        <v>310</v>
      </c>
      <c r="M2638" t="s">
        <v>310</v>
      </c>
      <c r="N2638">
        <v>0</v>
      </c>
      <c r="O2638" t="s">
        <v>319</v>
      </c>
      <c r="P2638" t="s">
        <v>1401</v>
      </c>
      <c r="Q2638" t="s">
        <v>1399</v>
      </c>
      <c r="R2638" t="s">
        <v>310</v>
      </c>
      <c r="S2638">
        <v>9</v>
      </c>
      <c r="T2638" t="s">
        <v>310</v>
      </c>
      <c r="U2638">
        <v>9</v>
      </c>
      <c r="V2638">
        <v>9</v>
      </c>
      <c r="W2638">
        <v>0</v>
      </c>
      <c r="X2638">
        <v>0</v>
      </c>
      <c r="Y2638">
        <v>0</v>
      </c>
      <c r="Z2638">
        <v>0</v>
      </c>
      <c r="AA2638">
        <v>9</v>
      </c>
      <c r="AB2638">
        <v>9</v>
      </c>
      <c r="AC2638" t="s">
        <v>310</v>
      </c>
      <c r="AD2638">
        <v>9</v>
      </c>
      <c r="AE2638" t="s">
        <v>1387</v>
      </c>
      <c r="AF2638">
        <v>0</v>
      </c>
      <c r="AG2638" t="s">
        <v>310</v>
      </c>
      <c r="AH2638">
        <f>SUM((MID(Dyno_Data[[#This Row],[Team]],4,5))+(Dyno_Data[[#This Row],[Match]]/100))</f>
        <v>5590.5</v>
      </c>
      <c r="AI2638" s="76">
        <f>ROUND(SUM(IF(Dyno_Data[[#This Row],[AcqCenter]]&gt;0,Dyno_Data[[#This Row],[Time]]-SUMIFS(Dyno_Data[Time],Dyno_Data[Team],Dyno_Data[[#This Row],[Team]],Dyno_Data[RecordType],"StartMatch",Dyno_Data[Match],Dyno_Data[[#This Row],[Match]]),0)*86400),0)</f>
        <v>0</v>
      </c>
    </row>
    <row r="2639" spans="1:35" x14ac:dyDescent="0.3">
      <c r="A2639">
        <v>2633</v>
      </c>
      <c r="B2639" t="s">
        <v>360</v>
      </c>
      <c r="C2639">
        <v>50</v>
      </c>
      <c r="D2639" s="105">
        <v>45373.714932754629</v>
      </c>
      <c r="E2639" t="s">
        <v>314</v>
      </c>
      <c r="F2639" t="s">
        <v>309</v>
      </c>
      <c r="G2639">
        <v>1</v>
      </c>
      <c r="H2639" t="s">
        <v>310</v>
      </c>
      <c r="I2639">
        <v>0</v>
      </c>
      <c r="J2639">
        <v>0</v>
      </c>
      <c r="K2639">
        <v>0</v>
      </c>
      <c r="L2639" t="s">
        <v>310</v>
      </c>
      <c r="M2639" t="s">
        <v>310</v>
      </c>
      <c r="N2639">
        <v>0</v>
      </c>
      <c r="O2639" t="s">
        <v>1395</v>
      </c>
      <c r="P2639" t="s">
        <v>240</v>
      </c>
      <c r="Q2639" t="s">
        <v>1399</v>
      </c>
      <c r="R2639" t="s">
        <v>310</v>
      </c>
      <c r="S2639">
        <v>9</v>
      </c>
      <c r="T2639" t="s">
        <v>310</v>
      </c>
      <c r="U2639">
        <v>9</v>
      </c>
      <c r="V2639">
        <v>9</v>
      </c>
      <c r="W2639">
        <v>0</v>
      </c>
      <c r="X2639">
        <v>0</v>
      </c>
      <c r="Y2639">
        <v>0</v>
      </c>
      <c r="Z2639">
        <v>0</v>
      </c>
      <c r="AA2639">
        <v>9</v>
      </c>
      <c r="AB2639">
        <v>9</v>
      </c>
      <c r="AC2639" t="s">
        <v>310</v>
      </c>
      <c r="AD2639">
        <v>9</v>
      </c>
      <c r="AE2639" t="s">
        <v>1416</v>
      </c>
      <c r="AF2639">
        <v>20003000</v>
      </c>
      <c r="AG2639" t="s">
        <v>310</v>
      </c>
      <c r="AH2639">
        <f>SUM((MID(Dyno_Data[[#This Row],[Team]],4,5))+(Dyno_Data[[#This Row],[Match]]/100))</f>
        <v>1796.5</v>
      </c>
      <c r="AI2639" s="76">
        <f>ROUND(SUM(IF(Dyno_Data[[#This Row],[AcqCenter]]&gt;0,Dyno_Data[[#This Row],[Time]]-SUMIFS(Dyno_Data[Time],Dyno_Data[Team],Dyno_Data[[#This Row],[Team]],Dyno_Data[RecordType],"StartMatch",Dyno_Data[Match],Dyno_Data[[#This Row],[Match]]),0)*86400),0)</f>
        <v>0</v>
      </c>
    </row>
    <row r="2640" spans="1:35" x14ac:dyDescent="0.3">
      <c r="A2640">
        <v>2636</v>
      </c>
      <c r="B2640" t="s">
        <v>1280</v>
      </c>
      <c r="C2640">
        <v>50</v>
      </c>
      <c r="D2640" s="105">
        <v>45373.71494302083</v>
      </c>
      <c r="E2640" t="s">
        <v>314</v>
      </c>
      <c r="F2640" t="s">
        <v>309</v>
      </c>
      <c r="G2640">
        <v>0</v>
      </c>
      <c r="H2640" t="s">
        <v>310</v>
      </c>
      <c r="I2640">
        <v>0</v>
      </c>
      <c r="J2640">
        <v>0</v>
      </c>
      <c r="K2640">
        <v>0</v>
      </c>
      <c r="L2640" t="s">
        <v>310</v>
      </c>
      <c r="M2640" t="s">
        <v>310</v>
      </c>
      <c r="N2640">
        <v>0</v>
      </c>
      <c r="O2640" t="s">
        <v>311</v>
      </c>
      <c r="P2640" t="s">
        <v>101</v>
      </c>
      <c r="Q2640" t="s">
        <v>1400</v>
      </c>
      <c r="R2640" t="s">
        <v>310</v>
      </c>
      <c r="S2640">
        <v>9</v>
      </c>
      <c r="T2640" t="s">
        <v>310</v>
      </c>
      <c r="U2640">
        <v>9</v>
      </c>
      <c r="V2640">
        <v>9</v>
      </c>
      <c r="W2640">
        <v>0</v>
      </c>
      <c r="X2640">
        <v>0</v>
      </c>
      <c r="Y2640">
        <v>0</v>
      </c>
      <c r="Z2640">
        <v>0</v>
      </c>
      <c r="AA2640">
        <v>9</v>
      </c>
      <c r="AB2640">
        <v>9</v>
      </c>
      <c r="AC2640" t="s">
        <v>310</v>
      </c>
      <c r="AD2640">
        <v>9</v>
      </c>
      <c r="AE2640" t="s">
        <v>1394</v>
      </c>
      <c r="AF2640">
        <v>0</v>
      </c>
      <c r="AG2640" t="s">
        <v>310</v>
      </c>
      <c r="AH2640">
        <f>SUM((MID(Dyno_Data[[#This Row],[Team]],4,5))+(Dyno_Data[[#This Row],[Match]]/100))</f>
        <v>1559.5</v>
      </c>
      <c r="AI2640" s="76">
        <f>ROUND(SUM(IF(Dyno_Data[[#This Row],[AcqCenter]]&gt;0,Dyno_Data[[#This Row],[Time]]-SUMIFS(Dyno_Data[Time],Dyno_Data[Team],Dyno_Data[[#This Row],[Team]],Dyno_Data[RecordType],"StartMatch",Dyno_Data[Match],Dyno_Data[[#This Row],[Match]]),0)*86400),0)</f>
        <v>0</v>
      </c>
    </row>
    <row r="2641" spans="1:35" x14ac:dyDescent="0.3">
      <c r="A2641">
        <v>2638</v>
      </c>
      <c r="B2641" t="s">
        <v>1292</v>
      </c>
      <c r="C2641">
        <v>50</v>
      </c>
      <c r="D2641" s="105">
        <v>45373.714944594911</v>
      </c>
      <c r="E2641" t="s">
        <v>314</v>
      </c>
      <c r="F2641" t="s">
        <v>309</v>
      </c>
      <c r="G2641">
        <v>0</v>
      </c>
      <c r="H2641" t="s">
        <v>310</v>
      </c>
      <c r="I2641">
        <v>0</v>
      </c>
      <c r="J2641">
        <v>0</v>
      </c>
      <c r="K2641">
        <v>0</v>
      </c>
      <c r="L2641" t="s">
        <v>310</v>
      </c>
      <c r="M2641" t="s">
        <v>310</v>
      </c>
      <c r="N2641">
        <v>0</v>
      </c>
      <c r="O2641" t="s">
        <v>1389</v>
      </c>
      <c r="P2641" t="s">
        <v>101</v>
      </c>
      <c r="Q2641" t="s">
        <v>1400</v>
      </c>
      <c r="R2641" t="s">
        <v>310</v>
      </c>
      <c r="S2641">
        <v>9</v>
      </c>
      <c r="T2641" t="s">
        <v>310</v>
      </c>
      <c r="U2641">
        <v>9</v>
      </c>
      <c r="V2641">
        <v>9</v>
      </c>
      <c r="W2641">
        <v>0</v>
      </c>
      <c r="X2641">
        <v>0</v>
      </c>
      <c r="Y2641">
        <v>0</v>
      </c>
      <c r="Z2641">
        <v>0</v>
      </c>
      <c r="AA2641">
        <v>9</v>
      </c>
      <c r="AB2641">
        <v>9</v>
      </c>
      <c r="AC2641" t="s">
        <v>310</v>
      </c>
      <c r="AD2641">
        <v>9</v>
      </c>
      <c r="AE2641" t="s">
        <v>1417</v>
      </c>
      <c r="AF2641">
        <v>0</v>
      </c>
      <c r="AG2641" t="s">
        <v>310</v>
      </c>
      <c r="AH2641">
        <f>SUM((MID(Dyno_Data[[#This Row],[Team]],4,5))+(Dyno_Data[[#This Row],[Match]]/100))</f>
        <v>7030.5</v>
      </c>
      <c r="AI2641" s="76">
        <f>ROUND(SUM(IF(Dyno_Data[[#This Row],[AcqCenter]]&gt;0,Dyno_Data[[#This Row],[Time]]-SUMIFS(Dyno_Data[Time],Dyno_Data[Team],Dyno_Data[[#This Row],[Team]],Dyno_Data[RecordType],"StartMatch",Dyno_Data[Match],Dyno_Data[[#This Row],[Match]]),0)*86400),0)</f>
        <v>0</v>
      </c>
    </row>
    <row r="2642" spans="1:35" x14ac:dyDescent="0.3">
      <c r="A2642">
        <v>2640</v>
      </c>
      <c r="B2642" t="s">
        <v>1318</v>
      </c>
      <c r="C2642">
        <v>50</v>
      </c>
      <c r="D2642" s="105">
        <v>45373.714950312497</v>
      </c>
      <c r="E2642" t="s">
        <v>314</v>
      </c>
      <c r="F2642" t="s">
        <v>309</v>
      </c>
      <c r="G2642">
        <v>1</v>
      </c>
      <c r="H2642" t="s">
        <v>310</v>
      </c>
      <c r="I2642">
        <v>0</v>
      </c>
      <c r="J2642">
        <v>0</v>
      </c>
      <c r="K2642">
        <v>0</v>
      </c>
      <c r="L2642" t="s">
        <v>310</v>
      </c>
      <c r="M2642" t="s">
        <v>310</v>
      </c>
      <c r="N2642">
        <v>0</v>
      </c>
      <c r="O2642" t="s">
        <v>1391</v>
      </c>
      <c r="P2642" t="s">
        <v>240</v>
      </c>
      <c r="Q2642" t="s">
        <v>1400</v>
      </c>
      <c r="R2642" t="s">
        <v>310</v>
      </c>
      <c r="S2642">
        <v>9</v>
      </c>
      <c r="T2642" t="s">
        <v>310</v>
      </c>
      <c r="U2642">
        <v>9</v>
      </c>
      <c r="V2642">
        <v>9</v>
      </c>
      <c r="W2642">
        <v>0</v>
      </c>
      <c r="X2642">
        <v>0</v>
      </c>
      <c r="Y2642">
        <v>0</v>
      </c>
      <c r="Z2642">
        <v>0</v>
      </c>
      <c r="AA2642">
        <v>9</v>
      </c>
      <c r="AB2642">
        <v>9</v>
      </c>
      <c r="AC2642" t="s">
        <v>310</v>
      </c>
      <c r="AD2642">
        <v>9</v>
      </c>
      <c r="AE2642" t="s">
        <v>1418</v>
      </c>
      <c r="AF2642">
        <v>20000000</v>
      </c>
      <c r="AG2642" t="s">
        <v>310</v>
      </c>
      <c r="AH2642">
        <f>SUM((MID(Dyno_Data[[#This Row],[Team]],4,5))+(Dyno_Data[[#This Row],[Match]]/100))</f>
        <v>7709.5</v>
      </c>
      <c r="AI2642" s="76">
        <f>ROUND(SUM(IF(Dyno_Data[[#This Row],[AcqCenter]]&gt;0,Dyno_Data[[#This Row],[Time]]-SUMIFS(Dyno_Data[Time],Dyno_Data[Team],Dyno_Data[[#This Row],[Team]],Dyno_Data[RecordType],"StartMatch",Dyno_Data[Match],Dyno_Data[[#This Row],[Match]]),0)*86400),0)</f>
        <v>0</v>
      </c>
    </row>
    <row r="2643" spans="1:35" x14ac:dyDescent="0.3">
      <c r="A2643">
        <v>2642</v>
      </c>
      <c r="B2643" t="s">
        <v>1312</v>
      </c>
      <c r="C2643">
        <v>50</v>
      </c>
      <c r="D2643" s="105">
        <v>45373.714951122682</v>
      </c>
      <c r="E2643" t="s">
        <v>314</v>
      </c>
      <c r="F2643" t="s">
        <v>309</v>
      </c>
      <c r="G2643">
        <v>1</v>
      </c>
      <c r="H2643" t="s">
        <v>310</v>
      </c>
      <c r="I2643">
        <v>0</v>
      </c>
      <c r="J2643">
        <v>0</v>
      </c>
      <c r="K2643">
        <v>0</v>
      </c>
      <c r="L2643" t="s">
        <v>310</v>
      </c>
      <c r="M2643" t="s">
        <v>310</v>
      </c>
      <c r="N2643">
        <v>0</v>
      </c>
      <c r="O2643" t="s">
        <v>1393</v>
      </c>
      <c r="P2643" t="s">
        <v>320</v>
      </c>
      <c r="Q2643" t="s">
        <v>1400</v>
      </c>
      <c r="R2643" t="s">
        <v>310</v>
      </c>
      <c r="S2643">
        <v>9</v>
      </c>
      <c r="T2643" t="s">
        <v>310</v>
      </c>
      <c r="U2643">
        <v>9</v>
      </c>
      <c r="V2643">
        <v>9</v>
      </c>
      <c r="W2643">
        <v>0</v>
      </c>
      <c r="X2643">
        <v>0</v>
      </c>
      <c r="Y2643">
        <v>0</v>
      </c>
      <c r="Z2643">
        <v>0</v>
      </c>
      <c r="AA2643">
        <v>9</v>
      </c>
      <c r="AB2643">
        <v>9</v>
      </c>
      <c r="AC2643" t="s">
        <v>310</v>
      </c>
      <c r="AD2643">
        <v>9</v>
      </c>
      <c r="AE2643" t="s">
        <v>1392</v>
      </c>
      <c r="AF2643">
        <v>0</v>
      </c>
      <c r="AG2643" t="s">
        <v>310</v>
      </c>
      <c r="AH2643">
        <f>SUM((MID(Dyno_Data[[#This Row],[Team]],4,5))+(Dyno_Data[[#This Row],[Match]]/100))</f>
        <v>2053.5</v>
      </c>
      <c r="AI2643" s="76">
        <f>ROUND(SUM(IF(Dyno_Data[[#This Row],[AcqCenter]]&gt;0,Dyno_Data[[#This Row],[Time]]-SUMIFS(Dyno_Data[Time],Dyno_Data[Team],Dyno_Data[[#This Row],[Team]],Dyno_Data[RecordType],"StartMatch",Dyno_Data[Match],Dyno_Data[[#This Row],[Match]]),0)*86400),0)</f>
        <v>0</v>
      </c>
    </row>
    <row r="2644" spans="1:35" x14ac:dyDescent="0.3">
      <c r="A2644">
        <v>2643</v>
      </c>
      <c r="B2644" t="s">
        <v>1318</v>
      </c>
      <c r="C2644">
        <v>50</v>
      </c>
      <c r="D2644" s="105">
        <v>45373.714978472221</v>
      </c>
      <c r="E2644" t="s">
        <v>312</v>
      </c>
      <c r="F2644" t="s">
        <v>1402</v>
      </c>
      <c r="G2644">
        <v>0</v>
      </c>
      <c r="H2644" t="s">
        <v>315</v>
      </c>
      <c r="I2644">
        <v>0</v>
      </c>
      <c r="J2644">
        <v>0</v>
      </c>
      <c r="K2644">
        <v>0</v>
      </c>
      <c r="L2644" t="s">
        <v>240</v>
      </c>
      <c r="M2644" t="s">
        <v>1398</v>
      </c>
      <c r="N2644">
        <v>1</v>
      </c>
      <c r="O2644" t="s">
        <v>1391</v>
      </c>
      <c r="P2644" t="s">
        <v>310</v>
      </c>
      <c r="Q2644" t="s">
        <v>310</v>
      </c>
      <c r="R2644" t="s">
        <v>310</v>
      </c>
      <c r="S2644">
        <v>9</v>
      </c>
      <c r="T2644" t="s">
        <v>310</v>
      </c>
      <c r="U2644">
        <v>9</v>
      </c>
      <c r="V2644">
        <v>9</v>
      </c>
      <c r="W2644">
        <v>0</v>
      </c>
      <c r="X2644">
        <v>0</v>
      </c>
      <c r="Y2644">
        <v>0</v>
      </c>
      <c r="Z2644">
        <v>0</v>
      </c>
      <c r="AA2644">
        <v>9</v>
      </c>
      <c r="AB2644">
        <v>9</v>
      </c>
      <c r="AC2644" t="s">
        <v>310</v>
      </c>
      <c r="AD2644">
        <v>9</v>
      </c>
      <c r="AE2644" t="s">
        <v>1418</v>
      </c>
      <c r="AF2644">
        <v>30000000</v>
      </c>
      <c r="AG2644" t="s">
        <v>310</v>
      </c>
      <c r="AH2644">
        <f>SUM((MID(Dyno_Data[[#This Row],[Team]],4,5))+(Dyno_Data[[#This Row],[Match]]/100))</f>
        <v>7709.5</v>
      </c>
      <c r="AI2644" s="76">
        <f>ROUND(SUM(IF(Dyno_Data[[#This Row],[AcqCenter]]&gt;0,Dyno_Data[[#This Row],[Time]]-SUMIFS(Dyno_Data[Time],Dyno_Data[Team],Dyno_Data[[#This Row],[Team]],Dyno_Data[RecordType],"StartMatch",Dyno_Data[Match],Dyno_Data[[#This Row],[Match]]),0)*86400),0)</f>
        <v>0</v>
      </c>
    </row>
    <row r="2645" spans="1:35" x14ac:dyDescent="0.3">
      <c r="A2645">
        <v>2644</v>
      </c>
      <c r="B2645" t="s">
        <v>360</v>
      </c>
      <c r="C2645">
        <v>50</v>
      </c>
      <c r="D2645" s="105">
        <v>45373.714988043983</v>
      </c>
      <c r="E2645" t="s">
        <v>312</v>
      </c>
      <c r="F2645" t="s">
        <v>1402</v>
      </c>
      <c r="G2645">
        <v>0</v>
      </c>
      <c r="H2645" t="s">
        <v>143</v>
      </c>
      <c r="I2645">
        <v>0</v>
      </c>
      <c r="J2645">
        <v>0</v>
      </c>
      <c r="K2645">
        <v>0</v>
      </c>
      <c r="L2645" t="s">
        <v>241</v>
      </c>
      <c r="M2645" t="s">
        <v>101</v>
      </c>
      <c r="N2645">
        <v>0</v>
      </c>
      <c r="O2645" t="s">
        <v>1395</v>
      </c>
      <c r="P2645" t="s">
        <v>310</v>
      </c>
      <c r="Q2645" t="s">
        <v>310</v>
      </c>
      <c r="R2645" t="s">
        <v>310</v>
      </c>
      <c r="S2645">
        <v>9</v>
      </c>
      <c r="T2645" t="s">
        <v>310</v>
      </c>
      <c r="U2645">
        <v>9</v>
      </c>
      <c r="V2645">
        <v>9</v>
      </c>
      <c r="W2645">
        <v>0</v>
      </c>
      <c r="X2645">
        <v>0</v>
      </c>
      <c r="Y2645">
        <v>0</v>
      </c>
      <c r="Z2645">
        <v>0</v>
      </c>
      <c r="AA2645">
        <v>9</v>
      </c>
      <c r="AB2645">
        <v>9</v>
      </c>
      <c r="AC2645" t="s">
        <v>310</v>
      </c>
      <c r="AD2645">
        <v>9</v>
      </c>
      <c r="AE2645" t="s">
        <v>1416</v>
      </c>
      <c r="AF2645">
        <v>20003000</v>
      </c>
      <c r="AG2645" t="s">
        <v>310</v>
      </c>
      <c r="AH2645">
        <f>SUM((MID(Dyno_Data[[#This Row],[Team]],4,5))+(Dyno_Data[[#This Row],[Match]]/100))</f>
        <v>1796.5</v>
      </c>
      <c r="AI2645" s="76">
        <f>ROUND(SUM(IF(Dyno_Data[[#This Row],[AcqCenter]]&gt;0,Dyno_Data[[#This Row],[Time]]-SUMIFS(Dyno_Data[Time],Dyno_Data[Team],Dyno_Data[[#This Row],[Team]],Dyno_Data[RecordType],"StartMatch",Dyno_Data[Match],Dyno_Data[[#This Row],[Match]]),0)*86400),0)</f>
        <v>0</v>
      </c>
    </row>
    <row r="2646" spans="1:35" x14ac:dyDescent="0.3">
      <c r="A2646">
        <v>2645</v>
      </c>
      <c r="B2646" t="s">
        <v>360</v>
      </c>
      <c r="C2646">
        <v>50</v>
      </c>
      <c r="D2646" s="105">
        <v>45373.715032094908</v>
      </c>
      <c r="E2646" t="s">
        <v>312</v>
      </c>
      <c r="F2646" t="s">
        <v>1402</v>
      </c>
      <c r="G2646">
        <v>0</v>
      </c>
      <c r="H2646" t="s">
        <v>315</v>
      </c>
      <c r="I2646">
        <v>0</v>
      </c>
      <c r="J2646">
        <v>0</v>
      </c>
      <c r="K2646">
        <v>0</v>
      </c>
      <c r="L2646" t="s">
        <v>242</v>
      </c>
      <c r="M2646" t="s">
        <v>241</v>
      </c>
      <c r="N2646">
        <v>0</v>
      </c>
      <c r="O2646" t="s">
        <v>1395</v>
      </c>
      <c r="P2646" t="s">
        <v>310</v>
      </c>
      <c r="Q2646" t="s">
        <v>310</v>
      </c>
      <c r="R2646" t="s">
        <v>310</v>
      </c>
      <c r="S2646">
        <v>9</v>
      </c>
      <c r="T2646" t="s">
        <v>310</v>
      </c>
      <c r="U2646">
        <v>9</v>
      </c>
      <c r="V2646">
        <v>9</v>
      </c>
      <c r="W2646">
        <v>0</v>
      </c>
      <c r="X2646">
        <v>0</v>
      </c>
      <c r="Y2646">
        <v>0</v>
      </c>
      <c r="Z2646">
        <v>0</v>
      </c>
      <c r="AA2646">
        <v>9</v>
      </c>
      <c r="AB2646">
        <v>9</v>
      </c>
      <c r="AC2646" t="s">
        <v>310</v>
      </c>
      <c r="AD2646">
        <v>9</v>
      </c>
      <c r="AE2646" t="s">
        <v>1416</v>
      </c>
      <c r="AF2646">
        <v>30003000</v>
      </c>
      <c r="AG2646" t="s">
        <v>310</v>
      </c>
      <c r="AH2646">
        <f>SUM((MID(Dyno_Data[[#This Row],[Team]],4,5))+(Dyno_Data[[#This Row],[Match]]/100))</f>
        <v>1796.5</v>
      </c>
      <c r="AI2646" s="76">
        <f>ROUND(SUM(IF(Dyno_Data[[#This Row],[AcqCenter]]&gt;0,Dyno_Data[[#This Row],[Time]]-SUMIFS(Dyno_Data[Time],Dyno_Data[Team],Dyno_Data[[#This Row],[Team]],Dyno_Data[RecordType],"StartMatch",Dyno_Data[Match],Dyno_Data[[#This Row],[Match]]),0)*86400),0)</f>
        <v>0</v>
      </c>
    </row>
    <row r="2647" spans="1:35" x14ac:dyDescent="0.3">
      <c r="A2647">
        <v>2646</v>
      </c>
      <c r="B2647" t="s">
        <v>1318</v>
      </c>
      <c r="C2647">
        <v>50</v>
      </c>
      <c r="D2647" s="105">
        <v>45373.715042164353</v>
      </c>
      <c r="E2647" t="s">
        <v>312</v>
      </c>
      <c r="F2647" t="s">
        <v>1402</v>
      </c>
      <c r="G2647">
        <v>0</v>
      </c>
      <c r="H2647" t="s">
        <v>315</v>
      </c>
      <c r="I2647">
        <v>0</v>
      </c>
      <c r="J2647">
        <v>0</v>
      </c>
      <c r="K2647">
        <v>0</v>
      </c>
      <c r="L2647" t="s">
        <v>240</v>
      </c>
      <c r="M2647" t="s">
        <v>241</v>
      </c>
      <c r="N2647">
        <v>0</v>
      </c>
      <c r="O2647" t="s">
        <v>1391</v>
      </c>
      <c r="P2647" t="s">
        <v>310</v>
      </c>
      <c r="Q2647" t="s">
        <v>310</v>
      </c>
      <c r="R2647" t="s">
        <v>310</v>
      </c>
      <c r="S2647">
        <v>9</v>
      </c>
      <c r="T2647" t="s">
        <v>310</v>
      </c>
      <c r="U2647">
        <v>9</v>
      </c>
      <c r="V2647">
        <v>9</v>
      </c>
      <c r="W2647">
        <v>0</v>
      </c>
      <c r="X2647">
        <v>0</v>
      </c>
      <c r="Y2647">
        <v>0</v>
      </c>
      <c r="Z2647">
        <v>0</v>
      </c>
      <c r="AA2647">
        <v>9</v>
      </c>
      <c r="AB2647">
        <v>9</v>
      </c>
      <c r="AC2647" t="s">
        <v>310</v>
      </c>
      <c r="AD2647">
        <v>9</v>
      </c>
      <c r="AE2647" t="s">
        <v>1418</v>
      </c>
      <c r="AF2647">
        <v>40000000</v>
      </c>
      <c r="AG2647" t="s">
        <v>310</v>
      </c>
      <c r="AH2647">
        <f>SUM((MID(Dyno_Data[[#This Row],[Team]],4,5))+(Dyno_Data[[#This Row],[Match]]/100))</f>
        <v>7709.5</v>
      </c>
      <c r="AI2647" s="76">
        <f>ROUND(SUM(IF(Dyno_Data[[#This Row],[AcqCenter]]&gt;0,Dyno_Data[[#This Row],[Time]]-SUMIFS(Dyno_Data[Time],Dyno_Data[Team],Dyno_Data[[#This Row],[Team]],Dyno_Data[RecordType],"StartMatch",Dyno_Data[Match],Dyno_Data[[#This Row],[Match]]),0)*86400),0)</f>
        <v>0</v>
      </c>
    </row>
    <row r="2648" spans="1:35" x14ac:dyDescent="0.3">
      <c r="A2648">
        <v>2647</v>
      </c>
      <c r="B2648" t="s">
        <v>1312</v>
      </c>
      <c r="C2648">
        <v>50</v>
      </c>
      <c r="D2648" s="105">
        <v>45373.715064780095</v>
      </c>
      <c r="E2648" t="s">
        <v>312</v>
      </c>
      <c r="F2648" t="s">
        <v>1402</v>
      </c>
      <c r="G2648">
        <v>0</v>
      </c>
      <c r="H2648" t="s">
        <v>315</v>
      </c>
      <c r="I2648">
        <v>0</v>
      </c>
      <c r="J2648">
        <v>0</v>
      </c>
      <c r="K2648">
        <v>0</v>
      </c>
      <c r="L2648" t="s">
        <v>241</v>
      </c>
      <c r="M2648" t="s">
        <v>1398</v>
      </c>
      <c r="N2648">
        <v>1</v>
      </c>
      <c r="O2648" t="s">
        <v>1393</v>
      </c>
      <c r="P2648" t="s">
        <v>310</v>
      </c>
      <c r="Q2648" t="s">
        <v>310</v>
      </c>
      <c r="R2648" t="s">
        <v>310</v>
      </c>
      <c r="S2648">
        <v>9</v>
      </c>
      <c r="T2648" t="s">
        <v>310</v>
      </c>
      <c r="U2648">
        <v>9</v>
      </c>
      <c r="V2648">
        <v>9</v>
      </c>
      <c r="W2648">
        <v>0</v>
      </c>
      <c r="X2648">
        <v>0</v>
      </c>
      <c r="Y2648">
        <v>0</v>
      </c>
      <c r="Z2648">
        <v>0</v>
      </c>
      <c r="AA2648">
        <v>9</v>
      </c>
      <c r="AB2648">
        <v>9</v>
      </c>
      <c r="AC2648" t="s">
        <v>310</v>
      </c>
      <c r="AD2648">
        <v>9</v>
      </c>
      <c r="AE2648" t="s">
        <v>1392</v>
      </c>
      <c r="AF2648">
        <v>10000000</v>
      </c>
      <c r="AG2648" t="s">
        <v>310</v>
      </c>
      <c r="AH2648">
        <f>SUM((MID(Dyno_Data[[#This Row],[Team]],4,5))+(Dyno_Data[[#This Row],[Match]]/100))</f>
        <v>2053.5</v>
      </c>
      <c r="AI2648" s="76">
        <f>ROUND(SUM(IF(Dyno_Data[[#This Row],[AcqCenter]]&gt;0,Dyno_Data[[#This Row],[Time]]-SUMIFS(Dyno_Data[Time],Dyno_Data[Team],Dyno_Data[[#This Row],[Team]],Dyno_Data[RecordType],"StartMatch",Dyno_Data[Match],Dyno_Data[[#This Row],[Match]]),0)*86400),0)</f>
        <v>0</v>
      </c>
    </row>
    <row r="2649" spans="1:35" x14ac:dyDescent="0.3">
      <c r="A2649">
        <v>2648</v>
      </c>
      <c r="B2649" t="s">
        <v>1280</v>
      </c>
      <c r="C2649">
        <v>50</v>
      </c>
      <c r="D2649" s="105">
        <v>45373.715072071762</v>
      </c>
      <c r="E2649" t="s">
        <v>312</v>
      </c>
      <c r="F2649" t="s">
        <v>1402</v>
      </c>
      <c r="G2649">
        <v>0</v>
      </c>
      <c r="H2649" t="s">
        <v>1397</v>
      </c>
      <c r="I2649">
        <v>0</v>
      </c>
      <c r="J2649">
        <v>0</v>
      </c>
      <c r="K2649">
        <v>0</v>
      </c>
      <c r="L2649" t="s">
        <v>241</v>
      </c>
      <c r="M2649" t="s">
        <v>1398</v>
      </c>
      <c r="N2649">
        <v>1</v>
      </c>
      <c r="O2649" t="s">
        <v>311</v>
      </c>
      <c r="P2649" t="s">
        <v>310</v>
      </c>
      <c r="Q2649" t="s">
        <v>310</v>
      </c>
      <c r="R2649" t="s">
        <v>310</v>
      </c>
      <c r="S2649">
        <v>9</v>
      </c>
      <c r="T2649" t="s">
        <v>310</v>
      </c>
      <c r="U2649">
        <v>9</v>
      </c>
      <c r="V2649">
        <v>9</v>
      </c>
      <c r="W2649">
        <v>0</v>
      </c>
      <c r="X2649">
        <v>0</v>
      </c>
      <c r="Y2649">
        <v>0</v>
      </c>
      <c r="Z2649">
        <v>0</v>
      </c>
      <c r="AA2649">
        <v>9</v>
      </c>
      <c r="AB2649">
        <v>9</v>
      </c>
      <c r="AC2649" t="s">
        <v>310</v>
      </c>
      <c r="AD2649">
        <v>9</v>
      </c>
      <c r="AE2649" t="s">
        <v>1394</v>
      </c>
      <c r="AF2649">
        <v>0</v>
      </c>
      <c r="AG2649" t="s">
        <v>310</v>
      </c>
      <c r="AH2649">
        <f>SUM((MID(Dyno_Data[[#This Row],[Team]],4,5))+(Dyno_Data[[#This Row],[Match]]/100))</f>
        <v>1559.5</v>
      </c>
      <c r="AI2649" s="76">
        <f>ROUND(SUM(IF(Dyno_Data[[#This Row],[AcqCenter]]&gt;0,Dyno_Data[[#This Row],[Time]]-SUMIFS(Dyno_Data[Time],Dyno_Data[Team],Dyno_Data[[#This Row],[Team]],Dyno_Data[RecordType],"StartMatch",Dyno_Data[Match],Dyno_Data[[#This Row],[Match]]),0)*86400),0)</f>
        <v>0</v>
      </c>
    </row>
    <row r="2650" spans="1:35" x14ac:dyDescent="0.3">
      <c r="A2650">
        <v>2649</v>
      </c>
      <c r="B2650" t="s">
        <v>1284</v>
      </c>
      <c r="C2650">
        <v>50</v>
      </c>
      <c r="D2650" s="105">
        <v>45373.715097453707</v>
      </c>
      <c r="E2650" t="s">
        <v>312</v>
      </c>
      <c r="F2650" t="s">
        <v>1402</v>
      </c>
      <c r="G2650">
        <v>0</v>
      </c>
      <c r="H2650" t="s">
        <v>315</v>
      </c>
      <c r="I2650">
        <v>0</v>
      </c>
      <c r="J2650">
        <v>0</v>
      </c>
      <c r="K2650">
        <v>0</v>
      </c>
      <c r="L2650" t="s">
        <v>241</v>
      </c>
      <c r="M2650" t="s">
        <v>1398</v>
      </c>
      <c r="N2650">
        <v>1</v>
      </c>
      <c r="O2650" t="s">
        <v>319</v>
      </c>
      <c r="P2650" t="s">
        <v>310</v>
      </c>
      <c r="Q2650" t="s">
        <v>310</v>
      </c>
      <c r="R2650" t="s">
        <v>310</v>
      </c>
      <c r="S2650">
        <v>9</v>
      </c>
      <c r="T2650" t="s">
        <v>310</v>
      </c>
      <c r="U2650">
        <v>9</v>
      </c>
      <c r="V2650">
        <v>9</v>
      </c>
      <c r="W2650">
        <v>0</v>
      </c>
      <c r="X2650">
        <v>0</v>
      </c>
      <c r="Y2650">
        <v>0</v>
      </c>
      <c r="Z2650">
        <v>0</v>
      </c>
      <c r="AA2650">
        <v>9</v>
      </c>
      <c r="AB2650">
        <v>9</v>
      </c>
      <c r="AC2650" t="s">
        <v>310</v>
      </c>
      <c r="AD2650">
        <v>9</v>
      </c>
      <c r="AE2650" t="s">
        <v>1387</v>
      </c>
      <c r="AF2650">
        <v>10000000</v>
      </c>
      <c r="AG2650" t="s">
        <v>310</v>
      </c>
      <c r="AH2650">
        <f>SUM((MID(Dyno_Data[[#This Row],[Team]],4,5))+(Dyno_Data[[#This Row],[Match]]/100))</f>
        <v>5590.5</v>
      </c>
      <c r="AI2650" s="76">
        <f>ROUND(SUM(IF(Dyno_Data[[#This Row],[AcqCenter]]&gt;0,Dyno_Data[[#This Row],[Time]]-SUMIFS(Dyno_Data[Time],Dyno_Data[Team],Dyno_Data[[#This Row],[Team]],Dyno_Data[RecordType],"StartMatch",Dyno_Data[Match],Dyno_Data[[#This Row],[Match]]),0)*86400),0)</f>
        <v>0</v>
      </c>
    </row>
    <row r="2651" spans="1:35" x14ac:dyDescent="0.3">
      <c r="A2651">
        <v>2650</v>
      </c>
      <c r="B2651" t="s">
        <v>1318</v>
      </c>
      <c r="C2651">
        <v>50</v>
      </c>
      <c r="D2651" s="105">
        <v>45373.7151241088</v>
      </c>
      <c r="E2651" t="s">
        <v>312</v>
      </c>
      <c r="F2651" t="s">
        <v>1402</v>
      </c>
      <c r="G2651">
        <v>0</v>
      </c>
      <c r="H2651" t="s">
        <v>315</v>
      </c>
      <c r="I2651">
        <v>0</v>
      </c>
      <c r="J2651">
        <v>0</v>
      </c>
      <c r="K2651">
        <v>0</v>
      </c>
      <c r="L2651" t="s">
        <v>240</v>
      </c>
      <c r="M2651" t="s">
        <v>101</v>
      </c>
      <c r="N2651">
        <v>0</v>
      </c>
      <c r="O2651" t="s">
        <v>1391</v>
      </c>
      <c r="P2651" t="s">
        <v>310</v>
      </c>
      <c r="Q2651" t="s">
        <v>310</v>
      </c>
      <c r="R2651" t="s">
        <v>310</v>
      </c>
      <c r="S2651">
        <v>9</v>
      </c>
      <c r="T2651" t="s">
        <v>310</v>
      </c>
      <c r="U2651">
        <v>9</v>
      </c>
      <c r="V2651">
        <v>9</v>
      </c>
      <c r="W2651">
        <v>0</v>
      </c>
      <c r="X2651">
        <v>0</v>
      </c>
      <c r="Y2651">
        <v>0</v>
      </c>
      <c r="Z2651">
        <v>0</v>
      </c>
      <c r="AA2651">
        <v>9</v>
      </c>
      <c r="AB2651">
        <v>9</v>
      </c>
      <c r="AC2651" t="s">
        <v>310</v>
      </c>
      <c r="AD2651">
        <v>9</v>
      </c>
      <c r="AE2651" t="s">
        <v>1418</v>
      </c>
      <c r="AF2651">
        <v>50000000</v>
      </c>
      <c r="AG2651" t="s">
        <v>310</v>
      </c>
      <c r="AH2651">
        <f>SUM((MID(Dyno_Data[[#This Row],[Team]],4,5))+(Dyno_Data[[#This Row],[Match]]/100))</f>
        <v>7709.5</v>
      </c>
      <c r="AI2651" s="76">
        <f>ROUND(SUM(IF(Dyno_Data[[#This Row],[AcqCenter]]&gt;0,Dyno_Data[[#This Row],[Time]]-SUMIFS(Dyno_Data[Time],Dyno_Data[Team],Dyno_Data[[#This Row],[Team]],Dyno_Data[RecordType],"StartMatch",Dyno_Data[Match],Dyno_Data[[#This Row],[Match]]),0)*86400),0)</f>
        <v>0</v>
      </c>
    </row>
    <row r="2652" spans="1:35" x14ac:dyDescent="0.3">
      <c r="A2652">
        <v>2651</v>
      </c>
      <c r="B2652" t="s">
        <v>1312</v>
      </c>
      <c r="C2652">
        <v>50</v>
      </c>
      <c r="D2652" s="105">
        <v>45373.71512847222</v>
      </c>
      <c r="E2652" t="s">
        <v>312</v>
      </c>
      <c r="F2652" t="s">
        <v>1402</v>
      </c>
      <c r="G2652">
        <v>0</v>
      </c>
      <c r="H2652" t="s">
        <v>315</v>
      </c>
      <c r="I2652">
        <v>0</v>
      </c>
      <c r="J2652">
        <v>0</v>
      </c>
      <c r="K2652">
        <v>0</v>
      </c>
      <c r="L2652" t="s">
        <v>241</v>
      </c>
      <c r="M2652" t="s">
        <v>1398</v>
      </c>
      <c r="N2652">
        <v>1</v>
      </c>
      <c r="O2652" t="s">
        <v>1393</v>
      </c>
      <c r="P2652" t="s">
        <v>310</v>
      </c>
      <c r="Q2652" t="s">
        <v>310</v>
      </c>
      <c r="R2652" t="s">
        <v>310</v>
      </c>
      <c r="S2652">
        <v>9</v>
      </c>
      <c r="T2652" t="s">
        <v>310</v>
      </c>
      <c r="U2652">
        <v>9</v>
      </c>
      <c r="V2652">
        <v>9</v>
      </c>
      <c r="W2652">
        <v>0</v>
      </c>
      <c r="X2652">
        <v>0</v>
      </c>
      <c r="Y2652">
        <v>0</v>
      </c>
      <c r="Z2652">
        <v>0</v>
      </c>
      <c r="AA2652">
        <v>9</v>
      </c>
      <c r="AB2652">
        <v>9</v>
      </c>
      <c r="AC2652" t="s">
        <v>310</v>
      </c>
      <c r="AD2652">
        <v>9</v>
      </c>
      <c r="AE2652" t="s">
        <v>1392</v>
      </c>
      <c r="AF2652">
        <v>20000000</v>
      </c>
      <c r="AG2652" t="s">
        <v>310</v>
      </c>
      <c r="AH2652">
        <f>SUM((MID(Dyno_Data[[#This Row],[Team]],4,5))+(Dyno_Data[[#This Row],[Match]]/100))</f>
        <v>2053.5</v>
      </c>
      <c r="AI2652" s="76">
        <f>ROUND(SUM(IF(Dyno_Data[[#This Row],[AcqCenter]]&gt;0,Dyno_Data[[#This Row],[Time]]-SUMIFS(Dyno_Data[Time],Dyno_Data[Team],Dyno_Data[[#This Row],[Team]],Dyno_Data[RecordType],"StartMatch",Dyno_Data[Match],Dyno_Data[[#This Row],[Match]]),0)*86400),0)</f>
        <v>0</v>
      </c>
    </row>
    <row r="2653" spans="1:35" x14ac:dyDescent="0.3">
      <c r="A2653">
        <v>2652</v>
      </c>
      <c r="B2653" t="s">
        <v>360</v>
      </c>
      <c r="C2653">
        <v>50</v>
      </c>
      <c r="D2653" s="105">
        <v>45373.715208067129</v>
      </c>
      <c r="E2653" t="s">
        <v>312</v>
      </c>
      <c r="F2653" t="s">
        <v>1402</v>
      </c>
      <c r="G2653">
        <v>0</v>
      </c>
      <c r="H2653" t="s">
        <v>315</v>
      </c>
      <c r="I2653">
        <v>0</v>
      </c>
      <c r="J2653">
        <v>0</v>
      </c>
      <c r="K2653">
        <v>0</v>
      </c>
      <c r="L2653" t="s">
        <v>241</v>
      </c>
      <c r="M2653" t="s">
        <v>101</v>
      </c>
      <c r="N2653">
        <v>0</v>
      </c>
      <c r="O2653" t="s">
        <v>1395</v>
      </c>
      <c r="P2653" t="s">
        <v>310</v>
      </c>
      <c r="Q2653" t="s">
        <v>310</v>
      </c>
      <c r="R2653" t="s">
        <v>310</v>
      </c>
      <c r="S2653">
        <v>9</v>
      </c>
      <c r="T2653" t="s">
        <v>310</v>
      </c>
      <c r="U2653">
        <v>9</v>
      </c>
      <c r="V2653">
        <v>9</v>
      </c>
      <c r="W2653">
        <v>0</v>
      </c>
      <c r="X2653">
        <v>0</v>
      </c>
      <c r="Y2653">
        <v>0</v>
      </c>
      <c r="Z2653">
        <v>0</v>
      </c>
      <c r="AA2653">
        <v>9</v>
      </c>
      <c r="AB2653">
        <v>9</v>
      </c>
      <c r="AC2653" t="s">
        <v>310</v>
      </c>
      <c r="AD2653">
        <v>9</v>
      </c>
      <c r="AE2653" t="s">
        <v>1416</v>
      </c>
      <c r="AF2653">
        <v>40003000</v>
      </c>
      <c r="AG2653" t="s">
        <v>310</v>
      </c>
      <c r="AH2653">
        <f>SUM((MID(Dyno_Data[[#This Row],[Team]],4,5))+(Dyno_Data[[#This Row],[Match]]/100))</f>
        <v>1796.5</v>
      </c>
      <c r="AI2653" s="76">
        <f>ROUND(SUM(IF(Dyno_Data[[#This Row],[AcqCenter]]&gt;0,Dyno_Data[[#This Row],[Time]]-SUMIFS(Dyno_Data[Time],Dyno_Data[Team],Dyno_Data[[#This Row],[Team]],Dyno_Data[RecordType],"StartMatch",Dyno_Data[Match],Dyno_Data[[#This Row],[Match]]),0)*86400),0)</f>
        <v>0</v>
      </c>
    </row>
    <row r="2654" spans="1:35" x14ac:dyDescent="0.3">
      <c r="A2654">
        <v>2653</v>
      </c>
      <c r="B2654" t="s">
        <v>1318</v>
      </c>
      <c r="C2654">
        <v>50</v>
      </c>
      <c r="D2654" s="105">
        <v>45373.715283449077</v>
      </c>
      <c r="E2654" t="s">
        <v>312</v>
      </c>
      <c r="F2654" t="s">
        <v>1402</v>
      </c>
      <c r="G2654">
        <v>0</v>
      </c>
      <c r="H2654" t="s">
        <v>315</v>
      </c>
      <c r="I2654">
        <v>0</v>
      </c>
      <c r="J2654">
        <v>0</v>
      </c>
      <c r="K2654">
        <v>0</v>
      </c>
      <c r="L2654" t="s">
        <v>240</v>
      </c>
      <c r="M2654" t="s">
        <v>1398</v>
      </c>
      <c r="N2654">
        <v>0</v>
      </c>
      <c r="O2654" t="s">
        <v>1391</v>
      </c>
      <c r="P2654" t="s">
        <v>310</v>
      </c>
      <c r="Q2654" t="s">
        <v>310</v>
      </c>
      <c r="R2654" t="s">
        <v>310</v>
      </c>
      <c r="S2654">
        <v>9</v>
      </c>
      <c r="T2654" t="s">
        <v>310</v>
      </c>
      <c r="U2654">
        <v>9</v>
      </c>
      <c r="V2654">
        <v>9</v>
      </c>
      <c r="W2654">
        <v>0</v>
      </c>
      <c r="X2654">
        <v>0</v>
      </c>
      <c r="Y2654">
        <v>0</v>
      </c>
      <c r="Z2654">
        <v>0</v>
      </c>
      <c r="AA2654">
        <v>9</v>
      </c>
      <c r="AB2654">
        <v>9</v>
      </c>
      <c r="AC2654" t="s">
        <v>310</v>
      </c>
      <c r="AD2654">
        <v>9</v>
      </c>
      <c r="AE2654" t="s">
        <v>1418</v>
      </c>
      <c r="AF2654">
        <v>60000000</v>
      </c>
      <c r="AG2654" t="s">
        <v>310</v>
      </c>
      <c r="AH2654">
        <f>SUM((MID(Dyno_Data[[#This Row],[Team]],4,5))+(Dyno_Data[[#This Row],[Match]]/100))</f>
        <v>7709.5</v>
      </c>
      <c r="AI2654" s="76">
        <f>ROUND(SUM(IF(Dyno_Data[[#This Row],[AcqCenter]]&gt;0,Dyno_Data[[#This Row],[Time]]-SUMIFS(Dyno_Data[Time],Dyno_Data[Team],Dyno_Data[[#This Row],[Team]],Dyno_Data[RecordType],"StartMatch",Dyno_Data[Match],Dyno_Data[[#This Row],[Match]]),0)*86400),0)</f>
        <v>0</v>
      </c>
    </row>
    <row r="2655" spans="1:35" x14ac:dyDescent="0.3">
      <c r="A2655">
        <v>2654</v>
      </c>
      <c r="B2655" t="s">
        <v>360</v>
      </c>
      <c r="C2655">
        <v>50</v>
      </c>
      <c r="D2655" s="105">
        <v>45373.71529641204</v>
      </c>
      <c r="E2655" t="s">
        <v>312</v>
      </c>
      <c r="F2655" t="s">
        <v>1402</v>
      </c>
      <c r="G2655">
        <v>0</v>
      </c>
      <c r="H2655" t="s">
        <v>315</v>
      </c>
      <c r="I2655">
        <v>0</v>
      </c>
      <c r="J2655">
        <v>0</v>
      </c>
      <c r="K2655">
        <v>0</v>
      </c>
      <c r="L2655" t="s">
        <v>241</v>
      </c>
      <c r="M2655" t="s">
        <v>1398</v>
      </c>
      <c r="N2655">
        <v>1</v>
      </c>
      <c r="O2655" t="s">
        <v>1395</v>
      </c>
      <c r="P2655" t="s">
        <v>310</v>
      </c>
      <c r="Q2655" t="s">
        <v>310</v>
      </c>
      <c r="R2655" t="s">
        <v>310</v>
      </c>
      <c r="S2655">
        <v>9</v>
      </c>
      <c r="T2655" t="s">
        <v>310</v>
      </c>
      <c r="U2655">
        <v>9</v>
      </c>
      <c r="V2655">
        <v>9</v>
      </c>
      <c r="W2655">
        <v>0</v>
      </c>
      <c r="X2655">
        <v>0</v>
      </c>
      <c r="Y2655">
        <v>0</v>
      </c>
      <c r="Z2655">
        <v>0</v>
      </c>
      <c r="AA2655">
        <v>9</v>
      </c>
      <c r="AB2655">
        <v>9</v>
      </c>
      <c r="AC2655" t="s">
        <v>310</v>
      </c>
      <c r="AD2655">
        <v>9</v>
      </c>
      <c r="AE2655" t="s">
        <v>1416</v>
      </c>
      <c r="AF2655">
        <v>50003000</v>
      </c>
      <c r="AG2655" t="s">
        <v>310</v>
      </c>
      <c r="AH2655">
        <f>SUM((MID(Dyno_Data[[#This Row],[Team]],4,5))+(Dyno_Data[[#This Row],[Match]]/100))</f>
        <v>1796.5</v>
      </c>
      <c r="AI2655" s="76">
        <f>ROUND(SUM(IF(Dyno_Data[[#This Row],[AcqCenter]]&gt;0,Dyno_Data[[#This Row],[Time]]-SUMIFS(Dyno_Data[Time],Dyno_Data[Team],Dyno_Data[[#This Row],[Team]],Dyno_Data[RecordType],"StartMatch",Dyno_Data[Match],Dyno_Data[[#This Row],[Match]]),0)*86400),0)</f>
        <v>0</v>
      </c>
    </row>
    <row r="2656" spans="1:35" x14ac:dyDescent="0.3">
      <c r="A2656">
        <v>2655</v>
      </c>
      <c r="B2656" t="s">
        <v>1312</v>
      </c>
      <c r="C2656">
        <v>50</v>
      </c>
      <c r="D2656" s="105">
        <v>45373.715310185187</v>
      </c>
      <c r="E2656" t="s">
        <v>312</v>
      </c>
      <c r="F2656" t="s">
        <v>1402</v>
      </c>
      <c r="G2656">
        <v>0</v>
      </c>
      <c r="H2656" t="s">
        <v>315</v>
      </c>
      <c r="I2656">
        <v>0</v>
      </c>
      <c r="J2656">
        <v>0</v>
      </c>
      <c r="K2656">
        <v>0</v>
      </c>
      <c r="L2656" t="s">
        <v>241</v>
      </c>
      <c r="M2656" t="s">
        <v>101</v>
      </c>
      <c r="N2656">
        <v>0</v>
      </c>
      <c r="O2656" t="s">
        <v>1393</v>
      </c>
      <c r="P2656" t="s">
        <v>310</v>
      </c>
      <c r="Q2656" t="s">
        <v>310</v>
      </c>
      <c r="R2656" t="s">
        <v>310</v>
      </c>
      <c r="S2656">
        <v>9</v>
      </c>
      <c r="T2656" t="s">
        <v>310</v>
      </c>
      <c r="U2656">
        <v>9</v>
      </c>
      <c r="V2656">
        <v>9</v>
      </c>
      <c r="W2656">
        <v>0</v>
      </c>
      <c r="X2656">
        <v>0</v>
      </c>
      <c r="Y2656">
        <v>0</v>
      </c>
      <c r="Z2656">
        <v>0</v>
      </c>
      <c r="AA2656">
        <v>9</v>
      </c>
      <c r="AB2656">
        <v>9</v>
      </c>
      <c r="AC2656" t="s">
        <v>310</v>
      </c>
      <c r="AD2656">
        <v>9</v>
      </c>
      <c r="AE2656" t="s">
        <v>1392</v>
      </c>
      <c r="AF2656">
        <v>30000000</v>
      </c>
      <c r="AG2656" t="s">
        <v>310</v>
      </c>
      <c r="AH2656">
        <f>SUM((MID(Dyno_Data[[#This Row],[Team]],4,5))+(Dyno_Data[[#This Row],[Match]]/100))</f>
        <v>2053.5</v>
      </c>
      <c r="AI2656" s="76">
        <f>ROUND(SUM(IF(Dyno_Data[[#This Row],[AcqCenter]]&gt;0,Dyno_Data[[#This Row],[Time]]-SUMIFS(Dyno_Data[Time],Dyno_Data[Team],Dyno_Data[[#This Row],[Team]],Dyno_Data[RecordType],"StartMatch",Dyno_Data[Match],Dyno_Data[[#This Row],[Match]]),0)*86400),0)</f>
        <v>0</v>
      </c>
    </row>
    <row r="2657" spans="1:35" x14ac:dyDescent="0.3">
      <c r="A2657">
        <v>2656</v>
      </c>
      <c r="B2657" t="s">
        <v>360</v>
      </c>
      <c r="C2657">
        <v>50</v>
      </c>
      <c r="D2657" s="105">
        <v>45373.715337766203</v>
      </c>
      <c r="E2657" t="s">
        <v>312</v>
      </c>
      <c r="F2657" t="s">
        <v>1402</v>
      </c>
      <c r="G2657">
        <v>0</v>
      </c>
      <c r="H2657" t="s">
        <v>315</v>
      </c>
      <c r="I2657">
        <v>0</v>
      </c>
      <c r="J2657">
        <v>0</v>
      </c>
      <c r="K2657">
        <v>0</v>
      </c>
      <c r="L2657" t="s">
        <v>241</v>
      </c>
      <c r="M2657" t="s">
        <v>1398</v>
      </c>
      <c r="N2657">
        <v>1</v>
      </c>
      <c r="O2657" t="s">
        <v>1395</v>
      </c>
      <c r="P2657" t="s">
        <v>310</v>
      </c>
      <c r="Q2657" t="s">
        <v>310</v>
      </c>
      <c r="R2657" t="s">
        <v>310</v>
      </c>
      <c r="S2657">
        <v>9</v>
      </c>
      <c r="T2657" t="s">
        <v>310</v>
      </c>
      <c r="U2657">
        <v>9</v>
      </c>
      <c r="V2657">
        <v>9</v>
      </c>
      <c r="W2657">
        <v>0</v>
      </c>
      <c r="X2657">
        <v>0</v>
      </c>
      <c r="Y2657">
        <v>0</v>
      </c>
      <c r="Z2657">
        <v>0</v>
      </c>
      <c r="AA2657">
        <v>9</v>
      </c>
      <c r="AB2657">
        <v>9</v>
      </c>
      <c r="AC2657" t="s">
        <v>310</v>
      </c>
      <c r="AD2657">
        <v>9</v>
      </c>
      <c r="AE2657" t="s">
        <v>1416</v>
      </c>
      <c r="AF2657">
        <v>60003000</v>
      </c>
      <c r="AG2657" t="s">
        <v>310</v>
      </c>
      <c r="AH2657">
        <f>SUM((MID(Dyno_Data[[#This Row],[Team]],4,5))+(Dyno_Data[[#This Row],[Match]]/100))</f>
        <v>1796.5</v>
      </c>
      <c r="AI2657" s="76">
        <f>ROUND(SUM(IF(Dyno_Data[[#This Row],[AcqCenter]]&gt;0,Dyno_Data[[#This Row],[Time]]-SUMIFS(Dyno_Data[Time],Dyno_Data[Team],Dyno_Data[[#This Row],[Team]],Dyno_Data[RecordType],"StartMatch",Dyno_Data[Match],Dyno_Data[[#This Row],[Match]]),0)*86400),0)</f>
        <v>0</v>
      </c>
    </row>
    <row r="2658" spans="1:35" x14ac:dyDescent="0.3">
      <c r="A2658">
        <v>2657</v>
      </c>
      <c r="B2658" t="s">
        <v>360</v>
      </c>
      <c r="C2658">
        <v>50</v>
      </c>
      <c r="D2658" s="105">
        <v>45373.715375381944</v>
      </c>
      <c r="E2658" t="s">
        <v>312</v>
      </c>
      <c r="F2658" t="s">
        <v>1402</v>
      </c>
      <c r="G2658">
        <v>0</v>
      </c>
      <c r="H2658" t="s">
        <v>315</v>
      </c>
      <c r="I2658">
        <v>0</v>
      </c>
      <c r="J2658">
        <v>0</v>
      </c>
      <c r="K2658">
        <v>0</v>
      </c>
      <c r="L2658" t="s">
        <v>241</v>
      </c>
      <c r="M2658" t="s">
        <v>1398</v>
      </c>
      <c r="N2658">
        <v>0</v>
      </c>
      <c r="O2658" t="s">
        <v>1395</v>
      </c>
      <c r="P2658" t="s">
        <v>310</v>
      </c>
      <c r="Q2658" t="s">
        <v>310</v>
      </c>
      <c r="R2658" t="s">
        <v>310</v>
      </c>
      <c r="S2658">
        <v>9</v>
      </c>
      <c r="T2658" t="s">
        <v>310</v>
      </c>
      <c r="U2658">
        <v>9</v>
      </c>
      <c r="V2658">
        <v>9</v>
      </c>
      <c r="W2658">
        <v>0</v>
      </c>
      <c r="X2658">
        <v>0</v>
      </c>
      <c r="Y2658">
        <v>0</v>
      </c>
      <c r="Z2658">
        <v>0</v>
      </c>
      <c r="AA2658">
        <v>9</v>
      </c>
      <c r="AB2658">
        <v>9</v>
      </c>
      <c r="AC2658" t="s">
        <v>310</v>
      </c>
      <c r="AD2658">
        <v>9</v>
      </c>
      <c r="AE2658" t="s">
        <v>1416</v>
      </c>
      <c r="AF2658">
        <v>70003000</v>
      </c>
      <c r="AG2658" t="s">
        <v>310</v>
      </c>
      <c r="AH2658">
        <f>SUM((MID(Dyno_Data[[#This Row],[Team]],4,5))+(Dyno_Data[[#This Row],[Match]]/100))</f>
        <v>1796.5</v>
      </c>
      <c r="AI2658" s="76">
        <f>ROUND(SUM(IF(Dyno_Data[[#This Row],[AcqCenter]]&gt;0,Dyno_Data[[#This Row],[Time]]-SUMIFS(Dyno_Data[Time],Dyno_Data[Team],Dyno_Data[[#This Row],[Team]],Dyno_Data[RecordType],"StartMatch",Dyno_Data[Match],Dyno_Data[[#This Row],[Match]]),0)*86400),0)</f>
        <v>0</v>
      </c>
    </row>
    <row r="2659" spans="1:35" x14ac:dyDescent="0.3">
      <c r="A2659">
        <v>2658</v>
      </c>
      <c r="B2659" t="s">
        <v>360</v>
      </c>
      <c r="C2659">
        <v>50</v>
      </c>
      <c r="D2659" s="105">
        <v>45373.715422256944</v>
      </c>
      <c r="E2659" t="s">
        <v>312</v>
      </c>
      <c r="F2659" t="s">
        <v>1402</v>
      </c>
      <c r="G2659">
        <v>0</v>
      </c>
      <c r="H2659" t="s">
        <v>315</v>
      </c>
      <c r="I2659">
        <v>0</v>
      </c>
      <c r="J2659">
        <v>0</v>
      </c>
      <c r="K2659">
        <v>0</v>
      </c>
      <c r="L2659" t="s">
        <v>241</v>
      </c>
      <c r="M2659" t="s">
        <v>1398</v>
      </c>
      <c r="N2659">
        <v>0</v>
      </c>
      <c r="O2659" t="s">
        <v>1395</v>
      </c>
      <c r="P2659" t="s">
        <v>310</v>
      </c>
      <c r="Q2659" t="s">
        <v>310</v>
      </c>
      <c r="R2659" t="s">
        <v>310</v>
      </c>
      <c r="S2659">
        <v>9</v>
      </c>
      <c r="T2659" t="s">
        <v>310</v>
      </c>
      <c r="U2659">
        <v>9</v>
      </c>
      <c r="V2659">
        <v>9</v>
      </c>
      <c r="W2659">
        <v>0</v>
      </c>
      <c r="X2659">
        <v>0</v>
      </c>
      <c r="Y2659">
        <v>0</v>
      </c>
      <c r="Z2659">
        <v>0</v>
      </c>
      <c r="AA2659">
        <v>9</v>
      </c>
      <c r="AB2659">
        <v>9</v>
      </c>
      <c r="AC2659" t="s">
        <v>310</v>
      </c>
      <c r="AD2659">
        <v>9</v>
      </c>
      <c r="AE2659" t="s">
        <v>1416</v>
      </c>
      <c r="AF2659">
        <v>80003000</v>
      </c>
      <c r="AG2659" t="s">
        <v>310</v>
      </c>
      <c r="AH2659">
        <f>SUM((MID(Dyno_Data[[#This Row],[Team]],4,5))+(Dyno_Data[[#This Row],[Match]]/100))</f>
        <v>1796.5</v>
      </c>
      <c r="AI2659" s="76">
        <f>ROUND(SUM(IF(Dyno_Data[[#This Row],[AcqCenter]]&gt;0,Dyno_Data[[#This Row],[Time]]-SUMIFS(Dyno_Data[Time],Dyno_Data[Team],Dyno_Data[[#This Row],[Team]],Dyno_Data[RecordType],"StartMatch",Dyno_Data[Match],Dyno_Data[[#This Row],[Match]]),0)*86400),0)</f>
        <v>0</v>
      </c>
    </row>
    <row r="2660" spans="1:35" x14ac:dyDescent="0.3">
      <c r="A2660">
        <v>2659</v>
      </c>
      <c r="B2660" t="s">
        <v>1318</v>
      </c>
      <c r="C2660">
        <v>50</v>
      </c>
      <c r="D2660" s="105">
        <v>45373.715450810188</v>
      </c>
      <c r="E2660" t="s">
        <v>312</v>
      </c>
      <c r="F2660" t="s">
        <v>1402</v>
      </c>
      <c r="G2660">
        <v>0</v>
      </c>
      <c r="H2660" t="s">
        <v>315</v>
      </c>
      <c r="I2660">
        <v>0</v>
      </c>
      <c r="J2660">
        <v>0</v>
      </c>
      <c r="K2660">
        <v>0</v>
      </c>
      <c r="L2660" t="s">
        <v>241</v>
      </c>
      <c r="M2660" t="s">
        <v>1398</v>
      </c>
      <c r="N2660">
        <v>0</v>
      </c>
      <c r="O2660" t="s">
        <v>1391</v>
      </c>
      <c r="P2660" t="s">
        <v>310</v>
      </c>
      <c r="Q2660" t="s">
        <v>310</v>
      </c>
      <c r="R2660" t="s">
        <v>310</v>
      </c>
      <c r="S2660">
        <v>9</v>
      </c>
      <c r="T2660" t="s">
        <v>310</v>
      </c>
      <c r="U2660">
        <v>9</v>
      </c>
      <c r="V2660">
        <v>9</v>
      </c>
      <c r="W2660">
        <v>0</v>
      </c>
      <c r="X2660">
        <v>0</v>
      </c>
      <c r="Y2660">
        <v>0</v>
      </c>
      <c r="Z2660">
        <v>0</v>
      </c>
      <c r="AA2660">
        <v>9</v>
      </c>
      <c r="AB2660">
        <v>9</v>
      </c>
      <c r="AC2660" t="s">
        <v>310</v>
      </c>
      <c r="AD2660">
        <v>9</v>
      </c>
      <c r="AE2660" t="s">
        <v>1418</v>
      </c>
      <c r="AF2660">
        <v>70000000</v>
      </c>
      <c r="AG2660" t="s">
        <v>310</v>
      </c>
      <c r="AH2660">
        <f>SUM((MID(Dyno_Data[[#This Row],[Team]],4,5))+(Dyno_Data[[#This Row],[Match]]/100))</f>
        <v>7709.5</v>
      </c>
      <c r="AI2660" s="76">
        <f>ROUND(SUM(IF(Dyno_Data[[#This Row],[AcqCenter]]&gt;0,Dyno_Data[[#This Row],[Time]]-SUMIFS(Dyno_Data[Time],Dyno_Data[Team],Dyno_Data[[#This Row],[Team]],Dyno_Data[RecordType],"StartMatch",Dyno_Data[Match],Dyno_Data[[#This Row],[Match]]),0)*86400),0)</f>
        <v>0</v>
      </c>
    </row>
    <row r="2661" spans="1:35" x14ac:dyDescent="0.3">
      <c r="A2661">
        <v>2660</v>
      </c>
      <c r="B2661" t="s">
        <v>360</v>
      </c>
      <c r="C2661">
        <v>50</v>
      </c>
      <c r="D2661" s="105">
        <v>45373.715503472224</v>
      </c>
      <c r="E2661" t="s">
        <v>312</v>
      </c>
      <c r="F2661" t="s">
        <v>1402</v>
      </c>
      <c r="G2661">
        <v>0</v>
      </c>
      <c r="H2661" t="s">
        <v>315</v>
      </c>
      <c r="I2661">
        <v>0</v>
      </c>
      <c r="J2661">
        <v>0</v>
      </c>
      <c r="K2661">
        <v>0</v>
      </c>
      <c r="L2661" t="s">
        <v>241</v>
      </c>
      <c r="M2661" t="s">
        <v>1398</v>
      </c>
      <c r="N2661">
        <v>0</v>
      </c>
      <c r="O2661" t="s">
        <v>1395</v>
      </c>
      <c r="P2661" t="s">
        <v>310</v>
      </c>
      <c r="Q2661" t="s">
        <v>310</v>
      </c>
      <c r="R2661" t="s">
        <v>310</v>
      </c>
      <c r="S2661">
        <v>9</v>
      </c>
      <c r="T2661" t="s">
        <v>310</v>
      </c>
      <c r="U2661">
        <v>9</v>
      </c>
      <c r="V2661">
        <v>9</v>
      </c>
      <c r="W2661">
        <v>0</v>
      </c>
      <c r="X2661">
        <v>0</v>
      </c>
      <c r="Y2661">
        <v>0</v>
      </c>
      <c r="Z2661">
        <v>0</v>
      </c>
      <c r="AA2661">
        <v>9</v>
      </c>
      <c r="AB2661">
        <v>9</v>
      </c>
      <c r="AC2661" t="s">
        <v>310</v>
      </c>
      <c r="AD2661">
        <v>9</v>
      </c>
      <c r="AE2661" t="s">
        <v>1416</v>
      </c>
      <c r="AF2661">
        <v>90003000</v>
      </c>
      <c r="AG2661" t="s">
        <v>310</v>
      </c>
      <c r="AH2661">
        <f>SUM((MID(Dyno_Data[[#This Row],[Team]],4,5))+(Dyno_Data[[#This Row],[Match]]/100))</f>
        <v>1796.5</v>
      </c>
      <c r="AI2661" s="76">
        <f>ROUND(SUM(IF(Dyno_Data[[#This Row],[AcqCenter]]&gt;0,Dyno_Data[[#This Row],[Time]]-SUMIFS(Dyno_Data[Time],Dyno_Data[Team],Dyno_Data[[#This Row],[Team]],Dyno_Data[RecordType],"StartMatch",Dyno_Data[Match],Dyno_Data[[#This Row],[Match]]),0)*86400),0)</f>
        <v>0</v>
      </c>
    </row>
    <row r="2662" spans="1:35" x14ac:dyDescent="0.3">
      <c r="A2662">
        <v>2661</v>
      </c>
      <c r="B2662" t="s">
        <v>1312</v>
      </c>
      <c r="C2662">
        <v>50</v>
      </c>
      <c r="D2662" s="105">
        <v>45373.715544710649</v>
      </c>
      <c r="E2662" t="s">
        <v>312</v>
      </c>
      <c r="F2662" t="s">
        <v>1402</v>
      </c>
      <c r="G2662">
        <v>0</v>
      </c>
      <c r="H2662" t="s">
        <v>315</v>
      </c>
      <c r="I2662">
        <v>0</v>
      </c>
      <c r="J2662">
        <v>0</v>
      </c>
      <c r="K2662">
        <v>0</v>
      </c>
      <c r="L2662" t="s">
        <v>241</v>
      </c>
      <c r="M2662" t="s">
        <v>101</v>
      </c>
      <c r="N2662">
        <v>0</v>
      </c>
      <c r="O2662" t="s">
        <v>1393</v>
      </c>
      <c r="P2662" t="s">
        <v>310</v>
      </c>
      <c r="Q2662" t="s">
        <v>310</v>
      </c>
      <c r="R2662" t="s">
        <v>310</v>
      </c>
      <c r="S2662">
        <v>9</v>
      </c>
      <c r="T2662" t="s">
        <v>310</v>
      </c>
      <c r="U2662">
        <v>9</v>
      </c>
      <c r="V2662">
        <v>9</v>
      </c>
      <c r="W2662">
        <v>0</v>
      </c>
      <c r="X2662">
        <v>0</v>
      </c>
      <c r="Y2662">
        <v>0</v>
      </c>
      <c r="Z2662">
        <v>0</v>
      </c>
      <c r="AA2662">
        <v>9</v>
      </c>
      <c r="AB2662">
        <v>9</v>
      </c>
      <c r="AC2662" t="s">
        <v>310</v>
      </c>
      <c r="AD2662">
        <v>9</v>
      </c>
      <c r="AE2662" t="s">
        <v>1392</v>
      </c>
      <c r="AF2662">
        <v>40000000</v>
      </c>
      <c r="AG2662" t="s">
        <v>310</v>
      </c>
      <c r="AH2662">
        <f>SUM((MID(Dyno_Data[[#This Row],[Team]],4,5))+(Dyno_Data[[#This Row],[Match]]/100))</f>
        <v>2053.5</v>
      </c>
      <c r="AI2662" s="76">
        <f>ROUND(SUM(IF(Dyno_Data[[#This Row],[AcqCenter]]&gt;0,Dyno_Data[[#This Row],[Time]]-SUMIFS(Dyno_Data[Time],Dyno_Data[Team],Dyno_Data[[#This Row],[Team]],Dyno_Data[RecordType],"StartMatch",Dyno_Data[Match],Dyno_Data[[#This Row],[Match]]),0)*86400),0)</f>
        <v>0</v>
      </c>
    </row>
    <row r="2663" spans="1:35" x14ac:dyDescent="0.3">
      <c r="A2663">
        <v>2662</v>
      </c>
      <c r="B2663" t="s">
        <v>1318</v>
      </c>
      <c r="C2663">
        <v>50</v>
      </c>
      <c r="D2663" s="105">
        <v>45373.715591863423</v>
      </c>
      <c r="E2663" t="s">
        <v>312</v>
      </c>
      <c r="F2663" t="s">
        <v>1402</v>
      </c>
      <c r="G2663">
        <v>0</v>
      </c>
      <c r="H2663" t="s">
        <v>315</v>
      </c>
      <c r="I2663">
        <v>0</v>
      </c>
      <c r="J2663">
        <v>0</v>
      </c>
      <c r="K2663">
        <v>0</v>
      </c>
      <c r="L2663" t="s">
        <v>241</v>
      </c>
      <c r="M2663" t="s">
        <v>1398</v>
      </c>
      <c r="N2663">
        <v>0</v>
      </c>
      <c r="O2663" t="s">
        <v>1391</v>
      </c>
      <c r="P2663" t="s">
        <v>310</v>
      </c>
      <c r="Q2663" t="s">
        <v>310</v>
      </c>
      <c r="R2663" t="s">
        <v>310</v>
      </c>
      <c r="S2663">
        <v>9</v>
      </c>
      <c r="T2663" t="s">
        <v>310</v>
      </c>
      <c r="U2663">
        <v>9</v>
      </c>
      <c r="V2663">
        <v>9</v>
      </c>
      <c r="W2663">
        <v>0</v>
      </c>
      <c r="X2663">
        <v>0</v>
      </c>
      <c r="Y2663">
        <v>0</v>
      </c>
      <c r="Z2663">
        <v>0</v>
      </c>
      <c r="AA2663">
        <v>9</v>
      </c>
      <c r="AB2663">
        <v>9</v>
      </c>
      <c r="AC2663" t="s">
        <v>310</v>
      </c>
      <c r="AD2663">
        <v>9</v>
      </c>
      <c r="AE2663" t="s">
        <v>1418</v>
      </c>
      <c r="AF2663">
        <v>80000000</v>
      </c>
      <c r="AG2663" t="s">
        <v>310</v>
      </c>
      <c r="AH2663">
        <f>SUM((MID(Dyno_Data[[#This Row],[Team]],4,5))+(Dyno_Data[[#This Row],[Match]]/100))</f>
        <v>7709.5</v>
      </c>
      <c r="AI2663" s="76">
        <f>ROUND(SUM(IF(Dyno_Data[[#This Row],[AcqCenter]]&gt;0,Dyno_Data[[#This Row],[Time]]-SUMIFS(Dyno_Data[Time],Dyno_Data[Team],Dyno_Data[[#This Row],[Team]],Dyno_Data[RecordType],"StartMatch",Dyno_Data[Match],Dyno_Data[[#This Row],[Match]]),0)*86400),0)</f>
        <v>0</v>
      </c>
    </row>
    <row r="2664" spans="1:35" x14ac:dyDescent="0.3">
      <c r="A2664">
        <v>2663</v>
      </c>
      <c r="B2664" t="s">
        <v>360</v>
      </c>
      <c r="C2664">
        <v>50</v>
      </c>
      <c r="D2664" s="105">
        <v>45373.715720717591</v>
      </c>
      <c r="E2664" t="s">
        <v>312</v>
      </c>
      <c r="F2664" t="s">
        <v>1402</v>
      </c>
      <c r="G2664">
        <v>0</v>
      </c>
      <c r="H2664" t="s">
        <v>315</v>
      </c>
      <c r="I2664">
        <v>0</v>
      </c>
      <c r="J2664">
        <v>0</v>
      </c>
      <c r="K2664">
        <v>0</v>
      </c>
      <c r="L2664" t="s">
        <v>241</v>
      </c>
      <c r="M2664" t="s">
        <v>241</v>
      </c>
      <c r="N2664">
        <v>0</v>
      </c>
      <c r="O2664" t="s">
        <v>1395</v>
      </c>
      <c r="P2664" t="s">
        <v>310</v>
      </c>
      <c r="Q2664" t="s">
        <v>310</v>
      </c>
      <c r="R2664" t="s">
        <v>310</v>
      </c>
      <c r="S2664">
        <v>9</v>
      </c>
      <c r="T2664" t="s">
        <v>310</v>
      </c>
      <c r="U2664">
        <v>9</v>
      </c>
      <c r="V2664">
        <v>9</v>
      </c>
      <c r="W2664">
        <v>0</v>
      </c>
      <c r="X2664">
        <v>0</v>
      </c>
      <c r="Y2664">
        <v>0</v>
      </c>
      <c r="Z2664">
        <v>0</v>
      </c>
      <c r="AA2664">
        <v>9</v>
      </c>
      <c r="AB2664">
        <v>9</v>
      </c>
      <c r="AC2664" t="s">
        <v>310</v>
      </c>
      <c r="AD2664">
        <v>9</v>
      </c>
      <c r="AE2664" t="s">
        <v>1416</v>
      </c>
      <c r="AF2664">
        <v>100003000</v>
      </c>
      <c r="AG2664" t="s">
        <v>310</v>
      </c>
      <c r="AH2664">
        <f>SUM((MID(Dyno_Data[[#This Row],[Team]],4,5))+(Dyno_Data[[#This Row],[Match]]/100))</f>
        <v>1796.5</v>
      </c>
      <c r="AI2664" s="76">
        <f>ROUND(SUM(IF(Dyno_Data[[#This Row],[AcqCenter]]&gt;0,Dyno_Data[[#This Row],[Time]]-SUMIFS(Dyno_Data[Time],Dyno_Data[Team],Dyno_Data[[#This Row],[Team]],Dyno_Data[RecordType],"StartMatch",Dyno_Data[Match],Dyno_Data[[#This Row],[Match]]),0)*86400),0)</f>
        <v>0</v>
      </c>
    </row>
    <row r="2665" spans="1:35" x14ac:dyDescent="0.3">
      <c r="A2665">
        <v>2664</v>
      </c>
      <c r="B2665" t="s">
        <v>1318</v>
      </c>
      <c r="C2665">
        <v>50</v>
      </c>
      <c r="D2665" s="105">
        <v>45373.715749687501</v>
      </c>
      <c r="E2665" t="s">
        <v>312</v>
      </c>
      <c r="F2665" t="s">
        <v>1402</v>
      </c>
      <c r="G2665">
        <v>0</v>
      </c>
      <c r="H2665" t="s">
        <v>315</v>
      </c>
      <c r="I2665">
        <v>0</v>
      </c>
      <c r="J2665">
        <v>0</v>
      </c>
      <c r="K2665">
        <v>0</v>
      </c>
      <c r="L2665" t="s">
        <v>240</v>
      </c>
      <c r="M2665" t="s">
        <v>1398</v>
      </c>
      <c r="N2665">
        <v>0</v>
      </c>
      <c r="O2665" t="s">
        <v>1391</v>
      </c>
      <c r="P2665" t="s">
        <v>310</v>
      </c>
      <c r="Q2665" t="s">
        <v>310</v>
      </c>
      <c r="R2665" t="s">
        <v>310</v>
      </c>
      <c r="S2665">
        <v>9</v>
      </c>
      <c r="T2665" t="s">
        <v>310</v>
      </c>
      <c r="U2665">
        <v>9</v>
      </c>
      <c r="V2665">
        <v>9</v>
      </c>
      <c r="W2665">
        <v>0</v>
      </c>
      <c r="X2665">
        <v>0</v>
      </c>
      <c r="Y2665">
        <v>0</v>
      </c>
      <c r="Z2665">
        <v>0</v>
      </c>
      <c r="AA2665">
        <v>9</v>
      </c>
      <c r="AB2665">
        <v>9</v>
      </c>
      <c r="AC2665" t="s">
        <v>310</v>
      </c>
      <c r="AD2665">
        <v>9</v>
      </c>
      <c r="AE2665" t="s">
        <v>1418</v>
      </c>
      <c r="AF2665">
        <v>90000000</v>
      </c>
      <c r="AG2665" t="s">
        <v>310</v>
      </c>
      <c r="AH2665">
        <f>SUM((MID(Dyno_Data[[#This Row],[Team]],4,5))+(Dyno_Data[[#This Row],[Match]]/100))</f>
        <v>7709.5</v>
      </c>
      <c r="AI2665" s="76">
        <f>ROUND(SUM(IF(Dyno_Data[[#This Row],[AcqCenter]]&gt;0,Dyno_Data[[#This Row],[Time]]-SUMIFS(Dyno_Data[Time],Dyno_Data[Team],Dyno_Data[[#This Row],[Team]],Dyno_Data[RecordType],"StartMatch",Dyno_Data[Match],Dyno_Data[[#This Row],[Match]]),0)*86400),0)</f>
        <v>0</v>
      </c>
    </row>
    <row r="2666" spans="1:35" x14ac:dyDescent="0.3">
      <c r="A2666">
        <v>2665</v>
      </c>
      <c r="B2666" t="s">
        <v>360</v>
      </c>
      <c r="C2666">
        <v>50</v>
      </c>
      <c r="D2666" s="105">
        <v>45373.71580972222</v>
      </c>
      <c r="E2666" t="s">
        <v>312</v>
      </c>
      <c r="F2666" t="s">
        <v>1402</v>
      </c>
      <c r="G2666">
        <v>0</v>
      </c>
      <c r="H2666" t="s">
        <v>315</v>
      </c>
      <c r="I2666">
        <v>0</v>
      </c>
      <c r="J2666">
        <v>0</v>
      </c>
      <c r="K2666">
        <v>0</v>
      </c>
      <c r="L2666" t="s">
        <v>241</v>
      </c>
      <c r="M2666" t="s">
        <v>241</v>
      </c>
      <c r="N2666">
        <v>0</v>
      </c>
      <c r="O2666" t="s">
        <v>1395</v>
      </c>
      <c r="P2666" t="s">
        <v>310</v>
      </c>
      <c r="Q2666" t="s">
        <v>310</v>
      </c>
      <c r="R2666" t="s">
        <v>310</v>
      </c>
      <c r="S2666">
        <v>9</v>
      </c>
      <c r="T2666" t="s">
        <v>310</v>
      </c>
      <c r="U2666">
        <v>9</v>
      </c>
      <c r="V2666">
        <v>9</v>
      </c>
      <c r="W2666">
        <v>0</v>
      </c>
      <c r="X2666">
        <v>0</v>
      </c>
      <c r="Y2666">
        <v>0</v>
      </c>
      <c r="Z2666">
        <v>0</v>
      </c>
      <c r="AA2666">
        <v>9</v>
      </c>
      <c r="AB2666">
        <v>9</v>
      </c>
      <c r="AC2666" t="s">
        <v>310</v>
      </c>
      <c r="AD2666">
        <v>9</v>
      </c>
      <c r="AE2666" t="s">
        <v>1416</v>
      </c>
      <c r="AF2666">
        <v>110003000</v>
      </c>
      <c r="AG2666" t="s">
        <v>310</v>
      </c>
      <c r="AH2666">
        <f>SUM((MID(Dyno_Data[[#This Row],[Team]],4,5))+(Dyno_Data[[#This Row],[Match]]/100))</f>
        <v>1796.5</v>
      </c>
      <c r="AI2666" s="76">
        <f>ROUND(SUM(IF(Dyno_Data[[#This Row],[AcqCenter]]&gt;0,Dyno_Data[[#This Row],[Time]]-SUMIFS(Dyno_Data[Time],Dyno_Data[Team],Dyno_Data[[#This Row],[Team]],Dyno_Data[RecordType],"StartMatch",Dyno_Data[Match],Dyno_Data[[#This Row],[Match]]),0)*86400),0)</f>
        <v>0</v>
      </c>
    </row>
    <row r="2667" spans="1:35" x14ac:dyDescent="0.3">
      <c r="A2667">
        <v>2666</v>
      </c>
      <c r="B2667" t="s">
        <v>1312</v>
      </c>
      <c r="C2667">
        <v>50</v>
      </c>
      <c r="D2667" s="105">
        <v>45373.715816284719</v>
      </c>
      <c r="E2667" t="s">
        <v>312</v>
      </c>
      <c r="F2667" t="s">
        <v>1402</v>
      </c>
      <c r="G2667">
        <v>0</v>
      </c>
      <c r="H2667" t="s">
        <v>315</v>
      </c>
      <c r="I2667">
        <v>0</v>
      </c>
      <c r="J2667">
        <v>0</v>
      </c>
      <c r="K2667">
        <v>0</v>
      </c>
      <c r="L2667" t="s">
        <v>241</v>
      </c>
      <c r="M2667" t="s">
        <v>101</v>
      </c>
      <c r="N2667">
        <v>0</v>
      </c>
      <c r="O2667" t="s">
        <v>1393</v>
      </c>
      <c r="P2667" t="s">
        <v>310</v>
      </c>
      <c r="Q2667" t="s">
        <v>310</v>
      </c>
      <c r="R2667" t="s">
        <v>310</v>
      </c>
      <c r="S2667">
        <v>9</v>
      </c>
      <c r="T2667" t="s">
        <v>310</v>
      </c>
      <c r="U2667">
        <v>9</v>
      </c>
      <c r="V2667">
        <v>9</v>
      </c>
      <c r="W2667">
        <v>0</v>
      </c>
      <c r="X2667">
        <v>0</v>
      </c>
      <c r="Y2667">
        <v>0</v>
      </c>
      <c r="Z2667">
        <v>0</v>
      </c>
      <c r="AA2667">
        <v>9</v>
      </c>
      <c r="AB2667">
        <v>9</v>
      </c>
      <c r="AC2667" t="s">
        <v>310</v>
      </c>
      <c r="AD2667">
        <v>9</v>
      </c>
      <c r="AE2667" t="s">
        <v>1392</v>
      </c>
      <c r="AF2667">
        <v>50000000</v>
      </c>
      <c r="AG2667" t="s">
        <v>310</v>
      </c>
      <c r="AH2667">
        <f>SUM((MID(Dyno_Data[[#This Row],[Team]],4,5))+(Dyno_Data[[#This Row],[Match]]/100))</f>
        <v>2053.5</v>
      </c>
      <c r="AI2667" s="76">
        <f>ROUND(SUM(IF(Dyno_Data[[#This Row],[AcqCenter]]&gt;0,Dyno_Data[[#This Row],[Time]]-SUMIFS(Dyno_Data[Time],Dyno_Data[Team],Dyno_Data[[#This Row],[Team]],Dyno_Data[RecordType],"StartMatch",Dyno_Data[Match],Dyno_Data[[#This Row],[Match]]),0)*86400),0)</f>
        <v>0</v>
      </c>
    </row>
    <row r="2668" spans="1:35" x14ac:dyDescent="0.3">
      <c r="A2668">
        <v>2667</v>
      </c>
      <c r="B2668" t="s">
        <v>360</v>
      </c>
      <c r="C2668">
        <v>50</v>
      </c>
      <c r="D2668" s="105">
        <v>45373.715836539355</v>
      </c>
      <c r="E2668" t="s">
        <v>312</v>
      </c>
      <c r="F2668" t="s">
        <v>1402</v>
      </c>
      <c r="G2668">
        <v>0</v>
      </c>
      <c r="H2668" t="s">
        <v>315</v>
      </c>
      <c r="I2668">
        <v>0</v>
      </c>
      <c r="J2668">
        <v>0</v>
      </c>
      <c r="K2668">
        <v>0</v>
      </c>
      <c r="L2668" t="s">
        <v>241</v>
      </c>
      <c r="M2668" t="s">
        <v>1398</v>
      </c>
      <c r="N2668">
        <v>0</v>
      </c>
      <c r="O2668" t="s">
        <v>1395</v>
      </c>
      <c r="P2668" t="s">
        <v>310</v>
      </c>
      <c r="Q2668" t="s">
        <v>310</v>
      </c>
      <c r="R2668" t="s">
        <v>310</v>
      </c>
      <c r="S2668">
        <v>9</v>
      </c>
      <c r="T2668" t="s">
        <v>310</v>
      </c>
      <c r="U2668">
        <v>9</v>
      </c>
      <c r="V2668">
        <v>9</v>
      </c>
      <c r="W2668">
        <v>0</v>
      </c>
      <c r="X2668">
        <v>0</v>
      </c>
      <c r="Y2668">
        <v>0</v>
      </c>
      <c r="Z2668">
        <v>0</v>
      </c>
      <c r="AA2668">
        <v>9</v>
      </c>
      <c r="AB2668">
        <v>9</v>
      </c>
      <c r="AC2668" t="s">
        <v>310</v>
      </c>
      <c r="AD2668">
        <v>9</v>
      </c>
      <c r="AE2668" t="s">
        <v>1416</v>
      </c>
      <c r="AF2668">
        <v>120003000</v>
      </c>
      <c r="AG2668" t="s">
        <v>310</v>
      </c>
      <c r="AH2668">
        <f>SUM((MID(Dyno_Data[[#This Row],[Team]],4,5))+(Dyno_Data[[#This Row],[Match]]/100))</f>
        <v>1796.5</v>
      </c>
      <c r="AI2668" s="76">
        <f>ROUND(SUM(IF(Dyno_Data[[#This Row],[AcqCenter]]&gt;0,Dyno_Data[[#This Row],[Time]]-SUMIFS(Dyno_Data[Time],Dyno_Data[Team],Dyno_Data[[#This Row],[Team]],Dyno_Data[RecordType],"StartMatch",Dyno_Data[Match],Dyno_Data[[#This Row],[Match]]),0)*86400),0)</f>
        <v>0</v>
      </c>
    </row>
    <row r="2669" spans="1:35" x14ac:dyDescent="0.3">
      <c r="A2669">
        <v>2668</v>
      </c>
      <c r="B2669" t="s">
        <v>1318</v>
      </c>
      <c r="C2669">
        <v>50</v>
      </c>
      <c r="D2669" s="105">
        <v>45373.71594440972</v>
      </c>
      <c r="E2669" t="s">
        <v>312</v>
      </c>
      <c r="F2669" t="s">
        <v>1402</v>
      </c>
      <c r="G2669">
        <v>0</v>
      </c>
      <c r="H2669" t="s">
        <v>315</v>
      </c>
      <c r="I2669">
        <v>0</v>
      </c>
      <c r="J2669">
        <v>0</v>
      </c>
      <c r="K2669">
        <v>0</v>
      </c>
      <c r="L2669" t="s">
        <v>240</v>
      </c>
      <c r="M2669" t="s">
        <v>1398</v>
      </c>
      <c r="N2669">
        <v>0</v>
      </c>
      <c r="O2669" t="s">
        <v>1391</v>
      </c>
      <c r="P2669" t="s">
        <v>310</v>
      </c>
      <c r="Q2669" t="s">
        <v>310</v>
      </c>
      <c r="R2669" t="s">
        <v>310</v>
      </c>
      <c r="S2669">
        <v>9</v>
      </c>
      <c r="T2669" t="s">
        <v>310</v>
      </c>
      <c r="U2669">
        <v>9</v>
      </c>
      <c r="V2669">
        <v>9</v>
      </c>
      <c r="W2669">
        <v>0</v>
      </c>
      <c r="X2669">
        <v>0</v>
      </c>
      <c r="Y2669">
        <v>0</v>
      </c>
      <c r="Z2669">
        <v>0</v>
      </c>
      <c r="AA2669">
        <v>9</v>
      </c>
      <c r="AB2669">
        <v>9</v>
      </c>
      <c r="AC2669" t="s">
        <v>310</v>
      </c>
      <c r="AD2669">
        <v>9</v>
      </c>
      <c r="AE2669" t="s">
        <v>1418</v>
      </c>
      <c r="AF2669">
        <v>100000000</v>
      </c>
      <c r="AG2669" t="s">
        <v>310</v>
      </c>
      <c r="AH2669">
        <f>SUM((MID(Dyno_Data[[#This Row],[Team]],4,5))+(Dyno_Data[[#This Row],[Match]]/100))</f>
        <v>7709.5</v>
      </c>
      <c r="AI2669" s="76">
        <f>ROUND(SUM(IF(Dyno_Data[[#This Row],[AcqCenter]]&gt;0,Dyno_Data[[#This Row],[Time]]-SUMIFS(Dyno_Data[Time],Dyno_Data[Team],Dyno_Data[[#This Row],[Team]],Dyno_Data[RecordType],"StartMatch",Dyno_Data[Match],Dyno_Data[[#This Row],[Match]]),0)*86400),0)</f>
        <v>0</v>
      </c>
    </row>
    <row r="2670" spans="1:35" x14ac:dyDescent="0.3">
      <c r="A2670">
        <v>2669</v>
      </c>
      <c r="B2670" t="s">
        <v>360</v>
      </c>
      <c r="C2670">
        <v>50</v>
      </c>
      <c r="D2670" s="105">
        <v>45373.715947256947</v>
      </c>
      <c r="E2670" t="s">
        <v>312</v>
      </c>
      <c r="F2670" t="s">
        <v>1402</v>
      </c>
      <c r="G2670">
        <v>0</v>
      </c>
      <c r="H2670" t="s">
        <v>315</v>
      </c>
      <c r="I2670">
        <v>0</v>
      </c>
      <c r="J2670">
        <v>0</v>
      </c>
      <c r="K2670">
        <v>0</v>
      </c>
      <c r="L2670" t="s">
        <v>241</v>
      </c>
      <c r="M2670" t="s">
        <v>1398</v>
      </c>
      <c r="N2670">
        <v>1</v>
      </c>
      <c r="O2670" t="s">
        <v>1395</v>
      </c>
      <c r="P2670" t="s">
        <v>310</v>
      </c>
      <c r="Q2670" t="s">
        <v>310</v>
      </c>
      <c r="R2670" t="s">
        <v>310</v>
      </c>
      <c r="S2670">
        <v>9</v>
      </c>
      <c r="T2670" t="s">
        <v>310</v>
      </c>
      <c r="U2670">
        <v>9</v>
      </c>
      <c r="V2670">
        <v>9</v>
      </c>
      <c r="W2670">
        <v>0</v>
      </c>
      <c r="X2670">
        <v>0</v>
      </c>
      <c r="Y2670">
        <v>0</v>
      </c>
      <c r="Z2670">
        <v>0</v>
      </c>
      <c r="AA2670">
        <v>9</v>
      </c>
      <c r="AB2670">
        <v>9</v>
      </c>
      <c r="AC2670" t="s">
        <v>310</v>
      </c>
      <c r="AD2670">
        <v>9</v>
      </c>
      <c r="AE2670" t="s">
        <v>1416</v>
      </c>
      <c r="AF2670">
        <v>130003000</v>
      </c>
      <c r="AG2670" t="s">
        <v>310</v>
      </c>
      <c r="AH2670">
        <f>SUM((MID(Dyno_Data[[#This Row],[Team]],4,5))+(Dyno_Data[[#This Row],[Match]]/100))</f>
        <v>1796.5</v>
      </c>
      <c r="AI2670" s="76">
        <f>ROUND(SUM(IF(Dyno_Data[[#This Row],[AcqCenter]]&gt;0,Dyno_Data[[#This Row],[Time]]-SUMIFS(Dyno_Data[Time],Dyno_Data[Team],Dyno_Data[[#This Row],[Team]],Dyno_Data[RecordType],"StartMatch",Dyno_Data[Match],Dyno_Data[[#This Row],[Match]]),0)*86400),0)</f>
        <v>0</v>
      </c>
    </row>
    <row r="2671" spans="1:35" x14ac:dyDescent="0.3">
      <c r="A2671">
        <v>2670</v>
      </c>
      <c r="B2671" t="s">
        <v>1312</v>
      </c>
      <c r="C2671">
        <v>50</v>
      </c>
      <c r="D2671" s="105">
        <v>45373.715965358795</v>
      </c>
      <c r="E2671" t="s">
        <v>312</v>
      </c>
      <c r="F2671" t="s">
        <v>1402</v>
      </c>
      <c r="G2671">
        <v>0</v>
      </c>
      <c r="H2671" t="s">
        <v>315</v>
      </c>
      <c r="I2671">
        <v>0</v>
      </c>
      <c r="J2671">
        <v>0</v>
      </c>
      <c r="K2671">
        <v>0</v>
      </c>
      <c r="L2671" t="s">
        <v>241</v>
      </c>
      <c r="M2671" t="s">
        <v>101</v>
      </c>
      <c r="N2671">
        <v>0</v>
      </c>
      <c r="O2671" t="s">
        <v>1393</v>
      </c>
      <c r="P2671" t="s">
        <v>310</v>
      </c>
      <c r="Q2671" t="s">
        <v>310</v>
      </c>
      <c r="R2671" t="s">
        <v>310</v>
      </c>
      <c r="S2671">
        <v>9</v>
      </c>
      <c r="T2671" t="s">
        <v>310</v>
      </c>
      <c r="U2671">
        <v>9</v>
      </c>
      <c r="V2671">
        <v>9</v>
      </c>
      <c r="W2671">
        <v>0</v>
      </c>
      <c r="X2671">
        <v>0</v>
      </c>
      <c r="Y2671">
        <v>0</v>
      </c>
      <c r="Z2671">
        <v>0</v>
      </c>
      <c r="AA2671">
        <v>9</v>
      </c>
      <c r="AB2671">
        <v>9</v>
      </c>
      <c r="AC2671" t="s">
        <v>310</v>
      </c>
      <c r="AD2671">
        <v>9</v>
      </c>
      <c r="AE2671" t="s">
        <v>1392</v>
      </c>
      <c r="AF2671">
        <v>60000000</v>
      </c>
      <c r="AG2671" t="s">
        <v>310</v>
      </c>
      <c r="AH2671">
        <f>SUM((MID(Dyno_Data[[#This Row],[Team]],4,5))+(Dyno_Data[[#This Row],[Match]]/100))</f>
        <v>2053.5</v>
      </c>
      <c r="AI2671" s="76">
        <f>ROUND(SUM(IF(Dyno_Data[[#This Row],[AcqCenter]]&gt;0,Dyno_Data[[#This Row],[Time]]-SUMIFS(Dyno_Data[Time],Dyno_Data[Team],Dyno_Data[[#This Row],[Team]],Dyno_Data[RecordType],"StartMatch",Dyno_Data[Match],Dyno_Data[[#This Row],[Match]]),0)*86400),0)</f>
        <v>0</v>
      </c>
    </row>
    <row r="2672" spans="1:35" x14ac:dyDescent="0.3">
      <c r="A2672">
        <v>2671</v>
      </c>
      <c r="B2672" t="s">
        <v>1312</v>
      </c>
      <c r="C2672">
        <v>50</v>
      </c>
      <c r="D2672" s="105">
        <v>45373.716088344911</v>
      </c>
      <c r="E2672" t="s">
        <v>312</v>
      </c>
      <c r="F2672" t="s">
        <v>1402</v>
      </c>
      <c r="G2672">
        <v>0</v>
      </c>
      <c r="H2672" t="s">
        <v>315</v>
      </c>
      <c r="I2672">
        <v>0</v>
      </c>
      <c r="J2672">
        <v>0</v>
      </c>
      <c r="K2672">
        <v>0</v>
      </c>
      <c r="L2672" t="s">
        <v>241</v>
      </c>
      <c r="M2672" t="s">
        <v>101</v>
      </c>
      <c r="N2672">
        <v>0</v>
      </c>
      <c r="O2672" t="s">
        <v>1393</v>
      </c>
      <c r="P2672" t="s">
        <v>310</v>
      </c>
      <c r="Q2672" t="s">
        <v>310</v>
      </c>
      <c r="R2672" t="s">
        <v>310</v>
      </c>
      <c r="S2672">
        <v>9</v>
      </c>
      <c r="T2672" t="s">
        <v>310</v>
      </c>
      <c r="U2672">
        <v>9</v>
      </c>
      <c r="V2672">
        <v>9</v>
      </c>
      <c r="W2672">
        <v>0</v>
      </c>
      <c r="X2672">
        <v>0</v>
      </c>
      <c r="Y2672">
        <v>0</v>
      </c>
      <c r="Z2672">
        <v>0</v>
      </c>
      <c r="AA2672">
        <v>9</v>
      </c>
      <c r="AB2672">
        <v>9</v>
      </c>
      <c r="AC2672" t="s">
        <v>310</v>
      </c>
      <c r="AD2672">
        <v>9</v>
      </c>
      <c r="AE2672" t="s">
        <v>1392</v>
      </c>
      <c r="AF2672">
        <v>70000000</v>
      </c>
      <c r="AG2672" t="s">
        <v>310</v>
      </c>
      <c r="AH2672">
        <f>SUM((MID(Dyno_Data[[#This Row],[Team]],4,5))+(Dyno_Data[[#This Row],[Match]]/100))</f>
        <v>2053.5</v>
      </c>
      <c r="AI2672" s="76">
        <f>ROUND(SUM(IF(Dyno_Data[[#This Row],[AcqCenter]]&gt;0,Dyno_Data[[#This Row],[Time]]-SUMIFS(Dyno_Data[Time],Dyno_Data[Team],Dyno_Data[[#This Row],[Team]],Dyno_Data[RecordType],"StartMatch",Dyno_Data[Match],Dyno_Data[[#This Row],[Match]]),0)*86400),0)</f>
        <v>0</v>
      </c>
    </row>
    <row r="2673" spans="1:35" x14ac:dyDescent="0.3">
      <c r="A2673">
        <v>2672</v>
      </c>
      <c r="B2673" t="s">
        <v>1318</v>
      </c>
      <c r="C2673">
        <v>50</v>
      </c>
      <c r="D2673" s="105">
        <v>45373.716110104164</v>
      </c>
      <c r="E2673" t="s">
        <v>312</v>
      </c>
      <c r="F2673" t="s">
        <v>1402</v>
      </c>
      <c r="G2673">
        <v>0</v>
      </c>
      <c r="H2673" t="s">
        <v>315</v>
      </c>
      <c r="I2673">
        <v>0</v>
      </c>
      <c r="J2673">
        <v>0</v>
      </c>
      <c r="K2673">
        <v>0</v>
      </c>
      <c r="L2673" t="s">
        <v>240</v>
      </c>
      <c r="M2673" t="s">
        <v>1398</v>
      </c>
      <c r="N2673">
        <v>0</v>
      </c>
      <c r="O2673" t="s">
        <v>1391</v>
      </c>
      <c r="P2673" t="s">
        <v>310</v>
      </c>
      <c r="Q2673" t="s">
        <v>310</v>
      </c>
      <c r="R2673" t="s">
        <v>310</v>
      </c>
      <c r="S2673">
        <v>9</v>
      </c>
      <c r="T2673" t="s">
        <v>310</v>
      </c>
      <c r="U2673">
        <v>9</v>
      </c>
      <c r="V2673">
        <v>9</v>
      </c>
      <c r="W2673">
        <v>0</v>
      </c>
      <c r="X2673">
        <v>0</v>
      </c>
      <c r="Y2673">
        <v>0</v>
      </c>
      <c r="Z2673">
        <v>0</v>
      </c>
      <c r="AA2673">
        <v>9</v>
      </c>
      <c r="AB2673">
        <v>9</v>
      </c>
      <c r="AC2673" t="s">
        <v>310</v>
      </c>
      <c r="AD2673">
        <v>9</v>
      </c>
      <c r="AE2673" t="s">
        <v>1418</v>
      </c>
      <c r="AF2673">
        <v>110000000</v>
      </c>
      <c r="AG2673" t="s">
        <v>310</v>
      </c>
      <c r="AH2673">
        <f>SUM((MID(Dyno_Data[[#This Row],[Team]],4,5))+(Dyno_Data[[#This Row],[Match]]/100))</f>
        <v>7709.5</v>
      </c>
      <c r="AI2673" s="76">
        <f>ROUND(SUM(IF(Dyno_Data[[#This Row],[AcqCenter]]&gt;0,Dyno_Data[[#This Row],[Time]]-SUMIFS(Dyno_Data[Time],Dyno_Data[Team],Dyno_Data[[#This Row],[Team]],Dyno_Data[RecordType],"StartMatch",Dyno_Data[Match],Dyno_Data[[#This Row],[Match]]),0)*86400),0)</f>
        <v>0</v>
      </c>
    </row>
    <row r="2674" spans="1:35" x14ac:dyDescent="0.3">
      <c r="A2674">
        <v>2673</v>
      </c>
      <c r="B2674" t="s">
        <v>360</v>
      </c>
      <c r="C2674">
        <v>50</v>
      </c>
      <c r="D2674" s="105">
        <v>45373.716270636571</v>
      </c>
      <c r="E2674" t="s">
        <v>312</v>
      </c>
      <c r="F2674" t="s">
        <v>317</v>
      </c>
      <c r="G2674">
        <v>0</v>
      </c>
      <c r="H2674" t="s">
        <v>315</v>
      </c>
      <c r="I2674">
        <v>0</v>
      </c>
      <c r="J2674">
        <v>0</v>
      </c>
      <c r="K2674">
        <v>0</v>
      </c>
      <c r="L2674" t="s">
        <v>1410</v>
      </c>
      <c r="M2674" t="s">
        <v>153</v>
      </c>
      <c r="N2674">
        <v>0</v>
      </c>
      <c r="O2674" t="s">
        <v>1395</v>
      </c>
      <c r="P2674" t="s">
        <v>310</v>
      </c>
      <c r="Q2674" t="s">
        <v>310</v>
      </c>
      <c r="R2674" t="s">
        <v>310</v>
      </c>
      <c r="S2674">
        <v>9</v>
      </c>
      <c r="T2674" t="s">
        <v>310</v>
      </c>
      <c r="U2674">
        <v>9</v>
      </c>
      <c r="V2674">
        <v>9</v>
      </c>
      <c r="W2674">
        <v>0</v>
      </c>
      <c r="X2674">
        <v>0</v>
      </c>
      <c r="Y2674">
        <v>0</v>
      </c>
      <c r="Z2674">
        <v>0</v>
      </c>
      <c r="AA2674">
        <v>9</v>
      </c>
      <c r="AB2674">
        <v>9</v>
      </c>
      <c r="AC2674" t="s">
        <v>310</v>
      </c>
      <c r="AD2674">
        <v>9</v>
      </c>
      <c r="AE2674" t="s">
        <v>1416</v>
      </c>
      <c r="AF2674">
        <v>140003000</v>
      </c>
      <c r="AG2674" t="s">
        <v>310</v>
      </c>
      <c r="AH2674">
        <f>SUM((MID(Dyno_Data[[#This Row],[Team]],4,5))+(Dyno_Data[[#This Row],[Match]]/100))</f>
        <v>1796.5</v>
      </c>
      <c r="AI2674" s="76">
        <f>ROUND(SUM(IF(Dyno_Data[[#This Row],[AcqCenter]]&gt;0,Dyno_Data[[#This Row],[Time]]-SUMIFS(Dyno_Data[Time],Dyno_Data[Team],Dyno_Data[[#This Row],[Team]],Dyno_Data[RecordType],"StartMatch",Dyno_Data[Match],Dyno_Data[[#This Row],[Match]]),0)*86400),0)</f>
        <v>0</v>
      </c>
    </row>
    <row r="2675" spans="1:35" x14ac:dyDescent="0.3">
      <c r="A2675">
        <v>2674</v>
      </c>
      <c r="B2675" t="s">
        <v>1318</v>
      </c>
      <c r="C2675">
        <v>50</v>
      </c>
      <c r="D2675" s="105">
        <v>45373.716291666664</v>
      </c>
      <c r="E2675" t="s">
        <v>312</v>
      </c>
      <c r="F2675" t="s">
        <v>1402</v>
      </c>
      <c r="G2675">
        <v>0</v>
      </c>
      <c r="H2675" t="s">
        <v>315</v>
      </c>
      <c r="I2675">
        <v>0</v>
      </c>
      <c r="J2675">
        <v>0</v>
      </c>
      <c r="K2675">
        <v>0</v>
      </c>
      <c r="L2675" t="s">
        <v>240</v>
      </c>
      <c r="M2675" t="s">
        <v>1398</v>
      </c>
      <c r="N2675">
        <v>0</v>
      </c>
      <c r="O2675" t="s">
        <v>1391</v>
      </c>
      <c r="P2675" t="s">
        <v>310</v>
      </c>
      <c r="Q2675" t="s">
        <v>310</v>
      </c>
      <c r="R2675" t="s">
        <v>310</v>
      </c>
      <c r="S2675">
        <v>9</v>
      </c>
      <c r="T2675" t="s">
        <v>310</v>
      </c>
      <c r="U2675">
        <v>9</v>
      </c>
      <c r="V2675">
        <v>9</v>
      </c>
      <c r="W2675">
        <v>0</v>
      </c>
      <c r="X2675">
        <v>0</v>
      </c>
      <c r="Y2675">
        <v>0</v>
      </c>
      <c r="Z2675">
        <v>0</v>
      </c>
      <c r="AA2675">
        <v>9</v>
      </c>
      <c r="AB2675">
        <v>9</v>
      </c>
      <c r="AC2675" t="s">
        <v>310</v>
      </c>
      <c r="AD2675">
        <v>9</v>
      </c>
      <c r="AE2675" t="s">
        <v>1418</v>
      </c>
      <c r="AF2675">
        <v>120000000</v>
      </c>
      <c r="AG2675" t="s">
        <v>310</v>
      </c>
      <c r="AH2675">
        <f>SUM((MID(Dyno_Data[[#This Row],[Team]],4,5))+(Dyno_Data[[#This Row],[Match]]/100))</f>
        <v>7709.5</v>
      </c>
      <c r="AI2675" s="76">
        <f>ROUND(SUM(IF(Dyno_Data[[#This Row],[AcqCenter]]&gt;0,Dyno_Data[[#This Row],[Time]]-SUMIFS(Dyno_Data[Time],Dyno_Data[Team],Dyno_Data[[#This Row],[Team]],Dyno_Data[RecordType],"StartMatch",Dyno_Data[Match],Dyno_Data[[#This Row],[Match]]),0)*86400),0)</f>
        <v>0</v>
      </c>
    </row>
    <row r="2676" spans="1:35" x14ac:dyDescent="0.3">
      <c r="A2676">
        <v>2675</v>
      </c>
      <c r="B2676" t="s">
        <v>1280</v>
      </c>
      <c r="C2676">
        <v>50</v>
      </c>
      <c r="D2676" s="105">
        <v>45373.718733136571</v>
      </c>
      <c r="E2676" t="s">
        <v>316</v>
      </c>
      <c r="F2676" t="s">
        <v>317</v>
      </c>
      <c r="G2676">
        <v>0</v>
      </c>
      <c r="H2676" t="s">
        <v>310</v>
      </c>
      <c r="I2676">
        <v>0</v>
      </c>
      <c r="J2676">
        <v>0</v>
      </c>
      <c r="K2676">
        <v>0</v>
      </c>
      <c r="L2676" t="s">
        <v>310</v>
      </c>
      <c r="M2676" t="s">
        <v>310</v>
      </c>
      <c r="N2676">
        <v>0</v>
      </c>
      <c r="O2676" t="s">
        <v>311</v>
      </c>
      <c r="P2676" t="s">
        <v>101</v>
      </c>
      <c r="Q2676" t="s">
        <v>1400</v>
      </c>
      <c r="R2676" t="s">
        <v>1405</v>
      </c>
      <c r="S2676">
        <v>1</v>
      </c>
      <c r="T2676" t="s">
        <v>1407</v>
      </c>
      <c r="U2676">
        <v>0</v>
      </c>
      <c r="V2676">
        <v>0</v>
      </c>
      <c r="W2676">
        <v>6.1143332999999993</v>
      </c>
      <c r="X2676">
        <v>9.7504007999999995</v>
      </c>
      <c r="Y2676">
        <v>22.704057499999998</v>
      </c>
      <c r="Z2676">
        <v>93.060256099999989</v>
      </c>
      <c r="AA2676">
        <v>2</v>
      </c>
      <c r="AB2676">
        <v>1</v>
      </c>
      <c r="AC2676" t="s">
        <v>167</v>
      </c>
      <c r="AD2676">
        <v>9</v>
      </c>
      <c r="AE2676" t="s">
        <v>1394</v>
      </c>
      <c r="AF2676">
        <v>0</v>
      </c>
      <c r="AG2676" t="s">
        <v>310</v>
      </c>
      <c r="AH2676">
        <f>SUM((MID(Dyno_Data[[#This Row],[Team]],4,5))+(Dyno_Data[[#This Row],[Match]]/100))</f>
        <v>1559.5</v>
      </c>
      <c r="AI2676" s="76">
        <f>ROUND(SUM(IF(Dyno_Data[[#This Row],[AcqCenter]]&gt;0,Dyno_Data[[#This Row],[Time]]-SUMIFS(Dyno_Data[Time],Dyno_Data[Team],Dyno_Data[[#This Row],[Team]],Dyno_Data[RecordType],"StartMatch",Dyno_Data[Match],Dyno_Data[[#This Row],[Match]]),0)*86400),0)</f>
        <v>0</v>
      </c>
    </row>
    <row r="2677" spans="1:35" x14ac:dyDescent="0.3">
      <c r="A2677">
        <v>2676</v>
      </c>
      <c r="B2677" t="s">
        <v>1318</v>
      </c>
      <c r="C2677">
        <v>50</v>
      </c>
      <c r="D2677" s="105">
        <v>45373.718733333335</v>
      </c>
      <c r="E2677" t="s">
        <v>316</v>
      </c>
      <c r="F2677" t="s">
        <v>317</v>
      </c>
      <c r="G2677">
        <v>1</v>
      </c>
      <c r="H2677" t="s">
        <v>310</v>
      </c>
      <c r="I2677">
        <v>0</v>
      </c>
      <c r="J2677">
        <v>0</v>
      </c>
      <c r="K2677">
        <v>0</v>
      </c>
      <c r="L2677" t="s">
        <v>310</v>
      </c>
      <c r="M2677" t="s">
        <v>310</v>
      </c>
      <c r="N2677">
        <v>0</v>
      </c>
      <c r="O2677" t="s">
        <v>1391</v>
      </c>
      <c r="P2677" t="s">
        <v>240</v>
      </c>
      <c r="Q2677" t="s">
        <v>1400</v>
      </c>
      <c r="R2677" t="s">
        <v>321</v>
      </c>
      <c r="S2677">
        <v>0</v>
      </c>
      <c r="T2677" t="s">
        <v>105</v>
      </c>
      <c r="U2677">
        <v>9</v>
      </c>
      <c r="V2677">
        <v>9</v>
      </c>
      <c r="W2677">
        <v>0</v>
      </c>
      <c r="X2677">
        <v>46.001134899999997</v>
      </c>
      <c r="Y2677">
        <v>24.7116407</v>
      </c>
      <c r="Z2677">
        <v>65.738538699999992</v>
      </c>
      <c r="AA2677">
        <v>0</v>
      </c>
      <c r="AB2677">
        <v>0</v>
      </c>
      <c r="AC2677" t="s">
        <v>174</v>
      </c>
      <c r="AD2677">
        <v>9</v>
      </c>
      <c r="AE2677" t="s">
        <v>1418</v>
      </c>
      <c r="AF2677">
        <v>120000000</v>
      </c>
      <c r="AG2677" t="s">
        <v>310</v>
      </c>
      <c r="AH2677">
        <f>SUM((MID(Dyno_Data[[#This Row],[Team]],4,5))+(Dyno_Data[[#This Row],[Match]]/100))</f>
        <v>7709.5</v>
      </c>
      <c r="AI2677" s="76">
        <f>ROUND(SUM(IF(Dyno_Data[[#This Row],[AcqCenter]]&gt;0,Dyno_Data[[#This Row],[Time]]-SUMIFS(Dyno_Data[Time],Dyno_Data[Team],Dyno_Data[[#This Row],[Team]],Dyno_Data[RecordType],"StartMatch",Dyno_Data[Match],Dyno_Data[[#This Row],[Match]]),0)*86400),0)</f>
        <v>0</v>
      </c>
    </row>
    <row r="2678" spans="1:35" x14ac:dyDescent="0.3">
      <c r="A2678">
        <v>2677</v>
      </c>
      <c r="B2678" t="s">
        <v>1284</v>
      </c>
      <c r="C2678">
        <v>50</v>
      </c>
      <c r="D2678" s="105">
        <v>45373.718733414353</v>
      </c>
      <c r="E2678" t="s">
        <v>316</v>
      </c>
      <c r="F2678" t="s">
        <v>317</v>
      </c>
      <c r="G2678">
        <v>1</v>
      </c>
      <c r="H2678" t="s">
        <v>310</v>
      </c>
      <c r="I2678">
        <v>0</v>
      </c>
      <c r="J2678">
        <v>0</v>
      </c>
      <c r="K2678">
        <v>0</v>
      </c>
      <c r="L2678" t="s">
        <v>310</v>
      </c>
      <c r="M2678" t="s">
        <v>310</v>
      </c>
      <c r="N2678">
        <v>0</v>
      </c>
      <c r="O2678" t="s">
        <v>319</v>
      </c>
      <c r="P2678" t="s">
        <v>1401</v>
      </c>
      <c r="Q2678" t="s">
        <v>1399</v>
      </c>
      <c r="R2678" t="s">
        <v>1404</v>
      </c>
      <c r="S2678">
        <v>-1</v>
      </c>
      <c r="T2678" t="s">
        <v>105</v>
      </c>
      <c r="U2678">
        <v>9</v>
      </c>
      <c r="V2678">
        <v>9</v>
      </c>
      <c r="W2678">
        <v>4.4387714999999996</v>
      </c>
      <c r="X2678">
        <v>0</v>
      </c>
      <c r="Y2678">
        <v>52.975585199999998</v>
      </c>
      <c r="Z2678">
        <v>78.179600399999998</v>
      </c>
      <c r="AA2678">
        <v>3</v>
      </c>
      <c r="AB2678">
        <v>0</v>
      </c>
      <c r="AC2678" t="s">
        <v>170</v>
      </c>
      <c r="AD2678">
        <v>1</v>
      </c>
      <c r="AE2678" t="s">
        <v>1387</v>
      </c>
      <c r="AF2678">
        <v>10000000</v>
      </c>
      <c r="AG2678" t="s">
        <v>310</v>
      </c>
      <c r="AH2678">
        <f>SUM((MID(Dyno_Data[[#This Row],[Team]],4,5))+(Dyno_Data[[#This Row],[Match]]/100))</f>
        <v>5590.5</v>
      </c>
      <c r="AI2678" s="76">
        <f>ROUND(SUM(IF(Dyno_Data[[#This Row],[AcqCenter]]&gt;0,Dyno_Data[[#This Row],[Time]]-SUMIFS(Dyno_Data[Time],Dyno_Data[Team],Dyno_Data[[#This Row],[Team]],Dyno_Data[RecordType],"StartMatch",Dyno_Data[Match],Dyno_Data[[#This Row],[Match]]),0)*86400),0)</f>
        <v>0</v>
      </c>
    </row>
    <row r="2679" spans="1:35" x14ac:dyDescent="0.3">
      <c r="A2679">
        <v>2678</v>
      </c>
      <c r="B2679" t="s">
        <v>1312</v>
      </c>
      <c r="C2679">
        <v>50</v>
      </c>
      <c r="D2679" s="105">
        <v>45373.718733530091</v>
      </c>
      <c r="E2679" t="s">
        <v>316</v>
      </c>
      <c r="F2679" t="s">
        <v>317</v>
      </c>
      <c r="G2679">
        <v>1</v>
      </c>
      <c r="H2679" t="s">
        <v>310</v>
      </c>
      <c r="I2679">
        <v>0</v>
      </c>
      <c r="J2679">
        <v>0</v>
      </c>
      <c r="K2679">
        <v>0</v>
      </c>
      <c r="L2679" t="s">
        <v>310</v>
      </c>
      <c r="M2679" t="s">
        <v>310</v>
      </c>
      <c r="N2679">
        <v>0</v>
      </c>
      <c r="O2679" t="s">
        <v>1393</v>
      </c>
      <c r="P2679" t="s">
        <v>320</v>
      </c>
      <c r="Q2679" t="s">
        <v>1400</v>
      </c>
      <c r="R2679" t="s">
        <v>1404</v>
      </c>
      <c r="S2679">
        <v>-1</v>
      </c>
      <c r="T2679" t="s">
        <v>105</v>
      </c>
      <c r="U2679">
        <v>9</v>
      </c>
      <c r="V2679">
        <v>9</v>
      </c>
      <c r="W2679">
        <v>19.178200699999998</v>
      </c>
      <c r="X2679">
        <v>22.521358799999998</v>
      </c>
      <c r="Y2679">
        <v>11.312211699999999</v>
      </c>
      <c r="Z2679">
        <v>80.621051600000001</v>
      </c>
      <c r="AA2679">
        <v>0</v>
      </c>
      <c r="AB2679">
        <v>3</v>
      </c>
      <c r="AC2679" t="s">
        <v>174</v>
      </c>
      <c r="AD2679">
        <v>9</v>
      </c>
      <c r="AE2679" t="s">
        <v>1392</v>
      </c>
      <c r="AF2679">
        <v>70000000</v>
      </c>
      <c r="AG2679" t="s">
        <v>310</v>
      </c>
      <c r="AH2679">
        <f>SUM((MID(Dyno_Data[[#This Row],[Team]],4,5))+(Dyno_Data[[#This Row],[Match]]/100))</f>
        <v>2053.5</v>
      </c>
      <c r="AI2679" s="76">
        <f>ROUND(SUM(IF(Dyno_Data[[#This Row],[AcqCenter]]&gt;0,Dyno_Data[[#This Row],[Time]]-SUMIFS(Dyno_Data[Time],Dyno_Data[Team],Dyno_Data[[#This Row],[Team]],Dyno_Data[RecordType],"StartMatch",Dyno_Data[Match],Dyno_Data[[#This Row],[Match]]),0)*86400),0)</f>
        <v>0</v>
      </c>
    </row>
    <row r="2680" spans="1:35" x14ac:dyDescent="0.3">
      <c r="A2680">
        <v>2679</v>
      </c>
      <c r="B2680" t="s">
        <v>1292</v>
      </c>
      <c r="C2680">
        <v>50</v>
      </c>
      <c r="D2680" s="105">
        <v>45373.71873364583</v>
      </c>
      <c r="E2680" t="s">
        <v>316</v>
      </c>
      <c r="F2680" t="s">
        <v>317</v>
      </c>
      <c r="G2680">
        <v>0</v>
      </c>
      <c r="H2680" t="s">
        <v>310</v>
      </c>
      <c r="I2680">
        <v>0</v>
      </c>
      <c r="J2680">
        <v>0</v>
      </c>
      <c r="K2680">
        <v>0</v>
      </c>
      <c r="L2680" t="s">
        <v>310</v>
      </c>
      <c r="M2680" t="s">
        <v>310</v>
      </c>
      <c r="N2680">
        <v>0</v>
      </c>
      <c r="O2680" t="s">
        <v>1389</v>
      </c>
      <c r="P2680" t="s">
        <v>101</v>
      </c>
      <c r="Q2680" t="s">
        <v>1400</v>
      </c>
      <c r="R2680" t="s">
        <v>1404</v>
      </c>
      <c r="S2680">
        <v>-1</v>
      </c>
      <c r="T2680" t="s">
        <v>105</v>
      </c>
      <c r="U2680">
        <v>9</v>
      </c>
      <c r="V2680">
        <v>9</v>
      </c>
      <c r="W2680">
        <v>10.8744345</v>
      </c>
      <c r="X2680">
        <v>0</v>
      </c>
      <c r="Y2680">
        <v>43.008052499999998</v>
      </c>
      <c r="Z2680">
        <v>80.133718599999995</v>
      </c>
      <c r="AA2680">
        <v>0</v>
      </c>
      <c r="AB2680">
        <v>0</v>
      </c>
      <c r="AC2680" t="s">
        <v>174</v>
      </c>
      <c r="AD2680">
        <v>9</v>
      </c>
      <c r="AE2680" t="s">
        <v>1417</v>
      </c>
      <c r="AF2680">
        <v>0</v>
      </c>
      <c r="AG2680" t="s">
        <v>310</v>
      </c>
      <c r="AH2680">
        <f>SUM((MID(Dyno_Data[[#This Row],[Team]],4,5))+(Dyno_Data[[#This Row],[Match]]/100))</f>
        <v>7030.5</v>
      </c>
      <c r="AI2680" s="76">
        <f>ROUND(SUM(IF(Dyno_Data[[#This Row],[AcqCenter]]&gt;0,Dyno_Data[[#This Row],[Time]]-SUMIFS(Dyno_Data[Time],Dyno_Data[Team],Dyno_Data[[#This Row],[Team]],Dyno_Data[RecordType],"StartMatch",Dyno_Data[Match],Dyno_Data[[#This Row],[Match]]),0)*86400),0)</f>
        <v>0</v>
      </c>
    </row>
    <row r="2681" spans="1:35" x14ac:dyDescent="0.3">
      <c r="A2681">
        <v>2680</v>
      </c>
      <c r="B2681" t="s">
        <v>360</v>
      </c>
      <c r="C2681">
        <v>50</v>
      </c>
      <c r="D2681" s="105">
        <v>45373.718733715279</v>
      </c>
      <c r="E2681" t="s">
        <v>316</v>
      </c>
      <c r="F2681" t="s">
        <v>317</v>
      </c>
      <c r="G2681">
        <v>1</v>
      </c>
      <c r="H2681" t="s">
        <v>310</v>
      </c>
      <c r="I2681">
        <v>0</v>
      </c>
      <c r="J2681">
        <v>0</v>
      </c>
      <c r="K2681">
        <v>0</v>
      </c>
      <c r="L2681" t="s">
        <v>310</v>
      </c>
      <c r="M2681" t="s">
        <v>310</v>
      </c>
      <c r="N2681">
        <v>0</v>
      </c>
      <c r="O2681" t="s">
        <v>1395</v>
      </c>
      <c r="P2681" t="s">
        <v>240</v>
      </c>
      <c r="Q2681" t="s">
        <v>1399</v>
      </c>
      <c r="R2681" t="s">
        <v>1404</v>
      </c>
      <c r="S2681">
        <v>-1</v>
      </c>
      <c r="T2681" t="s">
        <v>105</v>
      </c>
      <c r="U2681">
        <v>9</v>
      </c>
      <c r="V2681">
        <v>9</v>
      </c>
      <c r="W2681">
        <v>8.0548912000000001</v>
      </c>
      <c r="X2681">
        <v>33.923058599999997</v>
      </c>
      <c r="Y2681">
        <v>16.719453399999999</v>
      </c>
      <c r="Z2681">
        <v>52.893091999999996</v>
      </c>
      <c r="AA2681">
        <v>0</v>
      </c>
      <c r="AB2681">
        <v>3</v>
      </c>
      <c r="AC2681" t="s">
        <v>174</v>
      </c>
      <c r="AD2681">
        <v>0</v>
      </c>
      <c r="AE2681" t="s">
        <v>1416</v>
      </c>
      <c r="AF2681">
        <v>140003000</v>
      </c>
      <c r="AG2681" t="s">
        <v>310</v>
      </c>
      <c r="AH2681">
        <f>SUM((MID(Dyno_Data[[#This Row],[Team]],4,5))+(Dyno_Data[[#This Row],[Match]]/100))</f>
        <v>1796.5</v>
      </c>
      <c r="AI2681" s="76">
        <f>ROUND(SUM(IF(Dyno_Data[[#This Row],[AcqCenter]]&gt;0,Dyno_Data[[#This Row],[Time]]-SUMIFS(Dyno_Data[Time],Dyno_Data[Team],Dyno_Data[[#This Row],[Team]],Dyno_Data[RecordType],"StartMatch",Dyno_Data[Match],Dyno_Data[[#This Row],[Match]]),0)*86400),0)</f>
        <v>0</v>
      </c>
    </row>
    <row r="2682" spans="1:35" x14ac:dyDescent="0.3">
      <c r="A2682">
        <v>2691</v>
      </c>
      <c r="B2682" t="s">
        <v>364</v>
      </c>
      <c r="C2682">
        <v>51</v>
      </c>
      <c r="D2682" s="105">
        <v>45373.720606828705</v>
      </c>
      <c r="E2682" t="s">
        <v>308</v>
      </c>
      <c r="F2682" t="s">
        <v>309</v>
      </c>
      <c r="G2682">
        <v>0</v>
      </c>
      <c r="H2682" t="s">
        <v>310</v>
      </c>
      <c r="I2682">
        <v>0</v>
      </c>
      <c r="J2682">
        <v>0</v>
      </c>
      <c r="K2682">
        <v>0</v>
      </c>
      <c r="L2682" t="s">
        <v>310</v>
      </c>
      <c r="M2682" t="s">
        <v>310</v>
      </c>
      <c r="N2682">
        <v>0</v>
      </c>
      <c r="O2682" t="s">
        <v>1393</v>
      </c>
      <c r="P2682" t="s">
        <v>310</v>
      </c>
      <c r="Q2682" t="s">
        <v>310</v>
      </c>
      <c r="R2682" t="s">
        <v>310</v>
      </c>
      <c r="S2682">
        <v>9</v>
      </c>
      <c r="T2682" t="s">
        <v>310</v>
      </c>
      <c r="U2682">
        <v>9</v>
      </c>
      <c r="V2682">
        <v>9</v>
      </c>
      <c r="W2682">
        <v>0</v>
      </c>
      <c r="X2682">
        <v>0</v>
      </c>
      <c r="Y2682">
        <v>0</v>
      </c>
      <c r="Z2682">
        <v>0</v>
      </c>
      <c r="AA2682">
        <v>9</v>
      </c>
      <c r="AB2682">
        <v>9</v>
      </c>
      <c r="AC2682" t="s">
        <v>310</v>
      </c>
      <c r="AD2682">
        <v>9</v>
      </c>
      <c r="AE2682" t="s">
        <v>1394</v>
      </c>
      <c r="AF2682">
        <v>0</v>
      </c>
      <c r="AG2682" t="s">
        <v>310</v>
      </c>
      <c r="AH2682">
        <f>SUM((MID(Dyno_Data[[#This Row],[Team]],4,5))+(Dyno_Data[[#This Row],[Match]]/100))</f>
        <v>2791.51</v>
      </c>
      <c r="AI2682" s="76">
        <f>ROUND(SUM(IF(Dyno_Data[[#This Row],[AcqCenter]]&gt;0,Dyno_Data[[#This Row],[Time]]-SUMIFS(Dyno_Data[Time],Dyno_Data[Team],Dyno_Data[[#This Row],[Team]],Dyno_Data[RecordType],"StartMatch",Dyno_Data[Match],Dyno_Data[[#This Row],[Match]]),0)*86400),0)</f>
        <v>0</v>
      </c>
    </row>
    <row r="2683" spans="1:35" x14ac:dyDescent="0.3">
      <c r="A2683">
        <v>2693</v>
      </c>
      <c r="B2683" t="s">
        <v>1275</v>
      </c>
      <c r="C2683">
        <v>51</v>
      </c>
      <c r="D2683" s="105">
        <v>45373.720607488423</v>
      </c>
      <c r="E2683" t="s">
        <v>308</v>
      </c>
      <c r="F2683" t="s">
        <v>309</v>
      </c>
      <c r="G2683">
        <v>0</v>
      </c>
      <c r="H2683" t="s">
        <v>310</v>
      </c>
      <c r="I2683">
        <v>0</v>
      </c>
      <c r="J2683">
        <v>0</v>
      </c>
      <c r="K2683">
        <v>0</v>
      </c>
      <c r="L2683" t="s">
        <v>310</v>
      </c>
      <c r="M2683" t="s">
        <v>310</v>
      </c>
      <c r="N2683">
        <v>0</v>
      </c>
      <c r="O2683" t="s">
        <v>319</v>
      </c>
      <c r="P2683" t="s">
        <v>310</v>
      </c>
      <c r="Q2683" t="s">
        <v>310</v>
      </c>
      <c r="R2683" t="s">
        <v>310</v>
      </c>
      <c r="S2683">
        <v>9</v>
      </c>
      <c r="T2683" t="s">
        <v>310</v>
      </c>
      <c r="U2683">
        <v>9</v>
      </c>
      <c r="V2683">
        <v>9</v>
      </c>
      <c r="W2683">
        <v>0</v>
      </c>
      <c r="X2683">
        <v>0</v>
      </c>
      <c r="Y2683">
        <v>0</v>
      </c>
      <c r="Z2683">
        <v>0</v>
      </c>
      <c r="AA2683">
        <v>9</v>
      </c>
      <c r="AB2683">
        <v>9</v>
      </c>
      <c r="AC2683" t="s">
        <v>310</v>
      </c>
      <c r="AD2683">
        <v>9</v>
      </c>
      <c r="AE2683" t="s">
        <v>1387</v>
      </c>
      <c r="AF2683">
        <v>0</v>
      </c>
      <c r="AG2683" t="s">
        <v>310</v>
      </c>
      <c r="AH2683">
        <f>SUM((MID(Dyno_Data[[#This Row],[Team]],4,5))+(Dyno_Data[[#This Row],[Match]]/100))</f>
        <v>1880.51</v>
      </c>
      <c r="AI2683" s="76">
        <f>ROUND(SUM(IF(Dyno_Data[[#This Row],[AcqCenter]]&gt;0,Dyno_Data[[#This Row],[Time]]-SUMIFS(Dyno_Data[Time],Dyno_Data[Team],Dyno_Data[[#This Row],[Team]],Dyno_Data[RecordType],"StartMatch",Dyno_Data[Match],Dyno_Data[[#This Row],[Match]]),0)*86400),0)</f>
        <v>0</v>
      </c>
    </row>
    <row r="2684" spans="1:35" x14ac:dyDescent="0.3">
      <c r="A2684">
        <v>2695</v>
      </c>
      <c r="B2684" t="s">
        <v>1315</v>
      </c>
      <c r="C2684">
        <v>51</v>
      </c>
      <c r="D2684" s="105">
        <v>45373.720608252312</v>
      </c>
      <c r="E2684" t="s">
        <v>308</v>
      </c>
      <c r="F2684" t="s">
        <v>309</v>
      </c>
      <c r="G2684">
        <v>0</v>
      </c>
      <c r="H2684" t="s">
        <v>310</v>
      </c>
      <c r="I2684">
        <v>0</v>
      </c>
      <c r="J2684">
        <v>0</v>
      </c>
      <c r="K2684">
        <v>0</v>
      </c>
      <c r="L2684" t="s">
        <v>310</v>
      </c>
      <c r="M2684" t="s">
        <v>310</v>
      </c>
      <c r="N2684">
        <v>0</v>
      </c>
      <c r="O2684" t="s">
        <v>311</v>
      </c>
      <c r="P2684" t="s">
        <v>310</v>
      </c>
      <c r="Q2684" t="s">
        <v>310</v>
      </c>
      <c r="R2684" t="s">
        <v>310</v>
      </c>
      <c r="S2684">
        <v>9</v>
      </c>
      <c r="T2684" t="s">
        <v>310</v>
      </c>
      <c r="U2684">
        <v>9</v>
      </c>
      <c r="V2684">
        <v>9</v>
      </c>
      <c r="W2684">
        <v>0</v>
      </c>
      <c r="X2684">
        <v>0</v>
      </c>
      <c r="Y2684">
        <v>0</v>
      </c>
      <c r="Z2684">
        <v>0</v>
      </c>
      <c r="AA2684">
        <v>9</v>
      </c>
      <c r="AB2684">
        <v>9</v>
      </c>
      <c r="AC2684" t="s">
        <v>310</v>
      </c>
      <c r="AD2684">
        <v>9</v>
      </c>
      <c r="AE2684" t="s">
        <v>1392</v>
      </c>
      <c r="AF2684">
        <v>10000000</v>
      </c>
      <c r="AG2684" t="s">
        <v>310</v>
      </c>
      <c r="AH2684">
        <f>SUM((MID(Dyno_Data[[#This Row],[Team]],4,5))+(Dyno_Data[[#This Row],[Match]]/100))</f>
        <v>1511.51</v>
      </c>
      <c r="AI2684" s="76">
        <f>ROUND(SUM(IF(Dyno_Data[[#This Row],[AcqCenter]]&gt;0,Dyno_Data[[#This Row],[Time]]-SUMIFS(Dyno_Data[Time],Dyno_Data[Team],Dyno_Data[[#This Row],[Team]],Dyno_Data[RecordType],"StartMatch",Dyno_Data[Match],Dyno_Data[[#This Row],[Match]]),0)*86400),0)</f>
        <v>0</v>
      </c>
    </row>
    <row r="2685" spans="1:35" x14ac:dyDescent="0.3">
      <c r="A2685">
        <v>2697</v>
      </c>
      <c r="B2685" t="s">
        <v>1296</v>
      </c>
      <c r="C2685">
        <v>51</v>
      </c>
      <c r="D2685" s="105">
        <v>45373.720608946758</v>
      </c>
      <c r="E2685" t="s">
        <v>308</v>
      </c>
      <c r="F2685" t="s">
        <v>309</v>
      </c>
      <c r="G2685">
        <v>0</v>
      </c>
      <c r="H2685" t="s">
        <v>310</v>
      </c>
      <c r="I2685">
        <v>0</v>
      </c>
      <c r="J2685">
        <v>0</v>
      </c>
      <c r="K2685">
        <v>0</v>
      </c>
      <c r="L2685" t="s">
        <v>310</v>
      </c>
      <c r="M2685" t="s">
        <v>310</v>
      </c>
      <c r="N2685">
        <v>0</v>
      </c>
      <c r="O2685" t="s">
        <v>1389</v>
      </c>
      <c r="P2685" t="s">
        <v>310</v>
      </c>
      <c r="Q2685" t="s">
        <v>310</v>
      </c>
      <c r="R2685" t="s">
        <v>310</v>
      </c>
      <c r="S2685">
        <v>9</v>
      </c>
      <c r="T2685" t="s">
        <v>310</v>
      </c>
      <c r="U2685">
        <v>9</v>
      </c>
      <c r="V2685">
        <v>9</v>
      </c>
      <c r="W2685">
        <v>0</v>
      </c>
      <c r="X2685">
        <v>0</v>
      </c>
      <c r="Y2685">
        <v>0</v>
      </c>
      <c r="Z2685">
        <v>0</v>
      </c>
      <c r="AA2685">
        <v>9</v>
      </c>
      <c r="AB2685">
        <v>9</v>
      </c>
      <c r="AC2685" t="s">
        <v>310</v>
      </c>
      <c r="AD2685">
        <v>9</v>
      </c>
      <c r="AE2685" t="s">
        <v>1416</v>
      </c>
      <c r="AF2685">
        <v>0</v>
      </c>
      <c r="AG2685" t="s">
        <v>310</v>
      </c>
      <c r="AH2685">
        <f>SUM((MID(Dyno_Data[[#This Row],[Team]],4,5))+(Dyno_Data[[#This Row],[Match]]/100))</f>
        <v>3003.51</v>
      </c>
      <c r="AI2685" s="76">
        <f>ROUND(SUM(IF(Dyno_Data[[#This Row],[AcqCenter]]&gt;0,Dyno_Data[[#This Row],[Time]]-SUMIFS(Dyno_Data[Time],Dyno_Data[Team],Dyno_Data[[#This Row],[Team]],Dyno_Data[RecordType],"StartMatch",Dyno_Data[Match],Dyno_Data[[#This Row],[Match]]),0)*86400),0)</f>
        <v>0</v>
      </c>
    </row>
    <row r="2686" spans="1:35" x14ac:dyDescent="0.3">
      <c r="A2686">
        <v>2681</v>
      </c>
      <c r="B2686" t="s">
        <v>1275</v>
      </c>
      <c r="C2686">
        <v>51</v>
      </c>
      <c r="D2686" s="105">
        <v>45373.720619131942</v>
      </c>
      <c r="E2686" t="s">
        <v>312</v>
      </c>
      <c r="F2686" t="s">
        <v>309</v>
      </c>
      <c r="G2686">
        <v>0</v>
      </c>
      <c r="H2686" t="s">
        <v>1397</v>
      </c>
      <c r="I2686">
        <v>0</v>
      </c>
      <c r="J2686">
        <v>0</v>
      </c>
      <c r="K2686">
        <v>0</v>
      </c>
      <c r="L2686" t="s">
        <v>240</v>
      </c>
      <c r="M2686" t="s">
        <v>1398</v>
      </c>
      <c r="N2686">
        <v>0</v>
      </c>
      <c r="O2686" t="s">
        <v>319</v>
      </c>
      <c r="P2686" t="s">
        <v>310</v>
      </c>
      <c r="Q2686" t="s">
        <v>310</v>
      </c>
      <c r="R2686" t="s">
        <v>310</v>
      </c>
      <c r="S2686">
        <v>9</v>
      </c>
      <c r="T2686" t="s">
        <v>310</v>
      </c>
      <c r="U2686">
        <v>9</v>
      </c>
      <c r="V2686">
        <v>9</v>
      </c>
      <c r="W2686">
        <v>0</v>
      </c>
      <c r="X2686">
        <v>0</v>
      </c>
      <c r="Y2686">
        <v>0</v>
      </c>
      <c r="Z2686">
        <v>0</v>
      </c>
      <c r="AA2686">
        <v>9</v>
      </c>
      <c r="AB2686">
        <v>9</v>
      </c>
      <c r="AC2686" t="s">
        <v>310</v>
      </c>
      <c r="AD2686">
        <v>9</v>
      </c>
      <c r="AE2686" t="s">
        <v>1387</v>
      </c>
      <c r="AF2686">
        <v>0</v>
      </c>
      <c r="AG2686" t="s">
        <v>310</v>
      </c>
      <c r="AH2686">
        <f>SUM((MID(Dyno_Data[[#This Row],[Team]],4,5))+(Dyno_Data[[#This Row],[Match]]/100))</f>
        <v>1880.51</v>
      </c>
      <c r="AI2686" s="76">
        <f>ROUND(SUM(IF(Dyno_Data[[#This Row],[AcqCenter]]&gt;0,Dyno_Data[[#This Row],[Time]]-SUMIFS(Dyno_Data[Time],Dyno_Data[Team],Dyno_Data[[#This Row],[Team]],Dyno_Data[RecordType],"StartMatch",Dyno_Data[Match],Dyno_Data[[#This Row],[Match]]),0)*86400),0)</f>
        <v>0</v>
      </c>
    </row>
    <row r="2687" spans="1:35" x14ac:dyDescent="0.3">
      <c r="A2687">
        <v>2682</v>
      </c>
      <c r="B2687" t="s">
        <v>364</v>
      </c>
      <c r="C2687">
        <v>51</v>
      </c>
      <c r="D2687" s="105">
        <v>45373.720633564815</v>
      </c>
      <c r="E2687" t="s">
        <v>312</v>
      </c>
      <c r="F2687" t="s">
        <v>309</v>
      </c>
      <c r="G2687">
        <v>0</v>
      </c>
      <c r="H2687" t="s">
        <v>1397</v>
      </c>
      <c r="I2687">
        <v>0</v>
      </c>
      <c r="J2687">
        <v>0</v>
      </c>
      <c r="K2687">
        <v>0</v>
      </c>
      <c r="L2687" t="s">
        <v>241</v>
      </c>
      <c r="M2687" t="s">
        <v>1398</v>
      </c>
      <c r="N2687">
        <v>1</v>
      </c>
      <c r="O2687" t="s">
        <v>1393</v>
      </c>
      <c r="P2687" t="s">
        <v>310</v>
      </c>
      <c r="Q2687" t="s">
        <v>310</v>
      </c>
      <c r="R2687" t="s">
        <v>310</v>
      </c>
      <c r="S2687">
        <v>9</v>
      </c>
      <c r="T2687" t="s">
        <v>310</v>
      </c>
      <c r="U2687">
        <v>9</v>
      </c>
      <c r="V2687">
        <v>9</v>
      </c>
      <c r="W2687">
        <v>0</v>
      </c>
      <c r="X2687">
        <v>0</v>
      </c>
      <c r="Y2687">
        <v>0</v>
      </c>
      <c r="Z2687">
        <v>0</v>
      </c>
      <c r="AA2687">
        <v>9</v>
      </c>
      <c r="AB2687">
        <v>9</v>
      </c>
      <c r="AC2687" t="s">
        <v>310</v>
      </c>
      <c r="AD2687">
        <v>9</v>
      </c>
      <c r="AE2687" t="s">
        <v>1394</v>
      </c>
      <c r="AF2687">
        <v>0</v>
      </c>
      <c r="AG2687" t="s">
        <v>310</v>
      </c>
      <c r="AH2687">
        <f>SUM((MID(Dyno_Data[[#This Row],[Team]],4,5))+(Dyno_Data[[#This Row],[Match]]/100))</f>
        <v>2791.51</v>
      </c>
      <c r="AI2687" s="76">
        <f>ROUND(SUM(IF(Dyno_Data[[#This Row],[AcqCenter]]&gt;0,Dyno_Data[[#This Row],[Time]]-SUMIFS(Dyno_Data[Time],Dyno_Data[Team],Dyno_Data[[#This Row],[Team]],Dyno_Data[RecordType],"StartMatch",Dyno_Data[Match],Dyno_Data[[#This Row],[Match]]),0)*86400),0)</f>
        <v>0</v>
      </c>
    </row>
    <row r="2688" spans="1:35" x14ac:dyDescent="0.3">
      <c r="A2688">
        <v>2683</v>
      </c>
      <c r="B2688" t="s">
        <v>1296</v>
      </c>
      <c r="C2688">
        <v>51</v>
      </c>
      <c r="D2688" s="105">
        <v>45373.720636423612</v>
      </c>
      <c r="E2688" t="s">
        <v>312</v>
      </c>
      <c r="F2688" t="s">
        <v>309</v>
      </c>
      <c r="G2688">
        <v>0</v>
      </c>
      <c r="H2688" t="s">
        <v>1397</v>
      </c>
      <c r="I2688">
        <v>0</v>
      </c>
      <c r="J2688">
        <v>0</v>
      </c>
      <c r="K2688">
        <v>0</v>
      </c>
      <c r="L2688" t="s">
        <v>241</v>
      </c>
      <c r="M2688" t="s">
        <v>1398</v>
      </c>
      <c r="N2688">
        <v>1</v>
      </c>
      <c r="O2688" t="s">
        <v>1389</v>
      </c>
      <c r="P2688" t="s">
        <v>310</v>
      </c>
      <c r="Q2688" t="s">
        <v>310</v>
      </c>
      <c r="R2688" t="s">
        <v>310</v>
      </c>
      <c r="S2688">
        <v>9</v>
      </c>
      <c r="T2688" t="s">
        <v>310</v>
      </c>
      <c r="U2688">
        <v>9</v>
      </c>
      <c r="V2688">
        <v>9</v>
      </c>
      <c r="W2688">
        <v>0</v>
      </c>
      <c r="X2688">
        <v>0</v>
      </c>
      <c r="Y2688">
        <v>0</v>
      </c>
      <c r="Z2688">
        <v>0</v>
      </c>
      <c r="AA2688">
        <v>9</v>
      </c>
      <c r="AB2688">
        <v>9</v>
      </c>
      <c r="AC2688" t="s">
        <v>310</v>
      </c>
      <c r="AD2688">
        <v>9</v>
      </c>
      <c r="AE2688" t="s">
        <v>1416</v>
      </c>
      <c r="AF2688">
        <v>0</v>
      </c>
      <c r="AG2688" t="s">
        <v>310</v>
      </c>
      <c r="AH2688">
        <f>SUM((MID(Dyno_Data[[#This Row],[Team]],4,5))+(Dyno_Data[[#This Row],[Match]]/100))</f>
        <v>3003.51</v>
      </c>
      <c r="AI2688" s="76">
        <f>ROUND(SUM(IF(Dyno_Data[[#This Row],[AcqCenter]]&gt;0,Dyno_Data[[#This Row],[Time]]-SUMIFS(Dyno_Data[Time],Dyno_Data[Team],Dyno_Data[[#This Row],[Team]],Dyno_Data[RecordType],"StartMatch",Dyno_Data[Match],Dyno_Data[[#This Row],[Match]]),0)*86400),0)</f>
        <v>0</v>
      </c>
    </row>
    <row r="2689" spans="1:35" x14ac:dyDescent="0.3">
      <c r="A2689">
        <v>2699</v>
      </c>
      <c r="B2689" t="s">
        <v>1300</v>
      </c>
      <c r="C2689">
        <v>51</v>
      </c>
      <c r="D2689" s="105">
        <v>45373.720646643516</v>
      </c>
      <c r="E2689" t="s">
        <v>308</v>
      </c>
      <c r="F2689" t="s">
        <v>309</v>
      </c>
      <c r="G2689">
        <v>0</v>
      </c>
      <c r="H2689" t="s">
        <v>310</v>
      </c>
      <c r="I2689">
        <v>0</v>
      </c>
      <c r="J2689">
        <v>0</v>
      </c>
      <c r="K2689">
        <v>0</v>
      </c>
      <c r="L2689" t="s">
        <v>310</v>
      </c>
      <c r="M2689" t="s">
        <v>310</v>
      </c>
      <c r="N2689">
        <v>0</v>
      </c>
      <c r="O2689" t="s">
        <v>1395</v>
      </c>
      <c r="P2689" t="s">
        <v>310</v>
      </c>
      <c r="Q2689" t="s">
        <v>310</v>
      </c>
      <c r="R2689" t="s">
        <v>310</v>
      </c>
      <c r="S2689">
        <v>9</v>
      </c>
      <c r="T2689" t="s">
        <v>310</v>
      </c>
      <c r="U2689">
        <v>9</v>
      </c>
      <c r="V2689">
        <v>9</v>
      </c>
      <c r="W2689">
        <v>0</v>
      </c>
      <c r="X2689">
        <v>0</v>
      </c>
      <c r="Y2689">
        <v>0</v>
      </c>
      <c r="Z2689">
        <v>0</v>
      </c>
      <c r="AA2689">
        <v>9</v>
      </c>
      <c r="AB2689">
        <v>9</v>
      </c>
      <c r="AC2689" t="s">
        <v>310</v>
      </c>
      <c r="AD2689">
        <v>9</v>
      </c>
      <c r="AE2689" t="s">
        <v>1417</v>
      </c>
      <c r="AF2689">
        <v>30000000</v>
      </c>
      <c r="AG2689" t="s">
        <v>310</v>
      </c>
      <c r="AH2689">
        <f>SUM((MID(Dyno_Data[[#This Row],[Team]],4,5))+(Dyno_Data[[#This Row],[Match]]/100))</f>
        <v>3044.51</v>
      </c>
      <c r="AI2689" s="76">
        <f>ROUND(SUM(IF(Dyno_Data[[#This Row],[AcqCenter]]&gt;0,Dyno_Data[[#This Row],[Time]]-SUMIFS(Dyno_Data[Time],Dyno_Data[Team],Dyno_Data[[#This Row],[Team]],Dyno_Data[RecordType],"StartMatch",Dyno_Data[Match],Dyno_Data[[#This Row],[Match]]),0)*86400),0)</f>
        <v>0</v>
      </c>
    </row>
    <row r="2690" spans="1:35" x14ac:dyDescent="0.3">
      <c r="A2690">
        <v>2684</v>
      </c>
      <c r="B2690" t="s">
        <v>1315</v>
      </c>
      <c r="C2690">
        <v>51</v>
      </c>
      <c r="D2690" s="105">
        <v>45373.72065023148</v>
      </c>
      <c r="E2690" t="s">
        <v>312</v>
      </c>
      <c r="F2690" t="s">
        <v>309</v>
      </c>
      <c r="G2690">
        <v>0</v>
      </c>
      <c r="H2690" t="s">
        <v>1397</v>
      </c>
      <c r="I2690">
        <v>0</v>
      </c>
      <c r="J2690">
        <v>0</v>
      </c>
      <c r="K2690">
        <v>0</v>
      </c>
      <c r="L2690" t="s">
        <v>240</v>
      </c>
      <c r="M2690" t="s">
        <v>1398</v>
      </c>
      <c r="N2690">
        <v>0</v>
      </c>
      <c r="O2690" t="s">
        <v>311</v>
      </c>
      <c r="P2690" t="s">
        <v>310</v>
      </c>
      <c r="Q2690" t="s">
        <v>310</v>
      </c>
      <c r="R2690" t="s">
        <v>310</v>
      </c>
      <c r="S2690">
        <v>9</v>
      </c>
      <c r="T2690" t="s">
        <v>310</v>
      </c>
      <c r="U2690">
        <v>9</v>
      </c>
      <c r="V2690">
        <v>9</v>
      </c>
      <c r="W2690">
        <v>0</v>
      </c>
      <c r="X2690">
        <v>0</v>
      </c>
      <c r="Y2690">
        <v>0</v>
      </c>
      <c r="Z2690">
        <v>0</v>
      </c>
      <c r="AA2690">
        <v>9</v>
      </c>
      <c r="AB2690">
        <v>9</v>
      </c>
      <c r="AC2690" t="s">
        <v>310</v>
      </c>
      <c r="AD2690">
        <v>9</v>
      </c>
      <c r="AE2690" t="s">
        <v>1392</v>
      </c>
      <c r="AF2690">
        <v>0</v>
      </c>
      <c r="AG2690" t="s">
        <v>310</v>
      </c>
      <c r="AH2690">
        <f>SUM((MID(Dyno_Data[[#This Row],[Team]],4,5))+(Dyno_Data[[#This Row],[Match]]/100))</f>
        <v>1511.51</v>
      </c>
      <c r="AI2690" s="76">
        <f>ROUND(SUM(IF(Dyno_Data[[#This Row],[AcqCenter]]&gt;0,Dyno_Data[[#This Row],[Time]]-SUMIFS(Dyno_Data[Time],Dyno_Data[Team],Dyno_Data[[#This Row],[Team]],Dyno_Data[RecordType],"StartMatch",Dyno_Data[Match],Dyno_Data[[#This Row],[Match]]),0)*86400),0)</f>
        <v>0</v>
      </c>
    </row>
    <row r="2691" spans="1:35" x14ac:dyDescent="0.3">
      <c r="A2691">
        <v>2685</v>
      </c>
      <c r="B2691" t="s">
        <v>1300</v>
      </c>
      <c r="C2691">
        <v>51</v>
      </c>
      <c r="D2691" s="105">
        <v>45373.720674074073</v>
      </c>
      <c r="E2691" t="s">
        <v>312</v>
      </c>
      <c r="F2691" t="s">
        <v>309</v>
      </c>
      <c r="G2691">
        <v>0</v>
      </c>
      <c r="H2691" t="s">
        <v>1397</v>
      </c>
      <c r="I2691">
        <v>0</v>
      </c>
      <c r="J2691">
        <v>0</v>
      </c>
      <c r="K2691">
        <v>0</v>
      </c>
      <c r="L2691" t="s">
        <v>240</v>
      </c>
      <c r="M2691" t="s">
        <v>1398</v>
      </c>
      <c r="N2691">
        <v>0</v>
      </c>
      <c r="O2691" t="s">
        <v>1395</v>
      </c>
      <c r="P2691" t="s">
        <v>310</v>
      </c>
      <c r="Q2691" t="s">
        <v>310</v>
      </c>
      <c r="R2691" t="s">
        <v>310</v>
      </c>
      <c r="S2691">
        <v>9</v>
      </c>
      <c r="T2691" t="s">
        <v>310</v>
      </c>
      <c r="U2691">
        <v>9</v>
      </c>
      <c r="V2691">
        <v>9</v>
      </c>
      <c r="W2691">
        <v>0</v>
      </c>
      <c r="X2691">
        <v>0</v>
      </c>
      <c r="Y2691">
        <v>0</v>
      </c>
      <c r="Z2691">
        <v>0</v>
      </c>
      <c r="AA2691">
        <v>9</v>
      </c>
      <c r="AB2691">
        <v>9</v>
      </c>
      <c r="AC2691" t="s">
        <v>310</v>
      </c>
      <c r="AD2691">
        <v>9</v>
      </c>
      <c r="AE2691" t="s">
        <v>1417</v>
      </c>
      <c r="AF2691">
        <v>0</v>
      </c>
      <c r="AG2691" t="s">
        <v>310</v>
      </c>
      <c r="AH2691">
        <f>SUM((MID(Dyno_Data[[#This Row],[Team]],4,5))+(Dyno_Data[[#This Row],[Match]]/100))</f>
        <v>3044.51</v>
      </c>
      <c r="AI2691" s="76">
        <f>ROUND(SUM(IF(Dyno_Data[[#This Row],[AcqCenter]]&gt;0,Dyno_Data[[#This Row],[Time]]-SUMIFS(Dyno_Data[Time],Dyno_Data[Team],Dyno_Data[[#This Row],[Team]],Dyno_Data[RecordType],"StartMatch",Dyno_Data[Match],Dyno_Data[[#This Row],[Match]]),0)*86400),0)</f>
        <v>0</v>
      </c>
    </row>
    <row r="2692" spans="1:35" x14ac:dyDescent="0.3">
      <c r="A2692">
        <v>2687</v>
      </c>
      <c r="B2692" t="s">
        <v>364</v>
      </c>
      <c r="C2692">
        <v>51</v>
      </c>
      <c r="D2692" s="105">
        <v>45373.720686307868</v>
      </c>
      <c r="E2692" t="s">
        <v>312</v>
      </c>
      <c r="F2692" t="s">
        <v>309</v>
      </c>
      <c r="G2692">
        <v>0</v>
      </c>
      <c r="H2692" t="s">
        <v>143</v>
      </c>
      <c r="I2692">
        <v>2</v>
      </c>
      <c r="J2692">
        <v>-1</v>
      </c>
      <c r="K2692">
        <v>0</v>
      </c>
      <c r="L2692" t="s">
        <v>310</v>
      </c>
      <c r="M2692" t="s">
        <v>310</v>
      </c>
      <c r="N2692">
        <v>0</v>
      </c>
      <c r="O2692" t="s">
        <v>1393</v>
      </c>
      <c r="P2692" t="s">
        <v>310</v>
      </c>
      <c r="Q2692" t="s">
        <v>310</v>
      </c>
      <c r="R2692" t="s">
        <v>310</v>
      </c>
      <c r="S2692">
        <v>9</v>
      </c>
      <c r="T2692" t="s">
        <v>310</v>
      </c>
      <c r="U2692">
        <v>9</v>
      </c>
      <c r="V2692">
        <v>9</v>
      </c>
      <c r="W2692">
        <v>0</v>
      </c>
      <c r="X2692">
        <v>0</v>
      </c>
      <c r="Y2692">
        <v>0</v>
      </c>
      <c r="Z2692">
        <v>0</v>
      </c>
      <c r="AA2692">
        <v>9</v>
      </c>
      <c r="AB2692">
        <v>9</v>
      </c>
      <c r="AC2692" t="s">
        <v>310</v>
      </c>
      <c r="AD2692">
        <v>9</v>
      </c>
      <c r="AE2692" t="s">
        <v>1394</v>
      </c>
      <c r="AF2692">
        <v>0</v>
      </c>
      <c r="AG2692" t="s">
        <v>310</v>
      </c>
      <c r="AH2692">
        <f>SUM((MID(Dyno_Data[[#This Row],[Team]],4,5))+(Dyno_Data[[#This Row],[Match]]/100))</f>
        <v>2791.51</v>
      </c>
      <c r="AI2692" s="76">
        <f>ROUND(SUM(IF(Dyno_Data[[#This Row],[AcqCenter]]&gt;0,Dyno_Data[[#This Row],[Time]]-SUMIFS(Dyno_Data[Time],Dyno_Data[Team],Dyno_Data[[#This Row],[Team]],Dyno_Data[RecordType],"StartMatch",Dyno_Data[Match],Dyno_Data[[#This Row],[Match]]),0)*86400),0)</f>
        <v>7</v>
      </c>
    </row>
    <row r="2693" spans="1:35" x14ac:dyDescent="0.3">
      <c r="A2693">
        <v>2686</v>
      </c>
      <c r="B2693" t="s">
        <v>1300</v>
      </c>
      <c r="C2693">
        <v>51</v>
      </c>
      <c r="D2693" s="105">
        <v>45373.720696446762</v>
      </c>
      <c r="E2693" t="s">
        <v>312</v>
      </c>
      <c r="F2693" t="s">
        <v>309</v>
      </c>
      <c r="G2693">
        <v>0</v>
      </c>
      <c r="H2693" t="s">
        <v>315</v>
      </c>
      <c r="I2693">
        <v>0</v>
      </c>
      <c r="J2693">
        <v>0</v>
      </c>
      <c r="K2693">
        <v>0</v>
      </c>
      <c r="L2693" t="s">
        <v>240</v>
      </c>
      <c r="M2693" t="s">
        <v>1398</v>
      </c>
      <c r="N2693">
        <v>1</v>
      </c>
      <c r="O2693" t="s">
        <v>1395</v>
      </c>
      <c r="P2693" t="s">
        <v>310</v>
      </c>
      <c r="Q2693" t="s">
        <v>310</v>
      </c>
      <c r="R2693" t="s">
        <v>310</v>
      </c>
      <c r="S2693">
        <v>9</v>
      </c>
      <c r="T2693" t="s">
        <v>310</v>
      </c>
      <c r="U2693">
        <v>9</v>
      </c>
      <c r="V2693">
        <v>9</v>
      </c>
      <c r="W2693">
        <v>0</v>
      </c>
      <c r="X2693">
        <v>0</v>
      </c>
      <c r="Y2693">
        <v>0</v>
      </c>
      <c r="Z2693">
        <v>0</v>
      </c>
      <c r="AA2693">
        <v>9</v>
      </c>
      <c r="AB2693">
        <v>9</v>
      </c>
      <c r="AC2693" t="s">
        <v>310</v>
      </c>
      <c r="AD2693">
        <v>9</v>
      </c>
      <c r="AE2693" t="s">
        <v>1417</v>
      </c>
      <c r="AF2693">
        <v>10000000</v>
      </c>
      <c r="AG2693" t="s">
        <v>310</v>
      </c>
      <c r="AH2693">
        <f>SUM((MID(Dyno_Data[[#This Row],[Team]],4,5))+(Dyno_Data[[#This Row],[Match]]/100))</f>
        <v>3044.51</v>
      </c>
      <c r="AI2693" s="76">
        <f>ROUND(SUM(IF(Dyno_Data[[#This Row],[AcqCenter]]&gt;0,Dyno_Data[[#This Row],[Time]]-SUMIFS(Dyno_Data[Time],Dyno_Data[Team],Dyno_Data[[#This Row],[Team]],Dyno_Data[RecordType],"StartMatch",Dyno_Data[Match],Dyno_Data[[#This Row],[Match]]),0)*86400),0)</f>
        <v>0</v>
      </c>
    </row>
    <row r="2694" spans="1:35" x14ac:dyDescent="0.3">
      <c r="A2694">
        <v>2688</v>
      </c>
      <c r="B2694" t="s">
        <v>1315</v>
      </c>
      <c r="C2694">
        <v>51</v>
      </c>
      <c r="D2694" s="105">
        <v>45373.720719594909</v>
      </c>
      <c r="E2694" t="s">
        <v>312</v>
      </c>
      <c r="F2694" t="s">
        <v>309</v>
      </c>
      <c r="G2694">
        <v>0</v>
      </c>
      <c r="H2694" t="s">
        <v>315</v>
      </c>
      <c r="I2694">
        <v>0</v>
      </c>
      <c r="J2694">
        <v>0</v>
      </c>
      <c r="K2694">
        <v>0</v>
      </c>
      <c r="L2694" t="s">
        <v>241</v>
      </c>
      <c r="M2694" t="s">
        <v>1398</v>
      </c>
      <c r="N2694">
        <v>0</v>
      </c>
      <c r="O2694" t="s">
        <v>311</v>
      </c>
      <c r="P2694" t="s">
        <v>310</v>
      </c>
      <c r="Q2694" t="s">
        <v>310</v>
      </c>
      <c r="R2694" t="s">
        <v>310</v>
      </c>
      <c r="S2694">
        <v>9</v>
      </c>
      <c r="T2694" t="s">
        <v>310</v>
      </c>
      <c r="U2694">
        <v>9</v>
      </c>
      <c r="V2694">
        <v>9</v>
      </c>
      <c r="W2694">
        <v>0</v>
      </c>
      <c r="X2694">
        <v>0</v>
      </c>
      <c r="Y2694">
        <v>0</v>
      </c>
      <c r="Z2694">
        <v>0</v>
      </c>
      <c r="AA2694">
        <v>9</v>
      </c>
      <c r="AB2694">
        <v>9</v>
      </c>
      <c r="AC2694" t="s">
        <v>310</v>
      </c>
      <c r="AD2694">
        <v>9</v>
      </c>
      <c r="AE2694" t="s">
        <v>1392</v>
      </c>
      <c r="AF2694">
        <v>10000000</v>
      </c>
      <c r="AG2694" t="s">
        <v>310</v>
      </c>
      <c r="AH2694">
        <f>SUM((MID(Dyno_Data[[#This Row],[Team]],4,5))+(Dyno_Data[[#This Row],[Match]]/100))</f>
        <v>1511.51</v>
      </c>
      <c r="AI2694" s="76">
        <f>ROUND(SUM(IF(Dyno_Data[[#This Row],[AcqCenter]]&gt;0,Dyno_Data[[#This Row],[Time]]-SUMIFS(Dyno_Data[Time],Dyno_Data[Team],Dyno_Data[[#This Row],[Team]],Dyno_Data[RecordType],"StartMatch",Dyno_Data[Match],Dyno_Data[[#This Row],[Match]]),0)*86400),0)</f>
        <v>0</v>
      </c>
    </row>
    <row r="2695" spans="1:35" x14ac:dyDescent="0.3">
      <c r="A2695">
        <v>2689</v>
      </c>
      <c r="B2695" t="s">
        <v>1300</v>
      </c>
      <c r="C2695">
        <v>51</v>
      </c>
      <c r="D2695" s="105">
        <v>45373.720754317132</v>
      </c>
      <c r="E2695" t="s">
        <v>312</v>
      </c>
      <c r="F2695" t="s">
        <v>309</v>
      </c>
      <c r="G2695">
        <v>0</v>
      </c>
      <c r="H2695" t="s">
        <v>315</v>
      </c>
      <c r="I2695">
        <v>0</v>
      </c>
      <c r="J2695">
        <v>0</v>
      </c>
      <c r="K2695">
        <v>0</v>
      </c>
      <c r="L2695" t="s">
        <v>240</v>
      </c>
      <c r="M2695" t="s">
        <v>1398</v>
      </c>
      <c r="N2695">
        <v>0</v>
      </c>
      <c r="O2695" t="s">
        <v>1395</v>
      </c>
      <c r="P2695" t="s">
        <v>310</v>
      </c>
      <c r="Q2695" t="s">
        <v>310</v>
      </c>
      <c r="R2695" t="s">
        <v>310</v>
      </c>
      <c r="S2695">
        <v>9</v>
      </c>
      <c r="T2695" t="s">
        <v>310</v>
      </c>
      <c r="U2695">
        <v>9</v>
      </c>
      <c r="V2695">
        <v>9</v>
      </c>
      <c r="W2695">
        <v>0</v>
      </c>
      <c r="X2695">
        <v>0</v>
      </c>
      <c r="Y2695">
        <v>0</v>
      </c>
      <c r="Z2695">
        <v>0</v>
      </c>
      <c r="AA2695">
        <v>9</v>
      </c>
      <c r="AB2695">
        <v>9</v>
      </c>
      <c r="AC2695" t="s">
        <v>310</v>
      </c>
      <c r="AD2695">
        <v>9</v>
      </c>
      <c r="AE2695" t="s">
        <v>1417</v>
      </c>
      <c r="AF2695">
        <v>20000000</v>
      </c>
      <c r="AG2695" t="s">
        <v>310</v>
      </c>
      <c r="AH2695">
        <f>SUM((MID(Dyno_Data[[#This Row],[Team]],4,5))+(Dyno_Data[[#This Row],[Match]]/100))</f>
        <v>3044.51</v>
      </c>
      <c r="AI2695" s="76">
        <f>ROUND(SUM(IF(Dyno_Data[[#This Row],[AcqCenter]]&gt;0,Dyno_Data[[#This Row],[Time]]-SUMIFS(Dyno_Data[Time],Dyno_Data[Team],Dyno_Data[[#This Row],[Team]],Dyno_Data[RecordType],"StartMatch",Dyno_Data[Match],Dyno_Data[[#This Row],[Match]]),0)*86400),0)</f>
        <v>0</v>
      </c>
    </row>
    <row r="2696" spans="1:35" x14ac:dyDescent="0.3">
      <c r="A2696">
        <v>2690</v>
      </c>
      <c r="B2696" t="s">
        <v>1300</v>
      </c>
      <c r="C2696">
        <v>51</v>
      </c>
      <c r="D2696" s="105">
        <v>45373.720789930558</v>
      </c>
      <c r="E2696" t="s">
        <v>312</v>
      </c>
      <c r="F2696" t="s">
        <v>309</v>
      </c>
      <c r="G2696">
        <v>0</v>
      </c>
      <c r="H2696" t="s">
        <v>315</v>
      </c>
      <c r="I2696">
        <v>0</v>
      </c>
      <c r="J2696">
        <v>0</v>
      </c>
      <c r="K2696">
        <v>0</v>
      </c>
      <c r="L2696" t="s">
        <v>240</v>
      </c>
      <c r="M2696" t="s">
        <v>1398</v>
      </c>
      <c r="N2696">
        <v>0</v>
      </c>
      <c r="O2696" t="s">
        <v>1395</v>
      </c>
      <c r="P2696" t="s">
        <v>310</v>
      </c>
      <c r="Q2696" t="s">
        <v>310</v>
      </c>
      <c r="R2696" t="s">
        <v>310</v>
      </c>
      <c r="S2696">
        <v>9</v>
      </c>
      <c r="T2696" t="s">
        <v>310</v>
      </c>
      <c r="U2696">
        <v>9</v>
      </c>
      <c r="V2696">
        <v>9</v>
      </c>
      <c r="W2696">
        <v>0</v>
      </c>
      <c r="X2696">
        <v>0</v>
      </c>
      <c r="Y2696">
        <v>0</v>
      </c>
      <c r="Z2696">
        <v>0</v>
      </c>
      <c r="AA2696">
        <v>9</v>
      </c>
      <c r="AB2696">
        <v>9</v>
      </c>
      <c r="AC2696" t="s">
        <v>310</v>
      </c>
      <c r="AD2696">
        <v>9</v>
      </c>
      <c r="AE2696" t="s">
        <v>1417</v>
      </c>
      <c r="AF2696">
        <v>30000000</v>
      </c>
      <c r="AG2696" t="s">
        <v>310</v>
      </c>
      <c r="AH2696">
        <f>SUM((MID(Dyno_Data[[#This Row],[Team]],4,5))+(Dyno_Data[[#This Row],[Match]]/100))</f>
        <v>3044.51</v>
      </c>
      <c r="AI2696" s="76">
        <f>ROUND(SUM(IF(Dyno_Data[[#This Row],[AcqCenter]]&gt;0,Dyno_Data[[#This Row],[Time]]-SUMIFS(Dyno_Data[Time],Dyno_Data[Team],Dyno_Data[[#This Row],[Team]],Dyno_Data[RecordType],"StartMatch",Dyno_Data[Match],Dyno_Data[[#This Row],[Match]]),0)*86400),0)</f>
        <v>0</v>
      </c>
    </row>
    <row r="2697" spans="1:35" x14ac:dyDescent="0.3">
      <c r="A2697">
        <v>2692</v>
      </c>
      <c r="B2697" t="s">
        <v>364</v>
      </c>
      <c r="C2697">
        <v>51</v>
      </c>
      <c r="D2697" s="105">
        <v>45373.720815162036</v>
      </c>
      <c r="E2697" t="s">
        <v>314</v>
      </c>
      <c r="F2697" t="s">
        <v>309</v>
      </c>
      <c r="G2697">
        <v>1</v>
      </c>
      <c r="H2697" t="s">
        <v>310</v>
      </c>
      <c r="I2697">
        <v>0</v>
      </c>
      <c r="J2697">
        <v>0</v>
      </c>
      <c r="K2697">
        <v>0</v>
      </c>
      <c r="L2697" t="s">
        <v>310</v>
      </c>
      <c r="M2697" t="s">
        <v>310</v>
      </c>
      <c r="N2697">
        <v>0</v>
      </c>
      <c r="O2697" t="s">
        <v>1393</v>
      </c>
      <c r="P2697" t="s">
        <v>1401</v>
      </c>
      <c r="Q2697" t="s">
        <v>1400</v>
      </c>
      <c r="R2697" t="s">
        <v>310</v>
      </c>
      <c r="S2697">
        <v>9</v>
      </c>
      <c r="T2697" t="s">
        <v>310</v>
      </c>
      <c r="U2697">
        <v>9</v>
      </c>
      <c r="V2697">
        <v>9</v>
      </c>
      <c r="W2697">
        <v>0</v>
      </c>
      <c r="X2697">
        <v>0</v>
      </c>
      <c r="Y2697">
        <v>0</v>
      </c>
      <c r="Z2697">
        <v>0</v>
      </c>
      <c r="AA2697">
        <v>9</v>
      </c>
      <c r="AB2697">
        <v>9</v>
      </c>
      <c r="AC2697" t="s">
        <v>310</v>
      </c>
      <c r="AD2697">
        <v>9</v>
      </c>
      <c r="AE2697" t="s">
        <v>1394</v>
      </c>
      <c r="AF2697">
        <v>0</v>
      </c>
      <c r="AG2697" t="s">
        <v>310</v>
      </c>
      <c r="AH2697">
        <f>SUM((MID(Dyno_Data[[#This Row],[Team]],4,5))+(Dyno_Data[[#This Row],[Match]]/100))</f>
        <v>2791.51</v>
      </c>
      <c r="AI2697" s="76">
        <f>ROUND(SUM(IF(Dyno_Data[[#This Row],[AcqCenter]]&gt;0,Dyno_Data[[#This Row],[Time]]-SUMIFS(Dyno_Data[Time],Dyno_Data[Team],Dyno_Data[[#This Row],[Team]],Dyno_Data[RecordType],"StartMatch",Dyno_Data[Match],Dyno_Data[[#This Row],[Match]]),0)*86400),0)</f>
        <v>0</v>
      </c>
    </row>
    <row r="2698" spans="1:35" x14ac:dyDescent="0.3">
      <c r="A2698">
        <v>2694</v>
      </c>
      <c r="B2698" t="s">
        <v>1275</v>
      </c>
      <c r="C2698">
        <v>51</v>
      </c>
      <c r="D2698" s="105">
        <v>45373.720815821762</v>
      </c>
      <c r="E2698" t="s">
        <v>314</v>
      </c>
      <c r="F2698" t="s">
        <v>309</v>
      </c>
      <c r="G2698">
        <v>1</v>
      </c>
      <c r="H2698" t="s">
        <v>310</v>
      </c>
      <c r="I2698">
        <v>0</v>
      </c>
      <c r="J2698">
        <v>0</v>
      </c>
      <c r="K2698">
        <v>0</v>
      </c>
      <c r="L2698" t="s">
        <v>310</v>
      </c>
      <c r="M2698" t="s">
        <v>310</v>
      </c>
      <c r="N2698">
        <v>0</v>
      </c>
      <c r="O2698" t="s">
        <v>319</v>
      </c>
      <c r="P2698" t="s">
        <v>101</v>
      </c>
      <c r="Q2698" t="s">
        <v>1400</v>
      </c>
      <c r="R2698" t="s">
        <v>310</v>
      </c>
      <c r="S2698">
        <v>9</v>
      </c>
      <c r="T2698" t="s">
        <v>310</v>
      </c>
      <c r="U2698">
        <v>9</v>
      </c>
      <c r="V2698">
        <v>9</v>
      </c>
      <c r="W2698">
        <v>0</v>
      </c>
      <c r="X2698">
        <v>0</v>
      </c>
      <c r="Y2698">
        <v>0</v>
      </c>
      <c r="Z2698">
        <v>0</v>
      </c>
      <c r="AA2698">
        <v>9</v>
      </c>
      <c r="AB2698">
        <v>9</v>
      </c>
      <c r="AC2698" t="s">
        <v>310</v>
      </c>
      <c r="AD2698">
        <v>9</v>
      </c>
      <c r="AE2698" t="s">
        <v>1387</v>
      </c>
      <c r="AF2698">
        <v>0</v>
      </c>
      <c r="AG2698" t="s">
        <v>310</v>
      </c>
      <c r="AH2698">
        <f>SUM((MID(Dyno_Data[[#This Row],[Team]],4,5))+(Dyno_Data[[#This Row],[Match]]/100))</f>
        <v>1880.51</v>
      </c>
      <c r="AI2698" s="76">
        <f>ROUND(SUM(IF(Dyno_Data[[#This Row],[AcqCenter]]&gt;0,Dyno_Data[[#This Row],[Time]]-SUMIFS(Dyno_Data[Time],Dyno_Data[Team],Dyno_Data[[#This Row],[Team]],Dyno_Data[RecordType],"StartMatch",Dyno_Data[Match],Dyno_Data[[#This Row],[Match]]),0)*86400),0)</f>
        <v>0</v>
      </c>
    </row>
    <row r="2699" spans="1:35" x14ac:dyDescent="0.3">
      <c r="A2699">
        <v>2696</v>
      </c>
      <c r="B2699" t="s">
        <v>1315</v>
      </c>
      <c r="C2699">
        <v>51</v>
      </c>
      <c r="D2699" s="105">
        <v>45373.72081658565</v>
      </c>
      <c r="E2699" t="s">
        <v>314</v>
      </c>
      <c r="F2699" t="s">
        <v>309</v>
      </c>
      <c r="G2699">
        <v>1</v>
      </c>
      <c r="H2699" t="s">
        <v>310</v>
      </c>
      <c r="I2699">
        <v>0</v>
      </c>
      <c r="J2699">
        <v>0</v>
      </c>
      <c r="K2699">
        <v>0</v>
      </c>
      <c r="L2699" t="s">
        <v>310</v>
      </c>
      <c r="M2699" t="s">
        <v>310</v>
      </c>
      <c r="N2699">
        <v>0</v>
      </c>
      <c r="O2699" t="s">
        <v>311</v>
      </c>
      <c r="P2699" t="s">
        <v>1401</v>
      </c>
      <c r="Q2699" t="s">
        <v>1400</v>
      </c>
      <c r="R2699" t="s">
        <v>310</v>
      </c>
      <c r="S2699">
        <v>9</v>
      </c>
      <c r="T2699" t="s">
        <v>310</v>
      </c>
      <c r="U2699">
        <v>9</v>
      </c>
      <c r="V2699">
        <v>9</v>
      </c>
      <c r="W2699">
        <v>0</v>
      </c>
      <c r="X2699">
        <v>0</v>
      </c>
      <c r="Y2699">
        <v>0</v>
      </c>
      <c r="Z2699">
        <v>0</v>
      </c>
      <c r="AA2699">
        <v>9</v>
      </c>
      <c r="AB2699">
        <v>9</v>
      </c>
      <c r="AC2699" t="s">
        <v>310</v>
      </c>
      <c r="AD2699">
        <v>9</v>
      </c>
      <c r="AE2699" t="s">
        <v>1392</v>
      </c>
      <c r="AF2699">
        <v>10000000</v>
      </c>
      <c r="AG2699" t="s">
        <v>310</v>
      </c>
      <c r="AH2699">
        <f>SUM((MID(Dyno_Data[[#This Row],[Team]],4,5))+(Dyno_Data[[#This Row],[Match]]/100))</f>
        <v>1511.51</v>
      </c>
      <c r="AI2699" s="76">
        <f>ROUND(SUM(IF(Dyno_Data[[#This Row],[AcqCenter]]&gt;0,Dyno_Data[[#This Row],[Time]]-SUMIFS(Dyno_Data[Time],Dyno_Data[Team],Dyno_Data[[#This Row],[Team]],Dyno_Data[RecordType],"StartMatch",Dyno_Data[Match],Dyno_Data[[#This Row],[Match]]),0)*86400),0)</f>
        <v>0</v>
      </c>
    </row>
    <row r="2700" spans="1:35" x14ac:dyDescent="0.3">
      <c r="A2700">
        <v>2698</v>
      </c>
      <c r="B2700" t="s">
        <v>1296</v>
      </c>
      <c r="C2700">
        <v>51</v>
      </c>
      <c r="D2700" s="105">
        <v>45373.720817280089</v>
      </c>
      <c r="E2700" t="s">
        <v>314</v>
      </c>
      <c r="F2700" t="s">
        <v>309</v>
      </c>
      <c r="G2700">
        <v>0</v>
      </c>
      <c r="H2700" t="s">
        <v>310</v>
      </c>
      <c r="I2700">
        <v>0</v>
      </c>
      <c r="J2700">
        <v>0</v>
      </c>
      <c r="K2700">
        <v>0</v>
      </c>
      <c r="L2700" t="s">
        <v>310</v>
      </c>
      <c r="M2700" t="s">
        <v>310</v>
      </c>
      <c r="N2700">
        <v>0</v>
      </c>
      <c r="O2700" t="s">
        <v>1389</v>
      </c>
      <c r="P2700" t="s">
        <v>101</v>
      </c>
      <c r="Q2700" t="s">
        <v>1399</v>
      </c>
      <c r="R2700" t="s">
        <v>310</v>
      </c>
      <c r="S2700">
        <v>9</v>
      </c>
      <c r="T2700" t="s">
        <v>310</v>
      </c>
      <c r="U2700">
        <v>9</v>
      </c>
      <c r="V2700">
        <v>9</v>
      </c>
      <c r="W2700">
        <v>0</v>
      </c>
      <c r="X2700">
        <v>0</v>
      </c>
      <c r="Y2700">
        <v>0</v>
      </c>
      <c r="Z2700">
        <v>0</v>
      </c>
      <c r="AA2700">
        <v>9</v>
      </c>
      <c r="AB2700">
        <v>9</v>
      </c>
      <c r="AC2700" t="s">
        <v>310</v>
      </c>
      <c r="AD2700">
        <v>9</v>
      </c>
      <c r="AE2700" t="s">
        <v>1416</v>
      </c>
      <c r="AF2700">
        <v>0</v>
      </c>
      <c r="AG2700" t="s">
        <v>310</v>
      </c>
      <c r="AH2700">
        <f>SUM((MID(Dyno_Data[[#This Row],[Team]],4,5))+(Dyno_Data[[#This Row],[Match]]/100))</f>
        <v>3003.51</v>
      </c>
      <c r="AI2700" s="76">
        <f>ROUND(SUM(IF(Dyno_Data[[#This Row],[AcqCenter]]&gt;0,Dyno_Data[[#This Row],[Time]]-SUMIFS(Dyno_Data[Time],Dyno_Data[Team],Dyno_Data[[#This Row],[Team]],Dyno_Data[RecordType],"StartMatch",Dyno_Data[Match],Dyno_Data[[#This Row],[Match]]),0)*86400),0)</f>
        <v>0</v>
      </c>
    </row>
    <row r="2701" spans="1:35" x14ac:dyDescent="0.3">
      <c r="A2701">
        <v>2700</v>
      </c>
      <c r="B2701" t="s">
        <v>1300</v>
      </c>
      <c r="C2701">
        <v>51</v>
      </c>
      <c r="D2701" s="105">
        <v>45373.720854976855</v>
      </c>
      <c r="E2701" t="s">
        <v>314</v>
      </c>
      <c r="F2701" t="s">
        <v>309</v>
      </c>
      <c r="G2701">
        <v>0</v>
      </c>
      <c r="H2701" t="s">
        <v>310</v>
      </c>
      <c r="I2701">
        <v>0</v>
      </c>
      <c r="J2701">
        <v>0</v>
      </c>
      <c r="K2701">
        <v>0</v>
      </c>
      <c r="L2701" t="s">
        <v>310</v>
      </c>
      <c r="M2701" t="s">
        <v>310</v>
      </c>
      <c r="N2701">
        <v>0</v>
      </c>
      <c r="O2701" t="s">
        <v>1395</v>
      </c>
      <c r="P2701" t="s">
        <v>240</v>
      </c>
      <c r="Q2701" t="s">
        <v>1400</v>
      </c>
      <c r="R2701" t="s">
        <v>310</v>
      </c>
      <c r="S2701">
        <v>9</v>
      </c>
      <c r="T2701" t="s">
        <v>310</v>
      </c>
      <c r="U2701">
        <v>9</v>
      </c>
      <c r="V2701">
        <v>9</v>
      </c>
      <c r="W2701">
        <v>0</v>
      </c>
      <c r="X2701">
        <v>0</v>
      </c>
      <c r="Y2701">
        <v>0</v>
      </c>
      <c r="Z2701">
        <v>0</v>
      </c>
      <c r="AA2701">
        <v>9</v>
      </c>
      <c r="AB2701">
        <v>9</v>
      </c>
      <c r="AC2701" t="s">
        <v>310</v>
      </c>
      <c r="AD2701">
        <v>9</v>
      </c>
      <c r="AE2701" t="s">
        <v>1417</v>
      </c>
      <c r="AF2701">
        <v>30000000</v>
      </c>
      <c r="AG2701" t="s">
        <v>310</v>
      </c>
      <c r="AH2701">
        <f>SUM((MID(Dyno_Data[[#This Row],[Team]],4,5))+(Dyno_Data[[#This Row],[Match]]/100))</f>
        <v>3044.51</v>
      </c>
      <c r="AI2701" s="76">
        <f>ROUND(SUM(IF(Dyno_Data[[#This Row],[AcqCenter]]&gt;0,Dyno_Data[[#This Row],[Time]]-SUMIFS(Dyno_Data[Time],Dyno_Data[Team],Dyno_Data[[#This Row],[Team]],Dyno_Data[RecordType],"StartMatch",Dyno_Data[Match],Dyno_Data[[#This Row],[Match]]),0)*86400),0)</f>
        <v>0</v>
      </c>
    </row>
    <row r="2702" spans="1:35" x14ac:dyDescent="0.3">
      <c r="A2702">
        <v>2701</v>
      </c>
      <c r="B2702" t="s">
        <v>1294</v>
      </c>
      <c r="C2702">
        <v>51</v>
      </c>
      <c r="D2702" s="105">
        <v>45373.720922187502</v>
      </c>
      <c r="E2702" t="s">
        <v>312</v>
      </c>
      <c r="F2702" t="s">
        <v>309</v>
      </c>
      <c r="G2702">
        <v>0</v>
      </c>
      <c r="H2702" t="s">
        <v>1397</v>
      </c>
      <c r="I2702">
        <v>0</v>
      </c>
      <c r="J2702">
        <v>0</v>
      </c>
      <c r="K2702">
        <v>0</v>
      </c>
      <c r="L2702" t="s">
        <v>240</v>
      </c>
      <c r="M2702" t="s">
        <v>1398</v>
      </c>
      <c r="N2702">
        <v>1</v>
      </c>
      <c r="O2702" t="s">
        <v>1391</v>
      </c>
      <c r="P2702" t="s">
        <v>310</v>
      </c>
      <c r="Q2702" t="s">
        <v>310</v>
      </c>
      <c r="R2702" t="s">
        <v>310</v>
      </c>
      <c r="S2702">
        <v>9</v>
      </c>
      <c r="T2702" t="s">
        <v>310</v>
      </c>
      <c r="U2702">
        <v>9</v>
      </c>
      <c r="V2702">
        <v>9</v>
      </c>
      <c r="W2702">
        <v>0</v>
      </c>
      <c r="X2702">
        <v>0</v>
      </c>
      <c r="Y2702">
        <v>0</v>
      </c>
      <c r="Z2702">
        <v>0</v>
      </c>
      <c r="AA2702">
        <v>9</v>
      </c>
      <c r="AB2702">
        <v>9</v>
      </c>
      <c r="AC2702" t="s">
        <v>310</v>
      </c>
      <c r="AD2702">
        <v>9</v>
      </c>
      <c r="AE2702" t="s">
        <v>1418</v>
      </c>
      <c r="AF2702">
        <v>0</v>
      </c>
      <c r="AG2702" t="s">
        <v>310</v>
      </c>
      <c r="AH2702">
        <f>SUM((MID(Dyno_Data[[#This Row],[Team]],4,5))+(Dyno_Data[[#This Row],[Match]]/100))</f>
        <v>9076.51</v>
      </c>
      <c r="AI2702" s="76">
        <f>ROUND(SUM(IF(Dyno_Data[[#This Row],[AcqCenter]]&gt;0,Dyno_Data[[#This Row],[Time]]-SUMIFS(Dyno_Data[Time],Dyno_Data[Team],Dyno_Data[[#This Row],[Team]],Dyno_Data[RecordType],"StartMatch",Dyno_Data[Match],Dyno_Data[[#This Row],[Match]]),0)*86400),0)</f>
        <v>0</v>
      </c>
    </row>
    <row r="2703" spans="1:35" x14ac:dyDescent="0.3">
      <c r="A2703">
        <v>2702</v>
      </c>
      <c r="B2703" t="s">
        <v>1294</v>
      </c>
      <c r="C2703">
        <v>51</v>
      </c>
      <c r="D2703" s="105">
        <v>45373.720953275464</v>
      </c>
      <c r="E2703" t="s">
        <v>312</v>
      </c>
      <c r="F2703" t="s">
        <v>309</v>
      </c>
      <c r="G2703">
        <v>0</v>
      </c>
      <c r="H2703" t="s">
        <v>315</v>
      </c>
      <c r="I2703">
        <v>0</v>
      </c>
      <c r="J2703">
        <v>0</v>
      </c>
      <c r="K2703">
        <v>0</v>
      </c>
      <c r="L2703" t="s">
        <v>240</v>
      </c>
      <c r="M2703" t="s">
        <v>1398</v>
      </c>
      <c r="N2703">
        <v>1</v>
      </c>
      <c r="O2703" t="s">
        <v>1391</v>
      </c>
      <c r="P2703" t="s">
        <v>310</v>
      </c>
      <c r="Q2703" t="s">
        <v>310</v>
      </c>
      <c r="R2703" t="s">
        <v>310</v>
      </c>
      <c r="S2703">
        <v>9</v>
      </c>
      <c r="T2703" t="s">
        <v>310</v>
      </c>
      <c r="U2703">
        <v>9</v>
      </c>
      <c r="V2703">
        <v>9</v>
      </c>
      <c r="W2703">
        <v>0</v>
      </c>
      <c r="X2703">
        <v>0</v>
      </c>
      <c r="Y2703">
        <v>0</v>
      </c>
      <c r="Z2703">
        <v>0</v>
      </c>
      <c r="AA2703">
        <v>9</v>
      </c>
      <c r="AB2703">
        <v>9</v>
      </c>
      <c r="AC2703" t="s">
        <v>310</v>
      </c>
      <c r="AD2703">
        <v>9</v>
      </c>
      <c r="AE2703" t="s">
        <v>1418</v>
      </c>
      <c r="AF2703">
        <v>10000000</v>
      </c>
      <c r="AG2703" t="s">
        <v>310</v>
      </c>
      <c r="AH2703">
        <f>SUM((MID(Dyno_Data[[#This Row],[Team]],4,5))+(Dyno_Data[[#This Row],[Match]]/100))</f>
        <v>9076.51</v>
      </c>
      <c r="AI2703" s="76">
        <f>ROUND(SUM(IF(Dyno_Data[[#This Row],[AcqCenter]]&gt;0,Dyno_Data[[#This Row],[Time]]-SUMIFS(Dyno_Data[Time],Dyno_Data[Team],Dyno_Data[[#This Row],[Team]],Dyno_Data[RecordType],"StartMatch",Dyno_Data[Match],Dyno_Data[[#This Row],[Match]]),0)*86400),0)</f>
        <v>0</v>
      </c>
    </row>
    <row r="2704" spans="1:35" x14ac:dyDescent="0.3">
      <c r="A2704">
        <v>2703</v>
      </c>
      <c r="B2704" t="s">
        <v>1300</v>
      </c>
      <c r="C2704">
        <v>51</v>
      </c>
      <c r="D2704" s="105">
        <v>45373.720959756945</v>
      </c>
      <c r="E2704" t="s">
        <v>312</v>
      </c>
      <c r="F2704" t="s">
        <v>1402</v>
      </c>
      <c r="G2704">
        <v>0</v>
      </c>
      <c r="H2704" t="s">
        <v>315</v>
      </c>
      <c r="I2704">
        <v>0</v>
      </c>
      <c r="J2704">
        <v>0</v>
      </c>
      <c r="K2704">
        <v>0</v>
      </c>
      <c r="L2704" t="s">
        <v>241</v>
      </c>
      <c r="M2704" t="s">
        <v>1398</v>
      </c>
      <c r="N2704">
        <v>0</v>
      </c>
      <c r="O2704" t="s">
        <v>1395</v>
      </c>
      <c r="P2704" t="s">
        <v>310</v>
      </c>
      <c r="Q2704" t="s">
        <v>310</v>
      </c>
      <c r="R2704" t="s">
        <v>310</v>
      </c>
      <c r="S2704">
        <v>9</v>
      </c>
      <c r="T2704" t="s">
        <v>310</v>
      </c>
      <c r="U2704">
        <v>9</v>
      </c>
      <c r="V2704">
        <v>9</v>
      </c>
      <c r="W2704">
        <v>0</v>
      </c>
      <c r="X2704">
        <v>0</v>
      </c>
      <c r="Y2704">
        <v>0</v>
      </c>
      <c r="Z2704">
        <v>0</v>
      </c>
      <c r="AA2704">
        <v>9</v>
      </c>
      <c r="AB2704">
        <v>9</v>
      </c>
      <c r="AC2704" t="s">
        <v>310</v>
      </c>
      <c r="AD2704">
        <v>9</v>
      </c>
      <c r="AE2704" t="s">
        <v>1417</v>
      </c>
      <c r="AF2704">
        <v>40000000</v>
      </c>
      <c r="AG2704" t="s">
        <v>310</v>
      </c>
      <c r="AH2704">
        <f>SUM((MID(Dyno_Data[[#This Row],[Team]],4,5))+(Dyno_Data[[#This Row],[Match]]/100))</f>
        <v>3044.51</v>
      </c>
      <c r="AI2704" s="76">
        <f>ROUND(SUM(IF(Dyno_Data[[#This Row],[AcqCenter]]&gt;0,Dyno_Data[[#This Row],[Time]]-SUMIFS(Dyno_Data[Time],Dyno_Data[Team],Dyno_Data[[#This Row],[Team]],Dyno_Data[RecordType],"StartMatch",Dyno_Data[Match],Dyno_Data[[#This Row],[Match]]),0)*86400),0)</f>
        <v>0</v>
      </c>
    </row>
    <row r="2705" spans="1:35" x14ac:dyDescent="0.3">
      <c r="A2705">
        <v>2704</v>
      </c>
      <c r="B2705" t="s">
        <v>364</v>
      </c>
      <c r="C2705">
        <v>51</v>
      </c>
      <c r="D2705" s="105">
        <v>45373.720963425927</v>
      </c>
      <c r="E2705" t="s">
        <v>312</v>
      </c>
      <c r="F2705" t="s">
        <v>1402</v>
      </c>
      <c r="G2705">
        <v>0</v>
      </c>
      <c r="H2705" t="s">
        <v>315</v>
      </c>
      <c r="I2705">
        <v>0</v>
      </c>
      <c r="J2705">
        <v>0</v>
      </c>
      <c r="K2705">
        <v>0</v>
      </c>
      <c r="L2705" t="s">
        <v>241</v>
      </c>
      <c r="M2705" t="s">
        <v>101</v>
      </c>
      <c r="N2705">
        <v>1</v>
      </c>
      <c r="O2705" t="s">
        <v>1393</v>
      </c>
      <c r="P2705" t="s">
        <v>310</v>
      </c>
      <c r="Q2705" t="s">
        <v>310</v>
      </c>
      <c r="R2705" t="s">
        <v>310</v>
      </c>
      <c r="S2705">
        <v>9</v>
      </c>
      <c r="T2705" t="s">
        <v>310</v>
      </c>
      <c r="U2705">
        <v>9</v>
      </c>
      <c r="V2705">
        <v>9</v>
      </c>
      <c r="W2705">
        <v>0</v>
      </c>
      <c r="X2705">
        <v>0</v>
      </c>
      <c r="Y2705">
        <v>0</v>
      </c>
      <c r="Z2705">
        <v>0</v>
      </c>
      <c r="AA2705">
        <v>9</v>
      </c>
      <c r="AB2705">
        <v>9</v>
      </c>
      <c r="AC2705" t="s">
        <v>310</v>
      </c>
      <c r="AD2705">
        <v>9</v>
      </c>
      <c r="AE2705" t="s">
        <v>1394</v>
      </c>
      <c r="AF2705">
        <v>10000000</v>
      </c>
      <c r="AG2705" t="s">
        <v>310</v>
      </c>
      <c r="AH2705">
        <f>SUM((MID(Dyno_Data[[#This Row],[Team]],4,5))+(Dyno_Data[[#This Row],[Match]]/100))</f>
        <v>2791.51</v>
      </c>
      <c r="AI2705" s="76">
        <f>ROUND(SUM(IF(Dyno_Data[[#This Row],[AcqCenter]]&gt;0,Dyno_Data[[#This Row],[Time]]-SUMIFS(Dyno_Data[Time],Dyno_Data[Team],Dyno_Data[[#This Row],[Team]],Dyno_Data[RecordType],"StartMatch",Dyno_Data[Match],Dyno_Data[[#This Row],[Match]]),0)*86400),0)</f>
        <v>0</v>
      </c>
    </row>
    <row r="2706" spans="1:35" x14ac:dyDescent="0.3">
      <c r="A2706">
        <v>2705</v>
      </c>
      <c r="B2706" t="s">
        <v>1315</v>
      </c>
      <c r="C2706">
        <v>51</v>
      </c>
      <c r="D2706" s="105">
        <v>45373.721047488427</v>
      </c>
      <c r="E2706" t="s">
        <v>312</v>
      </c>
      <c r="F2706" t="s">
        <v>1402</v>
      </c>
      <c r="G2706">
        <v>0</v>
      </c>
      <c r="H2706" t="s">
        <v>315</v>
      </c>
      <c r="I2706">
        <v>0</v>
      </c>
      <c r="J2706">
        <v>0</v>
      </c>
      <c r="K2706">
        <v>0</v>
      </c>
      <c r="L2706" t="s">
        <v>240</v>
      </c>
      <c r="M2706" t="s">
        <v>1398</v>
      </c>
      <c r="N2706">
        <v>0</v>
      </c>
      <c r="O2706" t="s">
        <v>311</v>
      </c>
      <c r="P2706" t="s">
        <v>310</v>
      </c>
      <c r="Q2706" t="s">
        <v>310</v>
      </c>
      <c r="R2706" t="s">
        <v>310</v>
      </c>
      <c r="S2706">
        <v>9</v>
      </c>
      <c r="T2706" t="s">
        <v>310</v>
      </c>
      <c r="U2706">
        <v>9</v>
      </c>
      <c r="V2706">
        <v>9</v>
      </c>
      <c r="W2706">
        <v>0</v>
      </c>
      <c r="X2706">
        <v>0</v>
      </c>
      <c r="Y2706">
        <v>0</v>
      </c>
      <c r="Z2706">
        <v>0</v>
      </c>
      <c r="AA2706">
        <v>9</v>
      </c>
      <c r="AB2706">
        <v>9</v>
      </c>
      <c r="AC2706" t="s">
        <v>310</v>
      </c>
      <c r="AD2706">
        <v>9</v>
      </c>
      <c r="AE2706" t="s">
        <v>1392</v>
      </c>
      <c r="AF2706">
        <v>20000000</v>
      </c>
      <c r="AG2706" t="s">
        <v>310</v>
      </c>
      <c r="AH2706">
        <f>SUM((MID(Dyno_Data[[#This Row],[Team]],4,5))+(Dyno_Data[[#This Row],[Match]]/100))</f>
        <v>1511.51</v>
      </c>
      <c r="AI2706" s="76">
        <f>ROUND(SUM(IF(Dyno_Data[[#This Row],[AcqCenter]]&gt;0,Dyno_Data[[#This Row],[Time]]-SUMIFS(Dyno_Data[Time],Dyno_Data[Team],Dyno_Data[[#This Row],[Team]],Dyno_Data[RecordType],"StartMatch",Dyno_Data[Match],Dyno_Data[[#This Row],[Match]]),0)*86400),0)</f>
        <v>0</v>
      </c>
    </row>
    <row r="2707" spans="1:35" x14ac:dyDescent="0.3">
      <c r="A2707">
        <v>2706</v>
      </c>
      <c r="B2707" t="s">
        <v>364</v>
      </c>
      <c r="C2707">
        <v>51</v>
      </c>
      <c r="D2707" s="105">
        <v>45373.721074270834</v>
      </c>
      <c r="E2707" t="s">
        <v>312</v>
      </c>
      <c r="F2707" t="s">
        <v>1402</v>
      </c>
      <c r="G2707">
        <v>0</v>
      </c>
      <c r="H2707" t="s">
        <v>315</v>
      </c>
      <c r="I2707">
        <v>0</v>
      </c>
      <c r="J2707">
        <v>0</v>
      </c>
      <c r="K2707">
        <v>0</v>
      </c>
      <c r="L2707" t="s">
        <v>241</v>
      </c>
      <c r="M2707" t="s">
        <v>101</v>
      </c>
      <c r="N2707">
        <v>0</v>
      </c>
      <c r="O2707" t="s">
        <v>1393</v>
      </c>
      <c r="P2707" t="s">
        <v>310</v>
      </c>
      <c r="Q2707" t="s">
        <v>310</v>
      </c>
      <c r="R2707" t="s">
        <v>310</v>
      </c>
      <c r="S2707">
        <v>9</v>
      </c>
      <c r="T2707" t="s">
        <v>310</v>
      </c>
      <c r="U2707">
        <v>9</v>
      </c>
      <c r="V2707">
        <v>9</v>
      </c>
      <c r="W2707">
        <v>0</v>
      </c>
      <c r="X2707">
        <v>0</v>
      </c>
      <c r="Y2707">
        <v>0</v>
      </c>
      <c r="Z2707">
        <v>0</v>
      </c>
      <c r="AA2707">
        <v>9</v>
      </c>
      <c r="AB2707">
        <v>9</v>
      </c>
      <c r="AC2707" t="s">
        <v>310</v>
      </c>
      <c r="AD2707">
        <v>9</v>
      </c>
      <c r="AE2707" t="s">
        <v>1394</v>
      </c>
      <c r="AF2707">
        <v>20000000</v>
      </c>
      <c r="AG2707" t="s">
        <v>310</v>
      </c>
      <c r="AH2707">
        <f>SUM((MID(Dyno_Data[[#This Row],[Team]],4,5))+(Dyno_Data[[#This Row],[Match]]/100))</f>
        <v>2791.51</v>
      </c>
      <c r="AI2707" s="76">
        <f>ROUND(SUM(IF(Dyno_Data[[#This Row],[AcqCenter]]&gt;0,Dyno_Data[[#This Row],[Time]]-SUMIFS(Dyno_Data[Time],Dyno_Data[Team],Dyno_Data[[#This Row],[Team]],Dyno_Data[RecordType],"StartMatch",Dyno_Data[Match],Dyno_Data[[#This Row],[Match]]),0)*86400),0)</f>
        <v>0</v>
      </c>
    </row>
    <row r="2708" spans="1:35" x14ac:dyDescent="0.3">
      <c r="A2708">
        <v>2707</v>
      </c>
      <c r="B2708" t="s">
        <v>1300</v>
      </c>
      <c r="C2708">
        <v>51</v>
      </c>
      <c r="D2708" s="105">
        <v>45373.721075694448</v>
      </c>
      <c r="E2708" t="s">
        <v>312</v>
      </c>
      <c r="F2708" t="s">
        <v>1402</v>
      </c>
      <c r="G2708">
        <v>0</v>
      </c>
      <c r="H2708" t="s">
        <v>315</v>
      </c>
      <c r="I2708">
        <v>0</v>
      </c>
      <c r="J2708">
        <v>0</v>
      </c>
      <c r="K2708">
        <v>0</v>
      </c>
      <c r="L2708" t="s">
        <v>241</v>
      </c>
      <c r="M2708" t="s">
        <v>1398</v>
      </c>
      <c r="N2708">
        <v>1</v>
      </c>
      <c r="O2708" t="s">
        <v>1395</v>
      </c>
      <c r="P2708" t="s">
        <v>310</v>
      </c>
      <c r="Q2708" t="s">
        <v>310</v>
      </c>
      <c r="R2708" t="s">
        <v>310</v>
      </c>
      <c r="S2708">
        <v>9</v>
      </c>
      <c r="T2708" t="s">
        <v>310</v>
      </c>
      <c r="U2708">
        <v>9</v>
      </c>
      <c r="V2708">
        <v>9</v>
      </c>
      <c r="W2708">
        <v>0</v>
      </c>
      <c r="X2708">
        <v>0</v>
      </c>
      <c r="Y2708">
        <v>0</v>
      </c>
      <c r="Z2708">
        <v>0</v>
      </c>
      <c r="AA2708">
        <v>9</v>
      </c>
      <c r="AB2708">
        <v>9</v>
      </c>
      <c r="AC2708" t="s">
        <v>310</v>
      </c>
      <c r="AD2708">
        <v>9</v>
      </c>
      <c r="AE2708" t="s">
        <v>1417</v>
      </c>
      <c r="AF2708">
        <v>50000000</v>
      </c>
      <c r="AG2708" t="s">
        <v>310</v>
      </c>
      <c r="AH2708">
        <f>SUM((MID(Dyno_Data[[#This Row],[Team]],4,5))+(Dyno_Data[[#This Row],[Match]]/100))</f>
        <v>3044.51</v>
      </c>
      <c r="AI2708" s="76">
        <f>ROUND(SUM(IF(Dyno_Data[[#This Row],[AcqCenter]]&gt;0,Dyno_Data[[#This Row],[Time]]-SUMIFS(Dyno_Data[Time],Dyno_Data[Team],Dyno_Data[[#This Row],[Team]],Dyno_Data[RecordType],"StartMatch",Dyno_Data[Match],Dyno_Data[[#This Row],[Match]]),0)*86400),0)</f>
        <v>0</v>
      </c>
    </row>
    <row r="2709" spans="1:35" x14ac:dyDescent="0.3">
      <c r="A2709">
        <v>2708</v>
      </c>
      <c r="B2709" t="s">
        <v>1300</v>
      </c>
      <c r="C2709">
        <v>51</v>
      </c>
      <c r="D2709" s="105">
        <v>45373.721141516202</v>
      </c>
      <c r="E2709" t="s">
        <v>312</v>
      </c>
      <c r="F2709" t="s">
        <v>1402</v>
      </c>
      <c r="G2709">
        <v>0</v>
      </c>
      <c r="H2709" t="s">
        <v>315</v>
      </c>
      <c r="I2709">
        <v>0</v>
      </c>
      <c r="J2709">
        <v>0</v>
      </c>
      <c r="K2709">
        <v>0</v>
      </c>
      <c r="L2709" t="s">
        <v>241</v>
      </c>
      <c r="M2709" t="s">
        <v>1398</v>
      </c>
      <c r="N2709">
        <v>0</v>
      </c>
      <c r="O2709" t="s">
        <v>1395</v>
      </c>
      <c r="P2709" t="s">
        <v>310</v>
      </c>
      <c r="Q2709" t="s">
        <v>310</v>
      </c>
      <c r="R2709" t="s">
        <v>310</v>
      </c>
      <c r="S2709">
        <v>9</v>
      </c>
      <c r="T2709" t="s">
        <v>310</v>
      </c>
      <c r="U2709">
        <v>9</v>
      </c>
      <c r="V2709">
        <v>9</v>
      </c>
      <c r="W2709">
        <v>0</v>
      </c>
      <c r="X2709">
        <v>0</v>
      </c>
      <c r="Y2709">
        <v>0</v>
      </c>
      <c r="Z2709">
        <v>0</v>
      </c>
      <c r="AA2709">
        <v>9</v>
      </c>
      <c r="AB2709">
        <v>9</v>
      </c>
      <c r="AC2709" t="s">
        <v>310</v>
      </c>
      <c r="AD2709">
        <v>9</v>
      </c>
      <c r="AE2709" t="s">
        <v>1417</v>
      </c>
      <c r="AF2709">
        <v>60000000</v>
      </c>
      <c r="AG2709" t="s">
        <v>310</v>
      </c>
      <c r="AH2709">
        <f>SUM((MID(Dyno_Data[[#This Row],[Team]],4,5))+(Dyno_Data[[#This Row],[Match]]/100))</f>
        <v>3044.51</v>
      </c>
      <c r="AI2709" s="76">
        <f>ROUND(SUM(IF(Dyno_Data[[#This Row],[AcqCenter]]&gt;0,Dyno_Data[[#This Row],[Time]]-SUMIFS(Dyno_Data[Time],Dyno_Data[Team],Dyno_Data[[#This Row],[Team]],Dyno_Data[RecordType],"StartMatch",Dyno_Data[Match],Dyno_Data[[#This Row],[Match]]),0)*86400),0)</f>
        <v>0</v>
      </c>
    </row>
    <row r="2710" spans="1:35" x14ac:dyDescent="0.3">
      <c r="A2710">
        <v>2709</v>
      </c>
      <c r="B2710" t="s">
        <v>364</v>
      </c>
      <c r="C2710">
        <v>51</v>
      </c>
      <c r="D2710" s="105">
        <v>45373.721183449074</v>
      </c>
      <c r="E2710" t="s">
        <v>312</v>
      </c>
      <c r="F2710" t="s">
        <v>1402</v>
      </c>
      <c r="G2710">
        <v>0</v>
      </c>
      <c r="H2710" t="s">
        <v>315</v>
      </c>
      <c r="I2710">
        <v>0</v>
      </c>
      <c r="J2710">
        <v>0</v>
      </c>
      <c r="K2710">
        <v>0</v>
      </c>
      <c r="L2710" t="s">
        <v>240</v>
      </c>
      <c r="M2710" t="s">
        <v>1398</v>
      </c>
      <c r="N2710">
        <v>1</v>
      </c>
      <c r="O2710" t="s">
        <v>1393</v>
      </c>
      <c r="P2710" t="s">
        <v>310</v>
      </c>
      <c r="Q2710" t="s">
        <v>310</v>
      </c>
      <c r="R2710" t="s">
        <v>310</v>
      </c>
      <c r="S2710">
        <v>9</v>
      </c>
      <c r="T2710" t="s">
        <v>310</v>
      </c>
      <c r="U2710">
        <v>9</v>
      </c>
      <c r="V2710">
        <v>9</v>
      </c>
      <c r="W2710">
        <v>0</v>
      </c>
      <c r="X2710">
        <v>0</v>
      </c>
      <c r="Y2710">
        <v>0</v>
      </c>
      <c r="Z2710">
        <v>0</v>
      </c>
      <c r="AA2710">
        <v>9</v>
      </c>
      <c r="AB2710">
        <v>9</v>
      </c>
      <c r="AC2710" t="s">
        <v>310</v>
      </c>
      <c r="AD2710">
        <v>9</v>
      </c>
      <c r="AE2710" t="s">
        <v>1394</v>
      </c>
      <c r="AF2710">
        <v>30000000</v>
      </c>
      <c r="AG2710" t="s">
        <v>310</v>
      </c>
      <c r="AH2710">
        <f>SUM((MID(Dyno_Data[[#This Row],[Team]],4,5))+(Dyno_Data[[#This Row],[Match]]/100))</f>
        <v>2791.51</v>
      </c>
      <c r="AI2710" s="76">
        <f>ROUND(SUM(IF(Dyno_Data[[#This Row],[AcqCenter]]&gt;0,Dyno_Data[[#This Row],[Time]]-SUMIFS(Dyno_Data[Time],Dyno_Data[Team],Dyno_Data[[#This Row],[Team]],Dyno_Data[RecordType],"StartMatch",Dyno_Data[Match],Dyno_Data[[#This Row],[Match]]),0)*86400),0)</f>
        <v>0</v>
      </c>
    </row>
    <row r="2711" spans="1:35" x14ac:dyDescent="0.3">
      <c r="A2711">
        <v>2710</v>
      </c>
      <c r="B2711" t="s">
        <v>1315</v>
      </c>
      <c r="C2711">
        <v>51</v>
      </c>
      <c r="D2711" s="105">
        <v>45373.721249270835</v>
      </c>
      <c r="E2711" t="s">
        <v>312</v>
      </c>
      <c r="F2711" t="s">
        <v>1402</v>
      </c>
      <c r="G2711">
        <v>0</v>
      </c>
      <c r="H2711" t="s">
        <v>315</v>
      </c>
      <c r="I2711">
        <v>0</v>
      </c>
      <c r="J2711">
        <v>0</v>
      </c>
      <c r="K2711">
        <v>0</v>
      </c>
      <c r="L2711" t="s">
        <v>241</v>
      </c>
      <c r="M2711" t="s">
        <v>101</v>
      </c>
      <c r="N2711">
        <v>0</v>
      </c>
      <c r="O2711" t="s">
        <v>311</v>
      </c>
      <c r="P2711" t="s">
        <v>310</v>
      </c>
      <c r="Q2711" t="s">
        <v>310</v>
      </c>
      <c r="R2711" t="s">
        <v>310</v>
      </c>
      <c r="S2711">
        <v>9</v>
      </c>
      <c r="T2711" t="s">
        <v>310</v>
      </c>
      <c r="U2711">
        <v>9</v>
      </c>
      <c r="V2711">
        <v>9</v>
      </c>
      <c r="W2711">
        <v>0</v>
      </c>
      <c r="X2711">
        <v>0</v>
      </c>
      <c r="Y2711">
        <v>0</v>
      </c>
      <c r="Z2711">
        <v>0</v>
      </c>
      <c r="AA2711">
        <v>9</v>
      </c>
      <c r="AB2711">
        <v>9</v>
      </c>
      <c r="AC2711" t="s">
        <v>310</v>
      </c>
      <c r="AD2711">
        <v>9</v>
      </c>
      <c r="AE2711" t="s">
        <v>1392</v>
      </c>
      <c r="AF2711">
        <v>30000000</v>
      </c>
      <c r="AG2711" t="s">
        <v>310</v>
      </c>
      <c r="AH2711">
        <f>SUM((MID(Dyno_Data[[#This Row],[Team]],4,5))+(Dyno_Data[[#This Row],[Match]]/100))</f>
        <v>1511.51</v>
      </c>
      <c r="AI2711" s="76">
        <f>ROUND(SUM(IF(Dyno_Data[[#This Row],[AcqCenter]]&gt;0,Dyno_Data[[#This Row],[Time]]-SUMIFS(Dyno_Data[Time],Dyno_Data[Team],Dyno_Data[[#This Row],[Team]],Dyno_Data[RecordType],"StartMatch",Dyno_Data[Match],Dyno_Data[[#This Row],[Match]]),0)*86400),0)</f>
        <v>0</v>
      </c>
    </row>
    <row r="2712" spans="1:35" x14ac:dyDescent="0.3">
      <c r="A2712">
        <v>2711</v>
      </c>
      <c r="B2712" t="s">
        <v>1294</v>
      </c>
      <c r="C2712">
        <v>51</v>
      </c>
      <c r="D2712" s="105">
        <v>45373.721296064818</v>
      </c>
      <c r="E2712" t="s">
        <v>312</v>
      </c>
      <c r="F2712" t="s">
        <v>309</v>
      </c>
      <c r="G2712">
        <v>0</v>
      </c>
      <c r="H2712" t="s">
        <v>315</v>
      </c>
      <c r="I2712">
        <v>0</v>
      </c>
      <c r="J2712">
        <v>0</v>
      </c>
      <c r="K2712">
        <v>0</v>
      </c>
      <c r="L2712" t="s">
        <v>240</v>
      </c>
      <c r="M2712" t="s">
        <v>1398</v>
      </c>
      <c r="N2712">
        <v>1</v>
      </c>
      <c r="O2712" t="s">
        <v>1391</v>
      </c>
      <c r="P2712" t="s">
        <v>310</v>
      </c>
      <c r="Q2712" t="s">
        <v>310</v>
      </c>
      <c r="R2712" t="s">
        <v>310</v>
      </c>
      <c r="S2712">
        <v>9</v>
      </c>
      <c r="T2712" t="s">
        <v>310</v>
      </c>
      <c r="U2712">
        <v>9</v>
      </c>
      <c r="V2712">
        <v>9</v>
      </c>
      <c r="W2712">
        <v>0</v>
      </c>
      <c r="X2712">
        <v>0</v>
      </c>
      <c r="Y2712">
        <v>0</v>
      </c>
      <c r="Z2712">
        <v>0</v>
      </c>
      <c r="AA2712">
        <v>9</v>
      </c>
      <c r="AB2712">
        <v>9</v>
      </c>
      <c r="AC2712" t="s">
        <v>310</v>
      </c>
      <c r="AD2712">
        <v>9</v>
      </c>
      <c r="AE2712" t="s">
        <v>1418</v>
      </c>
      <c r="AF2712">
        <v>20000000</v>
      </c>
      <c r="AG2712" t="s">
        <v>310</v>
      </c>
      <c r="AH2712">
        <f>SUM((MID(Dyno_Data[[#This Row],[Team]],4,5))+(Dyno_Data[[#This Row],[Match]]/100))</f>
        <v>9076.51</v>
      </c>
      <c r="AI2712" s="76">
        <f>ROUND(SUM(IF(Dyno_Data[[#This Row],[AcqCenter]]&gt;0,Dyno_Data[[#This Row],[Time]]-SUMIFS(Dyno_Data[Time],Dyno_Data[Team],Dyno_Data[[#This Row],[Team]],Dyno_Data[RecordType],"StartMatch",Dyno_Data[Match],Dyno_Data[[#This Row],[Match]]),0)*86400),0)</f>
        <v>0</v>
      </c>
    </row>
    <row r="2713" spans="1:35" x14ac:dyDescent="0.3">
      <c r="A2713">
        <v>2712</v>
      </c>
      <c r="B2713" t="s">
        <v>364</v>
      </c>
      <c r="C2713">
        <v>51</v>
      </c>
      <c r="D2713" s="105">
        <v>45373.721305520834</v>
      </c>
      <c r="E2713" t="s">
        <v>312</v>
      </c>
      <c r="F2713" t="s">
        <v>1402</v>
      </c>
      <c r="G2713">
        <v>0</v>
      </c>
      <c r="H2713" t="s">
        <v>315</v>
      </c>
      <c r="I2713">
        <v>0</v>
      </c>
      <c r="J2713">
        <v>0</v>
      </c>
      <c r="K2713">
        <v>0</v>
      </c>
      <c r="L2713" t="s">
        <v>240</v>
      </c>
      <c r="M2713" t="s">
        <v>1398</v>
      </c>
      <c r="N2713">
        <v>0</v>
      </c>
      <c r="O2713" t="s">
        <v>1393</v>
      </c>
      <c r="P2713" t="s">
        <v>310</v>
      </c>
      <c r="Q2713" t="s">
        <v>310</v>
      </c>
      <c r="R2713" t="s">
        <v>310</v>
      </c>
      <c r="S2713">
        <v>9</v>
      </c>
      <c r="T2713" t="s">
        <v>310</v>
      </c>
      <c r="U2713">
        <v>9</v>
      </c>
      <c r="V2713">
        <v>9</v>
      </c>
      <c r="W2713">
        <v>0</v>
      </c>
      <c r="X2713">
        <v>0</v>
      </c>
      <c r="Y2713">
        <v>0</v>
      </c>
      <c r="Z2713">
        <v>0</v>
      </c>
      <c r="AA2713">
        <v>9</v>
      </c>
      <c r="AB2713">
        <v>9</v>
      </c>
      <c r="AC2713" t="s">
        <v>310</v>
      </c>
      <c r="AD2713">
        <v>9</v>
      </c>
      <c r="AE2713" t="s">
        <v>1394</v>
      </c>
      <c r="AF2713">
        <v>40000000</v>
      </c>
      <c r="AG2713" t="s">
        <v>310</v>
      </c>
      <c r="AH2713">
        <f>SUM((MID(Dyno_Data[[#This Row],[Team]],4,5))+(Dyno_Data[[#This Row],[Match]]/100))</f>
        <v>2791.51</v>
      </c>
      <c r="AI2713" s="76">
        <f>ROUND(SUM(IF(Dyno_Data[[#This Row],[AcqCenter]]&gt;0,Dyno_Data[[#This Row],[Time]]-SUMIFS(Dyno_Data[Time],Dyno_Data[Team],Dyno_Data[[#This Row],[Team]],Dyno_Data[RecordType],"StartMatch",Dyno_Data[Match],Dyno_Data[[#This Row],[Match]]),0)*86400),0)</f>
        <v>0</v>
      </c>
    </row>
    <row r="2714" spans="1:35" x14ac:dyDescent="0.3">
      <c r="A2714">
        <v>2713</v>
      </c>
      <c r="B2714" t="s">
        <v>1300</v>
      </c>
      <c r="C2714">
        <v>51</v>
      </c>
      <c r="D2714" s="105">
        <v>45373.721312881942</v>
      </c>
      <c r="E2714" t="s">
        <v>312</v>
      </c>
      <c r="F2714" t="s">
        <v>1402</v>
      </c>
      <c r="G2714">
        <v>0</v>
      </c>
      <c r="H2714" t="s">
        <v>315</v>
      </c>
      <c r="I2714">
        <v>0</v>
      </c>
      <c r="J2714">
        <v>0</v>
      </c>
      <c r="K2714">
        <v>0</v>
      </c>
      <c r="L2714" t="s">
        <v>241</v>
      </c>
      <c r="M2714" t="s">
        <v>1398</v>
      </c>
      <c r="N2714">
        <v>0</v>
      </c>
      <c r="O2714" t="s">
        <v>1395</v>
      </c>
      <c r="P2714" t="s">
        <v>310</v>
      </c>
      <c r="Q2714" t="s">
        <v>310</v>
      </c>
      <c r="R2714" t="s">
        <v>310</v>
      </c>
      <c r="S2714">
        <v>9</v>
      </c>
      <c r="T2714" t="s">
        <v>310</v>
      </c>
      <c r="U2714">
        <v>9</v>
      </c>
      <c r="V2714">
        <v>9</v>
      </c>
      <c r="W2714">
        <v>0</v>
      </c>
      <c r="X2714">
        <v>0</v>
      </c>
      <c r="Y2714">
        <v>0</v>
      </c>
      <c r="Z2714">
        <v>0</v>
      </c>
      <c r="AA2714">
        <v>9</v>
      </c>
      <c r="AB2714">
        <v>9</v>
      </c>
      <c r="AC2714" t="s">
        <v>310</v>
      </c>
      <c r="AD2714">
        <v>9</v>
      </c>
      <c r="AE2714" t="s">
        <v>1417</v>
      </c>
      <c r="AF2714">
        <v>70000000</v>
      </c>
      <c r="AG2714" t="s">
        <v>310</v>
      </c>
      <c r="AH2714">
        <f>SUM((MID(Dyno_Data[[#This Row],[Team]],4,5))+(Dyno_Data[[#This Row],[Match]]/100))</f>
        <v>3044.51</v>
      </c>
      <c r="AI2714" s="76">
        <f>ROUND(SUM(IF(Dyno_Data[[#This Row],[AcqCenter]]&gt;0,Dyno_Data[[#This Row],[Time]]-SUMIFS(Dyno_Data[Time],Dyno_Data[Team],Dyno_Data[[#This Row],[Team]],Dyno_Data[RecordType],"StartMatch",Dyno_Data[Match],Dyno_Data[[#This Row],[Match]]),0)*86400),0)</f>
        <v>0</v>
      </c>
    </row>
    <row r="2715" spans="1:35" x14ac:dyDescent="0.3">
      <c r="A2715">
        <v>2714</v>
      </c>
      <c r="B2715" t="s">
        <v>1275</v>
      </c>
      <c r="C2715">
        <v>51</v>
      </c>
      <c r="D2715" s="105">
        <v>45373.72137353009</v>
      </c>
      <c r="E2715" t="s">
        <v>1403</v>
      </c>
      <c r="F2715" t="s">
        <v>1402</v>
      </c>
      <c r="G2715">
        <v>0</v>
      </c>
      <c r="H2715" t="s">
        <v>310</v>
      </c>
      <c r="I2715">
        <v>0</v>
      </c>
      <c r="J2715">
        <v>0</v>
      </c>
      <c r="K2715">
        <v>0</v>
      </c>
      <c r="L2715" t="s">
        <v>310</v>
      </c>
      <c r="M2715" t="s">
        <v>310</v>
      </c>
      <c r="N2715">
        <v>0</v>
      </c>
      <c r="O2715" t="s">
        <v>319</v>
      </c>
      <c r="P2715" t="s">
        <v>310</v>
      </c>
      <c r="Q2715" t="s">
        <v>310</v>
      </c>
      <c r="R2715" t="s">
        <v>310</v>
      </c>
      <c r="S2715">
        <v>9</v>
      </c>
      <c r="T2715" t="s">
        <v>310</v>
      </c>
      <c r="U2715">
        <v>9</v>
      </c>
      <c r="V2715">
        <v>9</v>
      </c>
      <c r="W2715">
        <v>0</v>
      </c>
      <c r="X2715">
        <v>0</v>
      </c>
      <c r="Y2715">
        <v>0</v>
      </c>
      <c r="Z2715">
        <v>0</v>
      </c>
      <c r="AA2715">
        <v>9</v>
      </c>
      <c r="AB2715">
        <v>9</v>
      </c>
      <c r="AC2715" t="s">
        <v>310</v>
      </c>
      <c r="AD2715">
        <v>9</v>
      </c>
      <c r="AE2715" t="s">
        <v>1387</v>
      </c>
      <c r="AF2715">
        <v>70000000</v>
      </c>
      <c r="AG2715" t="s">
        <v>249</v>
      </c>
      <c r="AH2715">
        <f>SUM((MID(Dyno_Data[[#This Row],[Team]],4,5))+(Dyno_Data[[#This Row],[Match]]/100))</f>
        <v>1880.51</v>
      </c>
      <c r="AI2715" s="76">
        <f>ROUND(SUM(IF(Dyno_Data[[#This Row],[AcqCenter]]&gt;0,Dyno_Data[[#This Row],[Time]]-SUMIFS(Dyno_Data[Time],Dyno_Data[Team],Dyno_Data[[#This Row],[Team]],Dyno_Data[RecordType],"StartMatch",Dyno_Data[Match],Dyno_Data[[#This Row],[Match]]),0)*86400),0)</f>
        <v>0</v>
      </c>
    </row>
    <row r="2716" spans="1:35" x14ac:dyDescent="0.3">
      <c r="A2716">
        <v>2715</v>
      </c>
      <c r="B2716" t="s">
        <v>1294</v>
      </c>
      <c r="C2716">
        <v>51</v>
      </c>
      <c r="D2716" s="105">
        <v>45373.721385914352</v>
      </c>
      <c r="E2716" t="s">
        <v>312</v>
      </c>
      <c r="F2716" t="s">
        <v>309</v>
      </c>
      <c r="G2716">
        <v>0</v>
      </c>
      <c r="H2716" t="s">
        <v>315</v>
      </c>
      <c r="I2716">
        <v>0</v>
      </c>
      <c r="J2716">
        <v>0</v>
      </c>
      <c r="K2716">
        <v>0</v>
      </c>
      <c r="L2716" t="s">
        <v>240</v>
      </c>
      <c r="M2716" t="s">
        <v>101</v>
      </c>
      <c r="N2716">
        <v>0</v>
      </c>
      <c r="O2716" t="s">
        <v>1391</v>
      </c>
      <c r="P2716" t="s">
        <v>310</v>
      </c>
      <c r="Q2716" t="s">
        <v>310</v>
      </c>
      <c r="R2716" t="s">
        <v>310</v>
      </c>
      <c r="S2716">
        <v>9</v>
      </c>
      <c r="T2716" t="s">
        <v>310</v>
      </c>
      <c r="U2716">
        <v>9</v>
      </c>
      <c r="V2716">
        <v>9</v>
      </c>
      <c r="W2716">
        <v>0</v>
      </c>
      <c r="X2716">
        <v>0</v>
      </c>
      <c r="Y2716">
        <v>0</v>
      </c>
      <c r="Z2716">
        <v>0</v>
      </c>
      <c r="AA2716">
        <v>9</v>
      </c>
      <c r="AB2716">
        <v>9</v>
      </c>
      <c r="AC2716" t="s">
        <v>310</v>
      </c>
      <c r="AD2716">
        <v>9</v>
      </c>
      <c r="AE2716" t="s">
        <v>1418</v>
      </c>
      <c r="AF2716">
        <v>30000000</v>
      </c>
      <c r="AG2716" t="s">
        <v>310</v>
      </c>
      <c r="AH2716">
        <f>SUM((MID(Dyno_Data[[#This Row],[Team]],4,5))+(Dyno_Data[[#This Row],[Match]]/100))</f>
        <v>9076.51</v>
      </c>
      <c r="AI2716" s="76">
        <f>ROUND(SUM(IF(Dyno_Data[[#This Row],[AcqCenter]]&gt;0,Dyno_Data[[#This Row],[Time]]-SUMIFS(Dyno_Data[Time],Dyno_Data[Team],Dyno_Data[[#This Row],[Team]],Dyno_Data[RecordType],"StartMatch",Dyno_Data[Match],Dyno_Data[[#This Row],[Match]]),0)*86400),0)</f>
        <v>0</v>
      </c>
    </row>
    <row r="2717" spans="1:35" x14ac:dyDescent="0.3">
      <c r="A2717">
        <v>2716</v>
      </c>
      <c r="B2717" t="s">
        <v>1294</v>
      </c>
      <c r="C2717">
        <v>51</v>
      </c>
      <c r="D2717" s="105">
        <v>45373.721457060186</v>
      </c>
      <c r="E2717" t="s">
        <v>312</v>
      </c>
      <c r="F2717" t="s">
        <v>309</v>
      </c>
      <c r="G2717">
        <v>0</v>
      </c>
      <c r="H2717" t="s">
        <v>315</v>
      </c>
      <c r="I2717">
        <v>0</v>
      </c>
      <c r="J2717">
        <v>0</v>
      </c>
      <c r="K2717">
        <v>0</v>
      </c>
      <c r="L2717" t="s">
        <v>240</v>
      </c>
      <c r="M2717" t="s">
        <v>1398</v>
      </c>
      <c r="N2717">
        <v>1</v>
      </c>
      <c r="O2717" t="s">
        <v>1391</v>
      </c>
      <c r="P2717" t="s">
        <v>310</v>
      </c>
      <c r="Q2717" t="s">
        <v>310</v>
      </c>
      <c r="R2717" t="s">
        <v>310</v>
      </c>
      <c r="S2717">
        <v>9</v>
      </c>
      <c r="T2717" t="s">
        <v>310</v>
      </c>
      <c r="U2717">
        <v>9</v>
      </c>
      <c r="V2717">
        <v>9</v>
      </c>
      <c r="W2717">
        <v>0</v>
      </c>
      <c r="X2717">
        <v>0</v>
      </c>
      <c r="Y2717">
        <v>0</v>
      </c>
      <c r="Z2717">
        <v>0</v>
      </c>
      <c r="AA2717">
        <v>9</v>
      </c>
      <c r="AB2717">
        <v>9</v>
      </c>
      <c r="AC2717" t="s">
        <v>310</v>
      </c>
      <c r="AD2717">
        <v>9</v>
      </c>
      <c r="AE2717" t="s">
        <v>1418</v>
      </c>
      <c r="AF2717">
        <v>40000000</v>
      </c>
      <c r="AG2717" t="s">
        <v>310</v>
      </c>
      <c r="AH2717">
        <f>SUM((MID(Dyno_Data[[#This Row],[Team]],4,5))+(Dyno_Data[[#This Row],[Match]]/100))</f>
        <v>9076.51</v>
      </c>
      <c r="AI2717" s="76">
        <f>ROUND(SUM(IF(Dyno_Data[[#This Row],[AcqCenter]]&gt;0,Dyno_Data[[#This Row],[Time]]-SUMIFS(Dyno_Data[Time],Dyno_Data[Team],Dyno_Data[[#This Row],[Team]],Dyno_Data[RecordType],"StartMatch",Dyno_Data[Match],Dyno_Data[[#This Row],[Match]]),0)*86400),0)</f>
        <v>0</v>
      </c>
    </row>
    <row r="2718" spans="1:35" x14ac:dyDescent="0.3">
      <c r="A2718">
        <v>2717</v>
      </c>
      <c r="B2718" t="s">
        <v>1315</v>
      </c>
      <c r="C2718">
        <v>51</v>
      </c>
      <c r="D2718" s="105">
        <v>45373.721472337966</v>
      </c>
      <c r="E2718" t="s">
        <v>312</v>
      </c>
      <c r="F2718" t="s">
        <v>1402</v>
      </c>
      <c r="G2718">
        <v>0</v>
      </c>
      <c r="H2718" t="s">
        <v>315</v>
      </c>
      <c r="I2718">
        <v>0</v>
      </c>
      <c r="J2718">
        <v>0</v>
      </c>
      <c r="K2718">
        <v>0</v>
      </c>
      <c r="L2718" t="s">
        <v>241</v>
      </c>
      <c r="M2718" t="s">
        <v>101</v>
      </c>
      <c r="N2718">
        <v>0</v>
      </c>
      <c r="O2718" t="s">
        <v>311</v>
      </c>
      <c r="P2718" t="s">
        <v>310</v>
      </c>
      <c r="Q2718" t="s">
        <v>310</v>
      </c>
      <c r="R2718" t="s">
        <v>310</v>
      </c>
      <c r="S2718">
        <v>9</v>
      </c>
      <c r="T2718" t="s">
        <v>310</v>
      </c>
      <c r="U2718">
        <v>9</v>
      </c>
      <c r="V2718">
        <v>9</v>
      </c>
      <c r="W2718">
        <v>0</v>
      </c>
      <c r="X2718">
        <v>0</v>
      </c>
      <c r="Y2718">
        <v>0</v>
      </c>
      <c r="Z2718">
        <v>0</v>
      </c>
      <c r="AA2718">
        <v>9</v>
      </c>
      <c r="AB2718">
        <v>9</v>
      </c>
      <c r="AC2718" t="s">
        <v>310</v>
      </c>
      <c r="AD2718">
        <v>9</v>
      </c>
      <c r="AE2718" t="s">
        <v>1392</v>
      </c>
      <c r="AF2718">
        <v>40000000</v>
      </c>
      <c r="AG2718" t="s">
        <v>310</v>
      </c>
      <c r="AH2718">
        <f>SUM((MID(Dyno_Data[[#This Row],[Team]],4,5))+(Dyno_Data[[#This Row],[Match]]/100))</f>
        <v>1511.51</v>
      </c>
      <c r="AI2718" s="76">
        <f>ROUND(SUM(IF(Dyno_Data[[#This Row],[AcqCenter]]&gt;0,Dyno_Data[[#This Row],[Time]]-SUMIFS(Dyno_Data[Time],Dyno_Data[Team],Dyno_Data[[#This Row],[Team]],Dyno_Data[RecordType],"StartMatch",Dyno_Data[Match],Dyno_Data[[#This Row],[Match]]),0)*86400),0)</f>
        <v>0</v>
      </c>
    </row>
    <row r="2719" spans="1:35" x14ac:dyDescent="0.3">
      <c r="A2719">
        <v>2718</v>
      </c>
      <c r="B2719" t="s">
        <v>1300</v>
      </c>
      <c r="C2719">
        <v>51</v>
      </c>
      <c r="D2719" s="105">
        <v>45373.721482488429</v>
      </c>
      <c r="E2719" t="s">
        <v>312</v>
      </c>
      <c r="F2719" t="s">
        <v>1402</v>
      </c>
      <c r="G2719">
        <v>0</v>
      </c>
      <c r="H2719" t="s">
        <v>315</v>
      </c>
      <c r="I2719">
        <v>0</v>
      </c>
      <c r="J2719">
        <v>0</v>
      </c>
      <c r="K2719">
        <v>0</v>
      </c>
      <c r="L2719" t="s">
        <v>241</v>
      </c>
      <c r="M2719" t="s">
        <v>1398</v>
      </c>
      <c r="N2719">
        <v>1</v>
      </c>
      <c r="O2719" t="s">
        <v>1395</v>
      </c>
      <c r="P2719" t="s">
        <v>310</v>
      </c>
      <c r="Q2719" t="s">
        <v>310</v>
      </c>
      <c r="R2719" t="s">
        <v>310</v>
      </c>
      <c r="S2719">
        <v>9</v>
      </c>
      <c r="T2719" t="s">
        <v>310</v>
      </c>
      <c r="U2719">
        <v>9</v>
      </c>
      <c r="V2719">
        <v>9</v>
      </c>
      <c r="W2719">
        <v>0</v>
      </c>
      <c r="X2719">
        <v>0</v>
      </c>
      <c r="Y2719">
        <v>0</v>
      </c>
      <c r="Z2719">
        <v>0</v>
      </c>
      <c r="AA2719">
        <v>9</v>
      </c>
      <c r="AB2719">
        <v>9</v>
      </c>
      <c r="AC2719" t="s">
        <v>310</v>
      </c>
      <c r="AD2719">
        <v>9</v>
      </c>
      <c r="AE2719" t="s">
        <v>1417</v>
      </c>
      <c r="AF2719">
        <v>80000000</v>
      </c>
      <c r="AG2719" t="s">
        <v>310</v>
      </c>
      <c r="AH2719">
        <f>SUM((MID(Dyno_Data[[#This Row],[Team]],4,5))+(Dyno_Data[[#This Row],[Match]]/100))</f>
        <v>3044.51</v>
      </c>
      <c r="AI2719" s="76">
        <f>ROUND(SUM(IF(Dyno_Data[[#This Row],[AcqCenter]]&gt;0,Dyno_Data[[#This Row],[Time]]-SUMIFS(Dyno_Data[Time],Dyno_Data[Team],Dyno_Data[[#This Row],[Team]],Dyno_Data[RecordType],"StartMatch",Dyno_Data[Match],Dyno_Data[[#This Row],[Match]]),0)*86400),0)</f>
        <v>0</v>
      </c>
    </row>
    <row r="2720" spans="1:35" x14ac:dyDescent="0.3">
      <c r="A2720">
        <v>2719</v>
      </c>
      <c r="B2720" t="s">
        <v>1315</v>
      </c>
      <c r="C2720">
        <v>51</v>
      </c>
      <c r="D2720" s="105">
        <v>45373.721504085646</v>
      </c>
      <c r="E2720" t="s">
        <v>312</v>
      </c>
      <c r="F2720" t="s">
        <v>1402</v>
      </c>
      <c r="G2720">
        <v>0</v>
      </c>
      <c r="H2720" t="s">
        <v>315</v>
      </c>
      <c r="I2720">
        <v>0</v>
      </c>
      <c r="J2720">
        <v>0</v>
      </c>
      <c r="K2720">
        <v>0</v>
      </c>
      <c r="L2720" t="s">
        <v>241</v>
      </c>
      <c r="M2720" t="s">
        <v>101</v>
      </c>
      <c r="N2720">
        <v>0</v>
      </c>
      <c r="O2720" t="s">
        <v>311</v>
      </c>
      <c r="P2720" t="s">
        <v>310</v>
      </c>
      <c r="Q2720" t="s">
        <v>310</v>
      </c>
      <c r="R2720" t="s">
        <v>310</v>
      </c>
      <c r="S2720">
        <v>9</v>
      </c>
      <c r="T2720" t="s">
        <v>310</v>
      </c>
      <c r="U2720">
        <v>9</v>
      </c>
      <c r="V2720">
        <v>9</v>
      </c>
      <c r="W2720">
        <v>0</v>
      </c>
      <c r="X2720">
        <v>0</v>
      </c>
      <c r="Y2720">
        <v>0</v>
      </c>
      <c r="Z2720">
        <v>0</v>
      </c>
      <c r="AA2720">
        <v>9</v>
      </c>
      <c r="AB2720">
        <v>9</v>
      </c>
      <c r="AC2720" t="s">
        <v>310</v>
      </c>
      <c r="AD2720">
        <v>9</v>
      </c>
      <c r="AE2720" t="s">
        <v>1392</v>
      </c>
      <c r="AF2720">
        <v>50000000</v>
      </c>
      <c r="AG2720" t="s">
        <v>310</v>
      </c>
      <c r="AH2720">
        <f>SUM((MID(Dyno_Data[[#This Row],[Team]],4,5))+(Dyno_Data[[#This Row],[Match]]/100))</f>
        <v>1511.51</v>
      </c>
      <c r="AI2720" s="76">
        <f>ROUND(SUM(IF(Dyno_Data[[#This Row],[AcqCenter]]&gt;0,Dyno_Data[[#This Row],[Time]]-SUMIFS(Dyno_Data[Time],Dyno_Data[Team],Dyno_Data[[#This Row],[Team]],Dyno_Data[RecordType],"StartMatch",Dyno_Data[Match],Dyno_Data[[#This Row],[Match]]),0)*86400),0)</f>
        <v>0</v>
      </c>
    </row>
    <row r="2721" spans="1:35" x14ac:dyDescent="0.3">
      <c r="A2721">
        <v>2720</v>
      </c>
      <c r="B2721" t="s">
        <v>364</v>
      </c>
      <c r="C2721">
        <v>51</v>
      </c>
      <c r="D2721" s="105">
        <v>45373.72152515046</v>
      </c>
      <c r="E2721" t="s">
        <v>312</v>
      </c>
      <c r="F2721" t="s">
        <v>1402</v>
      </c>
      <c r="G2721">
        <v>0</v>
      </c>
      <c r="H2721" t="s">
        <v>315</v>
      </c>
      <c r="I2721">
        <v>0</v>
      </c>
      <c r="J2721">
        <v>0</v>
      </c>
      <c r="K2721">
        <v>0</v>
      </c>
      <c r="L2721" t="s">
        <v>240</v>
      </c>
      <c r="M2721" t="s">
        <v>1398</v>
      </c>
      <c r="N2721">
        <v>1</v>
      </c>
      <c r="O2721" t="s">
        <v>1393</v>
      </c>
      <c r="P2721" t="s">
        <v>310</v>
      </c>
      <c r="Q2721" t="s">
        <v>310</v>
      </c>
      <c r="R2721" t="s">
        <v>310</v>
      </c>
      <c r="S2721">
        <v>9</v>
      </c>
      <c r="T2721" t="s">
        <v>310</v>
      </c>
      <c r="U2721">
        <v>9</v>
      </c>
      <c r="V2721">
        <v>9</v>
      </c>
      <c r="W2721">
        <v>0</v>
      </c>
      <c r="X2721">
        <v>0</v>
      </c>
      <c r="Y2721">
        <v>0</v>
      </c>
      <c r="Z2721">
        <v>0</v>
      </c>
      <c r="AA2721">
        <v>9</v>
      </c>
      <c r="AB2721">
        <v>9</v>
      </c>
      <c r="AC2721" t="s">
        <v>310</v>
      </c>
      <c r="AD2721">
        <v>9</v>
      </c>
      <c r="AE2721" t="s">
        <v>1394</v>
      </c>
      <c r="AF2721">
        <v>50000000</v>
      </c>
      <c r="AG2721" t="s">
        <v>310</v>
      </c>
      <c r="AH2721">
        <f>SUM((MID(Dyno_Data[[#This Row],[Team]],4,5))+(Dyno_Data[[#This Row],[Match]]/100))</f>
        <v>2791.51</v>
      </c>
      <c r="AI2721" s="76">
        <f>ROUND(SUM(IF(Dyno_Data[[#This Row],[AcqCenter]]&gt;0,Dyno_Data[[#This Row],[Time]]-SUMIFS(Dyno_Data[Time],Dyno_Data[Team],Dyno_Data[[#This Row],[Team]],Dyno_Data[RecordType],"StartMatch",Dyno_Data[Match],Dyno_Data[[#This Row],[Match]]),0)*86400),0)</f>
        <v>0</v>
      </c>
    </row>
    <row r="2722" spans="1:35" x14ac:dyDescent="0.3">
      <c r="A2722">
        <v>2721</v>
      </c>
      <c r="B2722" t="s">
        <v>1300</v>
      </c>
      <c r="C2722">
        <v>51</v>
      </c>
      <c r="D2722" s="105">
        <v>45373.721540312501</v>
      </c>
      <c r="E2722" t="s">
        <v>312</v>
      </c>
      <c r="F2722" t="s">
        <v>1402</v>
      </c>
      <c r="G2722">
        <v>0</v>
      </c>
      <c r="H2722" t="s">
        <v>315</v>
      </c>
      <c r="I2722">
        <v>0</v>
      </c>
      <c r="J2722">
        <v>0</v>
      </c>
      <c r="K2722">
        <v>0</v>
      </c>
      <c r="L2722" t="s">
        <v>241</v>
      </c>
      <c r="M2722" t="s">
        <v>1398</v>
      </c>
      <c r="N2722">
        <v>0</v>
      </c>
      <c r="O2722" t="s">
        <v>1395</v>
      </c>
      <c r="P2722" t="s">
        <v>310</v>
      </c>
      <c r="Q2722" t="s">
        <v>310</v>
      </c>
      <c r="R2722" t="s">
        <v>310</v>
      </c>
      <c r="S2722">
        <v>9</v>
      </c>
      <c r="T2722" t="s">
        <v>310</v>
      </c>
      <c r="U2722">
        <v>9</v>
      </c>
      <c r="V2722">
        <v>9</v>
      </c>
      <c r="W2722">
        <v>0</v>
      </c>
      <c r="X2722">
        <v>0</v>
      </c>
      <c r="Y2722">
        <v>0</v>
      </c>
      <c r="Z2722">
        <v>0</v>
      </c>
      <c r="AA2722">
        <v>9</v>
      </c>
      <c r="AB2722">
        <v>9</v>
      </c>
      <c r="AC2722" t="s">
        <v>310</v>
      </c>
      <c r="AD2722">
        <v>9</v>
      </c>
      <c r="AE2722" t="s">
        <v>1417</v>
      </c>
      <c r="AF2722">
        <v>90000000</v>
      </c>
      <c r="AG2722" t="s">
        <v>310</v>
      </c>
      <c r="AH2722">
        <f>SUM((MID(Dyno_Data[[#This Row],[Team]],4,5))+(Dyno_Data[[#This Row],[Match]]/100))</f>
        <v>3044.51</v>
      </c>
      <c r="AI2722" s="76">
        <f>ROUND(SUM(IF(Dyno_Data[[#This Row],[AcqCenter]]&gt;0,Dyno_Data[[#This Row],[Time]]-SUMIFS(Dyno_Data[Time],Dyno_Data[Team],Dyno_Data[[#This Row],[Team]],Dyno_Data[RecordType],"StartMatch",Dyno_Data[Match],Dyno_Data[[#This Row],[Match]]),0)*86400),0)</f>
        <v>0</v>
      </c>
    </row>
    <row r="2723" spans="1:35" x14ac:dyDescent="0.3">
      <c r="A2723">
        <v>2722</v>
      </c>
      <c r="B2723" t="s">
        <v>364</v>
      </c>
      <c r="C2723">
        <v>51</v>
      </c>
      <c r="D2723" s="105">
        <v>45373.721609293978</v>
      </c>
      <c r="E2723" t="s">
        <v>312</v>
      </c>
      <c r="F2723" t="s">
        <v>1402</v>
      </c>
      <c r="G2723">
        <v>0</v>
      </c>
      <c r="H2723" t="s">
        <v>315</v>
      </c>
      <c r="I2723">
        <v>0</v>
      </c>
      <c r="J2723">
        <v>0</v>
      </c>
      <c r="K2723">
        <v>0</v>
      </c>
      <c r="L2723" t="s">
        <v>240</v>
      </c>
      <c r="M2723" t="s">
        <v>1398</v>
      </c>
      <c r="N2723">
        <v>0</v>
      </c>
      <c r="O2723" t="s">
        <v>1393</v>
      </c>
      <c r="P2723" t="s">
        <v>310</v>
      </c>
      <c r="Q2723" t="s">
        <v>310</v>
      </c>
      <c r="R2723" t="s">
        <v>310</v>
      </c>
      <c r="S2723">
        <v>9</v>
      </c>
      <c r="T2723" t="s">
        <v>310</v>
      </c>
      <c r="U2723">
        <v>9</v>
      </c>
      <c r="V2723">
        <v>9</v>
      </c>
      <c r="W2723">
        <v>0</v>
      </c>
      <c r="X2723">
        <v>0</v>
      </c>
      <c r="Y2723">
        <v>0</v>
      </c>
      <c r="Z2723">
        <v>0</v>
      </c>
      <c r="AA2723">
        <v>9</v>
      </c>
      <c r="AB2723">
        <v>9</v>
      </c>
      <c r="AC2723" t="s">
        <v>310</v>
      </c>
      <c r="AD2723">
        <v>9</v>
      </c>
      <c r="AE2723" t="s">
        <v>1394</v>
      </c>
      <c r="AF2723">
        <v>60000000</v>
      </c>
      <c r="AG2723" t="s">
        <v>310</v>
      </c>
      <c r="AH2723">
        <f>SUM((MID(Dyno_Data[[#This Row],[Team]],4,5))+(Dyno_Data[[#This Row],[Match]]/100))</f>
        <v>2791.51</v>
      </c>
      <c r="AI2723" s="76">
        <f>ROUND(SUM(IF(Dyno_Data[[#This Row],[AcqCenter]]&gt;0,Dyno_Data[[#This Row],[Time]]-SUMIFS(Dyno_Data[Time],Dyno_Data[Team],Dyno_Data[[#This Row],[Team]],Dyno_Data[RecordType],"StartMatch",Dyno_Data[Match],Dyno_Data[[#This Row],[Match]]),0)*86400),0)</f>
        <v>0</v>
      </c>
    </row>
    <row r="2724" spans="1:35" x14ac:dyDescent="0.3">
      <c r="A2724">
        <v>2723</v>
      </c>
      <c r="B2724" t="s">
        <v>1315</v>
      </c>
      <c r="C2724">
        <v>51</v>
      </c>
      <c r="D2724" s="105">
        <v>45373.721647650462</v>
      </c>
      <c r="E2724" t="s">
        <v>312</v>
      </c>
      <c r="F2724" t="s">
        <v>1402</v>
      </c>
      <c r="G2724">
        <v>0</v>
      </c>
      <c r="H2724" t="s">
        <v>315</v>
      </c>
      <c r="I2724">
        <v>0</v>
      </c>
      <c r="J2724">
        <v>0</v>
      </c>
      <c r="K2724">
        <v>0</v>
      </c>
      <c r="L2724" t="s">
        <v>240</v>
      </c>
      <c r="M2724" t="s">
        <v>1398</v>
      </c>
      <c r="N2724">
        <v>0</v>
      </c>
      <c r="O2724" t="s">
        <v>311</v>
      </c>
      <c r="P2724" t="s">
        <v>310</v>
      </c>
      <c r="Q2724" t="s">
        <v>310</v>
      </c>
      <c r="R2724" t="s">
        <v>310</v>
      </c>
      <c r="S2724">
        <v>9</v>
      </c>
      <c r="T2724" t="s">
        <v>310</v>
      </c>
      <c r="U2724">
        <v>9</v>
      </c>
      <c r="V2724">
        <v>9</v>
      </c>
      <c r="W2724">
        <v>0</v>
      </c>
      <c r="X2724">
        <v>0</v>
      </c>
      <c r="Y2724">
        <v>0</v>
      </c>
      <c r="Z2724">
        <v>0</v>
      </c>
      <c r="AA2724">
        <v>9</v>
      </c>
      <c r="AB2724">
        <v>9</v>
      </c>
      <c r="AC2724" t="s">
        <v>310</v>
      </c>
      <c r="AD2724">
        <v>9</v>
      </c>
      <c r="AE2724" t="s">
        <v>1392</v>
      </c>
      <c r="AF2724">
        <v>60000000</v>
      </c>
      <c r="AG2724" t="s">
        <v>310</v>
      </c>
      <c r="AH2724">
        <f>SUM((MID(Dyno_Data[[#This Row],[Team]],4,5))+(Dyno_Data[[#This Row],[Match]]/100))</f>
        <v>1511.51</v>
      </c>
      <c r="AI2724" s="76">
        <f>ROUND(SUM(IF(Dyno_Data[[#This Row],[AcqCenter]]&gt;0,Dyno_Data[[#This Row],[Time]]-SUMIFS(Dyno_Data[Time],Dyno_Data[Team],Dyno_Data[[#This Row],[Team]],Dyno_Data[RecordType],"StartMatch",Dyno_Data[Match],Dyno_Data[[#This Row],[Match]]),0)*86400),0)</f>
        <v>0</v>
      </c>
    </row>
    <row r="2725" spans="1:35" x14ac:dyDescent="0.3">
      <c r="A2725">
        <v>2724</v>
      </c>
      <c r="B2725" t="s">
        <v>364</v>
      </c>
      <c r="C2725">
        <v>51</v>
      </c>
      <c r="D2725" s="105">
        <v>45373.721765428243</v>
      </c>
      <c r="E2725" t="s">
        <v>312</v>
      </c>
      <c r="F2725" t="s">
        <v>1402</v>
      </c>
      <c r="G2725">
        <v>0</v>
      </c>
      <c r="H2725" t="s">
        <v>315</v>
      </c>
      <c r="I2725">
        <v>0</v>
      </c>
      <c r="J2725">
        <v>0</v>
      </c>
      <c r="K2725">
        <v>0</v>
      </c>
      <c r="L2725" t="s">
        <v>240</v>
      </c>
      <c r="M2725" t="s">
        <v>1398</v>
      </c>
      <c r="N2725">
        <v>0</v>
      </c>
      <c r="O2725" t="s">
        <v>1393</v>
      </c>
      <c r="P2725" t="s">
        <v>310</v>
      </c>
      <c r="Q2725" t="s">
        <v>310</v>
      </c>
      <c r="R2725" t="s">
        <v>310</v>
      </c>
      <c r="S2725">
        <v>9</v>
      </c>
      <c r="T2725" t="s">
        <v>310</v>
      </c>
      <c r="U2725">
        <v>9</v>
      </c>
      <c r="V2725">
        <v>9</v>
      </c>
      <c r="W2725">
        <v>0</v>
      </c>
      <c r="X2725">
        <v>0</v>
      </c>
      <c r="Y2725">
        <v>0</v>
      </c>
      <c r="Z2725">
        <v>0</v>
      </c>
      <c r="AA2725">
        <v>9</v>
      </c>
      <c r="AB2725">
        <v>9</v>
      </c>
      <c r="AC2725" t="s">
        <v>310</v>
      </c>
      <c r="AD2725">
        <v>9</v>
      </c>
      <c r="AE2725" t="s">
        <v>1394</v>
      </c>
      <c r="AF2725">
        <v>70000000</v>
      </c>
      <c r="AG2725" t="s">
        <v>310</v>
      </c>
      <c r="AH2725">
        <f>SUM((MID(Dyno_Data[[#This Row],[Team]],4,5))+(Dyno_Data[[#This Row],[Match]]/100))</f>
        <v>2791.51</v>
      </c>
      <c r="AI2725" s="76">
        <f>ROUND(SUM(IF(Dyno_Data[[#This Row],[AcqCenter]]&gt;0,Dyno_Data[[#This Row],[Time]]-SUMIFS(Dyno_Data[Time],Dyno_Data[Team],Dyno_Data[[#This Row],[Team]],Dyno_Data[RecordType],"StartMatch",Dyno_Data[Match],Dyno_Data[[#This Row],[Match]]),0)*86400),0)</f>
        <v>0</v>
      </c>
    </row>
    <row r="2726" spans="1:35" x14ac:dyDescent="0.3">
      <c r="A2726">
        <v>2725</v>
      </c>
      <c r="B2726" t="s">
        <v>1300</v>
      </c>
      <c r="C2726">
        <v>51</v>
      </c>
      <c r="D2726" s="105">
        <v>45373.721855208336</v>
      </c>
      <c r="E2726" t="s">
        <v>312</v>
      </c>
      <c r="F2726" t="s">
        <v>1402</v>
      </c>
      <c r="G2726">
        <v>0</v>
      </c>
      <c r="H2726" t="s">
        <v>315</v>
      </c>
      <c r="I2726">
        <v>0</v>
      </c>
      <c r="J2726">
        <v>0</v>
      </c>
      <c r="K2726">
        <v>0</v>
      </c>
      <c r="L2726" t="s">
        <v>241</v>
      </c>
      <c r="M2726" t="s">
        <v>1398</v>
      </c>
      <c r="N2726">
        <v>1</v>
      </c>
      <c r="O2726" t="s">
        <v>1395</v>
      </c>
      <c r="P2726" t="s">
        <v>310</v>
      </c>
      <c r="Q2726" t="s">
        <v>310</v>
      </c>
      <c r="R2726" t="s">
        <v>310</v>
      </c>
      <c r="S2726">
        <v>9</v>
      </c>
      <c r="T2726" t="s">
        <v>310</v>
      </c>
      <c r="U2726">
        <v>9</v>
      </c>
      <c r="V2726">
        <v>9</v>
      </c>
      <c r="W2726">
        <v>0</v>
      </c>
      <c r="X2726">
        <v>0</v>
      </c>
      <c r="Y2726">
        <v>0</v>
      </c>
      <c r="Z2726">
        <v>0</v>
      </c>
      <c r="AA2726">
        <v>9</v>
      </c>
      <c r="AB2726">
        <v>9</v>
      </c>
      <c r="AC2726" t="s">
        <v>310</v>
      </c>
      <c r="AD2726">
        <v>9</v>
      </c>
      <c r="AE2726" t="s">
        <v>1417</v>
      </c>
      <c r="AF2726">
        <v>100000000</v>
      </c>
      <c r="AG2726" t="s">
        <v>310</v>
      </c>
      <c r="AH2726">
        <f>SUM((MID(Dyno_Data[[#This Row],[Team]],4,5))+(Dyno_Data[[#This Row],[Match]]/100))</f>
        <v>3044.51</v>
      </c>
      <c r="AI2726" s="76">
        <f>ROUND(SUM(IF(Dyno_Data[[#This Row],[AcqCenter]]&gt;0,Dyno_Data[[#This Row],[Time]]-SUMIFS(Dyno_Data[Time],Dyno_Data[Team],Dyno_Data[[#This Row],[Team]],Dyno_Data[RecordType],"StartMatch",Dyno_Data[Match],Dyno_Data[[#This Row],[Match]]),0)*86400),0)</f>
        <v>0</v>
      </c>
    </row>
    <row r="2727" spans="1:35" x14ac:dyDescent="0.3">
      <c r="A2727">
        <v>2726</v>
      </c>
      <c r="B2727" t="s">
        <v>364</v>
      </c>
      <c r="C2727">
        <v>51</v>
      </c>
      <c r="D2727" s="105">
        <v>45373.721941400465</v>
      </c>
      <c r="E2727" t="s">
        <v>312</v>
      </c>
      <c r="F2727" t="s">
        <v>1402</v>
      </c>
      <c r="G2727">
        <v>0</v>
      </c>
      <c r="H2727" t="s">
        <v>315</v>
      </c>
      <c r="I2727">
        <v>0</v>
      </c>
      <c r="J2727">
        <v>0</v>
      </c>
      <c r="K2727">
        <v>0</v>
      </c>
      <c r="L2727" t="s">
        <v>240</v>
      </c>
      <c r="M2727" t="s">
        <v>1398</v>
      </c>
      <c r="N2727">
        <v>0</v>
      </c>
      <c r="O2727" t="s">
        <v>1393</v>
      </c>
      <c r="P2727" t="s">
        <v>310</v>
      </c>
      <c r="Q2727" t="s">
        <v>310</v>
      </c>
      <c r="R2727" t="s">
        <v>310</v>
      </c>
      <c r="S2727">
        <v>9</v>
      </c>
      <c r="T2727" t="s">
        <v>310</v>
      </c>
      <c r="U2727">
        <v>9</v>
      </c>
      <c r="V2727">
        <v>9</v>
      </c>
      <c r="W2727">
        <v>0</v>
      </c>
      <c r="X2727">
        <v>0</v>
      </c>
      <c r="Y2727">
        <v>0</v>
      </c>
      <c r="Z2727">
        <v>0</v>
      </c>
      <c r="AA2727">
        <v>9</v>
      </c>
      <c r="AB2727">
        <v>9</v>
      </c>
      <c r="AC2727" t="s">
        <v>310</v>
      </c>
      <c r="AD2727">
        <v>9</v>
      </c>
      <c r="AE2727" t="s">
        <v>1394</v>
      </c>
      <c r="AF2727">
        <v>80000000</v>
      </c>
      <c r="AG2727" t="s">
        <v>310</v>
      </c>
      <c r="AH2727">
        <f>SUM((MID(Dyno_Data[[#This Row],[Team]],4,5))+(Dyno_Data[[#This Row],[Match]]/100))</f>
        <v>2791.51</v>
      </c>
      <c r="AI2727" s="76">
        <f>ROUND(SUM(IF(Dyno_Data[[#This Row],[AcqCenter]]&gt;0,Dyno_Data[[#This Row],[Time]]-SUMIFS(Dyno_Data[Time],Dyno_Data[Team],Dyno_Data[[#This Row],[Team]],Dyno_Data[RecordType],"StartMatch",Dyno_Data[Match],Dyno_Data[[#This Row],[Match]]),0)*86400),0)</f>
        <v>0</v>
      </c>
    </row>
    <row r="2728" spans="1:35" x14ac:dyDescent="0.3">
      <c r="A2728">
        <v>2727</v>
      </c>
      <c r="B2728" t="s">
        <v>1315</v>
      </c>
      <c r="C2728">
        <v>51</v>
      </c>
      <c r="D2728" s="105">
        <v>45373.721942824071</v>
      </c>
      <c r="E2728" t="s">
        <v>312</v>
      </c>
      <c r="F2728" t="s">
        <v>1402</v>
      </c>
      <c r="G2728">
        <v>0</v>
      </c>
      <c r="H2728" t="s">
        <v>315</v>
      </c>
      <c r="I2728">
        <v>0</v>
      </c>
      <c r="J2728">
        <v>0</v>
      </c>
      <c r="K2728">
        <v>0</v>
      </c>
      <c r="L2728" t="s">
        <v>241</v>
      </c>
      <c r="M2728" t="s">
        <v>101</v>
      </c>
      <c r="N2728">
        <v>0</v>
      </c>
      <c r="O2728" t="s">
        <v>311</v>
      </c>
      <c r="P2728" t="s">
        <v>310</v>
      </c>
      <c r="Q2728" t="s">
        <v>310</v>
      </c>
      <c r="R2728" t="s">
        <v>310</v>
      </c>
      <c r="S2728">
        <v>9</v>
      </c>
      <c r="T2728" t="s">
        <v>310</v>
      </c>
      <c r="U2728">
        <v>9</v>
      </c>
      <c r="V2728">
        <v>9</v>
      </c>
      <c r="W2728">
        <v>0</v>
      </c>
      <c r="X2728">
        <v>0</v>
      </c>
      <c r="Y2728">
        <v>0</v>
      </c>
      <c r="Z2728">
        <v>0</v>
      </c>
      <c r="AA2728">
        <v>9</v>
      </c>
      <c r="AB2728">
        <v>9</v>
      </c>
      <c r="AC2728" t="s">
        <v>310</v>
      </c>
      <c r="AD2728">
        <v>9</v>
      </c>
      <c r="AE2728" t="s">
        <v>1392</v>
      </c>
      <c r="AF2728">
        <v>70000000</v>
      </c>
      <c r="AG2728" t="s">
        <v>310</v>
      </c>
      <c r="AH2728">
        <f>SUM((MID(Dyno_Data[[#This Row],[Team]],4,5))+(Dyno_Data[[#This Row],[Match]]/100))</f>
        <v>1511.51</v>
      </c>
      <c r="AI2728" s="76">
        <f>ROUND(SUM(IF(Dyno_Data[[#This Row],[AcqCenter]]&gt;0,Dyno_Data[[#This Row],[Time]]-SUMIFS(Dyno_Data[Time],Dyno_Data[Team],Dyno_Data[[#This Row],[Team]],Dyno_Data[RecordType],"StartMatch",Dyno_Data[Match],Dyno_Data[[#This Row],[Match]]),0)*86400),0)</f>
        <v>0</v>
      </c>
    </row>
    <row r="2729" spans="1:35" x14ac:dyDescent="0.3">
      <c r="A2729">
        <v>2728</v>
      </c>
      <c r="B2729" t="s">
        <v>364</v>
      </c>
      <c r="C2729">
        <v>51</v>
      </c>
      <c r="D2729" s="105">
        <v>45373.722025428244</v>
      </c>
      <c r="E2729" t="s">
        <v>312</v>
      </c>
      <c r="F2729" t="s">
        <v>1402</v>
      </c>
      <c r="G2729">
        <v>0</v>
      </c>
      <c r="H2729" t="s">
        <v>315</v>
      </c>
      <c r="I2729">
        <v>0</v>
      </c>
      <c r="J2729">
        <v>0</v>
      </c>
      <c r="K2729">
        <v>0</v>
      </c>
      <c r="L2729" t="s">
        <v>240</v>
      </c>
      <c r="M2729" t="s">
        <v>1398</v>
      </c>
      <c r="N2729">
        <v>0</v>
      </c>
      <c r="O2729" t="s">
        <v>1393</v>
      </c>
      <c r="P2729" t="s">
        <v>310</v>
      </c>
      <c r="Q2729" t="s">
        <v>310</v>
      </c>
      <c r="R2729" t="s">
        <v>310</v>
      </c>
      <c r="S2729">
        <v>9</v>
      </c>
      <c r="T2729" t="s">
        <v>310</v>
      </c>
      <c r="U2729">
        <v>9</v>
      </c>
      <c r="V2729">
        <v>9</v>
      </c>
      <c r="W2729">
        <v>0</v>
      </c>
      <c r="X2729">
        <v>0</v>
      </c>
      <c r="Y2729">
        <v>0</v>
      </c>
      <c r="Z2729">
        <v>0</v>
      </c>
      <c r="AA2729">
        <v>9</v>
      </c>
      <c r="AB2729">
        <v>9</v>
      </c>
      <c r="AC2729" t="s">
        <v>310</v>
      </c>
      <c r="AD2729">
        <v>9</v>
      </c>
      <c r="AE2729" t="s">
        <v>1394</v>
      </c>
      <c r="AF2729">
        <v>90000000</v>
      </c>
      <c r="AG2729" t="s">
        <v>310</v>
      </c>
      <c r="AH2729">
        <f>SUM((MID(Dyno_Data[[#This Row],[Team]],4,5))+(Dyno_Data[[#This Row],[Match]]/100))</f>
        <v>2791.51</v>
      </c>
      <c r="AI2729" s="76">
        <f>ROUND(SUM(IF(Dyno_Data[[#This Row],[AcqCenter]]&gt;0,Dyno_Data[[#This Row],[Time]]-SUMIFS(Dyno_Data[Time],Dyno_Data[Team],Dyno_Data[[#This Row],[Team]],Dyno_Data[RecordType],"StartMatch",Dyno_Data[Match],Dyno_Data[[#This Row],[Match]]),0)*86400),0)</f>
        <v>0</v>
      </c>
    </row>
    <row r="2730" spans="1:35" x14ac:dyDescent="0.3">
      <c r="A2730">
        <v>2729</v>
      </c>
      <c r="B2730" t="s">
        <v>1300</v>
      </c>
      <c r="C2730">
        <v>51</v>
      </c>
      <c r="D2730" s="105">
        <v>45373.722053506943</v>
      </c>
      <c r="E2730" t="s">
        <v>312</v>
      </c>
      <c r="F2730" t="s">
        <v>1402</v>
      </c>
      <c r="G2730">
        <v>0</v>
      </c>
      <c r="H2730" t="s">
        <v>315</v>
      </c>
      <c r="I2730">
        <v>0</v>
      </c>
      <c r="J2730">
        <v>0</v>
      </c>
      <c r="K2730">
        <v>0</v>
      </c>
      <c r="L2730" t="s">
        <v>241</v>
      </c>
      <c r="M2730" t="s">
        <v>1398</v>
      </c>
      <c r="N2730">
        <v>1</v>
      </c>
      <c r="O2730" t="s">
        <v>1395</v>
      </c>
      <c r="P2730" t="s">
        <v>310</v>
      </c>
      <c r="Q2730" t="s">
        <v>310</v>
      </c>
      <c r="R2730" t="s">
        <v>310</v>
      </c>
      <c r="S2730">
        <v>9</v>
      </c>
      <c r="T2730" t="s">
        <v>310</v>
      </c>
      <c r="U2730">
        <v>9</v>
      </c>
      <c r="V2730">
        <v>9</v>
      </c>
      <c r="W2730">
        <v>0</v>
      </c>
      <c r="X2730">
        <v>0</v>
      </c>
      <c r="Y2730">
        <v>0</v>
      </c>
      <c r="Z2730">
        <v>0</v>
      </c>
      <c r="AA2730">
        <v>9</v>
      </c>
      <c r="AB2730">
        <v>9</v>
      </c>
      <c r="AC2730" t="s">
        <v>310</v>
      </c>
      <c r="AD2730">
        <v>9</v>
      </c>
      <c r="AE2730" t="s">
        <v>1417</v>
      </c>
      <c r="AF2730">
        <v>110000000</v>
      </c>
      <c r="AG2730" t="s">
        <v>310</v>
      </c>
      <c r="AH2730">
        <f>SUM((MID(Dyno_Data[[#This Row],[Team]],4,5))+(Dyno_Data[[#This Row],[Match]]/100))</f>
        <v>3044.51</v>
      </c>
      <c r="AI2730" s="76">
        <f>ROUND(SUM(IF(Dyno_Data[[#This Row],[AcqCenter]]&gt;0,Dyno_Data[[#This Row],[Time]]-SUMIFS(Dyno_Data[Time],Dyno_Data[Team],Dyno_Data[[#This Row],[Team]],Dyno_Data[RecordType],"StartMatch",Dyno_Data[Match],Dyno_Data[[#This Row],[Match]]),0)*86400),0)</f>
        <v>0</v>
      </c>
    </row>
    <row r="2731" spans="1:35" x14ac:dyDescent="0.3">
      <c r="A2731">
        <v>2730</v>
      </c>
      <c r="B2731" t="s">
        <v>1315</v>
      </c>
      <c r="C2731">
        <v>51</v>
      </c>
      <c r="D2731" s="105">
        <v>45373.7221446412</v>
      </c>
      <c r="E2731" t="s">
        <v>312</v>
      </c>
      <c r="F2731" t="s">
        <v>1402</v>
      </c>
      <c r="G2731">
        <v>0</v>
      </c>
      <c r="H2731" t="s">
        <v>315</v>
      </c>
      <c r="I2731">
        <v>0</v>
      </c>
      <c r="J2731">
        <v>0</v>
      </c>
      <c r="K2731">
        <v>0</v>
      </c>
      <c r="L2731" t="s">
        <v>241</v>
      </c>
      <c r="M2731" t="s">
        <v>1398</v>
      </c>
      <c r="N2731">
        <v>0</v>
      </c>
      <c r="O2731" t="s">
        <v>311</v>
      </c>
      <c r="P2731" t="s">
        <v>310</v>
      </c>
      <c r="Q2731" t="s">
        <v>310</v>
      </c>
      <c r="R2731" t="s">
        <v>310</v>
      </c>
      <c r="S2731">
        <v>9</v>
      </c>
      <c r="T2731" t="s">
        <v>310</v>
      </c>
      <c r="U2731">
        <v>9</v>
      </c>
      <c r="V2731">
        <v>9</v>
      </c>
      <c r="W2731">
        <v>0</v>
      </c>
      <c r="X2731">
        <v>0</v>
      </c>
      <c r="Y2731">
        <v>0</v>
      </c>
      <c r="Z2731">
        <v>0</v>
      </c>
      <c r="AA2731">
        <v>9</v>
      </c>
      <c r="AB2731">
        <v>9</v>
      </c>
      <c r="AC2731" t="s">
        <v>310</v>
      </c>
      <c r="AD2731">
        <v>9</v>
      </c>
      <c r="AE2731" t="s">
        <v>1392</v>
      </c>
      <c r="AF2731">
        <v>80000000</v>
      </c>
      <c r="AG2731" t="s">
        <v>310</v>
      </c>
      <c r="AH2731">
        <f>SUM((MID(Dyno_Data[[#This Row],[Team]],4,5))+(Dyno_Data[[#This Row],[Match]]/100))</f>
        <v>1511.51</v>
      </c>
      <c r="AI2731" s="76">
        <f>ROUND(SUM(IF(Dyno_Data[[#This Row],[AcqCenter]]&gt;0,Dyno_Data[[#This Row],[Time]]-SUMIFS(Dyno_Data[Time],Dyno_Data[Team],Dyno_Data[[#This Row],[Team]],Dyno_Data[RecordType],"StartMatch",Dyno_Data[Match],Dyno_Data[[#This Row],[Match]]),0)*86400),0)</f>
        <v>0</v>
      </c>
    </row>
    <row r="2732" spans="1:35" x14ac:dyDescent="0.3">
      <c r="A2732">
        <v>2734</v>
      </c>
      <c r="B2732" t="s">
        <v>1294</v>
      </c>
      <c r="C2732">
        <v>51</v>
      </c>
      <c r="D2732" s="105">
        <v>45373.722177280091</v>
      </c>
      <c r="E2732" t="s">
        <v>308</v>
      </c>
      <c r="F2732" t="s">
        <v>309</v>
      </c>
      <c r="G2732">
        <v>0</v>
      </c>
      <c r="H2732" t="s">
        <v>310</v>
      </c>
      <c r="I2732">
        <v>0</v>
      </c>
      <c r="J2732">
        <v>0</v>
      </c>
      <c r="K2732">
        <v>0</v>
      </c>
      <c r="L2732" t="s">
        <v>310</v>
      </c>
      <c r="M2732" t="s">
        <v>310</v>
      </c>
      <c r="N2732">
        <v>0</v>
      </c>
      <c r="O2732" t="s">
        <v>1391</v>
      </c>
      <c r="P2732" t="s">
        <v>310</v>
      </c>
      <c r="Q2732" t="s">
        <v>310</v>
      </c>
      <c r="R2732" t="s">
        <v>310</v>
      </c>
      <c r="S2732">
        <v>9</v>
      </c>
      <c r="T2732" t="s">
        <v>310</v>
      </c>
      <c r="U2732">
        <v>9</v>
      </c>
      <c r="V2732">
        <v>9</v>
      </c>
      <c r="W2732">
        <v>0</v>
      </c>
      <c r="X2732">
        <v>0</v>
      </c>
      <c r="Y2732">
        <v>0</v>
      </c>
      <c r="Z2732">
        <v>0</v>
      </c>
      <c r="AA2732">
        <v>9</v>
      </c>
      <c r="AB2732">
        <v>9</v>
      </c>
      <c r="AC2732" t="s">
        <v>310</v>
      </c>
      <c r="AD2732">
        <v>9</v>
      </c>
      <c r="AE2732" t="s">
        <v>1418</v>
      </c>
      <c r="AF2732">
        <v>40000000</v>
      </c>
      <c r="AG2732" t="s">
        <v>310</v>
      </c>
      <c r="AH2732">
        <f>SUM((MID(Dyno_Data[[#This Row],[Team]],4,5))+(Dyno_Data[[#This Row],[Match]]/100))</f>
        <v>9076.51</v>
      </c>
      <c r="AI2732" s="76">
        <f>ROUND(SUM(IF(Dyno_Data[[#This Row],[AcqCenter]]&gt;0,Dyno_Data[[#This Row],[Time]]-SUMIFS(Dyno_Data[Time],Dyno_Data[Team],Dyno_Data[[#This Row],[Team]],Dyno_Data[RecordType],"StartMatch",Dyno_Data[Match],Dyno_Data[[#This Row],[Match]]),0)*86400),0)</f>
        <v>0</v>
      </c>
    </row>
    <row r="2733" spans="1:35" x14ac:dyDescent="0.3">
      <c r="A2733">
        <v>2731</v>
      </c>
      <c r="B2733" t="s">
        <v>364</v>
      </c>
      <c r="C2733">
        <v>51</v>
      </c>
      <c r="D2733" s="105">
        <v>45373.722185995372</v>
      </c>
      <c r="E2733" t="s">
        <v>312</v>
      </c>
      <c r="F2733" t="s">
        <v>1402</v>
      </c>
      <c r="G2733">
        <v>0</v>
      </c>
      <c r="H2733" t="s">
        <v>315</v>
      </c>
      <c r="I2733">
        <v>0</v>
      </c>
      <c r="J2733">
        <v>0</v>
      </c>
      <c r="K2733">
        <v>0</v>
      </c>
      <c r="L2733" t="s">
        <v>240</v>
      </c>
      <c r="M2733" t="s">
        <v>1398</v>
      </c>
      <c r="N2733">
        <v>0</v>
      </c>
      <c r="O2733" t="s">
        <v>1393</v>
      </c>
      <c r="P2733" t="s">
        <v>310</v>
      </c>
      <c r="Q2733" t="s">
        <v>310</v>
      </c>
      <c r="R2733" t="s">
        <v>310</v>
      </c>
      <c r="S2733">
        <v>9</v>
      </c>
      <c r="T2733" t="s">
        <v>310</v>
      </c>
      <c r="U2733">
        <v>9</v>
      </c>
      <c r="V2733">
        <v>9</v>
      </c>
      <c r="W2733">
        <v>0</v>
      </c>
      <c r="X2733">
        <v>0</v>
      </c>
      <c r="Y2733">
        <v>0</v>
      </c>
      <c r="Z2733">
        <v>0</v>
      </c>
      <c r="AA2733">
        <v>9</v>
      </c>
      <c r="AB2733">
        <v>9</v>
      </c>
      <c r="AC2733" t="s">
        <v>310</v>
      </c>
      <c r="AD2733">
        <v>9</v>
      </c>
      <c r="AE2733" t="s">
        <v>1394</v>
      </c>
      <c r="AF2733">
        <v>100000000</v>
      </c>
      <c r="AG2733" t="s">
        <v>310</v>
      </c>
      <c r="AH2733">
        <f>SUM((MID(Dyno_Data[[#This Row],[Team]],4,5))+(Dyno_Data[[#This Row],[Match]]/100))</f>
        <v>2791.51</v>
      </c>
      <c r="AI2733" s="76">
        <f>ROUND(SUM(IF(Dyno_Data[[#This Row],[AcqCenter]]&gt;0,Dyno_Data[[#This Row],[Time]]-SUMIFS(Dyno_Data[Time],Dyno_Data[Team],Dyno_Data[[#This Row],[Team]],Dyno_Data[RecordType],"StartMatch",Dyno_Data[Match],Dyno_Data[[#This Row],[Match]]),0)*86400),0)</f>
        <v>0</v>
      </c>
    </row>
    <row r="2734" spans="1:35" x14ac:dyDescent="0.3">
      <c r="A2734">
        <v>2732</v>
      </c>
      <c r="B2734" t="s">
        <v>1300</v>
      </c>
      <c r="C2734">
        <v>51</v>
      </c>
      <c r="D2734" s="105">
        <v>45373.722186030092</v>
      </c>
      <c r="E2734" t="s">
        <v>312</v>
      </c>
      <c r="F2734" t="s">
        <v>1402</v>
      </c>
      <c r="G2734">
        <v>0</v>
      </c>
      <c r="H2734" t="s">
        <v>315</v>
      </c>
      <c r="I2734">
        <v>0</v>
      </c>
      <c r="J2734">
        <v>0</v>
      </c>
      <c r="K2734">
        <v>0</v>
      </c>
      <c r="L2734" t="s">
        <v>241</v>
      </c>
      <c r="M2734" t="s">
        <v>1398</v>
      </c>
      <c r="N2734">
        <v>0</v>
      </c>
      <c r="O2734" t="s">
        <v>1395</v>
      </c>
      <c r="P2734" t="s">
        <v>310</v>
      </c>
      <c r="Q2734" t="s">
        <v>310</v>
      </c>
      <c r="R2734" t="s">
        <v>310</v>
      </c>
      <c r="S2734">
        <v>9</v>
      </c>
      <c r="T2734" t="s">
        <v>310</v>
      </c>
      <c r="U2734">
        <v>9</v>
      </c>
      <c r="V2734">
        <v>9</v>
      </c>
      <c r="W2734">
        <v>0</v>
      </c>
      <c r="X2734">
        <v>0</v>
      </c>
      <c r="Y2734">
        <v>0</v>
      </c>
      <c r="Z2734">
        <v>0</v>
      </c>
      <c r="AA2734">
        <v>9</v>
      </c>
      <c r="AB2734">
        <v>9</v>
      </c>
      <c r="AC2734" t="s">
        <v>310</v>
      </c>
      <c r="AD2734">
        <v>9</v>
      </c>
      <c r="AE2734" t="s">
        <v>1417</v>
      </c>
      <c r="AF2734">
        <v>120000000</v>
      </c>
      <c r="AG2734" t="s">
        <v>310</v>
      </c>
      <c r="AH2734">
        <f>SUM((MID(Dyno_Data[[#This Row],[Team]],4,5))+(Dyno_Data[[#This Row],[Match]]/100))</f>
        <v>3044.51</v>
      </c>
      <c r="AI2734" s="76">
        <f>ROUND(SUM(IF(Dyno_Data[[#This Row],[AcqCenter]]&gt;0,Dyno_Data[[#This Row],[Time]]-SUMIFS(Dyno_Data[Time],Dyno_Data[Team],Dyno_Data[[#This Row],[Team]],Dyno_Data[RecordType],"StartMatch",Dyno_Data[Match],Dyno_Data[[#This Row],[Match]]),0)*86400),0)</f>
        <v>0</v>
      </c>
    </row>
    <row r="2735" spans="1:35" x14ac:dyDescent="0.3">
      <c r="A2735">
        <v>2733</v>
      </c>
      <c r="B2735" t="s">
        <v>1294</v>
      </c>
      <c r="C2735">
        <v>51</v>
      </c>
      <c r="D2735" s="105">
        <v>45373.72235517361</v>
      </c>
      <c r="E2735" t="s">
        <v>1403</v>
      </c>
      <c r="F2735" t="s">
        <v>309</v>
      </c>
      <c r="G2735">
        <v>0</v>
      </c>
      <c r="H2735" t="s">
        <v>310</v>
      </c>
      <c r="I2735">
        <v>0</v>
      </c>
      <c r="J2735">
        <v>0</v>
      </c>
      <c r="K2735">
        <v>0</v>
      </c>
      <c r="L2735" t="s">
        <v>310</v>
      </c>
      <c r="M2735" t="s">
        <v>310</v>
      </c>
      <c r="N2735">
        <v>0</v>
      </c>
      <c r="O2735" t="s">
        <v>1391</v>
      </c>
      <c r="P2735" t="s">
        <v>310</v>
      </c>
      <c r="Q2735" t="s">
        <v>310</v>
      </c>
      <c r="R2735" t="s">
        <v>310</v>
      </c>
      <c r="S2735">
        <v>9</v>
      </c>
      <c r="T2735" t="s">
        <v>310</v>
      </c>
      <c r="U2735">
        <v>9</v>
      </c>
      <c r="V2735">
        <v>9</v>
      </c>
      <c r="W2735">
        <v>0</v>
      </c>
      <c r="X2735">
        <v>0</v>
      </c>
      <c r="Y2735">
        <v>0</v>
      </c>
      <c r="Z2735">
        <v>0</v>
      </c>
      <c r="AA2735">
        <v>9</v>
      </c>
      <c r="AB2735">
        <v>9</v>
      </c>
      <c r="AC2735" t="s">
        <v>310</v>
      </c>
      <c r="AD2735">
        <v>9</v>
      </c>
      <c r="AE2735" t="s">
        <v>1418</v>
      </c>
      <c r="AF2735">
        <v>120000000</v>
      </c>
      <c r="AG2735" t="s">
        <v>249</v>
      </c>
      <c r="AH2735">
        <f>SUM((MID(Dyno_Data[[#This Row],[Team]],4,5))+(Dyno_Data[[#This Row],[Match]]/100))</f>
        <v>9076.51</v>
      </c>
      <c r="AI2735" s="76">
        <f>ROUND(SUM(IF(Dyno_Data[[#This Row],[AcqCenter]]&gt;0,Dyno_Data[[#This Row],[Time]]-SUMIFS(Dyno_Data[Time],Dyno_Data[Team],Dyno_Data[[#This Row],[Team]],Dyno_Data[RecordType],"StartMatch",Dyno_Data[Match],Dyno_Data[[#This Row],[Match]]),0)*86400),0)</f>
        <v>0</v>
      </c>
    </row>
    <row r="2736" spans="1:35" x14ac:dyDescent="0.3">
      <c r="A2736">
        <v>2735</v>
      </c>
      <c r="B2736" t="s">
        <v>1294</v>
      </c>
      <c r="C2736">
        <v>51</v>
      </c>
      <c r="D2736" s="105">
        <v>45373.722385613422</v>
      </c>
      <c r="E2736" t="s">
        <v>314</v>
      </c>
      <c r="F2736" t="s">
        <v>309</v>
      </c>
      <c r="G2736">
        <v>1</v>
      </c>
      <c r="H2736" t="s">
        <v>310</v>
      </c>
      <c r="I2736">
        <v>0</v>
      </c>
      <c r="J2736">
        <v>0</v>
      </c>
      <c r="K2736">
        <v>0</v>
      </c>
      <c r="L2736" t="s">
        <v>310</v>
      </c>
      <c r="M2736" t="s">
        <v>310</v>
      </c>
      <c r="N2736">
        <v>0</v>
      </c>
      <c r="O2736" t="s">
        <v>1391</v>
      </c>
      <c r="P2736" t="s">
        <v>320</v>
      </c>
      <c r="Q2736" t="s">
        <v>1399</v>
      </c>
      <c r="R2736" t="s">
        <v>310</v>
      </c>
      <c r="S2736">
        <v>9</v>
      </c>
      <c r="T2736" t="s">
        <v>310</v>
      </c>
      <c r="U2736">
        <v>9</v>
      </c>
      <c r="V2736">
        <v>9</v>
      </c>
      <c r="W2736">
        <v>0</v>
      </c>
      <c r="X2736">
        <v>0</v>
      </c>
      <c r="Y2736">
        <v>0</v>
      </c>
      <c r="Z2736">
        <v>0</v>
      </c>
      <c r="AA2736">
        <v>9</v>
      </c>
      <c r="AB2736">
        <v>9</v>
      </c>
      <c r="AC2736" t="s">
        <v>310</v>
      </c>
      <c r="AD2736">
        <v>9</v>
      </c>
      <c r="AE2736" t="s">
        <v>1418</v>
      </c>
      <c r="AF2736">
        <v>40000000</v>
      </c>
      <c r="AG2736" t="s">
        <v>310</v>
      </c>
      <c r="AH2736">
        <f>SUM((MID(Dyno_Data[[#This Row],[Team]],4,5))+(Dyno_Data[[#This Row],[Match]]/100))</f>
        <v>9076.51</v>
      </c>
      <c r="AI2736" s="76">
        <f>ROUND(SUM(IF(Dyno_Data[[#This Row],[AcqCenter]]&gt;0,Dyno_Data[[#This Row],[Time]]-SUMIFS(Dyno_Data[Time],Dyno_Data[Team],Dyno_Data[[#This Row],[Team]],Dyno_Data[RecordType],"StartMatch",Dyno_Data[Match],Dyno_Data[[#This Row],[Match]]),0)*86400),0)</f>
        <v>0</v>
      </c>
    </row>
    <row r="2737" spans="1:35" x14ac:dyDescent="0.3">
      <c r="A2737">
        <v>2736</v>
      </c>
      <c r="B2737" t="s">
        <v>1315</v>
      </c>
      <c r="C2737">
        <v>51</v>
      </c>
      <c r="D2737" s="105">
        <v>45373.723759224536</v>
      </c>
      <c r="E2737" t="s">
        <v>316</v>
      </c>
      <c r="F2737" t="s">
        <v>317</v>
      </c>
      <c r="G2737">
        <v>1</v>
      </c>
      <c r="H2737" t="s">
        <v>310</v>
      </c>
      <c r="I2737">
        <v>0</v>
      </c>
      <c r="J2737">
        <v>0</v>
      </c>
      <c r="K2737">
        <v>0</v>
      </c>
      <c r="L2737" t="s">
        <v>310</v>
      </c>
      <c r="M2737" t="s">
        <v>310</v>
      </c>
      <c r="N2737">
        <v>0</v>
      </c>
      <c r="O2737" t="s">
        <v>311</v>
      </c>
      <c r="P2737" t="s">
        <v>1401</v>
      </c>
      <c r="Q2737" t="s">
        <v>1400</v>
      </c>
      <c r="R2737" t="s">
        <v>1405</v>
      </c>
      <c r="S2737">
        <v>1</v>
      </c>
      <c r="T2737" t="s">
        <v>1406</v>
      </c>
      <c r="U2737">
        <v>0</v>
      </c>
      <c r="V2737">
        <v>0</v>
      </c>
      <c r="W2737">
        <v>11.936545499999999</v>
      </c>
      <c r="X2737">
        <v>27.3291732</v>
      </c>
      <c r="Y2737">
        <v>17.981054999999998</v>
      </c>
      <c r="Z2737">
        <v>71.186097599999997</v>
      </c>
      <c r="AA2737">
        <v>0</v>
      </c>
      <c r="AB2737">
        <v>0</v>
      </c>
      <c r="AC2737" t="s">
        <v>174</v>
      </c>
      <c r="AD2737">
        <v>9</v>
      </c>
      <c r="AE2737" t="s">
        <v>1392</v>
      </c>
      <c r="AF2737">
        <v>80000000</v>
      </c>
      <c r="AG2737" t="s">
        <v>310</v>
      </c>
      <c r="AH2737">
        <f>SUM((MID(Dyno_Data[[#This Row],[Team]],4,5))+(Dyno_Data[[#This Row],[Match]]/100))</f>
        <v>1511.51</v>
      </c>
      <c r="AI2737" s="76">
        <f>ROUND(SUM(IF(Dyno_Data[[#This Row],[AcqCenter]]&gt;0,Dyno_Data[[#This Row],[Time]]-SUMIFS(Dyno_Data[Time],Dyno_Data[Team],Dyno_Data[[#This Row],[Team]],Dyno_Data[RecordType],"StartMatch",Dyno_Data[Match],Dyno_Data[[#This Row],[Match]]),0)*86400),0)</f>
        <v>0</v>
      </c>
    </row>
    <row r="2738" spans="1:35" x14ac:dyDescent="0.3">
      <c r="A2738">
        <v>2737</v>
      </c>
      <c r="B2738" t="s">
        <v>1294</v>
      </c>
      <c r="C2738">
        <v>51</v>
      </c>
      <c r="D2738" s="105">
        <v>45373.723759409724</v>
      </c>
      <c r="E2738" t="s">
        <v>316</v>
      </c>
      <c r="F2738" t="s">
        <v>317</v>
      </c>
      <c r="G2738">
        <v>1</v>
      </c>
      <c r="H2738" t="s">
        <v>310</v>
      </c>
      <c r="I2738">
        <v>0</v>
      </c>
      <c r="J2738">
        <v>0</v>
      </c>
      <c r="K2738">
        <v>0</v>
      </c>
      <c r="L2738" t="s">
        <v>310</v>
      </c>
      <c r="M2738" t="s">
        <v>310</v>
      </c>
      <c r="N2738">
        <v>0</v>
      </c>
      <c r="O2738" t="s">
        <v>1391</v>
      </c>
      <c r="P2738" t="s">
        <v>320</v>
      </c>
      <c r="Q2738" t="s">
        <v>1399</v>
      </c>
      <c r="R2738" t="s">
        <v>1404</v>
      </c>
      <c r="S2738">
        <v>0</v>
      </c>
      <c r="T2738" t="s">
        <v>105</v>
      </c>
      <c r="U2738">
        <v>9</v>
      </c>
      <c r="V2738">
        <v>9</v>
      </c>
      <c r="W2738">
        <v>0</v>
      </c>
      <c r="X2738">
        <v>0</v>
      </c>
      <c r="Y2738">
        <v>1.2437593999999998</v>
      </c>
      <c r="Z2738">
        <v>0</v>
      </c>
      <c r="AA2738">
        <v>0</v>
      </c>
      <c r="AB2738">
        <v>0</v>
      </c>
      <c r="AC2738" t="s">
        <v>174</v>
      </c>
      <c r="AD2738">
        <v>0</v>
      </c>
      <c r="AE2738" t="s">
        <v>1418</v>
      </c>
      <c r="AF2738">
        <v>40000000</v>
      </c>
      <c r="AG2738" t="s">
        <v>310</v>
      </c>
      <c r="AH2738">
        <f>SUM((MID(Dyno_Data[[#This Row],[Team]],4,5))+(Dyno_Data[[#This Row],[Match]]/100))</f>
        <v>9076.51</v>
      </c>
      <c r="AI2738" s="76">
        <f>ROUND(SUM(IF(Dyno_Data[[#This Row],[AcqCenter]]&gt;0,Dyno_Data[[#This Row],[Time]]-SUMIFS(Dyno_Data[Time],Dyno_Data[Team],Dyno_Data[[#This Row],[Team]],Dyno_Data[RecordType],"StartMatch",Dyno_Data[Match],Dyno_Data[[#This Row],[Match]]),0)*86400),0)</f>
        <v>0</v>
      </c>
    </row>
    <row r="2739" spans="1:35" x14ac:dyDescent="0.3">
      <c r="A2739">
        <v>2738</v>
      </c>
      <c r="B2739" t="s">
        <v>1275</v>
      </c>
      <c r="C2739">
        <v>51</v>
      </c>
      <c r="D2739" s="105">
        <v>45373.723759525463</v>
      </c>
      <c r="E2739" t="s">
        <v>316</v>
      </c>
      <c r="F2739" t="s">
        <v>317</v>
      </c>
      <c r="G2739">
        <v>1</v>
      </c>
      <c r="H2739" t="s">
        <v>310</v>
      </c>
      <c r="I2739">
        <v>0</v>
      </c>
      <c r="J2739">
        <v>0</v>
      </c>
      <c r="K2739">
        <v>0</v>
      </c>
      <c r="L2739" t="s">
        <v>310</v>
      </c>
      <c r="M2739" t="s">
        <v>310</v>
      </c>
      <c r="N2739">
        <v>0</v>
      </c>
      <c r="O2739" t="s">
        <v>319</v>
      </c>
      <c r="P2739" t="s">
        <v>101</v>
      </c>
      <c r="Q2739" t="s">
        <v>1400</v>
      </c>
      <c r="R2739" t="s">
        <v>321</v>
      </c>
      <c r="S2739">
        <v>0</v>
      </c>
      <c r="T2739" t="s">
        <v>105</v>
      </c>
      <c r="U2739">
        <v>9</v>
      </c>
      <c r="V2739">
        <v>9</v>
      </c>
      <c r="W2739">
        <v>0</v>
      </c>
      <c r="X2739">
        <v>20.312870699999998</v>
      </c>
      <c r="Y2739">
        <v>8.1776208999999991</v>
      </c>
      <c r="Z2739">
        <v>108.44502229999999</v>
      </c>
      <c r="AA2739">
        <v>0</v>
      </c>
      <c r="AB2739">
        <v>0</v>
      </c>
      <c r="AC2739" t="s">
        <v>174</v>
      </c>
      <c r="AD2739">
        <v>9</v>
      </c>
      <c r="AE2739" t="s">
        <v>1387</v>
      </c>
      <c r="AF2739">
        <v>0</v>
      </c>
      <c r="AG2739" t="s">
        <v>310</v>
      </c>
      <c r="AH2739">
        <f>SUM((MID(Dyno_Data[[#This Row],[Team]],4,5))+(Dyno_Data[[#This Row],[Match]]/100))</f>
        <v>1880.51</v>
      </c>
      <c r="AI2739" s="76">
        <f>ROUND(SUM(IF(Dyno_Data[[#This Row],[AcqCenter]]&gt;0,Dyno_Data[[#This Row],[Time]]-SUMIFS(Dyno_Data[Time],Dyno_Data[Team],Dyno_Data[[#This Row],[Team]],Dyno_Data[RecordType],"StartMatch",Dyno_Data[Match],Dyno_Data[[#This Row],[Match]]),0)*86400),0)</f>
        <v>0</v>
      </c>
    </row>
    <row r="2740" spans="1:35" x14ac:dyDescent="0.3">
      <c r="A2740">
        <v>2739</v>
      </c>
      <c r="B2740" t="s">
        <v>364</v>
      </c>
      <c r="C2740">
        <v>51</v>
      </c>
      <c r="D2740" s="105">
        <v>45373.723759606481</v>
      </c>
      <c r="E2740" t="s">
        <v>316</v>
      </c>
      <c r="F2740" t="s">
        <v>317</v>
      </c>
      <c r="G2740">
        <v>1</v>
      </c>
      <c r="H2740" t="s">
        <v>310</v>
      </c>
      <c r="I2740">
        <v>0</v>
      </c>
      <c r="J2740">
        <v>0</v>
      </c>
      <c r="K2740">
        <v>0</v>
      </c>
      <c r="L2740" t="s">
        <v>310</v>
      </c>
      <c r="M2740" t="s">
        <v>310</v>
      </c>
      <c r="N2740">
        <v>0</v>
      </c>
      <c r="O2740" t="s">
        <v>1393</v>
      </c>
      <c r="P2740" t="s">
        <v>1401</v>
      </c>
      <c r="Q2740" t="s">
        <v>1400</v>
      </c>
      <c r="R2740" t="s">
        <v>1405</v>
      </c>
      <c r="S2740">
        <v>1</v>
      </c>
      <c r="T2740" t="s">
        <v>1407</v>
      </c>
      <c r="U2740">
        <v>1</v>
      </c>
      <c r="V2740">
        <v>0</v>
      </c>
      <c r="W2740">
        <v>3.1108807000000001</v>
      </c>
      <c r="X2740">
        <v>29.9758228</v>
      </c>
      <c r="Y2740">
        <v>19.600413700000001</v>
      </c>
      <c r="Z2740">
        <v>74.988194499999992</v>
      </c>
      <c r="AA2740">
        <v>0</v>
      </c>
      <c r="AB2740">
        <v>0</v>
      </c>
      <c r="AC2740" t="s">
        <v>174</v>
      </c>
      <c r="AD2740">
        <v>9</v>
      </c>
      <c r="AE2740" t="s">
        <v>1394</v>
      </c>
      <c r="AF2740">
        <v>100000000</v>
      </c>
      <c r="AG2740" t="s">
        <v>310</v>
      </c>
      <c r="AH2740">
        <f>SUM((MID(Dyno_Data[[#This Row],[Team]],4,5))+(Dyno_Data[[#This Row],[Match]]/100))</f>
        <v>2791.51</v>
      </c>
      <c r="AI2740" s="76">
        <f>ROUND(SUM(IF(Dyno_Data[[#This Row],[AcqCenter]]&gt;0,Dyno_Data[[#This Row],[Time]]-SUMIFS(Dyno_Data[Time],Dyno_Data[Team],Dyno_Data[[#This Row],[Team]],Dyno_Data[RecordType],"StartMatch",Dyno_Data[Match],Dyno_Data[[#This Row],[Match]]),0)*86400),0)</f>
        <v>0</v>
      </c>
    </row>
    <row r="2741" spans="1:35" x14ac:dyDescent="0.3">
      <c r="A2741">
        <v>2740</v>
      </c>
      <c r="B2741" t="s">
        <v>1296</v>
      </c>
      <c r="C2741">
        <v>51</v>
      </c>
      <c r="D2741" s="105">
        <v>45373.723759722219</v>
      </c>
      <c r="E2741" t="s">
        <v>316</v>
      </c>
      <c r="F2741" t="s">
        <v>317</v>
      </c>
      <c r="G2741">
        <v>0</v>
      </c>
      <c r="H2741" t="s">
        <v>310</v>
      </c>
      <c r="I2741">
        <v>0</v>
      </c>
      <c r="J2741">
        <v>0</v>
      </c>
      <c r="K2741">
        <v>0</v>
      </c>
      <c r="L2741" t="s">
        <v>310</v>
      </c>
      <c r="M2741" t="s">
        <v>310</v>
      </c>
      <c r="N2741">
        <v>0</v>
      </c>
      <c r="O2741" t="s">
        <v>1389</v>
      </c>
      <c r="P2741" t="s">
        <v>101</v>
      </c>
      <c r="Q2741" t="s">
        <v>1399</v>
      </c>
      <c r="R2741" t="s">
        <v>1404</v>
      </c>
      <c r="S2741">
        <v>0</v>
      </c>
      <c r="T2741" t="s">
        <v>105</v>
      </c>
      <c r="U2741">
        <v>9</v>
      </c>
      <c r="V2741">
        <v>9</v>
      </c>
      <c r="W2741">
        <v>0</v>
      </c>
      <c r="X2741">
        <v>17.923590699999998</v>
      </c>
      <c r="Y2741">
        <v>66.675459500000002</v>
      </c>
      <c r="Z2741">
        <v>50.214010899999998</v>
      </c>
      <c r="AA2741">
        <v>3</v>
      </c>
      <c r="AB2741">
        <v>0</v>
      </c>
      <c r="AC2741" t="s">
        <v>170</v>
      </c>
      <c r="AD2741">
        <v>0</v>
      </c>
      <c r="AE2741" t="s">
        <v>1416</v>
      </c>
      <c r="AF2741">
        <v>0</v>
      </c>
      <c r="AG2741" t="s">
        <v>310</v>
      </c>
      <c r="AH2741">
        <f>SUM((MID(Dyno_Data[[#This Row],[Team]],4,5))+(Dyno_Data[[#This Row],[Match]]/100))</f>
        <v>3003.51</v>
      </c>
      <c r="AI2741" s="76">
        <f>ROUND(SUM(IF(Dyno_Data[[#This Row],[AcqCenter]]&gt;0,Dyno_Data[[#This Row],[Time]]-SUMIFS(Dyno_Data[Time],Dyno_Data[Team],Dyno_Data[[#This Row],[Team]],Dyno_Data[RecordType],"StartMatch",Dyno_Data[Match],Dyno_Data[[#This Row],[Match]]),0)*86400),0)</f>
        <v>0</v>
      </c>
    </row>
    <row r="2742" spans="1:35" x14ac:dyDescent="0.3">
      <c r="A2742">
        <v>2741</v>
      </c>
      <c r="B2742" t="s">
        <v>1300</v>
      </c>
      <c r="C2742">
        <v>51</v>
      </c>
      <c r="D2742" s="105">
        <v>45373.723759803244</v>
      </c>
      <c r="E2742" t="s">
        <v>316</v>
      </c>
      <c r="F2742" t="s">
        <v>317</v>
      </c>
      <c r="G2742">
        <v>0</v>
      </c>
      <c r="H2742" t="s">
        <v>310</v>
      </c>
      <c r="I2742">
        <v>0</v>
      </c>
      <c r="J2742">
        <v>0</v>
      </c>
      <c r="K2742">
        <v>0</v>
      </c>
      <c r="L2742" t="s">
        <v>310</v>
      </c>
      <c r="M2742" t="s">
        <v>310</v>
      </c>
      <c r="N2742">
        <v>0</v>
      </c>
      <c r="O2742" t="s">
        <v>1395</v>
      </c>
      <c r="P2742" t="s">
        <v>240</v>
      </c>
      <c r="Q2742" t="s">
        <v>1400</v>
      </c>
      <c r="R2742" t="s">
        <v>1405</v>
      </c>
      <c r="S2742">
        <v>1</v>
      </c>
      <c r="T2742" t="s">
        <v>1407</v>
      </c>
      <c r="U2742">
        <v>1</v>
      </c>
      <c r="V2742">
        <v>0</v>
      </c>
      <c r="W2742">
        <v>7.3785480999999997</v>
      </c>
      <c r="X2742">
        <v>19.764181000000001</v>
      </c>
      <c r="Y2742">
        <v>16.410803699999999</v>
      </c>
      <c r="Z2742">
        <v>82.377286299999994</v>
      </c>
      <c r="AA2742">
        <v>0</v>
      </c>
      <c r="AB2742">
        <v>0</v>
      </c>
      <c r="AC2742" t="s">
        <v>173</v>
      </c>
      <c r="AD2742">
        <v>9</v>
      </c>
      <c r="AE2742" t="s">
        <v>1417</v>
      </c>
      <c r="AF2742">
        <v>120000000</v>
      </c>
      <c r="AG2742" t="s">
        <v>310</v>
      </c>
      <c r="AH2742">
        <f>SUM((MID(Dyno_Data[[#This Row],[Team]],4,5))+(Dyno_Data[[#This Row],[Match]]/100))</f>
        <v>3044.51</v>
      </c>
      <c r="AI2742" s="76">
        <f>ROUND(SUM(IF(Dyno_Data[[#This Row],[AcqCenter]]&gt;0,Dyno_Data[[#This Row],[Time]]-SUMIFS(Dyno_Data[Time],Dyno_Data[Team],Dyno_Data[[#This Row],[Team]],Dyno_Data[RecordType],"StartMatch",Dyno_Data[Match],Dyno_Data[[#This Row],[Match]]),0)*86400),0)</f>
        <v>0</v>
      </c>
    </row>
    <row r="2743" spans="1:35" x14ac:dyDescent="0.3">
      <c r="A2743">
        <v>2751</v>
      </c>
      <c r="B2743" t="s">
        <v>1290</v>
      </c>
      <c r="C2743">
        <v>52</v>
      </c>
      <c r="D2743" s="105">
        <v>45373.726702974534</v>
      </c>
      <c r="E2743" t="s">
        <v>308</v>
      </c>
      <c r="F2743" t="s">
        <v>309</v>
      </c>
      <c r="G2743">
        <v>0</v>
      </c>
      <c r="H2743" t="s">
        <v>310</v>
      </c>
      <c r="I2743">
        <v>0</v>
      </c>
      <c r="J2743">
        <v>0</v>
      </c>
      <c r="K2743">
        <v>0</v>
      </c>
      <c r="L2743" t="s">
        <v>310</v>
      </c>
      <c r="M2743" t="s">
        <v>310</v>
      </c>
      <c r="N2743">
        <v>0</v>
      </c>
      <c r="O2743" t="s">
        <v>311</v>
      </c>
      <c r="P2743" t="s">
        <v>310</v>
      </c>
      <c r="Q2743" t="s">
        <v>310</v>
      </c>
      <c r="R2743" t="s">
        <v>310</v>
      </c>
      <c r="S2743">
        <v>9</v>
      </c>
      <c r="T2743" t="s">
        <v>310</v>
      </c>
      <c r="U2743">
        <v>9</v>
      </c>
      <c r="V2743">
        <v>9</v>
      </c>
      <c r="W2743">
        <v>0</v>
      </c>
      <c r="X2743">
        <v>0</v>
      </c>
      <c r="Y2743">
        <v>0</v>
      </c>
      <c r="Z2743">
        <v>0</v>
      </c>
      <c r="AA2743">
        <v>9</v>
      </c>
      <c r="AB2743">
        <v>9</v>
      </c>
      <c r="AC2743" t="s">
        <v>310</v>
      </c>
      <c r="AD2743">
        <v>9</v>
      </c>
      <c r="AE2743" t="s">
        <v>1417</v>
      </c>
      <c r="AF2743">
        <v>0</v>
      </c>
      <c r="AG2743" t="s">
        <v>310</v>
      </c>
      <c r="AH2743">
        <f>SUM((MID(Dyno_Data[[#This Row],[Team]],4,5))+(Dyno_Data[[#This Row],[Match]]/100))</f>
        <v>5881.52</v>
      </c>
      <c r="AI2743" s="76">
        <f>ROUND(SUM(IF(Dyno_Data[[#This Row],[AcqCenter]]&gt;0,Dyno_Data[[#This Row],[Time]]-SUMIFS(Dyno_Data[Time],Dyno_Data[Team],Dyno_Data[[#This Row],[Team]],Dyno_Data[RecordType],"StartMatch",Dyno_Data[Match],Dyno_Data[[#This Row],[Match]]),0)*86400),0)</f>
        <v>0</v>
      </c>
    </row>
    <row r="2744" spans="1:35" x14ac:dyDescent="0.3">
      <c r="A2744">
        <v>2753</v>
      </c>
      <c r="B2744" t="s">
        <v>373</v>
      </c>
      <c r="C2744">
        <v>52</v>
      </c>
      <c r="D2744" s="105">
        <v>45373.726710069444</v>
      </c>
      <c r="E2744" t="s">
        <v>308</v>
      </c>
      <c r="F2744" t="s">
        <v>309</v>
      </c>
      <c r="G2744">
        <v>0</v>
      </c>
      <c r="H2744" t="s">
        <v>310</v>
      </c>
      <c r="I2744">
        <v>0</v>
      </c>
      <c r="J2744">
        <v>0</v>
      </c>
      <c r="K2744">
        <v>0</v>
      </c>
      <c r="L2744" t="s">
        <v>310</v>
      </c>
      <c r="M2744" t="s">
        <v>310</v>
      </c>
      <c r="N2744">
        <v>0</v>
      </c>
      <c r="O2744" t="s">
        <v>319</v>
      </c>
      <c r="P2744" t="s">
        <v>310</v>
      </c>
      <c r="Q2744" t="s">
        <v>310</v>
      </c>
      <c r="R2744" t="s">
        <v>310</v>
      </c>
      <c r="S2744">
        <v>9</v>
      </c>
      <c r="T2744" t="s">
        <v>310</v>
      </c>
      <c r="U2744">
        <v>9</v>
      </c>
      <c r="V2744">
        <v>9</v>
      </c>
      <c r="W2744">
        <v>0</v>
      </c>
      <c r="X2744">
        <v>0</v>
      </c>
      <c r="Y2744">
        <v>0</v>
      </c>
      <c r="Z2744">
        <v>0</v>
      </c>
      <c r="AA2744">
        <v>9</v>
      </c>
      <c r="AB2744">
        <v>9</v>
      </c>
      <c r="AC2744" t="s">
        <v>310</v>
      </c>
      <c r="AD2744">
        <v>9</v>
      </c>
      <c r="AE2744" t="s">
        <v>1387</v>
      </c>
      <c r="AF2744">
        <v>0</v>
      </c>
      <c r="AG2744" t="s">
        <v>310</v>
      </c>
      <c r="AH2744">
        <f>SUM((MID(Dyno_Data[[#This Row],[Team]],4,5))+(Dyno_Data[[#This Row],[Match]]/100))</f>
        <v>7718.52</v>
      </c>
      <c r="AI2744" s="76">
        <f>ROUND(SUM(IF(Dyno_Data[[#This Row],[AcqCenter]]&gt;0,Dyno_Data[[#This Row],[Time]]-SUMIFS(Dyno_Data[Time],Dyno_Data[Team],Dyno_Data[[#This Row],[Team]],Dyno_Data[RecordType],"StartMatch",Dyno_Data[Match],Dyno_Data[[#This Row],[Match]]),0)*86400),0)</f>
        <v>0</v>
      </c>
    </row>
    <row r="2745" spans="1:35" x14ac:dyDescent="0.3">
      <c r="A2745">
        <v>2755</v>
      </c>
      <c r="B2745" t="s">
        <v>361</v>
      </c>
      <c r="C2745">
        <v>52</v>
      </c>
      <c r="D2745" s="105">
        <v>45373.726716006946</v>
      </c>
      <c r="E2745" t="s">
        <v>308</v>
      </c>
      <c r="F2745" t="s">
        <v>309</v>
      </c>
      <c r="G2745">
        <v>0</v>
      </c>
      <c r="H2745" t="s">
        <v>310</v>
      </c>
      <c r="I2745">
        <v>0</v>
      </c>
      <c r="J2745">
        <v>0</v>
      </c>
      <c r="K2745">
        <v>0</v>
      </c>
      <c r="L2745" t="s">
        <v>310</v>
      </c>
      <c r="M2745" t="s">
        <v>310</v>
      </c>
      <c r="N2745">
        <v>0</v>
      </c>
      <c r="O2745" t="s">
        <v>1395</v>
      </c>
      <c r="P2745" t="s">
        <v>310</v>
      </c>
      <c r="Q2745" t="s">
        <v>310</v>
      </c>
      <c r="R2745" t="s">
        <v>310</v>
      </c>
      <c r="S2745">
        <v>9</v>
      </c>
      <c r="T2745" t="s">
        <v>310</v>
      </c>
      <c r="U2745">
        <v>9</v>
      </c>
      <c r="V2745">
        <v>9</v>
      </c>
      <c r="W2745">
        <v>0</v>
      </c>
      <c r="X2745">
        <v>0</v>
      </c>
      <c r="Y2745">
        <v>0</v>
      </c>
      <c r="Z2745">
        <v>0</v>
      </c>
      <c r="AA2745">
        <v>9</v>
      </c>
      <c r="AB2745">
        <v>9</v>
      </c>
      <c r="AC2745" t="s">
        <v>310</v>
      </c>
      <c r="AD2745">
        <v>9</v>
      </c>
      <c r="AE2745" t="s">
        <v>1416</v>
      </c>
      <c r="AF2745">
        <v>0</v>
      </c>
      <c r="AG2745" t="s">
        <v>310</v>
      </c>
      <c r="AH2745">
        <f>SUM((MID(Dyno_Data[[#This Row],[Team]],4,5))+(Dyno_Data[[#This Row],[Match]]/100))</f>
        <v>20.52</v>
      </c>
      <c r="AI2745" s="76">
        <f>ROUND(SUM(IF(Dyno_Data[[#This Row],[AcqCenter]]&gt;0,Dyno_Data[[#This Row],[Time]]-SUMIFS(Dyno_Data[Time],Dyno_Data[Team],Dyno_Data[[#This Row],[Team]],Dyno_Data[RecordType],"StartMatch",Dyno_Data[Match],Dyno_Data[[#This Row],[Match]]),0)*86400),0)</f>
        <v>0</v>
      </c>
    </row>
    <row r="2746" spans="1:35" x14ac:dyDescent="0.3">
      <c r="A2746">
        <v>2757</v>
      </c>
      <c r="B2746" t="s">
        <v>370</v>
      </c>
      <c r="C2746">
        <v>52</v>
      </c>
      <c r="D2746" s="105">
        <v>45373.72671732639</v>
      </c>
      <c r="E2746" t="s">
        <v>308</v>
      </c>
      <c r="F2746" t="s">
        <v>309</v>
      </c>
      <c r="G2746">
        <v>0</v>
      </c>
      <c r="H2746" t="s">
        <v>310</v>
      </c>
      <c r="I2746">
        <v>0</v>
      </c>
      <c r="J2746">
        <v>0</v>
      </c>
      <c r="K2746">
        <v>0</v>
      </c>
      <c r="L2746" t="s">
        <v>310</v>
      </c>
      <c r="M2746" t="s">
        <v>310</v>
      </c>
      <c r="N2746">
        <v>0</v>
      </c>
      <c r="O2746" t="s">
        <v>1391</v>
      </c>
      <c r="P2746" t="s">
        <v>310</v>
      </c>
      <c r="Q2746" t="s">
        <v>310</v>
      </c>
      <c r="R2746" t="s">
        <v>310</v>
      </c>
      <c r="S2746">
        <v>9</v>
      </c>
      <c r="T2746" t="s">
        <v>310</v>
      </c>
      <c r="U2746">
        <v>9</v>
      </c>
      <c r="V2746">
        <v>9</v>
      </c>
      <c r="W2746">
        <v>0</v>
      </c>
      <c r="X2746">
        <v>0</v>
      </c>
      <c r="Y2746">
        <v>0</v>
      </c>
      <c r="Z2746">
        <v>0</v>
      </c>
      <c r="AA2746">
        <v>9</v>
      </c>
      <c r="AB2746">
        <v>9</v>
      </c>
      <c r="AC2746" t="s">
        <v>310</v>
      </c>
      <c r="AD2746">
        <v>9</v>
      </c>
      <c r="AE2746" t="s">
        <v>1418</v>
      </c>
      <c r="AF2746">
        <v>0</v>
      </c>
      <c r="AG2746" t="s">
        <v>310</v>
      </c>
      <c r="AH2746">
        <f>SUM((MID(Dyno_Data[[#This Row],[Team]],4,5))+(Dyno_Data[[#This Row],[Match]]/100))</f>
        <v>6911.52</v>
      </c>
      <c r="AI2746" s="76">
        <f>ROUND(SUM(IF(Dyno_Data[[#This Row],[AcqCenter]]&gt;0,Dyno_Data[[#This Row],[Time]]-SUMIFS(Dyno_Data[Time],Dyno_Data[Team],Dyno_Data[[#This Row],[Team]],Dyno_Data[RecordType],"StartMatch",Dyno_Data[Match],Dyno_Data[[#This Row],[Match]]),0)*86400),0)</f>
        <v>0</v>
      </c>
    </row>
    <row r="2747" spans="1:35" x14ac:dyDescent="0.3">
      <c r="A2747">
        <v>2759</v>
      </c>
      <c r="B2747" t="s">
        <v>1317</v>
      </c>
      <c r="C2747">
        <v>52</v>
      </c>
      <c r="D2747" s="105">
        <v>45373.726720335646</v>
      </c>
      <c r="E2747" t="s">
        <v>308</v>
      </c>
      <c r="F2747" t="s">
        <v>309</v>
      </c>
      <c r="G2747">
        <v>0</v>
      </c>
      <c r="H2747" t="s">
        <v>310</v>
      </c>
      <c r="I2747">
        <v>0</v>
      </c>
      <c r="J2747">
        <v>0</v>
      </c>
      <c r="K2747">
        <v>0</v>
      </c>
      <c r="L2747" t="s">
        <v>310</v>
      </c>
      <c r="M2747" t="s">
        <v>310</v>
      </c>
      <c r="N2747">
        <v>0</v>
      </c>
      <c r="O2747" t="s">
        <v>1393</v>
      </c>
      <c r="P2747" t="s">
        <v>310</v>
      </c>
      <c r="Q2747" t="s">
        <v>310</v>
      </c>
      <c r="R2747" t="s">
        <v>310</v>
      </c>
      <c r="S2747">
        <v>9</v>
      </c>
      <c r="T2747" t="s">
        <v>310</v>
      </c>
      <c r="U2747">
        <v>9</v>
      </c>
      <c r="V2747">
        <v>9</v>
      </c>
      <c r="W2747">
        <v>0</v>
      </c>
      <c r="X2747">
        <v>0</v>
      </c>
      <c r="Y2747">
        <v>0</v>
      </c>
      <c r="Z2747">
        <v>0</v>
      </c>
      <c r="AA2747">
        <v>9</v>
      </c>
      <c r="AB2747">
        <v>9</v>
      </c>
      <c r="AC2747" t="s">
        <v>310</v>
      </c>
      <c r="AD2747">
        <v>9</v>
      </c>
      <c r="AE2747" t="s">
        <v>1394</v>
      </c>
      <c r="AF2747">
        <v>0</v>
      </c>
      <c r="AG2747" t="s">
        <v>310</v>
      </c>
      <c r="AH2747">
        <f>SUM((MID(Dyno_Data[[#This Row],[Team]],4,5))+(Dyno_Data[[#This Row],[Match]]/100))</f>
        <v>296.52</v>
      </c>
      <c r="AI2747" s="76">
        <f>ROUND(SUM(IF(Dyno_Data[[#This Row],[AcqCenter]]&gt;0,Dyno_Data[[#This Row],[Time]]-SUMIFS(Dyno_Data[Time],Dyno_Data[Team],Dyno_Data[[#This Row],[Team]],Dyno_Data[RecordType],"StartMatch",Dyno_Data[Match],Dyno_Data[[#This Row],[Match]]),0)*86400),0)</f>
        <v>0</v>
      </c>
    </row>
    <row r="2748" spans="1:35" x14ac:dyDescent="0.3">
      <c r="A2748">
        <v>2761</v>
      </c>
      <c r="B2748" t="s">
        <v>1303</v>
      </c>
      <c r="C2748">
        <v>52</v>
      </c>
      <c r="D2748" s="105">
        <v>45373.726724652777</v>
      </c>
      <c r="E2748" t="s">
        <v>308</v>
      </c>
      <c r="F2748" t="s">
        <v>309</v>
      </c>
      <c r="G2748">
        <v>0</v>
      </c>
      <c r="H2748" t="s">
        <v>310</v>
      </c>
      <c r="I2748">
        <v>0</v>
      </c>
      <c r="J2748">
        <v>0</v>
      </c>
      <c r="K2748">
        <v>0</v>
      </c>
      <c r="L2748" t="s">
        <v>310</v>
      </c>
      <c r="M2748" t="s">
        <v>310</v>
      </c>
      <c r="N2748">
        <v>0</v>
      </c>
      <c r="O2748" t="s">
        <v>1389</v>
      </c>
      <c r="P2748" t="s">
        <v>310</v>
      </c>
      <c r="Q2748" t="s">
        <v>310</v>
      </c>
      <c r="R2748" t="s">
        <v>310</v>
      </c>
      <c r="S2748">
        <v>9</v>
      </c>
      <c r="T2748" t="s">
        <v>310</v>
      </c>
      <c r="U2748">
        <v>9</v>
      </c>
      <c r="V2748">
        <v>9</v>
      </c>
      <c r="W2748">
        <v>0</v>
      </c>
      <c r="X2748">
        <v>0</v>
      </c>
      <c r="Y2748">
        <v>0</v>
      </c>
      <c r="Z2748">
        <v>0</v>
      </c>
      <c r="AA2748">
        <v>9</v>
      </c>
      <c r="AB2748">
        <v>9</v>
      </c>
      <c r="AC2748" t="s">
        <v>310</v>
      </c>
      <c r="AD2748">
        <v>9</v>
      </c>
      <c r="AE2748" t="s">
        <v>1392</v>
      </c>
      <c r="AF2748">
        <v>0</v>
      </c>
      <c r="AG2748" t="s">
        <v>310</v>
      </c>
      <c r="AH2748">
        <f>SUM((MID(Dyno_Data[[#This Row],[Team]],4,5))+(Dyno_Data[[#This Row],[Match]]/100))</f>
        <v>7605.52</v>
      </c>
      <c r="AI2748" s="76">
        <f>ROUND(SUM(IF(Dyno_Data[[#This Row],[AcqCenter]]&gt;0,Dyno_Data[[#This Row],[Time]]-SUMIFS(Dyno_Data[Time],Dyno_Data[Team],Dyno_Data[[#This Row],[Team]],Dyno_Data[RecordType],"StartMatch",Dyno_Data[Match],Dyno_Data[[#This Row],[Match]]),0)*86400),0)</f>
        <v>0</v>
      </c>
    </row>
    <row r="2749" spans="1:35" x14ac:dyDescent="0.3">
      <c r="A2749">
        <v>2742</v>
      </c>
      <c r="B2749" t="s">
        <v>361</v>
      </c>
      <c r="C2749">
        <v>52</v>
      </c>
      <c r="D2749" s="105">
        <v>45373.726735960649</v>
      </c>
      <c r="E2749" t="s">
        <v>312</v>
      </c>
      <c r="F2749" t="s">
        <v>309</v>
      </c>
      <c r="G2749">
        <v>0</v>
      </c>
      <c r="H2749" t="s">
        <v>1397</v>
      </c>
      <c r="I2749">
        <v>0</v>
      </c>
      <c r="J2749">
        <v>0</v>
      </c>
      <c r="K2749">
        <v>0</v>
      </c>
      <c r="L2749" t="s">
        <v>240</v>
      </c>
      <c r="M2749" t="s">
        <v>1398</v>
      </c>
      <c r="N2749">
        <v>0</v>
      </c>
      <c r="O2749" t="s">
        <v>1395</v>
      </c>
      <c r="P2749" t="s">
        <v>310</v>
      </c>
      <c r="Q2749" t="s">
        <v>310</v>
      </c>
      <c r="R2749" t="s">
        <v>310</v>
      </c>
      <c r="S2749">
        <v>9</v>
      </c>
      <c r="T2749" t="s">
        <v>310</v>
      </c>
      <c r="U2749">
        <v>9</v>
      </c>
      <c r="V2749">
        <v>9</v>
      </c>
      <c r="W2749">
        <v>0</v>
      </c>
      <c r="X2749">
        <v>0</v>
      </c>
      <c r="Y2749">
        <v>0</v>
      </c>
      <c r="Z2749">
        <v>0</v>
      </c>
      <c r="AA2749">
        <v>9</v>
      </c>
      <c r="AB2749">
        <v>9</v>
      </c>
      <c r="AC2749" t="s">
        <v>310</v>
      </c>
      <c r="AD2749">
        <v>9</v>
      </c>
      <c r="AE2749" t="s">
        <v>1416</v>
      </c>
      <c r="AF2749">
        <v>0</v>
      </c>
      <c r="AG2749" t="s">
        <v>310</v>
      </c>
      <c r="AH2749">
        <f>SUM((MID(Dyno_Data[[#This Row],[Team]],4,5))+(Dyno_Data[[#This Row],[Match]]/100))</f>
        <v>20.52</v>
      </c>
      <c r="AI2749" s="76">
        <f>ROUND(SUM(IF(Dyno_Data[[#This Row],[AcqCenter]]&gt;0,Dyno_Data[[#This Row],[Time]]-SUMIFS(Dyno_Data[Time],Dyno_Data[Team],Dyno_Data[[#This Row],[Team]],Dyno_Data[RecordType],"StartMatch",Dyno_Data[Match],Dyno_Data[[#This Row],[Match]]),0)*86400),0)</f>
        <v>0</v>
      </c>
    </row>
    <row r="2750" spans="1:35" x14ac:dyDescent="0.3">
      <c r="A2750">
        <v>2743</v>
      </c>
      <c r="B2750" t="s">
        <v>1317</v>
      </c>
      <c r="C2750">
        <v>52</v>
      </c>
      <c r="D2750" s="105">
        <v>45373.726754317133</v>
      </c>
      <c r="E2750" t="s">
        <v>312</v>
      </c>
      <c r="F2750" t="s">
        <v>309</v>
      </c>
      <c r="G2750">
        <v>0</v>
      </c>
      <c r="H2750" t="s">
        <v>1397</v>
      </c>
      <c r="I2750">
        <v>0</v>
      </c>
      <c r="J2750">
        <v>0</v>
      </c>
      <c r="K2750">
        <v>0</v>
      </c>
      <c r="L2750" t="s">
        <v>241</v>
      </c>
      <c r="M2750" t="s">
        <v>1398</v>
      </c>
      <c r="N2750">
        <v>1</v>
      </c>
      <c r="O2750" t="s">
        <v>1393</v>
      </c>
      <c r="P2750" t="s">
        <v>310</v>
      </c>
      <c r="Q2750" t="s">
        <v>310</v>
      </c>
      <c r="R2750" t="s">
        <v>310</v>
      </c>
      <c r="S2750">
        <v>9</v>
      </c>
      <c r="T2750" t="s">
        <v>310</v>
      </c>
      <c r="U2750">
        <v>9</v>
      </c>
      <c r="V2750">
        <v>9</v>
      </c>
      <c r="W2750">
        <v>0</v>
      </c>
      <c r="X2750">
        <v>0</v>
      </c>
      <c r="Y2750">
        <v>0</v>
      </c>
      <c r="Z2750">
        <v>0</v>
      </c>
      <c r="AA2750">
        <v>9</v>
      </c>
      <c r="AB2750">
        <v>9</v>
      </c>
      <c r="AC2750" t="s">
        <v>310</v>
      </c>
      <c r="AD2750">
        <v>9</v>
      </c>
      <c r="AE2750" t="s">
        <v>1394</v>
      </c>
      <c r="AF2750">
        <v>0</v>
      </c>
      <c r="AG2750" t="s">
        <v>310</v>
      </c>
      <c r="AH2750">
        <f>SUM((MID(Dyno_Data[[#This Row],[Team]],4,5))+(Dyno_Data[[#This Row],[Match]]/100))</f>
        <v>296.52</v>
      </c>
      <c r="AI2750" s="76">
        <f>ROUND(SUM(IF(Dyno_Data[[#This Row],[AcqCenter]]&gt;0,Dyno_Data[[#This Row],[Time]]-SUMIFS(Dyno_Data[Time],Dyno_Data[Team],Dyno_Data[[#This Row],[Team]],Dyno_Data[RecordType],"StartMatch",Dyno_Data[Match],Dyno_Data[[#This Row],[Match]]),0)*86400),0)</f>
        <v>0</v>
      </c>
    </row>
    <row r="2751" spans="1:35" x14ac:dyDescent="0.3">
      <c r="A2751">
        <v>2744</v>
      </c>
      <c r="B2751" t="s">
        <v>1303</v>
      </c>
      <c r="C2751">
        <v>52</v>
      </c>
      <c r="D2751" s="105">
        <v>45373.726767326392</v>
      </c>
      <c r="E2751" t="s">
        <v>312</v>
      </c>
      <c r="F2751" t="s">
        <v>309</v>
      </c>
      <c r="G2751">
        <v>0</v>
      </c>
      <c r="H2751" t="s">
        <v>1397</v>
      </c>
      <c r="I2751">
        <v>0</v>
      </c>
      <c r="J2751">
        <v>0</v>
      </c>
      <c r="K2751">
        <v>0</v>
      </c>
      <c r="L2751" t="s">
        <v>241</v>
      </c>
      <c r="M2751" t="s">
        <v>1398</v>
      </c>
      <c r="N2751">
        <v>0</v>
      </c>
      <c r="O2751" t="s">
        <v>1389</v>
      </c>
      <c r="P2751" t="s">
        <v>310</v>
      </c>
      <c r="Q2751" t="s">
        <v>310</v>
      </c>
      <c r="R2751" t="s">
        <v>310</v>
      </c>
      <c r="S2751">
        <v>9</v>
      </c>
      <c r="T2751" t="s">
        <v>310</v>
      </c>
      <c r="U2751">
        <v>9</v>
      </c>
      <c r="V2751">
        <v>9</v>
      </c>
      <c r="W2751">
        <v>0</v>
      </c>
      <c r="X2751">
        <v>0</v>
      </c>
      <c r="Y2751">
        <v>0</v>
      </c>
      <c r="Z2751">
        <v>0</v>
      </c>
      <c r="AA2751">
        <v>9</v>
      </c>
      <c r="AB2751">
        <v>9</v>
      </c>
      <c r="AC2751" t="s">
        <v>310</v>
      </c>
      <c r="AD2751">
        <v>9</v>
      </c>
      <c r="AE2751" t="s">
        <v>1392</v>
      </c>
      <c r="AF2751">
        <v>0</v>
      </c>
      <c r="AG2751" t="s">
        <v>310</v>
      </c>
      <c r="AH2751">
        <f>SUM((MID(Dyno_Data[[#This Row],[Team]],4,5))+(Dyno_Data[[#This Row],[Match]]/100))</f>
        <v>7605.52</v>
      </c>
      <c r="AI2751" s="76">
        <f>ROUND(SUM(IF(Dyno_Data[[#This Row],[AcqCenter]]&gt;0,Dyno_Data[[#This Row],[Time]]-SUMIFS(Dyno_Data[Time],Dyno_Data[Team],Dyno_Data[[#This Row],[Team]],Dyno_Data[RecordType],"StartMatch",Dyno_Data[Match],Dyno_Data[[#This Row],[Match]]),0)*86400),0)</f>
        <v>0</v>
      </c>
    </row>
    <row r="2752" spans="1:35" x14ac:dyDescent="0.3">
      <c r="A2752">
        <v>2748</v>
      </c>
      <c r="B2752" t="s">
        <v>1303</v>
      </c>
      <c r="C2752">
        <v>52</v>
      </c>
      <c r="D2752" s="105">
        <v>45373.726785416664</v>
      </c>
      <c r="E2752" t="s">
        <v>312</v>
      </c>
      <c r="F2752" t="s">
        <v>309</v>
      </c>
      <c r="G2752">
        <v>0</v>
      </c>
      <c r="H2752" t="s">
        <v>143</v>
      </c>
      <c r="I2752">
        <v>4</v>
      </c>
      <c r="J2752">
        <v>1</v>
      </c>
      <c r="K2752">
        <v>0</v>
      </c>
      <c r="L2752" t="s">
        <v>310</v>
      </c>
      <c r="M2752" t="s">
        <v>310</v>
      </c>
      <c r="N2752">
        <v>0</v>
      </c>
      <c r="O2752" t="s">
        <v>1389</v>
      </c>
      <c r="P2752" t="s">
        <v>310</v>
      </c>
      <c r="Q2752" t="s">
        <v>310</v>
      </c>
      <c r="R2752" t="s">
        <v>310</v>
      </c>
      <c r="S2752">
        <v>9</v>
      </c>
      <c r="T2752" t="s">
        <v>310</v>
      </c>
      <c r="U2752">
        <v>9</v>
      </c>
      <c r="V2752">
        <v>9</v>
      </c>
      <c r="W2752">
        <v>0</v>
      </c>
      <c r="X2752">
        <v>0</v>
      </c>
      <c r="Y2752">
        <v>0</v>
      </c>
      <c r="Z2752">
        <v>0</v>
      </c>
      <c r="AA2752">
        <v>9</v>
      </c>
      <c r="AB2752">
        <v>9</v>
      </c>
      <c r="AC2752" t="s">
        <v>310</v>
      </c>
      <c r="AD2752">
        <v>9</v>
      </c>
      <c r="AE2752" t="s">
        <v>1392</v>
      </c>
      <c r="AF2752">
        <v>0</v>
      </c>
      <c r="AG2752" t="s">
        <v>310</v>
      </c>
      <c r="AH2752">
        <f>SUM((MID(Dyno_Data[[#This Row],[Team]],4,5))+(Dyno_Data[[#This Row],[Match]]/100))</f>
        <v>7605.52</v>
      </c>
      <c r="AI2752" s="76">
        <f>ROUND(SUM(IF(Dyno_Data[[#This Row],[AcqCenter]]&gt;0,Dyno_Data[[#This Row],[Time]]-SUMIFS(Dyno_Data[Time],Dyno_Data[Team],Dyno_Data[[#This Row],[Team]],Dyno_Data[RecordType],"StartMatch",Dyno_Data[Match],Dyno_Data[[#This Row],[Match]]),0)*86400),0)</f>
        <v>5</v>
      </c>
    </row>
    <row r="2753" spans="1:35" x14ac:dyDescent="0.3">
      <c r="A2753">
        <v>2745</v>
      </c>
      <c r="B2753" t="s">
        <v>1290</v>
      </c>
      <c r="C2753">
        <v>52</v>
      </c>
      <c r="D2753" s="105">
        <v>45373.72679197917</v>
      </c>
      <c r="E2753" t="s">
        <v>312</v>
      </c>
      <c r="F2753" t="s">
        <v>309</v>
      </c>
      <c r="G2753">
        <v>0</v>
      </c>
      <c r="H2753" t="s">
        <v>1397</v>
      </c>
      <c r="I2753">
        <v>0</v>
      </c>
      <c r="J2753">
        <v>0</v>
      </c>
      <c r="K2753">
        <v>0</v>
      </c>
      <c r="L2753" t="s">
        <v>240</v>
      </c>
      <c r="M2753" t="s">
        <v>1398</v>
      </c>
      <c r="N2753">
        <v>0</v>
      </c>
      <c r="O2753" t="s">
        <v>311</v>
      </c>
      <c r="P2753" t="s">
        <v>310</v>
      </c>
      <c r="Q2753" t="s">
        <v>310</v>
      </c>
      <c r="R2753" t="s">
        <v>310</v>
      </c>
      <c r="S2753">
        <v>9</v>
      </c>
      <c r="T2753" t="s">
        <v>310</v>
      </c>
      <c r="U2753">
        <v>9</v>
      </c>
      <c r="V2753">
        <v>9</v>
      </c>
      <c r="W2753">
        <v>0</v>
      </c>
      <c r="X2753">
        <v>0</v>
      </c>
      <c r="Y2753">
        <v>0</v>
      </c>
      <c r="Z2753">
        <v>0</v>
      </c>
      <c r="AA2753">
        <v>9</v>
      </c>
      <c r="AB2753">
        <v>9</v>
      </c>
      <c r="AC2753" t="s">
        <v>310</v>
      </c>
      <c r="AD2753">
        <v>9</v>
      </c>
      <c r="AE2753" t="s">
        <v>1417</v>
      </c>
      <c r="AF2753">
        <v>0</v>
      </c>
      <c r="AG2753" t="s">
        <v>310</v>
      </c>
      <c r="AH2753">
        <f>SUM((MID(Dyno_Data[[#This Row],[Team]],4,5))+(Dyno_Data[[#This Row],[Match]]/100))</f>
        <v>5881.52</v>
      </c>
      <c r="AI2753" s="76">
        <f>ROUND(SUM(IF(Dyno_Data[[#This Row],[AcqCenter]]&gt;0,Dyno_Data[[#This Row],[Time]]-SUMIFS(Dyno_Data[Time],Dyno_Data[Team],Dyno_Data[[#This Row],[Team]],Dyno_Data[RecordType],"StartMatch",Dyno_Data[Match],Dyno_Data[[#This Row],[Match]]),0)*86400),0)</f>
        <v>0</v>
      </c>
    </row>
    <row r="2754" spans="1:35" x14ac:dyDescent="0.3">
      <c r="A2754">
        <v>2746</v>
      </c>
      <c r="B2754" t="s">
        <v>1317</v>
      </c>
      <c r="C2754">
        <v>52</v>
      </c>
      <c r="D2754" s="105">
        <v>45373.726797650466</v>
      </c>
      <c r="E2754" t="s">
        <v>312</v>
      </c>
      <c r="F2754" t="s">
        <v>309</v>
      </c>
      <c r="G2754">
        <v>0</v>
      </c>
      <c r="H2754" t="s">
        <v>143</v>
      </c>
      <c r="I2754">
        <v>1</v>
      </c>
      <c r="J2754">
        <v>-1</v>
      </c>
      <c r="K2754">
        <v>0</v>
      </c>
      <c r="L2754" t="s">
        <v>310</v>
      </c>
      <c r="M2754" t="s">
        <v>310</v>
      </c>
      <c r="N2754">
        <v>0</v>
      </c>
      <c r="O2754" t="s">
        <v>1393</v>
      </c>
      <c r="P2754" t="s">
        <v>310</v>
      </c>
      <c r="Q2754" t="s">
        <v>310</v>
      </c>
      <c r="R2754" t="s">
        <v>310</v>
      </c>
      <c r="S2754">
        <v>9</v>
      </c>
      <c r="T2754" t="s">
        <v>310</v>
      </c>
      <c r="U2754">
        <v>9</v>
      </c>
      <c r="V2754">
        <v>9</v>
      </c>
      <c r="W2754">
        <v>0</v>
      </c>
      <c r="X2754">
        <v>0</v>
      </c>
      <c r="Y2754">
        <v>0</v>
      </c>
      <c r="Z2754">
        <v>0</v>
      </c>
      <c r="AA2754">
        <v>9</v>
      </c>
      <c r="AB2754">
        <v>9</v>
      </c>
      <c r="AC2754" t="s">
        <v>310</v>
      </c>
      <c r="AD2754">
        <v>9</v>
      </c>
      <c r="AE2754" t="s">
        <v>1394</v>
      </c>
      <c r="AF2754">
        <v>0</v>
      </c>
      <c r="AG2754" t="s">
        <v>310</v>
      </c>
      <c r="AH2754">
        <f>SUM((MID(Dyno_Data[[#This Row],[Team]],4,5))+(Dyno_Data[[#This Row],[Match]]/100))</f>
        <v>296.52</v>
      </c>
      <c r="AI2754" s="76">
        <f>ROUND(SUM(IF(Dyno_Data[[#This Row],[AcqCenter]]&gt;0,Dyno_Data[[#This Row],[Time]]-SUMIFS(Dyno_Data[Time],Dyno_Data[Team],Dyno_Data[[#This Row],[Team]],Dyno_Data[RecordType],"StartMatch",Dyno_Data[Match],Dyno_Data[[#This Row],[Match]]),0)*86400),0)</f>
        <v>7</v>
      </c>
    </row>
    <row r="2755" spans="1:35" x14ac:dyDescent="0.3">
      <c r="A2755">
        <v>2747</v>
      </c>
      <c r="B2755" t="s">
        <v>370</v>
      </c>
      <c r="C2755">
        <v>52</v>
      </c>
      <c r="D2755" s="105">
        <v>45373.726812233799</v>
      </c>
      <c r="E2755" t="s">
        <v>312</v>
      </c>
      <c r="F2755" t="s">
        <v>309</v>
      </c>
      <c r="G2755">
        <v>0</v>
      </c>
      <c r="H2755" t="s">
        <v>1397</v>
      </c>
      <c r="I2755">
        <v>0</v>
      </c>
      <c r="J2755">
        <v>0</v>
      </c>
      <c r="K2755">
        <v>0</v>
      </c>
      <c r="L2755" t="s">
        <v>241</v>
      </c>
      <c r="M2755" t="s">
        <v>1398</v>
      </c>
      <c r="N2755">
        <v>0</v>
      </c>
      <c r="O2755" t="s">
        <v>1391</v>
      </c>
      <c r="P2755" t="s">
        <v>310</v>
      </c>
      <c r="Q2755" t="s">
        <v>310</v>
      </c>
      <c r="R2755" t="s">
        <v>310</v>
      </c>
      <c r="S2755">
        <v>9</v>
      </c>
      <c r="T2755" t="s">
        <v>310</v>
      </c>
      <c r="U2755">
        <v>9</v>
      </c>
      <c r="V2755">
        <v>9</v>
      </c>
      <c r="W2755">
        <v>0</v>
      </c>
      <c r="X2755">
        <v>0</v>
      </c>
      <c r="Y2755">
        <v>0</v>
      </c>
      <c r="Z2755">
        <v>0</v>
      </c>
      <c r="AA2755">
        <v>9</v>
      </c>
      <c r="AB2755">
        <v>9</v>
      </c>
      <c r="AC2755" t="s">
        <v>310</v>
      </c>
      <c r="AD2755">
        <v>9</v>
      </c>
      <c r="AE2755" t="s">
        <v>1418</v>
      </c>
      <c r="AF2755">
        <v>0</v>
      </c>
      <c r="AG2755" t="s">
        <v>310</v>
      </c>
      <c r="AH2755">
        <f>SUM((MID(Dyno_Data[[#This Row],[Team]],4,5))+(Dyno_Data[[#This Row],[Match]]/100))</f>
        <v>6911.52</v>
      </c>
      <c r="AI2755" s="76">
        <f>ROUND(SUM(IF(Dyno_Data[[#This Row],[AcqCenter]]&gt;0,Dyno_Data[[#This Row],[Time]]-SUMIFS(Dyno_Data[Time],Dyno_Data[Team],Dyno_Data[[#This Row],[Team]],Dyno_Data[RecordType],"StartMatch",Dyno_Data[Match],Dyno_Data[[#This Row],[Match]]),0)*86400),0)</f>
        <v>0</v>
      </c>
    </row>
    <row r="2756" spans="1:35" x14ac:dyDescent="0.3">
      <c r="A2756">
        <v>2749</v>
      </c>
      <c r="B2756" t="s">
        <v>1303</v>
      </c>
      <c r="C2756">
        <v>52</v>
      </c>
      <c r="D2756" s="105">
        <v>45373.726851157408</v>
      </c>
      <c r="E2756" t="s">
        <v>312</v>
      </c>
      <c r="F2756" t="s">
        <v>309</v>
      </c>
      <c r="G2756">
        <v>0</v>
      </c>
      <c r="H2756" t="s">
        <v>143</v>
      </c>
      <c r="I2756">
        <v>0</v>
      </c>
      <c r="J2756">
        <v>0</v>
      </c>
      <c r="K2756">
        <v>0</v>
      </c>
      <c r="L2756" t="s">
        <v>241</v>
      </c>
      <c r="M2756" t="s">
        <v>1398</v>
      </c>
      <c r="N2756">
        <v>0</v>
      </c>
      <c r="O2756" t="s">
        <v>1389</v>
      </c>
      <c r="P2756" t="s">
        <v>310</v>
      </c>
      <c r="Q2756" t="s">
        <v>310</v>
      </c>
      <c r="R2756" t="s">
        <v>310</v>
      </c>
      <c r="S2756">
        <v>9</v>
      </c>
      <c r="T2756" t="s">
        <v>310</v>
      </c>
      <c r="U2756">
        <v>9</v>
      </c>
      <c r="V2756">
        <v>9</v>
      </c>
      <c r="W2756">
        <v>0</v>
      </c>
      <c r="X2756">
        <v>0</v>
      </c>
      <c r="Y2756">
        <v>0</v>
      </c>
      <c r="Z2756">
        <v>0</v>
      </c>
      <c r="AA2756">
        <v>9</v>
      </c>
      <c r="AB2756">
        <v>9</v>
      </c>
      <c r="AC2756" t="s">
        <v>310</v>
      </c>
      <c r="AD2756">
        <v>9</v>
      </c>
      <c r="AE2756" t="s">
        <v>1392</v>
      </c>
      <c r="AF2756">
        <v>0</v>
      </c>
      <c r="AG2756" t="s">
        <v>310</v>
      </c>
      <c r="AH2756">
        <f>SUM((MID(Dyno_Data[[#This Row],[Team]],4,5))+(Dyno_Data[[#This Row],[Match]]/100))</f>
        <v>7605.52</v>
      </c>
      <c r="AI2756" s="76">
        <f>ROUND(SUM(IF(Dyno_Data[[#This Row],[AcqCenter]]&gt;0,Dyno_Data[[#This Row],[Time]]-SUMIFS(Dyno_Data[Time],Dyno_Data[Team],Dyno_Data[[#This Row],[Team]],Dyno_Data[RecordType],"StartMatch",Dyno_Data[Match],Dyno_Data[[#This Row],[Match]]),0)*86400),0)</f>
        <v>0</v>
      </c>
    </row>
    <row r="2757" spans="1:35" x14ac:dyDescent="0.3">
      <c r="A2757">
        <v>2750</v>
      </c>
      <c r="B2757" t="s">
        <v>1303</v>
      </c>
      <c r="C2757">
        <v>52</v>
      </c>
      <c r="D2757" s="105">
        <v>45373.726882986113</v>
      </c>
      <c r="E2757" t="s">
        <v>312</v>
      </c>
      <c r="F2757" t="s">
        <v>309</v>
      </c>
      <c r="G2757">
        <v>0</v>
      </c>
      <c r="H2757" t="s">
        <v>143</v>
      </c>
      <c r="I2757">
        <v>5</v>
      </c>
      <c r="J2757">
        <v>1</v>
      </c>
      <c r="K2757">
        <v>0</v>
      </c>
      <c r="L2757" t="s">
        <v>310</v>
      </c>
      <c r="M2757" t="s">
        <v>310</v>
      </c>
      <c r="N2757">
        <v>0</v>
      </c>
      <c r="O2757" t="s">
        <v>1389</v>
      </c>
      <c r="P2757" t="s">
        <v>310</v>
      </c>
      <c r="Q2757" t="s">
        <v>310</v>
      </c>
      <c r="R2757" t="s">
        <v>310</v>
      </c>
      <c r="S2757">
        <v>9</v>
      </c>
      <c r="T2757" t="s">
        <v>310</v>
      </c>
      <c r="U2757">
        <v>9</v>
      </c>
      <c r="V2757">
        <v>9</v>
      </c>
      <c r="W2757">
        <v>0</v>
      </c>
      <c r="X2757">
        <v>0</v>
      </c>
      <c r="Y2757">
        <v>0</v>
      </c>
      <c r="Z2757">
        <v>0</v>
      </c>
      <c r="AA2757">
        <v>9</v>
      </c>
      <c r="AB2757">
        <v>9</v>
      </c>
      <c r="AC2757" t="s">
        <v>310</v>
      </c>
      <c r="AD2757">
        <v>9</v>
      </c>
      <c r="AE2757" t="s">
        <v>1392</v>
      </c>
      <c r="AF2757">
        <v>0</v>
      </c>
      <c r="AG2757" t="s">
        <v>310</v>
      </c>
      <c r="AH2757">
        <f>SUM((MID(Dyno_Data[[#This Row],[Team]],4,5))+(Dyno_Data[[#This Row],[Match]]/100))</f>
        <v>7605.52</v>
      </c>
      <c r="AI2757" s="76">
        <f>ROUND(SUM(IF(Dyno_Data[[#This Row],[AcqCenter]]&gt;0,Dyno_Data[[#This Row],[Time]]-SUMIFS(Dyno_Data[Time],Dyno_Data[Team],Dyno_Data[[#This Row],[Team]],Dyno_Data[RecordType],"StartMatch",Dyno_Data[Match],Dyno_Data[[#This Row],[Match]]),0)*86400),0)</f>
        <v>14</v>
      </c>
    </row>
    <row r="2758" spans="1:35" x14ac:dyDescent="0.3">
      <c r="A2758">
        <v>2752</v>
      </c>
      <c r="B2758" t="s">
        <v>1290</v>
      </c>
      <c r="C2758">
        <v>52</v>
      </c>
      <c r="D2758" s="105">
        <v>45373.726911307873</v>
      </c>
      <c r="E2758" t="s">
        <v>314</v>
      </c>
      <c r="F2758" t="s">
        <v>309</v>
      </c>
      <c r="G2758">
        <v>1</v>
      </c>
      <c r="H2758" t="s">
        <v>310</v>
      </c>
      <c r="I2758">
        <v>0</v>
      </c>
      <c r="J2758">
        <v>0</v>
      </c>
      <c r="K2758">
        <v>0</v>
      </c>
      <c r="L2758" t="s">
        <v>310</v>
      </c>
      <c r="M2758" t="s">
        <v>310</v>
      </c>
      <c r="N2758">
        <v>0</v>
      </c>
      <c r="O2758" t="s">
        <v>311</v>
      </c>
      <c r="P2758" t="s">
        <v>240</v>
      </c>
      <c r="Q2758" t="s">
        <v>1400</v>
      </c>
      <c r="R2758" t="s">
        <v>310</v>
      </c>
      <c r="S2758">
        <v>9</v>
      </c>
      <c r="T2758" t="s">
        <v>310</v>
      </c>
      <c r="U2758">
        <v>9</v>
      </c>
      <c r="V2758">
        <v>9</v>
      </c>
      <c r="W2758">
        <v>0</v>
      </c>
      <c r="X2758">
        <v>0</v>
      </c>
      <c r="Y2758">
        <v>0</v>
      </c>
      <c r="Z2758">
        <v>0</v>
      </c>
      <c r="AA2758">
        <v>9</v>
      </c>
      <c r="AB2758">
        <v>9</v>
      </c>
      <c r="AC2758" t="s">
        <v>310</v>
      </c>
      <c r="AD2758">
        <v>9</v>
      </c>
      <c r="AE2758" t="s">
        <v>1417</v>
      </c>
      <c r="AF2758">
        <v>0</v>
      </c>
      <c r="AG2758" t="s">
        <v>310</v>
      </c>
      <c r="AH2758">
        <f>SUM((MID(Dyno_Data[[#This Row],[Team]],4,5))+(Dyno_Data[[#This Row],[Match]]/100))</f>
        <v>5881.52</v>
      </c>
      <c r="AI2758" s="76">
        <f>ROUND(SUM(IF(Dyno_Data[[#This Row],[AcqCenter]]&gt;0,Dyno_Data[[#This Row],[Time]]-SUMIFS(Dyno_Data[Time],Dyno_Data[Team],Dyno_Data[[#This Row],[Team]],Dyno_Data[RecordType],"StartMatch",Dyno_Data[Match],Dyno_Data[[#This Row],[Match]]),0)*86400),0)</f>
        <v>0</v>
      </c>
    </row>
    <row r="2759" spans="1:35" x14ac:dyDescent="0.3">
      <c r="A2759">
        <v>2754</v>
      </c>
      <c r="B2759" t="s">
        <v>373</v>
      </c>
      <c r="C2759">
        <v>52</v>
      </c>
      <c r="D2759" s="105">
        <v>45373.726918402775</v>
      </c>
      <c r="E2759" t="s">
        <v>314</v>
      </c>
      <c r="F2759" t="s">
        <v>309</v>
      </c>
      <c r="G2759">
        <v>1</v>
      </c>
      <c r="H2759" t="s">
        <v>310</v>
      </c>
      <c r="I2759">
        <v>0</v>
      </c>
      <c r="J2759">
        <v>0</v>
      </c>
      <c r="K2759">
        <v>0</v>
      </c>
      <c r="L2759" t="s">
        <v>310</v>
      </c>
      <c r="M2759" t="s">
        <v>310</v>
      </c>
      <c r="N2759">
        <v>0</v>
      </c>
      <c r="O2759" t="s">
        <v>319</v>
      </c>
      <c r="P2759" t="s">
        <v>320</v>
      </c>
      <c r="Q2759" t="s">
        <v>1400</v>
      </c>
      <c r="R2759" t="s">
        <v>310</v>
      </c>
      <c r="S2759">
        <v>9</v>
      </c>
      <c r="T2759" t="s">
        <v>310</v>
      </c>
      <c r="U2759">
        <v>9</v>
      </c>
      <c r="V2759">
        <v>9</v>
      </c>
      <c r="W2759">
        <v>0</v>
      </c>
      <c r="X2759">
        <v>0</v>
      </c>
      <c r="Y2759">
        <v>0</v>
      </c>
      <c r="Z2759">
        <v>0</v>
      </c>
      <c r="AA2759">
        <v>9</v>
      </c>
      <c r="AB2759">
        <v>9</v>
      </c>
      <c r="AC2759" t="s">
        <v>310</v>
      </c>
      <c r="AD2759">
        <v>9</v>
      </c>
      <c r="AE2759" t="s">
        <v>1387</v>
      </c>
      <c r="AF2759">
        <v>0</v>
      </c>
      <c r="AG2759" t="s">
        <v>310</v>
      </c>
      <c r="AH2759">
        <f>SUM((MID(Dyno_Data[[#This Row],[Team]],4,5))+(Dyno_Data[[#This Row],[Match]]/100))</f>
        <v>7718.52</v>
      </c>
      <c r="AI2759" s="76">
        <f>ROUND(SUM(IF(Dyno_Data[[#This Row],[AcqCenter]]&gt;0,Dyno_Data[[#This Row],[Time]]-SUMIFS(Dyno_Data[Time],Dyno_Data[Team],Dyno_Data[[#This Row],[Team]],Dyno_Data[RecordType],"StartMatch",Dyno_Data[Match],Dyno_Data[[#This Row],[Match]]),0)*86400),0)</f>
        <v>0</v>
      </c>
    </row>
    <row r="2760" spans="1:35" x14ac:dyDescent="0.3">
      <c r="A2760">
        <v>2756</v>
      </c>
      <c r="B2760" t="s">
        <v>361</v>
      </c>
      <c r="C2760">
        <v>52</v>
      </c>
      <c r="D2760" s="105">
        <v>45373.726924340277</v>
      </c>
      <c r="E2760" t="s">
        <v>314</v>
      </c>
      <c r="F2760" t="s">
        <v>309</v>
      </c>
      <c r="G2760">
        <v>0</v>
      </c>
      <c r="H2760" t="s">
        <v>310</v>
      </c>
      <c r="I2760">
        <v>0</v>
      </c>
      <c r="J2760">
        <v>0</v>
      </c>
      <c r="K2760">
        <v>0</v>
      </c>
      <c r="L2760" t="s">
        <v>310</v>
      </c>
      <c r="M2760" t="s">
        <v>310</v>
      </c>
      <c r="N2760">
        <v>0</v>
      </c>
      <c r="O2760" t="s">
        <v>1395</v>
      </c>
      <c r="P2760" t="s">
        <v>240</v>
      </c>
      <c r="Q2760" t="s">
        <v>1399</v>
      </c>
      <c r="R2760" t="s">
        <v>310</v>
      </c>
      <c r="S2760">
        <v>9</v>
      </c>
      <c r="T2760" t="s">
        <v>310</v>
      </c>
      <c r="U2760">
        <v>9</v>
      </c>
      <c r="V2760">
        <v>9</v>
      </c>
      <c r="W2760">
        <v>0</v>
      </c>
      <c r="X2760">
        <v>0</v>
      </c>
      <c r="Y2760">
        <v>0</v>
      </c>
      <c r="Z2760">
        <v>0</v>
      </c>
      <c r="AA2760">
        <v>9</v>
      </c>
      <c r="AB2760">
        <v>9</v>
      </c>
      <c r="AC2760" t="s">
        <v>310</v>
      </c>
      <c r="AD2760">
        <v>9</v>
      </c>
      <c r="AE2760" t="s">
        <v>1416</v>
      </c>
      <c r="AF2760">
        <v>0</v>
      </c>
      <c r="AG2760" t="s">
        <v>310</v>
      </c>
      <c r="AH2760">
        <f>SUM((MID(Dyno_Data[[#This Row],[Team]],4,5))+(Dyno_Data[[#This Row],[Match]]/100))</f>
        <v>20.52</v>
      </c>
      <c r="AI2760" s="76">
        <f>ROUND(SUM(IF(Dyno_Data[[#This Row],[AcqCenter]]&gt;0,Dyno_Data[[#This Row],[Time]]-SUMIFS(Dyno_Data[Time],Dyno_Data[Team],Dyno_Data[[#This Row],[Team]],Dyno_Data[RecordType],"StartMatch",Dyno_Data[Match],Dyno_Data[[#This Row],[Match]]),0)*86400),0)</f>
        <v>0</v>
      </c>
    </row>
    <row r="2761" spans="1:35" x14ac:dyDescent="0.3">
      <c r="A2761">
        <v>2758</v>
      </c>
      <c r="B2761" t="s">
        <v>370</v>
      </c>
      <c r="C2761">
        <v>52</v>
      </c>
      <c r="D2761" s="105">
        <v>45373.726925659721</v>
      </c>
      <c r="E2761" t="s">
        <v>314</v>
      </c>
      <c r="F2761" t="s">
        <v>309</v>
      </c>
      <c r="G2761">
        <v>1</v>
      </c>
      <c r="H2761" t="s">
        <v>310</v>
      </c>
      <c r="I2761">
        <v>0</v>
      </c>
      <c r="J2761">
        <v>0</v>
      </c>
      <c r="K2761">
        <v>0</v>
      </c>
      <c r="L2761" t="s">
        <v>310</v>
      </c>
      <c r="M2761" t="s">
        <v>310</v>
      </c>
      <c r="N2761">
        <v>0</v>
      </c>
      <c r="O2761" t="s">
        <v>1391</v>
      </c>
      <c r="P2761" t="s">
        <v>1401</v>
      </c>
      <c r="Q2761" t="s">
        <v>1399</v>
      </c>
      <c r="R2761" t="s">
        <v>310</v>
      </c>
      <c r="S2761">
        <v>9</v>
      </c>
      <c r="T2761" t="s">
        <v>310</v>
      </c>
      <c r="U2761">
        <v>9</v>
      </c>
      <c r="V2761">
        <v>9</v>
      </c>
      <c r="W2761">
        <v>0</v>
      </c>
      <c r="X2761">
        <v>0</v>
      </c>
      <c r="Y2761">
        <v>0</v>
      </c>
      <c r="Z2761">
        <v>0</v>
      </c>
      <c r="AA2761">
        <v>9</v>
      </c>
      <c r="AB2761">
        <v>9</v>
      </c>
      <c r="AC2761" t="s">
        <v>310</v>
      </c>
      <c r="AD2761">
        <v>9</v>
      </c>
      <c r="AE2761" t="s">
        <v>1418</v>
      </c>
      <c r="AF2761">
        <v>0</v>
      </c>
      <c r="AG2761" t="s">
        <v>310</v>
      </c>
      <c r="AH2761">
        <f>SUM((MID(Dyno_Data[[#This Row],[Team]],4,5))+(Dyno_Data[[#This Row],[Match]]/100))</f>
        <v>6911.52</v>
      </c>
      <c r="AI2761" s="76">
        <f>ROUND(SUM(IF(Dyno_Data[[#This Row],[AcqCenter]]&gt;0,Dyno_Data[[#This Row],[Time]]-SUMIFS(Dyno_Data[Time],Dyno_Data[Team],Dyno_Data[[#This Row],[Team]],Dyno_Data[RecordType],"StartMatch",Dyno_Data[Match],Dyno_Data[[#This Row],[Match]]),0)*86400),0)</f>
        <v>0</v>
      </c>
    </row>
    <row r="2762" spans="1:35" x14ac:dyDescent="0.3">
      <c r="A2762">
        <v>2760</v>
      </c>
      <c r="B2762" t="s">
        <v>1317</v>
      </c>
      <c r="C2762">
        <v>52</v>
      </c>
      <c r="D2762" s="105">
        <v>45373.726928668984</v>
      </c>
      <c r="E2762" t="s">
        <v>314</v>
      </c>
      <c r="F2762" t="s">
        <v>309</v>
      </c>
      <c r="G2762">
        <v>1</v>
      </c>
      <c r="H2762" t="s">
        <v>310</v>
      </c>
      <c r="I2762">
        <v>0</v>
      </c>
      <c r="J2762">
        <v>0</v>
      </c>
      <c r="K2762">
        <v>0</v>
      </c>
      <c r="L2762" t="s">
        <v>310</v>
      </c>
      <c r="M2762" t="s">
        <v>310</v>
      </c>
      <c r="N2762">
        <v>0</v>
      </c>
      <c r="O2762" t="s">
        <v>1393</v>
      </c>
      <c r="P2762" t="s">
        <v>1401</v>
      </c>
      <c r="Q2762" t="s">
        <v>1400</v>
      </c>
      <c r="R2762" t="s">
        <v>310</v>
      </c>
      <c r="S2762">
        <v>9</v>
      </c>
      <c r="T2762" t="s">
        <v>310</v>
      </c>
      <c r="U2762">
        <v>9</v>
      </c>
      <c r="V2762">
        <v>9</v>
      </c>
      <c r="W2762">
        <v>0</v>
      </c>
      <c r="X2762">
        <v>0</v>
      </c>
      <c r="Y2762">
        <v>0</v>
      </c>
      <c r="Z2762">
        <v>0</v>
      </c>
      <c r="AA2762">
        <v>9</v>
      </c>
      <c r="AB2762">
        <v>9</v>
      </c>
      <c r="AC2762" t="s">
        <v>310</v>
      </c>
      <c r="AD2762">
        <v>9</v>
      </c>
      <c r="AE2762" t="s">
        <v>1394</v>
      </c>
      <c r="AF2762">
        <v>0</v>
      </c>
      <c r="AG2762" t="s">
        <v>310</v>
      </c>
      <c r="AH2762">
        <f>SUM((MID(Dyno_Data[[#This Row],[Team]],4,5))+(Dyno_Data[[#This Row],[Match]]/100))</f>
        <v>296.52</v>
      </c>
      <c r="AI2762" s="76">
        <f>ROUND(SUM(IF(Dyno_Data[[#This Row],[AcqCenter]]&gt;0,Dyno_Data[[#This Row],[Time]]-SUMIFS(Dyno_Data[Time],Dyno_Data[Team],Dyno_Data[[#This Row],[Team]],Dyno_Data[RecordType],"StartMatch",Dyno_Data[Match],Dyno_Data[[#This Row],[Match]]),0)*86400),0)</f>
        <v>0</v>
      </c>
    </row>
    <row r="2763" spans="1:35" x14ac:dyDescent="0.3">
      <c r="A2763">
        <v>2762</v>
      </c>
      <c r="B2763" t="s">
        <v>1303</v>
      </c>
      <c r="C2763">
        <v>52</v>
      </c>
      <c r="D2763" s="105">
        <v>45373.726932986108</v>
      </c>
      <c r="E2763" t="s">
        <v>314</v>
      </c>
      <c r="F2763" t="s">
        <v>309</v>
      </c>
      <c r="G2763">
        <v>1</v>
      </c>
      <c r="H2763" t="s">
        <v>310</v>
      </c>
      <c r="I2763">
        <v>0</v>
      </c>
      <c r="J2763">
        <v>0</v>
      </c>
      <c r="K2763">
        <v>0</v>
      </c>
      <c r="L2763" t="s">
        <v>310</v>
      </c>
      <c r="M2763" t="s">
        <v>310</v>
      </c>
      <c r="N2763">
        <v>0</v>
      </c>
      <c r="O2763" t="s">
        <v>1389</v>
      </c>
      <c r="P2763" t="s">
        <v>101</v>
      </c>
      <c r="Q2763" t="s">
        <v>1400</v>
      </c>
      <c r="R2763" t="s">
        <v>310</v>
      </c>
      <c r="S2763">
        <v>9</v>
      </c>
      <c r="T2763" t="s">
        <v>310</v>
      </c>
      <c r="U2763">
        <v>9</v>
      </c>
      <c r="V2763">
        <v>9</v>
      </c>
      <c r="W2763">
        <v>0</v>
      </c>
      <c r="X2763">
        <v>0</v>
      </c>
      <c r="Y2763">
        <v>0</v>
      </c>
      <c r="Z2763">
        <v>0</v>
      </c>
      <c r="AA2763">
        <v>9</v>
      </c>
      <c r="AB2763">
        <v>9</v>
      </c>
      <c r="AC2763" t="s">
        <v>310</v>
      </c>
      <c r="AD2763">
        <v>9</v>
      </c>
      <c r="AE2763" t="s">
        <v>1392</v>
      </c>
      <c r="AF2763">
        <v>0</v>
      </c>
      <c r="AG2763" t="s">
        <v>310</v>
      </c>
      <c r="AH2763">
        <f>SUM((MID(Dyno_Data[[#This Row],[Team]],4,5))+(Dyno_Data[[#This Row],[Match]]/100))</f>
        <v>7605.52</v>
      </c>
      <c r="AI2763" s="76">
        <f>ROUND(SUM(IF(Dyno_Data[[#This Row],[AcqCenter]]&gt;0,Dyno_Data[[#This Row],[Time]]-SUMIFS(Dyno_Data[Time],Dyno_Data[Team],Dyno_Data[[#This Row],[Team]],Dyno_Data[RecordType],"StartMatch",Dyno_Data[Match],Dyno_Data[[#This Row],[Match]]),0)*86400),0)</f>
        <v>0</v>
      </c>
    </row>
    <row r="2764" spans="1:35" x14ac:dyDescent="0.3">
      <c r="A2764">
        <v>2763</v>
      </c>
      <c r="B2764" t="s">
        <v>361</v>
      </c>
      <c r="C2764">
        <v>52</v>
      </c>
      <c r="D2764" s="105">
        <v>45373.727010497685</v>
      </c>
      <c r="E2764" t="s">
        <v>1403</v>
      </c>
      <c r="F2764" t="s">
        <v>1402</v>
      </c>
      <c r="G2764">
        <v>0</v>
      </c>
      <c r="H2764" t="s">
        <v>310</v>
      </c>
      <c r="I2764">
        <v>0</v>
      </c>
      <c r="J2764">
        <v>0</v>
      </c>
      <c r="K2764">
        <v>0</v>
      </c>
      <c r="L2764" t="s">
        <v>310</v>
      </c>
      <c r="M2764" t="s">
        <v>310</v>
      </c>
      <c r="N2764">
        <v>0</v>
      </c>
      <c r="O2764" t="s">
        <v>1395</v>
      </c>
      <c r="P2764" t="s">
        <v>310</v>
      </c>
      <c r="Q2764" t="s">
        <v>310</v>
      </c>
      <c r="R2764" t="s">
        <v>310</v>
      </c>
      <c r="S2764">
        <v>9</v>
      </c>
      <c r="T2764" t="s">
        <v>310</v>
      </c>
      <c r="U2764">
        <v>9</v>
      </c>
      <c r="V2764">
        <v>9</v>
      </c>
      <c r="W2764">
        <v>0</v>
      </c>
      <c r="X2764">
        <v>0</v>
      </c>
      <c r="Y2764">
        <v>0</v>
      </c>
      <c r="Z2764">
        <v>0</v>
      </c>
      <c r="AA2764">
        <v>9</v>
      </c>
      <c r="AB2764">
        <v>9</v>
      </c>
      <c r="AC2764" t="s">
        <v>310</v>
      </c>
      <c r="AD2764">
        <v>9</v>
      </c>
      <c r="AE2764" t="s">
        <v>1416</v>
      </c>
      <c r="AF2764">
        <v>0</v>
      </c>
      <c r="AG2764" t="s">
        <v>249</v>
      </c>
      <c r="AH2764">
        <f>SUM((MID(Dyno_Data[[#This Row],[Team]],4,5))+(Dyno_Data[[#This Row],[Match]]/100))</f>
        <v>20.52</v>
      </c>
      <c r="AI2764" s="76">
        <f>ROUND(SUM(IF(Dyno_Data[[#This Row],[AcqCenter]]&gt;0,Dyno_Data[[#This Row],[Time]]-SUMIFS(Dyno_Data[Time],Dyno_Data[Team],Dyno_Data[[#This Row],[Team]],Dyno_Data[RecordType],"StartMatch",Dyno_Data[Match],Dyno_Data[[#This Row],[Match]]),0)*86400),0)</f>
        <v>0</v>
      </c>
    </row>
    <row r="2765" spans="1:35" x14ac:dyDescent="0.3">
      <c r="A2765">
        <v>2764</v>
      </c>
      <c r="B2765" t="s">
        <v>1317</v>
      </c>
      <c r="C2765">
        <v>52</v>
      </c>
      <c r="D2765" s="105">
        <v>45373.727030011571</v>
      </c>
      <c r="E2765" t="s">
        <v>312</v>
      </c>
      <c r="F2765" t="s">
        <v>1402</v>
      </c>
      <c r="G2765">
        <v>0</v>
      </c>
      <c r="H2765" t="s">
        <v>315</v>
      </c>
      <c r="I2765">
        <v>0</v>
      </c>
      <c r="J2765">
        <v>0</v>
      </c>
      <c r="K2765">
        <v>0</v>
      </c>
      <c r="L2765" t="s">
        <v>240</v>
      </c>
      <c r="M2765" t="s">
        <v>1398</v>
      </c>
      <c r="N2765">
        <v>0</v>
      </c>
      <c r="O2765" t="s">
        <v>1393</v>
      </c>
      <c r="P2765" t="s">
        <v>310</v>
      </c>
      <c r="Q2765" t="s">
        <v>310</v>
      </c>
      <c r="R2765" t="s">
        <v>310</v>
      </c>
      <c r="S2765">
        <v>9</v>
      </c>
      <c r="T2765" t="s">
        <v>310</v>
      </c>
      <c r="U2765">
        <v>9</v>
      </c>
      <c r="V2765">
        <v>9</v>
      </c>
      <c r="W2765">
        <v>0</v>
      </c>
      <c r="X2765">
        <v>0</v>
      </c>
      <c r="Y2765">
        <v>0</v>
      </c>
      <c r="Z2765">
        <v>0</v>
      </c>
      <c r="AA2765">
        <v>9</v>
      </c>
      <c r="AB2765">
        <v>9</v>
      </c>
      <c r="AC2765" t="s">
        <v>310</v>
      </c>
      <c r="AD2765">
        <v>9</v>
      </c>
      <c r="AE2765" t="s">
        <v>1394</v>
      </c>
      <c r="AF2765">
        <v>10000000</v>
      </c>
      <c r="AG2765" t="s">
        <v>310</v>
      </c>
      <c r="AH2765">
        <f>SUM((MID(Dyno_Data[[#This Row],[Team]],4,5))+(Dyno_Data[[#This Row],[Match]]/100))</f>
        <v>296.52</v>
      </c>
      <c r="AI2765" s="76">
        <f>ROUND(SUM(IF(Dyno_Data[[#This Row],[AcqCenter]]&gt;0,Dyno_Data[[#This Row],[Time]]-SUMIFS(Dyno_Data[Time],Dyno_Data[Team],Dyno_Data[[#This Row],[Team]],Dyno_Data[RecordType],"StartMatch",Dyno_Data[Match],Dyno_Data[[#This Row],[Match]]),0)*86400),0)</f>
        <v>0</v>
      </c>
    </row>
    <row r="2766" spans="1:35" x14ac:dyDescent="0.3">
      <c r="A2766">
        <v>2765</v>
      </c>
      <c r="B2766" t="s">
        <v>370</v>
      </c>
      <c r="C2766">
        <v>52</v>
      </c>
      <c r="D2766" s="105">
        <v>45373.727037349534</v>
      </c>
      <c r="E2766" t="s">
        <v>312</v>
      </c>
      <c r="F2766" t="s">
        <v>1402</v>
      </c>
      <c r="G2766">
        <v>0</v>
      </c>
      <c r="H2766" t="s">
        <v>315</v>
      </c>
      <c r="I2766">
        <v>0</v>
      </c>
      <c r="J2766">
        <v>0</v>
      </c>
      <c r="K2766">
        <v>0</v>
      </c>
      <c r="L2766" t="s">
        <v>241</v>
      </c>
      <c r="M2766" t="s">
        <v>1398</v>
      </c>
      <c r="N2766">
        <v>0</v>
      </c>
      <c r="O2766" t="s">
        <v>1391</v>
      </c>
      <c r="P2766" t="s">
        <v>310</v>
      </c>
      <c r="Q2766" t="s">
        <v>310</v>
      </c>
      <c r="R2766" t="s">
        <v>310</v>
      </c>
      <c r="S2766">
        <v>9</v>
      </c>
      <c r="T2766" t="s">
        <v>310</v>
      </c>
      <c r="U2766">
        <v>9</v>
      </c>
      <c r="V2766">
        <v>9</v>
      </c>
      <c r="W2766">
        <v>0</v>
      </c>
      <c r="X2766">
        <v>0</v>
      </c>
      <c r="Y2766">
        <v>0</v>
      </c>
      <c r="Z2766">
        <v>0</v>
      </c>
      <c r="AA2766">
        <v>9</v>
      </c>
      <c r="AB2766">
        <v>9</v>
      </c>
      <c r="AC2766" t="s">
        <v>310</v>
      </c>
      <c r="AD2766">
        <v>9</v>
      </c>
      <c r="AE2766" t="s">
        <v>1418</v>
      </c>
      <c r="AF2766">
        <v>10000000</v>
      </c>
      <c r="AG2766" t="s">
        <v>310</v>
      </c>
      <c r="AH2766">
        <f>SUM((MID(Dyno_Data[[#This Row],[Team]],4,5))+(Dyno_Data[[#This Row],[Match]]/100))</f>
        <v>6911.52</v>
      </c>
      <c r="AI2766" s="76">
        <f>ROUND(SUM(IF(Dyno_Data[[#This Row],[AcqCenter]]&gt;0,Dyno_Data[[#This Row],[Time]]-SUMIFS(Dyno_Data[Time],Dyno_Data[Team],Dyno_Data[[#This Row],[Team]],Dyno_Data[RecordType],"StartMatch",Dyno_Data[Match],Dyno_Data[[#This Row],[Match]]),0)*86400),0)</f>
        <v>0</v>
      </c>
    </row>
    <row r="2767" spans="1:35" x14ac:dyDescent="0.3">
      <c r="A2767">
        <v>2766</v>
      </c>
      <c r="B2767" t="s">
        <v>1290</v>
      </c>
      <c r="C2767">
        <v>52</v>
      </c>
      <c r="D2767" s="105">
        <v>45373.727056793985</v>
      </c>
      <c r="E2767" t="s">
        <v>312</v>
      </c>
      <c r="F2767" t="s">
        <v>1402</v>
      </c>
      <c r="G2767">
        <v>0</v>
      </c>
      <c r="H2767" t="s">
        <v>315</v>
      </c>
      <c r="I2767">
        <v>0</v>
      </c>
      <c r="J2767">
        <v>0</v>
      </c>
      <c r="K2767">
        <v>0</v>
      </c>
      <c r="L2767" t="s">
        <v>241</v>
      </c>
      <c r="M2767" t="s">
        <v>1398</v>
      </c>
      <c r="N2767">
        <v>0</v>
      </c>
      <c r="O2767" t="s">
        <v>311</v>
      </c>
      <c r="P2767" t="s">
        <v>310</v>
      </c>
      <c r="Q2767" t="s">
        <v>310</v>
      </c>
      <c r="R2767" t="s">
        <v>310</v>
      </c>
      <c r="S2767">
        <v>9</v>
      </c>
      <c r="T2767" t="s">
        <v>310</v>
      </c>
      <c r="U2767">
        <v>9</v>
      </c>
      <c r="V2767">
        <v>9</v>
      </c>
      <c r="W2767">
        <v>0</v>
      </c>
      <c r="X2767">
        <v>0</v>
      </c>
      <c r="Y2767">
        <v>0</v>
      </c>
      <c r="Z2767">
        <v>0</v>
      </c>
      <c r="AA2767">
        <v>9</v>
      </c>
      <c r="AB2767">
        <v>9</v>
      </c>
      <c r="AC2767" t="s">
        <v>310</v>
      </c>
      <c r="AD2767">
        <v>9</v>
      </c>
      <c r="AE2767" t="s">
        <v>1417</v>
      </c>
      <c r="AF2767">
        <v>10000000</v>
      </c>
      <c r="AG2767" t="s">
        <v>310</v>
      </c>
      <c r="AH2767">
        <f>SUM((MID(Dyno_Data[[#This Row],[Team]],4,5))+(Dyno_Data[[#This Row],[Match]]/100))</f>
        <v>5881.52</v>
      </c>
      <c r="AI2767" s="76">
        <f>ROUND(SUM(IF(Dyno_Data[[#This Row],[AcqCenter]]&gt;0,Dyno_Data[[#This Row],[Time]]-SUMIFS(Dyno_Data[Time],Dyno_Data[Team],Dyno_Data[[#This Row],[Team]],Dyno_Data[RecordType],"StartMatch",Dyno_Data[Match],Dyno_Data[[#This Row],[Match]]),0)*86400),0)</f>
        <v>0</v>
      </c>
    </row>
    <row r="2768" spans="1:35" x14ac:dyDescent="0.3">
      <c r="A2768">
        <v>2767</v>
      </c>
      <c r="B2768" t="s">
        <v>1290</v>
      </c>
      <c r="C2768">
        <v>52</v>
      </c>
      <c r="D2768" s="105">
        <v>45373.727141631942</v>
      </c>
      <c r="E2768" t="s">
        <v>312</v>
      </c>
      <c r="F2768" t="s">
        <v>1402</v>
      </c>
      <c r="G2768">
        <v>0</v>
      </c>
      <c r="H2768" t="s">
        <v>315</v>
      </c>
      <c r="I2768">
        <v>0</v>
      </c>
      <c r="J2768">
        <v>0</v>
      </c>
      <c r="K2768">
        <v>0</v>
      </c>
      <c r="L2768" t="s">
        <v>241</v>
      </c>
      <c r="M2768" t="s">
        <v>1398</v>
      </c>
      <c r="N2768">
        <v>0</v>
      </c>
      <c r="O2768" t="s">
        <v>311</v>
      </c>
      <c r="P2768" t="s">
        <v>310</v>
      </c>
      <c r="Q2768" t="s">
        <v>310</v>
      </c>
      <c r="R2768" t="s">
        <v>310</v>
      </c>
      <c r="S2768">
        <v>9</v>
      </c>
      <c r="T2768" t="s">
        <v>310</v>
      </c>
      <c r="U2768">
        <v>9</v>
      </c>
      <c r="V2768">
        <v>9</v>
      </c>
      <c r="W2768">
        <v>0</v>
      </c>
      <c r="X2768">
        <v>0</v>
      </c>
      <c r="Y2768">
        <v>0</v>
      </c>
      <c r="Z2768">
        <v>0</v>
      </c>
      <c r="AA2768">
        <v>9</v>
      </c>
      <c r="AB2768">
        <v>9</v>
      </c>
      <c r="AC2768" t="s">
        <v>310</v>
      </c>
      <c r="AD2768">
        <v>9</v>
      </c>
      <c r="AE2768" t="s">
        <v>1417</v>
      </c>
      <c r="AF2768">
        <v>20000000</v>
      </c>
      <c r="AG2768" t="s">
        <v>310</v>
      </c>
      <c r="AH2768">
        <f>SUM((MID(Dyno_Data[[#This Row],[Team]],4,5))+(Dyno_Data[[#This Row],[Match]]/100))</f>
        <v>5881.52</v>
      </c>
      <c r="AI2768" s="76">
        <f>ROUND(SUM(IF(Dyno_Data[[#This Row],[AcqCenter]]&gt;0,Dyno_Data[[#This Row],[Time]]-SUMIFS(Dyno_Data[Time],Dyno_Data[Team],Dyno_Data[[#This Row],[Team]],Dyno_Data[RecordType],"StartMatch",Dyno_Data[Match],Dyno_Data[[#This Row],[Match]]),0)*86400),0)</f>
        <v>0</v>
      </c>
    </row>
    <row r="2769" spans="1:35" x14ac:dyDescent="0.3">
      <c r="A2769">
        <v>2768</v>
      </c>
      <c r="B2769" t="s">
        <v>1317</v>
      </c>
      <c r="C2769">
        <v>52</v>
      </c>
      <c r="D2769" s="105">
        <v>45373.727145914352</v>
      </c>
      <c r="E2769" t="s">
        <v>312</v>
      </c>
      <c r="F2769" t="s">
        <v>1402</v>
      </c>
      <c r="G2769">
        <v>0</v>
      </c>
      <c r="H2769" t="s">
        <v>315</v>
      </c>
      <c r="I2769">
        <v>0</v>
      </c>
      <c r="J2769">
        <v>0</v>
      </c>
      <c r="K2769">
        <v>0</v>
      </c>
      <c r="L2769" t="s">
        <v>240</v>
      </c>
      <c r="M2769" t="s">
        <v>1398</v>
      </c>
      <c r="N2769">
        <v>0</v>
      </c>
      <c r="O2769" t="s">
        <v>1393</v>
      </c>
      <c r="P2769" t="s">
        <v>310</v>
      </c>
      <c r="Q2769" t="s">
        <v>310</v>
      </c>
      <c r="R2769" t="s">
        <v>310</v>
      </c>
      <c r="S2769">
        <v>9</v>
      </c>
      <c r="T2769" t="s">
        <v>310</v>
      </c>
      <c r="U2769">
        <v>9</v>
      </c>
      <c r="V2769">
        <v>9</v>
      </c>
      <c r="W2769">
        <v>0</v>
      </c>
      <c r="X2769">
        <v>0</v>
      </c>
      <c r="Y2769">
        <v>0</v>
      </c>
      <c r="Z2769">
        <v>0</v>
      </c>
      <c r="AA2769">
        <v>9</v>
      </c>
      <c r="AB2769">
        <v>9</v>
      </c>
      <c r="AC2769" t="s">
        <v>310</v>
      </c>
      <c r="AD2769">
        <v>9</v>
      </c>
      <c r="AE2769" t="s">
        <v>1394</v>
      </c>
      <c r="AF2769">
        <v>20000000</v>
      </c>
      <c r="AG2769" t="s">
        <v>310</v>
      </c>
      <c r="AH2769">
        <f>SUM((MID(Dyno_Data[[#This Row],[Team]],4,5))+(Dyno_Data[[#This Row],[Match]]/100))</f>
        <v>296.52</v>
      </c>
      <c r="AI2769" s="76">
        <f>ROUND(SUM(IF(Dyno_Data[[#This Row],[AcqCenter]]&gt;0,Dyno_Data[[#This Row],[Time]]-SUMIFS(Dyno_Data[Time],Dyno_Data[Team],Dyno_Data[[#This Row],[Team]],Dyno_Data[RecordType],"StartMatch",Dyno_Data[Match],Dyno_Data[[#This Row],[Match]]),0)*86400),0)</f>
        <v>0</v>
      </c>
    </row>
    <row r="2770" spans="1:35" x14ac:dyDescent="0.3">
      <c r="A2770">
        <v>2769</v>
      </c>
      <c r="B2770" t="s">
        <v>370</v>
      </c>
      <c r="C2770">
        <v>52</v>
      </c>
      <c r="D2770" s="105">
        <v>45373.727152430554</v>
      </c>
      <c r="E2770" t="s">
        <v>312</v>
      </c>
      <c r="F2770" t="s">
        <v>1402</v>
      </c>
      <c r="G2770">
        <v>0</v>
      </c>
      <c r="H2770" t="s">
        <v>315</v>
      </c>
      <c r="I2770">
        <v>0</v>
      </c>
      <c r="J2770">
        <v>0</v>
      </c>
      <c r="K2770">
        <v>0</v>
      </c>
      <c r="L2770" t="s">
        <v>241</v>
      </c>
      <c r="M2770" t="s">
        <v>1398</v>
      </c>
      <c r="N2770">
        <v>0</v>
      </c>
      <c r="O2770" t="s">
        <v>1391</v>
      </c>
      <c r="P2770" t="s">
        <v>310</v>
      </c>
      <c r="Q2770" t="s">
        <v>310</v>
      </c>
      <c r="R2770" t="s">
        <v>310</v>
      </c>
      <c r="S2770">
        <v>9</v>
      </c>
      <c r="T2770" t="s">
        <v>310</v>
      </c>
      <c r="U2770">
        <v>9</v>
      </c>
      <c r="V2770">
        <v>9</v>
      </c>
      <c r="W2770">
        <v>0</v>
      </c>
      <c r="X2770">
        <v>0</v>
      </c>
      <c r="Y2770">
        <v>0</v>
      </c>
      <c r="Z2770">
        <v>0</v>
      </c>
      <c r="AA2770">
        <v>9</v>
      </c>
      <c r="AB2770">
        <v>9</v>
      </c>
      <c r="AC2770" t="s">
        <v>310</v>
      </c>
      <c r="AD2770">
        <v>9</v>
      </c>
      <c r="AE2770" t="s">
        <v>1418</v>
      </c>
      <c r="AF2770">
        <v>20000000</v>
      </c>
      <c r="AG2770" t="s">
        <v>310</v>
      </c>
      <c r="AH2770">
        <f>SUM((MID(Dyno_Data[[#This Row],[Team]],4,5))+(Dyno_Data[[#This Row],[Match]]/100))</f>
        <v>6911.52</v>
      </c>
      <c r="AI2770" s="76">
        <f>ROUND(SUM(IF(Dyno_Data[[#This Row],[AcqCenter]]&gt;0,Dyno_Data[[#This Row],[Time]]-SUMIFS(Dyno_Data[Time],Dyno_Data[Team],Dyno_Data[[#This Row],[Team]],Dyno_Data[RecordType],"StartMatch",Dyno_Data[Match],Dyno_Data[[#This Row],[Match]]),0)*86400),0)</f>
        <v>0</v>
      </c>
    </row>
    <row r="2771" spans="1:35" x14ac:dyDescent="0.3">
      <c r="A2771">
        <v>2770</v>
      </c>
      <c r="B2771" t="s">
        <v>1317</v>
      </c>
      <c r="C2771">
        <v>52</v>
      </c>
      <c r="D2771" s="105">
        <v>45373.727218252316</v>
      </c>
      <c r="E2771" t="s">
        <v>312</v>
      </c>
      <c r="F2771" t="s">
        <v>1402</v>
      </c>
      <c r="G2771">
        <v>0</v>
      </c>
      <c r="H2771" t="s">
        <v>315</v>
      </c>
      <c r="I2771">
        <v>0</v>
      </c>
      <c r="J2771">
        <v>0</v>
      </c>
      <c r="K2771">
        <v>0</v>
      </c>
      <c r="L2771" t="s">
        <v>240</v>
      </c>
      <c r="M2771" t="s">
        <v>1398</v>
      </c>
      <c r="N2771">
        <v>0</v>
      </c>
      <c r="O2771" t="s">
        <v>1393</v>
      </c>
      <c r="P2771" t="s">
        <v>310</v>
      </c>
      <c r="Q2771" t="s">
        <v>310</v>
      </c>
      <c r="R2771" t="s">
        <v>310</v>
      </c>
      <c r="S2771">
        <v>9</v>
      </c>
      <c r="T2771" t="s">
        <v>310</v>
      </c>
      <c r="U2771">
        <v>9</v>
      </c>
      <c r="V2771">
        <v>9</v>
      </c>
      <c r="W2771">
        <v>0</v>
      </c>
      <c r="X2771">
        <v>0</v>
      </c>
      <c r="Y2771">
        <v>0</v>
      </c>
      <c r="Z2771">
        <v>0</v>
      </c>
      <c r="AA2771">
        <v>9</v>
      </c>
      <c r="AB2771">
        <v>9</v>
      </c>
      <c r="AC2771" t="s">
        <v>310</v>
      </c>
      <c r="AD2771">
        <v>9</v>
      </c>
      <c r="AE2771" t="s">
        <v>1394</v>
      </c>
      <c r="AF2771">
        <v>30000000</v>
      </c>
      <c r="AG2771" t="s">
        <v>310</v>
      </c>
      <c r="AH2771">
        <f>SUM((MID(Dyno_Data[[#This Row],[Team]],4,5))+(Dyno_Data[[#This Row],[Match]]/100))</f>
        <v>296.52</v>
      </c>
      <c r="AI2771" s="76">
        <f>ROUND(SUM(IF(Dyno_Data[[#This Row],[AcqCenter]]&gt;0,Dyno_Data[[#This Row],[Time]]-SUMIFS(Dyno_Data[Time],Dyno_Data[Team],Dyno_Data[[#This Row],[Team]],Dyno_Data[RecordType],"StartMatch",Dyno_Data[Match],Dyno_Data[[#This Row],[Match]]),0)*86400),0)</f>
        <v>0</v>
      </c>
    </row>
    <row r="2772" spans="1:35" x14ac:dyDescent="0.3">
      <c r="A2772">
        <v>2771</v>
      </c>
      <c r="B2772" t="s">
        <v>1303</v>
      </c>
      <c r="C2772">
        <v>52</v>
      </c>
      <c r="D2772" s="105">
        <v>45373.727218321757</v>
      </c>
      <c r="E2772" t="s">
        <v>1403</v>
      </c>
      <c r="F2772" t="s">
        <v>1402</v>
      </c>
      <c r="G2772">
        <v>0</v>
      </c>
      <c r="H2772" t="s">
        <v>310</v>
      </c>
      <c r="I2772">
        <v>0</v>
      </c>
      <c r="J2772">
        <v>0</v>
      </c>
      <c r="K2772">
        <v>0</v>
      </c>
      <c r="L2772" t="s">
        <v>310</v>
      </c>
      <c r="M2772" t="s">
        <v>310</v>
      </c>
      <c r="N2772">
        <v>0</v>
      </c>
      <c r="O2772" t="s">
        <v>1389</v>
      </c>
      <c r="P2772" t="s">
        <v>310</v>
      </c>
      <c r="Q2772" t="s">
        <v>310</v>
      </c>
      <c r="R2772" t="s">
        <v>310</v>
      </c>
      <c r="S2772">
        <v>9</v>
      </c>
      <c r="T2772" t="s">
        <v>310</v>
      </c>
      <c r="U2772">
        <v>9</v>
      </c>
      <c r="V2772">
        <v>9</v>
      </c>
      <c r="W2772">
        <v>0</v>
      </c>
      <c r="X2772">
        <v>0</v>
      </c>
      <c r="Y2772">
        <v>0</v>
      </c>
      <c r="Z2772">
        <v>0</v>
      </c>
      <c r="AA2772">
        <v>9</v>
      </c>
      <c r="AB2772">
        <v>9</v>
      </c>
      <c r="AC2772" t="s">
        <v>310</v>
      </c>
      <c r="AD2772">
        <v>9</v>
      </c>
      <c r="AE2772" t="s">
        <v>1392</v>
      </c>
      <c r="AF2772">
        <v>30000000</v>
      </c>
      <c r="AG2772" t="s">
        <v>249</v>
      </c>
      <c r="AH2772">
        <f>SUM((MID(Dyno_Data[[#This Row],[Team]],4,5))+(Dyno_Data[[#This Row],[Match]]/100))</f>
        <v>7605.52</v>
      </c>
      <c r="AI2772" s="76">
        <f>ROUND(SUM(IF(Dyno_Data[[#This Row],[AcqCenter]]&gt;0,Dyno_Data[[#This Row],[Time]]-SUMIFS(Dyno_Data[Time],Dyno_Data[Team],Dyno_Data[[#This Row],[Team]],Dyno_Data[RecordType],"StartMatch",Dyno_Data[Match],Dyno_Data[[#This Row],[Match]]),0)*86400),0)</f>
        <v>0</v>
      </c>
    </row>
    <row r="2773" spans="1:35" x14ac:dyDescent="0.3">
      <c r="A2773">
        <v>2772</v>
      </c>
      <c r="B2773" t="s">
        <v>361</v>
      </c>
      <c r="C2773">
        <v>52</v>
      </c>
      <c r="D2773" s="105">
        <v>45373.727237118059</v>
      </c>
      <c r="E2773" t="s">
        <v>312</v>
      </c>
      <c r="F2773" t="s">
        <v>1402</v>
      </c>
      <c r="G2773">
        <v>0</v>
      </c>
      <c r="H2773" t="s">
        <v>315</v>
      </c>
      <c r="I2773">
        <v>0</v>
      </c>
      <c r="J2773">
        <v>0</v>
      </c>
      <c r="K2773">
        <v>0</v>
      </c>
      <c r="L2773" t="s">
        <v>241</v>
      </c>
      <c r="M2773" t="s">
        <v>101</v>
      </c>
      <c r="N2773">
        <v>0</v>
      </c>
      <c r="O2773" t="s">
        <v>1395</v>
      </c>
      <c r="P2773" t="s">
        <v>310</v>
      </c>
      <c r="Q2773" t="s">
        <v>310</v>
      </c>
      <c r="R2773" t="s">
        <v>310</v>
      </c>
      <c r="S2773">
        <v>9</v>
      </c>
      <c r="T2773" t="s">
        <v>310</v>
      </c>
      <c r="U2773">
        <v>9</v>
      </c>
      <c r="V2773">
        <v>9</v>
      </c>
      <c r="W2773">
        <v>0</v>
      </c>
      <c r="X2773">
        <v>0</v>
      </c>
      <c r="Y2773">
        <v>0</v>
      </c>
      <c r="Z2773">
        <v>0</v>
      </c>
      <c r="AA2773">
        <v>9</v>
      </c>
      <c r="AB2773">
        <v>9</v>
      </c>
      <c r="AC2773" t="s">
        <v>310</v>
      </c>
      <c r="AD2773">
        <v>9</v>
      </c>
      <c r="AE2773" t="s">
        <v>1416</v>
      </c>
      <c r="AF2773">
        <v>10000000</v>
      </c>
      <c r="AG2773" t="s">
        <v>310</v>
      </c>
      <c r="AH2773">
        <f>SUM((MID(Dyno_Data[[#This Row],[Team]],4,5))+(Dyno_Data[[#This Row],[Match]]/100))</f>
        <v>20.52</v>
      </c>
      <c r="AI2773" s="76">
        <f>ROUND(SUM(IF(Dyno_Data[[#This Row],[AcqCenter]]&gt;0,Dyno_Data[[#This Row],[Time]]-SUMIFS(Dyno_Data[Time],Dyno_Data[Team],Dyno_Data[[#This Row],[Team]],Dyno_Data[RecordType],"StartMatch",Dyno_Data[Match],Dyno_Data[[#This Row],[Match]]),0)*86400),0)</f>
        <v>0</v>
      </c>
    </row>
    <row r="2774" spans="1:35" x14ac:dyDescent="0.3">
      <c r="A2774">
        <v>2773</v>
      </c>
      <c r="B2774" t="s">
        <v>370</v>
      </c>
      <c r="C2774">
        <v>52</v>
      </c>
      <c r="D2774" s="105">
        <v>45373.727247916664</v>
      </c>
      <c r="E2774" t="s">
        <v>312</v>
      </c>
      <c r="F2774" t="s">
        <v>1402</v>
      </c>
      <c r="G2774">
        <v>0</v>
      </c>
      <c r="H2774" t="s">
        <v>315</v>
      </c>
      <c r="I2774">
        <v>0</v>
      </c>
      <c r="J2774">
        <v>0</v>
      </c>
      <c r="K2774">
        <v>0</v>
      </c>
      <c r="L2774" t="s">
        <v>241</v>
      </c>
      <c r="M2774" t="s">
        <v>241</v>
      </c>
      <c r="N2774">
        <v>0</v>
      </c>
      <c r="O2774" t="s">
        <v>1391</v>
      </c>
      <c r="P2774" t="s">
        <v>310</v>
      </c>
      <c r="Q2774" t="s">
        <v>310</v>
      </c>
      <c r="R2774" t="s">
        <v>310</v>
      </c>
      <c r="S2774">
        <v>9</v>
      </c>
      <c r="T2774" t="s">
        <v>310</v>
      </c>
      <c r="U2774">
        <v>9</v>
      </c>
      <c r="V2774">
        <v>9</v>
      </c>
      <c r="W2774">
        <v>0</v>
      </c>
      <c r="X2774">
        <v>0</v>
      </c>
      <c r="Y2774">
        <v>0</v>
      </c>
      <c r="Z2774">
        <v>0</v>
      </c>
      <c r="AA2774">
        <v>9</v>
      </c>
      <c r="AB2774">
        <v>9</v>
      </c>
      <c r="AC2774" t="s">
        <v>310</v>
      </c>
      <c r="AD2774">
        <v>9</v>
      </c>
      <c r="AE2774" t="s">
        <v>1418</v>
      </c>
      <c r="AF2774">
        <v>30000000</v>
      </c>
      <c r="AG2774" t="s">
        <v>310</v>
      </c>
      <c r="AH2774">
        <f>SUM((MID(Dyno_Data[[#This Row],[Team]],4,5))+(Dyno_Data[[#This Row],[Match]]/100))</f>
        <v>6911.52</v>
      </c>
      <c r="AI2774" s="76">
        <f>ROUND(SUM(IF(Dyno_Data[[#This Row],[AcqCenter]]&gt;0,Dyno_Data[[#This Row],[Time]]-SUMIFS(Dyno_Data[Time],Dyno_Data[Team],Dyno_Data[[#This Row],[Team]],Dyno_Data[RecordType],"StartMatch",Dyno_Data[Match],Dyno_Data[[#This Row],[Match]]),0)*86400),0)</f>
        <v>0</v>
      </c>
    </row>
    <row r="2775" spans="1:35" x14ac:dyDescent="0.3">
      <c r="A2775">
        <v>2774</v>
      </c>
      <c r="B2775" t="s">
        <v>1317</v>
      </c>
      <c r="C2775">
        <v>52</v>
      </c>
      <c r="D2775" s="105">
        <v>45373.72732179398</v>
      </c>
      <c r="E2775" t="s">
        <v>312</v>
      </c>
      <c r="F2775" t="s">
        <v>1402</v>
      </c>
      <c r="G2775">
        <v>0</v>
      </c>
      <c r="H2775" t="s">
        <v>315</v>
      </c>
      <c r="I2775">
        <v>0</v>
      </c>
      <c r="J2775">
        <v>0</v>
      </c>
      <c r="K2775">
        <v>0</v>
      </c>
      <c r="L2775" t="s">
        <v>240</v>
      </c>
      <c r="M2775" t="s">
        <v>1398</v>
      </c>
      <c r="N2775">
        <v>0</v>
      </c>
      <c r="O2775" t="s">
        <v>1393</v>
      </c>
      <c r="P2775" t="s">
        <v>310</v>
      </c>
      <c r="Q2775" t="s">
        <v>310</v>
      </c>
      <c r="R2775" t="s">
        <v>310</v>
      </c>
      <c r="S2775">
        <v>9</v>
      </c>
      <c r="T2775" t="s">
        <v>310</v>
      </c>
      <c r="U2775">
        <v>9</v>
      </c>
      <c r="V2775">
        <v>9</v>
      </c>
      <c r="W2775">
        <v>0</v>
      </c>
      <c r="X2775">
        <v>0</v>
      </c>
      <c r="Y2775">
        <v>0</v>
      </c>
      <c r="Z2775">
        <v>0</v>
      </c>
      <c r="AA2775">
        <v>9</v>
      </c>
      <c r="AB2775">
        <v>9</v>
      </c>
      <c r="AC2775" t="s">
        <v>310</v>
      </c>
      <c r="AD2775">
        <v>9</v>
      </c>
      <c r="AE2775" t="s">
        <v>1394</v>
      </c>
      <c r="AF2775">
        <v>40000000</v>
      </c>
      <c r="AG2775" t="s">
        <v>310</v>
      </c>
      <c r="AH2775">
        <f>SUM((MID(Dyno_Data[[#This Row],[Team]],4,5))+(Dyno_Data[[#This Row],[Match]]/100))</f>
        <v>296.52</v>
      </c>
      <c r="AI2775" s="76">
        <f>ROUND(SUM(IF(Dyno_Data[[#This Row],[AcqCenter]]&gt;0,Dyno_Data[[#This Row],[Time]]-SUMIFS(Dyno_Data[Time],Dyno_Data[Team],Dyno_Data[[#This Row],[Team]],Dyno_Data[RecordType],"StartMatch",Dyno_Data[Match],Dyno_Data[[#This Row],[Match]]),0)*86400),0)</f>
        <v>0</v>
      </c>
    </row>
    <row r="2776" spans="1:35" x14ac:dyDescent="0.3">
      <c r="A2776">
        <v>2775</v>
      </c>
      <c r="B2776" t="s">
        <v>370</v>
      </c>
      <c r="C2776">
        <v>52</v>
      </c>
      <c r="D2776" s="105">
        <v>45373.727344826388</v>
      </c>
      <c r="E2776" t="s">
        <v>312</v>
      </c>
      <c r="F2776" t="s">
        <v>1402</v>
      </c>
      <c r="G2776">
        <v>0</v>
      </c>
      <c r="H2776" t="s">
        <v>315</v>
      </c>
      <c r="I2776">
        <v>0</v>
      </c>
      <c r="J2776">
        <v>0</v>
      </c>
      <c r="K2776">
        <v>0</v>
      </c>
      <c r="L2776" t="s">
        <v>241</v>
      </c>
      <c r="M2776" t="s">
        <v>1398</v>
      </c>
      <c r="N2776">
        <v>0</v>
      </c>
      <c r="O2776" t="s">
        <v>1391</v>
      </c>
      <c r="P2776" t="s">
        <v>310</v>
      </c>
      <c r="Q2776" t="s">
        <v>310</v>
      </c>
      <c r="R2776" t="s">
        <v>310</v>
      </c>
      <c r="S2776">
        <v>9</v>
      </c>
      <c r="T2776" t="s">
        <v>310</v>
      </c>
      <c r="U2776">
        <v>9</v>
      </c>
      <c r="V2776">
        <v>9</v>
      </c>
      <c r="W2776">
        <v>0</v>
      </c>
      <c r="X2776">
        <v>0</v>
      </c>
      <c r="Y2776">
        <v>0</v>
      </c>
      <c r="Z2776">
        <v>0</v>
      </c>
      <c r="AA2776">
        <v>9</v>
      </c>
      <c r="AB2776">
        <v>9</v>
      </c>
      <c r="AC2776" t="s">
        <v>310</v>
      </c>
      <c r="AD2776">
        <v>9</v>
      </c>
      <c r="AE2776" t="s">
        <v>1418</v>
      </c>
      <c r="AF2776">
        <v>40000000</v>
      </c>
      <c r="AG2776" t="s">
        <v>310</v>
      </c>
      <c r="AH2776">
        <f>SUM((MID(Dyno_Data[[#This Row],[Team]],4,5))+(Dyno_Data[[#This Row],[Match]]/100))</f>
        <v>6911.52</v>
      </c>
      <c r="AI2776" s="76">
        <f>ROUND(SUM(IF(Dyno_Data[[#This Row],[AcqCenter]]&gt;0,Dyno_Data[[#This Row],[Time]]-SUMIFS(Dyno_Data[Time],Dyno_Data[Team],Dyno_Data[[#This Row],[Team]],Dyno_Data[RecordType],"StartMatch",Dyno_Data[Match],Dyno_Data[[#This Row],[Match]]),0)*86400),0)</f>
        <v>0</v>
      </c>
    </row>
    <row r="2777" spans="1:35" x14ac:dyDescent="0.3">
      <c r="A2777">
        <v>2776</v>
      </c>
      <c r="B2777" t="s">
        <v>1290</v>
      </c>
      <c r="C2777">
        <v>52</v>
      </c>
      <c r="D2777" s="105">
        <v>45373.727361608799</v>
      </c>
      <c r="E2777" t="s">
        <v>312</v>
      </c>
      <c r="F2777" t="s">
        <v>1402</v>
      </c>
      <c r="G2777">
        <v>0</v>
      </c>
      <c r="H2777" t="s">
        <v>315</v>
      </c>
      <c r="I2777">
        <v>0</v>
      </c>
      <c r="J2777">
        <v>0</v>
      </c>
      <c r="K2777">
        <v>0</v>
      </c>
      <c r="L2777" t="s">
        <v>241</v>
      </c>
      <c r="M2777" t="s">
        <v>1398</v>
      </c>
      <c r="N2777">
        <v>1</v>
      </c>
      <c r="O2777" t="s">
        <v>311</v>
      </c>
      <c r="P2777" t="s">
        <v>310</v>
      </c>
      <c r="Q2777" t="s">
        <v>310</v>
      </c>
      <c r="R2777" t="s">
        <v>310</v>
      </c>
      <c r="S2777">
        <v>9</v>
      </c>
      <c r="T2777" t="s">
        <v>310</v>
      </c>
      <c r="U2777">
        <v>9</v>
      </c>
      <c r="V2777">
        <v>9</v>
      </c>
      <c r="W2777">
        <v>0</v>
      </c>
      <c r="X2777">
        <v>0</v>
      </c>
      <c r="Y2777">
        <v>0</v>
      </c>
      <c r="Z2777">
        <v>0</v>
      </c>
      <c r="AA2777">
        <v>9</v>
      </c>
      <c r="AB2777">
        <v>9</v>
      </c>
      <c r="AC2777" t="s">
        <v>310</v>
      </c>
      <c r="AD2777">
        <v>9</v>
      </c>
      <c r="AE2777" t="s">
        <v>1417</v>
      </c>
      <c r="AF2777">
        <v>30000000</v>
      </c>
      <c r="AG2777" t="s">
        <v>310</v>
      </c>
      <c r="AH2777">
        <f>SUM((MID(Dyno_Data[[#This Row],[Team]],4,5))+(Dyno_Data[[#This Row],[Match]]/100))</f>
        <v>5881.52</v>
      </c>
      <c r="AI2777" s="76">
        <f>ROUND(SUM(IF(Dyno_Data[[#This Row],[AcqCenter]]&gt;0,Dyno_Data[[#This Row],[Time]]-SUMIFS(Dyno_Data[Time],Dyno_Data[Team],Dyno_Data[[#This Row],[Team]],Dyno_Data[RecordType],"StartMatch",Dyno_Data[Match],Dyno_Data[[#This Row],[Match]]),0)*86400),0)</f>
        <v>0</v>
      </c>
    </row>
    <row r="2778" spans="1:35" x14ac:dyDescent="0.3">
      <c r="A2778">
        <v>2777</v>
      </c>
      <c r="B2778" t="s">
        <v>361</v>
      </c>
      <c r="C2778">
        <v>52</v>
      </c>
      <c r="D2778" s="105">
        <v>45373.727452118059</v>
      </c>
      <c r="E2778" t="s">
        <v>312</v>
      </c>
      <c r="F2778" t="s">
        <v>1402</v>
      </c>
      <c r="G2778">
        <v>0</v>
      </c>
      <c r="H2778" t="s">
        <v>315</v>
      </c>
      <c r="I2778">
        <v>0</v>
      </c>
      <c r="J2778">
        <v>0</v>
      </c>
      <c r="K2778">
        <v>0</v>
      </c>
      <c r="L2778" t="s">
        <v>241</v>
      </c>
      <c r="M2778" t="s">
        <v>101</v>
      </c>
      <c r="N2778">
        <v>0</v>
      </c>
      <c r="O2778" t="s">
        <v>1395</v>
      </c>
      <c r="P2778" t="s">
        <v>310</v>
      </c>
      <c r="Q2778" t="s">
        <v>310</v>
      </c>
      <c r="R2778" t="s">
        <v>310</v>
      </c>
      <c r="S2778">
        <v>9</v>
      </c>
      <c r="T2778" t="s">
        <v>310</v>
      </c>
      <c r="U2778">
        <v>9</v>
      </c>
      <c r="V2778">
        <v>9</v>
      </c>
      <c r="W2778">
        <v>0</v>
      </c>
      <c r="X2778">
        <v>0</v>
      </c>
      <c r="Y2778">
        <v>0</v>
      </c>
      <c r="Z2778">
        <v>0</v>
      </c>
      <c r="AA2778">
        <v>9</v>
      </c>
      <c r="AB2778">
        <v>9</v>
      </c>
      <c r="AC2778" t="s">
        <v>310</v>
      </c>
      <c r="AD2778">
        <v>9</v>
      </c>
      <c r="AE2778" t="s">
        <v>1416</v>
      </c>
      <c r="AF2778">
        <v>20000000</v>
      </c>
      <c r="AG2778" t="s">
        <v>310</v>
      </c>
      <c r="AH2778">
        <f>SUM((MID(Dyno_Data[[#This Row],[Team]],4,5))+(Dyno_Data[[#This Row],[Match]]/100))</f>
        <v>20.52</v>
      </c>
      <c r="AI2778" s="76">
        <f>ROUND(SUM(IF(Dyno_Data[[#This Row],[AcqCenter]]&gt;0,Dyno_Data[[#This Row],[Time]]-SUMIFS(Dyno_Data[Time],Dyno_Data[Team],Dyno_Data[[#This Row],[Team]],Dyno_Data[RecordType],"StartMatch",Dyno_Data[Match],Dyno_Data[[#This Row],[Match]]),0)*86400),0)</f>
        <v>0</v>
      </c>
    </row>
    <row r="2779" spans="1:35" x14ac:dyDescent="0.3">
      <c r="A2779">
        <v>2778</v>
      </c>
      <c r="B2779" t="s">
        <v>1317</v>
      </c>
      <c r="C2779">
        <v>52</v>
      </c>
      <c r="D2779" s="105">
        <v>45373.727474652776</v>
      </c>
      <c r="E2779" t="s">
        <v>312</v>
      </c>
      <c r="F2779" t="s">
        <v>1402</v>
      </c>
      <c r="G2779">
        <v>0</v>
      </c>
      <c r="H2779" t="s">
        <v>315</v>
      </c>
      <c r="I2779">
        <v>0</v>
      </c>
      <c r="J2779">
        <v>0</v>
      </c>
      <c r="K2779">
        <v>0</v>
      </c>
      <c r="L2779" t="s">
        <v>240</v>
      </c>
      <c r="M2779" t="s">
        <v>1398</v>
      </c>
      <c r="N2779">
        <v>0</v>
      </c>
      <c r="O2779" t="s">
        <v>1393</v>
      </c>
      <c r="P2779" t="s">
        <v>310</v>
      </c>
      <c r="Q2779" t="s">
        <v>310</v>
      </c>
      <c r="R2779" t="s">
        <v>310</v>
      </c>
      <c r="S2779">
        <v>9</v>
      </c>
      <c r="T2779" t="s">
        <v>310</v>
      </c>
      <c r="U2779">
        <v>9</v>
      </c>
      <c r="V2779">
        <v>9</v>
      </c>
      <c r="W2779">
        <v>0</v>
      </c>
      <c r="X2779">
        <v>0</v>
      </c>
      <c r="Y2779">
        <v>0</v>
      </c>
      <c r="Z2779">
        <v>0</v>
      </c>
      <c r="AA2779">
        <v>9</v>
      </c>
      <c r="AB2779">
        <v>9</v>
      </c>
      <c r="AC2779" t="s">
        <v>310</v>
      </c>
      <c r="AD2779">
        <v>9</v>
      </c>
      <c r="AE2779" t="s">
        <v>1394</v>
      </c>
      <c r="AF2779">
        <v>50000000</v>
      </c>
      <c r="AG2779" t="s">
        <v>310</v>
      </c>
      <c r="AH2779">
        <f>SUM((MID(Dyno_Data[[#This Row],[Team]],4,5))+(Dyno_Data[[#This Row],[Match]]/100))</f>
        <v>296.52</v>
      </c>
      <c r="AI2779" s="76">
        <f>ROUND(SUM(IF(Dyno_Data[[#This Row],[AcqCenter]]&gt;0,Dyno_Data[[#This Row],[Time]]-SUMIFS(Dyno_Data[Time],Dyno_Data[Team],Dyno_Data[[#This Row],[Team]],Dyno_Data[RecordType],"StartMatch",Dyno_Data[Match],Dyno_Data[[#This Row],[Match]]),0)*86400),0)</f>
        <v>0</v>
      </c>
    </row>
    <row r="2780" spans="1:35" x14ac:dyDescent="0.3">
      <c r="A2780">
        <v>2779</v>
      </c>
      <c r="B2780" t="s">
        <v>370</v>
      </c>
      <c r="C2780">
        <v>52</v>
      </c>
      <c r="D2780" s="105">
        <v>45373.727565972222</v>
      </c>
      <c r="E2780" t="s">
        <v>312</v>
      </c>
      <c r="F2780" t="s">
        <v>1402</v>
      </c>
      <c r="G2780">
        <v>0</v>
      </c>
      <c r="H2780" t="s">
        <v>315</v>
      </c>
      <c r="I2780">
        <v>0</v>
      </c>
      <c r="J2780">
        <v>0</v>
      </c>
      <c r="K2780">
        <v>0</v>
      </c>
      <c r="L2780" t="s">
        <v>241</v>
      </c>
      <c r="M2780" t="s">
        <v>1398</v>
      </c>
      <c r="N2780">
        <v>0</v>
      </c>
      <c r="O2780" t="s">
        <v>1391</v>
      </c>
      <c r="P2780" t="s">
        <v>310</v>
      </c>
      <c r="Q2780" t="s">
        <v>310</v>
      </c>
      <c r="R2780" t="s">
        <v>310</v>
      </c>
      <c r="S2780">
        <v>9</v>
      </c>
      <c r="T2780" t="s">
        <v>310</v>
      </c>
      <c r="U2780">
        <v>9</v>
      </c>
      <c r="V2780">
        <v>9</v>
      </c>
      <c r="W2780">
        <v>0</v>
      </c>
      <c r="X2780">
        <v>0</v>
      </c>
      <c r="Y2780">
        <v>0</v>
      </c>
      <c r="Z2780">
        <v>0</v>
      </c>
      <c r="AA2780">
        <v>9</v>
      </c>
      <c r="AB2780">
        <v>9</v>
      </c>
      <c r="AC2780" t="s">
        <v>310</v>
      </c>
      <c r="AD2780">
        <v>9</v>
      </c>
      <c r="AE2780" t="s">
        <v>1418</v>
      </c>
      <c r="AF2780">
        <v>50000000</v>
      </c>
      <c r="AG2780" t="s">
        <v>310</v>
      </c>
      <c r="AH2780">
        <f>SUM((MID(Dyno_Data[[#This Row],[Team]],4,5))+(Dyno_Data[[#This Row],[Match]]/100))</f>
        <v>6911.52</v>
      </c>
      <c r="AI2780" s="76">
        <f>ROUND(SUM(IF(Dyno_Data[[#This Row],[AcqCenter]]&gt;0,Dyno_Data[[#This Row],[Time]]-SUMIFS(Dyno_Data[Time],Dyno_Data[Team],Dyno_Data[[#This Row],[Team]],Dyno_Data[RecordType],"StartMatch",Dyno_Data[Match],Dyno_Data[[#This Row],[Match]]),0)*86400),0)</f>
        <v>0</v>
      </c>
    </row>
    <row r="2781" spans="1:35" x14ac:dyDescent="0.3">
      <c r="A2781">
        <v>2780</v>
      </c>
      <c r="B2781" t="s">
        <v>1290</v>
      </c>
      <c r="C2781">
        <v>52</v>
      </c>
      <c r="D2781" s="105">
        <v>45373.727644675928</v>
      </c>
      <c r="E2781" t="s">
        <v>312</v>
      </c>
      <c r="F2781" t="s">
        <v>1402</v>
      </c>
      <c r="G2781">
        <v>0</v>
      </c>
      <c r="H2781" t="s">
        <v>315</v>
      </c>
      <c r="I2781">
        <v>0</v>
      </c>
      <c r="J2781">
        <v>0</v>
      </c>
      <c r="K2781">
        <v>0</v>
      </c>
      <c r="L2781" t="s">
        <v>241</v>
      </c>
      <c r="M2781" t="s">
        <v>1398</v>
      </c>
      <c r="N2781">
        <v>1</v>
      </c>
      <c r="O2781" t="s">
        <v>311</v>
      </c>
      <c r="P2781" t="s">
        <v>310</v>
      </c>
      <c r="Q2781" t="s">
        <v>310</v>
      </c>
      <c r="R2781" t="s">
        <v>310</v>
      </c>
      <c r="S2781">
        <v>9</v>
      </c>
      <c r="T2781" t="s">
        <v>310</v>
      </c>
      <c r="U2781">
        <v>9</v>
      </c>
      <c r="V2781">
        <v>9</v>
      </c>
      <c r="W2781">
        <v>0</v>
      </c>
      <c r="X2781">
        <v>0</v>
      </c>
      <c r="Y2781">
        <v>0</v>
      </c>
      <c r="Z2781">
        <v>0</v>
      </c>
      <c r="AA2781">
        <v>9</v>
      </c>
      <c r="AB2781">
        <v>9</v>
      </c>
      <c r="AC2781" t="s">
        <v>310</v>
      </c>
      <c r="AD2781">
        <v>9</v>
      </c>
      <c r="AE2781" t="s">
        <v>1417</v>
      </c>
      <c r="AF2781">
        <v>40000000</v>
      </c>
      <c r="AG2781" t="s">
        <v>310</v>
      </c>
      <c r="AH2781">
        <f>SUM((MID(Dyno_Data[[#This Row],[Team]],4,5))+(Dyno_Data[[#This Row],[Match]]/100))</f>
        <v>5881.52</v>
      </c>
      <c r="AI2781" s="76">
        <f>ROUND(SUM(IF(Dyno_Data[[#This Row],[AcqCenter]]&gt;0,Dyno_Data[[#This Row],[Time]]-SUMIFS(Dyno_Data[Time],Dyno_Data[Team],Dyno_Data[[#This Row],[Team]],Dyno_Data[RecordType],"StartMatch",Dyno_Data[Match],Dyno_Data[[#This Row],[Match]]),0)*86400),0)</f>
        <v>0</v>
      </c>
    </row>
    <row r="2782" spans="1:35" x14ac:dyDescent="0.3">
      <c r="A2782">
        <v>2781</v>
      </c>
      <c r="B2782" t="s">
        <v>361</v>
      </c>
      <c r="C2782">
        <v>52</v>
      </c>
      <c r="D2782" s="105">
        <v>45373.727685219907</v>
      </c>
      <c r="E2782" t="s">
        <v>312</v>
      </c>
      <c r="F2782" t="s">
        <v>1402</v>
      </c>
      <c r="G2782">
        <v>0</v>
      </c>
      <c r="H2782" t="s">
        <v>315</v>
      </c>
      <c r="I2782">
        <v>0</v>
      </c>
      <c r="J2782">
        <v>0</v>
      </c>
      <c r="K2782">
        <v>0</v>
      </c>
      <c r="L2782" t="s">
        <v>241</v>
      </c>
      <c r="M2782" t="s">
        <v>101</v>
      </c>
      <c r="N2782">
        <v>0</v>
      </c>
      <c r="O2782" t="s">
        <v>1395</v>
      </c>
      <c r="P2782" t="s">
        <v>310</v>
      </c>
      <c r="Q2782" t="s">
        <v>310</v>
      </c>
      <c r="R2782" t="s">
        <v>310</v>
      </c>
      <c r="S2782">
        <v>9</v>
      </c>
      <c r="T2782" t="s">
        <v>310</v>
      </c>
      <c r="U2782">
        <v>9</v>
      </c>
      <c r="V2782">
        <v>9</v>
      </c>
      <c r="W2782">
        <v>0</v>
      </c>
      <c r="X2782">
        <v>0</v>
      </c>
      <c r="Y2782">
        <v>0</v>
      </c>
      <c r="Z2782">
        <v>0</v>
      </c>
      <c r="AA2782">
        <v>9</v>
      </c>
      <c r="AB2782">
        <v>9</v>
      </c>
      <c r="AC2782" t="s">
        <v>310</v>
      </c>
      <c r="AD2782">
        <v>9</v>
      </c>
      <c r="AE2782" t="s">
        <v>1416</v>
      </c>
      <c r="AF2782">
        <v>30000000</v>
      </c>
      <c r="AG2782" t="s">
        <v>310</v>
      </c>
      <c r="AH2782">
        <f>SUM((MID(Dyno_Data[[#This Row],[Team]],4,5))+(Dyno_Data[[#This Row],[Match]]/100))</f>
        <v>20.52</v>
      </c>
      <c r="AI2782" s="76">
        <f>ROUND(SUM(IF(Dyno_Data[[#This Row],[AcqCenter]]&gt;0,Dyno_Data[[#This Row],[Time]]-SUMIFS(Dyno_Data[Time],Dyno_Data[Team],Dyno_Data[[#This Row],[Team]],Dyno_Data[RecordType],"StartMatch",Dyno_Data[Match],Dyno_Data[[#This Row],[Match]]),0)*86400),0)</f>
        <v>0</v>
      </c>
    </row>
    <row r="2783" spans="1:35" x14ac:dyDescent="0.3">
      <c r="A2783">
        <v>2782</v>
      </c>
      <c r="B2783" t="s">
        <v>370</v>
      </c>
      <c r="C2783">
        <v>52</v>
      </c>
      <c r="D2783" s="105">
        <v>45373.727727893522</v>
      </c>
      <c r="E2783" t="s">
        <v>312</v>
      </c>
      <c r="F2783" t="s">
        <v>1402</v>
      </c>
      <c r="G2783">
        <v>0</v>
      </c>
      <c r="H2783" t="s">
        <v>315</v>
      </c>
      <c r="I2783">
        <v>0</v>
      </c>
      <c r="J2783">
        <v>0</v>
      </c>
      <c r="K2783">
        <v>0</v>
      </c>
      <c r="L2783" t="s">
        <v>241</v>
      </c>
      <c r="M2783" t="s">
        <v>1398</v>
      </c>
      <c r="N2783">
        <v>1</v>
      </c>
      <c r="O2783" t="s">
        <v>1391</v>
      </c>
      <c r="P2783" t="s">
        <v>310</v>
      </c>
      <c r="Q2783" t="s">
        <v>310</v>
      </c>
      <c r="R2783" t="s">
        <v>310</v>
      </c>
      <c r="S2783">
        <v>9</v>
      </c>
      <c r="T2783" t="s">
        <v>310</v>
      </c>
      <c r="U2783">
        <v>9</v>
      </c>
      <c r="V2783">
        <v>9</v>
      </c>
      <c r="W2783">
        <v>0</v>
      </c>
      <c r="X2783">
        <v>0</v>
      </c>
      <c r="Y2783">
        <v>0</v>
      </c>
      <c r="Z2783">
        <v>0</v>
      </c>
      <c r="AA2783">
        <v>9</v>
      </c>
      <c r="AB2783">
        <v>9</v>
      </c>
      <c r="AC2783" t="s">
        <v>310</v>
      </c>
      <c r="AD2783">
        <v>9</v>
      </c>
      <c r="AE2783" t="s">
        <v>1418</v>
      </c>
      <c r="AF2783">
        <v>60000000</v>
      </c>
      <c r="AG2783" t="s">
        <v>310</v>
      </c>
      <c r="AH2783">
        <f>SUM((MID(Dyno_Data[[#This Row],[Team]],4,5))+(Dyno_Data[[#This Row],[Match]]/100))</f>
        <v>6911.52</v>
      </c>
      <c r="AI2783" s="76">
        <f>ROUND(SUM(IF(Dyno_Data[[#This Row],[AcqCenter]]&gt;0,Dyno_Data[[#This Row],[Time]]-SUMIFS(Dyno_Data[Time],Dyno_Data[Team],Dyno_Data[[#This Row],[Team]],Dyno_Data[RecordType],"StartMatch",Dyno_Data[Match],Dyno_Data[[#This Row],[Match]]),0)*86400),0)</f>
        <v>0</v>
      </c>
    </row>
    <row r="2784" spans="1:35" x14ac:dyDescent="0.3">
      <c r="A2784">
        <v>2783</v>
      </c>
      <c r="B2784" t="s">
        <v>1317</v>
      </c>
      <c r="C2784">
        <v>52</v>
      </c>
      <c r="D2784" s="105">
        <v>45373.727774305553</v>
      </c>
      <c r="E2784" t="s">
        <v>312</v>
      </c>
      <c r="F2784" t="s">
        <v>1402</v>
      </c>
      <c r="G2784">
        <v>0</v>
      </c>
      <c r="H2784" t="s">
        <v>315</v>
      </c>
      <c r="I2784">
        <v>0</v>
      </c>
      <c r="J2784">
        <v>0</v>
      </c>
      <c r="K2784">
        <v>0</v>
      </c>
      <c r="L2784" t="s">
        <v>240</v>
      </c>
      <c r="M2784" t="s">
        <v>1398</v>
      </c>
      <c r="N2784">
        <v>0</v>
      </c>
      <c r="O2784" t="s">
        <v>1393</v>
      </c>
      <c r="P2784" t="s">
        <v>310</v>
      </c>
      <c r="Q2784" t="s">
        <v>310</v>
      </c>
      <c r="R2784" t="s">
        <v>310</v>
      </c>
      <c r="S2784">
        <v>9</v>
      </c>
      <c r="T2784" t="s">
        <v>310</v>
      </c>
      <c r="U2784">
        <v>9</v>
      </c>
      <c r="V2784">
        <v>9</v>
      </c>
      <c r="W2784">
        <v>0</v>
      </c>
      <c r="X2784">
        <v>0</v>
      </c>
      <c r="Y2784">
        <v>0</v>
      </c>
      <c r="Z2784">
        <v>0</v>
      </c>
      <c r="AA2784">
        <v>9</v>
      </c>
      <c r="AB2784">
        <v>9</v>
      </c>
      <c r="AC2784" t="s">
        <v>310</v>
      </c>
      <c r="AD2784">
        <v>9</v>
      </c>
      <c r="AE2784" t="s">
        <v>1394</v>
      </c>
      <c r="AF2784">
        <v>60000000</v>
      </c>
      <c r="AG2784" t="s">
        <v>310</v>
      </c>
      <c r="AH2784">
        <f>SUM((MID(Dyno_Data[[#This Row],[Team]],4,5))+(Dyno_Data[[#This Row],[Match]]/100))</f>
        <v>296.52</v>
      </c>
      <c r="AI2784" s="76">
        <f>ROUND(SUM(IF(Dyno_Data[[#This Row],[AcqCenter]]&gt;0,Dyno_Data[[#This Row],[Time]]-SUMIFS(Dyno_Data[Time],Dyno_Data[Team],Dyno_Data[[#This Row],[Team]],Dyno_Data[RecordType],"StartMatch",Dyno_Data[Match],Dyno_Data[[#This Row],[Match]]),0)*86400),0)</f>
        <v>0</v>
      </c>
    </row>
    <row r="2785" spans="1:35" x14ac:dyDescent="0.3">
      <c r="A2785">
        <v>2784</v>
      </c>
      <c r="B2785" t="s">
        <v>370</v>
      </c>
      <c r="C2785">
        <v>52</v>
      </c>
      <c r="D2785" s="105">
        <v>45373.727849849536</v>
      </c>
      <c r="E2785" t="s">
        <v>312</v>
      </c>
      <c r="F2785" t="s">
        <v>1402</v>
      </c>
      <c r="G2785">
        <v>0</v>
      </c>
      <c r="H2785" t="s">
        <v>315</v>
      </c>
      <c r="I2785">
        <v>0</v>
      </c>
      <c r="J2785">
        <v>0</v>
      </c>
      <c r="K2785">
        <v>0</v>
      </c>
      <c r="L2785" t="s">
        <v>240</v>
      </c>
      <c r="M2785" t="s">
        <v>1398</v>
      </c>
      <c r="N2785">
        <v>0</v>
      </c>
      <c r="O2785" t="s">
        <v>1391</v>
      </c>
      <c r="P2785" t="s">
        <v>310</v>
      </c>
      <c r="Q2785" t="s">
        <v>310</v>
      </c>
      <c r="R2785" t="s">
        <v>310</v>
      </c>
      <c r="S2785">
        <v>9</v>
      </c>
      <c r="T2785" t="s">
        <v>310</v>
      </c>
      <c r="U2785">
        <v>9</v>
      </c>
      <c r="V2785">
        <v>9</v>
      </c>
      <c r="W2785">
        <v>0</v>
      </c>
      <c r="X2785">
        <v>0</v>
      </c>
      <c r="Y2785">
        <v>0</v>
      </c>
      <c r="Z2785">
        <v>0</v>
      </c>
      <c r="AA2785">
        <v>9</v>
      </c>
      <c r="AB2785">
        <v>9</v>
      </c>
      <c r="AC2785" t="s">
        <v>310</v>
      </c>
      <c r="AD2785">
        <v>9</v>
      </c>
      <c r="AE2785" t="s">
        <v>1418</v>
      </c>
      <c r="AF2785">
        <v>70100000</v>
      </c>
      <c r="AG2785" t="s">
        <v>310</v>
      </c>
      <c r="AH2785">
        <f>SUM((MID(Dyno_Data[[#This Row],[Team]],4,5))+(Dyno_Data[[#This Row],[Match]]/100))</f>
        <v>6911.52</v>
      </c>
      <c r="AI2785" s="76">
        <f>ROUND(SUM(IF(Dyno_Data[[#This Row],[AcqCenter]]&gt;0,Dyno_Data[[#This Row],[Time]]-SUMIFS(Dyno_Data[Time],Dyno_Data[Team],Dyno_Data[[#This Row],[Team]],Dyno_Data[RecordType],"StartMatch",Dyno_Data[Match],Dyno_Data[[#This Row],[Match]]),0)*86400),0)</f>
        <v>0</v>
      </c>
    </row>
    <row r="2786" spans="1:35" x14ac:dyDescent="0.3">
      <c r="A2786">
        <v>2785</v>
      </c>
      <c r="B2786" t="s">
        <v>361</v>
      </c>
      <c r="C2786">
        <v>52</v>
      </c>
      <c r="D2786" s="105">
        <v>45373.727881597224</v>
      </c>
      <c r="E2786" t="s">
        <v>312</v>
      </c>
      <c r="F2786" t="s">
        <v>1402</v>
      </c>
      <c r="G2786">
        <v>0</v>
      </c>
      <c r="H2786" t="s">
        <v>315</v>
      </c>
      <c r="I2786">
        <v>0</v>
      </c>
      <c r="J2786">
        <v>0</v>
      </c>
      <c r="K2786">
        <v>0</v>
      </c>
      <c r="L2786" t="s">
        <v>241</v>
      </c>
      <c r="M2786" t="s">
        <v>101</v>
      </c>
      <c r="N2786">
        <v>0</v>
      </c>
      <c r="O2786" t="s">
        <v>1395</v>
      </c>
      <c r="P2786" t="s">
        <v>310</v>
      </c>
      <c r="Q2786" t="s">
        <v>310</v>
      </c>
      <c r="R2786" t="s">
        <v>310</v>
      </c>
      <c r="S2786">
        <v>9</v>
      </c>
      <c r="T2786" t="s">
        <v>310</v>
      </c>
      <c r="U2786">
        <v>9</v>
      </c>
      <c r="V2786">
        <v>9</v>
      </c>
      <c r="W2786">
        <v>0</v>
      </c>
      <c r="X2786">
        <v>0</v>
      </c>
      <c r="Y2786">
        <v>0</v>
      </c>
      <c r="Z2786">
        <v>0</v>
      </c>
      <c r="AA2786">
        <v>9</v>
      </c>
      <c r="AB2786">
        <v>9</v>
      </c>
      <c r="AC2786" t="s">
        <v>310</v>
      </c>
      <c r="AD2786">
        <v>9</v>
      </c>
      <c r="AE2786" t="s">
        <v>1416</v>
      </c>
      <c r="AF2786">
        <v>40100000</v>
      </c>
      <c r="AG2786" t="s">
        <v>310</v>
      </c>
      <c r="AH2786">
        <f>SUM((MID(Dyno_Data[[#This Row],[Team]],4,5))+(Dyno_Data[[#This Row],[Match]]/100))</f>
        <v>20.52</v>
      </c>
      <c r="AI2786" s="76">
        <f>ROUND(SUM(IF(Dyno_Data[[#This Row],[AcqCenter]]&gt;0,Dyno_Data[[#This Row],[Time]]-SUMIFS(Dyno_Data[Time],Dyno_Data[Team],Dyno_Data[[#This Row],[Team]],Dyno_Data[RecordType],"StartMatch",Dyno_Data[Match],Dyno_Data[[#This Row],[Match]]),0)*86400),0)</f>
        <v>0</v>
      </c>
    </row>
    <row r="2787" spans="1:35" x14ac:dyDescent="0.3">
      <c r="A2787">
        <v>2786</v>
      </c>
      <c r="B2787" t="s">
        <v>1290</v>
      </c>
      <c r="C2787">
        <v>52</v>
      </c>
      <c r="D2787" s="105">
        <v>45373.727915821757</v>
      </c>
      <c r="E2787" t="s">
        <v>312</v>
      </c>
      <c r="F2787" t="s">
        <v>1402</v>
      </c>
      <c r="G2787">
        <v>0</v>
      </c>
      <c r="H2787" t="s">
        <v>315</v>
      </c>
      <c r="I2787">
        <v>0</v>
      </c>
      <c r="J2787">
        <v>0</v>
      </c>
      <c r="K2787">
        <v>0</v>
      </c>
      <c r="L2787" t="s">
        <v>241</v>
      </c>
      <c r="M2787" t="s">
        <v>1398</v>
      </c>
      <c r="N2787">
        <v>0</v>
      </c>
      <c r="O2787" t="s">
        <v>311</v>
      </c>
      <c r="P2787" t="s">
        <v>310</v>
      </c>
      <c r="Q2787" t="s">
        <v>310</v>
      </c>
      <c r="R2787" t="s">
        <v>310</v>
      </c>
      <c r="S2787">
        <v>9</v>
      </c>
      <c r="T2787" t="s">
        <v>310</v>
      </c>
      <c r="U2787">
        <v>9</v>
      </c>
      <c r="V2787">
        <v>9</v>
      </c>
      <c r="W2787">
        <v>0</v>
      </c>
      <c r="X2787">
        <v>0</v>
      </c>
      <c r="Y2787">
        <v>0</v>
      </c>
      <c r="Z2787">
        <v>0</v>
      </c>
      <c r="AA2787">
        <v>9</v>
      </c>
      <c r="AB2787">
        <v>9</v>
      </c>
      <c r="AC2787" t="s">
        <v>310</v>
      </c>
      <c r="AD2787">
        <v>9</v>
      </c>
      <c r="AE2787" t="s">
        <v>1417</v>
      </c>
      <c r="AF2787">
        <v>50000000</v>
      </c>
      <c r="AG2787" t="s">
        <v>310</v>
      </c>
      <c r="AH2787">
        <f>SUM((MID(Dyno_Data[[#This Row],[Team]],4,5))+(Dyno_Data[[#This Row],[Match]]/100))</f>
        <v>5881.52</v>
      </c>
      <c r="AI2787" s="76">
        <f>ROUND(SUM(IF(Dyno_Data[[#This Row],[AcqCenter]]&gt;0,Dyno_Data[[#This Row],[Time]]-SUMIFS(Dyno_Data[Time],Dyno_Data[Team],Dyno_Data[[#This Row],[Team]],Dyno_Data[RecordType],"StartMatch",Dyno_Data[Match],Dyno_Data[[#This Row],[Match]]),0)*86400),0)</f>
        <v>0</v>
      </c>
    </row>
    <row r="2788" spans="1:35" x14ac:dyDescent="0.3">
      <c r="A2788">
        <v>2787</v>
      </c>
      <c r="B2788" t="s">
        <v>370</v>
      </c>
      <c r="C2788">
        <v>52</v>
      </c>
      <c r="D2788" s="105">
        <v>45373.727958599535</v>
      </c>
      <c r="E2788" t="s">
        <v>312</v>
      </c>
      <c r="F2788" t="s">
        <v>1402</v>
      </c>
      <c r="G2788">
        <v>0</v>
      </c>
      <c r="H2788" t="s">
        <v>315</v>
      </c>
      <c r="I2788">
        <v>0</v>
      </c>
      <c r="J2788">
        <v>0</v>
      </c>
      <c r="K2788">
        <v>0</v>
      </c>
      <c r="L2788" t="s">
        <v>241</v>
      </c>
      <c r="M2788" t="s">
        <v>1398</v>
      </c>
      <c r="N2788">
        <v>0</v>
      </c>
      <c r="O2788" t="s">
        <v>1391</v>
      </c>
      <c r="P2788" t="s">
        <v>310</v>
      </c>
      <c r="Q2788" t="s">
        <v>310</v>
      </c>
      <c r="R2788" t="s">
        <v>310</v>
      </c>
      <c r="S2788">
        <v>9</v>
      </c>
      <c r="T2788" t="s">
        <v>310</v>
      </c>
      <c r="U2788">
        <v>9</v>
      </c>
      <c r="V2788">
        <v>9</v>
      </c>
      <c r="W2788">
        <v>0</v>
      </c>
      <c r="X2788">
        <v>0</v>
      </c>
      <c r="Y2788">
        <v>0</v>
      </c>
      <c r="Z2788">
        <v>0</v>
      </c>
      <c r="AA2788">
        <v>9</v>
      </c>
      <c r="AB2788">
        <v>9</v>
      </c>
      <c r="AC2788" t="s">
        <v>310</v>
      </c>
      <c r="AD2788">
        <v>9</v>
      </c>
      <c r="AE2788" t="s">
        <v>1418</v>
      </c>
      <c r="AF2788">
        <v>80100000</v>
      </c>
      <c r="AG2788" t="s">
        <v>310</v>
      </c>
      <c r="AH2788">
        <f>SUM((MID(Dyno_Data[[#This Row],[Team]],4,5))+(Dyno_Data[[#This Row],[Match]]/100))</f>
        <v>6911.52</v>
      </c>
      <c r="AI2788" s="76">
        <f>ROUND(SUM(IF(Dyno_Data[[#This Row],[AcqCenter]]&gt;0,Dyno_Data[[#This Row],[Time]]-SUMIFS(Dyno_Data[Time],Dyno_Data[Team],Dyno_Data[[#This Row],[Team]],Dyno_Data[RecordType],"StartMatch",Dyno_Data[Match],Dyno_Data[[#This Row],[Match]]),0)*86400),0)</f>
        <v>0</v>
      </c>
    </row>
    <row r="2789" spans="1:35" x14ac:dyDescent="0.3">
      <c r="A2789">
        <v>2788</v>
      </c>
      <c r="B2789" t="s">
        <v>361</v>
      </c>
      <c r="C2789">
        <v>52</v>
      </c>
      <c r="D2789" s="105">
        <v>45373.72802141204</v>
      </c>
      <c r="E2789" t="s">
        <v>312</v>
      </c>
      <c r="F2789" t="s">
        <v>1402</v>
      </c>
      <c r="G2789">
        <v>0</v>
      </c>
      <c r="H2789" t="s">
        <v>315</v>
      </c>
      <c r="I2789">
        <v>0</v>
      </c>
      <c r="J2789">
        <v>0</v>
      </c>
      <c r="K2789">
        <v>0</v>
      </c>
      <c r="L2789" t="s">
        <v>241</v>
      </c>
      <c r="M2789" t="s">
        <v>241</v>
      </c>
      <c r="N2789">
        <v>1</v>
      </c>
      <c r="O2789" t="s">
        <v>1395</v>
      </c>
      <c r="P2789" t="s">
        <v>310</v>
      </c>
      <c r="Q2789" t="s">
        <v>310</v>
      </c>
      <c r="R2789" t="s">
        <v>310</v>
      </c>
      <c r="S2789">
        <v>9</v>
      </c>
      <c r="T2789" t="s">
        <v>310</v>
      </c>
      <c r="U2789">
        <v>9</v>
      </c>
      <c r="V2789">
        <v>9</v>
      </c>
      <c r="W2789">
        <v>0</v>
      </c>
      <c r="X2789">
        <v>0</v>
      </c>
      <c r="Y2789">
        <v>0</v>
      </c>
      <c r="Z2789">
        <v>0</v>
      </c>
      <c r="AA2789">
        <v>9</v>
      </c>
      <c r="AB2789">
        <v>9</v>
      </c>
      <c r="AC2789" t="s">
        <v>310</v>
      </c>
      <c r="AD2789">
        <v>9</v>
      </c>
      <c r="AE2789" t="s">
        <v>1416</v>
      </c>
      <c r="AF2789">
        <v>50100000</v>
      </c>
      <c r="AG2789" t="s">
        <v>310</v>
      </c>
      <c r="AH2789">
        <f>SUM((MID(Dyno_Data[[#This Row],[Team]],4,5))+(Dyno_Data[[#This Row],[Match]]/100))</f>
        <v>20.52</v>
      </c>
      <c r="AI2789" s="76">
        <f>ROUND(SUM(IF(Dyno_Data[[#This Row],[AcqCenter]]&gt;0,Dyno_Data[[#This Row],[Time]]-SUMIFS(Dyno_Data[Time],Dyno_Data[Team],Dyno_Data[[#This Row],[Team]],Dyno_Data[RecordType],"StartMatch",Dyno_Data[Match],Dyno_Data[[#This Row],[Match]]),0)*86400),0)</f>
        <v>0</v>
      </c>
    </row>
    <row r="2790" spans="1:35" x14ac:dyDescent="0.3">
      <c r="A2790">
        <v>2789</v>
      </c>
      <c r="B2790" t="s">
        <v>370</v>
      </c>
      <c r="C2790">
        <v>52</v>
      </c>
      <c r="D2790" s="105">
        <v>45373.728146759262</v>
      </c>
      <c r="E2790" t="s">
        <v>312</v>
      </c>
      <c r="F2790" t="s">
        <v>1402</v>
      </c>
      <c r="G2790">
        <v>0</v>
      </c>
      <c r="H2790" t="s">
        <v>315</v>
      </c>
      <c r="I2790">
        <v>0</v>
      </c>
      <c r="J2790">
        <v>0</v>
      </c>
      <c r="K2790">
        <v>0</v>
      </c>
      <c r="L2790" t="s">
        <v>241</v>
      </c>
      <c r="M2790" t="s">
        <v>1398</v>
      </c>
      <c r="N2790">
        <v>0</v>
      </c>
      <c r="O2790" t="s">
        <v>1391</v>
      </c>
      <c r="P2790" t="s">
        <v>310</v>
      </c>
      <c r="Q2790" t="s">
        <v>310</v>
      </c>
      <c r="R2790" t="s">
        <v>310</v>
      </c>
      <c r="S2790">
        <v>9</v>
      </c>
      <c r="T2790" t="s">
        <v>310</v>
      </c>
      <c r="U2790">
        <v>9</v>
      </c>
      <c r="V2790">
        <v>9</v>
      </c>
      <c r="W2790">
        <v>0</v>
      </c>
      <c r="X2790">
        <v>0</v>
      </c>
      <c r="Y2790">
        <v>0</v>
      </c>
      <c r="Z2790">
        <v>0</v>
      </c>
      <c r="AA2790">
        <v>9</v>
      </c>
      <c r="AB2790">
        <v>9</v>
      </c>
      <c r="AC2790" t="s">
        <v>310</v>
      </c>
      <c r="AD2790">
        <v>9</v>
      </c>
      <c r="AE2790" t="s">
        <v>1418</v>
      </c>
      <c r="AF2790">
        <v>90100000</v>
      </c>
      <c r="AG2790" t="s">
        <v>310</v>
      </c>
      <c r="AH2790">
        <f>SUM((MID(Dyno_Data[[#This Row],[Team]],4,5))+(Dyno_Data[[#This Row],[Match]]/100))</f>
        <v>6911.52</v>
      </c>
      <c r="AI2790" s="76">
        <f>ROUND(SUM(IF(Dyno_Data[[#This Row],[AcqCenter]]&gt;0,Dyno_Data[[#This Row],[Time]]-SUMIFS(Dyno_Data[Time],Dyno_Data[Team],Dyno_Data[[#This Row],[Team]],Dyno_Data[RecordType],"StartMatch",Dyno_Data[Match],Dyno_Data[[#This Row],[Match]]),0)*86400),0)</f>
        <v>0</v>
      </c>
    </row>
    <row r="2791" spans="1:35" x14ac:dyDescent="0.3">
      <c r="A2791">
        <v>2790</v>
      </c>
      <c r="B2791" t="s">
        <v>1290</v>
      </c>
      <c r="C2791">
        <v>52</v>
      </c>
      <c r="D2791" s="105">
        <v>45373.728211886577</v>
      </c>
      <c r="E2791" t="s">
        <v>312</v>
      </c>
      <c r="F2791" t="s">
        <v>1402</v>
      </c>
      <c r="G2791">
        <v>0</v>
      </c>
      <c r="H2791" t="s">
        <v>315</v>
      </c>
      <c r="I2791">
        <v>0</v>
      </c>
      <c r="J2791">
        <v>0</v>
      </c>
      <c r="K2791">
        <v>0</v>
      </c>
      <c r="L2791" t="s">
        <v>241</v>
      </c>
      <c r="M2791" t="s">
        <v>1398</v>
      </c>
      <c r="N2791">
        <v>0</v>
      </c>
      <c r="O2791" t="s">
        <v>311</v>
      </c>
      <c r="P2791" t="s">
        <v>310</v>
      </c>
      <c r="Q2791" t="s">
        <v>310</v>
      </c>
      <c r="R2791" t="s">
        <v>310</v>
      </c>
      <c r="S2791">
        <v>9</v>
      </c>
      <c r="T2791" t="s">
        <v>310</v>
      </c>
      <c r="U2791">
        <v>9</v>
      </c>
      <c r="V2791">
        <v>9</v>
      </c>
      <c r="W2791">
        <v>0</v>
      </c>
      <c r="X2791">
        <v>0</v>
      </c>
      <c r="Y2791">
        <v>0</v>
      </c>
      <c r="Z2791">
        <v>0</v>
      </c>
      <c r="AA2791">
        <v>9</v>
      </c>
      <c r="AB2791">
        <v>9</v>
      </c>
      <c r="AC2791" t="s">
        <v>310</v>
      </c>
      <c r="AD2791">
        <v>9</v>
      </c>
      <c r="AE2791" t="s">
        <v>1417</v>
      </c>
      <c r="AF2791">
        <v>60000000</v>
      </c>
      <c r="AG2791" t="s">
        <v>310</v>
      </c>
      <c r="AH2791">
        <f>SUM((MID(Dyno_Data[[#This Row],[Team]],4,5))+(Dyno_Data[[#This Row],[Match]]/100))</f>
        <v>5881.52</v>
      </c>
      <c r="AI2791" s="76">
        <f>ROUND(SUM(IF(Dyno_Data[[#This Row],[AcqCenter]]&gt;0,Dyno_Data[[#This Row],[Time]]-SUMIFS(Dyno_Data[Time],Dyno_Data[Team],Dyno_Data[[#This Row],[Team]],Dyno_Data[RecordType],"StartMatch",Dyno_Data[Match],Dyno_Data[[#This Row],[Match]]),0)*86400),0)</f>
        <v>0</v>
      </c>
    </row>
    <row r="2792" spans="1:35" x14ac:dyDescent="0.3">
      <c r="A2792">
        <v>2791</v>
      </c>
      <c r="B2792" t="s">
        <v>361</v>
      </c>
      <c r="C2792">
        <v>52</v>
      </c>
      <c r="D2792" s="105">
        <v>45373.728246678242</v>
      </c>
      <c r="E2792" t="s">
        <v>312</v>
      </c>
      <c r="F2792" t="s">
        <v>1402</v>
      </c>
      <c r="G2792">
        <v>0</v>
      </c>
      <c r="H2792" t="s">
        <v>315</v>
      </c>
      <c r="I2792">
        <v>0</v>
      </c>
      <c r="J2792">
        <v>0</v>
      </c>
      <c r="K2792">
        <v>0</v>
      </c>
      <c r="L2792" t="s">
        <v>240</v>
      </c>
      <c r="M2792" t="s">
        <v>1398</v>
      </c>
      <c r="N2792">
        <v>0</v>
      </c>
      <c r="O2792" t="s">
        <v>1395</v>
      </c>
      <c r="P2792" t="s">
        <v>310</v>
      </c>
      <c r="Q2792" t="s">
        <v>310</v>
      </c>
      <c r="R2792" t="s">
        <v>310</v>
      </c>
      <c r="S2792">
        <v>9</v>
      </c>
      <c r="T2792" t="s">
        <v>310</v>
      </c>
      <c r="U2792">
        <v>9</v>
      </c>
      <c r="V2792">
        <v>9</v>
      </c>
      <c r="W2792">
        <v>0</v>
      </c>
      <c r="X2792">
        <v>0</v>
      </c>
      <c r="Y2792">
        <v>0</v>
      </c>
      <c r="Z2792">
        <v>0</v>
      </c>
      <c r="AA2792">
        <v>9</v>
      </c>
      <c r="AB2792">
        <v>9</v>
      </c>
      <c r="AC2792" t="s">
        <v>310</v>
      </c>
      <c r="AD2792">
        <v>9</v>
      </c>
      <c r="AE2792" t="s">
        <v>1416</v>
      </c>
      <c r="AF2792">
        <v>60100000</v>
      </c>
      <c r="AG2792" t="s">
        <v>310</v>
      </c>
      <c r="AH2792">
        <f>SUM((MID(Dyno_Data[[#This Row],[Team]],4,5))+(Dyno_Data[[#This Row],[Match]]/100))</f>
        <v>20.52</v>
      </c>
      <c r="AI2792" s="76">
        <f>ROUND(SUM(IF(Dyno_Data[[#This Row],[AcqCenter]]&gt;0,Dyno_Data[[#This Row],[Time]]-SUMIFS(Dyno_Data[Time],Dyno_Data[Team],Dyno_Data[[#This Row],[Team]],Dyno_Data[RecordType],"StartMatch",Dyno_Data[Match],Dyno_Data[[#This Row],[Match]]),0)*86400),0)</f>
        <v>0</v>
      </c>
    </row>
    <row r="2793" spans="1:35" x14ac:dyDescent="0.3">
      <c r="A2793">
        <v>2792</v>
      </c>
      <c r="B2793" t="s">
        <v>361</v>
      </c>
      <c r="C2793">
        <v>52</v>
      </c>
      <c r="D2793" s="105">
        <v>45373.728416631944</v>
      </c>
      <c r="E2793" t="s">
        <v>312</v>
      </c>
      <c r="F2793" t="s">
        <v>1402</v>
      </c>
      <c r="G2793">
        <v>0</v>
      </c>
      <c r="H2793" t="s">
        <v>315</v>
      </c>
      <c r="I2793">
        <v>0</v>
      </c>
      <c r="J2793">
        <v>0</v>
      </c>
      <c r="K2793">
        <v>0</v>
      </c>
      <c r="L2793" t="s">
        <v>240</v>
      </c>
      <c r="M2793" t="s">
        <v>241</v>
      </c>
      <c r="N2793">
        <v>0</v>
      </c>
      <c r="O2793" t="s">
        <v>1395</v>
      </c>
      <c r="P2793" t="s">
        <v>310</v>
      </c>
      <c r="Q2793" t="s">
        <v>310</v>
      </c>
      <c r="R2793" t="s">
        <v>310</v>
      </c>
      <c r="S2793">
        <v>9</v>
      </c>
      <c r="T2793" t="s">
        <v>310</v>
      </c>
      <c r="U2793">
        <v>9</v>
      </c>
      <c r="V2793">
        <v>9</v>
      </c>
      <c r="W2793">
        <v>0</v>
      </c>
      <c r="X2793">
        <v>0</v>
      </c>
      <c r="Y2793">
        <v>0</v>
      </c>
      <c r="Z2793">
        <v>0</v>
      </c>
      <c r="AA2793">
        <v>9</v>
      </c>
      <c r="AB2793">
        <v>9</v>
      </c>
      <c r="AC2793" t="s">
        <v>310</v>
      </c>
      <c r="AD2793">
        <v>9</v>
      </c>
      <c r="AE2793" t="s">
        <v>1416</v>
      </c>
      <c r="AF2793">
        <v>70100000</v>
      </c>
      <c r="AG2793" t="s">
        <v>310</v>
      </c>
      <c r="AH2793">
        <f>SUM((MID(Dyno_Data[[#This Row],[Team]],4,5))+(Dyno_Data[[#This Row],[Match]]/100))</f>
        <v>20.52</v>
      </c>
      <c r="AI2793" s="76">
        <f>ROUND(SUM(IF(Dyno_Data[[#This Row],[AcqCenter]]&gt;0,Dyno_Data[[#This Row],[Time]]-SUMIFS(Dyno_Data[Time],Dyno_Data[Team],Dyno_Data[[#This Row],[Team]],Dyno_Data[RecordType],"StartMatch",Dyno_Data[Match],Dyno_Data[[#This Row],[Match]]),0)*86400),0)</f>
        <v>0</v>
      </c>
    </row>
    <row r="2794" spans="1:35" x14ac:dyDescent="0.3">
      <c r="A2794">
        <v>2793</v>
      </c>
      <c r="B2794" t="s">
        <v>1290</v>
      </c>
      <c r="C2794">
        <v>52</v>
      </c>
      <c r="D2794" s="105">
        <v>45373.729440972224</v>
      </c>
      <c r="E2794" t="s">
        <v>316</v>
      </c>
      <c r="F2794" t="s">
        <v>317</v>
      </c>
      <c r="G2794">
        <v>1</v>
      </c>
      <c r="H2794" t="s">
        <v>310</v>
      </c>
      <c r="I2794">
        <v>0</v>
      </c>
      <c r="J2794">
        <v>0</v>
      </c>
      <c r="K2794">
        <v>0</v>
      </c>
      <c r="L2794" t="s">
        <v>310</v>
      </c>
      <c r="M2794" t="s">
        <v>310</v>
      </c>
      <c r="N2794">
        <v>0</v>
      </c>
      <c r="O2794" t="s">
        <v>311</v>
      </c>
      <c r="P2794" t="s">
        <v>240</v>
      </c>
      <c r="Q2794" t="s">
        <v>1400</v>
      </c>
      <c r="R2794" t="s">
        <v>1404</v>
      </c>
      <c r="S2794">
        <v>-1</v>
      </c>
      <c r="T2794" t="s">
        <v>105</v>
      </c>
      <c r="U2794">
        <v>9</v>
      </c>
      <c r="V2794">
        <v>9</v>
      </c>
      <c r="W2794">
        <v>13.5096335</v>
      </c>
      <c r="X2794">
        <v>35.953234299999998</v>
      </c>
      <c r="Y2794">
        <v>16.225257799999998</v>
      </c>
      <c r="Z2794">
        <v>64.005624799999993</v>
      </c>
      <c r="AA2794">
        <v>0</v>
      </c>
      <c r="AB2794">
        <v>0</v>
      </c>
      <c r="AC2794" t="s">
        <v>174</v>
      </c>
      <c r="AD2794">
        <v>9</v>
      </c>
      <c r="AE2794" t="s">
        <v>1417</v>
      </c>
      <c r="AF2794">
        <v>60000000</v>
      </c>
      <c r="AG2794" t="s">
        <v>310</v>
      </c>
      <c r="AH2794">
        <f>SUM((MID(Dyno_Data[[#This Row],[Team]],4,5))+(Dyno_Data[[#This Row],[Match]]/100))</f>
        <v>5881.52</v>
      </c>
      <c r="AI2794" s="76">
        <f>ROUND(SUM(IF(Dyno_Data[[#This Row],[AcqCenter]]&gt;0,Dyno_Data[[#This Row],[Time]]-SUMIFS(Dyno_Data[Time],Dyno_Data[Team],Dyno_Data[[#This Row],[Team]],Dyno_Data[RecordType],"StartMatch",Dyno_Data[Match],Dyno_Data[[#This Row],[Match]]),0)*86400),0)</f>
        <v>0</v>
      </c>
    </row>
    <row r="2795" spans="1:35" x14ac:dyDescent="0.3">
      <c r="A2795">
        <v>2794</v>
      </c>
      <c r="B2795" t="s">
        <v>370</v>
      </c>
      <c r="C2795">
        <v>52</v>
      </c>
      <c r="D2795" s="105">
        <v>45373.729441087962</v>
      </c>
      <c r="E2795" t="s">
        <v>316</v>
      </c>
      <c r="F2795" t="s">
        <v>317</v>
      </c>
      <c r="G2795">
        <v>1</v>
      </c>
      <c r="H2795" t="s">
        <v>310</v>
      </c>
      <c r="I2795">
        <v>0</v>
      </c>
      <c r="J2795">
        <v>0</v>
      </c>
      <c r="K2795">
        <v>0</v>
      </c>
      <c r="L2795" t="s">
        <v>310</v>
      </c>
      <c r="M2795" t="s">
        <v>310</v>
      </c>
      <c r="N2795">
        <v>0</v>
      </c>
      <c r="O2795" t="s">
        <v>1391</v>
      </c>
      <c r="P2795" t="s">
        <v>1401</v>
      </c>
      <c r="Q2795" t="s">
        <v>1399</v>
      </c>
      <c r="R2795" t="s">
        <v>1405</v>
      </c>
      <c r="S2795">
        <v>1</v>
      </c>
      <c r="T2795" t="s">
        <v>1407</v>
      </c>
      <c r="U2795">
        <v>0</v>
      </c>
      <c r="V2795">
        <v>0</v>
      </c>
      <c r="W2795">
        <v>5.0569587999999994</v>
      </c>
      <c r="X2795">
        <v>31.702180799999997</v>
      </c>
      <c r="Y2795">
        <v>16.051063499999998</v>
      </c>
      <c r="Z2795">
        <v>67.115443400000004</v>
      </c>
      <c r="AA2795">
        <v>0</v>
      </c>
      <c r="AB2795">
        <v>0</v>
      </c>
      <c r="AC2795" t="s">
        <v>174</v>
      </c>
      <c r="AD2795">
        <v>0</v>
      </c>
      <c r="AE2795" t="s">
        <v>1418</v>
      </c>
      <c r="AF2795">
        <v>90100000</v>
      </c>
      <c r="AG2795" t="s">
        <v>310</v>
      </c>
      <c r="AH2795">
        <f>SUM((MID(Dyno_Data[[#This Row],[Team]],4,5))+(Dyno_Data[[#This Row],[Match]]/100))</f>
        <v>6911.52</v>
      </c>
      <c r="AI2795" s="76">
        <f>ROUND(SUM(IF(Dyno_Data[[#This Row],[AcqCenter]]&gt;0,Dyno_Data[[#This Row],[Time]]-SUMIFS(Dyno_Data[Time],Dyno_Data[Team],Dyno_Data[[#This Row],[Team]],Dyno_Data[RecordType],"StartMatch",Dyno_Data[Match],Dyno_Data[[#This Row],[Match]]),0)*86400),0)</f>
        <v>0</v>
      </c>
    </row>
    <row r="2796" spans="1:35" x14ac:dyDescent="0.3">
      <c r="A2796">
        <v>2795</v>
      </c>
      <c r="B2796" t="s">
        <v>373</v>
      </c>
      <c r="C2796">
        <v>52</v>
      </c>
      <c r="D2796" s="105">
        <v>45373.729441203701</v>
      </c>
      <c r="E2796" t="s">
        <v>316</v>
      </c>
      <c r="F2796" t="s">
        <v>317</v>
      </c>
      <c r="G2796">
        <v>1</v>
      </c>
      <c r="H2796" t="s">
        <v>310</v>
      </c>
      <c r="I2796">
        <v>0</v>
      </c>
      <c r="J2796">
        <v>0</v>
      </c>
      <c r="K2796">
        <v>0</v>
      </c>
      <c r="L2796" t="s">
        <v>310</v>
      </c>
      <c r="M2796" t="s">
        <v>310</v>
      </c>
      <c r="N2796">
        <v>0</v>
      </c>
      <c r="O2796" t="s">
        <v>319</v>
      </c>
      <c r="P2796" t="s">
        <v>320</v>
      </c>
      <c r="Q2796" t="s">
        <v>1400</v>
      </c>
      <c r="R2796" t="s">
        <v>1404</v>
      </c>
      <c r="S2796">
        <v>-1</v>
      </c>
      <c r="T2796" t="s">
        <v>105</v>
      </c>
      <c r="U2796">
        <v>9</v>
      </c>
      <c r="V2796">
        <v>9</v>
      </c>
      <c r="W2796">
        <v>16.509644899999998</v>
      </c>
      <c r="X2796">
        <v>8.9625786999999999</v>
      </c>
      <c r="Y2796">
        <v>63.029697499999997</v>
      </c>
      <c r="Z2796">
        <v>28.700633099999997</v>
      </c>
      <c r="AA2796">
        <v>3</v>
      </c>
      <c r="AB2796">
        <v>0</v>
      </c>
      <c r="AC2796" t="s">
        <v>170</v>
      </c>
      <c r="AD2796">
        <v>9</v>
      </c>
      <c r="AE2796" t="s">
        <v>1387</v>
      </c>
      <c r="AF2796">
        <v>0</v>
      </c>
      <c r="AG2796" t="s">
        <v>310</v>
      </c>
      <c r="AH2796">
        <f>SUM((MID(Dyno_Data[[#This Row],[Team]],4,5))+(Dyno_Data[[#This Row],[Match]]/100))</f>
        <v>7718.52</v>
      </c>
      <c r="AI2796" s="76">
        <f>ROUND(SUM(IF(Dyno_Data[[#This Row],[AcqCenter]]&gt;0,Dyno_Data[[#This Row],[Time]]-SUMIFS(Dyno_Data[Time],Dyno_Data[Team],Dyno_Data[[#This Row],[Team]],Dyno_Data[RecordType],"StartMatch",Dyno_Data[Match],Dyno_Data[[#This Row],[Match]]),0)*86400),0)</f>
        <v>0</v>
      </c>
    </row>
    <row r="2797" spans="1:35" x14ac:dyDescent="0.3">
      <c r="A2797">
        <v>2796</v>
      </c>
      <c r="B2797" t="s">
        <v>1317</v>
      </c>
      <c r="C2797">
        <v>52</v>
      </c>
      <c r="D2797" s="105">
        <v>45373.729441319447</v>
      </c>
      <c r="E2797" t="s">
        <v>316</v>
      </c>
      <c r="F2797" t="s">
        <v>317</v>
      </c>
      <c r="G2797">
        <v>1</v>
      </c>
      <c r="H2797" t="s">
        <v>310</v>
      </c>
      <c r="I2797">
        <v>0</v>
      </c>
      <c r="J2797">
        <v>0</v>
      </c>
      <c r="K2797">
        <v>0</v>
      </c>
      <c r="L2797" t="s">
        <v>310</v>
      </c>
      <c r="M2797" t="s">
        <v>310</v>
      </c>
      <c r="N2797">
        <v>0</v>
      </c>
      <c r="O2797" t="s">
        <v>1393</v>
      </c>
      <c r="P2797" t="s">
        <v>1401</v>
      </c>
      <c r="Q2797" t="s">
        <v>1400</v>
      </c>
      <c r="R2797" t="s">
        <v>1404</v>
      </c>
      <c r="S2797">
        <v>-1</v>
      </c>
      <c r="T2797" t="s">
        <v>105</v>
      </c>
      <c r="U2797">
        <v>9</v>
      </c>
      <c r="V2797">
        <v>9</v>
      </c>
      <c r="W2797">
        <v>18.124646299999998</v>
      </c>
      <c r="X2797">
        <v>30.744060399999999</v>
      </c>
      <c r="Y2797">
        <v>32.017046499999999</v>
      </c>
      <c r="Z2797">
        <v>53.615037399999999</v>
      </c>
      <c r="AA2797">
        <v>0</v>
      </c>
      <c r="AB2797">
        <v>2</v>
      </c>
      <c r="AC2797" t="s">
        <v>174</v>
      </c>
      <c r="AD2797">
        <v>9</v>
      </c>
      <c r="AE2797" t="s">
        <v>1394</v>
      </c>
      <c r="AF2797">
        <v>60000000</v>
      </c>
      <c r="AG2797" t="s">
        <v>310</v>
      </c>
      <c r="AH2797">
        <f>SUM((MID(Dyno_Data[[#This Row],[Team]],4,5))+(Dyno_Data[[#This Row],[Match]]/100))</f>
        <v>296.52</v>
      </c>
      <c r="AI2797" s="76">
        <f>ROUND(SUM(IF(Dyno_Data[[#This Row],[AcqCenter]]&gt;0,Dyno_Data[[#This Row],[Time]]-SUMIFS(Dyno_Data[Time],Dyno_Data[Team],Dyno_Data[[#This Row],[Team]],Dyno_Data[RecordType],"StartMatch",Dyno_Data[Match],Dyno_Data[[#This Row],[Match]]),0)*86400),0)</f>
        <v>0</v>
      </c>
    </row>
    <row r="2798" spans="1:35" x14ac:dyDescent="0.3">
      <c r="A2798">
        <v>2797</v>
      </c>
      <c r="B2798" t="s">
        <v>1303</v>
      </c>
      <c r="C2798">
        <v>52</v>
      </c>
      <c r="D2798" s="105">
        <v>45373.729441400465</v>
      </c>
      <c r="E2798" t="s">
        <v>316</v>
      </c>
      <c r="F2798" t="s">
        <v>317</v>
      </c>
      <c r="G2798">
        <v>1</v>
      </c>
      <c r="H2798" t="s">
        <v>143</v>
      </c>
      <c r="I2798">
        <v>0</v>
      </c>
      <c r="J2798">
        <v>0</v>
      </c>
      <c r="K2798">
        <v>0</v>
      </c>
      <c r="L2798" t="s">
        <v>310</v>
      </c>
      <c r="M2798" t="s">
        <v>310</v>
      </c>
      <c r="N2798">
        <v>0</v>
      </c>
      <c r="O2798" t="s">
        <v>1389</v>
      </c>
      <c r="P2798" t="s">
        <v>101</v>
      </c>
      <c r="Q2798" t="s">
        <v>1400</v>
      </c>
      <c r="R2798" t="s">
        <v>321</v>
      </c>
      <c r="S2798">
        <v>0</v>
      </c>
      <c r="T2798" t="s">
        <v>105</v>
      </c>
      <c r="U2798">
        <v>9</v>
      </c>
      <c r="V2798">
        <v>9</v>
      </c>
      <c r="W2798">
        <v>0</v>
      </c>
      <c r="X2798">
        <v>0</v>
      </c>
      <c r="Y2798">
        <v>0</v>
      </c>
      <c r="Z2798">
        <v>133.808797</v>
      </c>
      <c r="AA2798">
        <v>0</v>
      </c>
      <c r="AB2798">
        <v>0</v>
      </c>
      <c r="AC2798" t="s">
        <v>167</v>
      </c>
      <c r="AD2798">
        <v>9</v>
      </c>
      <c r="AE2798" t="s">
        <v>1392</v>
      </c>
      <c r="AF2798">
        <v>0</v>
      </c>
      <c r="AG2798" t="s">
        <v>310</v>
      </c>
      <c r="AH2798">
        <f>SUM((MID(Dyno_Data[[#This Row],[Team]],4,5))+(Dyno_Data[[#This Row],[Match]]/100))</f>
        <v>7605.52</v>
      </c>
      <c r="AI2798" s="76">
        <f>ROUND(SUM(IF(Dyno_Data[[#This Row],[AcqCenter]]&gt;0,Dyno_Data[[#This Row],[Time]]-SUMIFS(Dyno_Data[Time],Dyno_Data[Team],Dyno_Data[[#This Row],[Team]],Dyno_Data[RecordType],"StartMatch",Dyno_Data[Match],Dyno_Data[[#This Row],[Match]]),0)*86400),0)</f>
        <v>0</v>
      </c>
    </row>
    <row r="2799" spans="1:35" x14ac:dyDescent="0.3">
      <c r="A2799">
        <v>2798</v>
      </c>
      <c r="B2799" t="s">
        <v>361</v>
      </c>
      <c r="C2799">
        <v>52</v>
      </c>
      <c r="D2799" s="105">
        <v>45373.729441516203</v>
      </c>
      <c r="E2799" t="s">
        <v>316</v>
      </c>
      <c r="F2799" t="s">
        <v>317</v>
      </c>
      <c r="G2799">
        <v>0</v>
      </c>
      <c r="H2799" t="s">
        <v>310</v>
      </c>
      <c r="I2799">
        <v>0</v>
      </c>
      <c r="J2799">
        <v>0</v>
      </c>
      <c r="K2799">
        <v>0</v>
      </c>
      <c r="L2799" t="s">
        <v>310</v>
      </c>
      <c r="M2799" t="s">
        <v>310</v>
      </c>
      <c r="N2799">
        <v>0</v>
      </c>
      <c r="O2799" t="s">
        <v>1395</v>
      </c>
      <c r="P2799" t="s">
        <v>240</v>
      </c>
      <c r="Q2799" t="s">
        <v>1399</v>
      </c>
      <c r="R2799" t="s">
        <v>1404</v>
      </c>
      <c r="S2799">
        <v>-1</v>
      </c>
      <c r="T2799" t="s">
        <v>105</v>
      </c>
      <c r="U2799">
        <v>9</v>
      </c>
      <c r="V2799">
        <v>9</v>
      </c>
      <c r="W2799">
        <v>4.6283333999999998</v>
      </c>
      <c r="X2799">
        <v>31.7686818</v>
      </c>
      <c r="Y2799">
        <v>22.677737499999999</v>
      </c>
      <c r="Z2799">
        <v>76.293426400000001</v>
      </c>
      <c r="AA2799">
        <v>0</v>
      </c>
      <c r="AB2799">
        <v>0</v>
      </c>
      <c r="AC2799" t="s">
        <v>174</v>
      </c>
      <c r="AD2799">
        <v>0</v>
      </c>
      <c r="AE2799" t="s">
        <v>1416</v>
      </c>
      <c r="AF2799">
        <v>70100000</v>
      </c>
      <c r="AG2799" t="s">
        <v>310</v>
      </c>
      <c r="AH2799">
        <f>SUM((MID(Dyno_Data[[#This Row],[Team]],4,5))+(Dyno_Data[[#This Row],[Match]]/100))</f>
        <v>20.52</v>
      </c>
      <c r="AI2799" s="76">
        <f>ROUND(SUM(IF(Dyno_Data[[#This Row],[AcqCenter]]&gt;0,Dyno_Data[[#This Row],[Time]]-SUMIFS(Dyno_Data[Time],Dyno_Data[Team],Dyno_Data[[#This Row],[Team]],Dyno_Data[RecordType],"StartMatch",Dyno_Data[Match],Dyno_Data[[#This Row],[Match]]),0)*86400),0)</f>
        <v>0</v>
      </c>
    </row>
    <row r="2800" spans="1:35" x14ac:dyDescent="0.3">
      <c r="A2800">
        <v>2804</v>
      </c>
      <c r="B2800" t="s">
        <v>1311</v>
      </c>
      <c r="C2800">
        <v>53</v>
      </c>
      <c r="D2800" s="105">
        <v>45373.733301817127</v>
      </c>
      <c r="E2800" t="s">
        <v>308</v>
      </c>
      <c r="F2800" t="s">
        <v>309</v>
      </c>
      <c r="G2800">
        <v>0</v>
      </c>
      <c r="H2800" t="s">
        <v>310</v>
      </c>
      <c r="I2800">
        <v>0</v>
      </c>
      <c r="J2800">
        <v>0</v>
      </c>
      <c r="K2800">
        <v>0</v>
      </c>
      <c r="L2800" t="s">
        <v>310</v>
      </c>
      <c r="M2800" t="s">
        <v>310</v>
      </c>
      <c r="N2800">
        <v>0</v>
      </c>
      <c r="O2800" t="s">
        <v>1393</v>
      </c>
      <c r="P2800" t="s">
        <v>310</v>
      </c>
      <c r="Q2800" t="s">
        <v>310</v>
      </c>
      <c r="R2800" t="s">
        <v>310</v>
      </c>
      <c r="S2800">
        <v>9</v>
      </c>
      <c r="T2800" t="s">
        <v>310</v>
      </c>
      <c r="U2800">
        <v>9</v>
      </c>
      <c r="V2800">
        <v>9</v>
      </c>
      <c r="W2800">
        <v>0</v>
      </c>
      <c r="X2800">
        <v>0</v>
      </c>
      <c r="Y2800">
        <v>0</v>
      </c>
      <c r="Z2800">
        <v>0</v>
      </c>
      <c r="AA2800">
        <v>9</v>
      </c>
      <c r="AB2800">
        <v>9</v>
      </c>
      <c r="AC2800" t="s">
        <v>310</v>
      </c>
      <c r="AD2800">
        <v>9</v>
      </c>
      <c r="AE2800" t="s">
        <v>1387</v>
      </c>
      <c r="AF2800">
        <v>0</v>
      </c>
      <c r="AG2800" t="s">
        <v>310</v>
      </c>
      <c r="AH2800">
        <f>SUM((MID(Dyno_Data[[#This Row],[Team]],4,5))+(Dyno_Data[[#This Row],[Match]]/100))</f>
        <v>2234.5300000000002</v>
      </c>
      <c r="AI2800" s="76">
        <f>ROUND(SUM(IF(Dyno_Data[[#This Row],[AcqCenter]]&gt;0,Dyno_Data[[#This Row],[Time]]-SUMIFS(Dyno_Data[Time],Dyno_Data[Team],Dyno_Data[[#This Row],[Team]],Dyno_Data[RecordType],"StartMatch",Dyno_Data[Match],Dyno_Data[[#This Row],[Match]]),0)*86400),0)</f>
        <v>0</v>
      </c>
    </row>
    <row r="2801" spans="1:35" x14ac:dyDescent="0.3">
      <c r="A2801">
        <v>2806</v>
      </c>
      <c r="B2801" t="s">
        <v>1302</v>
      </c>
      <c r="C2801">
        <v>53</v>
      </c>
      <c r="D2801" s="105">
        <v>45373.733306134258</v>
      </c>
      <c r="E2801" t="s">
        <v>308</v>
      </c>
      <c r="F2801" t="s">
        <v>309</v>
      </c>
      <c r="G2801">
        <v>0</v>
      </c>
      <c r="H2801" t="s">
        <v>310</v>
      </c>
      <c r="I2801">
        <v>0</v>
      </c>
      <c r="J2801">
        <v>0</v>
      </c>
      <c r="K2801">
        <v>0</v>
      </c>
      <c r="L2801" t="s">
        <v>310</v>
      </c>
      <c r="M2801" t="s">
        <v>310</v>
      </c>
      <c r="N2801">
        <v>0</v>
      </c>
      <c r="O2801" t="s">
        <v>1395</v>
      </c>
      <c r="P2801" t="s">
        <v>310</v>
      </c>
      <c r="Q2801" t="s">
        <v>310</v>
      </c>
      <c r="R2801" t="s">
        <v>310</v>
      </c>
      <c r="S2801">
        <v>9</v>
      </c>
      <c r="T2801" t="s">
        <v>310</v>
      </c>
      <c r="U2801">
        <v>9</v>
      </c>
      <c r="V2801">
        <v>9</v>
      </c>
      <c r="W2801">
        <v>0</v>
      </c>
      <c r="X2801">
        <v>0</v>
      </c>
      <c r="Y2801">
        <v>0</v>
      </c>
      <c r="Z2801">
        <v>0</v>
      </c>
      <c r="AA2801">
        <v>9</v>
      </c>
      <c r="AB2801">
        <v>9</v>
      </c>
      <c r="AC2801" t="s">
        <v>310</v>
      </c>
      <c r="AD2801">
        <v>9</v>
      </c>
      <c r="AE2801" t="s">
        <v>1416</v>
      </c>
      <c r="AF2801">
        <v>0</v>
      </c>
      <c r="AG2801" t="s">
        <v>310</v>
      </c>
      <c r="AH2801">
        <f>SUM((MID(Dyno_Data[[#This Row],[Team]],4,5))+(Dyno_Data[[#This Row],[Match]]/100))</f>
        <v>2095.5300000000002</v>
      </c>
      <c r="AI2801" s="76">
        <f>ROUND(SUM(IF(Dyno_Data[[#This Row],[AcqCenter]]&gt;0,Dyno_Data[[#This Row],[Time]]-SUMIFS(Dyno_Data[Time],Dyno_Data[Team],Dyno_Data[[#This Row],[Team]],Dyno_Data[RecordType],"StartMatch",Dyno_Data[Match],Dyno_Data[[#This Row],[Match]]),0)*86400),0)</f>
        <v>0</v>
      </c>
    </row>
    <row r="2802" spans="1:35" x14ac:dyDescent="0.3">
      <c r="A2802">
        <v>2808</v>
      </c>
      <c r="B2802" t="s">
        <v>1295</v>
      </c>
      <c r="C2802">
        <v>53</v>
      </c>
      <c r="D2802" s="105">
        <v>45373.733308993054</v>
      </c>
      <c r="E2802" t="s">
        <v>308</v>
      </c>
      <c r="F2802" t="s">
        <v>309</v>
      </c>
      <c r="G2802">
        <v>0</v>
      </c>
      <c r="H2802" t="s">
        <v>310</v>
      </c>
      <c r="I2802">
        <v>0</v>
      </c>
      <c r="J2802">
        <v>0</v>
      </c>
      <c r="K2802">
        <v>0</v>
      </c>
      <c r="L2802" t="s">
        <v>310</v>
      </c>
      <c r="M2802" t="s">
        <v>310</v>
      </c>
      <c r="N2802">
        <v>0</v>
      </c>
      <c r="O2802" t="s">
        <v>319</v>
      </c>
      <c r="P2802" t="s">
        <v>310</v>
      </c>
      <c r="Q2802" t="s">
        <v>310</v>
      </c>
      <c r="R2802" t="s">
        <v>310</v>
      </c>
      <c r="S2802">
        <v>9</v>
      </c>
      <c r="T2802" t="s">
        <v>310</v>
      </c>
      <c r="U2802">
        <v>9</v>
      </c>
      <c r="V2802">
        <v>9</v>
      </c>
      <c r="W2802">
        <v>0</v>
      </c>
      <c r="X2802">
        <v>0</v>
      </c>
      <c r="Y2802">
        <v>0</v>
      </c>
      <c r="Z2802">
        <v>0</v>
      </c>
      <c r="AA2802">
        <v>9</v>
      </c>
      <c r="AB2802">
        <v>9</v>
      </c>
      <c r="AC2802" t="s">
        <v>310</v>
      </c>
      <c r="AD2802">
        <v>9</v>
      </c>
      <c r="AE2802" t="s">
        <v>1394</v>
      </c>
      <c r="AF2802">
        <v>0</v>
      </c>
      <c r="AG2802" t="s">
        <v>310</v>
      </c>
      <c r="AH2802">
        <f>SUM((MID(Dyno_Data[[#This Row],[Team]],4,5))+(Dyno_Data[[#This Row],[Match]]/100))</f>
        <v>6300.53</v>
      </c>
      <c r="AI2802" s="76">
        <f>ROUND(SUM(IF(Dyno_Data[[#This Row],[AcqCenter]]&gt;0,Dyno_Data[[#This Row],[Time]]-SUMIFS(Dyno_Data[Time],Dyno_Data[Team],Dyno_Data[[#This Row],[Team]],Dyno_Data[RecordType],"StartMatch",Dyno_Data[Match],Dyno_Data[[#This Row],[Match]]),0)*86400),0)</f>
        <v>0</v>
      </c>
    </row>
    <row r="2803" spans="1:35" x14ac:dyDescent="0.3">
      <c r="A2803">
        <v>2810</v>
      </c>
      <c r="B2803" t="s">
        <v>1291</v>
      </c>
      <c r="C2803">
        <v>53</v>
      </c>
      <c r="D2803" s="105">
        <v>45373.733309722222</v>
      </c>
      <c r="E2803" t="s">
        <v>308</v>
      </c>
      <c r="F2803" t="s">
        <v>309</v>
      </c>
      <c r="G2803">
        <v>0</v>
      </c>
      <c r="H2803" t="s">
        <v>310</v>
      </c>
      <c r="I2803">
        <v>0</v>
      </c>
      <c r="J2803">
        <v>0</v>
      </c>
      <c r="K2803">
        <v>0</v>
      </c>
      <c r="L2803" t="s">
        <v>310</v>
      </c>
      <c r="M2803" t="s">
        <v>310</v>
      </c>
      <c r="N2803">
        <v>0</v>
      </c>
      <c r="O2803" t="s">
        <v>311</v>
      </c>
      <c r="P2803" t="s">
        <v>310</v>
      </c>
      <c r="Q2803" t="s">
        <v>310</v>
      </c>
      <c r="R2803" t="s">
        <v>310</v>
      </c>
      <c r="S2803">
        <v>9</v>
      </c>
      <c r="T2803" t="s">
        <v>310</v>
      </c>
      <c r="U2803">
        <v>9</v>
      </c>
      <c r="V2803">
        <v>9</v>
      </c>
      <c r="W2803">
        <v>0</v>
      </c>
      <c r="X2803">
        <v>0</v>
      </c>
      <c r="Y2803">
        <v>0</v>
      </c>
      <c r="Z2803">
        <v>0</v>
      </c>
      <c r="AA2803">
        <v>9</v>
      </c>
      <c r="AB2803">
        <v>9</v>
      </c>
      <c r="AC2803" t="s">
        <v>310</v>
      </c>
      <c r="AD2803">
        <v>9</v>
      </c>
      <c r="AE2803" t="s">
        <v>1417</v>
      </c>
      <c r="AF2803">
        <v>20000000</v>
      </c>
      <c r="AG2803" t="s">
        <v>310</v>
      </c>
      <c r="AH2803">
        <f>SUM((MID(Dyno_Data[[#This Row],[Team]],4,5))+(Dyno_Data[[#This Row],[Match]]/100))</f>
        <v>1493.53</v>
      </c>
      <c r="AI2803" s="76">
        <f>ROUND(SUM(IF(Dyno_Data[[#This Row],[AcqCenter]]&gt;0,Dyno_Data[[#This Row],[Time]]-SUMIFS(Dyno_Data[Time],Dyno_Data[Team],Dyno_Data[[#This Row],[Team]],Dyno_Data[RecordType],"StartMatch",Dyno_Data[Match],Dyno_Data[[#This Row],[Match]]),0)*86400),0)</f>
        <v>0</v>
      </c>
    </row>
    <row r="2804" spans="1:35" x14ac:dyDescent="0.3">
      <c r="A2804">
        <v>2812</v>
      </c>
      <c r="B2804" t="s">
        <v>366</v>
      </c>
      <c r="C2804">
        <v>53</v>
      </c>
      <c r="D2804" s="105">
        <v>45373.733316203703</v>
      </c>
      <c r="E2804" t="s">
        <v>308</v>
      </c>
      <c r="F2804" t="s">
        <v>309</v>
      </c>
      <c r="G2804">
        <v>0</v>
      </c>
      <c r="H2804" t="s">
        <v>310</v>
      </c>
      <c r="I2804">
        <v>0</v>
      </c>
      <c r="J2804">
        <v>0</v>
      </c>
      <c r="K2804">
        <v>0</v>
      </c>
      <c r="L2804" t="s">
        <v>310</v>
      </c>
      <c r="M2804" t="s">
        <v>310</v>
      </c>
      <c r="N2804">
        <v>0</v>
      </c>
      <c r="O2804" t="s">
        <v>1391</v>
      </c>
      <c r="P2804" t="s">
        <v>310</v>
      </c>
      <c r="Q2804" t="s">
        <v>310</v>
      </c>
      <c r="R2804" t="s">
        <v>310</v>
      </c>
      <c r="S2804">
        <v>9</v>
      </c>
      <c r="T2804" t="s">
        <v>310</v>
      </c>
      <c r="U2804">
        <v>9</v>
      </c>
      <c r="V2804">
        <v>9</v>
      </c>
      <c r="W2804">
        <v>0</v>
      </c>
      <c r="X2804">
        <v>0</v>
      </c>
      <c r="Y2804">
        <v>0</v>
      </c>
      <c r="Z2804">
        <v>0</v>
      </c>
      <c r="AA2804">
        <v>9</v>
      </c>
      <c r="AB2804">
        <v>9</v>
      </c>
      <c r="AC2804" t="s">
        <v>310</v>
      </c>
      <c r="AD2804">
        <v>9</v>
      </c>
      <c r="AE2804" t="s">
        <v>1418</v>
      </c>
      <c r="AF2804">
        <v>0</v>
      </c>
      <c r="AG2804" t="s">
        <v>310</v>
      </c>
      <c r="AH2804">
        <f>SUM((MID(Dyno_Data[[#This Row],[Team]],4,5))+(Dyno_Data[[#This Row],[Match]]/100))</f>
        <v>4122.53</v>
      </c>
      <c r="AI2804" s="76">
        <f>ROUND(SUM(IF(Dyno_Data[[#This Row],[AcqCenter]]&gt;0,Dyno_Data[[#This Row],[Time]]-SUMIFS(Dyno_Data[Time],Dyno_Data[Team],Dyno_Data[[#This Row],[Team]],Dyno_Data[RecordType],"StartMatch",Dyno_Data[Match],Dyno_Data[[#This Row],[Match]]),0)*86400),0)</f>
        <v>0</v>
      </c>
    </row>
    <row r="2805" spans="1:35" x14ac:dyDescent="0.3">
      <c r="A2805">
        <v>2814</v>
      </c>
      <c r="B2805" t="s">
        <v>1276</v>
      </c>
      <c r="C2805">
        <v>53</v>
      </c>
      <c r="D2805" s="105">
        <v>45373.733316898149</v>
      </c>
      <c r="E2805" t="s">
        <v>308</v>
      </c>
      <c r="F2805" t="s">
        <v>309</v>
      </c>
      <c r="G2805">
        <v>0</v>
      </c>
      <c r="H2805" t="s">
        <v>310</v>
      </c>
      <c r="I2805">
        <v>0</v>
      </c>
      <c r="J2805">
        <v>0</v>
      </c>
      <c r="K2805">
        <v>0</v>
      </c>
      <c r="L2805" t="s">
        <v>310</v>
      </c>
      <c r="M2805" t="s">
        <v>310</v>
      </c>
      <c r="N2805">
        <v>0</v>
      </c>
      <c r="O2805" t="s">
        <v>1389</v>
      </c>
      <c r="P2805" t="s">
        <v>310</v>
      </c>
      <c r="Q2805" t="s">
        <v>310</v>
      </c>
      <c r="R2805" t="s">
        <v>310</v>
      </c>
      <c r="S2805">
        <v>9</v>
      </c>
      <c r="T2805" t="s">
        <v>310</v>
      </c>
      <c r="U2805">
        <v>9</v>
      </c>
      <c r="V2805">
        <v>9</v>
      </c>
      <c r="W2805">
        <v>0</v>
      </c>
      <c r="X2805">
        <v>0</v>
      </c>
      <c r="Y2805">
        <v>0</v>
      </c>
      <c r="Z2805">
        <v>0</v>
      </c>
      <c r="AA2805">
        <v>9</v>
      </c>
      <c r="AB2805">
        <v>9</v>
      </c>
      <c r="AC2805" t="s">
        <v>310</v>
      </c>
      <c r="AD2805">
        <v>9</v>
      </c>
      <c r="AE2805" t="s">
        <v>1392</v>
      </c>
      <c r="AF2805">
        <v>0</v>
      </c>
      <c r="AG2805" t="s">
        <v>310</v>
      </c>
      <c r="AH2805">
        <f>SUM((MID(Dyno_Data[[#This Row],[Team]],4,5))+(Dyno_Data[[#This Row],[Match]]/100))</f>
        <v>229.53</v>
      </c>
      <c r="AI2805" s="76">
        <f>ROUND(SUM(IF(Dyno_Data[[#This Row],[AcqCenter]]&gt;0,Dyno_Data[[#This Row],[Time]]-SUMIFS(Dyno_Data[Time],Dyno_Data[Team],Dyno_Data[[#This Row],[Team]],Dyno_Data[RecordType],"StartMatch",Dyno_Data[Match],Dyno_Data[[#This Row],[Match]]),0)*86400),0)</f>
        <v>0</v>
      </c>
    </row>
    <row r="2806" spans="1:35" x14ac:dyDescent="0.3">
      <c r="A2806">
        <v>2799</v>
      </c>
      <c r="B2806" t="s">
        <v>1295</v>
      </c>
      <c r="C2806">
        <v>53</v>
      </c>
      <c r="D2806" s="105">
        <v>45373.733320717591</v>
      </c>
      <c r="E2806" t="s">
        <v>312</v>
      </c>
      <c r="F2806" t="s">
        <v>309</v>
      </c>
      <c r="G2806">
        <v>0</v>
      </c>
      <c r="H2806" t="s">
        <v>1397</v>
      </c>
      <c r="I2806">
        <v>0</v>
      </c>
      <c r="J2806">
        <v>0</v>
      </c>
      <c r="K2806">
        <v>0</v>
      </c>
      <c r="L2806" t="s">
        <v>241</v>
      </c>
      <c r="M2806" t="s">
        <v>1398</v>
      </c>
      <c r="N2806">
        <v>0</v>
      </c>
      <c r="O2806" t="s">
        <v>319</v>
      </c>
      <c r="P2806" t="s">
        <v>310</v>
      </c>
      <c r="Q2806" t="s">
        <v>310</v>
      </c>
      <c r="R2806" t="s">
        <v>310</v>
      </c>
      <c r="S2806">
        <v>9</v>
      </c>
      <c r="T2806" t="s">
        <v>310</v>
      </c>
      <c r="U2806">
        <v>9</v>
      </c>
      <c r="V2806">
        <v>9</v>
      </c>
      <c r="W2806">
        <v>0</v>
      </c>
      <c r="X2806">
        <v>0</v>
      </c>
      <c r="Y2806">
        <v>0</v>
      </c>
      <c r="Z2806">
        <v>0</v>
      </c>
      <c r="AA2806">
        <v>9</v>
      </c>
      <c r="AB2806">
        <v>9</v>
      </c>
      <c r="AC2806" t="s">
        <v>310</v>
      </c>
      <c r="AD2806">
        <v>9</v>
      </c>
      <c r="AE2806" t="s">
        <v>1394</v>
      </c>
      <c r="AF2806">
        <v>0</v>
      </c>
      <c r="AG2806" t="s">
        <v>310</v>
      </c>
      <c r="AH2806">
        <f>SUM((MID(Dyno_Data[[#This Row],[Team]],4,5))+(Dyno_Data[[#This Row],[Match]]/100))</f>
        <v>6300.53</v>
      </c>
      <c r="AI2806" s="76">
        <f>ROUND(SUM(IF(Dyno_Data[[#This Row],[AcqCenter]]&gt;0,Dyno_Data[[#This Row],[Time]]-SUMIFS(Dyno_Data[Time],Dyno_Data[Team],Dyno_Data[[#This Row],[Team]],Dyno_Data[RecordType],"StartMatch",Dyno_Data[Match],Dyno_Data[[#This Row],[Match]]),0)*86400),0)</f>
        <v>0</v>
      </c>
    </row>
    <row r="2807" spans="1:35" x14ac:dyDescent="0.3">
      <c r="A2807">
        <v>2800</v>
      </c>
      <c r="B2807" t="s">
        <v>1291</v>
      </c>
      <c r="C2807">
        <v>53</v>
      </c>
      <c r="D2807" s="105">
        <v>45373.733321446758</v>
      </c>
      <c r="E2807" t="s">
        <v>312</v>
      </c>
      <c r="F2807" t="s">
        <v>309</v>
      </c>
      <c r="G2807">
        <v>0</v>
      </c>
      <c r="H2807" t="s">
        <v>1397</v>
      </c>
      <c r="I2807">
        <v>0</v>
      </c>
      <c r="J2807">
        <v>0</v>
      </c>
      <c r="K2807">
        <v>0</v>
      </c>
      <c r="L2807" t="s">
        <v>240</v>
      </c>
      <c r="M2807" t="s">
        <v>1398</v>
      </c>
      <c r="N2807">
        <v>0</v>
      </c>
      <c r="O2807" t="s">
        <v>311</v>
      </c>
      <c r="P2807" t="s">
        <v>310</v>
      </c>
      <c r="Q2807" t="s">
        <v>310</v>
      </c>
      <c r="R2807" t="s">
        <v>310</v>
      </c>
      <c r="S2807">
        <v>9</v>
      </c>
      <c r="T2807" t="s">
        <v>310</v>
      </c>
      <c r="U2807">
        <v>9</v>
      </c>
      <c r="V2807">
        <v>9</v>
      </c>
      <c r="W2807">
        <v>0</v>
      </c>
      <c r="X2807">
        <v>0</v>
      </c>
      <c r="Y2807">
        <v>0</v>
      </c>
      <c r="Z2807">
        <v>0</v>
      </c>
      <c r="AA2807">
        <v>9</v>
      </c>
      <c r="AB2807">
        <v>9</v>
      </c>
      <c r="AC2807" t="s">
        <v>310</v>
      </c>
      <c r="AD2807">
        <v>9</v>
      </c>
      <c r="AE2807" t="s">
        <v>1417</v>
      </c>
      <c r="AF2807">
        <v>0</v>
      </c>
      <c r="AG2807" t="s">
        <v>310</v>
      </c>
      <c r="AH2807">
        <f>SUM((MID(Dyno_Data[[#This Row],[Team]],4,5))+(Dyno_Data[[#This Row],[Match]]/100))</f>
        <v>1493.53</v>
      </c>
      <c r="AI2807" s="76">
        <f>ROUND(SUM(IF(Dyno_Data[[#This Row],[AcqCenter]]&gt;0,Dyno_Data[[#This Row],[Time]]-SUMIFS(Dyno_Data[Time],Dyno_Data[Team],Dyno_Data[[#This Row],[Team]],Dyno_Data[RecordType],"StartMatch",Dyno_Data[Match],Dyno_Data[[#This Row],[Match]]),0)*86400),0)</f>
        <v>0</v>
      </c>
    </row>
    <row r="2808" spans="1:35" x14ac:dyDescent="0.3">
      <c r="A2808">
        <v>2801</v>
      </c>
      <c r="B2808" t="s">
        <v>1291</v>
      </c>
      <c r="C2808">
        <v>53</v>
      </c>
      <c r="D2808" s="105">
        <v>45373.733355752316</v>
      </c>
      <c r="E2808" t="s">
        <v>312</v>
      </c>
      <c r="F2808" t="s">
        <v>309</v>
      </c>
      <c r="G2808">
        <v>0</v>
      </c>
      <c r="H2808" t="s">
        <v>315</v>
      </c>
      <c r="I2808">
        <v>0</v>
      </c>
      <c r="J2808">
        <v>0</v>
      </c>
      <c r="K2808">
        <v>0</v>
      </c>
      <c r="L2808" t="s">
        <v>240</v>
      </c>
      <c r="M2808" t="s">
        <v>1398</v>
      </c>
      <c r="N2808">
        <v>0</v>
      </c>
      <c r="O2808" t="s">
        <v>311</v>
      </c>
      <c r="P2808" t="s">
        <v>310</v>
      </c>
      <c r="Q2808" t="s">
        <v>310</v>
      </c>
      <c r="R2808" t="s">
        <v>310</v>
      </c>
      <c r="S2808">
        <v>9</v>
      </c>
      <c r="T2808" t="s">
        <v>310</v>
      </c>
      <c r="U2808">
        <v>9</v>
      </c>
      <c r="V2808">
        <v>9</v>
      </c>
      <c r="W2808">
        <v>0</v>
      </c>
      <c r="X2808">
        <v>0</v>
      </c>
      <c r="Y2808">
        <v>0</v>
      </c>
      <c r="Z2808">
        <v>0</v>
      </c>
      <c r="AA2808">
        <v>9</v>
      </c>
      <c r="AB2808">
        <v>9</v>
      </c>
      <c r="AC2808" t="s">
        <v>310</v>
      </c>
      <c r="AD2808">
        <v>9</v>
      </c>
      <c r="AE2808" t="s">
        <v>1417</v>
      </c>
      <c r="AF2808">
        <v>10000000</v>
      </c>
      <c r="AG2808" t="s">
        <v>310</v>
      </c>
      <c r="AH2808">
        <f>SUM((MID(Dyno_Data[[#This Row],[Team]],4,5))+(Dyno_Data[[#This Row],[Match]]/100))</f>
        <v>1493.53</v>
      </c>
      <c r="AI2808" s="76">
        <f>ROUND(SUM(IF(Dyno_Data[[#This Row],[AcqCenter]]&gt;0,Dyno_Data[[#This Row],[Time]]-SUMIFS(Dyno_Data[Time],Dyno_Data[Team],Dyno_Data[[#This Row],[Team]],Dyno_Data[RecordType],"StartMatch",Dyno_Data[Match],Dyno_Data[[#This Row],[Match]]),0)*86400),0)</f>
        <v>0</v>
      </c>
    </row>
    <row r="2809" spans="1:35" x14ac:dyDescent="0.3">
      <c r="A2809">
        <v>2802</v>
      </c>
      <c r="B2809" t="s">
        <v>366</v>
      </c>
      <c r="C2809">
        <v>53</v>
      </c>
      <c r="D2809" s="105">
        <v>45373.73336165509</v>
      </c>
      <c r="E2809" t="s">
        <v>312</v>
      </c>
      <c r="F2809" t="s">
        <v>309</v>
      </c>
      <c r="G2809">
        <v>0</v>
      </c>
      <c r="H2809" t="s">
        <v>1397</v>
      </c>
      <c r="I2809">
        <v>0</v>
      </c>
      <c r="J2809">
        <v>0</v>
      </c>
      <c r="K2809">
        <v>0</v>
      </c>
      <c r="L2809" t="s">
        <v>240</v>
      </c>
      <c r="M2809" t="s">
        <v>1398</v>
      </c>
      <c r="N2809">
        <v>0</v>
      </c>
      <c r="O2809" t="s">
        <v>1391</v>
      </c>
      <c r="P2809" t="s">
        <v>310</v>
      </c>
      <c r="Q2809" t="s">
        <v>310</v>
      </c>
      <c r="R2809" t="s">
        <v>310</v>
      </c>
      <c r="S2809">
        <v>9</v>
      </c>
      <c r="T2809" t="s">
        <v>310</v>
      </c>
      <c r="U2809">
        <v>9</v>
      </c>
      <c r="V2809">
        <v>9</v>
      </c>
      <c r="W2809">
        <v>0</v>
      </c>
      <c r="X2809">
        <v>0</v>
      </c>
      <c r="Y2809">
        <v>0</v>
      </c>
      <c r="Z2809">
        <v>0</v>
      </c>
      <c r="AA2809">
        <v>9</v>
      </c>
      <c r="AB2809">
        <v>9</v>
      </c>
      <c r="AC2809" t="s">
        <v>310</v>
      </c>
      <c r="AD2809">
        <v>9</v>
      </c>
      <c r="AE2809" t="s">
        <v>1418</v>
      </c>
      <c r="AF2809">
        <v>0</v>
      </c>
      <c r="AG2809" t="s">
        <v>310</v>
      </c>
      <c r="AH2809">
        <f>SUM((MID(Dyno_Data[[#This Row],[Team]],4,5))+(Dyno_Data[[#This Row],[Match]]/100))</f>
        <v>4122.53</v>
      </c>
      <c r="AI2809" s="76">
        <f>ROUND(SUM(IF(Dyno_Data[[#This Row],[AcqCenter]]&gt;0,Dyno_Data[[#This Row],[Time]]-SUMIFS(Dyno_Data[Time],Dyno_Data[Team],Dyno_Data[[#This Row],[Team]],Dyno_Data[RecordType],"StartMatch",Dyno_Data[Match],Dyno_Data[[#This Row],[Match]]),0)*86400),0)</f>
        <v>0</v>
      </c>
    </row>
    <row r="2810" spans="1:35" x14ac:dyDescent="0.3">
      <c r="A2810">
        <v>2803</v>
      </c>
      <c r="B2810" t="s">
        <v>1291</v>
      </c>
      <c r="C2810">
        <v>53</v>
      </c>
      <c r="D2810" s="105">
        <v>45373.733479629627</v>
      </c>
      <c r="E2810" t="s">
        <v>312</v>
      </c>
      <c r="F2810" t="s">
        <v>309</v>
      </c>
      <c r="G2810">
        <v>0</v>
      </c>
      <c r="H2810" t="s">
        <v>315</v>
      </c>
      <c r="I2810">
        <v>0</v>
      </c>
      <c r="J2810">
        <v>0</v>
      </c>
      <c r="K2810">
        <v>0</v>
      </c>
      <c r="L2810" t="s">
        <v>240</v>
      </c>
      <c r="M2810" t="s">
        <v>1398</v>
      </c>
      <c r="N2810">
        <v>1</v>
      </c>
      <c r="O2810" t="s">
        <v>311</v>
      </c>
      <c r="P2810" t="s">
        <v>310</v>
      </c>
      <c r="Q2810" t="s">
        <v>310</v>
      </c>
      <c r="R2810" t="s">
        <v>310</v>
      </c>
      <c r="S2810">
        <v>9</v>
      </c>
      <c r="T2810" t="s">
        <v>310</v>
      </c>
      <c r="U2810">
        <v>9</v>
      </c>
      <c r="V2810">
        <v>9</v>
      </c>
      <c r="W2810">
        <v>0</v>
      </c>
      <c r="X2810">
        <v>0</v>
      </c>
      <c r="Y2810">
        <v>0</v>
      </c>
      <c r="Z2810">
        <v>0</v>
      </c>
      <c r="AA2810">
        <v>9</v>
      </c>
      <c r="AB2810">
        <v>9</v>
      </c>
      <c r="AC2810" t="s">
        <v>310</v>
      </c>
      <c r="AD2810">
        <v>9</v>
      </c>
      <c r="AE2810" t="s">
        <v>1417</v>
      </c>
      <c r="AF2810">
        <v>20000000</v>
      </c>
      <c r="AG2810" t="s">
        <v>310</v>
      </c>
      <c r="AH2810">
        <f>SUM((MID(Dyno_Data[[#This Row],[Team]],4,5))+(Dyno_Data[[#This Row],[Match]]/100))</f>
        <v>1493.53</v>
      </c>
      <c r="AI2810" s="76">
        <f>ROUND(SUM(IF(Dyno_Data[[#This Row],[AcqCenter]]&gt;0,Dyno_Data[[#This Row],[Time]]-SUMIFS(Dyno_Data[Time],Dyno_Data[Team],Dyno_Data[[#This Row],[Team]],Dyno_Data[RecordType],"StartMatch",Dyno_Data[Match],Dyno_Data[[#This Row],[Match]]),0)*86400),0)</f>
        <v>0</v>
      </c>
    </row>
    <row r="2811" spans="1:35" x14ac:dyDescent="0.3">
      <c r="A2811">
        <v>2805</v>
      </c>
      <c r="B2811" t="s">
        <v>1311</v>
      </c>
      <c r="C2811">
        <v>53</v>
      </c>
      <c r="D2811" s="105">
        <v>45373.733510150465</v>
      </c>
      <c r="E2811" t="s">
        <v>314</v>
      </c>
      <c r="F2811" t="s">
        <v>309</v>
      </c>
      <c r="G2811">
        <v>1</v>
      </c>
      <c r="H2811" t="s">
        <v>310</v>
      </c>
      <c r="I2811">
        <v>0</v>
      </c>
      <c r="J2811">
        <v>0</v>
      </c>
      <c r="K2811">
        <v>0</v>
      </c>
      <c r="L2811" t="s">
        <v>310</v>
      </c>
      <c r="M2811" t="s">
        <v>310</v>
      </c>
      <c r="N2811">
        <v>0</v>
      </c>
      <c r="O2811" t="s">
        <v>1393</v>
      </c>
      <c r="P2811" t="s">
        <v>320</v>
      </c>
      <c r="Q2811" t="s">
        <v>1399</v>
      </c>
      <c r="R2811" t="s">
        <v>310</v>
      </c>
      <c r="S2811">
        <v>9</v>
      </c>
      <c r="T2811" t="s">
        <v>310</v>
      </c>
      <c r="U2811">
        <v>9</v>
      </c>
      <c r="V2811">
        <v>9</v>
      </c>
      <c r="W2811">
        <v>0</v>
      </c>
      <c r="X2811">
        <v>0</v>
      </c>
      <c r="Y2811">
        <v>0</v>
      </c>
      <c r="Z2811">
        <v>0</v>
      </c>
      <c r="AA2811">
        <v>9</v>
      </c>
      <c r="AB2811">
        <v>9</v>
      </c>
      <c r="AC2811" t="s">
        <v>310</v>
      </c>
      <c r="AD2811">
        <v>9</v>
      </c>
      <c r="AE2811" t="s">
        <v>1387</v>
      </c>
      <c r="AF2811">
        <v>0</v>
      </c>
      <c r="AG2811" t="s">
        <v>310</v>
      </c>
      <c r="AH2811">
        <f>SUM((MID(Dyno_Data[[#This Row],[Team]],4,5))+(Dyno_Data[[#This Row],[Match]]/100))</f>
        <v>2234.5300000000002</v>
      </c>
      <c r="AI2811" s="76">
        <f>ROUND(SUM(IF(Dyno_Data[[#This Row],[AcqCenter]]&gt;0,Dyno_Data[[#This Row],[Time]]-SUMIFS(Dyno_Data[Time],Dyno_Data[Team],Dyno_Data[[#This Row],[Team]],Dyno_Data[RecordType],"StartMatch",Dyno_Data[Match],Dyno_Data[[#This Row],[Match]]),0)*86400),0)</f>
        <v>0</v>
      </c>
    </row>
    <row r="2812" spans="1:35" x14ac:dyDescent="0.3">
      <c r="A2812">
        <v>2807</v>
      </c>
      <c r="B2812" t="s">
        <v>1302</v>
      </c>
      <c r="C2812">
        <v>53</v>
      </c>
      <c r="D2812" s="105">
        <v>45373.733514467589</v>
      </c>
      <c r="E2812" t="s">
        <v>314</v>
      </c>
      <c r="F2812" t="s">
        <v>309</v>
      </c>
      <c r="G2812">
        <v>1</v>
      </c>
      <c r="H2812" t="s">
        <v>310</v>
      </c>
      <c r="I2812">
        <v>0</v>
      </c>
      <c r="J2812">
        <v>0</v>
      </c>
      <c r="K2812">
        <v>0</v>
      </c>
      <c r="L2812" t="s">
        <v>310</v>
      </c>
      <c r="M2812" t="s">
        <v>310</v>
      </c>
      <c r="N2812">
        <v>0</v>
      </c>
      <c r="O2812" t="s">
        <v>1395</v>
      </c>
      <c r="P2812" t="s">
        <v>101</v>
      </c>
      <c r="Q2812" t="s">
        <v>1400</v>
      </c>
      <c r="R2812" t="s">
        <v>310</v>
      </c>
      <c r="S2812">
        <v>9</v>
      </c>
      <c r="T2812" t="s">
        <v>310</v>
      </c>
      <c r="U2812">
        <v>9</v>
      </c>
      <c r="V2812">
        <v>9</v>
      </c>
      <c r="W2812">
        <v>0</v>
      </c>
      <c r="X2812">
        <v>0</v>
      </c>
      <c r="Y2812">
        <v>0</v>
      </c>
      <c r="Z2812">
        <v>0</v>
      </c>
      <c r="AA2812">
        <v>9</v>
      </c>
      <c r="AB2812">
        <v>9</v>
      </c>
      <c r="AC2812" t="s">
        <v>310</v>
      </c>
      <c r="AD2812">
        <v>9</v>
      </c>
      <c r="AE2812" t="s">
        <v>1416</v>
      </c>
      <c r="AF2812">
        <v>0</v>
      </c>
      <c r="AG2812" t="s">
        <v>310</v>
      </c>
      <c r="AH2812">
        <f>SUM((MID(Dyno_Data[[#This Row],[Team]],4,5))+(Dyno_Data[[#This Row],[Match]]/100))</f>
        <v>2095.5300000000002</v>
      </c>
      <c r="AI2812" s="76">
        <f>ROUND(SUM(IF(Dyno_Data[[#This Row],[AcqCenter]]&gt;0,Dyno_Data[[#This Row],[Time]]-SUMIFS(Dyno_Data[Time],Dyno_Data[Team],Dyno_Data[[#This Row],[Team]],Dyno_Data[RecordType],"StartMatch",Dyno_Data[Match],Dyno_Data[[#This Row],[Match]]),0)*86400),0)</f>
        <v>0</v>
      </c>
    </row>
    <row r="2813" spans="1:35" x14ac:dyDescent="0.3">
      <c r="A2813">
        <v>2809</v>
      </c>
      <c r="B2813" t="s">
        <v>1295</v>
      </c>
      <c r="C2813">
        <v>53</v>
      </c>
      <c r="D2813" s="105">
        <v>45373.733517326385</v>
      </c>
      <c r="E2813" t="s">
        <v>314</v>
      </c>
      <c r="F2813" t="s">
        <v>309</v>
      </c>
      <c r="G2813">
        <v>1</v>
      </c>
      <c r="H2813" t="s">
        <v>310</v>
      </c>
      <c r="I2813">
        <v>0</v>
      </c>
      <c r="J2813">
        <v>0</v>
      </c>
      <c r="K2813">
        <v>0</v>
      </c>
      <c r="L2813" t="s">
        <v>310</v>
      </c>
      <c r="M2813" t="s">
        <v>310</v>
      </c>
      <c r="N2813">
        <v>0</v>
      </c>
      <c r="O2813" t="s">
        <v>319</v>
      </c>
      <c r="P2813" t="s">
        <v>1401</v>
      </c>
      <c r="Q2813" t="s">
        <v>1399</v>
      </c>
      <c r="R2813" t="s">
        <v>310</v>
      </c>
      <c r="S2813">
        <v>9</v>
      </c>
      <c r="T2813" t="s">
        <v>310</v>
      </c>
      <c r="U2813">
        <v>9</v>
      </c>
      <c r="V2813">
        <v>9</v>
      </c>
      <c r="W2813">
        <v>0</v>
      </c>
      <c r="X2813">
        <v>0</v>
      </c>
      <c r="Y2813">
        <v>0</v>
      </c>
      <c r="Z2813">
        <v>0</v>
      </c>
      <c r="AA2813">
        <v>9</v>
      </c>
      <c r="AB2813">
        <v>9</v>
      </c>
      <c r="AC2813" t="s">
        <v>310</v>
      </c>
      <c r="AD2813">
        <v>9</v>
      </c>
      <c r="AE2813" t="s">
        <v>1394</v>
      </c>
      <c r="AF2813">
        <v>0</v>
      </c>
      <c r="AG2813" t="s">
        <v>310</v>
      </c>
      <c r="AH2813">
        <f>SUM((MID(Dyno_Data[[#This Row],[Team]],4,5))+(Dyno_Data[[#This Row],[Match]]/100))</f>
        <v>6300.53</v>
      </c>
      <c r="AI2813" s="76">
        <f>ROUND(SUM(IF(Dyno_Data[[#This Row],[AcqCenter]]&gt;0,Dyno_Data[[#This Row],[Time]]-SUMIFS(Dyno_Data[Time],Dyno_Data[Team],Dyno_Data[[#This Row],[Team]],Dyno_Data[RecordType],"StartMatch",Dyno_Data[Match],Dyno_Data[[#This Row],[Match]]),0)*86400),0)</f>
        <v>0</v>
      </c>
    </row>
    <row r="2814" spans="1:35" x14ac:dyDescent="0.3">
      <c r="A2814">
        <v>2811</v>
      </c>
      <c r="B2814" t="s">
        <v>1291</v>
      </c>
      <c r="C2814">
        <v>53</v>
      </c>
      <c r="D2814" s="105">
        <v>45373.733518055553</v>
      </c>
      <c r="E2814" t="s">
        <v>314</v>
      </c>
      <c r="F2814" t="s">
        <v>309</v>
      </c>
      <c r="G2814">
        <v>1</v>
      </c>
      <c r="H2814" t="s">
        <v>310</v>
      </c>
      <c r="I2814">
        <v>0</v>
      </c>
      <c r="J2814">
        <v>0</v>
      </c>
      <c r="K2814">
        <v>0</v>
      </c>
      <c r="L2814" t="s">
        <v>310</v>
      </c>
      <c r="M2814" t="s">
        <v>310</v>
      </c>
      <c r="N2814">
        <v>0</v>
      </c>
      <c r="O2814" t="s">
        <v>311</v>
      </c>
      <c r="P2814" t="s">
        <v>240</v>
      </c>
      <c r="Q2814" t="s">
        <v>1400</v>
      </c>
      <c r="R2814" t="s">
        <v>310</v>
      </c>
      <c r="S2814">
        <v>9</v>
      </c>
      <c r="T2814" t="s">
        <v>310</v>
      </c>
      <c r="U2814">
        <v>9</v>
      </c>
      <c r="V2814">
        <v>9</v>
      </c>
      <c r="W2814">
        <v>0</v>
      </c>
      <c r="X2814">
        <v>0</v>
      </c>
      <c r="Y2814">
        <v>0</v>
      </c>
      <c r="Z2814">
        <v>0</v>
      </c>
      <c r="AA2814">
        <v>9</v>
      </c>
      <c r="AB2814">
        <v>9</v>
      </c>
      <c r="AC2814" t="s">
        <v>310</v>
      </c>
      <c r="AD2814">
        <v>9</v>
      </c>
      <c r="AE2814" t="s">
        <v>1417</v>
      </c>
      <c r="AF2814">
        <v>20000000</v>
      </c>
      <c r="AG2814" t="s">
        <v>310</v>
      </c>
      <c r="AH2814">
        <f>SUM((MID(Dyno_Data[[#This Row],[Team]],4,5))+(Dyno_Data[[#This Row],[Match]]/100))</f>
        <v>1493.53</v>
      </c>
      <c r="AI2814" s="76">
        <f>ROUND(SUM(IF(Dyno_Data[[#This Row],[AcqCenter]]&gt;0,Dyno_Data[[#This Row],[Time]]-SUMIFS(Dyno_Data[Time],Dyno_Data[Team],Dyno_Data[[#This Row],[Team]],Dyno_Data[RecordType],"StartMatch",Dyno_Data[Match],Dyno_Data[[#This Row],[Match]]),0)*86400),0)</f>
        <v>0</v>
      </c>
    </row>
    <row r="2815" spans="1:35" x14ac:dyDescent="0.3">
      <c r="A2815">
        <v>2813</v>
      </c>
      <c r="B2815" t="s">
        <v>366</v>
      </c>
      <c r="C2815">
        <v>53</v>
      </c>
      <c r="D2815" s="105">
        <v>45373.733524537034</v>
      </c>
      <c r="E2815" t="s">
        <v>314</v>
      </c>
      <c r="F2815" t="s">
        <v>309</v>
      </c>
      <c r="G2815">
        <v>0</v>
      </c>
      <c r="H2815" t="s">
        <v>310</v>
      </c>
      <c r="I2815">
        <v>0</v>
      </c>
      <c r="J2815">
        <v>0</v>
      </c>
      <c r="K2815">
        <v>0</v>
      </c>
      <c r="L2815" t="s">
        <v>310</v>
      </c>
      <c r="M2815" t="s">
        <v>310</v>
      </c>
      <c r="N2815">
        <v>0</v>
      </c>
      <c r="O2815" t="s">
        <v>1391</v>
      </c>
      <c r="P2815" t="s">
        <v>101</v>
      </c>
      <c r="Q2815" t="s">
        <v>1400</v>
      </c>
      <c r="R2815" t="s">
        <v>310</v>
      </c>
      <c r="S2815">
        <v>9</v>
      </c>
      <c r="T2815" t="s">
        <v>310</v>
      </c>
      <c r="U2815">
        <v>9</v>
      </c>
      <c r="V2815">
        <v>9</v>
      </c>
      <c r="W2815">
        <v>0</v>
      </c>
      <c r="X2815">
        <v>0</v>
      </c>
      <c r="Y2815">
        <v>0</v>
      </c>
      <c r="Z2815">
        <v>0</v>
      </c>
      <c r="AA2815">
        <v>9</v>
      </c>
      <c r="AB2815">
        <v>9</v>
      </c>
      <c r="AC2815" t="s">
        <v>310</v>
      </c>
      <c r="AD2815">
        <v>9</v>
      </c>
      <c r="AE2815" t="s">
        <v>1418</v>
      </c>
      <c r="AF2815">
        <v>0</v>
      </c>
      <c r="AG2815" t="s">
        <v>310</v>
      </c>
      <c r="AH2815">
        <f>SUM((MID(Dyno_Data[[#This Row],[Team]],4,5))+(Dyno_Data[[#This Row],[Match]]/100))</f>
        <v>4122.53</v>
      </c>
      <c r="AI2815" s="76">
        <f>ROUND(SUM(IF(Dyno_Data[[#This Row],[AcqCenter]]&gt;0,Dyno_Data[[#This Row],[Time]]-SUMIFS(Dyno_Data[Time],Dyno_Data[Team],Dyno_Data[[#This Row],[Team]],Dyno_Data[RecordType],"StartMatch",Dyno_Data[Match],Dyno_Data[[#This Row],[Match]]),0)*86400),0)</f>
        <v>0</v>
      </c>
    </row>
    <row r="2816" spans="1:35" x14ac:dyDescent="0.3">
      <c r="A2816">
        <v>2815</v>
      </c>
      <c r="B2816" t="s">
        <v>1276</v>
      </c>
      <c r="C2816">
        <v>53</v>
      </c>
      <c r="D2816" s="105">
        <v>45373.733525231481</v>
      </c>
      <c r="E2816" t="s">
        <v>314</v>
      </c>
      <c r="F2816" t="s">
        <v>309</v>
      </c>
      <c r="G2816">
        <v>1</v>
      </c>
      <c r="H2816" t="s">
        <v>310</v>
      </c>
      <c r="I2816">
        <v>0</v>
      </c>
      <c r="J2816">
        <v>0</v>
      </c>
      <c r="K2816">
        <v>0</v>
      </c>
      <c r="L2816" t="s">
        <v>310</v>
      </c>
      <c r="M2816" t="s">
        <v>310</v>
      </c>
      <c r="N2816">
        <v>0</v>
      </c>
      <c r="O2816" t="s">
        <v>1389</v>
      </c>
      <c r="P2816" t="s">
        <v>1401</v>
      </c>
      <c r="Q2816" t="s">
        <v>1400</v>
      </c>
      <c r="R2816" t="s">
        <v>310</v>
      </c>
      <c r="S2816">
        <v>9</v>
      </c>
      <c r="T2816" t="s">
        <v>310</v>
      </c>
      <c r="U2816">
        <v>9</v>
      </c>
      <c r="V2816">
        <v>9</v>
      </c>
      <c r="W2816">
        <v>0</v>
      </c>
      <c r="X2816">
        <v>0</v>
      </c>
      <c r="Y2816">
        <v>0</v>
      </c>
      <c r="Z2816">
        <v>0</v>
      </c>
      <c r="AA2816">
        <v>9</v>
      </c>
      <c r="AB2816">
        <v>9</v>
      </c>
      <c r="AC2816" t="s">
        <v>310</v>
      </c>
      <c r="AD2816">
        <v>9</v>
      </c>
      <c r="AE2816" t="s">
        <v>1392</v>
      </c>
      <c r="AF2816">
        <v>0</v>
      </c>
      <c r="AG2816" t="s">
        <v>310</v>
      </c>
      <c r="AH2816">
        <f>SUM((MID(Dyno_Data[[#This Row],[Team]],4,5))+(Dyno_Data[[#This Row],[Match]]/100))</f>
        <v>229.53</v>
      </c>
      <c r="AI2816" s="76">
        <f>ROUND(SUM(IF(Dyno_Data[[#This Row],[AcqCenter]]&gt;0,Dyno_Data[[#This Row],[Time]]-SUMIFS(Dyno_Data[Time],Dyno_Data[Team],Dyno_Data[[#This Row],[Team]],Dyno_Data[RecordType],"StartMatch",Dyno_Data[Match],Dyno_Data[[#This Row],[Match]]),0)*86400),0)</f>
        <v>0</v>
      </c>
    </row>
    <row r="2817" spans="1:35" x14ac:dyDescent="0.3">
      <c r="A2817">
        <v>2816</v>
      </c>
      <c r="B2817" t="s">
        <v>1295</v>
      </c>
      <c r="C2817">
        <v>53</v>
      </c>
      <c r="D2817" s="105">
        <v>45373.733599074076</v>
      </c>
      <c r="E2817" t="s">
        <v>312</v>
      </c>
      <c r="F2817" t="s">
        <v>1402</v>
      </c>
      <c r="G2817">
        <v>0</v>
      </c>
      <c r="H2817" t="s">
        <v>315</v>
      </c>
      <c r="I2817">
        <v>0</v>
      </c>
      <c r="J2817">
        <v>0</v>
      </c>
      <c r="K2817">
        <v>0</v>
      </c>
      <c r="L2817" t="s">
        <v>241</v>
      </c>
      <c r="M2817" t="s">
        <v>101</v>
      </c>
      <c r="N2817">
        <v>0</v>
      </c>
      <c r="O2817" t="s">
        <v>319</v>
      </c>
      <c r="P2817" t="s">
        <v>310</v>
      </c>
      <c r="Q2817" t="s">
        <v>310</v>
      </c>
      <c r="R2817" t="s">
        <v>310</v>
      </c>
      <c r="S2817">
        <v>9</v>
      </c>
      <c r="T2817" t="s">
        <v>310</v>
      </c>
      <c r="U2817">
        <v>9</v>
      </c>
      <c r="V2817">
        <v>9</v>
      </c>
      <c r="W2817">
        <v>0</v>
      </c>
      <c r="X2817">
        <v>0</v>
      </c>
      <c r="Y2817">
        <v>0</v>
      </c>
      <c r="Z2817">
        <v>0</v>
      </c>
      <c r="AA2817">
        <v>9</v>
      </c>
      <c r="AB2817">
        <v>9</v>
      </c>
      <c r="AC2817" t="s">
        <v>310</v>
      </c>
      <c r="AD2817">
        <v>9</v>
      </c>
      <c r="AE2817" t="s">
        <v>1394</v>
      </c>
      <c r="AF2817">
        <v>10000000</v>
      </c>
      <c r="AG2817" t="s">
        <v>310</v>
      </c>
      <c r="AH2817">
        <f>SUM((MID(Dyno_Data[[#This Row],[Team]],4,5))+(Dyno_Data[[#This Row],[Match]]/100))</f>
        <v>6300.53</v>
      </c>
      <c r="AI2817" s="76">
        <f>ROUND(SUM(IF(Dyno_Data[[#This Row],[AcqCenter]]&gt;0,Dyno_Data[[#This Row],[Time]]-SUMIFS(Dyno_Data[Time],Dyno_Data[Team],Dyno_Data[[#This Row],[Team]],Dyno_Data[RecordType],"StartMatch",Dyno_Data[Match],Dyno_Data[[#This Row],[Match]]),0)*86400),0)</f>
        <v>0</v>
      </c>
    </row>
    <row r="2818" spans="1:35" x14ac:dyDescent="0.3">
      <c r="A2818">
        <v>2817</v>
      </c>
      <c r="B2818" t="s">
        <v>366</v>
      </c>
      <c r="C2818">
        <v>53</v>
      </c>
      <c r="D2818" s="105">
        <v>45373.733641087965</v>
      </c>
      <c r="E2818" t="s">
        <v>312</v>
      </c>
      <c r="F2818" t="s">
        <v>1402</v>
      </c>
      <c r="G2818">
        <v>0</v>
      </c>
      <c r="H2818" t="s">
        <v>315</v>
      </c>
      <c r="I2818">
        <v>0</v>
      </c>
      <c r="J2818">
        <v>0</v>
      </c>
      <c r="K2818">
        <v>0</v>
      </c>
      <c r="L2818" t="s">
        <v>242</v>
      </c>
      <c r="M2818" t="s">
        <v>241</v>
      </c>
      <c r="N2818">
        <v>0</v>
      </c>
      <c r="O2818" t="s">
        <v>1391</v>
      </c>
      <c r="P2818" t="s">
        <v>310</v>
      </c>
      <c r="Q2818" t="s">
        <v>310</v>
      </c>
      <c r="R2818" t="s">
        <v>310</v>
      </c>
      <c r="S2818">
        <v>9</v>
      </c>
      <c r="T2818" t="s">
        <v>310</v>
      </c>
      <c r="U2818">
        <v>9</v>
      </c>
      <c r="V2818">
        <v>9</v>
      </c>
      <c r="W2818">
        <v>0</v>
      </c>
      <c r="X2818">
        <v>0</v>
      </c>
      <c r="Y2818">
        <v>0</v>
      </c>
      <c r="Z2818">
        <v>0</v>
      </c>
      <c r="AA2818">
        <v>9</v>
      </c>
      <c r="AB2818">
        <v>9</v>
      </c>
      <c r="AC2818" t="s">
        <v>310</v>
      </c>
      <c r="AD2818">
        <v>9</v>
      </c>
      <c r="AE2818" t="s">
        <v>1418</v>
      </c>
      <c r="AF2818">
        <v>10000000</v>
      </c>
      <c r="AG2818" t="s">
        <v>310</v>
      </c>
      <c r="AH2818">
        <f>SUM((MID(Dyno_Data[[#This Row],[Team]],4,5))+(Dyno_Data[[#This Row],[Match]]/100))</f>
        <v>4122.53</v>
      </c>
      <c r="AI2818" s="76">
        <f>ROUND(SUM(IF(Dyno_Data[[#This Row],[AcqCenter]]&gt;0,Dyno_Data[[#This Row],[Time]]-SUMIFS(Dyno_Data[Time],Dyno_Data[Team],Dyno_Data[[#This Row],[Team]],Dyno_Data[RecordType],"StartMatch",Dyno_Data[Match],Dyno_Data[[#This Row],[Match]]),0)*86400),0)</f>
        <v>0</v>
      </c>
    </row>
    <row r="2819" spans="1:35" x14ac:dyDescent="0.3">
      <c r="A2819">
        <v>2818</v>
      </c>
      <c r="B2819" t="s">
        <v>1311</v>
      </c>
      <c r="C2819">
        <v>53</v>
      </c>
      <c r="D2819" s="105">
        <v>45373.733655474534</v>
      </c>
      <c r="E2819" t="s">
        <v>312</v>
      </c>
      <c r="F2819" t="s">
        <v>1402</v>
      </c>
      <c r="G2819">
        <v>0</v>
      </c>
      <c r="H2819" t="s">
        <v>1397</v>
      </c>
      <c r="I2819">
        <v>0</v>
      </c>
      <c r="J2819">
        <v>0</v>
      </c>
      <c r="K2819">
        <v>0</v>
      </c>
      <c r="L2819" t="s">
        <v>241</v>
      </c>
      <c r="M2819" t="s">
        <v>101</v>
      </c>
      <c r="N2819">
        <v>1</v>
      </c>
      <c r="O2819" t="s">
        <v>1393</v>
      </c>
      <c r="P2819" t="s">
        <v>310</v>
      </c>
      <c r="Q2819" t="s">
        <v>310</v>
      </c>
      <c r="R2819" t="s">
        <v>310</v>
      </c>
      <c r="S2819">
        <v>9</v>
      </c>
      <c r="T2819" t="s">
        <v>310</v>
      </c>
      <c r="U2819">
        <v>9</v>
      </c>
      <c r="V2819">
        <v>9</v>
      </c>
      <c r="W2819">
        <v>0</v>
      </c>
      <c r="X2819">
        <v>0</v>
      </c>
      <c r="Y2819">
        <v>0</v>
      </c>
      <c r="Z2819">
        <v>0</v>
      </c>
      <c r="AA2819">
        <v>9</v>
      </c>
      <c r="AB2819">
        <v>9</v>
      </c>
      <c r="AC2819" t="s">
        <v>310</v>
      </c>
      <c r="AD2819">
        <v>9</v>
      </c>
      <c r="AE2819" t="s">
        <v>1387</v>
      </c>
      <c r="AF2819">
        <v>0</v>
      </c>
      <c r="AG2819" t="s">
        <v>310</v>
      </c>
      <c r="AH2819">
        <f>SUM((MID(Dyno_Data[[#This Row],[Team]],4,5))+(Dyno_Data[[#This Row],[Match]]/100))</f>
        <v>2234.5300000000002</v>
      </c>
      <c r="AI2819" s="76">
        <f>ROUND(SUM(IF(Dyno_Data[[#This Row],[AcqCenter]]&gt;0,Dyno_Data[[#This Row],[Time]]-SUMIFS(Dyno_Data[Time],Dyno_Data[Team],Dyno_Data[[#This Row],[Team]],Dyno_Data[RecordType],"StartMatch",Dyno_Data[Match],Dyno_Data[[#This Row],[Match]]),0)*86400),0)</f>
        <v>0</v>
      </c>
    </row>
    <row r="2820" spans="1:35" x14ac:dyDescent="0.3">
      <c r="A2820">
        <v>2819</v>
      </c>
      <c r="B2820" t="s">
        <v>1302</v>
      </c>
      <c r="C2820">
        <v>53</v>
      </c>
      <c r="D2820" s="105">
        <v>45373.733659062498</v>
      </c>
      <c r="E2820" t="s">
        <v>312</v>
      </c>
      <c r="F2820" t="s">
        <v>1402</v>
      </c>
      <c r="G2820">
        <v>0</v>
      </c>
      <c r="H2820" t="s">
        <v>1397</v>
      </c>
      <c r="I2820">
        <v>0</v>
      </c>
      <c r="J2820">
        <v>0</v>
      </c>
      <c r="K2820">
        <v>0</v>
      </c>
      <c r="L2820" t="s">
        <v>240</v>
      </c>
      <c r="M2820" t="s">
        <v>1398</v>
      </c>
      <c r="N2820">
        <v>0</v>
      </c>
      <c r="O2820" t="s">
        <v>1395</v>
      </c>
      <c r="P2820" t="s">
        <v>310</v>
      </c>
      <c r="Q2820" t="s">
        <v>310</v>
      </c>
      <c r="R2820" t="s">
        <v>310</v>
      </c>
      <c r="S2820">
        <v>9</v>
      </c>
      <c r="T2820" t="s">
        <v>310</v>
      </c>
      <c r="U2820">
        <v>9</v>
      </c>
      <c r="V2820">
        <v>9</v>
      </c>
      <c r="W2820">
        <v>0</v>
      </c>
      <c r="X2820">
        <v>0</v>
      </c>
      <c r="Y2820">
        <v>0</v>
      </c>
      <c r="Z2820">
        <v>0</v>
      </c>
      <c r="AA2820">
        <v>9</v>
      </c>
      <c r="AB2820">
        <v>9</v>
      </c>
      <c r="AC2820" t="s">
        <v>310</v>
      </c>
      <c r="AD2820">
        <v>9</v>
      </c>
      <c r="AE2820" t="s">
        <v>1416</v>
      </c>
      <c r="AF2820">
        <v>0</v>
      </c>
      <c r="AG2820" t="s">
        <v>310</v>
      </c>
      <c r="AH2820">
        <f>SUM((MID(Dyno_Data[[#This Row],[Team]],4,5))+(Dyno_Data[[#This Row],[Match]]/100))</f>
        <v>2095.5300000000002</v>
      </c>
      <c r="AI2820" s="76">
        <f>ROUND(SUM(IF(Dyno_Data[[#This Row],[AcqCenter]]&gt;0,Dyno_Data[[#This Row],[Time]]-SUMIFS(Dyno_Data[Time],Dyno_Data[Team],Dyno_Data[[#This Row],[Team]],Dyno_Data[RecordType],"StartMatch",Dyno_Data[Match],Dyno_Data[[#This Row],[Match]]),0)*86400),0)</f>
        <v>0</v>
      </c>
    </row>
    <row r="2821" spans="1:35" x14ac:dyDescent="0.3">
      <c r="A2821">
        <v>2820</v>
      </c>
      <c r="B2821" t="s">
        <v>366</v>
      </c>
      <c r="C2821">
        <v>53</v>
      </c>
      <c r="D2821" s="105">
        <v>45373.733695289353</v>
      </c>
      <c r="E2821" t="s">
        <v>312</v>
      </c>
      <c r="F2821" t="s">
        <v>1402</v>
      </c>
      <c r="G2821">
        <v>0</v>
      </c>
      <c r="H2821" t="s">
        <v>315</v>
      </c>
      <c r="I2821">
        <v>0</v>
      </c>
      <c r="J2821">
        <v>0</v>
      </c>
      <c r="K2821">
        <v>0</v>
      </c>
      <c r="L2821" t="s">
        <v>242</v>
      </c>
      <c r="M2821" t="s">
        <v>241</v>
      </c>
      <c r="N2821">
        <v>0</v>
      </c>
      <c r="O2821" t="s">
        <v>1391</v>
      </c>
      <c r="P2821" t="s">
        <v>310</v>
      </c>
      <c r="Q2821" t="s">
        <v>310</v>
      </c>
      <c r="R2821" t="s">
        <v>310</v>
      </c>
      <c r="S2821">
        <v>9</v>
      </c>
      <c r="T2821" t="s">
        <v>310</v>
      </c>
      <c r="U2821">
        <v>9</v>
      </c>
      <c r="V2821">
        <v>9</v>
      </c>
      <c r="W2821">
        <v>0</v>
      </c>
      <c r="X2821">
        <v>0</v>
      </c>
      <c r="Y2821">
        <v>0</v>
      </c>
      <c r="Z2821">
        <v>0</v>
      </c>
      <c r="AA2821">
        <v>9</v>
      </c>
      <c r="AB2821">
        <v>9</v>
      </c>
      <c r="AC2821" t="s">
        <v>310</v>
      </c>
      <c r="AD2821">
        <v>9</v>
      </c>
      <c r="AE2821" t="s">
        <v>1418</v>
      </c>
      <c r="AF2821">
        <v>20000000</v>
      </c>
      <c r="AG2821" t="s">
        <v>310</v>
      </c>
      <c r="AH2821">
        <f>SUM((MID(Dyno_Data[[#This Row],[Team]],4,5))+(Dyno_Data[[#This Row],[Match]]/100))</f>
        <v>4122.53</v>
      </c>
      <c r="AI2821" s="76">
        <f>ROUND(SUM(IF(Dyno_Data[[#This Row],[AcqCenter]]&gt;0,Dyno_Data[[#This Row],[Time]]-SUMIFS(Dyno_Data[Time],Dyno_Data[Team],Dyno_Data[[#This Row],[Team]],Dyno_Data[RecordType],"StartMatch",Dyno_Data[Match],Dyno_Data[[#This Row],[Match]]),0)*86400),0)</f>
        <v>0</v>
      </c>
    </row>
    <row r="2822" spans="1:35" x14ac:dyDescent="0.3">
      <c r="A2822">
        <v>2821</v>
      </c>
      <c r="B2822" t="s">
        <v>1295</v>
      </c>
      <c r="C2822">
        <v>53</v>
      </c>
      <c r="D2822" s="105">
        <v>45373.7337162037</v>
      </c>
      <c r="E2822" t="s">
        <v>312</v>
      </c>
      <c r="F2822" t="s">
        <v>1402</v>
      </c>
      <c r="G2822">
        <v>0</v>
      </c>
      <c r="H2822" t="s">
        <v>315</v>
      </c>
      <c r="I2822">
        <v>0</v>
      </c>
      <c r="J2822">
        <v>0</v>
      </c>
      <c r="K2822">
        <v>0</v>
      </c>
      <c r="L2822" t="s">
        <v>241</v>
      </c>
      <c r="M2822" t="s">
        <v>101</v>
      </c>
      <c r="N2822">
        <v>0</v>
      </c>
      <c r="O2822" t="s">
        <v>319</v>
      </c>
      <c r="P2822" t="s">
        <v>310</v>
      </c>
      <c r="Q2822" t="s">
        <v>310</v>
      </c>
      <c r="R2822" t="s">
        <v>310</v>
      </c>
      <c r="S2822">
        <v>9</v>
      </c>
      <c r="T2822" t="s">
        <v>310</v>
      </c>
      <c r="U2822">
        <v>9</v>
      </c>
      <c r="V2822">
        <v>9</v>
      </c>
      <c r="W2822">
        <v>0</v>
      </c>
      <c r="X2822">
        <v>0</v>
      </c>
      <c r="Y2822">
        <v>0</v>
      </c>
      <c r="Z2822">
        <v>0</v>
      </c>
      <c r="AA2822">
        <v>9</v>
      </c>
      <c r="AB2822">
        <v>9</v>
      </c>
      <c r="AC2822" t="s">
        <v>310</v>
      </c>
      <c r="AD2822">
        <v>9</v>
      </c>
      <c r="AE2822" t="s">
        <v>1394</v>
      </c>
      <c r="AF2822">
        <v>20000000</v>
      </c>
      <c r="AG2822" t="s">
        <v>310</v>
      </c>
      <c r="AH2822">
        <f>SUM((MID(Dyno_Data[[#This Row],[Team]],4,5))+(Dyno_Data[[#This Row],[Match]]/100))</f>
        <v>6300.53</v>
      </c>
      <c r="AI2822" s="76">
        <f>ROUND(SUM(IF(Dyno_Data[[#This Row],[AcqCenter]]&gt;0,Dyno_Data[[#This Row],[Time]]-SUMIFS(Dyno_Data[Time],Dyno_Data[Team],Dyno_Data[[#This Row],[Team]],Dyno_Data[RecordType],"StartMatch",Dyno_Data[Match],Dyno_Data[[#This Row],[Match]]),0)*86400),0)</f>
        <v>0</v>
      </c>
    </row>
    <row r="2823" spans="1:35" x14ac:dyDescent="0.3">
      <c r="A2823">
        <v>2822</v>
      </c>
      <c r="B2823" t="s">
        <v>366</v>
      </c>
      <c r="C2823">
        <v>53</v>
      </c>
      <c r="D2823" s="105">
        <v>45373.733733564812</v>
      </c>
      <c r="E2823" t="s">
        <v>312</v>
      </c>
      <c r="F2823" t="s">
        <v>1402</v>
      </c>
      <c r="G2823">
        <v>0</v>
      </c>
      <c r="H2823" t="s">
        <v>315</v>
      </c>
      <c r="I2823">
        <v>0</v>
      </c>
      <c r="J2823">
        <v>0</v>
      </c>
      <c r="K2823">
        <v>0</v>
      </c>
      <c r="L2823" t="s">
        <v>242</v>
      </c>
      <c r="M2823" t="s">
        <v>241</v>
      </c>
      <c r="N2823">
        <v>0</v>
      </c>
      <c r="O2823" t="s">
        <v>1391</v>
      </c>
      <c r="P2823" t="s">
        <v>310</v>
      </c>
      <c r="Q2823" t="s">
        <v>310</v>
      </c>
      <c r="R2823" t="s">
        <v>310</v>
      </c>
      <c r="S2823">
        <v>9</v>
      </c>
      <c r="T2823" t="s">
        <v>310</v>
      </c>
      <c r="U2823">
        <v>9</v>
      </c>
      <c r="V2823">
        <v>9</v>
      </c>
      <c r="W2823">
        <v>0</v>
      </c>
      <c r="X2823">
        <v>0</v>
      </c>
      <c r="Y2823">
        <v>0</v>
      </c>
      <c r="Z2823">
        <v>0</v>
      </c>
      <c r="AA2823">
        <v>9</v>
      </c>
      <c r="AB2823">
        <v>9</v>
      </c>
      <c r="AC2823" t="s">
        <v>310</v>
      </c>
      <c r="AD2823">
        <v>9</v>
      </c>
      <c r="AE2823" t="s">
        <v>1418</v>
      </c>
      <c r="AF2823">
        <v>30000000</v>
      </c>
      <c r="AG2823" t="s">
        <v>310</v>
      </c>
      <c r="AH2823">
        <f>SUM((MID(Dyno_Data[[#This Row],[Team]],4,5))+(Dyno_Data[[#This Row],[Match]]/100))</f>
        <v>4122.53</v>
      </c>
      <c r="AI2823" s="76">
        <f>ROUND(SUM(IF(Dyno_Data[[#This Row],[AcqCenter]]&gt;0,Dyno_Data[[#This Row],[Time]]-SUMIFS(Dyno_Data[Time],Dyno_Data[Team],Dyno_Data[[#This Row],[Team]],Dyno_Data[RecordType],"StartMatch",Dyno_Data[Match],Dyno_Data[[#This Row],[Match]]),0)*86400),0)</f>
        <v>0</v>
      </c>
    </row>
    <row r="2824" spans="1:35" x14ac:dyDescent="0.3">
      <c r="A2824">
        <v>2823</v>
      </c>
      <c r="B2824" t="s">
        <v>366</v>
      </c>
      <c r="C2824">
        <v>53</v>
      </c>
      <c r="D2824" s="105">
        <v>45373.733846030096</v>
      </c>
      <c r="E2824" t="s">
        <v>312</v>
      </c>
      <c r="F2824" t="s">
        <v>1402</v>
      </c>
      <c r="G2824">
        <v>0</v>
      </c>
      <c r="H2824" t="s">
        <v>315</v>
      </c>
      <c r="I2824">
        <v>0</v>
      </c>
      <c r="J2824">
        <v>0</v>
      </c>
      <c r="K2824">
        <v>0</v>
      </c>
      <c r="L2824" t="s">
        <v>242</v>
      </c>
      <c r="M2824" t="s">
        <v>241</v>
      </c>
      <c r="N2824">
        <v>0</v>
      </c>
      <c r="O2824" t="s">
        <v>1391</v>
      </c>
      <c r="P2824" t="s">
        <v>310</v>
      </c>
      <c r="Q2824" t="s">
        <v>310</v>
      </c>
      <c r="R2824" t="s">
        <v>310</v>
      </c>
      <c r="S2824">
        <v>9</v>
      </c>
      <c r="T2824" t="s">
        <v>310</v>
      </c>
      <c r="U2824">
        <v>9</v>
      </c>
      <c r="V2824">
        <v>9</v>
      </c>
      <c r="W2824">
        <v>0</v>
      </c>
      <c r="X2824">
        <v>0</v>
      </c>
      <c r="Y2824">
        <v>0</v>
      </c>
      <c r="Z2824">
        <v>0</v>
      </c>
      <c r="AA2824">
        <v>9</v>
      </c>
      <c r="AB2824">
        <v>9</v>
      </c>
      <c r="AC2824" t="s">
        <v>310</v>
      </c>
      <c r="AD2824">
        <v>9</v>
      </c>
      <c r="AE2824" t="s">
        <v>1418</v>
      </c>
      <c r="AF2824">
        <v>40000000</v>
      </c>
      <c r="AG2824" t="s">
        <v>310</v>
      </c>
      <c r="AH2824">
        <f>SUM((MID(Dyno_Data[[#This Row],[Team]],4,5))+(Dyno_Data[[#This Row],[Match]]/100))</f>
        <v>4122.53</v>
      </c>
      <c r="AI2824" s="76">
        <f>ROUND(SUM(IF(Dyno_Data[[#This Row],[AcqCenter]]&gt;0,Dyno_Data[[#This Row],[Time]]-SUMIFS(Dyno_Data[Time],Dyno_Data[Team],Dyno_Data[[#This Row],[Team]],Dyno_Data[RecordType],"StartMatch",Dyno_Data[Match],Dyno_Data[[#This Row],[Match]]),0)*86400),0)</f>
        <v>0</v>
      </c>
    </row>
    <row r="2825" spans="1:35" x14ac:dyDescent="0.3">
      <c r="A2825">
        <v>2824</v>
      </c>
      <c r="B2825" t="s">
        <v>1295</v>
      </c>
      <c r="C2825">
        <v>53</v>
      </c>
      <c r="D2825" s="105">
        <v>45373.733846099538</v>
      </c>
      <c r="E2825" t="s">
        <v>312</v>
      </c>
      <c r="F2825" t="s">
        <v>1402</v>
      </c>
      <c r="G2825">
        <v>0</v>
      </c>
      <c r="H2825" t="s">
        <v>315</v>
      </c>
      <c r="I2825">
        <v>0</v>
      </c>
      <c r="J2825">
        <v>0</v>
      </c>
      <c r="K2825">
        <v>0</v>
      </c>
      <c r="L2825" t="s">
        <v>241</v>
      </c>
      <c r="M2825" t="s">
        <v>101</v>
      </c>
      <c r="N2825">
        <v>0</v>
      </c>
      <c r="O2825" t="s">
        <v>319</v>
      </c>
      <c r="P2825" t="s">
        <v>310</v>
      </c>
      <c r="Q2825" t="s">
        <v>310</v>
      </c>
      <c r="R2825" t="s">
        <v>310</v>
      </c>
      <c r="S2825">
        <v>9</v>
      </c>
      <c r="T2825" t="s">
        <v>310</v>
      </c>
      <c r="U2825">
        <v>9</v>
      </c>
      <c r="V2825">
        <v>9</v>
      </c>
      <c r="W2825">
        <v>0</v>
      </c>
      <c r="X2825">
        <v>0</v>
      </c>
      <c r="Y2825">
        <v>0</v>
      </c>
      <c r="Z2825">
        <v>0</v>
      </c>
      <c r="AA2825">
        <v>9</v>
      </c>
      <c r="AB2825">
        <v>9</v>
      </c>
      <c r="AC2825" t="s">
        <v>310</v>
      </c>
      <c r="AD2825">
        <v>9</v>
      </c>
      <c r="AE2825" t="s">
        <v>1394</v>
      </c>
      <c r="AF2825">
        <v>30000000</v>
      </c>
      <c r="AG2825" t="s">
        <v>310</v>
      </c>
      <c r="AH2825">
        <f>SUM((MID(Dyno_Data[[#This Row],[Team]],4,5))+(Dyno_Data[[#This Row],[Match]]/100))</f>
        <v>6300.53</v>
      </c>
      <c r="AI2825" s="76">
        <f>ROUND(SUM(IF(Dyno_Data[[#This Row],[AcqCenter]]&gt;0,Dyno_Data[[#This Row],[Time]]-SUMIFS(Dyno_Data[Time],Dyno_Data[Team],Dyno_Data[[#This Row],[Team]],Dyno_Data[RecordType],"StartMatch",Dyno_Data[Match],Dyno_Data[[#This Row],[Match]]),0)*86400),0)</f>
        <v>0</v>
      </c>
    </row>
    <row r="2826" spans="1:35" x14ac:dyDescent="0.3">
      <c r="A2826">
        <v>2825</v>
      </c>
      <c r="B2826" t="s">
        <v>1295</v>
      </c>
      <c r="C2826">
        <v>53</v>
      </c>
      <c r="D2826" s="105">
        <v>45373.733901770836</v>
      </c>
      <c r="E2826" t="s">
        <v>312</v>
      </c>
      <c r="F2826" t="s">
        <v>1402</v>
      </c>
      <c r="G2826">
        <v>0</v>
      </c>
      <c r="H2826" t="s">
        <v>315</v>
      </c>
      <c r="I2826">
        <v>0</v>
      </c>
      <c r="J2826">
        <v>0</v>
      </c>
      <c r="K2826">
        <v>0</v>
      </c>
      <c r="L2826" t="s">
        <v>241</v>
      </c>
      <c r="M2826" t="s">
        <v>1398</v>
      </c>
      <c r="N2826">
        <v>0</v>
      </c>
      <c r="O2826" t="s">
        <v>319</v>
      </c>
      <c r="P2826" t="s">
        <v>310</v>
      </c>
      <c r="Q2826" t="s">
        <v>310</v>
      </c>
      <c r="R2826" t="s">
        <v>310</v>
      </c>
      <c r="S2826">
        <v>9</v>
      </c>
      <c r="T2826" t="s">
        <v>310</v>
      </c>
      <c r="U2826">
        <v>9</v>
      </c>
      <c r="V2826">
        <v>9</v>
      </c>
      <c r="W2826">
        <v>0</v>
      </c>
      <c r="X2826">
        <v>0</v>
      </c>
      <c r="Y2826">
        <v>0</v>
      </c>
      <c r="Z2826">
        <v>0</v>
      </c>
      <c r="AA2826">
        <v>9</v>
      </c>
      <c r="AB2826">
        <v>9</v>
      </c>
      <c r="AC2826" t="s">
        <v>310</v>
      </c>
      <c r="AD2826">
        <v>9</v>
      </c>
      <c r="AE2826" t="s">
        <v>1394</v>
      </c>
      <c r="AF2826">
        <v>40000000</v>
      </c>
      <c r="AG2826" t="s">
        <v>310</v>
      </c>
      <c r="AH2826">
        <f>SUM((MID(Dyno_Data[[#This Row],[Team]],4,5))+(Dyno_Data[[#This Row],[Match]]/100))</f>
        <v>6300.53</v>
      </c>
      <c r="AI2826" s="76">
        <f>ROUND(SUM(IF(Dyno_Data[[#This Row],[AcqCenter]]&gt;0,Dyno_Data[[#This Row],[Time]]-SUMIFS(Dyno_Data[Time],Dyno_Data[Team],Dyno_Data[[#This Row],[Team]],Dyno_Data[RecordType],"StartMatch",Dyno_Data[Match],Dyno_Data[[#This Row],[Match]]),0)*86400),0)</f>
        <v>0</v>
      </c>
    </row>
    <row r="2827" spans="1:35" x14ac:dyDescent="0.3">
      <c r="A2827">
        <v>2826</v>
      </c>
      <c r="B2827" t="s">
        <v>1276</v>
      </c>
      <c r="C2827">
        <v>53</v>
      </c>
      <c r="D2827" s="105">
        <v>45373.7339096875</v>
      </c>
      <c r="E2827" t="s">
        <v>312</v>
      </c>
      <c r="F2827" t="s">
        <v>1402</v>
      </c>
      <c r="G2827">
        <v>0</v>
      </c>
      <c r="H2827" t="s">
        <v>1397</v>
      </c>
      <c r="I2827">
        <v>0</v>
      </c>
      <c r="J2827">
        <v>0</v>
      </c>
      <c r="K2827">
        <v>0</v>
      </c>
      <c r="L2827" t="s">
        <v>241</v>
      </c>
      <c r="M2827" t="s">
        <v>101</v>
      </c>
      <c r="N2827">
        <v>1</v>
      </c>
      <c r="O2827" t="s">
        <v>1389</v>
      </c>
      <c r="P2827" t="s">
        <v>310</v>
      </c>
      <c r="Q2827" t="s">
        <v>310</v>
      </c>
      <c r="R2827" t="s">
        <v>310</v>
      </c>
      <c r="S2827">
        <v>9</v>
      </c>
      <c r="T2827" t="s">
        <v>310</v>
      </c>
      <c r="U2827">
        <v>9</v>
      </c>
      <c r="V2827">
        <v>9</v>
      </c>
      <c r="W2827">
        <v>0</v>
      </c>
      <c r="X2827">
        <v>0</v>
      </c>
      <c r="Y2827">
        <v>0</v>
      </c>
      <c r="Z2827">
        <v>0</v>
      </c>
      <c r="AA2827">
        <v>9</v>
      </c>
      <c r="AB2827">
        <v>9</v>
      </c>
      <c r="AC2827" t="s">
        <v>310</v>
      </c>
      <c r="AD2827">
        <v>9</v>
      </c>
      <c r="AE2827" t="s">
        <v>1392</v>
      </c>
      <c r="AF2827">
        <v>0</v>
      </c>
      <c r="AG2827" t="s">
        <v>310</v>
      </c>
      <c r="AH2827">
        <f>SUM((MID(Dyno_Data[[#This Row],[Team]],4,5))+(Dyno_Data[[#This Row],[Match]]/100))</f>
        <v>229.53</v>
      </c>
      <c r="AI2827" s="76">
        <f>ROUND(SUM(IF(Dyno_Data[[#This Row],[AcqCenter]]&gt;0,Dyno_Data[[#This Row],[Time]]-SUMIFS(Dyno_Data[Time],Dyno_Data[Team],Dyno_Data[[#This Row],[Team]],Dyno_Data[RecordType],"StartMatch",Dyno_Data[Match],Dyno_Data[[#This Row],[Match]]),0)*86400),0)</f>
        <v>0</v>
      </c>
    </row>
    <row r="2828" spans="1:35" x14ac:dyDescent="0.3">
      <c r="A2828">
        <v>2827</v>
      </c>
      <c r="B2828" t="s">
        <v>1302</v>
      </c>
      <c r="C2828">
        <v>53</v>
      </c>
      <c r="D2828" s="105">
        <v>45373.733937928242</v>
      </c>
      <c r="E2828" t="s">
        <v>1403</v>
      </c>
      <c r="F2828" t="s">
        <v>1402</v>
      </c>
      <c r="G2828">
        <v>0</v>
      </c>
      <c r="H2828" t="s">
        <v>310</v>
      </c>
      <c r="I2828">
        <v>0</v>
      </c>
      <c r="J2828">
        <v>0</v>
      </c>
      <c r="K2828">
        <v>0</v>
      </c>
      <c r="L2828" t="s">
        <v>310</v>
      </c>
      <c r="M2828" t="s">
        <v>310</v>
      </c>
      <c r="N2828">
        <v>0</v>
      </c>
      <c r="O2828" t="s">
        <v>1395</v>
      </c>
      <c r="P2828" t="s">
        <v>310</v>
      </c>
      <c r="Q2828" t="s">
        <v>310</v>
      </c>
      <c r="R2828" t="s">
        <v>310</v>
      </c>
      <c r="S2828">
        <v>9</v>
      </c>
      <c r="T2828" t="s">
        <v>310</v>
      </c>
      <c r="U2828">
        <v>9</v>
      </c>
      <c r="V2828">
        <v>9</v>
      </c>
      <c r="W2828">
        <v>0</v>
      </c>
      <c r="X2828">
        <v>0</v>
      </c>
      <c r="Y2828">
        <v>0</v>
      </c>
      <c r="Z2828">
        <v>0</v>
      </c>
      <c r="AA2828">
        <v>9</v>
      </c>
      <c r="AB2828">
        <v>9</v>
      </c>
      <c r="AC2828" t="s">
        <v>310</v>
      </c>
      <c r="AD2828">
        <v>9</v>
      </c>
      <c r="AE2828" t="s">
        <v>1416</v>
      </c>
      <c r="AF2828">
        <v>0</v>
      </c>
      <c r="AG2828" t="s">
        <v>248</v>
      </c>
      <c r="AH2828">
        <f>SUM((MID(Dyno_Data[[#This Row],[Team]],4,5))+(Dyno_Data[[#This Row],[Match]]/100))</f>
        <v>2095.5300000000002</v>
      </c>
      <c r="AI2828" s="76">
        <f>ROUND(SUM(IF(Dyno_Data[[#This Row],[AcqCenter]]&gt;0,Dyno_Data[[#This Row],[Time]]-SUMIFS(Dyno_Data[Time],Dyno_Data[Team],Dyno_Data[[#This Row],[Team]],Dyno_Data[RecordType],"StartMatch",Dyno_Data[Match],Dyno_Data[[#This Row],[Match]]),0)*86400),0)</f>
        <v>0</v>
      </c>
    </row>
    <row r="2829" spans="1:35" x14ac:dyDescent="0.3">
      <c r="A2829">
        <v>2828</v>
      </c>
      <c r="B2829" t="s">
        <v>1302</v>
      </c>
      <c r="C2829">
        <v>53</v>
      </c>
      <c r="D2829" s="105">
        <v>45373.734009525462</v>
      </c>
      <c r="E2829" t="s">
        <v>1403</v>
      </c>
      <c r="F2829" t="s">
        <v>1402</v>
      </c>
      <c r="G2829">
        <v>0</v>
      </c>
      <c r="H2829" t="s">
        <v>310</v>
      </c>
      <c r="I2829">
        <v>0</v>
      </c>
      <c r="J2829">
        <v>0</v>
      </c>
      <c r="K2829">
        <v>0</v>
      </c>
      <c r="L2829" t="s">
        <v>310</v>
      </c>
      <c r="M2829" t="s">
        <v>310</v>
      </c>
      <c r="N2829">
        <v>0</v>
      </c>
      <c r="O2829" t="s">
        <v>1395</v>
      </c>
      <c r="P2829" t="s">
        <v>310</v>
      </c>
      <c r="Q2829" t="s">
        <v>310</v>
      </c>
      <c r="R2829" t="s">
        <v>310</v>
      </c>
      <c r="S2829">
        <v>9</v>
      </c>
      <c r="T2829" t="s">
        <v>310</v>
      </c>
      <c r="U2829">
        <v>9</v>
      </c>
      <c r="V2829">
        <v>9</v>
      </c>
      <c r="W2829">
        <v>0</v>
      </c>
      <c r="X2829">
        <v>0</v>
      </c>
      <c r="Y2829">
        <v>0</v>
      </c>
      <c r="Z2829">
        <v>0</v>
      </c>
      <c r="AA2829">
        <v>9</v>
      </c>
      <c r="AB2829">
        <v>9</v>
      </c>
      <c r="AC2829" t="s">
        <v>310</v>
      </c>
      <c r="AD2829">
        <v>9</v>
      </c>
      <c r="AE2829" t="s">
        <v>1416</v>
      </c>
      <c r="AF2829">
        <v>0</v>
      </c>
      <c r="AG2829" t="s">
        <v>248</v>
      </c>
      <c r="AH2829">
        <f>SUM((MID(Dyno_Data[[#This Row],[Team]],4,5))+(Dyno_Data[[#This Row],[Match]]/100))</f>
        <v>2095.5300000000002</v>
      </c>
      <c r="AI2829" s="76">
        <f>ROUND(SUM(IF(Dyno_Data[[#This Row],[AcqCenter]]&gt;0,Dyno_Data[[#This Row],[Time]]-SUMIFS(Dyno_Data[Time],Dyno_Data[Team],Dyno_Data[[#This Row],[Team]],Dyno_Data[RecordType],"StartMatch",Dyno_Data[Match],Dyno_Data[[#This Row],[Match]]),0)*86400),0)</f>
        <v>0</v>
      </c>
    </row>
    <row r="2830" spans="1:35" x14ac:dyDescent="0.3">
      <c r="A2830">
        <v>2829</v>
      </c>
      <c r="B2830" t="s">
        <v>366</v>
      </c>
      <c r="C2830">
        <v>53</v>
      </c>
      <c r="D2830" s="105">
        <v>45373.734043634257</v>
      </c>
      <c r="E2830" t="s">
        <v>312</v>
      </c>
      <c r="F2830" t="s">
        <v>1402</v>
      </c>
      <c r="G2830">
        <v>0</v>
      </c>
      <c r="H2830" t="s">
        <v>315</v>
      </c>
      <c r="I2830">
        <v>0</v>
      </c>
      <c r="J2830">
        <v>0</v>
      </c>
      <c r="K2830">
        <v>0</v>
      </c>
      <c r="L2830" t="s">
        <v>242</v>
      </c>
      <c r="M2830" t="s">
        <v>241</v>
      </c>
      <c r="N2830">
        <v>0</v>
      </c>
      <c r="O2830" t="s">
        <v>1391</v>
      </c>
      <c r="P2830" t="s">
        <v>310</v>
      </c>
      <c r="Q2830" t="s">
        <v>310</v>
      </c>
      <c r="R2830" t="s">
        <v>310</v>
      </c>
      <c r="S2830">
        <v>9</v>
      </c>
      <c r="T2830" t="s">
        <v>310</v>
      </c>
      <c r="U2830">
        <v>9</v>
      </c>
      <c r="V2830">
        <v>9</v>
      </c>
      <c r="W2830">
        <v>0</v>
      </c>
      <c r="X2830">
        <v>0</v>
      </c>
      <c r="Y2830">
        <v>0</v>
      </c>
      <c r="Z2830">
        <v>0</v>
      </c>
      <c r="AA2830">
        <v>9</v>
      </c>
      <c r="AB2830">
        <v>9</v>
      </c>
      <c r="AC2830" t="s">
        <v>310</v>
      </c>
      <c r="AD2830">
        <v>9</v>
      </c>
      <c r="AE2830" t="s">
        <v>1418</v>
      </c>
      <c r="AF2830">
        <v>50000000</v>
      </c>
      <c r="AG2830" t="s">
        <v>310</v>
      </c>
      <c r="AH2830">
        <f>SUM((MID(Dyno_Data[[#This Row],[Team]],4,5))+(Dyno_Data[[#This Row],[Match]]/100))</f>
        <v>4122.53</v>
      </c>
      <c r="AI2830" s="76">
        <f>ROUND(SUM(IF(Dyno_Data[[#This Row],[AcqCenter]]&gt;0,Dyno_Data[[#This Row],[Time]]-SUMIFS(Dyno_Data[Time],Dyno_Data[Team],Dyno_Data[[#This Row],[Team]],Dyno_Data[RecordType],"StartMatch",Dyno_Data[Match],Dyno_Data[[#This Row],[Match]]),0)*86400),0)</f>
        <v>0</v>
      </c>
    </row>
    <row r="2831" spans="1:35" x14ac:dyDescent="0.3">
      <c r="A2831">
        <v>2830</v>
      </c>
      <c r="B2831" t="s">
        <v>1295</v>
      </c>
      <c r="C2831">
        <v>53</v>
      </c>
      <c r="D2831" s="105">
        <v>45373.734104594907</v>
      </c>
      <c r="E2831" t="s">
        <v>312</v>
      </c>
      <c r="F2831" t="s">
        <v>1402</v>
      </c>
      <c r="G2831">
        <v>0</v>
      </c>
      <c r="H2831" t="s">
        <v>315</v>
      </c>
      <c r="I2831">
        <v>0</v>
      </c>
      <c r="J2831">
        <v>0</v>
      </c>
      <c r="K2831">
        <v>0</v>
      </c>
      <c r="L2831" t="s">
        <v>241</v>
      </c>
      <c r="M2831" t="s">
        <v>101</v>
      </c>
      <c r="N2831">
        <v>0</v>
      </c>
      <c r="O2831" t="s">
        <v>319</v>
      </c>
      <c r="P2831" t="s">
        <v>310</v>
      </c>
      <c r="Q2831" t="s">
        <v>310</v>
      </c>
      <c r="R2831" t="s">
        <v>310</v>
      </c>
      <c r="S2831">
        <v>9</v>
      </c>
      <c r="T2831" t="s">
        <v>310</v>
      </c>
      <c r="U2831">
        <v>9</v>
      </c>
      <c r="V2831">
        <v>9</v>
      </c>
      <c r="W2831">
        <v>0</v>
      </c>
      <c r="X2831">
        <v>0</v>
      </c>
      <c r="Y2831">
        <v>0</v>
      </c>
      <c r="Z2831">
        <v>0</v>
      </c>
      <c r="AA2831">
        <v>9</v>
      </c>
      <c r="AB2831">
        <v>9</v>
      </c>
      <c r="AC2831" t="s">
        <v>310</v>
      </c>
      <c r="AD2831">
        <v>9</v>
      </c>
      <c r="AE2831" t="s">
        <v>1394</v>
      </c>
      <c r="AF2831">
        <v>50000000</v>
      </c>
      <c r="AG2831" t="s">
        <v>310</v>
      </c>
      <c r="AH2831">
        <f>SUM((MID(Dyno_Data[[#This Row],[Team]],4,5))+(Dyno_Data[[#This Row],[Match]]/100))</f>
        <v>6300.53</v>
      </c>
      <c r="AI2831" s="76">
        <f>ROUND(SUM(IF(Dyno_Data[[#This Row],[AcqCenter]]&gt;0,Dyno_Data[[#This Row],[Time]]-SUMIFS(Dyno_Data[Time],Dyno_Data[Team],Dyno_Data[[#This Row],[Team]],Dyno_Data[RecordType],"StartMatch",Dyno_Data[Match],Dyno_Data[[#This Row],[Match]]),0)*86400),0)</f>
        <v>0</v>
      </c>
    </row>
    <row r="2832" spans="1:35" x14ac:dyDescent="0.3">
      <c r="A2832">
        <v>2831</v>
      </c>
      <c r="B2832" t="s">
        <v>366</v>
      </c>
      <c r="C2832">
        <v>53</v>
      </c>
      <c r="D2832" s="105">
        <v>45373.734139270833</v>
      </c>
      <c r="E2832" t="s">
        <v>312</v>
      </c>
      <c r="F2832" t="s">
        <v>1402</v>
      </c>
      <c r="G2832">
        <v>0</v>
      </c>
      <c r="H2832" t="s">
        <v>315</v>
      </c>
      <c r="I2832">
        <v>0</v>
      </c>
      <c r="J2832">
        <v>0</v>
      </c>
      <c r="K2832">
        <v>0</v>
      </c>
      <c r="L2832" t="s">
        <v>242</v>
      </c>
      <c r="M2832" t="s">
        <v>241</v>
      </c>
      <c r="N2832">
        <v>0</v>
      </c>
      <c r="O2832" t="s">
        <v>1391</v>
      </c>
      <c r="P2832" t="s">
        <v>310</v>
      </c>
      <c r="Q2832" t="s">
        <v>310</v>
      </c>
      <c r="R2832" t="s">
        <v>310</v>
      </c>
      <c r="S2832">
        <v>9</v>
      </c>
      <c r="T2832" t="s">
        <v>310</v>
      </c>
      <c r="U2832">
        <v>9</v>
      </c>
      <c r="V2832">
        <v>9</v>
      </c>
      <c r="W2832">
        <v>0</v>
      </c>
      <c r="X2832">
        <v>0</v>
      </c>
      <c r="Y2832">
        <v>0</v>
      </c>
      <c r="Z2832">
        <v>0</v>
      </c>
      <c r="AA2832">
        <v>9</v>
      </c>
      <c r="AB2832">
        <v>9</v>
      </c>
      <c r="AC2832" t="s">
        <v>310</v>
      </c>
      <c r="AD2832">
        <v>9</v>
      </c>
      <c r="AE2832" t="s">
        <v>1418</v>
      </c>
      <c r="AF2832">
        <v>60000000</v>
      </c>
      <c r="AG2832" t="s">
        <v>310</v>
      </c>
      <c r="AH2832">
        <f>SUM((MID(Dyno_Data[[#This Row],[Team]],4,5))+(Dyno_Data[[#This Row],[Match]]/100))</f>
        <v>4122.53</v>
      </c>
      <c r="AI2832" s="76">
        <f>ROUND(SUM(IF(Dyno_Data[[#This Row],[AcqCenter]]&gt;0,Dyno_Data[[#This Row],[Time]]-SUMIFS(Dyno_Data[Time],Dyno_Data[Team],Dyno_Data[[#This Row],[Team]],Dyno_Data[RecordType],"StartMatch",Dyno_Data[Match],Dyno_Data[[#This Row],[Match]]),0)*86400),0)</f>
        <v>0</v>
      </c>
    </row>
    <row r="2833" spans="1:35" x14ac:dyDescent="0.3">
      <c r="A2833">
        <v>2832</v>
      </c>
      <c r="B2833" t="s">
        <v>1302</v>
      </c>
      <c r="C2833">
        <v>53</v>
      </c>
      <c r="D2833" s="105">
        <v>45373.734219247686</v>
      </c>
      <c r="E2833" t="s">
        <v>312</v>
      </c>
      <c r="F2833" t="s">
        <v>1402</v>
      </c>
      <c r="G2833">
        <v>0</v>
      </c>
      <c r="H2833" t="s">
        <v>315</v>
      </c>
      <c r="I2833">
        <v>0</v>
      </c>
      <c r="J2833">
        <v>0</v>
      </c>
      <c r="K2833">
        <v>0</v>
      </c>
      <c r="L2833" t="s">
        <v>240</v>
      </c>
      <c r="M2833" t="s">
        <v>1398</v>
      </c>
      <c r="N2833">
        <v>0</v>
      </c>
      <c r="O2833" t="s">
        <v>1395</v>
      </c>
      <c r="P2833" t="s">
        <v>310</v>
      </c>
      <c r="Q2833" t="s">
        <v>310</v>
      </c>
      <c r="R2833" t="s">
        <v>310</v>
      </c>
      <c r="S2833">
        <v>9</v>
      </c>
      <c r="T2833" t="s">
        <v>310</v>
      </c>
      <c r="U2833">
        <v>9</v>
      </c>
      <c r="V2833">
        <v>9</v>
      </c>
      <c r="W2833">
        <v>0</v>
      </c>
      <c r="X2833">
        <v>0</v>
      </c>
      <c r="Y2833">
        <v>0</v>
      </c>
      <c r="Z2833">
        <v>0</v>
      </c>
      <c r="AA2833">
        <v>9</v>
      </c>
      <c r="AB2833">
        <v>9</v>
      </c>
      <c r="AC2833" t="s">
        <v>310</v>
      </c>
      <c r="AD2833">
        <v>9</v>
      </c>
      <c r="AE2833" t="s">
        <v>1416</v>
      </c>
      <c r="AF2833">
        <v>10000000</v>
      </c>
      <c r="AG2833" t="s">
        <v>310</v>
      </c>
      <c r="AH2833">
        <f>SUM((MID(Dyno_Data[[#This Row],[Team]],4,5))+(Dyno_Data[[#This Row],[Match]]/100))</f>
        <v>2095.5300000000002</v>
      </c>
      <c r="AI2833" s="76">
        <f>ROUND(SUM(IF(Dyno_Data[[#This Row],[AcqCenter]]&gt;0,Dyno_Data[[#This Row],[Time]]-SUMIFS(Dyno_Data[Time],Dyno_Data[Team],Dyno_Data[[#This Row],[Team]],Dyno_Data[RecordType],"StartMatch",Dyno_Data[Match],Dyno_Data[[#This Row],[Match]]),0)*86400),0)</f>
        <v>0</v>
      </c>
    </row>
    <row r="2834" spans="1:35" x14ac:dyDescent="0.3">
      <c r="A2834">
        <v>2833</v>
      </c>
      <c r="B2834" t="s">
        <v>366</v>
      </c>
      <c r="C2834">
        <v>53</v>
      </c>
      <c r="D2834" s="105">
        <v>45373.73422997685</v>
      </c>
      <c r="E2834" t="s">
        <v>312</v>
      </c>
      <c r="F2834" t="s">
        <v>1402</v>
      </c>
      <c r="G2834">
        <v>0</v>
      </c>
      <c r="H2834" t="s">
        <v>315</v>
      </c>
      <c r="I2834">
        <v>0</v>
      </c>
      <c r="J2834">
        <v>0</v>
      </c>
      <c r="K2834">
        <v>0</v>
      </c>
      <c r="L2834" t="s">
        <v>242</v>
      </c>
      <c r="M2834" t="s">
        <v>241</v>
      </c>
      <c r="N2834">
        <v>0</v>
      </c>
      <c r="O2834" t="s">
        <v>1391</v>
      </c>
      <c r="P2834" t="s">
        <v>310</v>
      </c>
      <c r="Q2834" t="s">
        <v>310</v>
      </c>
      <c r="R2834" t="s">
        <v>310</v>
      </c>
      <c r="S2834">
        <v>9</v>
      </c>
      <c r="T2834" t="s">
        <v>310</v>
      </c>
      <c r="U2834">
        <v>9</v>
      </c>
      <c r="V2834">
        <v>9</v>
      </c>
      <c r="W2834">
        <v>0</v>
      </c>
      <c r="X2834">
        <v>0</v>
      </c>
      <c r="Y2834">
        <v>0</v>
      </c>
      <c r="Z2834">
        <v>0</v>
      </c>
      <c r="AA2834">
        <v>9</v>
      </c>
      <c r="AB2834">
        <v>9</v>
      </c>
      <c r="AC2834" t="s">
        <v>310</v>
      </c>
      <c r="AD2834">
        <v>9</v>
      </c>
      <c r="AE2834" t="s">
        <v>1418</v>
      </c>
      <c r="AF2834">
        <v>70000000</v>
      </c>
      <c r="AG2834" t="s">
        <v>310</v>
      </c>
      <c r="AH2834">
        <f>SUM((MID(Dyno_Data[[#This Row],[Team]],4,5))+(Dyno_Data[[#This Row],[Match]]/100))</f>
        <v>4122.53</v>
      </c>
      <c r="AI2834" s="76">
        <f>ROUND(SUM(IF(Dyno_Data[[#This Row],[AcqCenter]]&gt;0,Dyno_Data[[#This Row],[Time]]-SUMIFS(Dyno_Data[Time],Dyno_Data[Team],Dyno_Data[[#This Row],[Team]],Dyno_Data[RecordType],"StartMatch",Dyno_Data[Match],Dyno_Data[[#This Row],[Match]]),0)*86400),0)</f>
        <v>0</v>
      </c>
    </row>
    <row r="2835" spans="1:35" x14ac:dyDescent="0.3">
      <c r="A2835">
        <v>2834</v>
      </c>
      <c r="B2835" t="s">
        <v>1295</v>
      </c>
      <c r="C2835">
        <v>53</v>
      </c>
      <c r="D2835" s="105">
        <v>45373.734251701389</v>
      </c>
      <c r="E2835" t="s">
        <v>312</v>
      </c>
      <c r="F2835" t="s">
        <v>1402</v>
      </c>
      <c r="G2835">
        <v>0</v>
      </c>
      <c r="H2835" t="s">
        <v>315</v>
      </c>
      <c r="I2835">
        <v>0</v>
      </c>
      <c r="J2835">
        <v>0</v>
      </c>
      <c r="K2835">
        <v>0</v>
      </c>
      <c r="L2835" t="s">
        <v>241</v>
      </c>
      <c r="M2835" t="s">
        <v>101</v>
      </c>
      <c r="N2835">
        <v>0</v>
      </c>
      <c r="O2835" t="s">
        <v>319</v>
      </c>
      <c r="P2835" t="s">
        <v>310</v>
      </c>
      <c r="Q2835" t="s">
        <v>310</v>
      </c>
      <c r="R2835" t="s">
        <v>310</v>
      </c>
      <c r="S2835">
        <v>9</v>
      </c>
      <c r="T2835" t="s">
        <v>310</v>
      </c>
      <c r="U2835">
        <v>9</v>
      </c>
      <c r="V2835">
        <v>9</v>
      </c>
      <c r="W2835">
        <v>0</v>
      </c>
      <c r="X2835">
        <v>0</v>
      </c>
      <c r="Y2835">
        <v>0</v>
      </c>
      <c r="Z2835">
        <v>0</v>
      </c>
      <c r="AA2835">
        <v>9</v>
      </c>
      <c r="AB2835">
        <v>9</v>
      </c>
      <c r="AC2835" t="s">
        <v>310</v>
      </c>
      <c r="AD2835">
        <v>9</v>
      </c>
      <c r="AE2835" t="s">
        <v>1394</v>
      </c>
      <c r="AF2835">
        <v>60000000</v>
      </c>
      <c r="AG2835" t="s">
        <v>310</v>
      </c>
      <c r="AH2835">
        <f>SUM((MID(Dyno_Data[[#This Row],[Team]],4,5))+(Dyno_Data[[#This Row],[Match]]/100))</f>
        <v>6300.53</v>
      </c>
      <c r="AI2835" s="76">
        <f>ROUND(SUM(IF(Dyno_Data[[#This Row],[AcqCenter]]&gt;0,Dyno_Data[[#This Row],[Time]]-SUMIFS(Dyno_Data[Time],Dyno_Data[Team],Dyno_Data[[#This Row],[Team]],Dyno_Data[RecordType],"StartMatch",Dyno_Data[Match],Dyno_Data[[#This Row],[Match]]),0)*86400),0)</f>
        <v>0</v>
      </c>
    </row>
    <row r="2836" spans="1:35" x14ac:dyDescent="0.3">
      <c r="A2836">
        <v>2835</v>
      </c>
      <c r="B2836" t="s">
        <v>1295</v>
      </c>
      <c r="C2836">
        <v>53</v>
      </c>
      <c r="D2836" s="105">
        <v>45373.734330902778</v>
      </c>
      <c r="E2836" t="s">
        <v>312</v>
      </c>
      <c r="F2836" t="s">
        <v>1402</v>
      </c>
      <c r="G2836">
        <v>0</v>
      </c>
      <c r="H2836" t="s">
        <v>315</v>
      </c>
      <c r="I2836">
        <v>0</v>
      </c>
      <c r="J2836">
        <v>0</v>
      </c>
      <c r="K2836">
        <v>0</v>
      </c>
      <c r="L2836" t="s">
        <v>241</v>
      </c>
      <c r="M2836" t="s">
        <v>1398</v>
      </c>
      <c r="N2836">
        <v>0</v>
      </c>
      <c r="O2836" t="s">
        <v>319</v>
      </c>
      <c r="P2836" t="s">
        <v>310</v>
      </c>
      <c r="Q2836" t="s">
        <v>310</v>
      </c>
      <c r="R2836" t="s">
        <v>310</v>
      </c>
      <c r="S2836">
        <v>9</v>
      </c>
      <c r="T2836" t="s">
        <v>310</v>
      </c>
      <c r="U2836">
        <v>9</v>
      </c>
      <c r="V2836">
        <v>9</v>
      </c>
      <c r="W2836">
        <v>0</v>
      </c>
      <c r="X2836">
        <v>0</v>
      </c>
      <c r="Y2836">
        <v>0</v>
      </c>
      <c r="Z2836">
        <v>0</v>
      </c>
      <c r="AA2836">
        <v>9</v>
      </c>
      <c r="AB2836">
        <v>9</v>
      </c>
      <c r="AC2836" t="s">
        <v>310</v>
      </c>
      <c r="AD2836">
        <v>9</v>
      </c>
      <c r="AE2836" t="s">
        <v>1394</v>
      </c>
      <c r="AF2836">
        <v>70000000</v>
      </c>
      <c r="AG2836" t="s">
        <v>310</v>
      </c>
      <c r="AH2836">
        <f>SUM((MID(Dyno_Data[[#This Row],[Team]],4,5))+(Dyno_Data[[#This Row],[Match]]/100))</f>
        <v>6300.53</v>
      </c>
      <c r="AI2836" s="76">
        <f>ROUND(SUM(IF(Dyno_Data[[#This Row],[AcqCenter]]&gt;0,Dyno_Data[[#This Row],[Time]]-SUMIFS(Dyno_Data[Time],Dyno_Data[Team],Dyno_Data[[#This Row],[Team]],Dyno_Data[RecordType],"StartMatch",Dyno_Data[Match],Dyno_Data[[#This Row],[Match]]),0)*86400),0)</f>
        <v>0</v>
      </c>
    </row>
    <row r="2837" spans="1:35" x14ac:dyDescent="0.3">
      <c r="A2837">
        <v>2836</v>
      </c>
      <c r="B2837" t="s">
        <v>366</v>
      </c>
      <c r="C2837">
        <v>53</v>
      </c>
      <c r="D2837" s="105">
        <v>45373.734363425923</v>
      </c>
      <c r="E2837" t="s">
        <v>312</v>
      </c>
      <c r="F2837" t="s">
        <v>1402</v>
      </c>
      <c r="G2837">
        <v>0</v>
      </c>
      <c r="H2837" t="s">
        <v>315</v>
      </c>
      <c r="I2837">
        <v>0</v>
      </c>
      <c r="J2837">
        <v>0</v>
      </c>
      <c r="K2837">
        <v>0</v>
      </c>
      <c r="L2837" t="s">
        <v>242</v>
      </c>
      <c r="M2837" t="s">
        <v>241</v>
      </c>
      <c r="N2837">
        <v>0</v>
      </c>
      <c r="O2837" t="s">
        <v>1391</v>
      </c>
      <c r="P2837" t="s">
        <v>310</v>
      </c>
      <c r="Q2837" t="s">
        <v>310</v>
      </c>
      <c r="R2837" t="s">
        <v>310</v>
      </c>
      <c r="S2837">
        <v>9</v>
      </c>
      <c r="T2837" t="s">
        <v>310</v>
      </c>
      <c r="U2837">
        <v>9</v>
      </c>
      <c r="V2837">
        <v>9</v>
      </c>
      <c r="W2837">
        <v>0</v>
      </c>
      <c r="X2837">
        <v>0</v>
      </c>
      <c r="Y2837">
        <v>0</v>
      </c>
      <c r="Z2837">
        <v>0</v>
      </c>
      <c r="AA2837">
        <v>9</v>
      </c>
      <c r="AB2837">
        <v>9</v>
      </c>
      <c r="AC2837" t="s">
        <v>310</v>
      </c>
      <c r="AD2837">
        <v>9</v>
      </c>
      <c r="AE2837" t="s">
        <v>1418</v>
      </c>
      <c r="AF2837">
        <v>80000000</v>
      </c>
      <c r="AG2837" t="s">
        <v>310</v>
      </c>
      <c r="AH2837">
        <f>SUM((MID(Dyno_Data[[#This Row],[Team]],4,5))+(Dyno_Data[[#This Row],[Match]]/100))</f>
        <v>4122.53</v>
      </c>
      <c r="AI2837" s="76">
        <f>ROUND(SUM(IF(Dyno_Data[[#This Row],[AcqCenter]]&gt;0,Dyno_Data[[#This Row],[Time]]-SUMIFS(Dyno_Data[Time],Dyno_Data[Team],Dyno_Data[[#This Row],[Team]],Dyno_Data[RecordType],"StartMatch",Dyno_Data[Match],Dyno_Data[[#This Row],[Match]]),0)*86400),0)</f>
        <v>0</v>
      </c>
    </row>
    <row r="2838" spans="1:35" x14ac:dyDescent="0.3">
      <c r="A2838">
        <v>2837</v>
      </c>
      <c r="B2838" t="s">
        <v>1295</v>
      </c>
      <c r="C2838">
        <v>53</v>
      </c>
      <c r="D2838" s="105">
        <v>45373.734375</v>
      </c>
      <c r="E2838" t="s">
        <v>312</v>
      </c>
      <c r="F2838" t="s">
        <v>1402</v>
      </c>
      <c r="G2838">
        <v>0</v>
      </c>
      <c r="H2838" t="s">
        <v>315</v>
      </c>
      <c r="I2838">
        <v>0</v>
      </c>
      <c r="J2838">
        <v>0</v>
      </c>
      <c r="K2838">
        <v>0</v>
      </c>
      <c r="L2838" t="s">
        <v>241</v>
      </c>
      <c r="M2838" t="s">
        <v>1398</v>
      </c>
      <c r="N2838">
        <v>0</v>
      </c>
      <c r="O2838" t="s">
        <v>319</v>
      </c>
      <c r="P2838" t="s">
        <v>310</v>
      </c>
      <c r="Q2838" t="s">
        <v>310</v>
      </c>
      <c r="R2838" t="s">
        <v>310</v>
      </c>
      <c r="S2838">
        <v>9</v>
      </c>
      <c r="T2838" t="s">
        <v>310</v>
      </c>
      <c r="U2838">
        <v>9</v>
      </c>
      <c r="V2838">
        <v>9</v>
      </c>
      <c r="W2838">
        <v>0</v>
      </c>
      <c r="X2838">
        <v>0</v>
      </c>
      <c r="Y2838">
        <v>0</v>
      </c>
      <c r="Z2838">
        <v>0</v>
      </c>
      <c r="AA2838">
        <v>9</v>
      </c>
      <c r="AB2838">
        <v>9</v>
      </c>
      <c r="AC2838" t="s">
        <v>310</v>
      </c>
      <c r="AD2838">
        <v>9</v>
      </c>
      <c r="AE2838" t="s">
        <v>1394</v>
      </c>
      <c r="AF2838">
        <v>80000000</v>
      </c>
      <c r="AG2838" t="s">
        <v>310</v>
      </c>
      <c r="AH2838">
        <f>SUM((MID(Dyno_Data[[#This Row],[Team]],4,5))+(Dyno_Data[[#This Row],[Match]]/100))</f>
        <v>6300.53</v>
      </c>
      <c r="AI2838" s="76">
        <f>ROUND(SUM(IF(Dyno_Data[[#This Row],[AcqCenter]]&gt;0,Dyno_Data[[#This Row],[Time]]-SUMIFS(Dyno_Data[Time],Dyno_Data[Team],Dyno_Data[[#This Row],[Team]],Dyno_Data[RecordType],"StartMatch",Dyno_Data[Match],Dyno_Data[[#This Row],[Match]]),0)*86400),0)</f>
        <v>0</v>
      </c>
    </row>
    <row r="2839" spans="1:35" x14ac:dyDescent="0.3">
      <c r="A2839">
        <v>2838</v>
      </c>
      <c r="B2839" t="s">
        <v>1295</v>
      </c>
      <c r="C2839">
        <v>53</v>
      </c>
      <c r="D2839" s="105">
        <v>45373.734419988425</v>
      </c>
      <c r="E2839" t="s">
        <v>312</v>
      </c>
      <c r="F2839" t="s">
        <v>1402</v>
      </c>
      <c r="G2839">
        <v>0</v>
      </c>
      <c r="H2839" t="s">
        <v>315</v>
      </c>
      <c r="I2839">
        <v>0</v>
      </c>
      <c r="J2839">
        <v>0</v>
      </c>
      <c r="K2839">
        <v>0</v>
      </c>
      <c r="L2839" t="s">
        <v>241</v>
      </c>
      <c r="M2839" t="s">
        <v>1398</v>
      </c>
      <c r="N2839">
        <v>1</v>
      </c>
      <c r="O2839" t="s">
        <v>319</v>
      </c>
      <c r="P2839" t="s">
        <v>310</v>
      </c>
      <c r="Q2839" t="s">
        <v>310</v>
      </c>
      <c r="R2839" t="s">
        <v>310</v>
      </c>
      <c r="S2839">
        <v>9</v>
      </c>
      <c r="T2839" t="s">
        <v>310</v>
      </c>
      <c r="U2839">
        <v>9</v>
      </c>
      <c r="V2839">
        <v>9</v>
      </c>
      <c r="W2839">
        <v>0</v>
      </c>
      <c r="X2839">
        <v>0</v>
      </c>
      <c r="Y2839">
        <v>0</v>
      </c>
      <c r="Z2839">
        <v>0</v>
      </c>
      <c r="AA2839">
        <v>9</v>
      </c>
      <c r="AB2839">
        <v>9</v>
      </c>
      <c r="AC2839" t="s">
        <v>310</v>
      </c>
      <c r="AD2839">
        <v>9</v>
      </c>
      <c r="AE2839" t="s">
        <v>1394</v>
      </c>
      <c r="AF2839">
        <v>90000000</v>
      </c>
      <c r="AG2839" t="s">
        <v>310</v>
      </c>
      <c r="AH2839">
        <f>SUM((MID(Dyno_Data[[#This Row],[Team]],4,5))+(Dyno_Data[[#This Row],[Match]]/100))</f>
        <v>6300.53</v>
      </c>
      <c r="AI2839" s="76">
        <f>ROUND(SUM(IF(Dyno_Data[[#This Row],[AcqCenter]]&gt;0,Dyno_Data[[#This Row],[Time]]-SUMIFS(Dyno_Data[Time],Dyno_Data[Team],Dyno_Data[[#This Row],[Team]],Dyno_Data[RecordType],"StartMatch",Dyno_Data[Match],Dyno_Data[[#This Row],[Match]]),0)*86400),0)</f>
        <v>0</v>
      </c>
    </row>
    <row r="2840" spans="1:35" x14ac:dyDescent="0.3">
      <c r="A2840">
        <v>2839</v>
      </c>
      <c r="B2840" t="s">
        <v>366</v>
      </c>
      <c r="C2840">
        <v>53</v>
      </c>
      <c r="D2840" s="105">
        <v>45373.734466168979</v>
      </c>
      <c r="E2840" t="s">
        <v>312</v>
      </c>
      <c r="F2840" t="s">
        <v>1402</v>
      </c>
      <c r="G2840">
        <v>0</v>
      </c>
      <c r="H2840" t="s">
        <v>315</v>
      </c>
      <c r="I2840">
        <v>0</v>
      </c>
      <c r="J2840">
        <v>0</v>
      </c>
      <c r="K2840">
        <v>0</v>
      </c>
      <c r="L2840" t="s">
        <v>242</v>
      </c>
      <c r="M2840" t="s">
        <v>241</v>
      </c>
      <c r="N2840">
        <v>0</v>
      </c>
      <c r="O2840" t="s">
        <v>1391</v>
      </c>
      <c r="P2840" t="s">
        <v>310</v>
      </c>
      <c r="Q2840" t="s">
        <v>310</v>
      </c>
      <c r="R2840" t="s">
        <v>310</v>
      </c>
      <c r="S2840">
        <v>9</v>
      </c>
      <c r="T2840" t="s">
        <v>310</v>
      </c>
      <c r="U2840">
        <v>9</v>
      </c>
      <c r="V2840">
        <v>9</v>
      </c>
      <c r="W2840">
        <v>0</v>
      </c>
      <c r="X2840">
        <v>0</v>
      </c>
      <c r="Y2840">
        <v>0</v>
      </c>
      <c r="Z2840">
        <v>0</v>
      </c>
      <c r="AA2840">
        <v>9</v>
      </c>
      <c r="AB2840">
        <v>9</v>
      </c>
      <c r="AC2840" t="s">
        <v>310</v>
      </c>
      <c r="AD2840">
        <v>9</v>
      </c>
      <c r="AE2840" t="s">
        <v>1418</v>
      </c>
      <c r="AF2840">
        <v>90000000</v>
      </c>
      <c r="AG2840" t="s">
        <v>310</v>
      </c>
      <c r="AH2840">
        <f>SUM((MID(Dyno_Data[[#This Row],[Team]],4,5))+(Dyno_Data[[#This Row],[Match]]/100))</f>
        <v>4122.53</v>
      </c>
      <c r="AI2840" s="76">
        <f>ROUND(SUM(IF(Dyno_Data[[#This Row],[AcqCenter]]&gt;0,Dyno_Data[[#This Row],[Time]]-SUMIFS(Dyno_Data[Time],Dyno_Data[Team],Dyno_Data[[#This Row],[Team]],Dyno_Data[RecordType],"StartMatch",Dyno_Data[Match],Dyno_Data[[#This Row],[Match]]),0)*86400),0)</f>
        <v>0</v>
      </c>
    </row>
    <row r="2841" spans="1:35" x14ac:dyDescent="0.3">
      <c r="A2841">
        <v>2840</v>
      </c>
      <c r="B2841" t="s">
        <v>1295</v>
      </c>
      <c r="C2841">
        <v>53</v>
      </c>
      <c r="D2841" s="105">
        <v>45373.734495173609</v>
      </c>
      <c r="E2841" t="s">
        <v>312</v>
      </c>
      <c r="F2841" t="s">
        <v>1402</v>
      </c>
      <c r="G2841">
        <v>0</v>
      </c>
      <c r="H2841" t="s">
        <v>315</v>
      </c>
      <c r="I2841">
        <v>0</v>
      </c>
      <c r="J2841">
        <v>0</v>
      </c>
      <c r="K2841">
        <v>0</v>
      </c>
      <c r="L2841" t="s">
        <v>241</v>
      </c>
      <c r="M2841" t="s">
        <v>101</v>
      </c>
      <c r="N2841">
        <v>0</v>
      </c>
      <c r="O2841" t="s">
        <v>319</v>
      </c>
      <c r="P2841" t="s">
        <v>310</v>
      </c>
      <c r="Q2841" t="s">
        <v>310</v>
      </c>
      <c r="R2841" t="s">
        <v>310</v>
      </c>
      <c r="S2841">
        <v>9</v>
      </c>
      <c r="T2841" t="s">
        <v>310</v>
      </c>
      <c r="U2841">
        <v>9</v>
      </c>
      <c r="V2841">
        <v>9</v>
      </c>
      <c r="W2841">
        <v>0</v>
      </c>
      <c r="X2841">
        <v>0</v>
      </c>
      <c r="Y2841">
        <v>0</v>
      </c>
      <c r="Z2841">
        <v>0</v>
      </c>
      <c r="AA2841">
        <v>9</v>
      </c>
      <c r="AB2841">
        <v>9</v>
      </c>
      <c r="AC2841" t="s">
        <v>310</v>
      </c>
      <c r="AD2841">
        <v>9</v>
      </c>
      <c r="AE2841" t="s">
        <v>1394</v>
      </c>
      <c r="AF2841">
        <v>100000000</v>
      </c>
      <c r="AG2841" t="s">
        <v>310</v>
      </c>
      <c r="AH2841">
        <f>SUM((MID(Dyno_Data[[#This Row],[Team]],4,5))+(Dyno_Data[[#This Row],[Match]]/100))</f>
        <v>6300.53</v>
      </c>
      <c r="AI2841" s="76">
        <f>ROUND(SUM(IF(Dyno_Data[[#This Row],[AcqCenter]]&gt;0,Dyno_Data[[#This Row],[Time]]-SUMIFS(Dyno_Data[Time],Dyno_Data[Team],Dyno_Data[[#This Row],[Team]],Dyno_Data[RecordType],"StartMatch",Dyno_Data[Match],Dyno_Data[[#This Row],[Match]]),0)*86400),0)</f>
        <v>0</v>
      </c>
    </row>
    <row r="2842" spans="1:35" x14ac:dyDescent="0.3">
      <c r="A2842">
        <v>2841</v>
      </c>
      <c r="B2842" t="s">
        <v>366</v>
      </c>
      <c r="C2842">
        <v>53</v>
      </c>
      <c r="D2842" s="105">
        <v>45373.73454730324</v>
      </c>
      <c r="E2842" t="s">
        <v>312</v>
      </c>
      <c r="F2842" t="s">
        <v>1402</v>
      </c>
      <c r="G2842">
        <v>0</v>
      </c>
      <c r="H2842" t="s">
        <v>315</v>
      </c>
      <c r="I2842">
        <v>0</v>
      </c>
      <c r="J2842">
        <v>0</v>
      </c>
      <c r="K2842">
        <v>0</v>
      </c>
      <c r="L2842" t="s">
        <v>242</v>
      </c>
      <c r="M2842" t="s">
        <v>241</v>
      </c>
      <c r="N2842">
        <v>1</v>
      </c>
      <c r="O2842" t="s">
        <v>1391</v>
      </c>
      <c r="P2842" t="s">
        <v>310</v>
      </c>
      <c r="Q2842" t="s">
        <v>310</v>
      </c>
      <c r="R2842" t="s">
        <v>310</v>
      </c>
      <c r="S2842">
        <v>9</v>
      </c>
      <c r="T2842" t="s">
        <v>310</v>
      </c>
      <c r="U2842">
        <v>9</v>
      </c>
      <c r="V2842">
        <v>9</v>
      </c>
      <c r="W2842">
        <v>0</v>
      </c>
      <c r="X2842">
        <v>0</v>
      </c>
      <c r="Y2842">
        <v>0</v>
      </c>
      <c r="Z2842">
        <v>0</v>
      </c>
      <c r="AA2842">
        <v>9</v>
      </c>
      <c r="AB2842">
        <v>9</v>
      </c>
      <c r="AC2842" t="s">
        <v>310</v>
      </c>
      <c r="AD2842">
        <v>9</v>
      </c>
      <c r="AE2842" t="s">
        <v>1418</v>
      </c>
      <c r="AF2842">
        <v>100000000</v>
      </c>
      <c r="AG2842" t="s">
        <v>310</v>
      </c>
      <c r="AH2842">
        <f>SUM((MID(Dyno_Data[[#This Row],[Team]],4,5))+(Dyno_Data[[#This Row],[Match]]/100))</f>
        <v>4122.53</v>
      </c>
      <c r="AI2842" s="76">
        <f>ROUND(SUM(IF(Dyno_Data[[#This Row],[AcqCenter]]&gt;0,Dyno_Data[[#This Row],[Time]]-SUMIFS(Dyno_Data[Time],Dyno_Data[Team],Dyno_Data[[#This Row],[Team]],Dyno_Data[RecordType],"StartMatch",Dyno_Data[Match],Dyno_Data[[#This Row],[Match]]),0)*86400),0)</f>
        <v>0</v>
      </c>
    </row>
    <row r="2843" spans="1:35" x14ac:dyDescent="0.3">
      <c r="A2843">
        <v>2842</v>
      </c>
      <c r="B2843" t="s">
        <v>1295</v>
      </c>
      <c r="C2843">
        <v>53</v>
      </c>
      <c r="D2843" s="105">
        <v>45373.734636145833</v>
      </c>
      <c r="E2843" t="s">
        <v>312</v>
      </c>
      <c r="F2843" t="s">
        <v>1402</v>
      </c>
      <c r="G2843">
        <v>0</v>
      </c>
      <c r="H2843" t="s">
        <v>315</v>
      </c>
      <c r="I2843">
        <v>0</v>
      </c>
      <c r="J2843">
        <v>0</v>
      </c>
      <c r="K2843">
        <v>0</v>
      </c>
      <c r="L2843" t="s">
        <v>241</v>
      </c>
      <c r="M2843" t="s">
        <v>101</v>
      </c>
      <c r="N2843">
        <v>0</v>
      </c>
      <c r="O2843" t="s">
        <v>319</v>
      </c>
      <c r="P2843" t="s">
        <v>310</v>
      </c>
      <c r="Q2843" t="s">
        <v>310</v>
      </c>
      <c r="R2843" t="s">
        <v>310</v>
      </c>
      <c r="S2843">
        <v>9</v>
      </c>
      <c r="T2843" t="s">
        <v>310</v>
      </c>
      <c r="U2843">
        <v>9</v>
      </c>
      <c r="V2843">
        <v>9</v>
      </c>
      <c r="W2843">
        <v>0</v>
      </c>
      <c r="X2843">
        <v>0</v>
      </c>
      <c r="Y2843">
        <v>0</v>
      </c>
      <c r="Z2843">
        <v>0</v>
      </c>
      <c r="AA2843">
        <v>9</v>
      </c>
      <c r="AB2843">
        <v>9</v>
      </c>
      <c r="AC2843" t="s">
        <v>310</v>
      </c>
      <c r="AD2843">
        <v>9</v>
      </c>
      <c r="AE2843" t="s">
        <v>1394</v>
      </c>
      <c r="AF2843">
        <v>110000000</v>
      </c>
      <c r="AG2843" t="s">
        <v>310</v>
      </c>
      <c r="AH2843">
        <f>SUM((MID(Dyno_Data[[#This Row],[Team]],4,5))+(Dyno_Data[[#This Row],[Match]]/100))</f>
        <v>6300.53</v>
      </c>
      <c r="AI2843" s="76">
        <f>ROUND(SUM(IF(Dyno_Data[[#This Row],[AcqCenter]]&gt;0,Dyno_Data[[#This Row],[Time]]-SUMIFS(Dyno_Data[Time],Dyno_Data[Team],Dyno_Data[[#This Row],[Team]],Dyno_Data[RecordType],"StartMatch",Dyno_Data[Match],Dyno_Data[[#This Row],[Match]]),0)*86400),0)</f>
        <v>0</v>
      </c>
    </row>
    <row r="2844" spans="1:35" x14ac:dyDescent="0.3">
      <c r="A2844">
        <v>2843</v>
      </c>
      <c r="B2844" t="s">
        <v>1302</v>
      </c>
      <c r="C2844">
        <v>53</v>
      </c>
      <c r="D2844" s="105">
        <v>45373.734668090277</v>
      </c>
      <c r="E2844" t="s">
        <v>312</v>
      </c>
      <c r="F2844" t="s">
        <v>1402</v>
      </c>
      <c r="G2844">
        <v>0</v>
      </c>
      <c r="H2844" t="s">
        <v>315</v>
      </c>
      <c r="I2844">
        <v>0</v>
      </c>
      <c r="J2844">
        <v>0</v>
      </c>
      <c r="K2844">
        <v>0</v>
      </c>
      <c r="L2844" t="s">
        <v>240</v>
      </c>
      <c r="M2844" t="s">
        <v>1398</v>
      </c>
      <c r="N2844">
        <v>1</v>
      </c>
      <c r="O2844" t="s">
        <v>1395</v>
      </c>
      <c r="P2844" t="s">
        <v>310</v>
      </c>
      <c r="Q2844" t="s">
        <v>310</v>
      </c>
      <c r="R2844" t="s">
        <v>310</v>
      </c>
      <c r="S2844">
        <v>9</v>
      </c>
      <c r="T2844" t="s">
        <v>310</v>
      </c>
      <c r="U2844">
        <v>9</v>
      </c>
      <c r="V2844">
        <v>9</v>
      </c>
      <c r="W2844">
        <v>0</v>
      </c>
      <c r="X2844">
        <v>0</v>
      </c>
      <c r="Y2844">
        <v>0</v>
      </c>
      <c r="Z2844">
        <v>0</v>
      </c>
      <c r="AA2844">
        <v>9</v>
      </c>
      <c r="AB2844">
        <v>9</v>
      </c>
      <c r="AC2844" t="s">
        <v>310</v>
      </c>
      <c r="AD2844">
        <v>9</v>
      </c>
      <c r="AE2844" t="s">
        <v>1416</v>
      </c>
      <c r="AF2844">
        <v>20000000</v>
      </c>
      <c r="AG2844" t="s">
        <v>310</v>
      </c>
      <c r="AH2844">
        <f>SUM((MID(Dyno_Data[[#This Row],[Team]],4,5))+(Dyno_Data[[#This Row],[Match]]/100))</f>
        <v>2095.5300000000002</v>
      </c>
      <c r="AI2844" s="76">
        <f>ROUND(SUM(IF(Dyno_Data[[#This Row],[AcqCenter]]&gt;0,Dyno_Data[[#This Row],[Time]]-SUMIFS(Dyno_Data[Time],Dyno_Data[Team],Dyno_Data[[#This Row],[Team]],Dyno_Data[RecordType],"StartMatch",Dyno_Data[Match],Dyno_Data[[#This Row],[Match]]),0)*86400),0)</f>
        <v>0</v>
      </c>
    </row>
    <row r="2845" spans="1:35" x14ac:dyDescent="0.3">
      <c r="A2845">
        <v>2844</v>
      </c>
      <c r="B2845" t="s">
        <v>366</v>
      </c>
      <c r="C2845">
        <v>53</v>
      </c>
      <c r="D2845" s="105">
        <v>45373.734677430555</v>
      </c>
      <c r="E2845" t="s">
        <v>312</v>
      </c>
      <c r="F2845" t="s">
        <v>1402</v>
      </c>
      <c r="G2845">
        <v>0</v>
      </c>
      <c r="H2845" t="s">
        <v>315</v>
      </c>
      <c r="I2845">
        <v>0</v>
      </c>
      <c r="J2845">
        <v>0</v>
      </c>
      <c r="K2845">
        <v>0</v>
      </c>
      <c r="L2845" t="s">
        <v>241</v>
      </c>
      <c r="M2845" t="s">
        <v>241</v>
      </c>
      <c r="N2845">
        <v>1</v>
      </c>
      <c r="O2845" t="s">
        <v>1391</v>
      </c>
      <c r="P2845" t="s">
        <v>310</v>
      </c>
      <c r="Q2845" t="s">
        <v>310</v>
      </c>
      <c r="R2845" t="s">
        <v>310</v>
      </c>
      <c r="S2845">
        <v>9</v>
      </c>
      <c r="T2845" t="s">
        <v>310</v>
      </c>
      <c r="U2845">
        <v>9</v>
      </c>
      <c r="V2845">
        <v>9</v>
      </c>
      <c r="W2845">
        <v>0</v>
      </c>
      <c r="X2845">
        <v>0</v>
      </c>
      <c r="Y2845">
        <v>0</v>
      </c>
      <c r="Z2845">
        <v>0</v>
      </c>
      <c r="AA2845">
        <v>9</v>
      </c>
      <c r="AB2845">
        <v>9</v>
      </c>
      <c r="AC2845" t="s">
        <v>310</v>
      </c>
      <c r="AD2845">
        <v>9</v>
      </c>
      <c r="AE2845" t="s">
        <v>1418</v>
      </c>
      <c r="AF2845">
        <v>110000000</v>
      </c>
      <c r="AG2845" t="s">
        <v>310</v>
      </c>
      <c r="AH2845">
        <f>SUM((MID(Dyno_Data[[#This Row],[Team]],4,5))+(Dyno_Data[[#This Row],[Match]]/100))</f>
        <v>4122.53</v>
      </c>
      <c r="AI2845" s="76">
        <f>ROUND(SUM(IF(Dyno_Data[[#This Row],[AcqCenter]]&gt;0,Dyno_Data[[#This Row],[Time]]-SUMIFS(Dyno_Data[Time],Dyno_Data[Team],Dyno_Data[[#This Row],[Team]],Dyno_Data[RecordType],"StartMatch",Dyno_Data[Match],Dyno_Data[[#This Row],[Match]]),0)*86400),0)</f>
        <v>0</v>
      </c>
    </row>
    <row r="2846" spans="1:35" x14ac:dyDescent="0.3">
      <c r="A2846">
        <v>2845</v>
      </c>
      <c r="B2846" t="s">
        <v>1295</v>
      </c>
      <c r="C2846">
        <v>53</v>
      </c>
      <c r="D2846" s="105">
        <v>45373.734768553244</v>
      </c>
      <c r="E2846" t="s">
        <v>312</v>
      </c>
      <c r="F2846" t="s">
        <v>1402</v>
      </c>
      <c r="G2846">
        <v>0</v>
      </c>
      <c r="H2846" t="s">
        <v>315</v>
      </c>
      <c r="I2846">
        <v>0</v>
      </c>
      <c r="J2846">
        <v>0</v>
      </c>
      <c r="K2846">
        <v>0</v>
      </c>
      <c r="L2846" t="s">
        <v>241</v>
      </c>
      <c r="M2846" t="s">
        <v>1398</v>
      </c>
      <c r="N2846">
        <v>1</v>
      </c>
      <c r="O2846" t="s">
        <v>319</v>
      </c>
      <c r="P2846" t="s">
        <v>310</v>
      </c>
      <c r="Q2846" t="s">
        <v>310</v>
      </c>
      <c r="R2846" t="s">
        <v>310</v>
      </c>
      <c r="S2846">
        <v>9</v>
      </c>
      <c r="T2846" t="s">
        <v>310</v>
      </c>
      <c r="U2846">
        <v>9</v>
      </c>
      <c r="V2846">
        <v>9</v>
      </c>
      <c r="W2846">
        <v>0</v>
      </c>
      <c r="X2846">
        <v>0</v>
      </c>
      <c r="Y2846">
        <v>0</v>
      </c>
      <c r="Z2846">
        <v>0</v>
      </c>
      <c r="AA2846">
        <v>9</v>
      </c>
      <c r="AB2846">
        <v>9</v>
      </c>
      <c r="AC2846" t="s">
        <v>310</v>
      </c>
      <c r="AD2846">
        <v>9</v>
      </c>
      <c r="AE2846" t="s">
        <v>1394</v>
      </c>
      <c r="AF2846">
        <v>120000000</v>
      </c>
      <c r="AG2846" t="s">
        <v>310</v>
      </c>
      <c r="AH2846">
        <f>SUM((MID(Dyno_Data[[#This Row],[Team]],4,5))+(Dyno_Data[[#This Row],[Match]]/100))</f>
        <v>6300.53</v>
      </c>
      <c r="AI2846" s="76">
        <f>ROUND(SUM(IF(Dyno_Data[[#This Row],[AcqCenter]]&gt;0,Dyno_Data[[#This Row],[Time]]-SUMIFS(Dyno_Data[Time],Dyno_Data[Team],Dyno_Data[[#This Row],[Team]],Dyno_Data[RecordType],"StartMatch",Dyno_Data[Match],Dyno_Data[[#This Row],[Match]]),0)*86400),0)</f>
        <v>0</v>
      </c>
    </row>
    <row r="2847" spans="1:35" x14ac:dyDescent="0.3">
      <c r="A2847">
        <v>2846</v>
      </c>
      <c r="B2847" t="s">
        <v>366</v>
      </c>
      <c r="C2847">
        <v>53</v>
      </c>
      <c r="D2847" s="105">
        <v>45373.734779548613</v>
      </c>
      <c r="E2847" t="s">
        <v>312</v>
      </c>
      <c r="F2847" t="s">
        <v>1402</v>
      </c>
      <c r="G2847">
        <v>0</v>
      </c>
      <c r="H2847" t="s">
        <v>315</v>
      </c>
      <c r="I2847">
        <v>0</v>
      </c>
      <c r="J2847">
        <v>0</v>
      </c>
      <c r="K2847">
        <v>0</v>
      </c>
      <c r="L2847" t="s">
        <v>242</v>
      </c>
      <c r="M2847" t="s">
        <v>241</v>
      </c>
      <c r="N2847">
        <v>1</v>
      </c>
      <c r="O2847" t="s">
        <v>1391</v>
      </c>
      <c r="P2847" t="s">
        <v>310</v>
      </c>
      <c r="Q2847" t="s">
        <v>310</v>
      </c>
      <c r="R2847" t="s">
        <v>310</v>
      </c>
      <c r="S2847">
        <v>9</v>
      </c>
      <c r="T2847" t="s">
        <v>310</v>
      </c>
      <c r="U2847">
        <v>9</v>
      </c>
      <c r="V2847">
        <v>9</v>
      </c>
      <c r="W2847">
        <v>0</v>
      </c>
      <c r="X2847">
        <v>0</v>
      </c>
      <c r="Y2847">
        <v>0</v>
      </c>
      <c r="Z2847">
        <v>0</v>
      </c>
      <c r="AA2847">
        <v>9</v>
      </c>
      <c r="AB2847">
        <v>9</v>
      </c>
      <c r="AC2847" t="s">
        <v>310</v>
      </c>
      <c r="AD2847">
        <v>9</v>
      </c>
      <c r="AE2847" t="s">
        <v>1418</v>
      </c>
      <c r="AF2847">
        <v>120000000</v>
      </c>
      <c r="AG2847" t="s">
        <v>310</v>
      </c>
      <c r="AH2847">
        <f>SUM((MID(Dyno_Data[[#This Row],[Team]],4,5))+(Dyno_Data[[#This Row],[Match]]/100))</f>
        <v>4122.53</v>
      </c>
      <c r="AI2847" s="76">
        <f>ROUND(SUM(IF(Dyno_Data[[#This Row],[AcqCenter]]&gt;0,Dyno_Data[[#This Row],[Time]]-SUMIFS(Dyno_Data[Time],Dyno_Data[Team],Dyno_Data[[#This Row],[Team]],Dyno_Data[RecordType],"StartMatch",Dyno_Data[Match],Dyno_Data[[#This Row],[Match]]),0)*86400),0)</f>
        <v>0</v>
      </c>
    </row>
    <row r="2848" spans="1:35" x14ac:dyDescent="0.3">
      <c r="A2848">
        <v>2847</v>
      </c>
      <c r="B2848" t="s">
        <v>1295</v>
      </c>
      <c r="C2848">
        <v>53</v>
      </c>
      <c r="D2848" s="105">
        <v>45373.734840972225</v>
      </c>
      <c r="E2848" t="s">
        <v>312</v>
      </c>
      <c r="F2848" t="s">
        <v>1402</v>
      </c>
      <c r="G2848">
        <v>0</v>
      </c>
      <c r="H2848" t="s">
        <v>315</v>
      </c>
      <c r="I2848">
        <v>0</v>
      </c>
      <c r="J2848">
        <v>0</v>
      </c>
      <c r="K2848">
        <v>0</v>
      </c>
      <c r="L2848" t="s">
        <v>241</v>
      </c>
      <c r="M2848" t="s">
        <v>101</v>
      </c>
      <c r="N2848">
        <v>0</v>
      </c>
      <c r="O2848" t="s">
        <v>319</v>
      </c>
      <c r="P2848" t="s">
        <v>310</v>
      </c>
      <c r="Q2848" t="s">
        <v>310</v>
      </c>
      <c r="R2848" t="s">
        <v>310</v>
      </c>
      <c r="S2848">
        <v>9</v>
      </c>
      <c r="T2848" t="s">
        <v>310</v>
      </c>
      <c r="U2848">
        <v>9</v>
      </c>
      <c r="V2848">
        <v>9</v>
      </c>
      <c r="W2848">
        <v>0</v>
      </c>
      <c r="X2848">
        <v>0</v>
      </c>
      <c r="Y2848">
        <v>0</v>
      </c>
      <c r="Z2848">
        <v>0</v>
      </c>
      <c r="AA2848">
        <v>9</v>
      </c>
      <c r="AB2848">
        <v>9</v>
      </c>
      <c r="AC2848" t="s">
        <v>310</v>
      </c>
      <c r="AD2848">
        <v>9</v>
      </c>
      <c r="AE2848" t="s">
        <v>1394</v>
      </c>
      <c r="AF2848">
        <v>130000000</v>
      </c>
      <c r="AG2848" t="s">
        <v>310</v>
      </c>
      <c r="AH2848">
        <f>SUM((MID(Dyno_Data[[#This Row],[Team]],4,5))+(Dyno_Data[[#This Row],[Match]]/100))</f>
        <v>6300.53</v>
      </c>
      <c r="AI2848" s="76">
        <f>ROUND(SUM(IF(Dyno_Data[[#This Row],[AcqCenter]]&gt;0,Dyno_Data[[#This Row],[Time]]-SUMIFS(Dyno_Data[Time],Dyno_Data[Team],Dyno_Data[[#This Row],[Team]],Dyno_Data[RecordType],"StartMatch",Dyno_Data[Match],Dyno_Data[[#This Row],[Match]]),0)*86400),0)</f>
        <v>0</v>
      </c>
    </row>
    <row r="2849" spans="1:35" x14ac:dyDescent="0.3">
      <c r="A2849">
        <v>2848</v>
      </c>
      <c r="B2849" t="s">
        <v>1295</v>
      </c>
      <c r="C2849">
        <v>53</v>
      </c>
      <c r="D2849" s="105">
        <v>45373.734930011575</v>
      </c>
      <c r="E2849" t="s">
        <v>312</v>
      </c>
      <c r="F2849" t="s">
        <v>1402</v>
      </c>
      <c r="G2849">
        <v>0</v>
      </c>
      <c r="H2849" t="s">
        <v>315</v>
      </c>
      <c r="I2849">
        <v>0</v>
      </c>
      <c r="J2849">
        <v>0</v>
      </c>
      <c r="K2849">
        <v>0</v>
      </c>
      <c r="L2849" t="s">
        <v>241</v>
      </c>
      <c r="M2849" t="s">
        <v>101</v>
      </c>
      <c r="N2849">
        <v>0</v>
      </c>
      <c r="O2849" t="s">
        <v>319</v>
      </c>
      <c r="P2849" t="s">
        <v>310</v>
      </c>
      <c r="Q2849" t="s">
        <v>310</v>
      </c>
      <c r="R2849" t="s">
        <v>310</v>
      </c>
      <c r="S2849">
        <v>9</v>
      </c>
      <c r="T2849" t="s">
        <v>310</v>
      </c>
      <c r="U2849">
        <v>9</v>
      </c>
      <c r="V2849">
        <v>9</v>
      </c>
      <c r="W2849">
        <v>0</v>
      </c>
      <c r="X2849">
        <v>0</v>
      </c>
      <c r="Y2849">
        <v>0</v>
      </c>
      <c r="Z2849">
        <v>0</v>
      </c>
      <c r="AA2849">
        <v>9</v>
      </c>
      <c r="AB2849">
        <v>9</v>
      </c>
      <c r="AC2849" t="s">
        <v>310</v>
      </c>
      <c r="AD2849">
        <v>9</v>
      </c>
      <c r="AE2849" t="s">
        <v>1394</v>
      </c>
      <c r="AF2849">
        <v>140000000</v>
      </c>
      <c r="AG2849" t="s">
        <v>310</v>
      </c>
      <c r="AH2849">
        <f>SUM((MID(Dyno_Data[[#This Row],[Team]],4,5))+(Dyno_Data[[#This Row],[Match]]/100))</f>
        <v>6300.53</v>
      </c>
      <c r="AI2849" s="76">
        <f>ROUND(SUM(IF(Dyno_Data[[#This Row],[AcqCenter]]&gt;0,Dyno_Data[[#This Row],[Time]]-SUMIFS(Dyno_Data[Time],Dyno_Data[Team],Dyno_Data[[#This Row],[Team]],Dyno_Data[RecordType],"StartMatch",Dyno_Data[Match],Dyno_Data[[#This Row],[Match]]),0)*86400),0)</f>
        <v>0</v>
      </c>
    </row>
    <row r="2850" spans="1:35" x14ac:dyDescent="0.3">
      <c r="A2850">
        <v>2849</v>
      </c>
      <c r="B2850" t="s">
        <v>1291</v>
      </c>
      <c r="C2850">
        <v>53</v>
      </c>
      <c r="D2850" s="105">
        <v>45373.7349378125</v>
      </c>
      <c r="E2850" t="s">
        <v>312</v>
      </c>
      <c r="F2850" t="s">
        <v>1402</v>
      </c>
      <c r="G2850">
        <v>0</v>
      </c>
      <c r="H2850" t="s">
        <v>315</v>
      </c>
      <c r="I2850">
        <v>0</v>
      </c>
      <c r="J2850">
        <v>0</v>
      </c>
      <c r="K2850">
        <v>0</v>
      </c>
      <c r="L2850" t="s">
        <v>242</v>
      </c>
      <c r="M2850" t="s">
        <v>1398</v>
      </c>
      <c r="N2850">
        <v>0</v>
      </c>
      <c r="O2850" t="s">
        <v>311</v>
      </c>
      <c r="P2850" t="s">
        <v>310</v>
      </c>
      <c r="Q2850" t="s">
        <v>310</v>
      </c>
      <c r="R2850" t="s">
        <v>310</v>
      </c>
      <c r="S2850">
        <v>9</v>
      </c>
      <c r="T2850" t="s">
        <v>310</v>
      </c>
      <c r="U2850">
        <v>9</v>
      </c>
      <c r="V2850">
        <v>9</v>
      </c>
      <c r="W2850">
        <v>0</v>
      </c>
      <c r="X2850">
        <v>0</v>
      </c>
      <c r="Y2850">
        <v>0</v>
      </c>
      <c r="Z2850">
        <v>0</v>
      </c>
      <c r="AA2850">
        <v>9</v>
      </c>
      <c r="AB2850">
        <v>9</v>
      </c>
      <c r="AC2850" t="s">
        <v>310</v>
      </c>
      <c r="AD2850">
        <v>9</v>
      </c>
      <c r="AE2850" t="s">
        <v>1417</v>
      </c>
      <c r="AF2850">
        <v>30000000</v>
      </c>
      <c r="AG2850" t="s">
        <v>310</v>
      </c>
      <c r="AH2850">
        <f>SUM((MID(Dyno_Data[[#This Row],[Team]],4,5))+(Dyno_Data[[#This Row],[Match]]/100))</f>
        <v>1493.53</v>
      </c>
      <c r="AI2850" s="76">
        <f>ROUND(SUM(IF(Dyno_Data[[#This Row],[AcqCenter]]&gt;0,Dyno_Data[[#This Row],[Time]]-SUMIFS(Dyno_Data[Time],Dyno_Data[Team],Dyno_Data[[#This Row],[Team]],Dyno_Data[RecordType],"StartMatch",Dyno_Data[Match],Dyno_Data[[#This Row],[Match]]),0)*86400),0)</f>
        <v>0</v>
      </c>
    </row>
    <row r="2851" spans="1:35" x14ac:dyDescent="0.3">
      <c r="A2851">
        <v>2850</v>
      </c>
      <c r="B2851" t="s">
        <v>366</v>
      </c>
      <c r="C2851">
        <v>53</v>
      </c>
      <c r="D2851" s="105">
        <v>45373.734937928239</v>
      </c>
      <c r="E2851" t="s">
        <v>312</v>
      </c>
      <c r="F2851" t="s">
        <v>1402</v>
      </c>
      <c r="G2851">
        <v>0</v>
      </c>
      <c r="H2851" t="s">
        <v>315</v>
      </c>
      <c r="I2851">
        <v>0</v>
      </c>
      <c r="J2851">
        <v>0</v>
      </c>
      <c r="K2851">
        <v>0</v>
      </c>
      <c r="L2851" t="s">
        <v>313</v>
      </c>
      <c r="M2851" t="s">
        <v>1398</v>
      </c>
      <c r="N2851">
        <v>0</v>
      </c>
      <c r="O2851" t="s">
        <v>1391</v>
      </c>
      <c r="P2851" t="s">
        <v>310</v>
      </c>
      <c r="Q2851" t="s">
        <v>310</v>
      </c>
      <c r="R2851" t="s">
        <v>310</v>
      </c>
      <c r="S2851">
        <v>9</v>
      </c>
      <c r="T2851" t="s">
        <v>310</v>
      </c>
      <c r="U2851">
        <v>9</v>
      </c>
      <c r="V2851">
        <v>9</v>
      </c>
      <c r="W2851">
        <v>0</v>
      </c>
      <c r="X2851">
        <v>0</v>
      </c>
      <c r="Y2851">
        <v>0</v>
      </c>
      <c r="Z2851">
        <v>0</v>
      </c>
      <c r="AA2851">
        <v>9</v>
      </c>
      <c r="AB2851">
        <v>9</v>
      </c>
      <c r="AC2851" t="s">
        <v>310</v>
      </c>
      <c r="AD2851">
        <v>9</v>
      </c>
      <c r="AE2851" t="s">
        <v>1418</v>
      </c>
      <c r="AF2851">
        <v>130000000</v>
      </c>
      <c r="AG2851" t="s">
        <v>310</v>
      </c>
      <c r="AH2851">
        <f>SUM((MID(Dyno_Data[[#This Row],[Team]],4,5))+(Dyno_Data[[#This Row],[Match]]/100))</f>
        <v>4122.53</v>
      </c>
      <c r="AI2851" s="76">
        <f>ROUND(SUM(IF(Dyno_Data[[#This Row],[AcqCenter]]&gt;0,Dyno_Data[[#This Row],[Time]]-SUMIFS(Dyno_Data[Time],Dyno_Data[Team],Dyno_Data[[#This Row],[Team]],Dyno_Data[RecordType],"StartMatch",Dyno_Data[Match],Dyno_Data[[#This Row],[Match]]),0)*86400),0)</f>
        <v>0</v>
      </c>
    </row>
    <row r="2852" spans="1:35" x14ac:dyDescent="0.3">
      <c r="A2852">
        <v>2851</v>
      </c>
      <c r="B2852" t="s">
        <v>366</v>
      </c>
      <c r="C2852">
        <v>53</v>
      </c>
      <c r="D2852" s="105">
        <v>45373.735069016206</v>
      </c>
      <c r="E2852" t="s">
        <v>312</v>
      </c>
      <c r="F2852" t="s">
        <v>1402</v>
      </c>
      <c r="G2852">
        <v>0</v>
      </c>
      <c r="H2852" t="s">
        <v>315</v>
      </c>
      <c r="I2852">
        <v>0</v>
      </c>
      <c r="J2852">
        <v>0</v>
      </c>
      <c r="K2852">
        <v>0</v>
      </c>
      <c r="L2852" t="s">
        <v>241</v>
      </c>
      <c r="M2852" t="s">
        <v>1398</v>
      </c>
      <c r="N2852">
        <v>0</v>
      </c>
      <c r="O2852" t="s">
        <v>1391</v>
      </c>
      <c r="P2852" t="s">
        <v>310</v>
      </c>
      <c r="Q2852" t="s">
        <v>310</v>
      </c>
      <c r="R2852" t="s">
        <v>310</v>
      </c>
      <c r="S2852">
        <v>9</v>
      </c>
      <c r="T2852" t="s">
        <v>310</v>
      </c>
      <c r="U2852">
        <v>9</v>
      </c>
      <c r="V2852">
        <v>9</v>
      </c>
      <c r="W2852">
        <v>0</v>
      </c>
      <c r="X2852">
        <v>0</v>
      </c>
      <c r="Y2852">
        <v>0</v>
      </c>
      <c r="Z2852">
        <v>0</v>
      </c>
      <c r="AA2852">
        <v>9</v>
      </c>
      <c r="AB2852">
        <v>9</v>
      </c>
      <c r="AC2852" t="s">
        <v>310</v>
      </c>
      <c r="AD2852">
        <v>9</v>
      </c>
      <c r="AE2852" t="s">
        <v>1418</v>
      </c>
      <c r="AF2852">
        <v>140000000</v>
      </c>
      <c r="AG2852" t="s">
        <v>310</v>
      </c>
      <c r="AH2852">
        <f>SUM((MID(Dyno_Data[[#This Row],[Team]],4,5))+(Dyno_Data[[#This Row],[Match]]/100))</f>
        <v>4122.53</v>
      </c>
      <c r="AI2852" s="76">
        <f>ROUND(SUM(IF(Dyno_Data[[#This Row],[AcqCenter]]&gt;0,Dyno_Data[[#This Row],[Time]]-SUMIFS(Dyno_Data[Time],Dyno_Data[Team],Dyno_Data[[#This Row],[Team]],Dyno_Data[RecordType],"StartMatch",Dyno_Data[Match],Dyno_Data[[#This Row],[Match]]),0)*86400),0)</f>
        <v>0</v>
      </c>
    </row>
    <row r="2853" spans="1:35" x14ac:dyDescent="0.3">
      <c r="A2853">
        <v>2852</v>
      </c>
      <c r="B2853" t="s">
        <v>1291</v>
      </c>
      <c r="C2853">
        <v>53</v>
      </c>
      <c r="D2853" s="105">
        <v>45373.736094791668</v>
      </c>
      <c r="E2853" t="s">
        <v>316</v>
      </c>
      <c r="F2853" t="s">
        <v>317</v>
      </c>
      <c r="G2853">
        <v>1</v>
      </c>
      <c r="H2853" t="s">
        <v>310</v>
      </c>
      <c r="I2853">
        <v>0</v>
      </c>
      <c r="J2853">
        <v>0</v>
      </c>
      <c r="K2853">
        <v>0</v>
      </c>
      <c r="L2853" t="s">
        <v>310</v>
      </c>
      <c r="M2853" t="s">
        <v>310</v>
      </c>
      <c r="N2853">
        <v>0</v>
      </c>
      <c r="O2853" t="s">
        <v>311</v>
      </c>
      <c r="P2853" t="s">
        <v>240</v>
      </c>
      <c r="Q2853" t="s">
        <v>1400</v>
      </c>
      <c r="R2853" t="s">
        <v>1404</v>
      </c>
      <c r="S2853">
        <v>0</v>
      </c>
      <c r="T2853" t="s">
        <v>105</v>
      </c>
      <c r="U2853">
        <v>9</v>
      </c>
      <c r="V2853">
        <v>9</v>
      </c>
      <c r="W2853">
        <v>0</v>
      </c>
      <c r="X2853">
        <v>78.037042499999998</v>
      </c>
      <c r="Y2853">
        <v>51.5325104</v>
      </c>
      <c r="Z2853">
        <v>7.4308228999999999</v>
      </c>
      <c r="AA2853">
        <v>0</v>
      </c>
      <c r="AB2853">
        <v>0</v>
      </c>
      <c r="AC2853" t="s">
        <v>171</v>
      </c>
      <c r="AD2853">
        <v>9</v>
      </c>
      <c r="AE2853" t="s">
        <v>1417</v>
      </c>
      <c r="AF2853">
        <v>30000000</v>
      </c>
      <c r="AG2853" t="s">
        <v>310</v>
      </c>
      <c r="AH2853">
        <f>SUM((MID(Dyno_Data[[#This Row],[Team]],4,5))+(Dyno_Data[[#This Row],[Match]]/100))</f>
        <v>1493.53</v>
      </c>
      <c r="AI2853" s="76">
        <f>ROUND(SUM(IF(Dyno_Data[[#This Row],[AcqCenter]]&gt;0,Dyno_Data[[#This Row],[Time]]-SUMIFS(Dyno_Data[Time],Dyno_Data[Team],Dyno_Data[[#This Row],[Team]],Dyno_Data[RecordType],"StartMatch",Dyno_Data[Match],Dyno_Data[[#This Row],[Match]]),0)*86400),0)</f>
        <v>0</v>
      </c>
    </row>
    <row r="2854" spans="1:35" x14ac:dyDescent="0.3">
      <c r="A2854">
        <v>2853</v>
      </c>
      <c r="B2854" t="s">
        <v>366</v>
      </c>
      <c r="C2854">
        <v>53</v>
      </c>
      <c r="D2854" s="105">
        <v>45373.736094942127</v>
      </c>
      <c r="E2854" t="s">
        <v>316</v>
      </c>
      <c r="F2854" t="s">
        <v>317</v>
      </c>
      <c r="G2854">
        <v>0</v>
      </c>
      <c r="H2854" t="s">
        <v>310</v>
      </c>
      <c r="I2854">
        <v>0</v>
      </c>
      <c r="J2854">
        <v>0</v>
      </c>
      <c r="K2854">
        <v>0</v>
      </c>
      <c r="L2854" t="s">
        <v>310</v>
      </c>
      <c r="M2854" t="s">
        <v>310</v>
      </c>
      <c r="N2854">
        <v>0</v>
      </c>
      <c r="O2854" t="s">
        <v>1391</v>
      </c>
      <c r="P2854" t="s">
        <v>101</v>
      </c>
      <c r="Q2854" t="s">
        <v>1400</v>
      </c>
      <c r="R2854" t="s">
        <v>1404</v>
      </c>
      <c r="S2854">
        <v>0</v>
      </c>
      <c r="T2854" t="s">
        <v>105</v>
      </c>
      <c r="U2854">
        <v>9</v>
      </c>
      <c r="V2854">
        <v>9</v>
      </c>
      <c r="W2854">
        <v>0</v>
      </c>
      <c r="X2854">
        <v>51.070351799999997</v>
      </c>
      <c r="Y2854">
        <v>73.812935400000001</v>
      </c>
      <c r="Z2854">
        <v>11.990338999999999</v>
      </c>
      <c r="AA2854">
        <v>0</v>
      </c>
      <c r="AB2854">
        <v>3</v>
      </c>
      <c r="AC2854" t="s">
        <v>171</v>
      </c>
      <c r="AD2854">
        <v>9</v>
      </c>
      <c r="AE2854" t="s">
        <v>1418</v>
      </c>
      <c r="AF2854">
        <v>140000000</v>
      </c>
      <c r="AG2854" t="s">
        <v>310</v>
      </c>
      <c r="AH2854">
        <f>SUM((MID(Dyno_Data[[#This Row],[Team]],4,5))+(Dyno_Data[[#This Row],[Match]]/100))</f>
        <v>4122.53</v>
      </c>
      <c r="AI2854" s="76">
        <f>ROUND(SUM(IF(Dyno_Data[[#This Row],[AcqCenter]]&gt;0,Dyno_Data[[#This Row],[Time]]-SUMIFS(Dyno_Data[Time],Dyno_Data[Team],Dyno_Data[[#This Row],[Team]],Dyno_Data[RecordType],"StartMatch",Dyno_Data[Match],Dyno_Data[[#This Row],[Match]]),0)*86400),0)</f>
        <v>0</v>
      </c>
    </row>
    <row r="2855" spans="1:35" x14ac:dyDescent="0.3">
      <c r="A2855">
        <v>2854</v>
      </c>
      <c r="B2855" t="s">
        <v>1295</v>
      </c>
      <c r="C2855">
        <v>53</v>
      </c>
      <c r="D2855" s="105">
        <v>45373.736095057873</v>
      </c>
      <c r="E2855" t="s">
        <v>316</v>
      </c>
      <c r="F2855" t="s">
        <v>317</v>
      </c>
      <c r="G2855">
        <v>1</v>
      </c>
      <c r="H2855" t="s">
        <v>310</v>
      </c>
      <c r="I2855">
        <v>0</v>
      </c>
      <c r="J2855">
        <v>0</v>
      </c>
      <c r="K2855">
        <v>0</v>
      </c>
      <c r="L2855" t="s">
        <v>310</v>
      </c>
      <c r="M2855" t="s">
        <v>310</v>
      </c>
      <c r="N2855">
        <v>0</v>
      </c>
      <c r="O2855" t="s">
        <v>319</v>
      </c>
      <c r="P2855" t="s">
        <v>1401</v>
      </c>
      <c r="Q2855" t="s">
        <v>1399</v>
      </c>
      <c r="R2855" t="s">
        <v>1404</v>
      </c>
      <c r="S2855">
        <v>0</v>
      </c>
      <c r="T2855" t="s">
        <v>105</v>
      </c>
      <c r="U2855">
        <v>9</v>
      </c>
      <c r="V2855">
        <v>9</v>
      </c>
      <c r="W2855">
        <v>0</v>
      </c>
      <c r="X2855">
        <v>18.7096543</v>
      </c>
      <c r="Y2855">
        <v>18.3458416</v>
      </c>
      <c r="Z2855">
        <v>97.81227659999999</v>
      </c>
      <c r="AA2855">
        <v>0</v>
      </c>
      <c r="AB2855">
        <v>0</v>
      </c>
      <c r="AC2855" t="s">
        <v>174</v>
      </c>
      <c r="AD2855">
        <v>0</v>
      </c>
      <c r="AE2855" t="s">
        <v>1394</v>
      </c>
      <c r="AF2855">
        <v>140000000</v>
      </c>
      <c r="AG2855" t="s">
        <v>310</v>
      </c>
      <c r="AH2855">
        <f>SUM((MID(Dyno_Data[[#This Row],[Team]],4,5))+(Dyno_Data[[#This Row],[Match]]/100))</f>
        <v>6300.53</v>
      </c>
      <c r="AI2855" s="76">
        <f>ROUND(SUM(IF(Dyno_Data[[#This Row],[AcqCenter]]&gt;0,Dyno_Data[[#This Row],[Time]]-SUMIFS(Dyno_Data[Time],Dyno_Data[Team],Dyno_Data[[#This Row],[Team]],Dyno_Data[RecordType],"StartMatch",Dyno_Data[Match],Dyno_Data[[#This Row],[Match]]),0)*86400),0)</f>
        <v>0</v>
      </c>
    </row>
    <row r="2856" spans="1:35" x14ac:dyDescent="0.3">
      <c r="A2856">
        <v>2855</v>
      </c>
      <c r="B2856" t="s">
        <v>1311</v>
      </c>
      <c r="C2856">
        <v>53</v>
      </c>
      <c r="D2856" s="105">
        <v>45373.736095173612</v>
      </c>
      <c r="E2856" t="s">
        <v>316</v>
      </c>
      <c r="F2856" t="s">
        <v>317</v>
      </c>
      <c r="G2856">
        <v>1</v>
      </c>
      <c r="H2856" t="s">
        <v>310</v>
      </c>
      <c r="I2856">
        <v>0</v>
      </c>
      <c r="J2856">
        <v>0</v>
      </c>
      <c r="K2856">
        <v>0</v>
      </c>
      <c r="L2856" t="s">
        <v>310</v>
      </c>
      <c r="M2856" t="s">
        <v>310</v>
      </c>
      <c r="N2856">
        <v>0</v>
      </c>
      <c r="O2856" t="s">
        <v>1393</v>
      </c>
      <c r="P2856" t="s">
        <v>320</v>
      </c>
      <c r="Q2856" t="s">
        <v>1399</v>
      </c>
      <c r="R2856" t="s">
        <v>1404</v>
      </c>
      <c r="S2856">
        <v>0</v>
      </c>
      <c r="T2856" t="s">
        <v>105</v>
      </c>
      <c r="U2856">
        <v>9</v>
      </c>
      <c r="V2856">
        <v>9</v>
      </c>
      <c r="W2856">
        <v>0</v>
      </c>
      <c r="X2856">
        <v>70.2355546</v>
      </c>
      <c r="Y2856">
        <v>19.6230525</v>
      </c>
      <c r="Z2856">
        <v>45.450961399999997</v>
      </c>
      <c r="AA2856">
        <v>3</v>
      </c>
      <c r="AB2856">
        <v>0</v>
      </c>
      <c r="AC2856" t="s">
        <v>170</v>
      </c>
      <c r="AD2856">
        <v>0</v>
      </c>
      <c r="AE2856" t="s">
        <v>1387</v>
      </c>
      <c r="AF2856">
        <v>0</v>
      </c>
      <c r="AG2856" t="s">
        <v>310</v>
      </c>
      <c r="AH2856">
        <f>SUM((MID(Dyno_Data[[#This Row],[Team]],4,5))+(Dyno_Data[[#This Row],[Match]]/100))</f>
        <v>2234.5300000000002</v>
      </c>
      <c r="AI2856" s="76">
        <f>ROUND(SUM(IF(Dyno_Data[[#This Row],[AcqCenter]]&gt;0,Dyno_Data[[#This Row],[Time]]-SUMIFS(Dyno_Data[Time],Dyno_Data[Team],Dyno_Data[[#This Row],[Team]],Dyno_Data[RecordType],"StartMatch",Dyno_Data[Match],Dyno_Data[[#This Row],[Match]]),0)*86400),0)</f>
        <v>0</v>
      </c>
    </row>
    <row r="2857" spans="1:35" x14ac:dyDescent="0.3">
      <c r="A2857">
        <v>2856</v>
      </c>
      <c r="B2857" t="s">
        <v>1276</v>
      </c>
      <c r="C2857">
        <v>53</v>
      </c>
      <c r="D2857" s="105">
        <v>45373.73609525463</v>
      </c>
      <c r="E2857" t="s">
        <v>316</v>
      </c>
      <c r="F2857" t="s">
        <v>317</v>
      </c>
      <c r="G2857">
        <v>1</v>
      </c>
      <c r="H2857" t="s">
        <v>310</v>
      </c>
      <c r="I2857">
        <v>0</v>
      </c>
      <c r="J2857">
        <v>0</v>
      </c>
      <c r="K2857">
        <v>0</v>
      </c>
      <c r="L2857" t="s">
        <v>310</v>
      </c>
      <c r="M2857" t="s">
        <v>310</v>
      </c>
      <c r="N2857">
        <v>0</v>
      </c>
      <c r="O2857" t="s">
        <v>1389</v>
      </c>
      <c r="P2857" t="s">
        <v>1401</v>
      </c>
      <c r="Q2857" t="s">
        <v>1400</v>
      </c>
      <c r="R2857" t="s">
        <v>1404</v>
      </c>
      <c r="S2857">
        <v>-1</v>
      </c>
      <c r="T2857" t="s">
        <v>105</v>
      </c>
      <c r="U2857">
        <v>9</v>
      </c>
      <c r="V2857">
        <v>9</v>
      </c>
      <c r="W2857">
        <v>7.0061968999999999</v>
      </c>
      <c r="X2857">
        <v>0</v>
      </c>
      <c r="Y2857">
        <v>0</v>
      </c>
      <c r="Z2857">
        <v>126.87142179999999</v>
      </c>
      <c r="AA2857">
        <v>3</v>
      </c>
      <c r="AB2857">
        <v>0</v>
      </c>
      <c r="AC2857" t="s">
        <v>170</v>
      </c>
      <c r="AD2857">
        <v>9</v>
      </c>
      <c r="AE2857" t="s">
        <v>1392</v>
      </c>
      <c r="AF2857">
        <v>0</v>
      </c>
      <c r="AG2857" t="s">
        <v>310</v>
      </c>
      <c r="AH2857">
        <f>SUM((MID(Dyno_Data[[#This Row],[Team]],4,5))+(Dyno_Data[[#This Row],[Match]]/100))</f>
        <v>229.53</v>
      </c>
      <c r="AI2857" s="76">
        <f>ROUND(SUM(IF(Dyno_Data[[#This Row],[AcqCenter]]&gt;0,Dyno_Data[[#This Row],[Time]]-SUMIFS(Dyno_Data[Time],Dyno_Data[Team],Dyno_Data[[#This Row],[Team]],Dyno_Data[RecordType],"StartMatch",Dyno_Data[Match],Dyno_Data[[#This Row],[Match]]),0)*86400),0)</f>
        <v>0</v>
      </c>
    </row>
    <row r="2858" spans="1:35" x14ac:dyDescent="0.3">
      <c r="A2858">
        <v>2857</v>
      </c>
      <c r="B2858" t="s">
        <v>1302</v>
      </c>
      <c r="C2858">
        <v>53</v>
      </c>
      <c r="D2858" s="105">
        <v>45373.736095370368</v>
      </c>
      <c r="E2858" t="s">
        <v>316</v>
      </c>
      <c r="F2858" t="s">
        <v>317</v>
      </c>
      <c r="G2858">
        <v>1</v>
      </c>
      <c r="H2858" t="s">
        <v>310</v>
      </c>
      <c r="I2858">
        <v>0</v>
      </c>
      <c r="J2858">
        <v>0</v>
      </c>
      <c r="K2858">
        <v>0</v>
      </c>
      <c r="L2858" t="s">
        <v>310</v>
      </c>
      <c r="M2858" t="s">
        <v>310</v>
      </c>
      <c r="N2858">
        <v>0</v>
      </c>
      <c r="O2858" t="s">
        <v>1395</v>
      </c>
      <c r="P2858" t="s">
        <v>101</v>
      </c>
      <c r="Q2858" t="s">
        <v>1400</v>
      </c>
      <c r="R2858" t="s">
        <v>1404</v>
      </c>
      <c r="S2858">
        <v>-1</v>
      </c>
      <c r="T2858" t="s">
        <v>105</v>
      </c>
      <c r="U2858">
        <v>9</v>
      </c>
      <c r="V2858">
        <v>9</v>
      </c>
      <c r="W2858">
        <v>9.2688949999999988</v>
      </c>
      <c r="X2858">
        <v>56.917738899999996</v>
      </c>
      <c r="Y2858">
        <v>17.408561799999998</v>
      </c>
      <c r="Z2858">
        <v>51.029434299999998</v>
      </c>
      <c r="AA2858">
        <v>0</v>
      </c>
      <c r="AB2858">
        <v>0</v>
      </c>
      <c r="AC2858" t="s">
        <v>174</v>
      </c>
      <c r="AD2858">
        <v>9</v>
      </c>
      <c r="AE2858" t="s">
        <v>1416</v>
      </c>
      <c r="AF2858">
        <v>20000000</v>
      </c>
      <c r="AG2858" t="s">
        <v>310</v>
      </c>
      <c r="AH2858">
        <f>SUM((MID(Dyno_Data[[#This Row],[Team]],4,5))+(Dyno_Data[[#This Row],[Match]]/100))</f>
        <v>2095.5300000000002</v>
      </c>
      <c r="AI2858" s="76">
        <f>ROUND(SUM(IF(Dyno_Data[[#This Row],[AcqCenter]]&gt;0,Dyno_Data[[#This Row],[Time]]-SUMIFS(Dyno_Data[Time],Dyno_Data[Team],Dyno_Data[[#This Row],[Team]],Dyno_Data[RecordType],"StartMatch",Dyno_Data[Match],Dyno_Data[[#This Row],[Match]]),0)*86400),0)</f>
        <v>0</v>
      </c>
    </row>
    <row r="2859" spans="1:35" x14ac:dyDescent="0.3">
      <c r="A2859">
        <v>2863</v>
      </c>
      <c r="B2859" t="s">
        <v>1298</v>
      </c>
      <c r="C2859">
        <v>54</v>
      </c>
      <c r="D2859" s="105">
        <v>45373.738749155091</v>
      </c>
      <c r="E2859" t="s">
        <v>308</v>
      </c>
      <c r="F2859" t="s">
        <v>309</v>
      </c>
      <c r="G2859">
        <v>0</v>
      </c>
      <c r="H2859" t="s">
        <v>310</v>
      </c>
      <c r="I2859">
        <v>0</v>
      </c>
      <c r="J2859">
        <v>0</v>
      </c>
      <c r="K2859">
        <v>0</v>
      </c>
      <c r="L2859" t="s">
        <v>310</v>
      </c>
      <c r="M2859" t="s">
        <v>310</v>
      </c>
      <c r="N2859">
        <v>0</v>
      </c>
      <c r="O2859" t="s">
        <v>1393</v>
      </c>
      <c r="P2859" t="s">
        <v>310</v>
      </c>
      <c r="Q2859" t="s">
        <v>310</v>
      </c>
      <c r="R2859" t="s">
        <v>310</v>
      </c>
      <c r="S2859">
        <v>9</v>
      </c>
      <c r="T2859" t="s">
        <v>310</v>
      </c>
      <c r="U2859">
        <v>9</v>
      </c>
      <c r="V2859">
        <v>9</v>
      </c>
      <c r="W2859">
        <v>0</v>
      </c>
      <c r="X2859">
        <v>0</v>
      </c>
      <c r="Y2859">
        <v>0</v>
      </c>
      <c r="Z2859">
        <v>0</v>
      </c>
      <c r="AA2859">
        <v>9</v>
      </c>
      <c r="AB2859">
        <v>9</v>
      </c>
      <c r="AC2859" t="s">
        <v>310</v>
      </c>
      <c r="AD2859">
        <v>9</v>
      </c>
      <c r="AE2859" t="s">
        <v>1387</v>
      </c>
      <c r="AF2859">
        <v>0</v>
      </c>
      <c r="AG2859" t="s">
        <v>310</v>
      </c>
      <c r="AH2859">
        <f>SUM((MID(Dyno_Data[[#This Row],[Team]],4,5))+(Dyno_Data[[#This Row],[Match]]/100))</f>
        <v>9624.5400000000009</v>
      </c>
      <c r="AI2859" s="76">
        <f>ROUND(SUM(IF(Dyno_Data[[#This Row],[AcqCenter]]&gt;0,Dyno_Data[[#This Row],[Time]]-SUMIFS(Dyno_Data[Time],Dyno_Data[Team],Dyno_Data[[#This Row],[Team]],Dyno_Data[RecordType],"StartMatch",Dyno_Data[Match],Dyno_Data[[#This Row],[Match]]),0)*86400),0)</f>
        <v>0</v>
      </c>
    </row>
    <row r="2860" spans="1:35" x14ac:dyDescent="0.3">
      <c r="A2860">
        <v>2865</v>
      </c>
      <c r="B2860" t="s">
        <v>365</v>
      </c>
      <c r="C2860">
        <v>54</v>
      </c>
      <c r="D2860" s="105">
        <v>45373.738757951389</v>
      </c>
      <c r="E2860" t="s">
        <v>308</v>
      </c>
      <c r="F2860" t="s">
        <v>309</v>
      </c>
      <c r="G2860">
        <v>0</v>
      </c>
      <c r="H2860" t="s">
        <v>310</v>
      </c>
      <c r="I2860">
        <v>0</v>
      </c>
      <c r="J2860">
        <v>0</v>
      </c>
      <c r="K2860">
        <v>0</v>
      </c>
      <c r="L2860" t="s">
        <v>310</v>
      </c>
      <c r="M2860" t="s">
        <v>310</v>
      </c>
      <c r="N2860">
        <v>0</v>
      </c>
      <c r="O2860" t="s">
        <v>1391</v>
      </c>
      <c r="P2860" t="s">
        <v>310</v>
      </c>
      <c r="Q2860" t="s">
        <v>310</v>
      </c>
      <c r="R2860" t="s">
        <v>310</v>
      </c>
      <c r="S2860">
        <v>9</v>
      </c>
      <c r="T2860" t="s">
        <v>310</v>
      </c>
      <c r="U2860">
        <v>9</v>
      </c>
      <c r="V2860">
        <v>9</v>
      </c>
      <c r="W2860">
        <v>0</v>
      </c>
      <c r="X2860">
        <v>0</v>
      </c>
      <c r="Y2860">
        <v>0</v>
      </c>
      <c r="Z2860">
        <v>0</v>
      </c>
      <c r="AA2860">
        <v>9</v>
      </c>
      <c r="AB2860">
        <v>9</v>
      </c>
      <c r="AC2860" t="s">
        <v>310</v>
      </c>
      <c r="AD2860">
        <v>9</v>
      </c>
      <c r="AE2860" t="s">
        <v>1418</v>
      </c>
      <c r="AF2860">
        <v>20000000</v>
      </c>
      <c r="AG2860" t="s">
        <v>310</v>
      </c>
      <c r="AH2860">
        <f>SUM((MID(Dyno_Data[[#This Row],[Team]],4,5))+(Dyno_Data[[#This Row],[Match]]/100))</f>
        <v>3171.54</v>
      </c>
      <c r="AI2860" s="76">
        <f>ROUND(SUM(IF(Dyno_Data[[#This Row],[AcqCenter]]&gt;0,Dyno_Data[[#This Row],[Time]]-SUMIFS(Dyno_Data[Time],Dyno_Data[Team],Dyno_Data[[#This Row],[Team]],Dyno_Data[RecordType],"StartMatch",Dyno_Data[Match],Dyno_Data[[#This Row],[Match]]),0)*86400),0)</f>
        <v>0</v>
      </c>
    </row>
    <row r="2861" spans="1:35" x14ac:dyDescent="0.3">
      <c r="A2861">
        <v>2867</v>
      </c>
      <c r="B2861" t="s">
        <v>1283</v>
      </c>
      <c r="C2861">
        <v>54</v>
      </c>
      <c r="D2861" s="105">
        <v>45373.738773761572</v>
      </c>
      <c r="E2861" t="s">
        <v>308</v>
      </c>
      <c r="F2861" t="s">
        <v>309</v>
      </c>
      <c r="G2861">
        <v>0</v>
      </c>
      <c r="H2861" t="s">
        <v>310</v>
      </c>
      <c r="I2861">
        <v>0</v>
      </c>
      <c r="J2861">
        <v>0</v>
      </c>
      <c r="K2861">
        <v>0</v>
      </c>
      <c r="L2861" t="s">
        <v>310</v>
      </c>
      <c r="M2861" t="s">
        <v>310</v>
      </c>
      <c r="N2861">
        <v>0</v>
      </c>
      <c r="O2861" t="s">
        <v>311</v>
      </c>
      <c r="P2861" t="s">
        <v>310</v>
      </c>
      <c r="Q2861" t="s">
        <v>310</v>
      </c>
      <c r="R2861" t="s">
        <v>310</v>
      </c>
      <c r="S2861">
        <v>9</v>
      </c>
      <c r="T2861" t="s">
        <v>310</v>
      </c>
      <c r="U2861">
        <v>9</v>
      </c>
      <c r="V2861">
        <v>9</v>
      </c>
      <c r="W2861">
        <v>0</v>
      </c>
      <c r="X2861">
        <v>0</v>
      </c>
      <c r="Y2861">
        <v>0</v>
      </c>
      <c r="Z2861">
        <v>0</v>
      </c>
      <c r="AA2861">
        <v>9</v>
      </c>
      <c r="AB2861">
        <v>9</v>
      </c>
      <c r="AC2861" t="s">
        <v>310</v>
      </c>
      <c r="AD2861">
        <v>9</v>
      </c>
      <c r="AE2861" t="s">
        <v>1388</v>
      </c>
      <c r="AF2861">
        <v>0</v>
      </c>
      <c r="AG2861" t="s">
        <v>310</v>
      </c>
      <c r="AH2861">
        <f>SUM((MID(Dyno_Data[[#This Row],[Team]],4,5))+(Dyno_Data[[#This Row],[Match]]/100))</f>
        <v>1601.54</v>
      </c>
      <c r="AI2861" s="76">
        <f>ROUND(SUM(IF(Dyno_Data[[#This Row],[AcqCenter]]&gt;0,Dyno_Data[[#This Row],[Time]]-SUMIFS(Dyno_Data[Time],Dyno_Data[Team],Dyno_Data[[#This Row],[Team]],Dyno_Data[RecordType],"StartMatch",Dyno_Data[Match],Dyno_Data[[#This Row],[Match]]),0)*86400),0)</f>
        <v>0</v>
      </c>
    </row>
    <row r="2862" spans="1:35" x14ac:dyDescent="0.3">
      <c r="A2862">
        <v>2869</v>
      </c>
      <c r="B2862" t="s">
        <v>371</v>
      </c>
      <c r="C2862">
        <v>54</v>
      </c>
      <c r="D2862" s="105">
        <v>45373.73877596065</v>
      </c>
      <c r="E2862" t="s">
        <v>308</v>
      </c>
      <c r="F2862" t="s">
        <v>309</v>
      </c>
      <c r="G2862">
        <v>0</v>
      </c>
      <c r="H2862" t="s">
        <v>310</v>
      </c>
      <c r="I2862">
        <v>0</v>
      </c>
      <c r="J2862">
        <v>0</v>
      </c>
      <c r="K2862">
        <v>0</v>
      </c>
      <c r="L2862" t="s">
        <v>310</v>
      </c>
      <c r="M2862" t="s">
        <v>310</v>
      </c>
      <c r="N2862">
        <v>0</v>
      </c>
      <c r="O2862" t="s">
        <v>1395</v>
      </c>
      <c r="P2862" t="s">
        <v>310</v>
      </c>
      <c r="Q2862" t="s">
        <v>310</v>
      </c>
      <c r="R2862" t="s">
        <v>310</v>
      </c>
      <c r="S2862">
        <v>9</v>
      </c>
      <c r="T2862" t="s">
        <v>310</v>
      </c>
      <c r="U2862">
        <v>9</v>
      </c>
      <c r="V2862">
        <v>9</v>
      </c>
      <c r="W2862">
        <v>0</v>
      </c>
      <c r="X2862">
        <v>0</v>
      </c>
      <c r="Y2862">
        <v>0</v>
      </c>
      <c r="Z2862">
        <v>0</v>
      </c>
      <c r="AA2862">
        <v>9</v>
      </c>
      <c r="AB2862">
        <v>9</v>
      </c>
      <c r="AC2862" t="s">
        <v>310</v>
      </c>
      <c r="AD2862">
        <v>9</v>
      </c>
      <c r="AE2862" t="s">
        <v>1416</v>
      </c>
      <c r="AF2862">
        <v>0</v>
      </c>
      <c r="AG2862" t="s">
        <v>310</v>
      </c>
      <c r="AH2862">
        <f>SUM((MID(Dyno_Data[[#This Row],[Team]],4,5))+(Dyno_Data[[#This Row],[Match]]/100))</f>
        <v>6969.54</v>
      </c>
      <c r="AI2862" s="76">
        <f>ROUND(SUM(IF(Dyno_Data[[#This Row],[AcqCenter]]&gt;0,Dyno_Data[[#This Row],[Time]]-SUMIFS(Dyno_Data[Time],Dyno_Data[Team],Dyno_Data[[#This Row],[Team]],Dyno_Data[RecordType],"StartMatch",Dyno_Data[Match],Dyno_Data[[#This Row],[Match]]),0)*86400),0)</f>
        <v>0</v>
      </c>
    </row>
    <row r="2863" spans="1:35" x14ac:dyDescent="0.3">
      <c r="A2863">
        <v>2871</v>
      </c>
      <c r="B2863" t="s">
        <v>369</v>
      </c>
      <c r="C2863">
        <v>54</v>
      </c>
      <c r="D2863" s="105">
        <v>45373.738781712964</v>
      </c>
      <c r="E2863" t="s">
        <v>308</v>
      </c>
      <c r="F2863" t="s">
        <v>309</v>
      </c>
      <c r="G2863">
        <v>0</v>
      </c>
      <c r="H2863" t="s">
        <v>310</v>
      </c>
      <c r="I2863">
        <v>0</v>
      </c>
      <c r="J2863">
        <v>0</v>
      </c>
      <c r="K2863">
        <v>0</v>
      </c>
      <c r="L2863" t="s">
        <v>310</v>
      </c>
      <c r="M2863" t="s">
        <v>310</v>
      </c>
      <c r="N2863">
        <v>0</v>
      </c>
      <c r="O2863" t="s">
        <v>319</v>
      </c>
      <c r="P2863" t="s">
        <v>310</v>
      </c>
      <c r="Q2863" t="s">
        <v>310</v>
      </c>
      <c r="R2863" t="s">
        <v>310</v>
      </c>
      <c r="S2863">
        <v>9</v>
      </c>
      <c r="T2863" t="s">
        <v>310</v>
      </c>
      <c r="U2863">
        <v>9</v>
      </c>
      <c r="V2863">
        <v>9</v>
      </c>
      <c r="W2863">
        <v>0</v>
      </c>
      <c r="X2863">
        <v>0</v>
      </c>
      <c r="Y2863">
        <v>0</v>
      </c>
      <c r="Z2863">
        <v>0</v>
      </c>
      <c r="AA2863">
        <v>9</v>
      </c>
      <c r="AB2863">
        <v>9</v>
      </c>
      <c r="AC2863" t="s">
        <v>310</v>
      </c>
      <c r="AD2863">
        <v>9</v>
      </c>
      <c r="AE2863" t="s">
        <v>1394</v>
      </c>
      <c r="AF2863">
        <v>0</v>
      </c>
      <c r="AG2863" t="s">
        <v>310</v>
      </c>
      <c r="AH2863">
        <f>SUM((MID(Dyno_Data[[#This Row],[Team]],4,5))+(Dyno_Data[[#This Row],[Match]]/100))</f>
        <v>6463.54</v>
      </c>
      <c r="AI2863" s="76">
        <f>ROUND(SUM(IF(Dyno_Data[[#This Row],[AcqCenter]]&gt;0,Dyno_Data[[#This Row],[Time]]-SUMIFS(Dyno_Data[Time],Dyno_Data[Team],Dyno_Data[[#This Row],[Team]],Dyno_Data[RecordType],"StartMatch",Dyno_Data[Match],Dyno_Data[[#This Row],[Match]]),0)*86400),0)</f>
        <v>0</v>
      </c>
    </row>
    <row r="2864" spans="1:35" x14ac:dyDescent="0.3">
      <c r="A2864">
        <v>2873</v>
      </c>
      <c r="B2864" t="s">
        <v>1279</v>
      </c>
      <c r="C2864">
        <v>54</v>
      </c>
      <c r="D2864" s="105">
        <v>45373.738785300928</v>
      </c>
      <c r="E2864" t="s">
        <v>308</v>
      </c>
      <c r="F2864" t="s">
        <v>309</v>
      </c>
      <c r="G2864">
        <v>0</v>
      </c>
      <c r="H2864" t="s">
        <v>310</v>
      </c>
      <c r="I2864">
        <v>0</v>
      </c>
      <c r="J2864">
        <v>0</v>
      </c>
      <c r="K2864">
        <v>0</v>
      </c>
      <c r="L2864" t="s">
        <v>310</v>
      </c>
      <c r="M2864" t="s">
        <v>310</v>
      </c>
      <c r="N2864">
        <v>0</v>
      </c>
      <c r="O2864" t="s">
        <v>1389</v>
      </c>
      <c r="P2864" t="s">
        <v>310</v>
      </c>
      <c r="Q2864" t="s">
        <v>310</v>
      </c>
      <c r="R2864" t="s">
        <v>310</v>
      </c>
      <c r="S2864">
        <v>9</v>
      </c>
      <c r="T2864" t="s">
        <v>310</v>
      </c>
      <c r="U2864">
        <v>9</v>
      </c>
      <c r="V2864">
        <v>9</v>
      </c>
      <c r="W2864">
        <v>0</v>
      </c>
      <c r="X2864">
        <v>0</v>
      </c>
      <c r="Y2864">
        <v>0</v>
      </c>
      <c r="Z2864">
        <v>0</v>
      </c>
      <c r="AA2864">
        <v>9</v>
      </c>
      <c r="AB2864">
        <v>9</v>
      </c>
      <c r="AC2864" t="s">
        <v>310</v>
      </c>
      <c r="AD2864">
        <v>9</v>
      </c>
      <c r="AE2864" t="s">
        <v>1392</v>
      </c>
      <c r="AF2864">
        <v>0</v>
      </c>
      <c r="AG2864" t="s">
        <v>310</v>
      </c>
      <c r="AH2864">
        <f>SUM((MID(Dyno_Data[[#This Row],[Team]],4,5))+(Dyno_Data[[#This Row],[Match]]/100))</f>
        <v>5149.54</v>
      </c>
      <c r="AI2864" s="76">
        <f>ROUND(SUM(IF(Dyno_Data[[#This Row],[AcqCenter]]&gt;0,Dyno_Data[[#This Row],[Time]]-SUMIFS(Dyno_Data[Time],Dyno_Data[Team],Dyno_Data[[#This Row],[Team]],Dyno_Data[RecordType],"StartMatch",Dyno_Data[Match],Dyno_Data[[#This Row],[Match]]),0)*86400),0)</f>
        <v>0</v>
      </c>
    </row>
    <row r="2865" spans="1:35" x14ac:dyDescent="0.3">
      <c r="A2865">
        <v>2858</v>
      </c>
      <c r="B2865" t="s">
        <v>1298</v>
      </c>
      <c r="C2865">
        <v>54</v>
      </c>
      <c r="D2865" s="105">
        <v>45373.73879826389</v>
      </c>
      <c r="E2865" t="s">
        <v>312</v>
      </c>
      <c r="F2865" t="s">
        <v>309</v>
      </c>
      <c r="G2865">
        <v>0</v>
      </c>
      <c r="H2865" t="s">
        <v>1397</v>
      </c>
      <c r="I2865">
        <v>0</v>
      </c>
      <c r="J2865">
        <v>0</v>
      </c>
      <c r="K2865">
        <v>0</v>
      </c>
      <c r="L2865" t="s">
        <v>240</v>
      </c>
      <c r="M2865" t="s">
        <v>1398</v>
      </c>
      <c r="N2865">
        <v>0</v>
      </c>
      <c r="O2865" t="s">
        <v>1393</v>
      </c>
      <c r="P2865" t="s">
        <v>310</v>
      </c>
      <c r="Q2865" t="s">
        <v>310</v>
      </c>
      <c r="R2865" t="s">
        <v>310</v>
      </c>
      <c r="S2865">
        <v>9</v>
      </c>
      <c r="T2865" t="s">
        <v>310</v>
      </c>
      <c r="U2865">
        <v>9</v>
      </c>
      <c r="V2865">
        <v>9</v>
      </c>
      <c r="W2865">
        <v>0</v>
      </c>
      <c r="X2865">
        <v>0</v>
      </c>
      <c r="Y2865">
        <v>0</v>
      </c>
      <c r="Z2865">
        <v>0</v>
      </c>
      <c r="AA2865">
        <v>9</v>
      </c>
      <c r="AB2865">
        <v>9</v>
      </c>
      <c r="AC2865" t="s">
        <v>310</v>
      </c>
      <c r="AD2865">
        <v>9</v>
      </c>
      <c r="AE2865" t="s">
        <v>1387</v>
      </c>
      <c r="AF2865">
        <v>0</v>
      </c>
      <c r="AG2865" t="s">
        <v>310</v>
      </c>
      <c r="AH2865">
        <f>SUM((MID(Dyno_Data[[#This Row],[Team]],4,5))+(Dyno_Data[[#This Row],[Match]]/100))</f>
        <v>9624.5400000000009</v>
      </c>
      <c r="AI2865" s="76">
        <f>ROUND(SUM(IF(Dyno_Data[[#This Row],[AcqCenter]]&gt;0,Dyno_Data[[#This Row],[Time]]-SUMIFS(Dyno_Data[Time],Dyno_Data[Team],Dyno_Data[[#This Row],[Team]],Dyno_Data[RecordType],"StartMatch",Dyno_Data[Match],Dyno_Data[[#This Row],[Match]]),0)*86400),0)</f>
        <v>0</v>
      </c>
    </row>
    <row r="2866" spans="1:35" x14ac:dyDescent="0.3">
      <c r="A2866">
        <v>2859</v>
      </c>
      <c r="B2866" t="s">
        <v>365</v>
      </c>
      <c r="C2866">
        <v>54</v>
      </c>
      <c r="D2866" s="105">
        <v>45373.73880540509</v>
      </c>
      <c r="E2866" t="s">
        <v>312</v>
      </c>
      <c r="F2866" t="s">
        <v>309</v>
      </c>
      <c r="G2866">
        <v>0</v>
      </c>
      <c r="H2866" t="s">
        <v>1397</v>
      </c>
      <c r="I2866">
        <v>0</v>
      </c>
      <c r="J2866">
        <v>0</v>
      </c>
      <c r="K2866">
        <v>0</v>
      </c>
      <c r="L2866" t="s">
        <v>240</v>
      </c>
      <c r="M2866" t="s">
        <v>1398</v>
      </c>
      <c r="N2866">
        <v>0</v>
      </c>
      <c r="O2866" t="s">
        <v>1391</v>
      </c>
      <c r="P2866" t="s">
        <v>310</v>
      </c>
      <c r="Q2866" t="s">
        <v>310</v>
      </c>
      <c r="R2866" t="s">
        <v>310</v>
      </c>
      <c r="S2866">
        <v>9</v>
      </c>
      <c r="T2866" t="s">
        <v>310</v>
      </c>
      <c r="U2866">
        <v>9</v>
      </c>
      <c r="V2866">
        <v>9</v>
      </c>
      <c r="W2866">
        <v>0</v>
      </c>
      <c r="X2866">
        <v>0</v>
      </c>
      <c r="Y2866">
        <v>0</v>
      </c>
      <c r="Z2866">
        <v>0</v>
      </c>
      <c r="AA2866">
        <v>9</v>
      </c>
      <c r="AB2866">
        <v>9</v>
      </c>
      <c r="AC2866" t="s">
        <v>310</v>
      </c>
      <c r="AD2866">
        <v>9</v>
      </c>
      <c r="AE2866" t="s">
        <v>1418</v>
      </c>
      <c r="AF2866">
        <v>0</v>
      </c>
      <c r="AG2866" t="s">
        <v>310</v>
      </c>
      <c r="AH2866">
        <f>SUM((MID(Dyno_Data[[#This Row],[Team]],4,5))+(Dyno_Data[[#This Row],[Match]]/100))</f>
        <v>3171.54</v>
      </c>
      <c r="AI2866" s="76">
        <f>ROUND(SUM(IF(Dyno_Data[[#This Row],[AcqCenter]]&gt;0,Dyno_Data[[#This Row],[Time]]-SUMIFS(Dyno_Data[Time],Dyno_Data[Team],Dyno_Data[[#This Row],[Team]],Dyno_Data[RecordType],"StartMatch",Dyno_Data[Match],Dyno_Data[[#This Row],[Match]]),0)*86400),0)</f>
        <v>0</v>
      </c>
    </row>
    <row r="2867" spans="1:35" x14ac:dyDescent="0.3">
      <c r="A2867">
        <v>2860</v>
      </c>
      <c r="B2867" t="s">
        <v>371</v>
      </c>
      <c r="C2867">
        <v>54</v>
      </c>
      <c r="D2867" s="105">
        <v>45373.738813344906</v>
      </c>
      <c r="E2867" t="s">
        <v>312</v>
      </c>
      <c r="F2867" t="s">
        <v>309</v>
      </c>
      <c r="G2867">
        <v>0</v>
      </c>
      <c r="H2867" t="s">
        <v>1397</v>
      </c>
      <c r="I2867">
        <v>0</v>
      </c>
      <c r="J2867">
        <v>0</v>
      </c>
      <c r="K2867">
        <v>0</v>
      </c>
      <c r="L2867" t="s">
        <v>240</v>
      </c>
      <c r="M2867" t="s">
        <v>1398</v>
      </c>
      <c r="N2867">
        <v>0</v>
      </c>
      <c r="O2867" t="s">
        <v>1395</v>
      </c>
      <c r="P2867" t="s">
        <v>310</v>
      </c>
      <c r="Q2867" t="s">
        <v>310</v>
      </c>
      <c r="R2867" t="s">
        <v>310</v>
      </c>
      <c r="S2867">
        <v>9</v>
      </c>
      <c r="T2867" t="s">
        <v>310</v>
      </c>
      <c r="U2867">
        <v>9</v>
      </c>
      <c r="V2867">
        <v>9</v>
      </c>
      <c r="W2867">
        <v>0</v>
      </c>
      <c r="X2867">
        <v>0</v>
      </c>
      <c r="Y2867">
        <v>0</v>
      </c>
      <c r="Z2867">
        <v>0</v>
      </c>
      <c r="AA2867">
        <v>9</v>
      </c>
      <c r="AB2867">
        <v>9</v>
      </c>
      <c r="AC2867" t="s">
        <v>310</v>
      </c>
      <c r="AD2867">
        <v>9</v>
      </c>
      <c r="AE2867" t="s">
        <v>1416</v>
      </c>
      <c r="AF2867">
        <v>0</v>
      </c>
      <c r="AG2867" t="s">
        <v>310</v>
      </c>
      <c r="AH2867">
        <f>SUM((MID(Dyno_Data[[#This Row],[Team]],4,5))+(Dyno_Data[[#This Row],[Match]]/100))</f>
        <v>6969.54</v>
      </c>
      <c r="AI2867" s="76">
        <f>ROUND(SUM(IF(Dyno_Data[[#This Row],[AcqCenter]]&gt;0,Dyno_Data[[#This Row],[Time]]-SUMIFS(Dyno_Data[Time],Dyno_Data[Team],Dyno_Data[[#This Row],[Team]],Dyno_Data[RecordType],"StartMatch",Dyno_Data[Match],Dyno_Data[[#This Row],[Match]]),0)*86400),0)</f>
        <v>0</v>
      </c>
    </row>
    <row r="2868" spans="1:35" x14ac:dyDescent="0.3">
      <c r="A2868">
        <v>2861</v>
      </c>
      <c r="B2868" t="s">
        <v>365</v>
      </c>
      <c r="C2868">
        <v>54</v>
      </c>
      <c r="D2868" s="105">
        <v>45373.738852546296</v>
      </c>
      <c r="E2868" t="s">
        <v>312</v>
      </c>
      <c r="F2868" t="s">
        <v>309</v>
      </c>
      <c r="G2868">
        <v>0</v>
      </c>
      <c r="H2868" t="s">
        <v>315</v>
      </c>
      <c r="I2868">
        <v>0</v>
      </c>
      <c r="J2868">
        <v>0</v>
      </c>
      <c r="K2868">
        <v>0</v>
      </c>
      <c r="L2868" t="s">
        <v>240</v>
      </c>
      <c r="M2868" t="s">
        <v>1398</v>
      </c>
      <c r="N2868">
        <v>0</v>
      </c>
      <c r="O2868" t="s">
        <v>1391</v>
      </c>
      <c r="P2868" t="s">
        <v>310</v>
      </c>
      <c r="Q2868" t="s">
        <v>310</v>
      </c>
      <c r="R2868" t="s">
        <v>310</v>
      </c>
      <c r="S2868">
        <v>9</v>
      </c>
      <c r="T2868" t="s">
        <v>310</v>
      </c>
      <c r="U2868">
        <v>9</v>
      </c>
      <c r="V2868">
        <v>9</v>
      </c>
      <c r="W2868">
        <v>0</v>
      </c>
      <c r="X2868">
        <v>0</v>
      </c>
      <c r="Y2868">
        <v>0</v>
      </c>
      <c r="Z2868">
        <v>0</v>
      </c>
      <c r="AA2868">
        <v>9</v>
      </c>
      <c r="AB2868">
        <v>9</v>
      </c>
      <c r="AC2868" t="s">
        <v>310</v>
      </c>
      <c r="AD2868">
        <v>9</v>
      </c>
      <c r="AE2868" t="s">
        <v>1418</v>
      </c>
      <c r="AF2868">
        <v>10000000</v>
      </c>
      <c r="AG2868" t="s">
        <v>310</v>
      </c>
      <c r="AH2868">
        <f>SUM((MID(Dyno_Data[[#This Row],[Team]],4,5))+(Dyno_Data[[#This Row],[Match]]/100))</f>
        <v>3171.54</v>
      </c>
      <c r="AI2868" s="76">
        <f>ROUND(SUM(IF(Dyno_Data[[#This Row],[AcqCenter]]&gt;0,Dyno_Data[[#This Row],[Time]]-SUMIFS(Dyno_Data[Time],Dyno_Data[Team],Dyno_Data[[#This Row],[Team]],Dyno_Data[RecordType],"StartMatch",Dyno_Data[Match],Dyno_Data[[#This Row],[Match]]),0)*86400),0)</f>
        <v>0</v>
      </c>
    </row>
    <row r="2869" spans="1:35" x14ac:dyDescent="0.3">
      <c r="A2869">
        <v>2862</v>
      </c>
      <c r="B2869" t="s">
        <v>365</v>
      </c>
      <c r="C2869">
        <v>54</v>
      </c>
      <c r="D2869" s="105">
        <v>45373.738943055556</v>
      </c>
      <c r="E2869" t="s">
        <v>312</v>
      </c>
      <c r="F2869" t="s">
        <v>309</v>
      </c>
      <c r="G2869">
        <v>0</v>
      </c>
      <c r="H2869" t="s">
        <v>315</v>
      </c>
      <c r="I2869">
        <v>0</v>
      </c>
      <c r="J2869">
        <v>0</v>
      </c>
      <c r="K2869">
        <v>0</v>
      </c>
      <c r="L2869" t="s">
        <v>240</v>
      </c>
      <c r="M2869" t="s">
        <v>1398</v>
      </c>
      <c r="N2869">
        <v>1</v>
      </c>
      <c r="O2869" t="s">
        <v>1391</v>
      </c>
      <c r="P2869" t="s">
        <v>310</v>
      </c>
      <c r="Q2869" t="s">
        <v>310</v>
      </c>
      <c r="R2869" t="s">
        <v>310</v>
      </c>
      <c r="S2869">
        <v>9</v>
      </c>
      <c r="T2869" t="s">
        <v>310</v>
      </c>
      <c r="U2869">
        <v>9</v>
      </c>
      <c r="V2869">
        <v>9</v>
      </c>
      <c r="W2869">
        <v>0</v>
      </c>
      <c r="X2869">
        <v>0</v>
      </c>
      <c r="Y2869">
        <v>0</v>
      </c>
      <c r="Z2869">
        <v>0</v>
      </c>
      <c r="AA2869">
        <v>9</v>
      </c>
      <c r="AB2869">
        <v>9</v>
      </c>
      <c r="AC2869" t="s">
        <v>310</v>
      </c>
      <c r="AD2869">
        <v>9</v>
      </c>
      <c r="AE2869" t="s">
        <v>1418</v>
      </c>
      <c r="AF2869">
        <v>20000000</v>
      </c>
      <c r="AG2869" t="s">
        <v>310</v>
      </c>
      <c r="AH2869">
        <f>SUM((MID(Dyno_Data[[#This Row],[Team]],4,5))+(Dyno_Data[[#This Row],[Match]]/100))</f>
        <v>3171.54</v>
      </c>
      <c r="AI2869" s="76">
        <f>ROUND(SUM(IF(Dyno_Data[[#This Row],[AcqCenter]]&gt;0,Dyno_Data[[#This Row],[Time]]-SUMIFS(Dyno_Data[Time],Dyno_Data[Team],Dyno_Data[[#This Row],[Team]],Dyno_Data[RecordType],"StartMatch",Dyno_Data[Match],Dyno_Data[[#This Row],[Match]]),0)*86400),0)</f>
        <v>0</v>
      </c>
    </row>
    <row r="2870" spans="1:35" x14ac:dyDescent="0.3">
      <c r="A2870">
        <v>2864</v>
      </c>
      <c r="B2870" t="s">
        <v>1298</v>
      </c>
      <c r="C2870">
        <v>54</v>
      </c>
      <c r="D2870" s="105">
        <v>45373.738957488429</v>
      </c>
      <c r="E2870" t="s">
        <v>314</v>
      </c>
      <c r="F2870" t="s">
        <v>309</v>
      </c>
      <c r="G2870">
        <v>1</v>
      </c>
      <c r="H2870" t="s">
        <v>310</v>
      </c>
      <c r="I2870">
        <v>0</v>
      </c>
      <c r="J2870">
        <v>0</v>
      </c>
      <c r="K2870">
        <v>0</v>
      </c>
      <c r="L2870" t="s">
        <v>310</v>
      </c>
      <c r="M2870" t="s">
        <v>310</v>
      </c>
      <c r="N2870">
        <v>0</v>
      </c>
      <c r="O2870" t="s">
        <v>1393</v>
      </c>
      <c r="P2870" t="s">
        <v>240</v>
      </c>
      <c r="Q2870" t="s">
        <v>1399</v>
      </c>
      <c r="R2870" t="s">
        <v>310</v>
      </c>
      <c r="S2870">
        <v>9</v>
      </c>
      <c r="T2870" t="s">
        <v>310</v>
      </c>
      <c r="U2870">
        <v>9</v>
      </c>
      <c r="V2870">
        <v>9</v>
      </c>
      <c r="W2870">
        <v>0</v>
      </c>
      <c r="X2870">
        <v>0</v>
      </c>
      <c r="Y2870">
        <v>0</v>
      </c>
      <c r="Z2870">
        <v>0</v>
      </c>
      <c r="AA2870">
        <v>9</v>
      </c>
      <c r="AB2870">
        <v>9</v>
      </c>
      <c r="AC2870" t="s">
        <v>310</v>
      </c>
      <c r="AD2870">
        <v>9</v>
      </c>
      <c r="AE2870" t="s">
        <v>1387</v>
      </c>
      <c r="AF2870">
        <v>0</v>
      </c>
      <c r="AG2870" t="s">
        <v>310</v>
      </c>
      <c r="AH2870">
        <f>SUM((MID(Dyno_Data[[#This Row],[Team]],4,5))+(Dyno_Data[[#This Row],[Match]]/100))</f>
        <v>9624.5400000000009</v>
      </c>
      <c r="AI2870" s="76">
        <f>ROUND(SUM(IF(Dyno_Data[[#This Row],[AcqCenter]]&gt;0,Dyno_Data[[#This Row],[Time]]-SUMIFS(Dyno_Data[Time],Dyno_Data[Team],Dyno_Data[[#This Row],[Team]],Dyno_Data[RecordType],"StartMatch",Dyno_Data[Match],Dyno_Data[[#This Row],[Match]]),0)*86400),0)</f>
        <v>0</v>
      </c>
    </row>
    <row r="2871" spans="1:35" x14ac:dyDescent="0.3">
      <c r="A2871">
        <v>2866</v>
      </c>
      <c r="B2871" t="s">
        <v>365</v>
      </c>
      <c r="C2871">
        <v>54</v>
      </c>
      <c r="D2871" s="105">
        <v>45373.73896628472</v>
      </c>
      <c r="E2871" t="s">
        <v>314</v>
      </c>
      <c r="F2871" t="s">
        <v>309</v>
      </c>
      <c r="G2871">
        <v>1</v>
      </c>
      <c r="H2871" t="s">
        <v>310</v>
      </c>
      <c r="I2871">
        <v>0</v>
      </c>
      <c r="J2871">
        <v>0</v>
      </c>
      <c r="K2871">
        <v>0</v>
      </c>
      <c r="L2871" t="s">
        <v>310</v>
      </c>
      <c r="M2871" t="s">
        <v>310</v>
      </c>
      <c r="N2871">
        <v>0</v>
      </c>
      <c r="O2871" t="s">
        <v>1391</v>
      </c>
      <c r="P2871" t="s">
        <v>240</v>
      </c>
      <c r="Q2871" t="s">
        <v>1399</v>
      </c>
      <c r="R2871" t="s">
        <v>310</v>
      </c>
      <c r="S2871">
        <v>9</v>
      </c>
      <c r="T2871" t="s">
        <v>310</v>
      </c>
      <c r="U2871">
        <v>9</v>
      </c>
      <c r="V2871">
        <v>9</v>
      </c>
      <c r="W2871">
        <v>0</v>
      </c>
      <c r="X2871">
        <v>0</v>
      </c>
      <c r="Y2871">
        <v>0</v>
      </c>
      <c r="Z2871">
        <v>0</v>
      </c>
      <c r="AA2871">
        <v>9</v>
      </c>
      <c r="AB2871">
        <v>9</v>
      </c>
      <c r="AC2871" t="s">
        <v>310</v>
      </c>
      <c r="AD2871">
        <v>9</v>
      </c>
      <c r="AE2871" t="s">
        <v>1418</v>
      </c>
      <c r="AF2871">
        <v>20000000</v>
      </c>
      <c r="AG2871" t="s">
        <v>310</v>
      </c>
      <c r="AH2871">
        <f>SUM((MID(Dyno_Data[[#This Row],[Team]],4,5))+(Dyno_Data[[#This Row],[Match]]/100))</f>
        <v>3171.54</v>
      </c>
      <c r="AI2871" s="76">
        <f>ROUND(SUM(IF(Dyno_Data[[#This Row],[AcqCenter]]&gt;0,Dyno_Data[[#This Row],[Time]]-SUMIFS(Dyno_Data[Time],Dyno_Data[Team],Dyno_Data[[#This Row],[Team]],Dyno_Data[RecordType],"StartMatch",Dyno_Data[Match],Dyno_Data[[#This Row],[Match]]),0)*86400),0)</f>
        <v>0</v>
      </c>
    </row>
    <row r="2872" spans="1:35" x14ac:dyDescent="0.3">
      <c r="A2872">
        <v>2868</v>
      </c>
      <c r="B2872" t="s">
        <v>1283</v>
      </c>
      <c r="C2872">
        <v>54</v>
      </c>
      <c r="D2872" s="105">
        <v>45373.73898209491</v>
      </c>
      <c r="E2872" t="s">
        <v>314</v>
      </c>
      <c r="F2872" t="s">
        <v>309</v>
      </c>
      <c r="G2872">
        <v>1</v>
      </c>
      <c r="H2872" t="s">
        <v>310</v>
      </c>
      <c r="I2872">
        <v>0</v>
      </c>
      <c r="J2872">
        <v>0</v>
      </c>
      <c r="K2872">
        <v>0</v>
      </c>
      <c r="L2872" t="s">
        <v>310</v>
      </c>
      <c r="M2872" t="s">
        <v>310</v>
      </c>
      <c r="N2872">
        <v>0</v>
      </c>
      <c r="O2872" t="s">
        <v>311</v>
      </c>
      <c r="P2872" t="s">
        <v>1401</v>
      </c>
      <c r="Q2872" t="s">
        <v>1400</v>
      </c>
      <c r="R2872" t="s">
        <v>310</v>
      </c>
      <c r="S2872">
        <v>9</v>
      </c>
      <c r="T2872" t="s">
        <v>310</v>
      </c>
      <c r="U2872">
        <v>9</v>
      </c>
      <c r="V2872">
        <v>9</v>
      </c>
      <c r="W2872">
        <v>0</v>
      </c>
      <c r="X2872">
        <v>0</v>
      </c>
      <c r="Y2872">
        <v>0</v>
      </c>
      <c r="Z2872">
        <v>0</v>
      </c>
      <c r="AA2872">
        <v>9</v>
      </c>
      <c r="AB2872">
        <v>9</v>
      </c>
      <c r="AC2872" t="s">
        <v>310</v>
      </c>
      <c r="AD2872">
        <v>9</v>
      </c>
      <c r="AE2872" t="s">
        <v>1388</v>
      </c>
      <c r="AF2872">
        <v>0</v>
      </c>
      <c r="AG2872" t="s">
        <v>310</v>
      </c>
      <c r="AH2872">
        <f>SUM((MID(Dyno_Data[[#This Row],[Team]],4,5))+(Dyno_Data[[#This Row],[Match]]/100))</f>
        <v>1601.54</v>
      </c>
      <c r="AI2872" s="76">
        <f>ROUND(SUM(IF(Dyno_Data[[#This Row],[AcqCenter]]&gt;0,Dyno_Data[[#This Row],[Time]]-SUMIFS(Dyno_Data[Time],Dyno_Data[Team],Dyno_Data[[#This Row],[Team]],Dyno_Data[RecordType],"StartMatch",Dyno_Data[Match],Dyno_Data[[#This Row],[Match]]),0)*86400),0)</f>
        <v>0</v>
      </c>
    </row>
    <row r="2873" spans="1:35" x14ac:dyDescent="0.3">
      <c r="A2873">
        <v>2870</v>
      </c>
      <c r="B2873" t="s">
        <v>371</v>
      </c>
      <c r="C2873">
        <v>54</v>
      </c>
      <c r="D2873" s="105">
        <v>45373.738984293981</v>
      </c>
      <c r="E2873" t="s">
        <v>314</v>
      </c>
      <c r="F2873" t="s">
        <v>309</v>
      </c>
      <c r="G2873">
        <v>0</v>
      </c>
      <c r="H2873" t="s">
        <v>310</v>
      </c>
      <c r="I2873">
        <v>0</v>
      </c>
      <c r="J2873">
        <v>0</v>
      </c>
      <c r="K2873">
        <v>0</v>
      </c>
      <c r="L2873" t="s">
        <v>310</v>
      </c>
      <c r="M2873" t="s">
        <v>310</v>
      </c>
      <c r="N2873">
        <v>0</v>
      </c>
      <c r="O2873" t="s">
        <v>1395</v>
      </c>
      <c r="P2873" t="s">
        <v>1401</v>
      </c>
      <c r="Q2873" t="s">
        <v>1400</v>
      </c>
      <c r="R2873" t="s">
        <v>310</v>
      </c>
      <c r="S2873">
        <v>9</v>
      </c>
      <c r="T2873" t="s">
        <v>310</v>
      </c>
      <c r="U2873">
        <v>9</v>
      </c>
      <c r="V2873">
        <v>9</v>
      </c>
      <c r="W2873">
        <v>0</v>
      </c>
      <c r="X2873">
        <v>0</v>
      </c>
      <c r="Y2873">
        <v>0</v>
      </c>
      <c r="Z2873">
        <v>0</v>
      </c>
      <c r="AA2873">
        <v>9</v>
      </c>
      <c r="AB2873">
        <v>9</v>
      </c>
      <c r="AC2873" t="s">
        <v>310</v>
      </c>
      <c r="AD2873">
        <v>9</v>
      </c>
      <c r="AE2873" t="s">
        <v>1416</v>
      </c>
      <c r="AF2873">
        <v>0</v>
      </c>
      <c r="AG2873" t="s">
        <v>310</v>
      </c>
      <c r="AH2873">
        <f>SUM((MID(Dyno_Data[[#This Row],[Team]],4,5))+(Dyno_Data[[#This Row],[Match]]/100))</f>
        <v>6969.54</v>
      </c>
      <c r="AI2873" s="76">
        <f>ROUND(SUM(IF(Dyno_Data[[#This Row],[AcqCenter]]&gt;0,Dyno_Data[[#This Row],[Time]]-SUMIFS(Dyno_Data[Time],Dyno_Data[Team],Dyno_Data[[#This Row],[Team]],Dyno_Data[RecordType],"StartMatch",Dyno_Data[Match],Dyno_Data[[#This Row],[Match]]),0)*86400),0)</f>
        <v>0</v>
      </c>
    </row>
    <row r="2874" spans="1:35" x14ac:dyDescent="0.3">
      <c r="A2874">
        <v>2872</v>
      </c>
      <c r="B2874" t="s">
        <v>369</v>
      </c>
      <c r="C2874">
        <v>54</v>
      </c>
      <c r="D2874" s="105">
        <v>45373.738990046295</v>
      </c>
      <c r="E2874" t="s">
        <v>314</v>
      </c>
      <c r="F2874" t="s">
        <v>309</v>
      </c>
      <c r="G2874">
        <v>0</v>
      </c>
      <c r="H2874" t="s">
        <v>310</v>
      </c>
      <c r="I2874">
        <v>0</v>
      </c>
      <c r="J2874">
        <v>0</v>
      </c>
      <c r="K2874">
        <v>0</v>
      </c>
      <c r="L2874" t="s">
        <v>310</v>
      </c>
      <c r="M2874" t="s">
        <v>310</v>
      </c>
      <c r="N2874">
        <v>0</v>
      </c>
      <c r="O2874" t="s">
        <v>319</v>
      </c>
      <c r="P2874" t="s">
        <v>320</v>
      </c>
      <c r="Q2874" t="s">
        <v>1400</v>
      </c>
      <c r="R2874" t="s">
        <v>310</v>
      </c>
      <c r="S2874">
        <v>9</v>
      </c>
      <c r="T2874" t="s">
        <v>310</v>
      </c>
      <c r="U2874">
        <v>9</v>
      </c>
      <c r="V2874">
        <v>9</v>
      </c>
      <c r="W2874">
        <v>0</v>
      </c>
      <c r="X2874">
        <v>0</v>
      </c>
      <c r="Y2874">
        <v>0</v>
      </c>
      <c r="Z2874">
        <v>0</v>
      </c>
      <c r="AA2874">
        <v>9</v>
      </c>
      <c r="AB2874">
        <v>9</v>
      </c>
      <c r="AC2874" t="s">
        <v>310</v>
      </c>
      <c r="AD2874">
        <v>9</v>
      </c>
      <c r="AE2874" t="s">
        <v>1394</v>
      </c>
      <c r="AF2874">
        <v>0</v>
      </c>
      <c r="AG2874" t="s">
        <v>310</v>
      </c>
      <c r="AH2874">
        <f>SUM((MID(Dyno_Data[[#This Row],[Team]],4,5))+(Dyno_Data[[#This Row],[Match]]/100))</f>
        <v>6463.54</v>
      </c>
      <c r="AI2874" s="76">
        <f>ROUND(SUM(IF(Dyno_Data[[#This Row],[AcqCenter]]&gt;0,Dyno_Data[[#This Row],[Time]]-SUMIFS(Dyno_Data[Time],Dyno_Data[Team],Dyno_Data[[#This Row],[Team]],Dyno_Data[RecordType],"StartMatch",Dyno_Data[Match],Dyno_Data[[#This Row],[Match]]),0)*86400),0)</f>
        <v>0</v>
      </c>
    </row>
    <row r="2875" spans="1:35" x14ac:dyDescent="0.3">
      <c r="A2875">
        <v>2874</v>
      </c>
      <c r="B2875" t="s">
        <v>1279</v>
      </c>
      <c r="C2875">
        <v>54</v>
      </c>
      <c r="D2875" s="105">
        <v>45373.738993634259</v>
      </c>
      <c r="E2875" t="s">
        <v>314</v>
      </c>
      <c r="F2875" t="s">
        <v>309</v>
      </c>
      <c r="G2875">
        <v>1</v>
      </c>
      <c r="H2875" t="s">
        <v>310</v>
      </c>
      <c r="I2875">
        <v>0</v>
      </c>
      <c r="J2875">
        <v>0</v>
      </c>
      <c r="K2875">
        <v>0</v>
      </c>
      <c r="L2875" t="s">
        <v>310</v>
      </c>
      <c r="M2875" t="s">
        <v>310</v>
      </c>
      <c r="N2875">
        <v>0</v>
      </c>
      <c r="O2875" t="s">
        <v>1389</v>
      </c>
      <c r="P2875" t="s">
        <v>320</v>
      </c>
      <c r="Q2875" t="s">
        <v>1400</v>
      </c>
      <c r="R2875" t="s">
        <v>310</v>
      </c>
      <c r="S2875">
        <v>9</v>
      </c>
      <c r="T2875" t="s">
        <v>310</v>
      </c>
      <c r="U2875">
        <v>9</v>
      </c>
      <c r="V2875">
        <v>9</v>
      </c>
      <c r="W2875">
        <v>0</v>
      </c>
      <c r="X2875">
        <v>0</v>
      </c>
      <c r="Y2875">
        <v>0</v>
      </c>
      <c r="Z2875">
        <v>0</v>
      </c>
      <c r="AA2875">
        <v>9</v>
      </c>
      <c r="AB2875">
        <v>9</v>
      </c>
      <c r="AC2875" t="s">
        <v>310</v>
      </c>
      <c r="AD2875">
        <v>9</v>
      </c>
      <c r="AE2875" t="s">
        <v>1392</v>
      </c>
      <c r="AF2875">
        <v>0</v>
      </c>
      <c r="AG2875" t="s">
        <v>310</v>
      </c>
      <c r="AH2875">
        <f>SUM((MID(Dyno_Data[[#This Row],[Team]],4,5))+(Dyno_Data[[#This Row],[Match]]/100))</f>
        <v>5149.54</v>
      </c>
      <c r="AI2875" s="76">
        <f>ROUND(SUM(IF(Dyno_Data[[#This Row],[AcqCenter]]&gt;0,Dyno_Data[[#This Row],[Time]]-SUMIFS(Dyno_Data[Time],Dyno_Data[Team],Dyno_Data[[#This Row],[Team]],Dyno_Data[RecordType],"StartMatch",Dyno_Data[Match],Dyno_Data[[#This Row],[Match]]),0)*86400),0)</f>
        <v>0</v>
      </c>
    </row>
    <row r="2876" spans="1:35" x14ac:dyDescent="0.3">
      <c r="A2876">
        <v>2875</v>
      </c>
      <c r="B2876" t="s">
        <v>1298</v>
      </c>
      <c r="C2876">
        <v>54</v>
      </c>
      <c r="D2876" s="105">
        <v>45373.739035613427</v>
      </c>
      <c r="E2876" t="s">
        <v>312</v>
      </c>
      <c r="F2876" t="s">
        <v>1402</v>
      </c>
      <c r="G2876">
        <v>0</v>
      </c>
      <c r="H2876" t="s">
        <v>315</v>
      </c>
      <c r="I2876">
        <v>0</v>
      </c>
      <c r="J2876">
        <v>0</v>
      </c>
      <c r="K2876">
        <v>0</v>
      </c>
      <c r="L2876" t="s">
        <v>240</v>
      </c>
      <c r="M2876" t="s">
        <v>1398</v>
      </c>
      <c r="N2876">
        <v>0</v>
      </c>
      <c r="O2876" t="s">
        <v>1393</v>
      </c>
      <c r="P2876" t="s">
        <v>310</v>
      </c>
      <c r="Q2876" t="s">
        <v>310</v>
      </c>
      <c r="R2876" t="s">
        <v>310</v>
      </c>
      <c r="S2876">
        <v>9</v>
      </c>
      <c r="T2876" t="s">
        <v>310</v>
      </c>
      <c r="U2876">
        <v>9</v>
      </c>
      <c r="V2876">
        <v>9</v>
      </c>
      <c r="W2876">
        <v>0</v>
      </c>
      <c r="X2876">
        <v>0</v>
      </c>
      <c r="Y2876">
        <v>0</v>
      </c>
      <c r="Z2876">
        <v>0</v>
      </c>
      <c r="AA2876">
        <v>9</v>
      </c>
      <c r="AB2876">
        <v>9</v>
      </c>
      <c r="AC2876" t="s">
        <v>310</v>
      </c>
      <c r="AD2876">
        <v>9</v>
      </c>
      <c r="AE2876" t="s">
        <v>1387</v>
      </c>
      <c r="AF2876">
        <v>10000000</v>
      </c>
      <c r="AG2876" t="s">
        <v>310</v>
      </c>
      <c r="AH2876">
        <f>SUM((MID(Dyno_Data[[#This Row],[Team]],4,5))+(Dyno_Data[[#This Row],[Match]]/100))</f>
        <v>9624.5400000000009</v>
      </c>
      <c r="AI2876" s="76">
        <f>ROUND(SUM(IF(Dyno_Data[[#This Row],[AcqCenter]]&gt;0,Dyno_Data[[#This Row],[Time]]-SUMIFS(Dyno_Data[Time],Dyno_Data[Team],Dyno_Data[[#This Row],[Team]],Dyno_Data[RecordType],"StartMatch",Dyno_Data[Match],Dyno_Data[[#This Row],[Match]]),0)*86400),0)</f>
        <v>0</v>
      </c>
    </row>
    <row r="2877" spans="1:35" x14ac:dyDescent="0.3">
      <c r="A2877">
        <v>2876</v>
      </c>
      <c r="B2877" t="s">
        <v>1279</v>
      </c>
      <c r="C2877">
        <v>54</v>
      </c>
      <c r="D2877" s="105">
        <v>45373.739068136572</v>
      </c>
      <c r="E2877" t="s">
        <v>312</v>
      </c>
      <c r="F2877" t="s">
        <v>1402</v>
      </c>
      <c r="G2877">
        <v>0</v>
      </c>
      <c r="H2877" t="s">
        <v>1397</v>
      </c>
      <c r="I2877">
        <v>0</v>
      </c>
      <c r="J2877">
        <v>0</v>
      </c>
      <c r="K2877">
        <v>0</v>
      </c>
      <c r="L2877" t="s">
        <v>241</v>
      </c>
      <c r="M2877" t="s">
        <v>241</v>
      </c>
      <c r="N2877">
        <v>0</v>
      </c>
      <c r="O2877" t="s">
        <v>1389</v>
      </c>
      <c r="P2877" t="s">
        <v>310</v>
      </c>
      <c r="Q2877" t="s">
        <v>310</v>
      </c>
      <c r="R2877" t="s">
        <v>310</v>
      </c>
      <c r="S2877">
        <v>9</v>
      </c>
      <c r="T2877" t="s">
        <v>310</v>
      </c>
      <c r="U2877">
        <v>9</v>
      </c>
      <c r="V2877">
        <v>9</v>
      </c>
      <c r="W2877">
        <v>0</v>
      </c>
      <c r="X2877">
        <v>0</v>
      </c>
      <c r="Y2877">
        <v>0</v>
      </c>
      <c r="Z2877">
        <v>0</v>
      </c>
      <c r="AA2877">
        <v>9</v>
      </c>
      <c r="AB2877">
        <v>9</v>
      </c>
      <c r="AC2877" t="s">
        <v>310</v>
      </c>
      <c r="AD2877">
        <v>9</v>
      </c>
      <c r="AE2877" t="s">
        <v>1392</v>
      </c>
      <c r="AF2877">
        <v>0</v>
      </c>
      <c r="AG2877" t="s">
        <v>310</v>
      </c>
      <c r="AH2877">
        <f>SUM((MID(Dyno_Data[[#This Row],[Team]],4,5))+(Dyno_Data[[#This Row],[Match]]/100))</f>
        <v>5149.54</v>
      </c>
      <c r="AI2877" s="76">
        <f>ROUND(SUM(IF(Dyno_Data[[#This Row],[AcqCenter]]&gt;0,Dyno_Data[[#This Row],[Time]]-SUMIFS(Dyno_Data[Time],Dyno_Data[Team],Dyno_Data[[#This Row],[Team]],Dyno_Data[RecordType],"StartMatch",Dyno_Data[Match],Dyno_Data[[#This Row],[Match]]),0)*86400),0)</f>
        <v>0</v>
      </c>
    </row>
    <row r="2878" spans="1:35" x14ac:dyDescent="0.3">
      <c r="A2878">
        <v>2877</v>
      </c>
      <c r="B2878" t="s">
        <v>365</v>
      </c>
      <c r="C2878">
        <v>54</v>
      </c>
      <c r="D2878" s="105">
        <v>45373.739128935187</v>
      </c>
      <c r="E2878" t="s">
        <v>312</v>
      </c>
      <c r="F2878" t="s">
        <v>1402</v>
      </c>
      <c r="G2878">
        <v>0</v>
      </c>
      <c r="H2878" t="s">
        <v>315</v>
      </c>
      <c r="I2878">
        <v>0</v>
      </c>
      <c r="J2878">
        <v>0</v>
      </c>
      <c r="K2878">
        <v>0</v>
      </c>
      <c r="L2878" t="s">
        <v>241</v>
      </c>
      <c r="M2878" t="s">
        <v>101</v>
      </c>
      <c r="N2878">
        <v>0</v>
      </c>
      <c r="O2878" t="s">
        <v>1391</v>
      </c>
      <c r="P2878" t="s">
        <v>310</v>
      </c>
      <c r="Q2878" t="s">
        <v>310</v>
      </c>
      <c r="R2878" t="s">
        <v>310</v>
      </c>
      <c r="S2878">
        <v>9</v>
      </c>
      <c r="T2878" t="s">
        <v>310</v>
      </c>
      <c r="U2878">
        <v>9</v>
      </c>
      <c r="V2878">
        <v>9</v>
      </c>
      <c r="W2878">
        <v>0</v>
      </c>
      <c r="X2878">
        <v>0</v>
      </c>
      <c r="Y2878">
        <v>0</v>
      </c>
      <c r="Z2878">
        <v>0</v>
      </c>
      <c r="AA2878">
        <v>9</v>
      </c>
      <c r="AB2878">
        <v>9</v>
      </c>
      <c r="AC2878" t="s">
        <v>310</v>
      </c>
      <c r="AD2878">
        <v>9</v>
      </c>
      <c r="AE2878" t="s">
        <v>1418</v>
      </c>
      <c r="AF2878">
        <v>30000000</v>
      </c>
      <c r="AG2878" t="s">
        <v>310</v>
      </c>
      <c r="AH2878">
        <f>SUM((MID(Dyno_Data[[#This Row],[Team]],4,5))+(Dyno_Data[[#This Row],[Match]]/100))</f>
        <v>3171.54</v>
      </c>
      <c r="AI2878" s="76">
        <f>ROUND(SUM(IF(Dyno_Data[[#This Row],[AcqCenter]]&gt;0,Dyno_Data[[#This Row],[Time]]-SUMIFS(Dyno_Data[Time],Dyno_Data[Team],Dyno_Data[[#This Row],[Team]],Dyno_Data[RecordType],"StartMatch",Dyno_Data[Match],Dyno_Data[[#This Row],[Match]]),0)*86400),0)</f>
        <v>0</v>
      </c>
    </row>
    <row r="2879" spans="1:35" x14ac:dyDescent="0.3">
      <c r="A2879">
        <v>2878</v>
      </c>
      <c r="B2879" t="s">
        <v>1298</v>
      </c>
      <c r="C2879">
        <v>54</v>
      </c>
      <c r="D2879" s="105">
        <v>45373.73914189815</v>
      </c>
      <c r="E2879" t="s">
        <v>312</v>
      </c>
      <c r="F2879" t="s">
        <v>1402</v>
      </c>
      <c r="G2879">
        <v>0</v>
      </c>
      <c r="H2879" t="s">
        <v>315</v>
      </c>
      <c r="I2879">
        <v>0</v>
      </c>
      <c r="J2879">
        <v>0</v>
      </c>
      <c r="K2879">
        <v>0</v>
      </c>
      <c r="L2879" t="s">
        <v>240</v>
      </c>
      <c r="M2879" t="s">
        <v>1398</v>
      </c>
      <c r="N2879">
        <v>0</v>
      </c>
      <c r="O2879" t="s">
        <v>1393</v>
      </c>
      <c r="P2879" t="s">
        <v>310</v>
      </c>
      <c r="Q2879" t="s">
        <v>310</v>
      </c>
      <c r="R2879" t="s">
        <v>310</v>
      </c>
      <c r="S2879">
        <v>9</v>
      </c>
      <c r="T2879" t="s">
        <v>310</v>
      </c>
      <c r="U2879">
        <v>9</v>
      </c>
      <c r="V2879">
        <v>9</v>
      </c>
      <c r="W2879">
        <v>0</v>
      </c>
      <c r="X2879">
        <v>0</v>
      </c>
      <c r="Y2879">
        <v>0</v>
      </c>
      <c r="Z2879">
        <v>0</v>
      </c>
      <c r="AA2879">
        <v>9</v>
      </c>
      <c r="AB2879">
        <v>9</v>
      </c>
      <c r="AC2879" t="s">
        <v>310</v>
      </c>
      <c r="AD2879">
        <v>9</v>
      </c>
      <c r="AE2879" t="s">
        <v>1387</v>
      </c>
      <c r="AF2879">
        <v>20000000</v>
      </c>
      <c r="AG2879" t="s">
        <v>310</v>
      </c>
      <c r="AH2879">
        <f>SUM((MID(Dyno_Data[[#This Row],[Team]],4,5))+(Dyno_Data[[#This Row],[Match]]/100))</f>
        <v>9624.5400000000009</v>
      </c>
      <c r="AI2879" s="76">
        <f>ROUND(SUM(IF(Dyno_Data[[#This Row],[AcqCenter]]&gt;0,Dyno_Data[[#This Row],[Time]]-SUMIFS(Dyno_Data[Time],Dyno_Data[Team],Dyno_Data[[#This Row],[Team]],Dyno_Data[RecordType],"StartMatch",Dyno_Data[Match],Dyno_Data[[#This Row],[Match]]),0)*86400),0)</f>
        <v>0</v>
      </c>
    </row>
    <row r="2880" spans="1:35" x14ac:dyDescent="0.3">
      <c r="A2880">
        <v>2879</v>
      </c>
      <c r="B2880" t="s">
        <v>371</v>
      </c>
      <c r="C2880">
        <v>54</v>
      </c>
      <c r="D2880" s="105">
        <v>45373.739152812501</v>
      </c>
      <c r="E2880" t="s">
        <v>312</v>
      </c>
      <c r="F2880" t="s">
        <v>1402</v>
      </c>
      <c r="G2880">
        <v>0</v>
      </c>
      <c r="H2880" t="s">
        <v>315</v>
      </c>
      <c r="I2880">
        <v>0</v>
      </c>
      <c r="J2880">
        <v>0</v>
      </c>
      <c r="K2880">
        <v>0</v>
      </c>
      <c r="L2880" t="s">
        <v>240</v>
      </c>
      <c r="M2880" t="s">
        <v>1398</v>
      </c>
      <c r="N2880">
        <v>1</v>
      </c>
      <c r="O2880" t="s">
        <v>1395</v>
      </c>
      <c r="P2880" t="s">
        <v>310</v>
      </c>
      <c r="Q2880" t="s">
        <v>310</v>
      </c>
      <c r="R2880" t="s">
        <v>310</v>
      </c>
      <c r="S2880">
        <v>9</v>
      </c>
      <c r="T2880" t="s">
        <v>310</v>
      </c>
      <c r="U2880">
        <v>9</v>
      </c>
      <c r="V2880">
        <v>9</v>
      </c>
      <c r="W2880">
        <v>0</v>
      </c>
      <c r="X2880">
        <v>0</v>
      </c>
      <c r="Y2880">
        <v>0</v>
      </c>
      <c r="Z2880">
        <v>0</v>
      </c>
      <c r="AA2880">
        <v>9</v>
      </c>
      <c r="AB2880">
        <v>9</v>
      </c>
      <c r="AC2880" t="s">
        <v>310</v>
      </c>
      <c r="AD2880">
        <v>9</v>
      </c>
      <c r="AE2880" t="s">
        <v>1416</v>
      </c>
      <c r="AF2880">
        <v>10000000</v>
      </c>
      <c r="AG2880" t="s">
        <v>310</v>
      </c>
      <c r="AH2880">
        <f>SUM((MID(Dyno_Data[[#This Row],[Team]],4,5))+(Dyno_Data[[#This Row],[Match]]/100))</f>
        <v>6969.54</v>
      </c>
      <c r="AI2880" s="76">
        <f>ROUND(SUM(IF(Dyno_Data[[#This Row],[AcqCenter]]&gt;0,Dyno_Data[[#This Row],[Time]]-SUMIFS(Dyno_Data[Time],Dyno_Data[Team],Dyno_Data[[#This Row],[Team]],Dyno_Data[RecordType],"StartMatch",Dyno_Data[Match],Dyno_Data[[#This Row],[Match]]),0)*86400),0)</f>
        <v>0</v>
      </c>
    </row>
    <row r="2881" spans="1:35" x14ac:dyDescent="0.3">
      <c r="A2881">
        <v>2880</v>
      </c>
      <c r="B2881" t="s">
        <v>365</v>
      </c>
      <c r="C2881">
        <v>54</v>
      </c>
      <c r="D2881" s="105">
        <v>45373.739230173611</v>
      </c>
      <c r="E2881" t="s">
        <v>312</v>
      </c>
      <c r="F2881" t="s">
        <v>1402</v>
      </c>
      <c r="G2881">
        <v>0</v>
      </c>
      <c r="H2881" t="s">
        <v>315</v>
      </c>
      <c r="I2881">
        <v>0</v>
      </c>
      <c r="J2881">
        <v>0</v>
      </c>
      <c r="K2881">
        <v>0</v>
      </c>
      <c r="L2881" t="s">
        <v>241</v>
      </c>
      <c r="M2881" t="s">
        <v>1398</v>
      </c>
      <c r="N2881">
        <v>0</v>
      </c>
      <c r="O2881" t="s">
        <v>1391</v>
      </c>
      <c r="P2881" t="s">
        <v>310</v>
      </c>
      <c r="Q2881" t="s">
        <v>310</v>
      </c>
      <c r="R2881" t="s">
        <v>310</v>
      </c>
      <c r="S2881">
        <v>9</v>
      </c>
      <c r="T2881" t="s">
        <v>310</v>
      </c>
      <c r="U2881">
        <v>9</v>
      </c>
      <c r="V2881">
        <v>9</v>
      </c>
      <c r="W2881">
        <v>0</v>
      </c>
      <c r="X2881">
        <v>0</v>
      </c>
      <c r="Y2881">
        <v>0</v>
      </c>
      <c r="Z2881">
        <v>0</v>
      </c>
      <c r="AA2881">
        <v>9</v>
      </c>
      <c r="AB2881">
        <v>9</v>
      </c>
      <c r="AC2881" t="s">
        <v>310</v>
      </c>
      <c r="AD2881">
        <v>9</v>
      </c>
      <c r="AE2881" t="s">
        <v>1418</v>
      </c>
      <c r="AF2881">
        <v>40000000</v>
      </c>
      <c r="AG2881" t="s">
        <v>310</v>
      </c>
      <c r="AH2881">
        <f>SUM((MID(Dyno_Data[[#This Row],[Team]],4,5))+(Dyno_Data[[#This Row],[Match]]/100))</f>
        <v>3171.54</v>
      </c>
      <c r="AI2881" s="76">
        <f>ROUND(SUM(IF(Dyno_Data[[#This Row],[AcqCenter]]&gt;0,Dyno_Data[[#This Row],[Time]]-SUMIFS(Dyno_Data[Time],Dyno_Data[Team],Dyno_Data[[#This Row],[Team]],Dyno_Data[RecordType],"StartMatch",Dyno_Data[Match],Dyno_Data[[#This Row],[Match]]),0)*86400),0)</f>
        <v>0</v>
      </c>
    </row>
    <row r="2882" spans="1:35" x14ac:dyDescent="0.3">
      <c r="A2882">
        <v>2881</v>
      </c>
      <c r="B2882" t="s">
        <v>1298</v>
      </c>
      <c r="C2882">
        <v>54</v>
      </c>
      <c r="D2882" s="105">
        <v>45373.739273726853</v>
      </c>
      <c r="E2882" t="s">
        <v>312</v>
      </c>
      <c r="F2882" t="s">
        <v>1402</v>
      </c>
      <c r="G2882">
        <v>0</v>
      </c>
      <c r="H2882" t="s">
        <v>315</v>
      </c>
      <c r="I2882">
        <v>0</v>
      </c>
      <c r="J2882">
        <v>0</v>
      </c>
      <c r="K2882">
        <v>0</v>
      </c>
      <c r="L2882" t="s">
        <v>241</v>
      </c>
      <c r="M2882" t="s">
        <v>101</v>
      </c>
      <c r="N2882">
        <v>0</v>
      </c>
      <c r="O2882" t="s">
        <v>1393</v>
      </c>
      <c r="P2882" t="s">
        <v>310</v>
      </c>
      <c r="Q2882" t="s">
        <v>310</v>
      </c>
      <c r="R2882" t="s">
        <v>310</v>
      </c>
      <c r="S2882">
        <v>9</v>
      </c>
      <c r="T2882" t="s">
        <v>310</v>
      </c>
      <c r="U2882">
        <v>9</v>
      </c>
      <c r="V2882">
        <v>9</v>
      </c>
      <c r="W2882">
        <v>0</v>
      </c>
      <c r="X2882">
        <v>0</v>
      </c>
      <c r="Y2882">
        <v>0</v>
      </c>
      <c r="Z2882">
        <v>0</v>
      </c>
      <c r="AA2882">
        <v>9</v>
      </c>
      <c r="AB2882">
        <v>9</v>
      </c>
      <c r="AC2882" t="s">
        <v>310</v>
      </c>
      <c r="AD2882">
        <v>9</v>
      </c>
      <c r="AE2882" t="s">
        <v>1387</v>
      </c>
      <c r="AF2882">
        <v>30000000</v>
      </c>
      <c r="AG2882" t="s">
        <v>310</v>
      </c>
      <c r="AH2882">
        <f>SUM((MID(Dyno_Data[[#This Row],[Team]],4,5))+(Dyno_Data[[#This Row],[Match]]/100))</f>
        <v>9624.5400000000009</v>
      </c>
      <c r="AI2882" s="76">
        <f>ROUND(SUM(IF(Dyno_Data[[#This Row],[AcqCenter]]&gt;0,Dyno_Data[[#This Row],[Time]]-SUMIFS(Dyno_Data[Time],Dyno_Data[Team],Dyno_Data[[#This Row],[Team]],Dyno_Data[RecordType],"StartMatch",Dyno_Data[Match],Dyno_Data[[#This Row],[Match]]),0)*86400),0)</f>
        <v>0</v>
      </c>
    </row>
    <row r="2883" spans="1:35" x14ac:dyDescent="0.3">
      <c r="A2883">
        <v>2882</v>
      </c>
      <c r="B2883" t="s">
        <v>365</v>
      </c>
      <c r="C2883">
        <v>54</v>
      </c>
      <c r="D2883" s="105">
        <v>45373.739289548612</v>
      </c>
      <c r="E2883" t="s">
        <v>312</v>
      </c>
      <c r="F2883" t="s">
        <v>1402</v>
      </c>
      <c r="G2883">
        <v>0</v>
      </c>
      <c r="H2883" t="s">
        <v>315</v>
      </c>
      <c r="I2883">
        <v>0</v>
      </c>
      <c r="J2883">
        <v>0</v>
      </c>
      <c r="K2883">
        <v>0</v>
      </c>
      <c r="L2883" t="s">
        <v>241</v>
      </c>
      <c r="M2883" t="s">
        <v>1398</v>
      </c>
      <c r="N2883">
        <v>0</v>
      </c>
      <c r="O2883" t="s">
        <v>1391</v>
      </c>
      <c r="P2883" t="s">
        <v>310</v>
      </c>
      <c r="Q2883" t="s">
        <v>310</v>
      </c>
      <c r="R2883" t="s">
        <v>310</v>
      </c>
      <c r="S2883">
        <v>9</v>
      </c>
      <c r="T2883" t="s">
        <v>310</v>
      </c>
      <c r="U2883">
        <v>9</v>
      </c>
      <c r="V2883">
        <v>9</v>
      </c>
      <c r="W2883">
        <v>0</v>
      </c>
      <c r="X2883">
        <v>0</v>
      </c>
      <c r="Y2883">
        <v>0</v>
      </c>
      <c r="Z2883">
        <v>0</v>
      </c>
      <c r="AA2883">
        <v>9</v>
      </c>
      <c r="AB2883">
        <v>9</v>
      </c>
      <c r="AC2883" t="s">
        <v>310</v>
      </c>
      <c r="AD2883">
        <v>9</v>
      </c>
      <c r="AE2883" t="s">
        <v>1418</v>
      </c>
      <c r="AF2883">
        <v>50000000</v>
      </c>
      <c r="AG2883" t="s">
        <v>310</v>
      </c>
      <c r="AH2883">
        <f>SUM((MID(Dyno_Data[[#This Row],[Team]],4,5))+(Dyno_Data[[#This Row],[Match]]/100))</f>
        <v>3171.54</v>
      </c>
      <c r="AI2883" s="76">
        <f>ROUND(SUM(IF(Dyno_Data[[#This Row],[AcqCenter]]&gt;0,Dyno_Data[[#This Row],[Time]]-SUMIFS(Dyno_Data[Time],Dyno_Data[Team],Dyno_Data[[#This Row],[Team]],Dyno_Data[RecordType],"StartMatch",Dyno_Data[Match],Dyno_Data[[#This Row],[Match]]),0)*86400),0)</f>
        <v>0</v>
      </c>
    </row>
    <row r="2884" spans="1:35" x14ac:dyDescent="0.3">
      <c r="A2884">
        <v>2883</v>
      </c>
      <c r="B2884" t="s">
        <v>365</v>
      </c>
      <c r="C2884">
        <v>54</v>
      </c>
      <c r="D2884" s="105">
        <v>45373.739345138885</v>
      </c>
      <c r="E2884" t="s">
        <v>312</v>
      </c>
      <c r="F2884" t="s">
        <v>1402</v>
      </c>
      <c r="G2884">
        <v>0</v>
      </c>
      <c r="H2884" t="s">
        <v>315</v>
      </c>
      <c r="I2884">
        <v>0</v>
      </c>
      <c r="J2884">
        <v>0</v>
      </c>
      <c r="K2884">
        <v>0</v>
      </c>
      <c r="L2884" t="s">
        <v>241</v>
      </c>
      <c r="M2884" t="s">
        <v>1398</v>
      </c>
      <c r="N2884">
        <v>0</v>
      </c>
      <c r="O2884" t="s">
        <v>1391</v>
      </c>
      <c r="P2884" t="s">
        <v>310</v>
      </c>
      <c r="Q2884" t="s">
        <v>310</v>
      </c>
      <c r="R2884" t="s">
        <v>310</v>
      </c>
      <c r="S2884">
        <v>9</v>
      </c>
      <c r="T2884" t="s">
        <v>310</v>
      </c>
      <c r="U2884">
        <v>9</v>
      </c>
      <c r="V2884">
        <v>9</v>
      </c>
      <c r="W2884">
        <v>0</v>
      </c>
      <c r="X2884">
        <v>0</v>
      </c>
      <c r="Y2884">
        <v>0</v>
      </c>
      <c r="Z2884">
        <v>0</v>
      </c>
      <c r="AA2884">
        <v>9</v>
      </c>
      <c r="AB2884">
        <v>9</v>
      </c>
      <c r="AC2884" t="s">
        <v>310</v>
      </c>
      <c r="AD2884">
        <v>9</v>
      </c>
      <c r="AE2884" t="s">
        <v>1418</v>
      </c>
      <c r="AF2884">
        <v>60000000</v>
      </c>
      <c r="AG2884" t="s">
        <v>310</v>
      </c>
      <c r="AH2884">
        <f>SUM((MID(Dyno_Data[[#This Row],[Team]],4,5))+(Dyno_Data[[#This Row],[Match]]/100))</f>
        <v>3171.54</v>
      </c>
      <c r="AI2884" s="76">
        <f>ROUND(SUM(IF(Dyno_Data[[#This Row],[AcqCenter]]&gt;0,Dyno_Data[[#This Row],[Time]]-SUMIFS(Dyno_Data[Time],Dyno_Data[Team],Dyno_Data[[#This Row],[Team]],Dyno_Data[RecordType],"StartMatch",Dyno_Data[Match],Dyno_Data[[#This Row],[Match]]),0)*86400),0)</f>
        <v>0</v>
      </c>
    </row>
    <row r="2885" spans="1:35" x14ac:dyDescent="0.3">
      <c r="A2885">
        <v>2884</v>
      </c>
      <c r="B2885" t="s">
        <v>1298</v>
      </c>
      <c r="C2885">
        <v>54</v>
      </c>
      <c r="D2885" s="105">
        <v>45373.739423530089</v>
      </c>
      <c r="E2885" t="s">
        <v>312</v>
      </c>
      <c r="F2885" t="s">
        <v>1402</v>
      </c>
      <c r="G2885">
        <v>0</v>
      </c>
      <c r="H2885" t="s">
        <v>315</v>
      </c>
      <c r="I2885">
        <v>0</v>
      </c>
      <c r="J2885">
        <v>0</v>
      </c>
      <c r="K2885">
        <v>0</v>
      </c>
      <c r="L2885" t="s">
        <v>240</v>
      </c>
      <c r="M2885" t="s">
        <v>1398</v>
      </c>
      <c r="N2885">
        <v>0</v>
      </c>
      <c r="O2885" t="s">
        <v>1393</v>
      </c>
      <c r="P2885" t="s">
        <v>310</v>
      </c>
      <c r="Q2885" t="s">
        <v>310</v>
      </c>
      <c r="R2885" t="s">
        <v>310</v>
      </c>
      <c r="S2885">
        <v>9</v>
      </c>
      <c r="T2885" t="s">
        <v>310</v>
      </c>
      <c r="U2885">
        <v>9</v>
      </c>
      <c r="V2885">
        <v>9</v>
      </c>
      <c r="W2885">
        <v>0</v>
      </c>
      <c r="X2885">
        <v>0</v>
      </c>
      <c r="Y2885">
        <v>0</v>
      </c>
      <c r="Z2885">
        <v>0</v>
      </c>
      <c r="AA2885">
        <v>9</v>
      </c>
      <c r="AB2885">
        <v>9</v>
      </c>
      <c r="AC2885" t="s">
        <v>310</v>
      </c>
      <c r="AD2885">
        <v>9</v>
      </c>
      <c r="AE2885" t="s">
        <v>1387</v>
      </c>
      <c r="AF2885">
        <v>40000000</v>
      </c>
      <c r="AG2885" t="s">
        <v>310</v>
      </c>
      <c r="AH2885">
        <f>SUM((MID(Dyno_Data[[#This Row],[Team]],4,5))+(Dyno_Data[[#This Row],[Match]]/100))</f>
        <v>9624.5400000000009</v>
      </c>
      <c r="AI2885" s="76">
        <f>ROUND(SUM(IF(Dyno_Data[[#This Row],[AcqCenter]]&gt;0,Dyno_Data[[#This Row],[Time]]-SUMIFS(Dyno_Data[Time],Dyno_Data[Team],Dyno_Data[[#This Row],[Team]],Dyno_Data[RecordType],"StartMatch",Dyno_Data[Match],Dyno_Data[[#This Row],[Match]]),0)*86400),0)</f>
        <v>0</v>
      </c>
    </row>
    <row r="2886" spans="1:35" x14ac:dyDescent="0.3">
      <c r="A2886">
        <v>2885</v>
      </c>
      <c r="B2886" t="s">
        <v>365</v>
      </c>
      <c r="C2886">
        <v>54</v>
      </c>
      <c r="D2886" s="105">
        <v>45373.739474108799</v>
      </c>
      <c r="E2886" t="s">
        <v>312</v>
      </c>
      <c r="F2886" t="s">
        <v>1402</v>
      </c>
      <c r="G2886">
        <v>0</v>
      </c>
      <c r="H2886" t="s">
        <v>315</v>
      </c>
      <c r="I2886">
        <v>0</v>
      </c>
      <c r="J2886">
        <v>0</v>
      </c>
      <c r="K2886">
        <v>0</v>
      </c>
      <c r="L2886" t="s">
        <v>241</v>
      </c>
      <c r="M2886" t="s">
        <v>1398</v>
      </c>
      <c r="N2886">
        <v>0</v>
      </c>
      <c r="O2886" t="s">
        <v>1391</v>
      </c>
      <c r="P2886" t="s">
        <v>310</v>
      </c>
      <c r="Q2886" t="s">
        <v>310</v>
      </c>
      <c r="R2886" t="s">
        <v>310</v>
      </c>
      <c r="S2886">
        <v>9</v>
      </c>
      <c r="T2886" t="s">
        <v>310</v>
      </c>
      <c r="U2886">
        <v>9</v>
      </c>
      <c r="V2886">
        <v>9</v>
      </c>
      <c r="W2886">
        <v>0</v>
      </c>
      <c r="X2886">
        <v>0</v>
      </c>
      <c r="Y2886">
        <v>0</v>
      </c>
      <c r="Z2886">
        <v>0</v>
      </c>
      <c r="AA2886">
        <v>9</v>
      </c>
      <c r="AB2886">
        <v>9</v>
      </c>
      <c r="AC2886" t="s">
        <v>310</v>
      </c>
      <c r="AD2886">
        <v>9</v>
      </c>
      <c r="AE2886" t="s">
        <v>1418</v>
      </c>
      <c r="AF2886">
        <v>70000000</v>
      </c>
      <c r="AG2886" t="s">
        <v>310</v>
      </c>
      <c r="AH2886">
        <f>SUM((MID(Dyno_Data[[#This Row],[Team]],4,5))+(Dyno_Data[[#This Row],[Match]]/100))</f>
        <v>3171.54</v>
      </c>
      <c r="AI2886" s="76">
        <f>ROUND(SUM(IF(Dyno_Data[[#This Row],[AcqCenter]]&gt;0,Dyno_Data[[#This Row],[Time]]-SUMIFS(Dyno_Data[Time],Dyno_Data[Team],Dyno_Data[[#This Row],[Team]],Dyno_Data[RecordType],"StartMatch",Dyno_Data[Match],Dyno_Data[[#This Row],[Match]]),0)*86400),0)</f>
        <v>0</v>
      </c>
    </row>
    <row r="2887" spans="1:35" x14ac:dyDescent="0.3">
      <c r="A2887">
        <v>2886</v>
      </c>
      <c r="B2887" t="s">
        <v>371</v>
      </c>
      <c r="C2887">
        <v>54</v>
      </c>
      <c r="D2887" s="105">
        <v>45373.739490081018</v>
      </c>
      <c r="E2887" t="s">
        <v>312</v>
      </c>
      <c r="F2887" t="s">
        <v>1402</v>
      </c>
      <c r="G2887">
        <v>0</v>
      </c>
      <c r="H2887" t="s">
        <v>315</v>
      </c>
      <c r="I2887">
        <v>0</v>
      </c>
      <c r="J2887">
        <v>0</v>
      </c>
      <c r="K2887">
        <v>0</v>
      </c>
      <c r="L2887" t="s">
        <v>240</v>
      </c>
      <c r="M2887" t="s">
        <v>1398</v>
      </c>
      <c r="N2887">
        <v>1</v>
      </c>
      <c r="O2887" t="s">
        <v>1395</v>
      </c>
      <c r="P2887" t="s">
        <v>310</v>
      </c>
      <c r="Q2887" t="s">
        <v>310</v>
      </c>
      <c r="R2887" t="s">
        <v>310</v>
      </c>
      <c r="S2887">
        <v>9</v>
      </c>
      <c r="T2887" t="s">
        <v>310</v>
      </c>
      <c r="U2887">
        <v>9</v>
      </c>
      <c r="V2887">
        <v>9</v>
      </c>
      <c r="W2887">
        <v>0</v>
      </c>
      <c r="X2887">
        <v>0</v>
      </c>
      <c r="Y2887">
        <v>0</v>
      </c>
      <c r="Z2887">
        <v>0</v>
      </c>
      <c r="AA2887">
        <v>9</v>
      </c>
      <c r="AB2887">
        <v>9</v>
      </c>
      <c r="AC2887" t="s">
        <v>310</v>
      </c>
      <c r="AD2887">
        <v>9</v>
      </c>
      <c r="AE2887" t="s">
        <v>1416</v>
      </c>
      <c r="AF2887">
        <v>20000000</v>
      </c>
      <c r="AG2887" t="s">
        <v>310</v>
      </c>
      <c r="AH2887">
        <f>SUM((MID(Dyno_Data[[#This Row],[Team]],4,5))+(Dyno_Data[[#This Row],[Match]]/100))</f>
        <v>6969.54</v>
      </c>
      <c r="AI2887" s="76">
        <f>ROUND(SUM(IF(Dyno_Data[[#This Row],[AcqCenter]]&gt;0,Dyno_Data[[#This Row],[Time]]-SUMIFS(Dyno_Data[Time],Dyno_Data[Team],Dyno_Data[[#This Row],[Team]],Dyno_Data[RecordType],"StartMatch",Dyno_Data[Match],Dyno_Data[[#This Row],[Match]]),0)*86400),0)</f>
        <v>0</v>
      </c>
    </row>
    <row r="2888" spans="1:35" x14ac:dyDescent="0.3">
      <c r="A2888">
        <v>2887</v>
      </c>
      <c r="B2888" t="s">
        <v>1298</v>
      </c>
      <c r="C2888">
        <v>54</v>
      </c>
      <c r="D2888" s="105">
        <v>45373.739743055557</v>
      </c>
      <c r="E2888" t="s">
        <v>312</v>
      </c>
      <c r="F2888" t="s">
        <v>1402</v>
      </c>
      <c r="G2888">
        <v>0</v>
      </c>
      <c r="H2888" t="s">
        <v>315</v>
      </c>
      <c r="I2888">
        <v>0</v>
      </c>
      <c r="J2888">
        <v>0</v>
      </c>
      <c r="K2888">
        <v>0</v>
      </c>
      <c r="L2888" t="s">
        <v>240</v>
      </c>
      <c r="M2888" t="s">
        <v>1398</v>
      </c>
      <c r="N2888">
        <v>0</v>
      </c>
      <c r="O2888" t="s">
        <v>1393</v>
      </c>
      <c r="P2888" t="s">
        <v>310</v>
      </c>
      <c r="Q2888" t="s">
        <v>310</v>
      </c>
      <c r="R2888" t="s">
        <v>310</v>
      </c>
      <c r="S2888">
        <v>9</v>
      </c>
      <c r="T2888" t="s">
        <v>310</v>
      </c>
      <c r="U2888">
        <v>9</v>
      </c>
      <c r="V2888">
        <v>9</v>
      </c>
      <c r="W2888">
        <v>0</v>
      </c>
      <c r="X2888">
        <v>0</v>
      </c>
      <c r="Y2888">
        <v>0</v>
      </c>
      <c r="Z2888">
        <v>0</v>
      </c>
      <c r="AA2888">
        <v>9</v>
      </c>
      <c r="AB2888">
        <v>9</v>
      </c>
      <c r="AC2888" t="s">
        <v>310</v>
      </c>
      <c r="AD2888">
        <v>9</v>
      </c>
      <c r="AE2888" t="s">
        <v>1387</v>
      </c>
      <c r="AF2888">
        <v>50000000</v>
      </c>
      <c r="AG2888" t="s">
        <v>310</v>
      </c>
      <c r="AH2888">
        <f>SUM((MID(Dyno_Data[[#This Row],[Team]],4,5))+(Dyno_Data[[#This Row],[Match]]/100))</f>
        <v>9624.5400000000009</v>
      </c>
      <c r="AI2888" s="76">
        <f>ROUND(SUM(IF(Dyno_Data[[#This Row],[AcqCenter]]&gt;0,Dyno_Data[[#This Row],[Time]]-SUMIFS(Dyno_Data[Time],Dyno_Data[Team],Dyno_Data[[#This Row],[Team]],Dyno_Data[RecordType],"StartMatch",Dyno_Data[Match],Dyno_Data[[#This Row],[Match]]),0)*86400),0)</f>
        <v>0</v>
      </c>
    </row>
    <row r="2889" spans="1:35" x14ac:dyDescent="0.3">
      <c r="A2889">
        <v>2888</v>
      </c>
      <c r="B2889" t="s">
        <v>365</v>
      </c>
      <c r="C2889">
        <v>54</v>
      </c>
      <c r="D2889" s="105">
        <v>45373.739893252314</v>
      </c>
      <c r="E2889" t="s">
        <v>312</v>
      </c>
      <c r="F2889" t="s">
        <v>1402</v>
      </c>
      <c r="G2889">
        <v>0</v>
      </c>
      <c r="H2889" t="s">
        <v>315</v>
      </c>
      <c r="I2889">
        <v>0</v>
      </c>
      <c r="J2889">
        <v>0</v>
      </c>
      <c r="K2889">
        <v>0</v>
      </c>
      <c r="L2889" t="s">
        <v>240</v>
      </c>
      <c r="M2889" t="s">
        <v>1398</v>
      </c>
      <c r="N2889">
        <v>1</v>
      </c>
      <c r="O2889" t="s">
        <v>1391</v>
      </c>
      <c r="P2889" t="s">
        <v>310</v>
      </c>
      <c r="Q2889" t="s">
        <v>310</v>
      </c>
      <c r="R2889" t="s">
        <v>310</v>
      </c>
      <c r="S2889">
        <v>9</v>
      </c>
      <c r="T2889" t="s">
        <v>310</v>
      </c>
      <c r="U2889">
        <v>9</v>
      </c>
      <c r="V2889">
        <v>9</v>
      </c>
      <c r="W2889">
        <v>0</v>
      </c>
      <c r="X2889">
        <v>0</v>
      </c>
      <c r="Y2889">
        <v>0</v>
      </c>
      <c r="Z2889">
        <v>0</v>
      </c>
      <c r="AA2889">
        <v>9</v>
      </c>
      <c r="AB2889">
        <v>9</v>
      </c>
      <c r="AC2889" t="s">
        <v>310</v>
      </c>
      <c r="AD2889">
        <v>9</v>
      </c>
      <c r="AE2889" t="s">
        <v>1418</v>
      </c>
      <c r="AF2889">
        <v>80000000</v>
      </c>
      <c r="AG2889" t="s">
        <v>310</v>
      </c>
      <c r="AH2889">
        <f>SUM((MID(Dyno_Data[[#This Row],[Team]],4,5))+(Dyno_Data[[#This Row],[Match]]/100))</f>
        <v>3171.54</v>
      </c>
      <c r="AI2889" s="76">
        <f>ROUND(SUM(IF(Dyno_Data[[#This Row],[AcqCenter]]&gt;0,Dyno_Data[[#This Row],[Time]]-SUMIFS(Dyno_Data[Time],Dyno_Data[Team],Dyno_Data[[#This Row],[Team]],Dyno_Data[RecordType],"StartMatch",Dyno_Data[Match],Dyno_Data[[#This Row],[Match]]),0)*86400),0)</f>
        <v>0</v>
      </c>
    </row>
    <row r="2890" spans="1:35" x14ac:dyDescent="0.3">
      <c r="A2890">
        <v>2889</v>
      </c>
      <c r="B2890" t="s">
        <v>365</v>
      </c>
      <c r="C2890">
        <v>54</v>
      </c>
      <c r="D2890" s="105">
        <v>45373.739974340278</v>
      </c>
      <c r="E2890" t="s">
        <v>312</v>
      </c>
      <c r="F2890" t="s">
        <v>1402</v>
      </c>
      <c r="G2890">
        <v>0</v>
      </c>
      <c r="H2890" t="s">
        <v>315</v>
      </c>
      <c r="I2890">
        <v>0</v>
      </c>
      <c r="J2890">
        <v>0</v>
      </c>
      <c r="K2890">
        <v>0</v>
      </c>
      <c r="L2890" t="s">
        <v>240</v>
      </c>
      <c r="M2890" t="s">
        <v>1398</v>
      </c>
      <c r="N2890">
        <v>1</v>
      </c>
      <c r="O2890" t="s">
        <v>1391</v>
      </c>
      <c r="P2890" t="s">
        <v>310</v>
      </c>
      <c r="Q2890" t="s">
        <v>310</v>
      </c>
      <c r="R2890" t="s">
        <v>310</v>
      </c>
      <c r="S2890">
        <v>9</v>
      </c>
      <c r="T2890" t="s">
        <v>310</v>
      </c>
      <c r="U2890">
        <v>9</v>
      </c>
      <c r="V2890">
        <v>9</v>
      </c>
      <c r="W2890">
        <v>0</v>
      </c>
      <c r="X2890">
        <v>0</v>
      </c>
      <c r="Y2890">
        <v>0</v>
      </c>
      <c r="Z2890">
        <v>0</v>
      </c>
      <c r="AA2890">
        <v>9</v>
      </c>
      <c r="AB2890">
        <v>9</v>
      </c>
      <c r="AC2890" t="s">
        <v>310</v>
      </c>
      <c r="AD2890">
        <v>9</v>
      </c>
      <c r="AE2890" t="s">
        <v>1418</v>
      </c>
      <c r="AF2890">
        <v>90000000</v>
      </c>
      <c r="AG2890" t="s">
        <v>310</v>
      </c>
      <c r="AH2890">
        <f>SUM((MID(Dyno_Data[[#This Row],[Team]],4,5))+(Dyno_Data[[#This Row],[Match]]/100))</f>
        <v>3171.54</v>
      </c>
      <c r="AI2890" s="76">
        <f>ROUND(SUM(IF(Dyno_Data[[#This Row],[AcqCenter]]&gt;0,Dyno_Data[[#This Row],[Time]]-SUMIFS(Dyno_Data[Time],Dyno_Data[Team],Dyno_Data[[#This Row],[Team]],Dyno_Data[RecordType],"StartMatch",Dyno_Data[Match],Dyno_Data[[#This Row],[Match]]),0)*86400),0)</f>
        <v>0</v>
      </c>
    </row>
    <row r="2891" spans="1:35" x14ac:dyDescent="0.3">
      <c r="A2891">
        <v>2890</v>
      </c>
      <c r="B2891" t="s">
        <v>1298</v>
      </c>
      <c r="C2891">
        <v>54</v>
      </c>
      <c r="D2891" s="105">
        <v>45373.739982407409</v>
      </c>
      <c r="E2891" t="s">
        <v>312</v>
      </c>
      <c r="F2891" t="s">
        <v>1402</v>
      </c>
      <c r="G2891">
        <v>0</v>
      </c>
      <c r="H2891" t="s">
        <v>315</v>
      </c>
      <c r="I2891">
        <v>0</v>
      </c>
      <c r="J2891">
        <v>0</v>
      </c>
      <c r="K2891">
        <v>0</v>
      </c>
      <c r="L2891" t="s">
        <v>240</v>
      </c>
      <c r="M2891" t="s">
        <v>1398</v>
      </c>
      <c r="N2891">
        <v>0</v>
      </c>
      <c r="O2891" t="s">
        <v>1393</v>
      </c>
      <c r="P2891" t="s">
        <v>310</v>
      </c>
      <c r="Q2891" t="s">
        <v>310</v>
      </c>
      <c r="R2891" t="s">
        <v>310</v>
      </c>
      <c r="S2891">
        <v>9</v>
      </c>
      <c r="T2891" t="s">
        <v>310</v>
      </c>
      <c r="U2891">
        <v>9</v>
      </c>
      <c r="V2891">
        <v>9</v>
      </c>
      <c r="W2891">
        <v>0</v>
      </c>
      <c r="X2891">
        <v>0</v>
      </c>
      <c r="Y2891">
        <v>0</v>
      </c>
      <c r="Z2891">
        <v>0</v>
      </c>
      <c r="AA2891">
        <v>9</v>
      </c>
      <c r="AB2891">
        <v>9</v>
      </c>
      <c r="AC2891" t="s">
        <v>310</v>
      </c>
      <c r="AD2891">
        <v>9</v>
      </c>
      <c r="AE2891" t="s">
        <v>1387</v>
      </c>
      <c r="AF2891">
        <v>60000000</v>
      </c>
      <c r="AG2891" t="s">
        <v>310</v>
      </c>
      <c r="AH2891">
        <f>SUM((MID(Dyno_Data[[#This Row],[Team]],4,5))+(Dyno_Data[[#This Row],[Match]]/100))</f>
        <v>9624.5400000000009</v>
      </c>
      <c r="AI2891" s="76">
        <f>ROUND(SUM(IF(Dyno_Data[[#This Row],[AcqCenter]]&gt;0,Dyno_Data[[#This Row],[Time]]-SUMIFS(Dyno_Data[Time],Dyno_Data[Team],Dyno_Data[[#This Row],[Team]],Dyno_Data[RecordType],"StartMatch",Dyno_Data[Match],Dyno_Data[[#This Row],[Match]]),0)*86400),0)</f>
        <v>0</v>
      </c>
    </row>
    <row r="2892" spans="1:35" x14ac:dyDescent="0.3">
      <c r="A2892">
        <v>2891</v>
      </c>
      <c r="B2892" t="s">
        <v>365</v>
      </c>
      <c r="C2892">
        <v>54</v>
      </c>
      <c r="D2892" s="105">
        <v>45373.740091782405</v>
      </c>
      <c r="E2892" t="s">
        <v>312</v>
      </c>
      <c r="F2892" t="s">
        <v>1402</v>
      </c>
      <c r="G2892">
        <v>0</v>
      </c>
      <c r="H2892" t="s">
        <v>315</v>
      </c>
      <c r="I2892">
        <v>0</v>
      </c>
      <c r="J2892">
        <v>0</v>
      </c>
      <c r="K2892">
        <v>0</v>
      </c>
      <c r="L2892" t="s">
        <v>240</v>
      </c>
      <c r="M2892" t="s">
        <v>1398</v>
      </c>
      <c r="N2892">
        <v>0</v>
      </c>
      <c r="O2892" t="s">
        <v>1391</v>
      </c>
      <c r="P2892" t="s">
        <v>310</v>
      </c>
      <c r="Q2892" t="s">
        <v>310</v>
      </c>
      <c r="R2892" t="s">
        <v>310</v>
      </c>
      <c r="S2892">
        <v>9</v>
      </c>
      <c r="T2892" t="s">
        <v>310</v>
      </c>
      <c r="U2892">
        <v>9</v>
      </c>
      <c r="V2892">
        <v>9</v>
      </c>
      <c r="W2892">
        <v>0</v>
      </c>
      <c r="X2892">
        <v>0</v>
      </c>
      <c r="Y2892">
        <v>0</v>
      </c>
      <c r="Z2892">
        <v>0</v>
      </c>
      <c r="AA2892">
        <v>9</v>
      </c>
      <c r="AB2892">
        <v>9</v>
      </c>
      <c r="AC2892" t="s">
        <v>310</v>
      </c>
      <c r="AD2892">
        <v>9</v>
      </c>
      <c r="AE2892" t="s">
        <v>1418</v>
      </c>
      <c r="AF2892">
        <v>100000000</v>
      </c>
      <c r="AG2892" t="s">
        <v>310</v>
      </c>
      <c r="AH2892">
        <f>SUM((MID(Dyno_Data[[#This Row],[Team]],4,5))+(Dyno_Data[[#This Row],[Match]]/100))</f>
        <v>3171.54</v>
      </c>
      <c r="AI2892" s="76">
        <f>ROUND(SUM(IF(Dyno_Data[[#This Row],[AcqCenter]]&gt;0,Dyno_Data[[#This Row],[Time]]-SUMIFS(Dyno_Data[Time],Dyno_Data[Team],Dyno_Data[[#This Row],[Team]],Dyno_Data[RecordType],"StartMatch",Dyno_Data[Match],Dyno_Data[[#This Row],[Match]]),0)*86400),0)</f>
        <v>0</v>
      </c>
    </row>
    <row r="2893" spans="1:35" x14ac:dyDescent="0.3">
      <c r="A2893">
        <v>2892</v>
      </c>
      <c r="B2893" t="s">
        <v>1298</v>
      </c>
      <c r="C2893">
        <v>54</v>
      </c>
      <c r="D2893" s="105">
        <v>45373.740261956016</v>
      </c>
      <c r="E2893" t="s">
        <v>312</v>
      </c>
      <c r="F2893" t="s">
        <v>1402</v>
      </c>
      <c r="G2893">
        <v>0</v>
      </c>
      <c r="H2893" t="s">
        <v>315</v>
      </c>
      <c r="I2893">
        <v>0</v>
      </c>
      <c r="J2893">
        <v>0</v>
      </c>
      <c r="K2893">
        <v>0</v>
      </c>
      <c r="L2893" t="s">
        <v>240</v>
      </c>
      <c r="M2893" t="s">
        <v>1398</v>
      </c>
      <c r="N2893">
        <v>0</v>
      </c>
      <c r="O2893" t="s">
        <v>1393</v>
      </c>
      <c r="P2893" t="s">
        <v>310</v>
      </c>
      <c r="Q2893" t="s">
        <v>310</v>
      </c>
      <c r="R2893" t="s">
        <v>310</v>
      </c>
      <c r="S2893">
        <v>9</v>
      </c>
      <c r="T2893" t="s">
        <v>310</v>
      </c>
      <c r="U2893">
        <v>9</v>
      </c>
      <c r="V2893">
        <v>9</v>
      </c>
      <c r="W2893">
        <v>0</v>
      </c>
      <c r="X2893">
        <v>0</v>
      </c>
      <c r="Y2893">
        <v>0</v>
      </c>
      <c r="Z2893">
        <v>0</v>
      </c>
      <c r="AA2893">
        <v>9</v>
      </c>
      <c r="AB2893">
        <v>9</v>
      </c>
      <c r="AC2893" t="s">
        <v>310</v>
      </c>
      <c r="AD2893">
        <v>9</v>
      </c>
      <c r="AE2893" t="s">
        <v>1387</v>
      </c>
      <c r="AF2893">
        <v>70000000</v>
      </c>
      <c r="AG2893" t="s">
        <v>310</v>
      </c>
      <c r="AH2893">
        <f>SUM((MID(Dyno_Data[[#This Row],[Team]],4,5))+(Dyno_Data[[#This Row],[Match]]/100))</f>
        <v>9624.5400000000009</v>
      </c>
      <c r="AI2893" s="76">
        <f>ROUND(SUM(IF(Dyno_Data[[#This Row],[AcqCenter]]&gt;0,Dyno_Data[[#This Row],[Time]]-SUMIFS(Dyno_Data[Time],Dyno_Data[Team],Dyno_Data[[#This Row],[Team]],Dyno_Data[RecordType],"StartMatch",Dyno_Data[Match],Dyno_Data[[#This Row],[Match]]),0)*86400),0)</f>
        <v>0</v>
      </c>
    </row>
    <row r="2894" spans="1:35" x14ac:dyDescent="0.3">
      <c r="A2894">
        <v>2893</v>
      </c>
      <c r="B2894" t="s">
        <v>365</v>
      </c>
      <c r="C2894">
        <v>54</v>
      </c>
      <c r="D2894" s="105">
        <v>45373.740333298614</v>
      </c>
      <c r="E2894" t="s">
        <v>312</v>
      </c>
      <c r="F2894" t="s">
        <v>1402</v>
      </c>
      <c r="G2894">
        <v>0</v>
      </c>
      <c r="H2894" t="s">
        <v>315</v>
      </c>
      <c r="I2894">
        <v>0</v>
      </c>
      <c r="J2894">
        <v>0</v>
      </c>
      <c r="K2894">
        <v>0</v>
      </c>
      <c r="L2894" t="s">
        <v>240</v>
      </c>
      <c r="M2894" t="s">
        <v>1398</v>
      </c>
      <c r="N2894">
        <v>1</v>
      </c>
      <c r="O2894" t="s">
        <v>1391</v>
      </c>
      <c r="P2894" t="s">
        <v>310</v>
      </c>
      <c r="Q2894" t="s">
        <v>310</v>
      </c>
      <c r="R2894" t="s">
        <v>310</v>
      </c>
      <c r="S2894">
        <v>9</v>
      </c>
      <c r="T2894" t="s">
        <v>310</v>
      </c>
      <c r="U2894">
        <v>9</v>
      </c>
      <c r="V2894">
        <v>9</v>
      </c>
      <c r="W2894">
        <v>0</v>
      </c>
      <c r="X2894">
        <v>0</v>
      </c>
      <c r="Y2894">
        <v>0</v>
      </c>
      <c r="Z2894">
        <v>0</v>
      </c>
      <c r="AA2894">
        <v>9</v>
      </c>
      <c r="AB2894">
        <v>9</v>
      </c>
      <c r="AC2894" t="s">
        <v>310</v>
      </c>
      <c r="AD2894">
        <v>9</v>
      </c>
      <c r="AE2894" t="s">
        <v>1418</v>
      </c>
      <c r="AF2894">
        <v>110000000</v>
      </c>
      <c r="AG2894" t="s">
        <v>310</v>
      </c>
      <c r="AH2894">
        <f>SUM((MID(Dyno_Data[[#This Row],[Team]],4,5))+(Dyno_Data[[#This Row],[Match]]/100))</f>
        <v>3171.54</v>
      </c>
      <c r="AI2894" s="76">
        <f>ROUND(SUM(IF(Dyno_Data[[#This Row],[AcqCenter]]&gt;0,Dyno_Data[[#This Row],[Time]]-SUMIFS(Dyno_Data[Time],Dyno_Data[Team],Dyno_Data[[#This Row],[Team]],Dyno_Data[RecordType],"StartMatch",Dyno_Data[Match],Dyno_Data[[#This Row],[Match]]),0)*86400),0)</f>
        <v>0</v>
      </c>
    </row>
    <row r="2895" spans="1:35" x14ac:dyDescent="0.3">
      <c r="A2895">
        <v>2894</v>
      </c>
      <c r="B2895" t="s">
        <v>1298</v>
      </c>
      <c r="C2895">
        <v>54</v>
      </c>
      <c r="D2895" s="105">
        <v>45373.74035216435</v>
      </c>
      <c r="E2895" t="s">
        <v>312</v>
      </c>
      <c r="F2895" t="s">
        <v>1402</v>
      </c>
      <c r="G2895">
        <v>0</v>
      </c>
      <c r="H2895" t="s">
        <v>315</v>
      </c>
      <c r="I2895">
        <v>0</v>
      </c>
      <c r="J2895">
        <v>0</v>
      </c>
      <c r="K2895">
        <v>0</v>
      </c>
      <c r="L2895" t="s">
        <v>240</v>
      </c>
      <c r="M2895" t="s">
        <v>1398</v>
      </c>
      <c r="N2895">
        <v>0</v>
      </c>
      <c r="O2895" t="s">
        <v>1393</v>
      </c>
      <c r="P2895" t="s">
        <v>310</v>
      </c>
      <c r="Q2895" t="s">
        <v>310</v>
      </c>
      <c r="R2895" t="s">
        <v>310</v>
      </c>
      <c r="S2895">
        <v>9</v>
      </c>
      <c r="T2895" t="s">
        <v>310</v>
      </c>
      <c r="U2895">
        <v>9</v>
      </c>
      <c r="V2895">
        <v>9</v>
      </c>
      <c r="W2895">
        <v>0</v>
      </c>
      <c r="X2895">
        <v>0</v>
      </c>
      <c r="Y2895">
        <v>0</v>
      </c>
      <c r="Z2895">
        <v>0</v>
      </c>
      <c r="AA2895">
        <v>9</v>
      </c>
      <c r="AB2895">
        <v>9</v>
      </c>
      <c r="AC2895" t="s">
        <v>310</v>
      </c>
      <c r="AD2895">
        <v>9</v>
      </c>
      <c r="AE2895" t="s">
        <v>1387</v>
      </c>
      <c r="AF2895">
        <v>80000000</v>
      </c>
      <c r="AG2895" t="s">
        <v>310</v>
      </c>
      <c r="AH2895">
        <f>SUM((MID(Dyno_Data[[#This Row],[Team]],4,5))+(Dyno_Data[[#This Row],[Match]]/100))</f>
        <v>9624.5400000000009</v>
      </c>
      <c r="AI2895" s="76">
        <f>ROUND(SUM(IF(Dyno_Data[[#This Row],[AcqCenter]]&gt;0,Dyno_Data[[#This Row],[Time]]-SUMIFS(Dyno_Data[Time],Dyno_Data[Team],Dyno_Data[[#This Row],[Team]],Dyno_Data[RecordType],"StartMatch",Dyno_Data[Match],Dyno_Data[[#This Row],[Match]]),0)*86400),0)</f>
        <v>0</v>
      </c>
    </row>
    <row r="2896" spans="1:35" x14ac:dyDescent="0.3">
      <c r="A2896">
        <v>2895</v>
      </c>
      <c r="B2896" t="s">
        <v>365</v>
      </c>
      <c r="C2896">
        <v>54</v>
      </c>
      <c r="D2896" s="105">
        <v>45373.740454432867</v>
      </c>
      <c r="E2896" t="s">
        <v>312</v>
      </c>
      <c r="F2896" t="s">
        <v>1402</v>
      </c>
      <c r="G2896">
        <v>0</v>
      </c>
      <c r="H2896" t="s">
        <v>315</v>
      </c>
      <c r="I2896">
        <v>0</v>
      </c>
      <c r="J2896">
        <v>0</v>
      </c>
      <c r="K2896">
        <v>0</v>
      </c>
      <c r="L2896" t="s">
        <v>240</v>
      </c>
      <c r="M2896" t="s">
        <v>1398</v>
      </c>
      <c r="N2896">
        <v>0</v>
      </c>
      <c r="O2896" t="s">
        <v>1391</v>
      </c>
      <c r="P2896" t="s">
        <v>310</v>
      </c>
      <c r="Q2896" t="s">
        <v>310</v>
      </c>
      <c r="R2896" t="s">
        <v>310</v>
      </c>
      <c r="S2896">
        <v>9</v>
      </c>
      <c r="T2896" t="s">
        <v>310</v>
      </c>
      <c r="U2896">
        <v>9</v>
      </c>
      <c r="V2896">
        <v>9</v>
      </c>
      <c r="W2896">
        <v>0</v>
      </c>
      <c r="X2896">
        <v>0</v>
      </c>
      <c r="Y2896">
        <v>0</v>
      </c>
      <c r="Z2896">
        <v>0</v>
      </c>
      <c r="AA2896">
        <v>9</v>
      </c>
      <c r="AB2896">
        <v>9</v>
      </c>
      <c r="AC2896" t="s">
        <v>310</v>
      </c>
      <c r="AD2896">
        <v>9</v>
      </c>
      <c r="AE2896" t="s">
        <v>1418</v>
      </c>
      <c r="AF2896">
        <v>120000000</v>
      </c>
      <c r="AG2896" t="s">
        <v>310</v>
      </c>
      <c r="AH2896">
        <f>SUM((MID(Dyno_Data[[#This Row],[Team]],4,5))+(Dyno_Data[[#This Row],[Match]]/100))</f>
        <v>3171.54</v>
      </c>
      <c r="AI2896" s="76">
        <f>ROUND(SUM(IF(Dyno_Data[[#This Row],[AcqCenter]]&gt;0,Dyno_Data[[#This Row],[Time]]-SUMIFS(Dyno_Data[Time],Dyno_Data[Team],Dyno_Data[[#This Row],[Team]],Dyno_Data[RecordType],"StartMatch",Dyno_Data[Match],Dyno_Data[[#This Row],[Match]]),0)*86400),0)</f>
        <v>0</v>
      </c>
    </row>
    <row r="2897" spans="1:35" x14ac:dyDescent="0.3">
      <c r="A2897">
        <v>2896</v>
      </c>
      <c r="B2897" t="s">
        <v>1283</v>
      </c>
      <c r="C2897">
        <v>54</v>
      </c>
      <c r="D2897" s="105">
        <v>45373.741290891201</v>
      </c>
      <c r="E2897" t="s">
        <v>316</v>
      </c>
      <c r="F2897" t="s">
        <v>317</v>
      </c>
      <c r="G2897">
        <v>1</v>
      </c>
      <c r="H2897" t="s">
        <v>310</v>
      </c>
      <c r="I2897">
        <v>0</v>
      </c>
      <c r="J2897">
        <v>0</v>
      </c>
      <c r="K2897">
        <v>0</v>
      </c>
      <c r="L2897" t="s">
        <v>310</v>
      </c>
      <c r="M2897" t="s">
        <v>310</v>
      </c>
      <c r="N2897">
        <v>0</v>
      </c>
      <c r="O2897" t="s">
        <v>311</v>
      </c>
      <c r="P2897" t="s">
        <v>1401</v>
      </c>
      <c r="Q2897" t="s">
        <v>1400</v>
      </c>
      <c r="R2897" t="s">
        <v>1404</v>
      </c>
      <c r="S2897">
        <v>0</v>
      </c>
      <c r="T2897" t="s">
        <v>105</v>
      </c>
      <c r="U2897">
        <v>9</v>
      </c>
      <c r="V2897">
        <v>9</v>
      </c>
      <c r="W2897">
        <v>0</v>
      </c>
      <c r="X2897">
        <v>0.99210599999999993</v>
      </c>
      <c r="Y2897">
        <v>71.893429699999999</v>
      </c>
      <c r="Z2897">
        <v>62.254224099999995</v>
      </c>
      <c r="AA2897">
        <v>3</v>
      </c>
      <c r="AB2897">
        <v>0</v>
      </c>
      <c r="AC2897" t="s">
        <v>170</v>
      </c>
      <c r="AD2897">
        <v>9</v>
      </c>
      <c r="AE2897" t="s">
        <v>1388</v>
      </c>
      <c r="AF2897">
        <v>0</v>
      </c>
      <c r="AG2897" t="s">
        <v>310</v>
      </c>
      <c r="AH2897">
        <f>SUM((MID(Dyno_Data[[#This Row],[Team]],4,5))+(Dyno_Data[[#This Row],[Match]]/100))</f>
        <v>1601.54</v>
      </c>
      <c r="AI2897" s="76">
        <f>ROUND(SUM(IF(Dyno_Data[[#This Row],[AcqCenter]]&gt;0,Dyno_Data[[#This Row],[Time]]-SUMIFS(Dyno_Data[Time],Dyno_Data[Team],Dyno_Data[[#This Row],[Team]],Dyno_Data[RecordType],"StartMatch",Dyno_Data[Match],Dyno_Data[[#This Row],[Match]]),0)*86400),0)</f>
        <v>0</v>
      </c>
    </row>
    <row r="2898" spans="1:35" x14ac:dyDescent="0.3">
      <c r="A2898">
        <v>2897</v>
      </c>
      <c r="B2898" t="s">
        <v>365</v>
      </c>
      <c r="C2898">
        <v>54</v>
      </c>
      <c r="D2898" s="105">
        <v>45373.741291053244</v>
      </c>
      <c r="E2898" t="s">
        <v>316</v>
      </c>
      <c r="F2898" t="s">
        <v>317</v>
      </c>
      <c r="G2898">
        <v>1</v>
      </c>
      <c r="H2898" t="s">
        <v>310</v>
      </c>
      <c r="I2898">
        <v>0</v>
      </c>
      <c r="J2898">
        <v>0</v>
      </c>
      <c r="K2898">
        <v>0</v>
      </c>
      <c r="L2898" t="s">
        <v>310</v>
      </c>
      <c r="M2898" t="s">
        <v>310</v>
      </c>
      <c r="N2898">
        <v>0</v>
      </c>
      <c r="O2898" t="s">
        <v>1391</v>
      </c>
      <c r="P2898" t="s">
        <v>240</v>
      </c>
      <c r="Q2898" t="s">
        <v>1399</v>
      </c>
      <c r="R2898" t="s">
        <v>1404</v>
      </c>
      <c r="S2898">
        <v>0</v>
      </c>
      <c r="T2898" t="s">
        <v>105</v>
      </c>
      <c r="U2898">
        <v>9</v>
      </c>
      <c r="V2898">
        <v>9</v>
      </c>
      <c r="W2898">
        <v>0</v>
      </c>
      <c r="X2898">
        <v>24.786199</v>
      </c>
      <c r="Y2898">
        <v>24.5039944</v>
      </c>
      <c r="Z2898">
        <v>87.402903099999989</v>
      </c>
      <c r="AA2898">
        <v>0</v>
      </c>
      <c r="AB2898">
        <v>0</v>
      </c>
      <c r="AC2898" t="s">
        <v>174</v>
      </c>
      <c r="AD2898">
        <v>1</v>
      </c>
      <c r="AE2898" t="s">
        <v>1418</v>
      </c>
      <c r="AF2898">
        <v>120100000</v>
      </c>
      <c r="AG2898" t="s">
        <v>310</v>
      </c>
      <c r="AH2898">
        <f>SUM((MID(Dyno_Data[[#This Row],[Team]],4,5))+(Dyno_Data[[#This Row],[Match]]/100))</f>
        <v>3171.54</v>
      </c>
      <c r="AI2898" s="76">
        <f>ROUND(SUM(IF(Dyno_Data[[#This Row],[AcqCenter]]&gt;0,Dyno_Data[[#This Row],[Time]]-SUMIFS(Dyno_Data[Time],Dyno_Data[Team],Dyno_Data[[#This Row],[Team]],Dyno_Data[RecordType],"StartMatch",Dyno_Data[Match],Dyno_Data[[#This Row],[Match]]),0)*86400),0)</f>
        <v>0</v>
      </c>
    </row>
    <row r="2899" spans="1:35" x14ac:dyDescent="0.3">
      <c r="A2899">
        <v>2898</v>
      </c>
      <c r="B2899" t="s">
        <v>369</v>
      </c>
      <c r="C2899">
        <v>54</v>
      </c>
      <c r="D2899" s="105">
        <v>45373.741291122686</v>
      </c>
      <c r="E2899" t="s">
        <v>316</v>
      </c>
      <c r="F2899" t="s">
        <v>317</v>
      </c>
      <c r="G2899">
        <v>0</v>
      </c>
      <c r="H2899" t="s">
        <v>310</v>
      </c>
      <c r="I2899">
        <v>0</v>
      </c>
      <c r="J2899">
        <v>0</v>
      </c>
      <c r="K2899">
        <v>0</v>
      </c>
      <c r="L2899" t="s">
        <v>310</v>
      </c>
      <c r="M2899" t="s">
        <v>310</v>
      </c>
      <c r="N2899">
        <v>0</v>
      </c>
      <c r="O2899" t="s">
        <v>319</v>
      </c>
      <c r="P2899" t="s">
        <v>320</v>
      </c>
      <c r="Q2899" t="s">
        <v>1400</v>
      </c>
      <c r="R2899" t="s">
        <v>1404</v>
      </c>
      <c r="S2899">
        <v>0</v>
      </c>
      <c r="T2899" t="s">
        <v>105</v>
      </c>
      <c r="U2899">
        <v>9</v>
      </c>
      <c r="V2899">
        <v>9</v>
      </c>
      <c r="W2899">
        <v>0</v>
      </c>
      <c r="X2899">
        <v>0</v>
      </c>
      <c r="Y2899">
        <v>116.6771249</v>
      </c>
      <c r="Z2899">
        <v>19.209479099999999</v>
      </c>
      <c r="AA2899">
        <v>2</v>
      </c>
      <c r="AB2899">
        <v>0</v>
      </c>
      <c r="AC2899" t="s">
        <v>170</v>
      </c>
      <c r="AD2899">
        <v>9</v>
      </c>
      <c r="AE2899" t="s">
        <v>1394</v>
      </c>
      <c r="AF2899">
        <v>0</v>
      </c>
      <c r="AG2899" t="s">
        <v>310</v>
      </c>
      <c r="AH2899">
        <f>SUM((MID(Dyno_Data[[#This Row],[Team]],4,5))+(Dyno_Data[[#This Row],[Match]]/100))</f>
        <v>6463.54</v>
      </c>
      <c r="AI2899" s="76">
        <f>ROUND(SUM(IF(Dyno_Data[[#This Row],[AcqCenter]]&gt;0,Dyno_Data[[#This Row],[Time]]-SUMIFS(Dyno_Data[Time],Dyno_Data[Team],Dyno_Data[[#This Row],[Team]],Dyno_Data[RecordType],"StartMatch",Dyno_Data[Match],Dyno_Data[[#This Row],[Match]]),0)*86400),0)</f>
        <v>0</v>
      </c>
    </row>
    <row r="2900" spans="1:35" x14ac:dyDescent="0.3">
      <c r="A2900">
        <v>2899</v>
      </c>
      <c r="B2900" t="s">
        <v>1298</v>
      </c>
      <c r="C2900">
        <v>54</v>
      </c>
      <c r="D2900" s="105">
        <v>45373.741291238424</v>
      </c>
      <c r="E2900" t="s">
        <v>316</v>
      </c>
      <c r="F2900" t="s">
        <v>317</v>
      </c>
      <c r="G2900">
        <v>1</v>
      </c>
      <c r="H2900" t="s">
        <v>310</v>
      </c>
      <c r="I2900">
        <v>0</v>
      </c>
      <c r="J2900">
        <v>0</v>
      </c>
      <c r="K2900">
        <v>0</v>
      </c>
      <c r="L2900" t="s">
        <v>310</v>
      </c>
      <c r="M2900" t="s">
        <v>310</v>
      </c>
      <c r="N2900">
        <v>0</v>
      </c>
      <c r="O2900" t="s">
        <v>1393</v>
      </c>
      <c r="P2900" t="s">
        <v>240</v>
      </c>
      <c r="Q2900" t="s">
        <v>1399</v>
      </c>
      <c r="R2900" t="s">
        <v>1405</v>
      </c>
      <c r="S2900">
        <v>1</v>
      </c>
      <c r="T2900" t="s">
        <v>1407</v>
      </c>
      <c r="U2900">
        <v>0</v>
      </c>
      <c r="V2900">
        <v>0</v>
      </c>
      <c r="W2900">
        <v>9.4548904999999994</v>
      </c>
      <c r="X2900">
        <v>31.935668999999997</v>
      </c>
      <c r="Y2900">
        <v>24.172845599999999</v>
      </c>
      <c r="Z2900">
        <v>69.197861199999991</v>
      </c>
      <c r="AA2900">
        <v>0</v>
      </c>
      <c r="AB2900">
        <v>0</v>
      </c>
      <c r="AC2900" t="s">
        <v>174</v>
      </c>
      <c r="AD2900">
        <v>0</v>
      </c>
      <c r="AE2900" t="s">
        <v>1387</v>
      </c>
      <c r="AF2900">
        <v>80000000</v>
      </c>
      <c r="AG2900" t="s">
        <v>310</v>
      </c>
      <c r="AH2900">
        <f>SUM((MID(Dyno_Data[[#This Row],[Team]],4,5))+(Dyno_Data[[#This Row],[Match]]/100))</f>
        <v>9624.5400000000009</v>
      </c>
      <c r="AI2900" s="76">
        <f>ROUND(SUM(IF(Dyno_Data[[#This Row],[AcqCenter]]&gt;0,Dyno_Data[[#This Row],[Time]]-SUMIFS(Dyno_Data[Time],Dyno_Data[Team],Dyno_Data[[#This Row],[Team]],Dyno_Data[RecordType],"StartMatch",Dyno_Data[Match],Dyno_Data[[#This Row],[Match]]),0)*86400),0)</f>
        <v>0</v>
      </c>
    </row>
    <row r="2901" spans="1:35" x14ac:dyDescent="0.3">
      <c r="A2901">
        <v>2900</v>
      </c>
      <c r="B2901" t="s">
        <v>1279</v>
      </c>
      <c r="C2901">
        <v>54</v>
      </c>
      <c r="D2901" s="105">
        <v>45373.74129135417</v>
      </c>
      <c r="E2901" t="s">
        <v>316</v>
      </c>
      <c r="F2901" t="s">
        <v>317</v>
      </c>
      <c r="G2901">
        <v>1</v>
      </c>
      <c r="H2901" t="s">
        <v>310</v>
      </c>
      <c r="I2901">
        <v>0</v>
      </c>
      <c r="J2901">
        <v>0</v>
      </c>
      <c r="K2901">
        <v>0</v>
      </c>
      <c r="L2901" t="s">
        <v>310</v>
      </c>
      <c r="M2901" t="s">
        <v>310</v>
      </c>
      <c r="N2901">
        <v>0</v>
      </c>
      <c r="O2901" t="s">
        <v>1389</v>
      </c>
      <c r="P2901" t="s">
        <v>320</v>
      </c>
      <c r="Q2901" t="s">
        <v>1400</v>
      </c>
      <c r="R2901" t="s">
        <v>1404</v>
      </c>
      <c r="S2901">
        <v>0</v>
      </c>
      <c r="T2901" t="s">
        <v>105</v>
      </c>
      <c r="U2901">
        <v>9</v>
      </c>
      <c r="V2901">
        <v>9</v>
      </c>
      <c r="W2901">
        <v>0</v>
      </c>
      <c r="X2901">
        <v>0</v>
      </c>
      <c r="Y2901">
        <v>61.383293099999996</v>
      </c>
      <c r="Z2901">
        <v>71.882269499999992</v>
      </c>
      <c r="AA2901">
        <v>3</v>
      </c>
      <c r="AB2901">
        <v>0</v>
      </c>
      <c r="AC2901" t="s">
        <v>170</v>
      </c>
      <c r="AD2901">
        <v>9</v>
      </c>
      <c r="AE2901" t="s">
        <v>1392</v>
      </c>
      <c r="AF2901">
        <v>0</v>
      </c>
      <c r="AG2901" t="s">
        <v>310</v>
      </c>
      <c r="AH2901">
        <f>SUM((MID(Dyno_Data[[#This Row],[Team]],4,5))+(Dyno_Data[[#This Row],[Match]]/100))</f>
        <v>5149.54</v>
      </c>
      <c r="AI2901" s="76">
        <f>ROUND(SUM(IF(Dyno_Data[[#This Row],[AcqCenter]]&gt;0,Dyno_Data[[#This Row],[Time]]-SUMIFS(Dyno_Data[Time],Dyno_Data[Team],Dyno_Data[[#This Row],[Team]],Dyno_Data[RecordType],"StartMatch",Dyno_Data[Match],Dyno_Data[[#This Row],[Match]]),0)*86400),0)</f>
        <v>0</v>
      </c>
    </row>
    <row r="2902" spans="1:35" x14ac:dyDescent="0.3">
      <c r="A2902">
        <v>2901</v>
      </c>
      <c r="B2902" t="s">
        <v>371</v>
      </c>
      <c r="C2902">
        <v>54</v>
      </c>
      <c r="D2902" s="105">
        <v>45373.741291469909</v>
      </c>
      <c r="E2902" t="s">
        <v>316</v>
      </c>
      <c r="F2902" t="s">
        <v>317</v>
      </c>
      <c r="G2902">
        <v>0</v>
      </c>
      <c r="H2902" t="s">
        <v>310</v>
      </c>
      <c r="I2902">
        <v>0</v>
      </c>
      <c r="J2902">
        <v>0</v>
      </c>
      <c r="K2902">
        <v>0</v>
      </c>
      <c r="L2902" t="s">
        <v>310</v>
      </c>
      <c r="M2902" t="s">
        <v>310</v>
      </c>
      <c r="N2902">
        <v>0</v>
      </c>
      <c r="O2902" t="s">
        <v>1395</v>
      </c>
      <c r="P2902" t="s">
        <v>1401</v>
      </c>
      <c r="Q2902" t="s">
        <v>1400</v>
      </c>
      <c r="R2902" t="s">
        <v>1404</v>
      </c>
      <c r="S2902">
        <v>0</v>
      </c>
      <c r="T2902" t="s">
        <v>105</v>
      </c>
      <c r="U2902">
        <v>9</v>
      </c>
      <c r="V2902">
        <v>9</v>
      </c>
      <c r="W2902">
        <v>0</v>
      </c>
      <c r="X2902">
        <v>0</v>
      </c>
      <c r="Y2902">
        <v>8.301196899999999</v>
      </c>
      <c r="Z2902">
        <v>129.4111661</v>
      </c>
      <c r="AA2902">
        <v>1</v>
      </c>
      <c r="AB2902">
        <v>0</v>
      </c>
      <c r="AC2902" t="s">
        <v>174</v>
      </c>
      <c r="AD2902">
        <v>9</v>
      </c>
      <c r="AE2902" t="s">
        <v>1416</v>
      </c>
      <c r="AF2902">
        <v>20000000</v>
      </c>
      <c r="AG2902" t="s">
        <v>310</v>
      </c>
      <c r="AH2902">
        <f>SUM((MID(Dyno_Data[[#This Row],[Team]],4,5))+(Dyno_Data[[#This Row],[Match]]/100))</f>
        <v>6969.54</v>
      </c>
      <c r="AI2902" s="76">
        <f>ROUND(SUM(IF(Dyno_Data[[#This Row],[AcqCenter]]&gt;0,Dyno_Data[[#This Row],[Time]]-SUMIFS(Dyno_Data[Time],Dyno_Data[Team],Dyno_Data[[#This Row],[Team]],Dyno_Data[RecordType],"StartMatch",Dyno_Data[Match],Dyno_Data[[#This Row],[Match]]),0)*86400),0)</f>
        <v>0</v>
      </c>
    </row>
    <row r="2903" spans="1:35" x14ac:dyDescent="0.3">
      <c r="A2903">
        <v>2911</v>
      </c>
      <c r="B2903" t="s">
        <v>1297</v>
      </c>
      <c r="C2903">
        <v>55</v>
      </c>
      <c r="D2903" s="105">
        <v>45373.744314930555</v>
      </c>
      <c r="E2903" t="s">
        <v>308</v>
      </c>
      <c r="F2903" t="s">
        <v>309</v>
      </c>
      <c r="G2903">
        <v>0</v>
      </c>
      <c r="H2903" t="s">
        <v>310</v>
      </c>
      <c r="I2903">
        <v>0</v>
      </c>
      <c r="J2903">
        <v>0</v>
      </c>
      <c r="K2903">
        <v>0</v>
      </c>
      <c r="L2903" t="s">
        <v>310</v>
      </c>
      <c r="M2903" t="s">
        <v>310</v>
      </c>
      <c r="N2903">
        <v>0</v>
      </c>
      <c r="O2903" t="s">
        <v>1393</v>
      </c>
      <c r="P2903" t="s">
        <v>310</v>
      </c>
      <c r="Q2903" t="s">
        <v>310</v>
      </c>
      <c r="R2903" t="s">
        <v>310</v>
      </c>
      <c r="S2903">
        <v>9</v>
      </c>
      <c r="T2903" t="s">
        <v>310</v>
      </c>
      <c r="U2903">
        <v>9</v>
      </c>
      <c r="V2903">
        <v>9</v>
      </c>
      <c r="W2903">
        <v>0</v>
      </c>
      <c r="X2903">
        <v>0</v>
      </c>
      <c r="Y2903">
        <v>0</v>
      </c>
      <c r="Z2903">
        <v>0</v>
      </c>
      <c r="AA2903">
        <v>9</v>
      </c>
      <c r="AB2903">
        <v>9</v>
      </c>
      <c r="AC2903" t="s">
        <v>310</v>
      </c>
      <c r="AD2903">
        <v>9</v>
      </c>
      <c r="AE2903" t="s">
        <v>1387</v>
      </c>
      <c r="AF2903">
        <v>0</v>
      </c>
      <c r="AG2903" t="s">
        <v>310</v>
      </c>
      <c r="AH2903">
        <f>SUM((MID(Dyno_Data[[#This Row],[Team]],4,5))+(Dyno_Data[[#This Row],[Match]]/100))</f>
        <v>9750.5499999999993</v>
      </c>
      <c r="AI2903" s="76">
        <f>ROUND(SUM(IF(Dyno_Data[[#This Row],[AcqCenter]]&gt;0,Dyno_Data[[#This Row],[Time]]-SUMIFS(Dyno_Data[Time],Dyno_Data[Team],Dyno_Data[[#This Row],[Team]],Dyno_Data[RecordType],"StartMatch",Dyno_Data[Match],Dyno_Data[[#This Row],[Match]]),0)*86400),0)</f>
        <v>0</v>
      </c>
    </row>
    <row r="2904" spans="1:35" x14ac:dyDescent="0.3">
      <c r="A2904">
        <v>2914</v>
      </c>
      <c r="B2904" t="s">
        <v>362</v>
      </c>
      <c r="C2904">
        <v>55</v>
      </c>
      <c r="D2904" s="105">
        <v>45373.744317824072</v>
      </c>
      <c r="E2904" t="s">
        <v>308</v>
      </c>
      <c r="F2904" t="s">
        <v>309</v>
      </c>
      <c r="G2904">
        <v>0</v>
      </c>
      <c r="H2904" t="s">
        <v>310</v>
      </c>
      <c r="I2904">
        <v>0</v>
      </c>
      <c r="J2904">
        <v>0</v>
      </c>
      <c r="K2904">
        <v>0</v>
      </c>
      <c r="L2904" t="s">
        <v>310</v>
      </c>
      <c r="M2904" t="s">
        <v>310</v>
      </c>
      <c r="N2904">
        <v>0</v>
      </c>
      <c r="O2904" t="s">
        <v>1395</v>
      </c>
      <c r="P2904" t="s">
        <v>310</v>
      </c>
      <c r="Q2904" t="s">
        <v>310</v>
      </c>
      <c r="R2904" t="s">
        <v>310</v>
      </c>
      <c r="S2904">
        <v>9</v>
      </c>
      <c r="T2904" t="s">
        <v>310</v>
      </c>
      <c r="U2904">
        <v>9</v>
      </c>
      <c r="V2904">
        <v>9</v>
      </c>
      <c r="W2904">
        <v>0</v>
      </c>
      <c r="X2904">
        <v>0</v>
      </c>
      <c r="Y2904">
        <v>0</v>
      </c>
      <c r="Z2904">
        <v>0</v>
      </c>
      <c r="AA2904">
        <v>9</v>
      </c>
      <c r="AB2904">
        <v>9</v>
      </c>
      <c r="AC2904" t="s">
        <v>310</v>
      </c>
      <c r="AD2904">
        <v>9</v>
      </c>
      <c r="AE2904" t="s">
        <v>1416</v>
      </c>
      <c r="AF2904">
        <v>0</v>
      </c>
      <c r="AG2904" t="s">
        <v>310</v>
      </c>
      <c r="AH2904">
        <f>SUM((MID(Dyno_Data[[#This Row],[Team]],4,5))+(Dyno_Data[[#This Row],[Match]]/100))</f>
        <v>250.55</v>
      </c>
      <c r="AI2904" s="76">
        <f>ROUND(SUM(IF(Dyno_Data[[#This Row],[AcqCenter]]&gt;0,Dyno_Data[[#This Row],[Time]]-SUMIFS(Dyno_Data[Time],Dyno_Data[Team],Dyno_Data[[#This Row],[Team]],Dyno_Data[RecordType],"StartMatch",Dyno_Data[Match],Dyno_Data[[#This Row],[Match]]),0)*86400),0)</f>
        <v>0</v>
      </c>
    </row>
    <row r="2905" spans="1:35" x14ac:dyDescent="0.3">
      <c r="A2905">
        <v>2916</v>
      </c>
      <c r="B2905" t="s">
        <v>363</v>
      </c>
      <c r="C2905">
        <v>55</v>
      </c>
      <c r="D2905" s="105">
        <v>45373.744318518518</v>
      </c>
      <c r="E2905" t="s">
        <v>308</v>
      </c>
      <c r="F2905" t="s">
        <v>309</v>
      </c>
      <c r="G2905">
        <v>0</v>
      </c>
      <c r="H2905" t="s">
        <v>310</v>
      </c>
      <c r="I2905">
        <v>0</v>
      </c>
      <c r="J2905">
        <v>0</v>
      </c>
      <c r="K2905">
        <v>0</v>
      </c>
      <c r="L2905" t="s">
        <v>310</v>
      </c>
      <c r="M2905" t="s">
        <v>310</v>
      </c>
      <c r="N2905">
        <v>0</v>
      </c>
      <c r="O2905" t="s">
        <v>311</v>
      </c>
      <c r="P2905" t="s">
        <v>310</v>
      </c>
      <c r="Q2905" t="s">
        <v>310</v>
      </c>
      <c r="R2905" t="s">
        <v>310</v>
      </c>
      <c r="S2905">
        <v>9</v>
      </c>
      <c r="T2905" t="s">
        <v>310</v>
      </c>
      <c r="U2905">
        <v>9</v>
      </c>
      <c r="V2905">
        <v>9</v>
      </c>
      <c r="W2905">
        <v>0</v>
      </c>
      <c r="X2905">
        <v>0</v>
      </c>
      <c r="Y2905">
        <v>0</v>
      </c>
      <c r="Z2905">
        <v>0</v>
      </c>
      <c r="AA2905">
        <v>9</v>
      </c>
      <c r="AB2905">
        <v>9</v>
      </c>
      <c r="AC2905" t="s">
        <v>310</v>
      </c>
      <c r="AD2905">
        <v>9</v>
      </c>
      <c r="AE2905" t="s">
        <v>1394</v>
      </c>
      <c r="AF2905">
        <v>0</v>
      </c>
      <c r="AG2905" t="s">
        <v>310</v>
      </c>
      <c r="AH2905">
        <f>SUM((MID(Dyno_Data[[#This Row],[Team]],4,5))+(Dyno_Data[[#This Row],[Match]]/100))</f>
        <v>2601.5500000000002</v>
      </c>
      <c r="AI2905" s="76">
        <f>ROUND(SUM(IF(Dyno_Data[[#This Row],[AcqCenter]]&gt;0,Dyno_Data[[#This Row],[Time]]-SUMIFS(Dyno_Data[Time],Dyno_Data[Team],Dyno_Data[[#This Row],[Team]],Dyno_Data[RecordType],"StartMatch",Dyno_Data[Match],Dyno_Data[[#This Row],[Match]]),0)*86400),0)</f>
        <v>0</v>
      </c>
    </row>
    <row r="2906" spans="1:35" x14ac:dyDescent="0.3">
      <c r="A2906">
        <v>2918</v>
      </c>
      <c r="B2906" t="s">
        <v>1288</v>
      </c>
      <c r="C2906">
        <v>55</v>
      </c>
      <c r="D2906" s="105">
        <v>45373.744319907404</v>
      </c>
      <c r="E2906" t="s">
        <v>308</v>
      </c>
      <c r="F2906" t="s">
        <v>309</v>
      </c>
      <c r="G2906">
        <v>0</v>
      </c>
      <c r="H2906" t="s">
        <v>310</v>
      </c>
      <c r="I2906">
        <v>0</v>
      </c>
      <c r="J2906">
        <v>0</v>
      </c>
      <c r="K2906">
        <v>0</v>
      </c>
      <c r="L2906" t="s">
        <v>310</v>
      </c>
      <c r="M2906" t="s">
        <v>310</v>
      </c>
      <c r="N2906">
        <v>0</v>
      </c>
      <c r="O2906" t="s">
        <v>1389</v>
      </c>
      <c r="P2906" t="s">
        <v>310</v>
      </c>
      <c r="Q2906" t="s">
        <v>310</v>
      </c>
      <c r="R2906" t="s">
        <v>310</v>
      </c>
      <c r="S2906">
        <v>9</v>
      </c>
      <c r="T2906" t="s">
        <v>310</v>
      </c>
      <c r="U2906">
        <v>9</v>
      </c>
      <c r="V2906">
        <v>9</v>
      </c>
      <c r="W2906">
        <v>0</v>
      </c>
      <c r="X2906">
        <v>0</v>
      </c>
      <c r="Y2906">
        <v>0</v>
      </c>
      <c r="Z2906">
        <v>0</v>
      </c>
      <c r="AA2906">
        <v>9</v>
      </c>
      <c r="AB2906">
        <v>9</v>
      </c>
      <c r="AC2906" t="s">
        <v>310</v>
      </c>
      <c r="AD2906">
        <v>9</v>
      </c>
      <c r="AE2906" t="s">
        <v>1417</v>
      </c>
      <c r="AF2906">
        <v>20000000</v>
      </c>
      <c r="AG2906" t="s">
        <v>310</v>
      </c>
      <c r="AH2906">
        <f>SUM((MID(Dyno_Data[[#This Row],[Team]],4,5))+(Dyno_Data[[#This Row],[Match]]/100))</f>
        <v>3181.55</v>
      </c>
      <c r="AI2906" s="76">
        <f>ROUND(SUM(IF(Dyno_Data[[#This Row],[AcqCenter]]&gt;0,Dyno_Data[[#This Row],[Time]]-SUMIFS(Dyno_Data[Time],Dyno_Data[Team],Dyno_Data[[#This Row],[Team]],Dyno_Data[RecordType],"StartMatch",Dyno_Data[Match],Dyno_Data[[#This Row],[Match]]),0)*86400),0)</f>
        <v>0</v>
      </c>
    </row>
    <row r="2907" spans="1:35" x14ac:dyDescent="0.3">
      <c r="A2907">
        <v>2920</v>
      </c>
      <c r="B2907" t="s">
        <v>1284</v>
      </c>
      <c r="C2907">
        <v>55</v>
      </c>
      <c r="D2907" s="105">
        <v>45373.744324305553</v>
      </c>
      <c r="E2907" t="s">
        <v>308</v>
      </c>
      <c r="F2907" t="s">
        <v>309</v>
      </c>
      <c r="G2907">
        <v>0</v>
      </c>
      <c r="H2907" t="s">
        <v>310</v>
      </c>
      <c r="I2907">
        <v>0</v>
      </c>
      <c r="J2907">
        <v>0</v>
      </c>
      <c r="K2907">
        <v>0</v>
      </c>
      <c r="L2907" t="s">
        <v>310</v>
      </c>
      <c r="M2907" t="s">
        <v>310</v>
      </c>
      <c r="N2907">
        <v>0</v>
      </c>
      <c r="O2907" t="s">
        <v>1391</v>
      </c>
      <c r="P2907" t="s">
        <v>310</v>
      </c>
      <c r="Q2907" t="s">
        <v>310</v>
      </c>
      <c r="R2907" t="s">
        <v>310</v>
      </c>
      <c r="S2907">
        <v>9</v>
      </c>
      <c r="T2907" t="s">
        <v>310</v>
      </c>
      <c r="U2907">
        <v>9</v>
      </c>
      <c r="V2907">
        <v>9</v>
      </c>
      <c r="W2907">
        <v>0</v>
      </c>
      <c r="X2907">
        <v>0</v>
      </c>
      <c r="Y2907">
        <v>0</v>
      </c>
      <c r="Z2907">
        <v>0</v>
      </c>
      <c r="AA2907">
        <v>9</v>
      </c>
      <c r="AB2907">
        <v>9</v>
      </c>
      <c r="AC2907" t="s">
        <v>310</v>
      </c>
      <c r="AD2907">
        <v>9</v>
      </c>
      <c r="AE2907" t="s">
        <v>1418</v>
      </c>
      <c r="AF2907">
        <v>0</v>
      </c>
      <c r="AG2907" t="s">
        <v>310</v>
      </c>
      <c r="AH2907">
        <f>SUM((MID(Dyno_Data[[#This Row],[Team]],4,5))+(Dyno_Data[[#This Row],[Match]]/100))</f>
        <v>5590.55</v>
      </c>
      <c r="AI2907" s="76">
        <f>ROUND(SUM(IF(Dyno_Data[[#This Row],[AcqCenter]]&gt;0,Dyno_Data[[#This Row],[Time]]-SUMIFS(Dyno_Data[Time],Dyno_Data[Team],Dyno_Data[[#This Row],[Team]],Dyno_Data[RecordType],"StartMatch",Dyno_Data[Match],Dyno_Data[[#This Row],[Match]]),0)*86400),0)</f>
        <v>0</v>
      </c>
    </row>
    <row r="2908" spans="1:35" x14ac:dyDescent="0.3">
      <c r="A2908">
        <v>2922</v>
      </c>
      <c r="B2908" t="s">
        <v>1312</v>
      </c>
      <c r="C2908">
        <v>55</v>
      </c>
      <c r="D2908" s="105">
        <v>45373.744330011577</v>
      </c>
      <c r="E2908" t="s">
        <v>308</v>
      </c>
      <c r="F2908" t="s">
        <v>309</v>
      </c>
      <c r="G2908">
        <v>0</v>
      </c>
      <c r="H2908" t="s">
        <v>310</v>
      </c>
      <c r="I2908">
        <v>0</v>
      </c>
      <c r="J2908">
        <v>0</v>
      </c>
      <c r="K2908">
        <v>0</v>
      </c>
      <c r="L2908" t="s">
        <v>310</v>
      </c>
      <c r="M2908" t="s">
        <v>310</v>
      </c>
      <c r="N2908">
        <v>0</v>
      </c>
      <c r="O2908" t="s">
        <v>319</v>
      </c>
      <c r="P2908" t="s">
        <v>310</v>
      </c>
      <c r="Q2908" t="s">
        <v>310</v>
      </c>
      <c r="R2908" t="s">
        <v>310</v>
      </c>
      <c r="S2908">
        <v>9</v>
      </c>
      <c r="T2908" t="s">
        <v>310</v>
      </c>
      <c r="U2908">
        <v>9</v>
      </c>
      <c r="V2908">
        <v>9</v>
      </c>
      <c r="W2908">
        <v>0</v>
      </c>
      <c r="X2908">
        <v>0</v>
      </c>
      <c r="Y2908">
        <v>0</v>
      </c>
      <c r="Z2908">
        <v>0</v>
      </c>
      <c r="AA2908">
        <v>9</v>
      </c>
      <c r="AB2908">
        <v>9</v>
      </c>
      <c r="AC2908" t="s">
        <v>310</v>
      </c>
      <c r="AD2908">
        <v>9</v>
      </c>
      <c r="AE2908" t="s">
        <v>1392</v>
      </c>
      <c r="AF2908">
        <v>10100000</v>
      </c>
      <c r="AG2908" t="s">
        <v>310</v>
      </c>
      <c r="AH2908">
        <f>SUM((MID(Dyno_Data[[#This Row],[Team]],4,5))+(Dyno_Data[[#This Row],[Match]]/100))</f>
        <v>2053.5500000000002</v>
      </c>
      <c r="AI2908" s="76">
        <f>ROUND(SUM(IF(Dyno_Data[[#This Row],[AcqCenter]]&gt;0,Dyno_Data[[#This Row],[Time]]-SUMIFS(Dyno_Data[Time],Dyno_Data[Team],Dyno_Data[[#This Row],[Team]],Dyno_Data[RecordType],"StartMatch",Dyno_Data[Match],Dyno_Data[[#This Row],[Match]]),0)*86400),0)</f>
        <v>0</v>
      </c>
    </row>
    <row r="2909" spans="1:35" x14ac:dyDescent="0.3">
      <c r="A2909">
        <v>2902</v>
      </c>
      <c r="B2909" t="s">
        <v>363</v>
      </c>
      <c r="C2909">
        <v>55</v>
      </c>
      <c r="D2909" s="105">
        <v>45373.744353587965</v>
      </c>
      <c r="E2909" t="s">
        <v>312</v>
      </c>
      <c r="F2909" t="s">
        <v>309</v>
      </c>
      <c r="G2909">
        <v>0</v>
      </c>
      <c r="H2909" t="s">
        <v>1397</v>
      </c>
      <c r="I2909">
        <v>0</v>
      </c>
      <c r="J2909">
        <v>0</v>
      </c>
      <c r="K2909">
        <v>0</v>
      </c>
      <c r="L2909" t="s">
        <v>241</v>
      </c>
      <c r="M2909" t="s">
        <v>1398</v>
      </c>
      <c r="N2909">
        <v>1</v>
      </c>
      <c r="O2909" t="s">
        <v>311</v>
      </c>
      <c r="P2909" t="s">
        <v>310</v>
      </c>
      <c r="Q2909" t="s">
        <v>310</v>
      </c>
      <c r="R2909" t="s">
        <v>310</v>
      </c>
      <c r="S2909">
        <v>9</v>
      </c>
      <c r="T2909" t="s">
        <v>310</v>
      </c>
      <c r="U2909">
        <v>9</v>
      </c>
      <c r="V2909">
        <v>9</v>
      </c>
      <c r="W2909">
        <v>0</v>
      </c>
      <c r="X2909">
        <v>0</v>
      </c>
      <c r="Y2909">
        <v>0</v>
      </c>
      <c r="Z2909">
        <v>0</v>
      </c>
      <c r="AA2909">
        <v>9</v>
      </c>
      <c r="AB2909">
        <v>9</v>
      </c>
      <c r="AC2909" t="s">
        <v>310</v>
      </c>
      <c r="AD2909">
        <v>9</v>
      </c>
      <c r="AE2909" t="s">
        <v>1394</v>
      </c>
      <c r="AF2909">
        <v>0</v>
      </c>
      <c r="AG2909" t="s">
        <v>310</v>
      </c>
      <c r="AH2909">
        <f>SUM((MID(Dyno_Data[[#This Row],[Team]],4,5))+(Dyno_Data[[#This Row],[Match]]/100))</f>
        <v>2601.5500000000002</v>
      </c>
      <c r="AI2909" s="76">
        <f>ROUND(SUM(IF(Dyno_Data[[#This Row],[AcqCenter]]&gt;0,Dyno_Data[[#This Row],[Time]]-SUMIFS(Dyno_Data[Time],Dyno_Data[Team],Dyno_Data[[#This Row],[Team]],Dyno_Data[RecordType],"StartMatch",Dyno_Data[Match],Dyno_Data[[#This Row],[Match]]),0)*86400),0)</f>
        <v>0</v>
      </c>
    </row>
    <row r="2910" spans="1:35" x14ac:dyDescent="0.3">
      <c r="A2910">
        <v>2903</v>
      </c>
      <c r="B2910" t="s">
        <v>1288</v>
      </c>
      <c r="C2910">
        <v>55</v>
      </c>
      <c r="D2910" s="105">
        <v>45373.744365937499</v>
      </c>
      <c r="E2910" t="s">
        <v>312</v>
      </c>
      <c r="F2910" t="s">
        <v>309</v>
      </c>
      <c r="G2910">
        <v>0</v>
      </c>
      <c r="H2910" t="s">
        <v>1397</v>
      </c>
      <c r="I2910">
        <v>0</v>
      </c>
      <c r="J2910">
        <v>0</v>
      </c>
      <c r="K2910">
        <v>0</v>
      </c>
      <c r="L2910" t="s">
        <v>240</v>
      </c>
      <c r="M2910" t="s">
        <v>1398</v>
      </c>
      <c r="N2910">
        <v>0</v>
      </c>
      <c r="O2910" t="s">
        <v>1389</v>
      </c>
      <c r="P2910" t="s">
        <v>310</v>
      </c>
      <c r="Q2910" t="s">
        <v>310</v>
      </c>
      <c r="R2910" t="s">
        <v>310</v>
      </c>
      <c r="S2910">
        <v>9</v>
      </c>
      <c r="T2910" t="s">
        <v>310</v>
      </c>
      <c r="U2910">
        <v>9</v>
      </c>
      <c r="V2910">
        <v>9</v>
      </c>
      <c r="W2910">
        <v>0</v>
      </c>
      <c r="X2910">
        <v>0</v>
      </c>
      <c r="Y2910">
        <v>0</v>
      </c>
      <c r="Z2910">
        <v>0</v>
      </c>
      <c r="AA2910">
        <v>9</v>
      </c>
      <c r="AB2910">
        <v>9</v>
      </c>
      <c r="AC2910" t="s">
        <v>310</v>
      </c>
      <c r="AD2910">
        <v>9</v>
      </c>
      <c r="AE2910" t="s">
        <v>1417</v>
      </c>
      <c r="AF2910">
        <v>0</v>
      </c>
      <c r="AG2910" t="s">
        <v>310</v>
      </c>
      <c r="AH2910">
        <f>SUM((MID(Dyno_Data[[#This Row],[Team]],4,5))+(Dyno_Data[[#This Row],[Match]]/100))</f>
        <v>3181.55</v>
      </c>
      <c r="AI2910" s="76">
        <f>ROUND(SUM(IF(Dyno_Data[[#This Row],[AcqCenter]]&gt;0,Dyno_Data[[#This Row],[Time]]-SUMIFS(Dyno_Data[Time],Dyno_Data[Team],Dyno_Data[[#This Row],[Team]],Dyno_Data[RecordType],"StartMatch",Dyno_Data[Match],Dyno_Data[[#This Row],[Match]]),0)*86400),0)</f>
        <v>0</v>
      </c>
    </row>
    <row r="2911" spans="1:35" x14ac:dyDescent="0.3">
      <c r="A2911">
        <v>2904</v>
      </c>
      <c r="B2911" t="s">
        <v>1312</v>
      </c>
      <c r="C2911">
        <v>55</v>
      </c>
      <c r="D2911" s="105">
        <v>45373.744370949076</v>
      </c>
      <c r="E2911" t="s">
        <v>312</v>
      </c>
      <c r="F2911" t="s">
        <v>309</v>
      </c>
      <c r="G2911">
        <v>0</v>
      </c>
      <c r="H2911" t="s">
        <v>1397</v>
      </c>
      <c r="I2911">
        <v>0</v>
      </c>
      <c r="J2911">
        <v>0</v>
      </c>
      <c r="K2911">
        <v>0</v>
      </c>
      <c r="L2911" t="s">
        <v>241</v>
      </c>
      <c r="M2911" t="s">
        <v>1398</v>
      </c>
      <c r="N2911">
        <v>1</v>
      </c>
      <c r="O2911" t="s">
        <v>319</v>
      </c>
      <c r="P2911" t="s">
        <v>310</v>
      </c>
      <c r="Q2911" t="s">
        <v>310</v>
      </c>
      <c r="R2911" t="s">
        <v>310</v>
      </c>
      <c r="S2911">
        <v>9</v>
      </c>
      <c r="T2911" t="s">
        <v>310</v>
      </c>
      <c r="U2911">
        <v>9</v>
      </c>
      <c r="V2911">
        <v>9</v>
      </c>
      <c r="W2911">
        <v>0</v>
      </c>
      <c r="X2911">
        <v>0</v>
      </c>
      <c r="Y2911">
        <v>0</v>
      </c>
      <c r="Z2911">
        <v>0</v>
      </c>
      <c r="AA2911">
        <v>9</v>
      </c>
      <c r="AB2911">
        <v>9</v>
      </c>
      <c r="AC2911" t="s">
        <v>310</v>
      </c>
      <c r="AD2911">
        <v>9</v>
      </c>
      <c r="AE2911" t="s">
        <v>1392</v>
      </c>
      <c r="AF2911">
        <v>100000</v>
      </c>
      <c r="AG2911" t="s">
        <v>310</v>
      </c>
      <c r="AH2911">
        <f>SUM((MID(Dyno_Data[[#This Row],[Team]],4,5))+(Dyno_Data[[#This Row],[Match]]/100))</f>
        <v>2053.5500000000002</v>
      </c>
      <c r="AI2911" s="76">
        <f>ROUND(SUM(IF(Dyno_Data[[#This Row],[AcqCenter]]&gt;0,Dyno_Data[[#This Row],[Time]]-SUMIFS(Dyno_Data[Time],Dyno_Data[Team],Dyno_Data[[#This Row],[Team]],Dyno_Data[RecordType],"StartMatch",Dyno_Data[Match],Dyno_Data[[#This Row],[Match]]),0)*86400),0)</f>
        <v>0</v>
      </c>
    </row>
    <row r="2912" spans="1:35" x14ac:dyDescent="0.3">
      <c r="A2912">
        <v>2905</v>
      </c>
      <c r="B2912" t="s">
        <v>1288</v>
      </c>
      <c r="C2912">
        <v>55</v>
      </c>
      <c r="D2912" s="105">
        <v>45373.74440447917</v>
      </c>
      <c r="E2912" t="s">
        <v>312</v>
      </c>
      <c r="F2912" t="s">
        <v>309</v>
      </c>
      <c r="G2912">
        <v>0</v>
      </c>
      <c r="H2912" t="s">
        <v>315</v>
      </c>
      <c r="I2912">
        <v>0</v>
      </c>
      <c r="J2912">
        <v>0</v>
      </c>
      <c r="K2912">
        <v>0</v>
      </c>
      <c r="L2912" t="s">
        <v>240</v>
      </c>
      <c r="M2912" t="s">
        <v>1398</v>
      </c>
      <c r="N2912">
        <v>1</v>
      </c>
      <c r="O2912" t="s">
        <v>1389</v>
      </c>
      <c r="P2912" t="s">
        <v>310</v>
      </c>
      <c r="Q2912" t="s">
        <v>310</v>
      </c>
      <c r="R2912" t="s">
        <v>310</v>
      </c>
      <c r="S2912">
        <v>9</v>
      </c>
      <c r="T2912" t="s">
        <v>310</v>
      </c>
      <c r="U2912">
        <v>9</v>
      </c>
      <c r="V2912">
        <v>9</v>
      </c>
      <c r="W2912">
        <v>0</v>
      </c>
      <c r="X2912">
        <v>0</v>
      </c>
      <c r="Y2912">
        <v>0</v>
      </c>
      <c r="Z2912">
        <v>0</v>
      </c>
      <c r="AA2912">
        <v>9</v>
      </c>
      <c r="AB2912">
        <v>9</v>
      </c>
      <c r="AC2912" t="s">
        <v>310</v>
      </c>
      <c r="AD2912">
        <v>9</v>
      </c>
      <c r="AE2912" t="s">
        <v>1417</v>
      </c>
      <c r="AF2912">
        <v>10000000</v>
      </c>
      <c r="AG2912" t="s">
        <v>310</v>
      </c>
      <c r="AH2912">
        <f>SUM((MID(Dyno_Data[[#This Row],[Team]],4,5))+(Dyno_Data[[#This Row],[Match]]/100))</f>
        <v>3181.55</v>
      </c>
      <c r="AI2912" s="76">
        <f>ROUND(SUM(IF(Dyno_Data[[#This Row],[AcqCenter]]&gt;0,Dyno_Data[[#This Row],[Time]]-SUMIFS(Dyno_Data[Time],Dyno_Data[Team],Dyno_Data[[#This Row],[Team]],Dyno_Data[RecordType],"StartMatch",Dyno_Data[Match],Dyno_Data[[#This Row],[Match]]),0)*86400),0)</f>
        <v>0</v>
      </c>
    </row>
    <row r="2913" spans="1:35" x14ac:dyDescent="0.3">
      <c r="A2913">
        <v>2906</v>
      </c>
      <c r="B2913" t="s">
        <v>1312</v>
      </c>
      <c r="C2913">
        <v>55</v>
      </c>
      <c r="D2913" s="105">
        <v>45373.744405173609</v>
      </c>
      <c r="E2913" t="s">
        <v>312</v>
      </c>
      <c r="F2913" t="s">
        <v>309</v>
      </c>
      <c r="G2913">
        <v>0</v>
      </c>
      <c r="H2913" t="s">
        <v>315</v>
      </c>
      <c r="I2913">
        <v>0</v>
      </c>
      <c r="J2913">
        <v>0</v>
      </c>
      <c r="K2913">
        <v>0</v>
      </c>
      <c r="L2913" t="s">
        <v>241</v>
      </c>
      <c r="M2913" t="s">
        <v>1398</v>
      </c>
      <c r="N2913">
        <v>0</v>
      </c>
      <c r="O2913" t="s">
        <v>319</v>
      </c>
      <c r="P2913" t="s">
        <v>310</v>
      </c>
      <c r="Q2913" t="s">
        <v>310</v>
      </c>
      <c r="R2913" t="s">
        <v>310</v>
      </c>
      <c r="S2913">
        <v>9</v>
      </c>
      <c r="T2913" t="s">
        <v>310</v>
      </c>
      <c r="U2913">
        <v>9</v>
      </c>
      <c r="V2913">
        <v>9</v>
      </c>
      <c r="W2913">
        <v>0</v>
      </c>
      <c r="X2913">
        <v>0</v>
      </c>
      <c r="Y2913">
        <v>0</v>
      </c>
      <c r="Z2913">
        <v>0</v>
      </c>
      <c r="AA2913">
        <v>9</v>
      </c>
      <c r="AB2913">
        <v>9</v>
      </c>
      <c r="AC2913" t="s">
        <v>310</v>
      </c>
      <c r="AD2913">
        <v>9</v>
      </c>
      <c r="AE2913" t="s">
        <v>1392</v>
      </c>
      <c r="AF2913">
        <v>10100000</v>
      </c>
      <c r="AG2913" t="s">
        <v>310</v>
      </c>
      <c r="AH2913">
        <f>SUM((MID(Dyno_Data[[#This Row],[Team]],4,5))+(Dyno_Data[[#This Row],[Match]]/100))</f>
        <v>2053.5500000000002</v>
      </c>
      <c r="AI2913" s="76">
        <f>ROUND(SUM(IF(Dyno_Data[[#This Row],[AcqCenter]]&gt;0,Dyno_Data[[#This Row],[Time]]-SUMIFS(Dyno_Data[Time],Dyno_Data[Team],Dyno_Data[[#This Row],[Team]],Dyno_Data[RecordType],"StartMatch",Dyno_Data[Match],Dyno_Data[[#This Row],[Match]]),0)*86400),0)</f>
        <v>0</v>
      </c>
    </row>
    <row r="2914" spans="1:35" x14ac:dyDescent="0.3">
      <c r="A2914">
        <v>2907</v>
      </c>
      <c r="B2914" t="s">
        <v>363</v>
      </c>
      <c r="C2914">
        <v>55</v>
      </c>
      <c r="D2914" s="105">
        <v>45373.744406562502</v>
      </c>
      <c r="E2914" t="s">
        <v>312</v>
      </c>
      <c r="F2914" t="s">
        <v>309</v>
      </c>
      <c r="G2914">
        <v>0</v>
      </c>
      <c r="H2914" t="s">
        <v>143</v>
      </c>
      <c r="I2914">
        <v>1</v>
      </c>
      <c r="J2914">
        <v>1</v>
      </c>
      <c r="K2914">
        <v>0</v>
      </c>
      <c r="L2914" t="s">
        <v>310</v>
      </c>
      <c r="M2914" t="s">
        <v>310</v>
      </c>
      <c r="N2914">
        <v>0</v>
      </c>
      <c r="O2914" t="s">
        <v>311</v>
      </c>
      <c r="P2914" t="s">
        <v>310</v>
      </c>
      <c r="Q2914" t="s">
        <v>310</v>
      </c>
      <c r="R2914" t="s">
        <v>310</v>
      </c>
      <c r="S2914">
        <v>9</v>
      </c>
      <c r="T2914" t="s">
        <v>310</v>
      </c>
      <c r="U2914">
        <v>9</v>
      </c>
      <c r="V2914">
        <v>9</v>
      </c>
      <c r="W2914">
        <v>0</v>
      </c>
      <c r="X2914">
        <v>0</v>
      </c>
      <c r="Y2914">
        <v>0</v>
      </c>
      <c r="Z2914">
        <v>0</v>
      </c>
      <c r="AA2914">
        <v>9</v>
      </c>
      <c r="AB2914">
        <v>9</v>
      </c>
      <c r="AC2914" t="s">
        <v>310</v>
      </c>
      <c r="AD2914">
        <v>9</v>
      </c>
      <c r="AE2914" t="s">
        <v>1394</v>
      </c>
      <c r="AF2914">
        <v>0</v>
      </c>
      <c r="AG2914" t="s">
        <v>310</v>
      </c>
      <c r="AH2914">
        <f>SUM((MID(Dyno_Data[[#This Row],[Team]],4,5))+(Dyno_Data[[#This Row],[Match]]/100))</f>
        <v>2601.5500000000002</v>
      </c>
      <c r="AI2914" s="76">
        <f>ROUND(SUM(IF(Dyno_Data[[#This Row],[AcqCenter]]&gt;0,Dyno_Data[[#This Row],[Time]]-SUMIFS(Dyno_Data[Time],Dyno_Data[Team],Dyno_Data[[#This Row],[Team]],Dyno_Data[RecordType],"StartMatch",Dyno_Data[Match],Dyno_Data[[#This Row],[Match]]),0)*86400),0)</f>
        <v>8</v>
      </c>
    </row>
    <row r="2915" spans="1:35" x14ac:dyDescent="0.3">
      <c r="A2915">
        <v>2909</v>
      </c>
      <c r="B2915" t="s">
        <v>1288</v>
      </c>
      <c r="C2915">
        <v>55</v>
      </c>
      <c r="D2915" s="105">
        <v>45373.744449155092</v>
      </c>
      <c r="E2915" t="s">
        <v>312</v>
      </c>
      <c r="F2915" t="s">
        <v>309</v>
      </c>
      <c r="G2915">
        <v>0</v>
      </c>
      <c r="H2915" t="s">
        <v>143</v>
      </c>
      <c r="I2915">
        <v>3</v>
      </c>
      <c r="J2915">
        <v>-1</v>
      </c>
      <c r="K2915">
        <v>0</v>
      </c>
      <c r="L2915" t="s">
        <v>310</v>
      </c>
      <c r="M2915" t="s">
        <v>310</v>
      </c>
      <c r="N2915">
        <v>0</v>
      </c>
      <c r="O2915" t="s">
        <v>1389</v>
      </c>
      <c r="P2915" t="s">
        <v>310</v>
      </c>
      <c r="Q2915" t="s">
        <v>310</v>
      </c>
      <c r="R2915" t="s">
        <v>310</v>
      </c>
      <c r="S2915">
        <v>9</v>
      </c>
      <c r="T2915" t="s">
        <v>310</v>
      </c>
      <c r="U2915">
        <v>9</v>
      </c>
      <c r="V2915">
        <v>9</v>
      </c>
      <c r="W2915">
        <v>0</v>
      </c>
      <c r="X2915">
        <v>0</v>
      </c>
      <c r="Y2915">
        <v>0</v>
      </c>
      <c r="Z2915">
        <v>0</v>
      </c>
      <c r="AA2915">
        <v>9</v>
      </c>
      <c r="AB2915">
        <v>9</v>
      </c>
      <c r="AC2915" t="s">
        <v>310</v>
      </c>
      <c r="AD2915">
        <v>9</v>
      </c>
      <c r="AE2915" t="s">
        <v>1417</v>
      </c>
      <c r="AF2915">
        <v>10000000</v>
      </c>
      <c r="AG2915" t="s">
        <v>310</v>
      </c>
      <c r="AH2915">
        <f>SUM((MID(Dyno_Data[[#This Row],[Team]],4,5))+(Dyno_Data[[#This Row],[Match]]/100))</f>
        <v>3181.55</v>
      </c>
      <c r="AI2915" s="76">
        <f>ROUND(SUM(IF(Dyno_Data[[#This Row],[AcqCenter]]&gt;0,Dyno_Data[[#This Row],[Time]]-SUMIFS(Dyno_Data[Time],Dyno_Data[Team],Dyno_Data[[#This Row],[Team]],Dyno_Data[RecordType],"StartMatch",Dyno_Data[Match],Dyno_Data[[#This Row],[Match]]),0)*86400),0)</f>
        <v>11</v>
      </c>
    </row>
    <row r="2916" spans="1:35" x14ac:dyDescent="0.3">
      <c r="A2916">
        <v>2908</v>
      </c>
      <c r="B2916" t="s">
        <v>363</v>
      </c>
      <c r="C2916">
        <v>55</v>
      </c>
      <c r="D2916" s="105">
        <v>45373.744461030095</v>
      </c>
      <c r="E2916" t="s">
        <v>312</v>
      </c>
      <c r="F2916" t="s">
        <v>309</v>
      </c>
      <c r="G2916">
        <v>0</v>
      </c>
      <c r="H2916" t="s">
        <v>143</v>
      </c>
      <c r="I2916">
        <v>0</v>
      </c>
      <c r="J2916">
        <v>0</v>
      </c>
      <c r="K2916">
        <v>0</v>
      </c>
      <c r="L2916" t="s">
        <v>241</v>
      </c>
      <c r="M2916" t="s">
        <v>241</v>
      </c>
      <c r="N2916">
        <v>0</v>
      </c>
      <c r="O2916" t="s">
        <v>311</v>
      </c>
      <c r="P2916" t="s">
        <v>310</v>
      </c>
      <c r="Q2916" t="s">
        <v>310</v>
      </c>
      <c r="R2916" t="s">
        <v>310</v>
      </c>
      <c r="S2916">
        <v>9</v>
      </c>
      <c r="T2916" t="s">
        <v>310</v>
      </c>
      <c r="U2916">
        <v>9</v>
      </c>
      <c r="V2916">
        <v>9</v>
      </c>
      <c r="W2916">
        <v>0</v>
      </c>
      <c r="X2916">
        <v>0</v>
      </c>
      <c r="Y2916">
        <v>0</v>
      </c>
      <c r="Z2916">
        <v>0</v>
      </c>
      <c r="AA2916">
        <v>9</v>
      </c>
      <c r="AB2916">
        <v>9</v>
      </c>
      <c r="AC2916" t="s">
        <v>310</v>
      </c>
      <c r="AD2916">
        <v>9</v>
      </c>
      <c r="AE2916" t="s">
        <v>1394</v>
      </c>
      <c r="AF2916">
        <v>0</v>
      </c>
      <c r="AG2916" t="s">
        <v>310</v>
      </c>
      <c r="AH2916">
        <f>SUM((MID(Dyno_Data[[#This Row],[Team]],4,5))+(Dyno_Data[[#This Row],[Match]]/100))</f>
        <v>2601.5500000000002</v>
      </c>
      <c r="AI2916" s="76">
        <f>ROUND(SUM(IF(Dyno_Data[[#This Row],[AcqCenter]]&gt;0,Dyno_Data[[#This Row],[Time]]-SUMIFS(Dyno_Data[Time],Dyno_Data[Team],Dyno_Data[[#This Row],[Team]],Dyno_Data[RecordType],"StartMatch",Dyno_Data[Match],Dyno_Data[[#This Row],[Match]]),0)*86400),0)</f>
        <v>0</v>
      </c>
    </row>
    <row r="2917" spans="1:35" x14ac:dyDescent="0.3">
      <c r="A2917">
        <v>2910</v>
      </c>
      <c r="B2917" t="s">
        <v>1288</v>
      </c>
      <c r="C2917">
        <v>55</v>
      </c>
      <c r="D2917" s="105">
        <v>45373.744500775465</v>
      </c>
      <c r="E2917" t="s">
        <v>312</v>
      </c>
      <c r="F2917" t="s">
        <v>309</v>
      </c>
      <c r="G2917">
        <v>0</v>
      </c>
      <c r="H2917" t="s">
        <v>315</v>
      </c>
      <c r="I2917">
        <v>0</v>
      </c>
      <c r="J2917">
        <v>0</v>
      </c>
      <c r="K2917">
        <v>0</v>
      </c>
      <c r="L2917" t="s">
        <v>242</v>
      </c>
      <c r="M2917" t="s">
        <v>1398</v>
      </c>
      <c r="N2917">
        <v>0</v>
      </c>
      <c r="O2917" t="s">
        <v>1389</v>
      </c>
      <c r="P2917" t="s">
        <v>310</v>
      </c>
      <c r="Q2917" t="s">
        <v>310</v>
      </c>
      <c r="R2917" t="s">
        <v>310</v>
      </c>
      <c r="S2917">
        <v>9</v>
      </c>
      <c r="T2917" t="s">
        <v>310</v>
      </c>
      <c r="U2917">
        <v>9</v>
      </c>
      <c r="V2917">
        <v>9</v>
      </c>
      <c r="W2917">
        <v>0</v>
      </c>
      <c r="X2917">
        <v>0</v>
      </c>
      <c r="Y2917">
        <v>0</v>
      </c>
      <c r="Z2917">
        <v>0</v>
      </c>
      <c r="AA2917">
        <v>9</v>
      </c>
      <c r="AB2917">
        <v>9</v>
      </c>
      <c r="AC2917" t="s">
        <v>310</v>
      </c>
      <c r="AD2917">
        <v>9</v>
      </c>
      <c r="AE2917" t="s">
        <v>1417</v>
      </c>
      <c r="AF2917">
        <v>20000000</v>
      </c>
      <c r="AG2917" t="s">
        <v>310</v>
      </c>
      <c r="AH2917">
        <f>SUM((MID(Dyno_Data[[#This Row],[Team]],4,5))+(Dyno_Data[[#This Row],[Match]]/100))</f>
        <v>3181.55</v>
      </c>
      <c r="AI2917" s="76">
        <f>ROUND(SUM(IF(Dyno_Data[[#This Row],[AcqCenter]]&gt;0,Dyno_Data[[#This Row],[Time]]-SUMIFS(Dyno_Data[Time],Dyno_Data[Team],Dyno_Data[[#This Row],[Team]],Dyno_Data[RecordType],"StartMatch",Dyno_Data[Match],Dyno_Data[[#This Row],[Match]]),0)*86400),0)</f>
        <v>0</v>
      </c>
    </row>
    <row r="2918" spans="1:35" x14ac:dyDescent="0.3">
      <c r="A2918">
        <v>2913</v>
      </c>
      <c r="B2918" t="s">
        <v>1312</v>
      </c>
      <c r="C2918">
        <v>55</v>
      </c>
      <c r="D2918" s="105">
        <v>45373.744515162034</v>
      </c>
      <c r="E2918" t="s">
        <v>312</v>
      </c>
      <c r="F2918" t="s">
        <v>309</v>
      </c>
      <c r="G2918">
        <v>0</v>
      </c>
      <c r="H2918" t="s">
        <v>143</v>
      </c>
      <c r="I2918">
        <v>3</v>
      </c>
      <c r="J2918">
        <v>-1</v>
      </c>
      <c r="K2918">
        <v>0</v>
      </c>
      <c r="L2918" t="s">
        <v>310</v>
      </c>
      <c r="M2918" t="s">
        <v>310</v>
      </c>
      <c r="N2918">
        <v>0</v>
      </c>
      <c r="O2918" t="s">
        <v>319</v>
      </c>
      <c r="P2918" t="s">
        <v>310</v>
      </c>
      <c r="Q2918" t="s">
        <v>310</v>
      </c>
      <c r="R2918" t="s">
        <v>310</v>
      </c>
      <c r="S2918">
        <v>9</v>
      </c>
      <c r="T2918" t="s">
        <v>310</v>
      </c>
      <c r="U2918">
        <v>9</v>
      </c>
      <c r="V2918">
        <v>9</v>
      </c>
      <c r="W2918">
        <v>0</v>
      </c>
      <c r="X2918">
        <v>0</v>
      </c>
      <c r="Y2918">
        <v>0</v>
      </c>
      <c r="Z2918">
        <v>0</v>
      </c>
      <c r="AA2918">
        <v>9</v>
      </c>
      <c r="AB2918">
        <v>9</v>
      </c>
      <c r="AC2918" t="s">
        <v>310</v>
      </c>
      <c r="AD2918">
        <v>9</v>
      </c>
      <c r="AE2918" t="s">
        <v>1392</v>
      </c>
      <c r="AF2918">
        <v>10100000</v>
      </c>
      <c r="AG2918" t="s">
        <v>310</v>
      </c>
      <c r="AH2918">
        <f>SUM((MID(Dyno_Data[[#This Row],[Team]],4,5))+(Dyno_Data[[#This Row],[Match]]/100))</f>
        <v>2053.5500000000002</v>
      </c>
      <c r="AI2918" s="76">
        <f>ROUND(SUM(IF(Dyno_Data[[#This Row],[AcqCenter]]&gt;0,Dyno_Data[[#This Row],[Time]]-SUMIFS(Dyno_Data[Time],Dyno_Data[Team],Dyno_Data[[#This Row],[Team]],Dyno_Data[RecordType],"StartMatch",Dyno_Data[Match],Dyno_Data[[#This Row],[Match]]),0)*86400),0)</f>
        <v>16</v>
      </c>
    </row>
    <row r="2919" spans="1:35" x14ac:dyDescent="0.3">
      <c r="A2919">
        <v>2912</v>
      </c>
      <c r="B2919" t="s">
        <v>1297</v>
      </c>
      <c r="C2919">
        <v>55</v>
      </c>
      <c r="D2919" s="105">
        <v>45373.744523263886</v>
      </c>
      <c r="E2919" t="s">
        <v>314</v>
      </c>
      <c r="F2919" t="s">
        <v>309</v>
      </c>
      <c r="G2919">
        <v>0</v>
      </c>
      <c r="H2919" t="s">
        <v>310</v>
      </c>
      <c r="I2919">
        <v>0</v>
      </c>
      <c r="J2919">
        <v>0</v>
      </c>
      <c r="K2919">
        <v>0</v>
      </c>
      <c r="L2919" t="s">
        <v>310</v>
      </c>
      <c r="M2919" t="s">
        <v>310</v>
      </c>
      <c r="N2919">
        <v>0</v>
      </c>
      <c r="O2919" t="s">
        <v>1393</v>
      </c>
      <c r="P2919" t="s">
        <v>320</v>
      </c>
      <c r="Q2919" t="s">
        <v>1400</v>
      </c>
      <c r="R2919" t="s">
        <v>310</v>
      </c>
      <c r="S2919">
        <v>9</v>
      </c>
      <c r="T2919" t="s">
        <v>310</v>
      </c>
      <c r="U2919">
        <v>9</v>
      </c>
      <c r="V2919">
        <v>9</v>
      </c>
      <c r="W2919">
        <v>0</v>
      </c>
      <c r="X2919">
        <v>0</v>
      </c>
      <c r="Y2919">
        <v>0</v>
      </c>
      <c r="Z2919">
        <v>0</v>
      </c>
      <c r="AA2919">
        <v>9</v>
      </c>
      <c r="AB2919">
        <v>9</v>
      </c>
      <c r="AC2919" t="s">
        <v>310</v>
      </c>
      <c r="AD2919">
        <v>9</v>
      </c>
      <c r="AE2919" t="s">
        <v>1387</v>
      </c>
      <c r="AF2919">
        <v>0</v>
      </c>
      <c r="AG2919" t="s">
        <v>310</v>
      </c>
      <c r="AH2919">
        <f>SUM((MID(Dyno_Data[[#This Row],[Team]],4,5))+(Dyno_Data[[#This Row],[Match]]/100))</f>
        <v>9750.5499999999993</v>
      </c>
      <c r="AI2919" s="76">
        <f>ROUND(SUM(IF(Dyno_Data[[#This Row],[AcqCenter]]&gt;0,Dyno_Data[[#This Row],[Time]]-SUMIFS(Dyno_Data[Time],Dyno_Data[Team],Dyno_Data[[#This Row],[Team]],Dyno_Data[RecordType],"StartMatch",Dyno_Data[Match],Dyno_Data[[#This Row],[Match]]),0)*86400),0)</f>
        <v>0</v>
      </c>
    </row>
    <row r="2920" spans="1:35" x14ac:dyDescent="0.3">
      <c r="A2920">
        <v>2915</v>
      </c>
      <c r="B2920" t="s">
        <v>362</v>
      </c>
      <c r="C2920">
        <v>55</v>
      </c>
      <c r="D2920" s="105">
        <v>45373.74452615741</v>
      </c>
      <c r="E2920" t="s">
        <v>314</v>
      </c>
      <c r="F2920" t="s">
        <v>309</v>
      </c>
      <c r="G2920">
        <v>1</v>
      </c>
      <c r="H2920" t="s">
        <v>310</v>
      </c>
      <c r="I2920">
        <v>0</v>
      </c>
      <c r="J2920">
        <v>0</v>
      </c>
      <c r="K2920">
        <v>0</v>
      </c>
      <c r="L2920" t="s">
        <v>310</v>
      </c>
      <c r="M2920" t="s">
        <v>310</v>
      </c>
      <c r="N2920">
        <v>0</v>
      </c>
      <c r="O2920" t="s">
        <v>1395</v>
      </c>
      <c r="P2920" t="s">
        <v>101</v>
      </c>
      <c r="Q2920" t="s">
        <v>1399</v>
      </c>
      <c r="R2920" t="s">
        <v>310</v>
      </c>
      <c r="S2920">
        <v>9</v>
      </c>
      <c r="T2920" t="s">
        <v>310</v>
      </c>
      <c r="U2920">
        <v>9</v>
      </c>
      <c r="V2920">
        <v>9</v>
      </c>
      <c r="W2920">
        <v>0</v>
      </c>
      <c r="X2920">
        <v>0</v>
      </c>
      <c r="Y2920">
        <v>0</v>
      </c>
      <c r="Z2920">
        <v>0</v>
      </c>
      <c r="AA2920">
        <v>9</v>
      </c>
      <c r="AB2920">
        <v>9</v>
      </c>
      <c r="AC2920" t="s">
        <v>310</v>
      </c>
      <c r="AD2920">
        <v>9</v>
      </c>
      <c r="AE2920" t="s">
        <v>1416</v>
      </c>
      <c r="AF2920">
        <v>0</v>
      </c>
      <c r="AG2920" t="s">
        <v>310</v>
      </c>
      <c r="AH2920">
        <f>SUM((MID(Dyno_Data[[#This Row],[Team]],4,5))+(Dyno_Data[[#This Row],[Match]]/100))</f>
        <v>250.55</v>
      </c>
      <c r="AI2920" s="76">
        <f>ROUND(SUM(IF(Dyno_Data[[#This Row],[AcqCenter]]&gt;0,Dyno_Data[[#This Row],[Time]]-SUMIFS(Dyno_Data[Time],Dyno_Data[Team],Dyno_Data[[#This Row],[Team]],Dyno_Data[RecordType],"StartMatch",Dyno_Data[Match],Dyno_Data[[#This Row],[Match]]),0)*86400),0)</f>
        <v>0</v>
      </c>
    </row>
    <row r="2921" spans="1:35" x14ac:dyDescent="0.3">
      <c r="A2921">
        <v>2917</v>
      </c>
      <c r="B2921" t="s">
        <v>363</v>
      </c>
      <c r="C2921">
        <v>55</v>
      </c>
      <c r="D2921" s="105">
        <v>45373.74452685185</v>
      </c>
      <c r="E2921" t="s">
        <v>314</v>
      </c>
      <c r="F2921" t="s">
        <v>309</v>
      </c>
      <c r="G2921">
        <v>1</v>
      </c>
      <c r="H2921" t="s">
        <v>310</v>
      </c>
      <c r="I2921">
        <v>0</v>
      </c>
      <c r="J2921">
        <v>0</v>
      </c>
      <c r="K2921">
        <v>0</v>
      </c>
      <c r="L2921" t="s">
        <v>310</v>
      </c>
      <c r="M2921" t="s">
        <v>310</v>
      </c>
      <c r="N2921">
        <v>0</v>
      </c>
      <c r="O2921" t="s">
        <v>311</v>
      </c>
      <c r="P2921" t="s">
        <v>1401</v>
      </c>
      <c r="Q2921" t="s">
        <v>1399</v>
      </c>
      <c r="R2921" t="s">
        <v>310</v>
      </c>
      <c r="S2921">
        <v>9</v>
      </c>
      <c r="T2921" t="s">
        <v>310</v>
      </c>
      <c r="U2921">
        <v>9</v>
      </c>
      <c r="V2921">
        <v>9</v>
      </c>
      <c r="W2921">
        <v>0</v>
      </c>
      <c r="X2921">
        <v>0</v>
      </c>
      <c r="Y2921">
        <v>0</v>
      </c>
      <c r="Z2921">
        <v>0</v>
      </c>
      <c r="AA2921">
        <v>9</v>
      </c>
      <c r="AB2921">
        <v>9</v>
      </c>
      <c r="AC2921" t="s">
        <v>310</v>
      </c>
      <c r="AD2921">
        <v>9</v>
      </c>
      <c r="AE2921" t="s">
        <v>1394</v>
      </c>
      <c r="AF2921">
        <v>0</v>
      </c>
      <c r="AG2921" t="s">
        <v>310</v>
      </c>
      <c r="AH2921">
        <f>SUM((MID(Dyno_Data[[#This Row],[Team]],4,5))+(Dyno_Data[[#This Row],[Match]]/100))</f>
        <v>2601.5500000000002</v>
      </c>
      <c r="AI2921" s="76">
        <f>ROUND(SUM(IF(Dyno_Data[[#This Row],[AcqCenter]]&gt;0,Dyno_Data[[#This Row],[Time]]-SUMIFS(Dyno_Data[Time],Dyno_Data[Team],Dyno_Data[[#This Row],[Team]],Dyno_Data[RecordType],"StartMatch",Dyno_Data[Match],Dyno_Data[[#This Row],[Match]]),0)*86400),0)</f>
        <v>0</v>
      </c>
    </row>
    <row r="2922" spans="1:35" x14ac:dyDescent="0.3">
      <c r="A2922">
        <v>2919</v>
      </c>
      <c r="B2922" t="s">
        <v>1288</v>
      </c>
      <c r="C2922">
        <v>55</v>
      </c>
      <c r="D2922" s="105">
        <v>45373.744528240743</v>
      </c>
      <c r="E2922" t="s">
        <v>314</v>
      </c>
      <c r="F2922" t="s">
        <v>309</v>
      </c>
      <c r="G2922">
        <v>1</v>
      </c>
      <c r="H2922" t="s">
        <v>310</v>
      </c>
      <c r="I2922">
        <v>0</v>
      </c>
      <c r="J2922">
        <v>0</v>
      </c>
      <c r="K2922">
        <v>0</v>
      </c>
      <c r="L2922" t="s">
        <v>310</v>
      </c>
      <c r="M2922" t="s">
        <v>310</v>
      </c>
      <c r="N2922">
        <v>0</v>
      </c>
      <c r="O2922" t="s">
        <v>1389</v>
      </c>
      <c r="P2922" t="s">
        <v>1401</v>
      </c>
      <c r="Q2922" t="s">
        <v>1400</v>
      </c>
      <c r="R2922" t="s">
        <v>310</v>
      </c>
      <c r="S2922">
        <v>9</v>
      </c>
      <c r="T2922" t="s">
        <v>310</v>
      </c>
      <c r="U2922">
        <v>9</v>
      </c>
      <c r="V2922">
        <v>9</v>
      </c>
      <c r="W2922">
        <v>0</v>
      </c>
      <c r="X2922">
        <v>0</v>
      </c>
      <c r="Y2922">
        <v>0</v>
      </c>
      <c r="Z2922">
        <v>0</v>
      </c>
      <c r="AA2922">
        <v>9</v>
      </c>
      <c r="AB2922">
        <v>9</v>
      </c>
      <c r="AC2922" t="s">
        <v>310</v>
      </c>
      <c r="AD2922">
        <v>9</v>
      </c>
      <c r="AE2922" t="s">
        <v>1417</v>
      </c>
      <c r="AF2922">
        <v>20000000</v>
      </c>
      <c r="AG2922" t="s">
        <v>310</v>
      </c>
      <c r="AH2922">
        <f>SUM((MID(Dyno_Data[[#This Row],[Team]],4,5))+(Dyno_Data[[#This Row],[Match]]/100))</f>
        <v>3181.55</v>
      </c>
      <c r="AI2922" s="76">
        <f>ROUND(SUM(IF(Dyno_Data[[#This Row],[AcqCenter]]&gt;0,Dyno_Data[[#This Row],[Time]]-SUMIFS(Dyno_Data[Time],Dyno_Data[Team],Dyno_Data[[#This Row],[Team]],Dyno_Data[RecordType],"StartMatch",Dyno_Data[Match],Dyno_Data[[#This Row],[Match]]),0)*86400),0)</f>
        <v>0</v>
      </c>
    </row>
    <row r="2923" spans="1:35" x14ac:dyDescent="0.3">
      <c r="A2923">
        <v>2921</v>
      </c>
      <c r="B2923" t="s">
        <v>1284</v>
      </c>
      <c r="C2923">
        <v>55</v>
      </c>
      <c r="D2923" s="105">
        <v>45373.744532638892</v>
      </c>
      <c r="E2923" t="s">
        <v>314</v>
      </c>
      <c r="F2923" t="s">
        <v>309</v>
      </c>
      <c r="G2923">
        <v>1</v>
      </c>
      <c r="H2923" t="s">
        <v>310</v>
      </c>
      <c r="I2923">
        <v>0</v>
      </c>
      <c r="J2923">
        <v>0</v>
      </c>
      <c r="K2923">
        <v>0</v>
      </c>
      <c r="L2923" t="s">
        <v>310</v>
      </c>
      <c r="M2923" t="s">
        <v>310</v>
      </c>
      <c r="N2923">
        <v>0</v>
      </c>
      <c r="O2923" t="s">
        <v>1391</v>
      </c>
      <c r="P2923" t="s">
        <v>101</v>
      </c>
      <c r="Q2923" t="s">
        <v>1400</v>
      </c>
      <c r="R2923" t="s">
        <v>310</v>
      </c>
      <c r="S2923">
        <v>9</v>
      </c>
      <c r="T2923" t="s">
        <v>310</v>
      </c>
      <c r="U2923">
        <v>9</v>
      </c>
      <c r="V2923">
        <v>9</v>
      </c>
      <c r="W2923">
        <v>0</v>
      </c>
      <c r="X2923">
        <v>0</v>
      </c>
      <c r="Y2923">
        <v>0</v>
      </c>
      <c r="Z2923">
        <v>0</v>
      </c>
      <c r="AA2923">
        <v>9</v>
      </c>
      <c r="AB2923">
        <v>9</v>
      </c>
      <c r="AC2923" t="s">
        <v>310</v>
      </c>
      <c r="AD2923">
        <v>9</v>
      </c>
      <c r="AE2923" t="s">
        <v>1418</v>
      </c>
      <c r="AF2923">
        <v>0</v>
      </c>
      <c r="AG2923" t="s">
        <v>310</v>
      </c>
      <c r="AH2923">
        <f>SUM((MID(Dyno_Data[[#This Row],[Team]],4,5))+(Dyno_Data[[#This Row],[Match]]/100))</f>
        <v>5590.55</v>
      </c>
      <c r="AI2923" s="76">
        <f>ROUND(SUM(IF(Dyno_Data[[#This Row],[AcqCenter]]&gt;0,Dyno_Data[[#This Row],[Time]]-SUMIFS(Dyno_Data[Time],Dyno_Data[Team],Dyno_Data[[#This Row],[Team]],Dyno_Data[RecordType],"StartMatch",Dyno_Data[Match],Dyno_Data[[#This Row],[Match]]),0)*86400),0)</f>
        <v>0</v>
      </c>
    </row>
    <row r="2924" spans="1:35" x14ac:dyDescent="0.3">
      <c r="A2924">
        <v>2923</v>
      </c>
      <c r="B2924" t="s">
        <v>1312</v>
      </c>
      <c r="C2924">
        <v>55</v>
      </c>
      <c r="D2924" s="105">
        <v>45373.744538344909</v>
      </c>
      <c r="E2924" t="s">
        <v>314</v>
      </c>
      <c r="F2924" t="s">
        <v>309</v>
      </c>
      <c r="G2924">
        <v>0</v>
      </c>
      <c r="H2924" t="s">
        <v>310</v>
      </c>
      <c r="I2924">
        <v>0</v>
      </c>
      <c r="J2924">
        <v>0</v>
      </c>
      <c r="K2924">
        <v>0</v>
      </c>
      <c r="L2924" t="s">
        <v>310</v>
      </c>
      <c r="M2924" t="s">
        <v>310</v>
      </c>
      <c r="N2924">
        <v>0</v>
      </c>
      <c r="O2924" t="s">
        <v>319</v>
      </c>
      <c r="P2924" t="s">
        <v>240</v>
      </c>
      <c r="Q2924" t="s">
        <v>1400</v>
      </c>
      <c r="R2924" t="s">
        <v>310</v>
      </c>
      <c r="S2924">
        <v>9</v>
      </c>
      <c r="T2924" t="s">
        <v>310</v>
      </c>
      <c r="U2924">
        <v>9</v>
      </c>
      <c r="V2924">
        <v>9</v>
      </c>
      <c r="W2924">
        <v>0</v>
      </c>
      <c r="X2924">
        <v>0</v>
      </c>
      <c r="Y2924">
        <v>0</v>
      </c>
      <c r="Z2924">
        <v>0</v>
      </c>
      <c r="AA2924">
        <v>9</v>
      </c>
      <c r="AB2924">
        <v>9</v>
      </c>
      <c r="AC2924" t="s">
        <v>310</v>
      </c>
      <c r="AD2924">
        <v>9</v>
      </c>
      <c r="AE2924" t="s">
        <v>1392</v>
      </c>
      <c r="AF2924">
        <v>10100000</v>
      </c>
      <c r="AG2924" t="s">
        <v>310</v>
      </c>
      <c r="AH2924">
        <f>SUM((MID(Dyno_Data[[#This Row],[Team]],4,5))+(Dyno_Data[[#This Row],[Match]]/100))</f>
        <v>2053.5500000000002</v>
      </c>
      <c r="AI2924" s="76">
        <f>ROUND(SUM(IF(Dyno_Data[[#This Row],[AcqCenter]]&gt;0,Dyno_Data[[#This Row],[Time]]-SUMIFS(Dyno_Data[Time],Dyno_Data[Team],Dyno_Data[[#This Row],[Team]],Dyno_Data[RecordType],"StartMatch",Dyno_Data[Match],Dyno_Data[[#This Row],[Match]]),0)*86400),0)</f>
        <v>0</v>
      </c>
    </row>
    <row r="2925" spans="1:35" x14ac:dyDescent="0.3">
      <c r="A2925">
        <v>2924</v>
      </c>
      <c r="B2925" t="s">
        <v>363</v>
      </c>
      <c r="C2925">
        <v>55</v>
      </c>
      <c r="D2925" s="105">
        <v>45373.744640358796</v>
      </c>
      <c r="E2925" t="s">
        <v>312</v>
      </c>
      <c r="F2925" t="s">
        <v>1402</v>
      </c>
      <c r="G2925">
        <v>0</v>
      </c>
      <c r="H2925" t="s">
        <v>315</v>
      </c>
      <c r="I2925">
        <v>0</v>
      </c>
      <c r="J2925">
        <v>0</v>
      </c>
      <c r="K2925">
        <v>0</v>
      </c>
      <c r="L2925" t="s">
        <v>241</v>
      </c>
      <c r="M2925" t="s">
        <v>101</v>
      </c>
      <c r="N2925">
        <v>0</v>
      </c>
      <c r="O2925" t="s">
        <v>311</v>
      </c>
      <c r="P2925" t="s">
        <v>310</v>
      </c>
      <c r="Q2925" t="s">
        <v>310</v>
      </c>
      <c r="R2925" t="s">
        <v>310</v>
      </c>
      <c r="S2925">
        <v>9</v>
      </c>
      <c r="T2925" t="s">
        <v>310</v>
      </c>
      <c r="U2925">
        <v>9</v>
      </c>
      <c r="V2925">
        <v>9</v>
      </c>
      <c r="W2925">
        <v>0</v>
      </c>
      <c r="X2925">
        <v>0</v>
      </c>
      <c r="Y2925">
        <v>0</v>
      </c>
      <c r="Z2925">
        <v>0</v>
      </c>
      <c r="AA2925">
        <v>9</v>
      </c>
      <c r="AB2925">
        <v>9</v>
      </c>
      <c r="AC2925" t="s">
        <v>310</v>
      </c>
      <c r="AD2925">
        <v>9</v>
      </c>
      <c r="AE2925" t="s">
        <v>1394</v>
      </c>
      <c r="AF2925">
        <v>10000000</v>
      </c>
      <c r="AG2925" t="s">
        <v>310</v>
      </c>
      <c r="AH2925">
        <f>SUM((MID(Dyno_Data[[#This Row],[Team]],4,5))+(Dyno_Data[[#This Row],[Match]]/100))</f>
        <v>2601.5500000000002</v>
      </c>
      <c r="AI2925" s="76">
        <f>ROUND(SUM(IF(Dyno_Data[[#This Row],[AcqCenter]]&gt;0,Dyno_Data[[#This Row],[Time]]-SUMIFS(Dyno_Data[Time],Dyno_Data[Team],Dyno_Data[[#This Row],[Team]],Dyno_Data[RecordType],"StartMatch",Dyno_Data[Match],Dyno_Data[[#This Row],[Match]]),0)*86400),0)</f>
        <v>0</v>
      </c>
    </row>
    <row r="2926" spans="1:35" x14ac:dyDescent="0.3">
      <c r="A2926">
        <v>2925</v>
      </c>
      <c r="B2926" t="s">
        <v>1288</v>
      </c>
      <c r="C2926">
        <v>55</v>
      </c>
      <c r="D2926" s="105">
        <v>45373.744652627312</v>
      </c>
      <c r="E2926" t="s">
        <v>312</v>
      </c>
      <c r="F2926" t="s">
        <v>1402</v>
      </c>
      <c r="G2926">
        <v>0</v>
      </c>
      <c r="H2926" t="s">
        <v>315</v>
      </c>
      <c r="I2926">
        <v>0</v>
      </c>
      <c r="J2926">
        <v>0</v>
      </c>
      <c r="K2926">
        <v>0</v>
      </c>
      <c r="L2926" t="s">
        <v>241</v>
      </c>
      <c r="M2926" t="s">
        <v>1398</v>
      </c>
      <c r="N2926">
        <v>0</v>
      </c>
      <c r="O2926" t="s">
        <v>1389</v>
      </c>
      <c r="P2926" t="s">
        <v>310</v>
      </c>
      <c r="Q2926" t="s">
        <v>310</v>
      </c>
      <c r="R2926" t="s">
        <v>310</v>
      </c>
      <c r="S2926">
        <v>9</v>
      </c>
      <c r="T2926" t="s">
        <v>310</v>
      </c>
      <c r="U2926">
        <v>9</v>
      </c>
      <c r="V2926">
        <v>9</v>
      </c>
      <c r="W2926">
        <v>0</v>
      </c>
      <c r="X2926">
        <v>0</v>
      </c>
      <c r="Y2926">
        <v>0</v>
      </c>
      <c r="Z2926">
        <v>0</v>
      </c>
      <c r="AA2926">
        <v>9</v>
      </c>
      <c r="AB2926">
        <v>9</v>
      </c>
      <c r="AC2926" t="s">
        <v>310</v>
      </c>
      <c r="AD2926">
        <v>9</v>
      </c>
      <c r="AE2926" t="s">
        <v>1417</v>
      </c>
      <c r="AF2926">
        <v>30000000</v>
      </c>
      <c r="AG2926" t="s">
        <v>310</v>
      </c>
      <c r="AH2926">
        <f>SUM((MID(Dyno_Data[[#This Row],[Team]],4,5))+(Dyno_Data[[#This Row],[Match]]/100))</f>
        <v>3181.55</v>
      </c>
      <c r="AI2926" s="76">
        <f>ROUND(SUM(IF(Dyno_Data[[#This Row],[AcqCenter]]&gt;0,Dyno_Data[[#This Row],[Time]]-SUMIFS(Dyno_Data[Time],Dyno_Data[Team],Dyno_Data[[#This Row],[Team]],Dyno_Data[RecordType],"StartMatch",Dyno_Data[Match],Dyno_Data[[#This Row],[Match]]),0)*86400),0)</f>
        <v>0</v>
      </c>
    </row>
    <row r="2927" spans="1:35" x14ac:dyDescent="0.3">
      <c r="A2927">
        <v>2926</v>
      </c>
      <c r="B2927" t="s">
        <v>1284</v>
      </c>
      <c r="C2927">
        <v>55</v>
      </c>
      <c r="D2927" s="105">
        <v>45373.744670752312</v>
      </c>
      <c r="E2927" t="s">
        <v>312</v>
      </c>
      <c r="F2927" t="s">
        <v>1402</v>
      </c>
      <c r="G2927">
        <v>0</v>
      </c>
      <c r="H2927" t="s">
        <v>1397</v>
      </c>
      <c r="I2927">
        <v>0</v>
      </c>
      <c r="J2927">
        <v>0</v>
      </c>
      <c r="K2927">
        <v>0</v>
      </c>
      <c r="L2927" t="s">
        <v>240</v>
      </c>
      <c r="M2927" t="s">
        <v>1398</v>
      </c>
      <c r="N2927">
        <v>1</v>
      </c>
      <c r="O2927" t="s">
        <v>1391</v>
      </c>
      <c r="P2927" t="s">
        <v>310</v>
      </c>
      <c r="Q2927" t="s">
        <v>310</v>
      </c>
      <c r="R2927" t="s">
        <v>310</v>
      </c>
      <c r="S2927">
        <v>9</v>
      </c>
      <c r="T2927" t="s">
        <v>310</v>
      </c>
      <c r="U2927">
        <v>9</v>
      </c>
      <c r="V2927">
        <v>9</v>
      </c>
      <c r="W2927">
        <v>0</v>
      </c>
      <c r="X2927">
        <v>0</v>
      </c>
      <c r="Y2927">
        <v>0</v>
      </c>
      <c r="Z2927">
        <v>0</v>
      </c>
      <c r="AA2927">
        <v>9</v>
      </c>
      <c r="AB2927">
        <v>9</v>
      </c>
      <c r="AC2927" t="s">
        <v>310</v>
      </c>
      <c r="AD2927">
        <v>9</v>
      </c>
      <c r="AE2927" t="s">
        <v>1418</v>
      </c>
      <c r="AF2927">
        <v>0</v>
      </c>
      <c r="AG2927" t="s">
        <v>310</v>
      </c>
      <c r="AH2927">
        <f>SUM((MID(Dyno_Data[[#This Row],[Team]],4,5))+(Dyno_Data[[#This Row],[Match]]/100))</f>
        <v>5590.55</v>
      </c>
      <c r="AI2927" s="76">
        <f>ROUND(SUM(IF(Dyno_Data[[#This Row],[AcqCenter]]&gt;0,Dyno_Data[[#This Row],[Time]]-SUMIFS(Dyno_Data[Time],Dyno_Data[Team],Dyno_Data[[#This Row],[Team]],Dyno_Data[RecordType],"StartMatch",Dyno_Data[Match],Dyno_Data[[#This Row],[Match]]),0)*86400),0)</f>
        <v>0</v>
      </c>
    </row>
    <row r="2928" spans="1:35" x14ac:dyDescent="0.3">
      <c r="A2928">
        <v>2927</v>
      </c>
      <c r="B2928" t="s">
        <v>362</v>
      </c>
      <c r="C2928">
        <v>55</v>
      </c>
      <c r="D2928" s="105">
        <v>45373.744673611109</v>
      </c>
      <c r="E2928" t="s">
        <v>312</v>
      </c>
      <c r="F2928" t="s">
        <v>1402</v>
      </c>
      <c r="G2928">
        <v>0</v>
      </c>
      <c r="H2928" t="s">
        <v>1397</v>
      </c>
      <c r="I2928">
        <v>0</v>
      </c>
      <c r="J2928">
        <v>0</v>
      </c>
      <c r="K2928">
        <v>0</v>
      </c>
      <c r="L2928" t="s">
        <v>240</v>
      </c>
      <c r="M2928" t="s">
        <v>1398</v>
      </c>
      <c r="N2928">
        <v>1</v>
      </c>
      <c r="O2928" t="s">
        <v>1395</v>
      </c>
      <c r="P2928" t="s">
        <v>310</v>
      </c>
      <c r="Q2928" t="s">
        <v>310</v>
      </c>
      <c r="R2928" t="s">
        <v>310</v>
      </c>
      <c r="S2928">
        <v>9</v>
      </c>
      <c r="T2928" t="s">
        <v>310</v>
      </c>
      <c r="U2928">
        <v>9</v>
      </c>
      <c r="V2928">
        <v>9</v>
      </c>
      <c r="W2928">
        <v>0</v>
      </c>
      <c r="X2928">
        <v>0</v>
      </c>
      <c r="Y2928">
        <v>0</v>
      </c>
      <c r="Z2928">
        <v>0</v>
      </c>
      <c r="AA2928">
        <v>9</v>
      </c>
      <c r="AB2928">
        <v>9</v>
      </c>
      <c r="AC2928" t="s">
        <v>310</v>
      </c>
      <c r="AD2928">
        <v>9</v>
      </c>
      <c r="AE2928" t="s">
        <v>1416</v>
      </c>
      <c r="AF2928">
        <v>0</v>
      </c>
      <c r="AG2928" t="s">
        <v>310</v>
      </c>
      <c r="AH2928">
        <f>SUM((MID(Dyno_Data[[#This Row],[Team]],4,5))+(Dyno_Data[[#This Row],[Match]]/100))</f>
        <v>250.55</v>
      </c>
      <c r="AI2928" s="76">
        <f>ROUND(SUM(IF(Dyno_Data[[#This Row],[AcqCenter]]&gt;0,Dyno_Data[[#This Row],[Time]]-SUMIFS(Dyno_Data[Time],Dyno_Data[Team],Dyno_Data[[#This Row],[Team]],Dyno_Data[RecordType],"StartMatch",Dyno_Data[Match],Dyno_Data[[#This Row],[Match]]),0)*86400),0)</f>
        <v>0</v>
      </c>
    </row>
    <row r="2929" spans="1:35" x14ac:dyDescent="0.3">
      <c r="A2929">
        <v>2928</v>
      </c>
      <c r="B2929" t="s">
        <v>363</v>
      </c>
      <c r="C2929">
        <v>55</v>
      </c>
      <c r="D2929" s="105">
        <v>45373.744774189814</v>
      </c>
      <c r="E2929" t="s">
        <v>312</v>
      </c>
      <c r="F2929" t="s">
        <v>1402</v>
      </c>
      <c r="G2929">
        <v>0</v>
      </c>
      <c r="H2929" t="s">
        <v>315</v>
      </c>
      <c r="I2929">
        <v>0</v>
      </c>
      <c r="J2929">
        <v>0</v>
      </c>
      <c r="K2929">
        <v>0</v>
      </c>
      <c r="L2929" t="s">
        <v>242</v>
      </c>
      <c r="M2929" t="s">
        <v>241</v>
      </c>
      <c r="N2929">
        <v>0</v>
      </c>
      <c r="O2929" t="s">
        <v>311</v>
      </c>
      <c r="P2929" t="s">
        <v>310</v>
      </c>
      <c r="Q2929" t="s">
        <v>310</v>
      </c>
      <c r="R2929" t="s">
        <v>310</v>
      </c>
      <c r="S2929">
        <v>9</v>
      </c>
      <c r="T2929" t="s">
        <v>310</v>
      </c>
      <c r="U2929">
        <v>9</v>
      </c>
      <c r="V2929">
        <v>9</v>
      </c>
      <c r="W2929">
        <v>0</v>
      </c>
      <c r="X2929">
        <v>0</v>
      </c>
      <c r="Y2929">
        <v>0</v>
      </c>
      <c r="Z2929">
        <v>0</v>
      </c>
      <c r="AA2929">
        <v>9</v>
      </c>
      <c r="AB2929">
        <v>9</v>
      </c>
      <c r="AC2929" t="s">
        <v>310</v>
      </c>
      <c r="AD2929">
        <v>9</v>
      </c>
      <c r="AE2929" t="s">
        <v>1394</v>
      </c>
      <c r="AF2929">
        <v>20000000</v>
      </c>
      <c r="AG2929" t="s">
        <v>310</v>
      </c>
      <c r="AH2929">
        <f>SUM((MID(Dyno_Data[[#This Row],[Team]],4,5))+(Dyno_Data[[#This Row],[Match]]/100))</f>
        <v>2601.5500000000002</v>
      </c>
      <c r="AI2929" s="76">
        <f>ROUND(SUM(IF(Dyno_Data[[#This Row],[AcqCenter]]&gt;0,Dyno_Data[[#This Row],[Time]]-SUMIFS(Dyno_Data[Time],Dyno_Data[Team],Dyno_Data[[#This Row],[Team]],Dyno_Data[RecordType],"StartMatch",Dyno_Data[Match],Dyno_Data[[#This Row],[Match]]),0)*86400),0)</f>
        <v>0</v>
      </c>
    </row>
    <row r="2930" spans="1:35" x14ac:dyDescent="0.3">
      <c r="A2930">
        <v>2929</v>
      </c>
      <c r="B2930" t="s">
        <v>1297</v>
      </c>
      <c r="C2930">
        <v>55</v>
      </c>
      <c r="D2930" s="105">
        <v>45373.744775578707</v>
      </c>
      <c r="E2930" t="s">
        <v>312</v>
      </c>
      <c r="F2930" t="s">
        <v>1402</v>
      </c>
      <c r="G2930">
        <v>0</v>
      </c>
      <c r="H2930" t="s">
        <v>1397</v>
      </c>
      <c r="I2930">
        <v>0</v>
      </c>
      <c r="J2930">
        <v>0</v>
      </c>
      <c r="K2930">
        <v>0</v>
      </c>
      <c r="L2930" t="s">
        <v>241</v>
      </c>
      <c r="M2930" t="s">
        <v>101</v>
      </c>
      <c r="N2930">
        <v>0</v>
      </c>
      <c r="O2930" t="s">
        <v>1393</v>
      </c>
      <c r="P2930" t="s">
        <v>310</v>
      </c>
      <c r="Q2930" t="s">
        <v>310</v>
      </c>
      <c r="R2930" t="s">
        <v>310</v>
      </c>
      <c r="S2930">
        <v>9</v>
      </c>
      <c r="T2930" t="s">
        <v>310</v>
      </c>
      <c r="U2930">
        <v>9</v>
      </c>
      <c r="V2930">
        <v>9</v>
      </c>
      <c r="W2930">
        <v>0</v>
      </c>
      <c r="X2930">
        <v>0</v>
      </c>
      <c r="Y2930">
        <v>0</v>
      </c>
      <c r="Z2930">
        <v>0</v>
      </c>
      <c r="AA2930">
        <v>9</v>
      </c>
      <c r="AB2930">
        <v>9</v>
      </c>
      <c r="AC2930" t="s">
        <v>310</v>
      </c>
      <c r="AD2930">
        <v>9</v>
      </c>
      <c r="AE2930" t="s">
        <v>1387</v>
      </c>
      <c r="AF2930">
        <v>0</v>
      </c>
      <c r="AG2930" t="s">
        <v>310</v>
      </c>
      <c r="AH2930">
        <f>SUM((MID(Dyno_Data[[#This Row],[Team]],4,5))+(Dyno_Data[[#This Row],[Match]]/100))</f>
        <v>9750.5499999999993</v>
      </c>
      <c r="AI2930" s="76">
        <f>ROUND(SUM(IF(Dyno_Data[[#This Row],[AcqCenter]]&gt;0,Dyno_Data[[#This Row],[Time]]-SUMIFS(Dyno_Data[Time],Dyno_Data[Team],Dyno_Data[[#This Row],[Team]],Dyno_Data[RecordType],"StartMatch",Dyno_Data[Match],Dyno_Data[[#This Row],[Match]]),0)*86400),0)</f>
        <v>0</v>
      </c>
    </row>
    <row r="2931" spans="1:35" x14ac:dyDescent="0.3">
      <c r="A2931">
        <v>2930</v>
      </c>
      <c r="B2931" t="s">
        <v>1312</v>
      </c>
      <c r="C2931">
        <v>55</v>
      </c>
      <c r="D2931" s="105">
        <v>45373.744785150462</v>
      </c>
      <c r="E2931" t="s">
        <v>312</v>
      </c>
      <c r="F2931" t="s">
        <v>1402</v>
      </c>
      <c r="G2931">
        <v>0</v>
      </c>
      <c r="H2931" t="s">
        <v>315</v>
      </c>
      <c r="I2931">
        <v>0</v>
      </c>
      <c r="J2931">
        <v>0</v>
      </c>
      <c r="K2931">
        <v>0</v>
      </c>
      <c r="L2931" t="s">
        <v>241</v>
      </c>
      <c r="M2931" t="s">
        <v>101</v>
      </c>
      <c r="N2931">
        <v>0</v>
      </c>
      <c r="O2931" t="s">
        <v>319</v>
      </c>
      <c r="P2931" t="s">
        <v>310</v>
      </c>
      <c r="Q2931" t="s">
        <v>310</v>
      </c>
      <c r="R2931" t="s">
        <v>310</v>
      </c>
      <c r="S2931">
        <v>9</v>
      </c>
      <c r="T2931" t="s">
        <v>310</v>
      </c>
      <c r="U2931">
        <v>9</v>
      </c>
      <c r="V2931">
        <v>9</v>
      </c>
      <c r="W2931">
        <v>0</v>
      </c>
      <c r="X2931">
        <v>0</v>
      </c>
      <c r="Y2931">
        <v>0</v>
      </c>
      <c r="Z2931">
        <v>0</v>
      </c>
      <c r="AA2931">
        <v>9</v>
      </c>
      <c r="AB2931">
        <v>9</v>
      </c>
      <c r="AC2931" t="s">
        <v>310</v>
      </c>
      <c r="AD2931">
        <v>9</v>
      </c>
      <c r="AE2931" t="s">
        <v>1392</v>
      </c>
      <c r="AF2931">
        <v>20100000</v>
      </c>
      <c r="AG2931" t="s">
        <v>310</v>
      </c>
      <c r="AH2931">
        <f>SUM((MID(Dyno_Data[[#This Row],[Team]],4,5))+(Dyno_Data[[#This Row],[Match]]/100))</f>
        <v>2053.5500000000002</v>
      </c>
      <c r="AI2931" s="76">
        <f>ROUND(SUM(IF(Dyno_Data[[#This Row],[AcqCenter]]&gt;0,Dyno_Data[[#This Row],[Time]]-SUMIFS(Dyno_Data[Time],Dyno_Data[Team],Dyno_Data[[#This Row],[Team]],Dyno_Data[RecordType],"StartMatch",Dyno_Data[Match],Dyno_Data[[#This Row],[Match]]),0)*86400),0)</f>
        <v>0</v>
      </c>
    </row>
    <row r="2932" spans="1:35" x14ac:dyDescent="0.3">
      <c r="A2932">
        <v>2931</v>
      </c>
      <c r="B2932" t="s">
        <v>1288</v>
      </c>
      <c r="C2932">
        <v>55</v>
      </c>
      <c r="D2932" s="105">
        <v>45373.744840277781</v>
      </c>
      <c r="E2932" t="s">
        <v>312</v>
      </c>
      <c r="F2932" t="s">
        <v>1402</v>
      </c>
      <c r="G2932">
        <v>0</v>
      </c>
      <c r="H2932" t="s">
        <v>315</v>
      </c>
      <c r="I2932">
        <v>0</v>
      </c>
      <c r="J2932">
        <v>0</v>
      </c>
      <c r="K2932">
        <v>0</v>
      </c>
      <c r="L2932" t="s">
        <v>241</v>
      </c>
      <c r="M2932" t="s">
        <v>1398</v>
      </c>
      <c r="N2932">
        <v>0</v>
      </c>
      <c r="O2932" t="s">
        <v>1389</v>
      </c>
      <c r="P2932" t="s">
        <v>310</v>
      </c>
      <c r="Q2932" t="s">
        <v>310</v>
      </c>
      <c r="R2932" t="s">
        <v>310</v>
      </c>
      <c r="S2932">
        <v>9</v>
      </c>
      <c r="T2932" t="s">
        <v>310</v>
      </c>
      <c r="U2932">
        <v>9</v>
      </c>
      <c r="V2932">
        <v>9</v>
      </c>
      <c r="W2932">
        <v>0</v>
      </c>
      <c r="X2932">
        <v>0</v>
      </c>
      <c r="Y2932">
        <v>0</v>
      </c>
      <c r="Z2932">
        <v>0</v>
      </c>
      <c r="AA2932">
        <v>9</v>
      </c>
      <c r="AB2932">
        <v>9</v>
      </c>
      <c r="AC2932" t="s">
        <v>310</v>
      </c>
      <c r="AD2932">
        <v>9</v>
      </c>
      <c r="AE2932" t="s">
        <v>1417</v>
      </c>
      <c r="AF2932">
        <v>40000000</v>
      </c>
      <c r="AG2932" t="s">
        <v>310</v>
      </c>
      <c r="AH2932">
        <f>SUM((MID(Dyno_Data[[#This Row],[Team]],4,5))+(Dyno_Data[[#This Row],[Match]]/100))</f>
        <v>3181.55</v>
      </c>
      <c r="AI2932" s="76">
        <f>ROUND(SUM(IF(Dyno_Data[[#This Row],[AcqCenter]]&gt;0,Dyno_Data[[#This Row],[Time]]-SUMIFS(Dyno_Data[Time],Dyno_Data[Team],Dyno_Data[[#This Row],[Team]],Dyno_Data[RecordType],"StartMatch",Dyno_Data[Match],Dyno_Data[[#This Row],[Match]]),0)*86400),0)</f>
        <v>0</v>
      </c>
    </row>
    <row r="2933" spans="1:35" x14ac:dyDescent="0.3">
      <c r="A2933">
        <v>2932</v>
      </c>
      <c r="B2933" t="s">
        <v>362</v>
      </c>
      <c r="C2933">
        <v>55</v>
      </c>
      <c r="D2933" s="105">
        <v>45373.744844560184</v>
      </c>
      <c r="E2933" t="s">
        <v>312</v>
      </c>
      <c r="F2933" t="s">
        <v>1402</v>
      </c>
      <c r="G2933">
        <v>0</v>
      </c>
      <c r="H2933" t="s">
        <v>315</v>
      </c>
      <c r="I2933">
        <v>0</v>
      </c>
      <c r="J2933">
        <v>0</v>
      </c>
      <c r="K2933">
        <v>0</v>
      </c>
      <c r="L2933" t="s">
        <v>241</v>
      </c>
      <c r="M2933" t="s">
        <v>1398</v>
      </c>
      <c r="N2933">
        <v>0</v>
      </c>
      <c r="O2933" t="s">
        <v>1395</v>
      </c>
      <c r="P2933" t="s">
        <v>310</v>
      </c>
      <c r="Q2933" t="s">
        <v>310</v>
      </c>
      <c r="R2933" t="s">
        <v>310</v>
      </c>
      <c r="S2933">
        <v>9</v>
      </c>
      <c r="T2933" t="s">
        <v>310</v>
      </c>
      <c r="U2933">
        <v>9</v>
      </c>
      <c r="V2933">
        <v>9</v>
      </c>
      <c r="W2933">
        <v>0</v>
      </c>
      <c r="X2933">
        <v>0</v>
      </c>
      <c r="Y2933">
        <v>0</v>
      </c>
      <c r="Z2933">
        <v>0</v>
      </c>
      <c r="AA2933">
        <v>9</v>
      </c>
      <c r="AB2933">
        <v>9</v>
      </c>
      <c r="AC2933" t="s">
        <v>310</v>
      </c>
      <c r="AD2933">
        <v>9</v>
      </c>
      <c r="AE2933" t="s">
        <v>1416</v>
      </c>
      <c r="AF2933">
        <v>10000000</v>
      </c>
      <c r="AG2933" t="s">
        <v>310</v>
      </c>
      <c r="AH2933">
        <f>SUM((MID(Dyno_Data[[#This Row],[Team]],4,5))+(Dyno_Data[[#This Row],[Match]]/100))</f>
        <v>250.55</v>
      </c>
      <c r="AI2933" s="76">
        <f>ROUND(SUM(IF(Dyno_Data[[#This Row],[AcqCenter]]&gt;0,Dyno_Data[[#This Row],[Time]]-SUMIFS(Dyno_Data[Time],Dyno_Data[Team],Dyno_Data[[#This Row],[Team]],Dyno_Data[RecordType],"StartMatch",Dyno_Data[Match],Dyno_Data[[#This Row],[Match]]),0)*86400),0)</f>
        <v>0</v>
      </c>
    </row>
    <row r="2934" spans="1:35" x14ac:dyDescent="0.3">
      <c r="A2934">
        <v>2933</v>
      </c>
      <c r="B2934" t="s">
        <v>1284</v>
      </c>
      <c r="C2934">
        <v>55</v>
      </c>
      <c r="D2934" s="105">
        <v>45373.744869826391</v>
      </c>
      <c r="E2934" t="s">
        <v>312</v>
      </c>
      <c r="F2934" t="s">
        <v>1402</v>
      </c>
      <c r="G2934">
        <v>0</v>
      </c>
      <c r="H2934" t="s">
        <v>315</v>
      </c>
      <c r="I2934">
        <v>0</v>
      </c>
      <c r="J2934">
        <v>0</v>
      </c>
      <c r="K2934">
        <v>0</v>
      </c>
      <c r="L2934" t="s">
        <v>240</v>
      </c>
      <c r="M2934" t="s">
        <v>1398</v>
      </c>
      <c r="N2934">
        <v>1</v>
      </c>
      <c r="O2934" t="s">
        <v>1391</v>
      </c>
      <c r="P2934" t="s">
        <v>310</v>
      </c>
      <c r="Q2934" t="s">
        <v>310</v>
      </c>
      <c r="R2934" t="s">
        <v>310</v>
      </c>
      <c r="S2934">
        <v>9</v>
      </c>
      <c r="T2934" t="s">
        <v>310</v>
      </c>
      <c r="U2934">
        <v>9</v>
      </c>
      <c r="V2934">
        <v>9</v>
      </c>
      <c r="W2934">
        <v>0</v>
      </c>
      <c r="X2934">
        <v>0</v>
      </c>
      <c r="Y2934">
        <v>0</v>
      </c>
      <c r="Z2934">
        <v>0</v>
      </c>
      <c r="AA2934">
        <v>9</v>
      </c>
      <c r="AB2934">
        <v>9</v>
      </c>
      <c r="AC2934" t="s">
        <v>310</v>
      </c>
      <c r="AD2934">
        <v>9</v>
      </c>
      <c r="AE2934" t="s">
        <v>1418</v>
      </c>
      <c r="AF2934">
        <v>10000000</v>
      </c>
      <c r="AG2934" t="s">
        <v>310</v>
      </c>
      <c r="AH2934">
        <f>SUM((MID(Dyno_Data[[#This Row],[Team]],4,5))+(Dyno_Data[[#This Row],[Match]]/100))</f>
        <v>5590.55</v>
      </c>
      <c r="AI2934" s="76">
        <f>ROUND(SUM(IF(Dyno_Data[[#This Row],[AcqCenter]]&gt;0,Dyno_Data[[#This Row],[Time]]-SUMIFS(Dyno_Data[Time],Dyno_Data[Team],Dyno_Data[[#This Row],[Team]],Dyno_Data[RecordType],"StartMatch",Dyno_Data[Match],Dyno_Data[[#This Row],[Match]]),0)*86400),0)</f>
        <v>0</v>
      </c>
    </row>
    <row r="2935" spans="1:35" x14ac:dyDescent="0.3">
      <c r="A2935">
        <v>2934</v>
      </c>
      <c r="B2935" t="s">
        <v>363</v>
      </c>
      <c r="C2935">
        <v>55</v>
      </c>
      <c r="D2935" s="105">
        <v>45373.744875613425</v>
      </c>
      <c r="E2935" t="s">
        <v>312</v>
      </c>
      <c r="F2935" t="s">
        <v>1402</v>
      </c>
      <c r="G2935">
        <v>0</v>
      </c>
      <c r="H2935" t="s">
        <v>315</v>
      </c>
      <c r="I2935">
        <v>0</v>
      </c>
      <c r="J2935">
        <v>0</v>
      </c>
      <c r="K2935">
        <v>0</v>
      </c>
      <c r="L2935" t="s">
        <v>240</v>
      </c>
      <c r="M2935" t="s">
        <v>1398</v>
      </c>
      <c r="N2935">
        <v>0</v>
      </c>
      <c r="O2935" t="s">
        <v>311</v>
      </c>
      <c r="P2935" t="s">
        <v>310</v>
      </c>
      <c r="Q2935" t="s">
        <v>310</v>
      </c>
      <c r="R2935" t="s">
        <v>310</v>
      </c>
      <c r="S2935">
        <v>9</v>
      </c>
      <c r="T2935" t="s">
        <v>310</v>
      </c>
      <c r="U2935">
        <v>9</v>
      </c>
      <c r="V2935">
        <v>9</v>
      </c>
      <c r="W2935">
        <v>0</v>
      </c>
      <c r="X2935">
        <v>0</v>
      </c>
      <c r="Y2935">
        <v>0</v>
      </c>
      <c r="Z2935">
        <v>0</v>
      </c>
      <c r="AA2935">
        <v>9</v>
      </c>
      <c r="AB2935">
        <v>9</v>
      </c>
      <c r="AC2935" t="s">
        <v>310</v>
      </c>
      <c r="AD2935">
        <v>9</v>
      </c>
      <c r="AE2935" t="s">
        <v>1394</v>
      </c>
      <c r="AF2935">
        <v>30000000</v>
      </c>
      <c r="AG2935" t="s">
        <v>310</v>
      </c>
      <c r="AH2935">
        <f>SUM((MID(Dyno_Data[[#This Row],[Team]],4,5))+(Dyno_Data[[#This Row],[Match]]/100))</f>
        <v>2601.5500000000002</v>
      </c>
      <c r="AI2935" s="76">
        <f>ROUND(SUM(IF(Dyno_Data[[#This Row],[AcqCenter]]&gt;0,Dyno_Data[[#This Row],[Time]]-SUMIFS(Dyno_Data[Time],Dyno_Data[Team],Dyno_Data[[#This Row],[Team]],Dyno_Data[RecordType],"StartMatch",Dyno_Data[Match],Dyno_Data[[#This Row],[Match]]),0)*86400),0)</f>
        <v>0</v>
      </c>
    </row>
    <row r="2936" spans="1:35" x14ac:dyDescent="0.3">
      <c r="A2936">
        <v>2935</v>
      </c>
      <c r="B2936" t="s">
        <v>1312</v>
      </c>
      <c r="C2936">
        <v>55</v>
      </c>
      <c r="D2936" s="105">
        <v>45373.744901006947</v>
      </c>
      <c r="E2936" t="s">
        <v>312</v>
      </c>
      <c r="F2936" t="s">
        <v>1402</v>
      </c>
      <c r="G2936">
        <v>0</v>
      </c>
      <c r="H2936" t="s">
        <v>315</v>
      </c>
      <c r="I2936">
        <v>0</v>
      </c>
      <c r="J2936">
        <v>0</v>
      </c>
      <c r="K2936">
        <v>0</v>
      </c>
      <c r="L2936" t="s">
        <v>241</v>
      </c>
      <c r="M2936" t="s">
        <v>1398</v>
      </c>
      <c r="N2936">
        <v>0</v>
      </c>
      <c r="O2936" t="s">
        <v>319</v>
      </c>
      <c r="P2936" t="s">
        <v>310</v>
      </c>
      <c r="Q2936" t="s">
        <v>310</v>
      </c>
      <c r="R2936" t="s">
        <v>310</v>
      </c>
      <c r="S2936">
        <v>9</v>
      </c>
      <c r="T2936" t="s">
        <v>310</v>
      </c>
      <c r="U2936">
        <v>9</v>
      </c>
      <c r="V2936">
        <v>9</v>
      </c>
      <c r="W2936">
        <v>0</v>
      </c>
      <c r="X2936">
        <v>0</v>
      </c>
      <c r="Y2936">
        <v>0</v>
      </c>
      <c r="Z2936">
        <v>0</v>
      </c>
      <c r="AA2936">
        <v>9</v>
      </c>
      <c r="AB2936">
        <v>9</v>
      </c>
      <c r="AC2936" t="s">
        <v>310</v>
      </c>
      <c r="AD2936">
        <v>9</v>
      </c>
      <c r="AE2936" t="s">
        <v>1392</v>
      </c>
      <c r="AF2936">
        <v>30100000</v>
      </c>
      <c r="AG2936" t="s">
        <v>310</v>
      </c>
      <c r="AH2936">
        <f>SUM((MID(Dyno_Data[[#This Row],[Team]],4,5))+(Dyno_Data[[#This Row],[Match]]/100))</f>
        <v>2053.5500000000002</v>
      </c>
      <c r="AI2936" s="76">
        <f>ROUND(SUM(IF(Dyno_Data[[#This Row],[AcqCenter]]&gt;0,Dyno_Data[[#This Row],[Time]]-SUMIFS(Dyno_Data[Time],Dyno_Data[Team],Dyno_Data[[#This Row],[Team]],Dyno_Data[RecordType],"StartMatch",Dyno_Data[Match],Dyno_Data[[#This Row],[Match]]),0)*86400),0)</f>
        <v>0</v>
      </c>
    </row>
    <row r="2937" spans="1:35" x14ac:dyDescent="0.3">
      <c r="A2937">
        <v>2936</v>
      </c>
      <c r="B2937" t="s">
        <v>363</v>
      </c>
      <c r="C2937">
        <v>55</v>
      </c>
      <c r="D2937" s="105">
        <v>45373.744950231485</v>
      </c>
      <c r="E2937" t="s">
        <v>312</v>
      </c>
      <c r="F2937" t="s">
        <v>1402</v>
      </c>
      <c r="G2937">
        <v>0</v>
      </c>
      <c r="H2937" t="s">
        <v>315</v>
      </c>
      <c r="I2937">
        <v>0</v>
      </c>
      <c r="J2937">
        <v>0</v>
      </c>
      <c r="K2937">
        <v>0</v>
      </c>
      <c r="L2937" t="s">
        <v>240</v>
      </c>
      <c r="M2937" t="s">
        <v>1398</v>
      </c>
      <c r="N2937">
        <v>0</v>
      </c>
      <c r="O2937" t="s">
        <v>311</v>
      </c>
      <c r="P2937" t="s">
        <v>310</v>
      </c>
      <c r="Q2937" t="s">
        <v>310</v>
      </c>
      <c r="R2937" t="s">
        <v>310</v>
      </c>
      <c r="S2937">
        <v>9</v>
      </c>
      <c r="T2937" t="s">
        <v>310</v>
      </c>
      <c r="U2937">
        <v>9</v>
      </c>
      <c r="V2937">
        <v>9</v>
      </c>
      <c r="W2937">
        <v>0</v>
      </c>
      <c r="X2937">
        <v>0</v>
      </c>
      <c r="Y2937">
        <v>0</v>
      </c>
      <c r="Z2937">
        <v>0</v>
      </c>
      <c r="AA2937">
        <v>9</v>
      </c>
      <c r="AB2937">
        <v>9</v>
      </c>
      <c r="AC2937" t="s">
        <v>310</v>
      </c>
      <c r="AD2937">
        <v>9</v>
      </c>
      <c r="AE2937" t="s">
        <v>1394</v>
      </c>
      <c r="AF2937">
        <v>40000000</v>
      </c>
      <c r="AG2937" t="s">
        <v>310</v>
      </c>
      <c r="AH2937">
        <f>SUM((MID(Dyno_Data[[#This Row],[Team]],4,5))+(Dyno_Data[[#This Row],[Match]]/100))</f>
        <v>2601.5500000000002</v>
      </c>
      <c r="AI2937" s="76">
        <f>ROUND(SUM(IF(Dyno_Data[[#This Row],[AcqCenter]]&gt;0,Dyno_Data[[#This Row],[Time]]-SUMIFS(Dyno_Data[Time],Dyno_Data[Team],Dyno_Data[[#This Row],[Team]],Dyno_Data[RecordType],"StartMatch",Dyno_Data[Match],Dyno_Data[[#This Row],[Match]]),0)*86400),0)</f>
        <v>0</v>
      </c>
    </row>
    <row r="2938" spans="1:35" x14ac:dyDescent="0.3">
      <c r="A2938">
        <v>2937</v>
      </c>
      <c r="B2938" t="s">
        <v>1297</v>
      </c>
      <c r="C2938">
        <v>55</v>
      </c>
      <c r="D2938" s="105">
        <v>45373.744950960645</v>
      </c>
      <c r="E2938" t="s">
        <v>312</v>
      </c>
      <c r="F2938" t="s">
        <v>1402</v>
      </c>
      <c r="G2938">
        <v>0</v>
      </c>
      <c r="H2938" t="s">
        <v>315</v>
      </c>
      <c r="I2938">
        <v>0</v>
      </c>
      <c r="J2938">
        <v>0</v>
      </c>
      <c r="K2938">
        <v>0</v>
      </c>
      <c r="L2938" t="s">
        <v>241</v>
      </c>
      <c r="M2938" t="s">
        <v>101</v>
      </c>
      <c r="N2938">
        <v>0</v>
      </c>
      <c r="O2938" t="s">
        <v>1393</v>
      </c>
      <c r="P2938" t="s">
        <v>310</v>
      </c>
      <c r="Q2938" t="s">
        <v>310</v>
      </c>
      <c r="R2938" t="s">
        <v>310</v>
      </c>
      <c r="S2938">
        <v>9</v>
      </c>
      <c r="T2938" t="s">
        <v>310</v>
      </c>
      <c r="U2938">
        <v>9</v>
      </c>
      <c r="V2938">
        <v>9</v>
      </c>
      <c r="W2938">
        <v>0</v>
      </c>
      <c r="X2938">
        <v>0</v>
      </c>
      <c r="Y2938">
        <v>0</v>
      </c>
      <c r="Z2938">
        <v>0</v>
      </c>
      <c r="AA2938">
        <v>9</v>
      </c>
      <c r="AB2938">
        <v>9</v>
      </c>
      <c r="AC2938" t="s">
        <v>310</v>
      </c>
      <c r="AD2938">
        <v>9</v>
      </c>
      <c r="AE2938" t="s">
        <v>1387</v>
      </c>
      <c r="AF2938">
        <v>10000000</v>
      </c>
      <c r="AG2938" t="s">
        <v>310</v>
      </c>
      <c r="AH2938">
        <f>SUM((MID(Dyno_Data[[#This Row],[Team]],4,5))+(Dyno_Data[[#This Row],[Match]]/100))</f>
        <v>9750.5499999999993</v>
      </c>
      <c r="AI2938" s="76">
        <f>ROUND(SUM(IF(Dyno_Data[[#This Row],[AcqCenter]]&gt;0,Dyno_Data[[#This Row],[Time]]-SUMIFS(Dyno_Data[Time],Dyno_Data[Team],Dyno_Data[[#This Row],[Team]],Dyno_Data[RecordType],"StartMatch",Dyno_Data[Match],Dyno_Data[[#This Row],[Match]]),0)*86400),0)</f>
        <v>0</v>
      </c>
    </row>
    <row r="2939" spans="1:35" x14ac:dyDescent="0.3">
      <c r="A2939">
        <v>2938</v>
      </c>
      <c r="B2939" t="s">
        <v>362</v>
      </c>
      <c r="C2939">
        <v>55</v>
      </c>
      <c r="D2939" s="105">
        <v>45373.744992048611</v>
      </c>
      <c r="E2939" t="s">
        <v>312</v>
      </c>
      <c r="F2939" t="s">
        <v>1402</v>
      </c>
      <c r="G2939">
        <v>0</v>
      </c>
      <c r="H2939" t="s">
        <v>315</v>
      </c>
      <c r="I2939">
        <v>0</v>
      </c>
      <c r="J2939">
        <v>0</v>
      </c>
      <c r="K2939">
        <v>0</v>
      </c>
      <c r="L2939" t="s">
        <v>241</v>
      </c>
      <c r="M2939" t="s">
        <v>1398</v>
      </c>
      <c r="N2939">
        <v>1</v>
      </c>
      <c r="O2939" t="s">
        <v>1395</v>
      </c>
      <c r="P2939" t="s">
        <v>310</v>
      </c>
      <c r="Q2939" t="s">
        <v>310</v>
      </c>
      <c r="R2939" t="s">
        <v>310</v>
      </c>
      <c r="S2939">
        <v>9</v>
      </c>
      <c r="T2939" t="s">
        <v>310</v>
      </c>
      <c r="U2939">
        <v>9</v>
      </c>
      <c r="V2939">
        <v>9</v>
      </c>
      <c r="W2939">
        <v>0</v>
      </c>
      <c r="X2939">
        <v>0</v>
      </c>
      <c r="Y2939">
        <v>0</v>
      </c>
      <c r="Z2939">
        <v>0</v>
      </c>
      <c r="AA2939">
        <v>9</v>
      </c>
      <c r="AB2939">
        <v>9</v>
      </c>
      <c r="AC2939" t="s">
        <v>310</v>
      </c>
      <c r="AD2939">
        <v>9</v>
      </c>
      <c r="AE2939" t="s">
        <v>1416</v>
      </c>
      <c r="AF2939">
        <v>20000000</v>
      </c>
      <c r="AG2939" t="s">
        <v>310</v>
      </c>
      <c r="AH2939">
        <f>SUM((MID(Dyno_Data[[#This Row],[Team]],4,5))+(Dyno_Data[[#This Row],[Match]]/100))</f>
        <v>250.55</v>
      </c>
      <c r="AI2939" s="76">
        <f>ROUND(SUM(IF(Dyno_Data[[#This Row],[AcqCenter]]&gt;0,Dyno_Data[[#This Row],[Time]]-SUMIFS(Dyno_Data[Time],Dyno_Data[Team],Dyno_Data[[#This Row],[Team]],Dyno_Data[RecordType],"StartMatch",Dyno_Data[Match],Dyno_Data[[#This Row],[Match]]),0)*86400),0)</f>
        <v>0</v>
      </c>
    </row>
    <row r="2940" spans="1:35" x14ac:dyDescent="0.3">
      <c r="A2940">
        <v>2939</v>
      </c>
      <c r="B2940" t="s">
        <v>1288</v>
      </c>
      <c r="C2940">
        <v>55</v>
      </c>
      <c r="D2940" s="105">
        <v>45373.745033252315</v>
      </c>
      <c r="E2940" t="s">
        <v>312</v>
      </c>
      <c r="F2940" t="s">
        <v>1402</v>
      </c>
      <c r="G2940">
        <v>0</v>
      </c>
      <c r="H2940" t="s">
        <v>315</v>
      </c>
      <c r="I2940">
        <v>0</v>
      </c>
      <c r="J2940">
        <v>0</v>
      </c>
      <c r="K2940">
        <v>0</v>
      </c>
      <c r="L2940" t="s">
        <v>241</v>
      </c>
      <c r="M2940" t="s">
        <v>1398</v>
      </c>
      <c r="N2940">
        <v>0</v>
      </c>
      <c r="O2940" t="s">
        <v>1389</v>
      </c>
      <c r="P2940" t="s">
        <v>310</v>
      </c>
      <c r="Q2940" t="s">
        <v>310</v>
      </c>
      <c r="R2940" t="s">
        <v>310</v>
      </c>
      <c r="S2940">
        <v>9</v>
      </c>
      <c r="T2940" t="s">
        <v>310</v>
      </c>
      <c r="U2940">
        <v>9</v>
      </c>
      <c r="V2940">
        <v>9</v>
      </c>
      <c r="W2940">
        <v>0</v>
      </c>
      <c r="X2940">
        <v>0</v>
      </c>
      <c r="Y2940">
        <v>0</v>
      </c>
      <c r="Z2940">
        <v>0</v>
      </c>
      <c r="AA2940">
        <v>9</v>
      </c>
      <c r="AB2940">
        <v>9</v>
      </c>
      <c r="AC2940" t="s">
        <v>310</v>
      </c>
      <c r="AD2940">
        <v>9</v>
      </c>
      <c r="AE2940" t="s">
        <v>1417</v>
      </c>
      <c r="AF2940">
        <v>50000000</v>
      </c>
      <c r="AG2940" t="s">
        <v>310</v>
      </c>
      <c r="AH2940">
        <f>SUM((MID(Dyno_Data[[#This Row],[Team]],4,5))+(Dyno_Data[[#This Row],[Match]]/100))</f>
        <v>3181.55</v>
      </c>
      <c r="AI2940" s="76">
        <f>ROUND(SUM(IF(Dyno_Data[[#This Row],[AcqCenter]]&gt;0,Dyno_Data[[#This Row],[Time]]-SUMIFS(Dyno_Data[Time],Dyno_Data[Team],Dyno_Data[[#This Row],[Team]],Dyno_Data[RecordType],"StartMatch",Dyno_Data[Match],Dyno_Data[[#This Row],[Match]]),0)*86400),0)</f>
        <v>0</v>
      </c>
    </row>
    <row r="2941" spans="1:35" x14ac:dyDescent="0.3">
      <c r="A2941">
        <v>2940</v>
      </c>
      <c r="B2941" t="s">
        <v>1284</v>
      </c>
      <c r="C2941">
        <v>55</v>
      </c>
      <c r="D2941" s="105">
        <v>45373.745055127314</v>
      </c>
      <c r="E2941" t="s">
        <v>312</v>
      </c>
      <c r="F2941" t="s">
        <v>1402</v>
      </c>
      <c r="G2941">
        <v>0</v>
      </c>
      <c r="H2941" t="s">
        <v>315</v>
      </c>
      <c r="I2941">
        <v>0</v>
      </c>
      <c r="J2941">
        <v>0</v>
      </c>
      <c r="K2941">
        <v>0</v>
      </c>
      <c r="L2941" t="s">
        <v>240</v>
      </c>
      <c r="M2941" t="s">
        <v>1398</v>
      </c>
      <c r="N2941">
        <v>1</v>
      </c>
      <c r="O2941" t="s">
        <v>1391</v>
      </c>
      <c r="P2941" t="s">
        <v>310</v>
      </c>
      <c r="Q2941" t="s">
        <v>310</v>
      </c>
      <c r="R2941" t="s">
        <v>310</v>
      </c>
      <c r="S2941">
        <v>9</v>
      </c>
      <c r="T2941" t="s">
        <v>310</v>
      </c>
      <c r="U2941">
        <v>9</v>
      </c>
      <c r="V2941">
        <v>9</v>
      </c>
      <c r="W2941">
        <v>0</v>
      </c>
      <c r="X2941">
        <v>0</v>
      </c>
      <c r="Y2941">
        <v>0</v>
      </c>
      <c r="Z2941">
        <v>0</v>
      </c>
      <c r="AA2941">
        <v>9</v>
      </c>
      <c r="AB2941">
        <v>9</v>
      </c>
      <c r="AC2941" t="s">
        <v>310</v>
      </c>
      <c r="AD2941">
        <v>9</v>
      </c>
      <c r="AE2941" t="s">
        <v>1418</v>
      </c>
      <c r="AF2941">
        <v>20000000</v>
      </c>
      <c r="AG2941" t="s">
        <v>310</v>
      </c>
      <c r="AH2941">
        <f>SUM((MID(Dyno_Data[[#This Row],[Team]],4,5))+(Dyno_Data[[#This Row],[Match]]/100))</f>
        <v>5590.55</v>
      </c>
      <c r="AI2941" s="76">
        <f>ROUND(SUM(IF(Dyno_Data[[#This Row],[AcqCenter]]&gt;0,Dyno_Data[[#This Row],[Time]]-SUMIFS(Dyno_Data[Time],Dyno_Data[Team],Dyno_Data[[#This Row],[Team]],Dyno_Data[RecordType],"StartMatch",Dyno_Data[Match],Dyno_Data[[#This Row],[Match]]),0)*86400),0)</f>
        <v>0</v>
      </c>
    </row>
    <row r="2942" spans="1:35" x14ac:dyDescent="0.3">
      <c r="A2942">
        <v>2941</v>
      </c>
      <c r="B2942" t="s">
        <v>1312</v>
      </c>
      <c r="C2942">
        <v>55</v>
      </c>
      <c r="D2942" s="105">
        <v>45373.745069444441</v>
      </c>
      <c r="E2942" t="s">
        <v>312</v>
      </c>
      <c r="F2942" t="s">
        <v>1402</v>
      </c>
      <c r="G2942">
        <v>0</v>
      </c>
      <c r="H2942" t="s">
        <v>315</v>
      </c>
      <c r="I2942">
        <v>0</v>
      </c>
      <c r="J2942">
        <v>0</v>
      </c>
      <c r="K2942">
        <v>0</v>
      </c>
      <c r="L2942" t="s">
        <v>241</v>
      </c>
      <c r="M2942" t="s">
        <v>101</v>
      </c>
      <c r="N2942">
        <v>0</v>
      </c>
      <c r="O2942" t="s">
        <v>319</v>
      </c>
      <c r="P2942" t="s">
        <v>310</v>
      </c>
      <c r="Q2942" t="s">
        <v>310</v>
      </c>
      <c r="R2942" t="s">
        <v>310</v>
      </c>
      <c r="S2942">
        <v>9</v>
      </c>
      <c r="T2942" t="s">
        <v>310</v>
      </c>
      <c r="U2942">
        <v>9</v>
      </c>
      <c r="V2942">
        <v>9</v>
      </c>
      <c r="W2942">
        <v>0</v>
      </c>
      <c r="X2942">
        <v>0</v>
      </c>
      <c r="Y2942">
        <v>0</v>
      </c>
      <c r="Z2942">
        <v>0</v>
      </c>
      <c r="AA2942">
        <v>9</v>
      </c>
      <c r="AB2942">
        <v>9</v>
      </c>
      <c r="AC2942" t="s">
        <v>310</v>
      </c>
      <c r="AD2942">
        <v>9</v>
      </c>
      <c r="AE2942" t="s">
        <v>1392</v>
      </c>
      <c r="AF2942">
        <v>40100000</v>
      </c>
      <c r="AG2942" t="s">
        <v>310</v>
      </c>
      <c r="AH2942">
        <f>SUM((MID(Dyno_Data[[#This Row],[Team]],4,5))+(Dyno_Data[[#This Row],[Match]]/100))</f>
        <v>2053.5500000000002</v>
      </c>
      <c r="AI2942" s="76">
        <f>ROUND(SUM(IF(Dyno_Data[[#This Row],[AcqCenter]]&gt;0,Dyno_Data[[#This Row],[Time]]-SUMIFS(Dyno_Data[Time],Dyno_Data[Team],Dyno_Data[[#This Row],[Team]],Dyno_Data[RecordType],"StartMatch",Dyno_Data[Match],Dyno_Data[[#This Row],[Match]]),0)*86400),0)</f>
        <v>0</v>
      </c>
    </row>
    <row r="2943" spans="1:35" x14ac:dyDescent="0.3">
      <c r="A2943">
        <v>2942</v>
      </c>
      <c r="B2943" t="s">
        <v>1297</v>
      </c>
      <c r="C2943">
        <v>55</v>
      </c>
      <c r="D2943" s="105">
        <v>45373.745075231483</v>
      </c>
      <c r="E2943" t="s">
        <v>312</v>
      </c>
      <c r="F2943" t="s">
        <v>1402</v>
      </c>
      <c r="G2943">
        <v>0</v>
      </c>
      <c r="H2943" t="s">
        <v>315</v>
      </c>
      <c r="I2943">
        <v>0</v>
      </c>
      <c r="J2943">
        <v>0</v>
      </c>
      <c r="K2943">
        <v>0</v>
      </c>
      <c r="L2943" t="s">
        <v>241</v>
      </c>
      <c r="M2943" t="s">
        <v>101</v>
      </c>
      <c r="N2943">
        <v>0</v>
      </c>
      <c r="O2943" t="s">
        <v>1393</v>
      </c>
      <c r="P2943" t="s">
        <v>310</v>
      </c>
      <c r="Q2943" t="s">
        <v>310</v>
      </c>
      <c r="R2943" t="s">
        <v>310</v>
      </c>
      <c r="S2943">
        <v>9</v>
      </c>
      <c r="T2943" t="s">
        <v>310</v>
      </c>
      <c r="U2943">
        <v>9</v>
      </c>
      <c r="V2943">
        <v>9</v>
      </c>
      <c r="W2943">
        <v>0</v>
      </c>
      <c r="X2943">
        <v>0</v>
      </c>
      <c r="Y2943">
        <v>0</v>
      </c>
      <c r="Z2943">
        <v>0</v>
      </c>
      <c r="AA2943">
        <v>9</v>
      </c>
      <c r="AB2943">
        <v>9</v>
      </c>
      <c r="AC2943" t="s">
        <v>310</v>
      </c>
      <c r="AD2943">
        <v>9</v>
      </c>
      <c r="AE2943" t="s">
        <v>1387</v>
      </c>
      <c r="AF2943">
        <v>20000000</v>
      </c>
      <c r="AG2943" t="s">
        <v>310</v>
      </c>
      <c r="AH2943">
        <f>SUM((MID(Dyno_Data[[#This Row],[Team]],4,5))+(Dyno_Data[[#This Row],[Match]]/100))</f>
        <v>9750.5499999999993</v>
      </c>
      <c r="AI2943" s="76">
        <f>ROUND(SUM(IF(Dyno_Data[[#This Row],[AcqCenter]]&gt;0,Dyno_Data[[#This Row],[Time]]-SUMIFS(Dyno_Data[Time],Dyno_Data[Team],Dyno_Data[[#This Row],[Team]],Dyno_Data[RecordType],"StartMatch",Dyno_Data[Match],Dyno_Data[[#This Row],[Match]]),0)*86400),0)</f>
        <v>0</v>
      </c>
    </row>
    <row r="2944" spans="1:35" x14ac:dyDescent="0.3">
      <c r="A2944">
        <v>2943</v>
      </c>
      <c r="B2944" t="s">
        <v>362</v>
      </c>
      <c r="C2944">
        <v>55</v>
      </c>
      <c r="D2944" s="105">
        <v>45373.745102002315</v>
      </c>
      <c r="E2944" t="s">
        <v>312</v>
      </c>
      <c r="F2944" t="s">
        <v>1402</v>
      </c>
      <c r="G2944">
        <v>0</v>
      </c>
      <c r="H2944" t="s">
        <v>315</v>
      </c>
      <c r="I2944">
        <v>0</v>
      </c>
      <c r="J2944">
        <v>0</v>
      </c>
      <c r="K2944">
        <v>0</v>
      </c>
      <c r="L2944" t="s">
        <v>241</v>
      </c>
      <c r="M2944" t="s">
        <v>1398</v>
      </c>
      <c r="N2944">
        <v>0</v>
      </c>
      <c r="O2944" t="s">
        <v>1395</v>
      </c>
      <c r="P2944" t="s">
        <v>310</v>
      </c>
      <c r="Q2944" t="s">
        <v>310</v>
      </c>
      <c r="R2944" t="s">
        <v>310</v>
      </c>
      <c r="S2944">
        <v>9</v>
      </c>
      <c r="T2944" t="s">
        <v>310</v>
      </c>
      <c r="U2944">
        <v>9</v>
      </c>
      <c r="V2944">
        <v>9</v>
      </c>
      <c r="W2944">
        <v>0</v>
      </c>
      <c r="X2944">
        <v>0</v>
      </c>
      <c r="Y2944">
        <v>0</v>
      </c>
      <c r="Z2944">
        <v>0</v>
      </c>
      <c r="AA2944">
        <v>9</v>
      </c>
      <c r="AB2944">
        <v>9</v>
      </c>
      <c r="AC2944" t="s">
        <v>310</v>
      </c>
      <c r="AD2944">
        <v>9</v>
      </c>
      <c r="AE2944" t="s">
        <v>1416</v>
      </c>
      <c r="AF2944">
        <v>30000000</v>
      </c>
      <c r="AG2944" t="s">
        <v>310</v>
      </c>
      <c r="AH2944">
        <f>SUM((MID(Dyno_Data[[#This Row],[Team]],4,5))+(Dyno_Data[[#This Row],[Match]]/100))</f>
        <v>250.55</v>
      </c>
      <c r="AI2944" s="76">
        <f>ROUND(SUM(IF(Dyno_Data[[#This Row],[AcqCenter]]&gt;0,Dyno_Data[[#This Row],[Time]]-SUMIFS(Dyno_Data[Time],Dyno_Data[Team],Dyno_Data[[#This Row],[Team]],Dyno_Data[RecordType],"StartMatch",Dyno_Data[Match],Dyno_Data[[#This Row],[Match]]),0)*86400),0)</f>
        <v>0</v>
      </c>
    </row>
    <row r="2945" spans="1:35" x14ac:dyDescent="0.3">
      <c r="A2945">
        <v>2944</v>
      </c>
      <c r="B2945" t="s">
        <v>363</v>
      </c>
      <c r="C2945">
        <v>55</v>
      </c>
      <c r="D2945" s="105">
        <v>45373.745104895832</v>
      </c>
      <c r="E2945" t="s">
        <v>312</v>
      </c>
      <c r="F2945" t="s">
        <v>1402</v>
      </c>
      <c r="G2945">
        <v>0</v>
      </c>
      <c r="H2945" t="s">
        <v>315</v>
      </c>
      <c r="I2945">
        <v>0</v>
      </c>
      <c r="J2945">
        <v>0</v>
      </c>
      <c r="K2945">
        <v>0</v>
      </c>
      <c r="L2945" t="s">
        <v>240</v>
      </c>
      <c r="M2945" t="s">
        <v>1398</v>
      </c>
      <c r="N2945">
        <v>0</v>
      </c>
      <c r="O2945" t="s">
        <v>311</v>
      </c>
      <c r="P2945" t="s">
        <v>310</v>
      </c>
      <c r="Q2945" t="s">
        <v>310</v>
      </c>
      <c r="R2945" t="s">
        <v>310</v>
      </c>
      <c r="S2945">
        <v>9</v>
      </c>
      <c r="T2945" t="s">
        <v>310</v>
      </c>
      <c r="U2945">
        <v>9</v>
      </c>
      <c r="V2945">
        <v>9</v>
      </c>
      <c r="W2945">
        <v>0</v>
      </c>
      <c r="X2945">
        <v>0</v>
      </c>
      <c r="Y2945">
        <v>0</v>
      </c>
      <c r="Z2945">
        <v>0</v>
      </c>
      <c r="AA2945">
        <v>9</v>
      </c>
      <c r="AB2945">
        <v>9</v>
      </c>
      <c r="AC2945" t="s">
        <v>310</v>
      </c>
      <c r="AD2945">
        <v>9</v>
      </c>
      <c r="AE2945" t="s">
        <v>1394</v>
      </c>
      <c r="AF2945">
        <v>50000000</v>
      </c>
      <c r="AG2945" t="s">
        <v>310</v>
      </c>
      <c r="AH2945">
        <f>SUM((MID(Dyno_Data[[#This Row],[Team]],4,5))+(Dyno_Data[[#This Row],[Match]]/100))</f>
        <v>2601.5500000000002</v>
      </c>
      <c r="AI2945" s="76">
        <f>ROUND(SUM(IF(Dyno_Data[[#This Row],[AcqCenter]]&gt;0,Dyno_Data[[#This Row],[Time]]-SUMIFS(Dyno_Data[Time],Dyno_Data[Team],Dyno_Data[[#This Row],[Team]],Dyno_Data[RecordType],"StartMatch",Dyno_Data[Match],Dyno_Data[[#This Row],[Match]]),0)*86400),0)</f>
        <v>0</v>
      </c>
    </row>
    <row r="2946" spans="1:35" x14ac:dyDescent="0.3">
      <c r="A2946">
        <v>2945</v>
      </c>
      <c r="B2946" t="s">
        <v>1312</v>
      </c>
      <c r="C2946">
        <v>55</v>
      </c>
      <c r="D2946" s="105">
        <v>45373.745145567133</v>
      </c>
      <c r="E2946" t="s">
        <v>312</v>
      </c>
      <c r="F2946" t="s">
        <v>1402</v>
      </c>
      <c r="G2946">
        <v>0</v>
      </c>
      <c r="H2946" t="s">
        <v>315</v>
      </c>
      <c r="I2946">
        <v>0</v>
      </c>
      <c r="J2946">
        <v>0</v>
      </c>
      <c r="K2946">
        <v>0</v>
      </c>
      <c r="L2946" t="s">
        <v>241</v>
      </c>
      <c r="M2946" t="s">
        <v>101</v>
      </c>
      <c r="N2946">
        <v>0</v>
      </c>
      <c r="O2946" t="s">
        <v>319</v>
      </c>
      <c r="P2946" t="s">
        <v>310</v>
      </c>
      <c r="Q2946" t="s">
        <v>310</v>
      </c>
      <c r="R2946" t="s">
        <v>310</v>
      </c>
      <c r="S2946">
        <v>9</v>
      </c>
      <c r="T2946" t="s">
        <v>310</v>
      </c>
      <c r="U2946">
        <v>9</v>
      </c>
      <c r="V2946">
        <v>9</v>
      </c>
      <c r="W2946">
        <v>0</v>
      </c>
      <c r="X2946">
        <v>0</v>
      </c>
      <c r="Y2946">
        <v>0</v>
      </c>
      <c r="Z2946">
        <v>0</v>
      </c>
      <c r="AA2946">
        <v>9</v>
      </c>
      <c r="AB2946">
        <v>9</v>
      </c>
      <c r="AC2946" t="s">
        <v>310</v>
      </c>
      <c r="AD2946">
        <v>9</v>
      </c>
      <c r="AE2946" t="s">
        <v>1392</v>
      </c>
      <c r="AF2946">
        <v>50100000</v>
      </c>
      <c r="AG2946" t="s">
        <v>310</v>
      </c>
      <c r="AH2946">
        <f>SUM((MID(Dyno_Data[[#This Row],[Team]],4,5))+(Dyno_Data[[#This Row],[Match]]/100))</f>
        <v>2053.5500000000002</v>
      </c>
      <c r="AI2946" s="76">
        <f>ROUND(SUM(IF(Dyno_Data[[#This Row],[AcqCenter]]&gt;0,Dyno_Data[[#This Row],[Time]]-SUMIFS(Dyno_Data[Time],Dyno_Data[Team],Dyno_Data[[#This Row],[Team]],Dyno_Data[RecordType],"StartMatch",Dyno_Data[Match],Dyno_Data[[#This Row],[Match]]),0)*86400),0)</f>
        <v>0</v>
      </c>
    </row>
    <row r="2947" spans="1:35" x14ac:dyDescent="0.3">
      <c r="A2947">
        <v>2946</v>
      </c>
      <c r="B2947" t="s">
        <v>1288</v>
      </c>
      <c r="C2947">
        <v>55</v>
      </c>
      <c r="D2947" s="105">
        <v>45373.745178240744</v>
      </c>
      <c r="E2947" t="s">
        <v>312</v>
      </c>
      <c r="F2947" t="s">
        <v>1402</v>
      </c>
      <c r="G2947">
        <v>0</v>
      </c>
      <c r="H2947" t="s">
        <v>315</v>
      </c>
      <c r="I2947">
        <v>0</v>
      </c>
      <c r="J2947">
        <v>0</v>
      </c>
      <c r="K2947">
        <v>0</v>
      </c>
      <c r="L2947" t="s">
        <v>241</v>
      </c>
      <c r="M2947" t="s">
        <v>1398</v>
      </c>
      <c r="N2947">
        <v>0</v>
      </c>
      <c r="O2947" t="s">
        <v>1389</v>
      </c>
      <c r="P2947" t="s">
        <v>310</v>
      </c>
      <c r="Q2947" t="s">
        <v>310</v>
      </c>
      <c r="R2947" t="s">
        <v>310</v>
      </c>
      <c r="S2947">
        <v>9</v>
      </c>
      <c r="T2947" t="s">
        <v>310</v>
      </c>
      <c r="U2947">
        <v>9</v>
      </c>
      <c r="V2947">
        <v>9</v>
      </c>
      <c r="W2947">
        <v>0</v>
      </c>
      <c r="X2947">
        <v>0</v>
      </c>
      <c r="Y2947">
        <v>0</v>
      </c>
      <c r="Z2947">
        <v>0</v>
      </c>
      <c r="AA2947">
        <v>9</v>
      </c>
      <c r="AB2947">
        <v>9</v>
      </c>
      <c r="AC2947" t="s">
        <v>310</v>
      </c>
      <c r="AD2947">
        <v>9</v>
      </c>
      <c r="AE2947" t="s">
        <v>1417</v>
      </c>
      <c r="AF2947">
        <v>60000000</v>
      </c>
      <c r="AG2947" t="s">
        <v>310</v>
      </c>
      <c r="AH2947">
        <f>SUM((MID(Dyno_Data[[#This Row],[Team]],4,5))+(Dyno_Data[[#This Row],[Match]]/100))</f>
        <v>3181.55</v>
      </c>
      <c r="AI2947" s="76">
        <f>ROUND(SUM(IF(Dyno_Data[[#This Row],[AcqCenter]]&gt;0,Dyno_Data[[#This Row],[Time]]-SUMIFS(Dyno_Data[Time],Dyno_Data[Team],Dyno_Data[[#This Row],[Team]],Dyno_Data[RecordType],"StartMatch",Dyno_Data[Match],Dyno_Data[[#This Row],[Match]]),0)*86400),0)</f>
        <v>0</v>
      </c>
    </row>
    <row r="2948" spans="1:35" x14ac:dyDescent="0.3">
      <c r="A2948">
        <v>2947</v>
      </c>
      <c r="B2948" t="s">
        <v>1284</v>
      </c>
      <c r="C2948">
        <v>55</v>
      </c>
      <c r="D2948" s="105">
        <v>45373.745231747685</v>
      </c>
      <c r="E2948" t="s">
        <v>312</v>
      </c>
      <c r="F2948" t="s">
        <v>1402</v>
      </c>
      <c r="G2948">
        <v>0</v>
      </c>
      <c r="H2948" t="s">
        <v>315</v>
      </c>
      <c r="I2948">
        <v>0</v>
      </c>
      <c r="J2948">
        <v>0</v>
      </c>
      <c r="K2948">
        <v>0</v>
      </c>
      <c r="L2948" t="s">
        <v>240</v>
      </c>
      <c r="M2948" t="s">
        <v>1398</v>
      </c>
      <c r="N2948">
        <v>0</v>
      </c>
      <c r="O2948" t="s">
        <v>1391</v>
      </c>
      <c r="P2948" t="s">
        <v>310</v>
      </c>
      <c r="Q2948" t="s">
        <v>310</v>
      </c>
      <c r="R2948" t="s">
        <v>310</v>
      </c>
      <c r="S2948">
        <v>9</v>
      </c>
      <c r="T2948" t="s">
        <v>310</v>
      </c>
      <c r="U2948">
        <v>9</v>
      </c>
      <c r="V2948">
        <v>9</v>
      </c>
      <c r="W2948">
        <v>0</v>
      </c>
      <c r="X2948">
        <v>0</v>
      </c>
      <c r="Y2948">
        <v>0</v>
      </c>
      <c r="Z2948">
        <v>0</v>
      </c>
      <c r="AA2948">
        <v>9</v>
      </c>
      <c r="AB2948">
        <v>9</v>
      </c>
      <c r="AC2948" t="s">
        <v>310</v>
      </c>
      <c r="AD2948">
        <v>9</v>
      </c>
      <c r="AE2948" t="s">
        <v>1418</v>
      </c>
      <c r="AF2948">
        <v>30000000</v>
      </c>
      <c r="AG2948" t="s">
        <v>310</v>
      </c>
      <c r="AH2948">
        <f>SUM((MID(Dyno_Data[[#This Row],[Team]],4,5))+(Dyno_Data[[#This Row],[Match]]/100))</f>
        <v>5590.55</v>
      </c>
      <c r="AI2948" s="76">
        <f>ROUND(SUM(IF(Dyno_Data[[#This Row],[AcqCenter]]&gt;0,Dyno_Data[[#This Row],[Time]]-SUMIFS(Dyno_Data[Time],Dyno_Data[Team],Dyno_Data[[#This Row],[Team]],Dyno_Data[RecordType],"StartMatch",Dyno_Data[Match],Dyno_Data[[#This Row],[Match]]),0)*86400),0)</f>
        <v>0</v>
      </c>
    </row>
    <row r="2949" spans="1:35" x14ac:dyDescent="0.3">
      <c r="A2949">
        <v>2948</v>
      </c>
      <c r="B2949" t="s">
        <v>363</v>
      </c>
      <c r="C2949">
        <v>55</v>
      </c>
      <c r="D2949" s="105">
        <v>45373.745256979164</v>
      </c>
      <c r="E2949" t="s">
        <v>312</v>
      </c>
      <c r="F2949" t="s">
        <v>1402</v>
      </c>
      <c r="G2949">
        <v>0</v>
      </c>
      <c r="H2949" t="s">
        <v>315</v>
      </c>
      <c r="I2949">
        <v>0</v>
      </c>
      <c r="J2949">
        <v>0</v>
      </c>
      <c r="K2949">
        <v>0</v>
      </c>
      <c r="L2949" t="s">
        <v>240</v>
      </c>
      <c r="M2949" t="s">
        <v>1398</v>
      </c>
      <c r="N2949">
        <v>0</v>
      </c>
      <c r="O2949" t="s">
        <v>311</v>
      </c>
      <c r="P2949" t="s">
        <v>310</v>
      </c>
      <c r="Q2949" t="s">
        <v>310</v>
      </c>
      <c r="R2949" t="s">
        <v>310</v>
      </c>
      <c r="S2949">
        <v>9</v>
      </c>
      <c r="T2949" t="s">
        <v>310</v>
      </c>
      <c r="U2949">
        <v>9</v>
      </c>
      <c r="V2949">
        <v>9</v>
      </c>
      <c r="W2949">
        <v>0</v>
      </c>
      <c r="X2949">
        <v>0</v>
      </c>
      <c r="Y2949">
        <v>0</v>
      </c>
      <c r="Z2949">
        <v>0</v>
      </c>
      <c r="AA2949">
        <v>9</v>
      </c>
      <c r="AB2949">
        <v>9</v>
      </c>
      <c r="AC2949" t="s">
        <v>310</v>
      </c>
      <c r="AD2949">
        <v>9</v>
      </c>
      <c r="AE2949" t="s">
        <v>1394</v>
      </c>
      <c r="AF2949">
        <v>60000000</v>
      </c>
      <c r="AG2949" t="s">
        <v>310</v>
      </c>
      <c r="AH2949">
        <f>SUM((MID(Dyno_Data[[#This Row],[Team]],4,5))+(Dyno_Data[[#This Row],[Match]]/100))</f>
        <v>2601.5500000000002</v>
      </c>
      <c r="AI2949" s="76">
        <f>ROUND(SUM(IF(Dyno_Data[[#This Row],[AcqCenter]]&gt;0,Dyno_Data[[#This Row],[Time]]-SUMIFS(Dyno_Data[Time],Dyno_Data[Team],Dyno_Data[[#This Row],[Team]],Dyno_Data[RecordType],"StartMatch",Dyno_Data[Match],Dyno_Data[[#This Row],[Match]]),0)*86400),0)</f>
        <v>0</v>
      </c>
    </row>
    <row r="2950" spans="1:35" x14ac:dyDescent="0.3">
      <c r="A2950">
        <v>2949</v>
      </c>
      <c r="B2950" t="s">
        <v>363</v>
      </c>
      <c r="C2950">
        <v>55</v>
      </c>
      <c r="D2950" s="105">
        <v>45373.745322106479</v>
      </c>
      <c r="E2950" t="s">
        <v>312</v>
      </c>
      <c r="F2950" t="s">
        <v>1402</v>
      </c>
      <c r="G2950">
        <v>0</v>
      </c>
      <c r="H2950" t="s">
        <v>315</v>
      </c>
      <c r="I2950">
        <v>0</v>
      </c>
      <c r="J2950">
        <v>0</v>
      </c>
      <c r="K2950">
        <v>0</v>
      </c>
      <c r="L2950" t="s">
        <v>241</v>
      </c>
      <c r="M2950" t="s">
        <v>1398</v>
      </c>
      <c r="N2950">
        <v>0</v>
      </c>
      <c r="O2950" t="s">
        <v>311</v>
      </c>
      <c r="P2950" t="s">
        <v>310</v>
      </c>
      <c r="Q2950" t="s">
        <v>310</v>
      </c>
      <c r="R2950" t="s">
        <v>310</v>
      </c>
      <c r="S2950">
        <v>9</v>
      </c>
      <c r="T2950" t="s">
        <v>310</v>
      </c>
      <c r="U2950">
        <v>9</v>
      </c>
      <c r="V2950">
        <v>9</v>
      </c>
      <c r="W2950">
        <v>0</v>
      </c>
      <c r="X2950">
        <v>0</v>
      </c>
      <c r="Y2950">
        <v>0</v>
      </c>
      <c r="Z2950">
        <v>0</v>
      </c>
      <c r="AA2950">
        <v>9</v>
      </c>
      <c r="AB2950">
        <v>9</v>
      </c>
      <c r="AC2950" t="s">
        <v>310</v>
      </c>
      <c r="AD2950">
        <v>9</v>
      </c>
      <c r="AE2950" t="s">
        <v>1394</v>
      </c>
      <c r="AF2950">
        <v>70000000</v>
      </c>
      <c r="AG2950" t="s">
        <v>310</v>
      </c>
      <c r="AH2950">
        <f>SUM((MID(Dyno_Data[[#This Row],[Team]],4,5))+(Dyno_Data[[#This Row],[Match]]/100))</f>
        <v>2601.5500000000002</v>
      </c>
      <c r="AI2950" s="76">
        <f>ROUND(SUM(IF(Dyno_Data[[#This Row],[AcqCenter]]&gt;0,Dyno_Data[[#This Row],[Time]]-SUMIFS(Dyno_Data[Time],Dyno_Data[Team],Dyno_Data[[#This Row],[Team]],Dyno_Data[RecordType],"StartMatch",Dyno_Data[Match],Dyno_Data[[#This Row],[Match]]),0)*86400),0)</f>
        <v>0</v>
      </c>
    </row>
    <row r="2951" spans="1:35" x14ac:dyDescent="0.3">
      <c r="A2951">
        <v>2950</v>
      </c>
      <c r="B2951" t="s">
        <v>1312</v>
      </c>
      <c r="C2951">
        <v>55</v>
      </c>
      <c r="D2951" s="105">
        <v>45373.745356828702</v>
      </c>
      <c r="E2951" t="s">
        <v>1403</v>
      </c>
      <c r="F2951" t="s">
        <v>1402</v>
      </c>
      <c r="G2951">
        <v>0</v>
      </c>
      <c r="H2951" t="s">
        <v>310</v>
      </c>
      <c r="I2951">
        <v>0</v>
      </c>
      <c r="J2951">
        <v>0</v>
      </c>
      <c r="K2951">
        <v>0</v>
      </c>
      <c r="L2951" t="s">
        <v>310</v>
      </c>
      <c r="M2951" t="s">
        <v>310</v>
      </c>
      <c r="N2951">
        <v>0</v>
      </c>
      <c r="O2951" t="s">
        <v>319</v>
      </c>
      <c r="P2951" t="s">
        <v>310</v>
      </c>
      <c r="Q2951" t="s">
        <v>310</v>
      </c>
      <c r="R2951" t="s">
        <v>310</v>
      </c>
      <c r="S2951">
        <v>9</v>
      </c>
      <c r="T2951" t="s">
        <v>310</v>
      </c>
      <c r="U2951">
        <v>9</v>
      </c>
      <c r="V2951">
        <v>9</v>
      </c>
      <c r="W2951">
        <v>0</v>
      </c>
      <c r="X2951">
        <v>0</v>
      </c>
      <c r="Y2951">
        <v>0</v>
      </c>
      <c r="Z2951">
        <v>0</v>
      </c>
      <c r="AA2951">
        <v>9</v>
      </c>
      <c r="AB2951">
        <v>9</v>
      </c>
      <c r="AC2951" t="s">
        <v>310</v>
      </c>
      <c r="AD2951">
        <v>9</v>
      </c>
      <c r="AE2951" t="s">
        <v>1392</v>
      </c>
      <c r="AF2951">
        <v>70000000</v>
      </c>
      <c r="AG2951" t="s">
        <v>249</v>
      </c>
      <c r="AH2951">
        <f>SUM((MID(Dyno_Data[[#This Row],[Team]],4,5))+(Dyno_Data[[#This Row],[Match]]/100))</f>
        <v>2053.5500000000002</v>
      </c>
      <c r="AI2951" s="76">
        <f>ROUND(SUM(IF(Dyno_Data[[#This Row],[AcqCenter]]&gt;0,Dyno_Data[[#This Row],[Time]]-SUMIFS(Dyno_Data[Time],Dyno_Data[Team],Dyno_Data[[#This Row],[Team]],Dyno_Data[RecordType],"StartMatch",Dyno_Data[Match],Dyno_Data[[#This Row],[Match]]),0)*86400),0)</f>
        <v>0</v>
      </c>
    </row>
    <row r="2952" spans="1:35" x14ac:dyDescent="0.3">
      <c r="A2952">
        <v>2951</v>
      </c>
      <c r="B2952" t="s">
        <v>362</v>
      </c>
      <c r="C2952">
        <v>55</v>
      </c>
      <c r="D2952" s="105">
        <v>45373.745385798611</v>
      </c>
      <c r="E2952" t="s">
        <v>312</v>
      </c>
      <c r="F2952" t="s">
        <v>1402</v>
      </c>
      <c r="G2952">
        <v>0</v>
      </c>
      <c r="H2952" t="s">
        <v>315</v>
      </c>
      <c r="I2952">
        <v>0</v>
      </c>
      <c r="J2952">
        <v>0</v>
      </c>
      <c r="K2952">
        <v>0</v>
      </c>
      <c r="L2952" t="s">
        <v>241</v>
      </c>
      <c r="M2952" t="s">
        <v>1398</v>
      </c>
      <c r="N2952">
        <v>0</v>
      </c>
      <c r="O2952" t="s">
        <v>1395</v>
      </c>
      <c r="P2952" t="s">
        <v>310</v>
      </c>
      <c r="Q2952" t="s">
        <v>310</v>
      </c>
      <c r="R2952" t="s">
        <v>310</v>
      </c>
      <c r="S2952">
        <v>9</v>
      </c>
      <c r="T2952" t="s">
        <v>310</v>
      </c>
      <c r="U2952">
        <v>9</v>
      </c>
      <c r="V2952">
        <v>9</v>
      </c>
      <c r="W2952">
        <v>0</v>
      </c>
      <c r="X2952">
        <v>0</v>
      </c>
      <c r="Y2952">
        <v>0</v>
      </c>
      <c r="Z2952">
        <v>0</v>
      </c>
      <c r="AA2952">
        <v>9</v>
      </c>
      <c r="AB2952">
        <v>9</v>
      </c>
      <c r="AC2952" t="s">
        <v>310</v>
      </c>
      <c r="AD2952">
        <v>9</v>
      </c>
      <c r="AE2952" t="s">
        <v>1416</v>
      </c>
      <c r="AF2952">
        <v>40000000</v>
      </c>
      <c r="AG2952" t="s">
        <v>310</v>
      </c>
      <c r="AH2952">
        <f>SUM((MID(Dyno_Data[[#This Row],[Team]],4,5))+(Dyno_Data[[#This Row],[Match]]/100))</f>
        <v>250.55</v>
      </c>
      <c r="AI2952" s="76">
        <f>ROUND(SUM(IF(Dyno_Data[[#This Row],[AcqCenter]]&gt;0,Dyno_Data[[#This Row],[Time]]-SUMIFS(Dyno_Data[Time],Dyno_Data[Team],Dyno_Data[[#This Row],[Team]],Dyno_Data[RecordType],"StartMatch",Dyno_Data[Match],Dyno_Data[[#This Row],[Match]]),0)*86400),0)</f>
        <v>0</v>
      </c>
    </row>
    <row r="2953" spans="1:35" x14ac:dyDescent="0.3">
      <c r="A2953">
        <v>2952</v>
      </c>
      <c r="B2953" t="s">
        <v>1288</v>
      </c>
      <c r="C2953">
        <v>55</v>
      </c>
      <c r="D2953" s="105">
        <v>45373.745396678241</v>
      </c>
      <c r="E2953" t="s">
        <v>312</v>
      </c>
      <c r="F2953" t="s">
        <v>1402</v>
      </c>
      <c r="G2953">
        <v>0</v>
      </c>
      <c r="H2953" t="s">
        <v>315</v>
      </c>
      <c r="I2953">
        <v>0</v>
      </c>
      <c r="J2953">
        <v>0</v>
      </c>
      <c r="K2953">
        <v>0</v>
      </c>
      <c r="L2953" t="s">
        <v>241</v>
      </c>
      <c r="M2953" t="s">
        <v>1398</v>
      </c>
      <c r="N2953">
        <v>0</v>
      </c>
      <c r="O2953" t="s">
        <v>1389</v>
      </c>
      <c r="P2953" t="s">
        <v>310</v>
      </c>
      <c r="Q2953" t="s">
        <v>310</v>
      </c>
      <c r="R2953" t="s">
        <v>310</v>
      </c>
      <c r="S2953">
        <v>9</v>
      </c>
      <c r="T2953" t="s">
        <v>310</v>
      </c>
      <c r="U2953">
        <v>9</v>
      </c>
      <c r="V2953">
        <v>9</v>
      </c>
      <c r="W2953">
        <v>0</v>
      </c>
      <c r="X2953">
        <v>0</v>
      </c>
      <c r="Y2953">
        <v>0</v>
      </c>
      <c r="Z2953">
        <v>0</v>
      </c>
      <c r="AA2953">
        <v>9</v>
      </c>
      <c r="AB2953">
        <v>9</v>
      </c>
      <c r="AC2953" t="s">
        <v>310</v>
      </c>
      <c r="AD2953">
        <v>9</v>
      </c>
      <c r="AE2953" t="s">
        <v>1417</v>
      </c>
      <c r="AF2953">
        <v>70000000</v>
      </c>
      <c r="AG2953" t="s">
        <v>310</v>
      </c>
      <c r="AH2953">
        <f>SUM((MID(Dyno_Data[[#This Row],[Team]],4,5))+(Dyno_Data[[#This Row],[Match]]/100))</f>
        <v>3181.55</v>
      </c>
      <c r="AI2953" s="76">
        <f>ROUND(SUM(IF(Dyno_Data[[#This Row],[AcqCenter]]&gt;0,Dyno_Data[[#This Row],[Time]]-SUMIFS(Dyno_Data[Time],Dyno_Data[Team],Dyno_Data[[#This Row],[Team]],Dyno_Data[RecordType],"StartMatch",Dyno_Data[Match],Dyno_Data[[#This Row],[Match]]),0)*86400),0)</f>
        <v>0</v>
      </c>
    </row>
    <row r="2954" spans="1:35" x14ac:dyDescent="0.3">
      <c r="A2954">
        <v>2953</v>
      </c>
      <c r="B2954" t="s">
        <v>1284</v>
      </c>
      <c r="C2954">
        <v>55</v>
      </c>
      <c r="D2954" s="105">
        <v>45373.745424421293</v>
      </c>
      <c r="E2954" t="s">
        <v>312</v>
      </c>
      <c r="F2954" t="s">
        <v>1402</v>
      </c>
      <c r="G2954">
        <v>0</v>
      </c>
      <c r="H2954" t="s">
        <v>315</v>
      </c>
      <c r="I2954">
        <v>0</v>
      </c>
      <c r="J2954">
        <v>0</v>
      </c>
      <c r="K2954">
        <v>0</v>
      </c>
      <c r="L2954" t="s">
        <v>240</v>
      </c>
      <c r="M2954" t="s">
        <v>1398</v>
      </c>
      <c r="N2954">
        <v>0</v>
      </c>
      <c r="O2954" t="s">
        <v>1391</v>
      </c>
      <c r="P2954" t="s">
        <v>310</v>
      </c>
      <c r="Q2954" t="s">
        <v>310</v>
      </c>
      <c r="R2954" t="s">
        <v>310</v>
      </c>
      <c r="S2954">
        <v>9</v>
      </c>
      <c r="T2954" t="s">
        <v>310</v>
      </c>
      <c r="U2954">
        <v>9</v>
      </c>
      <c r="V2954">
        <v>9</v>
      </c>
      <c r="W2954">
        <v>0</v>
      </c>
      <c r="X2954">
        <v>0</v>
      </c>
      <c r="Y2954">
        <v>0</v>
      </c>
      <c r="Z2954">
        <v>0</v>
      </c>
      <c r="AA2954">
        <v>9</v>
      </c>
      <c r="AB2954">
        <v>9</v>
      </c>
      <c r="AC2954" t="s">
        <v>310</v>
      </c>
      <c r="AD2954">
        <v>9</v>
      </c>
      <c r="AE2954" t="s">
        <v>1418</v>
      </c>
      <c r="AF2954">
        <v>40000000</v>
      </c>
      <c r="AG2954" t="s">
        <v>310</v>
      </c>
      <c r="AH2954">
        <f>SUM((MID(Dyno_Data[[#This Row],[Team]],4,5))+(Dyno_Data[[#This Row],[Match]]/100))</f>
        <v>5590.55</v>
      </c>
      <c r="AI2954" s="76">
        <f>ROUND(SUM(IF(Dyno_Data[[#This Row],[AcqCenter]]&gt;0,Dyno_Data[[#This Row],[Time]]-SUMIFS(Dyno_Data[Time],Dyno_Data[Team],Dyno_Data[[#This Row],[Team]],Dyno_Data[RecordType],"StartMatch",Dyno_Data[Match],Dyno_Data[[#This Row],[Match]]),0)*86400),0)</f>
        <v>0</v>
      </c>
    </row>
    <row r="2955" spans="1:35" x14ac:dyDescent="0.3">
      <c r="A2955">
        <v>2954</v>
      </c>
      <c r="B2955" t="s">
        <v>1297</v>
      </c>
      <c r="C2955">
        <v>55</v>
      </c>
      <c r="D2955" s="105">
        <v>45373.745579826391</v>
      </c>
      <c r="E2955" t="s">
        <v>312</v>
      </c>
      <c r="F2955" t="s">
        <v>1402</v>
      </c>
      <c r="G2955">
        <v>0</v>
      </c>
      <c r="H2955" t="s">
        <v>315</v>
      </c>
      <c r="I2955">
        <v>0</v>
      </c>
      <c r="J2955">
        <v>0</v>
      </c>
      <c r="K2955">
        <v>0</v>
      </c>
      <c r="L2955" t="s">
        <v>241</v>
      </c>
      <c r="M2955" t="s">
        <v>101</v>
      </c>
      <c r="N2955">
        <v>0</v>
      </c>
      <c r="O2955" t="s">
        <v>1393</v>
      </c>
      <c r="P2955" t="s">
        <v>310</v>
      </c>
      <c r="Q2955" t="s">
        <v>310</v>
      </c>
      <c r="R2955" t="s">
        <v>310</v>
      </c>
      <c r="S2955">
        <v>9</v>
      </c>
      <c r="T2955" t="s">
        <v>310</v>
      </c>
      <c r="U2955">
        <v>9</v>
      </c>
      <c r="V2955">
        <v>9</v>
      </c>
      <c r="W2955">
        <v>0</v>
      </c>
      <c r="X2955">
        <v>0</v>
      </c>
      <c r="Y2955">
        <v>0</v>
      </c>
      <c r="Z2955">
        <v>0</v>
      </c>
      <c r="AA2955">
        <v>9</v>
      </c>
      <c r="AB2955">
        <v>9</v>
      </c>
      <c r="AC2955" t="s">
        <v>310</v>
      </c>
      <c r="AD2955">
        <v>9</v>
      </c>
      <c r="AE2955" t="s">
        <v>1387</v>
      </c>
      <c r="AF2955">
        <v>30000000</v>
      </c>
      <c r="AG2955" t="s">
        <v>310</v>
      </c>
      <c r="AH2955">
        <f>SUM((MID(Dyno_Data[[#This Row],[Team]],4,5))+(Dyno_Data[[#This Row],[Match]]/100))</f>
        <v>9750.5499999999993</v>
      </c>
      <c r="AI2955" s="76">
        <f>ROUND(SUM(IF(Dyno_Data[[#This Row],[AcqCenter]]&gt;0,Dyno_Data[[#This Row],[Time]]-SUMIFS(Dyno_Data[Time],Dyno_Data[Team],Dyno_Data[[#This Row],[Team]],Dyno_Data[RecordType],"StartMatch",Dyno_Data[Match],Dyno_Data[[#This Row],[Match]]),0)*86400),0)</f>
        <v>0</v>
      </c>
    </row>
    <row r="2956" spans="1:35" x14ac:dyDescent="0.3">
      <c r="A2956">
        <v>2955</v>
      </c>
      <c r="B2956" t="s">
        <v>362</v>
      </c>
      <c r="C2956">
        <v>55</v>
      </c>
      <c r="D2956" s="105">
        <v>45373.745629247685</v>
      </c>
      <c r="E2956" t="s">
        <v>312</v>
      </c>
      <c r="F2956" t="s">
        <v>1402</v>
      </c>
      <c r="G2956">
        <v>0</v>
      </c>
      <c r="H2956" t="s">
        <v>315</v>
      </c>
      <c r="I2956">
        <v>0</v>
      </c>
      <c r="J2956">
        <v>0</v>
      </c>
      <c r="K2956">
        <v>0</v>
      </c>
      <c r="L2956" t="s">
        <v>241</v>
      </c>
      <c r="M2956" t="s">
        <v>1398</v>
      </c>
      <c r="N2956">
        <v>0</v>
      </c>
      <c r="O2956" t="s">
        <v>1395</v>
      </c>
      <c r="P2956" t="s">
        <v>310</v>
      </c>
      <c r="Q2956" t="s">
        <v>310</v>
      </c>
      <c r="R2956" t="s">
        <v>310</v>
      </c>
      <c r="S2956">
        <v>9</v>
      </c>
      <c r="T2956" t="s">
        <v>310</v>
      </c>
      <c r="U2956">
        <v>9</v>
      </c>
      <c r="V2956">
        <v>9</v>
      </c>
      <c r="W2956">
        <v>0</v>
      </c>
      <c r="X2956">
        <v>0</v>
      </c>
      <c r="Y2956">
        <v>0</v>
      </c>
      <c r="Z2956">
        <v>0</v>
      </c>
      <c r="AA2956">
        <v>9</v>
      </c>
      <c r="AB2956">
        <v>9</v>
      </c>
      <c r="AC2956" t="s">
        <v>310</v>
      </c>
      <c r="AD2956">
        <v>9</v>
      </c>
      <c r="AE2956" t="s">
        <v>1416</v>
      </c>
      <c r="AF2956">
        <v>50000000</v>
      </c>
      <c r="AG2956" t="s">
        <v>310</v>
      </c>
      <c r="AH2956">
        <f>SUM((MID(Dyno_Data[[#This Row],[Team]],4,5))+(Dyno_Data[[#This Row],[Match]]/100))</f>
        <v>250.55</v>
      </c>
      <c r="AI2956" s="76">
        <f>ROUND(SUM(IF(Dyno_Data[[#This Row],[AcqCenter]]&gt;0,Dyno_Data[[#This Row],[Time]]-SUMIFS(Dyno_Data[Time],Dyno_Data[Team],Dyno_Data[[#This Row],[Team]],Dyno_Data[RecordType],"StartMatch",Dyno_Data[Match],Dyno_Data[[#This Row],[Match]]),0)*86400),0)</f>
        <v>0</v>
      </c>
    </row>
    <row r="2957" spans="1:35" x14ac:dyDescent="0.3">
      <c r="A2957">
        <v>2956</v>
      </c>
      <c r="B2957" t="s">
        <v>1288</v>
      </c>
      <c r="C2957">
        <v>55</v>
      </c>
      <c r="D2957" s="105">
        <v>45373.745647997683</v>
      </c>
      <c r="E2957" t="s">
        <v>312</v>
      </c>
      <c r="F2957" t="s">
        <v>1402</v>
      </c>
      <c r="G2957">
        <v>0</v>
      </c>
      <c r="H2957" t="s">
        <v>315</v>
      </c>
      <c r="I2957">
        <v>0</v>
      </c>
      <c r="J2957">
        <v>0</v>
      </c>
      <c r="K2957">
        <v>0</v>
      </c>
      <c r="L2957" t="s">
        <v>313</v>
      </c>
      <c r="M2957" t="s">
        <v>1398</v>
      </c>
      <c r="N2957">
        <v>0</v>
      </c>
      <c r="O2957" t="s">
        <v>1389</v>
      </c>
      <c r="P2957" t="s">
        <v>310</v>
      </c>
      <c r="Q2957" t="s">
        <v>310</v>
      </c>
      <c r="R2957" t="s">
        <v>310</v>
      </c>
      <c r="S2957">
        <v>9</v>
      </c>
      <c r="T2957" t="s">
        <v>310</v>
      </c>
      <c r="U2957">
        <v>9</v>
      </c>
      <c r="V2957">
        <v>9</v>
      </c>
      <c r="W2957">
        <v>0</v>
      </c>
      <c r="X2957">
        <v>0</v>
      </c>
      <c r="Y2957">
        <v>0</v>
      </c>
      <c r="Z2957">
        <v>0</v>
      </c>
      <c r="AA2957">
        <v>9</v>
      </c>
      <c r="AB2957">
        <v>9</v>
      </c>
      <c r="AC2957" t="s">
        <v>310</v>
      </c>
      <c r="AD2957">
        <v>9</v>
      </c>
      <c r="AE2957" t="s">
        <v>1417</v>
      </c>
      <c r="AF2957">
        <v>80000000</v>
      </c>
      <c r="AG2957" t="s">
        <v>310</v>
      </c>
      <c r="AH2957">
        <f>SUM((MID(Dyno_Data[[#This Row],[Team]],4,5))+(Dyno_Data[[#This Row],[Match]]/100))</f>
        <v>3181.55</v>
      </c>
      <c r="AI2957" s="76">
        <f>ROUND(SUM(IF(Dyno_Data[[#This Row],[AcqCenter]]&gt;0,Dyno_Data[[#This Row],[Time]]-SUMIFS(Dyno_Data[Time],Dyno_Data[Team],Dyno_Data[[#This Row],[Team]],Dyno_Data[RecordType],"StartMatch",Dyno_Data[Match],Dyno_Data[[#This Row],[Match]]),0)*86400),0)</f>
        <v>0</v>
      </c>
    </row>
    <row r="2958" spans="1:35" x14ac:dyDescent="0.3">
      <c r="A2958">
        <v>2957</v>
      </c>
      <c r="B2958" t="s">
        <v>1284</v>
      </c>
      <c r="C2958">
        <v>55</v>
      </c>
      <c r="D2958" s="105">
        <v>45373.745835381946</v>
      </c>
      <c r="E2958" t="s">
        <v>312</v>
      </c>
      <c r="F2958" t="s">
        <v>1402</v>
      </c>
      <c r="G2958">
        <v>0</v>
      </c>
      <c r="H2958" t="s">
        <v>315</v>
      </c>
      <c r="I2958">
        <v>0</v>
      </c>
      <c r="J2958">
        <v>0</v>
      </c>
      <c r="K2958">
        <v>0</v>
      </c>
      <c r="L2958" t="s">
        <v>240</v>
      </c>
      <c r="M2958" t="s">
        <v>1398</v>
      </c>
      <c r="N2958">
        <v>1</v>
      </c>
      <c r="O2958" t="s">
        <v>1391</v>
      </c>
      <c r="P2958" t="s">
        <v>310</v>
      </c>
      <c r="Q2958" t="s">
        <v>310</v>
      </c>
      <c r="R2958" t="s">
        <v>310</v>
      </c>
      <c r="S2958">
        <v>9</v>
      </c>
      <c r="T2958" t="s">
        <v>310</v>
      </c>
      <c r="U2958">
        <v>9</v>
      </c>
      <c r="V2958">
        <v>9</v>
      </c>
      <c r="W2958">
        <v>0</v>
      </c>
      <c r="X2958">
        <v>0</v>
      </c>
      <c r="Y2958">
        <v>0</v>
      </c>
      <c r="Z2958">
        <v>0</v>
      </c>
      <c r="AA2958">
        <v>9</v>
      </c>
      <c r="AB2958">
        <v>9</v>
      </c>
      <c r="AC2958" t="s">
        <v>310</v>
      </c>
      <c r="AD2958">
        <v>9</v>
      </c>
      <c r="AE2958" t="s">
        <v>1418</v>
      </c>
      <c r="AF2958">
        <v>50000000</v>
      </c>
      <c r="AG2958" t="s">
        <v>310</v>
      </c>
      <c r="AH2958">
        <f>SUM((MID(Dyno_Data[[#This Row],[Team]],4,5))+(Dyno_Data[[#This Row],[Match]]/100))</f>
        <v>5590.55</v>
      </c>
      <c r="AI2958" s="76">
        <f>ROUND(SUM(IF(Dyno_Data[[#This Row],[AcqCenter]]&gt;0,Dyno_Data[[#This Row],[Time]]-SUMIFS(Dyno_Data[Time],Dyno_Data[Team],Dyno_Data[[#This Row],[Team]],Dyno_Data[RecordType],"StartMatch",Dyno_Data[Match],Dyno_Data[[#This Row],[Match]]),0)*86400),0)</f>
        <v>0</v>
      </c>
    </row>
    <row r="2959" spans="1:35" x14ac:dyDescent="0.3">
      <c r="A2959">
        <v>2958</v>
      </c>
      <c r="B2959" t="s">
        <v>1288</v>
      </c>
      <c r="C2959">
        <v>55</v>
      </c>
      <c r="D2959" s="105">
        <v>45373.745845567129</v>
      </c>
      <c r="E2959" t="s">
        <v>312</v>
      </c>
      <c r="F2959" t="s">
        <v>1402</v>
      </c>
      <c r="G2959">
        <v>0</v>
      </c>
      <c r="H2959" t="s">
        <v>315</v>
      </c>
      <c r="I2959">
        <v>0</v>
      </c>
      <c r="J2959">
        <v>0</v>
      </c>
      <c r="K2959">
        <v>0</v>
      </c>
      <c r="L2959" t="s">
        <v>241</v>
      </c>
      <c r="M2959" t="s">
        <v>1398</v>
      </c>
      <c r="N2959">
        <v>0</v>
      </c>
      <c r="O2959" t="s">
        <v>1389</v>
      </c>
      <c r="P2959" t="s">
        <v>310</v>
      </c>
      <c r="Q2959" t="s">
        <v>310</v>
      </c>
      <c r="R2959" t="s">
        <v>310</v>
      </c>
      <c r="S2959">
        <v>9</v>
      </c>
      <c r="T2959" t="s">
        <v>310</v>
      </c>
      <c r="U2959">
        <v>9</v>
      </c>
      <c r="V2959">
        <v>9</v>
      </c>
      <c r="W2959">
        <v>0</v>
      </c>
      <c r="X2959">
        <v>0</v>
      </c>
      <c r="Y2959">
        <v>0</v>
      </c>
      <c r="Z2959">
        <v>0</v>
      </c>
      <c r="AA2959">
        <v>9</v>
      </c>
      <c r="AB2959">
        <v>9</v>
      </c>
      <c r="AC2959" t="s">
        <v>310</v>
      </c>
      <c r="AD2959">
        <v>9</v>
      </c>
      <c r="AE2959" t="s">
        <v>1417</v>
      </c>
      <c r="AF2959">
        <v>90000000</v>
      </c>
      <c r="AG2959" t="s">
        <v>310</v>
      </c>
      <c r="AH2959">
        <f>SUM((MID(Dyno_Data[[#This Row],[Team]],4,5))+(Dyno_Data[[#This Row],[Match]]/100))</f>
        <v>3181.55</v>
      </c>
      <c r="AI2959" s="76">
        <f>ROUND(SUM(IF(Dyno_Data[[#This Row],[AcqCenter]]&gt;0,Dyno_Data[[#This Row],[Time]]-SUMIFS(Dyno_Data[Time],Dyno_Data[Team],Dyno_Data[[#This Row],[Team]],Dyno_Data[RecordType],"StartMatch",Dyno_Data[Match],Dyno_Data[[#This Row],[Match]]),0)*86400),0)</f>
        <v>0</v>
      </c>
    </row>
    <row r="2960" spans="1:35" x14ac:dyDescent="0.3">
      <c r="A2960">
        <v>2959</v>
      </c>
      <c r="B2960" t="s">
        <v>362</v>
      </c>
      <c r="C2960">
        <v>55</v>
      </c>
      <c r="D2960" s="105">
        <v>45373.746009722221</v>
      </c>
      <c r="E2960" t="s">
        <v>312</v>
      </c>
      <c r="F2960" t="s">
        <v>1402</v>
      </c>
      <c r="G2960">
        <v>0</v>
      </c>
      <c r="H2960" t="s">
        <v>315</v>
      </c>
      <c r="I2960">
        <v>0</v>
      </c>
      <c r="J2960">
        <v>0</v>
      </c>
      <c r="K2960">
        <v>0</v>
      </c>
      <c r="L2960" t="s">
        <v>241</v>
      </c>
      <c r="M2960" t="s">
        <v>1398</v>
      </c>
      <c r="N2960">
        <v>0</v>
      </c>
      <c r="O2960" t="s">
        <v>1395</v>
      </c>
      <c r="P2960" t="s">
        <v>310</v>
      </c>
      <c r="Q2960" t="s">
        <v>310</v>
      </c>
      <c r="R2960" t="s">
        <v>310</v>
      </c>
      <c r="S2960">
        <v>9</v>
      </c>
      <c r="T2960" t="s">
        <v>310</v>
      </c>
      <c r="U2960">
        <v>9</v>
      </c>
      <c r="V2960">
        <v>9</v>
      </c>
      <c r="W2960">
        <v>0</v>
      </c>
      <c r="X2960">
        <v>0</v>
      </c>
      <c r="Y2960">
        <v>0</v>
      </c>
      <c r="Z2960">
        <v>0</v>
      </c>
      <c r="AA2960">
        <v>9</v>
      </c>
      <c r="AB2960">
        <v>9</v>
      </c>
      <c r="AC2960" t="s">
        <v>310</v>
      </c>
      <c r="AD2960">
        <v>9</v>
      </c>
      <c r="AE2960" t="s">
        <v>1416</v>
      </c>
      <c r="AF2960">
        <v>60000000</v>
      </c>
      <c r="AG2960" t="s">
        <v>310</v>
      </c>
      <c r="AH2960">
        <f>SUM((MID(Dyno_Data[[#This Row],[Team]],4,5))+(Dyno_Data[[#This Row],[Match]]/100))</f>
        <v>250.55</v>
      </c>
      <c r="AI2960" s="76">
        <f>ROUND(SUM(IF(Dyno_Data[[#This Row],[AcqCenter]]&gt;0,Dyno_Data[[#This Row],[Time]]-SUMIFS(Dyno_Data[Time],Dyno_Data[Team],Dyno_Data[[#This Row],[Team]],Dyno_Data[RecordType],"StartMatch",Dyno_Data[Match],Dyno_Data[[#This Row],[Match]]),0)*86400),0)</f>
        <v>0</v>
      </c>
    </row>
    <row r="2961" spans="1:35" x14ac:dyDescent="0.3">
      <c r="A2961">
        <v>2960</v>
      </c>
      <c r="B2961" t="s">
        <v>363</v>
      </c>
      <c r="C2961">
        <v>55</v>
      </c>
      <c r="D2961" s="105">
        <v>45373.748176307869</v>
      </c>
      <c r="E2961" t="s">
        <v>316</v>
      </c>
      <c r="F2961" t="s">
        <v>317</v>
      </c>
      <c r="G2961">
        <v>1</v>
      </c>
      <c r="H2961" t="s">
        <v>310</v>
      </c>
      <c r="I2961">
        <v>0</v>
      </c>
      <c r="J2961">
        <v>0</v>
      </c>
      <c r="K2961">
        <v>0</v>
      </c>
      <c r="L2961" t="s">
        <v>310</v>
      </c>
      <c r="M2961" t="s">
        <v>310</v>
      </c>
      <c r="N2961">
        <v>0</v>
      </c>
      <c r="O2961" t="s">
        <v>311</v>
      </c>
      <c r="P2961" t="s">
        <v>1401</v>
      </c>
      <c r="Q2961" t="s">
        <v>1399</v>
      </c>
      <c r="R2961" t="s">
        <v>1404</v>
      </c>
      <c r="S2961">
        <v>-1</v>
      </c>
      <c r="T2961" t="s">
        <v>105</v>
      </c>
      <c r="U2961">
        <v>9</v>
      </c>
      <c r="V2961">
        <v>9</v>
      </c>
      <c r="W2961">
        <v>0.43908469999999999</v>
      </c>
      <c r="X2961">
        <v>18.762364599999998</v>
      </c>
      <c r="Y2961">
        <v>26.561134799999998</v>
      </c>
      <c r="Z2961">
        <v>90.729024499999994</v>
      </c>
      <c r="AA2961">
        <v>0</v>
      </c>
      <c r="AB2961">
        <v>0</v>
      </c>
      <c r="AC2961" t="s">
        <v>174</v>
      </c>
      <c r="AD2961">
        <v>1</v>
      </c>
      <c r="AE2961" t="s">
        <v>1394</v>
      </c>
      <c r="AF2961">
        <v>70000000</v>
      </c>
      <c r="AG2961" t="s">
        <v>310</v>
      </c>
      <c r="AH2961">
        <f>SUM((MID(Dyno_Data[[#This Row],[Team]],4,5))+(Dyno_Data[[#This Row],[Match]]/100))</f>
        <v>2601.5500000000002</v>
      </c>
      <c r="AI2961" s="76">
        <f>ROUND(SUM(IF(Dyno_Data[[#This Row],[AcqCenter]]&gt;0,Dyno_Data[[#This Row],[Time]]-SUMIFS(Dyno_Data[Time],Dyno_Data[Team],Dyno_Data[[#This Row],[Team]],Dyno_Data[RecordType],"StartMatch",Dyno_Data[Match],Dyno_Data[[#This Row],[Match]]),0)*86400),0)</f>
        <v>0</v>
      </c>
    </row>
    <row r="2962" spans="1:35" x14ac:dyDescent="0.3">
      <c r="A2962">
        <v>2961</v>
      </c>
      <c r="B2962" t="s">
        <v>1284</v>
      </c>
      <c r="C2962">
        <v>55</v>
      </c>
      <c r="D2962" s="105">
        <v>45373.748176469904</v>
      </c>
      <c r="E2962" t="s">
        <v>316</v>
      </c>
      <c r="F2962" t="s">
        <v>317</v>
      </c>
      <c r="G2962">
        <v>1</v>
      </c>
      <c r="H2962" t="s">
        <v>310</v>
      </c>
      <c r="I2962">
        <v>0</v>
      </c>
      <c r="J2962">
        <v>0</v>
      </c>
      <c r="K2962">
        <v>0</v>
      </c>
      <c r="L2962" t="s">
        <v>310</v>
      </c>
      <c r="M2962" t="s">
        <v>310</v>
      </c>
      <c r="N2962">
        <v>0</v>
      </c>
      <c r="O2962" t="s">
        <v>1391</v>
      </c>
      <c r="P2962" t="s">
        <v>101</v>
      </c>
      <c r="Q2962" t="s">
        <v>1400</v>
      </c>
      <c r="R2962" t="s">
        <v>1404</v>
      </c>
      <c r="S2962">
        <v>-1</v>
      </c>
      <c r="T2962" t="s">
        <v>105</v>
      </c>
      <c r="U2962">
        <v>9</v>
      </c>
      <c r="V2962">
        <v>9</v>
      </c>
      <c r="W2962">
        <v>1.3176307999999999</v>
      </c>
      <c r="X2962">
        <v>38.141259099999999</v>
      </c>
      <c r="Y2962">
        <v>19.705374899999999</v>
      </c>
      <c r="Z2962">
        <v>67.772801200000004</v>
      </c>
      <c r="AA2962">
        <v>0</v>
      </c>
      <c r="AB2962">
        <v>0</v>
      </c>
      <c r="AC2962" t="s">
        <v>174</v>
      </c>
      <c r="AD2962">
        <v>9</v>
      </c>
      <c r="AE2962" t="s">
        <v>1418</v>
      </c>
      <c r="AF2962">
        <v>50100000</v>
      </c>
      <c r="AG2962" t="s">
        <v>310</v>
      </c>
      <c r="AH2962">
        <f>SUM((MID(Dyno_Data[[#This Row],[Team]],4,5))+(Dyno_Data[[#This Row],[Match]]/100))</f>
        <v>5590.55</v>
      </c>
      <c r="AI2962" s="76">
        <f>ROUND(SUM(IF(Dyno_Data[[#This Row],[AcqCenter]]&gt;0,Dyno_Data[[#This Row],[Time]]-SUMIFS(Dyno_Data[Time],Dyno_Data[Team],Dyno_Data[[#This Row],[Team]],Dyno_Data[RecordType],"StartMatch",Dyno_Data[Match],Dyno_Data[[#This Row],[Match]]),0)*86400),0)</f>
        <v>0</v>
      </c>
    </row>
    <row r="2963" spans="1:35" x14ac:dyDescent="0.3">
      <c r="A2963">
        <v>2962</v>
      </c>
      <c r="B2963" t="s">
        <v>1312</v>
      </c>
      <c r="C2963">
        <v>55</v>
      </c>
      <c r="D2963" s="105">
        <v>45373.74817658565</v>
      </c>
      <c r="E2963" t="s">
        <v>316</v>
      </c>
      <c r="F2963" t="s">
        <v>317</v>
      </c>
      <c r="G2963">
        <v>0</v>
      </c>
      <c r="H2963" t="s">
        <v>310</v>
      </c>
      <c r="I2963">
        <v>0</v>
      </c>
      <c r="J2963">
        <v>0</v>
      </c>
      <c r="K2963">
        <v>0</v>
      </c>
      <c r="L2963" t="s">
        <v>310</v>
      </c>
      <c r="M2963" t="s">
        <v>310</v>
      </c>
      <c r="N2963">
        <v>0</v>
      </c>
      <c r="O2963" t="s">
        <v>319</v>
      </c>
      <c r="P2963" t="s">
        <v>240</v>
      </c>
      <c r="Q2963" t="s">
        <v>1400</v>
      </c>
      <c r="R2963" t="s">
        <v>321</v>
      </c>
      <c r="S2963">
        <v>0</v>
      </c>
      <c r="T2963" t="s">
        <v>105</v>
      </c>
      <c r="U2963">
        <v>9</v>
      </c>
      <c r="V2963">
        <v>9</v>
      </c>
      <c r="W2963">
        <v>0</v>
      </c>
      <c r="X2963">
        <v>5.6244245999999993</v>
      </c>
      <c r="Y2963">
        <v>74.658526100000003</v>
      </c>
      <c r="Z2963">
        <v>53.966858699999996</v>
      </c>
      <c r="AA2963">
        <v>0</v>
      </c>
      <c r="AB2963">
        <v>0</v>
      </c>
      <c r="AC2963" t="s">
        <v>174</v>
      </c>
      <c r="AD2963">
        <v>9</v>
      </c>
      <c r="AE2963" t="s">
        <v>1392</v>
      </c>
      <c r="AF2963">
        <v>50100000</v>
      </c>
      <c r="AG2963" t="s">
        <v>310</v>
      </c>
      <c r="AH2963">
        <f>SUM((MID(Dyno_Data[[#This Row],[Team]],4,5))+(Dyno_Data[[#This Row],[Match]]/100))</f>
        <v>2053.5500000000002</v>
      </c>
      <c r="AI2963" s="76">
        <f>ROUND(SUM(IF(Dyno_Data[[#This Row],[AcqCenter]]&gt;0,Dyno_Data[[#This Row],[Time]]-SUMIFS(Dyno_Data[Time],Dyno_Data[Team],Dyno_Data[[#This Row],[Team]],Dyno_Data[RecordType],"StartMatch",Dyno_Data[Match],Dyno_Data[[#This Row],[Match]]),0)*86400),0)</f>
        <v>0</v>
      </c>
    </row>
    <row r="2964" spans="1:35" x14ac:dyDescent="0.3">
      <c r="A2964">
        <v>2963</v>
      </c>
      <c r="B2964" t="s">
        <v>1297</v>
      </c>
      <c r="C2964">
        <v>55</v>
      </c>
      <c r="D2964" s="105">
        <v>45373.748176655092</v>
      </c>
      <c r="E2964" t="s">
        <v>316</v>
      </c>
      <c r="F2964" t="s">
        <v>317</v>
      </c>
      <c r="G2964">
        <v>0</v>
      </c>
      <c r="H2964" t="s">
        <v>310</v>
      </c>
      <c r="I2964">
        <v>0</v>
      </c>
      <c r="J2964">
        <v>0</v>
      </c>
      <c r="K2964">
        <v>0</v>
      </c>
      <c r="L2964" t="s">
        <v>310</v>
      </c>
      <c r="M2964" t="s">
        <v>310</v>
      </c>
      <c r="N2964">
        <v>0</v>
      </c>
      <c r="O2964" t="s">
        <v>1393</v>
      </c>
      <c r="P2964" t="s">
        <v>320</v>
      </c>
      <c r="Q2964" t="s">
        <v>1400</v>
      </c>
      <c r="R2964" t="s">
        <v>1404</v>
      </c>
      <c r="S2964">
        <v>0</v>
      </c>
      <c r="T2964" t="s">
        <v>105</v>
      </c>
      <c r="U2964">
        <v>9</v>
      </c>
      <c r="V2964">
        <v>9</v>
      </c>
      <c r="W2964">
        <v>0</v>
      </c>
      <c r="X2964">
        <v>39.0320277</v>
      </c>
      <c r="Y2964">
        <v>13.0461843</v>
      </c>
      <c r="Z2964">
        <v>83.907532500000002</v>
      </c>
      <c r="AA2964">
        <v>0</v>
      </c>
      <c r="AB2964">
        <v>0</v>
      </c>
      <c r="AC2964" t="s">
        <v>174</v>
      </c>
      <c r="AD2964">
        <v>9</v>
      </c>
      <c r="AE2964" t="s">
        <v>1387</v>
      </c>
      <c r="AF2964">
        <v>30000000</v>
      </c>
      <c r="AG2964" t="s">
        <v>310</v>
      </c>
      <c r="AH2964">
        <f>SUM((MID(Dyno_Data[[#This Row],[Team]],4,5))+(Dyno_Data[[#This Row],[Match]]/100))</f>
        <v>9750.5499999999993</v>
      </c>
      <c r="AI2964" s="76">
        <f>ROUND(SUM(IF(Dyno_Data[[#This Row],[AcqCenter]]&gt;0,Dyno_Data[[#This Row],[Time]]-SUMIFS(Dyno_Data[Time],Dyno_Data[Team],Dyno_Data[[#This Row],[Team]],Dyno_Data[RecordType],"StartMatch",Dyno_Data[Match],Dyno_Data[[#This Row],[Match]]),0)*86400),0)</f>
        <v>0</v>
      </c>
    </row>
    <row r="2965" spans="1:35" x14ac:dyDescent="0.3">
      <c r="A2965">
        <v>2964</v>
      </c>
      <c r="B2965" t="s">
        <v>1288</v>
      </c>
      <c r="C2965">
        <v>55</v>
      </c>
      <c r="D2965" s="105">
        <v>45373.74817677083</v>
      </c>
      <c r="E2965" t="s">
        <v>316</v>
      </c>
      <c r="F2965" t="s">
        <v>317</v>
      </c>
      <c r="G2965">
        <v>1</v>
      </c>
      <c r="H2965" t="s">
        <v>310</v>
      </c>
      <c r="I2965">
        <v>0</v>
      </c>
      <c r="J2965">
        <v>0</v>
      </c>
      <c r="K2965">
        <v>0</v>
      </c>
      <c r="L2965" t="s">
        <v>310</v>
      </c>
      <c r="M2965" t="s">
        <v>310</v>
      </c>
      <c r="N2965">
        <v>0</v>
      </c>
      <c r="O2965" t="s">
        <v>1389</v>
      </c>
      <c r="P2965" t="s">
        <v>1401</v>
      </c>
      <c r="Q2965" t="s">
        <v>1400</v>
      </c>
      <c r="R2965" t="s">
        <v>1404</v>
      </c>
      <c r="S2965">
        <v>-1</v>
      </c>
      <c r="T2965" t="s">
        <v>105</v>
      </c>
      <c r="U2965">
        <v>9</v>
      </c>
      <c r="V2965">
        <v>9</v>
      </c>
      <c r="W2965">
        <v>13.5802438</v>
      </c>
      <c r="X2965">
        <v>43.792423499999998</v>
      </c>
      <c r="Y2965">
        <v>25.770038</v>
      </c>
      <c r="Z2965">
        <v>47.056760499999996</v>
      </c>
      <c r="AA2965">
        <v>0</v>
      </c>
      <c r="AB2965">
        <v>0</v>
      </c>
      <c r="AC2965" t="s">
        <v>174</v>
      </c>
      <c r="AD2965">
        <v>9</v>
      </c>
      <c r="AE2965" t="s">
        <v>1417</v>
      </c>
      <c r="AF2965">
        <v>90000000</v>
      </c>
      <c r="AG2965" t="s">
        <v>310</v>
      </c>
      <c r="AH2965">
        <f>SUM((MID(Dyno_Data[[#This Row],[Team]],4,5))+(Dyno_Data[[#This Row],[Match]]/100))</f>
        <v>3181.55</v>
      </c>
      <c r="AI2965" s="76">
        <f>ROUND(SUM(IF(Dyno_Data[[#This Row],[AcqCenter]]&gt;0,Dyno_Data[[#This Row],[Time]]-SUMIFS(Dyno_Data[Time],Dyno_Data[Team],Dyno_Data[[#This Row],[Team]],Dyno_Data[RecordType],"StartMatch",Dyno_Data[Match],Dyno_Data[[#This Row],[Match]]),0)*86400),0)</f>
        <v>0</v>
      </c>
    </row>
    <row r="2966" spans="1:35" x14ac:dyDescent="0.3">
      <c r="A2966">
        <v>2965</v>
      </c>
      <c r="B2966" t="s">
        <v>362</v>
      </c>
      <c r="C2966">
        <v>55</v>
      </c>
      <c r="D2966" s="105">
        <v>45373.748176851848</v>
      </c>
      <c r="E2966" t="s">
        <v>316</v>
      </c>
      <c r="F2966" t="s">
        <v>317</v>
      </c>
      <c r="G2966">
        <v>1</v>
      </c>
      <c r="H2966" t="s">
        <v>310</v>
      </c>
      <c r="I2966">
        <v>0</v>
      </c>
      <c r="J2966">
        <v>0</v>
      </c>
      <c r="K2966">
        <v>0</v>
      </c>
      <c r="L2966" t="s">
        <v>310</v>
      </c>
      <c r="M2966" t="s">
        <v>310</v>
      </c>
      <c r="N2966">
        <v>0</v>
      </c>
      <c r="O2966" t="s">
        <v>1395</v>
      </c>
      <c r="P2966" t="s">
        <v>101</v>
      </c>
      <c r="Q2966" t="s">
        <v>1399</v>
      </c>
      <c r="R2966" t="s">
        <v>1404</v>
      </c>
      <c r="S2966">
        <v>0</v>
      </c>
      <c r="T2966" t="s">
        <v>105</v>
      </c>
      <c r="U2966">
        <v>9</v>
      </c>
      <c r="V2966">
        <v>9</v>
      </c>
      <c r="W2966">
        <v>0</v>
      </c>
      <c r="X2966">
        <v>34.819195399999998</v>
      </c>
      <c r="Y2966">
        <v>21.635214899999998</v>
      </c>
      <c r="Z2966">
        <v>79.352347600000002</v>
      </c>
      <c r="AA2966">
        <v>0</v>
      </c>
      <c r="AB2966">
        <v>1</v>
      </c>
      <c r="AC2966" t="s">
        <v>174</v>
      </c>
      <c r="AD2966">
        <v>1</v>
      </c>
      <c r="AE2966" t="s">
        <v>1416</v>
      </c>
      <c r="AF2966">
        <v>60000000</v>
      </c>
      <c r="AG2966" t="s">
        <v>310</v>
      </c>
      <c r="AH2966">
        <f>SUM((MID(Dyno_Data[[#This Row],[Team]],4,5))+(Dyno_Data[[#This Row],[Match]]/100))</f>
        <v>250.55</v>
      </c>
      <c r="AI2966" s="76">
        <f>ROUND(SUM(IF(Dyno_Data[[#This Row],[AcqCenter]]&gt;0,Dyno_Data[[#This Row],[Time]]-SUMIFS(Dyno_Data[Time],Dyno_Data[Team],Dyno_Data[[#This Row],[Team]],Dyno_Data[RecordType],"StartMatch",Dyno_Data[Match],Dyno_Data[[#This Row],[Match]]),0)*86400),0)</f>
        <v>0</v>
      </c>
    </row>
    <row r="2967" spans="1:35" x14ac:dyDescent="0.3">
      <c r="A2967">
        <v>2982</v>
      </c>
      <c r="B2967" t="s">
        <v>1285</v>
      </c>
      <c r="C2967">
        <v>56</v>
      </c>
      <c r="D2967" s="105">
        <v>45373.750114155089</v>
      </c>
      <c r="E2967" t="s">
        <v>308</v>
      </c>
      <c r="F2967" t="s">
        <v>309</v>
      </c>
      <c r="G2967">
        <v>0</v>
      </c>
      <c r="H2967" t="s">
        <v>310</v>
      </c>
      <c r="I2967">
        <v>0</v>
      </c>
      <c r="J2967">
        <v>0</v>
      </c>
      <c r="K2967">
        <v>0</v>
      </c>
      <c r="L2967" t="s">
        <v>310</v>
      </c>
      <c r="M2967" t="s">
        <v>310</v>
      </c>
      <c r="N2967">
        <v>0</v>
      </c>
      <c r="O2967" t="s">
        <v>1393</v>
      </c>
      <c r="P2967" t="s">
        <v>310</v>
      </c>
      <c r="Q2967" t="s">
        <v>310</v>
      </c>
      <c r="R2967" t="s">
        <v>310</v>
      </c>
      <c r="S2967">
        <v>9</v>
      </c>
      <c r="T2967" t="s">
        <v>310</v>
      </c>
      <c r="U2967">
        <v>9</v>
      </c>
      <c r="V2967">
        <v>9</v>
      </c>
      <c r="W2967">
        <v>0</v>
      </c>
      <c r="X2967">
        <v>0</v>
      </c>
      <c r="Y2967">
        <v>0</v>
      </c>
      <c r="Z2967">
        <v>0</v>
      </c>
      <c r="AA2967">
        <v>9</v>
      </c>
      <c r="AB2967">
        <v>9</v>
      </c>
      <c r="AC2967" t="s">
        <v>310</v>
      </c>
      <c r="AD2967">
        <v>9</v>
      </c>
      <c r="AE2967" t="s">
        <v>1387</v>
      </c>
      <c r="AF2967">
        <v>100000</v>
      </c>
      <c r="AG2967" t="s">
        <v>310</v>
      </c>
      <c r="AH2967">
        <f>SUM((MID(Dyno_Data[[#This Row],[Team]],4,5))+(Dyno_Data[[#This Row],[Match]]/100))</f>
        <v>5993.56</v>
      </c>
      <c r="AI2967" s="76">
        <f>ROUND(SUM(IF(Dyno_Data[[#This Row],[AcqCenter]]&gt;0,Dyno_Data[[#This Row],[Time]]-SUMIFS(Dyno_Data[Time],Dyno_Data[Team],Dyno_Data[[#This Row],[Team]],Dyno_Data[RecordType],"StartMatch",Dyno_Data[Match],Dyno_Data[[#This Row],[Match]]),0)*86400),0)</f>
        <v>0</v>
      </c>
    </row>
    <row r="2968" spans="1:35" x14ac:dyDescent="0.3">
      <c r="A2968">
        <v>2984</v>
      </c>
      <c r="B2968" t="s">
        <v>1305</v>
      </c>
      <c r="C2968">
        <v>56</v>
      </c>
      <c r="D2968" s="105">
        <v>45373.750115590279</v>
      </c>
      <c r="E2968" t="s">
        <v>308</v>
      </c>
      <c r="F2968" t="s">
        <v>309</v>
      </c>
      <c r="G2968">
        <v>0</v>
      </c>
      <c r="H2968" t="s">
        <v>310</v>
      </c>
      <c r="I2968">
        <v>0</v>
      </c>
      <c r="J2968">
        <v>0</v>
      </c>
      <c r="K2968">
        <v>0</v>
      </c>
      <c r="L2968" t="s">
        <v>310</v>
      </c>
      <c r="M2968" t="s">
        <v>310</v>
      </c>
      <c r="N2968">
        <v>0</v>
      </c>
      <c r="O2968" t="s">
        <v>1395</v>
      </c>
      <c r="P2968" t="s">
        <v>310</v>
      </c>
      <c r="Q2968" t="s">
        <v>310</v>
      </c>
      <c r="R2968" t="s">
        <v>310</v>
      </c>
      <c r="S2968">
        <v>9</v>
      </c>
      <c r="T2968" t="s">
        <v>310</v>
      </c>
      <c r="U2968">
        <v>9</v>
      </c>
      <c r="V2968">
        <v>9</v>
      </c>
      <c r="W2968">
        <v>0</v>
      </c>
      <c r="X2968">
        <v>0</v>
      </c>
      <c r="Y2968">
        <v>0</v>
      </c>
      <c r="Z2968">
        <v>0</v>
      </c>
      <c r="AA2968">
        <v>9</v>
      </c>
      <c r="AB2968">
        <v>9</v>
      </c>
      <c r="AC2968" t="s">
        <v>310</v>
      </c>
      <c r="AD2968">
        <v>9</v>
      </c>
      <c r="AE2968" t="s">
        <v>1416</v>
      </c>
      <c r="AF2968">
        <v>30000000</v>
      </c>
      <c r="AG2968" t="s">
        <v>310</v>
      </c>
      <c r="AH2968">
        <f>SUM((MID(Dyno_Data[[#This Row],[Team]],4,5))+(Dyno_Data[[#This Row],[Match]]/100))</f>
        <v>3173.56</v>
      </c>
      <c r="AI2968" s="76">
        <f>ROUND(SUM(IF(Dyno_Data[[#This Row],[AcqCenter]]&gt;0,Dyno_Data[[#This Row],[Time]]-SUMIFS(Dyno_Data[Time],Dyno_Data[Team],Dyno_Data[[#This Row],[Team]],Dyno_Data[RecordType],"StartMatch",Dyno_Data[Match],Dyno_Data[[#This Row],[Match]]),0)*86400),0)</f>
        <v>0</v>
      </c>
    </row>
    <row r="2969" spans="1:35" x14ac:dyDescent="0.3">
      <c r="A2969">
        <v>2986</v>
      </c>
      <c r="B2969" t="s">
        <v>364</v>
      </c>
      <c r="C2969">
        <v>56</v>
      </c>
      <c r="D2969" s="105">
        <v>45373.750116284726</v>
      </c>
      <c r="E2969" t="s">
        <v>308</v>
      </c>
      <c r="F2969" t="s">
        <v>309</v>
      </c>
      <c r="G2969">
        <v>0</v>
      </c>
      <c r="H2969" t="s">
        <v>310</v>
      </c>
      <c r="I2969">
        <v>0</v>
      </c>
      <c r="J2969">
        <v>0</v>
      </c>
      <c r="K2969">
        <v>0</v>
      </c>
      <c r="L2969" t="s">
        <v>310</v>
      </c>
      <c r="M2969" t="s">
        <v>310</v>
      </c>
      <c r="N2969">
        <v>0</v>
      </c>
      <c r="O2969" t="s">
        <v>319</v>
      </c>
      <c r="P2969" t="s">
        <v>310</v>
      </c>
      <c r="Q2969" t="s">
        <v>310</v>
      </c>
      <c r="R2969" t="s">
        <v>310</v>
      </c>
      <c r="S2969">
        <v>9</v>
      </c>
      <c r="T2969" t="s">
        <v>310</v>
      </c>
      <c r="U2969">
        <v>9</v>
      </c>
      <c r="V2969">
        <v>9</v>
      </c>
      <c r="W2969">
        <v>0</v>
      </c>
      <c r="X2969">
        <v>0</v>
      </c>
      <c r="Y2969">
        <v>0</v>
      </c>
      <c r="Z2969">
        <v>0</v>
      </c>
      <c r="AA2969">
        <v>9</v>
      </c>
      <c r="AB2969">
        <v>9</v>
      </c>
      <c r="AC2969" t="s">
        <v>310</v>
      </c>
      <c r="AD2969">
        <v>9</v>
      </c>
      <c r="AE2969" t="s">
        <v>1392</v>
      </c>
      <c r="AF2969">
        <v>0</v>
      </c>
      <c r="AG2969" t="s">
        <v>310</v>
      </c>
      <c r="AH2969">
        <f>SUM((MID(Dyno_Data[[#This Row],[Team]],4,5))+(Dyno_Data[[#This Row],[Match]]/100))</f>
        <v>2791.56</v>
      </c>
      <c r="AI2969" s="76">
        <f>ROUND(SUM(IF(Dyno_Data[[#This Row],[AcqCenter]]&gt;0,Dyno_Data[[#This Row],[Time]]-SUMIFS(Dyno_Data[Time],Dyno_Data[Team],Dyno_Data[[#This Row],[Team]],Dyno_Data[RecordType],"StartMatch",Dyno_Data[Match],Dyno_Data[[#This Row],[Match]]),0)*86400),0)</f>
        <v>0</v>
      </c>
    </row>
    <row r="2970" spans="1:35" x14ac:dyDescent="0.3">
      <c r="A2970">
        <v>2988</v>
      </c>
      <c r="B2970" t="s">
        <v>1286</v>
      </c>
      <c r="C2970">
        <v>56</v>
      </c>
      <c r="D2970" s="105">
        <v>45373.750117743053</v>
      </c>
      <c r="E2970" t="s">
        <v>308</v>
      </c>
      <c r="F2970" t="s">
        <v>309</v>
      </c>
      <c r="G2970">
        <v>0</v>
      </c>
      <c r="H2970" t="s">
        <v>310</v>
      </c>
      <c r="I2970">
        <v>0</v>
      </c>
      <c r="J2970">
        <v>0</v>
      </c>
      <c r="K2970">
        <v>0</v>
      </c>
      <c r="L2970" t="s">
        <v>310</v>
      </c>
      <c r="M2970" t="s">
        <v>310</v>
      </c>
      <c r="N2970">
        <v>0</v>
      </c>
      <c r="O2970" t="s">
        <v>311</v>
      </c>
      <c r="P2970" t="s">
        <v>310</v>
      </c>
      <c r="Q2970" t="s">
        <v>310</v>
      </c>
      <c r="R2970" t="s">
        <v>310</v>
      </c>
      <c r="S2970">
        <v>9</v>
      </c>
      <c r="T2970" t="s">
        <v>310</v>
      </c>
      <c r="U2970">
        <v>9</v>
      </c>
      <c r="V2970">
        <v>9</v>
      </c>
      <c r="W2970">
        <v>0</v>
      </c>
      <c r="X2970">
        <v>0</v>
      </c>
      <c r="Y2970">
        <v>0</v>
      </c>
      <c r="Z2970">
        <v>0</v>
      </c>
      <c r="AA2970">
        <v>9</v>
      </c>
      <c r="AB2970">
        <v>9</v>
      </c>
      <c r="AC2970" t="s">
        <v>310</v>
      </c>
      <c r="AD2970">
        <v>9</v>
      </c>
      <c r="AE2970" t="s">
        <v>1394</v>
      </c>
      <c r="AF2970">
        <v>30000000</v>
      </c>
      <c r="AG2970" t="s">
        <v>310</v>
      </c>
      <c r="AH2970">
        <f>SUM((MID(Dyno_Data[[#This Row],[Team]],4,5))+(Dyno_Data[[#This Row],[Match]]/100))</f>
        <v>1591.56</v>
      </c>
      <c r="AI2970" s="76">
        <f>ROUND(SUM(IF(Dyno_Data[[#This Row],[AcqCenter]]&gt;0,Dyno_Data[[#This Row],[Time]]-SUMIFS(Dyno_Data[Time],Dyno_Data[Team],Dyno_Data[[#This Row],[Team]],Dyno_Data[RecordType],"StartMatch",Dyno_Data[Match],Dyno_Data[[#This Row],[Match]]),0)*86400),0)</f>
        <v>0</v>
      </c>
    </row>
    <row r="2971" spans="1:35" x14ac:dyDescent="0.3">
      <c r="A2971">
        <v>2966</v>
      </c>
      <c r="B2971" t="s">
        <v>1286</v>
      </c>
      <c r="C2971">
        <v>56</v>
      </c>
      <c r="D2971" s="105">
        <v>45373.750127858795</v>
      </c>
      <c r="E2971" t="s">
        <v>312</v>
      </c>
      <c r="F2971" t="s">
        <v>309</v>
      </c>
      <c r="G2971">
        <v>0</v>
      </c>
      <c r="H2971" t="s">
        <v>1397</v>
      </c>
      <c r="I2971">
        <v>0</v>
      </c>
      <c r="J2971">
        <v>0</v>
      </c>
      <c r="K2971">
        <v>0</v>
      </c>
      <c r="L2971" t="s">
        <v>240</v>
      </c>
      <c r="M2971" t="s">
        <v>1398</v>
      </c>
      <c r="N2971">
        <v>0</v>
      </c>
      <c r="O2971" t="s">
        <v>311</v>
      </c>
      <c r="P2971" t="s">
        <v>310</v>
      </c>
      <c r="Q2971" t="s">
        <v>310</v>
      </c>
      <c r="R2971" t="s">
        <v>310</v>
      </c>
      <c r="S2971">
        <v>9</v>
      </c>
      <c r="T2971" t="s">
        <v>310</v>
      </c>
      <c r="U2971">
        <v>9</v>
      </c>
      <c r="V2971">
        <v>9</v>
      </c>
      <c r="W2971">
        <v>0</v>
      </c>
      <c r="X2971">
        <v>0</v>
      </c>
      <c r="Y2971">
        <v>0</v>
      </c>
      <c r="Z2971">
        <v>0</v>
      </c>
      <c r="AA2971">
        <v>9</v>
      </c>
      <c r="AB2971">
        <v>9</v>
      </c>
      <c r="AC2971" t="s">
        <v>310</v>
      </c>
      <c r="AD2971">
        <v>9</v>
      </c>
      <c r="AE2971" t="s">
        <v>1394</v>
      </c>
      <c r="AF2971">
        <v>0</v>
      </c>
      <c r="AG2971" t="s">
        <v>310</v>
      </c>
      <c r="AH2971">
        <f>SUM((MID(Dyno_Data[[#This Row],[Team]],4,5))+(Dyno_Data[[#This Row],[Match]]/100))</f>
        <v>1591.56</v>
      </c>
      <c r="AI2971" s="76">
        <f>ROUND(SUM(IF(Dyno_Data[[#This Row],[AcqCenter]]&gt;0,Dyno_Data[[#This Row],[Time]]-SUMIFS(Dyno_Data[Time],Dyno_Data[Team],Dyno_Data[[#This Row],[Team]],Dyno_Data[RecordType],"StartMatch",Dyno_Data[Match],Dyno_Data[[#This Row],[Match]]),0)*86400),0)</f>
        <v>0</v>
      </c>
    </row>
    <row r="2972" spans="1:35" x14ac:dyDescent="0.3">
      <c r="A2972">
        <v>2990</v>
      </c>
      <c r="B2972" t="s">
        <v>1280</v>
      </c>
      <c r="C2972">
        <v>56</v>
      </c>
      <c r="D2972" s="105">
        <v>45373.750130127315</v>
      </c>
      <c r="E2972" t="s">
        <v>308</v>
      </c>
      <c r="F2972" t="s">
        <v>309</v>
      </c>
      <c r="G2972">
        <v>0</v>
      </c>
      <c r="H2972" t="s">
        <v>310</v>
      </c>
      <c r="I2972">
        <v>0</v>
      </c>
      <c r="J2972">
        <v>0</v>
      </c>
      <c r="K2972">
        <v>0</v>
      </c>
      <c r="L2972" t="s">
        <v>310</v>
      </c>
      <c r="M2972" t="s">
        <v>310</v>
      </c>
      <c r="N2972">
        <v>0</v>
      </c>
      <c r="O2972" t="s">
        <v>1389</v>
      </c>
      <c r="P2972" t="s">
        <v>310</v>
      </c>
      <c r="Q2972" t="s">
        <v>310</v>
      </c>
      <c r="R2972" t="s">
        <v>310</v>
      </c>
      <c r="S2972">
        <v>9</v>
      </c>
      <c r="T2972" t="s">
        <v>310</v>
      </c>
      <c r="U2972">
        <v>9</v>
      </c>
      <c r="V2972">
        <v>9</v>
      </c>
      <c r="W2972">
        <v>0</v>
      </c>
      <c r="X2972">
        <v>0</v>
      </c>
      <c r="Y2972">
        <v>0</v>
      </c>
      <c r="Z2972">
        <v>0</v>
      </c>
      <c r="AA2972">
        <v>9</v>
      </c>
      <c r="AB2972">
        <v>9</v>
      </c>
      <c r="AC2972" t="s">
        <v>310</v>
      </c>
      <c r="AD2972">
        <v>9</v>
      </c>
      <c r="AE2972" t="s">
        <v>1417</v>
      </c>
      <c r="AF2972">
        <v>1000000</v>
      </c>
      <c r="AG2972" t="s">
        <v>310</v>
      </c>
      <c r="AH2972">
        <f>SUM((MID(Dyno_Data[[#This Row],[Team]],4,5))+(Dyno_Data[[#This Row],[Match]]/100))</f>
        <v>1559.56</v>
      </c>
      <c r="AI2972" s="76">
        <f>ROUND(SUM(IF(Dyno_Data[[#This Row],[AcqCenter]]&gt;0,Dyno_Data[[#This Row],[Time]]-SUMIFS(Dyno_Data[Time],Dyno_Data[Team],Dyno_Data[[#This Row],[Team]],Dyno_Data[RecordType],"StartMatch",Dyno_Data[Match],Dyno_Data[[#This Row],[Match]]),0)*86400),0)</f>
        <v>0</v>
      </c>
    </row>
    <row r="2973" spans="1:35" x14ac:dyDescent="0.3">
      <c r="A2973">
        <v>2967</v>
      </c>
      <c r="B2973" t="s">
        <v>1305</v>
      </c>
      <c r="C2973">
        <v>56</v>
      </c>
      <c r="D2973" s="105">
        <v>45373.75013734954</v>
      </c>
      <c r="E2973" t="s">
        <v>312</v>
      </c>
      <c r="F2973" t="s">
        <v>309</v>
      </c>
      <c r="G2973">
        <v>0</v>
      </c>
      <c r="H2973" t="s">
        <v>1397</v>
      </c>
      <c r="I2973">
        <v>0</v>
      </c>
      <c r="J2973">
        <v>0</v>
      </c>
      <c r="K2973">
        <v>0</v>
      </c>
      <c r="L2973" t="s">
        <v>241</v>
      </c>
      <c r="M2973" t="s">
        <v>1398</v>
      </c>
      <c r="N2973">
        <v>0</v>
      </c>
      <c r="O2973" t="s">
        <v>1395</v>
      </c>
      <c r="P2973" t="s">
        <v>310</v>
      </c>
      <c r="Q2973" t="s">
        <v>310</v>
      </c>
      <c r="R2973" t="s">
        <v>310</v>
      </c>
      <c r="S2973">
        <v>9</v>
      </c>
      <c r="T2973" t="s">
        <v>310</v>
      </c>
      <c r="U2973">
        <v>9</v>
      </c>
      <c r="V2973">
        <v>9</v>
      </c>
      <c r="W2973">
        <v>0</v>
      </c>
      <c r="X2973">
        <v>0</v>
      </c>
      <c r="Y2973">
        <v>0</v>
      </c>
      <c r="Z2973">
        <v>0</v>
      </c>
      <c r="AA2973">
        <v>9</v>
      </c>
      <c r="AB2973">
        <v>9</v>
      </c>
      <c r="AC2973" t="s">
        <v>310</v>
      </c>
      <c r="AD2973">
        <v>9</v>
      </c>
      <c r="AE2973" t="s">
        <v>1416</v>
      </c>
      <c r="AF2973">
        <v>0</v>
      </c>
      <c r="AG2973" t="s">
        <v>310</v>
      </c>
      <c r="AH2973">
        <f>SUM((MID(Dyno_Data[[#This Row],[Team]],4,5))+(Dyno_Data[[#This Row],[Match]]/100))</f>
        <v>3173.56</v>
      </c>
      <c r="AI2973" s="76">
        <f>ROUND(SUM(IF(Dyno_Data[[#This Row],[AcqCenter]]&gt;0,Dyno_Data[[#This Row],[Time]]-SUMIFS(Dyno_Data[Time],Dyno_Data[Team],Dyno_Data[[#This Row],[Team]],Dyno_Data[RecordType],"StartMatch",Dyno_Data[Match],Dyno_Data[[#This Row],[Match]]),0)*86400),0)</f>
        <v>0</v>
      </c>
    </row>
    <row r="2974" spans="1:35" x14ac:dyDescent="0.3">
      <c r="A2974">
        <v>2992</v>
      </c>
      <c r="B2974" t="s">
        <v>367</v>
      </c>
      <c r="C2974">
        <v>56</v>
      </c>
      <c r="D2974" s="105">
        <v>45373.750137997682</v>
      </c>
      <c r="E2974" t="s">
        <v>308</v>
      </c>
      <c r="F2974" t="s">
        <v>309</v>
      </c>
      <c r="G2974">
        <v>0</v>
      </c>
      <c r="H2974" t="s">
        <v>310</v>
      </c>
      <c r="I2974">
        <v>0</v>
      </c>
      <c r="J2974">
        <v>0</v>
      </c>
      <c r="K2974">
        <v>0</v>
      </c>
      <c r="L2974" t="s">
        <v>310</v>
      </c>
      <c r="M2974" t="s">
        <v>310</v>
      </c>
      <c r="N2974">
        <v>0</v>
      </c>
      <c r="O2974" t="s">
        <v>1391</v>
      </c>
      <c r="P2974" t="s">
        <v>310</v>
      </c>
      <c r="Q2974" t="s">
        <v>310</v>
      </c>
      <c r="R2974" t="s">
        <v>310</v>
      </c>
      <c r="S2974">
        <v>9</v>
      </c>
      <c r="T2974" t="s">
        <v>310</v>
      </c>
      <c r="U2974">
        <v>9</v>
      </c>
      <c r="V2974">
        <v>9</v>
      </c>
      <c r="W2974">
        <v>0</v>
      </c>
      <c r="X2974">
        <v>0</v>
      </c>
      <c r="Y2974">
        <v>0</v>
      </c>
      <c r="Z2974">
        <v>0</v>
      </c>
      <c r="AA2974">
        <v>9</v>
      </c>
      <c r="AB2974">
        <v>9</v>
      </c>
      <c r="AC2974" t="s">
        <v>310</v>
      </c>
      <c r="AD2974">
        <v>9</v>
      </c>
      <c r="AE2974" t="s">
        <v>1418</v>
      </c>
      <c r="AF2974">
        <v>0</v>
      </c>
      <c r="AG2974" t="s">
        <v>310</v>
      </c>
      <c r="AH2974">
        <f>SUM((MID(Dyno_Data[[#This Row],[Team]],4,5))+(Dyno_Data[[#This Row],[Match]]/100))</f>
        <v>5016.5600000000004</v>
      </c>
      <c r="AI2974" s="76">
        <f>ROUND(SUM(IF(Dyno_Data[[#This Row],[AcqCenter]]&gt;0,Dyno_Data[[#This Row],[Time]]-SUMIFS(Dyno_Data[Time],Dyno_Data[Team],Dyno_Data[[#This Row],[Team]],Dyno_Data[RecordType],"StartMatch",Dyno_Data[Match],Dyno_Data[[#This Row],[Match]]),0)*86400),0)</f>
        <v>0</v>
      </c>
    </row>
    <row r="2975" spans="1:35" x14ac:dyDescent="0.3">
      <c r="A2975">
        <v>2968</v>
      </c>
      <c r="B2975" t="s">
        <v>1285</v>
      </c>
      <c r="C2975">
        <v>56</v>
      </c>
      <c r="D2975" s="105">
        <v>45373.750150312502</v>
      </c>
      <c r="E2975" t="s">
        <v>312</v>
      </c>
      <c r="F2975" t="s">
        <v>309</v>
      </c>
      <c r="G2975">
        <v>0</v>
      </c>
      <c r="H2975" t="s">
        <v>1397</v>
      </c>
      <c r="I2975">
        <v>0</v>
      </c>
      <c r="J2975">
        <v>0</v>
      </c>
      <c r="K2975">
        <v>0</v>
      </c>
      <c r="L2975" t="s">
        <v>240</v>
      </c>
      <c r="M2975" t="s">
        <v>1398</v>
      </c>
      <c r="N2975">
        <v>0</v>
      </c>
      <c r="O2975" t="s">
        <v>1393</v>
      </c>
      <c r="P2975" t="s">
        <v>310</v>
      </c>
      <c r="Q2975" t="s">
        <v>310</v>
      </c>
      <c r="R2975" t="s">
        <v>310</v>
      </c>
      <c r="S2975">
        <v>9</v>
      </c>
      <c r="T2975" t="s">
        <v>310</v>
      </c>
      <c r="U2975">
        <v>9</v>
      </c>
      <c r="V2975">
        <v>9</v>
      </c>
      <c r="W2975">
        <v>0</v>
      </c>
      <c r="X2975">
        <v>0</v>
      </c>
      <c r="Y2975">
        <v>0</v>
      </c>
      <c r="Z2975">
        <v>0</v>
      </c>
      <c r="AA2975">
        <v>9</v>
      </c>
      <c r="AB2975">
        <v>9</v>
      </c>
      <c r="AC2975" t="s">
        <v>310</v>
      </c>
      <c r="AD2975">
        <v>9</v>
      </c>
      <c r="AE2975" t="s">
        <v>1387</v>
      </c>
      <c r="AF2975">
        <v>100000</v>
      </c>
      <c r="AG2975" t="s">
        <v>310</v>
      </c>
      <c r="AH2975">
        <f>SUM((MID(Dyno_Data[[#This Row],[Team]],4,5))+(Dyno_Data[[#This Row],[Match]]/100))</f>
        <v>5993.56</v>
      </c>
      <c r="AI2975" s="76">
        <f>ROUND(SUM(IF(Dyno_Data[[#This Row],[AcqCenter]]&gt;0,Dyno_Data[[#This Row],[Time]]-SUMIFS(Dyno_Data[Time],Dyno_Data[Team],Dyno_Data[[#This Row],[Team]],Dyno_Data[RecordType],"StartMatch",Dyno_Data[Match],Dyno_Data[[#This Row],[Match]]),0)*86400),0)</f>
        <v>0</v>
      </c>
    </row>
    <row r="2976" spans="1:35" x14ac:dyDescent="0.3">
      <c r="A2976">
        <v>2969</v>
      </c>
      <c r="B2976" t="s">
        <v>364</v>
      </c>
      <c r="C2976">
        <v>56</v>
      </c>
      <c r="D2976" s="105">
        <v>45373.750155358794</v>
      </c>
      <c r="E2976" t="s">
        <v>312</v>
      </c>
      <c r="F2976" t="s">
        <v>309</v>
      </c>
      <c r="G2976">
        <v>0</v>
      </c>
      <c r="H2976" t="s">
        <v>1397</v>
      </c>
      <c r="I2976">
        <v>0</v>
      </c>
      <c r="J2976">
        <v>0</v>
      </c>
      <c r="K2976">
        <v>0</v>
      </c>
      <c r="L2976" t="s">
        <v>241</v>
      </c>
      <c r="M2976" t="s">
        <v>1398</v>
      </c>
      <c r="N2976">
        <v>1</v>
      </c>
      <c r="O2976" t="s">
        <v>319</v>
      </c>
      <c r="P2976" t="s">
        <v>310</v>
      </c>
      <c r="Q2976" t="s">
        <v>310</v>
      </c>
      <c r="R2976" t="s">
        <v>310</v>
      </c>
      <c r="S2976">
        <v>9</v>
      </c>
      <c r="T2976" t="s">
        <v>310</v>
      </c>
      <c r="U2976">
        <v>9</v>
      </c>
      <c r="V2976">
        <v>9</v>
      </c>
      <c r="W2976">
        <v>0</v>
      </c>
      <c r="X2976">
        <v>0</v>
      </c>
      <c r="Y2976">
        <v>0</v>
      </c>
      <c r="Z2976">
        <v>0</v>
      </c>
      <c r="AA2976">
        <v>9</v>
      </c>
      <c r="AB2976">
        <v>9</v>
      </c>
      <c r="AC2976" t="s">
        <v>310</v>
      </c>
      <c r="AD2976">
        <v>9</v>
      </c>
      <c r="AE2976" t="s">
        <v>1392</v>
      </c>
      <c r="AF2976">
        <v>0</v>
      </c>
      <c r="AG2976" t="s">
        <v>310</v>
      </c>
      <c r="AH2976">
        <f>SUM((MID(Dyno_Data[[#This Row],[Team]],4,5))+(Dyno_Data[[#This Row],[Match]]/100))</f>
        <v>2791.56</v>
      </c>
      <c r="AI2976" s="76">
        <f>ROUND(SUM(IF(Dyno_Data[[#This Row],[AcqCenter]]&gt;0,Dyno_Data[[#This Row],[Time]]-SUMIFS(Dyno_Data[Time],Dyno_Data[Team],Dyno_Data[[#This Row],[Team]],Dyno_Data[RecordType],"StartMatch",Dyno_Data[Match],Dyno_Data[[#This Row],[Match]]),0)*86400),0)</f>
        <v>0</v>
      </c>
    </row>
    <row r="2977" spans="1:35" x14ac:dyDescent="0.3">
      <c r="A2977">
        <v>2970</v>
      </c>
      <c r="B2977" t="s">
        <v>1286</v>
      </c>
      <c r="C2977">
        <v>56</v>
      </c>
      <c r="D2977" s="105">
        <v>45373.750157604169</v>
      </c>
      <c r="E2977" t="s">
        <v>312</v>
      </c>
      <c r="F2977" t="s">
        <v>309</v>
      </c>
      <c r="G2977">
        <v>0</v>
      </c>
      <c r="H2977" t="s">
        <v>315</v>
      </c>
      <c r="I2977">
        <v>0</v>
      </c>
      <c r="J2977">
        <v>0</v>
      </c>
      <c r="K2977">
        <v>0</v>
      </c>
      <c r="L2977" t="s">
        <v>240</v>
      </c>
      <c r="M2977" t="s">
        <v>1398</v>
      </c>
      <c r="N2977">
        <v>0</v>
      </c>
      <c r="O2977" t="s">
        <v>311</v>
      </c>
      <c r="P2977" t="s">
        <v>310</v>
      </c>
      <c r="Q2977" t="s">
        <v>310</v>
      </c>
      <c r="R2977" t="s">
        <v>310</v>
      </c>
      <c r="S2977">
        <v>9</v>
      </c>
      <c r="T2977" t="s">
        <v>310</v>
      </c>
      <c r="U2977">
        <v>9</v>
      </c>
      <c r="V2977">
        <v>9</v>
      </c>
      <c r="W2977">
        <v>0</v>
      </c>
      <c r="X2977">
        <v>0</v>
      </c>
      <c r="Y2977">
        <v>0</v>
      </c>
      <c r="Z2977">
        <v>0</v>
      </c>
      <c r="AA2977">
        <v>9</v>
      </c>
      <c r="AB2977">
        <v>9</v>
      </c>
      <c r="AC2977" t="s">
        <v>310</v>
      </c>
      <c r="AD2977">
        <v>9</v>
      </c>
      <c r="AE2977" t="s">
        <v>1394</v>
      </c>
      <c r="AF2977">
        <v>10000000</v>
      </c>
      <c r="AG2977" t="s">
        <v>310</v>
      </c>
      <c r="AH2977">
        <f>SUM((MID(Dyno_Data[[#This Row],[Team]],4,5))+(Dyno_Data[[#This Row],[Match]]/100))</f>
        <v>1591.56</v>
      </c>
      <c r="AI2977" s="76">
        <f>ROUND(SUM(IF(Dyno_Data[[#This Row],[AcqCenter]]&gt;0,Dyno_Data[[#This Row],[Time]]-SUMIFS(Dyno_Data[Time],Dyno_Data[Team],Dyno_Data[[#This Row],[Team]],Dyno_Data[RecordType],"StartMatch",Dyno_Data[Match],Dyno_Data[[#This Row],[Match]]),0)*86400),0)</f>
        <v>0</v>
      </c>
    </row>
    <row r="2978" spans="1:35" x14ac:dyDescent="0.3">
      <c r="A2978">
        <v>2971</v>
      </c>
      <c r="B2978" t="s">
        <v>367</v>
      </c>
      <c r="C2978">
        <v>56</v>
      </c>
      <c r="D2978" s="105">
        <v>45373.750160416668</v>
      </c>
      <c r="E2978" t="s">
        <v>312</v>
      </c>
      <c r="F2978" t="s">
        <v>309</v>
      </c>
      <c r="G2978">
        <v>0</v>
      </c>
      <c r="H2978" t="s">
        <v>1397</v>
      </c>
      <c r="I2978">
        <v>0</v>
      </c>
      <c r="J2978">
        <v>0</v>
      </c>
      <c r="K2978">
        <v>0</v>
      </c>
      <c r="L2978" t="s">
        <v>241</v>
      </c>
      <c r="M2978" t="s">
        <v>1398</v>
      </c>
      <c r="N2978">
        <v>0</v>
      </c>
      <c r="O2978" t="s">
        <v>1391</v>
      </c>
      <c r="P2978" t="s">
        <v>310</v>
      </c>
      <c r="Q2978" t="s">
        <v>310</v>
      </c>
      <c r="R2978" t="s">
        <v>310</v>
      </c>
      <c r="S2978">
        <v>9</v>
      </c>
      <c r="T2978" t="s">
        <v>310</v>
      </c>
      <c r="U2978">
        <v>9</v>
      </c>
      <c r="V2978">
        <v>9</v>
      </c>
      <c r="W2978">
        <v>0</v>
      </c>
      <c r="X2978">
        <v>0</v>
      </c>
      <c r="Y2978">
        <v>0</v>
      </c>
      <c r="Z2978">
        <v>0</v>
      </c>
      <c r="AA2978">
        <v>9</v>
      </c>
      <c r="AB2978">
        <v>9</v>
      </c>
      <c r="AC2978" t="s">
        <v>310</v>
      </c>
      <c r="AD2978">
        <v>9</v>
      </c>
      <c r="AE2978" t="s">
        <v>1418</v>
      </c>
      <c r="AF2978">
        <v>0</v>
      </c>
      <c r="AG2978" t="s">
        <v>310</v>
      </c>
      <c r="AH2978">
        <f>SUM((MID(Dyno_Data[[#This Row],[Team]],4,5))+(Dyno_Data[[#This Row],[Match]]/100))</f>
        <v>5016.5600000000004</v>
      </c>
      <c r="AI2978" s="76">
        <f>ROUND(SUM(IF(Dyno_Data[[#This Row],[AcqCenter]]&gt;0,Dyno_Data[[#This Row],[Time]]-SUMIFS(Dyno_Data[Time],Dyno_Data[Team],Dyno_Data[[#This Row],[Team]],Dyno_Data[RecordType],"StartMatch",Dyno_Data[Match],Dyno_Data[[#This Row],[Match]]),0)*86400),0)</f>
        <v>0</v>
      </c>
    </row>
    <row r="2979" spans="1:35" x14ac:dyDescent="0.3">
      <c r="A2979">
        <v>2972</v>
      </c>
      <c r="B2979" t="s">
        <v>1280</v>
      </c>
      <c r="C2979">
        <v>56</v>
      </c>
      <c r="D2979" s="105">
        <v>45373.750160451389</v>
      </c>
      <c r="E2979" t="s">
        <v>312</v>
      </c>
      <c r="F2979" t="s">
        <v>309</v>
      </c>
      <c r="G2979">
        <v>0</v>
      </c>
      <c r="H2979" t="s">
        <v>1397</v>
      </c>
      <c r="I2979">
        <v>0</v>
      </c>
      <c r="J2979">
        <v>0</v>
      </c>
      <c r="K2979">
        <v>0</v>
      </c>
      <c r="L2979" t="s">
        <v>241</v>
      </c>
      <c r="M2979" t="s">
        <v>1398</v>
      </c>
      <c r="N2979">
        <v>0</v>
      </c>
      <c r="O2979" t="s">
        <v>1389</v>
      </c>
      <c r="P2979" t="s">
        <v>310</v>
      </c>
      <c r="Q2979" t="s">
        <v>310</v>
      </c>
      <c r="R2979" t="s">
        <v>310</v>
      </c>
      <c r="S2979">
        <v>9</v>
      </c>
      <c r="T2979" t="s">
        <v>310</v>
      </c>
      <c r="U2979">
        <v>9</v>
      </c>
      <c r="V2979">
        <v>9</v>
      </c>
      <c r="W2979">
        <v>0</v>
      </c>
      <c r="X2979">
        <v>0</v>
      </c>
      <c r="Y2979">
        <v>0</v>
      </c>
      <c r="Z2979">
        <v>0</v>
      </c>
      <c r="AA2979">
        <v>9</v>
      </c>
      <c r="AB2979">
        <v>9</v>
      </c>
      <c r="AC2979" t="s">
        <v>310</v>
      </c>
      <c r="AD2979">
        <v>9</v>
      </c>
      <c r="AE2979" t="s">
        <v>1417</v>
      </c>
      <c r="AF2979">
        <v>1000000</v>
      </c>
      <c r="AG2979" t="s">
        <v>310</v>
      </c>
      <c r="AH2979">
        <f>SUM((MID(Dyno_Data[[#This Row],[Team]],4,5))+(Dyno_Data[[#This Row],[Match]]/100))</f>
        <v>1559.56</v>
      </c>
      <c r="AI2979" s="76">
        <f>ROUND(SUM(IF(Dyno_Data[[#This Row],[AcqCenter]]&gt;0,Dyno_Data[[#This Row],[Time]]-SUMIFS(Dyno_Data[Time],Dyno_Data[Team],Dyno_Data[[#This Row],[Team]],Dyno_Data[RecordType],"StartMatch",Dyno_Data[Match],Dyno_Data[[#This Row],[Match]]),0)*86400),0)</f>
        <v>0</v>
      </c>
    </row>
    <row r="2980" spans="1:35" x14ac:dyDescent="0.3">
      <c r="A2980">
        <v>2973</v>
      </c>
      <c r="B2980" t="s">
        <v>1305</v>
      </c>
      <c r="C2980">
        <v>56</v>
      </c>
      <c r="D2980" s="105">
        <v>45373.75016408565</v>
      </c>
      <c r="E2980" t="s">
        <v>312</v>
      </c>
      <c r="F2980" t="s">
        <v>309</v>
      </c>
      <c r="G2980">
        <v>0</v>
      </c>
      <c r="H2980" t="s">
        <v>315</v>
      </c>
      <c r="I2980">
        <v>0</v>
      </c>
      <c r="J2980">
        <v>0</v>
      </c>
      <c r="K2980">
        <v>0</v>
      </c>
      <c r="L2980" t="s">
        <v>241</v>
      </c>
      <c r="M2980" t="s">
        <v>1398</v>
      </c>
      <c r="N2980">
        <v>0</v>
      </c>
      <c r="O2980" t="s">
        <v>1395</v>
      </c>
      <c r="P2980" t="s">
        <v>310</v>
      </c>
      <c r="Q2980" t="s">
        <v>310</v>
      </c>
      <c r="R2980" t="s">
        <v>310</v>
      </c>
      <c r="S2980">
        <v>9</v>
      </c>
      <c r="T2980" t="s">
        <v>310</v>
      </c>
      <c r="U2980">
        <v>9</v>
      </c>
      <c r="V2980">
        <v>9</v>
      </c>
      <c r="W2980">
        <v>0</v>
      </c>
      <c r="X2980">
        <v>0</v>
      </c>
      <c r="Y2980">
        <v>0</v>
      </c>
      <c r="Z2980">
        <v>0</v>
      </c>
      <c r="AA2980">
        <v>9</v>
      </c>
      <c r="AB2980">
        <v>9</v>
      </c>
      <c r="AC2980" t="s">
        <v>310</v>
      </c>
      <c r="AD2980">
        <v>9</v>
      </c>
      <c r="AE2980" t="s">
        <v>1416</v>
      </c>
      <c r="AF2980">
        <v>10000000</v>
      </c>
      <c r="AG2980" t="s">
        <v>310</v>
      </c>
      <c r="AH2980">
        <f>SUM((MID(Dyno_Data[[#This Row],[Team]],4,5))+(Dyno_Data[[#This Row],[Match]]/100))</f>
        <v>3173.56</v>
      </c>
      <c r="AI2980" s="76">
        <f>ROUND(SUM(IF(Dyno_Data[[#This Row],[AcqCenter]]&gt;0,Dyno_Data[[#This Row],[Time]]-SUMIFS(Dyno_Data[Time],Dyno_Data[Team],Dyno_Data[[#This Row],[Team]],Dyno_Data[RecordType],"StartMatch",Dyno_Data[Match],Dyno_Data[[#This Row],[Match]]),0)*86400),0)</f>
        <v>0</v>
      </c>
    </row>
    <row r="2981" spans="1:35" x14ac:dyDescent="0.3">
      <c r="A2981">
        <v>2974</v>
      </c>
      <c r="B2981" t="s">
        <v>1305</v>
      </c>
      <c r="C2981">
        <v>56</v>
      </c>
      <c r="D2981" s="105">
        <v>45373.750187233796</v>
      </c>
      <c r="E2981" t="s">
        <v>312</v>
      </c>
      <c r="F2981" t="s">
        <v>309</v>
      </c>
      <c r="G2981">
        <v>0</v>
      </c>
      <c r="H2981" t="s">
        <v>143</v>
      </c>
      <c r="I2981">
        <v>5</v>
      </c>
      <c r="J2981">
        <v>-1</v>
      </c>
      <c r="K2981">
        <v>0</v>
      </c>
      <c r="L2981" t="s">
        <v>310</v>
      </c>
      <c r="M2981" t="s">
        <v>310</v>
      </c>
      <c r="N2981">
        <v>0</v>
      </c>
      <c r="O2981" t="s">
        <v>1395</v>
      </c>
      <c r="P2981" t="s">
        <v>310</v>
      </c>
      <c r="Q2981" t="s">
        <v>310</v>
      </c>
      <c r="R2981" t="s">
        <v>310</v>
      </c>
      <c r="S2981">
        <v>9</v>
      </c>
      <c r="T2981" t="s">
        <v>310</v>
      </c>
      <c r="U2981">
        <v>9</v>
      </c>
      <c r="V2981">
        <v>9</v>
      </c>
      <c r="W2981">
        <v>0</v>
      </c>
      <c r="X2981">
        <v>0</v>
      </c>
      <c r="Y2981">
        <v>0</v>
      </c>
      <c r="Z2981">
        <v>0</v>
      </c>
      <c r="AA2981">
        <v>9</v>
      </c>
      <c r="AB2981">
        <v>9</v>
      </c>
      <c r="AC2981" t="s">
        <v>310</v>
      </c>
      <c r="AD2981">
        <v>9</v>
      </c>
      <c r="AE2981" t="s">
        <v>1416</v>
      </c>
      <c r="AF2981">
        <v>10000000</v>
      </c>
      <c r="AG2981" t="s">
        <v>310</v>
      </c>
      <c r="AH2981">
        <f>SUM((MID(Dyno_Data[[#This Row],[Team]],4,5))+(Dyno_Data[[#This Row],[Match]]/100))</f>
        <v>3173.56</v>
      </c>
      <c r="AI2981" s="76">
        <f>ROUND(SUM(IF(Dyno_Data[[#This Row],[AcqCenter]]&gt;0,Dyno_Data[[#This Row],[Time]]-SUMIFS(Dyno_Data[Time],Dyno_Data[Team],Dyno_Data[[#This Row],[Team]],Dyno_Data[RecordType],"StartMatch",Dyno_Data[Match],Dyno_Data[[#This Row],[Match]]),0)*86400),0)</f>
        <v>6</v>
      </c>
    </row>
    <row r="2982" spans="1:35" x14ac:dyDescent="0.3">
      <c r="A2982">
        <v>2976</v>
      </c>
      <c r="B2982" t="s">
        <v>364</v>
      </c>
      <c r="C2982">
        <v>56</v>
      </c>
      <c r="D2982" s="105">
        <v>45373.750192974534</v>
      </c>
      <c r="E2982" t="s">
        <v>312</v>
      </c>
      <c r="F2982" t="s">
        <v>309</v>
      </c>
      <c r="G2982">
        <v>0</v>
      </c>
      <c r="H2982" t="s">
        <v>143</v>
      </c>
      <c r="I2982">
        <v>2</v>
      </c>
      <c r="J2982">
        <v>-1</v>
      </c>
      <c r="K2982">
        <v>0</v>
      </c>
      <c r="L2982" t="s">
        <v>310</v>
      </c>
      <c r="M2982" t="s">
        <v>310</v>
      </c>
      <c r="N2982">
        <v>0</v>
      </c>
      <c r="O2982" t="s">
        <v>319</v>
      </c>
      <c r="P2982" t="s">
        <v>310</v>
      </c>
      <c r="Q2982" t="s">
        <v>310</v>
      </c>
      <c r="R2982" t="s">
        <v>310</v>
      </c>
      <c r="S2982">
        <v>9</v>
      </c>
      <c r="T2982" t="s">
        <v>310</v>
      </c>
      <c r="U2982">
        <v>9</v>
      </c>
      <c r="V2982">
        <v>9</v>
      </c>
      <c r="W2982">
        <v>0</v>
      </c>
      <c r="X2982">
        <v>0</v>
      </c>
      <c r="Y2982">
        <v>0</v>
      </c>
      <c r="Z2982">
        <v>0</v>
      </c>
      <c r="AA2982">
        <v>9</v>
      </c>
      <c r="AB2982">
        <v>9</v>
      </c>
      <c r="AC2982" t="s">
        <v>310</v>
      </c>
      <c r="AD2982">
        <v>9</v>
      </c>
      <c r="AE2982" t="s">
        <v>1392</v>
      </c>
      <c r="AF2982">
        <v>0</v>
      </c>
      <c r="AG2982" t="s">
        <v>310</v>
      </c>
      <c r="AH2982">
        <f>SUM((MID(Dyno_Data[[#This Row],[Team]],4,5))+(Dyno_Data[[#This Row],[Match]]/100))</f>
        <v>2791.56</v>
      </c>
      <c r="AI2982" s="76">
        <f>ROUND(SUM(IF(Dyno_Data[[#This Row],[AcqCenter]]&gt;0,Dyno_Data[[#This Row],[Time]]-SUMIFS(Dyno_Data[Time],Dyno_Data[Team],Dyno_Data[[#This Row],[Team]],Dyno_Data[RecordType],"StartMatch",Dyno_Data[Match],Dyno_Data[[#This Row],[Match]]),0)*86400),0)</f>
        <v>7</v>
      </c>
    </row>
    <row r="2983" spans="1:35" x14ac:dyDescent="0.3">
      <c r="A2983">
        <v>2975</v>
      </c>
      <c r="B2983" t="s">
        <v>1286</v>
      </c>
      <c r="C2983">
        <v>56</v>
      </c>
      <c r="D2983" s="105">
        <v>45373.750198842594</v>
      </c>
      <c r="E2983" t="s">
        <v>312</v>
      </c>
      <c r="F2983" t="s">
        <v>309</v>
      </c>
      <c r="G2983">
        <v>0</v>
      </c>
      <c r="H2983" t="s">
        <v>315</v>
      </c>
      <c r="I2983">
        <v>0</v>
      </c>
      <c r="J2983">
        <v>0</v>
      </c>
      <c r="K2983">
        <v>0</v>
      </c>
      <c r="L2983" t="s">
        <v>240</v>
      </c>
      <c r="M2983" t="s">
        <v>1398</v>
      </c>
      <c r="N2983">
        <v>0</v>
      </c>
      <c r="O2983" t="s">
        <v>311</v>
      </c>
      <c r="P2983" t="s">
        <v>310</v>
      </c>
      <c r="Q2983" t="s">
        <v>310</v>
      </c>
      <c r="R2983" t="s">
        <v>310</v>
      </c>
      <c r="S2983">
        <v>9</v>
      </c>
      <c r="T2983" t="s">
        <v>310</v>
      </c>
      <c r="U2983">
        <v>9</v>
      </c>
      <c r="V2983">
        <v>9</v>
      </c>
      <c r="W2983">
        <v>0</v>
      </c>
      <c r="X2983">
        <v>0</v>
      </c>
      <c r="Y2983">
        <v>0</v>
      </c>
      <c r="Z2983">
        <v>0</v>
      </c>
      <c r="AA2983">
        <v>9</v>
      </c>
      <c r="AB2983">
        <v>9</v>
      </c>
      <c r="AC2983" t="s">
        <v>310</v>
      </c>
      <c r="AD2983">
        <v>9</v>
      </c>
      <c r="AE2983" t="s">
        <v>1394</v>
      </c>
      <c r="AF2983">
        <v>20000000</v>
      </c>
      <c r="AG2983" t="s">
        <v>310</v>
      </c>
      <c r="AH2983">
        <f>SUM((MID(Dyno_Data[[#This Row],[Team]],4,5))+(Dyno_Data[[#This Row],[Match]]/100))</f>
        <v>1591.56</v>
      </c>
      <c r="AI2983" s="76">
        <f>ROUND(SUM(IF(Dyno_Data[[#This Row],[AcqCenter]]&gt;0,Dyno_Data[[#This Row],[Time]]-SUMIFS(Dyno_Data[Time],Dyno_Data[Team],Dyno_Data[[#This Row],[Team]],Dyno_Data[RecordType],"StartMatch",Dyno_Data[Match],Dyno_Data[[#This Row],[Match]]),0)*86400),0)</f>
        <v>0</v>
      </c>
    </row>
    <row r="2984" spans="1:35" x14ac:dyDescent="0.3">
      <c r="A2984">
        <v>2977</v>
      </c>
      <c r="B2984" t="s">
        <v>1286</v>
      </c>
      <c r="C2984">
        <v>56</v>
      </c>
      <c r="D2984" s="105">
        <v>45373.750222025461</v>
      </c>
      <c r="E2984" t="s">
        <v>312</v>
      </c>
      <c r="F2984" t="s">
        <v>309</v>
      </c>
      <c r="G2984">
        <v>0</v>
      </c>
      <c r="H2984" t="s">
        <v>143</v>
      </c>
      <c r="I2984">
        <v>5</v>
      </c>
      <c r="J2984">
        <v>-1</v>
      </c>
      <c r="K2984">
        <v>0</v>
      </c>
      <c r="L2984" t="s">
        <v>310</v>
      </c>
      <c r="M2984" t="s">
        <v>310</v>
      </c>
      <c r="N2984">
        <v>0</v>
      </c>
      <c r="O2984" t="s">
        <v>311</v>
      </c>
      <c r="P2984" t="s">
        <v>310</v>
      </c>
      <c r="Q2984" t="s">
        <v>310</v>
      </c>
      <c r="R2984" t="s">
        <v>310</v>
      </c>
      <c r="S2984">
        <v>9</v>
      </c>
      <c r="T2984" t="s">
        <v>310</v>
      </c>
      <c r="U2984">
        <v>9</v>
      </c>
      <c r="V2984">
        <v>9</v>
      </c>
      <c r="W2984">
        <v>0</v>
      </c>
      <c r="X2984">
        <v>0</v>
      </c>
      <c r="Y2984">
        <v>0</v>
      </c>
      <c r="Z2984">
        <v>0</v>
      </c>
      <c r="AA2984">
        <v>9</v>
      </c>
      <c r="AB2984">
        <v>9</v>
      </c>
      <c r="AC2984" t="s">
        <v>310</v>
      </c>
      <c r="AD2984">
        <v>9</v>
      </c>
      <c r="AE2984" t="s">
        <v>1394</v>
      </c>
      <c r="AF2984">
        <v>20000000</v>
      </c>
      <c r="AG2984" t="s">
        <v>310</v>
      </c>
      <c r="AH2984">
        <f>SUM((MID(Dyno_Data[[#This Row],[Team]],4,5))+(Dyno_Data[[#This Row],[Match]]/100))</f>
        <v>1591.56</v>
      </c>
      <c r="AI2984" s="76">
        <f>ROUND(SUM(IF(Dyno_Data[[#This Row],[AcqCenter]]&gt;0,Dyno_Data[[#This Row],[Time]]-SUMIFS(Dyno_Data[Time],Dyno_Data[Team],Dyno_Data[[#This Row],[Team]],Dyno_Data[RecordType],"StartMatch",Dyno_Data[Match],Dyno_Data[[#This Row],[Match]]),0)*86400),0)</f>
        <v>9</v>
      </c>
    </row>
    <row r="2985" spans="1:35" x14ac:dyDescent="0.3">
      <c r="A2985">
        <v>2978</v>
      </c>
      <c r="B2985" t="s">
        <v>1286</v>
      </c>
      <c r="C2985">
        <v>56</v>
      </c>
      <c r="D2985" s="105">
        <v>45373.750253009261</v>
      </c>
      <c r="E2985" t="s">
        <v>312</v>
      </c>
      <c r="F2985" t="s">
        <v>309</v>
      </c>
      <c r="G2985">
        <v>0</v>
      </c>
      <c r="H2985" t="s">
        <v>315</v>
      </c>
      <c r="I2985">
        <v>0</v>
      </c>
      <c r="J2985">
        <v>0</v>
      </c>
      <c r="K2985">
        <v>0</v>
      </c>
      <c r="L2985" t="s">
        <v>241</v>
      </c>
      <c r="M2985" t="s">
        <v>1398</v>
      </c>
      <c r="N2985">
        <v>0</v>
      </c>
      <c r="O2985" t="s">
        <v>311</v>
      </c>
      <c r="P2985" t="s">
        <v>310</v>
      </c>
      <c r="Q2985" t="s">
        <v>310</v>
      </c>
      <c r="R2985" t="s">
        <v>310</v>
      </c>
      <c r="S2985">
        <v>9</v>
      </c>
      <c r="T2985" t="s">
        <v>310</v>
      </c>
      <c r="U2985">
        <v>9</v>
      </c>
      <c r="V2985">
        <v>9</v>
      </c>
      <c r="W2985">
        <v>0</v>
      </c>
      <c r="X2985">
        <v>0</v>
      </c>
      <c r="Y2985">
        <v>0</v>
      </c>
      <c r="Z2985">
        <v>0</v>
      </c>
      <c r="AA2985">
        <v>9</v>
      </c>
      <c r="AB2985">
        <v>9</v>
      </c>
      <c r="AC2985" t="s">
        <v>310</v>
      </c>
      <c r="AD2985">
        <v>9</v>
      </c>
      <c r="AE2985" t="s">
        <v>1394</v>
      </c>
      <c r="AF2985">
        <v>30000000</v>
      </c>
      <c r="AG2985" t="s">
        <v>310</v>
      </c>
      <c r="AH2985">
        <f>SUM((MID(Dyno_Data[[#This Row],[Team]],4,5))+(Dyno_Data[[#This Row],[Match]]/100))</f>
        <v>1591.56</v>
      </c>
      <c r="AI2985" s="76">
        <f>ROUND(SUM(IF(Dyno_Data[[#This Row],[AcqCenter]]&gt;0,Dyno_Data[[#This Row],[Time]]-SUMIFS(Dyno_Data[Time],Dyno_Data[Team],Dyno_Data[[#This Row],[Team]],Dyno_Data[RecordType],"StartMatch",Dyno_Data[Match],Dyno_Data[[#This Row],[Match]]),0)*86400),0)</f>
        <v>0</v>
      </c>
    </row>
    <row r="2986" spans="1:35" x14ac:dyDescent="0.3">
      <c r="A2986">
        <v>2979</v>
      </c>
      <c r="B2986" t="s">
        <v>1305</v>
      </c>
      <c r="C2986">
        <v>56</v>
      </c>
      <c r="D2986" s="105">
        <v>45373.750260960645</v>
      </c>
      <c r="E2986" t="s">
        <v>312</v>
      </c>
      <c r="F2986" t="s">
        <v>309</v>
      </c>
      <c r="G2986">
        <v>0</v>
      </c>
      <c r="H2986" t="s">
        <v>315</v>
      </c>
      <c r="I2986">
        <v>0</v>
      </c>
      <c r="J2986">
        <v>0</v>
      </c>
      <c r="K2986">
        <v>0</v>
      </c>
      <c r="L2986" t="s">
        <v>241</v>
      </c>
      <c r="M2986" t="s">
        <v>1398</v>
      </c>
      <c r="N2986">
        <v>0</v>
      </c>
      <c r="O2986" t="s">
        <v>1395</v>
      </c>
      <c r="P2986" t="s">
        <v>310</v>
      </c>
      <c r="Q2986" t="s">
        <v>310</v>
      </c>
      <c r="R2986" t="s">
        <v>310</v>
      </c>
      <c r="S2986">
        <v>9</v>
      </c>
      <c r="T2986" t="s">
        <v>310</v>
      </c>
      <c r="U2986">
        <v>9</v>
      </c>
      <c r="V2986">
        <v>9</v>
      </c>
      <c r="W2986">
        <v>0</v>
      </c>
      <c r="X2986">
        <v>0</v>
      </c>
      <c r="Y2986">
        <v>0</v>
      </c>
      <c r="Z2986">
        <v>0</v>
      </c>
      <c r="AA2986">
        <v>9</v>
      </c>
      <c r="AB2986">
        <v>9</v>
      </c>
      <c r="AC2986" t="s">
        <v>310</v>
      </c>
      <c r="AD2986">
        <v>9</v>
      </c>
      <c r="AE2986" t="s">
        <v>1416</v>
      </c>
      <c r="AF2986">
        <v>20000000</v>
      </c>
      <c r="AG2986" t="s">
        <v>310</v>
      </c>
      <c r="AH2986">
        <f>SUM((MID(Dyno_Data[[#This Row],[Team]],4,5))+(Dyno_Data[[#This Row],[Match]]/100))</f>
        <v>3173.56</v>
      </c>
      <c r="AI2986" s="76">
        <f>ROUND(SUM(IF(Dyno_Data[[#This Row],[AcqCenter]]&gt;0,Dyno_Data[[#This Row],[Time]]-SUMIFS(Dyno_Data[Time],Dyno_Data[Team],Dyno_Data[[#This Row],[Team]],Dyno_Data[RecordType],"StartMatch",Dyno_Data[Match],Dyno_Data[[#This Row],[Match]]),0)*86400),0)</f>
        <v>0</v>
      </c>
    </row>
    <row r="2987" spans="1:35" x14ac:dyDescent="0.3">
      <c r="A2987">
        <v>2980</v>
      </c>
      <c r="B2987" t="s">
        <v>1286</v>
      </c>
      <c r="C2987">
        <v>56</v>
      </c>
      <c r="D2987" s="105">
        <v>45373.750287118055</v>
      </c>
      <c r="E2987" t="s">
        <v>312</v>
      </c>
      <c r="F2987" t="s">
        <v>309</v>
      </c>
      <c r="G2987">
        <v>0</v>
      </c>
      <c r="H2987" t="s">
        <v>143</v>
      </c>
      <c r="I2987">
        <v>4</v>
      </c>
      <c r="J2987">
        <v>1</v>
      </c>
      <c r="K2987">
        <v>0</v>
      </c>
      <c r="L2987" t="s">
        <v>310</v>
      </c>
      <c r="M2987" t="s">
        <v>310</v>
      </c>
      <c r="N2987">
        <v>0</v>
      </c>
      <c r="O2987" t="s">
        <v>311</v>
      </c>
      <c r="P2987" t="s">
        <v>310</v>
      </c>
      <c r="Q2987" t="s">
        <v>310</v>
      </c>
      <c r="R2987" t="s">
        <v>310</v>
      </c>
      <c r="S2987">
        <v>9</v>
      </c>
      <c r="T2987" t="s">
        <v>310</v>
      </c>
      <c r="U2987">
        <v>9</v>
      </c>
      <c r="V2987">
        <v>9</v>
      </c>
      <c r="W2987">
        <v>0</v>
      </c>
      <c r="X2987">
        <v>0</v>
      </c>
      <c r="Y2987">
        <v>0</v>
      </c>
      <c r="Z2987">
        <v>0</v>
      </c>
      <c r="AA2987">
        <v>9</v>
      </c>
      <c r="AB2987">
        <v>9</v>
      </c>
      <c r="AC2987" t="s">
        <v>310</v>
      </c>
      <c r="AD2987">
        <v>9</v>
      </c>
      <c r="AE2987" t="s">
        <v>1394</v>
      </c>
      <c r="AF2987">
        <v>30000000</v>
      </c>
      <c r="AG2987" t="s">
        <v>310</v>
      </c>
      <c r="AH2987">
        <f>SUM((MID(Dyno_Data[[#This Row],[Team]],4,5))+(Dyno_Data[[#This Row],[Match]]/100))</f>
        <v>1591.56</v>
      </c>
      <c r="AI2987" s="76">
        <f>ROUND(SUM(IF(Dyno_Data[[#This Row],[AcqCenter]]&gt;0,Dyno_Data[[#This Row],[Time]]-SUMIFS(Dyno_Data[Time],Dyno_Data[Team],Dyno_Data[[#This Row],[Team]],Dyno_Data[RecordType],"StartMatch",Dyno_Data[Match],Dyno_Data[[#This Row],[Match]]),0)*86400),0)</f>
        <v>15</v>
      </c>
    </row>
    <row r="2988" spans="1:35" x14ac:dyDescent="0.3">
      <c r="A2988">
        <v>2981</v>
      </c>
      <c r="B2988" t="s">
        <v>1305</v>
      </c>
      <c r="C2988">
        <v>56</v>
      </c>
      <c r="D2988" s="105">
        <v>45373.750296412036</v>
      </c>
      <c r="E2988" t="s">
        <v>312</v>
      </c>
      <c r="F2988" t="s">
        <v>309</v>
      </c>
      <c r="G2988">
        <v>0</v>
      </c>
      <c r="H2988" t="s">
        <v>315</v>
      </c>
      <c r="I2988">
        <v>0</v>
      </c>
      <c r="J2988">
        <v>0</v>
      </c>
      <c r="K2988">
        <v>0</v>
      </c>
      <c r="L2988" t="s">
        <v>241</v>
      </c>
      <c r="M2988" t="s">
        <v>1398</v>
      </c>
      <c r="N2988">
        <v>0</v>
      </c>
      <c r="O2988" t="s">
        <v>1395</v>
      </c>
      <c r="P2988" t="s">
        <v>310</v>
      </c>
      <c r="Q2988" t="s">
        <v>310</v>
      </c>
      <c r="R2988" t="s">
        <v>310</v>
      </c>
      <c r="S2988">
        <v>9</v>
      </c>
      <c r="T2988" t="s">
        <v>310</v>
      </c>
      <c r="U2988">
        <v>9</v>
      </c>
      <c r="V2988">
        <v>9</v>
      </c>
      <c r="W2988">
        <v>0</v>
      </c>
      <c r="X2988">
        <v>0</v>
      </c>
      <c r="Y2988">
        <v>0</v>
      </c>
      <c r="Z2988">
        <v>0</v>
      </c>
      <c r="AA2988">
        <v>9</v>
      </c>
      <c r="AB2988">
        <v>9</v>
      </c>
      <c r="AC2988" t="s">
        <v>310</v>
      </c>
      <c r="AD2988">
        <v>9</v>
      </c>
      <c r="AE2988" t="s">
        <v>1416</v>
      </c>
      <c r="AF2988">
        <v>30000000</v>
      </c>
      <c r="AG2988" t="s">
        <v>310</v>
      </c>
      <c r="AH2988">
        <f>SUM((MID(Dyno_Data[[#This Row],[Team]],4,5))+(Dyno_Data[[#This Row],[Match]]/100))</f>
        <v>3173.56</v>
      </c>
      <c r="AI2988" s="76">
        <f>ROUND(SUM(IF(Dyno_Data[[#This Row],[AcqCenter]]&gt;0,Dyno_Data[[#This Row],[Time]]-SUMIFS(Dyno_Data[Time],Dyno_Data[Team],Dyno_Data[[#This Row],[Team]],Dyno_Data[RecordType],"StartMatch",Dyno_Data[Match],Dyno_Data[[#This Row],[Match]]),0)*86400),0)</f>
        <v>0</v>
      </c>
    </row>
    <row r="2989" spans="1:35" x14ac:dyDescent="0.3">
      <c r="A2989">
        <v>2983</v>
      </c>
      <c r="B2989" t="s">
        <v>1285</v>
      </c>
      <c r="C2989">
        <v>56</v>
      </c>
      <c r="D2989" s="105">
        <v>45373.750322488428</v>
      </c>
      <c r="E2989" t="s">
        <v>314</v>
      </c>
      <c r="F2989" t="s">
        <v>309</v>
      </c>
      <c r="G2989">
        <v>0</v>
      </c>
      <c r="H2989" t="s">
        <v>310</v>
      </c>
      <c r="I2989">
        <v>0</v>
      </c>
      <c r="J2989">
        <v>0</v>
      </c>
      <c r="K2989">
        <v>0</v>
      </c>
      <c r="L2989" t="s">
        <v>310</v>
      </c>
      <c r="M2989" t="s">
        <v>310</v>
      </c>
      <c r="N2989">
        <v>0</v>
      </c>
      <c r="O2989" t="s">
        <v>1393</v>
      </c>
      <c r="P2989" t="s">
        <v>1401</v>
      </c>
      <c r="Q2989" t="s">
        <v>1400</v>
      </c>
      <c r="R2989" t="s">
        <v>310</v>
      </c>
      <c r="S2989">
        <v>9</v>
      </c>
      <c r="T2989" t="s">
        <v>310</v>
      </c>
      <c r="U2989">
        <v>9</v>
      </c>
      <c r="V2989">
        <v>9</v>
      </c>
      <c r="W2989">
        <v>0</v>
      </c>
      <c r="X2989">
        <v>0</v>
      </c>
      <c r="Y2989">
        <v>0</v>
      </c>
      <c r="Z2989">
        <v>0</v>
      </c>
      <c r="AA2989">
        <v>9</v>
      </c>
      <c r="AB2989">
        <v>9</v>
      </c>
      <c r="AC2989" t="s">
        <v>310</v>
      </c>
      <c r="AD2989">
        <v>9</v>
      </c>
      <c r="AE2989" t="s">
        <v>1387</v>
      </c>
      <c r="AF2989">
        <v>100000</v>
      </c>
      <c r="AG2989" t="s">
        <v>310</v>
      </c>
      <c r="AH2989">
        <f>SUM((MID(Dyno_Data[[#This Row],[Team]],4,5))+(Dyno_Data[[#This Row],[Match]]/100))</f>
        <v>5993.56</v>
      </c>
      <c r="AI2989" s="76">
        <f>ROUND(SUM(IF(Dyno_Data[[#This Row],[AcqCenter]]&gt;0,Dyno_Data[[#This Row],[Time]]-SUMIFS(Dyno_Data[Time],Dyno_Data[Team],Dyno_Data[[#This Row],[Team]],Dyno_Data[RecordType],"StartMatch",Dyno_Data[Match],Dyno_Data[[#This Row],[Match]]),0)*86400),0)</f>
        <v>0</v>
      </c>
    </row>
    <row r="2990" spans="1:35" x14ac:dyDescent="0.3">
      <c r="A2990">
        <v>2985</v>
      </c>
      <c r="B2990" t="s">
        <v>1305</v>
      </c>
      <c r="C2990">
        <v>56</v>
      </c>
      <c r="D2990" s="105">
        <v>45373.75032392361</v>
      </c>
      <c r="E2990" t="s">
        <v>314</v>
      </c>
      <c r="F2990" t="s">
        <v>309</v>
      </c>
      <c r="G2990">
        <v>1</v>
      </c>
      <c r="H2990" t="s">
        <v>310</v>
      </c>
      <c r="I2990">
        <v>0</v>
      </c>
      <c r="J2990">
        <v>0</v>
      </c>
      <c r="K2990">
        <v>0</v>
      </c>
      <c r="L2990" t="s">
        <v>310</v>
      </c>
      <c r="M2990" t="s">
        <v>310</v>
      </c>
      <c r="N2990">
        <v>0</v>
      </c>
      <c r="O2990" t="s">
        <v>1395</v>
      </c>
      <c r="P2990" t="s">
        <v>101</v>
      </c>
      <c r="Q2990" t="s">
        <v>1399</v>
      </c>
      <c r="R2990" t="s">
        <v>310</v>
      </c>
      <c r="S2990">
        <v>9</v>
      </c>
      <c r="T2990" t="s">
        <v>310</v>
      </c>
      <c r="U2990">
        <v>9</v>
      </c>
      <c r="V2990">
        <v>9</v>
      </c>
      <c r="W2990">
        <v>0</v>
      </c>
      <c r="X2990">
        <v>0</v>
      </c>
      <c r="Y2990">
        <v>0</v>
      </c>
      <c r="Z2990">
        <v>0</v>
      </c>
      <c r="AA2990">
        <v>9</v>
      </c>
      <c r="AB2990">
        <v>9</v>
      </c>
      <c r="AC2990" t="s">
        <v>310</v>
      </c>
      <c r="AD2990">
        <v>9</v>
      </c>
      <c r="AE2990" t="s">
        <v>1416</v>
      </c>
      <c r="AF2990">
        <v>30000000</v>
      </c>
      <c r="AG2990" t="s">
        <v>310</v>
      </c>
      <c r="AH2990">
        <f>SUM((MID(Dyno_Data[[#This Row],[Team]],4,5))+(Dyno_Data[[#This Row],[Match]]/100))</f>
        <v>3173.56</v>
      </c>
      <c r="AI2990" s="76">
        <f>ROUND(SUM(IF(Dyno_Data[[#This Row],[AcqCenter]]&gt;0,Dyno_Data[[#This Row],[Time]]-SUMIFS(Dyno_Data[Time],Dyno_Data[Team],Dyno_Data[[#This Row],[Team]],Dyno_Data[RecordType],"StartMatch",Dyno_Data[Match],Dyno_Data[[#This Row],[Match]]),0)*86400),0)</f>
        <v>0</v>
      </c>
    </row>
    <row r="2991" spans="1:35" x14ac:dyDescent="0.3">
      <c r="A2991">
        <v>2987</v>
      </c>
      <c r="B2991" t="s">
        <v>364</v>
      </c>
      <c r="C2991">
        <v>56</v>
      </c>
      <c r="D2991" s="105">
        <v>45373.750324618057</v>
      </c>
      <c r="E2991" t="s">
        <v>314</v>
      </c>
      <c r="F2991" t="s">
        <v>309</v>
      </c>
      <c r="G2991">
        <v>1</v>
      </c>
      <c r="H2991" t="s">
        <v>310</v>
      </c>
      <c r="I2991">
        <v>0</v>
      </c>
      <c r="J2991">
        <v>0</v>
      </c>
      <c r="K2991">
        <v>0</v>
      </c>
      <c r="L2991" t="s">
        <v>310</v>
      </c>
      <c r="M2991" t="s">
        <v>310</v>
      </c>
      <c r="N2991">
        <v>0</v>
      </c>
      <c r="O2991" t="s">
        <v>319</v>
      </c>
      <c r="P2991" t="s">
        <v>1401</v>
      </c>
      <c r="Q2991" t="s">
        <v>1399</v>
      </c>
      <c r="R2991" t="s">
        <v>310</v>
      </c>
      <c r="S2991">
        <v>9</v>
      </c>
      <c r="T2991" t="s">
        <v>310</v>
      </c>
      <c r="U2991">
        <v>9</v>
      </c>
      <c r="V2991">
        <v>9</v>
      </c>
      <c r="W2991">
        <v>0</v>
      </c>
      <c r="X2991">
        <v>0</v>
      </c>
      <c r="Y2991">
        <v>0</v>
      </c>
      <c r="Z2991">
        <v>0</v>
      </c>
      <c r="AA2991">
        <v>9</v>
      </c>
      <c r="AB2991">
        <v>9</v>
      </c>
      <c r="AC2991" t="s">
        <v>310</v>
      </c>
      <c r="AD2991">
        <v>9</v>
      </c>
      <c r="AE2991" t="s">
        <v>1392</v>
      </c>
      <c r="AF2991">
        <v>0</v>
      </c>
      <c r="AG2991" t="s">
        <v>310</v>
      </c>
      <c r="AH2991">
        <f>SUM((MID(Dyno_Data[[#This Row],[Team]],4,5))+(Dyno_Data[[#This Row],[Match]]/100))</f>
        <v>2791.56</v>
      </c>
      <c r="AI2991" s="76">
        <f>ROUND(SUM(IF(Dyno_Data[[#This Row],[AcqCenter]]&gt;0,Dyno_Data[[#This Row],[Time]]-SUMIFS(Dyno_Data[Time],Dyno_Data[Team],Dyno_Data[[#This Row],[Team]],Dyno_Data[RecordType],"StartMatch",Dyno_Data[Match],Dyno_Data[[#This Row],[Match]]),0)*86400),0)</f>
        <v>0</v>
      </c>
    </row>
    <row r="2992" spans="1:35" x14ac:dyDescent="0.3">
      <c r="A2992">
        <v>2989</v>
      </c>
      <c r="B2992" t="s">
        <v>1286</v>
      </c>
      <c r="C2992">
        <v>56</v>
      </c>
      <c r="D2992" s="105">
        <v>45373.750326076392</v>
      </c>
      <c r="E2992" t="s">
        <v>314</v>
      </c>
      <c r="F2992" t="s">
        <v>309</v>
      </c>
      <c r="G2992">
        <v>1</v>
      </c>
      <c r="H2992" t="s">
        <v>310</v>
      </c>
      <c r="I2992">
        <v>0</v>
      </c>
      <c r="J2992">
        <v>0</v>
      </c>
      <c r="K2992">
        <v>0</v>
      </c>
      <c r="L2992" t="s">
        <v>310</v>
      </c>
      <c r="M2992" t="s">
        <v>310</v>
      </c>
      <c r="N2992">
        <v>0</v>
      </c>
      <c r="O2992" t="s">
        <v>311</v>
      </c>
      <c r="P2992" t="s">
        <v>240</v>
      </c>
      <c r="Q2992" t="s">
        <v>1400</v>
      </c>
      <c r="R2992" t="s">
        <v>310</v>
      </c>
      <c r="S2992">
        <v>9</v>
      </c>
      <c r="T2992" t="s">
        <v>310</v>
      </c>
      <c r="U2992">
        <v>9</v>
      </c>
      <c r="V2992">
        <v>9</v>
      </c>
      <c r="W2992">
        <v>0</v>
      </c>
      <c r="X2992">
        <v>0</v>
      </c>
      <c r="Y2992">
        <v>0</v>
      </c>
      <c r="Z2992">
        <v>0</v>
      </c>
      <c r="AA2992">
        <v>9</v>
      </c>
      <c r="AB2992">
        <v>9</v>
      </c>
      <c r="AC2992" t="s">
        <v>310</v>
      </c>
      <c r="AD2992">
        <v>9</v>
      </c>
      <c r="AE2992" t="s">
        <v>1394</v>
      </c>
      <c r="AF2992">
        <v>30000000</v>
      </c>
      <c r="AG2992" t="s">
        <v>310</v>
      </c>
      <c r="AH2992">
        <f>SUM((MID(Dyno_Data[[#This Row],[Team]],4,5))+(Dyno_Data[[#This Row],[Match]]/100))</f>
        <v>1591.56</v>
      </c>
      <c r="AI2992" s="76">
        <f>ROUND(SUM(IF(Dyno_Data[[#This Row],[AcqCenter]]&gt;0,Dyno_Data[[#This Row],[Time]]-SUMIFS(Dyno_Data[Time],Dyno_Data[Team],Dyno_Data[[#This Row],[Team]],Dyno_Data[RecordType],"StartMatch",Dyno_Data[Match],Dyno_Data[[#This Row],[Match]]),0)*86400),0)</f>
        <v>0</v>
      </c>
    </row>
    <row r="2993" spans="1:35" x14ac:dyDescent="0.3">
      <c r="A2993">
        <v>2991</v>
      </c>
      <c r="B2993" t="s">
        <v>1280</v>
      </c>
      <c r="C2993">
        <v>56</v>
      </c>
      <c r="D2993" s="105">
        <v>45373.750338460646</v>
      </c>
      <c r="E2993" t="s">
        <v>314</v>
      </c>
      <c r="F2993" t="s">
        <v>309</v>
      </c>
      <c r="G2993">
        <v>1</v>
      </c>
      <c r="H2993" t="s">
        <v>310</v>
      </c>
      <c r="I2993">
        <v>0</v>
      </c>
      <c r="J2993">
        <v>0</v>
      </c>
      <c r="K2993">
        <v>0</v>
      </c>
      <c r="L2993" t="s">
        <v>310</v>
      </c>
      <c r="M2993" t="s">
        <v>310</v>
      </c>
      <c r="N2993">
        <v>0</v>
      </c>
      <c r="O2993" t="s">
        <v>1389</v>
      </c>
      <c r="P2993" t="s">
        <v>320</v>
      </c>
      <c r="Q2993" t="s">
        <v>1400</v>
      </c>
      <c r="R2993" t="s">
        <v>310</v>
      </c>
      <c r="S2993">
        <v>9</v>
      </c>
      <c r="T2993" t="s">
        <v>310</v>
      </c>
      <c r="U2993">
        <v>9</v>
      </c>
      <c r="V2993">
        <v>9</v>
      </c>
      <c r="W2993">
        <v>0</v>
      </c>
      <c r="X2993">
        <v>0</v>
      </c>
      <c r="Y2993">
        <v>0</v>
      </c>
      <c r="Z2993">
        <v>0</v>
      </c>
      <c r="AA2993">
        <v>9</v>
      </c>
      <c r="AB2993">
        <v>9</v>
      </c>
      <c r="AC2993" t="s">
        <v>310</v>
      </c>
      <c r="AD2993">
        <v>9</v>
      </c>
      <c r="AE2993" t="s">
        <v>1417</v>
      </c>
      <c r="AF2993">
        <v>1000000</v>
      </c>
      <c r="AG2993" t="s">
        <v>310</v>
      </c>
      <c r="AH2993">
        <f>SUM((MID(Dyno_Data[[#This Row],[Team]],4,5))+(Dyno_Data[[#This Row],[Match]]/100))</f>
        <v>1559.56</v>
      </c>
      <c r="AI2993" s="76">
        <f>ROUND(SUM(IF(Dyno_Data[[#This Row],[AcqCenter]]&gt;0,Dyno_Data[[#This Row],[Time]]-SUMIFS(Dyno_Data[Time],Dyno_Data[Team],Dyno_Data[[#This Row],[Team]],Dyno_Data[RecordType],"StartMatch",Dyno_Data[Match],Dyno_Data[[#This Row],[Match]]),0)*86400),0)</f>
        <v>0</v>
      </c>
    </row>
    <row r="2994" spans="1:35" x14ac:dyDescent="0.3">
      <c r="A2994">
        <v>2993</v>
      </c>
      <c r="B2994" t="s">
        <v>367</v>
      </c>
      <c r="C2994">
        <v>56</v>
      </c>
      <c r="D2994" s="105">
        <v>45373.75034633102</v>
      </c>
      <c r="E2994" t="s">
        <v>314</v>
      </c>
      <c r="F2994" t="s">
        <v>309</v>
      </c>
      <c r="G2994">
        <v>0</v>
      </c>
      <c r="H2994" t="s">
        <v>310</v>
      </c>
      <c r="I2994">
        <v>0</v>
      </c>
      <c r="J2994">
        <v>0</v>
      </c>
      <c r="K2994">
        <v>0</v>
      </c>
      <c r="L2994" t="s">
        <v>310</v>
      </c>
      <c r="M2994" t="s">
        <v>310</v>
      </c>
      <c r="N2994">
        <v>0</v>
      </c>
      <c r="O2994" t="s">
        <v>1391</v>
      </c>
      <c r="P2994" t="s">
        <v>101</v>
      </c>
      <c r="Q2994" t="s">
        <v>1400</v>
      </c>
      <c r="R2994" t="s">
        <v>310</v>
      </c>
      <c r="S2994">
        <v>9</v>
      </c>
      <c r="T2994" t="s">
        <v>310</v>
      </c>
      <c r="U2994">
        <v>9</v>
      </c>
      <c r="V2994">
        <v>9</v>
      </c>
      <c r="W2994">
        <v>0</v>
      </c>
      <c r="X2994">
        <v>0</v>
      </c>
      <c r="Y2994">
        <v>0</v>
      </c>
      <c r="Z2994">
        <v>0</v>
      </c>
      <c r="AA2994">
        <v>9</v>
      </c>
      <c r="AB2994">
        <v>9</v>
      </c>
      <c r="AC2994" t="s">
        <v>310</v>
      </c>
      <c r="AD2994">
        <v>9</v>
      </c>
      <c r="AE2994" t="s">
        <v>1418</v>
      </c>
      <c r="AF2994">
        <v>0</v>
      </c>
      <c r="AG2994" t="s">
        <v>310</v>
      </c>
      <c r="AH2994">
        <f>SUM((MID(Dyno_Data[[#This Row],[Team]],4,5))+(Dyno_Data[[#This Row],[Match]]/100))</f>
        <v>5016.5600000000004</v>
      </c>
      <c r="AI2994" s="76">
        <f>ROUND(SUM(IF(Dyno_Data[[#This Row],[AcqCenter]]&gt;0,Dyno_Data[[#This Row],[Time]]-SUMIFS(Dyno_Data[Time],Dyno_Data[Team],Dyno_Data[[#This Row],[Team]],Dyno_Data[RecordType],"StartMatch",Dyno_Data[Match],Dyno_Data[[#This Row],[Match]]),0)*86400),0)</f>
        <v>0</v>
      </c>
    </row>
    <row r="2995" spans="1:35" x14ac:dyDescent="0.3">
      <c r="A2995">
        <v>2994</v>
      </c>
      <c r="B2995" t="s">
        <v>1286</v>
      </c>
      <c r="C2995">
        <v>56</v>
      </c>
      <c r="D2995" s="105">
        <v>45373.750357210651</v>
      </c>
      <c r="E2995" t="s">
        <v>312</v>
      </c>
      <c r="F2995" t="s">
        <v>1402</v>
      </c>
      <c r="G2995">
        <v>0</v>
      </c>
      <c r="H2995" t="s">
        <v>143</v>
      </c>
      <c r="I2995">
        <v>0</v>
      </c>
      <c r="J2995">
        <v>0</v>
      </c>
      <c r="K2995">
        <v>0</v>
      </c>
      <c r="L2995" t="s">
        <v>241</v>
      </c>
      <c r="M2995" t="s">
        <v>1398</v>
      </c>
      <c r="N2995">
        <v>0</v>
      </c>
      <c r="O2995" t="s">
        <v>311</v>
      </c>
      <c r="P2995" t="s">
        <v>310</v>
      </c>
      <c r="Q2995" t="s">
        <v>310</v>
      </c>
      <c r="R2995" t="s">
        <v>310</v>
      </c>
      <c r="S2995">
        <v>9</v>
      </c>
      <c r="T2995" t="s">
        <v>310</v>
      </c>
      <c r="U2995">
        <v>9</v>
      </c>
      <c r="V2995">
        <v>9</v>
      </c>
      <c r="W2995">
        <v>0</v>
      </c>
      <c r="X2995">
        <v>0</v>
      </c>
      <c r="Y2995">
        <v>0</v>
      </c>
      <c r="Z2995">
        <v>0</v>
      </c>
      <c r="AA2995">
        <v>9</v>
      </c>
      <c r="AB2995">
        <v>9</v>
      </c>
      <c r="AC2995" t="s">
        <v>310</v>
      </c>
      <c r="AD2995">
        <v>9</v>
      </c>
      <c r="AE2995" t="s">
        <v>1394</v>
      </c>
      <c r="AF2995">
        <v>30000000</v>
      </c>
      <c r="AG2995" t="s">
        <v>310</v>
      </c>
      <c r="AH2995">
        <f>SUM((MID(Dyno_Data[[#This Row],[Team]],4,5))+(Dyno_Data[[#This Row],[Match]]/100))</f>
        <v>1591.56</v>
      </c>
      <c r="AI2995" s="76">
        <f>ROUND(SUM(IF(Dyno_Data[[#This Row],[AcqCenter]]&gt;0,Dyno_Data[[#This Row],[Time]]-SUMIFS(Dyno_Data[Time],Dyno_Data[Team],Dyno_Data[[#This Row],[Team]],Dyno_Data[RecordType],"StartMatch",Dyno_Data[Match],Dyno_Data[[#This Row],[Match]]),0)*86400),0)</f>
        <v>0</v>
      </c>
    </row>
    <row r="2996" spans="1:35" x14ac:dyDescent="0.3">
      <c r="A2996">
        <v>2995</v>
      </c>
      <c r="B2996" t="s">
        <v>1286</v>
      </c>
      <c r="C2996">
        <v>56</v>
      </c>
      <c r="D2996" s="105">
        <v>45373.750411423614</v>
      </c>
      <c r="E2996" t="s">
        <v>312</v>
      </c>
      <c r="F2996" t="s">
        <v>1402</v>
      </c>
      <c r="G2996">
        <v>0</v>
      </c>
      <c r="H2996" t="s">
        <v>315</v>
      </c>
      <c r="I2996">
        <v>0</v>
      </c>
      <c r="J2996">
        <v>0</v>
      </c>
      <c r="K2996">
        <v>0</v>
      </c>
      <c r="L2996" t="s">
        <v>241</v>
      </c>
      <c r="M2996" t="s">
        <v>1398</v>
      </c>
      <c r="N2996">
        <v>0</v>
      </c>
      <c r="O2996" t="s">
        <v>311</v>
      </c>
      <c r="P2996" t="s">
        <v>310</v>
      </c>
      <c r="Q2996" t="s">
        <v>310</v>
      </c>
      <c r="R2996" t="s">
        <v>310</v>
      </c>
      <c r="S2996">
        <v>9</v>
      </c>
      <c r="T2996" t="s">
        <v>310</v>
      </c>
      <c r="U2996">
        <v>9</v>
      </c>
      <c r="V2996">
        <v>9</v>
      </c>
      <c r="W2996">
        <v>0</v>
      </c>
      <c r="X2996">
        <v>0</v>
      </c>
      <c r="Y2996">
        <v>0</v>
      </c>
      <c r="Z2996">
        <v>0</v>
      </c>
      <c r="AA2996">
        <v>9</v>
      </c>
      <c r="AB2996">
        <v>9</v>
      </c>
      <c r="AC2996" t="s">
        <v>310</v>
      </c>
      <c r="AD2996">
        <v>9</v>
      </c>
      <c r="AE2996" t="s">
        <v>1394</v>
      </c>
      <c r="AF2996">
        <v>40000000</v>
      </c>
      <c r="AG2996" t="s">
        <v>310</v>
      </c>
      <c r="AH2996">
        <f>SUM((MID(Dyno_Data[[#This Row],[Team]],4,5))+(Dyno_Data[[#This Row],[Match]]/100))</f>
        <v>1591.56</v>
      </c>
      <c r="AI2996" s="76">
        <f>ROUND(SUM(IF(Dyno_Data[[#This Row],[AcqCenter]]&gt;0,Dyno_Data[[#This Row],[Time]]-SUMIFS(Dyno_Data[Time],Dyno_Data[Team],Dyno_Data[[#This Row],[Team]],Dyno_Data[RecordType],"StartMatch",Dyno_Data[Match],Dyno_Data[[#This Row],[Match]]),0)*86400),0)</f>
        <v>0</v>
      </c>
    </row>
    <row r="2997" spans="1:35" x14ac:dyDescent="0.3">
      <c r="A2997">
        <v>2996</v>
      </c>
      <c r="B2997" t="s">
        <v>1305</v>
      </c>
      <c r="C2997">
        <v>56</v>
      </c>
      <c r="D2997" s="105">
        <v>45373.750418020834</v>
      </c>
      <c r="E2997" t="s">
        <v>312</v>
      </c>
      <c r="F2997" t="s">
        <v>1402</v>
      </c>
      <c r="G2997">
        <v>0</v>
      </c>
      <c r="H2997" t="s">
        <v>315</v>
      </c>
      <c r="I2997">
        <v>0</v>
      </c>
      <c r="J2997">
        <v>0</v>
      </c>
      <c r="K2997">
        <v>0</v>
      </c>
      <c r="L2997" t="s">
        <v>241</v>
      </c>
      <c r="M2997" t="s">
        <v>101</v>
      </c>
      <c r="N2997">
        <v>0</v>
      </c>
      <c r="O2997" t="s">
        <v>1395</v>
      </c>
      <c r="P2997" t="s">
        <v>310</v>
      </c>
      <c r="Q2997" t="s">
        <v>310</v>
      </c>
      <c r="R2997" t="s">
        <v>310</v>
      </c>
      <c r="S2997">
        <v>9</v>
      </c>
      <c r="T2997" t="s">
        <v>310</v>
      </c>
      <c r="U2997">
        <v>9</v>
      </c>
      <c r="V2997">
        <v>9</v>
      </c>
      <c r="W2997">
        <v>0</v>
      </c>
      <c r="X2997">
        <v>0</v>
      </c>
      <c r="Y2997">
        <v>0</v>
      </c>
      <c r="Z2997">
        <v>0</v>
      </c>
      <c r="AA2997">
        <v>9</v>
      </c>
      <c r="AB2997">
        <v>9</v>
      </c>
      <c r="AC2997" t="s">
        <v>310</v>
      </c>
      <c r="AD2997">
        <v>9</v>
      </c>
      <c r="AE2997" t="s">
        <v>1416</v>
      </c>
      <c r="AF2997">
        <v>40000000</v>
      </c>
      <c r="AG2997" t="s">
        <v>310</v>
      </c>
      <c r="AH2997">
        <f>SUM((MID(Dyno_Data[[#This Row],[Team]],4,5))+(Dyno_Data[[#This Row],[Match]]/100))</f>
        <v>3173.56</v>
      </c>
      <c r="AI2997" s="76">
        <f>ROUND(SUM(IF(Dyno_Data[[#This Row],[AcqCenter]]&gt;0,Dyno_Data[[#This Row],[Time]]-SUMIFS(Dyno_Data[Time],Dyno_Data[Team],Dyno_Data[[#This Row],[Team]],Dyno_Data[RecordType],"StartMatch",Dyno_Data[Match],Dyno_Data[[#This Row],[Match]]),0)*86400),0)</f>
        <v>0</v>
      </c>
    </row>
    <row r="2998" spans="1:35" x14ac:dyDescent="0.3">
      <c r="A2998">
        <v>2997</v>
      </c>
      <c r="B2998" t="s">
        <v>1280</v>
      </c>
      <c r="C2998">
        <v>56</v>
      </c>
      <c r="D2998" s="105">
        <v>45373.750425891201</v>
      </c>
      <c r="E2998" t="s">
        <v>312</v>
      </c>
      <c r="F2998" t="s">
        <v>1402</v>
      </c>
      <c r="G2998">
        <v>0</v>
      </c>
      <c r="H2998" t="s">
        <v>315</v>
      </c>
      <c r="I2998">
        <v>0</v>
      </c>
      <c r="J2998">
        <v>0</v>
      </c>
      <c r="K2998">
        <v>0</v>
      </c>
      <c r="L2998" t="s">
        <v>241</v>
      </c>
      <c r="M2998" t="s">
        <v>1398</v>
      </c>
      <c r="N2998">
        <v>0</v>
      </c>
      <c r="O2998" t="s">
        <v>1389</v>
      </c>
      <c r="P2998" t="s">
        <v>310</v>
      </c>
      <c r="Q2998" t="s">
        <v>310</v>
      </c>
      <c r="R2998" t="s">
        <v>310</v>
      </c>
      <c r="S2998">
        <v>9</v>
      </c>
      <c r="T2998" t="s">
        <v>310</v>
      </c>
      <c r="U2998">
        <v>9</v>
      </c>
      <c r="V2998">
        <v>9</v>
      </c>
      <c r="W2998">
        <v>0</v>
      </c>
      <c r="X2998">
        <v>0</v>
      </c>
      <c r="Y2998">
        <v>0</v>
      </c>
      <c r="Z2998">
        <v>0</v>
      </c>
      <c r="AA2998">
        <v>9</v>
      </c>
      <c r="AB2998">
        <v>9</v>
      </c>
      <c r="AC2998" t="s">
        <v>310</v>
      </c>
      <c r="AD2998">
        <v>9</v>
      </c>
      <c r="AE2998" t="s">
        <v>1417</v>
      </c>
      <c r="AF2998">
        <v>11000000</v>
      </c>
      <c r="AG2998" t="s">
        <v>310</v>
      </c>
      <c r="AH2998">
        <f>SUM((MID(Dyno_Data[[#This Row],[Team]],4,5))+(Dyno_Data[[#This Row],[Match]]/100))</f>
        <v>1559.56</v>
      </c>
      <c r="AI2998" s="76">
        <f>ROUND(SUM(IF(Dyno_Data[[#This Row],[AcqCenter]]&gt;0,Dyno_Data[[#This Row],[Time]]-SUMIFS(Dyno_Data[Time],Dyno_Data[Team],Dyno_Data[[#This Row],[Team]],Dyno_Data[RecordType],"StartMatch",Dyno_Data[Match],Dyno_Data[[#This Row],[Match]]),0)*86400),0)</f>
        <v>0</v>
      </c>
    </row>
    <row r="2999" spans="1:35" x14ac:dyDescent="0.3">
      <c r="A2999">
        <v>2998</v>
      </c>
      <c r="B2999" t="s">
        <v>1285</v>
      </c>
      <c r="C2999">
        <v>56</v>
      </c>
      <c r="D2999" s="105">
        <v>45373.750436030095</v>
      </c>
      <c r="E2999" t="s">
        <v>312</v>
      </c>
      <c r="F2999" t="s">
        <v>1402</v>
      </c>
      <c r="G2999">
        <v>0</v>
      </c>
      <c r="H2999" t="s">
        <v>315</v>
      </c>
      <c r="I2999">
        <v>0</v>
      </c>
      <c r="J2999">
        <v>0</v>
      </c>
      <c r="K2999">
        <v>0</v>
      </c>
      <c r="L2999" t="s">
        <v>240</v>
      </c>
      <c r="M2999" t="s">
        <v>1398</v>
      </c>
      <c r="N2999">
        <v>0</v>
      </c>
      <c r="O2999" t="s">
        <v>1393</v>
      </c>
      <c r="P2999" t="s">
        <v>310</v>
      </c>
      <c r="Q2999" t="s">
        <v>310</v>
      </c>
      <c r="R2999" t="s">
        <v>310</v>
      </c>
      <c r="S2999">
        <v>9</v>
      </c>
      <c r="T2999" t="s">
        <v>310</v>
      </c>
      <c r="U2999">
        <v>9</v>
      </c>
      <c r="V2999">
        <v>9</v>
      </c>
      <c r="W2999">
        <v>0</v>
      </c>
      <c r="X2999">
        <v>0</v>
      </c>
      <c r="Y2999">
        <v>0</v>
      </c>
      <c r="Z2999">
        <v>0</v>
      </c>
      <c r="AA2999">
        <v>9</v>
      </c>
      <c r="AB2999">
        <v>9</v>
      </c>
      <c r="AC2999" t="s">
        <v>310</v>
      </c>
      <c r="AD2999">
        <v>9</v>
      </c>
      <c r="AE2999" t="s">
        <v>1387</v>
      </c>
      <c r="AF2999">
        <v>10100000</v>
      </c>
      <c r="AG2999" t="s">
        <v>310</v>
      </c>
      <c r="AH2999">
        <f>SUM((MID(Dyno_Data[[#This Row],[Team]],4,5))+(Dyno_Data[[#This Row],[Match]]/100))</f>
        <v>5993.56</v>
      </c>
      <c r="AI2999" s="76">
        <f>ROUND(SUM(IF(Dyno_Data[[#This Row],[AcqCenter]]&gt;0,Dyno_Data[[#This Row],[Time]]-SUMIFS(Dyno_Data[Time],Dyno_Data[Team],Dyno_Data[[#This Row],[Team]],Dyno_Data[RecordType],"StartMatch",Dyno_Data[Match],Dyno_Data[[#This Row],[Match]]),0)*86400),0)</f>
        <v>0</v>
      </c>
    </row>
    <row r="3000" spans="1:35" x14ac:dyDescent="0.3">
      <c r="A3000">
        <v>2999</v>
      </c>
      <c r="B3000" t="s">
        <v>364</v>
      </c>
      <c r="C3000">
        <v>56</v>
      </c>
      <c r="D3000" s="105">
        <v>45373.750465740741</v>
      </c>
      <c r="E3000" t="s">
        <v>312</v>
      </c>
      <c r="F3000" t="s">
        <v>1402</v>
      </c>
      <c r="G3000">
        <v>0</v>
      </c>
      <c r="H3000" t="s">
        <v>315</v>
      </c>
      <c r="I3000">
        <v>0</v>
      </c>
      <c r="J3000">
        <v>0</v>
      </c>
      <c r="K3000">
        <v>0</v>
      </c>
      <c r="L3000" t="s">
        <v>241</v>
      </c>
      <c r="M3000" t="s">
        <v>101</v>
      </c>
      <c r="N3000">
        <v>0</v>
      </c>
      <c r="O3000" t="s">
        <v>319</v>
      </c>
      <c r="P3000" t="s">
        <v>310</v>
      </c>
      <c r="Q3000" t="s">
        <v>310</v>
      </c>
      <c r="R3000" t="s">
        <v>310</v>
      </c>
      <c r="S3000">
        <v>9</v>
      </c>
      <c r="T3000" t="s">
        <v>310</v>
      </c>
      <c r="U3000">
        <v>9</v>
      </c>
      <c r="V3000">
        <v>9</v>
      </c>
      <c r="W3000">
        <v>0</v>
      </c>
      <c r="X3000">
        <v>0</v>
      </c>
      <c r="Y3000">
        <v>0</v>
      </c>
      <c r="Z3000">
        <v>0</v>
      </c>
      <c r="AA3000">
        <v>9</v>
      </c>
      <c r="AB3000">
        <v>9</v>
      </c>
      <c r="AC3000" t="s">
        <v>310</v>
      </c>
      <c r="AD3000">
        <v>9</v>
      </c>
      <c r="AE3000" t="s">
        <v>1392</v>
      </c>
      <c r="AF3000">
        <v>10000000</v>
      </c>
      <c r="AG3000" t="s">
        <v>310</v>
      </c>
      <c r="AH3000">
        <f>SUM((MID(Dyno_Data[[#This Row],[Team]],4,5))+(Dyno_Data[[#This Row],[Match]]/100))</f>
        <v>2791.56</v>
      </c>
      <c r="AI3000" s="76">
        <f>ROUND(SUM(IF(Dyno_Data[[#This Row],[AcqCenter]]&gt;0,Dyno_Data[[#This Row],[Time]]-SUMIFS(Dyno_Data[Time],Dyno_Data[Team],Dyno_Data[[#This Row],[Team]],Dyno_Data[RecordType],"StartMatch",Dyno_Data[Match],Dyno_Data[[#This Row],[Match]]),0)*86400),0)</f>
        <v>0</v>
      </c>
    </row>
    <row r="3001" spans="1:35" x14ac:dyDescent="0.3">
      <c r="A3001">
        <v>3000</v>
      </c>
      <c r="B3001" t="s">
        <v>1285</v>
      </c>
      <c r="C3001">
        <v>56</v>
      </c>
      <c r="D3001" s="105">
        <v>45373.750524456016</v>
      </c>
      <c r="E3001" t="s">
        <v>312</v>
      </c>
      <c r="F3001" t="s">
        <v>1402</v>
      </c>
      <c r="G3001">
        <v>0</v>
      </c>
      <c r="H3001" t="s">
        <v>315</v>
      </c>
      <c r="I3001">
        <v>0</v>
      </c>
      <c r="J3001">
        <v>0</v>
      </c>
      <c r="K3001">
        <v>0</v>
      </c>
      <c r="L3001" t="s">
        <v>241</v>
      </c>
      <c r="M3001" t="s">
        <v>1398</v>
      </c>
      <c r="N3001">
        <v>0</v>
      </c>
      <c r="O3001" t="s">
        <v>1393</v>
      </c>
      <c r="P3001" t="s">
        <v>310</v>
      </c>
      <c r="Q3001" t="s">
        <v>310</v>
      </c>
      <c r="R3001" t="s">
        <v>310</v>
      </c>
      <c r="S3001">
        <v>9</v>
      </c>
      <c r="T3001" t="s">
        <v>310</v>
      </c>
      <c r="U3001">
        <v>9</v>
      </c>
      <c r="V3001">
        <v>9</v>
      </c>
      <c r="W3001">
        <v>0</v>
      </c>
      <c r="X3001">
        <v>0</v>
      </c>
      <c r="Y3001">
        <v>0</v>
      </c>
      <c r="Z3001">
        <v>0</v>
      </c>
      <c r="AA3001">
        <v>9</v>
      </c>
      <c r="AB3001">
        <v>9</v>
      </c>
      <c r="AC3001" t="s">
        <v>310</v>
      </c>
      <c r="AD3001">
        <v>9</v>
      </c>
      <c r="AE3001" t="s">
        <v>1387</v>
      </c>
      <c r="AF3001">
        <v>20100000</v>
      </c>
      <c r="AG3001" t="s">
        <v>310</v>
      </c>
      <c r="AH3001">
        <f>SUM((MID(Dyno_Data[[#This Row],[Team]],4,5))+(Dyno_Data[[#This Row],[Match]]/100))</f>
        <v>5993.56</v>
      </c>
      <c r="AI3001" s="76">
        <f>ROUND(SUM(IF(Dyno_Data[[#This Row],[AcqCenter]]&gt;0,Dyno_Data[[#This Row],[Time]]-SUMIFS(Dyno_Data[Time],Dyno_Data[Team],Dyno_Data[[#This Row],[Team]],Dyno_Data[RecordType],"StartMatch",Dyno_Data[Match],Dyno_Data[[#This Row],[Match]]),0)*86400),0)</f>
        <v>0</v>
      </c>
    </row>
    <row r="3002" spans="1:35" x14ac:dyDescent="0.3">
      <c r="A3002">
        <v>3001</v>
      </c>
      <c r="B3002" t="s">
        <v>1286</v>
      </c>
      <c r="C3002">
        <v>56</v>
      </c>
      <c r="D3002" s="105">
        <v>45373.750529594909</v>
      </c>
      <c r="E3002" t="s">
        <v>312</v>
      </c>
      <c r="F3002" t="s">
        <v>1402</v>
      </c>
      <c r="G3002">
        <v>0</v>
      </c>
      <c r="H3002" t="s">
        <v>315</v>
      </c>
      <c r="I3002">
        <v>0</v>
      </c>
      <c r="J3002">
        <v>0</v>
      </c>
      <c r="K3002">
        <v>0</v>
      </c>
      <c r="L3002" t="s">
        <v>241</v>
      </c>
      <c r="M3002" t="s">
        <v>1398</v>
      </c>
      <c r="N3002">
        <v>0</v>
      </c>
      <c r="O3002" t="s">
        <v>311</v>
      </c>
      <c r="P3002" t="s">
        <v>310</v>
      </c>
      <c r="Q3002" t="s">
        <v>310</v>
      </c>
      <c r="R3002" t="s">
        <v>310</v>
      </c>
      <c r="S3002">
        <v>9</v>
      </c>
      <c r="T3002" t="s">
        <v>310</v>
      </c>
      <c r="U3002">
        <v>9</v>
      </c>
      <c r="V3002">
        <v>9</v>
      </c>
      <c r="W3002">
        <v>0</v>
      </c>
      <c r="X3002">
        <v>0</v>
      </c>
      <c r="Y3002">
        <v>0</v>
      </c>
      <c r="Z3002">
        <v>0</v>
      </c>
      <c r="AA3002">
        <v>9</v>
      </c>
      <c r="AB3002">
        <v>9</v>
      </c>
      <c r="AC3002" t="s">
        <v>310</v>
      </c>
      <c r="AD3002">
        <v>9</v>
      </c>
      <c r="AE3002" t="s">
        <v>1394</v>
      </c>
      <c r="AF3002">
        <v>50000000</v>
      </c>
      <c r="AG3002" t="s">
        <v>310</v>
      </c>
      <c r="AH3002">
        <f>SUM((MID(Dyno_Data[[#This Row],[Team]],4,5))+(Dyno_Data[[#This Row],[Match]]/100))</f>
        <v>1591.56</v>
      </c>
      <c r="AI3002" s="76">
        <f>ROUND(SUM(IF(Dyno_Data[[#This Row],[AcqCenter]]&gt;0,Dyno_Data[[#This Row],[Time]]-SUMIFS(Dyno_Data[Time],Dyno_Data[Team],Dyno_Data[[#This Row],[Team]],Dyno_Data[RecordType],"StartMatch",Dyno_Data[Match],Dyno_Data[[#This Row],[Match]]),0)*86400),0)</f>
        <v>0</v>
      </c>
    </row>
    <row r="3003" spans="1:35" x14ac:dyDescent="0.3">
      <c r="A3003">
        <v>3002</v>
      </c>
      <c r="B3003" t="s">
        <v>1305</v>
      </c>
      <c r="C3003">
        <v>56</v>
      </c>
      <c r="D3003" s="105">
        <v>45373.750559259257</v>
      </c>
      <c r="E3003" t="s">
        <v>312</v>
      </c>
      <c r="F3003" t="s">
        <v>1402</v>
      </c>
      <c r="G3003">
        <v>0</v>
      </c>
      <c r="H3003" t="s">
        <v>315</v>
      </c>
      <c r="I3003">
        <v>0</v>
      </c>
      <c r="J3003">
        <v>0</v>
      </c>
      <c r="K3003">
        <v>0</v>
      </c>
      <c r="L3003" t="s">
        <v>241</v>
      </c>
      <c r="M3003" t="s">
        <v>101</v>
      </c>
      <c r="N3003">
        <v>0</v>
      </c>
      <c r="O3003" t="s">
        <v>1395</v>
      </c>
      <c r="P3003" t="s">
        <v>310</v>
      </c>
      <c r="Q3003" t="s">
        <v>310</v>
      </c>
      <c r="R3003" t="s">
        <v>310</v>
      </c>
      <c r="S3003">
        <v>9</v>
      </c>
      <c r="T3003" t="s">
        <v>310</v>
      </c>
      <c r="U3003">
        <v>9</v>
      </c>
      <c r="V3003">
        <v>9</v>
      </c>
      <c r="W3003">
        <v>0</v>
      </c>
      <c r="X3003">
        <v>0</v>
      </c>
      <c r="Y3003">
        <v>0</v>
      </c>
      <c r="Z3003">
        <v>0</v>
      </c>
      <c r="AA3003">
        <v>9</v>
      </c>
      <c r="AB3003">
        <v>9</v>
      </c>
      <c r="AC3003" t="s">
        <v>310</v>
      </c>
      <c r="AD3003">
        <v>9</v>
      </c>
      <c r="AE3003" t="s">
        <v>1416</v>
      </c>
      <c r="AF3003">
        <v>50000000</v>
      </c>
      <c r="AG3003" t="s">
        <v>310</v>
      </c>
      <c r="AH3003">
        <f>SUM((MID(Dyno_Data[[#This Row],[Team]],4,5))+(Dyno_Data[[#This Row],[Match]]/100))</f>
        <v>3173.56</v>
      </c>
      <c r="AI3003" s="76">
        <f>ROUND(SUM(IF(Dyno_Data[[#This Row],[AcqCenter]]&gt;0,Dyno_Data[[#This Row],[Time]]-SUMIFS(Dyno_Data[Time],Dyno_Data[Team],Dyno_Data[[#This Row],[Team]],Dyno_Data[RecordType],"StartMatch",Dyno_Data[Match],Dyno_Data[[#This Row],[Match]]),0)*86400),0)</f>
        <v>0</v>
      </c>
    </row>
    <row r="3004" spans="1:35" x14ac:dyDescent="0.3">
      <c r="A3004">
        <v>3003</v>
      </c>
      <c r="B3004" t="s">
        <v>367</v>
      </c>
      <c r="C3004">
        <v>56</v>
      </c>
      <c r="D3004" s="105">
        <v>45373.750591747688</v>
      </c>
      <c r="E3004" t="s">
        <v>312</v>
      </c>
      <c r="F3004" t="s">
        <v>1402</v>
      </c>
      <c r="G3004">
        <v>0</v>
      </c>
      <c r="H3004" t="s">
        <v>315</v>
      </c>
      <c r="I3004">
        <v>0</v>
      </c>
      <c r="J3004">
        <v>0</v>
      </c>
      <c r="K3004">
        <v>0</v>
      </c>
      <c r="L3004" t="s">
        <v>240</v>
      </c>
      <c r="M3004" t="s">
        <v>1398</v>
      </c>
      <c r="N3004">
        <v>1</v>
      </c>
      <c r="O3004" t="s">
        <v>1391</v>
      </c>
      <c r="P3004" t="s">
        <v>310</v>
      </c>
      <c r="Q3004" t="s">
        <v>310</v>
      </c>
      <c r="R3004" t="s">
        <v>310</v>
      </c>
      <c r="S3004">
        <v>9</v>
      </c>
      <c r="T3004" t="s">
        <v>310</v>
      </c>
      <c r="U3004">
        <v>9</v>
      </c>
      <c r="V3004">
        <v>9</v>
      </c>
      <c r="W3004">
        <v>0</v>
      </c>
      <c r="X3004">
        <v>0</v>
      </c>
      <c r="Y3004">
        <v>0</v>
      </c>
      <c r="Z3004">
        <v>0</v>
      </c>
      <c r="AA3004">
        <v>9</v>
      </c>
      <c r="AB3004">
        <v>9</v>
      </c>
      <c r="AC3004" t="s">
        <v>310</v>
      </c>
      <c r="AD3004">
        <v>9</v>
      </c>
      <c r="AE3004" t="s">
        <v>1418</v>
      </c>
      <c r="AF3004">
        <v>10000000</v>
      </c>
      <c r="AG3004" t="s">
        <v>310</v>
      </c>
      <c r="AH3004">
        <f>SUM((MID(Dyno_Data[[#This Row],[Team]],4,5))+(Dyno_Data[[#This Row],[Match]]/100))</f>
        <v>5016.5600000000004</v>
      </c>
      <c r="AI3004" s="76">
        <f>ROUND(SUM(IF(Dyno_Data[[#This Row],[AcqCenter]]&gt;0,Dyno_Data[[#This Row],[Time]]-SUMIFS(Dyno_Data[Time],Dyno_Data[Team],Dyno_Data[[#This Row],[Team]],Dyno_Data[RecordType],"StartMatch",Dyno_Data[Match],Dyno_Data[[#This Row],[Match]]),0)*86400),0)</f>
        <v>0</v>
      </c>
    </row>
    <row r="3005" spans="1:35" x14ac:dyDescent="0.3">
      <c r="A3005">
        <v>3004</v>
      </c>
      <c r="B3005" t="s">
        <v>1280</v>
      </c>
      <c r="C3005">
        <v>56</v>
      </c>
      <c r="D3005" s="105">
        <v>45373.750612847223</v>
      </c>
      <c r="E3005" t="s">
        <v>312</v>
      </c>
      <c r="F3005" t="s">
        <v>1402</v>
      </c>
      <c r="G3005">
        <v>0</v>
      </c>
      <c r="H3005" t="s">
        <v>315</v>
      </c>
      <c r="I3005">
        <v>0</v>
      </c>
      <c r="J3005">
        <v>0</v>
      </c>
      <c r="K3005">
        <v>0</v>
      </c>
      <c r="L3005" t="s">
        <v>241</v>
      </c>
      <c r="M3005" t="s">
        <v>1398</v>
      </c>
      <c r="N3005">
        <v>1</v>
      </c>
      <c r="O3005" t="s">
        <v>1389</v>
      </c>
      <c r="P3005" t="s">
        <v>310</v>
      </c>
      <c r="Q3005" t="s">
        <v>310</v>
      </c>
      <c r="R3005" t="s">
        <v>310</v>
      </c>
      <c r="S3005">
        <v>9</v>
      </c>
      <c r="T3005" t="s">
        <v>310</v>
      </c>
      <c r="U3005">
        <v>9</v>
      </c>
      <c r="V3005">
        <v>9</v>
      </c>
      <c r="W3005">
        <v>0</v>
      </c>
      <c r="X3005">
        <v>0</v>
      </c>
      <c r="Y3005">
        <v>0</v>
      </c>
      <c r="Z3005">
        <v>0</v>
      </c>
      <c r="AA3005">
        <v>9</v>
      </c>
      <c r="AB3005">
        <v>9</v>
      </c>
      <c r="AC3005" t="s">
        <v>310</v>
      </c>
      <c r="AD3005">
        <v>9</v>
      </c>
      <c r="AE3005" t="s">
        <v>1417</v>
      </c>
      <c r="AF3005">
        <v>21000000</v>
      </c>
      <c r="AG3005" t="s">
        <v>310</v>
      </c>
      <c r="AH3005">
        <f>SUM((MID(Dyno_Data[[#This Row],[Team]],4,5))+(Dyno_Data[[#This Row],[Match]]/100))</f>
        <v>1559.56</v>
      </c>
      <c r="AI3005" s="76">
        <f>ROUND(SUM(IF(Dyno_Data[[#This Row],[AcqCenter]]&gt;0,Dyno_Data[[#This Row],[Time]]-SUMIFS(Dyno_Data[Time],Dyno_Data[Team],Dyno_Data[[#This Row],[Team]],Dyno_Data[RecordType],"StartMatch",Dyno_Data[Match],Dyno_Data[[#This Row],[Match]]),0)*86400),0)</f>
        <v>0</v>
      </c>
    </row>
    <row r="3006" spans="1:35" x14ac:dyDescent="0.3">
      <c r="A3006">
        <v>3005</v>
      </c>
      <c r="B3006" t="s">
        <v>364</v>
      </c>
      <c r="C3006">
        <v>56</v>
      </c>
      <c r="D3006" s="105">
        <v>45373.750630787035</v>
      </c>
      <c r="E3006" t="s">
        <v>312</v>
      </c>
      <c r="F3006" t="s">
        <v>1402</v>
      </c>
      <c r="G3006">
        <v>0</v>
      </c>
      <c r="H3006" t="s">
        <v>315</v>
      </c>
      <c r="I3006">
        <v>0</v>
      </c>
      <c r="J3006">
        <v>0</v>
      </c>
      <c r="K3006">
        <v>0</v>
      </c>
      <c r="L3006" t="s">
        <v>241</v>
      </c>
      <c r="M3006" t="s">
        <v>101</v>
      </c>
      <c r="N3006">
        <v>0</v>
      </c>
      <c r="O3006" t="s">
        <v>319</v>
      </c>
      <c r="P3006" t="s">
        <v>310</v>
      </c>
      <c r="Q3006" t="s">
        <v>310</v>
      </c>
      <c r="R3006" t="s">
        <v>310</v>
      </c>
      <c r="S3006">
        <v>9</v>
      </c>
      <c r="T3006" t="s">
        <v>310</v>
      </c>
      <c r="U3006">
        <v>9</v>
      </c>
      <c r="V3006">
        <v>9</v>
      </c>
      <c r="W3006">
        <v>0</v>
      </c>
      <c r="X3006">
        <v>0</v>
      </c>
      <c r="Y3006">
        <v>0</v>
      </c>
      <c r="Z3006">
        <v>0</v>
      </c>
      <c r="AA3006">
        <v>9</v>
      </c>
      <c r="AB3006">
        <v>9</v>
      </c>
      <c r="AC3006" t="s">
        <v>310</v>
      </c>
      <c r="AD3006">
        <v>9</v>
      </c>
      <c r="AE3006" t="s">
        <v>1392</v>
      </c>
      <c r="AF3006">
        <v>20000000</v>
      </c>
      <c r="AG3006" t="s">
        <v>310</v>
      </c>
      <c r="AH3006">
        <f>SUM((MID(Dyno_Data[[#This Row],[Team]],4,5))+(Dyno_Data[[#This Row],[Match]]/100))</f>
        <v>2791.56</v>
      </c>
      <c r="AI3006" s="76">
        <f>ROUND(SUM(IF(Dyno_Data[[#This Row],[AcqCenter]]&gt;0,Dyno_Data[[#This Row],[Time]]-SUMIFS(Dyno_Data[Time],Dyno_Data[Team],Dyno_Data[[#This Row],[Team]],Dyno_Data[RecordType],"StartMatch",Dyno_Data[Match],Dyno_Data[[#This Row],[Match]]),0)*86400),0)</f>
        <v>0</v>
      </c>
    </row>
    <row r="3007" spans="1:35" x14ac:dyDescent="0.3">
      <c r="A3007">
        <v>3006</v>
      </c>
      <c r="B3007" t="s">
        <v>1286</v>
      </c>
      <c r="C3007">
        <v>56</v>
      </c>
      <c r="D3007" s="105">
        <v>45373.750648229165</v>
      </c>
      <c r="E3007" t="s">
        <v>312</v>
      </c>
      <c r="F3007" t="s">
        <v>1402</v>
      </c>
      <c r="G3007">
        <v>0</v>
      </c>
      <c r="H3007" t="s">
        <v>315</v>
      </c>
      <c r="I3007">
        <v>0</v>
      </c>
      <c r="J3007">
        <v>0</v>
      </c>
      <c r="K3007">
        <v>0</v>
      </c>
      <c r="L3007" t="s">
        <v>241</v>
      </c>
      <c r="M3007" t="s">
        <v>1398</v>
      </c>
      <c r="N3007">
        <v>0</v>
      </c>
      <c r="O3007" t="s">
        <v>311</v>
      </c>
      <c r="P3007" t="s">
        <v>310</v>
      </c>
      <c r="Q3007" t="s">
        <v>310</v>
      </c>
      <c r="R3007" t="s">
        <v>310</v>
      </c>
      <c r="S3007">
        <v>9</v>
      </c>
      <c r="T3007" t="s">
        <v>310</v>
      </c>
      <c r="U3007">
        <v>9</v>
      </c>
      <c r="V3007">
        <v>9</v>
      </c>
      <c r="W3007">
        <v>0</v>
      </c>
      <c r="X3007">
        <v>0</v>
      </c>
      <c r="Y3007">
        <v>0</v>
      </c>
      <c r="Z3007">
        <v>0</v>
      </c>
      <c r="AA3007">
        <v>9</v>
      </c>
      <c r="AB3007">
        <v>9</v>
      </c>
      <c r="AC3007" t="s">
        <v>310</v>
      </c>
      <c r="AD3007">
        <v>9</v>
      </c>
      <c r="AE3007" t="s">
        <v>1394</v>
      </c>
      <c r="AF3007">
        <v>60000000</v>
      </c>
      <c r="AG3007" t="s">
        <v>310</v>
      </c>
      <c r="AH3007">
        <f>SUM((MID(Dyno_Data[[#This Row],[Team]],4,5))+(Dyno_Data[[#This Row],[Match]]/100))</f>
        <v>1591.56</v>
      </c>
      <c r="AI3007" s="76">
        <f>ROUND(SUM(IF(Dyno_Data[[#This Row],[AcqCenter]]&gt;0,Dyno_Data[[#This Row],[Time]]-SUMIFS(Dyno_Data[Time],Dyno_Data[Team],Dyno_Data[[#This Row],[Team]],Dyno_Data[RecordType],"StartMatch",Dyno_Data[Match],Dyno_Data[[#This Row],[Match]]),0)*86400),0)</f>
        <v>0</v>
      </c>
    </row>
    <row r="3008" spans="1:35" x14ac:dyDescent="0.3">
      <c r="A3008">
        <v>3007</v>
      </c>
      <c r="B3008" t="s">
        <v>1280</v>
      </c>
      <c r="C3008">
        <v>56</v>
      </c>
      <c r="D3008" s="105">
        <v>45373.75070679398</v>
      </c>
      <c r="E3008" t="s">
        <v>312</v>
      </c>
      <c r="F3008" t="s">
        <v>1402</v>
      </c>
      <c r="G3008">
        <v>0</v>
      </c>
      <c r="H3008" t="s">
        <v>315</v>
      </c>
      <c r="I3008">
        <v>0</v>
      </c>
      <c r="J3008">
        <v>0</v>
      </c>
      <c r="K3008">
        <v>0</v>
      </c>
      <c r="L3008" t="s">
        <v>241</v>
      </c>
      <c r="M3008" t="s">
        <v>1398</v>
      </c>
      <c r="N3008">
        <v>0</v>
      </c>
      <c r="O3008" t="s">
        <v>1389</v>
      </c>
      <c r="P3008" t="s">
        <v>310</v>
      </c>
      <c r="Q3008" t="s">
        <v>310</v>
      </c>
      <c r="R3008" t="s">
        <v>310</v>
      </c>
      <c r="S3008">
        <v>9</v>
      </c>
      <c r="T3008" t="s">
        <v>310</v>
      </c>
      <c r="U3008">
        <v>9</v>
      </c>
      <c r="V3008">
        <v>9</v>
      </c>
      <c r="W3008">
        <v>0</v>
      </c>
      <c r="X3008">
        <v>0</v>
      </c>
      <c r="Y3008">
        <v>0</v>
      </c>
      <c r="Z3008">
        <v>0</v>
      </c>
      <c r="AA3008">
        <v>9</v>
      </c>
      <c r="AB3008">
        <v>9</v>
      </c>
      <c r="AC3008" t="s">
        <v>310</v>
      </c>
      <c r="AD3008">
        <v>9</v>
      </c>
      <c r="AE3008" t="s">
        <v>1417</v>
      </c>
      <c r="AF3008">
        <v>31000000</v>
      </c>
      <c r="AG3008" t="s">
        <v>310</v>
      </c>
      <c r="AH3008">
        <f>SUM((MID(Dyno_Data[[#This Row],[Team]],4,5))+(Dyno_Data[[#This Row],[Match]]/100))</f>
        <v>1559.56</v>
      </c>
      <c r="AI3008" s="76">
        <f>ROUND(SUM(IF(Dyno_Data[[#This Row],[AcqCenter]]&gt;0,Dyno_Data[[#This Row],[Time]]-SUMIFS(Dyno_Data[Time],Dyno_Data[Team],Dyno_Data[[#This Row],[Team]],Dyno_Data[RecordType],"StartMatch",Dyno_Data[Match],Dyno_Data[[#This Row],[Match]]),0)*86400),0)</f>
        <v>0</v>
      </c>
    </row>
    <row r="3009" spans="1:35" x14ac:dyDescent="0.3">
      <c r="A3009">
        <v>3008</v>
      </c>
      <c r="B3009" t="s">
        <v>1305</v>
      </c>
      <c r="C3009">
        <v>56</v>
      </c>
      <c r="D3009" s="105">
        <v>45373.750711111112</v>
      </c>
      <c r="E3009" t="s">
        <v>312</v>
      </c>
      <c r="F3009" t="s">
        <v>1402</v>
      </c>
      <c r="G3009">
        <v>0</v>
      </c>
      <c r="H3009" t="s">
        <v>315</v>
      </c>
      <c r="I3009">
        <v>0</v>
      </c>
      <c r="J3009">
        <v>0</v>
      </c>
      <c r="K3009">
        <v>0</v>
      </c>
      <c r="L3009" t="s">
        <v>241</v>
      </c>
      <c r="M3009" t="s">
        <v>101</v>
      </c>
      <c r="N3009">
        <v>0</v>
      </c>
      <c r="O3009" t="s">
        <v>1395</v>
      </c>
      <c r="P3009" t="s">
        <v>310</v>
      </c>
      <c r="Q3009" t="s">
        <v>310</v>
      </c>
      <c r="R3009" t="s">
        <v>310</v>
      </c>
      <c r="S3009">
        <v>9</v>
      </c>
      <c r="T3009" t="s">
        <v>310</v>
      </c>
      <c r="U3009">
        <v>9</v>
      </c>
      <c r="V3009">
        <v>9</v>
      </c>
      <c r="W3009">
        <v>0</v>
      </c>
      <c r="X3009">
        <v>0</v>
      </c>
      <c r="Y3009">
        <v>0</v>
      </c>
      <c r="Z3009">
        <v>0</v>
      </c>
      <c r="AA3009">
        <v>9</v>
      </c>
      <c r="AB3009">
        <v>9</v>
      </c>
      <c r="AC3009" t="s">
        <v>310</v>
      </c>
      <c r="AD3009">
        <v>9</v>
      </c>
      <c r="AE3009" t="s">
        <v>1416</v>
      </c>
      <c r="AF3009">
        <v>60000000</v>
      </c>
      <c r="AG3009" t="s">
        <v>310</v>
      </c>
      <c r="AH3009">
        <f>SUM((MID(Dyno_Data[[#This Row],[Team]],4,5))+(Dyno_Data[[#This Row],[Match]]/100))</f>
        <v>3173.56</v>
      </c>
      <c r="AI3009" s="76">
        <f>ROUND(SUM(IF(Dyno_Data[[#This Row],[AcqCenter]]&gt;0,Dyno_Data[[#This Row],[Time]]-SUMIFS(Dyno_Data[Time],Dyno_Data[Team],Dyno_Data[[#This Row],[Team]],Dyno_Data[RecordType],"StartMatch",Dyno_Data[Match],Dyno_Data[[#This Row],[Match]]),0)*86400),0)</f>
        <v>0</v>
      </c>
    </row>
    <row r="3010" spans="1:35" x14ac:dyDescent="0.3">
      <c r="A3010">
        <v>3009</v>
      </c>
      <c r="B3010" t="s">
        <v>367</v>
      </c>
      <c r="C3010">
        <v>56</v>
      </c>
      <c r="D3010" s="105">
        <v>45373.750723495374</v>
      </c>
      <c r="E3010" t="s">
        <v>312</v>
      </c>
      <c r="F3010" t="s">
        <v>1402</v>
      </c>
      <c r="G3010">
        <v>0</v>
      </c>
      <c r="H3010" t="s">
        <v>315</v>
      </c>
      <c r="I3010">
        <v>0</v>
      </c>
      <c r="J3010">
        <v>0</v>
      </c>
      <c r="K3010">
        <v>0</v>
      </c>
      <c r="L3010" t="s">
        <v>240</v>
      </c>
      <c r="M3010" t="s">
        <v>1398</v>
      </c>
      <c r="N3010">
        <v>0</v>
      </c>
      <c r="O3010" t="s">
        <v>1391</v>
      </c>
      <c r="P3010" t="s">
        <v>310</v>
      </c>
      <c r="Q3010" t="s">
        <v>310</v>
      </c>
      <c r="R3010" t="s">
        <v>310</v>
      </c>
      <c r="S3010">
        <v>9</v>
      </c>
      <c r="T3010" t="s">
        <v>310</v>
      </c>
      <c r="U3010">
        <v>9</v>
      </c>
      <c r="V3010">
        <v>9</v>
      </c>
      <c r="W3010">
        <v>0</v>
      </c>
      <c r="X3010">
        <v>0</v>
      </c>
      <c r="Y3010">
        <v>0</v>
      </c>
      <c r="Z3010">
        <v>0</v>
      </c>
      <c r="AA3010">
        <v>9</v>
      </c>
      <c r="AB3010">
        <v>9</v>
      </c>
      <c r="AC3010" t="s">
        <v>310</v>
      </c>
      <c r="AD3010">
        <v>9</v>
      </c>
      <c r="AE3010" t="s">
        <v>1418</v>
      </c>
      <c r="AF3010">
        <v>20000000</v>
      </c>
      <c r="AG3010" t="s">
        <v>310</v>
      </c>
      <c r="AH3010">
        <f>SUM((MID(Dyno_Data[[#This Row],[Team]],4,5))+(Dyno_Data[[#This Row],[Match]]/100))</f>
        <v>5016.5600000000004</v>
      </c>
      <c r="AI3010" s="76">
        <f>ROUND(SUM(IF(Dyno_Data[[#This Row],[AcqCenter]]&gt;0,Dyno_Data[[#This Row],[Time]]-SUMIFS(Dyno_Data[Time],Dyno_Data[Team],Dyno_Data[[#This Row],[Team]],Dyno_Data[RecordType],"StartMatch",Dyno_Data[Match],Dyno_Data[[#This Row],[Match]]),0)*86400),0)</f>
        <v>0</v>
      </c>
    </row>
    <row r="3011" spans="1:35" x14ac:dyDescent="0.3">
      <c r="A3011">
        <v>3010</v>
      </c>
      <c r="B3011" t="s">
        <v>1286</v>
      </c>
      <c r="C3011">
        <v>56</v>
      </c>
      <c r="D3011" s="105">
        <v>45373.75077997685</v>
      </c>
      <c r="E3011" t="s">
        <v>312</v>
      </c>
      <c r="F3011" t="s">
        <v>1402</v>
      </c>
      <c r="G3011">
        <v>0</v>
      </c>
      <c r="H3011" t="s">
        <v>315</v>
      </c>
      <c r="I3011">
        <v>0</v>
      </c>
      <c r="J3011">
        <v>0</v>
      </c>
      <c r="K3011">
        <v>0</v>
      </c>
      <c r="L3011" t="s">
        <v>241</v>
      </c>
      <c r="M3011" t="s">
        <v>1398</v>
      </c>
      <c r="N3011">
        <v>0</v>
      </c>
      <c r="O3011" t="s">
        <v>311</v>
      </c>
      <c r="P3011" t="s">
        <v>310</v>
      </c>
      <c r="Q3011" t="s">
        <v>310</v>
      </c>
      <c r="R3011" t="s">
        <v>310</v>
      </c>
      <c r="S3011">
        <v>9</v>
      </c>
      <c r="T3011" t="s">
        <v>310</v>
      </c>
      <c r="U3011">
        <v>9</v>
      </c>
      <c r="V3011">
        <v>9</v>
      </c>
      <c r="W3011">
        <v>0</v>
      </c>
      <c r="X3011">
        <v>0</v>
      </c>
      <c r="Y3011">
        <v>0</v>
      </c>
      <c r="Z3011">
        <v>0</v>
      </c>
      <c r="AA3011">
        <v>9</v>
      </c>
      <c r="AB3011">
        <v>9</v>
      </c>
      <c r="AC3011" t="s">
        <v>310</v>
      </c>
      <c r="AD3011">
        <v>9</v>
      </c>
      <c r="AE3011" t="s">
        <v>1394</v>
      </c>
      <c r="AF3011">
        <v>70000000</v>
      </c>
      <c r="AG3011" t="s">
        <v>310</v>
      </c>
      <c r="AH3011">
        <f>SUM((MID(Dyno_Data[[#This Row],[Team]],4,5))+(Dyno_Data[[#This Row],[Match]]/100))</f>
        <v>1591.56</v>
      </c>
      <c r="AI3011" s="76">
        <f>ROUND(SUM(IF(Dyno_Data[[#This Row],[AcqCenter]]&gt;0,Dyno_Data[[#This Row],[Time]]-SUMIFS(Dyno_Data[Time],Dyno_Data[Team],Dyno_Data[[#This Row],[Team]],Dyno_Data[RecordType],"StartMatch",Dyno_Data[Match],Dyno_Data[[#This Row],[Match]]),0)*86400),0)</f>
        <v>0</v>
      </c>
    </row>
    <row r="3012" spans="1:35" x14ac:dyDescent="0.3">
      <c r="A3012">
        <v>3011</v>
      </c>
      <c r="B3012" t="s">
        <v>1305</v>
      </c>
      <c r="C3012">
        <v>56</v>
      </c>
      <c r="D3012" s="105">
        <v>45373.750873414348</v>
      </c>
      <c r="E3012" t="s">
        <v>312</v>
      </c>
      <c r="F3012" t="s">
        <v>1402</v>
      </c>
      <c r="G3012">
        <v>0</v>
      </c>
      <c r="H3012" t="s">
        <v>315</v>
      </c>
      <c r="I3012">
        <v>0</v>
      </c>
      <c r="J3012">
        <v>0</v>
      </c>
      <c r="K3012">
        <v>0</v>
      </c>
      <c r="L3012" t="s">
        <v>241</v>
      </c>
      <c r="M3012" t="s">
        <v>1398</v>
      </c>
      <c r="N3012">
        <v>0</v>
      </c>
      <c r="O3012" t="s">
        <v>1395</v>
      </c>
      <c r="P3012" t="s">
        <v>310</v>
      </c>
      <c r="Q3012" t="s">
        <v>310</v>
      </c>
      <c r="R3012" t="s">
        <v>310</v>
      </c>
      <c r="S3012">
        <v>9</v>
      </c>
      <c r="T3012" t="s">
        <v>310</v>
      </c>
      <c r="U3012">
        <v>9</v>
      </c>
      <c r="V3012">
        <v>9</v>
      </c>
      <c r="W3012">
        <v>0</v>
      </c>
      <c r="X3012">
        <v>0</v>
      </c>
      <c r="Y3012">
        <v>0</v>
      </c>
      <c r="Z3012">
        <v>0</v>
      </c>
      <c r="AA3012">
        <v>9</v>
      </c>
      <c r="AB3012">
        <v>9</v>
      </c>
      <c r="AC3012" t="s">
        <v>310</v>
      </c>
      <c r="AD3012">
        <v>9</v>
      </c>
      <c r="AE3012" t="s">
        <v>1416</v>
      </c>
      <c r="AF3012">
        <v>70000000</v>
      </c>
      <c r="AG3012" t="s">
        <v>310</v>
      </c>
      <c r="AH3012">
        <f>SUM((MID(Dyno_Data[[#This Row],[Team]],4,5))+(Dyno_Data[[#This Row],[Match]]/100))</f>
        <v>3173.56</v>
      </c>
      <c r="AI3012" s="76">
        <f>ROUND(SUM(IF(Dyno_Data[[#This Row],[AcqCenter]]&gt;0,Dyno_Data[[#This Row],[Time]]-SUMIFS(Dyno_Data[Time],Dyno_Data[Team],Dyno_Data[[#This Row],[Team]],Dyno_Data[RecordType],"StartMatch",Dyno_Data[Match],Dyno_Data[[#This Row],[Match]]),0)*86400),0)</f>
        <v>0</v>
      </c>
    </row>
    <row r="3013" spans="1:35" x14ac:dyDescent="0.3">
      <c r="A3013">
        <v>3012</v>
      </c>
      <c r="B3013" t="s">
        <v>1286</v>
      </c>
      <c r="C3013">
        <v>56</v>
      </c>
      <c r="D3013" s="105">
        <v>45373.750881979169</v>
      </c>
      <c r="E3013" t="s">
        <v>312</v>
      </c>
      <c r="F3013" t="s">
        <v>1402</v>
      </c>
      <c r="G3013">
        <v>0</v>
      </c>
      <c r="H3013" t="s">
        <v>315</v>
      </c>
      <c r="I3013">
        <v>0</v>
      </c>
      <c r="J3013">
        <v>0</v>
      </c>
      <c r="K3013">
        <v>0</v>
      </c>
      <c r="L3013" t="s">
        <v>241</v>
      </c>
      <c r="M3013" t="s">
        <v>1398</v>
      </c>
      <c r="N3013">
        <v>0</v>
      </c>
      <c r="O3013" t="s">
        <v>311</v>
      </c>
      <c r="P3013" t="s">
        <v>310</v>
      </c>
      <c r="Q3013" t="s">
        <v>310</v>
      </c>
      <c r="R3013" t="s">
        <v>310</v>
      </c>
      <c r="S3013">
        <v>9</v>
      </c>
      <c r="T3013" t="s">
        <v>310</v>
      </c>
      <c r="U3013">
        <v>9</v>
      </c>
      <c r="V3013">
        <v>9</v>
      </c>
      <c r="W3013">
        <v>0</v>
      </c>
      <c r="X3013">
        <v>0</v>
      </c>
      <c r="Y3013">
        <v>0</v>
      </c>
      <c r="Z3013">
        <v>0</v>
      </c>
      <c r="AA3013">
        <v>9</v>
      </c>
      <c r="AB3013">
        <v>9</v>
      </c>
      <c r="AC3013" t="s">
        <v>310</v>
      </c>
      <c r="AD3013">
        <v>9</v>
      </c>
      <c r="AE3013" t="s">
        <v>1394</v>
      </c>
      <c r="AF3013">
        <v>80000000</v>
      </c>
      <c r="AG3013" t="s">
        <v>310</v>
      </c>
      <c r="AH3013">
        <f>SUM((MID(Dyno_Data[[#This Row],[Team]],4,5))+(Dyno_Data[[#This Row],[Match]]/100))</f>
        <v>1591.56</v>
      </c>
      <c r="AI3013" s="76">
        <f>ROUND(SUM(IF(Dyno_Data[[#This Row],[AcqCenter]]&gt;0,Dyno_Data[[#This Row],[Time]]-SUMIFS(Dyno_Data[Time],Dyno_Data[Team],Dyno_Data[[#This Row],[Team]],Dyno_Data[RecordType],"StartMatch",Dyno_Data[Match],Dyno_Data[[#This Row],[Match]]),0)*86400),0)</f>
        <v>0</v>
      </c>
    </row>
    <row r="3014" spans="1:35" x14ac:dyDescent="0.3">
      <c r="A3014">
        <v>3013</v>
      </c>
      <c r="B3014" t="s">
        <v>1305</v>
      </c>
      <c r="C3014">
        <v>56</v>
      </c>
      <c r="D3014" s="105">
        <v>45373.751020138887</v>
      </c>
      <c r="E3014" t="s">
        <v>312</v>
      </c>
      <c r="F3014" t="s">
        <v>1402</v>
      </c>
      <c r="G3014">
        <v>0</v>
      </c>
      <c r="H3014" t="s">
        <v>315</v>
      </c>
      <c r="I3014">
        <v>0</v>
      </c>
      <c r="J3014">
        <v>0</v>
      </c>
      <c r="K3014">
        <v>0</v>
      </c>
      <c r="L3014" t="s">
        <v>241</v>
      </c>
      <c r="M3014" t="s">
        <v>241</v>
      </c>
      <c r="N3014">
        <v>0</v>
      </c>
      <c r="O3014" t="s">
        <v>1395</v>
      </c>
      <c r="P3014" t="s">
        <v>310</v>
      </c>
      <c r="Q3014" t="s">
        <v>310</v>
      </c>
      <c r="R3014" t="s">
        <v>310</v>
      </c>
      <c r="S3014">
        <v>9</v>
      </c>
      <c r="T3014" t="s">
        <v>310</v>
      </c>
      <c r="U3014">
        <v>9</v>
      </c>
      <c r="V3014">
        <v>9</v>
      </c>
      <c r="W3014">
        <v>0</v>
      </c>
      <c r="X3014">
        <v>0</v>
      </c>
      <c r="Y3014">
        <v>0</v>
      </c>
      <c r="Z3014">
        <v>0</v>
      </c>
      <c r="AA3014">
        <v>9</v>
      </c>
      <c r="AB3014">
        <v>9</v>
      </c>
      <c r="AC3014" t="s">
        <v>310</v>
      </c>
      <c r="AD3014">
        <v>9</v>
      </c>
      <c r="AE3014" t="s">
        <v>1416</v>
      </c>
      <c r="AF3014">
        <v>80000000</v>
      </c>
      <c r="AG3014" t="s">
        <v>310</v>
      </c>
      <c r="AH3014">
        <f>SUM((MID(Dyno_Data[[#This Row],[Team]],4,5))+(Dyno_Data[[#This Row],[Match]]/100))</f>
        <v>3173.56</v>
      </c>
      <c r="AI3014" s="76">
        <f>ROUND(SUM(IF(Dyno_Data[[#This Row],[AcqCenter]]&gt;0,Dyno_Data[[#This Row],[Time]]-SUMIFS(Dyno_Data[Time],Dyno_Data[Team],Dyno_Data[[#This Row],[Team]],Dyno_Data[RecordType],"StartMatch",Dyno_Data[Match],Dyno_Data[[#This Row],[Match]]),0)*86400),0)</f>
        <v>0</v>
      </c>
    </row>
    <row r="3015" spans="1:35" x14ac:dyDescent="0.3">
      <c r="A3015">
        <v>3014</v>
      </c>
      <c r="B3015" t="s">
        <v>367</v>
      </c>
      <c r="C3015">
        <v>56</v>
      </c>
      <c r="D3015" s="105">
        <v>45373.751143865738</v>
      </c>
      <c r="E3015" t="s">
        <v>312</v>
      </c>
      <c r="F3015" t="s">
        <v>1402</v>
      </c>
      <c r="G3015">
        <v>0</v>
      </c>
      <c r="H3015" t="s">
        <v>315</v>
      </c>
      <c r="I3015">
        <v>0</v>
      </c>
      <c r="J3015">
        <v>0</v>
      </c>
      <c r="K3015">
        <v>0</v>
      </c>
      <c r="L3015" t="s">
        <v>240</v>
      </c>
      <c r="M3015" t="s">
        <v>1398</v>
      </c>
      <c r="N3015">
        <v>0</v>
      </c>
      <c r="O3015" t="s">
        <v>1391</v>
      </c>
      <c r="P3015" t="s">
        <v>310</v>
      </c>
      <c r="Q3015" t="s">
        <v>310</v>
      </c>
      <c r="R3015" t="s">
        <v>310</v>
      </c>
      <c r="S3015">
        <v>9</v>
      </c>
      <c r="T3015" t="s">
        <v>310</v>
      </c>
      <c r="U3015">
        <v>9</v>
      </c>
      <c r="V3015">
        <v>9</v>
      </c>
      <c r="W3015">
        <v>0</v>
      </c>
      <c r="X3015">
        <v>0</v>
      </c>
      <c r="Y3015">
        <v>0</v>
      </c>
      <c r="Z3015">
        <v>0</v>
      </c>
      <c r="AA3015">
        <v>9</v>
      </c>
      <c r="AB3015">
        <v>9</v>
      </c>
      <c r="AC3015" t="s">
        <v>310</v>
      </c>
      <c r="AD3015">
        <v>9</v>
      </c>
      <c r="AE3015" t="s">
        <v>1418</v>
      </c>
      <c r="AF3015">
        <v>30000000</v>
      </c>
      <c r="AG3015" t="s">
        <v>310</v>
      </c>
      <c r="AH3015">
        <f>SUM((MID(Dyno_Data[[#This Row],[Team]],4,5))+(Dyno_Data[[#This Row],[Match]]/100))</f>
        <v>5016.5600000000004</v>
      </c>
      <c r="AI3015" s="76">
        <f>ROUND(SUM(IF(Dyno_Data[[#This Row],[AcqCenter]]&gt;0,Dyno_Data[[#This Row],[Time]]-SUMIFS(Dyno_Data[Time],Dyno_Data[Team],Dyno_Data[[#This Row],[Team]],Dyno_Data[RecordType],"StartMatch",Dyno_Data[Match],Dyno_Data[[#This Row],[Match]]),0)*86400),0)</f>
        <v>0</v>
      </c>
    </row>
    <row r="3016" spans="1:35" x14ac:dyDescent="0.3">
      <c r="A3016">
        <v>3015</v>
      </c>
      <c r="B3016" t="s">
        <v>1305</v>
      </c>
      <c r="C3016">
        <v>56</v>
      </c>
      <c r="D3016" s="105">
        <v>45373.751180208332</v>
      </c>
      <c r="E3016" t="s">
        <v>312</v>
      </c>
      <c r="F3016" t="s">
        <v>1402</v>
      </c>
      <c r="G3016">
        <v>0</v>
      </c>
      <c r="H3016" t="s">
        <v>315</v>
      </c>
      <c r="I3016">
        <v>0</v>
      </c>
      <c r="J3016">
        <v>0</v>
      </c>
      <c r="K3016">
        <v>0</v>
      </c>
      <c r="L3016" t="s">
        <v>241</v>
      </c>
      <c r="M3016" t="s">
        <v>101</v>
      </c>
      <c r="N3016">
        <v>0</v>
      </c>
      <c r="O3016" t="s">
        <v>1395</v>
      </c>
      <c r="P3016" t="s">
        <v>310</v>
      </c>
      <c r="Q3016" t="s">
        <v>310</v>
      </c>
      <c r="R3016" t="s">
        <v>310</v>
      </c>
      <c r="S3016">
        <v>9</v>
      </c>
      <c r="T3016" t="s">
        <v>310</v>
      </c>
      <c r="U3016">
        <v>9</v>
      </c>
      <c r="V3016">
        <v>9</v>
      </c>
      <c r="W3016">
        <v>0</v>
      </c>
      <c r="X3016">
        <v>0</v>
      </c>
      <c r="Y3016">
        <v>0</v>
      </c>
      <c r="Z3016">
        <v>0</v>
      </c>
      <c r="AA3016">
        <v>9</v>
      </c>
      <c r="AB3016">
        <v>9</v>
      </c>
      <c r="AC3016" t="s">
        <v>310</v>
      </c>
      <c r="AD3016">
        <v>9</v>
      </c>
      <c r="AE3016" t="s">
        <v>1416</v>
      </c>
      <c r="AF3016">
        <v>90000000</v>
      </c>
      <c r="AG3016" t="s">
        <v>310</v>
      </c>
      <c r="AH3016">
        <f>SUM((MID(Dyno_Data[[#This Row],[Team]],4,5))+(Dyno_Data[[#This Row],[Match]]/100))</f>
        <v>3173.56</v>
      </c>
      <c r="AI3016" s="76">
        <f>ROUND(SUM(IF(Dyno_Data[[#This Row],[AcqCenter]]&gt;0,Dyno_Data[[#This Row],[Time]]-SUMIFS(Dyno_Data[Time],Dyno_Data[Team],Dyno_Data[[#This Row],[Team]],Dyno_Data[RecordType],"StartMatch",Dyno_Data[Match],Dyno_Data[[#This Row],[Match]]),0)*86400),0)</f>
        <v>0</v>
      </c>
    </row>
    <row r="3017" spans="1:35" x14ac:dyDescent="0.3">
      <c r="A3017">
        <v>3016</v>
      </c>
      <c r="B3017" t="s">
        <v>1280</v>
      </c>
      <c r="C3017">
        <v>56</v>
      </c>
      <c r="D3017" s="105">
        <v>45373.751187581016</v>
      </c>
      <c r="E3017" t="s">
        <v>312</v>
      </c>
      <c r="F3017" t="s">
        <v>1402</v>
      </c>
      <c r="G3017">
        <v>0</v>
      </c>
      <c r="H3017" t="s">
        <v>315</v>
      </c>
      <c r="I3017">
        <v>0</v>
      </c>
      <c r="J3017">
        <v>0</v>
      </c>
      <c r="K3017">
        <v>0</v>
      </c>
      <c r="L3017" t="s">
        <v>241</v>
      </c>
      <c r="M3017" t="s">
        <v>1398</v>
      </c>
      <c r="N3017">
        <v>0</v>
      </c>
      <c r="O3017" t="s">
        <v>1389</v>
      </c>
      <c r="P3017" t="s">
        <v>310</v>
      </c>
      <c r="Q3017" t="s">
        <v>310</v>
      </c>
      <c r="R3017" t="s">
        <v>310</v>
      </c>
      <c r="S3017">
        <v>9</v>
      </c>
      <c r="T3017" t="s">
        <v>310</v>
      </c>
      <c r="U3017">
        <v>9</v>
      </c>
      <c r="V3017">
        <v>9</v>
      </c>
      <c r="W3017">
        <v>0</v>
      </c>
      <c r="X3017">
        <v>0</v>
      </c>
      <c r="Y3017">
        <v>0</v>
      </c>
      <c r="Z3017">
        <v>0</v>
      </c>
      <c r="AA3017">
        <v>9</v>
      </c>
      <c r="AB3017">
        <v>9</v>
      </c>
      <c r="AC3017" t="s">
        <v>310</v>
      </c>
      <c r="AD3017">
        <v>9</v>
      </c>
      <c r="AE3017" t="s">
        <v>1417</v>
      </c>
      <c r="AF3017">
        <v>41000000</v>
      </c>
      <c r="AG3017" t="s">
        <v>310</v>
      </c>
      <c r="AH3017">
        <f>SUM((MID(Dyno_Data[[#This Row],[Team]],4,5))+(Dyno_Data[[#This Row],[Match]]/100))</f>
        <v>1559.56</v>
      </c>
      <c r="AI3017" s="76">
        <f>ROUND(SUM(IF(Dyno_Data[[#This Row],[AcqCenter]]&gt;0,Dyno_Data[[#This Row],[Time]]-SUMIFS(Dyno_Data[Time],Dyno_Data[Team],Dyno_Data[[#This Row],[Team]],Dyno_Data[RecordType],"StartMatch",Dyno_Data[Match],Dyno_Data[[#This Row],[Match]]),0)*86400),0)</f>
        <v>0</v>
      </c>
    </row>
    <row r="3018" spans="1:35" x14ac:dyDescent="0.3">
      <c r="A3018">
        <v>3017</v>
      </c>
      <c r="B3018" t="s">
        <v>1280</v>
      </c>
      <c r="C3018">
        <v>56</v>
      </c>
      <c r="D3018" s="105">
        <v>45373.751301157405</v>
      </c>
      <c r="E3018" t="s">
        <v>312</v>
      </c>
      <c r="F3018" t="s">
        <v>1402</v>
      </c>
      <c r="G3018">
        <v>0</v>
      </c>
      <c r="H3018" t="s">
        <v>315</v>
      </c>
      <c r="I3018">
        <v>0</v>
      </c>
      <c r="J3018">
        <v>0</v>
      </c>
      <c r="K3018">
        <v>0</v>
      </c>
      <c r="L3018" t="s">
        <v>241</v>
      </c>
      <c r="M3018" t="s">
        <v>1398</v>
      </c>
      <c r="N3018">
        <v>1</v>
      </c>
      <c r="O3018" t="s">
        <v>1389</v>
      </c>
      <c r="P3018" t="s">
        <v>310</v>
      </c>
      <c r="Q3018" t="s">
        <v>310</v>
      </c>
      <c r="R3018" t="s">
        <v>310</v>
      </c>
      <c r="S3018">
        <v>9</v>
      </c>
      <c r="T3018" t="s">
        <v>310</v>
      </c>
      <c r="U3018">
        <v>9</v>
      </c>
      <c r="V3018">
        <v>9</v>
      </c>
      <c r="W3018">
        <v>0</v>
      </c>
      <c r="X3018">
        <v>0</v>
      </c>
      <c r="Y3018">
        <v>0</v>
      </c>
      <c r="Z3018">
        <v>0</v>
      </c>
      <c r="AA3018">
        <v>9</v>
      </c>
      <c r="AB3018">
        <v>9</v>
      </c>
      <c r="AC3018" t="s">
        <v>310</v>
      </c>
      <c r="AD3018">
        <v>9</v>
      </c>
      <c r="AE3018" t="s">
        <v>1417</v>
      </c>
      <c r="AF3018">
        <v>51000000</v>
      </c>
      <c r="AG3018" t="s">
        <v>310</v>
      </c>
      <c r="AH3018">
        <f>SUM((MID(Dyno_Data[[#This Row],[Team]],4,5))+(Dyno_Data[[#This Row],[Match]]/100))</f>
        <v>1559.56</v>
      </c>
      <c r="AI3018" s="76">
        <f>ROUND(SUM(IF(Dyno_Data[[#This Row],[AcqCenter]]&gt;0,Dyno_Data[[#This Row],[Time]]-SUMIFS(Dyno_Data[Time],Dyno_Data[Team],Dyno_Data[[#This Row],[Team]],Dyno_Data[RecordType],"StartMatch",Dyno_Data[Match],Dyno_Data[[#This Row],[Match]]),0)*86400),0)</f>
        <v>0</v>
      </c>
    </row>
    <row r="3019" spans="1:35" x14ac:dyDescent="0.3">
      <c r="A3019">
        <v>3018</v>
      </c>
      <c r="B3019" t="s">
        <v>367</v>
      </c>
      <c r="C3019">
        <v>56</v>
      </c>
      <c r="D3019" s="105">
        <v>45373.751319131945</v>
      </c>
      <c r="E3019" t="s">
        <v>312</v>
      </c>
      <c r="F3019" t="s">
        <v>1402</v>
      </c>
      <c r="G3019">
        <v>0</v>
      </c>
      <c r="H3019" t="s">
        <v>315</v>
      </c>
      <c r="I3019">
        <v>0</v>
      </c>
      <c r="J3019">
        <v>0</v>
      </c>
      <c r="K3019">
        <v>0</v>
      </c>
      <c r="L3019" t="s">
        <v>240</v>
      </c>
      <c r="M3019" t="s">
        <v>1398</v>
      </c>
      <c r="N3019">
        <v>0</v>
      </c>
      <c r="O3019" t="s">
        <v>1391</v>
      </c>
      <c r="P3019" t="s">
        <v>310</v>
      </c>
      <c r="Q3019" t="s">
        <v>310</v>
      </c>
      <c r="R3019" t="s">
        <v>310</v>
      </c>
      <c r="S3019">
        <v>9</v>
      </c>
      <c r="T3019" t="s">
        <v>310</v>
      </c>
      <c r="U3019">
        <v>9</v>
      </c>
      <c r="V3019">
        <v>9</v>
      </c>
      <c r="W3019">
        <v>0</v>
      </c>
      <c r="X3019">
        <v>0</v>
      </c>
      <c r="Y3019">
        <v>0</v>
      </c>
      <c r="Z3019">
        <v>0</v>
      </c>
      <c r="AA3019">
        <v>9</v>
      </c>
      <c r="AB3019">
        <v>9</v>
      </c>
      <c r="AC3019" t="s">
        <v>310</v>
      </c>
      <c r="AD3019">
        <v>9</v>
      </c>
      <c r="AE3019" t="s">
        <v>1418</v>
      </c>
      <c r="AF3019">
        <v>40000000</v>
      </c>
      <c r="AG3019" t="s">
        <v>310</v>
      </c>
      <c r="AH3019">
        <f>SUM((MID(Dyno_Data[[#This Row],[Team]],4,5))+(Dyno_Data[[#This Row],[Match]]/100))</f>
        <v>5016.5600000000004</v>
      </c>
      <c r="AI3019" s="76">
        <f>ROUND(SUM(IF(Dyno_Data[[#This Row],[AcqCenter]]&gt;0,Dyno_Data[[#This Row],[Time]]-SUMIFS(Dyno_Data[Time],Dyno_Data[Team],Dyno_Data[[#This Row],[Team]],Dyno_Data[RecordType],"StartMatch",Dyno_Data[Match],Dyno_Data[[#This Row],[Match]]),0)*86400),0)</f>
        <v>0</v>
      </c>
    </row>
    <row r="3020" spans="1:35" x14ac:dyDescent="0.3">
      <c r="A3020">
        <v>3019</v>
      </c>
      <c r="B3020" t="s">
        <v>1305</v>
      </c>
      <c r="C3020">
        <v>56</v>
      </c>
      <c r="D3020" s="105">
        <v>45373.751327048609</v>
      </c>
      <c r="E3020" t="s">
        <v>312</v>
      </c>
      <c r="F3020" t="s">
        <v>1402</v>
      </c>
      <c r="G3020">
        <v>0</v>
      </c>
      <c r="H3020" t="s">
        <v>315</v>
      </c>
      <c r="I3020">
        <v>0</v>
      </c>
      <c r="J3020">
        <v>0</v>
      </c>
      <c r="K3020">
        <v>0</v>
      </c>
      <c r="L3020" t="s">
        <v>241</v>
      </c>
      <c r="M3020" t="s">
        <v>101</v>
      </c>
      <c r="N3020">
        <v>0</v>
      </c>
      <c r="O3020" t="s">
        <v>1395</v>
      </c>
      <c r="P3020" t="s">
        <v>310</v>
      </c>
      <c r="Q3020" t="s">
        <v>310</v>
      </c>
      <c r="R3020" t="s">
        <v>310</v>
      </c>
      <c r="S3020">
        <v>9</v>
      </c>
      <c r="T3020" t="s">
        <v>310</v>
      </c>
      <c r="U3020">
        <v>9</v>
      </c>
      <c r="V3020">
        <v>9</v>
      </c>
      <c r="W3020">
        <v>0</v>
      </c>
      <c r="X3020">
        <v>0</v>
      </c>
      <c r="Y3020">
        <v>0</v>
      </c>
      <c r="Z3020">
        <v>0</v>
      </c>
      <c r="AA3020">
        <v>9</v>
      </c>
      <c r="AB3020">
        <v>9</v>
      </c>
      <c r="AC3020" t="s">
        <v>310</v>
      </c>
      <c r="AD3020">
        <v>9</v>
      </c>
      <c r="AE3020" t="s">
        <v>1416</v>
      </c>
      <c r="AF3020">
        <v>100000000</v>
      </c>
      <c r="AG3020" t="s">
        <v>310</v>
      </c>
      <c r="AH3020">
        <f>SUM((MID(Dyno_Data[[#This Row],[Team]],4,5))+(Dyno_Data[[#This Row],[Match]]/100))</f>
        <v>3173.56</v>
      </c>
      <c r="AI3020" s="76">
        <f>ROUND(SUM(IF(Dyno_Data[[#This Row],[AcqCenter]]&gt;0,Dyno_Data[[#This Row],[Time]]-SUMIFS(Dyno_Data[Time],Dyno_Data[Team],Dyno_Data[[#This Row],[Team]],Dyno_Data[RecordType],"StartMatch",Dyno_Data[Match],Dyno_Data[[#This Row],[Match]]),0)*86400),0)</f>
        <v>0</v>
      </c>
    </row>
    <row r="3021" spans="1:35" x14ac:dyDescent="0.3">
      <c r="A3021">
        <v>3020</v>
      </c>
      <c r="B3021" t="s">
        <v>1285</v>
      </c>
      <c r="C3021">
        <v>56</v>
      </c>
      <c r="D3021" s="105">
        <v>45373.751424733797</v>
      </c>
      <c r="E3021" t="s">
        <v>1403</v>
      </c>
      <c r="F3021" t="s">
        <v>1402</v>
      </c>
      <c r="G3021">
        <v>0</v>
      </c>
      <c r="H3021" t="s">
        <v>310</v>
      </c>
      <c r="I3021">
        <v>0</v>
      </c>
      <c r="J3021">
        <v>0</v>
      </c>
      <c r="K3021">
        <v>0</v>
      </c>
      <c r="L3021" t="s">
        <v>310</v>
      </c>
      <c r="M3021" t="s">
        <v>310</v>
      </c>
      <c r="N3021">
        <v>0</v>
      </c>
      <c r="O3021" t="s">
        <v>1393</v>
      </c>
      <c r="P3021" t="s">
        <v>310</v>
      </c>
      <c r="Q3021" t="s">
        <v>310</v>
      </c>
      <c r="R3021" t="s">
        <v>310</v>
      </c>
      <c r="S3021">
        <v>9</v>
      </c>
      <c r="T3021" t="s">
        <v>310</v>
      </c>
      <c r="U3021">
        <v>9</v>
      </c>
      <c r="V3021">
        <v>9</v>
      </c>
      <c r="W3021">
        <v>0</v>
      </c>
      <c r="X3021">
        <v>0</v>
      </c>
      <c r="Y3021">
        <v>0</v>
      </c>
      <c r="Z3021">
        <v>0</v>
      </c>
      <c r="AA3021">
        <v>9</v>
      </c>
      <c r="AB3021">
        <v>9</v>
      </c>
      <c r="AC3021" t="s">
        <v>310</v>
      </c>
      <c r="AD3021">
        <v>9</v>
      </c>
      <c r="AE3021" t="s">
        <v>1387</v>
      </c>
      <c r="AF3021">
        <v>100000000</v>
      </c>
      <c r="AG3021" t="s">
        <v>249</v>
      </c>
      <c r="AH3021">
        <f>SUM((MID(Dyno_Data[[#This Row],[Team]],4,5))+(Dyno_Data[[#This Row],[Match]]/100))</f>
        <v>5993.56</v>
      </c>
      <c r="AI3021" s="76">
        <f>ROUND(SUM(IF(Dyno_Data[[#This Row],[AcqCenter]]&gt;0,Dyno_Data[[#This Row],[Time]]-SUMIFS(Dyno_Data[Time],Dyno_Data[Team],Dyno_Data[[#This Row],[Team]],Dyno_Data[RecordType],"StartMatch",Dyno_Data[Match],Dyno_Data[[#This Row],[Match]]),0)*86400),0)</f>
        <v>0</v>
      </c>
    </row>
    <row r="3022" spans="1:35" x14ac:dyDescent="0.3">
      <c r="A3022">
        <v>3021</v>
      </c>
      <c r="B3022" t="s">
        <v>1305</v>
      </c>
      <c r="C3022">
        <v>56</v>
      </c>
      <c r="D3022" s="105">
        <v>45373.751436423612</v>
      </c>
      <c r="E3022" t="s">
        <v>312</v>
      </c>
      <c r="F3022" t="s">
        <v>1402</v>
      </c>
      <c r="G3022">
        <v>0</v>
      </c>
      <c r="H3022" t="s">
        <v>315</v>
      </c>
      <c r="I3022">
        <v>0</v>
      </c>
      <c r="J3022">
        <v>0</v>
      </c>
      <c r="K3022">
        <v>0</v>
      </c>
      <c r="L3022" t="s">
        <v>240</v>
      </c>
      <c r="M3022" t="s">
        <v>1398</v>
      </c>
      <c r="N3022">
        <v>0</v>
      </c>
      <c r="O3022" t="s">
        <v>1395</v>
      </c>
      <c r="P3022" t="s">
        <v>310</v>
      </c>
      <c r="Q3022" t="s">
        <v>310</v>
      </c>
      <c r="R3022" t="s">
        <v>310</v>
      </c>
      <c r="S3022">
        <v>9</v>
      </c>
      <c r="T3022" t="s">
        <v>310</v>
      </c>
      <c r="U3022">
        <v>9</v>
      </c>
      <c r="V3022">
        <v>9</v>
      </c>
      <c r="W3022">
        <v>0</v>
      </c>
      <c r="X3022">
        <v>0</v>
      </c>
      <c r="Y3022">
        <v>0</v>
      </c>
      <c r="Z3022">
        <v>0</v>
      </c>
      <c r="AA3022">
        <v>9</v>
      </c>
      <c r="AB3022">
        <v>9</v>
      </c>
      <c r="AC3022" t="s">
        <v>310</v>
      </c>
      <c r="AD3022">
        <v>9</v>
      </c>
      <c r="AE3022" t="s">
        <v>1416</v>
      </c>
      <c r="AF3022">
        <v>110000000</v>
      </c>
      <c r="AG3022" t="s">
        <v>310</v>
      </c>
      <c r="AH3022">
        <f>SUM((MID(Dyno_Data[[#This Row],[Team]],4,5))+(Dyno_Data[[#This Row],[Match]]/100))</f>
        <v>3173.56</v>
      </c>
      <c r="AI3022" s="76">
        <f>ROUND(SUM(IF(Dyno_Data[[#This Row],[AcqCenter]]&gt;0,Dyno_Data[[#This Row],[Time]]-SUMIFS(Dyno_Data[Time],Dyno_Data[Team],Dyno_Data[[#This Row],[Team]],Dyno_Data[RecordType],"StartMatch",Dyno_Data[Match],Dyno_Data[[#This Row],[Match]]),0)*86400),0)</f>
        <v>0</v>
      </c>
    </row>
    <row r="3023" spans="1:35" x14ac:dyDescent="0.3">
      <c r="A3023">
        <v>3022</v>
      </c>
      <c r="B3023" t="s">
        <v>1280</v>
      </c>
      <c r="C3023">
        <v>56</v>
      </c>
      <c r="D3023" s="105">
        <v>45373.751452233795</v>
      </c>
      <c r="E3023" t="s">
        <v>312</v>
      </c>
      <c r="F3023" t="s">
        <v>1402</v>
      </c>
      <c r="G3023">
        <v>0</v>
      </c>
      <c r="H3023" t="s">
        <v>315</v>
      </c>
      <c r="I3023">
        <v>0</v>
      </c>
      <c r="J3023">
        <v>0</v>
      </c>
      <c r="K3023">
        <v>0</v>
      </c>
      <c r="L3023" t="s">
        <v>241</v>
      </c>
      <c r="M3023" t="s">
        <v>1398</v>
      </c>
      <c r="N3023">
        <v>0</v>
      </c>
      <c r="O3023" t="s">
        <v>1389</v>
      </c>
      <c r="P3023" t="s">
        <v>310</v>
      </c>
      <c r="Q3023" t="s">
        <v>310</v>
      </c>
      <c r="R3023" t="s">
        <v>310</v>
      </c>
      <c r="S3023">
        <v>9</v>
      </c>
      <c r="T3023" t="s">
        <v>310</v>
      </c>
      <c r="U3023">
        <v>9</v>
      </c>
      <c r="V3023">
        <v>9</v>
      </c>
      <c r="W3023">
        <v>0</v>
      </c>
      <c r="X3023">
        <v>0</v>
      </c>
      <c r="Y3023">
        <v>0</v>
      </c>
      <c r="Z3023">
        <v>0</v>
      </c>
      <c r="AA3023">
        <v>9</v>
      </c>
      <c r="AB3023">
        <v>9</v>
      </c>
      <c r="AC3023" t="s">
        <v>310</v>
      </c>
      <c r="AD3023">
        <v>9</v>
      </c>
      <c r="AE3023" t="s">
        <v>1417</v>
      </c>
      <c r="AF3023">
        <v>61000000</v>
      </c>
      <c r="AG3023" t="s">
        <v>310</v>
      </c>
      <c r="AH3023">
        <f>SUM((MID(Dyno_Data[[#This Row],[Team]],4,5))+(Dyno_Data[[#This Row],[Match]]/100))</f>
        <v>1559.56</v>
      </c>
      <c r="AI3023" s="76">
        <f>ROUND(SUM(IF(Dyno_Data[[#This Row],[AcqCenter]]&gt;0,Dyno_Data[[#This Row],[Time]]-SUMIFS(Dyno_Data[Time],Dyno_Data[Team],Dyno_Data[[#This Row],[Team]],Dyno_Data[RecordType],"StartMatch",Dyno_Data[Match],Dyno_Data[[#This Row],[Match]]),0)*86400),0)</f>
        <v>0</v>
      </c>
    </row>
    <row r="3024" spans="1:35" x14ac:dyDescent="0.3">
      <c r="A3024">
        <v>3023</v>
      </c>
      <c r="B3024" t="s">
        <v>1305</v>
      </c>
      <c r="C3024">
        <v>56</v>
      </c>
      <c r="D3024" s="105">
        <v>45373.751455127313</v>
      </c>
      <c r="E3024" t="s">
        <v>312</v>
      </c>
      <c r="F3024" t="s">
        <v>1402</v>
      </c>
      <c r="G3024">
        <v>0</v>
      </c>
      <c r="H3024" t="s">
        <v>315</v>
      </c>
      <c r="I3024">
        <v>0</v>
      </c>
      <c r="J3024">
        <v>0</v>
      </c>
      <c r="K3024">
        <v>0</v>
      </c>
      <c r="L3024" t="s">
        <v>241</v>
      </c>
      <c r="M3024" t="s">
        <v>1398</v>
      </c>
      <c r="N3024">
        <v>0</v>
      </c>
      <c r="O3024" t="s">
        <v>1395</v>
      </c>
      <c r="P3024" t="s">
        <v>310</v>
      </c>
      <c r="Q3024" t="s">
        <v>310</v>
      </c>
      <c r="R3024" t="s">
        <v>310</v>
      </c>
      <c r="S3024">
        <v>9</v>
      </c>
      <c r="T3024" t="s">
        <v>310</v>
      </c>
      <c r="U3024">
        <v>9</v>
      </c>
      <c r="V3024">
        <v>9</v>
      </c>
      <c r="W3024">
        <v>0</v>
      </c>
      <c r="X3024">
        <v>0</v>
      </c>
      <c r="Y3024">
        <v>0</v>
      </c>
      <c r="Z3024">
        <v>0</v>
      </c>
      <c r="AA3024">
        <v>9</v>
      </c>
      <c r="AB3024">
        <v>9</v>
      </c>
      <c r="AC3024" t="s">
        <v>310</v>
      </c>
      <c r="AD3024">
        <v>9</v>
      </c>
      <c r="AE3024" t="s">
        <v>1416</v>
      </c>
      <c r="AF3024">
        <v>120000000</v>
      </c>
      <c r="AG3024" t="s">
        <v>310</v>
      </c>
      <c r="AH3024">
        <f>SUM((MID(Dyno_Data[[#This Row],[Team]],4,5))+(Dyno_Data[[#This Row],[Match]]/100))</f>
        <v>3173.56</v>
      </c>
      <c r="AI3024" s="76">
        <f>ROUND(SUM(IF(Dyno_Data[[#This Row],[AcqCenter]]&gt;0,Dyno_Data[[#This Row],[Time]]-SUMIFS(Dyno_Data[Time],Dyno_Data[Team],Dyno_Data[[#This Row],[Team]],Dyno_Data[RecordType],"StartMatch",Dyno_Data[Match],Dyno_Data[[#This Row],[Match]]),0)*86400),0)</f>
        <v>0</v>
      </c>
    </row>
    <row r="3025" spans="1:35" x14ac:dyDescent="0.3">
      <c r="A3025">
        <v>3024</v>
      </c>
      <c r="B3025" t="s">
        <v>1305</v>
      </c>
      <c r="C3025">
        <v>56</v>
      </c>
      <c r="D3025" s="105">
        <v>45373.751480405095</v>
      </c>
      <c r="E3025" t="s">
        <v>312</v>
      </c>
      <c r="F3025" t="s">
        <v>1402</v>
      </c>
      <c r="G3025">
        <v>0</v>
      </c>
      <c r="H3025" t="s">
        <v>315</v>
      </c>
      <c r="I3025">
        <v>0</v>
      </c>
      <c r="J3025">
        <v>0</v>
      </c>
      <c r="K3025">
        <v>0</v>
      </c>
      <c r="L3025" t="s">
        <v>240</v>
      </c>
      <c r="M3025" t="s">
        <v>1398</v>
      </c>
      <c r="N3025">
        <v>0</v>
      </c>
      <c r="O3025" t="s">
        <v>1395</v>
      </c>
      <c r="P3025" t="s">
        <v>310</v>
      </c>
      <c r="Q3025" t="s">
        <v>310</v>
      </c>
      <c r="R3025" t="s">
        <v>310</v>
      </c>
      <c r="S3025">
        <v>9</v>
      </c>
      <c r="T3025" t="s">
        <v>310</v>
      </c>
      <c r="U3025">
        <v>9</v>
      </c>
      <c r="V3025">
        <v>9</v>
      </c>
      <c r="W3025">
        <v>0</v>
      </c>
      <c r="X3025">
        <v>0</v>
      </c>
      <c r="Y3025">
        <v>0</v>
      </c>
      <c r="Z3025">
        <v>0</v>
      </c>
      <c r="AA3025">
        <v>9</v>
      </c>
      <c r="AB3025">
        <v>9</v>
      </c>
      <c r="AC3025" t="s">
        <v>310</v>
      </c>
      <c r="AD3025">
        <v>9</v>
      </c>
      <c r="AE3025" t="s">
        <v>1416</v>
      </c>
      <c r="AF3025">
        <v>130000000</v>
      </c>
      <c r="AG3025" t="s">
        <v>310</v>
      </c>
      <c r="AH3025">
        <f>SUM((MID(Dyno_Data[[#This Row],[Team]],4,5))+(Dyno_Data[[#This Row],[Match]]/100))</f>
        <v>3173.56</v>
      </c>
      <c r="AI3025" s="76">
        <f>ROUND(SUM(IF(Dyno_Data[[#This Row],[AcqCenter]]&gt;0,Dyno_Data[[#This Row],[Time]]-SUMIFS(Dyno_Data[Time],Dyno_Data[Team],Dyno_Data[[#This Row],[Team]],Dyno_Data[RecordType],"StartMatch",Dyno_Data[Match],Dyno_Data[[#This Row],[Match]]),0)*86400),0)</f>
        <v>0</v>
      </c>
    </row>
    <row r="3026" spans="1:35" x14ac:dyDescent="0.3">
      <c r="A3026">
        <v>3025</v>
      </c>
      <c r="B3026" t="s">
        <v>1286</v>
      </c>
      <c r="C3026">
        <v>56</v>
      </c>
      <c r="D3026" s="105">
        <v>45373.751498576392</v>
      </c>
      <c r="E3026" t="s">
        <v>312</v>
      </c>
      <c r="F3026" t="s">
        <v>1402</v>
      </c>
      <c r="G3026">
        <v>0</v>
      </c>
      <c r="H3026" t="s">
        <v>315</v>
      </c>
      <c r="I3026">
        <v>0</v>
      </c>
      <c r="J3026">
        <v>0</v>
      </c>
      <c r="K3026">
        <v>0</v>
      </c>
      <c r="L3026" t="s">
        <v>241</v>
      </c>
      <c r="M3026" t="s">
        <v>241</v>
      </c>
      <c r="N3026">
        <v>0</v>
      </c>
      <c r="O3026" t="s">
        <v>311</v>
      </c>
      <c r="P3026" t="s">
        <v>310</v>
      </c>
      <c r="Q3026" t="s">
        <v>310</v>
      </c>
      <c r="R3026" t="s">
        <v>310</v>
      </c>
      <c r="S3026">
        <v>9</v>
      </c>
      <c r="T3026" t="s">
        <v>310</v>
      </c>
      <c r="U3026">
        <v>9</v>
      </c>
      <c r="V3026">
        <v>9</v>
      </c>
      <c r="W3026">
        <v>0</v>
      </c>
      <c r="X3026">
        <v>0</v>
      </c>
      <c r="Y3026">
        <v>0</v>
      </c>
      <c r="Z3026">
        <v>0</v>
      </c>
      <c r="AA3026">
        <v>9</v>
      </c>
      <c r="AB3026">
        <v>9</v>
      </c>
      <c r="AC3026" t="s">
        <v>310</v>
      </c>
      <c r="AD3026">
        <v>9</v>
      </c>
      <c r="AE3026" t="s">
        <v>1394</v>
      </c>
      <c r="AF3026">
        <v>90000000</v>
      </c>
      <c r="AG3026" t="s">
        <v>310</v>
      </c>
      <c r="AH3026">
        <f>SUM((MID(Dyno_Data[[#This Row],[Team]],4,5))+(Dyno_Data[[#This Row],[Match]]/100))</f>
        <v>1591.56</v>
      </c>
      <c r="AI3026" s="76">
        <f>ROUND(SUM(IF(Dyno_Data[[#This Row],[AcqCenter]]&gt;0,Dyno_Data[[#This Row],[Time]]-SUMIFS(Dyno_Data[Time],Dyno_Data[Team],Dyno_Data[[#This Row],[Team]],Dyno_Data[RecordType],"StartMatch",Dyno_Data[Match],Dyno_Data[[#This Row],[Match]]),0)*86400),0)</f>
        <v>0</v>
      </c>
    </row>
    <row r="3027" spans="1:35" x14ac:dyDescent="0.3">
      <c r="A3027">
        <v>3026</v>
      </c>
      <c r="B3027" t="s">
        <v>1305</v>
      </c>
      <c r="C3027">
        <v>56</v>
      </c>
      <c r="D3027" s="105">
        <v>45373.751507210647</v>
      </c>
      <c r="E3027" t="s">
        <v>312</v>
      </c>
      <c r="F3027" t="s">
        <v>1402</v>
      </c>
      <c r="G3027">
        <v>0</v>
      </c>
      <c r="H3027" t="s">
        <v>315</v>
      </c>
      <c r="I3027">
        <v>0</v>
      </c>
      <c r="J3027">
        <v>0</v>
      </c>
      <c r="K3027">
        <v>0</v>
      </c>
      <c r="L3027" t="s">
        <v>240</v>
      </c>
      <c r="M3027" t="s">
        <v>1398</v>
      </c>
      <c r="N3027">
        <v>0</v>
      </c>
      <c r="O3027" t="s">
        <v>1395</v>
      </c>
      <c r="P3027" t="s">
        <v>310</v>
      </c>
      <c r="Q3027" t="s">
        <v>310</v>
      </c>
      <c r="R3027" t="s">
        <v>310</v>
      </c>
      <c r="S3027">
        <v>9</v>
      </c>
      <c r="T3027" t="s">
        <v>310</v>
      </c>
      <c r="U3027">
        <v>9</v>
      </c>
      <c r="V3027">
        <v>9</v>
      </c>
      <c r="W3027">
        <v>0</v>
      </c>
      <c r="X3027">
        <v>0</v>
      </c>
      <c r="Y3027">
        <v>0</v>
      </c>
      <c r="Z3027">
        <v>0</v>
      </c>
      <c r="AA3027">
        <v>9</v>
      </c>
      <c r="AB3027">
        <v>9</v>
      </c>
      <c r="AC3027" t="s">
        <v>310</v>
      </c>
      <c r="AD3027">
        <v>9</v>
      </c>
      <c r="AE3027" t="s">
        <v>1416</v>
      </c>
      <c r="AF3027">
        <v>140000000</v>
      </c>
      <c r="AG3027" t="s">
        <v>310</v>
      </c>
      <c r="AH3027">
        <f>SUM((MID(Dyno_Data[[#This Row],[Team]],4,5))+(Dyno_Data[[#This Row],[Match]]/100))</f>
        <v>3173.56</v>
      </c>
      <c r="AI3027" s="76">
        <f>ROUND(SUM(IF(Dyno_Data[[#This Row],[AcqCenter]]&gt;0,Dyno_Data[[#This Row],[Time]]-SUMIFS(Dyno_Data[Time],Dyno_Data[Team],Dyno_Data[[#This Row],[Team]],Dyno_Data[RecordType],"StartMatch",Dyno_Data[Match],Dyno_Data[[#This Row],[Match]]),0)*86400),0)</f>
        <v>0</v>
      </c>
    </row>
    <row r="3028" spans="1:35" x14ac:dyDescent="0.3">
      <c r="A3028">
        <v>3027</v>
      </c>
      <c r="B3028" t="s">
        <v>367</v>
      </c>
      <c r="C3028">
        <v>56</v>
      </c>
      <c r="D3028" s="105">
        <v>45373.751561493053</v>
      </c>
      <c r="E3028" t="s">
        <v>312</v>
      </c>
      <c r="F3028" t="s">
        <v>1402</v>
      </c>
      <c r="G3028">
        <v>0</v>
      </c>
      <c r="H3028" t="s">
        <v>315</v>
      </c>
      <c r="I3028">
        <v>0</v>
      </c>
      <c r="J3028">
        <v>0</v>
      </c>
      <c r="K3028">
        <v>0</v>
      </c>
      <c r="L3028" t="s">
        <v>240</v>
      </c>
      <c r="M3028" t="s">
        <v>241</v>
      </c>
      <c r="N3028">
        <v>0</v>
      </c>
      <c r="O3028" t="s">
        <v>1391</v>
      </c>
      <c r="P3028" t="s">
        <v>310</v>
      </c>
      <c r="Q3028" t="s">
        <v>310</v>
      </c>
      <c r="R3028" t="s">
        <v>310</v>
      </c>
      <c r="S3028">
        <v>9</v>
      </c>
      <c r="T3028" t="s">
        <v>310</v>
      </c>
      <c r="U3028">
        <v>9</v>
      </c>
      <c r="V3028">
        <v>9</v>
      </c>
      <c r="W3028">
        <v>0</v>
      </c>
      <c r="X3028">
        <v>0</v>
      </c>
      <c r="Y3028">
        <v>0</v>
      </c>
      <c r="Z3028">
        <v>0</v>
      </c>
      <c r="AA3028">
        <v>9</v>
      </c>
      <c r="AB3028">
        <v>9</v>
      </c>
      <c r="AC3028" t="s">
        <v>310</v>
      </c>
      <c r="AD3028">
        <v>9</v>
      </c>
      <c r="AE3028" t="s">
        <v>1418</v>
      </c>
      <c r="AF3028">
        <v>50000000</v>
      </c>
      <c r="AG3028" t="s">
        <v>310</v>
      </c>
      <c r="AH3028">
        <f>SUM((MID(Dyno_Data[[#This Row],[Team]],4,5))+(Dyno_Data[[#This Row],[Match]]/100))</f>
        <v>5016.5600000000004</v>
      </c>
      <c r="AI3028" s="76">
        <f>ROUND(SUM(IF(Dyno_Data[[#This Row],[AcqCenter]]&gt;0,Dyno_Data[[#This Row],[Time]]-SUMIFS(Dyno_Data[Time],Dyno_Data[Team],Dyno_Data[[#This Row],[Team]],Dyno_Data[RecordType],"StartMatch",Dyno_Data[Match],Dyno_Data[[#This Row],[Match]]),0)*86400),0)</f>
        <v>0</v>
      </c>
    </row>
    <row r="3029" spans="1:35" x14ac:dyDescent="0.3">
      <c r="A3029">
        <v>3028</v>
      </c>
      <c r="B3029" t="s">
        <v>1280</v>
      </c>
      <c r="C3029">
        <v>56</v>
      </c>
      <c r="D3029" s="105">
        <v>45373.751569409724</v>
      </c>
      <c r="E3029" t="s">
        <v>312</v>
      </c>
      <c r="F3029" t="s">
        <v>1402</v>
      </c>
      <c r="G3029">
        <v>0</v>
      </c>
      <c r="H3029" t="s">
        <v>315</v>
      </c>
      <c r="I3029">
        <v>0</v>
      </c>
      <c r="J3029">
        <v>0</v>
      </c>
      <c r="K3029">
        <v>0</v>
      </c>
      <c r="L3029" t="s">
        <v>241</v>
      </c>
      <c r="M3029" t="s">
        <v>1398</v>
      </c>
      <c r="N3029">
        <v>1</v>
      </c>
      <c r="O3029" t="s">
        <v>1389</v>
      </c>
      <c r="P3029" t="s">
        <v>310</v>
      </c>
      <c r="Q3029" t="s">
        <v>310</v>
      </c>
      <c r="R3029" t="s">
        <v>310</v>
      </c>
      <c r="S3029">
        <v>9</v>
      </c>
      <c r="T3029" t="s">
        <v>310</v>
      </c>
      <c r="U3029">
        <v>9</v>
      </c>
      <c r="V3029">
        <v>9</v>
      </c>
      <c r="W3029">
        <v>0</v>
      </c>
      <c r="X3029">
        <v>0</v>
      </c>
      <c r="Y3029">
        <v>0</v>
      </c>
      <c r="Z3029">
        <v>0</v>
      </c>
      <c r="AA3029">
        <v>9</v>
      </c>
      <c r="AB3029">
        <v>9</v>
      </c>
      <c r="AC3029" t="s">
        <v>310</v>
      </c>
      <c r="AD3029">
        <v>9</v>
      </c>
      <c r="AE3029" t="s">
        <v>1417</v>
      </c>
      <c r="AF3029">
        <v>71000000</v>
      </c>
      <c r="AG3029" t="s">
        <v>310</v>
      </c>
      <c r="AH3029">
        <f>SUM((MID(Dyno_Data[[#This Row],[Team]],4,5))+(Dyno_Data[[#This Row],[Match]]/100))</f>
        <v>1559.56</v>
      </c>
      <c r="AI3029" s="76">
        <f>ROUND(SUM(IF(Dyno_Data[[#This Row],[AcqCenter]]&gt;0,Dyno_Data[[#This Row],[Time]]-SUMIFS(Dyno_Data[Time],Dyno_Data[Team],Dyno_Data[[#This Row],[Team]],Dyno_Data[RecordType],"StartMatch",Dyno_Data[Match],Dyno_Data[[#This Row],[Match]]),0)*86400),0)</f>
        <v>0</v>
      </c>
    </row>
    <row r="3030" spans="1:35" x14ac:dyDescent="0.3">
      <c r="A3030">
        <v>3029</v>
      </c>
      <c r="B3030" t="s">
        <v>367</v>
      </c>
      <c r="C3030">
        <v>56</v>
      </c>
      <c r="D3030" s="105">
        <v>45373.751622222226</v>
      </c>
      <c r="E3030" t="s">
        <v>312</v>
      </c>
      <c r="F3030" t="s">
        <v>1402</v>
      </c>
      <c r="G3030">
        <v>0</v>
      </c>
      <c r="H3030" t="s">
        <v>315</v>
      </c>
      <c r="I3030">
        <v>0</v>
      </c>
      <c r="J3030">
        <v>0</v>
      </c>
      <c r="K3030">
        <v>0</v>
      </c>
      <c r="L3030" t="s">
        <v>240</v>
      </c>
      <c r="M3030" t="s">
        <v>1398</v>
      </c>
      <c r="N3030">
        <v>0</v>
      </c>
      <c r="O3030" t="s">
        <v>1391</v>
      </c>
      <c r="P3030" t="s">
        <v>310</v>
      </c>
      <c r="Q3030" t="s">
        <v>310</v>
      </c>
      <c r="R3030" t="s">
        <v>310</v>
      </c>
      <c r="S3030">
        <v>9</v>
      </c>
      <c r="T3030" t="s">
        <v>310</v>
      </c>
      <c r="U3030">
        <v>9</v>
      </c>
      <c r="V3030">
        <v>9</v>
      </c>
      <c r="W3030">
        <v>0</v>
      </c>
      <c r="X3030">
        <v>0</v>
      </c>
      <c r="Y3030">
        <v>0</v>
      </c>
      <c r="Z3030">
        <v>0</v>
      </c>
      <c r="AA3030">
        <v>9</v>
      </c>
      <c r="AB3030">
        <v>9</v>
      </c>
      <c r="AC3030" t="s">
        <v>310</v>
      </c>
      <c r="AD3030">
        <v>9</v>
      </c>
      <c r="AE3030" t="s">
        <v>1418</v>
      </c>
      <c r="AF3030">
        <v>60000000</v>
      </c>
      <c r="AG3030" t="s">
        <v>310</v>
      </c>
      <c r="AH3030">
        <f>SUM((MID(Dyno_Data[[#This Row],[Team]],4,5))+(Dyno_Data[[#This Row],[Match]]/100))</f>
        <v>5016.5600000000004</v>
      </c>
      <c r="AI3030" s="76">
        <f>ROUND(SUM(IF(Dyno_Data[[#This Row],[AcqCenter]]&gt;0,Dyno_Data[[#This Row],[Time]]-SUMIFS(Dyno_Data[Time],Dyno_Data[Team],Dyno_Data[[#This Row],[Team]],Dyno_Data[RecordType],"StartMatch",Dyno_Data[Match],Dyno_Data[[#This Row],[Match]]),0)*86400),0)</f>
        <v>0</v>
      </c>
    </row>
    <row r="3031" spans="1:35" x14ac:dyDescent="0.3">
      <c r="A3031">
        <v>3030</v>
      </c>
      <c r="B3031" t="s">
        <v>1305</v>
      </c>
      <c r="C3031">
        <v>56</v>
      </c>
      <c r="D3031" s="105">
        <v>45373.751641053241</v>
      </c>
      <c r="E3031" t="s">
        <v>312</v>
      </c>
      <c r="F3031" t="s">
        <v>1402</v>
      </c>
      <c r="G3031">
        <v>0</v>
      </c>
      <c r="H3031" t="s">
        <v>315</v>
      </c>
      <c r="I3031">
        <v>0</v>
      </c>
      <c r="J3031">
        <v>0</v>
      </c>
      <c r="K3031">
        <v>0</v>
      </c>
      <c r="L3031" t="s">
        <v>241</v>
      </c>
      <c r="M3031" t="s">
        <v>101</v>
      </c>
      <c r="N3031">
        <v>0</v>
      </c>
      <c r="O3031" t="s">
        <v>1395</v>
      </c>
      <c r="P3031" t="s">
        <v>310</v>
      </c>
      <c r="Q3031" t="s">
        <v>310</v>
      </c>
      <c r="R3031" t="s">
        <v>310</v>
      </c>
      <c r="S3031">
        <v>9</v>
      </c>
      <c r="T3031" t="s">
        <v>310</v>
      </c>
      <c r="U3031">
        <v>9</v>
      </c>
      <c r="V3031">
        <v>9</v>
      </c>
      <c r="W3031">
        <v>0</v>
      </c>
      <c r="X3031">
        <v>0</v>
      </c>
      <c r="Y3031">
        <v>0</v>
      </c>
      <c r="Z3031">
        <v>0</v>
      </c>
      <c r="AA3031">
        <v>9</v>
      </c>
      <c r="AB3031">
        <v>9</v>
      </c>
      <c r="AC3031" t="s">
        <v>310</v>
      </c>
      <c r="AD3031">
        <v>9</v>
      </c>
      <c r="AE3031" t="s">
        <v>1416</v>
      </c>
      <c r="AF3031">
        <v>150000000</v>
      </c>
      <c r="AG3031" t="s">
        <v>310</v>
      </c>
      <c r="AH3031">
        <f>SUM((MID(Dyno_Data[[#This Row],[Team]],4,5))+(Dyno_Data[[#This Row],[Match]]/100))</f>
        <v>3173.56</v>
      </c>
      <c r="AI3031" s="76">
        <f>ROUND(SUM(IF(Dyno_Data[[#This Row],[AcqCenter]]&gt;0,Dyno_Data[[#This Row],[Time]]-SUMIFS(Dyno_Data[Time],Dyno_Data[Team],Dyno_Data[[#This Row],[Team]],Dyno_Data[RecordType],"StartMatch",Dyno_Data[Match],Dyno_Data[[#This Row],[Match]]),0)*86400),0)</f>
        <v>0</v>
      </c>
    </row>
    <row r="3032" spans="1:35" x14ac:dyDescent="0.3">
      <c r="A3032">
        <v>3031</v>
      </c>
      <c r="B3032" t="s">
        <v>1280</v>
      </c>
      <c r="C3032">
        <v>56</v>
      </c>
      <c r="D3032" s="105">
        <v>45373.751701076391</v>
      </c>
      <c r="E3032" t="s">
        <v>312</v>
      </c>
      <c r="F3032" t="s">
        <v>1402</v>
      </c>
      <c r="G3032">
        <v>0</v>
      </c>
      <c r="H3032" t="s">
        <v>315</v>
      </c>
      <c r="I3032">
        <v>0</v>
      </c>
      <c r="J3032">
        <v>0</v>
      </c>
      <c r="K3032">
        <v>0</v>
      </c>
      <c r="L3032" t="s">
        <v>241</v>
      </c>
      <c r="M3032" t="s">
        <v>1398</v>
      </c>
      <c r="N3032">
        <v>0</v>
      </c>
      <c r="O3032" t="s">
        <v>1389</v>
      </c>
      <c r="P3032" t="s">
        <v>310</v>
      </c>
      <c r="Q3032" t="s">
        <v>310</v>
      </c>
      <c r="R3032" t="s">
        <v>310</v>
      </c>
      <c r="S3032">
        <v>9</v>
      </c>
      <c r="T3032" t="s">
        <v>310</v>
      </c>
      <c r="U3032">
        <v>9</v>
      </c>
      <c r="V3032">
        <v>9</v>
      </c>
      <c r="W3032">
        <v>0</v>
      </c>
      <c r="X3032">
        <v>0</v>
      </c>
      <c r="Y3032">
        <v>0</v>
      </c>
      <c r="Z3032">
        <v>0</v>
      </c>
      <c r="AA3032">
        <v>9</v>
      </c>
      <c r="AB3032">
        <v>9</v>
      </c>
      <c r="AC3032" t="s">
        <v>310</v>
      </c>
      <c r="AD3032">
        <v>9</v>
      </c>
      <c r="AE3032" t="s">
        <v>1417</v>
      </c>
      <c r="AF3032">
        <v>81000000</v>
      </c>
      <c r="AG3032" t="s">
        <v>310</v>
      </c>
      <c r="AH3032">
        <f>SUM((MID(Dyno_Data[[#This Row],[Team]],4,5))+(Dyno_Data[[#This Row],[Match]]/100))</f>
        <v>1559.56</v>
      </c>
      <c r="AI3032" s="76">
        <f>ROUND(SUM(IF(Dyno_Data[[#This Row],[AcqCenter]]&gt;0,Dyno_Data[[#This Row],[Time]]-SUMIFS(Dyno_Data[Time],Dyno_Data[Team],Dyno_Data[[#This Row],[Team]],Dyno_Data[RecordType],"StartMatch",Dyno_Data[Match],Dyno_Data[[#This Row],[Match]]),0)*86400),0)</f>
        <v>0</v>
      </c>
    </row>
    <row r="3033" spans="1:35" x14ac:dyDescent="0.3">
      <c r="A3033">
        <v>3032</v>
      </c>
      <c r="B3033" t="s">
        <v>1286</v>
      </c>
      <c r="C3033">
        <v>56</v>
      </c>
      <c r="D3033" s="105">
        <v>45373.753245949076</v>
      </c>
      <c r="E3033" t="s">
        <v>316</v>
      </c>
      <c r="F3033" t="s">
        <v>317</v>
      </c>
      <c r="G3033">
        <v>1</v>
      </c>
      <c r="H3033" t="s">
        <v>310</v>
      </c>
      <c r="I3033">
        <v>0</v>
      </c>
      <c r="J3033">
        <v>0</v>
      </c>
      <c r="K3033">
        <v>0</v>
      </c>
      <c r="L3033" t="s">
        <v>310</v>
      </c>
      <c r="M3033" t="s">
        <v>310</v>
      </c>
      <c r="N3033">
        <v>0</v>
      </c>
      <c r="O3033" t="s">
        <v>311</v>
      </c>
      <c r="P3033" t="s">
        <v>240</v>
      </c>
      <c r="Q3033" t="s">
        <v>1400</v>
      </c>
      <c r="R3033" t="s">
        <v>1404</v>
      </c>
      <c r="S3033">
        <v>0</v>
      </c>
      <c r="T3033" t="s">
        <v>105</v>
      </c>
      <c r="U3033">
        <v>9</v>
      </c>
      <c r="V3033">
        <v>9</v>
      </c>
      <c r="W3033">
        <v>0</v>
      </c>
      <c r="X3033">
        <v>59.9325951</v>
      </c>
      <c r="Y3033">
        <v>39.030764499999997</v>
      </c>
      <c r="Z3033">
        <v>36.397482400000001</v>
      </c>
      <c r="AA3033">
        <v>0</v>
      </c>
      <c r="AB3033">
        <v>1</v>
      </c>
      <c r="AC3033" t="s">
        <v>174</v>
      </c>
      <c r="AD3033">
        <v>9</v>
      </c>
      <c r="AE3033" t="s">
        <v>1394</v>
      </c>
      <c r="AF3033">
        <v>90000000</v>
      </c>
      <c r="AG3033" t="s">
        <v>310</v>
      </c>
      <c r="AH3033">
        <f>SUM((MID(Dyno_Data[[#This Row],[Team]],4,5))+(Dyno_Data[[#This Row],[Match]]/100))</f>
        <v>1591.56</v>
      </c>
      <c r="AI3033" s="76">
        <f>ROUND(SUM(IF(Dyno_Data[[#This Row],[AcqCenter]]&gt;0,Dyno_Data[[#This Row],[Time]]-SUMIFS(Dyno_Data[Time],Dyno_Data[Team],Dyno_Data[[#This Row],[Team]],Dyno_Data[RecordType],"StartMatch",Dyno_Data[Match],Dyno_Data[[#This Row],[Match]]),0)*86400),0)</f>
        <v>0</v>
      </c>
    </row>
    <row r="3034" spans="1:35" x14ac:dyDescent="0.3">
      <c r="A3034">
        <v>3033</v>
      </c>
      <c r="B3034" t="s">
        <v>367</v>
      </c>
      <c r="C3034">
        <v>56</v>
      </c>
      <c r="D3034" s="105">
        <v>45373.753246099535</v>
      </c>
      <c r="E3034" t="s">
        <v>316</v>
      </c>
      <c r="F3034" t="s">
        <v>317</v>
      </c>
      <c r="G3034">
        <v>0</v>
      </c>
      <c r="H3034" t="s">
        <v>310</v>
      </c>
      <c r="I3034">
        <v>0</v>
      </c>
      <c r="J3034">
        <v>0</v>
      </c>
      <c r="K3034">
        <v>0</v>
      </c>
      <c r="L3034" t="s">
        <v>310</v>
      </c>
      <c r="M3034" t="s">
        <v>310</v>
      </c>
      <c r="N3034">
        <v>0</v>
      </c>
      <c r="O3034" t="s">
        <v>1391</v>
      </c>
      <c r="P3034" t="s">
        <v>101</v>
      </c>
      <c r="Q3034" t="s">
        <v>1400</v>
      </c>
      <c r="R3034" t="s">
        <v>1405</v>
      </c>
      <c r="S3034">
        <v>1</v>
      </c>
      <c r="T3034" t="s">
        <v>1406</v>
      </c>
      <c r="U3034">
        <v>0</v>
      </c>
      <c r="V3034">
        <v>0</v>
      </c>
      <c r="W3034">
        <v>2.9963015999999998</v>
      </c>
      <c r="X3034">
        <v>51.0143007</v>
      </c>
      <c r="Y3034">
        <v>20.203918699999999</v>
      </c>
      <c r="Z3034">
        <v>57.4645066</v>
      </c>
      <c r="AA3034">
        <v>0</v>
      </c>
      <c r="AB3034">
        <v>0</v>
      </c>
      <c r="AC3034" t="s">
        <v>174</v>
      </c>
      <c r="AD3034">
        <v>9</v>
      </c>
      <c r="AE3034" t="s">
        <v>1418</v>
      </c>
      <c r="AF3034">
        <v>60000000</v>
      </c>
      <c r="AG3034" t="s">
        <v>310</v>
      </c>
      <c r="AH3034">
        <f>SUM((MID(Dyno_Data[[#This Row],[Team]],4,5))+(Dyno_Data[[#This Row],[Match]]/100))</f>
        <v>5016.5600000000004</v>
      </c>
      <c r="AI3034" s="76">
        <f>ROUND(SUM(IF(Dyno_Data[[#This Row],[AcqCenter]]&gt;0,Dyno_Data[[#This Row],[Time]]-SUMIFS(Dyno_Data[Time],Dyno_Data[Team],Dyno_Data[[#This Row],[Team]],Dyno_Data[RecordType],"StartMatch",Dyno_Data[Match],Dyno_Data[[#This Row],[Match]]),0)*86400),0)</f>
        <v>0</v>
      </c>
    </row>
    <row r="3035" spans="1:35" x14ac:dyDescent="0.3">
      <c r="A3035">
        <v>3034</v>
      </c>
      <c r="B3035" t="s">
        <v>364</v>
      </c>
      <c r="C3035">
        <v>56</v>
      </c>
      <c r="D3035" s="105">
        <v>45373.753246180553</v>
      </c>
      <c r="E3035" t="s">
        <v>316</v>
      </c>
      <c r="F3035" t="s">
        <v>317</v>
      </c>
      <c r="G3035">
        <v>1</v>
      </c>
      <c r="H3035" t="s">
        <v>310</v>
      </c>
      <c r="I3035">
        <v>0</v>
      </c>
      <c r="J3035">
        <v>0</v>
      </c>
      <c r="K3035">
        <v>0</v>
      </c>
      <c r="L3035" t="s">
        <v>310</v>
      </c>
      <c r="M3035" t="s">
        <v>310</v>
      </c>
      <c r="N3035">
        <v>0</v>
      </c>
      <c r="O3035" t="s">
        <v>319</v>
      </c>
      <c r="P3035" t="s">
        <v>1401</v>
      </c>
      <c r="Q3035" t="s">
        <v>1399</v>
      </c>
      <c r="R3035" t="s">
        <v>1404</v>
      </c>
      <c r="S3035">
        <v>-1</v>
      </c>
      <c r="T3035" t="s">
        <v>105</v>
      </c>
      <c r="U3035">
        <v>9</v>
      </c>
      <c r="V3035">
        <v>9</v>
      </c>
      <c r="W3035">
        <v>3.0160380999999998</v>
      </c>
      <c r="X3035">
        <v>55.524466199999999</v>
      </c>
      <c r="Y3035">
        <v>54.396792899999994</v>
      </c>
      <c r="Z3035">
        <v>22.999843599999998</v>
      </c>
      <c r="AA3035">
        <v>1</v>
      </c>
      <c r="AB3035">
        <v>0</v>
      </c>
      <c r="AC3035" t="s">
        <v>174</v>
      </c>
      <c r="AD3035">
        <v>1</v>
      </c>
      <c r="AE3035" t="s">
        <v>1392</v>
      </c>
      <c r="AF3035">
        <v>20000000</v>
      </c>
      <c r="AG3035" t="s">
        <v>310</v>
      </c>
      <c r="AH3035">
        <f>SUM((MID(Dyno_Data[[#This Row],[Team]],4,5))+(Dyno_Data[[#This Row],[Match]]/100))</f>
        <v>2791.56</v>
      </c>
      <c r="AI3035" s="76">
        <f>ROUND(SUM(IF(Dyno_Data[[#This Row],[AcqCenter]]&gt;0,Dyno_Data[[#This Row],[Time]]-SUMIFS(Dyno_Data[Time],Dyno_Data[Team],Dyno_Data[[#This Row],[Team]],Dyno_Data[RecordType],"StartMatch",Dyno_Data[Match],Dyno_Data[[#This Row],[Match]]),0)*86400),0)</f>
        <v>0</v>
      </c>
    </row>
    <row r="3036" spans="1:35" x14ac:dyDescent="0.3">
      <c r="A3036">
        <v>3035</v>
      </c>
      <c r="B3036" t="s">
        <v>1285</v>
      </c>
      <c r="C3036">
        <v>56</v>
      </c>
      <c r="D3036" s="105">
        <v>45373.753246296299</v>
      </c>
      <c r="E3036" t="s">
        <v>316</v>
      </c>
      <c r="F3036" t="s">
        <v>317</v>
      </c>
      <c r="G3036">
        <v>0</v>
      </c>
      <c r="H3036" t="s">
        <v>310</v>
      </c>
      <c r="I3036">
        <v>0</v>
      </c>
      <c r="J3036">
        <v>0</v>
      </c>
      <c r="K3036">
        <v>0</v>
      </c>
      <c r="L3036" t="s">
        <v>310</v>
      </c>
      <c r="M3036" t="s">
        <v>310</v>
      </c>
      <c r="N3036">
        <v>0</v>
      </c>
      <c r="O3036" t="s">
        <v>1393</v>
      </c>
      <c r="P3036" t="s">
        <v>1401</v>
      </c>
      <c r="Q3036" t="s">
        <v>1400</v>
      </c>
      <c r="R3036" t="s">
        <v>1404</v>
      </c>
      <c r="S3036">
        <v>0</v>
      </c>
      <c r="T3036" t="s">
        <v>105</v>
      </c>
      <c r="U3036">
        <v>9</v>
      </c>
      <c r="V3036">
        <v>9</v>
      </c>
      <c r="W3036">
        <v>0</v>
      </c>
      <c r="X3036">
        <v>28.454418199999999</v>
      </c>
      <c r="Y3036">
        <v>10.7553067</v>
      </c>
      <c r="Z3036">
        <v>95.958966199999992</v>
      </c>
      <c r="AA3036">
        <v>0</v>
      </c>
      <c r="AB3036">
        <v>0</v>
      </c>
      <c r="AC3036" t="s">
        <v>174</v>
      </c>
      <c r="AD3036">
        <v>9</v>
      </c>
      <c r="AE3036" t="s">
        <v>1387</v>
      </c>
      <c r="AF3036">
        <v>20100000</v>
      </c>
      <c r="AG3036" t="s">
        <v>310</v>
      </c>
      <c r="AH3036">
        <f>SUM((MID(Dyno_Data[[#This Row],[Team]],4,5))+(Dyno_Data[[#This Row],[Match]]/100))</f>
        <v>5993.56</v>
      </c>
      <c r="AI3036" s="76">
        <f>ROUND(SUM(IF(Dyno_Data[[#This Row],[AcqCenter]]&gt;0,Dyno_Data[[#This Row],[Time]]-SUMIFS(Dyno_Data[Time],Dyno_Data[Team],Dyno_Data[[#This Row],[Team]],Dyno_Data[RecordType],"StartMatch",Dyno_Data[Match],Dyno_Data[[#This Row],[Match]]),0)*86400),0)</f>
        <v>0</v>
      </c>
    </row>
    <row r="3037" spans="1:35" x14ac:dyDescent="0.3">
      <c r="A3037">
        <v>3036</v>
      </c>
      <c r="B3037" t="s">
        <v>1280</v>
      </c>
      <c r="C3037">
        <v>56</v>
      </c>
      <c r="D3037" s="105">
        <v>45373.753246562497</v>
      </c>
      <c r="E3037" t="s">
        <v>316</v>
      </c>
      <c r="F3037" t="s">
        <v>317</v>
      </c>
      <c r="G3037">
        <v>1</v>
      </c>
      <c r="H3037" t="s">
        <v>310</v>
      </c>
      <c r="I3037">
        <v>0</v>
      </c>
      <c r="J3037">
        <v>0</v>
      </c>
      <c r="K3037">
        <v>0</v>
      </c>
      <c r="L3037" t="s">
        <v>310</v>
      </c>
      <c r="M3037" t="s">
        <v>310</v>
      </c>
      <c r="N3037">
        <v>0</v>
      </c>
      <c r="O3037" t="s">
        <v>1389</v>
      </c>
      <c r="P3037" t="s">
        <v>320</v>
      </c>
      <c r="Q3037" t="s">
        <v>1400</v>
      </c>
      <c r="R3037" t="s">
        <v>1405</v>
      </c>
      <c r="S3037">
        <v>1</v>
      </c>
      <c r="T3037" t="s">
        <v>1406</v>
      </c>
      <c r="U3037">
        <v>0</v>
      </c>
      <c r="V3037">
        <v>0</v>
      </c>
      <c r="W3037">
        <v>11.684659199999999</v>
      </c>
      <c r="X3037">
        <v>27.915877399999999</v>
      </c>
      <c r="Y3037">
        <v>20.795648199999999</v>
      </c>
      <c r="Z3037">
        <v>71.207546399999998</v>
      </c>
      <c r="AA3037">
        <v>0</v>
      </c>
      <c r="AB3037">
        <v>1</v>
      </c>
      <c r="AC3037" t="s">
        <v>174</v>
      </c>
      <c r="AD3037">
        <v>9</v>
      </c>
      <c r="AE3037" t="s">
        <v>1417</v>
      </c>
      <c r="AF3037">
        <v>81000000</v>
      </c>
      <c r="AG3037" t="s">
        <v>310</v>
      </c>
      <c r="AH3037">
        <f>SUM((MID(Dyno_Data[[#This Row],[Team]],4,5))+(Dyno_Data[[#This Row],[Match]]/100))</f>
        <v>1559.56</v>
      </c>
      <c r="AI3037" s="76">
        <f>ROUND(SUM(IF(Dyno_Data[[#This Row],[AcqCenter]]&gt;0,Dyno_Data[[#This Row],[Time]]-SUMIFS(Dyno_Data[Time],Dyno_Data[Team],Dyno_Data[[#This Row],[Team]],Dyno_Data[RecordType],"StartMatch",Dyno_Data[Match],Dyno_Data[[#This Row],[Match]]),0)*86400),0)</f>
        <v>0</v>
      </c>
    </row>
    <row r="3038" spans="1:35" x14ac:dyDescent="0.3">
      <c r="A3038">
        <v>3037</v>
      </c>
      <c r="B3038" t="s">
        <v>1305</v>
      </c>
      <c r="C3038">
        <v>56</v>
      </c>
      <c r="D3038" s="105">
        <v>45373.753246678243</v>
      </c>
      <c r="E3038" t="s">
        <v>316</v>
      </c>
      <c r="F3038" t="s">
        <v>317</v>
      </c>
      <c r="G3038">
        <v>1</v>
      </c>
      <c r="H3038" t="s">
        <v>310</v>
      </c>
      <c r="I3038">
        <v>0</v>
      </c>
      <c r="J3038">
        <v>0</v>
      </c>
      <c r="K3038">
        <v>0</v>
      </c>
      <c r="L3038" t="s">
        <v>310</v>
      </c>
      <c r="M3038" t="s">
        <v>310</v>
      </c>
      <c r="N3038">
        <v>0</v>
      </c>
      <c r="O3038" t="s">
        <v>1395</v>
      </c>
      <c r="P3038" t="s">
        <v>101</v>
      </c>
      <c r="Q3038" t="s">
        <v>1399</v>
      </c>
      <c r="R3038" t="s">
        <v>1404</v>
      </c>
      <c r="S3038">
        <v>0</v>
      </c>
      <c r="T3038" t="s">
        <v>105</v>
      </c>
      <c r="U3038">
        <v>9</v>
      </c>
      <c r="V3038">
        <v>9</v>
      </c>
      <c r="W3038">
        <v>0</v>
      </c>
      <c r="X3038">
        <v>36.4008501</v>
      </c>
      <c r="Y3038">
        <v>36.270195099999995</v>
      </c>
      <c r="Z3038">
        <v>62.556812199999996</v>
      </c>
      <c r="AA3038">
        <v>0</v>
      </c>
      <c r="AB3038">
        <v>1</v>
      </c>
      <c r="AC3038" t="s">
        <v>174</v>
      </c>
      <c r="AD3038">
        <v>1</v>
      </c>
      <c r="AE3038" t="s">
        <v>1416</v>
      </c>
      <c r="AF3038">
        <v>150000000</v>
      </c>
      <c r="AG3038" t="s">
        <v>310</v>
      </c>
      <c r="AH3038">
        <f>SUM((MID(Dyno_Data[[#This Row],[Team]],4,5))+(Dyno_Data[[#This Row],[Match]]/100))</f>
        <v>3173.56</v>
      </c>
      <c r="AI3038" s="76">
        <f>ROUND(SUM(IF(Dyno_Data[[#This Row],[AcqCenter]]&gt;0,Dyno_Data[[#This Row],[Time]]-SUMIFS(Dyno_Data[Time],Dyno_Data[Team],Dyno_Data[[#This Row],[Team]],Dyno_Data[RecordType],"StartMatch",Dyno_Data[Match],Dyno_Data[[#This Row],[Match]]),0)*86400),0)</f>
        <v>0</v>
      </c>
    </row>
    <row r="3039" spans="1:35" x14ac:dyDescent="0.3">
      <c r="A3039">
        <v>3047</v>
      </c>
      <c r="B3039" t="s">
        <v>1289</v>
      </c>
      <c r="C3039">
        <v>57</v>
      </c>
      <c r="D3039" s="105">
        <v>45374.372213460651</v>
      </c>
      <c r="E3039" t="s">
        <v>308</v>
      </c>
      <c r="F3039" t="s">
        <v>309</v>
      </c>
      <c r="G3039">
        <v>0</v>
      </c>
      <c r="H3039" t="s">
        <v>310</v>
      </c>
      <c r="I3039">
        <v>0</v>
      </c>
      <c r="J3039">
        <v>0</v>
      </c>
      <c r="K3039">
        <v>0</v>
      </c>
      <c r="L3039" t="s">
        <v>310</v>
      </c>
      <c r="M3039" t="s">
        <v>310</v>
      </c>
      <c r="N3039">
        <v>0</v>
      </c>
      <c r="O3039" t="s">
        <v>1395</v>
      </c>
      <c r="P3039" t="s">
        <v>310</v>
      </c>
      <c r="Q3039" t="s">
        <v>310</v>
      </c>
      <c r="R3039" t="s">
        <v>310</v>
      </c>
      <c r="S3039">
        <v>9</v>
      </c>
      <c r="T3039" t="s">
        <v>310</v>
      </c>
      <c r="U3039">
        <v>9</v>
      </c>
      <c r="V3039">
        <v>9</v>
      </c>
      <c r="W3039">
        <v>0</v>
      </c>
      <c r="X3039">
        <v>0</v>
      </c>
      <c r="Y3039">
        <v>0</v>
      </c>
      <c r="Z3039">
        <v>0</v>
      </c>
      <c r="AA3039">
        <v>9</v>
      </c>
      <c r="AB3039">
        <v>9</v>
      </c>
      <c r="AC3039" t="s">
        <v>310</v>
      </c>
      <c r="AD3039">
        <v>9</v>
      </c>
      <c r="AE3039" t="s">
        <v>1396</v>
      </c>
      <c r="AF3039">
        <v>0</v>
      </c>
      <c r="AG3039" t="s">
        <v>310</v>
      </c>
      <c r="AH3039">
        <f>SUM((MID(Dyno_Data[[#This Row],[Team]],4,5))+(Dyno_Data[[#This Row],[Match]]/100))</f>
        <v>6648.57</v>
      </c>
      <c r="AI3039" s="76">
        <f>ROUND(SUM(IF(Dyno_Data[[#This Row],[AcqCenter]]&gt;0,Dyno_Data[[#This Row],[Time]]-SUMIFS(Dyno_Data[Time],Dyno_Data[Team],Dyno_Data[[#This Row],[Team]],Dyno_Data[RecordType],"StartMatch",Dyno_Data[Match],Dyno_Data[[#This Row],[Match]]),0)*86400),0)</f>
        <v>0</v>
      </c>
    </row>
    <row r="3040" spans="1:35" x14ac:dyDescent="0.3">
      <c r="A3040">
        <v>3049</v>
      </c>
      <c r="B3040" t="s">
        <v>1309</v>
      </c>
      <c r="C3040">
        <v>57</v>
      </c>
      <c r="D3040" s="105">
        <v>45374.372240277778</v>
      </c>
      <c r="E3040" t="s">
        <v>308</v>
      </c>
      <c r="F3040" t="s">
        <v>309</v>
      </c>
      <c r="G3040">
        <v>0</v>
      </c>
      <c r="H3040" t="s">
        <v>310</v>
      </c>
      <c r="I3040">
        <v>0</v>
      </c>
      <c r="J3040">
        <v>0</v>
      </c>
      <c r="K3040">
        <v>0</v>
      </c>
      <c r="L3040" t="s">
        <v>310</v>
      </c>
      <c r="M3040" t="s">
        <v>310</v>
      </c>
      <c r="N3040">
        <v>0</v>
      </c>
      <c r="O3040" t="s">
        <v>311</v>
      </c>
      <c r="P3040" t="s">
        <v>310</v>
      </c>
      <c r="Q3040" t="s">
        <v>310</v>
      </c>
      <c r="R3040" t="s">
        <v>310</v>
      </c>
      <c r="S3040">
        <v>9</v>
      </c>
      <c r="T3040" t="s">
        <v>310</v>
      </c>
      <c r="U3040">
        <v>9</v>
      </c>
      <c r="V3040">
        <v>9</v>
      </c>
      <c r="W3040">
        <v>0</v>
      </c>
      <c r="X3040">
        <v>0</v>
      </c>
      <c r="Y3040">
        <v>0</v>
      </c>
      <c r="Z3040">
        <v>0</v>
      </c>
      <c r="AA3040">
        <v>9</v>
      </c>
      <c r="AB3040">
        <v>9</v>
      </c>
      <c r="AC3040" t="s">
        <v>310</v>
      </c>
      <c r="AD3040">
        <v>9</v>
      </c>
      <c r="AE3040" t="s">
        <v>1388</v>
      </c>
      <c r="AF3040">
        <v>10000000</v>
      </c>
      <c r="AG3040" t="s">
        <v>310</v>
      </c>
      <c r="AH3040">
        <f>SUM((MID(Dyno_Data[[#This Row],[Team]],4,5))+(Dyno_Data[[#This Row],[Match]]/100))</f>
        <v>3550.57</v>
      </c>
      <c r="AI3040" s="76">
        <f>ROUND(SUM(IF(Dyno_Data[[#This Row],[AcqCenter]]&gt;0,Dyno_Data[[#This Row],[Time]]-SUMIFS(Dyno_Data[Time],Dyno_Data[Team],Dyno_Data[[#This Row],[Team]],Dyno_Data[RecordType],"StartMatch",Dyno_Data[Match],Dyno_Data[[#This Row],[Match]]),0)*86400),0)</f>
        <v>0</v>
      </c>
    </row>
    <row r="3041" spans="1:35" x14ac:dyDescent="0.3">
      <c r="A3041">
        <v>3051</v>
      </c>
      <c r="B3041" t="s">
        <v>1294</v>
      </c>
      <c r="C3041">
        <v>57</v>
      </c>
      <c r="D3041" s="105">
        <v>45374.372241701392</v>
      </c>
      <c r="E3041" t="s">
        <v>308</v>
      </c>
      <c r="F3041" t="s">
        <v>309</v>
      </c>
      <c r="G3041">
        <v>0</v>
      </c>
      <c r="H3041" t="s">
        <v>310</v>
      </c>
      <c r="I3041">
        <v>0</v>
      </c>
      <c r="J3041">
        <v>0</v>
      </c>
      <c r="K3041">
        <v>0</v>
      </c>
      <c r="L3041" t="s">
        <v>310</v>
      </c>
      <c r="M3041" t="s">
        <v>310</v>
      </c>
      <c r="N3041">
        <v>0</v>
      </c>
      <c r="O3041" t="s">
        <v>1389</v>
      </c>
      <c r="P3041" t="s">
        <v>310</v>
      </c>
      <c r="Q3041" t="s">
        <v>310</v>
      </c>
      <c r="R3041" t="s">
        <v>310</v>
      </c>
      <c r="S3041">
        <v>9</v>
      </c>
      <c r="T3041" t="s">
        <v>310</v>
      </c>
      <c r="U3041">
        <v>9</v>
      </c>
      <c r="V3041">
        <v>9</v>
      </c>
      <c r="W3041">
        <v>0</v>
      </c>
      <c r="X3041">
        <v>0</v>
      </c>
      <c r="Y3041">
        <v>0</v>
      </c>
      <c r="Z3041">
        <v>0</v>
      </c>
      <c r="AA3041">
        <v>9</v>
      </c>
      <c r="AB3041">
        <v>9</v>
      </c>
      <c r="AC3041" t="s">
        <v>310</v>
      </c>
      <c r="AD3041">
        <v>9</v>
      </c>
      <c r="AE3041" t="s">
        <v>1387</v>
      </c>
      <c r="AF3041">
        <v>0</v>
      </c>
      <c r="AG3041" t="s">
        <v>310</v>
      </c>
      <c r="AH3041">
        <f>SUM((MID(Dyno_Data[[#This Row],[Team]],4,5))+(Dyno_Data[[#This Row],[Match]]/100))</f>
        <v>9076.57</v>
      </c>
      <c r="AI3041" s="76">
        <f>ROUND(SUM(IF(Dyno_Data[[#This Row],[AcqCenter]]&gt;0,Dyno_Data[[#This Row],[Time]]-SUMIFS(Dyno_Data[Time],Dyno_Data[Team],Dyno_Data[[#This Row],[Team]],Dyno_Data[RecordType],"StartMatch",Dyno_Data[Match],Dyno_Data[[#This Row],[Match]]),0)*86400),0)</f>
        <v>0</v>
      </c>
    </row>
    <row r="3042" spans="1:35" x14ac:dyDescent="0.3">
      <c r="A3042">
        <v>3053</v>
      </c>
      <c r="B3042" t="s">
        <v>1277</v>
      </c>
      <c r="C3042">
        <v>57</v>
      </c>
      <c r="D3042" s="105">
        <v>45374.372243136575</v>
      </c>
      <c r="E3042" t="s">
        <v>308</v>
      </c>
      <c r="F3042" t="s">
        <v>309</v>
      </c>
      <c r="G3042">
        <v>0</v>
      </c>
      <c r="H3042" t="s">
        <v>310</v>
      </c>
      <c r="I3042">
        <v>0</v>
      </c>
      <c r="J3042">
        <v>0</v>
      </c>
      <c r="K3042">
        <v>0</v>
      </c>
      <c r="L3042" t="s">
        <v>310</v>
      </c>
      <c r="M3042" t="s">
        <v>310</v>
      </c>
      <c r="N3042">
        <v>0</v>
      </c>
      <c r="O3042" t="s">
        <v>1393</v>
      </c>
      <c r="P3042" t="s">
        <v>310</v>
      </c>
      <c r="Q3042" t="s">
        <v>310</v>
      </c>
      <c r="R3042" t="s">
        <v>310</v>
      </c>
      <c r="S3042">
        <v>9</v>
      </c>
      <c r="T3042" t="s">
        <v>310</v>
      </c>
      <c r="U3042">
        <v>9</v>
      </c>
      <c r="V3042">
        <v>9</v>
      </c>
      <c r="W3042">
        <v>0</v>
      </c>
      <c r="X3042">
        <v>0</v>
      </c>
      <c r="Y3042">
        <v>0</v>
      </c>
      <c r="Z3042">
        <v>0</v>
      </c>
      <c r="AA3042">
        <v>9</v>
      </c>
      <c r="AB3042">
        <v>9</v>
      </c>
      <c r="AC3042" t="s">
        <v>310</v>
      </c>
      <c r="AD3042">
        <v>9</v>
      </c>
      <c r="AE3042" t="s">
        <v>1392</v>
      </c>
      <c r="AF3042">
        <v>0</v>
      </c>
      <c r="AG3042" t="s">
        <v>310</v>
      </c>
      <c r="AH3042">
        <f>SUM((MID(Dyno_Data[[#This Row],[Team]],4,5))+(Dyno_Data[[#This Row],[Match]]/100))</f>
        <v>3360.57</v>
      </c>
      <c r="AI3042" s="76">
        <f>ROUND(SUM(IF(Dyno_Data[[#This Row],[AcqCenter]]&gt;0,Dyno_Data[[#This Row],[Time]]-SUMIFS(Dyno_Data[Time],Dyno_Data[Team],Dyno_Data[[#This Row],[Team]],Dyno_Data[RecordType],"StartMatch",Dyno_Data[Match],Dyno_Data[[#This Row],[Match]]),0)*86400),0)</f>
        <v>0</v>
      </c>
    </row>
    <row r="3043" spans="1:35" x14ac:dyDescent="0.3">
      <c r="A3043">
        <v>3055</v>
      </c>
      <c r="B3043" t="s">
        <v>1282</v>
      </c>
      <c r="C3043">
        <v>57</v>
      </c>
      <c r="D3043" s="105">
        <v>45374.372243865742</v>
      </c>
      <c r="E3043" t="s">
        <v>308</v>
      </c>
      <c r="F3043" t="s">
        <v>309</v>
      </c>
      <c r="G3043">
        <v>0</v>
      </c>
      <c r="H3043" t="s">
        <v>310</v>
      </c>
      <c r="I3043">
        <v>0</v>
      </c>
      <c r="J3043">
        <v>0</v>
      </c>
      <c r="K3043">
        <v>0</v>
      </c>
      <c r="L3043" t="s">
        <v>310</v>
      </c>
      <c r="M3043" t="s">
        <v>310</v>
      </c>
      <c r="N3043">
        <v>0</v>
      </c>
      <c r="O3043" t="s">
        <v>319</v>
      </c>
      <c r="P3043" t="s">
        <v>310</v>
      </c>
      <c r="Q3043" t="s">
        <v>310</v>
      </c>
      <c r="R3043" t="s">
        <v>310</v>
      </c>
      <c r="S3043">
        <v>9</v>
      </c>
      <c r="T3043" t="s">
        <v>310</v>
      </c>
      <c r="U3043">
        <v>9</v>
      </c>
      <c r="V3043">
        <v>9</v>
      </c>
      <c r="W3043">
        <v>0</v>
      </c>
      <c r="X3043">
        <v>0</v>
      </c>
      <c r="Y3043">
        <v>0</v>
      </c>
      <c r="Z3043">
        <v>0</v>
      </c>
      <c r="AA3043">
        <v>9</v>
      </c>
      <c r="AB3043">
        <v>9</v>
      </c>
      <c r="AC3043" t="s">
        <v>310</v>
      </c>
      <c r="AD3043">
        <v>9</v>
      </c>
      <c r="AE3043" t="s">
        <v>1390</v>
      </c>
      <c r="AF3043">
        <v>0</v>
      </c>
      <c r="AG3043" t="s">
        <v>310</v>
      </c>
      <c r="AH3043">
        <f>SUM((MID(Dyno_Data[[#This Row],[Team]],4,5))+(Dyno_Data[[#This Row],[Match]]/100))</f>
        <v>333.57</v>
      </c>
      <c r="AI3043" s="76">
        <f>ROUND(SUM(IF(Dyno_Data[[#This Row],[AcqCenter]]&gt;0,Dyno_Data[[#This Row],[Time]]-SUMIFS(Dyno_Data[Time],Dyno_Data[Team],Dyno_Data[[#This Row],[Team]],Dyno_Data[RecordType],"StartMatch",Dyno_Data[Match],Dyno_Data[[#This Row],[Match]]),0)*86400),0)</f>
        <v>0</v>
      </c>
    </row>
    <row r="3044" spans="1:35" x14ac:dyDescent="0.3">
      <c r="A3044">
        <v>3057</v>
      </c>
      <c r="B3044" t="s">
        <v>1314</v>
      </c>
      <c r="C3044">
        <v>57</v>
      </c>
      <c r="D3044" s="105">
        <v>45374.372244710648</v>
      </c>
      <c r="E3044" t="s">
        <v>308</v>
      </c>
      <c r="F3044" t="s">
        <v>309</v>
      </c>
      <c r="G3044">
        <v>0</v>
      </c>
      <c r="H3044" t="s">
        <v>310</v>
      </c>
      <c r="I3044">
        <v>0</v>
      </c>
      <c r="J3044">
        <v>0</v>
      </c>
      <c r="K3044">
        <v>0</v>
      </c>
      <c r="L3044" t="s">
        <v>310</v>
      </c>
      <c r="M3044" t="s">
        <v>310</v>
      </c>
      <c r="N3044">
        <v>0</v>
      </c>
      <c r="O3044" t="s">
        <v>1391</v>
      </c>
      <c r="P3044" t="s">
        <v>310</v>
      </c>
      <c r="Q3044" t="s">
        <v>310</v>
      </c>
      <c r="R3044" t="s">
        <v>310</v>
      </c>
      <c r="S3044">
        <v>9</v>
      </c>
      <c r="T3044" t="s">
        <v>310</v>
      </c>
      <c r="U3044">
        <v>9</v>
      </c>
      <c r="V3044">
        <v>9</v>
      </c>
      <c r="W3044">
        <v>0</v>
      </c>
      <c r="X3044">
        <v>0</v>
      </c>
      <c r="Y3044">
        <v>0</v>
      </c>
      <c r="Z3044">
        <v>0</v>
      </c>
      <c r="AA3044">
        <v>9</v>
      </c>
      <c r="AB3044">
        <v>9</v>
      </c>
      <c r="AC3044" t="s">
        <v>310</v>
      </c>
      <c r="AD3044">
        <v>9</v>
      </c>
      <c r="AE3044" t="s">
        <v>1394</v>
      </c>
      <c r="AF3044">
        <v>10000000</v>
      </c>
      <c r="AG3044" t="s">
        <v>310</v>
      </c>
      <c r="AH3044">
        <f>SUM((MID(Dyno_Data[[#This Row],[Team]],4,5))+(Dyno_Data[[#This Row],[Match]]/100))</f>
        <v>3419.57</v>
      </c>
      <c r="AI3044" s="76">
        <f>ROUND(SUM(IF(Dyno_Data[[#This Row],[AcqCenter]]&gt;0,Dyno_Data[[#This Row],[Time]]-SUMIFS(Dyno_Data[Time],Dyno_Data[Team],Dyno_Data[[#This Row],[Team]],Dyno_Data[RecordType],"StartMatch",Dyno_Data[Match],Dyno_Data[[#This Row],[Match]]),0)*86400),0)</f>
        <v>0</v>
      </c>
    </row>
    <row r="3045" spans="1:35" x14ac:dyDescent="0.3">
      <c r="A3045">
        <v>3038</v>
      </c>
      <c r="B3045" t="s">
        <v>1309</v>
      </c>
      <c r="C3045">
        <v>57</v>
      </c>
      <c r="D3045" s="105">
        <v>45374.372262233795</v>
      </c>
      <c r="E3045" t="s">
        <v>312</v>
      </c>
      <c r="F3045" t="s">
        <v>309</v>
      </c>
      <c r="G3045">
        <v>0</v>
      </c>
      <c r="H3045" t="s">
        <v>1397</v>
      </c>
      <c r="I3045">
        <v>0</v>
      </c>
      <c r="J3045">
        <v>0</v>
      </c>
      <c r="K3045">
        <v>0</v>
      </c>
      <c r="L3045" t="s">
        <v>241</v>
      </c>
      <c r="M3045" t="s">
        <v>1398</v>
      </c>
      <c r="N3045">
        <v>1</v>
      </c>
      <c r="O3045" t="s">
        <v>311</v>
      </c>
      <c r="P3045" t="s">
        <v>310</v>
      </c>
      <c r="Q3045" t="s">
        <v>310</v>
      </c>
      <c r="R3045" t="s">
        <v>310</v>
      </c>
      <c r="S3045">
        <v>9</v>
      </c>
      <c r="T3045" t="s">
        <v>310</v>
      </c>
      <c r="U3045">
        <v>9</v>
      </c>
      <c r="V3045">
        <v>9</v>
      </c>
      <c r="W3045">
        <v>0</v>
      </c>
      <c r="X3045">
        <v>0</v>
      </c>
      <c r="Y3045">
        <v>0</v>
      </c>
      <c r="Z3045">
        <v>0</v>
      </c>
      <c r="AA3045">
        <v>9</v>
      </c>
      <c r="AB3045">
        <v>9</v>
      </c>
      <c r="AC3045" t="s">
        <v>310</v>
      </c>
      <c r="AD3045">
        <v>9</v>
      </c>
      <c r="AE3045" t="s">
        <v>1388</v>
      </c>
      <c r="AF3045">
        <v>0</v>
      </c>
      <c r="AG3045" t="s">
        <v>310</v>
      </c>
      <c r="AH3045">
        <f>SUM((MID(Dyno_Data[[#This Row],[Team]],4,5))+(Dyno_Data[[#This Row],[Match]]/100))</f>
        <v>3550.57</v>
      </c>
      <c r="AI3045" s="76">
        <f>ROUND(SUM(IF(Dyno_Data[[#This Row],[AcqCenter]]&gt;0,Dyno_Data[[#This Row],[Time]]-SUMIFS(Dyno_Data[Time],Dyno_Data[Team],Dyno_Data[[#This Row],[Team]],Dyno_Data[RecordType],"StartMatch",Dyno_Data[Match],Dyno_Data[[#This Row],[Match]]),0)*86400),0)</f>
        <v>0</v>
      </c>
    </row>
    <row r="3046" spans="1:35" x14ac:dyDescent="0.3">
      <c r="A3046">
        <v>3039</v>
      </c>
      <c r="B3046" t="s">
        <v>1314</v>
      </c>
      <c r="C3046">
        <v>57</v>
      </c>
      <c r="D3046" s="105">
        <v>45374.372270868058</v>
      </c>
      <c r="E3046" t="s">
        <v>312</v>
      </c>
      <c r="F3046" t="s">
        <v>309</v>
      </c>
      <c r="G3046">
        <v>0</v>
      </c>
      <c r="H3046" t="s">
        <v>1397</v>
      </c>
      <c r="I3046">
        <v>0</v>
      </c>
      <c r="J3046">
        <v>0</v>
      </c>
      <c r="K3046">
        <v>0</v>
      </c>
      <c r="L3046" t="s">
        <v>241</v>
      </c>
      <c r="M3046" t="s">
        <v>101</v>
      </c>
      <c r="N3046">
        <v>0</v>
      </c>
      <c r="O3046" t="s">
        <v>1391</v>
      </c>
      <c r="P3046" t="s">
        <v>310</v>
      </c>
      <c r="Q3046" t="s">
        <v>310</v>
      </c>
      <c r="R3046" t="s">
        <v>310</v>
      </c>
      <c r="S3046">
        <v>9</v>
      </c>
      <c r="T3046" t="s">
        <v>310</v>
      </c>
      <c r="U3046">
        <v>9</v>
      </c>
      <c r="V3046">
        <v>9</v>
      </c>
      <c r="W3046">
        <v>0</v>
      </c>
      <c r="X3046">
        <v>0</v>
      </c>
      <c r="Y3046">
        <v>0</v>
      </c>
      <c r="Z3046">
        <v>0</v>
      </c>
      <c r="AA3046">
        <v>9</v>
      </c>
      <c r="AB3046">
        <v>9</v>
      </c>
      <c r="AC3046" t="s">
        <v>310</v>
      </c>
      <c r="AD3046">
        <v>9</v>
      </c>
      <c r="AE3046" t="s">
        <v>1394</v>
      </c>
      <c r="AF3046">
        <v>0</v>
      </c>
      <c r="AG3046" t="s">
        <v>310</v>
      </c>
      <c r="AH3046">
        <f>SUM((MID(Dyno_Data[[#This Row],[Team]],4,5))+(Dyno_Data[[#This Row],[Match]]/100))</f>
        <v>3419.57</v>
      </c>
      <c r="AI3046" s="76">
        <f>ROUND(SUM(IF(Dyno_Data[[#This Row],[AcqCenter]]&gt;0,Dyno_Data[[#This Row],[Time]]-SUMIFS(Dyno_Data[Time],Dyno_Data[Team],Dyno_Data[[#This Row],[Team]],Dyno_Data[RecordType],"StartMatch",Dyno_Data[Match],Dyno_Data[[#This Row],[Match]]),0)*86400),0)</f>
        <v>0</v>
      </c>
    </row>
    <row r="3047" spans="1:35" x14ac:dyDescent="0.3">
      <c r="A3047">
        <v>3040</v>
      </c>
      <c r="B3047" t="s">
        <v>1277</v>
      </c>
      <c r="C3047">
        <v>57</v>
      </c>
      <c r="D3047" s="105">
        <v>45374.372278819443</v>
      </c>
      <c r="E3047" t="s">
        <v>312</v>
      </c>
      <c r="F3047" t="s">
        <v>309</v>
      </c>
      <c r="G3047">
        <v>0</v>
      </c>
      <c r="H3047" t="s">
        <v>1397</v>
      </c>
      <c r="I3047">
        <v>0</v>
      </c>
      <c r="J3047">
        <v>0</v>
      </c>
      <c r="K3047">
        <v>0</v>
      </c>
      <c r="L3047" t="s">
        <v>240</v>
      </c>
      <c r="M3047" t="s">
        <v>1398</v>
      </c>
      <c r="N3047">
        <v>0</v>
      </c>
      <c r="O3047" t="s">
        <v>1393</v>
      </c>
      <c r="P3047" t="s">
        <v>310</v>
      </c>
      <c r="Q3047" t="s">
        <v>310</v>
      </c>
      <c r="R3047" t="s">
        <v>310</v>
      </c>
      <c r="S3047">
        <v>9</v>
      </c>
      <c r="T3047" t="s">
        <v>310</v>
      </c>
      <c r="U3047">
        <v>9</v>
      </c>
      <c r="V3047">
        <v>9</v>
      </c>
      <c r="W3047">
        <v>0</v>
      </c>
      <c r="X3047">
        <v>0</v>
      </c>
      <c r="Y3047">
        <v>0</v>
      </c>
      <c r="Z3047">
        <v>0</v>
      </c>
      <c r="AA3047">
        <v>9</v>
      </c>
      <c r="AB3047">
        <v>9</v>
      </c>
      <c r="AC3047" t="s">
        <v>310</v>
      </c>
      <c r="AD3047">
        <v>9</v>
      </c>
      <c r="AE3047" t="s">
        <v>1392</v>
      </c>
      <c r="AF3047">
        <v>0</v>
      </c>
      <c r="AG3047" t="s">
        <v>310</v>
      </c>
      <c r="AH3047">
        <f>SUM((MID(Dyno_Data[[#This Row],[Team]],4,5))+(Dyno_Data[[#This Row],[Match]]/100))</f>
        <v>3360.57</v>
      </c>
      <c r="AI3047" s="76">
        <f>ROUND(SUM(IF(Dyno_Data[[#This Row],[AcqCenter]]&gt;0,Dyno_Data[[#This Row],[Time]]-SUMIFS(Dyno_Data[Time],Dyno_Data[Team],Dyno_Data[[#This Row],[Team]],Dyno_Data[RecordType],"StartMatch",Dyno_Data[Match],Dyno_Data[[#This Row],[Match]]),0)*86400),0)</f>
        <v>0</v>
      </c>
    </row>
    <row r="3048" spans="1:35" x14ac:dyDescent="0.3">
      <c r="A3048">
        <v>3041</v>
      </c>
      <c r="B3048" t="s">
        <v>1282</v>
      </c>
      <c r="C3048">
        <v>57</v>
      </c>
      <c r="D3048" s="105">
        <v>45374.372304976852</v>
      </c>
      <c r="E3048" t="s">
        <v>312</v>
      </c>
      <c r="F3048" t="s">
        <v>309</v>
      </c>
      <c r="G3048">
        <v>0</v>
      </c>
      <c r="H3048" t="s">
        <v>1397</v>
      </c>
      <c r="I3048">
        <v>0</v>
      </c>
      <c r="J3048">
        <v>0</v>
      </c>
      <c r="K3048">
        <v>0</v>
      </c>
      <c r="L3048" t="s">
        <v>240</v>
      </c>
      <c r="M3048" t="s">
        <v>1398</v>
      </c>
      <c r="N3048">
        <v>1</v>
      </c>
      <c r="O3048" t="s">
        <v>319</v>
      </c>
      <c r="P3048" t="s">
        <v>310</v>
      </c>
      <c r="Q3048" t="s">
        <v>310</v>
      </c>
      <c r="R3048" t="s">
        <v>310</v>
      </c>
      <c r="S3048">
        <v>9</v>
      </c>
      <c r="T3048" t="s">
        <v>310</v>
      </c>
      <c r="U3048">
        <v>9</v>
      </c>
      <c r="V3048">
        <v>9</v>
      </c>
      <c r="W3048">
        <v>0</v>
      </c>
      <c r="X3048">
        <v>0</v>
      </c>
      <c r="Y3048">
        <v>0</v>
      </c>
      <c r="Z3048">
        <v>0</v>
      </c>
      <c r="AA3048">
        <v>9</v>
      </c>
      <c r="AB3048">
        <v>9</v>
      </c>
      <c r="AC3048" t="s">
        <v>310</v>
      </c>
      <c r="AD3048">
        <v>9</v>
      </c>
      <c r="AE3048" t="s">
        <v>1390</v>
      </c>
      <c r="AF3048">
        <v>0</v>
      </c>
      <c r="AG3048" t="s">
        <v>310</v>
      </c>
      <c r="AH3048">
        <f>SUM((MID(Dyno_Data[[#This Row],[Team]],4,5))+(Dyno_Data[[#This Row],[Match]]/100))</f>
        <v>333.57</v>
      </c>
      <c r="AI3048" s="76">
        <f>ROUND(SUM(IF(Dyno_Data[[#This Row],[AcqCenter]]&gt;0,Dyno_Data[[#This Row],[Time]]-SUMIFS(Dyno_Data[Time],Dyno_Data[Team],Dyno_Data[[#This Row],[Team]],Dyno_Data[RecordType],"StartMatch",Dyno_Data[Match],Dyno_Data[[#This Row],[Match]]),0)*86400),0)</f>
        <v>0</v>
      </c>
    </row>
    <row r="3049" spans="1:35" x14ac:dyDescent="0.3">
      <c r="A3049">
        <v>3042</v>
      </c>
      <c r="B3049" t="s">
        <v>1314</v>
      </c>
      <c r="C3049">
        <v>57</v>
      </c>
      <c r="D3049" s="105">
        <v>45374.372307141202</v>
      </c>
      <c r="E3049" t="s">
        <v>312</v>
      </c>
      <c r="F3049" t="s">
        <v>309</v>
      </c>
      <c r="G3049">
        <v>0</v>
      </c>
      <c r="H3049" t="s">
        <v>315</v>
      </c>
      <c r="I3049">
        <v>0</v>
      </c>
      <c r="J3049">
        <v>0</v>
      </c>
      <c r="K3049">
        <v>0</v>
      </c>
      <c r="L3049" t="s">
        <v>241</v>
      </c>
      <c r="M3049" t="s">
        <v>1398</v>
      </c>
      <c r="N3049">
        <v>0</v>
      </c>
      <c r="O3049" t="s">
        <v>1391</v>
      </c>
      <c r="P3049" t="s">
        <v>310</v>
      </c>
      <c r="Q3049" t="s">
        <v>310</v>
      </c>
      <c r="R3049" t="s">
        <v>310</v>
      </c>
      <c r="S3049">
        <v>9</v>
      </c>
      <c r="T3049" t="s">
        <v>310</v>
      </c>
      <c r="U3049">
        <v>9</v>
      </c>
      <c r="V3049">
        <v>9</v>
      </c>
      <c r="W3049">
        <v>0</v>
      </c>
      <c r="X3049">
        <v>0</v>
      </c>
      <c r="Y3049">
        <v>0</v>
      </c>
      <c r="Z3049">
        <v>0</v>
      </c>
      <c r="AA3049">
        <v>9</v>
      </c>
      <c r="AB3049">
        <v>9</v>
      </c>
      <c r="AC3049" t="s">
        <v>310</v>
      </c>
      <c r="AD3049">
        <v>9</v>
      </c>
      <c r="AE3049" t="s">
        <v>1394</v>
      </c>
      <c r="AF3049">
        <v>10000000</v>
      </c>
      <c r="AG3049" t="s">
        <v>310</v>
      </c>
      <c r="AH3049">
        <f>SUM((MID(Dyno_Data[[#This Row],[Team]],4,5))+(Dyno_Data[[#This Row],[Match]]/100))</f>
        <v>3419.57</v>
      </c>
      <c r="AI3049" s="76">
        <f>ROUND(SUM(IF(Dyno_Data[[#This Row],[AcqCenter]]&gt;0,Dyno_Data[[#This Row],[Time]]-SUMIFS(Dyno_Data[Time],Dyno_Data[Team],Dyno_Data[[#This Row],[Team]],Dyno_Data[RecordType],"StartMatch",Dyno_Data[Match],Dyno_Data[[#This Row],[Match]]),0)*86400),0)</f>
        <v>0</v>
      </c>
    </row>
    <row r="3050" spans="1:35" x14ac:dyDescent="0.3">
      <c r="A3050">
        <v>3043</v>
      </c>
      <c r="B3050" t="s">
        <v>1309</v>
      </c>
      <c r="C3050">
        <v>57</v>
      </c>
      <c r="D3050" s="105">
        <v>45374.372315196757</v>
      </c>
      <c r="E3050" t="s">
        <v>312</v>
      </c>
      <c r="F3050" t="s">
        <v>309</v>
      </c>
      <c r="G3050">
        <v>0</v>
      </c>
      <c r="H3050" t="s">
        <v>315</v>
      </c>
      <c r="I3050">
        <v>0</v>
      </c>
      <c r="J3050">
        <v>0</v>
      </c>
      <c r="K3050">
        <v>0</v>
      </c>
      <c r="L3050" t="s">
        <v>241</v>
      </c>
      <c r="M3050" t="s">
        <v>1398</v>
      </c>
      <c r="N3050">
        <v>0</v>
      </c>
      <c r="O3050" t="s">
        <v>311</v>
      </c>
      <c r="P3050" t="s">
        <v>310</v>
      </c>
      <c r="Q3050" t="s">
        <v>310</v>
      </c>
      <c r="R3050" t="s">
        <v>310</v>
      </c>
      <c r="S3050">
        <v>9</v>
      </c>
      <c r="T3050" t="s">
        <v>310</v>
      </c>
      <c r="U3050">
        <v>9</v>
      </c>
      <c r="V3050">
        <v>9</v>
      </c>
      <c r="W3050">
        <v>0</v>
      </c>
      <c r="X3050">
        <v>0</v>
      </c>
      <c r="Y3050">
        <v>0</v>
      </c>
      <c r="Z3050">
        <v>0</v>
      </c>
      <c r="AA3050">
        <v>9</v>
      </c>
      <c r="AB3050">
        <v>9</v>
      </c>
      <c r="AC3050" t="s">
        <v>310</v>
      </c>
      <c r="AD3050">
        <v>9</v>
      </c>
      <c r="AE3050" t="s">
        <v>1388</v>
      </c>
      <c r="AF3050">
        <v>10000000</v>
      </c>
      <c r="AG3050" t="s">
        <v>310</v>
      </c>
      <c r="AH3050">
        <f>SUM((MID(Dyno_Data[[#This Row],[Team]],4,5))+(Dyno_Data[[#This Row],[Match]]/100))</f>
        <v>3550.57</v>
      </c>
      <c r="AI3050" s="76">
        <f>ROUND(SUM(IF(Dyno_Data[[#This Row],[AcqCenter]]&gt;0,Dyno_Data[[#This Row],[Time]]-SUMIFS(Dyno_Data[Time],Dyno_Data[Team],Dyno_Data[[#This Row],[Team]],Dyno_Data[RecordType],"StartMatch",Dyno_Data[Match],Dyno_Data[[#This Row],[Match]]),0)*86400),0)</f>
        <v>0</v>
      </c>
    </row>
    <row r="3051" spans="1:35" x14ac:dyDescent="0.3">
      <c r="A3051">
        <v>3044</v>
      </c>
      <c r="B3051" t="s">
        <v>1314</v>
      </c>
      <c r="C3051">
        <v>57</v>
      </c>
      <c r="D3051" s="105">
        <v>45374.372354895837</v>
      </c>
      <c r="E3051" t="s">
        <v>312</v>
      </c>
      <c r="F3051" t="s">
        <v>309</v>
      </c>
      <c r="G3051">
        <v>0</v>
      </c>
      <c r="H3051" t="s">
        <v>143</v>
      </c>
      <c r="I3051">
        <v>2</v>
      </c>
      <c r="J3051">
        <v>1</v>
      </c>
      <c r="K3051">
        <v>0</v>
      </c>
      <c r="L3051" t="s">
        <v>310</v>
      </c>
      <c r="M3051" t="s">
        <v>310</v>
      </c>
      <c r="N3051">
        <v>0</v>
      </c>
      <c r="O3051" t="s">
        <v>1391</v>
      </c>
      <c r="P3051" t="s">
        <v>310</v>
      </c>
      <c r="Q3051" t="s">
        <v>310</v>
      </c>
      <c r="R3051" t="s">
        <v>310</v>
      </c>
      <c r="S3051">
        <v>9</v>
      </c>
      <c r="T3051" t="s">
        <v>310</v>
      </c>
      <c r="U3051">
        <v>9</v>
      </c>
      <c r="V3051">
        <v>9</v>
      </c>
      <c r="W3051">
        <v>0</v>
      </c>
      <c r="X3051">
        <v>0</v>
      </c>
      <c r="Y3051">
        <v>0</v>
      </c>
      <c r="Z3051">
        <v>0</v>
      </c>
      <c r="AA3051">
        <v>9</v>
      </c>
      <c r="AB3051">
        <v>9</v>
      </c>
      <c r="AC3051" t="s">
        <v>310</v>
      </c>
      <c r="AD3051">
        <v>9</v>
      </c>
      <c r="AE3051" t="s">
        <v>1394</v>
      </c>
      <c r="AF3051">
        <v>10000000</v>
      </c>
      <c r="AG3051" t="s">
        <v>310</v>
      </c>
      <c r="AH3051">
        <f>SUM((MID(Dyno_Data[[#This Row],[Team]],4,5))+(Dyno_Data[[#This Row],[Match]]/100))</f>
        <v>3419.57</v>
      </c>
      <c r="AI3051" s="76">
        <f>ROUND(SUM(IF(Dyno_Data[[#This Row],[AcqCenter]]&gt;0,Dyno_Data[[#This Row],[Time]]-SUMIFS(Dyno_Data[Time],Dyno_Data[Team],Dyno_Data[[#This Row],[Team]],Dyno_Data[RecordType],"StartMatch",Dyno_Data[Match],Dyno_Data[[#This Row],[Match]]),0)*86400),0)</f>
        <v>10</v>
      </c>
    </row>
    <row r="3052" spans="1:35" x14ac:dyDescent="0.3">
      <c r="A3052">
        <v>3045</v>
      </c>
      <c r="B3052" t="s">
        <v>1309</v>
      </c>
      <c r="C3052">
        <v>57</v>
      </c>
      <c r="D3052" s="105">
        <v>45374.372382442132</v>
      </c>
      <c r="E3052" t="s">
        <v>312</v>
      </c>
      <c r="F3052" t="s">
        <v>309</v>
      </c>
      <c r="G3052">
        <v>0</v>
      </c>
      <c r="H3052" t="s">
        <v>143</v>
      </c>
      <c r="I3052">
        <v>4</v>
      </c>
      <c r="J3052">
        <v>-1</v>
      </c>
      <c r="K3052">
        <v>0</v>
      </c>
      <c r="L3052" t="s">
        <v>310</v>
      </c>
      <c r="M3052" t="s">
        <v>310</v>
      </c>
      <c r="N3052">
        <v>0</v>
      </c>
      <c r="O3052" t="s">
        <v>311</v>
      </c>
      <c r="P3052" t="s">
        <v>310</v>
      </c>
      <c r="Q3052" t="s">
        <v>310</v>
      </c>
      <c r="R3052" t="s">
        <v>310</v>
      </c>
      <c r="S3052">
        <v>9</v>
      </c>
      <c r="T3052" t="s">
        <v>310</v>
      </c>
      <c r="U3052">
        <v>9</v>
      </c>
      <c r="V3052">
        <v>9</v>
      </c>
      <c r="W3052">
        <v>0</v>
      </c>
      <c r="X3052">
        <v>0</v>
      </c>
      <c r="Y3052">
        <v>0</v>
      </c>
      <c r="Z3052">
        <v>0</v>
      </c>
      <c r="AA3052">
        <v>9</v>
      </c>
      <c r="AB3052">
        <v>9</v>
      </c>
      <c r="AC3052" t="s">
        <v>310</v>
      </c>
      <c r="AD3052">
        <v>9</v>
      </c>
      <c r="AE3052" t="s">
        <v>1388</v>
      </c>
      <c r="AF3052">
        <v>10000000</v>
      </c>
      <c r="AG3052" t="s">
        <v>310</v>
      </c>
      <c r="AH3052">
        <f>SUM((MID(Dyno_Data[[#This Row],[Team]],4,5))+(Dyno_Data[[#This Row],[Match]]/100))</f>
        <v>3550.57</v>
      </c>
      <c r="AI3052" s="76">
        <f>ROUND(SUM(IF(Dyno_Data[[#This Row],[AcqCenter]]&gt;0,Dyno_Data[[#This Row],[Time]]-SUMIFS(Dyno_Data[Time],Dyno_Data[Team],Dyno_Data[[#This Row],[Team]],Dyno_Data[RecordType],"StartMatch",Dyno_Data[Match],Dyno_Data[[#This Row],[Match]]),0)*86400),0)</f>
        <v>12</v>
      </c>
    </row>
    <row r="3053" spans="1:35" x14ac:dyDescent="0.3">
      <c r="A3053">
        <v>3046</v>
      </c>
      <c r="B3053" t="s">
        <v>1314</v>
      </c>
      <c r="C3053">
        <v>57</v>
      </c>
      <c r="D3053" s="105">
        <v>45374.372421793982</v>
      </c>
      <c r="E3053" t="s">
        <v>312</v>
      </c>
      <c r="F3053" t="s">
        <v>309</v>
      </c>
      <c r="G3053">
        <v>0</v>
      </c>
      <c r="H3053" t="s">
        <v>143</v>
      </c>
      <c r="I3053">
        <v>0</v>
      </c>
      <c r="J3053">
        <v>0</v>
      </c>
      <c r="K3053">
        <v>0</v>
      </c>
      <c r="L3053" t="s">
        <v>241</v>
      </c>
      <c r="M3053" t="s">
        <v>1398</v>
      </c>
      <c r="N3053">
        <v>1</v>
      </c>
      <c r="O3053" t="s">
        <v>1391</v>
      </c>
      <c r="P3053" t="s">
        <v>310</v>
      </c>
      <c r="Q3053" t="s">
        <v>310</v>
      </c>
      <c r="R3053" t="s">
        <v>310</v>
      </c>
      <c r="S3053">
        <v>9</v>
      </c>
      <c r="T3053" t="s">
        <v>310</v>
      </c>
      <c r="U3053">
        <v>9</v>
      </c>
      <c r="V3053">
        <v>9</v>
      </c>
      <c r="W3053">
        <v>0</v>
      </c>
      <c r="X3053">
        <v>0</v>
      </c>
      <c r="Y3053">
        <v>0</v>
      </c>
      <c r="Z3053">
        <v>0</v>
      </c>
      <c r="AA3053">
        <v>9</v>
      </c>
      <c r="AB3053">
        <v>9</v>
      </c>
      <c r="AC3053" t="s">
        <v>310</v>
      </c>
      <c r="AD3053">
        <v>9</v>
      </c>
      <c r="AE3053" t="s">
        <v>1394</v>
      </c>
      <c r="AF3053">
        <v>10000000</v>
      </c>
      <c r="AG3053" t="s">
        <v>310</v>
      </c>
      <c r="AH3053">
        <f>SUM((MID(Dyno_Data[[#This Row],[Team]],4,5))+(Dyno_Data[[#This Row],[Match]]/100))</f>
        <v>3419.57</v>
      </c>
      <c r="AI3053" s="76">
        <f>ROUND(SUM(IF(Dyno_Data[[#This Row],[AcqCenter]]&gt;0,Dyno_Data[[#This Row],[Time]]-SUMIFS(Dyno_Data[Time],Dyno_Data[Team],Dyno_Data[[#This Row],[Team]],Dyno_Data[RecordType],"StartMatch",Dyno_Data[Match],Dyno_Data[[#This Row],[Match]]),0)*86400),0)</f>
        <v>0</v>
      </c>
    </row>
    <row r="3054" spans="1:35" x14ac:dyDescent="0.3">
      <c r="A3054">
        <v>3048</v>
      </c>
      <c r="B3054" t="s">
        <v>1289</v>
      </c>
      <c r="C3054">
        <v>57</v>
      </c>
      <c r="D3054" s="105">
        <v>45374.372421793982</v>
      </c>
      <c r="E3054" t="s">
        <v>314</v>
      </c>
      <c r="F3054" t="s">
        <v>309</v>
      </c>
      <c r="G3054">
        <v>1</v>
      </c>
      <c r="H3054" t="s">
        <v>310</v>
      </c>
      <c r="I3054">
        <v>0</v>
      </c>
      <c r="J3054">
        <v>0</v>
      </c>
      <c r="K3054">
        <v>0</v>
      </c>
      <c r="L3054" t="s">
        <v>310</v>
      </c>
      <c r="M3054" t="s">
        <v>310</v>
      </c>
      <c r="N3054">
        <v>0</v>
      </c>
      <c r="O3054" t="s">
        <v>1395</v>
      </c>
      <c r="P3054" t="s">
        <v>101</v>
      </c>
      <c r="Q3054" t="s">
        <v>1400</v>
      </c>
      <c r="R3054" t="s">
        <v>310</v>
      </c>
      <c r="S3054">
        <v>9</v>
      </c>
      <c r="T3054" t="s">
        <v>310</v>
      </c>
      <c r="U3054">
        <v>9</v>
      </c>
      <c r="V3054">
        <v>9</v>
      </c>
      <c r="W3054">
        <v>0</v>
      </c>
      <c r="X3054">
        <v>0</v>
      </c>
      <c r="Y3054">
        <v>0</v>
      </c>
      <c r="Z3054">
        <v>0</v>
      </c>
      <c r="AA3054">
        <v>9</v>
      </c>
      <c r="AB3054">
        <v>9</v>
      </c>
      <c r="AC3054" t="s">
        <v>310</v>
      </c>
      <c r="AD3054">
        <v>9</v>
      </c>
      <c r="AE3054" t="s">
        <v>1396</v>
      </c>
      <c r="AF3054">
        <v>0</v>
      </c>
      <c r="AG3054" t="s">
        <v>310</v>
      </c>
      <c r="AH3054">
        <f>SUM((MID(Dyno_Data[[#This Row],[Team]],4,5))+(Dyno_Data[[#This Row],[Match]]/100))</f>
        <v>6648.57</v>
      </c>
      <c r="AI3054" s="76">
        <f>ROUND(SUM(IF(Dyno_Data[[#This Row],[AcqCenter]]&gt;0,Dyno_Data[[#This Row],[Time]]-SUMIFS(Dyno_Data[Time],Dyno_Data[Team],Dyno_Data[[#This Row],[Team]],Dyno_Data[RecordType],"StartMatch",Dyno_Data[Match],Dyno_Data[[#This Row],[Match]]),0)*86400),0)</f>
        <v>0</v>
      </c>
    </row>
    <row r="3055" spans="1:35" x14ac:dyDescent="0.3">
      <c r="A3055">
        <v>3050</v>
      </c>
      <c r="B3055" t="s">
        <v>1309</v>
      </c>
      <c r="C3055">
        <v>57</v>
      </c>
      <c r="D3055" s="105">
        <v>45374.37244861111</v>
      </c>
      <c r="E3055" t="s">
        <v>314</v>
      </c>
      <c r="F3055" t="s">
        <v>309</v>
      </c>
      <c r="G3055">
        <v>1</v>
      </c>
      <c r="H3055" t="s">
        <v>310</v>
      </c>
      <c r="I3055">
        <v>0</v>
      </c>
      <c r="J3055">
        <v>0</v>
      </c>
      <c r="K3055">
        <v>0</v>
      </c>
      <c r="L3055" t="s">
        <v>310</v>
      </c>
      <c r="M3055" t="s">
        <v>310</v>
      </c>
      <c r="N3055">
        <v>0</v>
      </c>
      <c r="O3055" t="s">
        <v>311</v>
      </c>
      <c r="P3055" t="s">
        <v>101</v>
      </c>
      <c r="Q3055" t="s">
        <v>1399</v>
      </c>
      <c r="R3055" t="s">
        <v>310</v>
      </c>
      <c r="S3055">
        <v>9</v>
      </c>
      <c r="T3055" t="s">
        <v>310</v>
      </c>
      <c r="U3055">
        <v>9</v>
      </c>
      <c r="V3055">
        <v>9</v>
      </c>
      <c r="W3055">
        <v>0</v>
      </c>
      <c r="X3055">
        <v>0</v>
      </c>
      <c r="Y3055">
        <v>0</v>
      </c>
      <c r="Z3055">
        <v>0</v>
      </c>
      <c r="AA3055">
        <v>9</v>
      </c>
      <c r="AB3055">
        <v>9</v>
      </c>
      <c r="AC3055" t="s">
        <v>310</v>
      </c>
      <c r="AD3055">
        <v>9</v>
      </c>
      <c r="AE3055" t="s">
        <v>1388</v>
      </c>
      <c r="AF3055">
        <v>10000000</v>
      </c>
      <c r="AG3055" t="s">
        <v>310</v>
      </c>
      <c r="AH3055">
        <f>SUM((MID(Dyno_Data[[#This Row],[Team]],4,5))+(Dyno_Data[[#This Row],[Match]]/100))</f>
        <v>3550.57</v>
      </c>
      <c r="AI3055" s="76">
        <f>ROUND(SUM(IF(Dyno_Data[[#This Row],[AcqCenter]]&gt;0,Dyno_Data[[#This Row],[Time]]-SUMIFS(Dyno_Data[Time],Dyno_Data[Team],Dyno_Data[[#This Row],[Team]],Dyno_Data[RecordType],"StartMatch",Dyno_Data[Match],Dyno_Data[[#This Row],[Match]]),0)*86400),0)</f>
        <v>0</v>
      </c>
    </row>
    <row r="3056" spans="1:35" x14ac:dyDescent="0.3">
      <c r="A3056">
        <v>3052</v>
      </c>
      <c r="B3056" t="s">
        <v>1294</v>
      </c>
      <c r="C3056">
        <v>57</v>
      </c>
      <c r="D3056" s="105">
        <v>45374.372450034723</v>
      </c>
      <c r="E3056" t="s">
        <v>314</v>
      </c>
      <c r="F3056" t="s">
        <v>309</v>
      </c>
      <c r="G3056">
        <v>1</v>
      </c>
      <c r="H3056" t="s">
        <v>310</v>
      </c>
      <c r="I3056">
        <v>0</v>
      </c>
      <c r="J3056">
        <v>0</v>
      </c>
      <c r="K3056">
        <v>0</v>
      </c>
      <c r="L3056" t="s">
        <v>310</v>
      </c>
      <c r="M3056" t="s">
        <v>310</v>
      </c>
      <c r="N3056">
        <v>0</v>
      </c>
      <c r="O3056" t="s">
        <v>1389</v>
      </c>
      <c r="P3056" t="s">
        <v>320</v>
      </c>
      <c r="Q3056" t="s">
        <v>1400</v>
      </c>
      <c r="R3056" t="s">
        <v>310</v>
      </c>
      <c r="S3056">
        <v>9</v>
      </c>
      <c r="T3056" t="s">
        <v>310</v>
      </c>
      <c r="U3056">
        <v>9</v>
      </c>
      <c r="V3056">
        <v>9</v>
      </c>
      <c r="W3056">
        <v>0</v>
      </c>
      <c r="X3056">
        <v>0</v>
      </c>
      <c r="Y3056">
        <v>0</v>
      </c>
      <c r="Z3056">
        <v>0</v>
      </c>
      <c r="AA3056">
        <v>9</v>
      </c>
      <c r="AB3056">
        <v>9</v>
      </c>
      <c r="AC3056" t="s">
        <v>310</v>
      </c>
      <c r="AD3056">
        <v>9</v>
      </c>
      <c r="AE3056" t="s">
        <v>1387</v>
      </c>
      <c r="AF3056">
        <v>0</v>
      </c>
      <c r="AG3056" t="s">
        <v>310</v>
      </c>
      <c r="AH3056">
        <f>SUM((MID(Dyno_Data[[#This Row],[Team]],4,5))+(Dyno_Data[[#This Row],[Match]]/100))</f>
        <v>9076.57</v>
      </c>
      <c r="AI3056" s="76">
        <f>ROUND(SUM(IF(Dyno_Data[[#This Row],[AcqCenter]]&gt;0,Dyno_Data[[#This Row],[Time]]-SUMIFS(Dyno_Data[Time],Dyno_Data[Team],Dyno_Data[[#This Row],[Team]],Dyno_Data[RecordType],"StartMatch",Dyno_Data[Match],Dyno_Data[[#This Row],[Match]]),0)*86400),0)</f>
        <v>0</v>
      </c>
    </row>
    <row r="3057" spans="1:35" x14ac:dyDescent="0.3">
      <c r="A3057">
        <v>3054</v>
      </c>
      <c r="B3057" t="s">
        <v>1277</v>
      </c>
      <c r="C3057">
        <v>57</v>
      </c>
      <c r="D3057" s="105">
        <v>45374.372451469906</v>
      </c>
      <c r="E3057" t="s">
        <v>314</v>
      </c>
      <c r="F3057" t="s">
        <v>309</v>
      </c>
      <c r="G3057">
        <v>1</v>
      </c>
      <c r="H3057" t="s">
        <v>310</v>
      </c>
      <c r="I3057">
        <v>0</v>
      </c>
      <c r="J3057">
        <v>0</v>
      </c>
      <c r="K3057">
        <v>0</v>
      </c>
      <c r="L3057" t="s">
        <v>310</v>
      </c>
      <c r="M3057" t="s">
        <v>310</v>
      </c>
      <c r="N3057">
        <v>0</v>
      </c>
      <c r="O3057" t="s">
        <v>1393</v>
      </c>
      <c r="P3057" t="s">
        <v>240</v>
      </c>
      <c r="Q3057" t="s">
        <v>1399</v>
      </c>
      <c r="R3057" t="s">
        <v>310</v>
      </c>
      <c r="S3057">
        <v>9</v>
      </c>
      <c r="T3057" t="s">
        <v>310</v>
      </c>
      <c r="U3057">
        <v>9</v>
      </c>
      <c r="V3057">
        <v>9</v>
      </c>
      <c r="W3057">
        <v>0</v>
      </c>
      <c r="X3057">
        <v>0</v>
      </c>
      <c r="Y3057">
        <v>0</v>
      </c>
      <c r="Z3057">
        <v>0</v>
      </c>
      <c r="AA3057">
        <v>9</v>
      </c>
      <c r="AB3057">
        <v>9</v>
      </c>
      <c r="AC3057" t="s">
        <v>310</v>
      </c>
      <c r="AD3057">
        <v>9</v>
      </c>
      <c r="AE3057" t="s">
        <v>1392</v>
      </c>
      <c r="AF3057">
        <v>0</v>
      </c>
      <c r="AG3057" t="s">
        <v>310</v>
      </c>
      <c r="AH3057">
        <f>SUM((MID(Dyno_Data[[#This Row],[Team]],4,5))+(Dyno_Data[[#This Row],[Match]]/100))</f>
        <v>3360.57</v>
      </c>
      <c r="AI3057" s="76">
        <f>ROUND(SUM(IF(Dyno_Data[[#This Row],[AcqCenter]]&gt;0,Dyno_Data[[#This Row],[Time]]-SUMIFS(Dyno_Data[Time],Dyno_Data[Team],Dyno_Data[[#This Row],[Team]],Dyno_Data[RecordType],"StartMatch",Dyno_Data[Match],Dyno_Data[[#This Row],[Match]]),0)*86400),0)</f>
        <v>0</v>
      </c>
    </row>
    <row r="3058" spans="1:35" x14ac:dyDescent="0.3">
      <c r="A3058">
        <v>3056</v>
      </c>
      <c r="B3058" t="s">
        <v>1282</v>
      </c>
      <c r="C3058">
        <v>57</v>
      </c>
      <c r="D3058" s="105">
        <v>45374.372452199073</v>
      </c>
      <c r="E3058" t="s">
        <v>314</v>
      </c>
      <c r="F3058" t="s">
        <v>309</v>
      </c>
      <c r="G3058">
        <v>1</v>
      </c>
      <c r="H3058" t="s">
        <v>310</v>
      </c>
      <c r="I3058">
        <v>0</v>
      </c>
      <c r="J3058">
        <v>0</v>
      </c>
      <c r="K3058">
        <v>0</v>
      </c>
      <c r="L3058" t="s">
        <v>310</v>
      </c>
      <c r="M3058" t="s">
        <v>310</v>
      </c>
      <c r="N3058">
        <v>0</v>
      </c>
      <c r="O3058" t="s">
        <v>319</v>
      </c>
      <c r="P3058" t="s">
        <v>240</v>
      </c>
      <c r="Q3058" t="s">
        <v>1400</v>
      </c>
      <c r="R3058" t="s">
        <v>310</v>
      </c>
      <c r="S3058">
        <v>9</v>
      </c>
      <c r="T3058" t="s">
        <v>310</v>
      </c>
      <c r="U3058">
        <v>9</v>
      </c>
      <c r="V3058">
        <v>9</v>
      </c>
      <c r="W3058">
        <v>0</v>
      </c>
      <c r="X3058">
        <v>0</v>
      </c>
      <c r="Y3058">
        <v>0</v>
      </c>
      <c r="Z3058">
        <v>0</v>
      </c>
      <c r="AA3058">
        <v>9</v>
      </c>
      <c r="AB3058">
        <v>9</v>
      </c>
      <c r="AC3058" t="s">
        <v>310</v>
      </c>
      <c r="AD3058">
        <v>9</v>
      </c>
      <c r="AE3058" t="s">
        <v>1390</v>
      </c>
      <c r="AF3058">
        <v>0</v>
      </c>
      <c r="AG3058" t="s">
        <v>310</v>
      </c>
      <c r="AH3058">
        <f>SUM((MID(Dyno_Data[[#This Row],[Team]],4,5))+(Dyno_Data[[#This Row],[Match]]/100))</f>
        <v>333.57</v>
      </c>
      <c r="AI3058" s="76">
        <f>ROUND(SUM(IF(Dyno_Data[[#This Row],[AcqCenter]]&gt;0,Dyno_Data[[#This Row],[Time]]-SUMIFS(Dyno_Data[Time],Dyno_Data[Team],Dyno_Data[[#This Row],[Team]],Dyno_Data[RecordType],"StartMatch",Dyno_Data[Match],Dyno_Data[[#This Row],[Match]]),0)*86400),0)</f>
        <v>0</v>
      </c>
    </row>
    <row r="3059" spans="1:35" x14ac:dyDescent="0.3">
      <c r="A3059">
        <v>3058</v>
      </c>
      <c r="B3059" t="s">
        <v>1314</v>
      </c>
      <c r="C3059">
        <v>57</v>
      </c>
      <c r="D3059" s="105">
        <v>45374.372453043979</v>
      </c>
      <c r="E3059" t="s">
        <v>314</v>
      </c>
      <c r="F3059" t="s">
        <v>309</v>
      </c>
      <c r="G3059">
        <v>1</v>
      </c>
      <c r="H3059" t="s">
        <v>310</v>
      </c>
      <c r="I3059">
        <v>0</v>
      </c>
      <c r="J3059">
        <v>0</v>
      </c>
      <c r="K3059">
        <v>0</v>
      </c>
      <c r="L3059" t="s">
        <v>310</v>
      </c>
      <c r="M3059" t="s">
        <v>310</v>
      </c>
      <c r="N3059">
        <v>0</v>
      </c>
      <c r="O3059" t="s">
        <v>1391</v>
      </c>
      <c r="P3059" t="s">
        <v>1401</v>
      </c>
      <c r="Q3059" t="s">
        <v>1400</v>
      </c>
      <c r="R3059" t="s">
        <v>310</v>
      </c>
      <c r="S3059">
        <v>9</v>
      </c>
      <c r="T3059" t="s">
        <v>310</v>
      </c>
      <c r="U3059">
        <v>9</v>
      </c>
      <c r="V3059">
        <v>9</v>
      </c>
      <c r="W3059">
        <v>0</v>
      </c>
      <c r="X3059">
        <v>0</v>
      </c>
      <c r="Y3059">
        <v>0</v>
      </c>
      <c r="Z3059">
        <v>0</v>
      </c>
      <c r="AA3059">
        <v>9</v>
      </c>
      <c r="AB3059">
        <v>9</v>
      </c>
      <c r="AC3059" t="s">
        <v>310</v>
      </c>
      <c r="AD3059">
        <v>9</v>
      </c>
      <c r="AE3059" t="s">
        <v>1394</v>
      </c>
      <c r="AF3059">
        <v>10000000</v>
      </c>
      <c r="AG3059" t="s">
        <v>310</v>
      </c>
      <c r="AH3059">
        <f>SUM((MID(Dyno_Data[[#This Row],[Team]],4,5))+(Dyno_Data[[#This Row],[Match]]/100))</f>
        <v>3419.57</v>
      </c>
      <c r="AI3059" s="76">
        <f>ROUND(SUM(IF(Dyno_Data[[#This Row],[AcqCenter]]&gt;0,Dyno_Data[[#This Row],[Time]]-SUMIFS(Dyno_Data[Time],Dyno_Data[Team],Dyno_Data[[#This Row],[Team]],Dyno_Data[RecordType],"StartMatch",Dyno_Data[Match],Dyno_Data[[#This Row],[Match]]),0)*86400),0)</f>
        <v>0</v>
      </c>
    </row>
    <row r="3060" spans="1:35" x14ac:dyDescent="0.3">
      <c r="A3060">
        <v>3059</v>
      </c>
      <c r="B3060" t="s">
        <v>1309</v>
      </c>
      <c r="C3060">
        <v>57</v>
      </c>
      <c r="D3060" s="105">
        <v>45374.372525891202</v>
      </c>
      <c r="E3060" t="s">
        <v>312</v>
      </c>
      <c r="F3060" t="s">
        <v>1402</v>
      </c>
      <c r="G3060">
        <v>0</v>
      </c>
      <c r="H3060" t="s">
        <v>315</v>
      </c>
      <c r="I3060">
        <v>0</v>
      </c>
      <c r="J3060">
        <v>0</v>
      </c>
      <c r="K3060">
        <v>0</v>
      </c>
      <c r="L3060" t="s">
        <v>241</v>
      </c>
      <c r="M3060" t="s">
        <v>101</v>
      </c>
      <c r="N3060">
        <v>0</v>
      </c>
      <c r="O3060" t="s">
        <v>311</v>
      </c>
      <c r="P3060" t="s">
        <v>310</v>
      </c>
      <c r="Q3060" t="s">
        <v>310</v>
      </c>
      <c r="R3060" t="s">
        <v>310</v>
      </c>
      <c r="S3060">
        <v>9</v>
      </c>
      <c r="T3060" t="s">
        <v>310</v>
      </c>
      <c r="U3060">
        <v>9</v>
      </c>
      <c r="V3060">
        <v>9</v>
      </c>
      <c r="W3060">
        <v>0</v>
      </c>
      <c r="X3060">
        <v>0</v>
      </c>
      <c r="Y3060">
        <v>0</v>
      </c>
      <c r="Z3060">
        <v>0</v>
      </c>
      <c r="AA3060">
        <v>9</v>
      </c>
      <c r="AB3060">
        <v>9</v>
      </c>
      <c r="AC3060" t="s">
        <v>310</v>
      </c>
      <c r="AD3060">
        <v>9</v>
      </c>
      <c r="AE3060" t="s">
        <v>1388</v>
      </c>
      <c r="AF3060">
        <v>20000000</v>
      </c>
      <c r="AG3060" t="s">
        <v>310</v>
      </c>
      <c r="AH3060">
        <f>SUM((MID(Dyno_Data[[#This Row],[Team]],4,5))+(Dyno_Data[[#This Row],[Match]]/100))</f>
        <v>3550.57</v>
      </c>
      <c r="AI3060" s="76">
        <f>ROUND(SUM(IF(Dyno_Data[[#This Row],[AcqCenter]]&gt;0,Dyno_Data[[#This Row],[Time]]-SUMIFS(Dyno_Data[Time],Dyno_Data[Team],Dyno_Data[[#This Row],[Team]],Dyno_Data[RecordType],"StartMatch",Dyno_Data[Match],Dyno_Data[[#This Row],[Match]]),0)*86400),0)</f>
        <v>0</v>
      </c>
    </row>
    <row r="3061" spans="1:35" x14ac:dyDescent="0.3">
      <c r="A3061">
        <v>3060</v>
      </c>
      <c r="B3061" t="s">
        <v>1314</v>
      </c>
      <c r="C3061">
        <v>57</v>
      </c>
      <c r="D3061" s="105">
        <v>45374.372541817131</v>
      </c>
      <c r="E3061" t="s">
        <v>312</v>
      </c>
      <c r="F3061" t="s">
        <v>1402</v>
      </c>
      <c r="G3061">
        <v>0</v>
      </c>
      <c r="H3061" t="s">
        <v>315</v>
      </c>
      <c r="I3061">
        <v>0</v>
      </c>
      <c r="J3061">
        <v>0</v>
      </c>
      <c r="K3061">
        <v>0</v>
      </c>
      <c r="L3061" t="s">
        <v>240</v>
      </c>
      <c r="M3061" t="s">
        <v>1398</v>
      </c>
      <c r="N3061">
        <v>0</v>
      </c>
      <c r="O3061" t="s">
        <v>1391</v>
      </c>
      <c r="P3061" t="s">
        <v>310</v>
      </c>
      <c r="Q3061" t="s">
        <v>310</v>
      </c>
      <c r="R3061" t="s">
        <v>310</v>
      </c>
      <c r="S3061">
        <v>9</v>
      </c>
      <c r="T3061" t="s">
        <v>310</v>
      </c>
      <c r="U3061">
        <v>9</v>
      </c>
      <c r="V3061">
        <v>9</v>
      </c>
      <c r="W3061">
        <v>0</v>
      </c>
      <c r="X3061">
        <v>0</v>
      </c>
      <c r="Y3061">
        <v>0</v>
      </c>
      <c r="Z3061">
        <v>0</v>
      </c>
      <c r="AA3061">
        <v>9</v>
      </c>
      <c r="AB3061">
        <v>9</v>
      </c>
      <c r="AC3061" t="s">
        <v>310</v>
      </c>
      <c r="AD3061">
        <v>9</v>
      </c>
      <c r="AE3061" t="s">
        <v>1394</v>
      </c>
      <c r="AF3061">
        <v>20000000</v>
      </c>
      <c r="AG3061" t="s">
        <v>310</v>
      </c>
      <c r="AH3061">
        <f>SUM((MID(Dyno_Data[[#This Row],[Team]],4,5))+(Dyno_Data[[#This Row],[Match]]/100))</f>
        <v>3419.57</v>
      </c>
      <c r="AI3061" s="76">
        <f>ROUND(SUM(IF(Dyno_Data[[#This Row],[AcqCenter]]&gt;0,Dyno_Data[[#This Row],[Time]]-SUMIFS(Dyno_Data[Time],Dyno_Data[Team],Dyno_Data[[#This Row],[Team]],Dyno_Data[RecordType],"StartMatch",Dyno_Data[Match],Dyno_Data[[#This Row],[Match]]),0)*86400),0)</f>
        <v>0</v>
      </c>
    </row>
    <row r="3062" spans="1:35" x14ac:dyDescent="0.3">
      <c r="A3062">
        <v>3061</v>
      </c>
      <c r="B3062" t="s">
        <v>1294</v>
      </c>
      <c r="C3062">
        <v>57</v>
      </c>
      <c r="D3062" s="105">
        <v>45374.372564351848</v>
      </c>
      <c r="E3062" t="s">
        <v>312</v>
      </c>
      <c r="F3062" t="s">
        <v>1402</v>
      </c>
      <c r="G3062">
        <v>0</v>
      </c>
      <c r="H3062" t="s">
        <v>1397</v>
      </c>
      <c r="I3062">
        <v>0</v>
      </c>
      <c r="J3062">
        <v>0</v>
      </c>
      <c r="K3062">
        <v>0</v>
      </c>
      <c r="L3062" t="s">
        <v>240</v>
      </c>
      <c r="M3062" t="s">
        <v>1398</v>
      </c>
      <c r="N3062">
        <v>0</v>
      </c>
      <c r="O3062" t="s">
        <v>1389</v>
      </c>
      <c r="P3062" t="s">
        <v>310</v>
      </c>
      <c r="Q3062" t="s">
        <v>310</v>
      </c>
      <c r="R3062" t="s">
        <v>310</v>
      </c>
      <c r="S3062">
        <v>9</v>
      </c>
      <c r="T3062" t="s">
        <v>310</v>
      </c>
      <c r="U3062">
        <v>9</v>
      </c>
      <c r="V3062">
        <v>9</v>
      </c>
      <c r="W3062">
        <v>0</v>
      </c>
      <c r="X3062">
        <v>0</v>
      </c>
      <c r="Y3062">
        <v>0</v>
      </c>
      <c r="Z3062">
        <v>0</v>
      </c>
      <c r="AA3062">
        <v>9</v>
      </c>
      <c r="AB3062">
        <v>9</v>
      </c>
      <c r="AC3062" t="s">
        <v>310</v>
      </c>
      <c r="AD3062">
        <v>9</v>
      </c>
      <c r="AE3062" t="s">
        <v>1387</v>
      </c>
      <c r="AF3062">
        <v>0</v>
      </c>
      <c r="AG3062" t="s">
        <v>310</v>
      </c>
      <c r="AH3062">
        <f>SUM((MID(Dyno_Data[[#This Row],[Team]],4,5))+(Dyno_Data[[#This Row],[Match]]/100))</f>
        <v>9076.57</v>
      </c>
      <c r="AI3062" s="76">
        <f>ROUND(SUM(IF(Dyno_Data[[#This Row],[AcqCenter]]&gt;0,Dyno_Data[[#This Row],[Time]]-SUMIFS(Dyno_Data[Time],Dyno_Data[Team],Dyno_Data[[#This Row],[Team]],Dyno_Data[RecordType],"StartMatch",Dyno_Data[Match],Dyno_Data[[#This Row],[Match]]),0)*86400),0)</f>
        <v>0</v>
      </c>
    </row>
    <row r="3063" spans="1:35" x14ac:dyDescent="0.3">
      <c r="A3063">
        <v>3062</v>
      </c>
      <c r="B3063" t="s">
        <v>1289</v>
      </c>
      <c r="C3063">
        <v>57</v>
      </c>
      <c r="D3063" s="105">
        <v>45374.372578090275</v>
      </c>
      <c r="E3063" t="s">
        <v>312</v>
      </c>
      <c r="F3063" t="s">
        <v>1402</v>
      </c>
      <c r="G3063">
        <v>0</v>
      </c>
      <c r="H3063" t="s">
        <v>1397</v>
      </c>
      <c r="I3063">
        <v>0</v>
      </c>
      <c r="J3063">
        <v>0</v>
      </c>
      <c r="K3063">
        <v>0</v>
      </c>
      <c r="L3063" t="s">
        <v>241</v>
      </c>
      <c r="M3063" t="s">
        <v>101</v>
      </c>
      <c r="N3063">
        <v>0</v>
      </c>
      <c r="O3063" t="s">
        <v>1395</v>
      </c>
      <c r="P3063" t="s">
        <v>310</v>
      </c>
      <c r="Q3063" t="s">
        <v>310</v>
      </c>
      <c r="R3063" t="s">
        <v>310</v>
      </c>
      <c r="S3063">
        <v>9</v>
      </c>
      <c r="T3063" t="s">
        <v>310</v>
      </c>
      <c r="U3063">
        <v>9</v>
      </c>
      <c r="V3063">
        <v>9</v>
      </c>
      <c r="W3063">
        <v>0</v>
      </c>
      <c r="X3063">
        <v>0</v>
      </c>
      <c r="Y3063">
        <v>0</v>
      </c>
      <c r="Z3063">
        <v>0</v>
      </c>
      <c r="AA3063">
        <v>9</v>
      </c>
      <c r="AB3063">
        <v>9</v>
      </c>
      <c r="AC3063" t="s">
        <v>310</v>
      </c>
      <c r="AD3063">
        <v>9</v>
      </c>
      <c r="AE3063" t="s">
        <v>1396</v>
      </c>
      <c r="AF3063">
        <v>0</v>
      </c>
      <c r="AG3063" t="s">
        <v>310</v>
      </c>
      <c r="AH3063">
        <f>SUM((MID(Dyno_Data[[#This Row],[Team]],4,5))+(Dyno_Data[[#This Row],[Match]]/100))</f>
        <v>6648.57</v>
      </c>
      <c r="AI3063" s="76">
        <f>ROUND(SUM(IF(Dyno_Data[[#This Row],[AcqCenter]]&gt;0,Dyno_Data[[#This Row],[Time]]-SUMIFS(Dyno_Data[Time],Dyno_Data[Team],Dyno_Data[[#This Row],[Team]],Dyno_Data[RecordType],"StartMatch",Dyno_Data[Match],Dyno_Data[[#This Row],[Match]]),0)*86400),0)</f>
        <v>0</v>
      </c>
    </row>
    <row r="3064" spans="1:35" x14ac:dyDescent="0.3">
      <c r="A3064">
        <v>3063</v>
      </c>
      <c r="B3064" t="s">
        <v>1282</v>
      </c>
      <c r="C3064">
        <v>57</v>
      </c>
      <c r="D3064" s="105">
        <v>45374.372595451387</v>
      </c>
      <c r="E3064" t="s">
        <v>312</v>
      </c>
      <c r="F3064" t="s">
        <v>1402</v>
      </c>
      <c r="G3064">
        <v>0</v>
      </c>
      <c r="H3064" t="s">
        <v>315</v>
      </c>
      <c r="I3064">
        <v>0</v>
      </c>
      <c r="J3064">
        <v>0</v>
      </c>
      <c r="K3064">
        <v>0</v>
      </c>
      <c r="L3064" t="s">
        <v>241</v>
      </c>
      <c r="M3064" t="s">
        <v>1398</v>
      </c>
      <c r="N3064">
        <v>1</v>
      </c>
      <c r="O3064" t="s">
        <v>319</v>
      </c>
      <c r="P3064" t="s">
        <v>310</v>
      </c>
      <c r="Q3064" t="s">
        <v>310</v>
      </c>
      <c r="R3064" t="s">
        <v>310</v>
      </c>
      <c r="S3064">
        <v>9</v>
      </c>
      <c r="T3064" t="s">
        <v>310</v>
      </c>
      <c r="U3064">
        <v>9</v>
      </c>
      <c r="V3064">
        <v>9</v>
      </c>
      <c r="W3064">
        <v>0</v>
      </c>
      <c r="X3064">
        <v>0</v>
      </c>
      <c r="Y3064">
        <v>0</v>
      </c>
      <c r="Z3064">
        <v>0</v>
      </c>
      <c r="AA3064">
        <v>9</v>
      </c>
      <c r="AB3064">
        <v>9</v>
      </c>
      <c r="AC3064" t="s">
        <v>310</v>
      </c>
      <c r="AD3064">
        <v>9</v>
      </c>
      <c r="AE3064" t="s">
        <v>1390</v>
      </c>
      <c r="AF3064">
        <v>10000000</v>
      </c>
      <c r="AG3064" t="s">
        <v>310</v>
      </c>
      <c r="AH3064">
        <f>SUM((MID(Dyno_Data[[#This Row],[Team]],4,5))+(Dyno_Data[[#This Row],[Match]]/100))</f>
        <v>333.57</v>
      </c>
      <c r="AI3064" s="76">
        <f>ROUND(SUM(IF(Dyno_Data[[#This Row],[AcqCenter]]&gt;0,Dyno_Data[[#This Row],[Time]]-SUMIFS(Dyno_Data[Time],Dyno_Data[Team],Dyno_Data[[#This Row],[Team]],Dyno_Data[RecordType],"StartMatch",Dyno_Data[Match],Dyno_Data[[#This Row],[Match]]),0)*86400),0)</f>
        <v>0</v>
      </c>
    </row>
    <row r="3065" spans="1:35" x14ac:dyDescent="0.3">
      <c r="A3065">
        <v>3064</v>
      </c>
      <c r="B3065" t="s">
        <v>1314</v>
      </c>
      <c r="C3065">
        <v>57</v>
      </c>
      <c r="D3065" s="105">
        <v>45374.372615277774</v>
      </c>
      <c r="E3065" t="s">
        <v>312</v>
      </c>
      <c r="F3065" t="s">
        <v>1402</v>
      </c>
      <c r="G3065">
        <v>0</v>
      </c>
      <c r="H3065" t="s">
        <v>315</v>
      </c>
      <c r="I3065">
        <v>0</v>
      </c>
      <c r="J3065">
        <v>0</v>
      </c>
      <c r="K3065">
        <v>0</v>
      </c>
      <c r="L3065" t="s">
        <v>240</v>
      </c>
      <c r="M3065" t="s">
        <v>1398</v>
      </c>
      <c r="N3065">
        <v>0</v>
      </c>
      <c r="O3065" t="s">
        <v>1391</v>
      </c>
      <c r="P3065" t="s">
        <v>310</v>
      </c>
      <c r="Q3065" t="s">
        <v>310</v>
      </c>
      <c r="R3065" t="s">
        <v>310</v>
      </c>
      <c r="S3065">
        <v>9</v>
      </c>
      <c r="T3065" t="s">
        <v>310</v>
      </c>
      <c r="U3065">
        <v>9</v>
      </c>
      <c r="V3065">
        <v>9</v>
      </c>
      <c r="W3065">
        <v>0</v>
      </c>
      <c r="X3065">
        <v>0</v>
      </c>
      <c r="Y3065">
        <v>0</v>
      </c>
      <c r="Z3065">
        <v>0</v>
      </c>
      <c r="AA3065">
        <v>9</v>
      </c>
      <c r="AB3065">
        <v>9</v>
      </c>
      <c r="AC3065" t="s">
        <v>310</v>
      </c>
      <c r="AD3065">
        <v>9</v>
      </c>
      <c r="AE3065" t="s">
        <v>1394</v>
      </c>
      <c r="AF3065">
        <v>30000000</v>
      </c>
      <c r="AG3065" t="s">
        <v>310</v>
      </c>
      <c r="AH3065">
        <f>SUM((MID(Dyno_Data[[#This Row],[Team]],4,5))+(Dyno_Data[[#This Row],[Match]]/100))</f>
        <v>3419.57</v>
      </c>
      <c r="AI3065" s="76">
        <f>ROUND(SUM(IF(Dyno_Data[[#This Row],[AcqCenter]]&gt;0,Dyno_Data[[#This Row],[Time]]-SUMIFS(Dyno_Data[Time],Dyno_Data[Team],Dyno_Data[[#This Row],[Team]],Dyno_Data[RecordType],"StartMatch",Dyno_Data[Match],Dyno_Data[[#This Row],[Match]]),0)*86400),0)</f>
        <v>0</v>
      </c>
    </row>
    <row r="3066" spans="1:35" x14ac:dyDescent="0.3">
      <c r="A3066">
        <v>3065</v>
      </c>
      <c r="B3066" t="s">
        <v>1277</v>
      </c>
      <c r="C3066">
        <v>57</v>
      </c>
      <c r="D3066" s="105">
        <v>45374.372648229168</v>
      </c>
      <c r="E3066" t="s">
        <v>312</v>
      </c>
      <c r="F3066" t="s">
        <v>1402</v>
      </c>
      <c r="G3066">
        <v>0</v>
      </c>
      <c r="H3066" t="s">
        <v>315</v>
      </c>
      <c r="I3066">
        <v>0</v>
      </c>
      <c r="J3066">
        <v>0</v>
      </c>
      <c r="K3066">
        <v>0</v>
      </c>
      <c r="L3066" t="s">
        <v>240</v>
      </c>
      <c r="M3066" t="s">
        <v>1398</v>
      </c>
      <c r="N3066">
        <v>1</v>
      </c>
      <c r="O3066" t="s">
        <v>1393</v>
      </c>
      <c r="P3066" t="s">
        <v>310</v>
      </c>
      <c r="Q3066" t="s">
        <v>310</v>
      </c>
      <c r="R3066" t="s">
        <v>310</v>
      </c>
      <c r="S3066">
        <v>9</v>
      </c>
      <c r="T3066" t="s">
        <v>310</v>
      </c>
      <c r="U3066">
        <v>9</v>
      </c>
      <c r="V3066">
        <v>9</v>
      </c>
      <c r="W3066">
        <v>0</v>
      </c>
      <c r="X3066">
        <v>0</v>
      </c>
      <c r="Y3066">
        <v>0</v>
      </c>
      <c r="Z3066">
        <v>0</v>
      </c>
      <c r="AA3066">
        <v>9</v>
      </c>
      <c r="AB3066">
        <v>9</v>
      </c>
      <c r="AC3066" t="s">
        <v>310</v>
      </c>
      <c r="AD3066">
        <v>9</v>
      </c>
      <c r="AE3066" t="s">
        <v>1392</v>
      </c>
      <c r="AF3066">
        <v>10000000</v>
      </c>
      <c r="AG3066" t="s">
        <v>310</v>
      </c>
      <c r="AH3066">
        <f>SUM((MID(Dyno_Data[[#This Row],[Team]],4,5))+(Dyno_Data[[#This Row],[Match]]/100))</f>
        <v>3360.57</v>
      </c>
      <c r="AI3066" s="76">
        <f>ROUND(SUM(IF(Dyno_Data[[#This Row],[AcqCenter]]&gt;0,Dyno_Data[[#This Row],[Time]]-SUMIFS(Dyno_Data[Time],Dyno_Data[Team],Dyno_Data[[#This Row],[Team]],Dyno_Data[RecordType],"StartMatch",Dyno_Data[Match],Dyno_Data[[#This Row],[Match]]),0)*86400),0)</f>
        <v>0</v>
      </c>
    </row>
    <row r="3067" spans="1:35" x14ac:dyDescent="0.3">
      <c r="A3067">
        <v>3066</v>
      </c>
      <c r="B3067" t="s">
        <v>1309</v>
      </c>
      <c r="C3067">
        <v>57</v>
      </c>
      <c r="D3067" s="105">
        <v>45374.372655555555</v>
      </c>
      <c r="E3067" t="s">
        <v>312</v>
      </c>
      <c r="F3067" t="s">
        <v>1402</v>
      </c>
      <c r="G3067">
        <v>0</v>
      </c>
      <c r="H3067" t="s">
        <v>315</v>
      </c>
      <c r="I3067">
        <v>0</v>
      </c>
      <c r="J3067">
        <v>0</v>
      </c>
      <c r="K3067">
        <v>0</v>
      </c>
      <c r="L3067" t="s">
        <v>241</v>
      </c>
      <c r="M3067" t="s">
        <v>101</v>
      </c>
      <c r="N3067">
        <v>0</v>
      </c>
      <c r="O3067" t="s">
        <v>311</v>
      </c>
      <c r="P3067" t="s">
        <v>310</v>
      </c>
      <c r="Q3067" t="s">
        <v>310</v>
      </c>
      <c r="R3067" t="s">
        <v>310</v>
      </c>
      <c r="S3067">
        <v>9</v>
      </c>
      <c r="T3067" t="s">
        <v>310</v>
      </c>
      <c r="U3067">
        <v>9</v>
      </c>
      <c r="V3067">
        <v>9</v>
      </c>
      <c r="W3067">
        <v>0</v>
      </c>
      <c r="X3067">
        <v>0</v>
      </c>
      <c r="Y3067">
        <v>0</v>
      </c>
      <c r="Z3067">
        <v>0</v>
      </c>
      <c r="AA3067">
        <v>9</v>
      </c>
      <c r="AB3067">
        <v>9</v>
      </c>
      <c r="AC3067" t="s">
        <v>310</v>
      </c>
      <c r="AD3067">
        <v>9</v>
      </c>
      <c r="AE3067" t="s">
        <v>1388</v>
      </c>
      <c r="AF3067">
        <v>30000000</v>
      </c>
      <c r="AG3067" t="s">
        <v>310</v>
      </c>
      <c r="AH3067">
        <f>SUM((MID(Dyno_Data[[#This Row],[Team]],4,5))+(Dyno_Data[[#This Row],[Match]]/100))</f>
        <v>3550.57</v>
      </c>
      <c r="AI3067" s="76">
        <f>ROUND(SUM(IF(Dyno_Data[[#This Row],[AcqCenter]]&gt;0,Dyno_Data[[#This Row],[Time]]-SUMIFS(Dyno_Data[Time],Dyno_Data[Team],Dyno_Data[[#This Row],[Team]],Dyno_Data[RecordType],"StartMatch",Dyno_Data[Match],Dyno_Data[[#This Row],[Match]]),0)*86400),0)</f>
        <v>0</v>
      </c>
    </row>
    <row r="3068" spans="1:35" x14ac:dyDescent="0.3">
      <c r="A3068">
        <v>3067</v>
      </c>
      <c r="B3068" t="s">
        <v>1314</v>
      </c>
      <c r="C3068">
        <v>57</v>
      </c>
      <c r="D3068" s="105">
        <v>45374.372735879631</v>
      </c>
      <c r="E3068" t="s">
        <v>312</v>
      </c>
      <c r="F3068" t="s">
        <v>1402</v>
      </c>
      <c r="G3068">
        <v>0</v>
      </c>
      <c r="H3068" t="s">
        <v>315</v>
      </c>
      <c r="I3068">
        <v>0</v>
      </c>
      <c r="J3068">
        <v>0</v>
      </c>
      <c r="K3068">
        <v>0</v>
      </c>
      <c r="L3068" t="s">
        <v>240</v>
      </c>
      <c r="M3068" t="s">
        <v>1398</v>
      </c>
      <c r="N3068">
        <v>0</v>
      </c>
      <c r="O3068" t="s">
        <v>1391</v>
      </c>
      <c r="P3068" t="s">
        <v>310</v>
      </c>
      <c r="Q3068" t="s">
        <v>310</v>
      </c>
      <c r="R3068" t="s">
        <v>310</v>
      </c>
      <c r="S3068">
        <v>9</v>
      </c>
      <c r="T3068" t="s">
        <v>310</v>
      </c>
      <c r="U3068">
        <v>9</v>
      </c>
      <c r="V3068">
        <v>9</v>
      </c>
      <c r="W3068">
        <v>0</v>
      </c>
      <c r="X3068">
        <v>0</v>
      </c>
      <c r="Y3068">
        <v>0</v>
      </c>
      <c r="Z3068">
        <v>0</v>
      </c>
      <c r="AA3068">
        <v>9</v>
      </c>
      <c r="AB3068">
        <v>9</v>
      </c>
      <c r="AC3068" t="s">
        <v>310</v>
      </c>
      <c r="AD3068">
        <v>9</v>
      </c>
      <c r="AE3068" t="s">
        <v>1394</v>
      </c>
      <c r="AF3068">
        <v>40000000</v>
      </c>
      <c r="AG3068" t="s">
        <v>310</v>
      </c>
      <c r="AH3068">
        <f>SUM((MID(Dyno_Data[[#This Row],[Team]],4,5))+(Dyno_Data[[#This Row],[Match]]/100))</f>
        <v>3419.57</v>
      </c>
      <c r="AI3068" s="76">
        <f>ROUND(SUM(IF(Dyno_Data[[#This Row],[AcqCenter]]&gt;0,Dyno_Data[[#This Row],[Time]]-SUMIFS(Dyno_Data[Time],Dyno_Data[Team],Dyno_Data[[#This Row],[Team]],Dyno_Data[RecordType],"StartMatch",Dyno_Data[Match],Dyno_Data[[#This Row],[Match]]),0)*86400),0)</f>
        <v>0</v>
      </c>
    </row>
    <row r="3069" spans="1:35" x14ac:dyDescent="0.3">
      <c r="A3069">
        <v>3068</v>
      </c>
      <c r="B3069" t="s">
        <v>1294</v>
      </c>
      <c r="C3069">
        <v>57</v>
      </c>
      <c r="D3069" s="105">
        <v>45374.372738738428</v>
      </c>
      <c r="E3069" t="s">
        <v>312</v>
      </c>
      <c r="F3069" t="s">
        <v>1402</v>
      </c>
      <c r="G3069">
        <v>0</v>
      </c>
      <c r="H3069" t="s">
        <v>315</v>
      </c>
      <c r="I3069">
        <v>0</v>
      </c>
      <c r="J3069">
        <v>0</v>
      </c>
      <c r="K3069">
        <v>0</v>
      </c>
      <c r="L3069" t="s">
        <v>241</v>
      </c>
      <c r="M3069" t="s">
        <v>1398</v>
      </c>
      <c r="N3069">
        <v>1</v>
      </c>
      <c r="O3069" t="s">
        <v>1389</v>
      </c>
      <c r="P3069" t="s">
        <v>310</v>
      </c>
      <c r="Q3069" t="s">
        <v>310</v>
      </c>
      <c r="R3069" t="s">
        <v>310</v>
      </c>
      <c r="S3069">
        <v>9</v>
      </c>
      <c r="T3069" t="s">
        <v>310</v>
      </c>
      <c r="U3069">
        <v>9</v>
      </c>
      <c r="V3069">
        <v>9</v>
      </c>
      <c r="W3069">
        <v>0</v>
      </c>
      <c r="X3069">
        <v>0</v>
      </c>
      <c r="Y3069">
        <v>0</v>
      </c>
      <c r="Z3069">
        <v>0</v>
      </c>
      <c r="AA3069">
        <v>9</v>
      </c>
      <c r="AB3069">
        <v>9</v>
      </c>
      <c r="AC3069" t="s">
        <v>310</v>
      </c>
      <c r="AD3069">
        <v>9</v>
      </c>
      <c r="AE3069" t="s">
        <v>1387</v>
      </c>
      <c r="AF3069">
        <v>10000000</v>
      </c>
      <c r="AG3069" t="s">
        <v>310</v>
      </c>
      <c r="AH3069">
        <f>SUM((MID(Dyno_Data[[#This Row],[Team]],4,5))+(Dyno_Data[[#This Row],[Match]]/100))</f>
        <v>9076.57</v>
      </c>
      <c r="AI3069" s="76">
        <f>ROUND(SUM(IF(Dyno_Data[[#This Row],[AcqCenter]]&gt;0,Dyno_Data[[#This Row],[Time]]-SUMIFS(Dyno_Data[Time],Dyno_Data[Team],Dyno_Data[[#This Row],[Team]],Dyno_Data[RecordType],"StartMatch",Dyno_Data[Match],Dyno_Data[[#This Row],[Match]]),0)*86400),0)</f>
        <v>0</v>
      </c>
    </row>
    <row r="3070" spans="1:35" x14ac:dyDescent="0.3">
      <c r="A3070">
        <v>3069</v>
      </c>
      <c r="B3070" t="s">
        <v>1314</v>
      </c>
      <c r="C3070">
        <v>57</v>
      </c>
      <c r="D3070" s="105">
        <v>45374.372831215274</v>
      </c>
      <c r="E3070" t="s">
        <v>312</v>
      </c>
      <c r="F3070" t="s">
        <v>1402</v>
      </c>
      <c r="G3070">
        <v>0</v>
      </c>
      <c r="H3070" t="s">
        <v>315</v>
      </c>
      <c r="I3070">
        <v>0</v>
      </c>
      <c r="J3070">
        <v>0</v>
      </c>
      <c r="K3070">
        <v>0</v>
      </c>
      <c r="L3070" t="s">
        <v>240</v>
      </c>
      <c r="M3070" t="s">
        <v>1398</v>
      </c>
      <c r="N3070">
        <v>0</v>
      </c>
      <c r="O3070" t="s">
        <v>1391</v>
      </c>
      <c r="P3070" t="s">
        <v>310</v>
      </c>
      <c r="Q3070" t="s">
        <v>310</v>
      </c>
      <c r="R3070" t="s">
        <v>310</v>
      </c>
      <c r="S3070">
        <v>9</v>
      </c>
      <c r="T3070" t="s">
        <v>310</v>
      </c>
      <c r="U3070">
        <v>9</v>
      </c>
      <c r="V3070">
        <v>9</v>
      </c>
      <c r="W3070">
        <v>0</v>
      </c>
      <c r="X3070">
        <v>0</v>
      </c>
      <c r="Y3070">
        <v>0</v>
      </c>
      <c r="Z3070">
        <v>0</v>
      </c>
      <c r="AA3070">
        <v>9</v>
      </c>
      <c r="AB3070">
        <v>9</v>
      </c>
      <c r="AC3070" t="s">
        <v>310</v>
      </c>
      <c r="AD3070">
        <v>9</v>
      </c>
      <c r="AE3070" t="s">
        <v>1394</v>
      </c>
      <c r="AF3070">
        <v>50000000</v>
      </c>
      <c r="AG3070" t="s">
        <v>310</v>
      </c>
      <c r="AH3070">
        <f>SUM((MID(Dyno_Data[[#This Row],[Team]],4,5))+(Dyno_Data[[#This Row],[Match]]/100))</f>
        <v>3419.57</v>
      </c>
      <c r="AI3070" s="76">
        <f>ROUND(SUM(IF(Dyno_Data[[#This Row],[AcqCenter]]&gt;0,Dyno_Data[[#This Row],[Time]]-SUMIFS(Dyno_Data[Time],Dyno_Data[Team],Dyno_Data[[#This Row],[Team]],Dyno_Data[RecordType],"StartMatch",Dyno_Data[Match],Dyno_Data[[#This Row],[Match]]),0)*86400),0)</f>
        <v>0</v>
      </c>
    </row>
    <row r="3071" spans="1:35" x14ac:dyDescent="0.3">
      <c r="A3071">
        <v>3070</v>
      </c>
      <c r="B3071" t="s">
        <v>1294</v>
      </c>
      <c r="C3071">
        <v>57</v>
      </c>
      <c r="D3071" s="105">
        <v>45374.372837650466</v>
      </c>
      <c r="E3071" t="s">
        <v>312</v>
      </c>
      <c r="F3071" t="s">
        <v>1402</v>
      </c>
      <c r="G3071">
        <v>0</v>
      </c>
      <c r="H3071" t="s">
        <v>315</v>
      </c>
      <c r="I3071">
        <v>0</v>
      </c>
      <c r="J3071">
        <v>0</v>
      </c>
      <c r="K3071">
        <v>0</v>
      </c>
      <c r="L3071" t="s">
        <v>240</v>
      </c>
      <c r="M3071" t="s">
        <v>1398</v>
      </c>
      <c r="N3071">
        <v>0</v>
      </c>
      <c r="O3071" t="s">
        <v>1389</v>
      </c>
      <c r="P3071" t="s">
        <v>310</v>
      </c>
      <c r="Q3071" t="s">
        <v>310</v>
      </c>
      <c r="R3071" t="s">
        <v>310</v>
      </c>
      <c r="S3071">
        <v>9</v>
      </c>
      <c r="T3071" t="s">
        <v>310</v>
      </c>
      <c r="U3071">
        <v>9</v>
      </c>
      <c r="V3071">
        <v>9</v>
      </c>
      <c r="W3071">
        <v>0</v>
      </c>
      <c r="X3071">
        <v>0</v>
      </c>
      <c r="Y3071">
        <v>0</v>
      </c>
      <c r="Z3071">
        <v>0</v>
      </c>
      <c r="AA3071">
        <v>9</v>
      </c>
      <c r="AB3071">
        <v>9</v>
      </c>
      <c r="AC3071" t="s">
        <v>310</v>
      </c>
      <c r="AD3071">
        <v>9</v>
      </c>
      <c r="AE3071" t="s">
        <v>1387</v>
      </c>
      <c r="AF3071">
        <v>20000000</v>
      </c>
      <c r="AG3071" t="s">
        <v>310</v>
      </c>
      <c r="AH3071">
        <f>SUM((MID(Dyno_Data[[#This Row],[Team]],4,5))+(Dyno_Data[[#This Row],[Match]]/100))</f>
        <v>9076.57</v>
      </c>
      <c r="AI3071" s="76">
        <f>ROUND(SUM(IF(Dyno_Data[[#This Row],[AcqCenter]]&gt;0,Dyno_Data[[#This Row],[Time]]-SUMIFS(Dyno_Data[Time],Dyno_Data[Team],Dyno_Data[[#This Row],[Team]],Dyno_Data[RecordType],"StartMatch",Dyno_Data[Match],Dyno_Data[[#This Row],[Match]]),0)*86400),0)</f>
        <v>0</v>
      </c>
    </row>
    <row r="3072" spans="1:35" x14ac:dyDescent="0.3">
      <c r="A3072">
        <v>3071</v>
      </c>
      <c r="B3072" t="s">
        <v>1314</v>
      </c>
      <c r="C3072">
        <v>57</v>
      </c>
      <c r="D3072" s="105">
        <v>45374.372892789354</v>
      </c>
      <c r="E3072" t="s">
        <v>312</v>
      </c>
      <c r="F3072" t="s">
        <v>1402</v>
      </c>
      <c r="G3072">
        <v>0</v>
      </c>
      <c r="H3072" t="s">
        <v>315</v>
      </c>
      <c r="I3072">
        <v>0</v>
      </c>
      <c r="J3072">
        <v>0</v>
      </c>
      <c r="K3072">
        <v>0</v>
      </c>
      <c r="L3072" t="s">
        <v>240</v>
      </c>
      <c r="M3072" t="s">
        <v>1398</v>
      </c>
      <c r="N3072">
        <v>0</v>
      </c>
      <c r="O3072" t="s">
        <v>1391</v>
      </c>
      <c r="P3072" t="s">
        <v>310</v>
      </c>
      <c r="Q3072" t="s">
        <v>310</v>
      </c>
      <c r="R3072" t="s">
        <v>310</v>
      </c>
      <c r="S3072">
        <v>9</v>
      </c>
      <c r="T3072" t="s">
        <v>310</v>
      </c>
      <c r="U3072">
        <v>9</v>
      </c>
      <c r="V3072">
        <v>9</v>
      </c>
      <c r="W3072">
        <v>0</v>
      </c>
      <c r="X3072">
        <v>0</v>
      </c>
      <c r="Y3072">
        <v>0</v>
      </c>
      <c r="Z3072">
        <v>0</v>
      </c>
      <c r="AA3072">
        <v>9</v>
      </c>
      <c r="AB3072">
        <v>9</v>
      </c>
      <c r="AC3072" t="s">
        <v>310</v>
      </c>
      <c r="AD3072">
        <v>9</v>
      </c>
      <c r="AE3072" t="s">
        <v>1394</v>
      </c>
      <c r="AF3072">
        <v>60000000</v>
      </c>
      <c r="AG3072" t="s">
        <v>310</v>
      </c>
      <c r="AH3072">
        <f>SUM((MID(Dyno_Data[[#This Row],[Team]],4,5))+(Dyno_Data[[#This Row],[Match]]/100))</f>
        <v>3419.57</v>
      </c>
      <c r="AI3072" s="76">
        <f>ROUND(SUM(IF(Dyno_Data[[#This Row],[AcqCenter]]&gt;0,Dyno_Data[[#This Row],[Time]]-SUMIFS(Dyno_Data[Time],Dyno_Data[Team],Dyno_Data[[#This Row],[Team]],Dyno_Data[RecordType],"StartMatch",Dyno_Data[Match],Dyno_Data[[#This Row],[Match]]),0)*86400),0)</f>
        <v>0</v>
      </c>
    </row>
    <row r="3073" spans="1:35" x14ac:dyDescent="0.3">
      <c r="A3073">
        <v>3072</v>
      </c>
      <c r="B3073" t="s">
        <v>1309</v>
      </c>
      <c r="C3073">
        <v>57</v>
      </c>
      <c r="D3073" s="105">
        <v>45374.372909259262</v>
      </c>
      <c r="E3073" t="s">
        <v>312</v>
      </c>
      <c r="F3073" t="s">
        <v>1402</v>
      </c>
      <c r="G3073">
        <v>0</v>
      </c>
      <c r="H3073" t="s">
        <v>315</v>
      </c>
      <c r="I3073">
        <v>0</v>
      </c>
      <c r="J3073">
        <v>0</v>
      </c>
      <c r="K3073">
        <v>0</v>
      </c>
      <c r="L3073" t="s">
        <v>241</v>
      </c>
      <c r="M3073" t="s">
        <v>101</v>
      </c>
      <c r="N3073">
        <v>0</v>
      </c>
      <c r="O3073" t="s">
        <v>311</v>
      </c>
      <c r="P3073" t="s">
        <v>310</v>
      </c>
      <c r="Q3073" t="s">
        <v>310</v>
      </c>
      <c r="R3073" t="s">
        <v>310</v>
      </c>
      <c r="S3073">
        <v>9</v>
      </c>
      <c r="T3073" t="s">
        <v>310</v>
      </c>
      <c r="U3073">
        <v>9</v>
      </c>
      <c r="V3073">
        <v>9</v>
      </c>
      <c r="W3073">
        <v>0</v>
      </c>
      <c r="X3073">
        <v>0</v>
      </c>
      <c r="Y3073">
        <v>0</v>
      </c>
      <c r="Z3073">
        <v>0</v>
      </c>
      <c r="AA3073">
        <v>9</v>
      </c>
      <c r="AB3073">
        <v>9</v>
      </c>
      <c r="AC3073" t="s">
        <v>310</v>
      </c>
      <c r="AD3073">
        <v>9</v>
      </c>
      <c r="AE3073" t="s">
        <v>1388</v>
      </c>
      <c r="AF3073">
        <v>40000000</v>
      </c>
      <c r="AG3073" t="s">
        <v>310</v>
      </c>
      <c r="AH3073">
        <f>SUM((MID(Dyno_Data[[#This Row],[Team]],4,5))+(Dyno_Data[[#This Row],[Match]]/100))</f>
        <v>3550.57</v>
      </c>
      <c r="AI3073" s="76">
        <f>ROUND(SUM(IF(Dyno_Data[[#This Row],[AcqCenter]]&gt;0,Dyno_Data[[#This Row],[Time]]-SUMIFS(Dyno_Data[Time],Dyno_Data[Team],Dyno_Data[[#This Row],[Team]],Dyno_Data[RecordType],"StartMatch",Dyno_Data[Match],Dyno_Data[[#This Row],[Match]]),0)*86400),0)</f>
        <v>0</v>
      </c>
    </row>
    <row r="3074" spans="1:35" x14ac:dyDescent="0.3">
      <c r="A3074">
        <v>3073</v>
      </c>
      <c r="B3074" t="s">
        <v>1277</v>
      </c>
      <c r="C3074">
        <v>57</v>
      </c>
      <c r="D3074" s="105">
        <v>45374.372933946761</v>
      </c>
      <c r="E3074" t="s">
        <v>312</v>
      </c>
      <c r="F3074" t="s">
        <v>1402</v>
      </c>
      <c r="G3074">
        <v>0</v>
      </c>
      <c r="H3074" t="s">
        <v>315</v>
      </c>
      <c r="I3074">
        <v>0</v>
      </c>
      <c r="J3074">
        <v>0</v>
      </c>
      <c r="K3074">
        <v>0</v>
      </c>
      <c r="L3074" t="s">
        <v>241</v>
      </c>
      <c r="M3074" t="s">
        <v>101</v>
      </c>
      <c r="N3074">
        <v>0</v>
      </c>
      <c r="O3074" t="s">
        <v>1393</v>
      </c>
      <c r="P3074" t="s">
        <v>310</v>
      </c>
      <c r="Q3074" t="s">
        <v>310</v>
      </c>
      <c r="R3074" t="s">
        <v>310</v>
      </c>
      <c r="S3074">
        <v>9</v>
      </c>
      <c r="T3074" t="s">
        <v>310</v>
      </c>
      <c r="U3074">
        <v>9</v>
      </c>
      <c r="V3074">
        <v>9</v>
      </c>
      <c r="W3074">
        <v>0</v>
      </c>
      <c r="X3074">
        <v>0</v>
      </c>
      <c r="Y3074">
        <v>0</v>
      </c>
      <c r="Z3074">
        <v>0</v>
      </c>
      <c r="AA3074">
        <v>9</v>
      </c>
      <c r="AB3074">
        <v>9</v>
      </c>
      <c r="AC3074" t="s">
        <v>310</v>
      </c>
      <c r="AD3074">
        <v>9</v>
      </c>
      <c r="AE3074" t="s">
        <v>1392</v>
      </c>
      <c r="AF3074">
        <v>20000000</v>
      </c>
      <c r="AG3074" t="s">
        <v>310</v>
      </c>
      <c r="AH3074">
        <f>SUM((MID(Dyno_Data[[#This Row],[Team]],4,5))+(Dyno_Data[[#This Row],[Match]]/100))</f>
        <v>3360.57</v>
      </c>
      <c r="AI3074" s="76">
        <f>ROUND(SUM(IF(Dyno_Data[[#This Row],[AcqCenter]]&gt;0,Dyno_Data[[#This Row],[Time]]-SUMIFS(Dyno_Data[Time],Dyno_Data[Team],Dyno_Data[[#This Row],[Team]],Dyno_Data[RecordType],"StartMatch",Dyno_Data[Match],Dyno_Data[[#This Row],[Match]]),0)*86400),0)</f>
        <v>0</v>
      </c>
    </row>
    <row r="3075" spans="1:35" x14ac:dyDescent="0.3">
      <c r="A3075">
        <v>3074</v>
      </c>
      <c r="B3075" t="s">
        <v>1277</v>
      </c>
      <c r="C3075">
        <v>57</v>
      </c>
      <c r="D3075" s="105">
        <v>45374.373016284721</v>
      </c>
      <c r="E3075" t="s">
        <v>312</v>
      </c>
      <c r="F3075" t="s">
        <v>1402</v>
      </c>
      <c r="G3075">
        <v>0</v>
      </c>
      <c r="H3075" t="s">
        <v>315</v>
      </c>
      <c r="I3075">
        <v>0</v>
      </c>
      <c r="J3075">
        <v>0</v>
      </c>
      <c r="K3075">
        <v>0</v>
      </c>
      <c r="L3075" t="s">
        <v>241</v>
      </c>
      <c r="M3075" t="s">
        <v>101</v>
      </c>
      <c r="N3075">
        <v>0</v>
      </c>
      <c r="O3075" t="s">
        <v>1393</v>
      </c>
      <c r="P3075" t="s">
        <v>310</v>
      </c>
      <c r="Q3075" t="s">
        <v>310</v>
      </c>
      <c r="R3075" t="s">
        <v>310</v>
      </c>
      <c r="S3075">
        <v>9</v>
      </c>
      <c r="T3075" t="s">
        <v>310</v>
      </c>
      <c r="U3075">
        <v>9</v>
      </c>
      <c r="V3075">
        <v>9</v>
      </c>
      <c r="W3075">
        <v>0</v>
      </c>
      <c r="X3075">
        <v>0</v>
      </c>
      <c r="Y3075">
        <v>0</v>
      </c>
      <c r="Z3075">
        <v>0</v>
      </c>
      <c r="AA3075">
        <v>9</v>
      </c>
      <c r="AB3075">
        <v>9</v>
      </c>
      <c r="AC3075" t="s">
        <v>310</v>
      </c>
      <c r="AD3075">
        <v>9</v>
      </c>
      <c r="AE3075" t="s">
        <v>1392</v>
      </c>
      <c r="AF3075">
        <v>30000000</v>
      </c>
      <c r="AG3075" t="s">
        <v>310</v>
      </c>
      <c r="AH3075">
        <f>SUM((MID(Dyno_Data[[#This Row],[Team]],4,5))+(Dyno_Data[[#This Row],[Match]]/100))</f>
        <v>3360.57</v>
      </c>
      <c r="AI3075" s="76">
        <f>ROUND(SUM(IF(Dyno_Data[[#This Row],[AcqCenter]]&gt;0,Dyno_Data[[#This Row],[Time]]-SUMIFS(Dyno_Data[Time],Dyno_Data[Team],Dyno_Data[[#This Row],[Team]],Dyno_Data[RecordType],"StartMatch",Dyno_Data[Match],Dyno_Data[[#This Row],[Match]]),0)*86400),0)</f>
        <v>0</v>
      </c>
    </row>
    <row r="3076" spans="1:35" x14ac:dyDescent="0.3">
      <c r="A3076">
        <v>3075</v>
      </c>
      <c r="B3076" t="s">
        <v>1314</v>
      </c>
      <c r="C3076">
        <v>57</v>
      </c>
      <c r="D3076" s="105">
        <v>45374.373048379632</v>
      </c>
      <c r="E3076" t="s">
        <v>312</v>
      </c>
      <c r="F3076" t="s">
        <v>1402</v>
      </c>
      <c r="G3076">
        <v>0</v>
      </c>
      <c r="H3076" t="s">
        <v>315</v>
      </c>
      <c r="I3076">
        <v>0</v>
      </c>
      <c r="J3076">
        <v>0</v>
      </c>
      <c r="K3076">
        <v>0</v>
      </c>
      <c r="L3076" t="s">
        <v>240</v>
      </c>
      <c r="M3076" t="s">
        <v>1398</v>
      </c>
      <c r="N3076">
        <v>0</v>
      </c>
      <c r="O3076" t="s">
        <v>1391</v>
      </c>
      <c r="P3076" t="s">
        <v>310</v>
      </c>
      <c r="Q3076" t="s">
        <v>310</v>
      </c>
      <c r="R3076" t="s">
        <v>310</v>
      </c>
      <c r="S3076">
        <v>9</v>
      </c>
      <c r="T3076" t="s">
        <v>310</v>
      </c>
      <c r="U3076">
        <v>9</v>
      </c>
      <c r="V3076">
        <v>9</v>
      </c>
      <c r="W3076">
        <v>0</v>
      </c>
      <c r="X3076">
        <v>0</v>
      </c>
      <c r="Y3076">
        <v>0</v>
      </c>
      <c r="Z3076">
        <v>0</v>
      </c>
      <c r="AA3076">
        <v>9</v>
      </c>
      <c r="AB3076">
        <v>9</v>
      </c>
      <c r="AC3076" t="s">
        <v>310</v>
      </c>
      <c r="AD3076">
        <v>9</v>
      </c>
      <c r="AE3076" t="s">
        <v>1394</v>
      </c>
      <c r="AF3076">
        <v>70000000</v>
      </c>
      <c r="AG3076" t="s">
        <v>310</v>
      </c>
      <c r="AH3076">
        <f>SUM((MID(Dyno_Data[[#This Row],[Team]],4,5))+(Dyno_Data[[#This Row],[Match]]/100))</f>
        <v>3419.57</v>
      </c>
      <c r="AI3076" s="76">
        <f>ROUND(SUM(IF(Dyno_Data[[#This Row],[AcqCenter]]&gt;0,Dyno_Data[[#This Row],[Time]]-SUMIFS(Dyno_Data[Time],Dyno_Data[Team],Dyno_Data[[#This Row],[Team]],Dyno_Data[RecordType],"StartMatch",Dyno_Data[Match],Dyno_Data[[#This Row],[Match]]),0)*86400),0)</f>
        <v>0</v>
      </c>
    </row>
    <row r="3077" spans="1:35" x14ac:dyDescent="0.3">
      <c r="A3077">
        <v>3076</v>
      </c>
      <c r="B3077" t="s">
        <v>1309</v>
      </c>
      <c r="C3077">
        <v>57</v>
      </c>
      <c r="D3077" s="105">
        <v>45374.373100891207</v>
      </c>
      <c r="E3077" t="s">
        <v>312</v>
      </c>
      <c r="F3077" t="s">
        <v>1402</v>
      </c>
      <c r="G3077">
        <v>0</v>
      </c>
      <c r="H3077" t="s">
        <v>315</v>
      </c>
      <c r="I3077">
        <v>0</v>
      </c>
      <c r="J3077">
        <v>0</v>
      </c>
      <c r="K3077">
        <v>0</v>
      </c>
      <c r="L3077" t="s">
        <v>241</v>
      </c>
      <c r="M3077" t="s">
        <v>1398</v>
      </c>
      <c r="N3077">
        <v>0</v>
      </c>
      <c r="O3077" t="s">
        <v>311</v>
      </c>
      <c r="P3077" t="s">
        <v>310</v>
      </c>
      <c r="Q3077" t="s">
        <v>310</v>
      </c>
      <c r="R3077" t="s">
        <v>310</v>
      </c>
      <c r="S3077">
        <v>9</v>
      </c>
      <c r="T3077" t="s">
        <v>310</v>
      </c>
      <c r="U3077">
        <v>9</v>
      </c>
      <c r="V3077">
        <v>9</v>
      </c>
      <c r="W3077">
        <v>0</v>
      </c>
      <c r="X3077">
        <v>0</v>
      </c>
      <c r="Y3077">
        <v>0</v>
      </c>
      <c r="Z3077">
        <v>0</v>
      </c>
      <c r="AA3077">
        <v>9</v>
      </c>
      <c r="AB3077">
        <v>9</v>
      </c>
      <c r="AC3077" t="s">
        <v>310</v>
      </c>
      <c r="AD3077">
        <v>9</v>
      </c>
      <c r="AE3077" t="s">
        <v>1388</v>
      </c>
      <c r="AF3077">
        <v>50000000</v>
      </c>
      <c r="AG3077" t="s">
        <v>310</v>
      </c>
      <c r="AH3077">
        <f>SUM((MID(Dyno_Data[[#This Row],[Team]],4,5))+(Dyno_Data[[#This Row],[Match]]/100))</f>
        <v>3550.57</v>
      </c>
      <c r="AI3077" s="76">
        <f>ROUND(SUM(IF(Dyno_Data[[#This Row],[AcqCenter]]&gt;0,Dyno_Data[[#This Row],[Time]]-SUMIFS(Dyno_Data[Time],Dyno_Data[Team],Dyno_Data[[#This Row],[Team]],Dyno_Data[RecordType],"StartMatch",Dyno_Data[Match],Dyno_Data[[#This Row],[Match]]),0)*86400),0)</f>
        <v>0</v>
      </c>
    </row>
    <row r="3078" spans="1:35" x14ac:dyDescent="0.3">
      <c r="A3078">
        <v>3077</v>
      </c>
      <c r="B3078" t="s">
        <v>1314</v>
      </c>
      <c r="C3078">
        <v>57</v>
      </c>
      <c r="D3078" s="105">
        <v>45374.373102893522</v>
      </c>
      <c r="E3078" t="s">
        <v>312</v>
      </c>
      <c r="F3078" t="s">
        <v>1402</v>
      </c>
      <c r="G3078">
        <v>0</v>
      </c>
      <c r="H3078" t="s">
        <v>315</v>
      </c>
      <c r="I3078">
        <v>0</v>
      </c>
      <c r="J3078">
        <v>0</v>
      </c>
      <c r="K3078">
        <v>0</v>
      </c>
      <c r="L3078" t="s">
        <v>240</v>
      </c>
      <c r="M3078" t="s">
        <v>1398</v>
      </c>
      <c r="N3078">
        <v>0</v>
      </c>
      <c r="O3078" t="s">
        <v>1391</v>
      </c>
      <c r="P3078" t="s">
        <v>310</v>
      </c>
      <c r="Q3078" t="s">
        <v>310</v>
      </c>
      <c r="R3078" t="s">
        <v>310</v>
      </c>
      <c r="S3078">
        <v>9</v>
      </c>
      <c r="T3078" t="s">
        <v>310</v>
      </c>
      <c r="U3078">
        <v>9</v>
      </c>
      <c r="V3078">
        <v>9</v>
      </c>
      <c r="W3078">
        <v>0</v>
      </c>
      <c r="X3078">
        <v>0</v>
      </c>
      <c r="Y3078">
        <v>0</v>
      </c>
      <c r="Z3078">
        <v>0</v>
      </c>
      <c r="AA3078">
        <v>9</v>
      </c>
      <c r="AB3078">
        <v>9</v>
      </c>
      <c r="AC3078" t="s">
        <v>310</v>
      </c>
      <c r="AD3078">
        <v>9</v>
      </c>
      <c r="AE3078" t="s">
        <v>1394</v>
      </c>
      <c r="AF3078">
        <v>80000000</v>
      </c>
      <c r="AG3078" t="s">
        <v>310</v>
      </c>
      <c r="AH3078">
        <f>SUM((MID(Dyno_Data[[#This Row],[Team]],4,5))+(Dyno_Data[[#This Row],[Match]]/100))</f>
        <v>3419.57</v>
      </c>
      <c r="AI3078" s="76">
        <f>ROUND(SUM(IF(Dyno_Data[[#This Row],[AcqCenter]]&gt;0,Dyno_Data[[#This Row],[Time]]-SUMIFS(Dyno_Data[Time],Dyno_Data[Team],Dyno_Data[[#This Row],[Team]],Dyno_Data[RecordType],"StartMatch",Dyno_Data[Match],Dyno_Data[[#This Row],[Match]]),0)*86400),0)</f>
        <v>0</v>
      </c>
    </row>
    <row r="3079" spans="1:35" x14ac:dyDescent="0.3">
      <c r="A3079">
        <v>3078</v>
      </c>
      <c r="B3079" t="s">
        <v>1277</v>
      </c>
      <c r="C3079">
        <v>57</v>
      </c>
      <c r="D3079" s="105">
        <v>45374.37316265046</v>
      </c>
      <c r="E3079" t="s">
        <v>312</v>
      </c>
      <c r="F3079" t="s">
        <v>1402</v>
      </c>
      <c r="G3079">
        <v>0</v>
      </c>
      <c r="H3079" t="s">
        <v>315</v>
      </c>
      <c r="I3079">
        <v>0</v>
      </c>
      <c r="J3079">
        <v>0</v>
      </c>
      <c r="K3079">
        <v>0</v>
      </c>
      <c r="L3079" t="s">
        <v>240</v>
      </c>
      <c r="M3079" t="s">
        <v>1398</v>
      </c>
      <c r="N3079">
        <v>0</v>
      </c>
      <c r="O3079" t="s">
        <v>1393</v>
      </c>
      <c r="P3079" t="s">
        <v>310</v>
      </c>
      <c r="Q3079" t="s">
        <v>310</v>
      </c>
      <c r="R3079" t="s">
        <v>310</v>
      </c>
      <c r="S3079">
        <v>9</v>
      </c>
      <c r="T3079" t="s">
        <v>310</v>
      </c>
      <c r="U3079">
        <v>9</v>
      </c>
      <c r="V3079">
        <v>9</v>
      </c>
      <c r="W3079">
        <v>0</v>
      </c>
      <c r="X3079">
        <v>0</v>
      </c>
      <c r="Y3079">
        <v>0</v>
      </c>
      <c r="Z3079">
        <v>0</v>
      </c>
      <c r="AA3079">
        <v>9</v>
      </c>
      <c r="AB3079">
        <v>9</v>
      </c>
      <c r="AC3079" t="s">
        <v>310</v>
      </c>
      <c r="AD3079">
        <v>9</v>
      </c>
      <c r="AE3079" t="s">
        <v>1392</v>
      </c>
      <c r="AF3079">
        <v>40000000</v>
      </c>
      <c r="AG3079" t="s">
        <v>310</v>
      </c>
      <c r="AH3079">
        <f>SUM((MID(Dyno_Data[[#This Row],[Team]],4,5))+(Dyno_Data[[#This Row],[Match]]/100))</f>
        <v>3360.57</v>
      </c>
      <c r="AI3079" s="76">
        <f>ROUND(SUM(IF(Dyno_Data[[#This Row],[AcqCenter]]&gt;0,Dyno_Data[[#This Row],[Time]]-SUMIFS(Dyno_Data[Time],Dyno_Data[Team],Dyno_Data[[#This Row],[Team]],Dyno_Data[RecordType],"StartMatch",Dyno_Data[Match],Dyno_Data[[#This Row],[Match]]),0)*86400),0)</f>
        <v>0</v>
      </c>
    </row>
    <row r="3080" spans="1:35" x14ac:dyDescent="0.3">
      <c r="A3080">
        <v>3079</v>
      </c>
      <c r="B3080" t="s">
        <v>1314</v>
      </c>
      <c r="C3080">
        <v>57</v>
      </c>
      <c r="D3080" s="105">
        <v>45374.373186608798</v>
      </c>
      <c r="E3080" t="s">
        <v>312</v>
      </c>
      <c r="F3080" t="s">
        <v>1402</v>
      </c>
      <c r="G3080">
        <v>0</v>
      </c>
      <c r="H3080" t="s">
        <v>315</v>
      </c>
      <c r="I3080">
        <v>0</v>
      </c>
      <c r="J3080">
        <v>0</v>
      </c>
      <c r="K3080">
        <v>0</v>
      </c>
      <c r="L3080" t="s">
        <v>240</v>
      </c>
      <c r="M3080" t="s">
        <v>1398</v>
      </c>
      <c r="N3080">
        <v>0</v>
      </c>
      <c r="O3080" t="s">
        <v>1391</v>
      </c>
      <c r="P3080" t="s">
        <v>310</v>
      </c>
      <c r="Q3080" t="s">
        <v>310</v>
      </c>
      <c r="R3080" t="s">
        <v>310</v>
      </c>
      <c r="S3080">
        <v>9</v>
      </c>
      <c r="T3080" t="s">
        <v>310</v>
      </c>
      <c r="U3080">
        <v>9</v>
      </c>
      <c r="V3080">
        <v>9</v>
      </c>
      <c r="W3080">
        <v>0</v>
      </c>
      <c r="X3080">
        <v>0</v>
      </c>
      <c r="Y3080">
        <v>0</v>
      </c>
      <c r="Z3080">
        <v>0</v>
      </c>
      <c r="AA3080">
        <v>9</v>
      </c>
      <c r="AB3080">
        <v>9</v>
      </c>
      <c r="AC3080" t="s">
        <v>310</v>
      </c>
      <c r="AD3080">
        <v>9</v>
      </c>
      <c r="AE3080" t="s">
        <v>1394</v>
      </c>
      <c r="AF3080">
        <v>90000000</v>
      </c>
      <c r="AG3080" t="s">
        <v>310</v>
      </c>
      <c r="AH3080">
        <f>SUM((MID(Dyno_Data[[#This Row],[Team]],4,5))+(Dyno_Data[[#This Row],[Match]]/100))</f>
        <v>3419.57</v>
      </c>
      <c r="AI3080" s="76">
        <f>ROUND(SUM(IF(Dyno_Data[[#This Row],[AcqCenter]]&gt;0,Dyno_Data[[#This Row],[Time]]-SUMIFS(Dyno_Data[Time],Dyno_Data[Team],Dyno_Data[[#This Row],[Team]],Dyno_Data[RecordType],"StartMatch",Dyno_Data[Match],Dyno_Data[[#This Row],[Match]]),0)*86400),0)</f>
        <v>0</v>
      </c>
    </row>
    <row r="3081" spans="1:35" x14ac:dyDescent="0.3">
      <c r="A3081">
        <v>3080</v>
      </c>
      <c r="B3081" t="s">
        <v>1309</v>
      </c>
      <c r="C3081">
        <v>57</v>
      </c>
      <c r="D3081" s="105">
        <v>45374.373256747684</v>
      </c>
      <c r="E3081" t="s">
        <v>312</v>
      </c>
      <c r="F3081" t="s">
        <v>1402</v>
      </c>
      <c r="G3081">
        <v>0</v>
      </c>
      <c r="H3081" t="s">
        <v>315</v>
      </c>
      <c r="I3081">
        <v>0</v>
      </c>
      <c r="J3081">
        <v>0</v>
      </c>
      <c r="K3081">
        <v>0</v>
      </c>
      <c r="L3081" t="s">
        <v>241</v>
      </c>
      <c r="M3081" t="s">
        <v>101</v>
      </c>
      <c r="N3081">
        <v>0</v>
      </c>
      <c r="O3081" t="s">
        <v>311</v>
      </c>
      <c r="P3081" t="s">
        <v>310</v>
      </c>
      <c r="Q3081" t="s">
        <v>310</v>
      </c>
      <c r="R3081" t="s">
        <v>310</v>
      </c>
      <c r="S3081">
        <v>9</v>
      </c>
      <c r="T3081" t="s">
        <v>310</v>
      </c>
      <c r="U3081">
        <v>9</v>
      </c>
      <c r="V3081">
        <v>9</v>
      </c>
      <c r="W3081">
        <v>0</v>
      </c>
      <c r="X3081">
        <v>0</v>
      </c>
      <c r="Y3081">
        <v>0</v>
      </c>
      <c r="Z3081">
        <v>0</v>
      </c>
      <c r="AA3081">
        <v>9</v>
      </c>
      <c r="AB3081">
        <v>9</v>
      </c>
      <c r="AC3081" t="s">
        <v>310</v>
      </c>
      <c r="AD3081">
        <v>9</v>
      </c>
      <c r="AE3081" t="s">
        <v>1388</v>
      </c>
      <c r="AF3081">
        <v>60000000</v>
      </c>
      <c r="AG3081" t="s">
        <v>310</v>
      </c>
      <c r="AH3081">
        <f>SUM((MID(Dyno_Data[[#This Row],[Team]],4,5))+(Dyno_Data[[#This Row],[Match]]/100))</f>
        <v>3550.57</v>
      </c>
      <c r="AI3081" s="76">
        <f>ROUND(SUM(IF(Dyno_Data[[#This Row],[AcqCenter]]&gt;0,Dyno_Data[[#This Row],[Time]]-SUMIFS(Dyno_Data[Time],Dyno_Data[Team],Dyno_Data[[#This Row],[Team]],Dyno_Data[RecordType],"StartMatch",Dyno_Data[Match],Dyno_Data[[#This Row],[Match]]),0)*86400),0)</f>
        <v>0</v>
      </c>
    </row>
    <row r="3082" spans="1:35" x14ac:dyDescent="0.3">
      <c r="A3082">
        <v>3081</v>
      </c>
      <c r="B3082" t="s">
        <v>1282</v>
      </c>
      <c r="C3082">
        <v>57</v>
      </c>
      <c r="D3082" s="105">
        <v>45374.373263113426</v>
      </c>
      <c r="E3082" t="s">
        <v>312</v>
      </c>
      <c r="F3082" t="s">
        <v>1402</v>
      </c>
      <c r="G3082">
        <v>0</v>
      </c>
      <c r="H3082" t="s">
        <v>315</v>
      </c>
      <c r="I3082">
        <v>0</v>
      </c>
      <c r="J3082">
        <v>0</v>
      </c>
      <c r="K3082">
        <v>0</v>
      </c>
      <c r="L3082" t="s">
        <v>240</v>
      </c>
      <c r="M3082" t="s">
        <v>1398</v>
      </c>
      <c r="N3082">
        <v>0</v>
      </c>
      <c r="O3082" t="s">
        <v>319</v>
      </c>
      <c r="P3082" t="s">
        <v>310</v>
      </c>
      <c r="Q3082" t="s">
        <v>310</v>
      </c>
      <c r="R3082" t="s">
        <v>310</v>
      </c>
      <c r="S3082">
        <v>9</v>
      </c>
      <c r="T3082" t="s">
        <v>310</v>
      </c>
      <c r="U3082">
        <v>9</v>
      </c>
      <c r="V3082">
        <v>9</v>
      </c>
      <c r="W3082">
        <v>0</v>
      </c>
      <c r="X3082">
        <v>0</v>
      </c>
      <c r="Y3082">
        <v>0</v>
      </c>
      <c r="Z3082">
        <v>0</v>
      </c>
      <c r="AA3082">
        <v>9</v>
      </c>
      <c r="AB3082">
        <v>9</v>
      </c>
      <c r="AC3082" t="s">
        <v>310</v>
      </c>
      <c r="AD3082">
        <v>9</v>
      </c>
      <c r="AE3082" t="s">
        <v>1390</v>
      </c>
      <c r="AF3082">
        <v>20000000</v>
      </c>
      <c r="AG3082" t="s">
        <v>310</v>
      </c>
      <c r="AH3082">
        <f>SUM((MID(Dyno_Data[[#This Row],[Team]],4,5))+(Dyno_Data[[#This Row],[Match]]/100))</f>
        <v>333.57</v>
      </c>
      <c r="AI3082" s="76">
        <f>ROUND(SUM(IF(Dyno_Data[[#This Row],[AcqCenter]]&gt;0,Dyno_Data[[#This Row],[Time]]-SUMIFS(Dyno_Data[Time],Dyno_Data[Team],Dyno_Data[[#This Row],[Team]],Dyno_Data[RecordType],"StartMatch",Dyno_Data[Match],Dyno_Data[[#This Row],[Match]]),0)*86400),0)</f>
        <v>0</v>
      </c>
    </row>
    <row r="3083" spans="1:35" x14ac:dyDescent="0.3">
      <c r="A3083">
        <v>3082</v>
      </c>
      <c r="B3083" t="s">
        <v>1314</v>
      </c>
      <c r="C3083">
        <v>57</v>
      </c>
      <c r="D3083" s="105">
        <v>45374.373441354168</v>
      </c>
      <c r="E3083" t="s">
        <v>312</v>
      </c>
      <c r="F3083" t="s">
        <v>1402</v>
      </c>
      <c r="G3083">
        <v>0</v>
      </c>
      <c r="H3083" t="s">
        <v>315</v>
      </c>
      <c r="I3083">
        <v>0</v>
      </c>
      <c r="J3083">
        <v>0</v>
      </c>
      <c r="K3083">
        <v>0</v>
      </c>
      <c r="L3083" t="s">
        <v>240</v>
      </c>
      <c r="M3083" t="s">
        <v>1398</v>
      </c>
      <c r="N3083">
        <v>0</v>
      </c>
      <c r="O3083" t="s">
        <v>1391</v>
      </c>
      <c r="P3083" t="s">
        <v>310</v>
      </c>
      <c r="Q3083" t="s">
        <v>310</v>
      </c>
      <c r="R3083" t="s">
        <v>310</v>
      </c>
      <c r="S3083">
        <v>9</v>
      </c>
      <c r="T3083" t="s">
        <v>310</v>
      </c>
      <c r="U3083">
        <v>9</v>
      </c>
      <c r="V3083">
        <v>9</v>
      </c>
      <c r="W3083">
        <v>0</v>
      </c>
      <c r="X3083">
        <v>0</v>
      </c>
      <c r="Y3083">
        <v>0</v>
      </c>
      <c r="Z3083">
        <v>0</v>
      </c>
      <c r="AA3083">
        <v>9</v>
      </c>
      <c r="AB3083">
        <v>9</v>
      </c>
      <c r="AC3083" t="s">
        <v>310</v>
      </c>
      <c r="AD3083">
        <v>9</v>
      </c>
      <c r="AE3083" t="s">
        <v>1394</v>
      </c>
      <c r="AF3083">
        <v>100000000</v>
      </c>
      <c r="AG3083" t="s">
        <v>310</v>
      </c>
      <c r="AH3083">
        <f>SUM((MID(Dyno_Data[[#This Row],[Team]],4,5))+(Dyno_Data[[#This Row],[Match]]/100))</f>
        <v>3419.57</v>
      </c>
      <c r="AI3083" s="76">
        <f>ROUND(SUM(IF(Dyno_Data[[#This Row],[AcqCenter]]&gt;0,Dyno_Data[[#This Row],[Time]]-SUMIFS(Dyno_Data[Time],Dyno_Data[Team],Dyno_Data[[#This Row],[Team]],Dyno_Data[RecordType],"StartMatch",Dyno_Data[Match],Dyno_Data[[#This Row],[Match]]),0)*86400),0)</f>
        <v>0</v>
      </c>
    </row>
    <row r="3084" spans="1:35" x14ac:dyDescent="0.3">
      <c r="A3084">
        <v>3083</v>
      </c>
      <c r="B3084" t="s">
        <v>1309</v>
      </c>
      <c r="C3084">
        <v>57</v>
      </c>
      <c r="D3084" s="105">
        <v>45374.373472488427</v>
      </c>
      <c r="E3084" t="s">
        <v>312</v>
      </c>
      <c r="F3084" t="s">
        <v>1402</v>
      </c>
      <c r="G3084">
        <v>0</v>
      </c>
      <c r="H3084" t="s">
        <v>315</v>
      </c>
      <c r="I3084">
        <v>0</v>
      </c>
      <c r="J3084">
        <v>0</v>
      </c>
      <c r="K3084">
        <v>0</v>
      </c>
      <c r="L3084" t="s">
        <v>241</v>
      </c>
      <c r="M3084" t="s">
        <v>101</v>
      </c>
      <c r="N3084">
        <v>0</v>
      </c>
      <c r="O3084" t="s">
        <v>311</v>
      </c>
      <c r="P3084" t="s">
        <v>310</v>
      </c>
      <c r="Q3084" t="s">
        <v>310</v>
      </c>
      <c r="R3084" t="s">
        <v>310</v>
      </c>
      <c r="S3084">
        <v>9</v>
      </c>
      <c r="T3084" t="s">
        <v>310</v>
      </c>
      <c r="U3084">
        <v>9</v>
      </c>
      <c r="V3084">
        <v>9</v>
      </c>
      <c r="W3084">
        <v>0</v>
      </c>
      <c r="X3084">
        <v>0</v>
      </c>
      <c r="Y3084">
        <v>0</v>
      </c>
      <c r="Z3084">
        <v>0</v>
      </c>
      <c r="AA3084">
        <v>9</v>
      </c>
      <c r="AB3084">
        <v>9</v>
      </c>
      <c r="AC3084" t="s">
        <v>310</v>
      </c>
      <c r="AD3084">
        <v>9</v>
      </c>
      <c r="AE3084" t="s">
        <v>1388</v>
      </c>
      <c r="AF3084">
        <v>70000000</v>
      </c>
      <c r="AG3084" t="s">
        <v>310</v>
      </c>
      <c r="AH3084">
        <f>SUM((MID(Dyno_Data[[#This Row],[Team]],4,5))+(Dyno_Data[[#This Row],[Match]]/100))</f>
        <v>3550.57</v>
      </c>
      <c r="AI3084" s="76">
        <f>ROUND(SUM(IF(Dyno_Data[[#This Row],[AcqCenter]]&gt;0,Dyno_Data[[#This Row],[Time]]-SUMIFS(Dyno_Data[Time],Dyno_Data[Team],Dyno_Data[[#This Row],[Team]],Dyno_Data[RecordType],"StartMatch",Dyno_Data[Match],Dyno_Data[[#This Row],[Match]]),0)*86400),0)</f>
        <v>0</v>
      </c>
    </row>
    <row r="3085" spans="1:35" x14ac:dyDescent="0.3">
      <c r="A3085">
        <v>3084</v>
      </c>
      <c r="B3085" t="s">
        <v>1282</v>
      </c>
      <c r="C3085">
        <v>57</v>
      </c>
      <c r="D3085" s="105">
        <v>45374.373504710646</v>
      </c>
      <c r="E3085" t="s">
        <v>312</v>
      </c>
      <c r="F3085" t="s">
        <v>1402</v>
      </c>
      <c r="G3085">
        <v>0</v>
      </c>
      <c r="H3085" t="s">
        <v>315</v>
      </c>
      <c r="I3085">
        <v>0</v>
      </c>
      <c r="J3085">
        <v>0</v>
      </c>
      <c r="K3085">
        <v>0</v>
      </c>
      <c r="L3085" t="s">
        <v>241</v>
      </c>
      <c r="M3085" t="s">
        <v>1398</v>
      </c>
      <c r="N3085">
        <v>0</v>
      </c>
      <c r="O3085" t="s">
        <v>319</v>
      </c>
      <c r="P3085" t="s">
        <v>310</v>
      </c>
      <c r="Q3085" t="s">
        <v>310</v>
      </c>
      <c r="R3085" t="s">
        <v>310</v>
      </c>
      <c r="S3085">
        <v>9</v>
      </c>
      <c r="T3085" t="s">
        <v>310</v>
      </c>
      <c r="U3085">
        <v>9</v>
      </c>
      <c r="V3085">
        <v>9</v>
      </c>
      <c r="W3085">
        <v>0</v>
      </c>
      <c r="X3085">
        <v>0</v>
      </c>
      <c r="Y3085">
        <v>0</v>
      </c>
      <c r="Z3085">
        <v>0</v>
      </c>
      <c r="AA3085">
        <v>9</v>
      </c>
      <c r="AB3085">
        <v>9</v>
      </c>
      <c r="AC3085" t="s">
        <v>310</v>
      </c>
      <c r="AD3085">
        <v>9</v>
      </c>
      <c r="AE3085" t="s">
        <v>1390</v>
      </c>
      <c r="AF3085">
        <v>30000000</v>
      </c>
      <c r="AG3085" t="s">
        <v>310</v>
      </c>
      <c r="AH3085">
        <f>SUM((MID(Dyno_Data[[#This Row],[Team]],4,5))+(Dyno_Data[[#This Row],[Match]]/100))</f>
        <v>333.57</v>
      </c>
      <c r="AI3085" s="76">
        <f>ROUND(SUM(IF(Dyno_Data[[#This Row],[AcqCenter]]&gt;0,Dyno_Data[[#This Row],[Time]]-SUMIFS(Dyno_Data[Time],Dyno_Data[Team],Dyno_Data[[#This Row],[Team]],Dyno_Data[RecordType],"StartMatch",Dyno_Data[Match],Dyno_Data[[#This Row],[Match]]),0)*86400),0)</f>
        <v>0</v>
      </c>
    </row>
    <row r="3086" spans="1:35" x14ac:dyDescent="0.3">
      <c r="A3086">
        <v>3085</v>
      </c>
      <c r="B3086" t="s">
        <v>1277</v>
      </c>
      <c r="C3086">
        <v>57</v>
      </c>
      <c r="D3086" s="105">
        <v>45374.373520104164</v>
      </c>
      <c r="E3086" t="s">
        <v>312</v>
      </c>
      <c r="F3086" t="s">
        <v>1402</v>
      </c>
      <c r="G3086">
        <v>0</v>
      </c>
      <c r="H3086" t="s">
        <v>315</v>
      </c>
      <c r="I3086">
        <v>0</v>
      </c>
      <c r="J3086">
        <v>0</v>
      </c>
      <c r="K3086">
        <v>0</v>
      </c>
      <c r="L3086" t="s">
        <v>240</v>
      </c>
      <c r="M3086" t="s">
        <v>1398</v>
      </c>
      <c r="N3086">
        <v>0</v>
      </c>
      <c r="O3086" t="s">
        <v>1393</v>
      </c>
      <c r="P3086" t="s">
        <v>310</v>
      </c>
      <c r="Q3086" t="s">
        <v>310</v>
      </c>
      <c r="R3086" t="s">
        <v>310</v>
      </c>
      <c r="S3086">
        <v>9</v>
      </c>
      <c r="T3086" t="s">
        <v>310</v>
      </c>
      <c r="U3086">
        <v>9</v>
      </c>
      <c r="V3086">
        <v>9</v>
      </c>
      <c r="W3086">
        <v>0</v>
      </c>
      <c r="X3086">
        <v>0</v>
      </c>
      <c r="Y3086">
        <v>0</v>
      </c>
      <c r="Z3086">
        <v>0</v>
      </c>
      <c r="AA3086">
        <v>9</v>
      </c>
      <c r="AB3086">
        <v>9</v>
      </c>
      <c r="AC3086" t="s">
        <v>310</v>
      </c>
      <c r="AD3086">
        <v>9</v>
      </c>
      <c r="AE3086" t="s">
        <v>1392</v>
      </c>
      <c r="AF3086">
        <v>50000000</v>
      </c>
      <c r="AG3086" t="s">
        <v>310</v>
      </c>
      <c r="AH3086">
        <f>SUM((MID(Dyno_Data[[#This Row],[Team]],4,5))+(Dyno_Data[[#This Row],[Match]]/100))</f>
        <v>3360.57</v>
      </c>
      <c r="AI3086" s="76">
        <f>ROUND(SUM(IF(Dyno_Data[[#This Row],[AcqCenter]]&gt;0,Dyno_Data[[#This Row],[Time]]-SUMIFS(Dyno_Data[Time],Dyno_Data[Team],Dyno_Data[[#This Row],[Team]],Dyno_Data[RecordType],"StartMatch",Dyno_Data[Match],Dyno_Data[[#This Row],[Match]]),0)*86400),0)</f>
        <v>0</v>
      </c>
    </row>
    <row r="3087" spans="1:35" x14ac:dyDescent="0.3">
      <c r="A3087">
        <v>3086</v>
      </c>
      <c r="B3087" t="s">
        <v>1309</v>
      </c>
      <c r="C3087">
        <v>57</v>
      </c>
      <c r="D3087" s="105">
        <v>45374.373582175926</v>
      </c>
      <c r="E3087" t="s">
        <v>312</v>
      </c>
      <c r="F3087" t="s">
        <v>1402</v>
      </c>
      <c r="G3087">
        <v>0</v>
      </c>
      <c r="H3087" t="s">
        <v>315</v>
      </c>
      <c r="I3087">
        <v>0</v>
      </c>
      <c r="J3087">
        <v>0</v>
      </c>
      <c r="K3087">
        <v>0</v>
      </c>
      <c r="L3087" t="s">
        <v>240</v>
      </c>
      <c r="M3087" t="s">
        <v>1398</v>
      </c>
      <c r="N3087">
        <v>0</v>
      </c>
      <c r="O3087" t="s">
        <v>311</v>
      </c>
      <c r="P3087" t="s">
        <v>310</v>
      </c>
      <c r="Q3087" t="s">
        <v>310</v>
      </c>
      <c r="R3087" t="s">
        <v>310</v>
      </c>
      <c r="S3087">
        <v>9</v>
      </c>
      <c r="T3087" t="s">
        <v>310</v>
      </c>
      <c r="U3087">
        <v>9</v>
      </c>
      <c r="V3087">
        <v>9</v>
      </c>
      <c r="W3087">
        <v>0</v>
      </c>
      <c r="X3087">
        <v>0</v>
      </c>
      <c r="Y3087">
        <v>0</v>
      </c>
      <c r="Z3087">
        <v>0</v>
      </c>
      <c r="AA3087">
        <v>9</v>
      </c>
      <c r="AB3087">
        <v>9</v>
      </c>
      <c r="AC3087" t="s">
        <v>310</v>
      </c>
      <c r="AD3087">
        <v>9</v>
      </c>
      <c r="AE3087" t="s">
        <v>1388</v>
      </c>
      <c r="AF3087">
        <v>80000000</v>
      </c>
      <c r="AG3087" t="s">
        <v>310</v>
      </c>
      <c r="AH3087">
        <f>SUM((MID(Dyno_Data[[#This Row],[Team]],4,5))+(Dyno_Data[[#This Row],[Match]]/100))</f>
        <v>3550.57</v>
      </c>
      <c r="AI3087" s="76">
        <f>ROUND(SUM(IF(Dyno_Data[[#This Row],[AcqCenter]]&gt;0,Dyno_Data[[#This Row],[Time]]-SUMIFS(Dyno_Data[Time],Dyno_Data[Team],Dyno_Data[[#This Row],[Team]],Dyno_Data[RecordType],"StartMatch",Dyno_Data[Match],Dyno_Data[[#This Row],[Match]]),0)*86400),0)</f>
        <v>0</v>
      </c>
    </row>
    <row r="3088" spans="1:35" x14ac:dyDescent="0.3">
      <c r="A3088">
        <v>3087</v>
      </c>
      <c r="B3088" t="s">
        <v>1294</v>
      </c>
      <c r="C3088">
        <v>57</v>
      </c>
      <c r="D3088" s="105">
        <v>45374.373617789352</v>
      </c>
      <c r="E3088" t="s">
        <v>312</v>
      </c>
      <c r="F3088" t="s">
        <v>1402</v>
      </c>
      <c r="G3088">
        <v>0</v>
      </c>
      <c r="H3088" t="s">
        <v>315</v>
      </c>
      <c r="I3088">
        <v>0</v>
      </c>
      <c r="J3088">
        <v>0</v>
      </c>
      <c r="K3088">
        <v>0</v>
      </c>
      <c r="L3088" t="s">
        <v>240</v>
      </c>
      <c r="M3088" t="s">
        <v>1398</v>
      </c>
      <c r="N3088">
        <v>1</v>
      </c>
      <c r="O3088" t="s">
        <v>1389</v>
      </c>
      <c r="P3088" t="s">
        <v>310</v>
      </c>
      <c r="Q3088" t="s">
        <v>310</v>
      </c>
      <c r="R3088" t="s">
        <v>310</v>
      </c>
      <c r="S3088">
        <v>9</v>
      </c>
      <c r="T3088" t="s">
        <v>310</v>
      </c>
      <c r="U3088">
        <v>9</v>
      </c>
      <c r="V3088">
        <v>9</v>
      </c>
      <c r="W3088">
        <v>0</v>
      </c>
      <c r="X3088">
        <v>0</v>
      </c>
      <c r="Y3088">
        <v>0</v>
      </c>
      <c r="Z3088">
        <v>0</v>
      </c>
      <c r="AA3088">
        <v>9</v>
      </c>
      <c r="AB3088">
        <v>9</v>
      </c>
      <c r="AC3088" t="s">
        <v>310</v>
      </c>
      <c r="AD3088">
        <v>9</v>
      </c>
      <c r="AE3088" t="s">
        <v>1387</v>
      </c>
      <c r="AF3088">
        <v>30000000</v>
      </c>
      <c r="AG3088" t="s">
        <v>310</v>
      </c>
      <c r="AH3088">
        <f>SUM((MID(Dyno_Data[[#This Row],[Team]],4,5))+(Dyno_Data[[#This Row],[Match]]/100))</f>
        <v>9076.57</v>
      </c>
      <c r="AI3088" s="76">
        <f>ROUND(SUM(IF(Dyno_Data[[#This Row],[AcqCenter]]&gt;0,Dyno_Data[[#This Row],[Time]]-SUMIFS(Dyno_Data[Time],Dyno_Data[Team],Dyno_Data[[#This Row],[Team]],Dyno_Data[RecordType],"StartMatch",Dyno_Data[Match],Dyno_Data[[#This Row],[Match]]),0)*86400),0)</f>
        <v>0</v>
      </c>
    </row>
    <row r="3089" spans="1:35" x14ac:dyDescent="0.3">
      <c r="A3089">
        <v>3088</v>
      </c>
      <c r="B3089" t="s">
        <v>1314</v>
      </c>
      <c r="C3089">
        <v>57</v>
      </c>
      <c r="D3089" s="105">
        <v>45374.373675497685</v>
      </c>
      <c r="E3089" t="s">
        <v>312</v>
      </c>
      <c r="F3089" t="s">
        <v>1402</v>
      </c>
      <c r="G3089">
        <v>0</v>
      </c>
      <c r="H3089" t="s">
        <v>315</v>
      </c>
      <c r="I3089">
        <v>0</v>
      </c>
      <c r="J3089">
        <v>0</v>
      </c>
      <c r="K3089">
        <v>0</v>
      </c>
      <c r="L3089" t="s">
        <v>240</v>
      </c>
      <c r="M3089" t="s">
        <v>1398</v>
      </c>
      <c r="N3089">
        <v>0</v>
      </c>
      <c r="O3089" t="s">
        <v>1391</v>
      </c>
      <c r="P3089" t="s">
        <v>310</v>
      </c>
      <c r="Q3089" t="s">
        <v>310</v>
      </c>
      <c r="R3089" t="s">
        <v>310</v>
      </c>
      <c r="S3089">
        <v>9</v>
      </c>
      <c r="T3089" t="s">
        <v>310</v>
      </c>
      <c r="U3089">
        <v>9</v>
      </c>
      <c r="V3089">
        <v>9</v>
      </c>
      <c r="W3089">
        <v>0</v>
      </c>
      <c r="X3089">
        <v>0</v>
      </c>
      <c r="Y3089">
        <v>0</v>
      </c>
      <c r="Z3089">
        <v>0</v>
      </c>
      <c r="AA3089">
        <v>9</v>
      </c>
      <c r="AB3089">
        <v>9</v>
      </c>
      <c r="AC3089" t="s">
        <v>310</v>
      </c>
      <c r="AD3089">
        <v>9</v>
      </c>
      <c r="AE3089" t="s">
        <v>1394</v>
      </c>
      <c r="AF3089">
        <v>110000000</v>
      </c>
      <c r="AG3089" t="s">
        <v>310</v>
      </c>
      <c r="AH3089">
        <f>SUM((MID(Dyno_Data[[#This Row],[Team]],4,5))+(Dyno_Data[[#This Row],[Match]]/100))</f>
        <v>3419.57</v>
      </c>
      <c r="AI3089" s="76">
        <f>ROUND(SUM(IF(Dyno_Data[[#This Row],[AcqCenter]]&gt;0,Dyno_Data[[#This Row],[Time]]-SUMIFS(Dyno_Data[Time],Dyno_Data[Team],Dyno_Data[[#This Row],[Team]],Dyno_Data[RecordType],"StartMatch",Dyno_Data[Match],Dyno_Data[[#This Row],[Match]]),0)*86400),0)</f>
        <v>0</v>
      </c>
    </row>
    <row r="3090" spans="1:35" x14ac:dyDescent="0.3">
      <c r="A3090">
        <v>3089</v>
      </c>
      <c r="B3090" t="s">
        <v>1282</v>
      </c>
      <c r="C3090">
        <v>57</v>
      </c>
      <c r="D3090" s="105">
        <v>45374.373741747688</v>
      </c>
      <c r="E3090" t="s">
        <v>312</v>
      </c>
      <c r="F3090" t="s">
        <v>1402</v>
      </c>
      <c r="G3090">
        <v>0</v>
      </c>
      <c r="H3090" t="s">
        <v>315</v>
      </c>
      <c r="I3090">
        <v>0</v>
      </c>
      <c r="J3090">
        <v>0</v>
      </c>
      <c r="K3090">
        <v>0</v>
      </c>
      <c r="L3090" t="s">
        <v>241</v>
      </c>
      <c r="M3090" t="s">
        <v>1398</v>
      </c>
      <c r="N3090">
        <v>0</v>
      </c>
      <c r="O3090" t="s">
        <v>319</v>
      </c>
      <c r="P3090" t="s">
        <v>310</v>
      </c>
      <c r="Q3090" t="s">
        <v>310</v>
      </c>
      <c r="R3090" t="s">
        <v>310</v>
      </c>
      <c r="S3090">
        <v>9</v>
      </c>
      <c r="T3090" t="s">
        <v>310</v>
      </c>
      <c r="U3090">
        <v>9</v>
      </c>
      <c r="V3090">
        <v>9</v>
      </c>
      <c r="W3090">
        <v>0</v>
      </c>
      <c r="X3090">
        <v>0</v>
      </c>
      <c r="Y3090">
        <v>0</v>
      </c>
      <c r="Z3090">
        <v>0</v>
      </c>
      <c r="AA3090">
        <v>9</v>
      </c>
      <c r="AB3090">
        <v>9</v>
      </c>
      <c r="AC3090" t="s">
        <v>310</v>
      </c>
      <c r="AD3090">
        <v>9</v>
      </c>
      <c r="AE3090" t="s">
        <v>1390</v>
      </c>
      <c r="AF3090">
        <v>40000000</v>
      </c>
      <c r="AG3090" t="s">
        <v>310</v>
      </c>
      <c r="AH3090">
        <f>SUM((MID(Dyno_Data[[#This Row],[Team]],4,5))+(Dyno_Data[[#This Row],[Match]]/100))</f>
        <v>333.57</v>
      </c>
      <c r="AI3090" s="76">
        <f>ROUND(SUM(IF(Dyno_Data[[#This Row],[AcqCenter]]&gt;0,Dyno_Data[[#This Row],[Time]]-SUMIFS(Dyno_Data[Time],Dyno_Data[Team],Dyno_Data[[#This Row],[Team]],Dyno_Data[RecordType],"StartMatch",Dyno_Data[Match],Dyno_Data[[#This Row],[Match]]),0)*86400),0)</f>
        <v>0</v>
      </c>
    </row>
    <row r="3091" spans="1:35" x14ac:dyDescent="0.3">
      <c r="A3091">
        <v>3090</v>
      </c>
      <c r="B3091" t="s">
        <v>1309</v>
      </c>
      <c r="C3091">
        <v>57</v>
      </c>
      <c r="D3091" s="105">
        <v>45374.373783599534</v>
      </c>
      <c r="E3091" t="s">
        <v>312</v>
      </c>
      <c r="F3091" t="s">
        <v>1402</v>
      </c>
      <c r="G3091">
        <v>0</v>
      </c>
      <c r="H3091" t="s">
        <v>315</v>
      </c>
      <c r="I3091">
        <v>0</v>
      </c>
      <c r="J3091">
        <v>0</v>
      </c>
      <c r="K3091">
        <v>0</v>
      </c>
      <c r="L3091" t="s">
        <v>241</v>
      </c>
      <c r="M3091" t="s">
        <v>1398</v>
      </c>
      <c r="N3091">
        <v>1</v>
      </c>
      <c r="O3091" t="s">
        <v>311</v>
      </c>
      <c r="P3091" t="s">
        <v>310</v>
      </c>
      <c r="Q3091" t="s">
        <v>310</v>
      </c>
      <c r="R3091" t="s">
        <v>310</v>
      </c>
      <c r="S3091">
        <v>9</v>
      </c>
      <c r="T3091" t="s">
        <v>310</v>
      </c>
      <c r="U3091">
        <v>9</v>
      </c>
      <c r="V3091">
        <v>9</v>
      </c>
      <c r="W3091">
        <v>0</v>
      </c>
      <c r="X3091">
        <v>0</v>
      </c>
      <c r="Y3091">
        <v>0</v>
      </c>
      <c r="Z3091">
        <v>0</v>
      </c>
      <c r="AA3091">
        <v>9</v>
      </c>
      <c r="AB3091">
        <v>9</v>
      </c>
      <c r="AC3091" t="s">
        <v>310</v>
      </c>
      <c r="AD3091">
        <v>9</v>
      </c>
      <c r="AE3091" t="s">
        <v>1388</v>
      </c>
      <c r="AF3091">
        <v>90000000</v>
      </c>
      <c r="AG3091" t="s">
        <v>310</v>
      </c>
      <c r="AH3091">
        <f>SUM((MID(Dyno_Data[[#This Row],[Team]],4,5))+(Dyno_Data[[#This Row],[Match]]/100))</f>
        <v>3550.57</v>
      </c>
      <c r="AI3091" s="76">
        <f>ROUND(SUM(IF(Dyno_Data[[#This Row],[AcqCenter]]&gt;0,Dyno_Data[[#This Row],[Time]]-SUMIFS(Dyno_Data[Time],Dyno_Data[Team],Dyno_Data[[#This Row],[Team]],Dyno_Data[RecordType],"StartMatch",Dyno_Data[Match],Dyno_Data[[#This Row],[Match]]),0)*86400),0)</f>
        <v>0</v>
      </c>
    </row>
    <row r="3092" spans="1:35" x14ac:dyDescent="0.3">
      <c r="A3092">
        <v>3091</v>
      </c>
      <c r="B3092" t="s">
        <v>1294</v>
      </c>
      <c r="C3092">
        <v>57</v>
      </c>
      <c r="D3092" s="105">
        <v>45374.373808796299</v>
      </c>
      <c r="E3092" t="s">
        <v>312</v>
      </c>
      <c r="F3092" t="s">
        <v>1402</v>
      </c>
      <c r="G3092">
        <v>0</v>
      </c>
      <c r="H3092" t="s">
        <v>315</v>
      </c>
      <c r="I3092">
        <v>0</v>
      </c>
      <c r="J3092">
        <v>0</v>
      </c>
      <c r="K3092">
        <v>0</v>
      </c>
      <c r="L3092" t="s">
        <v>240</v>
      </c>
      <c r="M3092" t="s">
        <v>1398</v>
      </c>
      <c r="N3092">
        <v>0</v>
      </c>
      <c r="O3092" t="s">
        <v>1389</v>
      </c>
      <c r="P3092" t="s">
        <v>310</v>
      </c>
      <c r="Q3092" t="s">
        <v>310</v>
      </c>
      <c r="R3092" t="s">
        <v>310</v>
      </c>
      <c r="S3092">
        <v>9</v>
      </c>
      <c r="T3092" t="s">
        <v>310</v>
      </c>
      <c r="U3092">
        <v>9</v>
      </c>
      <c r="V3092">
        <v>9</v>
      </c>
      <c r="W3092">
        <v>0</v>
      </c>
      <c r="X3092">
        <v>0</v>
      </c>
      <c r="Y3092">
        <v>0</v>
      </c>
      <c r="Z3092">
        <v>0</v>
      </c>
      <c r="AA3092">
        <v>9</v>
      </c>
      <c r="AB3092">
        <v>9</v>
      </c>
      <c r="AC3092" t="s">
        <v>310</v>
      </c>
      <c r="AD3092">
        <v>9</v>
      </c>
      <c r="AE3092" t="s">
        <v>1387</v>
      </c>
      <c r="AF3092">
        <v>40000000</v>
      </c>
      <c r="AG3092" t="s">
        <v>310</v>
      </c>
      <c r="AH3092">
        <f>SUM((MID(Dyno_Data[[#This Row],[Team]],4,5))+(Dyno_Data[[#This Row],[Match]]/100))</f>
        <v>9076.57</v>
      </c>
      <c r="AI3092" s="76">
        <f>ROUND(SUM(IF(Dyno_Data[[#This Row],[AcqCenter]]&gt;0,Dyno_Data[[#This Row],[Time]]-SUMIFS(Dyno_Data[Time],Dyno_Data[Team],Dyno_Data[[#This Row],[Team]],Dyno_Data[RecordType],"StartMatch",Dyno_Data[Match],Dyno_Data[[#This Row],[Match]]),0)*86400),0)</f>
        <v>0</v>
      </c>
    </row>
    <row r="3093" spans="1:35" x14ac:dyDescent="0.3">
      <c r="A3093">
        <v>3092</v>
      </c>
      <c r="B3093" t="s">
        <v>1277</v>
      </c>
      <c r="C3093">
        <v>57</v>
      </c>
      <c r="D3093" s="105">
        <v>45374.373890393515</v>
      </c>
      <c r="E3093" t="s">
        <v>312</v>
      </c>
      <c r="F3093" t="s">
        <v>1402</v>
      </c>
      <c r="G3093">
        <v>0</v>
      </c>
      <c r="H3093" t="s">
        <v>315</v>
      </c>
      <c r="I3093">
        <v>0</v>
      </c>
      <c r="J3093">
        <v>0</v>
      </c>
      <c r="K3093">
        <v>0</v>
      </c>
      <c r="L3093" t="s">
        <v>241</v>
      </c>
      <c r="M3093" t="s">
        <v>241</v>
      </c>
      <c r="N3093">
        <v>0</v>
      </c>
      <c r="O3093" t="s">
        <v>1393</v>
      </c>
      <c r="P3093" t="s">
        <v>310</v>
      </c>
      <c r="Q3093" t="s">
        <v>310</v>
      </c>
      <c r="R3093" t="s">
        <v>310</v>
      </c>
      <c r="S3093">
        <v>9</v>
      </c>
      <c r="T3093" t="s">
        <v>310</v>
      </c>
      <c r="U3093">
        <v>9</v>
      </c>
      <c r="V3093">
        <v>9</v>
      </c>
      <c r="W3093">
        <v>0</v>
      </c>
      <c r="X3093">
        <v>0</v>
      </c>
      <c r="Y3093">
        <v>0</v>
      </c>
      <c r="Z3093">
        <v>0</v>
      </c>
      <c r="AA3093">
        <v>9</v>
      </c>
      <c r="AB3093">
        <v>9</v>
      </c>
      <c r="AC3093" t="s">
        <v>310</v>
      </c>
      <c r="AD3093">
        <v>9</v>
      </c>
      <c r="AE3093" t="s">
        <v>1392</v>
      </c>
      <c r="AF3093">
        <v>60000000</v>
      </c>
      <c r="AG3093" t="s">
        <v>310</v>
      </c>
      <c r="AH3093">
        <f>SUM((MID(Dyno_Data[[#This Row],[Team]],4,5))+(Dyno_Data[[#This Row],[Match]]/100))</f>
        <v>3360.57</v>
      </c>
      <c r="AI3093" s="76">
        <f>ROUND(SUM(IF(Dyno_Data[[#This Row],[AcqCenter]]&gt;0,Dyno_Data[[#This Row],[Time]]-SUMIFS(Dyno_Data[Time],Dyno_Data[Team],Dyno_Data[[#This Row],[Team]],Dyno_Data[RecordType],"StartMatch",Dyno_Data[Match],Dyno_Data[[#This Row],[Match]]),0)*86400),0)</f>
        <v>0</v>
      </c>
    </row>
    <row r="3094" spans="1:35" x14ac:dyDescent="0.3">
      <c r="A3094">
        <v>3093</v>
      </c>
      <c r="B3094" t="s">
        <v>1277</v>
      </c>
      <c r="C3094">
        <v>57</v>
      </c>
      <c r="D3094" s="105">
        <v>45374.373938888886</v>
      </c>
      <c r="E3094" t="s">
        <v>312</v>
      </c>
      <c r="F3094" t="s">
        <v>1402</v>
      </c>
      <c r="G3094">
        <v>0</v>
      </c>
      <c r="H3094" t="s">
        <v>315</v>
      </c>
      <c r="I3094">
        <v>0</v>
      </c>
      <c r="J3094">
        <v>0</v>
      </c>
      <c r="K3094">
        <v>0</v>
      </c>
      <c r="L3094" t="s">
        <v>240</v>
      </c>
      <c r="M3094" t="s">
        <v>1398</v>
      </c>
      <c r="N3094">
        <v>0</v>
      </c>
      <c r="O3094" t="s">
        <v>1393</v>
      </c>
      <c r="P3094" t="s">
        <v>310</v>
      </c>
      <c r="Q3094" t="s">
        <v>310</v>
      </c>
      <c r="R3094" t="s">
        <v>310</v>
      </c>
      <c r="S3094">
        <v>9</v>
      </c>
      <c r="T3094" t="s">
        <v>310</v>
      </c>
      <c r="U3094">
        <v>9</v>
      </c>
      <c r="V3094">
        <v>9</v>
      </c>
      <c r="W3094">
        <v>0</v>
      </c>
      <c r="X3094">
        <v>0</v>
      </c>
      <c r="Y3094">
        <v>0</v>
      </c>
      <c r="Z3094">
        <v>0</v>
      </c>
      <c r="AA3094">
        <v>9</v>
      </c>
      <c r="AB3094">
        <v>9</v>
      </c>
      <c r="AC3094" t="s">
        <v>310</v>
      </c>
      <c r="AD3094">
        <v>9</v>
      </c>
      <c r="AE3094" t="s">
        <v>1392</v>
      </c>
      <c r="AF3094">
        <v>70000000</v>
      </c>
      <c r="AG3094" t="s">
        <v>310</v>
      </c>
      <c r="AH3094">
        <f>SUM((MID(Dyno_Data[[#This Row],[Team]],4,5))+(Dyno_Data[[#This Row],[Match]]/100))</f>
        <v>3360.57</v>
      </c>
      <c r="AI3094" s="76">
        <f>ROUND(SUM(IF(Dyno_Data[[#This Row],[AcqCenter]]&gt;0,Dyno_Data[[#This Row],[Time]]-SUMIFS(Dyno_Data[Time],Dyno_Data[Team],Dyno_Data[[#This Row],[Team]],Dyno_Data[RecordType],"StartMatch",Dyno_Data[Match],Dyno_Data[[#This Row],[Match]]),0)*86400),0)</f>
        <v>0</v>
      </c>
    </row>
    <row r="3095" spans="1:35" x14ac:dyDescent="0.3">
      <c r="A3095">
        <v>3094</v>
      </c>
      <c r="B3095" t="s">
        <v>1309</v>
      </c>
      <c r="C3095">
        <v>57</v>
      </c>
      <c r="D3095" s="105">
        <v>45374.374691979167</v>
      </c>
      <c r="E3095" t="s">
        <v>316</v>
      </c>
      <c r="F3095" t="s">
        <v>317</v>
      </c>
      <c r="G3095">
        <v>1</v>
      </c>
      <c r="H3095" t="s">
        <v>310</v>
      </c>
      <c r="I3095">
        <v>0</v>
      </c>
      <c r="J3095">
        <v>0</v>
      </c>
      <c r="K3095">
        <v>0</v>
      </c>
      <c r="L3095" t="s">
        <v>310</v>
      </c>
      <c r="M3095" t="s">
        <v>310</v>
      </c>
      <c r="N3095">
        <v>0</v>
      </c>
      <c r="O3095" t="s">
        <v>311</v>
      </c>
      <c r="P3095" t="s">
        <v>101</v>
      </c>
      <c r="Q3095" t="s">
        <v>1399</v>
      </c>
      <c r="R3095" t="s">
        <v>1405</v>
      </c>
      <c r="S3095">
        <v>1</v>
      </c>
      <c r="T3095" t="s">
        <v>1407</v>
      </c>
      <c r="U3095">
        <v>0</v>
      </c>
      <c r="V3095">
        <v>0</v>
      </c>
      <c r="W3095">
        <v>11.240914099999999</v>
      </c>
      <c r="X3095">
        <v>27.544165999999997</v>
      </c>
      <c r="Y3095">
        <v>28.153101399999997</v>
      </c>
      <c r="Z3095">
        <v>64.719172799999996</v>
      </c>
      <c r="AA3095">
        <v>0</v>
      </c>
      <c r="AB3095">
        <v>3</v>
      </c>
      <c r="AC3095" t="s">
        <v>174</v>
      </c>
      <c r="AD3095">
        <v>0</v>
      </c>
      <c r="AE3095" t="s">
        <v>1388</v>
      </c>
      <c r="AF3095">
        <v>90000000</v>
      </c>
      <c r="AG3095" t="s">
        <v>310</v>
      </c>
      <c r="AH3095">
        <f>SUM((MID(Dyno_Data[[#This Row],[Team]],4,5))+(Dyno_Data[[#This Row],[Match]]/100))</f>
        <v>3550.57</v>
      </c>
      <c r="AI3095" s="76">
        <f>ROUND(SUM(IF(Dyno_Data[[#This Row],[AcqCenter]]&gt;0,Dyno_Data[[#This Row],[Time]]-SUMIFS(Dyno_Data[Time],Dyno_Data[Team],Dyno_Data[[#This Row],[Team]],Dyno_Data[RecordType],"StartMatch",Dyno_Data[Match],Dyno_Data[[#This Row],[Match]]),0)*86400),0)</f>
        <v>0</v>
      </c>
    </row>
    <row r="3096" spans="1:35" x14ac:dyDescent="0.3">
      <c r="A3096">
        <v>3095</v>
      </c>
      <c r="B3096" t="s">
        <v>1314</v>
      </c>
      <c r="C3096">
        <v>57</v>
      </c>
      <c r="D3096" s="105">
        <v>45374.374692164354</v>
      </c>
      <c r="E3096" t="s">
        <v>316</v>
      </c>
      <c r="F3096" t="s">
        <v>317</v>
      </c>
      <c r="G3096">
        <v>1</v>
      </c>
      <c r="H3096" t="s">
        <v>310</v>
      </c>
      <c r="I3096">
        <v>0</v>
      </c>
      <c r="J3096">
        <v>0</v>
      </c>
      <c r="K3096">
        <v>0</v>
      </c>
      <c r="L3096" t="s">
        <v>310</v>
      </c>
      <c r="M3096" t="s">
        <v>310</v>
      </c>
      <c r="N3096">
        <v>0</v>
      </c>
      <c r="O3096" t="s">
        <v>1391</v>
      </c>
      <c r="P3096" t="s">
        <v>1401</v>
      </c>
      <c r="Q3096" t="s">
        <v>1400</v>
      </c>
      <c r="R3096" t="s">
        <v>1404</v>
      </c>
      <c r="S3096">
        <v>-1</v>
      </c>
      <c r="T3096" t="s">
        <v>105</v>
      </c>
      <c r="U3096">
        <v>9</v>
      </c>
      <c r="V3096">
        <v>9</v>
      </c>
      <c r="W3096">
        <v>21.447724999999998</v>
      </c>
      <c r="X3096">
        <v>27.0289371</v>
      </c>
      <c r="Y3096">
        <v>22.929611299999998</v>
      </c>
      <c r="Z3096">
        <v>58.445789399999995</v>
      </c>
      <c r="AA3096">
        <v>0</v>
      </c>
      <c r="AB3096">
        <v>0</v>
      </c>
      <c r="AC3096" t="s">
        <v>174</v>
      </c>
      <c r="AD3096">
        <v>9</v>
      </c>
      <c r="AE3096" t="s">
        <v>1394</v>
      </c>
      <c r="AF3096">
        <v>110000000</v>
      </c>
      <c r="AG3096" t="s">
        <v>310</v>
      </c>
      <c r="AH3096">
        <f>SUM((MID(Dyno_Data[[#This Row],[Team]],4,5))+(Dyno_Data[[#This Row],[Match]]/100))</f>
        <v>3419.57</v>
      </c>
      <c r="AI3096" s="76">
        <f>ROUND(SUM(IF(Dyno_Data[[#This Row],[AcqCenter]]&gt;0,Dyno_Data[[#This Row],[Time]]-SUMIFS(Dyno_Data[Time],Dyno_Data[Team],Dyno_Data[[#This Row],[Team]],Dyno_Data[RecordType],"StartMatch",Dyno_Data[Match],Dyno_Data[[#This Row],[Match]]),0)*86400),0)</f>
        <v>0</v>
      </c>
    </row>
    <row r="3097" spans="1:35" x14ac:dyDescent="0.3">
      <c r="A3097">
        <v>3096</v>
      </c>
      <c r="B3097" t="s">
        <v>1282</v>
      </c>
      <c r="C3097">
        <v>57</v>
      </c>
      <c r="D3097" s="105">
        <v>45374.374692164354</v>
      </c>
      <c r="E3097" t="s">
        <v>316</v>
      </c>
      <c r="F3097" t="s">
        <v>317</v>
      </c>
      <c r="G3097">
        <v>1</v>
      </c>
      <c r="H3097" t="s">
        <v>310</v>
      </c>
      <c r="I3097">
        <v>0</v>
      </c>
      <c r="J3097">
        <v>0</v>
      </c>
      <c r="K3097">
        <v>0</v>
      </c>
      <c r="L3097" t="s">
        <v>310</v>
      </c>
      <c r="M3097" t="s">
        <v>310</v>
      </c>
      <c r="N3097">
        <v>0</v>
      </c>
      <c r="O3097" t="s">
        <v>319</v>
      </c>
      <c r="P3097" t="s">
        <v>240</v>
      </c>
      <c r="Q3097" t="s">
        <v>1400</v>
      </c>
      <c r="R3097" t="s">
        <v>1404</v>
      </c>
      <c r="S3097">
        <v>-1</v>
      </c>
      <c r="T3097" t="s">
        <v>105</v>
      </c>
      <c r="U3097">
        <v>9</v>
      </c>
      <c r="V3097">
        <v>9</v>
      </c>
      <c r="W3097">
        <v>11.609421599999999</v>
      </c>
      <c r="X3097">
        <v>50.645934699999998</v>
      </c>
      <c r="Y3097">
        <v>29.185576599999997</v>
      </c>
      <c r="Z3097">
        <v>38.718741299999998</v>
      </c>
      <c r="AA3097">
        <v>0</v>
      </c>
      <c r="AB3097">
        <v>0</v>
      </c>
      <c r="AC3097" t="s">
        <v>174</v>
      </c>
      <c r="AD3097">
        <v>9</v>
      </c>
      <c r="AE3097" t="s">
        <v>1390</v>
      </c>
      <c r="AF3097">
        <v>40000000</v>
      </c>
      <c r="AG3097" t="s">
        <v>310</v>
      </c>
      <c r="AH3097">
        <f>SUM((MID(Dyno_Data[[#This Row],[Team]],4,5))+(Dyno_Data[[#This Row],[Match]]/100))</f>
        <v>333.57</v>
      </c>
      <c r="AI3097" s="76">
        <f>ROUND(SUM(IF(Dyno_Data[[#This Row],[AcqCenter]]&gt;0,Dyno_Data[[#This Row],[Time]]-SUMIFS(Dyno_Data[Time],Dyno_Data[Team],Dyno_Data[[#This Row],[Team]],Dyno_Data[RecordType],"StartMatch",Dyno_Data[Match],Dyno_Data[[#This Row],[Match]]),0)*86400),0)</f>
        <v>0</v>
      </c>
    </row>
    <row r="3098" spans="1:35" x14ac:dyDescent="0.3">
      <c r="A3098">
        <v>3097</v>
      </c>
      <c r="B3098" t="s">
        <v>1277</v>
      </c>
      <c r="C3098">
        <v>57</v>
      </c>
      <c r="D3098" s="105">
        <v>45374.374692361111</v>
      </c>
      <c r="E3098" t="s">
        <v>316</v>
      </c>
      <c r="F3098" t="s">
        <v>317</v>
      </c>
      <c r="G3098">
        <v>1</v>
      </c>
      <c r="H3098" t="s">
        <v>310</v>
      </c>
      <c r="I3098">
        <v>0</v>
      </c>
      <c r="J3098">
        <v>0</v>
      </c>
      <c r="K3098">
        <v>0</v>
      </c>
      <c r="L3098" t="s">
        <v>310</v>
      </c>
      <c r="M3098" t="s">
        <v>310</v>
      </c>
      <c r="N3098">
        <v>0</v>
      </c>
      <c r="O3098" t="s">
        <v>1393</v>
      </c>
      <c r="P3098" t="s">
        <v>240</v>
      </c>
      <c r="Q3098" t="s">
        <v>1399</v>
      </c>
      <c r="R3098" t="s">
        <v>1404</v>
      </c>
      <c r="S3098">
        <v>0</v>
      </c>
      <c r="T3098" t="s">
        <v>105</v>
      </c>
      <c r="U3098">
        <v>9</v>
      </c>
      <c r="V3098">
        <v>9</v>
      </c>
      <c r="W3098">
        <v>0</v>
      </c>
      <c r="X3098">
        <v>36.3364014</v>
      </c>
      <c r="Y3098">
        <v>21.645558099999999</v>
      </c>
      <c r="Z3098">
        <v>76.912975199999991</v>
      </c>
      <c r="AA3098">
        <v>0</v>
      </c>
      <c r="AB3098">
        <v>0</v>
      </c>
      <c r="AC3098" t="s">
        <v>174</v>
      </c>
      <c r="AD3098">
        <v>0</v>
      </c>
      <c r="AE3098" t="s">
        <v>1392</v>
      </c>
      <c r="AF3098">
        <v>70000000</v>
      </c>
      <c r="AG3098" t="s">
        <v>310</v>
      </c>
      <c r="AH3098">
        <f>SUM((MID(Dyno_Data[[#This Row],[Team]],4,5))+(Dyno_Data[[#This Row],[Match]]/100))</f>
        <v>3360.57</v>
      </c>
      <c r="AI3098" s="76">
        <f>ROUND(SUM(IF(Dyno_Data[[#This Row],[AcqCenter]]&gt;0,Dyno_Data[[#This Row],[Time]]-SUMIFS(Dyno_Data[Time],Dyno_Data[Team],Dyno_Data[[#This Row],[Team]],Dyno_Data[RecordType],"StartMatch",Dyno_Data[Match],Dyno_Data[[#This Row],[Match]]),0)*86400),0)</f>
        <v>0</v>
      </c>
    </row>
    <row r="3099" spans="1:35" x14ac:dyDescent="0.3">
      <c r="A3099">
        <v>3098</v>
      </c>
      <c r="B3099" t="s">
        <v>1294</v>
      </c>
      <c r="C3099">
        <v>57</v>
      </c>
      <c r="D3099" s="105">
        <v>45374.374692361111</v>
      </c>
      <c r="E3099" t="s">
        <v>316</v>
      </c>
      <c r="F3099" t="s">
        <v>317</v>
      </c>
      <c r="G3099">
        <v>1</v>
      </c>
      <c r="H3099" t="s">
        <v>310</v>
      </c>
      <c r="I3099">
        <v>0</v>
      </c>
      <c r="J3099">
        <v>0</v>
      </c>
      <c r="K3099">
        <v>0</v>
      </c>
      <c r="L3099" t="s">
        <v>310</v>
      </c>
      <c r="M3099" t="s">
        <v>310</v>
      </c>
      <c r="N3099">
        <v>0</v>
      </c>
      <c r="O3099" t="s">
        <v>1389</v>
      </c>
      <c r="P3099" t="s">
        <v>320</v>
      </c>
      <c r="Q3099" t="s">
        <v>1400</v>
      </c>
      <c r="R3099" t="s">
        <v>1404</v>
      </c>
      <c r="S3099">
        <v>0</v>
      </c>
      <c r="T3099" t="s">
        <v>105</v>
      </c>
      <c r="U3099">
        <v>9</v>
      </c>
      <c r="V3099">
        <v>9</v>
      </c>
      <c r="W3099">
        <v>0</v>
      </c>
      <c r="X3099">
        <v>27.6572514</v>
      </c>
      <c r="Y3099">
        <v>11.6828605</v>
      </c>
      <c r="Z3099">
        <v>94.126435099999995</v>
      </c>
      <c r="AA3099">
        <v>0</v>
      </c>
      <c r="AB3099">
        <v>0</v>
      </c>
      <c r="AC3099" t="s">
        <v>174</v>
      </c>
      <c r="AD3099">
        <v>9</v>
      </c>
      <c r="AE3099" t="s">
        <v>1387</v>
      </c>
      <c r="AF3099">
        <v>40000000</v>
      </c>
      <c r="AG3099" t="s">
        <v>310</v>
      </c>
      <c r="AH3099">
        <f>SUM((MID(Dyno_Data[[#This Row],[Team]],4,5))+(Dyno_Data[[#This Row],[Match]]/100))</f>
        <v>9076.57</v>
      </c>
      <c r="AI3099" s="76">
        <f>ROUND(SUM(IF(Dyno_Data[[#This Row],[AcqCenter]]&gt;0,Dyno_Data[[#This Row],[Time]]-SUMIFS(Dyno_Data[Time],Dyno_Data[Team],Dyno_Data[[#This Row],[Team]],Dyno_Data[RecordType],"StartMatch",Dyno_Data[Match],Dyno_Data[[#This Row],[Match]]),0)*86400),0)</f>
        <v>0</v>
      </c>
    </row>
    <row r="3100" spans="1:35" x14ac:dyDescent="0.3">
      <c r="A3100">
        <v>3099</v>
      </c>
      <c r="B3100" t="s">
        <v>1289</v>
      </c>
      <c r="C3100">
        <v>57</v>
      </c>
      <c r="D3100" s="105">
        <v>45374.374692557867</v>
      </c>
      <c r="E3100" t="s">
        <v>316</v>
      </c>
      <c r="F3100" t="s">
        <v>317</v>
      </c>
      <c r="G3100">
        <v>1</v>
      </c>
      <c r="H3100" t="s">
        <v>310</v>
      </c>
      <c r="I3100">
        <v>0</v>
      </c>
      <c r="J3100">
        <v>0</v>
      </c>
      <c r="K3100">
        <v>0</v>
      </c>
      <c r="L3100" t="s">
        <v>310</v>
      </c>
      <c r="M3100" t="s">
        <v>310</v>
      </c>
      <c r="N3100">
        <v>0</v>
      </c>
      <c r="O3100" t="s">
        <v>1395</v>
      </c>
      <c r="P3100" t="s">
        <v>101</v>
      </c>
      <c r="Q3100" t="s">
        <v>1400</v>
      </c>
      <c r="R3100" t="s">
        <v>1404</v>
      </c>
      <c r="S3100">
        <v>0</v>
      </c>
      <c r="T3100" t="s">
        <v>105</v>
      </c>
      <c r="U3100">
        <v>9</v>
      </c>
      <c r="V3100">
        <v>9</v>
      </c>
      <c r="W3100">
        <v>0</v>
      </c>
      <c r="X3100">
        <v>0</v>
      </c>
      <c r="Y3100">
        <v>77.398450299999993</v>
      </c>
      <c r="Z3100">
        <v>60.7026532</v>
      </c>
      <c r="AA3100">
        <v>2</v>
      </c>
      <c r="AB3100">
        <v>0</v>
      </c>
      <c r="AC3100" t="s">
        <v>170</v>
      </c>
      <c r="AD3100">
        <v>9</v>
      </c>
      <c r="AE3100" t="s">
        <v>1396</v>
      </c>
      <c r="AF3100">
        <v>0</v>
      </c>
      <c r="AG3100" t="s">
        <v>310</v>
      </c>
      <c r="AH3100">
        <f>SUM((MID(Dyno_Data[[#This Row],[Team]],4,5))+(Dyno_Data[[#This Row],[Match]]/100))</f>
        <v>6648.57</v>
      </c>
      <c r="AI3100" s="76">
        <f>ROUND(SUM(IF(Dyno_Data[[#This Row],[AcqCenter]]&gt;0,Dyno_Data[[#This Row],[Time]]-SUMIFS(Dyno_Data[Time],Dyno_Data[Team],Dyno_Data[[#This Row],[Team]],Dyno_Data[RecordType],"StartMatch",Dyno_Data[Match],Dyno_Data[[#This Row],[Match]]),0)*86400),0)</f>
        <v>0</v>
      </c>
    </row>
    <row r="3101" spans="1:35" x14ac:dyDescent="0.3">
      <c r="A3101">
        <v>3116</v>
      </c>
      <c r="B3101" t="s">
        <v>360</v>
      </c>
      <c r="C3101">
        <v>58</v>
      </c>
      <c r="D3101" s="105">
        <v>45374.377629594906</v>
      </c>
      <c r="E3101" t="s">
        <v>308</v>
      </c>
      <c r="F3101" t="s">
        <v>309</v>
      </c>
      <c r="G3101">
        <v>0</v>
      </c>
      <c r="H3101" t="s">
        <v>310</v>
      </c>
      <c r="I3101">
        <v>0</v>
      </c>
      <c r="J3101">
        <v>0</v>
      </c>
      <c r="K3101">
        <v>0</v>
      </c>
      <c r="L3101" t="s">
        <v>310</v>
      </c>
      <c r="M3101" t="s">
        <v>310</v>
      </c>
      <c r="N3101">
        <v>0</v>
      </c>
      <c r="O3101" t="s">
        <v>311</v>
      </c>
      <c r="P3101" t="s">
        <v>310</v>
      </c>
      <c r="Q3101" t="s">
        <v>310</v>
      </c>
      <c r="R3101" t="s">
        <v>310</v>
      </c>
      <c r="S3101">
        <v>9</v>
      </c>
      <c r="T3101" t="s">
        <v>310</v>
      </c>
      <c r="U3101">
        <v>9</v>
      </c>
      <c r="V3101">
        <v>9</v>
      </c>
      <c r="W3101">
        <v>0</v>
      </c>
      <c r="X3101">
        <v>0</v>
      </c>
      <c r="Y3101">
        <v>0</v>
      </c>
      <c r="Z3101">
        <v>0</v>
      </c>
      <c r="AA3101">
        <v>9</v>
      </c>
      <c r="AB3101">
        <v>9</v>
      </c>
      <c r="AC3101" t="s">
        <v>310</v>
      </c>
      <c r="AD3101">
        <v>9</v>
      </c>
      <c r="AE3101" t="s">
        <v>1388</v>
      </c>
      <c r="AF3101">
        <v>30003000</v>
      </c>
      <c r="AG3101" t="s">
        <v>310</v>
      </c>
      <c r="AH3101">
        <f>SUM((MID(Dyno_Data[[#This Row],[Team]],4,5))+(Dyno_Data[[#This Row],[Match]]/100))</f>
        <v>1796.58</v>
      </c>
      <c r="AI3101" s="76">
        <f>ROUND(SUM(IF(Dyno_Data[[#This Row],[AcqCenter]]&gt;0,Dyno_Data[[#This Row],[Time]]-SUMIFS(Dyno_Data[Time],Dyno_Data[Team],Dyno_Data[[#This Row],[Team]],Dyno_Data[RecordType],"StartMatch",Dyno_Data[Match],Dyno_Data[[#This Row],[Match]]),0)*86400),0)</f>
        <v>0</v>
      </c>
    </row>
    <row r="3102" spans="1:35" x14ac:dyDescent="0.3">
      <c r="A3102">
        <v>3118</v>
      </c>
      <c r="B3102" t="s">
        <v>1315</v>
      </c>
      <c r="C3102">
        <v>58</v>
      </c>
      <c r="D3102" s="105">
        <v>45374.37763171296</v>
      </c>
      <c r="E3102" t="s">
        <v>308</v>
      </c>
      <c r="F3102" t="s">
        <v>309</v>
      </c>
      <c r="G3102">
        <v>0</v>
      </c>
      <c r="H3102" t="s">
        <v>310</v>
      </c>
      <c r="I3102">
        <v>0</v>
      </c>
      <c r="J3102">
        <v>0</v>
      </c>
      <c r="K3102">
        <v>0</v>
      </c>
      <c r="L3102" t="s">
        <v>310</v>
      </c>
      <c r="M3102" t="s">
        <v>310</v>
      </c>
      <c r="N3102">
        <v>0</v>
      </c>
      <c r="O3102" t="s">
        <v>1389</v>
      </c>
      <c r="P3102" t="s">
        <v>310</v>
      </c>
      <c r="Q3102" t="s">
        <v>310</v>
      </c>
      <c r="R3102" t="s">
        <v>310</v>
      </c>
      <c r="S3102">
        <v>9</v>
      </c>
      <c r="T3102" t="s">
        <v>310</v>
      </c>
      <c r="U3102">
        <v>9</v>
      </c>
      <c r="V3102">
        <v>9</v>
      </c>
      <c r="W3102">
        <v>0</v>
      </c>
      <c r="X3102">
        <v>0</v>
      </c>
      <c r="Y3102">
        <v>0</v>
      </c>
      <c r="Z3102">
        <v>0</v>
      </c>
      <c r="AA3102">
        <v>9</v>
      </c>
      <c r="AB3102">
        <v>9</v>
      </c>
      <c r="AC3102" t="s">
        <v>310</v>
      </c>
      <c r="AD3102">
        <v>9</v>
      </c>
      <c r="AE3102" t="s">
        <v>1387</v>
      </c>
      <c r="AF3102">
        <v>0</v>
      </c>
      <c r="AG3102" t="s">
        <v>310</v>
      </c>
      <c r="AH3102">
        <f>SUM((MID(Dyno_Data[[#This Row],[Team]],4,5))+(Dyno_Data[[#This Row],[Match]]/100))</f>
        <v>1511.58</v>
      </c>
      <c r="AI3102" s="76">
        <f>ROUND(SUM(IF(Dyno_Data[[#This Row],[AcqCenter]]&gt;0,Dyno_Data[[#This Row],[Time]]-SUMIFS(Dyno_Data[Time],Dyno_Data[Team],Dyno_Data[[#This Row],[Team]],Dyno_Data[RecordType],"StartMatch",Dyno_Data[Match],Dyno_Data[[#This Row],[Match]]),0)*86400),0)</f>
        <v>0</v>
      </c>
    </row>
    <row r="3103" spans="1:35" x14ac:dyDescent="0.3">
      <c r="A3103">
        <v>3120</v>
      </c>
      <c r="B3103" t="s">
        <v>1308</v>
      </c>
      <c r="C3103">
        <v>58</v>
      </c>
      <c r="D3103" s="105">
        <v>45374.377632523145</v>
      </c>
      <c r="E3103" t="s">
        <v>308</v>
      </c>
      <c r="F3103" t="s">
        <v>309</v>
      </c>
      <c r="G3103">
        <v>0</v>
      </c>
      <c r="H3103" t="s">
        <v>310</v>
      </c>
      <c r="I3103">
        <v>0</v>
      </c>
      <c r="J3103">
        <v>0</v>
      </c>
      <c r="K3103">
        <v>0</v>
      </c>
      <c r="L3103" t="s">
        <v>310</v>
      </c>
      <c r="M3103" t="s">
        <v>310</v>
      </c>
      <c r="N3103">
        <v>0</v>
      </c>
      <c r="O3103" t="s">
        <v>1391</v>
      </c>
      <c r="P3103" t="s">
        <v>310</v>
      </c>
      <c r="Q3103" t="s">
        <v>310</v>
      </c>
      <c r="R3103" t="s">
        <v>310</v>
      </c>
      <c r="S3103">
        <v>9</v>
      </c>
      <c r="T3103" t="s">
        <v>310</v>
      </c>
      <c r="U3103">
        <v>9</v>
      </c>
      <c r="V3103">
        <v>9</v>
      </c>
      <c r="W3103">
        <v>0</v>
      </c>
      <c r="X3103">
        <v>0</v>
      </c>
      <c r="Y3103">
        <v>0</v>
      </c>
      <c r="Z3103">
        <v>0</v>
      </c>
      <c r="AA3103">
        <v>9</v>
      </c>
      <c r="AB3103">
        <v>9</v>
      </c>
      <c r="AC3103" t="s">
        <v>310</v>
      </c>
      <c r="AD3103">
        <v>9</v>
      </c>
      <c r="AE3103" t="s">
        <v>1394</v>
      </c>
      <c r="AF3103">
        <v>0</v>
      </c>
      <c r="AG3103" t="s">
        <v>310</v>
      </c>
      <c r="AH3103">
        <f>SUM((MID(Dyno_Data[[#This Row],[Team]],4,5))+(Dyno_Data[[#This Row],[Match]]/100))</f>
        <v>3799.58</v>
      </c>
      <c r="AI3103" s="76">
        <f>ROUND(SUM(IF(Dyno_Data[[#This Row],[AcqCenter]]&gt;0,Dyno_Data[[#This Row],[Time]]-SUMIFS(Dyno_Data[Time],Dyno_Data[Team],Dyno_Data[[#This Row],[Team]],Dyno_Data[RecordType],"StartMatch",Dyno_Data[Match],Dyno_Data[[#This Row],[Match]]),0)*86400),0)</f>
        <v>0</v>
      </c>
    </row>
    <row r="3104" spans="1:35" x14ac:dyDescent="0.3">
      <c r="A3104">
        <v>3122</v>
      </c>
      <c r="B3104" t="s">
        <v>1300</v>
      </c>
      <c r="C3104">
        <v>58</v>
      </c>
      <c r="D3104" s="105">
        <v>45374.377632673612</v>
      </c>
      <c r="E3104" t="s">
        <v>308</v>
      </c>
      <c r="F3104" t="s">
        <v>309</v>
      </c>
      <c r="G3104">
        <v>0</v>
      </c>
      <c r="H3104" t="s">
        <v>310</v>
      </c>
      <c r="I3104">
        <v>0</v>
      </c>
      <c r="J3104">
        <v>0</v>
      </c>
      <c r="K3104">
        <v>0</v>
      </c>
      <c r="L3104" t="s">
        <v>310</v>
      </c>
      <c r="M3104" t="s">
        <v>310</v>
      </c>
      <c r="N3104">
        <v>0</v>
      </c>
      <c r="O3104" t="s">
        <v>1393</v>
      </c>
      <c r="P3104" t="s">
        <v>310</v>
      </c>
      <c r="Q3104" t="s">
        <v>310</v>
      </c>
      <c r="R3104" t="s">
        <v>310</v>
      </c>
      <c r="S3104">
        <v>9</v>
      </c>
      <c r="T3104" t="s">
        <v>310</v>
      </c>
      <c r="U3104">
        <v>9</v>
      </c>
      <c r="V3104">
        <v>9</v>
      </c>
      <c r="W3104">
        <v>0</v>
      </c>
      <c r="X3104">
        <v>0</v>
      </c>
      <c r="Y3104">
        <v>0</v>
      </c>
      <c r="Z3104">
        <v>0</v>
      </c>
      <c r="AA3104">
        <v>9</v>
      </c>
      <c r="AB3104">
        <v>9</v>
      </c>
      <c r="AC3104" t="s">
        <v>310</v>
      </c>
      <c r="AD3104">
        <v>9</v>
      </c>
      <c r="AE3104" t="s">
        <v>1392</v>
      </c>
      <c r="AF3104">
        <v>0</v>
      </c>
      <c r="AG3104" t="s">
        <v>310</v>
      </c>
      <c r="AH3104">
        <f>SUM((MID(Dyno_Data[[#This Row],[Team]],4,5))+(Dyno_Data[[#This Row],[Match]]/100))</f>
        <v>3044.58</v>
      </c>
      <c r="AI3104" s="76">
        <f>ROUND(SUM(IF(Dyno_Data[[#This Row],[AcqCenter]]&gt;0,Dyno_Data[[#This Row],[Time]]-SUMIFS(Dyno_Data[Time],Dyno_Data[Team],Dyno_Data[[#This Row],[Team]],Dyno_Data[RecordType],"StartMatch",Dyno_Data[Match],Dyno_Data[[#This Row],[Match]]),0)*86400),0)</f>
        <v>0</v>
      </c>
    </row>
    <row r="3105" spans="1:35" x14ac:dyDescent="0.3">
      <c r="A3105">
        <v>3124</v>
      </c>
      <c r="B3105" t="s">
        <v>318</v>
      </c>
      <c r="C3105">
        <v>58</v>
      </c>
      <c r="D3105" s="105">
        <v>45374.377633414355</v>
      </c>
      <c r="E3105" t="s">
        <v>308</v>
      </c>
      <c r="F3105" t="s">
        <v>309</v>
      </c>
      <c r="G3105">
        <v>0</v>
      </c>
      <c r="H3105" t="s">
        <v>310</v>
      </c>
      <c r="I3105">
        <v>0</v>
      </c>
      <c r="J3105">
        <v>0</v>
      </c>
      <c r="K3105">
        <v>0</v>
      </c>
      <c r="L3105" t="s">
        <v>310</v>
      </c>
      <c r="M3105" t="s">
        <v>310</v>
      </c>
      <c r="N3105">
        <v>0</v>
      </c>
      <c r="O3105" t="s">
        <v>319</v>
      </c>
      <c r="P3105" t="s">
        <v>310</v>
      </c>
      <c r="Q3105" t="s">
        <v>310</v>
      </c>
      <c r="R3105" t="s">
        <v>310</v>
      </c>
      <c r="S3105">
        <v>9</v>
      </c>
      <c r="T3105" t="s">
        <v>310</v>
      </c>
      <c r="U3105">
        <v>9</v>
      </c>
      <c r="V3105">
        <v>9</v>
      </c>
      <c r="W3105">
        <v>0</v>
      </c>
      <c r="X3105">
        <v>0</v>
      </c>
      <c r="Y3105">
        <v>0</v>
      </c>
      <c r="Z3105">
        <v>0</v>
      </c>
      <c r="AA3105">
        <v>9</v>
      </c>
      <c r="AB3105">
        <v>9</v>
      </c>
      <c r="AC3105" t="s">
        <v>310</v>
      </c>
      <c r="AD3105">
        <v>9</v>
      </c>
      <c r="AE3105" t="s">
        <v>1390</v>
      </c>
      <c r="AF3105">
        <v>0</v>
      </c>
      <c r="AG3105" t="s">
        <v>310</v>
      </c>
      <c r="AH3105">
        <f>SUM((MID(Dyno_Data[[#This Row],[Team]],4,5))+(Dyno_Data[[#This Row],[Match]]/100))</f>
        <v>639.58000000000004</v>
      </c>
      <c r="AI3105" s="76">
        <f>ROUND(SUM(IF(Dyno_Data[[#This Row],[AcqCenter]]&gt;0,Dyno_Data[[#This Row],[Time]]-SUMIFS(Dyno_Data[Time],Dyno_Data[Team],Dyno_Data[[#This Row],[Team]],Dyno_Data[RecordType],"StartMatch",Dyno_Data[Match],Dyno_Data[[#This Row],[Match]]),0)*86400),0)</f>
        <v>0</v>
      </c>
    </row>
    <row r="3106" spans="1:35" x14ac:dyDescent="0.3">
      <c r="A3106">
        <v>3126</v>
      </c>
      <c r="B3106" t="s">
        <v>1278</v>
      </c>
      <c r="C3106">
        <v>58</v>
      </c>
      <c r="D3106" s="105">
        <v>45374.377634641205</v>
      </c>
      <c r="E3106" t="s">
        <v>308</v>
      </c>
      <c r="F3106" t="s">
        <v>309</v>
      </c>
      <c r="G3106">
        <v>0</v>
      </c>
      <c r="H3106" t="s">
        <v>310</v>
      </c>
      <c r="I3106">
        <v>0</v>
      </c>
      <c r="J3106">
        <v>0</v>
      </c>
      <c r="K3106">
        <v>0</v>
      </c>
      <c r="L3106" t="s">
        <v>310</v>
      </c>
      <c r="M3106" t="s">
        <v>310</v>
      </c>
      <c r="N3106">
        <v>0</v>
      </c>
      <c r="O3106" t="s">
        <v>1395</v>
      </c>
      <c r="P3106" t="s">
        <v>310</v>
      </c>
      <c r="Q3106" t="s">
        <v>310</v>
      </c>
      <c r="R3106" t="s">
        <v>310</v>
      </c>
      <c r="S3106">
        <v>9</v>
      </c>
      <c r="T3106" t="s">
        <v>310</v>
      </c>
      <c r="U3106">
        <v>9</v>
      </c>
      <c r="V3106">
        <v>9</v>
      </c>
      <c r="W3106">
        <v>0</v>
      </c>
      <c r="X3106">
        <v>0</v>
      </c>
      <c r="Y3106">
        <v>0</v>
      </c>
      <c r="Z3106">
        <v>0</v>
      </c>
      <c r="AA3106">
        <v>9</v>
      </c>
      <c r="AB3106">
        <v>9</v>
      </c>
      <c r="AC3106" t="s">
        <v>310</v>
      </c>
      <c r="AD3106">
        <v>9</v>
      </c>
      <c r="AE3106" t="s">
        <v>1396</v>
      </c>
      <c r="AF3106">
        <v>0</v>
      </c>
      <c r="AG3106" t="s">
        <v>310</v>
      </c>
      <c r="AH3106">
        <f>SUM((MID(Dyno_Data[[#This Row],[Team]],4,5))+(Dyno_Data[[#This Row],[Match]]/100))</f>
        <v>3951.58</v>
      </c>
      <c r="AI3106" s="76">
        <f>ROUND(SUM(IF(Dyno_Data[[#This Row],[AcqCenter]]&gt;0,Dyno_Data[[#This Row],[Time]]-SUMIFS(Dyno_Data[Time],Dyno_Data[Team],Dyno_Data[[#This Row],[Team]],Dyno_Data[RecordType],"StartMatch",Dyno_Data[Match],Dyno_Data[[#This Row],[Match]]),0)*86400),0)</f>
        <v>0</v>
      </c>
    </row>
    <row r="3107" spans="1:35" x14ac:dyDescent="0.3">
      <c r="A3107">
        <v>3100</v>
      </c>
      <c r="B3107" t="s">
        <v>1308</v>
      </c>
      <c r="C3107">
        <v>58</v>
      </c>
      <c r="D3107" s="105">
        <v>45374.377650462964</v>
      </c>
      <c r="E3107" t="s">
        <v>312</v>
      </c>
      <c r="F3107" t="s">
        <v>309</v>
      </c>
      <c r="G3107">
        <v>0</v>
      </c>
      <c r="H3107" t="s">
        <v>1397</v>
      </c>
      <c r="I3107">
        <v>0</v>
      </c>
      <c r="J3107">
        <v>0</v>
      </c>
      <c r="K3107">
        <v>0</v>
      </c>
      <c r="L3107" t="s">
        <v>240</v>
      </c>
      <c r="M3107" t="s">
        <v>1398</v>
      </c>
      <c r="N3107">
        <v>0</v>
      </c>
      <c r="O3107" t="s">
        <v>1391</v>
      </c>
      <c r="P3107" t="s">
        <v>310</v>
      </c>
      <c r="Q3107" t="s">
        <v>310</v>
      </c>
      <c r="R3107" t="s">
        <v>310</v>
      </c>
      <c r="S3107">
        <v>9</v>
      </c>
      <c r="T3107" t="s">
        <v>310</v>
      </c>
      <c r="U3107">
        <v>9</v>
      </c>
      <c r="V3107">
        <v>9</v>
      </c>
      <c r="W3107">
        <v>0</v>
      </c>
      <c r="X3107">
        <v>0</v>
      </c>
      <c r="Y3107">
        <v>0</v>
      </c>
      <c r="Z3107">
        <v>0</v>
      </c>
      <c r="AA3107">
        <v>9</v>
      </c>
      <c r="AB3107">
        <v>9</v>
      </c>
      <c r="AC3107" t="s">
        <v>310</v>
      </c>
      <c r="AD3107">
        <v>9</v>
      </c>
      <c r="AE3107" t="s">
        <v>1394</v>
      </c>
      <c r="AF3107">
        <v>0</v>
      </c>
      <c r="AG3107" t="s">
        <v>310</v>
      </c>
      <c r="AH3107">
        <f>SUM((MID(Dyno_Data[[#This Row],[Team]],4,5))+(Dyno_Data[[#This Row],[Match]]/100))</f>
        <v>3799.58</v>
      </c>
      <c r="AI3107" s="76">
        <f>ROUND(SUM(IF(Dyno_Data[[#This Row],[AcqCenter]]&gt;0,Dyno_Data[[#This Row],[Time]]-SUMIFS(Dyno_Data[Time],Dyno_Data[Team],Dyno_Data[[#This Row],[Team]],Dyno_Data[RecordType],"StartMatch",Dyno_Data[Match],Dyno_Data[[#This Row],[Match]]),0)*86400),0)</f>
        <v>0</v>
      </c>
    </row>
    <row r="3108" spans="1:35" x14ac:dyDescent="0.3">
      <c r="A3108">
        <v>3101</v>
      </c>
      <c r="B3108" t="s">
        <v>360</v>
      </c>
      <c r="C3108">
        <v>58</v>
      </c>
      <c r="D3108" s="105">
        <v>45374.377652777781</v>
      </c>
      <c r="E3108" t="s">
        <v>312</v>
      </c>
      <c r="F3108" t="s">
        <v>309</v>
      </c>
      <c r="G3108">
        <v>0</v>
      </c>
      <c r="H3108" t="s">
        <v>1397</v>
      </c>
      <c r="I3108">
        <v>0</v>
      </c>
      <c r="J3108">
        <v>0</v>
      </c>
      <c r="K3108">
        <v>0</v>
      </c>
      <c r="L3108" t="s">
        <v>240</v>
      </c>
      <c r="M3108" t="s">
        <v>1398</v>
      </c>
      <c r="N3108">
        <v>0</v>
      </c>
      <c r="O3108" t="s">
        <v>311</v>
      </c>
      <c r="P3108" t="s">
        <v>310</v>
      </c>
      <c r="Q3108" t="s">
        <v>310</v>
      </c>
      <c r="R3108" t="s">
        <v>310</v>
      </c>
      <c r="S3108">
        <v>9</v>
      </c>
      <c r="T3108" t="s">
        <v>310</v>
      </c>
      <c r="U3108">
        <v>9</v>
      </c>
      <c r="V3108">
        <v>9</v>
      </c>
      <c r="W3108">
        <v>0</v>
      </c>
      <c r="X3108">
        <v>0</v>
      </c>
      <c r="Y3108">
        <v>0</v>
      </c>
      <c r="Z3108">
        <v>0</v>
      </c>
      <c r="AA3108">
        <v>9</v>
      </c>
      <c r="AB3108">
        <v>9</v>
      </c>
      <c r="AC3108" t="s">
        <v>310</v>
      </c>
      <c r="AD3108">
        <v>9</v>
      </c>
      <c r="AE3108" t="s">
        <v>1388</v>
      </c>
      <c r="AF3108">
        <v>0</v>
      </c>
      <c r="AG3108" t="s">
        <v>310</v>
      </c>
      <c r="AH3108">
        <f>SUM((MID(Dyno_Data[[#This Row],[Team]],4,5))+(Dyno_Data[[#This Row],[Match]]/100))</f>
        <v>1796.58</v>
      </c>
      <c r="AI3108" s="76">
        <f>ROUND(SUM(IF(Dyno_Data[[#This Row],[AcqCenter]]&gt;0,Dyno_Data[[#This Row],[Time]]-SUMIFS(Dyno_Data[Time],Dyno_Data[Team],Dyno_Data[[#This Row],[Team]],Dyno_Data[RecordType],"StartMatch",Dyno_Data[Match],Dyno_Data[[#This Row],[Match]]),0)*86400),0)</f>
        <v>0</v>
      </c>
    </row>
    <row r="3109" spans="1:35" x14ac:dyDescent="0.3">
      <c r="A3109">
        <v>3102</v>
      </c>
      <c r="B3109" t="s">
        <v>1300</v>
      </c>
      <c r="C3109">
        <v>58</v>
      </c>
      <c r="D3109" s="105">
        <v>45374.377665659726</v>
      </c>
      <c r="E3109" t="s">
        <v>312</v>
      </c>
      <c r="F3109" t="s">
        <v>309</v>
      </c>
      <c r="G3109">
        <v>0</v>
      </c>
      <c r="H3109" t="s">
        <v>1397</v>
      </c>
      <c r="I3109">
        <v>0</v>
      </c>
      <c r="J3109">
        <v>0</v>
      </c>
      <c r="K3109">
        <v>0</v>
      </c>
      <c r="L3109" t="s">
        <v>241</v>
      </c>
      <c r="M3109" t="s">
        <v>1398</v>
      </c>
      <c r="N3109">
        <v>0</v>
      </c>
      <c r="O3109" t="s">
        <v>1393</v>
      </c>
      <c r="P3109" t="s">
        <v>310</v>
      </c>
      <c r="Q3109" t="s">
        <v>310</v>
      </c>
      <c r="R3109" t="s">
        <v>310</v>
      </c>
      <c r="S3109">
        <v>9</v>
      </c>
      <c r="T3109" t="s">
        <v>310</v>
      </c>
      <c r="U3109">
        <v>9</v>
      </c>
      <c r="V3109">
        <v>9</v>
      </c>
      <c r="W3109">
        <v>0</v>
      </c>
      <c r="X3109">
        <v>0</v>
      </c>
      <c r="Y3109">
        <v>0</v>
      </c>
      <c r="Z3109">
        <v>0</v>
      </c>
      <c r="AA3109">
        <v>9</v>
      </c>
      <c r="AB3109">
        <v>9</v>
      </c>
      <c r="AC3109" t="s">
        <v>310</v>
      </c>
      <c r="AD3109">
        <v>9</v>
      </c>
      <c r="AE3109" t="s">
        <v>1392</v>
      </c>
      <c r="AF3109">
        <v>0</v>
      </c>
      <c r="AG3109" t="s">
        <v>310</v>
      </c>
      <c r="AH3109">
        <f>SUM((MID(Dyno_Data[[#This Row],[Team]],4,5))+(Dyno_Data[[#This Row],[Match]]/100))</f>
        <v>3044.58</v>
      </c>
      <c r="AI3109" s="76">
        <f>ROUND(SUM(IF(Dyno_Data[[#This Row],[AcqCenter]]&gt;0,Dyno_Data[[#This Row],[Time]]-SUMIFS(Dyno_Data[Time],Dyno_Data[Team],Dyno_Data[[#This Row],[Team]],Dyno_Data[RecordType],"StartMatch",Dyno_Data[Match],Dyno_Data[[#This Row],[Match]]),0)*86400),0)</f>
        <v>0</v>
      </c>
    </row>
    <row r="3110" spans="1:35" x14ac:dyDescent="0.3">
      <c r="A3110">
        <v>3103</v>
      </c>
      <c r="B3110" t="s">
        <v>360</v>
      </c>
      <c r="C3110">
        <v>58</v>
      </c>
      <c r="D3110" s="105">
        <v>45374.377671064816</v>
      </c>
      <c r="E3110" t="s">
        <v>312</v>
      </c>
      <c r="F3110" t="s">
        <v>309</v>
      </c>
      <c r="G3110">
        <v>0</v>
      </c>
      <c r="H3110" t="s">
        <v>315</v>
      </c>
      <c r="I3110">
        <v>0</v>
      </c>
      <c r="J3110">
        <v>0</v>
      </c>
      <c r="K3110">
        <v>0</v>
      </c>
      <c r="L3110" t="s">
        <v>241</v>
      </c>
      <c r="M3110" t="s">
        <v>1398</v>
      </c>
      <c r="N3110">
        <v>0</v>
      </c>
      <c r="O3110" t="s">
        <v>311</v>
      </c>
      <c r="P3110" t="s">
        <v>310</v>
      </c>
      <c r="Q3110" t="s">
        <v>310</v>
      </c>
      <c r="R3110" t="s">
        <v>310</v>
      </c>
      <c r="S3110">
        <v>9</v>
      </c>
      <c r="T3110" t="s">
        <v>310</v>
      </c>
      <c r="U3110">
        <v>9</v>
      </c>
      <c r="V3110">
        <v>9</v>
      </c>
      <c r="W3110">
        <v>0</v>
      </c>
      <c r="X3110">
        <v>0</v>
      </c>
      <c r="Y3110">
        <v>0</v>
      </c>
      <c r="Z3110">
        <v>0</v>
      </c>
      <c r="AA3110">
        <v>9</v>
      </c>
      <c r="AB3110">
        <v>9</v>
      </c>
      <c r="AC3110" t="s">
        <v>310</v>
      </c>
      <c r="AD3110">
        <v>9</v>
      </c>
      <c r="AE3110" t="s">
        <v>1388</v>
      </c>
      <c r="AF3110">
        <v>10000000</v>
      </c>
      <c r="AG3110" t="s">
        <v>310</v>
      </c>
      <c r="AH3110">
        <f>SUM((MID(Dyno_Data[[#This Row],[Team]],4,5))+(Dyno_Data[[#This Row],[Match]]/100))</f>
        <v>1796.58</v>
      </c>
      <c r="AI3110" s="76">
        <f>ROUND(SUM(IF(Dyno_Data[[#This Row],[AcqCenter]]&gt;0,Dyno_Data[[#This Row],[Time]]-SUMIFS(Dyno_Data[Time],Dyno_Data[Team],Dyno_Data[[#This Row],[Team]],Dyno_Data[RecordType],"StartMatch",Dyno_Data[Match],Dyno_Data[[#This Row],[Match]]),0)*86400),0)</f>
        <v>0</v>
      </c>
    </row>
    <row r="3111" spans="1:35" x14ac:dyDescent="0.3">
      <c r="A3111">
        <v>3104</v>
      </c>
      <c r="B3111" t="s">
        <v>1315</v>
      </c>
      <c r="C3111">
        <v>58</v>
      </c>
      <c r="D3111" s="105">
        <v>45374.377675347219</v>
      </c>
      <c r="E3111" t="s">
        <v>312</v>
      </c>
      <c r="F3111" t="s">
        <v>309</v>
      </c>
      <c r="G3111">
        <v>0</v>
      </c>
      <c r="H3111" t="s">
        <v>1397</v>
      </c>
      <c r="I3111">
        <v>0</v>
      </c>
      <c r="J3111">
        <v>0</v>
      </c>
      <c r="K3111">
        <v>0</v>
      </c>
      <c r="L3111" t="s">
        <v>240</v>
      </c>
      <c r="M3111" t="s">
        <v>1398</v>
      </c>
      <c r="N3111">
        <v>0</v>
      </c>
      <c r="O3111" t="s">
        <v>1389</v>
      </c>
      <c r="P3111" t="s">
        <v>310</v>
      </c>
      <c r="Q3111" t="s">
        <v>310</v>
      </c>
      <c r="R3111" t="s">
        <v>310</v>
      </c>
      <c r="S3111">
        <v>9</v>
      </c>
      <c r="T3111" t="s">
        <v>310</v>
      </c>
      <c r="U3111">
        <v>9</v>
      </c>
      <c r="V3111">
        <v>9</v>
      </c>
      <c r="W3111">
        <v>0</v>
      </c>
      <c r="X3111">
        <v>0</v>
      </c>
      <c r="Y3111">
        <v>0</v>
      </c>
      <c r="Z3111">
        <v>0</v>
      </c>
      <c r="AA3111">
        <v>9</v>
      </c>
      <c r="AB3111">
        <v>9</v>
      </c>
      <c r="AC3111" t="s">
        <v>310</v>
      </c>
      <c r="AD3111">
        <v>9</v>
      </c>
      <c r="AE3111" t="s">
        <v>1387</v>
      </c>
      <c r="AF3111">
        <v>0</v>
      </c>
      <c r="AG3111" t="s">
        <v>310</v>
      </c>
      <c r="AH3111">
        <f>SUM((MID(Dyno_Data[[#This Row],[Team]],4,5))+(Dyno_Data[[#This Row],[Match]]/100))</f>
        <v>1511.58</v>
      </c>
      <c r="AI3111" s="76">
        <f>ROUND(SUM(IF(Dyno_Data[[#This Row],[AcqCenter]]&gt;0,Dyno_Data[[#This Row],[Time]]-SUMIFS(Dyno_Data[Time],Dyno_Data[Team],Dyno_Data[[#This Row],[Team]],Dyno_Data[RecordType],"StartMatch",Dyno_Data[Match],Dyno_Data[[#This Row],[Match]]),0)*86400),0)</f>
        <v>0</v>
      </c>
    </row>
    <row r="3112" spans="1:35" x14ac:dyDescent="0.3">
      <c r="A3112">
        <v>3105</v>
      </c>
      <c r="B3112" t="s">
        <v>1278</v>
      </c>
      <c r="C3112">
        <v>58</v>
      </c>
      <c r="D3112" s="105">
        <v>45374.377680358797</v>
      </c>
      <c r="E3112" t="s">
        <v>312</v>
      </c>
      <c r="F3112" t="s">
        <v>309</v>
      </c>
      <c r="G3112">
        <v>0</v>
      </c>
      <c r="H3112" t="s">
        <v>1397</v>
      </c>
      <c r="I3112">
        <v>0</v>
      </c>
      <c r="J3112">
        <v>0</v>
      </c>
      <c r="K3112">
        <v>0</v>
      </c>
      <c r="L3112" t="s">
        <v>240</v>
      </c>
      <c r="M3112" t="s">
        <v>1398</v>
      </c>
      <c r="N3112">
        <v>0</v>
      </c>
      <c r="O3112" t="s">
        <v>1395</v>
      </c>
      <c r="P3112" t="s">
        <v>310</v>
      </c>
      <c r="Q3112" t="s">
        <v>310</v>
      </c>
      <c r="R3112" t="s">
        <v>310</v>
      </c>
      <c r="S3112">
        <v>9</v>
      </c>
      <c r="T3112" t="s">
        <v>310</v>
      </c>
      <c r="U3112">
        <v>9</v>
      </c>
      <c r="V3112">
        <v>9</v>
      </c>
      <c r="W3112">
        <v>0</v>
      </c>
      <c r="X3112">
        <v>0</v>
      </c>
      <c r="Y3112">
        <v>0</v>
      </c>
      <c r="Z3112">
        <v>0</v>
      </c>
      <c r="AA3112">
        <v>9</v>
      </c>
      <c r="AB3112">
        <v>9</v>
      </c>
      <c r="AC3112" t="s">
        <v>310</v>
      </c>
      <c r="AD3112">
        <v>9</v>
      </c>
      <c r="AE3112" t="s">
        <v>1396</v>
      </c>
      <c r="AF3112">
        <v>0</v>
      </c>
      <c r="AG3112" t="s">
        <v>310</v>
      </c>
      <c r="AH3112">
        <f>SUM((MID(Dyno_Data[[#This Row],[Team]],4,5))+(Dyno_Data[[#This Row],[Match]]/100))</f>
        <v>3951.58</v>
      </c>
      <c r="AI3112" s="76">
        <f>ROUND(SUM(IF(Dyno_Data[[#This Row],[AcqCenter]]&gt;0,Dyno_Data[[#This Row],[Time]]-SUMIFS(Dyno_Data[Time],Dyno_Data[Team],Dyno_Data[[#This Row],[Team]],Dyno_Data[RecordType],"StartMatch",Dyno_Data[Match],Dyno_Data[[#This Row],[Match]]),0)*86400),0)</f>
        <v>0</v>
      </c>
    </row>
    <row r="3113" spans="1:35" x14ac:dyDescent="0.3">
      <c r="A3113">
        <v>3106</v>
      </c>
      <c r="B3113" t="s">
        <v>360</v>
      </c>
      <c r="C3113">
        <v>58</v>
      </c>
      <c r="D3113" s="105">
        <v>45374.377686458334</v>
      </c>
      <c r="E3113" t="s">
        <v>312</v>
      </c>
      <c r="F3113" t="s">
        <v>309</v>
      </c>
      <c r="G3113">
        <v>0</v>
      </c>
      <c r="H3113" t="s">
        <v>315</v>
      </c>
      <c r="I3113">
        <v>0</v>
      </c>
      <c r="J3113">
        <v>0</v>
      </c>
      <c r="K3113">
        <v>0</v>
      </c>
      <c r="L3113" t="s">
        <v>241</v>
      </c>
      <c r="M3113" t="s">
        <v>1398</v>
      </c>
      <c r="N3113">
        <v>0</v>
      </c>
      <c r="O3113" t="s">
        <v>311</v>
      </c>
      <c r="P3113" t="s">
        <v>310</v>
      </c>
      <c r="Q3113" t="s">
        <v>310</v>
      </c>
      <c r="R3113" t="s">
        <v>310</v>
      </c>
      <c r="S3113">
        <v>9</v>
      </c>
      <c r="T3113" t="s">
        <v>310</v>
      </c>
      <c r="U3113">
        <v>9</v>
      </c>
      <c r="V3113">
        <v>9</v>
      </c>
      <c r="W3113">
        <v>0</v>
      </c>
      <c r="X3113">
        <v>0</v>
      </c>
      <c r="Y3113">
        <v>0</v>
      </c>
      <c r="Z3113">
        <v>0</v>
      </c>
      <c r="AA3113">
        <v>9</v>
      </c>
      <c r="AB3113">
        <v>9</v>
      </c>
      <c r="AC3113" t="s">
        <v>310</v>
      </c>
      <c r="AD3113">
        <v>9</v>
      </c>
      <c r="AE3113" t="s">
        <v>1388</v>
      </c>
      <c r="AF3113">
        <v>20000000</v>
      </c>
      <c r="AG3113" t="s">
        <v>310</v>
      </c>
      <c r="AH3113">
        <f>SUM((MID(Dyno_Data[[#This Row],[Team]],4,5))+(Dyno_Data[[#This Row],[Match]]/100))</f>
        <v>1796.58</v>
      </c>
      <c r="AI3113" s="76">
        <f>ROUND(SUM(IF(Dyno_Data[[#This Row],[AcqCenter]]&gt;0,Dyno_Data[[#This Row],[Time]]-SUMIFS(Dyno_Data[Time],Dyno_Data[Team],Dyno_Data[[#This Row],[Team]],Dyno_Data[RecordType],"StartMatch",Dyno_Data[Match],Dyno_Data[[#This Row],[Match]]),0)*86400),0)</f>
        <v>0</v>
      </c>
    </row>
    <row r="3114" spans="1:35" x14ac:dyDescent="0.3">
      <c r="A3114">
        <v>3107</v>
      </c>
      <c r="B3114" t="s">
        <v>318</v>
      </c>
      <c r="C3114">
        <v>58</v>
      </c>
      <c r="D3114" s="105">
        <v>45374.377694988427</v>
      </c>
      <c r="E3114" t="s">
        <v>312</v>
      </c>
      <c r="F3114" t="s">
        <v>309</v>
      </c>
      <c r="G3114">
        <v>0</v>
      </c>
      <c r="H3114" t="s">
        <v>1397</v>
      </c>
      <c r="I3114">
        <v>0</v>
      </c>
      <c r="J3114">
        <v>0</v>
      </c>
      <c r="K3114">
        <v>0</v>
      </c>
      <c r="L3114" t="s">
        <v>240</v>
      </c>
      <c r="M3114" t="s">
        <v>1398</v>
      </c>
      <c r="N3114">
        <v>0</v>
      </c>
      <c r="O3114" t="s">
        <v>319</v>
      </c>
      <c r="P3114" t="s">
        <v>310</v>
      </c>
      <c r="Q3114" t="s">
        <v>310</v>
      </c>
      <c r="R3114" t="s">
        <v>310</v>
      </c>
      <c r="S3114">
        <v>9</v>
      </c>
      <c r="T3114" t="s">
        <v>310</v>
      </c>
      <c r="U3114">
        <v>9</v>
      </c>
      <c r="V3114">
        <v>9</v>
      </c>
      <c r="W3114">
        <v>0</v>
      </c>
      <c r="X3114">
        <v>0</v>
      </c>
      <c r="Y3114">
        <v>0</v>
      </c>
      <c r="Z3114">
        <v>0</v>
      </c>
      <c r="AA3114">
        <v>9</v>
      </c>
      <c r="AB3114">
        <v>9</v>
      </c>
      <c r="AC3114" t="s">
        <v>310</v>
      </c>
      <c r="AD3114">
        <v>9</v>
      </c>
      <c r="AE3114" t="s">
        <v>1390</v>
      </c>
      <c r="AF3114">
        <v>0</v>
      </c>
      <c r="AG3114" t="s">
        <v>310</v>
      </c>
      <c r="AH3114">
        <f>SUM((MID(Dyno_Data[[#This Row],[Team]],4,5))+(Dyno_Data[[#This Row],[Match]]/100))</f>
        <v>639.58000000000004</v>
      </c>
      <c r="AI3114" s="76">
        <f>ROUND(SUM(IF(Dyno_Data[[#This Row],[AcqCenter]]&gt;0,Dyno_Data[[#This Row],[Time]]-SUMIFS(Dyno_Data[Time],Dyno_Data[Team],Dyno_Data[[#This Row],[Team]],Dyno_Data[RecordType],"StartMatch",Dyno_Data[Match],Dyno_Data[[#This Row],[Match]]),0)*86400),0)</f>
        <v>0</v>
      </c>
    </row>
    <row r="3115" spans="1:35" x14ac:dyDescent="0.3">
      <c r="A3115">
        <v>3109</v>
      </c>
      <c r="B3115" t="s">
        <v>1300</v>
      </c>
      <c r="C3115">
        <v>58</v>
      </c>
      <c r="D3115" s="105">
        <v>45374.377700775462</v>
      </c>
      <c r="E3115" t="s">
        <v>312</v>
      </c>
      <c r="F3115" t="s">
        <v>309</v>
      </c>
      <c r="G3115">
        <v>0</v>
      </c>
      <c r="H3115" t="s">
        <v>143</v>
      </c>
      <c r="I3115">
        <v>1</v>
      </c>
      <c r="J3115">
        <v>-1</v>
      </c>
      <c r="K3115">
        <v>0</v>
      </c>
      <c r="L3115" t="s">
        <v>310</v>
      </c>
      <c r="M3115" t="s">
        <v>310</v>
      </c>
      <c r="N3115">
        <v>0</v>
      </c>
      <c r="O3115" t="s">
        <v>1393</v>
      </c>
      <c r="P3115" t="s">
        <v>310</v>
      </c>
      <c r="Q3115" t="s">
        <v>310</v>
      </c>
      <c r="R3115" t="s">
        <v>310</v>
      </c>
      <c r="S3115">
        <v>9</v>
      </c>
      <c r="T3115" t="s">
        <v>310</v>
      </c>
      <c r="U3115">
        <v>9</v>
      </c>
      <c r="V3115">
        <v>9</v>
      </c>
      <c r="W3115">
        <v>0</v>
      </c>
      <c r="X3115">
        <v>0</v>
      </c>
      <c r="Y3115">
        <v>0</v>
      </c>
      <c r="Z3115">
        <v>0</v>
      </c>
      <c r="AA3115">
        <v>9</v>
      </c>
      <c r="AB3115">
        <v>9</v>
      </c>
      <c r="AC3115" t="s">
        <v>310</v>
      </c>
      <c r="AD3115">
        <v>9</v>
      </c>
      <c r="AE3115" t="s">
        <v>1392</v>
      </c>
      <c r="AF3115">
        <v>0</v>
      </c>
      <c r="AG3115" t="s">
        <v>310</v>
      </c>
      <c r="AH3115">
        <f>SUM((MID(Dyno_Data[[#This Row],[Team]],4,5))+(Dyno_Data[[#This Row],[Match]]/100))</f>
        <v>3044.58</v>
      </c>
      <c r="AI3115" s="76">
        <f>ROUND(SUM(IF(Dyno_Data[[#This Row],[AcqCenter]]&gt;0,Dyno_Data[[#This Row],[Time]]-SUMIFS(Dyno_Data[Time],Dyno_Data[Team],Dyno_Data[[#This Row],[Team]],Dyno_Data[RecordType],"StartMatch",Dyno_Data[Match],Dyno_Data[[#This Row],[Match]]),0)*86400),0)</f>
        <v>6</v>
      </c>
    </row>
    <row r="3116" spans="1:35" x14ac:dyDescent="0.3">
      <c r="A3116">
        <v>3108</v>
      </c>
      <c r="B3116" t="s">
        <v>360</v>
      </c>
      <c r="C3116">
        <v>58</v>
      </c>
      <c r="D3116" s="105">
        <v>45374.377701469908</v>
      </c>
      <c r="E3116" t="s">
        <v>312</v>
      </c>
      <c r="F3116" t="s">
        <v>309</v>
      </c>
      <c r="G3116">
        <v>0</v>
      </c>
      <c r="H3116" t="s">
        <v>315</v>
      </c>
      <c r="I3116">
        <v>0</v>
      </c>
      <c r="J3116">
        <v>0</v>
      </c>
      <c r="K3116">
        <v>0</v>
      </c>
      <c r="L3116" t="s">
        <v>241</v>
      </c>
      <c r="M3116" t="s">
        <v>1398</v>
      </c>
      <c r="N3116">
        <v>0</v>
      </c>
      <c r="O3116" t="s">
        <v>311</v>
      </c>
      <c r="P3116" t="s">
        <v>310</v>
      </c>
      <c r="Q3116" t="s">
        <v>310</v>
      </c>
      <c r="R3116" t="s">
        <v>310</v>
      </c>
      <c r="S3116">
        <v>9</v>
      </c>
      <c r="T3116" t="s">
        <v>310</v>
      </c>
      <c r="U3116">
        <v>9</v>
      </c>
      <c r="V3116">
        <v>9</v>
      </c>
      <c r="W3116">
        <v>0</v>
      </c>
      <c r="X3116">
        <v>0</v>
      </c>
      <c r="Y3116">
        <v>0</v>
      </c>
      <c r="Z3116">
        <v>0</v>
      </c>
      <c r="AA3116">
        <v>9</v>
      </c>
      <c r="AB3116">
        <v>9</v>
      </c>
      <c r="AC3116" t="s">
        <v>310</v>
      </c>
      <c r="AD3116">
        <v>9</v>
      </c>
      <c r="AE3116" t="s">
        <v>1388</v>
      </c>
      <c r="AF3116">
        <v>30000000</v>
      </c>
      <c r="AG3116" t="s">
        <v>310</v>
      </c>
      <c r="AH3116">
        <f>SUM((MID(Dyno_Data[[#This Row],[Team]],4,5))+(Dyno_Data[[#This Row],[Match]]/100))</f>
        <v>1796.58</v>
      </c>
      <c r="AI3116" s="76">
        <f>ROUND(SUM(IF(Dyno_Data[[#This Row],[AcqCenter]]&gt;0,Dyno_Data[[#This Row],[Time]]-SUMIFS(Dyno_Data[Time],Dyno_Data[Team],Dyno_Data[[#This Row],[Team]],Dyno_Data[RecordType],"StartMatch",Dyno_Data[Match],Dyno_Data[[#This Row],[Match]]),0)*86400),0)</f>
        <v>0</v>
      </c>
    </row>
    <row r="3117" spans="1:35" x14ac:dyDescent="0.3">
      <c r="A3117">
        <v>3110</v>
      </c>
      <c r="B3117" t="s">
        <v>360</v>
      </c>
      <c r="C3117">
        <v>58</v>
      </c>
      <c r="D3117" s="105">
        <v>45374.37772207176</v>
      </c>
      <c r="E3117" t="s">
        <v>312</v>
      </c>
      <c r="F3117" t="s">
        <v>309</v>
      </c>
      <c r="G3117">
        <v>0</v>
      </c>
      <c r="H3117" t="s">
        <v>143</v>
      </c>
      <c r="I3117">
        <v>5</v>
      </c>
      <c r="J3117">
        <v>1</v>
      </c>
      <c r="K3117">
        <v>0</v>
      </c>
      <c r="L3117" t="s">
        <v>310</v>
      </c>
      <c r="M3117" t="s">
        <v>310</v>
      </c>
      <c r="N3117">
        <v>0</v>
      </c>
      <c r="O3117" t="s">
        <v>311</v>
      </c>
      <c r="P3117" t="s">
        <v>310</v>
      </c>
      <c r="Q3117" t="s">
        <v>310</v>
      </c>
      <c r="R3117" t="s">
        <v>310</v>
      </c>
      <c r="S3117">
        <v>9</v>
      </c>
      <c r="T3117" t="s">
        <v>310</v>
      </c>
      <c r="U3117">
        <v>9</v>
      </c>
      <c r="V3117">
        <v>9</v>
      </c>
      <c r="W3117">
        <v>0</v>
      </c>
      <c r="X3117">
        <v>0</v>
      </c>
      <c r="Y3117">
        <v>0</v>
      </c>
      <c r="Z3117">
        <v>0</v>
      </c>
      <c r="AA3117">
        <v>9</v>
      </c>
      <c r="AB3117">
        <v>9</v>
      </c>
      <c r="AC3117" t="s">
        <v>310</v>
      </c>
      <c r="AD3117">
        <v>9</v>
      </c>
      <c r="AE3117" t="s">
        <v>1388</v>
      </c>
      <c r="AF3117">
        <v>30001000</v>
      </c>
      <c r="AG3117" t="s">
        <v>310</v>
      </c>
      <c r="AH3117">
        <f>SUM((MID(Dyno_Data[[#This Row],[Team]],4,5))+(Dyno_Data[[#This Row],[Match]]/100))</f>
        <v>1796.58</v>
      </c>
      <c r="AI3117" s="76">
        <f>ROUND(SUM(IF(Dyno_Data[[#This Row],[AcqCenter]]&gt;0,Dyno_Data[[#This Row],[Time]]-SUMIFS(Dyno_Data[Time],Dyno_Data[Team],Dyno_Data[[#This Row],[Team]],Dyno_Data[RecordType],"StartMatch",Dyno_Data[Match],Dyno_Data[[#This Row],[Match]]),0)*86400),0)</f>
        <v>8</v>
      </c>
    </row>
    <row r="3118" spans="1:35" x14ac:dyDescent="0.3">
      <c r="A3118">
        <v>3111</v>
      </c>
      <c r="B3118" t="s">
        <v>360</v>
      </c>
      <c r="C3118">
        <v>58</v>
      </c>
      <c r="D3118" s="105">
        <v>45374.377744710648</v>
      </c>
      <c r="E3118" t="s">
        <v>312</v>
      </c>
      <c r="F3118" t="s">
        <v>309</v>
      </c>
      <c r="G3118">
        <v>0</v>
      </c>
      <c r="H3118" t="s">
        <v>143</v>
      </c>
      <c r="I3118">
        <v>0</v>
      </c>
      <c r="J3118">
        <v>0</v>
      </c>
      <c r="K3118">
        <v>0</v>
      </c>
      <c r="L3118" t="s">
        <v>241</v>
      </c>
      <c r="M3118" t="s">
        <v>1398</v>
      </c>
      <c r="N3118">
        <v>0</v>
      </c>
      <c r="O3118" t="s">
        <v>311</v>
      </c>
      <c r="P3118" t="s">
        <v>310</v>
      </c>
      <c r="Q3118" t="s">
        <v>310</v>
      </c>
      <c r="R3118" t="s">
        <v>310</v>
      </c>
      <c r="S3118">
        <v>9</v>
      </c>
      <c r="T3118" t="s">
        <v>310</v>
      </c>
      <c r="U3118">
        <v>9</v>
      </c>
      <c r="V3118">
        <v>9</v>
      </c>
      <c r="W3118">
        <v>0</v>
      </c>
      <c r="X3118">
        <v>0</v>
      </c>
      <c r="Y3118">
        <v>0</v>
      </c>
      <c r="Z3118">
        <v>0</v>
      </c>
      <c r="AA3118">
        <v>9</v>
      </c>
      <c r="AB3118">
        <v>9</v>
      </c>
      <c r="AC3118" t="s">
        <v>310</v>
      </c>
      <c r="AD3118">
        <v>9</v>
      </c>
      <c r="AE3118" t="s">
        <v>1388</v>
      </c>
      <c r="AF3118">
        <v>30001000</v>
      </c>
      <c r="AG3118" t="s">
        <v>310</v>
      </c>
      <c r="AH3118">
        <f>SUM((MID(Dyno_Data[[#This Row],[Team]],4,5))+(Dyno_Data[[#This Row],[Match]]/100))</f>
        <v>1796.58</v>
      </c>
      <c r="AI3118" s="76">
        <f>ROUND(SUM(IF(Dyno_Data[[#This Row],[AcqCenter]]&gt;0,Dyno_Data[[#This Row],[Time]]-SUMIFS(Dyno_Data[Time],Dyno_Data[Team],Dyno_Data[[#This Row],[Team]],Dyno_Data[RecordType],"StartMatch",Dyno_Data[Match],Dyno_Data[[#This Row],[Match]]),0)*86400),0)</f>
        <v>0</v>
      </c>
    </row>
    <row r="3119" spans="1:35" x14ac:dyDescent="0.3">
      <c r="A3119">
        <v>3112</v>
      </c>
      <c r="B3119" t="s">
        <v>360</v>
      </c>
      <c r="C3119">
        <v>58</v>
      </c>
      <c r="D3119" s="105">
        <v>45374.377752812499</v>
      </c>
      <c r="E3119" t="s">
        <v>312</v>
      </c>
      <c r="F3119" t="s">
        <v>309</v>
      </c>
      <c r="G3119">
        <v>0</v>
      </c>
      <c r="H3119" t="s">
        <v>143</v>
      </c>
      <c r="I3119">
        <v>4</v>
      </c>
      <c r="J3119">
        <v>1</v>
      </c>
      <c r="K3119">
        <v>0</v>
      </c>
      <c r="L3119" t="s">
        <v>310</v>
      </c>
      <c r="M3119" t="s">
        <v>310</v>
      </c>
      <c r="N3119">
        <v>0</v>
      </c>
      <c r="O3119" t="s">
        <v>311</v>
      </c>
      <c r="P3119" t="s">
        <v>310</v>
      </c>
      <c r="Q3119" t="s">
        <v>310</v>
      </c>
      <c r="R3119" t="s">
        <v>310</v>
      </c>
      <c r="S3119">
        <v>9</v>
      </c>
      <c r="T3119" t="s">
        <v>310</v>
      </c>
      <c r="U3119">
        <v>9</v>
      </c>
      <c r="V3119">
        <v>9</v>
      </c>
      <c r="W3119">
        <v>0</v>
      </c>
      <c r="X3119">
        <v>0</v>
      </c>
      <c r="Y3119">
        <v>0</v>
      </c>
      <c r="Z3119">
        <v>0</v>
      </c>
      <c r="AA3119">
        <v>9</v>
      </c>
      <c r="AB3119">
        <v>9</v>
      </c>
      <c r="AC3119" t="s">
        <v>310</v>
      </c>
      <c r="AD3119">
        <v>9</v>
      </c>
      <c r="AE3119" t="s">
        <v>1388</v>
      </c>
      <c r="AF3119">
        <v>30002000</v>
      </c>
      <c r="AG3119" t="s">
        <v>310</v>
      </c>
      <c r="AH3119">
        <f>SUM((MID(Dyno_Data[[#This Row],[Team]],4,5))+(Dyno_Data[[#This Row],[Match]]/100))</f>
        <v>1796.58</v>
      </c>
      <c r="AI3119" s="76">
        <f>ROUND(SUM(IF(Dyno_Data[[#This Row],[AcqCenter]]&gt;0,Dyno_Data[[#This Row],[Time]]-SUMIFS(Dyno_Data[Time],Dyno_Data[Team],Dyno_Data[[#This Row],[Team]],Dyno_Data[RecordType],"StartMatch",Dyno_Data[Match],Dyno_Data[[#This Row],[Match]]),0)*86400),0)</f>
        <v>11</v>
      </c>
    </row>
    <row r="3120" spans="1:35" x14ac:dyDescent="0.3">
      <c r="A3120">
        <v>3113</v>
      </c>
      <c r="B3120" t="s">
        <v>360</v>
      </c>
      <c r="C3120">
        <v>58</v>
      </c>
      <c r="D3120" s="105">
        <v>45374.377780173614</v>
      </c>
      <c r="E3120" t="s">
        <v>312</v>
      </c>
      <c r="F3120" t="s">
        <v>309</v>
      </c>
      <c r="G3120">
        <v>0</v>
      </c>
      <c r="H3120" t="s">
        <v>143</v>
      </c>
      <c r="I3120">
        <v>0</v>
      </c>
      <c r="J3120">
        <v>0</v>
      </c>
      <c r="K3120">
        <v>0</v>
      </c>
      <c r="L3120" t="s">
        <v>241</v>
      </c>
      <c r="M3120" t="s">
        <v>1398</v>
      </c>
      <c r="N3120">
        <v>0</v>
      </c>
      <c r="O3120" t="s">
        <v>311</v>
      </c>
      <c r="P3120" t="s">
        <v>310</v>
      </c>
      <c r="Q3120" t="s">
        <v>310</v>
      </c>
      <c r="R3120" t="s">
        <v>310</v>
      </c>
      <c r="S3120">
        <v>9</v>
      </c>
      <c r="T3120" t="s">
        <v>310</v>
      </c>
      <c r="U3120">
        <v>9</v>
      </c>
      <c r="V3120">
        <v>9</v>
      </c>
      <c r="W3120">
        <v>0</v>
      </c>
      <c r="X3120">
        <v>0</v>
      </c>
      <c r="Y3120">
        <v>0</v>
      </c>
      <c r="Z3120">
        <v>0</v>
      </c>
      <c r="AA3120">
        <v>9</v>
      </c>
      <c r="AB3120">
        <v>9</v>
      </c>
      <c r="AC3120" t="s">
        <v>310</v>
      </c>
      <c r="AD3120">
        <v>9</v>
      </c>
      <c r="AE3120" t="s">
        <v>1388</v>
      </c>
      <c r="AF3120">
        <v>30002000</v>
      </c>
      <c r="AG3120" t="s">
        <v>310</v>
      </c>
      <c r="AH3120">
        <f>SUM((MID(Dyno_Data[[#This Row],[Team]],4,5))+(Dyno_Data[[#This Row],[Match]]/100))</f>
        <v>1796.58</v>
      </c>
      <c r="AI3120" s="76">
        <f>ROUND(SUM(IF(Dyno_Data[[#This Row],[AcqCenter]]&gt;0,Dyno_Data[[#This Row],[Time]]-SUMIFS(Dyno_Data[Time],Dyno_Data[Team],Dyno_Data[[#This Row],[Team]],Dyno_Data[RecordType],"StartMatch",Dyno_Data[Match],Dyno_Data[[#This Row],[Match]]),0)*86400),0)</f>
        <v>0</v>
      </c>
    </row>
    <row r="3121" spans="1:35" x14ac:dyDescent="0.3">
      <c r="A3121">
        <v>3114</v>
      </c>
      <c r="B3121" t="s">
        <v>360</v>
      </c>
      <c r="C3121">
        <v>58</v>
      </c>
      <c r="D3121" s="105">
        <v>45374.377795370368</v>
      </c>
      <c r="E3121" t="s">
        <v>312</v>
      </c>
      <c r="F3121" t="s">
        <v>309</v>
      </c>
      <c r="G3121">
        <v>0</v>
      </c>
      <c r="H3121" t="s">
        <v>143</v>
      </c>
      <c r="I3121">
        <v>3</v>
      </c>
      <c r="J3121">
        <v>1</v>
      </c>
      <c r="K3121">
        <v>0</v>
      </c>
      <c r="L3121" t="s">
        <v>310</v>
      </c>
      <c r="M3121" t="s">
        <v>310</v>
      </c>
      <c r="N3121">
        <v>0</v>
      </c>
      <c r="O3121" t="s">
        <v>311</v>
      </c>
      <c r="P3121" t="s">
        <v>310</v>
      </c>
      <c r="Q3121" t="s">
        <v>310</v>
      </c>
      <c r="R3121" t="s">
        <v>310</v>
      </c>
      <c r="S3121">
        <v>9</v>
      </c>
      <c r="T3121" t="s">
        <v>310</v>
      </c>
      <c r="U3121">
        <v>9</v>
      </c>
      <c r="V3121">
        <v>9</v>
      </c>
      <c r="W3121">
        <v>0</v>
      </c>
      <c r="X3121">
        <v>0</v>
      </c>
      <c r="Y3121">
        <v>0</v>
      </c>
      <c r="Z3121">
        <v>0</v>
      </c>
      <c r="AA3121">
        <v>9</v>
      </c>
      <c r="AB3121">
        <v>9</v>
      </c>
      <c r="AC3121" t="s">
        <v>310</v>
      </c>
      <c r="AD3121">
        <v>9</v>
      </c>
      <c r="AE3121" t="s">
        <v>1388</v>
      </c>
      <c r="AF3121">
        <v>30003000</v>
      </c>
      <c r="AG3121" t="s">
        <v>310</v>
      </c>
      <c r="AH3121">
        <f>SUM((MID(Dyno_Data[[#This Row],[Team]],4,5))+(Dyno_Data[[#This Row],[Match]]/100))</f>
        <v>1796.58</v>
      </c>
      <c r="AI3121" s="76">
        <f>ROUND(SUM(IF(Dyno_Data[[#This Row],[AcqCenter]]&gt;0,Dyno_Data[[#This Row],[Time]]-SUMIFS(Dyno_Data[Time],Dyno_Data[Team],Dyno_Data[[#This Row],[Team]],Dyno_Data[RecordType],"StartMatch",Dyno_Data[Match],Dyno_Data[[#This Row],[Match]]),0)*86400),0)</f>
        <v>14</v>
      </c>
    </row>
    <row r="3122" spans="1:35" x14ac:dyDescent="0.3">
      <c r="A3122">
        <v>3115</v>
      </c>
      <c r="B3122" t="s">
        <v>1300</v>
      </c>
      <c r="C3122">
        <v>58</v>
      </c>
      <c r="D3122" s="105">
        <v>45374.377797488429</v>
      </c>
      <c r="E3122" t="s">
        <v>312</v>
      </c>
      <c r="F3122" t="s">
        <v>309</v>
      </c>
      <c r="G3122">
        <v>0</v>
      </c>
      <c r="H3122" t="s">
        <v>143</v>
      </c>
      <c r="I3122">
        <v>2</v>
      </c>
      <c r="J3122">
        <v>1</v>
      </c>
      <c r="K3122">
        <v>0</v>
      </c>
      <c r="L3122" t="s">
        <v>310</v>
      </c>
      <c r="M3122" t="s">
        <v>310</v>
      </c>
      <c r="N3122">
        <v>0</v>
      </c>
      <c r="O3122" t="s">
        <v>1393</v>
      </c>
      <c r="P3122" t="s">
        <v>310</v>
      </c>
      <c r="Q3122" t="s">
        <v>310</v>
      </c>
      <c r="R3122" t="s">
        <v>310</v>
      </c>
      <c r="S3122">
        <v>9</v>
      </c>
      <c r="T3122" t="s">
        <v>310</v>
      </c>
      <c r="U3122">
        <v>9</v>
      </c>
      <c r="V3122">
        <v>9</v>
      </c>
      <c r="W3122">
        <v>0</v>
      </c>
      <c r="X3122">
        <v>0</v>
      </c>
      <c r="Y3122">
        <v>0</v>
      </c>
      <c r="Z3122">
        <v>0</v>
      </c>
      <c r="AA3122">
        <v>9</v>
      </c>
      <c r="AB3122">
        <v>9</v>
      </c>
      <c r="AC3122" t="s">
        <v>310</v>
      </c>
      <c r="AD3122">
        <v>9</v>
      </c>
      <c r="AE3122" t="s">
        <v>1392</v>
      </c>
      <c r="AF3122">
        <v>0</v>
      </c>
      <c r="AG3122" t="s">
        <v>310</v>
      </c>
      <c r="AH3122">
        <f>SUM((MID(Dyno_Data[[#This Row],[Team]],4,5))+(Dyno_Data[[#This Row],[Match]]/100))</f>
        <v>3044.58</v>
      </c>
      <c r="AI3122" s="76">
        <f>ROUND(SUM(IF(Dyno_Data[[#This Row],[AcqCenter]]&gt;0,Dyno_Data[[#This Row],[Time]]-SUMIFS(Dyno_Data[Time],Dyno_Data[Team],Dyno_Data[[#This Row],[Team]],Dyno_Data[RecordType],"StartMatch",Dyno_Data[Match],Dyno_Data[[#This Row],[Match]]),0)*86400),0)</f>
        <v>14</v>
      </c>
    </row>
    <row r="3123" spans="1:35" x14ac:dyDescent="0.3">
      <c r="A3123">
        <v>3117</v>
      </c>
      <c r="B3123" t="s">
        <v>360</v>
      </c>
      <c r="C3123">
        <v>58</v>
      </c>
      <c r="D3123" s="105">
        <v>45374.377837928238</v>
      </c>
      <c r="E3123" t="s">
        <v>314</v>
      </c>
      <c r="F3123" t="s">
        <v>309</v>
      </c>
      <c r="G3123">
        <v>1</v>
      </c>
      <c r="H3123" t="s">
        <v>310</v>
      </c>
      <c r="I3123">
        <v>0</v>
      </c>
      <c r="J3123">
        <v>0</v>
      </c>
      <c r="K3123">
        <v>0</v>
      </c>
      <c r="L3123" t="s">
        <v>310</v>
      </c>
      <c r="M3123" t="s">
        <v>310</v>
      </c>
      <c r="N3123">
        <v>0</v>
      </c>
      <c r="O3123" t="s">
        <v>311</v>
      </c>
      <c r="P3123" t="s">
        <v>240</v>
      </c>
      <c r="Q3123" t="s">
        <v>1399</v>
      </c>
      <c r="R3123" t="s">
        <v>310</v>
      </c>
      <c r="S3123">
        <v>9</v>
      </c>
      <c r="T3123" t="s">
        <v>310</v>
      </c>
      <c r="U3123">
        <v>9</v>
      </c>
      <c r="V3123">
        <v>9</v>
      </c>
      <c r="W3123">
        <v>0</v>
      </c>
      <c r="X3123">
        <v>0</v>
      </c>
      <c r="Y3123">
        <v>0</v>
      </c>
      <c r="Z3123">
        <v>0</v>
      </c>
      <c r="AA3123">
        <v>9</v>
      </c>
      <c r="AB3123">
        <v>9</v>
      </c>
      <c r="AC3123" t="s">
        <v>310</v>
      </c>
      <c r="AD3123">
        <v>9</v>
      </c>
      <c r="AE3123" t="s">
        <v>1388</v>
      </c>
      <c r="AF3123">
        <v>30003000</v>
      </c>
      <c r="AG3123" t="s">
        <v>310</v>
      </c>
      <c r="AH3123">
        <f>SUM((MID(Dyno_Data[[#This Row],[Team]],4,5))+(Dyno_Data[[#This Row],[Match]]/100))</f>
        <v>1796.58</v>
      </c>
      <c r="AI3123" s="76">
        <f>ROUND(SUM(IF(Dyno_Data[[#This Row],[AcqCenter]]&gt;0,Dyno_Data[[#This Row],[Time]]-SUMIFS(Dyno_Data[Time],Dyno_Data[Team],Dyno_Data[[#This Row],[Team]],Dyno_Data[RecordType],"StartMatch",Dyno_Data[Match],Dyno_Data[[#This Row],[Match]]),0)*86400),0)</f>
        <v>0</v>
      </c>
    </row>
    <row r="3124" spans="1:35" x14ac:dyDescent="0.3">
      <c r="A3124">
        <v>3119</v>
      </c>
      <c r="B3124" t="s">
        <v>1315</v>
      </c>
      <c r="C3124">
        <v>58</v>
      </c>
      <c r="D3124" s="105">
        <v>45374.377840046298</v>
      </c>
      <c r="E3124" t="s">
        <v>314</v>
      </c>
      <c r="F3124" t="s">
        <v>309</v>
      </c>
      <c r="G3124">
        <v>1</v>
      </c>
      <c r="H3124" t="s">
        <v>310</v>
      </c>
      <c r="I3124">
        <v>0</v>
      </c>
      <c r="J3124">
        <v>0</v>
      </c>
      <c r="K3124">
        <v>0</v>
      </c>
      <c r="L3124" t="s">
        <v>310</v>
      </c>
      <c r="M3124" t="s">
        <v>310</v>
      </c>
      <c r="N3124">
        <v>0</v>
      </c>
      <c r="O3124" t="s">
        <v>1389</v>
      </c>
      <c r="P3124" t="s">
        <v>101</v>
      </c>
      <c r="Q3124" t="s">
        <v>1399</v>
      </c>
      <c r="R3124" t="s">
        <v>310</v>
      </c>
      <c r="S3124">
        <v>9</v>
      </c>
      <c r="T3124" t="s">
        <v>310</v>
      </c>
      <c r="U3124">
        <v>9</v>
      </c>
      <c r="V3124">
        <v>9</v>
      </c>
      <c r="W3124">
        <v>0</v>
      </c>
      <c r="X3124">
        <v>0</v>
      </c>
      <c r="Y3124">
        <v>0</v>
      </c>
      <c r="Z3124">
        <v>0</v>
      </c>
      <c r="AA3124">
        <v>9</v>
      </c>
      <c r="AB3124">
        <v>9</v>
      </c>
      <c r="AC3124" t="s">
        <v>310</v>
      </c>
      <c r="AD3124">
        <v>9</v>
      </c>
      <c r="AE3124" t="s">
        <v>1387</v>
      </c>
      <c r="AF3124">
        <v>0</v>
      </c>
      <c r="AG3124" t="s">
        <v>310</v>
      </c>
      <c r="AH3124">
        <f>SUM((MID(Dyno_Data[[#This Row],[Team]],4,5))+(Dyno_Data[[#This Row],[Match]]/100))</f>
        <v>1511.58</v>
      </c>
      <c r="AI3124" s="76">
        <f>ROUND(SUM(IF(Dyno_Data[[#This Row],[AcqCenter]]&gt;0,Dyno_Data[[#This Row],[Time]]-SUMIFS(Dyno_Data[Time],Dyno_Data[Team],Dyno_Data[[#This Row],[Team]],Dyno_Data[RecordType],"StartMatch",Dyno_Data[Match],Dyno_Data[[#This Row],[Match]]),0)*86400),0)</f>
        <v>0</v>
      </c>
    </row>
    <row r="3125" spans="1:35" x14ac:dyDescent="0.3">
      <c r="A3125">
        <v>3121</v>
      </c>
      <c r="B3125" t="s">
        <v>1308</v>
      </c>
      <c r="C3125">
        <v>58</v>
      </c>
      <c r="D3125" s="105">
        <v>45374.377840856483</v>
      </c>
      <c r="E3125" t="s">
        <v>314</v>
      </c>
      <c r="F3125" t="s">
        <v>309</v>
      </c>
      <c r="G3125">
        <v>1</v>
      </c>
      <c r="H3125" t="s">
        <v>310</v>
      </c>
      <c r="I3125">
        <v>0</v>
      </c>
      <c r="J3125">
        <v>0</v>
      </c>
      <c r="K3125">
        <v>0</v>
      </c>
      <c r="L3125" t="s">
        <v>310</v>
      </c>
      <c r="M3125" t="s">
        <v>310</v>
      </c>
      <c r="N3125">
        <v>0</v>
      </c>
      <c r="O3125" t="s">
        <v>1391</v>
      </c>
      <c r="P3125" t="s">
        <v>1401</v>
      </c>
      <c r="Q3125" t="s">
        <v>1400</v>
      </c>
      <c r="R3125" t="s">
        <v>310</v>
      </c>
      <c r="S3125">
        <v>9</v>
      </c>
      <c r="T3125" t="s">
        <v>310</v>
      </c>
      <c r="U3125">
        <v>9</v>
      </c>
      <c r="V3125">
        <v>9</v>
      </c>
      <c r="W3125">
        <v>0</v>
      </c>
      <c r="X3125">
        <v>0</v>
      </c>
      <c r="Y3125">
        <v>0</v>
      </c>
      <c r="Z3125">
        <v>0</v>
      </c>
      <c r="AA3125">
        <v>9</v>
      </c>
      <c r="AB3125">
        <v>9</v>
      </c>
      <c r="AC3125" t="s">
        <v>310</v>
      </c>
      <c r="AD3125">
        <v>9</v>
      </c>
      <c r="AE3125" t="s">
        <v>1394</v>
      </c>
      <c r="AF3125">
        <v>0</v>
      </c>
      <c r="AG3125" t="s">
        <v>310</v>
      </c>
      <c r="AH3125">
        <f>SUM((MID(Dyno_Data[[#This Row],[Team]],4,5))+(Dyno_Data[[#This Row],[Match]]/100))</f>
        <v>3799.58</v>
      </c>
      <c r="AI3125" s="76">
        <f>ROUND(SUM(IF(Dyno_Data[[#This Row],[AcqCenter]]&gt;0,Dyno_Data[[#This Row],[Time]]-SUMIFS(Dyno_Data[Time],Dyno_Data[Team],Dyno_Data[[#This Row],[Team]],Dyno_Data[RecordType],"StartMatch",Dyno_Data[Match],Dyno_Data[[#This Row],[Match]]),0)*86400),0)</f>
        <v>0</v>
      </c>
    </row>
    <row r="3126" spans="1:35" x14ac:dyDescent="0.3">
      <c r="A3126">
        <v>3123</v>
      </c>
      <c r="B3126" t="s">
        <v>1300</v>
      </c>
      <c r="C3126">
        <v>58</v>
      </c>
      <c r="D3126" s="105">
        <v>45374.377841006943</v>
      </c>
      <c r="E3126" t="s">
        <v>314</v>
      </c>
      <c r="F3126" t="s">
        <v>309</v>
      </c>
      <c r="G3126">
        <v>1</v>
      </c>
      <c r="H3126" t="s">
        <v>310</v>
      </c>
      <c r="I3126">
        <v>0</v>
      </c>
      <c r="J3126">
        <v>0</v>
      </c>
      <c r="K3126">
        <v>0</v>
      </c>
      <c r="L3126" t="s">
        <v>310</v>
      </c>
      <c r="M3126" t="s">
        <v>310</v>
      </c>
      <c r="N3126">
        <v>0</v>
      </c>
      <c r="O3126" t="s">
        <v>1393</v>
      </c>
      <c r="P3126" t="s">
        <v>1401</v>
      </c>
      <c r="Q3126" t="s">
        <v>1400</v>
      </c>
      <c r="R3126" t="s">
        <v>310</v>
      </c>
      <c r="S3126">
        <v>9</v>
      </c>
      <c r="T3126" t="s">
        <v>310</v>
      </c>
      <c r="U3126">
        <v>9</v>
      </c>
      <c r="V3126">
        <v>9</v>
      </c>
      <c r="W3126">
        <v>0</v>
      </c>
      <c r="X3126">
        <v>0</v>
      </c>
      <c r="Y3126">
        <v>0</v>
      </c>
      <c r="Z3126">
        <v>0</v>
      </c>
      <c r="AA3126">
        <v>9</v>
      </c>
      <c r="AB3126">
        <v>9</v>
      </c>
      <c r="AC3126" t="s">
        <v>310</v>
      </c>
      <c r="AD3126">
        <v>9</v>
      </c>
      <c r="AE3126" t="s">
        <v>1392</v>
      </c>
      <c r="AF3126">
        <v>0</v>
      </c>
      <c r="AG3126" t="s">
        <v>310</v>
      </c>
      <c r="AH3126">
        <f>SUM((MID(Dyno_Data[[#This Row],[Team]],4,5))+(Dyno_Data[[#This Row],[Match]]/100))</f>
        <v>3044.58</v>
      </c>
      <c r="AI3126" s="76">
        <f>ROUND(SUM(IF(Dyno_Data[[#This Row],[AcqCenter]]&gt;0,Dyno_Data[[#This Row],[Time]]-SUMIFS(Dyno_Data[Time],Dyno_Data[Team],Dyno_Data[[#This Row],[Team]],Dyno_Data[RecordType],"StartMatch",Dyno_Data[Match],Dyno_Data[[#This Row],[Match]]),0)*86400),0)</f>
        <v>0</v>
      </c>
    </row>
    <row r="3127" spans="1:35" x14ac:dyDescent="0.3">
      <c r="A3127">
        <v>3125</v>
      </c>
      <c r="B3127" t="s">
        <v>318</v>
      </c>
      <c r="C3127">
        <v>58</v>
      </c>
      <c r="D3127" s="105">
        <v>45374.377841747686</v>
      </c>
      <c r="E3127" t="s">
        <v>314</v>
      </c>
      <c r="F3127" t="s">
        <v>309</v>
      </c>
      <c r="G3127">
        <v>0</v>
      </c>
      <c r="H3127" t="s">
        <v>310</v>
      </c>
      <c r="I3127">
        <v>0</v>
      </c>
      <c r="J3127">
        <v>0</v>
      </c>
      <c r="K3127">
        <v>0</v>
      </c>
      <c r="L3127" t="s">
        <v>310</v>
      </c>
      <c r="M3127" t="s">
        <v>310</v>
      </c>
      <c r="N3127">
        <v>0</v>
      </c>
      <c r="O3127" t="s">
        <v>319</v>
      </c>
      <c r="P3127" t="s">
        <v>101</v>
      </c>
      <c r="Q3127" t="s">
        <v>1400</v>
      </c>
      <c r="R3127" t="s">
        <v>310</v>
      </c>
      <c r="S3127">
        <v>9</v>
      </c>
      <c r="T3127" t="s">
        <v>310</v>
      </c>
      <c r="U3127">
        <v>9</v>
      </c>
      <c r="V3127">
        <v>9</v>
      </c>
      <c r="W3127">
        <v>0</v>
      </c>
      <c r="X3127">
        <v>0</v>
      </c>
      <c r="Y3127">
        <v>0</v>
      </c>
      <c r="Z3127">
        <v>0</v>
      </c>
      <c r="AA3127">
        <v>9</v>
      </c>
      <c r="AB3127">
        <v>9</v>
      </c>
      <c r="AC3127" t="s">
        <v>310</v>
      </c>
      <c r="AD3127">
        <v>9</v>
      </c>
      <c r="AE3127" t="s">
        <v>1390</v>
      </c>
      <c r="AF3127">
        <v>0</v>
      </c>
      <c r="AG3127" t="s">
        <v>310</v>
      </c>
      <c r="AH3127">
        <f>SUM((MID(Dyno_Data[[#This Row],[Team]],4,5))+(Dyno_Data[[#This Row],[Match]]/100))</f>
        <v>639.58000000000004</v>
      </c>
      <c r="AI3127" s="76">
        <f>ROUND(SUM(IF(Dyno_Data[[#This Row],[AcqCenter]]&gt;0,Dyno_Data[[#This Row],[Time]]-SUMIFS(Dyno_Data[Time],Dyno_Data[Team],Dyno_Data[[#This Row],[Team]],Dyno_Data[RecordType],"StartMatch",Dyno_Data[Match],Dyno_Data[[#This Row],[Match]]),0)*86400),0)</f>
        <v>0</v>
      </c>
    </row>
    <row r="3128" spans="1:35" x14ac:dyDescent="0.3">
      <c r="A3128">
        <v>3127</v>
      </c>
      <c r="B3128" t="s">
        <v>1278</v>
      </c>
      <c r="C3128">
        <v>58</v>
      </c>
      <c r="D3128" s="105">
        <v>45374.377842974536</v>
      </c>
      <c r="E3128" t="s">
        <v>314</v>
      </c>
      <c r="F3128" t="s">
        <v>309</v>
      </c>
      <c r="G3128">
        <v>1</v>
      </c>
      <c r="H3128" t="s">
        <v>310</v>
      </c>
      <c r="I3128">
        <v>0</v>
      </c>
      <c r="J3128">
        <v>0</v>
      </c>
      <c r="K3128">
        <v>0</v>
      </c>
      <c r="L3128" t="s">
        <v>310</v>
      </c>
      <c r="M3128" t="s">
        <v>310</v>
      </c>
      <c r="N3128">
        <v>0</v>
      </c>
      <c r="O3128" t="s">
        <v>1395</v>
      </c>
      <c r="P3128" t="s">
        <v>240</v>
      </c>
      <c r="Q3128" t="s">
        <v>1400</v>
      </c>
      <c r="R3128" t="s">
        <v>310</v>
      </c>
      <c r="S3128">
        <v>9</v>
      </c>
      <c r="T3128" t="s">
        <v>310</v>
      </c>
      <c r="U3128">
        <v>9</v>
      </c>
      <c r="V3128">
        <v>9</v>
      </c>
      <c r="W3128">
        <v>0</v>
      </c>
      <c r="X3128">
        <v>0</v>
      </c>
      <c r="Y3128">
        <v>0</v>
      </c>
      <c r="Z3128">
        <v>0</v>
      </c>
      <c r="AA3128">
        <v>9</v>
      </c>
      <c r="AB3128">
        <v>9</v>
      </c>
      <c r="AC3128" t="s">
        <v>310</v>
      </c>
      <c r="AD3128">
        <v>9</v>
      </c>
      <c r="AE3128" t="s">
        <v>1396</v>
      </c>
      <c r="AF3128">
        <v>0</v>
      </c>
      <c r="AG3128" t="s">
        <v>310</v>
      </c>
      <c r="AH3128">
        <f>SUM((MID(Dyno_Data[[#This Row],[Team]],4,5))+(Dyno_Data[[#This Row],[Match]]/100))</f>
        <v>3951.58</v>
      </c>
      <c r="AI3128" s="76">
        <f>ROUND(SUM(IF(Dyno_Data[[#This Row],[AcqCenter]]&gt;0,Dyno_Data[[#This Row],[Time]]-SUMIFS(Dyno_Data[Time],Dyno_Data[Team],Dyno_Data[[#This Row],[Team]],Dyno_Data[RecordType],"StartMatch",Dyno_Data[Match],Dyno_Data[[#This Row],[Match]]),0)*86400),0)</f>
        <v>0</v>
      </c>
    </row>
    <row r="3129" spans="1:35" x14ac:dyDescent="0.3">
      <c r="A3129">
        <v>3128</v>
      </c>
      <c r="B3129" t="s">
        <v>360</v>
      </c>
      <c r="C3129">
        <v>58</v>
      </c>
      <c r="D3129" s="105">
        <v>45374.377885729169</v>
      </c>
      <c r="E3129" t="s">
        <v>312</v>
      </c>
      <c r="F3129" t="s">
        <v>1402</v>
      </c>
      <c r="G3129">
        <v>0</v>
      </c>
      <c r="H3129" t="s">
        <v>143</v>
      </c>
      <c r="I3129">
        <v>0</v>
      </c>
      <c r="J3129">
        <v>0</v>
      </c>
      <c r="K3129">
        <v>0</v>
      </c>
      <c r="L3129" t="s">
        <v>241</v>
      </c>
      <c r="M3129" t="s">
        <v>101</v>
      </c>
      <c r="N3129">
        <v>0</v>
      </c>
      <c r="O3129" t="s">
        <v>311</v>
      </c>
      <c r="P3129" t="s">
        <v>310</v>
      </c>
      <c r="Q3129" t="s">
        <v>310</v>
      </c>
      <c r="R3129" t="s">
        <v>310</v>
      </c>
      <c r="S3129">
        <v>9</v>
      </c>
      <c r="T3129" t="s">
        <v>310</v>
      </c>
      <c r="U3129">
        <v>9</v>
      </c>
      <c r="V3129">
        <v>9</v>
      </c>
      <c r="W3129">
        <v>0</v>
      </c>
      <c r="X3129">
        <v>0</v>
      </c>
      <c r="Y3129">
        <v>0</v>
      </c>
      <c r="Z3129">
        <v>0</v>
      </c>
      <c r="AA3129">
        <v>9</v>
      </c>
      <c r="AB3129">
        <v>9</v>
      </c>
      <c r="AC3129" t="s">
        <v>310</v>
      </c>
      <c r="AD3129">
        <v>9</v>
      </c>
      <c r="AE3129" t="s">
        <v>1388</v>
      </c>
      <c r="AF3129">
        <v>30003000</v>
      </c>
      <c r="AG3129" t="s">
        <v>310</v>
      </c>
      <c r="AH3129">
        <f>SUM((MID(Dyno_Data[[#This Row],[Team]],4,5))+(Dyno_Data[[#This Row],[Match]]/100))</f>
        <v>1796.58</v>
      </c>
      <c r="AI3129" s="76">
        <f>ROUND(SUM(IF(Dyno_Data[[#This Row],[AcqCenter]]&gt;0,Dyno_Data[[#This Row],[Time]]-SUMIFS(Dyno_Data[Time],Dyno_Data[Team],Dyno_Data[[#This Row],[Team]],Dyno_Data[RecordType],"StartMatch",Dyno_Data[Match],Dyno_Data[[#This Row],[Match]]),0)*86400),0)</f>
        <v>0</v>
      </c>
    </row>
    <row r="3130" spans="1:35" x14ac:dyDescent="0.3">
      <c r="A3130">
        <v>3129</v>
      </c>
      <c r="B3130" t="s">
        <v>1278</v>
      </c>
      <c r="C3130">
        <v>58</v>
      </c>
      <c r="D3130" s="105">
        <v>45374.377913113429</v>
      </c>
      <c r="E3130" t="s">
        <v>312</v>
      </c>
      <c r="F3130" t="s">
        <v>1402</v>
      </c>
      <c r="G3130">
        <v>0</v>
      </c>
      <c r="H3130" t="s">
        <v>315</v>
      </c>
      <c r="I3130">
        <v>0</v>
      </c>
      <c r="J3130">
        <v>0</v>
      </c>
      <c r="K3130">
        <v>0</v>
      </c>
      <c r="L3130" t="s">
        <v>240</v>
      </c>
      <c r="M3130" t="s">
        <v>1398</v>
      </c>
      <c r="N3130">
        <v>1</v>
      </c>
      <c r="O3130" t="s">
        <v>1395</v>
      </c>
      <c r="P3130" t="s">
        <v>310</v>
      </c>
      <c r="Q3130" t="s">
        <v>310</v>
      </c>
      <c r="R3130" t="s">
        <v>310</v>
      </c>
      <c r="S3130">
        <v>9</v>
      </c>
      <c r="T3130" t="s">
        <v>310</v>
      </c>
      <c r="U3130">
        <v>9</v>
      </c>
      <c r="V3130">
        <v>9</v>
      </c>
      <c r="W3130">
        <v>0</v>
      </c>
      <c r="X3130">
        <v>0</v>
      </c>
      <c r="Y3130">
        <v>0</v>
      </c>
      <c r="Z3130">
        <v>0</v>
      </c>
      <c r="AA3130">
        <v>9</v>
      </c>
      <c r="AB3130">
        <v>9</v>
      </c>
      <c r="AC3130" t="s">
        <v>310</v>
      </c>
      <c r="AD3130">
        <v>9</v>
      </c>
      <c r="AE3130" t="s">
        <v>1396</v>
      </c>
      <c r="AF3130">
        <v>10000000</v>
      </c>
      <c r="AG3130" t="s">
        <v>310</v>
      </c>
      <c r="AH3130">
        <f>SUM((MID(Dyno_Data[[#This Row],[Team]],4,5))+(Dyno_Data[[#This Row],[Match]]/100))</f>
        <v>3951.58</v>
      </c>
      <c r="AI3130" s="76">
        <f>ROUND(SUM(IF(Dyno_Data[[#This Row],[AcqCenter]]&gt;0,Dyno_Data[[#This Row],[Time]]-SUMIFS(Dyno_Data[Time],Dyno_Data[Team],Dyno_Data[[#This Row],[Team]],Dyno_Data[RecordType],"StartMatch",Dyno_Data[Match],Dyno_Data[[#This Row],[Match]]),0)*86400),0)</f>
        <v>0</v>
      </c>
    </row>
    <row r="3131" spans="1:35" x14ac:dyDescent="0.3">
      <c r="A3131">
        <v>3130</v>
      </c>
      <c r="B3131" t="s">
        <v>1300</v>
      </c>
      <c r="C3131">
        <v>58</v>
      </c>
      <c r="D3131" s="105">
        <v>45374.37792619213</v>
      </c>
      <c r="E3131" t="s">
        <v>312</v>
      </c>
      <c r="F3131" t="s">
        <v>1402</v>
      </c>
      <c r="G3131">
        <v>0</v>
      </c>
      <c r="H3131" t="s">
        <v>143</v>
      </c>
      <c r="I3131">
        <v>0</v>
      </c>
      <c r="J3131">
        <v>0</v>
      </c>
      <c r="K3131">
        <v>0</v>
      </c>
      <c r="L3131" t="s">
        <v>241</v>
      </c>
      <c r="M3131" t="s">
        <v>1398</v>
      </c>
      <c r="N3131">
        <v>1</v>
      </c>
      <c r="O3131" t="s">
        <v>1393</v>
      </c>
      <c r="P3131" t="s">
        <v>310</v>
      </c>
      <c r="Q3131" t="s">
        <v>310</v>
      </c>
      <c r="R3131" t="s">
        <v>310</v>
      </c>
      <c r="S3131">
        <v>9</v>
      </c>
      <c r="T3131" t="s">
        <v>310</v>
      </c>
      <c r="U3131">
        <v>9</v>
      </c>
      <c r="V3131">
        <v>9</v>
      </c>
      <c r="W3131">
        <v>0</v>
      </c>
      <c r="X3131">
        <v>0</v>
      </c>
      <c r="Y3131">
        <v>0</v>
      </c>
      <c r="Z3131">
        <v>0</v>
      </c>
      <c r="AA3131">
        <v>9</v>
      </c>
      <c r="AB3131">
        <v>9</v>
      </c>
      <c r="AC3131" t="s">
        <v>310</v>
      </c>
      <c r="AD3131">
        <v>9</v>
      </c>
      <c r="AE3131" t="s">
        <v>1392</v>
      </c>
      <c r="AF3131">
        <v>0</v>
      </c>
      <c r="AG3131" t="s">
        <v>310</v>
      </c>
      <c r="AH3131">
        <f>SUM((MID(Dyno_Data[[#This Row],[Team]],4,5))+(Dyno_Data[[#This Row],[Match]]/100))</f>
        <v>3044.58</v>
      </c>
      <c r="AI3131" s="76">
        <f>ROUND(SUM(IF(Dyno_Data[[#This Row],[AcqCenter]]&gt;0,Dyno_Data[[#This Row],[Time]]-SUMIFS(Dyno_Data[Time],Dyno_Data[Team],Dyno_Data[[#This Row],[Team]],Dyno_Data[RecordType],"StartMatch",Dyno_Data[Match],Dyno_Data[[#This Row],[Match]]),0)*86400),0)</f>
        <v>0</v>
      </c>
    </row>
    <row r="3132" spans="1:35" x14ac:dyDescent="0.3">
      <c r="A3132">
        <v>3131</v>
      </c>
      <c r="B3132" t="s">
        <v>1308</v>
      </c>
      <c r="C3132">
        <v>58</v>
      </c>
      <c r="D3132" s="105">
        <v>45374.377955127318</v>
      </c>
      <c r="E3132" t="s">
        <v>312</v>
      </c>
      <c r="F3132" t="s">
        <v>1402</v>
      </c>
      <c r="G3132">
        <v>0</v>
      </c>
      <c r="H3132" t="s">
        <v>315</v>
      </c>
      <c r="I3132">
        <v>0</v>
      </c>
      <c r="J3132">
        <v>0</v>
      </c>
      <c r="K3132">
        <v>0</v>
      </c>
      <c r="L3132" t="s">
        <v>240</v>
      </c>
      <c r="M3132" t="s">
        <v>1398</v>
      </c>
      <c r="N3132">
        <v>0</v>
      </c>
      <c r="O3132" t="s">
        <v>1391</v>
      </c>
      <c r="P3132" t="s">
        <v>310</v>
      </c>
      <c r="Q3132" t="s">
        <v>310</v>
      </c>
      <c r="R3132" t="s">
        <v>310</v>
      </c>
      <c r="S3132">
        <v>9</v>
      </c>
      <c r="T3132" t="s">
        <v>310</v>
      </c>
      <c r="U3132">
        <v>9</v>
      </c>
      <c r="V3132">
        <v>9</v>
      </c>
      <c r="W3132">
        <v>0</v>
      </c>
      <c r="X3132">
        <v>0</v>
      </c>
      <c r="Y3132">
        <v>0</v>
      </c>
      <c r="Z3132">
        <v>0</v>
      </c>
      <c r="AA3132">
        <v>9</v>
      </c>
      <c r="AB3132">
        <v>9</v>
      </c>
      <c r="AC3132" t="s">
        <v>310</v>
      </c>
      <c r="AD3132">
        <v>9</v>
      </c>
      <c r="AE3132" t="s">
        <v>1394</v>
      </c>
      <c r="AF3132">
        <v>10000000</v>
      </c>
      <c r="AG3132" t="s">
        <v>310</v>
      </c>
      <c r="AH3132">
        <f>SUM((MID(Dyno_Data[[#This Row],[Team]],4,5))+(Dyno_Data[[#This Row],[Match]]/100))</f>
        <v>3799.58</v>
      </c>
      <c r="AI3132" s="76">
        <f>ROUND(SUM(IF(Dyno_Data[[#This Row],[AcqCenter]]&gt;0,Dyno_Data[[#This Row],[Time]]-SUMIFS(Dyno_Data[Time],Dyno_Data[Team],Dyno_Data[[#This Row],[Team]],Dyno_Data[RecordType],"StartMatch",Dyno_Data[Match],Dyno_Data[[#This Row],[Match]]),0)*86400),0)</f>
        <v>0</v>
      </c>
    </row>
    <row r="3133" spans="1:35" x14ac:dyDescent="0.3">
      <c r="A3133">
        <v>3132</v>
      </c>
      <c r="B3133" t="s">
        <v>360</v>
      </c>
      <c r="C3133">
        <v>58</v>
      </c>
      <c r="D3133" s="105">
        <v>45374.37798287037</v>
      </c>
      <c r="E3133" t="s">
        <v>312</v>
      </c>
      <c r="F3133" t="s">
        <v>1402</v>
      </c>
      <c r="G3133">
        <v>0</v>
      </c>
      <c r="H3133" t="s">
        <v>315</v>
      </c>
      <c r="I3133">
        <v>0</v>
      </c>
      <c r="J3133">
        <v>0</v>
      </c>
      <c r="K3133">
        <v>0</v>
      </c>
      <c r="L3133" t="s">
        <v>241</v>
      </c>
      <c r="M3133" t="s">
        <v>101</v>
      </c>
      <c r="N3133">
        <v>0</v>
      </c>
      <c r="O3133" t="s">
        <v>311</v>
      </c>
      <c r="P3133" t="s">
        <v>310</v>
      </c>
      <c r="Q3133" t="s">
        <v>310</v>
      </c>
      <c r="R3133" t="s">
        <v>310</v>
      </c>
      <c r="S3133">
        <v>9</v>
      </c>
      <c r="T3133" t="s">
        <v>310</v>
      </c>
      <c r="U3133">
        <v>9</v>
      </c>
      <c r="V3133">
        <v>9</v>
      </c>
      <c r="W3133">
        <v>0</v>
      </c>
      <c r="X3133">
        <v>0</v>
      </c>
      <c r="Y3133">
        <v>0</v>
      </c>
      <c r="Z3133">
        <v>0</v>
      </c>
      <c r="AA3133">
        <v>9</v>
      </c>
      <c r="AB3133">
        <v>9</v>
      </c>
      <c r="AC3133" t="s">
        <v>310</v>
      </c>
      <c r="AD3133">
        <v>9</v>
      </c>
      <c r="AE3133" t="s">
        <v>1388</v>
      </c>
      <c r="AF3133">
        <v>40003000</v>
      </c>
      <c r="AG3133" t="s">
        <v>310</v>
      </c>
      <c r="AH3133">
        <f>SUM((MID(Dyno_Data[[#This Row],[Team]],4,5))+(Dyno_Data[[#This Row],[Match]]/100))</f>
        <v>1796.58</v>
      </c>
      <c r="AI3133" s="76">
        <f>ROUND(SUM(IF(Dyno_Data[[#This Row],[AcqCenter]]&gt;0,Dyno_Data[[#This Row],[Time]]-SUMIFS(Dyno_Data[Time],Dyno_Data[Team],Dyno_Data[[#This Row],[Team]],Dyno_Data[RecordType],"StartMatch",Dyno_Data[Match],Dyno_Data[[#This Row],[Match]]),0)*86400),0)</f>
        <v>0</v>
      </c>
    </row>
    <row r="3134" spans="1:35" x14ac:dyDescent="0.3">
      <c r="A3134">
        <v>3133</v>
      </c>
      <c r="B3134" t="s">
        <v>1300</v>
      </c>
      <c r="C3134">
        <v>58</v>
      </c>
      <c r="D3134" s="105">
        <v>45374.377999537035</v>
      </c>
      <c r="E3134" t="s">
        <v>312</v>
      </c>
      <c r="F3134" t="s">
        <v>1402</v>
      </c>
      <c r="G3134">
        <v>0</v>
      </c>
      <c r="H3134" t="s">
        <v>315</v>
      </c>
      <c r="I3134">
        <v>0</v>
      </c>
      <c r="J3134">
        <v>0</v>
      </c>
      <c r="K3134">
        <v>0</v>
      </c>
      <c r="L3134" t="s">
        <v>241</v>
      </c>
      <c r="M3134" t="s">
        <v>1398</v>
      </c>
      <c r="N3134">
        <v>0</v>
      </c>
      <c r="O3134" t="s">
        <v>1393</v>
      </c>
      <c r="P3134" t="s">
        <v>310</v>
      </c>
      <c r="Q3134" t="s">
        <v>310</v>
      </c>
      <c r="R3134" t="s">
        <v>310</v>
      </c>
      <c r="S3134">
        <v>9</v>
      </c>
      <c r="T3134" t="s">
        <v>310</v>
      </c>
      <c r="U3134">
        <v>9</v>
      </c>
      <c r="V3134">
        <v>9</v>
      </c>
      <c r="W3134">
        <v>0</v>
      </c>
      <c r="X3134">
        <v>0</v>
      </c>
      <c r="Y3134">
        <v>0</v>
      </c>
      <c r="Z3134">
        <v>0</v>
      </c>
      <c r="AA3134">
        <v>9</v>
      </c>
      <c r="AB3134">
        <v>9</v>
      </c>
      <c r="AC3134" t="s">
        <v>310</v>
      </c>
      <c r="AD3134">
        <v>9</v>
      </c>
      <c r="AE3134" t="s">
        <v>1392</v>
      </c>
      <c r="AF3134">
        <v>10000000</v>
      </c>
      <c r="AG3134" t="s">
        <v>310</v>
      </c>
      <c r="AH3134">
        <f>SUM((MID(Dyno_Data[[#This Row],[Team]],4,5))+(Dyno_Data[[#This Row],[Match]]/100))</f>
        <v>3044.58</v>
      </c>
      <c r="AI3134" s="76">
        <f>ROUND(SUM(IF(Dyno_Data[[#This Row],[AcqCenter]]&gt;0,Dyno_Data[[#This Row],[Time]]-SUMIFS(Dyno_Data[Time],Dyno_Data[Team],Dyno_Data[[#This Row],[Team]],Dyno_Data[RecordType],"StartMatch",Dyno_Data[Match],Dyno_Data[[#This Row],[Match]]),0)*86400),0)</f>
        <v>0</v>
      </c>
    </row>
    <row r="3135" spans="1:35" x14ac:dyDescent="0.3">
      <c r="A3135">
        <v>3134</v>
      </c>
      <c r="B3135" t="s">
        <v>1315</v>
      </c>
      <c r="C3135">
        <v>58</v>
      </c>
      <c r="D3135" s="105">
        <v>45374.378068784725</v>
      </c>
      <c r="E3135" t="s">
        <v>312</v>
      </c>
      <c r="F3135" t="s">
        <v>1402</v>
      </c>
      <c r="G3135">
        <v>0</v>
      </c>
      <c r="H3135" t="s">
        <v>315</v>
      </c>
      <c r="I3135">
        <v>0</v>
      </c>
      <c r="J3135">
        <v>0</v>
      </c>
      <c r="K3135">
        <v>0</v>
      </c>
      <c r="L3135" t="s">
        <v>241</v>
      </c>
      <c r="M3135" t="s">
        <v>101</v>
      </c>
      <c r="N3135">
        <v>1</v>
      </c>
      <c r="O3135" t="s">
        <v>1389</v>
      </c>
      <c r="P3135" t="s">
        <v>310</v>
      </c>
      <c r="Q3135" t="s">
        <v>310</v>
      </c>
      <c r="R3135" t="s">
        <v>310</v>
      </c>
      <c r="S3135">
        <v>9</v>
      </c>
      <c r="T3135" t="s">
        <v>310</v>
      </c>
      <c r="U3135">
        <v>9</v>
      </c>
      <c r="V3135">
        <v>9</v>
      </c>
      <c r="W3135">
        <v>0</v>
      </c>
      <c r="X3135">
        <v>0</v>
      </c>
      <c r="Y3135">
        <v>0</v>
      </c>
      <c r="Z3135">
        <v>0</v>
      </c>
      <c r="AA3135">
        <v>9</v>
      </c>
      <c r="AB3135">
        <v>9</v>
      </c>
      <c r="AC3135" t="s">
        <v>310</v>
      </c>
      <c r="AD3135">
        <v>9</v>
      </c>
      <c r="AE3135" t="s">
        <v>1387</v>
      </c>
      <c r="AF3135">
        <v>10000000</v>
      </c>
      <c r="AG3135" t="s">
        <v>310</v>
      </c>
      <c r="AH3135">
        <f>SUM((MID(Dyno_Data[[#This Row],[Team]],4,5))+(Dyno_Data[[#This Row],[Match]]/100))</f>
        <v>1511.58</v>
      </c>
      <c r="AI3135" s="76">
        <f>ROUND(SUM(IF(Dyno_Data[[#This Row],[AcqCenter]]&gt;0,Dyno_Data[[#This Row],[Time]]-SUMIFS(Dyno_Data[Time],Dyno_Data[Team],Dyno_Data[[#This Row],[Team]],Dyno_Data[RecordType],"StartMatch",Dyno_Data[Match],Dyno_Data[[#This Row],[Match]]),0)*86400),0)</f>
        <v>0</v>
      </c>
    </row>
    <row r="3136" spans="1:35" x14ac:dyDescent="0.3">
      <c r="A3136">
        <v>3135</v>
      </c>
      <c r="B3136" t="s">
        <v>1300</v>
      </c>
      <c r="C3136">
        <v>58</v>
      </c>
      <c r="D3136" s="105">
        <v>45374.378075381945</v>
      </c>
      <c r="E3136" t="s">
        <v>312</v>
      </c>
      <c r="F3136" t="s">
        <v>1402</v>
      </c>
      <c r="G3136">
        <v>0</v>
      </c>
      <c r="H3136" t="s">
        <v>315</v>
      </c>
      <c r="I3136">
        <v>0</v>
      </c>
      <c r="J3136">
        <v>0</v>
      </c>
      <c r="K3136">
        <v>0</v>
      </c>
      <c r="L3136" t="s">
        <v>241</v>
      </c>
      <c r="M3136" t="s">
        <v>1398</v>
      </c>
      <c r="N3136">
        <v>0</v>
      </c>
      <c r="O3136" t="s">
        <v>1393</v>
      </c>
      <c r="P3136" t="s">
        <v>310</v>
      </c>
      <c r="Q3136" t="s">
        <v>310</v>
      </c>
      <c r="R3136" t="s">
        <v>310</v>
      </c>
      <c r="S3136">
        <v>9</v>
      </c>
      <c r="T3136" t="s">
        <v>310</v>
      </c>
      <c r="U3136">
        <v>9</v>
      </c>
      <c r="V3136">
        <v>9</v>
      </c>
      <c r="W3136">
        <v>0</v>
      </c>
      <c r="X3136">
        <v>0</v>
      </c>
      <c r="Y3136">
        <v>0</v>
      </c>
      <c r="Z3136">
        <v>0</v>
      </c>
      <c r="AA3136">
        <v>9</v>
      </c>
      <c r="AB3136">
        <v>9</v>
      </c>
      <c r="AC3136" t="s">
        <v>310</v>
      </c>
      <c r="AD3136">
        <v>9</v>
      </c>
      <c r="AE3136" t="s">
        <v>1392</v>
      </c>
      <c r="AF3136">
        <v>20000000</v>
      </c>
      <c r="AG3136" t="s">
        <v>310</v>
      </c>
      <c r="AH3136">
        <f>SUM((MID(Dyno_Data[[#This Row],[Team]],4,5))+(Dyno_Data[[#This Row],[Match]]/100))</f>
        <v>3044.58</v>
      </c>
      <c r="AI3136" s="76">
        <f>ROUND(SUM(IF(Dyno_Data[[#This Row],[AcqCenter]]&gt;0,Dyno_Data[[#This Row],[Time]]-SUMIFS(Dyno_Data[Time],Dyno_Data[Team],Dyno_Data[[#This Row],[Team]],Dyno_Data[RecordType],"StartMatch",Dyno_Data[Match],Dyno_Data[[#This Row],[Match]]),0)*86400),0)</f>
        <v>0</v>
      </c>
    </row>
    <row r="3137" spans="1:35" x14ac:dyDescent="0.3">
      <c r="A3137">
        <v>3136</v>
      </c>
      <c r="B3137" t="s">
        <v>360</v>
      </c>
      <c r="C3137">
        <v>58</v>
      </c>
      <c r="D3137" s="105">
        <v>45374.378099189817</v>
      </c>
      <c r="E3137" t="s">
        <v>312</v>
      </c>
      <c r="F3137" t="s">
        <v>1402</v>
      </c>
      <c r="G3137">
        <v>0</v>
      </c>
      <c r="H3137" t="s">
        <v>315</v>
      </c>
      <c r="I3137">
        <v>0</v>
      </c>
      <c r="J3137">
        <v>0</v>
      </c>
      <c r="K3137">
        <v>0</v>
      </c>
      <c r="L3137" t="s">
        <v>242</v>
      </c>
      <c r="M3137" t="s">
        <v>241</v>
      </c>
      <c r="N3137">
        <v>0</v>
      </c>
      <c r="O3137" t="s">
        <v>311</v>
      </c>
      <c r="P3137" t="s">
        <v>310</v>
      </c>
      <c r="Q3137" t="s">
        <v>310</v>
      </c>
      <c r="R3137" t="s">
        <v>310</v>
      </c>
      <c r="S3137">
        <v>9</v>
      </c>
      <c r="T3137" t="s">
        <v>310</v>
      </c>
      <c r="U3137">
        <v>9</v>
      </c>
      <c r="V3137">
        <v>9</v>
      </c>
      <c r="W3137">
        <v>0</v>
      </c>
      <c r="X3137">
        <v>0</v>
      </c>
      <c r="Y3137">
        <v>0</v>
      </c>
      <c r="Z3137">
        <v>0</v>
      </c>
      <c r="AA3137">
        <v>9</v>
      </c>
      <c r="AB3137">
        <v>9</v>
      </c>
      <c r="AC3137" t="s">
        <v>310</v>
      </c>
      <c r="AD3137">
        <v>9</v>
      </c>
      <c r="AE3137" t="s">
        <v>1388</v>
      </c>
      <c r="AF3137">
        <v>50003000</v>
      </c>
      <c r="AG3137" t="s">
        <v>310</v>
      </c>
      <c r="AH3137">
        <f>SUM((MID(Dyno_Data[[#This Row],[Team]],4,5))+(Dyno_Data[[#This Row],[Match]]/100))</f>
        <v>1796.58</v>
      </c>
      <c r="AI3137" s="76">
        <f>ROUND(SUM(IF(Dyno_Data[[#This Row],[AcqCenter]]&gt;0,Dyno_Data[[#This Row],[Time]]-SUMIFS(Dyno_Data[Time],Dyno_Data[Team],Dyno_Data[[#This Row],[Team]],Dyno_Data[RecordType],"StartMatch",Dyno_Data[Match],Dyno_Data[[#This Row],[Match]]),0)*86400),0)</f>
        <v>0</v>
      </c>
    </row>
    <row r="3138" spans="1:35" x14ac:dyDescent="0.3">
      <c r="A3138">
        <v>3137</v>
      </c>
      <c r="B3138" t="s">
        <v>1300</v>
      </c>
      <c r="C3138">
        <v>58</v>
      </c>
      <c r="D3138" s="105">
        <v>45374.378115243053</v>
      </c>
      <c r="E3138" t="s">
        <v>312</v>
      </c>
      <c r="F3138" t="s">
        <v>1402</v>
      </c>
      <c r="G3138">
        <v>0</v>
      </c>
      <c r="H3138" t="s">
        <v>315</v>
      </c>
      <c r="I3138">
        <v>0</v>
      </c>
      <c r="J3138">
        <v>0</v>
      </c>
      <c r="K3138">
        <v>0</v>
      </c>
      <c r="L3138" t="s">
        <v>241</v>
      </c>
      <c r="M3138" t="s">
        <v>1398</v>
      </c>
      <c r="N3138">
        <v>1</v>
      </c>
      <c r="O3138" t="s">
        <v>1393</v>
      </c>
      <c r="P3138" t="s">
        <v>310</v>
      </c>
      <c r="Q3138" t="s">
        <v>310</v>
      </c>
      <c r="R3138" t="s">
        <v>310</v>
      </c>
      <c r="S3138">
        <v>9</v>
      </c>
      <c r="T3138" t="s">
        <v>310</v>
      </c>
      <c r="U3138">
        <v>9</v>
      </c>
      <c r="V3138">
        <v>9</v>
      </c>
      <c r="W3138">
        <v>0</v>
      </c>
      <c r="X3138">
        <v>0</v>
      </c>
      <c r="Y3138">
        <v>0</v>
      </c>
      <c r="Z3138">
        <v>0</v>
      </c>
      <c r="AA3138">
        <v>9</v>
      </c>
      <c r="AB3138">
        <v>9</v>
      </c>
      <c r="AC3138" t="s">
        <v>310</v>
      </c>
      <c r="AD3138">
        <v>9</v>
      </c>
      <c r="AE3138" t="s">
        <v>1392</v>
      </c>
      <c r="AF3138">
        <v>30000000</v>
      </c>
      <c r="AG3138" t="s">
        <v>310</v>
      </c>
      <c r="AH3138">
        <f>SUM((MID(Dyno_Data[[#This Row],[Team]],4,5))+(Dyno_Data[[#This Row],[Match]]/100))</f>
        <v>3044.58</v>
      </c>
      <c r="AI3138" s="76">
        <f>ROUND(SUM(IF(Dyno_Data[[#This Row],[AcqCenter]]&gt;0,Dyno_Data[[#This Row],[Time]]-SUMIFS(Dyno_Data[Time],Dyno_Data[Team],Dyno_Data[[#This Row],[Team]],Dyno_Data[RecordType],"StartMatch",Dyno_Data[Match],Dyno_Data[[#This Row],[Match]]),0)*86400),0)</f>
        <v>0</v>
      </c>
    </row>
    <row r="3139" spans="1:35" x14ac:dyDescent="0.3">
      <c r="A3139">
        <v>3138</v>
      </c>
      <c r="B3139" t="s">
        <v>1308</v>
      </c>
      <c r="C3139">
        <v>58</v>
      </c>
      <c r="D3139" s="105">
        <v>45374.378117361113</v>
      </c>
      <c r="E3139" t="s">
        <v>312</v>
      </c>
      <c r="F3139" t="s">
        <v>1402</v>
      </c>
      <c r="G3139">
        <v>0</v>
      </c>
      <c r="H3139" t="s">
        <v>315</v>
      </c>
      <c r="I3139">
        <v>0</v>
      </c>
      <c r="J3139">
        <v>0</v>
      </c>
      <c r="K3139">
        <v>0</v>
      </c>
      <c r="L3139" t="s">
        <v>240</v>
      </c>
      <c r="M3139" t="s">
        <v>1398</v>
      </c>
      <c r="N3139">
        <v>0</v>
      </c>
      <c r="O3139" t="s">
        <v>1391</v>
      </c>
      <c r="P3139" t="s">
        <v>310</v>
      </c>
      <c r="Q3139" t="s">
        <v>310</v>
      </c>
      <c r="R3139" t="s">
        <v>310</v>
      </c>
      <c r="S3139">
        <v>9</v>
      </c>
      <c r="T3139" t="s">
        <v>310</v>
      </c>
      <c r="U3139">
        <v>9</v>
      </c>
      <c r="V3139">
        <v>9</v>
      </c>
      <c r="W3139">
        <v>0</v>
      </c>
      <c r="X3139">
        <v>0</v>
      </c>
      <c r="Y3139">
        <v>0</v>
      </c>
      <c r="Z3139">
        <v>0</v>
      </c>
      <c r="AA3139">
        <v>9</v>
      </c>
      <c r="AB3139">
        <v>9</v>
      </c>
      <c r="AC3139" t="s">
        <v>310</v>
      </c>
      <c r="AD3139">
        <v>9</v>
      </c>
      <c r="AE3139" t="s">
        <v>1394</v>
      </c>
      <c r="AF3139">
        <v>20000000</v>
      </c>
      <c r="AG3139" t="s">
        <v>310</v>
      </c>
      <c r="AH3139">
        <f>SUM((MID(Dyno_Data[[#This Row],[Team]],4,5))+(Dyno_Data[[#This Row],[Match]]/100))</f>
        <v>3799.58</v>
      </c>
      <c r="AI3139" s="76">
        <f>ROUND(SUM(IF(Dyno_Data[[#This Row],[AcqCenter]]&gt;0,Dyno_Data[[#This Row],[Time]]-SUMIFS(Dyno_Data[Time],Dyno_Data[Team],Dyno_Data[[#This Row],[Team]],Dyno_Data[RecordType],"StartMatch",Dyno_Data[Match],Dyno_Data[[#This Row],[Match]]),0)*86400),0)</f>
        <v>0</v>
      </c>
    </row>
    <row r="3140" spans="1:35" x14ac:dyDescent="0.3">
      <c r="A3140">
        <v>3139</v>
      </c>
      <c r="B3140" t="s">
        <v>318</v>
      </c>
      <c r="C3140">
        <v>58</v>
      </c>
      <c r="D3140" s="105">
        <v>45374.37813005787</v>
      </c>
      <c r="E3140" t="s">
        <v>312</v>
      </c>
      <c r="F3140" t="s">
        <v>1402</v>
      </c>
      <c r="G3140">
        <v>0</v>
      </c>
      <c r="H3140" t="s">
        <v>315</v>
      </c>
      <c r="I3140">
        <v>0</v>
      </c>
      <c r="J3140">
        <v>0</v>
      </c>
      <c r="K3140">
        <v>0</v>
      </c>
      <c r="L3140" t="s">
        <v>241</v>
      </c>
      <c r="M3140" t="s">
        <v>1398</v>
      </c>
      <c r="N3140">
        <v>1</v>
      </c>
      <c r="O3140" t="s">
        <v>319</v>
      </c>
      <c r="P3140" t="s">
        <v>310</v>
      </c>
      <c r="Q3140" t="s">
        <v>310</v>
      </c>
      <c r="R3140" t="s">
        <v>310</v>
      </c>
      <c r="S3140">
        <v>9</v>
      </c>
      <c r="T3140" t="s">
        <v>310</v>
      </c>
      <c r="U3140">
        <v>9</v>
      </c>
      <c r="V3140">
        <v>9</v>
      </c>
      <c r="W3140">
        <v>0</v>
      </c>
      <c r="X3140">
        <v>0</v>
      </c>
      <c r="Y3140">
        <v>0</v>
      </c>
      <c r="Z3140">
        <v>0</v>
      </c>
      <c r="AA3140">
        <v>9</v>
      </c>
      <c r="AB3140">
        <v>9</v>
      </c>
      <c r="AC3140" t="s">
        <v>310</v>
      </c>
      <c r="AD3140">
        <v>9</v>
      </c>
      <c r="AE3140" t="s">
        <v>1390</v>
      </c>
      <c r="AF3140">
        <v>10000000</v>
      </c>
      <c r="AG3140" t="s">
        <v>310</v>
      </c>
      <c r="AH3140">
        <f>SUM((MID(Dyno_Data[[#This Row],[Team]],4,5))+(Dyno_Data[[#This Row],[Match]]/100))</f>
        <v>639.58000000000004</v>
      </c>
      <c r="AI3140" s="76">
        <f>ROUND(SUM(IF(Dyno_Data[[#This Row],[AcqCenter]]&gt;0,Dyno_Data[[#This Row],[Time]]-SUMIFS(Dyno_Data[Time],Dyno_Data[Team],Dyno_Data[[#This Row],[Team]],Dyno_Data[RecordType],"StartMatch",Dyno_Data[Match],Dyno_Data[[#This Row],[Match]]),0)*86400),0)</f>
        <v>0</v>
      </c>
    </row>
    <row r="3141" spans="1:35" x14ac:dyDescent="0.3">
      <c r="A3141">
        <v>3140</v>
      </c>
      <c r="B3141" t="s">
        <v>1308</v>
      </c>
      <c r="C3141">
        <v>58</v>
      </c>
      <c r="D3141" s="105">
        <v>45374.378213506941</v>
      </c>
      <c r="E3141" t="s">
        <v>312</v>
      </c>
      <c r="F3141" t="s">
        <v>1402</v>
      </c>
      <c r="G3141">
        <v>0</v>
      </c>
      <c r="H3141" t="s">
        <v>315</v>
      </c>
      <c r="I3141">
        <v>0</v>
      </c>
      <c r="J3141">
        <v>0</v>
      </c>
      <c r="K3141">
        <v>0</v>
      </c>
      <c r="L3141" t="s">
        <v>240</v>
      </c>
      <c r="M3141" t="s">
        <v>1398</v>
      </c>
      <c r="N3141">
        <v>0</v>
      </c>
      <c r="O3141" t="s">
        <v>1391</v>
      </c>
      <c r="P3141" t="s">
        <v>310</v>
      </c>
      <c r="Q3141" t="s">
        <v>310</v>
      </c>
      <c r="R3141" t="s">
        <v>310</v>
      </c>
      <c r="S3141">
        <v>9</v>
      </c>
      <c r="T3141" t="s">
        <v>310</v>
      </c>
      <c r="U3141">
        <v>9</v>
      </c>
      <c r="V3141">
        <v>9</v>
      </c>
      <c r="W3141">
        <v>0</v>
      </c>
      <c r="X3141">
        <v>0</v>
      </c>
      <c r="Y3141">
        <v>0</v>
      </c>
      <c r="Z3141">
        <v>0</v>
      </c>
      <c r="AA3141">
        <v>9</v>
      </c>
      <c r="AB3141">
        <v>9</v>
      </c>
      <c r="AC3141" t="s">
        <v>310</v>
      </c>
      <c r="AD3141">
        <v>9</v>
      </c>
      <c r="AE3141" t="s">
        <v>1394</v>
      </c>
      <c r="AF3141">
        <v>30000000</v>
      </c>
      <c r="AG3141" t="s">
        <v>310</v>
      </c>
      <c r="AH3141">
        <f>SUM((MID(Dyno_Data[[#This Row],[Team]],4,5))+(Dyno_Data[[#This Row],[Match]]/100))</f>
        <v>3799.58</v>
      </c>
      <c r="AI3141" s="76">
        <f>ROUND(SUM(IF(Dyno_Data[[#This Row],[AcqCenter]]&gt;0,Dyno_Data[[#This Row],[Time]]-SUMIFS(Dyno_Data[Time],Dyno_Data[Team],Dyno_Data[[#This Row],[Team]],Dyno_Data[RecordType],"StartMatch",Dyno_Data[Match],Dyno_Data[[#This Row],[Match]]),0)*86400),0)</f>
        <v>0</v>
      </c>
    </row>
    <row r="3142" spans="1:35" x14ac:dyDescent="0.3">
      <c r="A3142">
        <v>3141</v>
      </c>
      <c r="B3142" t="s">
        <v>360</v>
      </c>
      <c r="C3142">
        <v>58</v>
      </c>
      <c r="D3142" s="105">
        <v>45374.378214236109</v>
      </c>
      <c r="E3142" t="s">
        <v>312</v>
      </c>
      <c r="F3142" t="s">
        <v>1402</v>
      </c>
      <c r="G3142">
        <v>0</v>
      </c>
      <c r="H3142" t="s">
        <v>315</v>
      </c>
      <c r="I3142">
        <v>0</v>
      </c>
      <c r="J3142">
        <v>0</v>
      </c>
      <c r="K3142">
        <v>0</v>
      </c>
      <c r="L3142" t="s">
        <v>241</v>
      </c>
      <c r="M3142" t="s">
        <v>101</v>
      </c>
      <c r="N3142">
        <v>0</v>
      </c>
      <c r="O3142" t="s">
        <v>311</v>
      </c>
      <c r="P3142" t="s">
        <v>310</v>
      </c>
      <c r="Q3142" t="s">
        <v>310</v>
      </c>
      <c r="R3142" t="s">
        <v>310</v>
      </c>
      <c r="S3142">
        <v>9</v>
      </c>
      <c r="T3142" t="s">
        <v>310</v>
      </c>
      <c r="U3142">
        <v>9</v>
      </c>
      <c r="V3142">
        <v>9</v>
      </c>
      <c r="W3142">
        <v>0</v>
      </c>
      <c r="X3142">
        <v>0</v>
      </c>
      <c r="Y3142">
        <v>0</v>
      </c>
      <c r="Z3142">
        <v>0</v>
      </c>
      <c r="AA3142">
        <v>9</v>
      </c>
      <c r="AB3142">
        <v>9</v>
      </c>
      <c r="AC3142" t="s">
        <v>310</v>
      </c>
      <c r="AD3142">
        <v>9</v>
      </c>
      <c r="AE3142" t="s">
        <v>1388</v>
      </c>
      <c r="AF3142">
        <v>60003000</v>
      </c>
      <c r="AG3142" t="s">
        <v>310</v>
      </c>
      <c r="AH3142">
        <f>SUM((MID(Dyno_Data[[#This Row],[Team]],4,5))+(Dyno_Data[[#This Row],[Match]]/100))</f>
        <v>1796.58</v>
      </c>
      <c r="AI3142" s="76">
        <f>ROUND(SUM(IF(Dyno_Data[[#This Row],[AcqCenter]]&gt;0,Dyno_Data[[#This Row],[Time]]-SUMIFS(Dyno_Data[Time],Dyno_Data[Team],Dyno_Data[[#This Row],[Team]],Dyno_Data[RecordType],"StartMatch",Dyno_Data[Match],Dyno_Data[[#This Row],[Match]]),0)*86400),0)</f>
        <v>0</v>
      </c>
    </row>
    <row r="3143" spans="1:35" x14ac:dyDescent="0.3">
      <c r="A3143">
        <v>3142</v>
      </c>
      <c r="B3143" t="s">
        <v>318</v>
      </c>
      <c r="C3143">
        <v>58</v>
      </c>
      <c r="D3143" s="105">
        <v>45374.378217094905</v>
      </c>
      <c r="E3143" t="s">
        <v>312</v>
      </c>
      <c r="F3143" t="s">
        <v>1402</v>
      </c>
      <c r="G3143">
        <v>0</v>
      </c>
      <c r="H3143" t="s">
        <v>315</v>
      </c>
      <c r="I3143">
        <v>0</v>
      </c>
      <c r="J3143">
        <v>0</v>
      </c>
      <c r="K3143">
        <v>0</v>
      </c>
      <c r="L3143" t="s">
        <v>240</v>
      </c>
      <c r="M3143" t="s">
        <v>1398</v>
      </c>
      <c r="N3143">
        <v>0</v>
      </c>
      <c r="O3143" t="s">
        <v>319</v>
      </c>
      <c r="P3143" t="s">
        <v>310</v>
      </c>
      <c r="Q3143" t="s">
        <v>310</v>
      </c>
      <c r="R3143" t="s">
        <v>310</v>
      </c>
      <c r="S3143">
        <v>9</v>
      </c>
      <c r="T3143" t="s">
        <v>310</v>
      </c>
      <c r="U3143">
        <v>9</v>
      </c>
      <c r="V3143">
        <v>9</v>
      </c>
      <c r="W3143">
        <v>0</v>
      </c>
      <c r="X3143">
        <v>0</v>
      </c>
      <c r="Y3143">
        <v>0</v>
      </c>
      <c r="Z3143">
        <v>0</v>
      </c>
      <c r="AA3143">
        <v>9</v>
      </c>
      <c r="AB3143">
        <v>9</v>
      </c>
      <c r="AC3143" t="s">
        <v>310</v>
      </c>
      <c r="AD3143">
        <v>9</v>
      </c>
      <c r="AE3143" t="s">
        <v>1390</v>
      </c>
      <c r="AF3143">
        <v>20000000</v>
      </c>
      <c r="AG3143" t="s">
        <v>310</v>
      </c>
      <c r="AH3143">
        <f>SUM((MID(Dyno_Data[[#This Row],[Team]],4,5))+(Dyno_Data[[#This Row],[Match]]/100))</f>
        <v>639.58000000000004</v>
      </c>
      <c r="AI3143" s="76">
        <f>ROUND(SUM(IF(Dyno_Data[[#This Row],[AcqCenter]]&gt;0,Dyno_Data[[#This Row],[Time]]-SUMIFS(Dyno_Data[Time],Dyno_Data[Team],Dyno_Data[[#This Row],[Team]],Dyno_Data[RecordType],"StartMatch",Dyno_Data[Match],Dyno_Data[[#This Row],[Match]]),0)*86400),0)</f>
        <v>0</v>
      </c>
    </row>
    <row r="3144" spans="1:35" x14ac:dyDescent="0.3">
      <c r="A3144">
        <v>3143</v>
      </c>
      <c r="B3144" t="s">
        <v>1300</v>
      </c>
      <c r="C3144">
        <v>58</v>
      </c>
      <c r="D3144" s="105">
        <v>45374.378331215281</v>
      </c>
      <c r="E3144" t="s">
        <v>312</v>
      </c>
      <c r="F3144" t="s">
        <v>1402</v>
      </c>
      <c r="G3144">
        <v>0</v>
      </c>
      <c r="H3144" t="s">
        <v>315</v>
      </c>
      <c r="I3144">
        <v>0</v>
      </c>
      <c r="J3144">
        <v>0</v>
      </c>
      <c r="K3144">
        <v>0</v>
      </c>
      <c r="L3144" t="s">
        <v>241</v>
      </c>
      <c r="M3144" t="s">
        <v>1398</v>
      </c>
      <c r="N3144">
        <v>0</v>
      </c>
      <c r="O3144" t="s">
        <v>1393</v>
      </c>
      <c r="P3144" t="s">
        <v>310</v>
      </c>
      <c r="Q3144" t="s">
        <v>310</v>
      </c>
      <c r="R3144" t="s">
        <v>310</v>
      </c>
      <c r="S3144">
        <v>9</v>
      </c>
      <c r="T3144" t="s">
        <v>310</v>
      </c>
      <c r="U3144">
        <v>9</v>
      </c>
      <c r="V3144">
        <v>9</v>
      </c>
      <c r="W3144">
        <v>0</v>
      </c>
      <c r="X3144">
        <v>0</v>
      </c>
      <c r="Y3144">
        <v>0</v>
      </c>
      <c r="Z3144">
        <v>0</v>
      </c>
      <c r="AA3144">
        <v>9</v>
      </c>
      <c r="AB3144">
        <v>9</v>
      </c>
      <c r="AC3144" t="s">
        <v>310</v>
      </c>
      <c r="AD3144">
        <v>9</v>
      </c>
      <c r="AE3144" t="s">
        <v>1392</v>
      </c>
      <c r="AF3144">
        <v>40000000</v>
      </c>
      <c r="AG3144" t="s">
        <v>310</v>
      </c>
      <c r="AH3144">
        <f>SUM((MID(Dyno_Data[[#This Row],[Team]],4,5))+(Dyno_Data[[#This Row],[Match]]/100))</f>
        <v>3044.58</v>
      </c>
      <c r="AI3144" s="76">
        <f>ROUND(SUM(IF(Dyno_Data[[#This Row],[AcqCenter]]&gt;0,Dyno_Data[[#This Row],[Time]]-SUMIFS(Dyno_Data[Time],Dyno_Data[Team],Dyno_Data[[#This Row],[Team]],Dyno_Data[RecordType],"StartMatch",Dyno_Data[Match],Dyno_Data[[#This Row],[Match]]),0)*86400),0)</f>
        <v>0</v>
      </c>
    </row>
    <row r="3145" spans="1:35" x14ac:dyDescent="0.3">
      <c r="A3145">
        <v>3144</v>
      </c>
      <c r="B3145" t="s">
        <v>360</v>
      </c>
      <c r="C3145">
        <v>58</v>
      </c>
      <c r="D3145" s="105">
        <v>45374.378338391201</v>
      </c>
      <c r="E3145" t="s">
        <v>312</v>
      </c>
      <c r="F3145" t="s">
        <v>1402</v>
      </c>
      <c r="G3145">
        <v>0</v>
      </c>
      <c r="H3145" t="s">
        <v>315</v>
      </c>
      <c r="I3145">
        <v>0</v>
      </c>
      <c r="J3145">
        <v>0</v>
      </c>
      <c r="K3145">
        <v>0</v>
      </c>
      <c r="L3145" t="s">
        <v>242</v>
      </c>
      <c r="M3145" t="s">
        <v>241</v>
      </c>
      <c r="N3145">
        <v>0</v>
      </c>
      <c r="O3145" t="s">
        <v>311</v>
      </c>
      <c r="P3145" t="s">
        <v>310</v>
      </c>
      <c r="Q3145" t="s">
        <v>310</v>
      </c>
      <c r="R3145" t="s">
        <v>310</v>
      </c>
      <c r="S3145">
        <v>9</v>
      </c>
      <c r="T3145" t="s">
        <v>310</v>
      </c>
      <c r="U3145">
        <v>9</v>
      </c>
      <c r="V3145">
        <v>9</v>
      </c>
      <c r="W3145">
        <v>0</v>
      </c>
      <c r="X3145">
        <v>0</v>
      </c>
      <c r="Y3145">
        <v>0</v>
      </c>
      <c r="Z3145">
        <v>0</v>
      </c>
      <c r="AA3145">
        <v>9</v>
      </c>
      <c r="AB3145">
        <v>9</v>
      </c>
      <c r="AC3145" t="s">
        <v>310</v>
      </c>
      <c r="AD3145">
        <v>9</v>
      </c>
      <c r="AE3145" t="s">
        <v>1388</v>
      </c>
      <c r="AF3145">
        <v>70003000</v>
      </c>
      <c r="AG3145" t="s">
        <v>310</v>
      </c>
      <c r="AH3145">
        <f>SUM((MID(Dyno_Data[[#This Row],[Team]],4,5))+(Dyno_Data[[#This Row],[Match]]/100))</f>
        <v>1796.58</v>
      </c>
      <c r="AI3145" s="76">
        <f>ROUND(SUM(IF(Dyno_Data[[#This Row],[AcqCenter]]&gt;0,Dyno_Data[[#This Row],[Time]]-SUMIFS(Dyno_Data[Time],Dyno_Data[Team],Dyno_Data[[#This Row],[Team]],Dyno_Data[RecordType],"StartMatch",Dyno_Data[Match],Dyno_Data[[#This Row],[Match]]),0)*86400),0)</f>
        <v>0</v>
      </c>
    </row>
    <row r="3146" spans="1:35" x14ac:dyDescent="0.3">
      <c r="A3146">
        <v>3145</v>
      </c>
      <c r="B3146" t="s">
        <v>1278</v>
      </c>
      <c r="C3146">
        <v>58</v>
      </c>
      <c r="D3146" s="105">
        <v>45374.378344942132</v>
      </c>
      <c r="E3146" t="s">
        <v>312</v>
      </c>
      <c r="F3146" t="s">
        <v>1402</v>
      </c>
      <c r="G3146">
        <v>0</v>
      </c>
      <c r="H3146" t="s">
        <v>315</v>
      </c>
      <c r="I3146">
        <v>0</v>
      </c>
      <c r="J3146">
        <v>0</v>
      </c>
      <c r="K3146">
        <v>0</v>
      </c>
      <c r="L3146" t="s">
        <v>240</v>
      </c>
      <c r="M3146" t="s">
        <v>1398</v>
      </c>
      <c r="N3146">
        <v>0</v>
      </c>
      <c r="O3146" t="s">
        <v>1395</v>
      </c>
      <c r="P3146" t="s">
        <v>310</v>
      </c>
      <c r="Q3146" t="s">
        <v>310</v>
      </c>
      <c r="R3146" t="s">
        <v>310</v>
      </c>
      <c r="S3146">
        <v>9</v>
      </c>
      <c r="T3146" t="s">
        <v>310</v>
      </c>
      <c r="U3146">
        <v>9</v>
      </c>
      <c r="V3146">
        <v>9</v>
      </c>
      <c r="W3146">
        <v>0</v>
      </c>
      <c r="X3146">
        <v>0</v>
      </c>
      <c r="Y3146">
        <v>0</v>
      </c>
      <c r="Z3146">
        <v>0</v>
      </c>
      <c r="AA3146">
        <v>9</v>
      </c>
      <c r="AB3146">
        <v>9</v>
      </c>
      <c r="AC3146" t="s">
        <v>310</v>
      </c>
      <c r="AD3146">
        <v>9</v>
      </c>
      <c r="AE3146" t="s">
        <v>1396</v>
      </c>
      <c r="AF3146">
        <v>20000000</v>
      </c>
      <c r="AG3146" t="s">
        <v>310</v>
      </c>
      <c r="AH3146">
        <f>SUM((MID(Dyno_Data[[#This Row],[Team]],4,5))+(Dyno_Data[[#This Row],[Match]]/100))</f>
        <v>3951.58</v>
      </c>
      <c r="AI3146" s="76">
        <f>ROUND(SUM(IF(Dyno_Data[[#This Row],[AcqCenter]]&gt;0,Dyno_Data[[#This Row],[Time]]-SUMIFS(Dyno_Data[Time],Dyno_Data[Team],Dyno_Data[[#This Row],[Team]],Dyno_Data[RecordType],"StartMatch",Dyno_Data[Match],Dyno_Data[[#This Row],[Match]]),0)*86400),0)</f>
        <v>0</v>
      </c>
    </row>
    <row r="3147" spans="1:35" x14ac:dyDescent="0.3">
      <c r="A3147">
        <v>3146</v>
      </c>
      <c r="B3147" t="s">
        <v>360</v>
      </c>
      <c r="C3147">
        <v>58</v>
      </c>
      <c r="D3147" s="105">
        <v>45374.378427233794</v>
      </c>
      <c r="E3147" t="s">
        <v>312</v>
      </c>
      <c r="F3147" t="s">
        <v>1402</v>
      </c>
      <c r="G3147">
        <v>0</v>
      </c>
      <c r="H3147" t="s">
        <v>315</v>
      </c>
      <c r="I3147">
        <v>0</v>
      </c>
      <c r="J3147">
        <v>0</v>
      </c>
      <c r="K3147">
        <v>0</v>
      </c>
      <c r="L3147" t="s">
        <v>241</v>
      </c>
      <c r="M3147" t="s">
        <v>1398</v>
      </c>
      <c r="N3147">
        <v>1</v>
      </c>
      <c r="O3147" t="s">
        <v>311</v>
      </c>
      <c r="P3147" t="s">
        <v>310</v>
      </c>
      <c r="Q3147" t="s">
        <v>310</v>
      </c>
      <c r="R3147" t="s">
        <v>310</v>
      </c>
      <c r="S3147">
        <v>9</v>
      </c>
      <c r="T3147" t="s">
        <v>310</v>
      </c>
      <c r="U3147">
        <v>9</v>
      </c>
      <c r="V3147">
        <v>9</v>
      </c>
      <c r="W3147">
        <v>0</v>
      </c>
      <c r="X3147">
        <v>0</v>
      </c>
      <c r="Y3147">
        <v>0</v>
      </c>
      <c r="Z3147">
        <v>0</v>
      </c>
      <c r="AA3147">
        <v>9</v>
      </c>
      <c r="AB3147">
        <v>9</v>
      </c>
      <c r="AC3147" t="s">
        <v>310</v>
      </c>
      <c r="AD3147">
        <v>9</v>
      </c>
      <c r="AE3147" t="s">
        <v>1388</v>
      </c>
      <c r="AF3147">
        <v>80003000</v>
      </c>
      <c r="AG3147" t="s">
        <v>310</v>
      </c>
      <c r="AH3147">
        <f>SUM((MID(Dyno_Data[[#This Row],[Team]],4,5))+(Dyno_Data[[#This Row],[Match]]/100))</f>
        <v>1796.58</v>
      </c>
      <c r="AI3147" s="76">
        <f>ROUND(SUM(IF(Dyno_Data[[#This Row],[AcqCenter]]&gt;0,Dyno_Data[[#This Row],[Time]]-SUMIFS(Dyno_Data[Time],Dyno_Data[Team],Dyno_Data[[#This Row],[Team]],Dyno_Data[RecordType],"StartMatch",Dyno_Data[Match],Dyno_Data[[#This Row],[Match]]),0)*86400),0)</f>
        <v>0</v>
      </c>
    </row>
    <row r="3148" spans="1:35" x14ac:dyDescent="0.3">
      <c r="A3148">
        <v>3147</v>
      </c>
      <c r="B3148" t="s">
        <v>318</v>
      </c>
      <c r="C3148">
        <v>58</v>
      </c>
      <c r="D3148" s="105">
        <v>45374.378451469907</v>
      </c>
      <c r="E3148" t="s">
        <v>312</v>
      </c>
      <c r="F3148" t="s">
        <v>1402</v>
      </c>
      <c r="G3148">
        <v>0</v>
      </c>
      <c r="H3148" t="s">
        <v>315</v>
      </c>
      <c r="I3148">
        <v>0</v>
      </c>
      <c r="J3148">
        <v>0</v>
      </c>
      <c r="K3148">
        <v>0</v>
      </c>
      <c r="L3148" t="s">
        <v>241</v>
      </c>
      <c r="M3148" t="s">
        <v>1398</v>
      </c>
      <c r="N3148">
        <v>0</v>
      </c>
      <c r="O3148" t="s">
        <v>319</v>
      </c>
      <c r="P3148" t="s">
        <v>310</v>
      </c>
      <c r="Q3148" t="s">
        <v>310</v>
      </c>
      <c r="R3148" t="s">
        <v>310</v>
      </c>
      <c r="S3148">
        <v>9</v>
      </c>
      <c r="T3148" t="s">
        <v>310</v>
      </c>
      <c r="U3148">
        <v>9</v>
      </c>
      <c r="V3148">
        <v>9</v>
      </c>
      <c r="W3148">
        <v>0</v>
      </c>
      <c r="X3148">
        <v>0</v>
      </c>
      <c r="Y3148">
        <v>0</v>
      </c>
      <c r="Z3148">
        <v>0</v>
      </c>
      <c r="AA3148">
        <v>9</v>
      </c>
      <c r="AB3148">
        <v>9</v>
      </c>
      <c r="AC3148" t="s">
        <v>310</v>
      </c>
      <c r="AD3148">
        <v>9</v>
      </c>
      <c r="AE3148" t="s">
        <v>1390</v>
      </c>
      <c r="AF3148">
        <v>30000000</v>
      </c>
      <c r="AG3148" t="s">
        <v>310</v>
      </c>
      <c r="AH3148">
        <f>SUM((MID(Dyno_Data[[#This Row],[Team]],4,5))+(Dyno_Data[[#This Row],[Match]]/100))</f>
        <v>639.58000000000004</v>
      </c>
      <c r="AI3148" s="76">
        <f>ROUND(SUM(IF(Dyno_Data[[#This Row],[AcqCenter]]&gt;0,Dyno_Data[[#This Row],[Time]]-SUMIFS(Dyno_Data[Time],Dyno_Data[Team],Dyno_Data[[#This Row],[Team]],Dyno_Data[RecordType],"StartMatch",Dyno_Data[Match],Dyno_Data[[#This Row],[Match]]),0)*86400),0)</f>
        <v>0</v>
      </c>
    </row>
    <row r="3149" spans="1:35" x14ac:dyDescent="0.3">
      <c r="A3149">
        <v>3148</v>
      </c>
      <c r="B3149" t="s">
        <v>1300</v>
      </c>
      <c r="C3149">
        <v>58</v>
      </c>
      <c r="D3149" s="105">
        <v>45374.378470983793</v>
      </c>
      <c r="E3149" t="s">
        <v>312</v>
      </c>
      <c r="F3149" t="s">
        <v>1402</v>
      </c>
      <c r="G3149">
        <v>0</v>
      </c>
      <c r="H3149" t="s">
        <v>315</v>
      </c>
      <c r="I3149">
        <v>0</v>
      </c>
      <c r="J3149">
        <v>0</v>
      </c>
      <c r="K3149">
        <v>0</v>
      </c>
      <c r="L3149" t="s">
        <v>241</v>
      </c>
      <c r="M3149" t="s">
        <v>1398</v>
      </c>
      <c r="N3149">
        <v>1</v>
      </c>
      <c r="O3149" t="s">
        <v>1393</v>
      </c>
      <c r="P3149" t="s">
        <v>310</v>
      </c>
      <c r="Q3149" t="s">
        <v>310</v>
      </c>
      <c r="R3149" t="s">
        <v>310</v>
      </c>
      <c r="S3149">
        <v>9</v>
      </c>
      <c r="T3149" t="s">
        <v>310</v>
      </c>
      <c r="U3149">
        <v>9</v>
      </c>
      <c r="V3149">
        <v>9</v>
      </c>
      <c r="W3149">
        <v>0</v>
      </c>
      <c r="X3149">
        <v>0</v>
      </c>
      <c r="Y3149">
        <v>0</v>
      </c>
      <c r="Z3149">
        <v>0</v>
      </c>
      <c r="AA3149">
        <v>9</v>
      </c>
      <c r="AB3149">
        <v>9</v>
      </c>
      <c r="AC3149" t="s">
        <v>310</v>
      </c>
      <c r="AD3149">
        <v>9</v>
      </c>
      <c r="AE3149" t="s">
        <v>1392</v>
      </c>
      <c r="AF3149">
        <v>50000000</v>
      </c>
      <c r="AG3149" t="s">
        <v>310</v>
      </c>
      <c r="AH3149">
        <f>SUM((MID(Dyno_Data[[#This Row],[Team]],4,5))+(Dyno_Data[[#This Row],[Match]]/100))</f>
        <v>3044.58</v>
      </c>
      <c r="AI3149" s="76">
        <f>ROUND(SUM(IF(Dyno_Data[[#This Row],[AcqCenter]]&gt;0,Dyno_Data[[#This Row],[Time]]-SUMIFS(Dyno_Data[Time],Dyno_Data[Team],Dyno_Data[[#This Row],[Team]],Dyno_Data[RecordType],"StartMatch",Dyno_Data[Match],Dyno_Data[[#This Row],[Match]]),0)*86400),0)</f>
        <v>0</v>
      </c>
    </row>
    <row r="3150" spans="1:35" x14ac:dyDescent="0.3">
      <c r="A3150">
        <v>3149</v>
      </c>
      <c r="B3150" t="s">
        <v>360</v>
      </c>
      <c r="C3150">
        <v>58</v>
      </c>
      <c r="D3150" s="105">
        <v>45374.37847596065</v>
      </c>
      <c r="E3150" t="s">
        <v>312</v>
      </c>
      <c r="F3150" t="s">
        <v>1402</v>
      </c>
      <c r="G3150">
        <v>0</v>
      </c>
      <c r="H3150" t="s">
        <v>315</v>
      </c>
      <c r="I3150">
        <v>0</v>
      </c>
      <c r="J3150">
        <v>0</v>
      </c>
      <c r="K3150">
        <v>0</v>
      </c>
      <c r="L3150" t="s">
        <v>241</v>
      </c>
      <c r="M3150" t="s">
        <v>1398</v>
      </c>
      <c r="N3150">
        <v>1</v>
      </c>
      <c r="O3150" t="s">
        <v>311</v>
      </c>
      <c r="P3150" t="s">
        <v>310</v>
      </c>
      <c r="Q3150" t="s">
        <v>310</v>
      </c>
      <c r="R3150" t="s">
        <v>310</v>
      </c>
      <c r="S3150">
        <v>9</v>
      </c>
      <c r="T3150" t="s">
        <v>310</v>
      </c>
      <c r="U3150">
        <v>9</v>
      </c>
      <c r="V3150">
        <v>9</v>
      </c>
      <c r="W3150">
        <v>0</v>
      </c>
      <c r="X3150">
        <v>0</v>
      </c>
      <c r="Y3150">
        <v>0</v>
      </c>
      <c r="Z3150">
        <v>0</v>
      </c>
      <c r="AA3150">
        <v>9</v>
      </c>
      <c r="AB3150">
        <v>9</v>
      </c>
      <c r="AC3150" t="s">
        <v>310</v>
      </c>
      <c r="AD3150">
        <v>9</v>
      </c>
      <c r="AE3150" t="s">
        <v>1388</v>
      </c>
      <c r="AF3150">
        <v>90003000</v>
      </c>
      <c r="AG3150" t="s">
        <v>310</v>
      </c>
      <c r="AH3150">
        <f>SUM((MID(Dyno_Data[[#This Row],[Team]],4,5))+(Dyno_Data[[#This Row],[Match]]/100))</f>
        <v>1796.58</v>
      </c>
      <c r="AI3150" s="76">
        <f>ROUND(SUM(IF(Dyno_Data[[#This Row],[AcqCenter]]&gt;0,Dyno_Data[[#This Row],[Time]]-SUMIFS(Dyno_Data[Time],Dyno_Data[Team],Dyno_Data[[#This Row],[Team]],Dyno_Data[RecordType],"StartMatch",Dyno_Data[Match],Dyno_Data[[#This Row],[Match]]),0)*86400),0)</f>
        <v>0</v>
      </c>
    </row>
    <row r="3151" spans="1:35" x14ac:dyDescent="0.3">
      <c r="A3151">
        <v>3150</v>
      </c>
      <c r="B3151" t="s">
        <v>1315</v>
      </c>
      <c r="C3151">
        <v>58</v>
      </c>
      <c r="D3151" s="105">
        <v>45374.378534293981</v>
      </c>
      <c r="E3151" t="s">
        <v>1403</v>
      </c>
      <c r="F3151" t="s">
        <v>1402</v>
      </c>
      <c r="G3151">
        <v>0</v>
      </c>
      <c r="H3151" t="s">
        <v>310</v>
      </c>
      <c r="I3151">
        <v>0</v>
      </c>
      <c r="J3151">
        <v>0</v>
      </c>
      <c r="K3151">
        <v>0</v>
      </c>
      <c r="L3151" t="s">
        <v>310</v>
      </c>
      <c r="M3151" t="s">
        <v>310</v>
      </c>
      <c r="N3151">
        <v>0</v>
      </c>
      <c r="O3151" t="s">
        <v>1389</v>
      </c>
      <c r="P3151" t="s">
        <v>310</v>
      </c>
      <c r="Q3151" t="s">
        <v>310</v>
      </c>
      <c r="R3151" t="s">
        <v>310</v>
      </c>
      <c r="S3151">
        <v>9</v>
      </c>
      <c r="T3151" t="s">
        <v>310</v>
      </c>
      <c r="U3151">
        <v>9</v>
      </c>
      <c r="V3151">
        <v>9</v>
      </c>
      <c r="W3151">
        <v>0</v>
      </c>
      <c r="X3151">
        <v>0</v>
      </c>
      <c r="Y3151">
        <v>0</v>
      </c>
      <c r="Z3151">
        <v>0</v>
      </c>
      <c r="AA3151">
        <v>9</v>
      </c>
      <c r="AB3151">
        <v>9</v>
      </c>
      <c r="AC3151" t="s">
        <v>310</v>
      </c>
      <c r="AD3151">
        <v>9</v>
      </c>
      <c r="AE3151" t="s">
        <v>1387</v>
      </c>
      <c r="AF3151">
        <v>90003000</v>
      </c>
      <c r="AG3151" t="s">
        <v>249</v>
      </c>
      <c r="AH3151">
        <f>SUM((MID(Dyno_Data[[#This Row],[Team]],4,5))+(Dyno_Data[[#This Row],[Match]]/100))</f>
        <v>1511.58</v>
      </c>
      <c r="AI3151" s="76">
        <f>ROUND(SUM(IF(Dyno_Data[[#This Row],[AcqCenter]]&gt;0,Dyno_Data[[#This Row],[Time]]-SUMIFS(Dyno_Data[Time],Dyno_Data[Team],Dyno_Data[[#This Row],[Team]],Dyno_Data[RecordType],"StartMatch",Dyno_Data[Match],Dyno_Data[[#This Row],[Match]]),0)*86400),0)</f>
        <v>0</v>
      </c>
    </row>
    <row r="3152" spans="1:35" x14ac:dyDescent="0.3">
      <c r="A3152">
        <v>3151</v>
      </c>
      <c r="B3152" t="s">
        <v>318</v>
      </c>
      <c r="C3152">
        <v>58</v>
      </c>
      <c r="D3152" s="105">
        <v>45374.378548067129</v>
      </c>
      <c r="E3152" t="s">
        <v>312</v>
      </c>
      <c r="F3152" t="s">
        <v>1402</v>
      </c>
      <c r="G3152">
        <v>0</v>
      </c>
      <c r="H3152" t="s">
        <v>315</v>
      </c>
      <c r="I3152">
        <v>0</v>
      </c>
      <c r="J3152">
        <v>0</v>
      </c>
      <c r="K3152">
        <v>0</v>
      </c>
      <c r="L3152" t="s">
        <v>240</v>
      </c>
      <c r="M3152" t="s">
        <v>1398</v>
      </c>
      <c r="N3152">
        <v>0</v>
      </c>
      <c r="O3152" t="s">
        <v>319</v>
      </c>
      <c r="P3152" t="s">
        <v>310</v>
      </c>
      <c r="Q3152" t="s">
        <v>310</v>
      </c>
      <c r="R3152" t="s">
        <v>310</v>
      </c>
      <c r="S3152">
        <v>9</v>
      </c>
      <c r="T3152" t="s">
        <v>310</v>
      </c>
      <c r="U3152">
        <v>9</v>
      </c>
      <c r="V3152">
        <v>9</v>
      </c>
      <c r="W3152">
        <v>0</v>
      </c>
      <c r="X3152">
        <v>0</v>
      </c>
      <c r="Y3152">
        <v>0</v>
      </c>
      <c r="Z3152">
        <v>0</v>
      </c>
      <c r="AA3152">
        <v>9</v>
      </c>
      <c r="AB3152">
        <v>9</v>
      </c>
      <c r="AC3152" t="s">
        <v>310</v>
      </c>
      <c r="AD3152">
        <v>9</v>
      </c>
      <c r="AE3152" t="s">
        <v>1390</v>
      </c>
      <c r="AF3152">
        <v>40000000</v>
      </c>
      <c r="AG3152" t="s">
        <v>310</v>
      </c>
      <c r="AH3152">
        <f>SUM((MID(Dyno_Data[[#This Row],[Team]],4,5))+(Dyno_Data[[#This Row],[Match]]/100))</f>
        <v>639.58000000000004</v>
      </c>
      <c r="AI3152" s="76">
        <f>ROUND(SUM(IF(Dyno_Data[[#This Row],[AcqCenter]]&gt;0,Dyno_Data[[#This Row],[Time]]-SUMIFS(Dyno_Data[Time],Dyno_Data[Team],Dyno_Data[[#This Row],[Team]],Dyno_Data[RecordType],"StartMatch",Dyno_Data[Match],Dyno_Data[[#This Row],[Match]]),0)*86400),0)</f>
        <v>0</v>
      </c>
    </row>
    <row r="3153" spans="1:35" x14ac:dyDescent="0.3">
      <c r="A3153">
        <v>3152</v>
      </c>
      <c r="B3153" t="s">
        <v>360</v>
      </c>
      <c r="C3153">
        <v>58</v>
      </c>
      <c r="D3153" s="105">
        <v>45374.378554826391</v>
      </c>
      <c r="E3153" t="s">
        <v>312</v>
      </c>
      <c r="F3153" t="s">
        <v>1402</v>
      </c>
      <c r="G3153">
        <v>0</v>
      </c>
      <c r="H3153" t="s">
        <v>315</v>
      </c>
      <c r="I3153">
        <v>0</v>
      </c>
      <c r="J3153">
        <v>0</v>
      </c>
      <c r="K3153">
        <v>0</v>
      </c>
      <c r="L3153" t="s">
        <v>240</v>
      </c>
      <c r="M3153" t="s">
        <v>1398</v>
      </c>
      <c r="N3153">
        <v>0</v>
      </c>
      <c r="O3153" t="s">
        <v>311</v>
      </c>
      <c r="P3153" t="s">
        <v>310</v>
      </c>
      <c r="Q3153" t="s">
        <v>310</v>
      </c>
      <c r="R3153" t="s">
        <v>310</v>
      </c>
      <c r="S3153">
        <v>9</v>
      </c>
      <c r="T3153" t="s">
        <v>310</v>
      </c>
      <c r="U3153">
        <v>9</v>
      </c>
      <c r="V3153">
        <v>9</v>
      </c>
      <c r="W3153">
        <v>0</v>
      </c>
      <c r="X3153">
        <v>0</v>
      </c>
      <c r="Y3153">
        <v>0</v>
      </c>
      <c r="Z3153">
        <v>0</v>
      </c>
      <c r="AA3153">
        <v>9</v>
      </c>
      <c r="AB3153">
        <v>9</v>
      </c>
      <c r="AC3153" t="s">
        <v>310</v>
      </c>
      <c r="AD3153">
        <v>9</v>
      </c>
      <c r="AE3153" t="s">
        <v>1388</v>
      </c>
      <c r="AF3153">
        <v>100003000</v>
      </c>
      <c r="AG3153" t="s">
        <v>310</v>
      </c>
      <c r="AH3153">
        <f>SUM((MID(Dyno_Data[[#This Row],[Team]],4,5))+(Dyno_Data[[#This Row],[Match]]/100))</f>
        <v>1796.58</v>
      </c>
      <c r="AI3153" s="76">
        <f>ROUND(SUM(IF(Dyno_Data[[#This Row],[AcqCenter]]&gt;0,Dyno_Data[[#This Row],[Time]]-SUMIFS(Dyno_Data[Time],Dyno_Data[Team],Dyno_Data[[#This Row],[Team]],Dyno_Data[RecordType],"StartMatch",Dyno_Data[Match],Dyno_Data[[#This Row],[Match]]),0)*86400),0)</f>
        <v>0</v>
      </c>
    </row>
    <row r="3154" spans="1:35" x14ac:dyDescent="0.3">
      <c r="A3154">
        <v>3153</v>
      </c>
      <c r="B3154" t="s">
        <v>1308</v>
      </c>
      <c r="C3154">
        <v>58</v>
      </c>
      <c r="D3154" s="105">
        <v>45374.378597106479</v>
      </c>
      <c r="E3154" t="s">
        <v>312</v>
      </c>
      <c r="F3154" t="s">
        <v>1402</v>
      </c>
      <c r="G3154">
        <v>0</v>
      </c>
      <c r="H3154" t="s">
        <v>315</v>
      </c>
      <c r="I3154">
        <v>0</v>
      </c>
      <c r="J3154">
        <v>0</v>
      </c>
      <c r="K3154">
        <v>0</v>
      </c>
      <c r="L3154" t="s">
        <v>241</v>
      </c>
      <c r="M3154" t="s">
        <v>1398</v>
      </c>
      <c r="N3154">
        <v>1</v>
      </c>
      <c r="O3154" t="s">
        <v>1391</v>
      </c>
      <c r="P3154" t="s">
        <v>310</v>
      </c>
      <c r="Q3154" t="s">
        <v>310</v>
      </c>
      <c r="R3154" t="s">
        <v>310</v>
      </c>
      <c r="S3154">
        <v>9</v>
      </c>
      <c r="T3154" t="s">
        <v>310</v>
      </c>
      <c r="U3154">
        <v>9</v>
      </c>
      <c r="V3154">
        <v>9</v>
      </c>
      <c r="W3154">
        <v>0</v>
      </c>
      <c r="X3154">
        <v>0</v>
      </c>
      <c r="Y3154">
        <v>0</v>
      </c>
      <c r="Z3154">
        <v>0</v>
      </c>
      <c r="AA3154">
        <v>9</v>
      </c>
      <c r="AB3154">
        <v>9</v>
      </c>
      <c r="AC3154" t="s">
        <v>310</v>
      </c>
      <c r="AD3154">
        <v>9</v>
      </c>
      <c r="AE3154" t="s">
        <v>1394</v>
      </c>
      <c r="AF3154">
        <v>40000000</v>
      </c>
      <c r="AG3154" t="s">
        <v>310</v>
      </c>
      <c r="AH3154">
        <f>SUM((MID(Dyno_Data[[#This Row],[Team]],4,5))+(Dyno_Data[[#This Row],[Match]]/100))</f>
        <v>3799.58</v>
      </c>
      <c r="AI3154" s="76">
        <f>ROUND(SUM(IF(Dyno_Data[[#This Row],[AcqCenter]]&gt;0,Dyno_Data[[#This Row],[Time]]-SUMIFS(Dyno_Data[Time],Dyno_Data[Team],Dyno_Data[[#This Row],[Team]],Dyno_Data[RecordType],"StartMatch",Dyno_Data[Match],Dyno_Data[[#This Row],[Match]]),0)*86400),0)</f>
        <v>0</v>
      </c>
    </row>
    <row r="3155" spans="1:35" x14ac:dyDescent="0.3">
      <c r="A3155">
        <v>3154</v>
      </c>
      <c r="B3155" t="s">
        <v>360</v>
      </c>
      <c r="C3155">
        <v>58</v>
      </c>
      <c r="D3155" s="105">
        <v>45374.378679398149</v>
      </c>
      <c r="E3155" t="s">
        <v>312</v>
      </c>
      <c r="F3155" t="s">
        <v>1402</v>
      </c>
      <c r="G3155">
        <v>0</v>
      </c>
      <c r="H3155" t="s">
        <v>315</v>
      </c>
      <c r="I3155">
        <v>0</v>
      </c>
      <c r="J3155">
        <v>0</v>
      </c>
      <c r="K3155">
        <v>0</v>
      </c>
      <c r="L3155" t="s">
        <v>241</v>
      </c>
      <c r="M3155" t="s">
        <v>101</v>
      </c>
      <c r="N3155">
        <v>0</v>
      </c>
      <c r="O3155" t="s">
        <v>311</v>
      </c>
      <c r="P3155" t="s">
        <v>310</v>
      </c>
      <c r="Q3155" t="s">
        <v>310</v>
      </c>
      <c r="R3155" t="s">
        <v>310</v>
      </c>
      <c r="S3155">
        <v>9</v>
      </c>
      <c r="T3155" t="s">
        <v>310</v>
      </c>
      <c r="U3155">
        <v>9</v>
      </c>
      <c r="V3155">
        <v>9</v>
      </c>
      <c r="W3155">
        <v>0</v>
      </c>
      <c r="X3155">
        <v>0</v>
      </c>
      <c r="Y3155">
        <v>0</v>
      </c>
      <c r="Z3155">
        <v>0</v>
      </c>
      <c r="AA3155">
        <v>9</v>
      </c>
      <c r="AB3155">
        <v>9</v>
      </c>
      <c r="AC3155" t="s">
        <v>310</v>
      </c>
      <c r="AD3155">
        <v>9</v>
      </c>
      <c r="AE3155" t="s">
        <v>1388</v>
      </c>
      <c r="AF3155">
        <v>110003000</v>
      </c>
      <c r="AG3155" t="s">
        <v>310</v>
      </c>
      <c r="AH3155">
        <f>SUM((MID(Dyno_Data[[#This Row],[Team]],4,5))+(Dyno_Data[[#This Row],[Match]]/100))</f>
        <v>1796.58</v>
      </c>
      <c r="AI3155" s="76">
        <f>ROUND(SUM(IF(Dyno_Data[[#This Row],[AcqCenter]]&gt;0,Dyno_Data[[#This Row],[Time]]-SUMIFS(Dyno_Data[Time],Dyno_Data[Team],Dyno_Data[[#This Row],[Team]],Dyno_Data[RecordType],"StartMatch",Dyno_Data[Match],Dyno_Data[[#This Row],[Match]]),0)*86400),0)</f>
        <v>0</v>
      </c>
    </row>
    <row r="3156" spans="1:35" x14ac:dyDescent="0.3">
      <c r="A3156">
        <v>3155</v>
      </c>
      <c r="B3156" t="s">
        <v>1300</v>
      </c>
      <c r="C3156">
        <v>58</v>
      </c>
      <c r="D3156" s="105">
        <v>45374.378689618054</v>
      </c>
      <c r="E3156" t="s">
        <v>312</v>
      </c>
      <c r="F3156" t="s">
        <v>1402</v>
      </c>
      <c r="G3156">
        <v>0</v>
      </c>
      <c r="H3156" t="s">
        <v>315</v>
      </c>
      <c r="I3156">
        <v>0</v>
      </c>
      <c r="J3156">
        <v>0</v>
      </c>
      <c r="K3156">
        <v>0</v>
      </c>
      <c r="L3156" t="s">
        <v>241</v>
      </c>
      <c r="M3156" t="s">
        <v>1398</v>
      </c>
      <c r="N3156">
        <v>0</v>
      </c>
      <c r="O3156" t="s">
        <v>1393</v>
      </c>
      <c r="P3156" t="s">
        <v>310</v>
      </c>
      <c r="Q3156" t="s">
        <v>310</v>
      </c>
      <c r="R3156" t="s">
        <v>310</v>
      </c>
      <c r="S3156">
        <v>9</v>
      </c>
      <c r="T3156" t="s">
        <v>310</v>
      </c>
      <c r="U3156">
        <v>9</v>
      </c>
      <c r="V3156">
        <v>9</v>
      </c>
      <c r="W3156">
        <v>0</v>
      </c>
      <c r="X3156">
        <v>0</v>
      </c>
      <c r="Y3156">
        <v>0</v>
      </c>
      <c r="Z3156">
        <v>0</v>
      </c>
      <c r="AA3156">
        <v>9</v>
      </c>
      <c r="AB3156">
        <v>9</v>
      </c>
      <c r="AC3156" t="s">
        <v>310</v>
      </c>
      <c r="AD3156">
        <v>9</v>
      </c>
      <c r="AE3156" t="s">
        <v>1392</v>
      </c>
      <c r="AF3156">
        <v>60000000</v>
      </c>
      <c r="AG3156" t="s">
        <v>310</v>
      </c>
      <c r="AH3156">
        <f>SUM((MID(Dyno_Data[[#This Row],[Team]],4,5))+(Dyno_Data[[#This Row],[Match]]/100))</f>
        <v>3044.58</v>
      </c>
      <c r="AI3156" s="76">
        <f>ROUND(SUM(IF(Dyno_Data[[#This Row],[AcqCenter]]&gt;0,Dyno_Data[[#This Row],[Time]]-SUMIFS(Dyno_Data[Time],Dyno_Data[Team],Dyno_Data[[#This Row],[Team]],Dyno_Data[RecordType],"StartMatch",Dyno_Data[Match],Dyno_Data[[#This Row],[Match]]),0)*86400),0)</f>
        <v>0</v>
      </c>
    </row>
    <row r="3157" spans="1:35" x14ac:dyDescent="0.3">
      <c r="A3157">
        <v>3156</v>
      </c>
      <c r="B3157" t="s">
        <v>1278</v>
      </c>
      <c r="C3157">
        <v>58</v>
      </c>
      <c r="D3157" s="105">
        <v>45374.378708564815</v>
      </c>
      <c r="E3157" t="s">
        <v>312</v>
      </c>
      <c r="F3157" t="s">
        <v>1402</v>
      </c>
      <c r="G3157">
        <v>0</v>
      </c>
      <c r="H3157" t="s">
        <v>315</v>
      </c>
      <c r="I3157">
        <v>0</v>
      </c>
      <c r="J3157">
        <v>0</v>
      </c>
      <c r="K3157">
        <v>0</v>
      </c>
      <c r="L3157" t="s">
        <v>240</v>
      </c>
      <c r="M3157" t="s">
        <v>1398</v>
      </c>
      <c r="N3157">
        <v>0</v>
      </c>
      <c r="O3157" t="s">
        <v>1395</v>
      </c>
      <c r="P3157" t="s">
        <v>310</v>
      </c>
      <c r="Q3157" t="s">
        <v>310</v>
      </c>
      <c r="R3157" t="s">
        <v>310</v>
      </c>
      <c r="S3157">
        <v>9</v>
      </c>
      <c r="T3157" t="s">
        <v>310</v>
      </c>
      <c r="U3157">
        <v>9</v>
      </c>
      <c r="V3157">
        <v>9</v>
      </c>
      <c r="W3157">
        <v>0</v>
      </c>
      <c r="X3157">
        <v>0</v>
      </c>
      <c r="Y3157">
        <v>0</v>
      </c>
      <c r="Z3157">
        <v>0</v>
      </c>
      <c r="AA3157">
        <v>9</v>
      </c>
      <c r="AB3157">
        <v>9</v>
      </c>
      <c r="AC3157" t="s">
        <v>310</v>
      </c>
      <c r="AD3157">
        <v>9</v>
      </c>
      <c r="AE3157" t="s">
        <v>1396</v>
      </c>
      <c r="AF3157">
        <v>30000000</v>
      </c>
      <c r="AG3157" t="s">
        <v>310</v>
      </c>
      <c r="AH3157">
        <f>SUM((MID(Dyno_Data[[#This Row],[Team]],4,5))+(Dyno_Data[[#This Row],[Match]]/100))</f>
        <v>3951.58</v>
      </c>
      <c r="AI3157" s="76">
        <f>ROUND(SUM(IF(Dyno_Data[[#This Row],[AcqCenter]]&gt;0,Dyno_Data[[#This Row],[Time]]-SUMIFS(Dyno_Data[Time],Dyno_Data[Team],Dyno_Data[[#This Row],[Team]],Dyno_Data[RecordType],"StartMatch",Dyno_Data[Match],Dyno_Data[[#This Row],[Match]]),0)*86400),0)</f>
        <v>0</v>
      </c>
    </row>
    <row r="3158" spans="1:35" x14ac:dyDescent="0.3">
      <c r="A3158">
        <v>3157</v>
      </c>
      <c r="B3158" t="s">
        <v>318</v>
      </c>
      <c r="C3158">
        <v>58</v>
      </c>
      <c r="D3158" s="105">
        <v>45374.37873452546</v>
      </c>
      <c r="E3158" t="s">
        <v>312</v>
      </c>
      <c r="F3158" t="s">
        <v>1402</v>
      </c>
      <c r="G3158">
        <v>0</v>
      </c>
      <c r="H3158" t="s">
        <v>315</v>
      </c>
      <c r="I3158">
        <v>0</v>
      </c>
      <c r="J3158">
        <v>0</v>
      </c>
      <c r="K3158">
        <v>0</v>
      </c>
      <c r="L3158" t="s">
        <v>240</v>
      </c>
      <c r="M3158" t="s">
        <v>1398</v>
      </c>
      <c r="N3158">
        <v>0</v>
      </c>
      <c r="O3158" t="s">
        <v>319</v>
      </c>
      <c r="P3158" t="s">
        <v>310</v>
      </c>
      <c r="Q3158" t="s">
        <v>310</v>
      </c>
      <c r="R3158" t="s">
        <v>310</v>
      </c>
      <c r="S3158">
        <v>9</v>
      </c>
      <c r="T3158" t="s">
        <v>310</v>
      </c>
      <c r="U3158">
        <v>9</v>
      </c>
      <c r="V3158">
        <v>9</v>
      </c>
      <c r="W3158">
        <v>0</v>
      </c>
      <c r="X3158">
        <v>0</v>
      </c>
      <c r="Y3158">
        <v>0</v>
      </c>
      <c r="Z3158">
        <v>0</v>
      </c>
      <c r="AA3158">
        <v>9</v>
      </c>
      <c r="AB3158">
        <v>9</v>
      </c>
      <c r="AC3158" t="s">
        <v>310</v>
      </c>
      <c r="AD3158">
        <v>9</v>
      </c>
      <c r="AE3158" t="s">
        <v>1390</v>
      </c>
      <c r="AF3158">
        <v>50000000</v>
      </c>
      <c r="AG3158" t="s">
        <v>310</v>
      </c>
      <c r="AH3158">
        <f>SUM((MID(Dyno_Data[[#This Row],[Team]],4,5))+(Dyno_Data[[#This Row],[Match]]/100))</f>
        <v>639.58000000000004</v>
      </c>
      <c r="AI3158" s="76">
        <f>ROUND(SUM(IF(Dyno_Data[[#This Row],[AcqCenter]]&gt;0,Dyno_Data[[#This Row],[Time]]-SUMIFS(Dyno_Data[Time],Dyno_Data[Team],Dyno_Data[[#This Row],[Team]],Dyno_Data[RecordType],"StartMatch",Dyno_Data[Match],Dyno_Data[[#This Row],[Match]]),0)*86400),0)</f>
        <v>0</v>
      </c>
    </row>
    <row r="3159" spans="1:35" x14ac:dyDescent="0.3">
      <c r="A3159">
        <v>3158</v>
      </c>
      <c r="B3159" t="s">
        <v>1308</v>
      </c>
      <c r="C3159">
        <v>58</v>
      </c>
      <c r="D3159" s="105">
        <v>45374.378760798609</v>
      </c>
      <c r="E3159" t="s">
        <v>312</v>
      </c>
      <c r="F3159" t="s">
        <v>1402</v>
      </c>
      <c r="G3159">
        <v>0</v>
      </c>
      <c r="H3159" t="s">
        <v>315</v>
      </c>
      <c r="I3159">
        <v>0</v>
      </c>
      <c r="J3159">
        <v>0</v>
      </c>
      <c r="K3159">
        <v>0</v>
      </c>
      <c r="L3159" t="s">
        <v>240</v>
      </c>
      <c r="M3159" t="s">
        <v>1398</v>
      </c>
      <c r="N3159">
        <v>0</v>
      </c>
      <c r="O3159" t="s">
        <v>1391</v>
      </c>
      <c r="P3159" t="s">
        <v>310</v>
      </c>
      <c r="Q3159" t="s">
        <v>310</v>
      </c>
      <c r="R3159" t="s">
        <v>310</v>
      </c>
      <c r="S3159">
        <v>9</v>
      </c>
      <c r="T3159" t="s">
        <v>310</v>
      </c>
      <c r="U3159">
        <v>9</v>
      </c>
      <c r="V3159">
        <v>9</v>
      </c>
      <c r="W3159">
        <v>0</v>
      </c>
      <c r="X3159">
        <v>0</v>
      </c>
      <c r="Y3159">
        <v>0</v>
      </c>
      <c r="Z3159">
        <v>0</v>
      </c>
      <c r="AA3159">
        <v>9</v>
      </c>
      <c r="AB3159">
        <v>9</v>
      </c>
      <c r="AC3159" t="s">
        <v>310</v>
      </c>
      <c r="AD3159">
        <v>9</v>
      </c>
      <c r="AE3159" t="s">
        <v>1394</v>
      </c>
      <c r="AF3159">
        <v>50000000</v>
      </c>
      <c r="AG3159" t="s">
        <v>310</v>
      </c>
      <c r="AH3159">
        <f>SUM((MID(Dyno_Data[[#This Row],[Team]],4,5))+(Dyno_Data[[#This Row],[Match]]/100))</f>
        <v>3799.58</v>
      </c>
      <c r="AI3159" s="76">
        <f>ROUND(SUM(IF(Dyno_Data[[#This Row],[AcqCenter]]&gt;0,Dyno_Data[[#This Row],[Time]]-SUMIFS(Dyno_Data[Time],Dyno_Data[Team],Dyno_Data[[#This Row],[Team]],Dyno_Data[RecordType],"StartMatch",Dyno_Data[Match],Dyno_Data[[#This Row],[Match]]),0)*86400),0)</f>
        <v>0</v>
      </c>
    </row>
    <row r="3160" spans="1:35" x14ac:dyDescent="0.3">
      <c r="A3160">
        <v>3159</v>
      </c>
      <c r="B3160" t="s">
        <v>360</v>
      </c>
      <c r="C3160">
        <v>58</v>
      </c>
      <c r="D3160" s="105">
        <v>45374.378820914353</v>
      </c>
      <c r="E3160" t="s">
        <v>312</v>
      </c>
      <c r="F3160" t="s">
        <v>1402</v>
      </c>
      <c r="G3160">
        <v>0</v>
      </c>
      <c r="H3160" t="s">
        <v>315</v>
      </c>
      <c r="I3160">
        <v>0</v>
      </c>
      <c r="J3160">
        <v>0</v>
      </c>
      <c r="K3160">
        <v>0</v>
      </c>
      <c r="L3160" t="s">
        <v>241</v>
      </c>
      <c r="M3160" t="s">
        <v>101</v>
      </c>
      <c r="N3160">
        <v>0</v>
      </c>
      <c r="O3160" t="s">
        <v>311</v>
      </c>
      <c r="P3160" t="s">
        <v>310</v>
      </c>
      <c r="Q3160" t="s">
        <v>310</v>
      </c>
      <c r="R3160" t="s">
        <v>310</v>
      </c>
      <c r="S3160">
        <v>9</v>
      </c>
      <c r="T3160" t="s">
        <v>310</v>
      </c>
      <c r="U3160">
        <v>9</v>
      </c>
      <c r="V3160">
        <v>9</v>
      </c>
      <c r="W3160">
        <v>0</v>
      </c>
      <c r="X3160">
        <v>0</v>
      </c>
      <c r="Y3160">
        <v>0</v>
      </c>
      <c r="Z3160">
        <v>0</v>
      </c>
      <c r="AA3160">
        <v>9</v>
      </c>
      <c r="AB3160">
        <v>9</v>
      </c>
      <c r="AC3160" t="s">
        <v>310</v>
      </c>
      <c r="AD3160">
        <v>9</v>
      </c>
      <c r="AE3160" t="s">
        <v>1388</v>
      </c>
      <c r="AF3160">
        <v>120003000</v>
      </c>
      <c r="AG3160" t="s">
        <v>310</v>
      </c>
      <c r="AH3160">
        <f>SUM((MID(Dyno_Data[[#This Row],[Team]],4,5))+(Dyno_Data[[#This Row],[Match]]/100))</f>
        <v>1796.58</v>
      </c>
      <c r="AI3160" s="76">
        <f>ROUND(SUM(IF(Dyno_Data[[#This Row],[AcqCenter]]&gt;0,Dyno_Data[[#This Row],[Time]]-SUMIFS(Dyno_Data[Time],Dyno_Data[Team],Dyno_Data[[#This Row],[Team]],Dyno_Data[RecordType],"StartMatch",Dyno_Data[Match],Dyno_Data[[#This Row],[Match]]),0)*86400),0)</f>
        <v>0</v>
      </c>
    </row>
    <row r="3161" spans="1:35" x14ac:dyDescent="0.3">
      <c r="A3161">
        <v>3160</v>
      </c>
      <c r="B3161" t="s">
        <v>1308</v>
      </c>
      <c r="C3161">
        <v>58</v>
      </c>
      <c r="D3161" s="105">
        <v>45374.378851504633</v>
      </c>
      <c r="E3161" t="s">
        <v>312</v>
      </c>
      <c r="F3161" t="s">
        <v>1402</v>
      </c>
      <c r="G3161">
        <v>0</v>
      </c>
      <c r="H3161" t="s">
        <v>315</v>
      </c>
      <c r="I3161">
        <v>0</v>
      </c>
      <c r="J3161">
        <v>0</v>
      </c>
      <c r="K3161">
        <v>0</v>
      </c>
      <c r="L3161" t="s">
        <v>241</v>
      </c>
      <c r="M3161" t="s">
        <v>1398</v>
      </c>
      <c r="N3161">
        <v>0</v>
      </c>
      <c r="O3161" t="s">
        <v>1391</v>
      </c>
      <c r="P3161" t="s">
        <v>310</v>
      </c>
      <c r="Q3161" t="s">
        <v>310</v>
      </c>
      <c r="R3161" t="s">
        <v>310</v>
      </c>
      <c r="S3161">
        <v>9</v>
      </c>
      <c r="T3161" t="s">
        <v>310</v>
      </c>
      <c r="U3161">
        <v>9</v>
      </c>
      <c r="V3161">
        <v>9</v>
      </c>
      <c r="W3161">
        <v>0</v>
      </c>
      <c r="X3161">
        <v>0</v>
      </c>
      <c r="Y3161">
        <v>0</v>
      </c>
      <c r="Z3161">
        <v>0</v>
      </c>
      <c r="AA3161">
        <v>9</v>
      </c>
      <c r="AB3161">
        <v>9</v>
      </c>
      <c r="AC3161" t="s">
        <v>310</v>
      </c>
      <c r="AD3161">
        <v>9</v>
      </c>
      <c r="AE3161" t="s">
        <v>1394</v>
      </c>
      <c r="AF3161">
        <v>60000000</v>
      </c>
      <c r="AG3161" t="s">
        <v>310</v>
      </c>
      <c r="AH3161">
        <f>SUM((MID(Dyno_Data[[#This Row],[Team]],4,5))+(Dyno_Data[[#This Row],[Match]]/100))</f>
        <v>3799.58</v>
      </c>
      <c r="AI3161" s="76">
        <f>ROUND(SUM(IF(Dyno_Data[[#This Row],[AcqCenter]]&gt;0,Dyno_Data[[#This Row],[Time]]-SUMIFS(Dyno_Data[Time],Dyno_Data[Team],Dyno_Data[[#This Row],[Team]],Dyno_Data[RecordType],"StartMatch",Dyno_Data[Match],Dyno_Data[[#This Row],[Match]]),0)*86400),0)</f>
        <v>0</v>
      </c>
    </row>
    <row r="3162" spans="1:35" x14ac:dyDescent="0.3">
      <c r="A3162">
        <v>3161</v>
      </c>
      <c r="B3162" t="s">
        <v>318</v>
      </c>
      <c r="C3162">
        <v>58</v>
      </c>
      <c r="D3162" s="105">
        <v>45374.378903553239</v>
      </c>
      <c r="E3162" t="s">
        <v>312</v>
      </c>
      <c r="F3162" t="s">
        <v>1402</v>
      </c>
      <c r="G3162">
        <v>0</v>
      </c>
      <c r="H3162" t="s">
        <v>315</v>
      </c>
      <c r="I3162">
        <v>0</v>
      </c>
      <c r="J3162">
        <v>0</v>
      </c>
      <c r="K3162">
        <v>0</v>
      </c>
      <c r="L3162" t="s">
        <v>241</v>
      </c>
      <c r="M3162" t="s">
        <v>1398</v>
      </c>
      <c r="N3162">
        <v>1</v>
      </c>
      <c r="O3162" t="s">
        <v>319</v>
      </c>
      <c r="P3162" t="s">
        <v>310</v>
      </c>
      <c r="Q3162" t="s">
        <v>310</v>
      </c>
      <c r="R3162" t="s">
        <v>310</v>
      </c>
      <c r="S3162">
        <v>9</v>
      </c>
      <c r="T3162" t="s">
        <v>310</v>
      </c>
      <c r="U3162">
        <v>9</v>
      </c>
      <c r="V3162">
        <v>9</v>
      </c>
      <c r="W3162">
        <v>0</v>
      </c>
      <c r="X3162">
        <v>0</v>
      </c>
      <c r="Y3162">
        <v>0</v>
      </c>
      <c r="Z3162">
        <v>0</v>
      </c>
      <c r="AA3162">
        <v>9</v>
      </c>
      <c r="AB3162">
        <v>9</v>
      </c>
      <c r="AC3162" t="s">
        <v>310</v>
      </c>
      <c r="AD3162">
        <v>9</v>
      </c>
      <c r="AE3162" t="s">
        <v>1390</v>
      </c>
      <c r="AF3162">
        <v>60000000</v>
      </c>
      <c r="AG3162" t="s">
        <v>310</v>
      </c>
      <c r="AH3162">
        <f>SUM((MID(Dyno_Data[[#This Row],[Team]],4,5))+(Dyno_Data[[#This Row],[Match]]/100))</f>
        <v>639.58000000000004</v>
      </c>
      <c r="AI3162" s="76">
        <f>ROUND(SUM(IF(Dyno_Data[[#This Row],[AcqCenter]]&gt;0,Dyno_Data[[#This Row],[Time]]-SUMIFS(Dyno_Data[Time],Dyno_Data[Team],Dyno_Data[[#This Row],[Team]],Dyno_Data[RecordType],"StartMatch",Dyno_Data[Match],Dyno_Data[[#This Row],[Match]]),0)*86400),0)</f>
        <v>0</v>
      </c>
    </row>
    <row r="3163" spans="1:35" x14ac:dyDescent="0.3">
      <c r="A3163">
        <v>3162</v>
      </c>
      <c r="B3163" t="s">
        <v>1300</v>
      </c>
      <c r="C3163">
        <v>58</v>
      </c>
      <c r="D3163" s="105">
        <v>45374.37890802083</v>
      </c>
      <c r="E3163" t="s">
        <v>312</v>
      </c>
      <c r="F3163" t="s">
        <v>1402</v>
      </c>
      <c r="G3163">
        <v>0</v>
      </c>
      <c r="H3163" t="s">
        <v>315</v>
      </c>
      <c r="I3163">
        <v>0</v>
      </c>
      <c r="J3163">
        <v>0</v>
      </c>
      <c r="K3163">
        <v>0</v>
      </c>
      <c r="L3163" t="s">
        <v>241</v>
      </c>
      <c r="M3163" t="s">
        <v>1398</v>
      </c>
      <c r="N3163">
        <v>1</v>
      </c>
      <c r="O3163" t="s">
        <v>1393</v>
      </c>
      <c r="P3163" t="s">
        <v>310</v>
      </c>
      <c r="Q3163" t="s">
        <v>310</v>
      </c>
      <c r="R3163" t="s">
        <v>310</v>
      </c>
      <c r="S3163">
        <v>9</v>
      </c>
      <c r="T3163" t="s">
        <v>310</v>
      </c>
      <c r="U3163">
        <v>9</v>
      </c>
      <c r="V3163">
        <v>9</v>
      </c>
      <c r="W3163">
        <v>0</v>
      </c>
      <c r="X3163">
        <v>0</v>
      </c>
      <c r="Y3163">
        <v>0</v>
      </c>
      <c r="Z3163">
        <v>0</v>
      </c>
      <c r="AA3163">
        <v>9</v>
      </c>
      <c r="AB3163">
        <v>9</v>
      </c>
      <c r="AC3163" t="s">
        <v>310</v>
      </c>
      <c r="AD3163">
        <v>9</v>
      </c>
      <c r="AE3163" t="s">
        <v>1392</v>
      </c>
      <c r="AF3163">
        <v>70000000</v>
      </c>
      <c r="AG3163" t="s">
        <v>310</v>
      </c>
      <c r="AH3163">
        <f>SUM((MID(Dyno_Data[[#This Row],[Team]],4,5))+(Dyno_Data[[#This Row],[Match]]/100))</f>
        <v>3044.58</v>
      </c>
      <c r="AI3163" s="76">
        <f>ROUND(SUM(IF(Dyno_Data[[#This Row],[AcqCenter]]&gt;0,Dyno_Data[[#This Row],[Time]]-SUMIFS(Dyno_Data[Time],Dyno_Data[Team],Dyno_Data[[#This Row],[Team]],Dyno_Data[RecordType],"StartMatch",Dyno_Data[Match],Dyno_Data[[#This Row],[Match]]),0)*86400),0)</f>
        <v>0</v>
      </c>
    </row>
    <row r="3164" spans="1:35" x14ac:dyDescent="0.3">
      <c r="A3164">
        <v>3163</v>
      </c>
      <c r="B3164" t="s">
        <v>360</v>
      </c>
      <c r="C3164">
        <v>58</v>
      </c>
      <c r="D3164" s="105">
        <v>45374.378941122683</v>
      </c>
      <c r="E3164" t="s">
        <v>312</v>
      </c>
      <c r="F3164" t="s">
        <v>1402</v>
      </c>
      <c r="G3164">
        <v>0</v>
      </c>
      <c r="H3164" t="s">
        <v>315</v>
      </c>
      <c r="I3164">
        <v>0</v>
      </c>
      <c r="J3164">
        <v>0</v>
      </c>
      <c r="K3164">
        <v>0</v>
      </c>
      <c r="L3164" t="s">
        <v>241</v>
      </c>
      <c r="M3164" t="s">
        <v>1398</v>
      </c>
      <c r="N3164">
        <v>0</v>
      </c>
      <c r="O3164" t="s">
        <v>311</v>
      </c>
      <c r="P3164" t="s">
        <v>310</v>
      </c>
      <c r="Q3164" t="s">
        <v>310</v>
      </c>
      <c r="R3164" t="s">
        <v>310</v>
      </c>
      <c r="S3164">
        <v>9</v>
      </c>
      <c r="T3164" t="s">
        <v>310</v>
      </c>
      <c r="U3164">
        <v>9</v>
      </c>
      <c r="V3164">
        <v>9</v>
      </c>
      <c r="W3164">
        <v>0</v>
      </c>
      <c r="X3164">
        <v>0</v>
      </c>
      <c r="Y3164">
        <v>0</v>
      </c>
      <c r="Z3164">
        <v>0</v>
      </c>
      <c r="AA3164">
        <v>9</v>
      </c>
      <c r="AB3164">
        <v>9</v>
      </c>
      <c r="AC3164" t="s">
        <v>310</v>
      </c>
      <c r="AD3164">
        <v>9</v>
      </c>
      <c r="AE3164" t="s">
        <v>1388</v>
      </c>
      <c r="AF3164">
        <v>130003000</v>
      </c>
      <c r="AG3164" t="s">
        <v>310</v>
      </c>
      <c r="AH3164">
        <f>SUM((MID(Dyno_Data[[#This Row],[Team]],4,5))+(Dyno_Data[[#This Row],[Match]]/100))</f>
        <v>1796.58</v>
      </c>
      <c r="AI3164" s="76">
        <f>ROUND(SUM(IF(Dyno_Data[[#This Row],[AcqCenter]]&gt;0,Dyno_Data[[#This Row],[Time]]-SUMIFS(Dyno_Data[Time],Dyno_Data[Team],Dyno_Data[[#This Row],[Team]],Dyno_Data[RecordType],"StartMatch",Dyno_Data[Match],Dyno_Data[[#This Row],[Match]]),0)*86400),0)</f>
        <v>0</v>
      </c>
    </row>
    <row r="3165" spans="1:35" x14ac:dyDescent="0.3">
      <c r="A3165">
        <v>3164</v>
      </c>
      <c r="B3165" t="s">
        <v>318</v>
      </c>
      <c r="C3165">
        <v>58</v>
      </c>
      <c r="D3165" s="105">
        <v>45374.378983877315</v>
      </c>
      <c r="E3165" t="s">
        <v>312</v>
      </c>
      <c r="F3165" t="s">
        <v>1402</v>
      </c>
      <c r="G3165">
        <v>0</v>
      </c>
      <c r="H3165" t="s">
        <v>315</v>
      </c>
      <c r="I3165">
        <v>0</v>
      </c>
      <c r="J3165">
        <v>0</v>
      </c>
      <c r="K3165">
        <v>0</v>
      </c>
      <c r="L3165" t="s">
        <v>240</v>
      </c>
      <c r="M3165" t="s">
        <v>1398</v>
      </c>
      <c r="N3165">
        <v>0</v>
      </c>
      <c r="O3165" t="s">
        <v>319</v>
      </c>
      <c r="P3165" t="s">
        <v>310</v>
      </c>
      <c r="Q3165" t="s">
        <v>310</v>
      </c>
      <c r="R3165" t="s">
        <v>310</v>
      </c>
      <c r="S3165">
        <v>9</v>
      </c>
      <c r="T3165" t="s">
        <v>310</v>
      </c>
      <c r="U3165">
        <v>9</v>
      </c>
      <c r="V3165">
        <v>9</v>
      </c>
      <c r="W3165">
        <v>0</v>
      </c>
      <c r="X3165">
        <v>0</v>
      </c>
      <c r="Y3165">
        <v>0</v>
      </c>
      <c r="Z3165">
        <v>0</v>
      </c>
      <c r="AA3165">
        <v>9</v>
      </c>
      <c r="AB3165">
        <v>9</v>
      </c>
      <c r="AC3165" t="s">
        <v>310</v>
      </c>
      <c r="AD3165">
        <v>9</v>
      </c>
      <c r="AE3165" t="s">
        <v>1390</v>
      </c>
      <c r="AF3165">
        <v>70000000</v>
      </c>
      <c r="AG3165" t="s">
        <v>310</v>
      </c>
      <c r="AH3165">
        <f>SUM((MID(Dyno_Data[[#This Row],[Team]],4,5))+(Dyno_Data[[#This Row],[Match]]/100))</f>
        <v>639.58000000000004</v>
      </c>
      <c r="AI3165" s="76">
        <f>ROUND(SUM(IF(Dyno_Data[[#This Row],[AcqCenter]]&gt;0,Dyno_Data[[#This Row],[Time]]-SUMIFS(Dyno_Data[Time],Dyno_Data[Team],Dyno_Data[[#This Row],[Team]],Dyno_Data[RecordType],"StartMatch",Dyno_Data[Match],Dyno_Data[[#This Row],[Match]]),0)*86400),0)</f>
        <v>0</v>
      </c>
    </row>
    <row r="3166" spans="1:35" x14ac:dyDescent="0.3">
      <c r="A3166">
        <v>3165</v>
      </c>
      <c r="B3166" t="s">
        <v>1308</v>
      </c>
      <c r="C3166">
        <v>58</v>
      </c>
      <c r="D3166" s="105">
        <v>45374.379036307873</v>
      </c>
      <c r="E3166" t="s">
        <v>312</v>
      </c>
      <c r="F3166" t="s">
        <v>1402</v>
      </c>
      <c r="G3166">
        <v>0</v>
      </c>
      <c r="H3166" t="s">
        <v>315</v>
      </c>
      <c r="I3166">
        <v>0</v>
      </c>
      <c r="J3166">
        <v>0</v>
      </c>
      <c r="K3166">
        <v>0</v>
      </c>
      <c r="L3166" t="s">
        <v>240</v>
      </c>
      <c r="M3166" t="s">
        <v>1398</v>
      </c>
      <c r="N3166">
        <v>0</v>
      </c>
      <c r="O3166" t="s">
        <v>1391</v>
      </c>
      <c r="P3166" t="s">
        <v>310</v>
      </c>
      <c r="Q3166" t="s">
        <v>310</v>
      </c>
      <c r="R3166" t="s">
        <v>310</v>
      </c>
      <c r="S3166">
        <v>9</v>
      </c>
      <c r="T3166" t="s">
        <v>310</v>
      </c>
      <c r="U3166">
        <v>9</v>
      </c>
      <c r="V3166">
        <v>9</v>
      </c>
      <c r="W3166">
        <v>0</v>
      </c>
      <c r="X3166">
        <v>0</v>
      </c>
      <c r="Y3166">
        <v>0</v>
      </c>
      <c r="Z3166">
        <v>0</v>
      </c>
      <c r="AA3166">
        <v>9</v>
      </c>
      <c r="AB3166">
        <v>9</v>
      </c>
      <c r="AC3166" t="s">
        <v>310</v>
      </c>
      <c r="AD3166">
        <v>9</v>
      </c>
      <c r="AE3166" t="s">
        <v>1394</v>
      </c>
      <c r="AF3166">
        <v>70000000</v>
      </c>
      <c r="AG3166" t="s">
        <v>310</v>
      </c>
      <c r="AH3166">
        <f>SUM((MID(Dyno_Data[[#This Row],[Team]],4,5))+(Dyno_Data[[#This Row],[Match]]/100))</f>
        <v>3799.58</v>
      </c>
      <c r="AI3166" s="76">
        <f>ROUND(SUM(IF(Dyno_Data[[#This Row],[AcqCenter]]&gt;0,Dyno_Data[[#This Row],[Time]]-SUMIFS(Dyno_Data[Time],Dyno_Data[Team],Dyno_Data[[#This Row],[Team]],Dyno_Data[RecordType],"StartMatch",Dyno_Data[Match],Dyno_Data[[#This Row],[Match]]),0)*86400),0)</f>
        <v>0</v>
      </c>
    </row>
    <row r="3167" spans="1:35" x14ac:dyDescent="0.3">
      <c r="A3167">
        <v>3166</v>
      </c>
      <c r="B3167" t="s">
        <v>1300</v>
      </c>
      <c r="C3167">
        <v>58</v>
      </c>
      <c r="D3167" s="105">
        <v>45374.379077812497</v>
      </c>
      <c r="E3167" t="s">
        <v>312</v>
      </c>
      <c r="F3167" t="s">
        <v>1402</v>
      </c>
      <c r="G3167">
        <v>0</v>
      </c>
      <c r="H3167" t="s">
        <v>315</v>
      </c>
      <c r="I3167">
        <v>0</v>
      </c>
      <c r="J3167">
        <v>0</v>
      </c>
      <c r="K3167">
        <v>0</v>
      </c>
      <c r="L3167" t="s">
        <v>241</v>
      </c>
      <c r="M3167" t="s">
        <v>1398</v>
      </c>
      <c r="N3167">
        <v>0</v>
      </c>
      <c r="O3167" t="s">
        <v>1393</v>
      </c>
      <c r="P3167" t="s">
        <v>310</v>
      </c>
      <c r="Q3167" t="s">
        <v>310</v>
      </c>
      <c r="R3167" t="s">
        <v>310</v>
      </c>
      <c r="S3167">
        <v>9</v>
      </c>
      <c r="T3167" t="s">
        <v>310</v>
      </c>
      <c r="U3167">
        <v>9</v>
      </c>
      <c r="V3167">
        <v>9</v>
      </c>
      <c r="W3167">
        <v>0</v>
      </c>
      <c r="X3167">
        <v>0</v>
      </c>
      <c r="Y3167">
        <v>0</v>
      </c>
      <c r="Z3167">
        <v>0</v>
      </c>
      <c r="AA3167">
        <v>9</v>
      </c>
      <c r="AB3167">
        <v>9</v>
      </c>
      <c r="AC3167" t="s">
        <v>310</v>
      </c>
      <c r="AD3167">
        <v>9</v>
      </c>
      <c r="AE3167" t="s">
        <v>1392</v>
      </c>
      <c r="AF3167">
        <v>80000000</v>
      </c>
      <c r="AG3167" t="s">
        <v>310</v>
      </c>
      <c r="AH3167">
        <f>SUM((MID(Dyno_Data[[#This Row],[Team]],4,5))+(Dyno_Data[[#This Row],[Match]]/100))</f>
        <v>3044.58</v>
      </c>
      <c r="AI3167" s="76">
        <f>ROUND(SUM(IF(Dyno_Data[[#This Row],[AcqCenter]]&gt;0,Dyno_Data[[#This Row],[Time]]-SUMIFS(Dyno_Data[Time],Dyno_Data[Team],Dyno_Data[[#This Row],[Team]],Dyno_Data[RecordType],"StartMatch",Dyno_Data[Match],Dyno_Data[[#This Row],[Match]]),0)*86400),0)</f>
        <v>0</v>
      </c>
    </row>
    <row r="3168" spans="1:35" x14ac:dyDescent="0.3">
      <c r="A3168">
        <v>3167</v>
      </c>
      <c r="B3168" t="s">
        <v>1300</v>
      </c>
      <c r="C3168">
        <v>58</v>
      </c>
      <c r="D3168" s="105">
        <v>45374.379154201386</v>
      </c>
      <c r="E3168" t="s">
        <v>312</v>
      </c>
      <c r="F3168" t="s">
        <v>1402</v>
      </c>
      <c r="G3168">
        <v>0</v>
      </c>
      <c r="H3168" t="s">
        <v>315</v>
      </c>
      <c r="I3168">
        <v>0</v>
      </c>
      <c r="J3168">
        <v>0</v>
      </c>
      <c r="K3168">
        <v>0</v>
      </c>
      <c r="L3168" t="s">
        <v>241</v>
      </c>
      <c r="M3168" t="s">
        <v>1398</v>
      </c>
      <c r="N3168">
        <v>1</v>
      </c>
      <c r="O3168" t="s">
        <v>1393</v>
      </c>
      <c r="P3168" t="s">
        <v>310</v>
      </c>
      <c r="Q3168" t="s">
        <v>310</v>
      </c>
      <c r="R3168" t="s">
        <v>310</v>
      </c>
      <c r="S3168">
        <v>9</v>
      </c>
      <c r="T3168" t="s">
        <v>310</v>
      </c>
      <c r="U3168">
        <v>9</v>
      </c>
      <c r="V3168">
        <v>9</v>
      </c>
      <c r="W3168">
        <v>0</v>
      </c>
      <c r="X3168">
        <v>0</v>
      </c>
      <c r="Y3168">
        <v>0</v>
      </c>
      <c r="Z3168">
        <v>0</v>
      </c>
      <c r="AA3168">
        <v>9</v>
      </c>
      <c r="AB3168">
        <v>9</v>
      </c>
      <c r="AC3168" t="s">
        <v>310</v>
      </c>
      <c r="AD3168">
        <v>9</v>
      </c>
      <c r="AE3168" t="s">
        <v>1392</v>
      </c>
      <c r="AF3168">
        <v>90000000</v>
      </c>
      <c r="AG3168" t="s">
        <v>310</v>
      </c>
      <c r="AH3168">
        <f>SUM((MID(Dyno_Data[[#This Row],[Team]],4,5))+(Dyno_Data[[#This Row],[Match]]/100))</f>
        <v>3044.58</v>
      </c>
      <c r="AI3168" s="76">
        <f>ROUND(SUM(IF(Dyno_Data[[#This Row],[AcqCenter]]&gt;0,Dyno_Data[[#This Row],[Time]]-SUMIFS(Dyno_Data[Time],Dyno_Data[Team],Dyno_Data[[#This Row],[Team]],Dyno_Data[RecordType],"StartMatch",Dyno_Data[Match],Dyno_Data[[#This Row],[Match]]),0)*86400),0)</f>
        <v>0</v>
      </c>
    </row>
    <row r="3169" spans="1:35" x14ac:dyDescent="0.3">
      <c r="A3169">
        <v>3168</v>
      </c>
      <c r="B3169" t="s">
        <v>360</v>
      </c>
      <c r="C3169">
        <v>58</v>
      </c>
      <c r="D3169" s="105">
        <v>45374.379245601849</v>
      </c>
      <c r="E3169" t="s">
        <v>312</v>
      </c>
      <c r="F3169" t="s">
        <v>317</v>
      </c>
      <c r="G3169">
        <v>0</v>
      </c>
      <c r="H3169" t="s">
        <v>315</v>
      </c>
      <c r="I3169">
        <v>0</v>
      </c>
      <c r="J3169">
        <v>0</v>
      </c>
      <c r="K3169">
        <v>0</v>
      </c>
      <c r="L3169" t="s">
        <v>1410</v>
      </c>
      <c r="M3169" t="s">
        <v>153</v>
      </c>
      <c r="N3169">
        <v>0</v>
      </c>
      <c r="O3169" t="s">
        <v>311</v>
      </c>
      <c r="P3169" t="s">
        <v>310</v>
      </c>
      <c r="Q3169" t="s">
        <v>310</v>
      </c>
      <c r="R3169" t="s">
        <v>310</v>
      </c>
      <c r="S3169">
        <v>9</v>
      </c>
      <c r="T3169" t="s">
        <v>310</v>
      </c>
      <c r="U3169">
        <v>9</v>
      </c>
      <c r="V3169">
        <v>9</v>
      </c>
      <c r="W3169">
        <v>0</v>
      </c>
      <c r="X3169">
        <v>0</v>
      </c>
      <c r="Y3169">
        <v>0</v>
      </c>
      <c r="Z3169">
        <v>0</v>
      </c>
      <c r="AA3169">
        <v>9</v>
      </c>
      <c r="AB3169">
        <v>9</v>
      </c>
      <c r="AC3169" t="s">
        <v>310</v>
      </c>
      <c r="AD3169">
        <v>9</v>
      </c>
      <c r="AE3169" t="s">
        <v>1388</v>
      </c>
      <c r="AF3169">
        <v>140003000</v>
      </c>
      <c r="AG3169" t="s">
        <v>310</v>
      </c>
      <c r="AH3169">
        <f>SUM((MID(Dyno_Data[[#This Row],[Team]],4,5))+(Dyno_Data[[#This Row],[Match]]/100))</f>
        <v>1796.58</v>
      </c>
      <c r="AI3169" s="76">
        <f>ROUND(SUM(IF(Dyno_Data[[#This Row],[AcqCenter]]&gt;0,Dyno_Data[[#This Row],[Time]]-SUMIFS(Dyno_Data[Time],Dyno_Data[Team],Dyno_Data[[#This Row],[Team]],Dyno_Data[RecordType],"StartMatch",Dyno_Data[Match],Dyno_Data[[#This Row],[Match]]),0)*86400),0)</f>
        <v>0</v>
      </c>
    </row>
    <row r="3170" spans="1:35" x14ac:dyDescent="0.3">
      <c r="A3170">
        <v>3169</v>
      </c>
      <c r="B3170" t="s">
        <v>1308</v>
      </c>
      <c r="C3170">
        <v>58</v>
      </c>
      <c r="D3170" s="105">
        <v>45374.379251273145</v>
      </c>
      <c r="E3170" t="s">
        <v>312</v>
      </c>
      <c r="F3170" t="s">
        <v>1402</v>
      </c>
      <c r="G3170">
        <v>0</v>
      </c>
      <c r="H3170" t="s">
        <v>315</v>
      </c>
      <c r="I3170">
        <v>0</v>
      </c>
      <c r="J3170">
        <v>0</v>
      </c>
      <c r="K3170">
        <v>0</v>
      </c>
      <c r="L3170" t="s">
        <v>240</v>
      </c>
      <c r="M3170" t="s">
        <v>1398</v>
      </c>
      <c r="N3170">
        <v>0</v>
      </c>
      <c r="O3170" t="s">
        <v>1391</v>
      </c>
      <c r="P3170" t="s">
        <v>310</v>
      </c>
      <c r="Q3170" t="s">
        <v>310</v>
      </c>
      <c r="R3170" t="s">
        <v>310</v>
      </c>
      <c r="S3170">
        <v>9</v>
      </c>
      <c r="T3170" t="s">
        <v>310</v>
      </c>
      <c r="U3170">
        <v>9</v>
      </c>
      <c r="V3170">
        <v>9</v>
      </c>
      <c r="W3170">
        <v>0</v>
      </c>
      <c r="X3170">
        <v>0</v>
      </c>
      <c r="Y3170">
        <v>0</v>
      </c>
      <c r="Z3170">
        <v>0</v>
      </c>
      <c r="AA3170">
        <v>9</v>
      </c>
      <c r="AB3170">
        <v>9</v>
      </c>
      <c r="AC3170" t="s">
        <v>310</v>
      </c>
      <c r="AD3170">
        <v>9</v>
      </c>
      <c r="AE3170" t="s">
        <v>1394</v>
      </c>
      <c r="AF3170">
        <v>80000000</v>
      </c>
      <c r="AG3170" t="s">
        <v>310</v>
      </c>
      <c r="AH3170">
        <f>SUM((MID(Dyno_Data[[#This Row],[Team]],4,5))+(Dyno_Data[[#This Row],[Match]]/100))</f>
        <v>3799.58</v>
      </c>
      <c r="AI3170" s="76">
        <f>ROUND(SUM(IF(Dyno_Data[[#This Row],[AcqCenter]]&gt;0,Dyno_Data[[#This Row],[Time]]-SUMIFS(Dyno_Data[Time],Dyno_Data[Team],Dyno_Data[[#This Row],[Team]],Dyno_Data[RecordType],"StartMatch",Dyno_Data[Match],Dyno_Data[[#This Row],[Match]]),0)*86400),0)</f>
        <v>0</v>
      </c>
    </row>
    <row r="3171" spans="1:35" x14ac:dyDescent="0.3">
      <c r="A3171">
        <v>3170</v>
      </c>
      <c r="B3171" t="s">
        <v>360</v>
      </c>
      <c r="C3171">
        <v>58</v>
      </c>
      <c r="D3171" s="105">
        <v>45374.380187581017</v>
      </c>
      <c r="E3171" t="s">
        <v>316</v>
      </c>
      <c r="F3171" t="s">
        <v>317</v>
      </c>
      <c r="G3171">
        <v>1</v>
      </c>
      <c r="H3171" t="s">
        <v>310</v>
      </c>
      <c r="I3171">
        <v>0</v>
      </c>
      <c r="J3171">
        <v>0</v>
      </c>
      <c r="K3171">
        <v>0</v>
      </c>
      <c r="L3171" t="s">
        <v>310</v>
      </c>
      <c r="M3171" t="s">
        <v>310</v>
      </c>
      <c r="N3171">
        <v>0</v>
      </c>
      <c r="O3171" t="s">
        <v>311</v>
      </c>
      <c r="P3171" t="s">
        <v>240</v>
      </c>
      <c r="Q3171" t="s">
        <v>1399</v>
      </c>
      <c r="R3171" t="s">
        <v>1405</v>
      </c>
      <c r="S3171">
        <v>1</v>
      </c>
      <c r="T3171" t="s">
        <v>1407</v>
      </c>
      <c r="U3171">
        <v>0</v>
      </c>
      <c r="V3171">
        <v>0</v>
      </c>
      <c r="W3171">
        <v>13.1281964</v>
      </c>
      <c r="X3171">
        <v>32.235783999999995</v>
      </c>
      <c r="Y3171">
        <v>24.980235999999998</v>
      </c>
      <c r="Z3171">
        <v>49.414670799999996</v>
      </c>
      <c r="AA3171">
        <v>0</v>
      </c>
      <c r="AB3171">
        <v>1</v>
      </c>
      <c r="AC3171" t="s">
        <v>1408</v>
      </c>
      <c r="AD3171">
        <v>0</v>
      </c>
      <c r="AE3171" t="s">
        <v>1388</v>
      </c>
      <c r="AF3171">
        <v>140003000</v>
      </c>
      <c r="AG3171" t="s">
        <v>310</v>
      </c>
      <c r="AH3171">
        <f>SUM((MID(Dyno_Data[[#This Row],[Team]],4,5))+(Dyno_Data[[#This Row],[Match]]/100))</f>
        <v>1796.58</v>
      </c>
      <c r="AI3171" s="76">
        <f>ROUND(SUM(IF(Dyno_Data[[#This Row],[AcqCenter]]&gt;0,Dyno_Data[[#This Row],[Time]]-SUMIFS(Dyno_Data[Time],Dyno_Data[Team],Dyno_Data[[#This Row],[Team]],Dyno_Data[RecordType],"StartMatch",Dyno_Data[Match],Dyno_Data[[#This Row],[Match]]),0)*86400),0)</f>
        <v>0</v>
      </c>
    </row>
    <row r="3172" spans="1:35" x14ac:dyDescent="0.3">
      <c r="A3172">
        <v>3171</v>
      </c>
      <c r="B3172" t="s">
        <v>1308</v>
      </c>
      <c r="C3172">
        <v>58</v>
      </c>
      <c r="D3172" s="105">
        <v>45374.380187581017</v>
      </c>
      <c r="E3172" t="s">
        <v>316</v>
      </c>
      <c r="F3172" t="s">
        <v>317</v>
      </c>
      <c r="G3172">
        <v>1</v>
      </c>
      <c r="H3172" t="s">
        <v>310</v>
      </c>
      <c r="I3172">
        <v>0</v>
      </c>
      <c r="J3172">
        <v>0</v>
      </c>
      <c r="K3172">
        <v>0</v>
      </c>
      <c r="L3172" t="s">
        <v>310</v>
      </c>
      <c r="M3172" t="s">
        <v>310</v>
      </c>
      <c r="N3172">
        <v>0</v>
      </c>
      <c r="O3172" t="s">
        <v>1391</v>
      </c>
      <c r="P3172" t="s">
        <v>1401</v>
      </c>
      <c r="Q3172" t="s">
        <v>1400</v>
      </c>
      <c r="R3172" t="s">
        <v>1405</v>
      </c>
      <c r="S3172">
        <v>1</v>
      </c>
      <c r="T3172" t="s">
        <v>1406</v>
      </c>
      <c r="U3172">
        <v>0</v>
      </c>
      <c r="V3172">
        <v>0</v>
      </c>
      <c r="W3172">
        <v>7.0943575000000001</v>
      </c>
      <c r="X3172">
        <v>38.656035299999999</v>
      </c>
      <c r="Y3172">
        <v>33.141525000000001</v>
      </c>
      <c r="Z3172">
        <v>52.575509999999994</v>
      </c>
      <c r="AA3172">
        <v>0</v>
      </c>
      <c r="AB3172">
        <v>0</v>
      </c>
      <c r="AC3172" t="s">
        <v>174</v>
      </c>
      <c r="AD3172">
        <v>9</v>
      </c>
      <c r="AE3172" t="s">
        <v>1394</v>
      </c>
      <c r="AF3172">
        <v>80000000</v>
      </c>
      <c r="AG3172" t="s">
        <v>310</v>
      </c>
      <c r="AH3172">
        <f>SUM((MID(Dyno_Data[[#This Row],[Team]],4,5))+(Dyno_Data[[#This Row],[Match]]/100))</f>
        <v>3799.58</v>
      </c>
      <c r="AI3172" s="76">
        <f>ROUND(SUM(IF(Dyno_Data[[#This Row],[AcqCenter]]&gt;0,Dyno_Data[[#This Row],[Time]]-SUMIFS(Dyno_Data[Time],Dyno_Data[Team],Dyno_Data[[#This Row],[Team]],Dyno_Data[RecordType],"StartMatch",Dyno_Data[Match],Dyno_Data[[#This Row],[Match]]),0)*86400),0)</f>
        <v>0</v>
      </c>
    </row>
    <row r="3173" spans="1:35" x14ac:dyDescent="0.3">
      <c r="A3173">
        <v>3172</v>
      </c>
      <c r="B3173" t="s">
        <v>318</v>
      </c>
      <c r="C3173">
        <v>58</v>
      </c>
      <c r="D3173" s="105">
        <v>45374.380187731484</v>
      </c>
      <c r="E3173" t="s">
        <v>316</v>
      </c>
      <c r="F3173" t="s">
        <v>317</v>
      </c>
      <c r="G3173">
        <v>0</v>
      </c>
      <c r="H3173" t="s">
        <v>310</v>
      </c>
      <c r="I3173">
        <v>0</v>
      </c>
      <c r="J3173">
        <v>0</v>
      </c>
      <c r="K3173">
        <v>0</v>
      </c>
      <c r="L3173" t="s">
        <v>310</v>
      </c>
      <c r="M3173" t="s">
        <v>310</v>
      </c>
      <c r="N3173">
        <v>0</v>
      </c>
      <c r="O3173" t="s">
        <v>319</v>
      </c>
      <c r="P3173" t="s">
        <v>101</v>
      </c>
      <c r="Q3173" t="s">
        <v>1400</v>
      </c>
      <c r="R3173" t="s">
        <v>1404</v>
      </c>
      <c r="S3173">
        <v>-1</v>
      </c>
      <c r="T3173" t="s">
        <v>105</v>
      </c>
      <c r="U3173">
        <v>9</v>
      </c>
      <c r="V3173">
        <v>9</v>
      </c>
      <c r="W3173">
        <v>14.004151199999999</v>
      </c>
      <c r="X3173">
        <v>34.501123399999997</v>
      </c>
      <c r="Y3173">
        <v>25.0187439</v>
      </c>
      <c r="Z3173">
        <v>56.750688599999997</v>
      </c>
      <c r="AA3173">
        <v>0</v>
      </c>
      <c r="AB3173">
        <v>0</v>
      </c>
      <c r="AC3173" t="s">
        <v>174</v>
      </c>
      <c r="AD3173">
        <v>9</v>
      </c>
      <c r="AE3173" t="s">
        <v>1390</v>
      </c>
      <c r="AF3173">
        <v>70000000</v>
      </c>
      <c r="AG3173" t="s">
        <v>310</v>
      </c>
      <c r="AH3173">
        <f>SUM((MID(Dyno_Data[[#This Row],[Team]],4,5))+(Dyno_Data[[#This Row],[Match]]/100))</f>
        <v>639.58000000000004</v>
      </c>
      <c r="AI3173" s="76">
        <f>ROUND(SUM(IF(Dyno_Data[[#This Row],[AcqCenter]]&gt;0,Dyno_Data[[#This Row],[Time]]-SUMIFS(Dyno_Data[Time],Dyno_Data[Team],Dyno_Data[[#This Row],[Team]],Dyno_Data[RecordType],"StartMatch",Dyno_Data[Match],Dyno_Data[[#This Row],[Match]]),0)*86400),0)</f>
        <v>0</v>
      </c>
    </row>
    <row r="3174" spans="1:35" x14ac:dyDescent="0.3">
      <c r="A3174">
        <v>3173</v>
      </c>
      <c r="B3174" t="s">
        <v>1300</v>
      </c>
      <c r="C3174">
        <v>58</v>
      </c>
      <c r="D3174" s="105">
        <v>45374.380187731484</v>
      </c>
      <c r="E3174" t="s">
        <v>316</v>
      </c>
      <c r="F3174" t="s">
        <v>317</v>
      </c>
      <c r="G3174">
        <v>1</v>
      </c>
      <c r="H3174" t="s">
        <v>310</v>
      </c>
      <c r="I3174">
        <v>0</v>
      </c>
      <c r="J3174">
        <v>0</v>
      </c>
      <c r="K3174">
        <v>0</v>
      </c>
      <c r="L3174" t="s">
        <v>310</v>
      </c>
      <c r="M3174" t="s">
        <v>310</v>
      </c>
      <c r="N3174">
        <v>0</v>
      </c>
      <c r="O3174" t="s">
        <v>1393</v>
      </c>
      <c r="P3174" t="s">
        <v>1401</v>
      </c>
      <c r="Q3174" t="s">
        <v>1400</v>
      </c>
      <c r="R3174" t="s">
        <v>1405</v>
      </c>
      <c r="S3174">
        <v>1</v>
      </c>
      <c r="T3174" t="s">
        <v>1407</v>
      </c>
      <c r="U3174">
        <v>0</v>
      </c>
      <c r="V3174">
        <v>0</v>
      </c>
      <c r="W3174">
        <v>14.996260099999999</v>
      </c>
      <c r="X3174">
        <v>26.650759399999998</v>
      </c>
      <c r="Y3174">
        <v>12.807680899999999</v>
      </c>
      <c r="Z3174">
        <v>76.799261700000002</v>
      </c>
      <c r="AA3174">
        <v>0</v>
      </c>
      <c r="AB3174">
        <v>0</v>
      </c>
      <c r="AC3174" t="s">
        <v>173</v>
      </c>
      <c r="AD3174">
        <v>9</v>
      </c>
      <c r="AE3174" t="s">
        <v>1392</v>
      </c>
      <c r="AF3174">
        <v>90000000</v>
      </c>
      <c r="AG3174" t="s">
        <v>310</v>
      </c>
      <c r="AH3174">
        <f>SUM((MID(Dyno_Data[[#This Row],[Team]],4,5))+(Dyno_Data[[#This Row],[Match]]/100))</f>
        <v>3044.58</v>
      </c>
      <c r="AI3174" s="76">
        <f>ROUND(SUM(IF(Dyno_Data[[#This Row],[AcqCenter]]&gt;0,Dyno_Data[[#This Row],[Time]]-SUMIFS(Dyno_Data[Time],Dyno_Data[Team],Dyno_Data[[#This Row],[Team]],Dyno_Data[RecordType],"StartMatch",Dyno_Data[Match],Dyno_Data[[#This Row],[Match]]),0)*86400),0)</f>
        <v>0</v>
      </c>
    </row>
    <row r="3175" spans="1:35" x14ac:dyDescent="0.3">
      <c r="A3175">
        <v>3174</v>
      </c>
      <c r="B3175" t="s">
        <v>1315</v>
      </c>
      <c r="C3175">
        <v>58</v>
      </c>
      <c r="D3175" s="105">
        <v>45374.38018792824</v>
      </c>
      <c r="E3175" t="s">
        <v>316</v>
      </c>
      <c r="F3175" t="s">
        <v>317</v>
      </c>
      <c r="G3175">
        <v>1</v>
      </c>
      <c r="H3175" t="s">
        <v>310</v>
      </c>
      <c r="I3175">
        <v>0</v>
      </c>
      <c r="J3175">
        <v>0</v>
      </c>
      <c r="K3175">
        <v>0</v>
      </c>
      <c r="L3175" t="s">
        <v>310</v>
      </c>
      <c r="M3175" t="s">
        <v>310</v>
      </c>
      <c r="N3175">
        <v>0</v>
      </c>
      <c r="O3175" t="s">
        <v>1389</v>
      </c>
      <c r="P3175" t="s">
        <v>101</v>
      </c>
      <c r="Q3175" t="s">
        <v>1399</v>
      </c>
      <c r="R3175" t="s">
        <v>321</v>
      </c>
      <c r="S3175">
        <v>0</v>
      </c>
      <c r="T3175" t="s">
        <v>105</v>
      </c>
      <c r="U3175">
        <v>9</v>
      </c>
      <c r="V3175">
        <v>9</v>
      </c>
      <c r="W3175">
        <v>0</v>
      </c>
      <c r="X3175">
        <v>0</v>
      </c>
      <c r="Y3175">
        <v>0.38510839999999996</v>
      </c>
      <c r="Z3175">
        <v>138.57851890000001</v>
      </c>
      <c r="AA3175">
        <v>0</v>
      </c>
      <c r="AB3175">
        <v>0</v>
      </c>
      <c r="AC3175" t="s">
        <v>167</v>
      </c>
      <c r="AD3175">
        <v>1</v>
      </c>
      <c r="AE3175" t="s">
        <v>1387</v>
      </c>
      <c r="AF3175">
        <v>10000000</v>
      </c>
      <c r="AG3175" t="s">
        <v>310</v>
      </c>
      <c r="AH3175">
        <f>SUM((MID(Dyno_Data[[#This Row],[Team]],4,5))+(Dyno_Data[[#This Row],[Match]]/100))</f>
        <v>1511.58</v>
      </c>
      <c r="AI3175" s="76">
        <f>ROUND(SUM(IF(Dyno_Data[[#This Row],[AcqCenter]]&gt;0,Dyno_Data[[#This Row],[Time]]-SUMIFS(Dyno_Data[Time],Dyno_Data[Team],Dyno_Data[[#This Row],[Team]],Dyno_Data[RecordType],"StartMatch",Dyno_Data[Match],Dyno_Data[[#This Row],[Match]]),0)*86400),0)</f>
        <v>0</v>
      </c>
    </row>
    <row r="3176" spans="1:35" x14ac:dyDescent="0.3">
      <c r="A3176">
        <v>3175</v>
      </c>
      <c r="B3176" t="s">
        <v>1278</v>
      </c>
      <c r="C3176">
        <v>58</v>
      </c>
      <c r="D3176" s="105">
        <v>45374.38018792824</v>
      </c>
      <c r="E3176" t="s">
        <v>316</v>
      </c>
      <c r="F3176" t="s">
        <v>317</v>
      </c>
      <c r="G3176">
        <v>1</v>
      </c>
      <c r="H3176" t="s">
        <v>310</v>
      </c>
      <c r="I3176">
        <v>0</v>
      </c>
      <c r="J3176">
        <v>0</v>
      </c>
      <c r="K3176">
        <v>0</v>
      </c>
      <c r="L3176" t="s">
        <v>310</v>
      </c>
      <c r="M3176" t="s">
        <v>310</v>
      </c>
      <c r="N3176">
        <v>0</v>
      </c>
      <c r="O3176" t="s">
        <v>1395</v>
      </c>
      <c r="P3176" t="s">
        <v>240</v>
      </c>
      <c r="Q3176" t="s">
        <v>1400</v>
      </c>
      <c r="R3176" t="s">
        <v>1405</v>
      </c>
      <c r="S3176">
        <v>1</v>
      </c>
      <c r="T3176" t="s">
        <v>1406</v>
      </c>
      <c r="U3176">
        <v>0</v>
      </c>
      <c r="V3176">
        <v>0</v>
      </c>
      <c r="W3176">
        <v>4.7620125999999994</v>
      </c>
      <c r="X3176">
        <v>20.011029300000001</v>
      </c>
      <c r="Y3176">
        <v>11.864922199999999</v>
      </c>
      <c r="Z3176">
        <v>91.44412109999999</v>
      </c>
      <c r="AA3176">
        <v>0</v>
      </c>
      <c r="AB3176">
        <v>0</v>
      </c>
      <c r="AC3176" t="s">
        <v>174</v>
      </c>
      <c r="AD3176">
        <v>9</v>
      </c>
      <c r="AE3176" t="s">
        <v>1396</v>
      </c>
      <c r="AF3176">
        <v>30000000</v>
      </c>
      <c r="AG3176" t="s">
        <v>310</v>
      </c>
      <c r="AH3176">
        <f>SUM((MID(Dyno_Data[[#This Row],[Team]],4,5))+(Dyno_Data[[#This Row],[Match]]/100))</f>
        <v>3951.58</v>
      </c>
      <c r="AI3176" s="76">
        <f>ROUND(SUM(IF(Dyno_Data[[#This Row],[AcqCenter]]&gt;0,Dyno_Data[[#This Row],[Time]]-SUMIFS(Dyno_Data[Time],Dyno_Data[Team],Dyno_Data[[#This Row],[Team]],Dyno_Data[RecordType],"StartMatch",Dyno_Data[Match],Dyno_Data[[#This Row],[Match]]),0)*86400),0)</f>
        <v>0</v>
      </c>
    </row>
    <row r="3177" spans="1:35" x14ac:dyDescent="0.3">
      <c r="A3177">
        <v>3185</v>
      </c>
      <c r="B3177" t="s">
        <v>1275</v>
      </c>
      <c r="C3177">
        <v>59</v>
      </c>
      <c r="D3177" s="105">
        <v>45374.38304429398</v>
      </c>
      <c r="E3177" t="s">
        <v>308</v>
      </c>
      <c r="F3177" t="s">
        <v>309</v>
      </c>
      <c r="G3177">
        <v>0</v>
      </c>
      <c r="H3177" t="s">
        <v>310</v>
      </c>
      <c r="I3177">
        <v>0</v>
      </c>
      <c r="J3177">
        <v>0</v>
      </c>
      <c r="K3177">
        <v>0</v>
      </c>
      <c r="L3177" t="s">
        <v>310</v>
      </c>
      <c r="M3177" t="s">
        <v>310</v>
      </c>
      <c r="N3177">
        <v>0</v>
      </c>
      <c r="O3177" t="s">
        <v>1389</v>
      </c>
      <c r="P3177" t="s">
        <v>310</v>
      </c>
      <c r="Q3177" t="s">
        <v>310</v>
      </c>
      <c r="R3177" t="s">
        <v>310</v>
      </c>
      <c r="S3177">
        <v>9</v>
      </c>
      <c r="T3177" t="s">
        <v>310</v>
      </c>
      <c r="U3177">
        <v>9</v>
      </c>
      <c r="V3177">
        <v>9</v>
      </c>
      <c r="W3177">
        <v>0</v>
      </c>
      <c r="X3177">
        <v>0</v>
      </c>
      <c r="Y3177">
        <v>0</v>
      </c>
      <c r="Z3177">
        <v>0</v>
      </c>
      <c r="AA3177">
        <v>9</v>
      </c>
      <c r="AB3177">
        <v>9</v>
      </c>
      <c r="AC3177" t="s">
        <v>310</v>
      </c>
      <c r="AD3177">
        <v>9</v>
      </c>
      <c r="AE3177" t="s">
        <v>1387</v>
      </c>
      <c r="AF3177">
        <v>0</v>
      </c>
      <c r="AG3177" t="s">
        <v>310</v>
      </c>
      <c r="AH3177">
        <f>SUM((MID(Dyno_Data[[#This Row],[Team]],4,5))+(Dyno_Data[[#This Row],[Match]]/100))</f>
        <v>1880.59</v>
      </c>
      <c r="AI3177" s="76">
        <f>ROUND(SUM(IF(Dyno_Data[[#This Row],[AcqCenter]]&gt;0,Dyno_Data[[#This Row],[Time]]-SUMIFS(Dyno_Data[Time],Dyno_Data[Team],Dyno_Data[[#This Row],[Team]],Dyno_Data[RecordType],"StartMatch",Dyno_Data[Match],Dyno_Data[[#This Row],[Match]]),0)*86400),0)</f>
        <v>0</v>
      </c>
    </row>
    <row r="3178" spans="1:35" x14ac:dyDescent="0.3">
      <c r="A3178">
        <v>3187</v>
      </c>
      <c r="B3178" t="s">
        <v>1296</v>
      </c>
      <c r="C3178">
        <v>59</v>
      </c>
      <c r="D3178" s="105">
        <v>45374.383045601855</v>
      </c>
      <c r="E3178" t="s">
        <v>308</v>
      </c>
      <c r="F3178" t="s">
        <v>309</v>
      </c>
      <c r="G3178">
        <v>0</v>
      </c>
      <c r="H3178" t="s">
        <v>310</v>
      </c>
      <c r="I3178">
        <v>0</v>
      </c>
      <c r="J3178">
        <v>0</v>
      </c>
      <c r="K3178">
        <v>0</v>
      </c>
      <c r="L3178" t="s">
        <v>310</v>
      </c>
      <c r="M3178" t="s">
        <v>310</v>
      </c>
      <c r="N3178">
        <v>0</v>
      </c>
      <c r="O3178" t="s">
        <v>1393</v>
      </c>
      <c r="P3178" t="s">
        <v>310</v>
      </c>
      <c r="Q3178" t="s">
        <v>310</v>
      </c>
      <c r="R3178" t="s">
        <v>310</v>
      </c>
      <c r="S3178">
        <v>9</v>
      </c>
      <c r="T3178" t="s">
        <v>310</v>
      </c>
      <c r="U3178">
        <v>9</v>
      </c>
      <c r="V3178">
        <v>9</v>
      </c>
      <c r="W3178">
        <v>0</v>
      </c>
      <c r="X3178">
        <v>0</v>
      </c>
      <c r="Y3178">
        <v>0</v>
      </c>
      <c r="Z3178">
        <v>0</v>
      </c>
      <c r="AA3178">
        <v>9</v>
      </c>
      <c r="AB3178">
        <v>9</v>
      </c>
      <c r="AC3178" t="s">
        <v>310</v>
      </c>
      <c r="AD3178">
        <v>9</v>
      </c>
      <c r="AE3178" t="s">
        <v>1388</v>
      </c>
      <c r="AF3178">
        <v>0</v>
      </c>
      <c r="AG3178" t="s">
        <v>310</v>
      </c>
      <c r="AH3178">
        <f>SUM((MID(Dyno_Data[[#This Row],[Team]],4,5))+(Dyno_Data[[#This Row],[Match]]/100))</f>
        <v>3003.59</v>
      </c>
      <c r="AI3178" s="76">
        <f>ROUND(SUM(IF(Dyno_Data[[#This Row],[AcqCenter]]&gt;0,Dyno_Data[[#This Row],[Time]]-SUMIFS(Dyno_Data[Time],Dyno_Data[Team],Dyno_Data[[#This Row],[Team]],Dyno_Data[RecordType],"StartMatch",Dyno_Data[Match],Dyno_Data[[#This Row],[Match]]),0)*86400),0)</f>
        <v>0</v>
      </c>
    </row>
    <row r="3179" spans="1:35" x14ac:dyDescent="0.3">
      <c r="A3179">
        <v>3189</v>
      </c>
      <c r="B3179" t="s">
        <v>1292</v>
      </c>
      <c r="C3179">
        <v>59</v>
      </c>
      <c r="D3179" s="105">
        <v>45374.383047025462</v>
      </c>
      <c r="E3179" t="s">
        <v>308</v>
      </c>
      <c r="F3179" t="s">
        <v>309</v>
      </c>
      <c r="G3179">
        <v>0</v>
      </c>
      <c r="H3179" t="s">
        <v>310</v>
      </c>
      <c r="I3179">
        <v>0</v>
      </c>
      <c r="J3179">
        <v>0</v>
      </c>
      <c r="K3179">
        <v>0</v>
      </c>
      <c r="L3179" t="s">
        <v>310</v>
      </c>
      <c r="M3179" t="s">
        <v>310</v>
      </c>
      <c r="N3179">
        <v>0</v>
      </c>
      <c r="O3179" t="s">
        <v>311</v>
      </c>
      <c r="P3179" t="s">
        <v>310</v>
      </c>
      <c r="Q3179" t="s">
        <v>310</v>
      </c>
      <c r="R3179" t="s">
        <v>310</v>
      </c>
      <c r="S3179">
        <v>9</v>
      </c>
      <c r="T3179" t="s">
        <v>310</v>
      </c>
      <c r="U3179">
        <v>9</v>
      </c>
      <c r="V3179">
        <v>9</v>
      </c>
      <c r="W3179">
        <v>0</v>
      </c>
      <c r="X3179">
        <v>0</v>
      </c>
      <c r="Y3179">
        <v>0</v>
      </c>
      <c r="Z3179">
        <v>0</v>
      </c>
      <c r="AA3179">
        <v>9</v>
      </c>
      <c r="AB3179">
        <v>9</v>
      </c>
      <c r="AC3179" t="s">
        <v>310</v>
      </c>
      <c r="AD3179">
        <v>9</v>
      </c>
      <c r="AE3179" t="s">
        <v>1392</v>
      </c>
      <c r="AF3179">
        <v>0</v>
      </c>
      <c r="AG3179" t="s">
        <v>310</v>
      </c>
      <c r="AH3179">
        <f>SUM((MID(Dyno_Data[[#This Row],[Team]],4,5))+(Dyno_Data[[#This Row],[Match]]/100))</f>
        <v>7030.59</v>
      </c>
      <c r="AI3179" s="76">
        <f>ROUND(SUM(IF(Dyno_Data[[#This Row],[AcqCenter]]&gt;0,Dyno_Data[[#This Row],[Time]]-SUMIFS(Dyno_Data[Time],Dyno_Data[Team],Dyno_Data[[#This Row],[Team]],Dyno_Data[RecordType],"StartMatch",Dyno_Data[Match],Dyno_Data[[#This Row],[Match]]),0)*86400),0)</f>
        <v>0</v>
      </c>
    </row>
    <row r="3180" spans="1:35" x14ac:dyDescent="0.3">
      <c r="A3180">
        <v>3191</v>
      </c>
      <c r="B3180" t="s">
        <v>1318</v>
      </c>
      <c r="C3180">
        <v>59</v>
      </c>
      <c r="D3180" s="105">
        <v>45374.383047766205</v>
      </c>
      <c r="E3180" t="s">
        <v>308</v>
      </c>
      <c r="F3180" t="s">
        <v>309</v>
      </c>
      <c r="G3180">
        <v>0</v>
      </c>
      <c r="H3180" t="s">
        <v>310</v>
      </c>
      <c r="I3180">
        <v>0</v>
      </c>
      <c r="J3180">
        <v>0</v>
      </c>
      <c r="K3180">
        <v>0</v>
      </c>
      <c r="L3180" t="s">
        <v>310</v>
      </c>
      <c r="M3180" t="s">
        <v>310</v>
      </c>
      <c r="N3180">
        <v>0</v>
      </c>
      <c r="O3180" t="s">
        <v>1391</v>
      </c>
      <c r="P3180" t="s">
        <v>310</v>
      </c>
      <c r="Q3180" t="s">
        <v>310</v>
      </c>
      <c r="R3180" t="s">
        <v>310</v>
      </c>
      <c r="S3180">
        <v>9</v>
      </c>
      <c r="T3180" t="s">
        <v>310</v>
      </c>
      <c r="U3180">
        <v>9</v>
      </c>
      <c r="V3180">
        <v>9</v>
      </c>
      <c r="W3180">
        <v>0</v>
      </c>
      <c r="X3180">
        <v>0</v>
      </c>
      <c r="Y3180">
        <v>0</v>
      </c>
      <c r="Z3180">
        <v>0</v>
      </c>
      <c r="AA3180">
        <v>9</v>
      </c>
      <c r="AB3180">
        <v>9</v>
      </c>
      <c r="AC3180" t="s">
        <v>310</v>
      </c>
      <c r="AD3180">
        <v>9</v>
      </c>
      <c r="AE3180" t="s">
        <v>1394</v>
      </c>
      <c r="AF3180">
        <v>0</v>
      </c>
      <c r="AG3180" t="s">
        <v>310</v>
      </c>
      <c r="AH3180">
        <f>SUM((MID(Dyno_Data[[#This Row],[Team]],4,5))+(Dyno_Data[[#This Row],[Match]]/100))</f>
        <v>7709.59</v>
      </c>
      <c r="AI3180" s="76">
        <f>ROUND(SUM(IF(Dyno_Data[[#This Row],[AcqCenter]]&gt;0,Dyno_Data[[#This Row],[Time]]-SUMIFS(Dyno_Data[Time],Dyno_Data[Team],Dyno_Data[[#This Row],[Team]],Dyno_Data[RecordType],"StartMatch",Dyno_Data[Match],Dyno_Data[[#This Row],[Match]]),0)*86400),0)</f>
        <v>0</v>
      </c>
    </row>
    <row r="3181" spans="1:35" x14ac:dyDescent="0.3">
      <c r="A3181">
        <v>3193</v>
      </c>
      <c r="B3181" t="s">
        <v>368</v>
      </c>
      <c r="C3181">
        <v>59</v>
      </c>
      <c r="D3181" s="105">
        <v>45374.383047766205</v>
      </c>
      <c r="E3181" t="s">
        <v>308</v>
      </c>
      <c r="F3181" t="s">
        <v>309</v>
      </c>
      <c r="G3181">
        <v>0</v>
      </c>
      <c r="H3181" t="s">
        <v>310</v>
      </c>
      <c r="I3181">
        <v>0</v>
      </c>
      <c r="J3181">
        <v>0</v>
      </c>
      <c r="K3181">
        <v>0</v>
      </c>
      <c r="L3181" t="s">
        <v>310</v>
      </c>
      <c r="M3181" t="s">
        <v>310</v>
      </c>
      <c r="N3181">
        <v>0</v>
      </c>
      <c r="O3181" t="s">
        <v>1395</v>
      </c>
      <c r="P3181" t="s">
        <v>310</v>
      </c>
      <c r="Q3181" t="s">
        <v>310</v>
      </c>
      <c r="R3181" t="s">
        <v>310</v>
      </c>
      <c r="S3181">
        <v>9</v>
      </c>
      <c r="T3181" t="s">
        <v>310</v>
      </c>
      <c r="U3181">
        <v>9</v>
      </c>
      <c r="V3181">
        <v>9</v>
      </c>
      <c r="W3181">
        <v>0</v>
      </c>
      <c r="X3181">
        <v>0</v>
      </c>
      <c r="Y3181">
        <v>0</v>
      </c>
      <c r="Z3181">
        <v>0</v>
      </c>
      <c r="AA3181">
        <v>9</v>
      </c>
      <c r="AB3181">
        <v>9</v>
      </c>
      <c r="AC3181" t="s">
        <v>310</v>
      </c>
      <c r="AD3181">
        <v>9</v>
      </c>
      <c r="AE3181" t="s">
        <v>1396</v>
      </c>
      <c r="AF3181">
        <v>0</v>
      </c>
      <c r="AG3181" t="s">
        <v>310</v>
      </c>
      <c r="AH3181">
        <f>SUM((MID(Dyno_Data[[#This Row],[Team]],4,5))+(Dyno_Data[[#This Row],[Match]]/100))</f>
        <v>6401.59</v>
      </c>
      <c r="AI3181" s="76">
        <f>ROUND(SUM(IF(Dyno_Data[[#This Row],[AcqCenter]]&gt;0,Dyno_Data[[#This Row],[Time]]-SUMIFS(Dyno_Data[Time],Dyno_Data[Team],Dyno_Data[[#This Row],[Team]],Dyno_Data[RecordType],"StartMatch",Dyno_Data[Match],Dyno_Data[[#This Row],[Match]]),0)*86400),0)</f>
        <v>0</v>
      </c>
    </row>
    <row r="3182" spans="1:35" x14ac:dyDescent="0.3">
      <c r="A3182">
        <v>3195</v>
      </c>
      <c r="B3182" t="s">
        <v>372</v>
      </c>
      <c r="C3182">
        <v>59</v>
      </c>
      <c r="D3182" s="105">
        <v>45374.383059340274</v>
      </c>
      <c r="E3182" t="s">
        <v>308</v>
      </c>
      <c r="F3182" t="s">
        <v>309</v>
      </c>
      <c r="G3182">
        <v>0</v>
      </c>
      <c r="H3182" t="s">
        <v>310</v>
      </c>
      <c r="I3182">
        <v>0</v>
      </c>
      <c r="J3182">
        <v>0</v>
      </c>
      <c r="K3182">
        <v>0</v>
      </c>
      <c r="L3182" t="s">
        <v>310</v>
      </c>
      <c r="M3182" t="s">
        <v>310</v>
      </c>
      <c r="N3182">
        <v>0</v>
      </c>
      <c r="O3182" t="s">
        <v>319</v>
      </c>
      <c r="P3182" t="s">
        <v>310</v>
      </c>
      <c r="Q3182" t="s">
        <v>310</v>
      </c>
      <c r="R3182" t="s">
        <v>310</v>
      </c>
      <c r="S3182">
        <v>9</v>
      </c>
      <c r="T3182" t="s">
        <v>310</v>
      </c>
      <c r="U3182">
        <v>9</v>
      </c>
      <c r="V3182">
        <v>9</v>
      </c>
      <c r="W3182">
        <v>0</v>
      </c>
      <c r="X3182">
        <v>0</v>
      </c>
      <c r="Y3182">
        <v>0</v>
      </c>
      <c r="Z3182">
        <v>0</v>
      </c>
      <c r="AA3182">
        <v>9</v>
      </c>
      <c r="AB3182">
        <v>9</v>
      </c>
      <c r="AC3182" t="s">
        <v>310</v>
      </c>
      <c r="AD3182">
        <v>9</v>
      </c>
      <c r="AE3182" t="s">
        <v>1390</v>
      </c>
      <c r="AF3182">
        <v>30000000</v>
      </c>
      <c r="AG3182" t="s">
        <v>310</v>
      </c>
      <c r="AH3182">
        <f>SUM((MID(Dyno_Data[[#This Row],[Team]],4,5))+(Dyno_Data[[#This Row],[Match]]/100))</f>
        <v>7504.59</v>
      </c>
      <c r="AI3182" s="76">
        <f>ROUND(SUM(IF(Dyno_Data[[#This Row],[AcqCenter]]&gt;0,Dyno_Data[[#This Row],[Time]]-SUMIFS(Dyno_Data[Time],Dyno_Data[Team],Dyno_Data[[#This Row],[Team]],Dyno_Data[RecordType],"StartMatch",Dyno_Data[Match],Dyno_Data[[#This Row],[Match]]),0)*86400),0)</f>
        <v>0</v>
      </c>
    </row>
    <row r="3183" spans="1:35" x14ac:dyDescent="0.3">
      <c r="A3183">
        <v>3176</v>
      </c>
      <c r="B3183" t="s">
        <v>1292</v>
      </c>
      <c r="C3183">
        <v>59</v>
      </c>
      <c r="D3183" s="105">
        <v>45374.383062152781</v>
      </c>
      <c r="E3183" t="s">
        <v>312</v>
      </c>
      <c r="F3183" t="s">
        <v>309</v>
      </c>
      <c r="G3183">
        <v>0</v>
      </c>
      <c r="H3183" t="s">
        <v>1397</v>
      </c>
      <c r="I3183">
        <v>0</v>
      </c>
      <c r="J3183">
        <v>0</v>
      </c>
      <c r="K3183">
        <v>0</v>
      </c>
      <c r="L3183" t="s">
        <v>240</v>
      </c>
      <c r="M3183" t="s">
        <v>1398</v>
      </c>
      <c r="N3183">
        <v>1</v>
      </c>
      <c r="O3183" t="s">
        <v>311</v>
      </c>
      <c r="P3183" t="s">
        <v>310</v>
      </c>
      <c r="Q3183" t="s">
        <v>310</v>
      </c>
      <c r="R3183" t="s">
        <v>310</v>
      </c>
      <c r="S3183">
        <v>9</v>
      </c>
      <c r="T3183" t="s">
        <v>310</v>
      </c>
      <c r="U3183">
        <v>9</v>
      </c>
      <c r="V3183">
        <v>9</v>
      </c>
      <c r="W3183">
        <v>0</v>
      </c>
      <c r="X3183">
        <v>0</v>
      </c>
      <c r="Y3183">
        <v>0</v>
      </c>
      <c r="Z3183">
        <v>0</v>
      </c>
      <c r="AA3183">
        <v>9</v>
      </c>
      <c r="AB3183">
        <v>9</v>
      </c>
      <c r="AC3183" t="s">
        <v>310</v>
      </c>
      <c r="AD3183">
        <v>9</v>
      </c>
      <c r="AE3183" t="s">
        <v>1392</v>
      </c>
      <c r="AF3183">
        <v>0</v>
      </c>
      <c r="AG3183" t="s">
        <v>310</v>
      </c>
      <c r="AH3183">
        <f>SUM((MID(Dyno_Data[[#This Row],[Team]],4,5))+(Dyno_Data[[#This Row],[Match]]/100))</f>
        <v>7030.59</v>
      </c>
      <c r="AI3183" s="76">
        <f>ROUND(SUM(IF(Dyno_Data[[#This Row],[AcqCenter]]&gt;0,Dyno_Data[[#This Row],[Time]]-SUMIFS(Dyno_Data[Time],Dyno_Data[Team],Dyno_Data[[#This Row],[Team]],Dyno_Data[RecordType],"StartMatch",Dyno_Data[Match],Dyno_Data[[#This Row],[Match]]),0)*86400),0)</f>
        <v>0</v>
      </c>
    </row>
    <row r="3184" spans="1:35" x14ac:dyDescent="0.3">
      <c r="A3184">
        <v>3177</v>
      </c>
      <c r="B3184" t="s">
        <v>372</v>
      </c>
      <c r="C3184">
        <v>59</v>
      </c>
      <c r="D3184" s="105">
        <v>45374.383062349538</v>
      </c>
      <c r="E3184" t="s">
        <v>312</v>
      </c>
      <c r="F3184" t="s">
        <v>309</v>
      </c>
      <c r="G3184">
        <v>0</v>
      </c>
      <c r="H3184" t="s">
        <v>1397</v>
      </c>
      <c r="I3184">
        <v>0</v>
      </c>
      <c r="J3184">
        <v>0</v>
      </c>
      <c r="K3184">
        <v>0</v>
      </c>
      <c r="L3184" t="s">
        <v>240</v>
      </c>
      <c r="M3184" t="s">
        <v>1398</v>
      </c>
      <c r="N3184">
        <v>0</v>
      </c>
      <c r="O3184" t="s">
        <v>319</v>
      </c>
      <c r="P3184" t="s">
        <v>310</v>
      </c>
      <c r="Q3184" t="s">
        <v>310</v>
      </c>
      <c r="R3184" t="s">
        <v>310</v>
      </c>
      <c r="S3184">
        <v>9</v>
      </c>
      <c r="T3184" t="s">
        <v>310</v>
      </c>
      <c r="U3184">
        <v>9</v>
      </c>
      <c r="V3184">
        <v>9</v>
      </c>
      <c r="W3184">
        <v>0</v>
      </c>
      <c r="X3184">
        <v>0</v>
      </c>
      <c r="Y3184">
        <v>0</v>
      </c>
      <c r="Z3184">
        <v>0</v>
      </c>
      <c r="AA3184">
        <v>9</v>
      </c>
      <c r="AB3184">
        <v>9</v>
      </c>
      <c r="AC3184" t="s">
        <v>310</v>
      </c>
      <c r="AD3184">
        <v>9</v>
      </c>
      <c r="AE3184" t="s">
        <v>1390</v>
      </c>
      <c r="AF3184">
        <v>0</v>
      </c>
      <c r="AG3184" t="s">
        <v>310</v>
      </c>
      <c r="AH3184">
        <f>SUM((MID(Dyno_Data[[#This Row],[Team]],4,5))+(Dyno_Data[[#This Row],[Match]]/100))</f>
        <v>7504.59</v>
      </c>
      <c r="AI3184" s="76">
        <f>ROUND(SUM(IF(Dyno_Data[[#This Row],[AcqCenter]]&gt;0,Dyno_Data[[#This Row],[Time]]-SUMIFS(Dyno_Data[Time],Dyno_Data[Team],Dyno_Data[[#This Row],[Team]],Dyno_Data[RecordType],"StartMatch",Dyno_Data[Match],Dyno_Data[[#This Row],[Match]]),0)*86400),0)</f>
        <v>0</v>
      </c>
    </row>
    <row r="3185" spans="1:35" x14ac:dyDescent="0.3">
      <c r="A3185">
        <v>3178</v>
      </c>
      <c r="B3185" t="s">
        <v>1318</v>
      </c>
      <c r="C3185">
        <v>59</v>
      </c>
      <c r="D3185" s="105">
        <v>45374.383065706017</v>
      </c>
      <c r="E3185" t="s">
        <v>312</v>
      </c>
      <c r="F3185" t="s">
        <v>309</v>
      </c>
      <c r="G3185">
        <v>0</v>
      </c>
      <c r="H3185" t="s">
        <v>1397</v>
      </c>
      <c r="I3185">
        <v>0</v>
      </c>
      <c r="J3185">
        <v>0</v>
      </c>
      <c r="K3185">
        <v>0</v>
      </c>
      <c r="L3185" t="s">
        <v>240</v>
      </c>
      <c r="M3185" t="s">
        <v>1398</v>
      </c>
      <c r="N3185">
        <v>0</v>
      </c>
      <c r="O3185" t="s">
        <v>1391</v>
      </c>
      <c r="P3185" t="s">
        <v>310</v>
      </c>
      <c r="Q3185" t="s">
        <v>310</v>
      </c>
      <c r="R3185" t="s">
        <v>310</v>
      </c>
      <c r="S3185">
        <v>9</v>
      </c>
      <c r="T3185" t="s">
        <v>310</v>
      </c>
      <c r="U3185">
        <v>9</v>
      </c>
      <c r="V3185">
        <v>9</v>
      </c>
      <c r="W3185">
        <v>0</v>
      </c>
      <c r="X3185">
        <v>0</v>
      </c>
      <c r="Y3185">
        <v>0</v>
      </c>
      <c r="Z3185">
        <v>0</v>
      </c>
      <c r="AA3185">
        <v>9</v>
      </c>
      <c r="AB3185">
        <v>9</v>
      </c>
      <c r="AC3185" t="s">
        <v>310</v>
      </c>
      <c r="AD3185">
        <v>9</v>
      </c>
      <c r="AE3185" t="s">
        <v>1394</v>
      </c>
      <c r="AF3185">
        <v>0</v>
      </c>
      <c r="AG3185" t="s">
        <v>310</v>
      </c>
      <c r="AH3185">
        <f>SUM((MID(Dyno_Data[[#This Row],[Team]],4,5))+(Dyno_Data[[#This Row],[Match]]/100))</f>
        <v>7709.59</v>
      </c>
      <c r="AI3185" s="76">
        <f>ROUND(SUM(IF(Dyno_Data[[#This Row],[AcqCenter]]&gt;0,Dyno_Data[[#This Row],[Time]]-SUMIFS(Dyno_Data[Time],Dyno_Data[Team],Dyno_Data[[#This Row],[Team]],Dyno_Data[RecordType],"StartMatch",Dyno_Data[Match],Dyno_Data[[#This Row],[Match]]),0)*86400),0)</f>
        <v>0</v>
      </c>
    </row>
    <row r="3186" spans="1:35" x14ac:dyDescent="0.3">
      <c r="A3186">
        <v>3179</v>
      </c>
      <c r="B3186" t="s">
        <v>368</v>
      </c>
      <c r="C3186">
        <v>59</v>
      </c>
      <c r="D3186" s="105">
        <v>45374.383075925929</v>
      </c>
      <c r="E3186" t="s">
        <v>312</v>
      </c>
      <c r="F3186" t="s">
        <v>309</v>
      </c>
      <c r="G3186">
        <v>0</v>
      </c>
      <c r="H3186" t="s">
        <v>1397</v>
      </c>
      <c r="I3186">
        <v>0</v>
      </c>
      <c r="J3186">
        <v>0</v>
      </c>
      <c r="K3186">
        <v>0</v>
      </c>
      <c r="L3186" t="s">
        <v>240</v>
      </c>
      <c r="M3186" t="s">
        <v>1398</v>
      </c>
      <c r="N3186">
        <v>0</v>
      </c>
      <c r="O3186" t="s">
        <v>1395</v>
      </c>
      <c r="P3186" t="s">
        <v>310</v>
      </c>
      <c r="Q3186" t="s">
        <v>310</v>
      </c>
      <c r="R3186" t="s">
        <v>310</v>
      </c>
      <c r="S3186">
        <v>9</v>
      </c>
      <c r="T3186" t="s">
        <v>310</v>
      </c>
      <c r="U3186">
        <v>9</v>
      </c>
      <c r="V3186">
        <v>9</v>
      </c>
      <c r="W3186">
        <v>0</v>
      </c>
      <c r="X3186">
        <v>0</v>
      </c>
      <c r="Y3186">
        <v>0</v>
      </c>
      <c r="Z3186">
        <v>0</v>
      </c>
      <c r="AA3186">
        <v>9</v>
      </c>
      <c r="AB3186">
        <v>9</v>
      </c>
      <c r="AC3186" t="s">
        <v>310</v>
      </c>
      <c r="AD3186">
        <v>9</v>
      </c>
      <c r="AE3186" t="s">
        <v>1396</v>
      </c>
      <c r="AF3186">
        <v>0</v>
      </c>
      <c r="AG3186" t="s">
        <v>310</v>
      </c>
      <c r="AH3186">
        <f>SUM((MID(Dyno_Data[[#This Row],[Team]],4,5))+(Dyno_Data[[#This Row],[Match]]/100))</f>
        <v>6401.59</v>
      </c>
      <c r="AI3186" s="76">
        <f>ROUND(SUM(IF(Dyno_Data[[#This Row],[AcqCenter]]&gt;0,Dyno_Data[[#This Row],[Time]]-SUMIFS(Dyno_Data[Time],Dyno_Data[Team],Dyno_Data[[#This Row],[Team]],Dyno_Data[RecordType],"StartMatch",Dyno_Data[Match],Dyno_Data[[#This Row],[Match]]),0)*86400),0)</f>
        <v>0</v>
      </c>
    </row>
    <row r="3187" spans="1:35" x14ac:dyDescent="0.3">
      <c r="A3187">
        <v>3180</v>
      </c>
      <c r="B3187" t="s">
        <v>1296</v>
      </c>
      <c r="C3187">
        <v>59</v>
      </c>
      <c r="D3187" s="105">
        <v>45374.383083796296</v>
      </c>
      <c r="E3187" t="s">
        <v>312</v>
      </c>
      <c r="F3187" t="s">
        <v>309</v>
      </c>
      <c r="G3187">
        <v>0</v>
      </c>
      <c r="H3187" t="s">
        <v>1397</v>
      </c>
      <c r="I3187">
        <v>0</v>
      </c>
      <c r="J3187">
        <v>0</v>
      </c>
      <c r="K3187">
        <v>0</v>
      </c>
      <c r="L3187" t="s">
        <v>241</v>
      </c>
      <c r="M3187" t="s">
        <v>1398</v>
      </c>
      <c r="N3187">
        <v>0</v>
      </c>
      <c r="O3187" t="s">
        <v>1393</v>
      </c>
      <c r="P3187" t="s">
        <v>310</v>
      </c>
      <c r="Q3187" t="s">
        <v>310</v>
      </c>
      <c r="R3187" t="s">
        <v>310</v>
      </c>
      <c r="S3187">
        <v>9</v>
      </c>
      <c r="T3187" t="s">
        <v>310</v>
      </c>
      <c r="U3187">
        <v>9</v>
      </c>
      <c r="V3187">
        <v>9</v>
      </c>
      <c r="W3187">
        <v>0</v>
      </c>
      <c r="X3187">
        <v>0</v>
      </c>
      <c r="Y3187">
        <v>0</v>
      </c>
      <c r="Z3187">
        <v>0</v>
      </c>
      <c r="AA3187">
        <v>9</v>
      </c>
      <c r="AB3187">
        <v>9</v>
      </c>
      <c r="AC3187" t="s">
        <v>310</v>
      </c>
      <c r="AD3187">
        <v>9</v>
      </c>
      <c r="AE3187" t="s">
        <v>1388</v>
      </c>
      <c r="AF3187">
        <v>0</v>
      </c>
      <c r="AG3187" t="s">
        <v>310</v>
      </c>
      <c r="AH3187">
        <f>SUM((MID(Dyno_Data[[#This Row],[Team]],4,5))+(Dyno_Data[[#This Row],[Match]]/100))</f>
        <v>3003.59</v>
      </c>
      <c r="AI3187" s="76">
        <f>ROUND(SUM(IF(Dyno_Data[[#This Row],[AcqCenter]]&gt;0,Dyno_Data[[#This Row],[Time]]-SUMIFS(Dyno_Data[Time],Dyno_Data[Team],Dyno_Data[[#This Row],[Team]],Dyno_Data[RecordType],"StartMatch",Dyno_Data[Match],Dyno_Data[[#This Row],[Match]]),0)*86400),0)</f>
        <v>0</v>
      </c>
    </row>
    <row r="3188" spans="1:35" x14ac:dyDescent="0.3">
      <c r="A3188">
        <v>3181</v>
      </c>
      <c r="B3188" t="s">
        <v>1275</v>
      </c>
      <c r="C3188">
        <v>59</v>
      </c>
      <c r="D3188" s="105">
        <v>45374.383102893516</v>
      </c>
      <c r="E3188" t="s">
        <v>312</v>
      </c>
      <c r="F3188" t="s">
        <v>309</v>
      </c>
      <c r="G3188">
        <v>0</v>
      </c>
      <c r="H3188" t="s">
        <v>1397</v>
      </c>
      <c r="I3188">
        <v>0</v>
      </c>
      <c r="J3188">
        <v>0</v>
      </c>
      <c r="K3188">
        <v>0</v>
      </c>
      <c r="L3188" t="s">
        <v>240</v>
      </c>
      <c r="M3188" t="s">
        <v>1398</v>
      </c>
      <c r="N3188">
        <v>1</v>
      </c>
      <c r="O3188" t="s">
        <v>1389</v>
      </c>
      <c r="P3188" t="s">
        <v>310</v>
      </c>
      <c r="Q3188" t="s">
        <v>310</v>
      </c>
      <c r="R3188" t="s">
        <v>310</v>
      </c>
      <c r="S3188">
        <v>9</v>
      </c>
      <c r="T3188" t="s">
        <v>310</v>
      </c>
      <c r="U3188">
        <v>9</v>
      </c>
      <c r="V3188">
        <v>9</v>
      </c>
      <c r="W3188">
        <v>0</v>
      </c>
      <c r="X3188">
        <v>0</v>
      </c>
      <c r="Y3188">
        <v>0</v>
      </c>
      <c r="Z3188">
        <v>0</v>
      </c>
      <c r="AA3188">
        <v>9</v>
      </c>
      <c r="AB3188">
        <v>9</v>
      </c>
      <c r="AC3188" t="s">
        <v>310</v>
      </c>
      <c r="AD3188">
        <v>9</v>
      </c>
      <c r="AE3188" t="s">
        <v>1387</v>
      </c>
      <c r="AF3188">
        <v>0</v>
      </c>
      <c r="AG3188" t="s">
        <v>310</v>
      </c>
      <c r="AH3188">
        <f>SUM((MID(Dyno_Data[[#This Row],[Team]],4,5))+(Dyno_Data[[#This Row],[Match]]/100))</f>
        <v>1880.59</v>
      </c>
      <c r="AI3188" s="76">
        <f>ROUND(SUM(IF(Dyno_Data[[#This Row],[AcqCenter]]&gt;0,Dyno_Data[[#This Row],[Time]]-SUMIFS(Dyno_Data[Time],Dyno_Data[Team],Dyno_Data[[#This Row],[Team]],Dyno_Data[RecordType],"StartMatch",Dyno_Data[Match],Dyno_Data[[#This Row],[Match]]),0)*86400),0)</f>
        <v>0</v>
      </c>
    </row>
    <row r="3189" spans="1:35" x14ac:dyDescent="0.3">
      <c r="A3189">
        <v>3182</v>
      </c>
      <c r="B3189" t="s">
        <v>372</v>
      </c>
      <c r="C3189">
        <v>59</v>
      </c>
      <c r="D3189" s="105">
        <v>45374.383123148145</v>
      </c>
      <c r="E3189" t="s">
        <v>312</v>
      </c>
      <c r="F3189" t="s">
        <v>309</v>
      </c>
      <c r="G3189">
        <v>0</v>
      </c>
      <c r="H3189" t="s">
        <v>315</v>
      </c>
      <c r="I3189">
        <v>0</v>
      </c>
      <c r="J3189">
        <v>0</v>
      </c>
      <c r="K3189">
        <v>0</v>
      </c>
      <c r="L3189" t="s">
        <v>240</v>
      </c>
      <c r="M3189" t="s">
        <v>1398</v>
      </c>
      <c r="N3189">
        <v>0</v>
      </c>
      <c r="O3189" t="s">
        <v>319</v>
      </c>
      <c r="P3189" t="s">
        <v>310</v>
      </c>
      <c r="Q3189" t="s">
        <v>310</v>
      </c>
      <c r="R3189" t="s">
        <v>310</v>
      </c>
      <c r="S3189">
        <v>9</v>
      </c>
      <c r="T3189" t="s">
        <v>310</v>
      </c>
      <c r="U3189">
        <v>9</v>
      </c>
      <c r="V3189">
        <v>9</v>
      </c>
      <c r="W3189">
        <v>0</v>
      </c>
      <c r="X3189">
        <v>0</v>
      </c>
      <c r="Y3189">
        <v>0</v>
      </c>
      <c r="Z3189">
        <v>0</v>
      </c>
      <c r="AA3189">
        <v>9</v>
      </c>
      <c r="AB3189">
        <v>9</v>
      </c>
      <c r="AC3189" t="s">
        <v>310</v>
      </c>
      <c r="AD3189">
        <v>9</v>
      </c>
      <c r="AE3189" t="s">
        <v>1390</v>
      </c>
      <c r="AF3189">
        <v>10000000</v>
      </c>
      <c r="AG3189" t="s">
        <v>310</v>
      </c>
      <c r="AH3189">
        <f>SUM((MID(Dyno_Data[[#This Row],[Team]],4,5))+(Dyno_Data[[#This Row],[Match]]/100))</f>
        <v>7504.59</v>
      </c>
      <c r="AI3189" s="76">
        <f>ROUND(SUM(IF(Dyno_Data[[#This Row],[AcqCenter]]&gt;0,Dyno_Data[[#This Row],[Time]]-SUMIFS(Dyno_Data[Time],Dyno_Data[Team],Dyno_Data[[#This Row],[Team]],Dyno_Data[RecordType],"StartMatch",Dyno_Data[Match],Dyno_Data[[#This Row],[Match]]),0)*86400),0)</f>
        <v>0</v>
      </c>
    </row>
    <row r="3190" spans="1:35" x14ac:dyDescent="0.3">
      <c r="A3190">
        <v>3183</v>
      </c>
      <c r="B3190" t="s">
        <v>372</v>
      </c>
      <c r="C3190">
        <v>59</v>
      </c>
      <c r="D3190" s="105">
        <v>45374.383167361113</v>
      </c>
      <c r="E3190" t="s">
        <v>312</v>
      </c>
      <c r="F3190" t="s">
        <v>309</v>
      </c>
      <c r="G3190">
        <v>0</v>
      </c>
      <c r="H3190" t="s">
        <v>315</v>
      </c>
      <c r="I3190">
        <v>0</v>
      </c>
      <c r="J3190">
        <v>0</v>
      </c>
      <c r="K3190">
        <v>0</v>
      </c>
      <c r="L3190" t="s">
        <v>240</v>
      </c>
      <c r="M3190" t="s">
        <v>1398</v>
      </c>
      <c r="N3190">
        <v>0</v>
      </c>
      <c r="O3190" t="s">
        <v>319</v>
      </c>
      <c r="P3190" t="s">
        <v>310</v>
      </c>
      <c r="Q3190" t="s">
        <v>310</v>
      </c>
      <c r="R3190" t="s">
        <v>310</v>
      </c>
      <c r="S3190">
        <v>9</v>
      </c>
      <c r="T3190" t="s">
        <v>310</v>
      </c>
      <c r="U3190">
        <v>9</v>
      </c>
      <c r="V3190">
        <v>9</v>
      </c>
      <c r="W3190">
        <v>0</v>
      </c>
      <c r="X3190">
        <v>0</v>
      </c>
      <c r="Y3190">
        <v>0</v>
      </c>
      <c r="Z3190">
        <v>0</v>
      </c>
      <c r="AA3190">
        <v>9</v>
      </c>
      <c r="AB3190">
        <v>9</v>
      </c>
      <c r="AC3190" t="s">
        <v>310</v>
      </c>
      <c r="AD3190">
        <v>9</v>
      </c>
      <c r="AE3190" t="s">
        <v>1390</v>
      </c>
      <c r="AF3190">
        <v>20000000</v>
      </c>
      <c r="AG3190" t="s">
        <v>310</v>
      </c>
      <c r="AH3190">
        <f>SUM((MID(Dyno_Data[[#This Row],[Team]],4,5))+(Dyno_Data[[#This Row],[Match]]/100))</f>
        <v>7504.59</v>
      </c>
      <c r="AI3190" s="76">
        <f>ROUND(SUM(IF(Dyno_Data[[#This Row],[AcqCenter]]&gt;0,Dyno_Data[[#This Row],[Time]]-SUMIFS(Dyno_Data[Time],Dyno_Data[Team],Dyno_Data[[#This Row],[Team]],Dyno_Data[RecordType],"StartMatch",Dyno_Data[Match],Dyno_Data[[#This Row],[Match]]),0)*86400),0)</f>
        <v>0</v>
      </c>
    </row>
    <row r="3191" spans="1:35" x14ac:dyDescent="0.3">
      <c r="A3191">
        <v>3184</v>
      </c>
      <c r="B3191" t="s">
        <v>372</v>
      </c>
      <c r="C3191">
        <v>59</v>
      </c>
      <c r="D3191" s="105">
        <v>45374.383222766206</v>
      </c>
      <c r="E3191" t="s">
        <v>312</v>
      </c>
      <c r="F3191" t="s">
        <v>309</v>
      </c>
      <c r="G3191">
        <v>0</v>
      </c>
      <c r="H3191" t="s">
        <v>315</v>
      </c>
      <c r="I3191">
        <v>0</v>
      </c>
      <c r="J3191">
        <v>0</v>
      </c>
      <c r="K3191">
        <v>0</v>
      </c>
      <c r="L3191" t="s">
        <v>241</v>
      </c>
      <c r="M3191" t="s">
        <v>1398</v>
      </c>
      <c r="N3191">
        <v>0</v>
      </c>
      <c r="O3191" t="s">
        <v>319</v>
      </c>
      <c r="P3191" t="s">
        <v>310</v>
      </c>
      <c r="Q3191" t="s">
        <v>310</v>
      </c>
      <c r="R3191" t="s">
        <v>310</v>
      </c>
      <c r="S3191">
        <v>9</v>
      </c>
      <c r="T3191" t="s">
        <v>310</v>
      </c>
      <c r="U3191">
        <v>9</v>
      </c>
      <c r="V3191">
        <v>9</v>
      </c>
      <c r="W3191">
        <v>0</v>
      </c>
      <c r="X3191">
        <v>0</v>
      </c>
      <c r="Y3191">
        <v>0</v>
      </c>
      <c r="Z3191">
        <v>0</v>
      </c>
      <c r="AA3191">
        <v>9</v>
      </c>
      <c r="AB3191">
        <v>9</v>
      </c>
      <c r="AC3191" t="s">
        <v>310</v>
      </c>
      <c r="AD3191">
        <v>9</v>
      </c>
      <c r="AE3191" t="s">
        <v>1390</v>
      </c>
      <c r="AF3191">
        <v>30000000</v>
      </c>
      <c r="AG3191" t="s">
        <v>310</v>
      </c>
      <c r="AH3191">
        <f>SUM((MID(Dyno_Data[[#This Row],[Team]],4,5))+(Dyno_Data[[#This Row],[Match]]/100))</f>
        <v>7504.59</v>
      </c>
      <c r="AI3191" s="76">
        <f>ROUND(SUM(IF(Dyno_Data[[#This Row],[AcqCenter]]&gt;0,Dyno_Data[[#This Row],[Time]]-SUMIFS(Dyno_Data[Time],Dyno_Data[Team],Dyno_Data[[#This Row],[Team]],Dyno_Data[RecordType],"StartMatch",Dyno_Data[Match],Dyno_Data[[#This Row],[Match]]),0)*86400),0)</f>
        <v>0</v>
      </c>
    </row>
    <row r="3192" spans="1:35" x14ac:dyDescent="0.3">
      <c r="A3192">
        <v>3186</v>
      </c>
      <c r="B3192" t="s">
        <v>1275</v>
      </c>
      <c r="C3192">
        <v>59</v>
      </c>
      <c r="D3192" s="105">
        <v>45374.383252627318</v>
      </c>
      <c r="E3192" t="s">
        <v>314</v>
      </c>
      <c r="F3192" t="s">
        <v>309</v>
      </c>
      <c r="G3192">
        <v>1</v>
      </c>
      <c r="H3192" t="s">
        <v>310</v>
      </c>
      <c r="I3192">
        <v>0</v>
      </c>
      <c r="J3192">
        <v>0</v>
      </c>
      <c r="K3192">
        <v>0</v>
      </c>
      <c r="L3192" t="s">
        <v>310</v>
      </c>
      <c r="M3192" t="s">
        <v>310</v>
      </c>
      <c r="N3192">
        <v>0</v>
      </c>
      <c r="O3192" t="s">
        <v>1389</v>
      </c>
      <c r="P3192" t="s">
        <v>1401</v>
      </c>
      <c r="Q3192" t="s">
        <v>1400</v>
      </c>
      <c r="R3192" t="s">
        <v>310</v>
      </c>
      <c r="S3192">
        <v>9</v>
      </c>
      <c r="T3192" t="s">
        <v>310</v>
      </c>
      <c r="U3192">
        <v>9</v>
      </c>
      <c r="V3192">
        <v>9</v>
      </c>
      <c r="W3192">
        <v>0</v>
      </c>
      <c r="X3192">
        <v>0</v>
      </c>
      <c r="Y3192">
        <v>0</v>
      </c>
      <c r="Z3192">
        <v>0</v>
      </c>
      <c r="AA3192">
        <v>9</v>
      </c>
      <c r="AB3192">
        <v>9</v>
      </c>
      <c r="AC3192" t="s">
        <v>310</v>
      </c>
      <c r="AD3192">
        <v>9</v>
      </c>
      <c r="AE3192" t="s">
        <v>1387</v>
      </c>
      <c r="AF3192">
        <v>0</v>
      </c>
      <c r="AG3192" t="s">
        <v>310</v>
      </c>
      <c r="AH3192">
        <f>SUM((MID(Dyno_Data[[#This Row],[Team]],4,5))+(Dyno_Data[[#This Row],[Match]]/100))</f>
        <v>1880.59</v>
      </c>
      <c r="AI3192" s="76">
        <f>ROUND(SUM(IF(Dyno_Data[[#This Row],[AcqCenter]]&gt;0,Dyno_Data[[#This Row],[Time]]-SUMIFS(Dyno_Data[Time],Dyno_Data[Team],Dyno_Data[[#This Row],[Team]],Dyno_Data[RecordType],"StartMatch",Dyno_Data[Match],Dyno_Data[[#This Row],[Match]]),0)*86400),0)</f>
        <v>0</v>
      </c>
    </row>
    <row r="3193" spans="1:35" x14ac:dyDescent="0.3">
      <c r="A3193">
        <v>3188</v>
      </c>
      <c r="B3193" t="s">
        <v>1296</v>
      </c>
      <c r="C3193">
        <v>59</v>
      </c>
      <c r="D3193" s="105">
        <v>45374.383253935186</v>
      </c>
      <c r="E3193" t="s">
        <v>314</v>
      </c>
      <c r="F3193" t="s">
        <v>309</v>
      </c>
      <c r="G3193">
        <v>1</v>
      </c>
      <c r="H3193" t="s">
        <v>310</v>
      </c>
      <c r="I3193">
        <v>0</v>
      </c>
      <c r="J3193">
        <v>0</v>
      </c>
      <c r="K3193">
        <v>0</v>
      </c>
      <c r="L3193" t="s">
        <v>310</v>
      </c>
      <c r="M3193" t="s">
        <v>310</v>
      </c>
      <c r="N3193">
        <v>0</v>
      </c>
      <c r="O3193" t="s">
        <v>1393</v>
      </c>
      <c r="P3193" t="s">
        <v>240</v>
      </c>
      <c r="Q3193" t="s">
        <v>1399</v>
      </c>
      <c r="R3193" t="s">
        <v>310</v>
      </c>
      <c r="S3193">
        <v>9</v>
      </c>
      <c r="T3193" t="s">
        <v>310</v>
      </c>
      <c r="U3193">
        <v>9</v>
      </c>
      <c r="V3193">
        <v>9</v>
      </c>
      <c r="W3193">
        <v>0</v>
      </c>
      <c r="X3193">
        <v>0</v>
      </c>
      <c r="Y3193">
        <v>0</v>
      </c>
      <c r="Z3193">
        <v>0</v>
      </c>
      <c r="AA3193">
        <v>9</v>
      </c>
      <c r="AB3193">
        <v>9</v>
      </c>
      <c r="AC3193" t="s">
        <v>310</v>
      </c>
      <c r="AD3193">
        <v>9</v>
      </c>
      <c r="AE3193" t="s">
        <v>1388</v>
      </c>
      <c r="AF3193">
        <v>0</v>
      </c>
      <c r="AG3193" t="s">
        <v>310</v>
      </c>
      <c r="AH3193">
        <f>SUM((MID(Dyno_Data[[#This Row],[Team]],4,5))+(Dyno_Data[[#This Row],[Match]]/100))</f>
        <v>3003.59</v>
      </c>
      <c r="AI3193" s="76">
        <f>ROUND(SUM(IF(Dyno_Data[[#This Row],[AcqCenter]]&gt;0,Dyno_Data[[#This Row],[Time]]-SUMIFS(Dyno_Data[Time],Dyno_Data[Team],Dyno_Data[[#This Row],[Team]],Dyno_Data[RecordType],"StartMatch",Dyno_Data[Match],Dyno_Data[[#This Row],[Match]]),0)*86400),0)</f>
        <v>0</v>
      </c>
    </row>
    <row r="3194" spans="1:35" x14ac:dyDescent="0.3">
      <c r="A3194">
        <v>3190</v>
      </c>
      <c r="B3194" t="s">
        <v>1292</v>
      </c>
      <c r="C3194">
        <v>59</v>
      </c>
      <c r="D3194" s="105">
        <v>45374.383255358793</v>
      </c>
      <c r="E3194" t="s">
        <v>314</v>
      </c>
      <c r="F3194" t="s">
        <v>309</v>
      </c>
      <c r="G3194">
        <v>0</v>
      </c>
      <c r="H3194" t="s">
        <v>310</v>
      </c>
      <c r="I3194">
        <v>0</v>
      </c>
      <c r="J3194">
        <v>0</v>
      </c>
      <c r="K3194">
        <v>0</v>
      </c>
      <c r="L3194" t="s">
        <v>310</v>
      </c>
      <c r="M3194" t="s">
        <v>310</v>
      </c>
      <c r="N3194">
        <v>0</v>
      </c>
      <c r="O3194" t="s">
        <v>311</v>
      </c>
      <c r="P3194" t="s">
        <v>101</v>
      </c>
      <c r="Q3194" t="s">
        <v>1400</v>
      </c>
      <c r="R3194" t="s">
        <v>310</v>
      </c>
      <c r="S3194">
        <v>9</v>
      </c>
      <c r="T3194" t="s">
        <v>310</v>
      </c>
      <c r="U3194">
        <v>9</v>
      </c>
      <c r="V3194">
        <v>9</v>
      </c>
      <c r="W3194">
        <v>0</v>
      </c>
      <c r="X3194">
        <v>0</v>
      </c>
      <c r="Y3194">
        <v>0</v>
      </c>
      <c r="Z3194">
        <v>0</v>
      </c>
      <c r="AA3194">
        <v>9</v>
      </c>
      <c r="AB3194">
        <v>9</v>
      </c>
      <c r="AC3194" t="s">
        <v>310</v>
      </c>
      <c r="AD3194">
        <v>9</v>
      </c>
      <c r="AE3194" t="s">
        <v>1392</v>
      </c>
      <c r="AF3194">
        <v>0</v>
      </c>
      <c r="AG3194" t="s">
        <v>310</v>
      </c>
      <c r="AH3194">
        <f>SUM((MID(Dyno_Data[[#This Row],[Team]],4,5))+(Dyno_Data[[#This Row],[Match]]/100))</f>
        <v>7030.59</v>
      </c>
      <c r="AI3194" s="76">
        <f>ROUND(SUM(IF(Dyno_Data[[#This Row],[AcqCenter]]&gt;0,Dyno_Data[[#This Row],[Time]]-SUMIFS(Dyno_Data[Time],Dyno_Data[Team],Dyno_Data[[#This Row],[Team]],Dyno_Data[RecordType],"StartMatch",Dyno_Data[Match],Dyno_Data[[#This Row],[Match]]),0)*86400),0)</f>
        <v>0</v>
      </c>
    </row>
    <row r="3195" spans="1:35" x14ac:dyDescent="0.3">
      <c r="A3195">
        <v>3192</v>
      </c>
      <c r="B3195" t="s">
        <v>1318</v>
      </c>
      <c r="C3195">
        <v>59</v>
      </c>
      <c r="D3195" s="105">
        <v>45374.383256099536</v>
      </c>
      <c r="E3195" t="s">
        <v>314</v>
      </c>
      <c r="F3195" t="s">
        <v>309</v>
      </c>
      <c r="G3195">
        <v>1</v>
      </c>
      <c r="H3195" t="s">
        <v>310</v>
      </c>
      <c r="I3195">
        <v>0</v>
      </c>
      <c r="J3195">
        <v>0</v>
      </c>
      <c r="K3195">
        <v>0</v>
      </c>
      <c r="L3195" t="s">
        <v>310</v>
      </c>
      <c r="M3195" t="s">
        <v>310</v>
      </c>
      <c r="N3195">
        <v>0</v>
      </c>
      <c r="O3195" t="s">
        <v>1391</v>
      </c>
      <c r="P3195" t="s">
        <v>1401</v>
      </c>
      <c r="Q3195" t="s">
        <v>1400</v>
      </c>
      <c r="R3195" t="s">
        <v>310</v>
      </c>
      <c r="S3195">
        <v>9</v>
      </c>
      <c r="T3195" t="s">
        <v>310</v>
      </c>
      <c r="U3195">
        <v>9</v>
      </c>
      <c r="V3195">
        <v>9</v>
      </c>
      <c r="W3195">
        <v>0</v>
      </c>
      <c r="X3195">
        <v>0</v>
      </c>
      <c r="Y3195">
        <v>0</v>
      </c>
      <c r="Z3195">
        <v>0</v>
      </c>
      <c r="AA3195">
        <v>9</v>
      </c>
      <c r="AB3195">
        <v>9</v>
      </c>
      <c r="AC3195" t="s">
        <v>310</v>
      </c>
      <c r="AD3195">
        <v>9</v>
      </c>
      <c r="AE3195" t="s">
        <v>1394</v>
      </c>
      <c r="AF3195">
        <v>0</v>
      </c>
      <c r="AG3195" t="s">
        <v>310</v>
      </c>
      <c r="AH3195">
        <f>SUM((MID(Dyno_Data[[#This Row],[Team]],4,5))+(Dyno_Data[[#This Row],[Match]]/100))</f>
        <v>7709.59</v>
      </c>
      <c r="AI3195" s="76">
        <f>ROUND(SUM(IF(Dyno_Data[[#This Row],[AcqCenter]]&gt;0,Dyno_Data[[#This Row],[Time]]-SUMIFS(Dyno_Data[Time],Dyno_Data[Team],Dyno_Data[[#This Row],[Team]],Dyno_Data[RecordType],"StartMatch",Dyno_Data[Match],Dyno_Data[[#This Row],[Match]]),0)*86400),0)</f>
        <v>0</v>
      </c>
    </row>
    <row r="3196" spans="1:35" x14ac:dyDescent="0.3">
      <c r="A3196">
        <v>3194</v>
      </c>
      <c r="B3196" t="s">
        <v>368</v>
      </c>
      <c r="C3196">
        <v>59</v>
      </c>
      <c r="D3196" s="105">
        <v>45374.383256099536</v>
      </c>
      <c r="E3196" t="s">
        <v>314</v>
      </c>
      <c r="F3196" t="s">
        <v>309</v>
      </c>
      <c r="G3196">
        <v>0</v>
      </c>
      <c r="H3196" t="s">
        <v>310</v>
      </c>
      <c r="I3196">
        <v>0</v>
      </c>
      <c r="J3196">
        <v>0</v>
      </c>
      <c r="K3196">
        <v>0</v>
      </c>
      <c r="L3196" t="s">
        <v>310</v>
      </c>
      <c r="M3196" t="s">
        <v>310</v>
      </c>
      <c r="N3196">
        <v>0</v>
      </c>
      <c r="O3196" t="s">
        <v>1395</v>
      </c>
      <c r="P3196" t="s">
        <v>101</v>
      </c>
      <c r="Q3196" t="s">
        <v>1400</v>
      </c>
      <c r="R3196" t="s">
        <v>310</v>
      </c>
      <c r="S3196">
        <v>9</v>
      </c>
      <c r="T3196" t="s">
        <v>310</v>
      </c>
      <c r="U3196">
        <v>9</v>
      </c>
      <c r="V3196">
        <v>9</v>
      </c>
      <c r="W3196">
        <v>0</v>
      </c>
      <c r="X3196">
        <v>0</v>
      </c>
      <c r="Y3196">
        <v>0</v>
      </c>
      <c r="Z3196">
        <v>0</v>
      </c>
      <c r="AA3196">
        <v>9</v>
      </c>
      <c r="AB3196">
        <v>9</v>
      </c>
      <c r="AC3196" t="s">
        <v>310</v>
      </c>
      <c r="AD3196">
        <v>9</v>
      </c>
      <c r="AE3196" t="s">
        <v>1396</v>
      </c>
      <c r="AF3196">
        <v>0</v>
      </c>
      <c r="AG3196" t="s">
        <v>310</v>
      </c>
      <c r="AH3196">
        <f>SUM((MID(Dyno_Data[[#This Row],[Team]],4,5))+(Dyno_Data[[#This Row],[Match]]/100))</f>
        <v>6401.59</v>
      </c>
      <c r="AI3196" s="76">
        <f>ROUND(SUM(IF(Dyno_Data[[#This Row],[AcqCenter]]&gt;0,Dyno_Data[[#This Row],[Time]]-SUMIFS(Dyno_Data[Time],Dyno_Data[Team],Dyno_Data[[#This Row],[Team]],Dyno_Data[RecordType],"StartMatch",Dyno_Data[Match],Dyno_Data[[#This Row],[Match]]),0)*86400),0)</f>
        <v>0</v>
      </c>
    </row>
    <row r="3197" spans="1:35" x14ac:dyDescent="0.3">
      <c r="A3197">
        <v>3196</v>
      </c>
      <c r="B3197" t="s">
        <v>372</v>
      </c>
      <c r="C3197">
        <v>59</v>
      </c>
      <c r="D3197" s="105">
        <v>45374.383267673613</v>
      </c>
      <c r="E3197" t="s">
        <v>314</v>
      </c>
      <c r="F3197" t="s">
        <v>309</v>
      </c>
      <c r="G3197">
        <v>1</v>
      </c>
      <c r="H3197" t="s">
        <v>310</v>
      </c>
      <c r="I3197">
        <v>0</v>
      </c>
      <c r="J3197">
        <v>0</v>
      </c>
      <c r="K3197">
        <v>0</v>
      </c>
      <c r="L3197" t="s">
        <v>310</v>
      </c>
      <c r="M3197" t="s">
        <v>310</v>
      </c>
      <c r="N3197">
        <v>0</v>
      </c>
      <c r="O3197" t="s">
        <v>319</v>
      </c>
      <c r="P3197" t="s">
        <v>240</v>
      </c>
      <c r="Q3197" t="s">
        <v>1399</v>
      </c>
      <c r="R3197" t="s">
        <v>310</v>
      </c>
      <c r="S3197">
        <v>9</v>
      </c>
      <c r="T3197" t="s">
        <v>310</v>
      </c>
      <c r="U3197">
        <v>9</v>
      </c>
      <c r="V3197">
        <v>9</v>
      </c>
      <c r="W3197">
        <v>0</v>
      </c>
      <c r="X3197">
        <v>0</v>
      </c>
      <c r="Y3197">
        <v>0</v>
      </c>
      <c r="Z3197">
        <v>0</v>
      </c>
      <c r="AA3197">
        <v>9</v>
      </c>
      <c r="AB3197">
        <v>9</v>
      </c>
      <c r="AC3197" t="s">
        <v>310</v>
      </c>
      <c r="AD3197">
        <v>9</v>
      </c>
      <c r="AE3197" t="s">
        <v>1390</v>
      </c>
      <c r="AF3197">
        <v>30000000</v>
      </c>
      <c r="AG3197" t="s">
        <v>310</v>
      </c>
      <c r="AH3197">
        <f>SUM((MID(Dyno_Data[[#This Row],[Team]],4,5))+(Dyno_Data[[#This Row],[Match]]/100))</f>
        <v>7504.59</v>
      </c>
      <c r="AI3197" s="76">
        <f>ROUND(SUM(IF(Dyno_Data[[#This Row],[AcqCenter]]&gt;0,Dyno_Data[[#This Row],[Time]]-SUMIFS(Dyno_Data[Time],Dyno_Data[Team],Dyno_Data[[#This Row],[Team]],Dyno_Data[RecordType],"StartMatch",Dyno_Data[Match],Dyno_Data[[#This Row],[Match]]),0)*86400),0)</f>
        <v>0</v>
      </c>
    </row>
    <row r="3198" spans="1:35" x14ac:dyDescent="0.3">
      <c r="A3198">
        <v>3197</v>
      </c>
      <c r="B3198" t="s">
        <v>1296</v>
      </c>
      <c r="C3198">
        <v>59</v>
      </c>
      <c r="D3198" s="105">
        <v>45374.383348379626</v>
      </c>
      <c r="E3198" t="s">
        <v>312</v>
      </c>
      <c r="F3198" t="s">
        <v>1402</v>
      </c>
      <c r="G3198">
        <v>0</v>
      </c>
      <c r="H3198" t="s">
        <v>315</v>
      </c>
      <c r="I3198">
        <v>0</v>
      </c>
      <c r="J3198">
        <v>0</v>
      </c>
      <c r="K3198">
        <v>0</v>
      </c>
      <c r="L3198" t="s">
        <v>241</v>
      </c>
      <c r="M3198" t="s">
        <v>1398</v>
      </c>
      <c r="N3198">
        <v>0</v>
      </c>
      <c r="O3198" t="s">
        <v>1393</v>
      </c>
      <c r="P3198" t="s">
        <v>310</v>
      </c>
      <c r="Q3198" t="s">
        <v>310</v>
      </c>
      <c r="R3198" t="s">
        <v>310</v>
      </c>
      <c r="S3198">
        <v>9</v>
      </c>
      <c r="T3198" t="s">
        <v>310</v>
      </c>
      <c r="U3198">
        <v>9</v>
      </c>
      <c r="V3198">
        <v>9</v>
      </c>
      <c r="W3198">
        <v>0</v>
      </c>
      <c r="X3198">
        <v>0</v>
      </c>
      <c r="Y3198">
        <v>0</v>
      </c>
      <c r="Z3198">
        <v>0</v>
      </c>
      <c r="AA3198">
        <v>9</v>
      </c>
      <c r="AB3198">
        <v>9</v>
      </c>
      <c r="AC3198" t="s">
        <v>310</v>
      </c>
      <c r="AD3198">
        <v>9</v>
      </c>
      <c r="AE3198" t="s">
        <v>1388</v>
      </c>
      <c r="AF3198">
        <v>10000000</v>
      </c>
      <c r="AG3198" t="s">
        <v>310</v>
      </c>
      <c r="AH3198">
        <f>SUM((MID(Dyno_Data[[#This Row],[Team]],4,5))+(Dyno_Data[[#This Row],[Match]]/100))</f>
        <v>3003.59</v>
      </c>
      <c r="AI3198" s="76">
        <f>ROUND(SUM(IF(Dyno_Data[[#This Row],[AcqCenter]]&gt;0,Dyno_Data[[#This Row],[Time]]-SUMIFS(Dyno_Data[Time],Dyno_Data[Team],Dyno_Data[[#This Row],[Team]],Dyno_Data[RecordType],"StartMatch",Dyno_Data[Match],Dyno_Data[[#This Row],[Match]]),0)*86400),0)</f>
        <v>0</v>
      </c>
    </row>
    <row r="3199" spans="1:35" x14ac:dyDescent="0.3">
      <c r="A3199">
        <v>3198</v>
      </c>
      <c r="B3199" t="s">
        <v>1318</v>
      </c>
      <c r="C3199">
        <v>59</v>
      </c>
      <c r="D3199" s="105">
        <v>45374.383365196758</v>
      </c>
      <c r="E3199" t="s">
        <v>312</v>
      </c>
      <c r="F3199" t="s">
        <v>1402</v>
      </c>
      <c r="G3199">
        <v>0</v>
      </c>
      <c r="H3199" t="s">
        <v>315</v>
      </c>
      <c r="I3199">
        <v>0</v>
      </c>
      <c r="J3199">
        <v>0</v>
      </c>
      <c r="K3199">
        <v>0</v>
      </c>
      <c r="L3199" t="s">
        <v>242</v>
      </c>
      <c r="M3199" t="s">
        <v>241</v>
      </c>
      <c r="N3199">
        <v>0</v>
      </c>
      <c r="O3199" t="s">
        <v>1391</v>
      </c>
      <c r="P3199" t="s">
        <v>310</v>
      </c>
      <c r="Q3199" t="s">
        <v>310</v>
      </c>
      <c r="R3199" t="s">
        <v>310</v>
      </c>
      <c r="S3199">
        <v>9</v>
      </c>
      <c r="T3199" t="s">
        <v>310</v>
      </c>
      <c r="U3199">
        <v>9</v>
      </c>
      <c r="V3199">
        <v>9</v>
      </c>
      <c r="W3199">
        <v>0</v>
      </c>
      <c r="X3199">
        <v>0</v>
      </c>
      <c r="Y3199">
        <v>0</v>
      </c>
      <c r="Z3199">
        <v>0</v>
      </c>
      <c r="AA3199">
        <v>9</v>
      </c>
      <c r="AB3199">
        <v>9</v>
      </c>
      <c r="AC3199" t="s">
        <v>310</v>
      </c>
      <c r="AD3199">
        <v>9</v>
      </c>
      <c r="AE3199" t="s">
        <v>1394</v>
      </c>
      <c r="AF3199">
        <v>10000000</v>
      </c>
      <c r="AG3199" t="s">
        <v>310</v>
      </c>
      <c r="AH3199">
        <f>SUM((MID(Dyno_Data[[#This Row],[Team]],4,5))+(Dyno_Data[[#This Row],[Match]]/100))</f>
        <v>7709.59</v>
      </c>
      <c r="AI3199" s="76">
        <f>ROUND(SUM(IF(Dyno_Data[[#This Row],[AcqCenter]]&gt;0,Dyno_Data[[#This Row],[Time]]-SUMIFS(Dyno_Data[Time],Dyno_Data[Team],Dyno_Data[[#This Row],[Team]],Dyno_Data[RecordType],"StartMatch",Dyno_Data[Match],Dyno_Data[[#This Row],[Match]]),0)*86400),0)</f>
        <v>0</v>
      </c>
    </row>
    <row r="3200" spans="1:35" x14ac:dyDescent="0.3">
      <c r="A3200">
        <v>3199</v>
      </c>
      <c r="B3200" t="s">
        <v>372</v>
      </c>
      <c r="C3200">
        <v>59</v>
      </c>
      <c r="D3200" s="105">
        <v>45374.383373958335</v>
      </c>
      <c r="E3200" t="s">
        <v>312</v>
      </c>
      <c r="F3200" t="s">
        <v>1402</v>
      </c>
      <c r="G3200">
        <v>0</v>
      </c>
      <c r="H3200" t="s">
        <v>315</v>
      </c>
      <c r="I3200">
        <v>0</v>
      </c>
      <c r="J3200">
        <v>0</v>
      </c>
      <c r="K3200">
        <v>0</v>
      </c>
      <c r="L3200" t="s">
        <v>242</v>
      </c>
      <c r="M3200" t="s">
        <v>241</v>
      </c>
      <c r="N3200">
        <v>0</v>
      </c>
      <c r="O3200" t="s">
        <v>319</v>
      </c>
      <c r="P3200" t="s">
        <v>310</v>
      </c>
      <c r="Q3200" t="s">
        <v>310</v>
      </c>
      <c r="R3200" t="s">
        <v>310</v>
      </c>
      <c r="S3200">
        <v>9</v>
      </c>
      <c r="T3200" t="s">
        <v>310</v>
      </c>
      <c r="U3200">
        <v>9</v>
      </c>
      <c r="V3200">
        <v>9</v>
      </c>
      <c r="W3200">
        <v>0</v>
      </c>
      <c r="X3200">
        <v>0</v>
      </c>
      <c r="Y3200">
        <v>0</v>
      </c>
      <c r="Z3200">
        <v>0</v>
      </c>
      <c r="AA3200">
        <v>9</v>
      </c>
      <c r="AB3200">
        <v>9</v>
      </c>
      <c r="AC3200" t="s">
        <v>310</v>
      </c>
      <c r="AD3200">
        <v>9</v>
      </c>
      <c r="AE3200" t="s">
        <v>1390</v>
      </c>
      <c r="AF3200">
        <v>40000000</v>
      </c>
      <c r="AG3200" t="s">
        <v>310</v>
      </c>
      <c r="AH3200">
        <f>SUM((MID(Dyno_Data[[#This Row],[Team]],4,5))+(Dyno_Data[[#This Row],[Match]]/100))</f>
        <v>7504.59</v>
      </c>
      <c r="AI3200" s="76">
        <f>ROUND(SUM(IF(Dyno_Data[[#This Row],[AcqCenter]]&gt;0,Dyno_Data[[#This Row],[Time]]-SUMIFS(Dyno_Data[Time],Dyno_Data[Team],Dyno_Data[[#This Row],[Team]],Dyno_Data[RecordType],"StartMatch",Dyno_Data[Match],Dyno_Data[[#This Row],[Match]]),0)*86400),0)</f>
        <v>0</v>
      </c>
    </row>
    <row r="3201" spans="1:35" x14ac:dyDescent="0.3">
      <c r="A3201">
        <v>3200</v>
      </c>
      <c r="B3201" t="s">
        <v>368</v>
      </c>
      <c r="C3201">
        <v>59</v>
      </c>
      <c r="D3201" s="105">
        <v>45374.383437418983</v>
      </c>
      <c r="E3201" t="s">
        <v>312</v>
      </c>
      <c r="F3201" t="s">
        <v>1402</v>
      </c>
      <c r="G3201">
        <v>0</v>
      </c>
      <c r="H3201" t="s">
        <v>315</v>
      </c>
      <c r="I3201">
        <v>0</v>
      </c>
      <c r="J3201">
        <v>0</v>
      </c>
      <c r="K3201">
        <v>0</v>
      </c>
      <c r="L3201" t="s">
        <v>240</v>
      </c>
      <c r="M3201" t="s">
        <v>1398</v>
      </c>
      <c r="N3201">
        <v>1</v>
      </c>
      <c r="O3201" t="s">
        <v>1395</v>
      </c>
      <c r="P3201" t="s">
        <v>310</v>
      </c>
      <c r="Q3201" t="s">
        <v>310</v>
      </c>
      <c r="R3201" t="s">
        <v>310</v>
      </c>
      <c r="S3201">
        <v>9</v>
      </c>
      <c r="T3201" t="s">
        <v>310</v>
      </c>
      <c r="U3201">
        <v>9</v>
      </c>
      <c r="V3201">
        <v>9</v>
      </c>
      <c r="W3201">
        <v>0</v>
      </c>
      <c r="X3201">
        <v>0</v>
      </c>
      <c r="Y3201">
        <v>0</v>
      </c>
      <c r="Z3201">
        <v>0</v>
      </c>
      <c r="AA3201">
        <v>9</v>
      </c>
      <c r="AB3201">
        <v>9</v>
      </c>
      <c r="AC3201" t="s">
        <v>310</v>
      </c>
      <c r="AD3201">
        <v>9</v>
      </c>
      <c r="AE3201" t="s">
        <v>1396</v>
      </c>
      <c r="AF3201">
        <v>10000000</v>
      </c>
      <c r="AG3201" t="s">
        <v>310</v>
      </c>
      <c r="AH3201">
        <f>SUM((MID(Dyno_Data[[#This Row],[Team]],4,5))+(Dyno_Data[[#This Row],[Match]]/100))</f>
        <v>6401.59</v>
      </c>
      <c r="AI3201" s="76">
        <f>ROUND(SUM(IF(Dyno_Data[[#This Row],[AcqCenter]]&gt;0,Dyno_Data[[#This Row],[Time]]-SUMIFS(Dyno_Data[Time],Dyno_Data[Team],Dyno_Data[[#This Row],[Team]],Dyno_Data[RecordType],"StartMatch",Dyno_Data[Match],Dyno_Data[[#This Row],[Match]]),0)*86400),0)</f>
        <v>0</v>
      </c>
    </row>
    <row r="3202" spans="1:35" x14ac:dyDescent="0.3">
      <c r="A3202">
        <v>3201</v>
      </c>
      <c r="B3202" t="s">
        <v>1296</v>
      </c>
      <c r="C3202">
        <v>59</v>
      </c>
      <c r="D3202" s="105">
        <v>45374.383443368053</v>
      </c>
      <c r="E3202" t="s">
        <v>312</v>
      </c>
      <c r="F3202" t="s">
        <v>1402</v>
      </c>
      <c r="G3202">
        <v>0</v>
      </c>
      <c r="H3202" t="s">
        <v>315</v>
      </c>
      <c r="I3202">
        <v>0</v>
      </c>
      <c r="J3202">
        <v>0</v>
      </c>
      <c r="K3202">
        <v>0</v>
      </c>
      <c r="L3202" t="s">
        <v>241</v>
      </c>
      <c r="M3202" t="s">
        <v>1398</v>
      </c>
      <c r="N3202">
        <v>0</v>
      </c>
      <c r="O3202" t="s">
        <v>1393</v>
      </c>
      <c r="P3202" t="s">
        <v>310</v>
      </c>
      <c r="Q3202" t="s">
        <v>310</v>
      </c>
      <c r="R3202" t="s">
        <v>310</v>
      </c>
      <c r="S3202">
        <v>9</v>
      </c>
      <c r="T3202" t="s">
        <v>310</v>
      </c>
      <c r="U3202">
        <v>9</v>
      </c>
      <c r="V3202">
        <v>9</v>
      </c>
      <c r="W3202">
        <v>0</v>
      </c>
      <c r="X3202">
        <v>0</v>
      </c>
      <c r="Y3202">
        <v>0</v>
      </c>
      <c r="Z3202">
        <v>0</v>
      </c>
      <c r="AA3202">
        <v>9</v>
      </c>
      <c r="AB3202">
        <v>9</v>
      </c>
      <c r="AC3202" t="s">
        <v>310</v>
      </c>
      <c r="AD3202">
        <v>9</v>
      </c>
      <c r="AE3202" t="s">
        <v>1388</v>
      </c>
      <c r="AF3202">
        <v>20000000</v>
      </c>
      <c r="AG3202" t="s">
        <v>310</v>
      </c>
      <c r="AH3202">
        <f>SUM((MID(Dyno_Data[[#This Row],[Team]],4,5))+(Dyno_Data[[#This Row],[Match]]/100))</f>
        <v>3003.59</v>
      </c>
      <c r="AI3202" s="76">
        <f>ROUND(SUM(IF(Dyno_Data[[#This Row],[AcqCenter]]&gt;0,Dyno_Data[[#This Row],[Time]]-SUMIFS(Dyno_Data[Time],Dyno_Data[Team],Dyno_Data[[#This Row],[Team]],Dyno_Data[RecordType],"StartMatch",Dyno_Data[Match],Dyno_Data[[#This Row],[Match]]),0)*86400),0)</f>
        <v>0</v>
      </c>
    </row>
    <row r="3203" spans="1:35" x14ac:dyDescent="0.3">
      <c r="A3203">
        <v>3202</v>
      </c>
      <c r="B3203" t="s">
        <v>1275</v>
      </c>
      <c r="C3203">
        <v>59</v>
      </c>
      <c r="D3203" s="105">
        <v>45374.383460682868</v>
      </c>
      <c r="E3203" t="s">
        <v>312</v>
      </c>
      <c r="F3203" t="s">
        <v>1402</v>
      </c>
      <c r="G3203">
        <v>0</v>
      </c>
      <c r="H3203" t="s">
        <v>315</v>
      </c>
      <c r="I3203">
        <v>0</v>
      </c>
      <c r="J3203">
        <v>0</v>
      </c>
      <c r="K3203">
        <v>0</v>
      </c>
      <c r="L3203" t="s">
        <v>241</v>
      </c>
      <c r="M3203" t="s">
        <v>101</v>
      </c>
      <c r="N3203">
        <v>0</v>
      </c>
      <c r="O3203" t="s">
        <v>1389</v>
      </c>
      <c r="P3203" t="s">
        <v>310</v>
      </c>
      <c r="Q3203" t="s">
        <v>310</v>
      </c>
      <c r="R3203" t="s">
        <v>310</v>
      </c>
      <c r="S3203">
        <v>9</v>
      </c>
      <c r="T3203" t="s">
        <v>310</v>
      </c>
      <c r="U3203">
        <v>9</v>
      </c>
      <c r="V3203">
        <v>9</v>
      </c>
      <c r="W3203">
        <v>0</v>
      </c>
      <c r="X3203">
        <v>0</v>
      </c>
      <c r="Y3203">
        <v>0</v>
      </c>
      <c r="Z3203">
        <v>0</v>
      </c>
      <c r="AA3203">
        <v>9</v>
      </c>
      <c r="AB3203">
        <v>9</v>
      </c>
      <c r="AC3203" t="s">
        <v>310</v>
      </c>
      <c r="AD3203">
        <v>9</v>
      </c>
      <c r="AE3203" t="s">
        <v>1387</v>
      </c>
      <c r="AF3203">
        <v>10000000</v>
      </c>
      <c r="AG3203" t="s">
        <v>310</v>
      </c>
      <c r="AH3203">
        <f>SUM((MID(Dyno_Data[[#This Row],[Team]],4,5))+(Dyno_Data[[#This Row],[Match]]/100))</f>
        <v>1880.59</v>
      </c>
      <c r="AI3203" s="76">
        <f>ROUND(SUM(IF(Dyno_Data[[#This Row],[AcqCenter]]&gt;0,Dyno_Data[[#This Row],[Time]]-SUMIFS(Dyno_Data[Time],Dyno_Data[Team],Dyno_Data[[#This Row],[Team]],Dyno_Data[RecordType],"StartMatch",Dyno_Data[Match],Dyno_Data[[#This Row],[Match]]),0)*86400),0)</f>
        <v>0</v>
      </c>
    </row>
    <row r="3204" spans="1:35" x14ac:dyDescent="0.3">
      <c r="A3204">
        <v>3203</v>
      </c>
      <c r="B3204" t="s">
        <v>372</v>
      </c>
      <c r="C3204">
        <v>59</v>
      </c>
      <c r="D3204" s="105">
        <v>45374.383504513891</v>
      </c>
      <c r="E3204" t="s">
        <v>312</v>
      </c>
      <c r="F3204" t="s">
        <v>1402</v>
      </c>
      <c r="G3204">
        <v>0</v>
      </c>
      <c r="H3204" t="s">
        <v>315</v>
      </c>
      <c r="I3204">
        <v>0</v>
      </c>
      <c r="J3204">
        <v>0</v>
      </c>
      <c r="K3204">
        <v>0</v>
      </c>
      <c r="L3204" t="s">
        <v>241</v>
      </c>
      <c r="M3204" t="s">
        <v>101</v>
      </c>
      <c r="N3204">
        <v>0</v>
      </c>
      <c r="O3204" t="s">
        <v>319</v>
      </c>
      <c r="P3204" t="s">
        <v>310</v>
      </c>
      <c r="Q3204" t="s">
        <v>310</v>
      </c>
      <c r="R3204" t="s">
        <v>310</v>
      </c>
      <c r="S3204">
        <v>9</v>
      </c>
      <c r="T3204" t="s">
        <v>310</v>
      </c>
      <c r="U3204">
        <v>9</v>
      </c>
      <c r="V3204">
        <v>9</v>
      </c>
      <c r="W3204">
        <v>0</v>
      </c>
      <c r="X3204">
        <v>0</v>
      </c>
      <c r="Y3204">
        <v>0</v>
      </c>
      <c r="Z3204">
        <v>0</v>
      </c>
      <c r="AA3204">
        <v>9</v>
      </c>
      <c r="AB3204">
        <v>9</v>
      </c>
      <c r="AC3204" t="s">
        <v>310</v>
      </c>
      <c r="AD3204">
        <v>9</v>
      </c>
      <c r="AE3204" t="s">
        <v>1390</v>
      </c>
      <c r="AF3204">
        <v>50000000</v>
      </c>
      <c r="AG3204" t="s">
        <v>310</v>
      </c>
      <c r="AH3204">
        <f>SUM((MID(Dyno_Data[[#This Row],[Team]],4,5))+(Dyno_Data[[#This Row],[Match]]/100))</f>
        <v>7504.59</v>
      </c>
      <c r="AI3204" s="76">
        <f>ROUND(SUM(IF(Dyno_Data[[#This Row],[AcqCenter]]&gt;0,Dyno_Data[[#This Row],[Time]]-SUMIFS(Dyno_Data[Time],Dyno_Data[Team],Dyno_Data[[#This Row],[Team]],Dyno_Data[RecordType],"StartMatch",Dyno_Data[Match],Dyno_Data[[#This Row],[Match]]),0)*86400),0)</f>
        <v>0</v>
      </c>
    </row>
    <row r="3205" spans="1:35" x14ac:dyDescent="0.3">
      <c r="A3205">
        <v>3204</v>
      </c>
      <c r="B3205" t="s">
        <v>1318</v>
      </c>
      <c r="C3205">
        <v>59</v>
      </c>
      <c r="D3205" s="105">
        <v>45374.383511655091</v>
      </c>
      <c r="E3205" t="s">
        <v>312</v>
      </c>
      <c r="F3205" t="s">
        <v>1402</v>
      </c>
      <c r="G3205">
        <v>0</v>
      </c>
      <c r="H3205" t="s">
        <v>315</v>
      </c>
      <c r="I3205">
        <v>0</v>
      </c>
      <c r="J3205">
        <v>0</v>
      </c>
      <c r="K3205">
        <v>0</v>
      </c>
      <c r="L3205" t="s">
        <v>242</v>
      </c>
      <c r="M3205" t="s">
        <v>241</v>
      </c>
      <c r="N3205">
        <v>0</v>
      </c>
      <c r="O3205" t="s">
        <v>1391</v>
      </c>
      <c r="P3205" t="s">
        <v>310</v>
      </c>
      <c r="Q3205" t="s">
        <v>310</v>
      </c>
      <c r="R3205" t="s">
        <v>310</v>
      </c>
      <c r="S3205">
        <v>9</v>
      </c>
      <c r="T3205" t="s">
        <v>310</v>
      </c>
      <c r="U3205">
        <v>9</v>
      </c>
      <c r="V3205">
        <v>9</v>
      </c>
      <c r="W3205">
        <v>0</v>
      </c>
      <c r="X3205">
        <v>0</v>
      </c>
      <c r="Y3205">
        <v>0</v>
      </c>
      <c r="Z3205">
        <v>0</v>
      </c>
      <c r="AA3205">
        <v>9</v>
      </c>
      <c r="AB3205">
        <v>9</v>
      </c>
      <c r="AC3205" t="s">
        <v>310</v>
      </c>
      <c r="AD3205">
        <v>9</v>
      </c>
      <c r="AE3205" t="s">
        <v>1394</v>
      </c>
      <c r="AF3205">
        <v>20000000</v>
      </c>
      <c r="AG3205" t="s">
        <v>310</v>
      </c>
      <c r="AH3205">
        <f>SUM((MID(Dyno_Data[[#This Row],[Team]],4,5))+(Dyno_Data[[#This Row],[Match]]/100))</f>
        <v>7709.59</v>
      </c>
      <c r="AI3205" s="76">
        <f>ROUND(SUM(IF(Dyno_Data[[#This Row],[AcqCenter]]&gt;0,Dyno_Data[[#This Row],[Time]]-SUMIFS(Dyno_Data[Time],Dyno_Data[Team],Dyno_Data[[#This Row],[Team]],Dyno_Data[RecordType],"StartMatch",Dyno_Data[Match],Dyno_Data[[#This Row],[Match]]),0)*86400),0)</f>
        <v>0</v>
      </c>
    </row>
    <row r="3206" spans="1:35" x14ac:dyDescent="0.3">
      <c r="A3206">
        <v>3205</v>
      </c>
      <c r="B3206" t="s">
        <v>1296</v>
      </c>
      <c r="C3206">
        <v>59</v>
      </c>
      <c r="D3206" s="105">
        <v>45374.383513078705</v>
      </c>
      <c r="E3206" t="s">
        <v>312</v>
      </c>
      <c r="F3206" t="s">
        <v>1402</v>
      </c>
      <c r="G3206">
        <v>0</v>
      </c>
      <c r="H3206" t="s">
        <v>315</v>
      </c>
      <c r="I3206">
        <v>0</v>
      </c>
      <c r="J3206">
        <v>0</v>
      </c>
      <c r="K3206">
        <v>0</v>
      </c>
      <c r="L3206" t="s">
        <v>241</v>
      </c>
      <c r="M3206" t="s">
        <v>1398</v>
      </c>
      <c r="N3206">
        <v>0</v>
      </c>
      <c r="O3206" t="s">
        <v>1393</v>
      </c>
      <c r="P3206" t="s">
        <v>310</v>
      </c>
      <c r="Q3206" t="s">
        <v>310</v>
      </c>
      <c r="R3206" t="s">
        <v>310</v>
      </c>
      <c r="S3206">
        <v>9</v>
      </c>
      <c r="T3206" t="s">
        <v>310</v>
      </c>
      <c r="U3206">
        <v>9</v>
      </c>
      <c r="V3206">
        <v>9</v>
      </c>
      <c r="W3206">
        <v>0</v>
      </c>
      <c r="X3206">
        <v>0</v>
      </c>
      <c r="Y3206">
        <v>0</v>
      </c>
      <c r="Z3206">
        <v>0</v>
      </c>
      <c r="AA3206">
        <v>9</v>
      </c>
      <c r="AB3206">
        <v>9</v>
      </c>
      <c r="AC3206" t="s">
        <v>310</v>
      </c>
      <c r="AD3206">
        <v>9</v>
      </c>
      <c r="AE3206" t="s">
        <v>1388</v>
      </c>
      <c r="AF3206">
        <v>30000000</v>
      </c>
      <c r="AG3206" t="s">
        <v>310</v>
      </c>
      <c r="AH3206">
        <f>SUM((MID(Dyno_Data[[#This Row],[Team]],4,5))+(Dyno_Data[[#This Row],[Match]]/100))</f>
        <v>3003.59</v>
      </c>
      <c r="AI3206" s="76">
        <f>ROUND(SUM(IF(Dyno_Data[[#This Row],[AcqCenter]]&gt;0,Dyno_Data[[#This Row],[Time]]-SUMIFS(Dyno_Data[Time],Dyno_Data[Team],Dyno_Data[[#This Row],[Team]],Dyno_Data[RecordType],"StartMatch",Dyno_Data[Match],Dyno_Data[[#This Row],[Match]]),0)*86400),0)</f>
        <v>0</v>
      </c>
    </row>
    <row r="3207" spans="1:35" x14ac:dyDescent="0.3">
      <c r="A3207">
        <v>3206</v>
      </c>
      <c r="B3207" t="s">
        <v>1296</v>
      </c>
      <c r="C3207">
        <v>59</v>
      </c>
      <c r="D3207" s="105">
        <v>45374.383587696757</v>
      </c>
      <c r="E3207" t="s">
        <v>312</v>
      </c>
      <c r="F3207" t="s">
        <v>1402</v>
      </c>
      <c r="G3207">
        <v>0</v>
      </c>
      <c r="H3207" t="s">
        <v>315</v>
      </c>
      <c r="I3207">
        <v>0</v>
      </c>
      <c r="J3207">
        <v>0</v>
      </c>
      <c r="K3207">
        <v>0</v>
      </c>
      <c r="L3207" t="s">
        <v>241</v>
      </c>
      <c r="M3207" t="s">
        <v>1398</v>
      </c>
      <c r="N3207">
        <v>0</v>
      </c>
      <c r="O3207" t="s">
        <v>1393</v>
      </c>
      <c r="P3207" t="s">
        <v>310</v>
      </c>
      <c r="Q3207" t="s">
        <v>310</v>
      </c>
      <c r="R3207" t="s">
        <v>310</v>
      </c>
      <c r="S3207">
        <v>9</v>
      </c>
      <c r="T3207" t="s">
        <v>310</v>
      </c>
      <c r="U3207">
        <v>9</v>
      </c>
      <c r="V3207">
        <v>9</v>
      </c>
      <c r="W3207">
        <v>0</v>
      </c>
      <c r="X3207">
        <v>0</v>
      </c>
      <c r="Y3207">
        <v>0</v>
      </c>
      <c r="Z3207">
        <v>0</v>
      </c>
      <c r="AA3207">
        <v>9</v>
      </c>
      <c r="AB3207">
        <v>9</v>
      </c>
      <c r="AC3207" t="s">
        <v>310</v>
      </c>
      <c r="AD3207">
        <v>9</v>
      </c>
      <c r="AE3207" t="s">
        <v>1388</v>
      </c>
      <c r="AF3207">
        <v>40000000</v>
      </c>
      <c r="AG3207" t="s">
        <v>310</v>
      </c>
      <c r="AH3207">
        <f>SUM((MID(Dyno_Data[[#This Row],[Team]],4,5))+(Dyno_Data[[#This Row],[Match]]/100))</f>
        <v>3003.59</v>
      </c>
      <c r="AI3207" s="76">
        <f>ROUND(SUM(IF(Dyno_Data[[#This Row],[AcqCenter]]&gt;0,Dyno_Data[[#This Row],[Time]]-SUMIFS(Dyno_Data[Time],Dyno_Data[Team],Dyno_Data[[#This Row],[Team]],Dyno_Data[RecordType],"StartMatch",Dyno_Data[Match],Dyno_Data[[#This Row],[Match]]),0)*86400),0)</f>
        <v>0</v>
      </c>
    </row>
    <row r="3208" spans="1:35" x14ac:dyDescent="0.3">
      <c r="A3208">
        <v>3207</v>
      </c>
      <c r="B3208" t="s">
        <v>372</v>
      </c>
      <c r="C3208">
        <v>59</v>
      </c>
      <c r="D3208" s="105">
        <v>45374.383607372685</v>
      </c>
      <c r="E3208" t="s">
        <v>312</v>
      </c>
      <c r="F3208" t="s">
        <v>1402</v>
      </c>
      <c r="G3208">
        <v>0</v>
      </c>
      <c r="H3208" t="s">
        <v>315</v>
      </c>
      <c r="I3208">
        <v>0</v>
      </c>
      <c r="J3208">
        <v>0</v>
      </c>
      <c r="K3208">
        <v>0</v>
      </c>
      <c r="L3208" t="s">
        <v>241</v>
      </c>
      <c r="M3208" t="s">
        <v>101</v>
      </c>
      <c r="N3208">
        <v>0</v>
      </c>
      <c r="O3208" t="s">
        <v>319</v>
      </c>
      <c r="P3208" t="s">
        <v>310</v>
      </c>
      <c r="Q3208" t="s">
        <v>310</v>
      </c>
      <c r="R3208" t="s">
        <v>310</v>
      </c>
      <c r="S3208">
        <v>9</v>
      </c>
      <c r="T3208" t="s">
        <v>310</v>
      </c>
      <c r="U3208">
        <v>9</v>
      </c>
      <c r="V3208">
        <v>9</v>
      </c>
      <c r="W3208">
        <v>0</v>
      </c>
      <c r="X3208">
        <v>0</v>
      </c>
      <c r="Y3208">
        <v>0</v>
      </c>
      <c r="Z3208">
        <v>0</v>
      </c>
      <c r="AA3208">
        <v>9</v>
      </c>
      <c r="AB3208">
        <v>9</v>
      </c>
      <c r="AC3208" t="s">
        <v>310</v>
      </c>
      <c r="AD3208">
        <v>9</v>
      </c>
      <c r="AE3208" t="s">
        <v>1390</v>
      </c>
      <c r="AF3208">
        <v>60000000</v>
      </c>
      <c r="AG3208" t="s">
        <v>310</v>
      </c>
      <c r="AH3208">
        <f>SUM((MID(Dyno_Data[[#This Row],[Team]],4,5))+(Dyno_Data[[#This Row],[Match]]/100))</f>
        <v>7504.59</v>
      </c>
      <c r="AI3208" s="76">
        <f>ROUND(SUM(IF(Dyno_Data[[#This Row],[AcqCenter]]&gt;0,Dyno_Data[[#This Row],[Time]]-SUMIFS(Dyno_Data[Time],Dyno_Data[Team],Dyno_Data[[#This Row],[Team]],Dyno_Data[RecordType],"StartMatch",Dyno_Data[Match],Dyno_Data[[#This Row],[Match]]),0)*86400),0)</f>
        <v>0</v>
      </c>
    </row>
    <row r="3209" spans="1:35" x14ac:dyDescent="0.3">
      <c r="A3209">
        <v>3208</v>
      </c>
      <c r="B3209" t="s">
        <v>1296</v>
      </c>
      <c r="C3209">
        <v>59</v>
      </c>
      <c r="D3209" s="105">
        <v>45374.383667476854</v>
      </c>
      <c r="E3209" t="s">
        <v>312</v>
      </c>
      <c r="F3209" t="s">
        <v>1402</v>
      </c>
      <c r="G3209">
        <v>0</v>
      </c>
      <c r="H3209" t="s">
        <v>315</v>
      </c>
      <c r="I3209">
        <v>0</v>
      </c>
      <c r="J3209">
        <v>0</v>
      </c>
      <c r="K3209">
        <v>0</v>
      </c>
      <c r="L3209" t="s">
        <v>241</v>
      </c>
      <c r="M3209" t="s">
        <v>1398</v>
      </c>
      <c r="N3209">
        <v>0</v>
      </c>
      <c r="O3209" t="s">
        <v>1393</v>
      </c>
      <c r="P3209" t="s">
        <v>310</v>
      </c>
      <c r="Q3209" t="s">
        <v>310</v>
      </c>
      <c r="R3209" t="s">
        <v>310</v>
      </c>
      <c r="S3209">
        <v>9</v>
      </c>
      <c r="T3209" t="s">
        <v>310</v>
      </c>
      <c r="U3209">
        <v>9</v>
      </c>
      <c r="V3209">
        <v>9</v>
      </c>
      <c r="W3209">
        <v>0</v>
      </c>
      <c r="X3209">
        <v>0</v>
      </c>
      <c r="Y3209">
        <v>0</v>
      </c>
      <c r="Z3209">
        <v>0</v>
      </c>
      <c r="AA3209">
        <v>9</v>
      </c>
      <c r="AB3209">
        <v>9</v>
      </c>
      <c r="AC3209" t="s">
        <v>310</v>
      </c>
      <c r="AD3209">
        <v>9</v>
      </c>
      <c r="AE3209" t="s">
        <v>1388</v>
      </c>
      <c r="AF3209">
        <v>50000000</v>
      </c>
      <c r="AG3209" t="s">
        <v>310</v>
      </c>
      <c r="AH3209">
        <f>SUM((MID(Dyno_Data[[#This Row],[Team]],4,5))+(Dyno_Data[[#This Row],[Match]]/100))</f>
        <v>3003.59</v>
      </c>
      <c r="AI3209" s="76">
        <f>ROUND(SUM(IF(Dyno_Data[[#This Row],[AcqCenter]]&gt;0,Dyno_Data[[#This Row],[Time]]-SUMIFS(Dyno_Data[Time],Dyno_Data[Team],Dyno_Data[[#This Row],[Team]],Dyno_Data[RecordType],"StartMatch",Dyno_Data[Match],Dyno_Data[[#This Row],[Match]]),0)*86400),0)</f>
        <v>0</v>
      </c>
    </row>
    <row r="3210" spans="1:35" x14ac:dyDescent="0.3">
      <c r="A3210">
        <v>3209</v>
      </c>
      <c r="B3210" t="s">
        <v>1318</v>
      </c>
      <c r="C3210">
        <v>59</v>
      </c>
      <c r="D3210" s="105">
        <v>45374.383682719905</v>
      </c>
      <c r="E3210" t="s">
        <v>312</v>
      </c>
      <c r="F3210" t="s">
        <v>1402</v>
      </c>
      <c r="G3210">
        <v>0</v>
      </c>
      <c r="H3210" t="s">
        <v>315</v>
      </c>
      <c r="I3210">
        <v>0</v>
      </c>
      <c r="J3210">
        <v>0</v>
      </c>
      <c r="K3210">
        <v>0</v>
      </c>
      <c r="L3210" t="s">
        <v>240</v>
      </c>
      <c r="M3210" t="s">
        <v>1398</v>
      </c>
      <c r="N3210">
        <v>0</v>
      </c>
      <c r="O3210" t="s">
        <v>1391</v>
      </c>
      <c r="P3210" t="s">
        <v>310</v>
      </c>
      <c r="Q3210" t="s">
        <v>310</v>
      </c>
      <c r="R3210" t="s">
        <v>310</v>
      </c>
      <c r="S3210">
        <v>9</v>
      </c>
      <c r="T3210" t="s">
        <v>310</v>
      </c>
      <c r="U3210">
        <v>9</v>
      </c>
      <c r="V3210">
        <v>9</v>
      </c>
      <c r="W3210">
        <v>0</v>
      </c>
      <c r="X3210">
        <v>0</v>
      </c>
      <c r="Y3210">
        <v>0</v>
      </c>
      <c r="Z3210">
        <v>0</v>
      </c>
      <c r="AA3210">
        <v>9</v>
      </c>
      <c r="AB3210">
        <v>9</v>
      </c>
      <c r="AC3210" t="s">
        <v>310</v>
      </c>
      <c r="AD3210">
        <v>9</v>
      </c>
      <c r="AE3210" t="s">
        <v>1394</v>
      </c>
      <c r="AF3210">
        <v>30000000</v>
      </c>
      <c r="AG3210" t="s">
        <v>310</v>
      </c>
      <c r="AH3210">
        <f>SUM((MID(Dyno_Data[[#This Row],[Team]],4,5))+(Dyno_Data[[#This Row],[Match]]/100))</f>
        <v>7709.59</v>
      </c>
      <c r="AI3210" s="76">
        <f>ROUND(SUM(IF(Dyno_Data[[#This Row],[AcqCenter]]&gt;0,Dyno_Data[[#This Row],[Time]]-SUMIFS(Dyno_Data[Time],Dyno_Data[Team],Dyno_Data[[#This Row],[Team]],Dyno_Data[RecordType],"StartMatch",Dyno_Data[Match],Dyno_Data[[#This Row],[Match]]),0)*86400),0)</f>
        <v>0</v>
      </c>
    </row>
    <row r="3211" spans="1:35" x14ac:dyDescent="0.3">
      <c r="A3211">
        <v>3210</v>
      </c>
      <c r="B3211" t="s">
        <v>368</v>
      </c>
      <c r="C3211">
        <v>59</v>
      </c>
      <c r="D3211" s="105">
        <v>45374.383697337966</v>
      </c>
      <c r="E3211" t="s">
        <v>312</v>
      </c>
      <c r="F3211" t="s">
        <v>1402</v>
      </c>
      <c r="G3211">
        <v>0</v>
      </c>
      <c r="H3211" t="s">
        <v>315</v>
      </c>
      <c r="I3211">
        <v>0</v>
      </c>
      <c r="J3211">
        <v>0</v>
      </c>
      <c r="K3211">
        <v>0</v>
      </c>
      <c r="L3211" t="s">
        <v>240</v>
      </c>
      <c r="M3211" t="s">
        <v>1398</v>
      </c>
      <c r="N3211">
        <v>0</v>
      </c>
      <c r="O3211" t="s">
        <v>1395</v>
      </c>
      <c r="P3211" t="s">
        <v>310</v>
      </c>
      <c r="Q3211" t="s">
        <v>310</v>
      </c>
      <c r="R3211" t="s">
        <v>310</v>
      </c>
      <c r="S3211">
        <v>9</v>
      </c>
      <c r="T3211" t="s">
        <v>310</v>
      </c>
      <c r="U3211">
        <v>9</v>
      </c>
      <c r="V3211">
        <v>9</v>
      </c>
      <c r="W3211">
        <v>0</v>
      </c>
      <c r="X3211">
        <v>0</v>
      </c>
      <c r="Y3211">
        <v>0</v>
      </c>
      <c r="Z3211">
        <v>0</v>
      </c>
      <c r="AA3211">
        <v>9</v>
      </c>
      <c r="AB3211">
        <v>9</v>
      </c>
      <c r="AC3211" t="s">
        <v>310</v>
      </c>
      <c r="AD3211">
        <v>9</v>
      </c>
      <c r="AE3211" t="s">
        <v>1396</v>
      </c>
      <c r="AF3211">
        <v>20000000</v>
      </c>
      <c r="AG3211" t="s">
        <v>310</v>
      </c>
      <c r="AH3211">
        <f>SUM((MID(Dyno_Data[[#This Row],[Team]],4,5))+(Dyno_Data[[#This Row],[Match]]/100))</f>
        <v>6401.59</v>
      </c>
      <c r="AI3211" s="76">
        <f>ROUND(SUM(IF(Dyno_Data[[#This Row],[AcqCenter]]&gt;0,Dyno_Data[[#This Row],[Time]]-SUMIFS(Dyno_Data[Time],Dyno_Data[Team],Dyno_Data[[#This Row],[Team]],Dyno_Data[RecordType],"StartMatch",Dyno_Data[Match],Dyno_Data[[#This Row],[Match]]),0)*86400),0)</f>
        <v>0</v>
      </c>
    </row>
    <row r="3212" spans="1:35" x14ac:dyDescent="0.3">
      <c r="A3212">
        <v>3211</v>
      </c>
      <c r="B3212" t="s">
        <v>1275</v>
      </c>
      <c r="C3212">
        <v>59</v>
      </c>
      <c r="D3212" s="105">
        <v>45374.383776770832</v>
      </c>
      <c r="E3212" t="s">
        <v>312</v>
      </c>
      <c r="F3212" t="s">
        <v>1402</v>
      </c>
      <c r="G3212">
        <v>0</v>
      </c>
      <c r="H3212" t="s">
        <v>315</v>
      </c>
      <c r="I3212">
        <v>0</v>
      </c>
      <c r="J3212">
        <v>0</v>
      </c>
      <c r="K3212">
        <v>0</v>
      </c>
      <c r="L3212" t="s">
        <v>241</v>
      </c>
      <c r="M3212" t="s">
        <v>101</v>
      </c>
      <c r="N3212">
        <v>1</v>
      </c>
      <c r="O3212" t="s">
        <v>1389</v>
      </c>
      <c r="P3212" t="s">
        <v>310</v>
      </c>
      <c r="Q3212" t="s">
        <v>310</v>
      </c>
      <c r="R3212" t="s">
        <v>310</v>
      </c>
      <c r="S3212">
        <v>9</v>
      </c>
      <c r="T3212" t="s">
        <v>310</v>
      </c>
      <c r="U3212">
        <v>9</v>
      </c>
      <c r="V3212">
        <v>9</v>
      </c>
      <c r="W3212">
        <v>0</v>
      </c>
      <c r="X3212">
        <v>0</v>
      </c>
      <c r="Y3212">
        <v>0</v>
      </c>
      <c r="Z3212">
        <v>0</v>
      </c>
      <c r="AA3212">
        <v>9</v>
      </c>
      <c r="AB3212">
        <v>9</v>
      </c>
      <c r="AC3212" t="s">
        <v>310</v>
      </c>
      <c r="AD3212">
        <v>9</v>
      </c>
      <c r="AE3212" t="s">
        <v>1387</v>
      </c>
      <c r="AF3212">
        <v>20000000</v>
      </c>
      <c r="AG3212" t="s">
        <v>310</v>
      </c>
      <c r="AH3212">
        <f>SUM((MID(Dyno_Data[[#This Row],[Team]],4,5))+(Dyno_Data[[#This Row],[Match]]/100))</f>
        <v>1880.59</v>
      </c>
      <c r="AI3212" s="76">
        <f>ROUND(SUM(IF(Dyno_Data[[#This Row],[AcqCenter]]&gt;0,Dyno_Data[[#This Row],[Time]]-SUMIFS(Dyno_Data[Time],Dyno_Data[Team],Dyno_Data[[#This Row],[Team]],Dyno_Data[RecordType],"StartMatch",Dyno_Data[Match],Dyno_Data[[#This Row],[Match]]),0)*86400),0)</f>
        <v>0</v>
      </c>
    </row>
    <row r="3213" spans="1:35" x14ac:dyDescent="0.3">
      <c r="A3213">
        <v>3212</v>
      </c>
      <c r="B3213" t="s">
        <v>372</v>
      </c>
      <c r="C3213">
        <v>59</v>
      </c>
      <c r="D3213" s="105">
        <v>45374.38387164352</v>
      </c>
      <c r="E3213" t="s">
        <v>312</v>
      </c>
      <c r="F3213" t="s">
        <v>1402</v>
      </c>
      <c r="G3213">
        <v>0</v>
      </c>
      <c r="H3213" t="s">
        <v>315</v>
      </c>
      <c r="I3213">
        <v>0</v>
      </c>
      <c r="J3213">
        <v>0</v>
      </c>
      <c r="K3213">
        <v>0</v>
      </c>
      <c r="L3213" t="s">
        <v>241</v>
      </c>
      <c r="M3213" t="s">
        <v>1398</v>
      </c>
      <c r="N3213">
        <v>0</v>
      </c>
      <c r="O3213" t="s">
        <v>319</v>
      </c>
      <c r="P3213" t="s">
        <v>310</v>
      </c>
      <c r="Q3213" t="s">
        <v>310</v>
      </c>
      <c r="R3213" t="s">
        <v>310</v>
      </c>
      <c r="S3213">
        <v>9</v>
      </c>
      <c r="T3213" t="s">
        <v>310</v>
      </c>
      <c r="U3213">
        <v>9</v>
      </c>
      <c r="V3213">
        <v>9</v>
      </c>
      <c r="W3213">
        <v>0</v>
      </c>
      <c r="X3213">
        <v>0</v>
      </c>
      <c r="Y3213">
        <v>0</v>
      </c>
      <c r="Z3213">
        <v>0</v>
      </c>
      <c r="AA3213">
        <v>9</v>
      </c>
      <c r="AB3213">
        <v>9</v>
      </c>
      <c r="AC3213" t="s">
        <v>310</v>
      </c>
      <c r="AD3213">
        <v>9</v>
      </c>
      <c r="AE3213" t="s">
        <v>1390</v>
      </c>
      <c r="AF3213">
        <v>70000000</v>
      </c>
      <c r="AG3213" t="s">
        <v>310</v>
      </c>
      <c r="AH3213">
        <f>SUM((MID(Dyno_Data[[#This Row],[Team]],4,5))+(Dyno_Data[[#This Row],[Match]]/100))</f>
        <v>7504.59</v>
      </c>
      <c r="AI3213" s="76">
        <f>ROUND(SUM(IF(Dyno_Data[[#This Row],[AcqCenter]]&gt;0,Dyno_Data[[#This Row],[Time]]-SUMIFS(Dyno_Data[Time],Dyno_Data[Team],Dyno_Data[[#This Row],[Team]],Dyno_Data[RecordType],"StartMatch",Dyno_Data[Match],Dyno_Data[[#This Row],[Match]]),0)*86400),0)</f>
        <v>0</v>
      </c>
    </row>
    <row r="3214" spans="1:35" x14ac:dyDescent="0.3">
      <c r="A3214">
        <v>3213</v>
      </c>
      <c r="B3214" t="s">
        <v>1318</v>
      </c>
      <c r="C3214">
        <v>59</v>
      </c>
      <c r="D3214" s="105">
        <v>45374.383895104169</v>
      </c>
      <c r="E3214" t="s">
        <v>312</v>
      </c>
      <c r="F3214" t="s">
        <v>1402</v>
      </c>
      <c r="G3214">
        <v>0</v>
      </c>
      <c r="H3214" t="s">
        <v>315</v>
      </c>
      <c r="I3214">
        <v>0</v>
      </c>
      <c r="J3214">
        <v>0</v>
      </c>
      <c r="K3214">
        <v>0</v>
      </c>
      <c r="L3214" t="s">
        <v>240</v>
      </c>
      <c r="M3214" t="s">
        <v>1398</v>
      </c>
      <c r="N3214">
        <v>0</v>
      </c>
      <c r="O3214" t="s">
        <v>1391</v>
      </c>
      <c r="P3214" t="s">
        <v>310</v>
      </c>
      <c r="Q3214" t="s">
        <v>310</v>
      </c>
      <c r="R3214" t="s">
        <v>310</v>
      </c>
      <c r="S3214">
        <v>9</v>
      </c>
      <c r="T3214" t="s">
        <v>310</v>
      </c>
      <c r="U3214">
        <v>9</v>
      </c>
      <c r="V3214">
        <v>9</v>
      </c>
      <c r="W3214">
        <v>0</v>
      </c>
      <c r="X3214">
        <v>0</v>
      </c>
      <c r="Y3214">
        <v>0</v>
      </c>
      <c r="Z3214">
        <v>0</v>
      </c>
      <c r="AA3214">
        <v>9</v>
      </c>
      <c r="AB3214">
        <v>9</v>
      </c>
      <c r="AC3214" t="s">
        <v>310</v>
      </c>
      <c r="AD3214">
        <v>9</v>
      </c>
      <c r="AE3214" t="s">
        <v>1394</v>
      </c>
      <c r="AF3214">
        <v>40000000</v>
      </c>
      <c r="AG3214" t="s">
        <v>310</v>
      </c>
      <c r="AH3214">
        <f>SUM((MID(Dyno_Data[[#This Row],[Team]],4,5))+(Dyno_Data[[#This Row],[Match]]/100))</f>
        <v>7709.59</v>
      </c>
      <c r="AI3214" s="76">
        <f>ROUND(SUM(IF(Dyno_Data[[#This Row],[AcqCenter]]&gt;0,Dyno_Data[[#This Row],[Time]]-SUMIFS(Dyno_Data[Time],Dyno_Data[Team],Dyno_Data[[#This Row],[Team]],Dyno_Data[RecordType],"StartMatch",Dyno_Data[Match],Dyno_Data[[#This Row],[Match]]),0)*86400),0)</f>
        <v>0</v>
      </c>
    </row>
    <row r="3215" spans="1:35" x14ac:dyDescent="0.3">
      <c r="A3215">
        <v>3214</v>
      </c>
      <c r="B3215" t="s">
        <v>1296</v>
      </c>
      <c r="C3215">
        <v>59</v>
      </c>
      <c r="D3215" s="105">
        <v>45374.383932291668</v>
      </c>
      <c r="E3215" t="s">
        <v>312</v>
      </c>
      <c r="F3215" t="s">
        <v>1402</v>
      </c>
      <c r="G3215">
        <v>0</v>
      </c>
      <c r="H3215" t="s">
        <v>315</v>
      </c>
      <c r="I3215">
        <v>0</v>
      </c>
      <c r="J3215">
        <v>0</v>
      </c>
      <c r="K3215">
        <v>0</v>
      </c>
      <c r="L3215" t="s">
        <v>241</v>
      </c>
      <c r="M3215" t="s">
        <v>1398</v>
      </c>
      <c r="N3215">
        <v>0</v>
      </c>
      <c r="O3215" t="s">
        <v>1393</v>
      </c>
      <c r="P3215" t="s">
        <v>310</v>
      </c>
      <c r="Q3215" t="s">
        <v>310</v>
      </c>
      <c r="R3215" t="s">
        <v>310</v>
      </c>
      <c r="S3215">
        <v>9</v>
      </c>
      <c r="T3215" t="s">
        <v>310</v>
      </c>
      <c r="U3215">
        <v>9</v>
      </c>
      <c r="V3215">
        <v>9</v>
      </c>
      <c r="W3215">
        <v>0</v>
      </c>
      <c r="X3215">
        <v>0</v>
      </c>
      <c r="Y3215">
        <v>0</v>
      </c>
      <c r="Z3215">
        <v>0</v>
      </c>
      <c r="AA3215">
        <v>9</v>
      </c>
      <c r="AB3215">
        <v>9</v>
      </c>
      <c r="AC3215" t="s">
        <v>310</v>
      </c>
      <c r="AD3215">
        <v>9</v>
      </c>
      <c r="AE3215" t="s">
        <v>1388</v>
      </c>
      <c r="AF3215">
        <v>60000000</v>
      </c>
      <c r="AG3215" t="s">
        <v>310</v>
      </c>
      <c r="AH3215">
        <f>SUM((MID(Dyno_Data[[#This Row],[Team]],4,5))+(Dyno_Data[[#This Row],[Match]]/100))</f>
        <v>3003.59</v>
      </c>
      <c r="AI3215" s="76">
        <f>ROUND(SUM(IF(Dyno_Data[[#This Row],[AcqCenter]]&gt;0,Dyno_Data[[#This Row],[Time]]-SUMIFS(Dyno_Data[Time],Dyno_Data[Team],Dyno_Data[[#This Row],[Team]],Dyno_Data[RecordType],"StartMatch",Dyno_Data[Match],Dyno_Data[[#This Row],[Match]]),0)*86400),0)</f>
        <v>0</v>
      </c>
    </row>
    <row r="3216" spans="1:35" x14ac:dyDescent="0.3">
      <c r="A3216">
        <v>3215</v>
      </c>
      <c r="B3216" t="s">
        <v>1296</v>
      </c>
      <c r="C3216">
        <v>59</v>
      </c>
      <c r="D3216" s="105">
        <v>45374.383987037036</v>
      </c>
      <c r="E3216" t="s">
        <v>312</v>
      </c>
      <c r="F3216" t="s">
        <v>1402</v>
      </c>
      <c r="G3216">
        <v>0</v>
      </c>
      <c r="H3216" t="s">
        <v>315</v>
      </c>
      <c r="I3216">
        <v>0</v>
      </c>
      <c r="J3216">
        <v>0</v>
      </c>
      <c r="K3216">
        <v>0</v>
      </c>
      <c r="L3216" t="s">
        <v>241</v>
      </c>
      <c r="M3216" t="s">
        <v>1398</v>
      </c>
      <c r="N3216">
        <v>0</v>
      </c>
      <c r="O3216" t="s">
        <v>1393</v>
      </c>
      <c r="P3216" t="s">
        <v>310</v>
      </c>
      <c r="Q3216" t="s">
        <v>310</v>
      </c>
      <c r="R3216" t="s">
        <v>310</v>
      </c>
      <c r="S3216">
        <v>9</v>
      </c>
      <c r="T3216" t="s">
        <v>310</v>
      </c>
      <c r="U3216">
        <v>9</v>
      </c>
      <c r="V3216">
        <v>9</v>
      </c>
      <c r="W3216">
        <v>0</v>
      </c>
      <c r="X3216">
        <v>0</v>
      </c>
      <c r="Y3216">
        <v>0</v>
      </c>
      <c r="Z3216">
        <v>0</v>
      </c>
      <c r="AA3216">
        <v>9</v>
      </c>
      <c r="AB3216">
        <v>9</v>
      </c>
      <c r="AC3216" t="s">
        <v>310</v>
      </c>
      <c r="AD3216">
        <v>9</v>
      </c>
      <c r="AE3216" t="s">
        <v>1388</v>
      </c>
      <c r="AF3216">
        <v>70000000</v>
      </c>
      <c r="AG3216" t="s">
        <v>310</v>
      </c>
      <c r="AH3216">
        <f>SUM((MID(Dyno_Data[[#This Row],[Team]],4,5))+(Dyno_Data[[#This Row],[Match]]/100))</f>
        <v>3003.59</v>
      </c>
      <c r="AI3216" s="76">
        <f>ROUND(SUM(IF(Dyno_Data[[#This Row],[AcqCenter]]&gt;0,Dyno_Data[[#This Row],[Time]]-SUMIFS(Dyno_Data[Time],Dyno_Data[Team],Dyno_Data[[#This Row],[Team]],Dyno_Data[RecordType],"StartMatch",Dyno_Data[Match],Dyno_Data[[#This Row],[Match]]),0)*86400),0)</f>
        <v>0</v>
      </c>
    </row>
    <row r="3217" spans="1:35" x14ac:dyDescent="0.3">
      <c r="A3217">
        <v>3216</v>
      </c>
      <c r="B3217" t="s">
        <v>1275</v>
      </c>
      <c r="C3217">
        <v>59</v>
      </c>
      <c r="D3217" s="105">
        <v>45374.384062696758</v>
      </c>
      <c r="E3217" t="s">
        <v>312</v>
      </c>
      <c r="F3217" t="s">
        <v>1402</v>
      </c>
      <c r="G3217">
        <v>0</v>
      </c>
      <c r="H3217" t="s">
        <v>315</v>
      </c>
      <c r="I3217">
        <v>0</v>
      </c>
      <c r="J3217">
        <v>0</v>
      </c>
      <c r="K3217">
        <v>0</v>
      </c>
      <c r="L3217" t="s">
        <v>241</v>
      </c>
      <c r="M3217" t="s">
        <v>101</v>
      </c>
      <c r="N3217">
        <v>1</v>
      </c>
      <c r="O3217" t="s">
        <v>1389</v>
      </c>
      <c r="P3217" t="s">
        <v>310</v>
      </c>
      <c r="Q3217" t="s">
        <v>310</v>
      </c>
      <c r="R3217" t="s">
        <v>310</v>
      </c>
      <c r="S3217">
        <v>9</v>
      </c>
      <c r="T3217" t="s">
        <v>310</v>
      </c>
      <c r="U3217">
        <v>9</v>
      </c>
      <c r="V3217">
        <v>9</v>
      </c>
      <c r="W3217">
        <v>0</v>
      </c>
      <c r="X3217">
        <v>0</v>
      </c>
      <c r="Y3217">
        <v>0</v>
      </c>
      <c r="Z3217">
        <v>0</v>
      </c>
      <c r="AA3217">
        <v>9</v>
      </c>
      <c r="AB3217">
        <v>9</v>
      </c>
      <c r="AC3217" t="s">
        <v>310</v>
      </c>
      <c r="AD3217">
        <v>9</v>
      </c>
      <c r="AE3217" t="s">
        <v>1387</v>
      </c>
      <c r="AF3217">
        <v>30000000</v>
      </c>
      <c r="AG3217" t="s">
        <v>310</v>
      </c>
      <c r="AH3217">
        <f>SUM((MID(Dyno_Data[[#This Row],[Team]],4,5))+(Dyno_Data[[#This Row],[Match]]/100))</f>
        <v>1880.59</v>
      </c>
      <c r="AI3217" s="76">
        <f>ROUND(SUM(IF(Dyno_Data[[#This Row],[AcqCenter]]&gt;0,Dyno_Data[[#This Row],[Time]]-SUMIFS(Dyno_Data[Time],Dyno_Data[Team],Dyno_Data[[#This Row],[Team]],Dyno_Data[RecordType],"StartMatch",Dyno_Data[Match],Dyno_Data[[#This Row],[Match]]),0)*86400),0)</f>
        <v>0</v>
      </c>
    </row>
    <row r="3218" spans="1:35" x14ac:dyDescent="0.3">
      <c r="A3218">
        <v>3217</v>
      </c>
      <c r="B3218" t="s">
        <v>1318</v>
      </c>
      <c r="C3218">
        <v>59</v>
      </c>
      <c r="D3218" s="105">
        <v>45374.384094016204</v>
      </c>
      <c r="E3218" t="s">
        <v>312</v>
      </c>
      <c r="F3218" t="s">
        <v>1402</v>
      </c>
      <c r="G3218">
        <v>0</v>
      </c>
      <c r="H3218" t="s">
        <v>315</v>
      </c>
      <c r="I3218">
        <v>0</v>
      </c>
      <c r="J3218">
        <v>0</v>
      </c>
      <c r="K3218">
        <v>0</v>
      </c>
      <c r="L3218" t="s">
        <v>240</v>
      </c>
      <c r="M3218" t="s">
        <v>1398</v>
      </c>
      <c r="N3218">
        <v>0</v>
      </c>
      <c r="O3218" t="s">
        <v>1391</v>
      </c>
      <c r="P3218" t="s">
        <v>310</v>
      </c>
      <c r="Q3218" t="s">
        <v>310</v>
      </c>
      <c r="R3218" t="s">
        <v>310</v>
      </c>
      <c r="S3218">
        <v>9</v>
      </c>
      <c r="T3218" t="s">
        <v>310</v>
      </c>
      <c r="U3218">
        <v>9</v>
      </c>
      <c r="V3218">
        <v>9</v>
      </c>
      <c r="W3218">
        <v>0</v>
      </c>
      <c r="X3218">
        <v>0</v>
      </c>
      <c r="Y3218">
        <v>0</v>
      </c>
      <c r="Z3218">
        <v>0</v>
      </c>
      <c r="AA3218">
        <v>9</v>
      </c>
      <c r="AB3218">
        <v>9</v>
      </c>
      <c r="AC3218" t="s">
        <v>310</v>
      </c>
      <c r="AD3218">
        <v>9</v>
      </c>
      <c r="AE3218" t="s">
        <v>1394</v>
      </c>
      <c r="AF3218">
        <v>50000000</v>
      </c>
      <c r="AG3218" t="s">
        <v>310</v>
      </c>
      <c r="AH3218">
        <f>SUM((MID(Dyno_Data[[#This Row],[Team]],4,5))+(Dyno_Data[[#This Row],[Match]]/100))</f>
        <v>7709.59</v>
      </c>
      <c r="AI3218" s="76">
        <f>ROUND(SUM(IF(Dyno_Data[[#This Row],[AcqCenter]]&gt;0,Dyno_Data[[#This Row],[Time]]-SUMIFS(Dyno_Data[Time],Dyno_Data[Team],Dyno_Data[[#This Row],[Team]],Dyno_Data[RecordType],"StartMatch",Dyno_Data[Match],Dyno_Data[[#This Row],[Match]]),0)*86400),0)</f>
        <v>0</v>
      </c>
    </row>
    <row r="3219" spans="1:35" x14ac:dyDescent="0.3">
      <c r="A3219">
        <v>3218</v>
      </c>
      <c r="B3219" t="s">
        <v>368</v>
      </c>
      <c r="C3219">
        <v>59</v>
      </c>
      <c r="D3219" s="105">
        <v>45374.384097025461</v>
      </c>
      <c r="E3219" t="s">
        <v>312</v>
      </c>
      <c r="F3219" t="s">
        <v>1402</v>
      </c>
      <c r="G3219">
        <v>0</v>
      </c>
      <c r="H3219" t="s">
        <v>315</v>
      </c>
      <c r="I3219">
        <v>0</v>
      </c>
      <c r="J3219">
        <v>0</v>
      </c>
      <c r="K3219">
        <v>0</v>
      </c>
      <c r="L3219" t="s">
        <v>240</v>
      </c>
      <c r="M3219" t="s">
        <v>1398</v>
      </c>
      <c r="N3219">
        <v>1</v>
      </c>
      <c r="O3219" t="s">
        <v>1395</v>
      </c>
      <c r="P3219" t="s">
        <v>310</v>
      </c>
      <c r="Q3219" t="s">
        <v>310</v>
      </c>
      <c r="R3219" t="s">
        <v>310</v>
      </c>
      <c r="S3219">
        <v>9</v>
      </c>
      <c r="T3219" t="s">
        <v>310</v>
      </c>
      <c r="U3219">
        <v>9</v>
      </c>
      <c r="V3219">
        <v>9</v>
      </c>
      <c r="W3219">
        <v>0</v>
      </c>
      <c r="X3219">
        <v>0</v>
      </c>
      <c r="Y3219">
        <v>0</v>
      </c>
      <c r="Z3219">
        <v>0</v>
      </c>
      <c r="AA3219">
        <v>9</v>
      </c>
      <c r="AB3219">
        <v>9</v>
      </c>
      <c r="AC3219" t="s">
        <v>310</v>
      </c>
      <c r="AD3219">
        <v>9</v>
      </c>
      <c r="AE3219" t="s">
        <v>1396</v>
      </c>
      <c r="AF3219">
        <v>30000000</v>
      </c>
      <c r="AG3219" t="s">
        <v>310</v>
      </c>
      <c r="AH3219">
        <f>SUM((MID(Dyno_Data[[#This Row],[Team]],4,5))+(Dyno_Data[[#This Row],[Match]]/100))</f>
        <v>6401.59</v>
      </c>
      <c r="AI3219" s="76">
        <f>ROUND(SUM(IF(Dyno_Data[[#This Row],[AcqCenter]]&gt;0,Dyno_Data[[#This Row],[Time]]-SUMIFS(Dyno_Data[Time],Dyno_Data[Team],Dyno_Data[[#This Row],[Team]],Dyno_Data[RecordType],"StartMatch",Dyno_Data[Match],Dyno_Data[[#This Row],[Match]]),0)*86400),0)</f>
        <v>0</v>
      </c>
    </row>
    <row r="3220" spans="1:35" x14ac:dyDescent="0.3">
      <c r="A3220">
        <v>3219</v>
      </c>
      <c r="B3220" t="s">
        <v>372</v>
      </c>
      <c r="C3220">
        <v>59</v>
      </c>
      <c r="D3220" s="105">
        <v>45374.38414603009</v>
      </c>
      <c r="E3220" t="s">
        <v>312</v>
      </c>
      <c r="F3220" t="s">
        <v>1402</v>
      </c>
      <c r="G3220">
        <v>0</v>
      </c>
      <c r="H3220" t="s">
        <v>315</v>
      </c>
      <c r="I3220">
        <v>0</v>
      </c>
      <c r="J3220">
        <v>0</v>
      </c>
      <c r="K3220">
        <v>0</v>
      </c>
      <c r="L3220" t="s">
        <v>240</v>
      </c>
      <c r="M3220" t="s">
        <v>1398</v>
      </c>
      <c r="N3220">
        <v>0</v>
      </c>
      <c r="O3220" t="s">
        <v>319</v>
      </c>
      <c r="P3220" t="s">
        <v>310</v>
      </c>
      <c r="Q3220" t="s">
        <v>310</v>
      </c>
      <c r="R3220" t="s">
        <v>310</v>
      </c>
      <c r="S3220">
        <v>9</v>
      </c>
      <c r="T3220" t="s">
        <v>310</v>
      </c>
      <c r="U3220">
        <v>9</v>
      </c>
      <c r="V3220">
        <v>9</v>
      </c>
      <c r="W3220">
        <v>0</v>
      </c>
      <c r="X3220">
        <v>0</v>
      </c>
      <c r="Y3220">
        <v>0</v>
      </c>
      <c r="Z3220">
        <v>0</v>
      </c>
      <c r="AA3220">
        <v>9</v>
      </c>
      <c r="AB3220">
        <v>9</v>
      </c>
      <c r="AC3220" t="s">
        <v>310</v>
      </c>
      <c r="AD3220">
        <v>9</v>
      </c>
      <c r="AE3220" t="s">
        <v>1390</v>
      </c>
      <c r="AF3220">
        <v>80000000</v>
      </c>
      <c r="AG3220" t="s">
        <v>310</v>
      </c>
      <c r="AH3220">
        <f>SUM((MID(Dyno_Data[[#This Row],[Team]],4,5))+(Dyno_Data[[#This Row],[Match]]/100))</f>
        <v>7504.59</v>
      </c>
      <c r="AI3220" s="76">
        <f>ROUND(SUM(IF(Dyno_Data[[#This Row],[AcqCenter]]&gt;0,Dyno_Data[[#This Row],[Time]]-SUMIFS(Dyno_Data[Time],Dyno_Data[Team],Dyno_Data[[#This Row],[Team]],Dyno_Data[RecordType],"StartMatch",Dyno_Data[Match],Dyno_Data[[#This Row],[Match]]),0)*86400),0)</f>
        <v>0</v>
      </c>
    </row>
    <row r="3221" spans="1:35" x14ac:dyDescent="0.3">
      <c r="A3221">
        <v>3220</v>
      </c>
      <c r="B3221" t="s">
        <v>1296</v>
      </c>
      <c r="C3221">
        <v>59</v>
      </c>
      <c r="D3221" s="105">
        <v>45374.384196331019</v>
      </c>
      <c r="E3221" t="s">
        <v>312</v>
      </c>
      <c r="F3221" t="s">
        <v>1402</v>
      </c>
      <c r="G3221">
        <v>0</v>
      </c>
      <c r="H3221" t="s">
        <v>315</v>
      </c>
      <c r="I3221">
        <v>0</v>
      </c>
      <c r="J3221">
        <v>0</v>
      </c>
      <c r="K3221">
        <v>0</v>
      </c>
      <c r="L3221" t="s">
        <v>241</v>
      </c>
      <c r="M3221" t="s">
        <v>1398</v>
      </c>
      <c r="N3221">
        <v>0</v>
      </c>
      <c r="O3221" t="s">
        <v>1393</v>
      </c>
      <c r="P3221" t="s">
        <v>310</v>
      </c>
      <c r="Q3221" t="s">
        <v>310</v>
      </c>
      <c r="R3221" t="s">
        <v>310</v>
      </c>
      <c r="S3221">
        <v>9</v>
      </c>
      <c r="T3221" t="s">
        <v>310</v>
      </c>
      <c r="U3221">
        <v>9</v>
      </c>
      <c r="V3221">
        <v>9</v>
      </c>
      <c r="W3221">
        <v>0</v>
      </c>
      <c r="X3221">
        <v>0</v>
      </c>
      <c r="Y3221">
        <v>0</v>
      </c>
      <c r="Z3221">
        <v>0</v>
      </c>
      <c r="AA3221">
        <v>9</v>
      </c>
      <c r="AB3221">
        <v>9</v>
      </c>
      <c r="AC3221" t="s">
        <v>310</v>
      </c>
      <c r="AD3221">
        <v>9</v>
      </c>
      <c r="AE3221" t="s">
        <v>1388</v>
      </c>
      <c r="AF3221">
        <v>80000000</v>
      </c>
      <c r="AG3221" t="s">
        <v>310</v>
      </c>
      <c r="AH3221">
        <f>SUM((MID(Dyno_Data[[#This Row],[Team]],4,5))+(Dyno_Data[[#This Row],[Match]]/100))</f>
        <v>3003.59</v>
      </c>
      <c r="AI3221" s="76">
        <f>ROUND(SUM(IF(Dyno_Data[[#This Row],[AcqCenter]]&gt;0,Dyno_Data[[#This Row],[Time]]-SUMIFS(Dyno_Data[Time],Dyno_Data[Team],Dyno_Data[[#This Row],[Team]],Dyno_Data[RecordType],"StartMatch",Dyno_Data[Match],Dyno_Data[[#This Row],[Match]]),0)*86400),0)</f>
        <v>0</v>
      </c>
    </row>
    <row r="3222" spans="1:35" x14ac:dyDescent="0.3">
      <c r="A3222">
        <v>3221</v>
      </c>
      <c r="B3222" t="s">
        <v>1296</v>
      </c>
      <c r="C3222">
        <v>59</v>
      </c>
      <c r="D3222" s="105">
        <v>45374.384258761573</v>
      </c>
      <c r="E3222" t="s">
        <v>312</v>
      </c>
      <c r="F3222" t="s">
        <v>1402</v>
      </c>
      <c r="G3222">
        <v>0</v>
      </c>
      <c r="H3222" t="s">
        <v>315</v>
      </c>
      <c r="I3222">
        <v>0</v>
      </c>
      <c r="J3222">
        <v>0</v>
      </c>
      <c r="K3222">
        <v>0</v>
      </c>
      <c r="L3222" t="s">
        <v>241</v>
      </c>
      <c r="M3222" t="s">
        <v>1398</v>
      </c>
      <c r="N3222">
        <v>0</v>
      </c>
      <c r="O3222" t="s">
        <v>1393</v>
      </c>
      <c r="P3222" t="s">
        <v>310</v>
      </c>
      <c r="Q3222" t="s">
        <v>310</v>
      </c>
      <c r="R3222" t="s">
        <v>310</v>
      </c>
      <c r="S3222">
        <v>9</v>
      </c>
      <c r="T3222" t="s">
        <v>310</v>
      </c>
      <c r="U3222">
        <v>9</v>
      </c>
      <c r="V3222">
        <v>9</v>
      </c>
      <c r="W3222">
        <v>0</v>
      </c>
      <c r="X3222">
        <v>0</v>
      </c>
      <c r="Y3222">
        <v>0</v>
      </c>
      <c r="Z3222">
        <v>0</v>
      </c>
      <c r="AA3222">
        <v>9</v>
      </c>
      <c r="AB3222">
        <v>9</v>
      </c>
      <c r="AC3222" t="s">
        <v>310</v>
      </c>
      <c r="AD3222">
        <v>9</v>
      </c>
      <c r="AE3222" t="s">
        <v>1388</v>
      </c>
      <c r="AF3222">
        <v>90000000</v>
      </c>
      <c r="AG3222" t="s">
        <v>310</v>
      </c>
      <c r="AH3222">
        <f>SUM((MID(Dyno_Data[[#This Row],[Team]],4,5))+(Dyno_Data[[#This Row],[Match]]/100))</f>
        <v>3003.59</v>
      </c>
      <c r="AI3222" s="76">
        <f>ROUND(SUM(IF(Dyno_Data[[#This Row],[AcqCenter]]&gt;0,Dyno_Data[[#This Row],[Time]]-SUMIFS(Dyno_Data[Time],Dyno_Data[Team],Dyno_Data[[#This Row],[Team]],Dyno_Data[RecordType],"StartMatch",Dyno_Data[Match],Dyno_Data[[#This Row],[Match]]),0)*86400),0)</f>
        <v>0</v>
      </c>
    </row>
    <row r="3223" spans="1:35" x14ac:dyDescent="0.3">
      <c r="A3223">
        <v>3222</v>
      </c>
      <c r="B3223" t="s">
        <v>1318</v>
      </c>
      <c r="C3223">
        <v>59</v>
      </c>
      <c r="D3223" s="105">
        <v>45374.384281481478</v>
      </c>
      <c r="E3223" t="s">
        <v>312</v>
      </c>
      <c r="F3223" t="s">
        <v>1402</v>
      </c>
      <c r="G3223">
        <v>0</v>
      </c>
      <c r="H3223" t="s">
        <v>315</v>
      </c>
      <c r="I3223">
        <v>0</v>
      </c>
      <c r="J3223">
        <v>0</v>
      </c>
      <c r="K3223">
        <v>0</v>
      </c>
      <c r="L3223" t="s">
        <v>240</v>
      </c>
      <c r="M3223" t="s">
        <v>1398</v>
      </c>
      <c r="N3223">
        <v>0</v>
      </c>
      <c r="O3223" t="s">
        <v>1391</v>
      </c>
      <c r="P3223" t="s">
        <v>310</v>
      </c>
      <c r="Q3223" t="s">
        <v>310</v>
      </c>
      <c r="R3223" t="s">
        <v>310</v>
      </c>
      <c r="S3223">
        <v>9</v>
      </c>
      <c r="T3223" t="s">
        <v>310</v>
      </c>
      <c r="U3223">
        <v>9</v>
      </c>
      <c r="V3223">
        <v>9</v>
      </c>
      <c r="W3223">
        <v>0</v>
      </c>
      <c r="X3223">
        <v>0</v>
      </c>
      <c r="Y3223">
        <v>0</v>
      </c>
      <c r="Z3223">
        <v>0</v>
      </c>
      <c r="AA3223">
        <v>9</v>
      </c>
      <c r="AB3223">
        <v>9</v>
      </c>
      <c r="AC3223" t="s">
        <v>310</v>
      </c>
      <c r="AD3223">
        <v>9</v>
      </c>
      <c r="AE3223" t="s">
        <v>1394</v>
      </c>
      <c r="AF3223">
        <v>60000000</v>
      </c>
      <c r="AG3223" t="s">
        <v>310</v>
      </c>
      <c r="AH3223">
        <f>SUM((MID(Dyno_Data[[#This Row],[Team]],4,5))+(Dyno_Data[[#This Row],[Match]]/100))</f>
        <v>7709.59</v>
      </c>
      <c r="AI3223" s="76">
        <f>ROUND(SUM(IF(Dyno_Data[[#This Row],[AcqCenter]]&gt;0,Dyno_Data[[#This Row],[Time]]-SUMIFS(Dyno_Data[Time],Dyno_Data[Team],Dyno_Data[[#This Row],[Team]],Dyno_Data[RecordType],"StartMatch",Dyno_Data[Match],Dyno_Data[[#This Row],[Match]]),0)*86400),0)</f>
        <v>0</v>
      </c>
    </row>
    <row r="3224" spans="1:35" x14ac:dyDescent="0.3">
      <c r="A3224">
        <v>3223</v>
      </c>
      <c r="B3224" t="s">
        <v>1296</v>
      </c>
      <c r="C3224">
        <v>59</v>
      </c>
      <c r="D3224" s="105">
        <v>45374.384330173612</v>
      </c>
      <c r="E3224" t="s">
        <v>312</v>
      </c>
      <c r="F3224" t="s">
        <v>1402</v>
      </c>
      <c r="G3224">
        <v>0</v>
      </c>
      <c r="H3224" t="s">
        <v>315</v>
      </c>
      <c r="I3224">
        <v>0</v>
      </c>
      <c r="J3224">
        <v>0</v>
      </c>
      <c r="K3224">
        <v>0</v>
      </c>
      <c r="L3224" t="s">
        <v>241</v>
      </c>
      <c r="M3224" t="s">
        <v>1398</v>
      </c>
      <c r="N3224">
        <v>0</v>
      </c>
      <c r="O3224" t="s">
        <v>1393</v>
      </c>
      <c r="P3224" t="s">
        <v>310</v>
      </c>
      <c r="Q3224" t="s">
        <v>310</v>
      </c>
      <c r="R3224" t="s">
        <v>310</v>
      </c>
      <c r="S3224">
        <v>9</v>
      </c>
      <c r="T3224" t="s">
        <v>310</v>
      </c>
      <c r="U3224">
        <v>9</v>
      </c>
      <c r="V3224">
        <v>9</v>
      </c>
      <c r="W3224">
        <v>0</v>
      </c>
      <c r="X3224">
        <v>0</v>
      </c>
      <c r="Y3224">
        <v>0</v>
      </c>
      <c r="Z3224">
        <v>0</v>
      </c>
      <c r="AA3224">
        <v>9</v>
      </c>
      <c r="AB3224">
        <v>9</v>
      </c>
      <c r="AC3224" t="s">
        <v>310</v>
      </c>
      <c r="AD3224">
        <v>9</v>
      </c>
      <c r="AE3224" t="s">
        <v>1388</v>
      </c>
      <c r="AF3224">
        <v>100000000</v>
      </c>
      <c r="AG3224" t="s">
        <v>310</v>
      </c>
      <c r="AH3224">
        <f>SUM((MID(Dyno_Data[[#This Row],[Team]],4,5))+(Dyno_Data[[#This Row],[Match]]/100))</f>
        <v>3003.59</v>
      </c>
      <c r="AI3224" s="76">
        <f>ROUND(SUM(IF(Dyno_Data[[#This Row],[AcqCenter]]&gt;0,Dyno_Data[[#This Row],[Time]]-SUMIFS(Dyno_Data[Time],Dyno_Data[Team],Dyno_Data[[#This Row],[Team]],Dyno_Data[RecordType],"StartMatch",Dyno_Data[Match],Dyno_Data[[#This Row],[Match]]),0)*86400),0)</f>
        <v>0</v>
      </c>
    </row>
    <row r="3225" spans="1:35" x14ac:dyDescent="0.3">
      <c r="A3225">
        <v>3224</v>
      </c>
      <c r="B3225" t="s">
        <v>1275</v>
      </c>
      <c r="C3225">
        <v>59</v>
      </c>
      <c r="D3225" s="105">
        <v>45374.384362928242</v>
      </c>
      <c r="E3225" t="s">
        <v>312</v>
      </c>
      <c r="F3225" t="s">
        <v>1402</v>
      </c>
      <c r="G3225">
        <v>0</v>
      </c>
      <c r="H3225" t="s">
        <v>315</v>
      </c>
      <c r="I3225">
        <v>0</v>
      </c>
      <c r="J3225">
        <v>0</v>
      </c>
      <c r="K3225">
        <v>0</v>
      </c>
      <c r="L3225" t="s">
        <v>241</v>
      </c>
      <c r="M3225" t="s">
        <v>1398</v>
      </c>
      <c r="N3225">
        <v>0</v>
      </c>
      <c r="O3225" t="s">
        <v>1389</v>
      </c>
      <c r="P3225" t="s">
        <v>310</v>
      </c>
      <c r="Q3225" t="s">
        <v>310</v>
      </c>
      <c r="R3225" t="s">
        <v>310</v>
      </c>
      <c r="S3225">
        <v>9</v>
      </c>
      <c r="T3225" t="s">
        <v>310</v>
      </c>
      <c r="U3225">
        <v>9</v>
      </c>
      <c r="V3225">
        <v>9</v>
      </c>
      <c r="W3225">
        <v>0</v>
      </c>
      <c r="X3225">
        <v>0</v>
      </c>
      <c r="Y3225">
        <v>0</v>
      </c>
      <c r="Z3225">
        <v>0</v>
      </c>
      <c r="AA3225">
        <v>9</v>
      </c>
      <c r="AB3225">
        <v>9</v>
      </c>
      <c r="AC3225" t="s">
        <v>310</v>
      </c>
      <c r="AD3225">
        <v>9</v>
      </c>
      <c r="AE3225" t="s">
        <v>1387</v>
      </c>
      <c r="AF3225">
        <v>40000000</v>
      </c>
      <c r="AG3225" t="s">
        <v>310</v>
      </c>
      <c r="AH3225">
        <f>SUM((MID(Dyno_Data[[#This Row],[Team]],4,5))+(Dyno_Data[[#This Row],[Match]]/100))</f>
        <v>1880.59</v>
      </c>
      <c r="AI3225" s="76">
        <f>ROUND(SUM(IF(Dyno_Data[[#This Row],[AcqCenter]]&gt;0,Dyno_Data[[#This Row],[Time]]-SUMIFS(Dyno_Data[Time],Dyno_Data[Team],Dyno_Data[[#This Row],[Team]],Dyno_Data[RecordType],"StartMatch",Dyno_Data[Match],Dyno_Data[[#This Row],[Match]]),0)*86400),0)</f>
        <v>0</v>
      </c>
    </row>
    <row r="3226" spans="1:35" x14ac:dyDescent="0.3">
      <c r="A3226">
        <v>3225</v>
      </c>
      <c r="B3226" t="s">
        <v>1296</v>
      </c>
      <c r="C3226">
        <v>59</v>
      </c>
      <c r="D3226" s="105">
        <v>45374.384491701392</v>
      </c>
      <c r="E3226" t="s">
        <v>312</v>
      </c>
      <c r="F3226" t="s">
        <v>1402</v>
      </c>
      <c r="G3226">
        <v>0</v>
      </c>
      <c r="H3226" t="s">
        <v>315</v>
      </c>
      <c r="I3226">
        <v>0</v>
      </c>
      <c r="J3226">
        <v>0</v>
      </c>
      <c r="K3226">
        <v>0</v>
      </c>
      <c r="L3226" t="s">
        <v>241</v>
      </c>
      <c r="M3226" t="s">
        <v>1398</v>
      </c>
      <c r="N3226">
        <v>0</v>
      </c>
      <c r="O3226" t="s">
        <v>1393</v>
      </c>
      <c r="P3226" t="s">
        <v>310</v>
      </c>
      <c r="Q3226" t="s">
        <v>310</v>
      </c>
      <c r="R3226" t="s">
        <v>310</v>
      </c>
      <c r="S3226">
        <v>9</v>
      </c>
      <c r="T3226" t="s">
        <v>310</v>
      </c>
      <c r="U3226">
        <v>9</v>
      </c>
      <c r="V3226">
        <v>9</v>
      </c>
      <c r="W3226">
        <v>0</v>
      </c>
      <c r="X3226">
        <v>0</v>
      </c>
      <c r="Y3226">
        <v>0</v>
      </c>
      <c r="Z3226">
        <v>0</v>
      </c>
      <c r="AA3226">
        <v>9</v>
      </c>
      <c r="AB3226">
        <v>9</v>
      </c>
      <c r="AC3226" t="s">
        <v>310</v>
      </c>
      <c r="AD3226">
        <v>9</v>
      </c>
      <c r="AE3226" t="s">
        <v>1388</v>
      </c>
      <c r="AF3226">
        <v>110000000</v>
      </c>
      <c r="AG3226" t="s">
        <v>310</v>
      </c>
      <c r="AH3226">
        <f>SUM((MID(Dyno_Data[[#This Row],[Team]],4,5))+(Dyno_Data[[#This Row],[Match]]/100))</f>
        <v>3003.59</v>
      </c>
      <c r="AI3226" s="76">
        <f>ROUND(SUM(IF(Dyno_Data[[#This Row],[AcqCenter]]&gt;0,Dyno_Data[[#This Row],[Time]]-SUMIFS(Dyno_Data[Time],Dyno_Data[Team],Dyno_Data[[#This Row],[Team]],Dyno_Data[RecordType],"StartMatch",Dyno_Data[Match],Dyno_Data[[#This Row],[Match]]),0)*86400),0)</f>
        <v>0</v>
      </c>
    </row>
    <row r="3227" spans="1:35" x14ac:dyDescent="0.3">
      <c r="A3227">
        <v>3226</v>
      </c>
      <c r="B3227" t="s">
        <v>1318</v>
      </c>
      <c r="C3227">
        <v>59</v>
      </c>
      <c r="D3227" s="105">
        <v>45374.384511377313</v>
      </c>
      <c r="E3227" t="s">
        <v>312</v>
      </c>
      <c r="F3227" t="s">
        <v>1402</v>
      </c>
      <c r="G3227">
        <v>0</v>
      </c>
      <c r="H3227" t="s">
        <v>315</v>
      </c>
      <c r="I3227">
        <v>0</v>
      </c>
      <c r="J3227">
        <v>0</v>
      </c>
      <c r="K3227">
        <v>0</v>
      </c>
      <c r="L3227" t="s">
        <v>240</v>
      </c>
      <c r="M3227" t="s">
        <v>1398</v>
      </c>
      <c r="N3227">
        <v>0</v>
      </c>
      <c r="O3227" t="s">
        <v>1391</v>
      </c>
      <c r="P3227" t="s">
        <v>310</v>
      </c>
      <c r="Q3227" t="s">
        <v>310</v>
      </c>
      <c r="R3227" t="s">
        <v>310</v>
      </c>
      <c r="S3227">
        <v>9</v>
      </c>
      <c r="T3227" t="s">
        <v>310</v>
      </c>
      <c r="U3227">
        <v>9</v>
      </c>
      <c r="V3227">
        <v>9</v>
      </c>
      <c r="W3227">
        <v>0</v>
      </c>
      <c r="X3227">
        <v>0</v>
      </c>
      <c r="Y3227">
        <v>0</v>
      </c>
      <c r="Z3227">
        <v>0</v>
      </c>
      <c r="AA3227">
        <v>9</v>
      </c>
      <c r="AB3227">
        <v>9</v>
      </c>
      <c r="AC3227" t="s">
        <v>310</v>
      </c>
      <c r="AD3227">
        <v>9</v>
      </c>
      <c r="AE3227" t="s">
        <v>1394</v>
      </c>
      <c r="AF3227">
        <v>70000000</v>
      </c>
      <c r="AG3227" t="s">
        <v>310</v>
      </c>
      <c r="AH3227">
        <f>SUM((MID(Dyno_Data[[#This Row],[Team]],4,5))+(Dyno_Data[[#This Row],[Match]]/100))</f>
        <v>7709.59</v>
      </c>
      <c r="AI3227" s="76">
        <f>ROUND(SUM(IF(Dyno_Data[[#This Row],[AcqCenter]]&gt;0,Dyno_Data[[#This Row],[Time]]-SUMIFS(Dyno_Data[Time],Dyno_Data[Team],Dyno_Data[[#This Row],[Team]],Dyno_Data[RecordType],"StartMatch",Dyno_Data[Match],Dyno_Data[[#This Row],[Match]]),0)*86400),0)</f>
        <v>0</v>
      </c>
    </row>
    <row r="3228" spans="1:35" x14ac:dyDescent="0.3">
      <c r="A3228">
        <v>3227</v>
      </c>
      <c r="B3228" t="s">
        <v>372</v>
      </c>
      <c r="C3228">
        <v>59</v>
      </c>
      <c r="D3228" s="105">
        <v>45374.384607488428</v>
      </c>
      <c r="E3228" t="s">
        <v>312</v>
      </c>
      <c r="F3228" t="s">
        <v>1402</v>
      </c>
      <c r="G3228">
        <v>0</v>
      </c>
      <c r="H3228" t="s">
        <v>315</v>
      </c>
      <c r="I3228">
        <v>0</v>
      </c>
      <c r="J3228">
        <v>0</v>
      </c>
      <c r="K3228">
        <v>0</v>
      </c>
      <c r="L3228" t="s">
        <v>241</v>
      </c>
      <c r="M3228" t="s">
        <v>1398</v>
      </c>
      <c r="N3228">
        <v>1</v>
      </c>
      <c r="O3228" t="s">
        <v>319</v>
      </c>
      <c r="P3228" t="s">
        <v>310</v>
      </c>
      <c r="Q3228" t="s">
        <v>310</v>
      </c>
      <c r="R3228" t="s">
        <v>310</v>
      </c>
      <c r="S3228">
        <v>9</v>
      </c>
      <c r="T3228" t="s">
        <v>310</v>
      </c>
      <c r="U3228">
        <v>9</v>
      </c>
      <c r="V3228">
        <v>9</v>
      </c>
      <c r="W3228">
        <v>0</v>
      </c>
      <c r="X3228">
        <v>0</v>
      </c>
      <c r="Y3228">
        <v>0</v>
      </c>
      <c r="Z3228">
        <v>0</v>
      </c>
      <c r="AA3228">
        <v>9</v>
      </c>
      <c r="AB3228">
        <v>9</v>
      </c>
      <c r="AC3228" t="s">
        <v>310</v>
      </c>
      <c r="AD3228">
        <v>9</v>
      </c>
      <c r="AE3228" t="s">
        <v>1390</v>
      </c>
      <c r="AF3228">
        <v>90000000</v>
      </c>
      <c r="AG3228" t="s">
        <v>310</v>
      </c>
      <c r="AH3228">
        <f>SUM((MID(Dyno_Data[[#This Row],[Team]],4,5))+(Dyno_Data[[#This Row],[Match]]/100))</f>
        <v>7504.59</v>
      </c>
      <c r="AI3228" s="76">
        <f>ROUND(SUM(IF(Dyno_Data[[#This Row],[AcqCenter]]&gt;0,Dyno_Data[[#This Row],[Time]]-SUMIFS(Dyno_Data[Time],Dyno_Data[Team],Dyno_Data[[#This Row],[Team]],Dyno_Data[RecordType],"StartMatch",Dyno_Data[Match],Dyno_Data[[#This Row],[Match]]),0)*86400),0)</f>
        <v>0</v>
      </c>
    </row>
    <row r="3229" spans="1:35" x14ac:dyDescent="0.3">
      <c r="A3229">
        <v>3228</v>
      </c>
      <c r="B3229" t="s">
        <v>1296</v>
      </c>
      <c r="C3229">
        <v>59</v>
      </c>
      <c r="D3229" s="105">
        <v>45374.384653969908</v>
      </c>
      <c r="E3229" t="s">
        <v>312</v>
      </c>
      <c r="F3229" t="s">
        <v>1402</v>
      </c>
      <c r="G3229">
        <v>0</v>
      </c>
      <c r="H3229" t="s">
        <v>315</v>
      </c>
      <c r="I3229">
        <v>0</v>
      </c>
      <c r="J3229">
        <v>0</v>
      </c>
      <c r="K3229">
        <v>0</v>
      </c>
      <c r="L3229" t="s">
        <v>241</v>
      </c>
      <c r="M3229" t="s">
        <v>1398</v>
      </c>
      <c r="N3229">
        <v>0</v>
      </c>
      <c r="O3229" t="s">
        <v>1393</v>
      </c>
      <c r="P3229" t="s">
        <v>310</v>
      </c>
      <c r="Q3229" t="s">
        <v>310</v>
      </c>
      <c r="R3229" t="s">
        <v>310</v>
      </c>
      <c r="S3229">
        <v>9</v>
      </c>
      <c r="T3229" t="s">
        <v>310</v>
      </c>
      <c r="U3229">
        <v>9</v>
      </c>
      <c r="V3229">
        <v>9</v>
      </c>
      <c r="W3229">
        <v>0</v>
      </c>
      <c r="X3229">
        <v>0</v>
      </c>
      <c r="Y3229">
        <v>0</v>
      </c>
      <c r="Z3229">
        <v>0</v>
      </c>
      <c r="AA3229">
        <v>9</v>
      </c>
      <c r="AB3229">
        <v>9</v>
      </c>
      <c r="AC3229" t="s">
        <v>310</v>
      </c>
      <c r="AD3229">
        <v>9</v>
      </c>
      <c r="AE3229" t="s">
        <v>1388</v>
      </c>
      <c r="AF3229">
        <v>120000000</v>
      </c>
      <c r="AG3229" t="s">
        <v>310</v>
      </c>
      <c r="AH3229">
        <f>SUM((MID(Dyno_Data[[#This Row],[Team]],4,5))+(Dyno_Data[[#This Row],[Match]]/100))</f>
        <v>3003.59</v>
      </c>
      <c r="AI3229" s="76">
        <f>ROUND(SUM(IF(Dyno_Data[[#This Row],[AcqCenter]]&gt;0,Dyno_Data[[#This Row],[Time]]-SUMIFS(Dyno_Data[Time],Dyno_Data[Team],Dyno_Data[[#This Row],[Team]],Dyno_Data[RecordType],"StartMatch",Dyno_Data[Match],Dyno_Data[[#This Row],[Match]]),0)*86400),0)</f>
        <v>0</v>
      </c>
    </row>
    <row r="3230" spans="1:35" x14ac:dyDescent="0.3">
      <c r="A3230">
        <v>3229</v>
      </c>
      <c r="B3230" t="s">
        <v>1275</v>
      </c>
      <c r="C3230">
        <v>59</v>
      </c>
      <c r="D3230" s="105">
        <v>45374.384653969908</v>
      </c>
      <c r="E3230" t="s">
        <v>312</v>
      </c>
      <c r="F3230" t="s">
        <v>1402</v>
      </c>
      <c r="G3230">
        <v>0</v>
      </c>
      <c r="H3230" t="s">
        <v>315</v>
      </c>
      <c r="I3230">
        <v>0</v>
      </c>
      <c r="J3230">
        <v>0</v>
      </c>
      <c r="K3230">
        <v>0</v>
      </c>
      <c r="L3230" t="s">
        <v>241</v>
      </c>
      <c r="M3230" t="s">
        <v>1398</v>
      </c>
      <c r="N3230">
        <v>0</v>
      </c>
      <c r="O3230" t="s">
        <v>1389</v>
      </c>
      <c r="P3230" t="s">
        <v>310</v>
      </c>
      <c r="Q3230" t="s">
        <v>310</v>
      </c>
      <c r="R3230" t="s">
        <v>310</v>
      </c>
      <c r="S3230">
        <v>9</v>
      </c>
      <c r="T3230" t="s">
        <v>310</v>
      </c>
      <c r="U3230">
        <v>9</v>
      </c>
      <c r="V3230">
        <v>9</v>
      </c>
      <c r="W3230">
        <v>0</v>
      </c>
      <c r="X3230">
        <v>0</v>
      </c>
      <c r="Y3230">
        <v>0</v>
      </c>
      <c r="Z3230">
        <v>0</v>
      </c>
      <c r="AA3230">
        <v>9</v>
      </c>
      <c r="AB3230">
        <v>9</v>
      </c>
      <c r="AC3230" t="s">
        <v>310</v>
      </c>
      <c r="AD3230">
        <v>9</v>
      </c>
      <c r="AE3230" t="s">
        <v>1387</v>
      </c>
      <c r="AF3230">
        <v>50000000</v>
      </c>
      <c r="AG3230" t="s">
        <v>310</v>
      </c>
      <c r="AH3230">
        <f>SUM((MID(Dyno_Data[[#This Row],[Team]],4,5))+(Dyno_Data[[#This Row],[Match]]/100))</f>
        <v>1880.59</v>
      </c>
      <c r="AI3230" s="76">
        <f>ROUND(SUM(IF(Dyno_Data[[#This Row],[AcqCenter]]&gt;0,Dyno_Data[[#This Row],[Time]]-SUMIFS(Dyno_Data[Time],Dyno_Data[Team],Dyno_Data[[#This Row],[Team]],Dyno_Data[RecordType],"StartMatch",Dyno_Data[Match],Dyno_Data[[#This Row],[Match]]),0)*86400),0)</f>
        <v>0</v>
      </c>
    </row>
    <row r="3231" spans="1:35" x14ac:dyDescent="0.3">
      <c r="A3231">
        <v>3230</v>
      </c>
      <c r="B3231" t="s">
        <v>372</v>
      </c>
      <c r="C3231">
        <v>59</v>
      </c>
      <c r="D3231" s="105">
        <v>45374.384678668983</v>
      </c>
      <c r="E3231" t="s">
        <v>312</v>
      </c>
      <c r="F3231" t="s">
        <v>1402</v>
      </c>
      <c r="G3231">
        <v>0</v>
      </c>
      <c r="H3231" t="s">
        <v>315</v>
      </c>
      <c r="I3231">
        <v>0</v>
      </c>
      <c r="J3231">
        <v>0</v>
      </c>
      <c r="K3231">
        <v>0</v>
      </c>
      <c r="L3231" t="s">
        <v>241</v>
      </c>
      <c r="M3231" t="s">
        <v>1398</v>
      </c>
      <c r="N3231">
        <v>1</v>
      </c>
      <c r="O3231" t="s">
        <v>319</v>
      </c>
      <c r="P3231" t="s">
        <v>310</v>
      </c>
      <c r="Q3231" t="s">
        <v>310</v>
      </c>
      <c r="R3231" t="s">
        <v>310</v>
      </c>
      <c r="S3231">
        <v>9</v>
      </c>
      <c r="T3231" t="s">
        <v>310</v>
      </c>
      <c r="U3231">
        <v>9</v>
      </c>
      <c r="V3231">
        <v>9</v>
      </c>
      <c r="W3231">
        <v>0</v>
      </c>
      <c r="X3231">
        <v>0</v>
      </c>
      <c r="Y3231">
        <v>0</v>
      </c>
      <c r="Z3231">
        <v>0</v>
      </c>
      <c r="AA3231">
        <v>9</v>
      </c>
      <c r="AB3231">
        <v>9</v>
      </c>
      <c r="AC3231" t="s">
        <v>310</v>
      </c>
      <c r="AD3231">
        <v>9</v>
      </c>
      <c r="AE3231" t="s">
        <v>1390</v>
      </c>
      <c r="AF3231">
        <v>100000000</v>
      </c>
      <c r="AG3231" t="s">
        <v>310</v>
      </c>
      <c r="AH3231">
        <f>SUM((MID(Dyno_Data[[#This Row],[Team]],4,5))+(Dyno_Data[[#This Row],[Match]]/100))</f>
        <v>7504.59</v>
      </c>
      <c r="AI3231" s="76">
        <f>ROUND(SUM(IF(Dyno_Data[[#This Row],[AcqCenter]]&gt;0,Dyno_Data[[#This Row],[Time]]-SUMIFS(Dyno_Data[Time],Dyno_Data[Team],Dyno_Data[[#This Row],[Team]],Dyno_Data[RecordType],"StartMatch",Dyno_Data[Match],Dyno_Data[[#This Row],[Match]]),0)*86400),0)</f>
        <v>0</v>
      </c>
    </row>
    <row r="3232" spans="1:35" x14ac:dyDescent="0.3">
      <c r="A3232">
        <v>3231</v>
      </c>
      <c r="B3232" t="s">
        <v>1318</v>
      </c>
      <c r="C3232">
        <v>59</v>
      </c>
      <c r="D3232" s="105">
        <v>45374.384687465281</v>
      </c>
      <c r="E3232" t="s">
        <v>312</v>
      </c>
      <c r="F3232" t="s">
        <v>1402</v>
      </c>
      <c r="G3232">
        <v>0</v>
      </c>
      <c r="H3232" t="s">
        <v>315</v>
      </c>
      <c r="I3232">
        <v>0</v>
      </c>
      <c r="J3232">
        <v>0</v>
      </c>
      <c r="K3232">
        <v>0</v>
      </c>
      <c r="L3232" t="s">
        <v>240</v>
      </c>
      <c r="M3232" t="s">
        <v>1398</v>
      </c>
      <c r="N3232">
        <v>0</v>
      </c>
      <c r="O3232" t="s">
        <v>1391</v>
      </c>
      <c r="P3232" t="s">
        <v>310</v>
      </c>
      <c r="Q3232" t="s">
        <v>310</v>
      </c>
      <c r="R3232" t="s">
        <v>310</v>
      </c>
      <c r="S3232">
        <v>9</v>
      </c>
      <c r="T3232" t="s">
        <v>310</v>
      </c>
      <c r="U3232">
        <v>9</v>
      </c>
      <c r="V3232">
        <v>9</v>
      </c>
      <c r="W3232">
        <v>0</v>
      </c>
      <c r="X3232">
        <v>0</v>
      </c>
      <c r="Y3232">
        <v>0</v>
      </c>
      <c r="Z3232">
        <v>0</v>
      </c>
      <c r="AA3232">
        <v>9</v>
      </c>
      <c r="AB3232">
        <v>9</v>
      </c>
      <c r="AC3232" t="s">
        <v>310</v>
      </c>
      <c r="AD3232">
        <v>9</v>
      </c>
      <c r="AE3232" t="s">
        <v>1394</v>
      </c>
      <c r="AF3232">
        <v>80000000</v>
      </c>
      <c r="AG3232" t="s">
        <v>310</v>
      </c>
      <c r="AH3232">
        <f>SUM((MID(Dyno_Data[[#This Row],[Team]],4,5))+(Dyno_Data[[#This Row],[Match]]/100))</f>
        <v>7709.59</v>
      </c>
      <c r="AI3232" s="76">
        <f>ROUND(SUM(IF(Dyno_Data[[#This Row],[AcqCenter]]&gt;0,Dyno_Data[[#This Row],[Time]]-SUMIFS(Dyno_Data[Time],Dyno_Data[Team],Dyno_Data[[#This Row],[Team]],Dyno_Data[RecordType],"StartMatch",Dyno_Data[Match],Dyno_Data[[#This Row],[Match]]),0)*86400),0)</f>
        <v>0</v>
      </c>
    </row>
    <row r="3233" spans="1:35" x14ac:dyDescent="0.3">
      <c r="A3233">
        <v>3232</v>
      </c>
      <c r="B3233" t="s">
        <v>1296</v>
      </c>
      <c r="C3233">
        <v>59</v>
      </c>
      <c r="D3233" s="105">
        <v>45374.384816979167</v>
      </c>
      <c r="E3233" t="s">
        <v>312</v>
      </c>
      <c r="F3233" t="s">
        <v>1402</v>
      </c>
      <c r="G3233">
        <v>0</v>
      </c>
      <c r="H3233" t="s">
        <v>315</v>
      </c>
      <c r="I3233">
        <v>0</v>
      </c>
      <c r="J3233">
        <v>0</v>
      </c>
      <c r="K3233">
        <v>0</v>
      </c>
      <c r="L3233" t="s">
        <v>241</v>
      </c>
      <c r="M3233" t="s">
        <v>1398</v>
      </c>
      <c r="N3233">
        <v>0</v>
      </c>
      <c r="O3233" t="s">
        <v>1393</v>
      </c>
      <c r="P3233" t="s">
        <v>310</v>
      </c>
      <c r="Q3233" t="s">
        <v>310</v>
      </c>
      <c r="R3233" t="s">
        <v>310</v>
      </c>
      <c r="S3233">
        <v>9</v>
      </c>
      <c r="T3233" t="s">
        <v>310</v>
      </c>
      <c r="U3233">
        <v>9</v>
      </c>
      <c r="V3233">
        <v>9</v>
      </c>
      <c r="W3233">
        <v>0</v>
      </c>
      <c r="X3233">
        <v>0</v>
      </c>
      <c r="Y3233">
        <v>0</v>
      </c>
      <c r="Z3233">
        <v>0</v>
      </c>
      <c r="AA3233">
        <v>9</v>
      </c>
      <c r="AB3233">
        <v>9</v>
      </c>
      <c r="AC3233" t="s">
        <v>310</v>
      </c>
      <c r="AD3233">
        <v>9</v>
      </c>
      <c r="AE3233" t="s">
        <v>1388</v>
      </c>
      <c r="AF3233">
        <v>130000000</v>
      </c>
      <c r="AG3233" t="s">
        <v>310</v>
      </c>
      <c r="AH3233">
        <f>SUM((MID(Dyno_Data[[#This Row],[Team]],4,5))+(Dyno_Data[[#This Row],[Match]]/100))</f>
        <v>3003.59</v>
      </c>
      <c r="AI3233" s="76">
        <f>ROUND(SUM(IF(Dyno_Data[[#This Row],[AcqCenter]]&gt;0,Dyno_Data[[#This Row],[Time]]-SUMIFS(Dyno_Data[Time],Dyno_Data[Team],Dyno_Data[[#This Row],[Team]],Dyno_Data[RecordType],"StartMatch",Dyno_Data[Match],Dyno_Data[[#This Row],[Match]]),0)*86400),0)</f>
        <v>0</v>
      </c>
    </row>
    <row r="3234" spans="1:35" x14ac:dyDescent="0.3">
      <c r="A3234">
        <v>3233</v>
      </c>
      <c r="B3234" t="s">
        <v>1292</v>
      </c>
      <c r="C3234">
        <v>59</v>
      </c>
      <c r="D3234" s="105">
        <v>45374.385579780093</v>
      </c>
      <c r="E3234" t="s">
        <v>316</v>
      </c>
      <c r="F3234" t="s">
        <v>317</v>
      </c>
      <c r="G3234">
        <v>0</v>
      </c>
      <c r="H3234" t="s">
        <v>310</v>
      </c>
      <c r="I3234">
        <v>0</v>
      </c>
      <c r="J3234">
        <v>0</v>
      </c>
      <c r="K3234">
        <v>0</v>
      </c>
      <c r="L3234" t="s">
        <v>310</v>
      </c>
      <c r="M3234" t="s">
        <v>310</v>
      </c>
      <c r="N3234">
        <v>0</v>
      </c>
      <c r="O3234" t="s">
        <v>311</v>
      </c>
      <c r="P3234" t="s">
        <v>101</v>
      </c>
      <c r="Q3234" t="s">
        <v>1400</v>
      </c>
      <c r="R3234" t="s">
        <v>1404</v>
      </c>
      <c r="S3234">
        <v>0</v>
      </c>
      <c r="T3234" t="s">
        <v>105</v>
      </c>
      <c r="U3234">
        <v>9</v>
      </c>
      <c r="V3234">
        <v>9</v>
      </c>
      <c r="W3234">
        <v>0</v>
      </c>
      <c r="X3234">
        <v>0</v>
      </c>
      <c r="Y3234">
        <v>73.472605799999997</v>
      </c>
      <c r="Z3234">
        <v>59.139141299999999</v>
      </c>
      <c r="AA3234">
        <v>3</v>
      </c>
      <c r="AB3234">
        <v>0</v>
      </c>
      <c r="AC3234" t="s">
        <v>170</v>
      </c>
      <c r="AD3234">
        <v>9</v>
      </c>
      <c r="AE3234" t="s">
        <v>1392</v>
      </c>
      <c r="AF3234">
        <v>0</v>
      </c>
      <c r="AG3234" t="s">
        <v>310</v>
      </c>
      <c r="AH3234">
        <f>SUM((MID(Dyno_Data[[#This Row],[Team]],4,5))+(Dyno_Data[[#This Row],[Match]]/100))</f>
        <v>7030.59</v>
      </c>
      <c r="AI3234" s="76">
        <f>ROUND(SUM(IF(Dyno_Data[[#This Row],[AcqCenter]]&gt;0,Dyno_Data[[#This Row],[Time]]-SUMIFS(Dyno_Data[Time],Dyno_Data[Team],Dyno_Data[[#This Row],[Team]],Dyno_Data[RecordType],"StartMatch",Dyno_Data[Match],Dyno_Data[[#This Row],[Match]]),0)*86400),0)</f>
        <v>0</v>
      </c>
    </row>
    <row r="3235" spans="1:35" x14ac:dyDescent="0.3">
      <c r="A3235">
        <v>3234</v>
      </c>
      <c r="B3235" t="s">
        <v>1318</v>
      </c>
      <c r="C3235">
        <v>59</v>
      </c>
      <c r="D3235" s="105">
        <v>45374.38557997685</v>
      </c>
      <c r="E3235" t="s">
        <v>316</v>
      </c>
      <c r="F3235" t="s">
        <v>317</v>
      </c>
      <c r="G3235">
        <v>1</v>
      </c>
      <c r="H3235" t="s">
        <v>310</v>
      </c>
      <c r="I3235">
        <v>0</v>
      </c>
      <c r="J3235">
        <v>0</v>
      </c>
      <c r="K3235">
        <v>0</v>
      </c>
      <c r="L3235" t="s">
        <v>310</v>
      </c>
      <c r="M3235" t="s">
        <v>310</v>
      </c>
      <c r="N3235">
        <v>0</v>
      </c>
      <c r="O3235" t="s">
        <v>1391</v>
      </c>
      <c r="P3235" t="s">
        <v>1401</v>
      </c>
      <c r="Q3235" t="s">
        <v>1400</v>
      </c>
      <c r="R3235" t="s">
        <v>1404</v>
      </c>
      <c r="S3235">
        <v>-1</v>
      </c>
      <c r="T3235" t="s">
        <v>105</v>
      </c>
      <c r="U3235">
        <v>9</v>
      </c>
      <c r="V3235">
        <v>9</v>
      </c>
      <c r="W3235">
        <v>7.2960471999999994</v>
      </c>
      <c r="X3235">
        <v>39.536515600000001</v>
      </c>
      <c r="Y3235">
        <v>43.512230500000001</v>
      </c>
      <c r="Z3235">
        <v>44.856912999999999</v>
      </c>
      <c r="AA3235">
        <v>0</v>
      </c>
      <c r="AB3235">
        <v>1</v>
      </c>
      <c r="AC3235" t="s">
        <v>174</v>
      </c>
      <c r="AD3235">
        <v>9</v>
      </c>
      <c r="AE3235" t="s">
        <v>1394</v>
      </c>
      <c r="AF3235">
        <v>80000000</v>
      </c>
      <c r="AG3235" t="s">
        <v>310</v>
      </c>
      <c r="AH3235">
        <f>SUM((MID(Dyno_Data[[#This Row],[Team]],4,5))+(Dyno_Data[[#This Row],[Match]]/100))</f>
        <v>7709.59</v>
      </c>
      <c r="AI3235" s="76">
        <f>ROUND(SUM(IF(Dyno_Data[[#This Row],[AcqCenter]]&gt;0,Dyno_Data[[#This Row],[Time]]-SUMIFS(Dyno_Data[Time],Dyno_Data[Team],Dyno_Data[[#This Row],[Team]],Dyno_Data[RecordType],"StartMatch",Dyno_Data[Match],Dyno_Data[[#This Row],[Match]]),0)*86400),0)</f>
        <v>0</v>
      </c>
    </row>
    <row r="3236" spans="1:35" x14ac:dyDescent="0.3">
      <c r="A3236">
        <v>3235</v>
      </c>
      <c r="B3236" t="s">
        <v>372</v>
      </c>
      <c r="C3236">
        <v>59</v>
      </c>
      <c r="D3236" s="105">
        <v>45374.38557997685</v>
      </c>
      <c r="E3236" t="s">
        <v>316</v>
      </c>
      <c r="F3236" t="s">
        <v>317</v>
      </c>
      <c r="G3236">
        <v>1</v>
      </c>
      <c r="H3236" t="s">
        <v>310</v>
      </c>
      <c r="I3236">
        <v>0</v>
      </c>
      <c r="J3236">
        <v>0</v>
      </c>
      <c r="K3236">
        <v>0</v>
      </c>
      <c r="L3236" t="s">
        <v>310</v>
      </c>
      <c r="M3236" t="s">
        <v>310</v>
      </c>
      <c r="N3236">
        <v>0</v>
      </c>
      <c r="O3236" t="s">
        <v>319</v>
      </c>
      <c r="P3236" t="s">
        <v>240</v>
      </c>
      <c r="Q3236" t="s">
        <v>1399</v>
      </c>
      <c r="R3236" t="s">
        <v>321</v>
      </c>
      <c r="S3236">
        <v>0</v>
      </c>
      <c r="T3236" t="s">
        <v>105</v>
      </c>
      <c r="U3236">
        <v>9</v>
      </c>
      <c r="V3236">
        <v>9</v>
      </c>
      <c r="W3236">
        <v>0</v>
      </c>
      <c r="X3236">
        <v>48.326951299999998</v>
      </c>
      <c r="Y3236">
        <v>28.834246799999999</v>
      </c>
      <c r="Z3236">
        <v>56.836567099999996</v>
      </c>
      <c r="AA3236">
        <v>0</v>
      </c>
      <c r="AB3236">
        <v>2</v>
      </c>
      <c r="AC3236" t="s">
        <v>174</v>
      </c>
      <c r="AD3236">
        <v>0</v>
      </c>
      <c r="AE3236" t="s">
        <v>1390</v>
      </c>
      <c r="AF3236">
        <v>100000000</v>
      </c>
      <c r="AG3236" t="s">
        <v>310</v>
      </c>
      <c r="AH3236">
        <f>SUM((MID(Dyno_Data[[#This Row],[Team]],4,5))+(Dyno_Data[[#This Row],[Match]]/100))</f>
        <v>7504.59</v>
      </c>
      <c r="AI3236" s="76">
        <f>ROUND(SUM(IF(Dyno_Data[[#This Row],[AcqCenter]]&gt;0,Dyno_Data[[#This Row],[Time]]-SUMIFS(Dyno_Data[Time],Dyno_Data[Team],Dyno_Data[[#This Row],[Team]],Dyno_Data[RecordType],"StartMatch",Dyno_Data[Match],Dyno_Data[[#This Row],[Match]]),0)*86400),0)</f>
        <v>0</v>
      </c>
    </row>
    <row r="3237" spans="1:35" x14ac:dyDescent="0.3">
      <c r="A3237">
        <v>3236</v>
      </c>
      <c r="B3237" t="s">
        <v>1296</v>
      </c>
      <c r="C3237">
        <v>59</v>
      </c>
      <c r="D3237" s="105">
        <v>45374.385580173614</v>
      </c>
      <c r="E3237" t="s">
        <v>316</v>
      </c>
      <c r="F3237" t="s">
        <v>317</v>
      </c>
      <c r="G3237">
        <v>1</v>
      </c>
      <c r="H3237" t="s">
        <v>310</v>
      </c>
      <c r="I3237">
        <v>0</v>
      </c>
      <c r="J3237">
        <v>0</v>
      </c>
      <c r="K3237">
        <v>0</v>
      </c>
      <c r="L3237" t="s">
        <v>310</v>
      </c>
      <c r="M3237" t="s">
        <v>310</v>
      </c>
      <c r="N3237">
        <v>0</v>
      </c>
      <c r="O3237" t="s">
        <v>1393</v>
      </c>
      <c r="P3237" t="s">
        <v>240</v>
      </c>
      <c r="Q3237" t="s">
        <v>1399</v>
      </c>
      <c r="R3237" t="s">
        <v>321</v>
      </c>
      <c r="S3237">
        <v>0</v>
      </c>
      <c r="T3237" t="s">
        <v>105</v>
      </c>
      <c r="U3237">
        <v>9</v>
      </c>
      <c r="V3237">
        <v>9</v>
      </c>
      <c r="W3237">
        <v>0</v>
      </c>
      <c r="X3237">
        <v>34.375756099999997</v>
      </c>
      <c r="Y3237">
        <v>30.350142499999997</v>
      </c>
      <c r="Z3237">
        <v>70.708508100000003</v>
      </c>
      <c r="AA3237">
        <v>0</v>
      </c>
      <c r="AB3237">
        <v>3</v>
      </c>
      <c r="AC3237" t="s">
        <v>174</v>
      </c>
      <c r="AD3237">
        <v>0</v>
      </c>
      <c r="AE3237" t="s">
        <v>1388</v>
      </c>
      <c r="AF3237">
        <v>130000000</v>
      </c>
      <c r="AG3237" t="s">
        <v>310</v>
      </c>
      <c r="AH3237">
        <f>SUM((MID(Dyno_Data[[#This Row],[Team]],4,5))+(Dyno_Data[[#This Row],[Match]]/100))</f>
        <v>3003.59</v>
      </c>
      <c r="AI3237" s="76">
        <f>ROUND(SUM(IF(Dyno_Data[[#This Row],[AcqCenter]]&gt;0,Dyno_Data[[#This Row],[Time]]-SUMIFS(Dyno_Data[Time],Dyno_Data[Team],Dyno_Data[[#This Row],[Team]],Dyno_Data[RecordType],"StartMatch",Dyno_Data[Match],Dyno_Data[[#This Row],[Match]]),0)*86400),0)</f>
        <v>0</v>
      </c>
    </row>
    <row r="3238" spans="1:35" x14ac:dyDescent="0.3">
      <c r="A3238">
        <v>3237</v>
      </c>
      <c r="B3238" t="s">
        <v>1275</v>
      </c>
      <c r="C3238">
        <v>59</v>
      </c>
      <c r="D3238" s="105">
        <v>45374.385580173614</v>
      </c>
      <c r="E3238" t="s">
        <v>316</v>
      </c>
      <c r="F3238" t="s">
        <v>317</v>
      </c>
      <c r="G3238">
        <v>1</v>
      </c>
      <c r="H3238" t="s">
        <v>310</v>
      </c>
      <c r="I3238">
        <v>0</v>
      </c>
      <c r="J3238">
        <v>0</v>
      </c>
      <c r="K3238">
        <v>0</v>
      </c>
      <c r="L3238" t="s">
        <v>310</v>
      </c>
      <c r="M3238" t="s">
        <v>310</v>
      </c>
      <c r="N3238">
        <v>0</v>
      </c>
      <c r="O3238" t="s">
        <v>1389</v>
      </c>
      <c r="P3238" t="s">
        <v>1401</v>
      </c>
      <c r="Q3238" t="s">
        <v>1400</v>
      </c>
      <c r="R3238" t="s">
        <v>321</v>
      </c>
      <c r="S3238">
        <v>0</v>
      </c>
      <c r="T3238" t="s">
        <v>105</v>
      </c>
      <c r="U3238">
        <v>9</v>
      </c>
      <c r="V3238">
        <v>9</v>
      </c>
      <c r="W3238">
        <v>0</v>
      </c>
      <c r="X3238">
        <v>36.801583799999996</v>
      </c>
      <c r="Y3238">
        <v>35.437008899999995</v>
      </c>
      <c r="Z3238">
        <v>65.443035999999992</v>
      </c>
      <c r="AA3238">
        <v>0</v>
      </c>
      <c r="AB3238">
        <v>3</v>
      </c>
      <c r="AC3238" t="s">
        <v>174</v>
      </c>
      <c r="AD3238">
        <v>9</v>
      </c>
      <c r="AE3238" t="s">
        <v>1387</v>
      </c>
      <c r="AF3238">
        <v>50000000</v>
      </c>
      <c r="AG3238" t="s">
        <v>310</v>
      </c>
      <c r="AH3238">
        <f>SUM((MID(Dyno_Data[[#This Row],[Team]],4,5))+(Dyno_Data[[#This Row],[Match]]/100))</f>
        <v>1880.59</v>
      </c>
      <c r="AI3238" s="76">
        <f>ROUND(SUM(IF(Dyno_Data[[#This Row],[AcqCenter]]&gt;0,Dyno_Data[[#This Row],[Time]]-SUMIFS(Dyno_Data[Time],Dyno_Data[Team],Dyno_Data[[#This Row],[Team]],Dyno_Data[RecordType],"StartMatch",Dyno_Data[Match],Dyno_Data[[#This Row],[Match]]),0)*86400),0)</f>
        <v>0</v>
      </c>
    </row>
    <row r="3239" spans="1:35" x14ac:dyDescent="0.3">
      <c r="A3239">
        <v>3238</v>
      </c>
      <c r="B3239" t="s">
        <v>368</v>
      </c>
      <c r="C3239">
        <v>59</v>
      </c>
      <c r="D3239" s="105">
        <v>45374.385580324073</v>
      </c>
      <c r="E3239" t="s">
        <v>316</v>
      </c>
      <c r="F3239" t="s">
        <v>317</v>
      </c>
      <c r="G3239">
        <v>0</v>
      </c>
      <c r="H3239" t="s">
        <v>310</v>
      </c>
      <c r="I3239">
        <v>0</v>
      </c>
      <c r="J3239">
        <v>0</v>
      </c>
      <c r="K3239">
        <v>0</v>
      </c>
      <c r="L3239" t="s">
        <v>310</v>
      </c>
      <c r="M3239" t="s">
        <v>310</v>
      </c>
      <c r="N3239">
        <v>0</v>
      </c>
      <c r="O3239" t="s">
        <v>1395</v>
      </c>
      <c r="P3239" t="s">
        <v>101</v>
      </c>
      <c r="Q3239" t="s">
        <v>1400</v>
      </c>
      <c r="R3239" t="s">
        <v>321</v>
      </c>
      <c r="S3239">
        <v>0</v>
      </c>
      <c r="T3239" t="s">
        <v>105</v>
      </c>
      <c r="U3239">
        <v>9</v>
      </c>
      <c r="V3239">
        <v>9</v>
      </c>
      <c r="W3239">
        <v>0</v>
      </c>
      <c r="X3239">
        <v>17.6633569</v>
      </c>
      <c r="Y3239">
        <v>49.494733599999996</v>
      </c>
      <c r="Z3239">
        <v>68.783486299999993</v>
      </c>
      <c r="AA3239">
        <v>2</v>
      </c>
      <c r="AB3239">
        <v>1</v>
      </c>
      <c r="AC3239" t="s">
        <v>174</v>
      </c>
      <c r="AD3239">
        <v>9</v>
      </c>
      <c r="AE3239" t="s">
        <v>1396</v>
      </c>
      <c r="AF3239">
        <v>30000000</v>
      </c>
      <c r="AG3239" t="s">
        <v>310</v>
      </c>
      <c r="AH3239">
        <f>SUM((MID(Dyno_Data[[#This Row],[Team]],4,5))+(Dyno_Data[[#This Row],[Match]]/100))</f>
        <v>6401.59</v>
      </c>
      <c r="AI3239" s="76">
        <f>ROUND(SUM(IF(Dyno_Data[[#This Row],[AcqCenter]]&gt;0,Dyno_Data[[#This Row],[Time]]-SUMIFS(Dyno_Data[Time],Dyno_Data[Team],Dyno_Data[[#This Row],[Team]],Dyno_Data[RecordType],"StartMatch",Dyno_Data[Match],Dyno_Data[[#This Row],[Match]]),0)*86400),0)</f>
        <v>0</v>
      </c>
    </row>
    <row r="3240" spans="1:35" x14ac:dyDescent="0.3">
      <c r="A3240">
        <v>3245</v>
      </c>
      <c r="B3240" t="s">
        <v>1317</v>
      </c>
      <c r="C3240">
        <v>60</v>
      </c>
      <c r="D3240" s="105">
        <v>45374.387983715278</v>
      </c>
      <c r="E3240" t="s">
        <v>308</v>
      </c>
      <c r="F3240" t="s">
        <v>309</v>
      </c>
      <c r="G3240">
        <v>0</v>
      </c>
      <c r="H3240" t="s">
        <v>310</v>
      </c>
      <c r="I3240">
        <v>0</v>
      </c>
      <c r="J3240">
        <v>0</v>
      </c>
      <c r="K3240">
        <v>0</v>
      </c>
      <c r="L3240" t="s">
        <v>310</v>
      </c>
      <c r="M3240" t="s">
        <v>310</v>
      </c>
      <c r="N3240">
        <v>0</v>
      </c>
      <c r="O3240" t="s">
        <v>1391</v>
      </c>
      <c r="P3240" t="s">
        <v>310</v>
      </c>
      <c r="Q3240" t="s">
        <v>310</v>
      </c>
      <c r="R3240" t="s">
        <v>310</v>
      </c>
      <c r="S3240">
        <v>9</v>
      </c>
      <c r="T3240" t="s">
        <v>310</v>
      </c>
      <c r="U3240">
        <v>9</v>
      </c>
      <c r="V3240">
        <v>9</v>
      </c>
      <c r="W3240">
        <v>0</v>
      </c>
      <c r="X3240">
        <v>0</v>
      </c>
      <c r="Y3240">
        <v>0</v>
      </c>
      <c r="Z3240">
        <v>0</v>
      </c>
      <c r="AA3240">
        <v>9</v>
      </c>
      <c r="AB3240">
        <v>9</v>
      </c>
      <c r="AC3240" t="s">
        <v>310</v>
      </c>
      <c r="AD3240">
        <v>9</v>
      </c>
      <c r="AE3240" t="s">
        <v>1396</v>
      </c>
      <c r="AF3240">
        <v>10000000</v>
      </c>
      <c r="AG3240" t="s">
        <v>310</v>
      </c>
      <c r="AH3240">
        <f>SUM((MID(Dyno_Data[[#This Row],[Team]],4,5))+(Dyno_Data[[#This Row],[Match]]/100))</f>
        <v>296.60000000000002</v>
      </c>
      <c r="AI3240" s="76">
        <f>ROUND(SUM(IF(Dyno_Data[[#This Row],[AcqCenter]]&gt;0,Dyno_Data[[#This Row],[Time]]-SUMIFS(Dyno_Data[Time],Dyno_Data[Team],Dyno_Data[[#This Row],[Team]],Dyno_Data[RecordType],"StartMatch",Dyno_Data[Match],Dyno_Data[[#This Row],[Match]]),0)*86400),0)</f>
        <v>0</v>
      </c>
    </row>
    <row r="3241" spans="1:35" x14ac:dyDescent="0.3">
      <c r="A3241">
        <v>3247</v>
      </c>
      <c r="B3241" t="s">
        <v>1301</v>
      </c>
      <c r="C3241">
        <v>60</v>
      </c>
      <c r="D3241" s="105">
        <v>45374.387984062501</v>
      </c>
      <c r="E3241" t="s">
        <v>308</v>
      </c>
      <c r="F3241" t="s">
        <v>309</v>
      </c>
      <c r="G3241">
        <v>0</v>
      </c>
      <c r="H3241" t="s">
        <v>310</v>
      </c>
      <c r="I3241">
        <v>0</v>
      </c>
      <c r="J3241">
        <v>0</v>
      </c>
      <c r="K3241">
        <v>0</v>
      </c>
      <c r="L3241" t="s">
        <v>310</v>
      </c>
      <c r="M3241" t="s">
        <v>310</v>
      </c>
      <c r="N3241">
        <v>0</v>
      </c>
      <c r="O3241" t="s">
        <v>1389</v>
      </c>
      <c r="P3241" t="s">
        <v>310</v>
      </c>
      <c r="Q3241" t="s">
        <v>310</v>
      </c>
      <c r="R3241" t="s">
        <v>310</v>
      </c>
      <c r="S3241">
        <v>9</v>
      </c>
      <c r="T3241" t="s">
        <v>310</v>
      </c>
      <c r="U3241">
        <v>9</v>
      </c>
      <c r="V3241">
        <v>9</v>
      </c>
      <c r="W3241">
        <v>0</v>
      </c>
      <c r="X3241">
        <v>0</v>
      </c>
      <c r="Y3241">
        <v>0</v>
      </c>
      <c r="Z3241">
        <v>0</v>
      </c>
      <c r="AA3241">
        <v>9</v>
      </c>
      <c r="AB3241">
        <v>9</v>
      </c>
      <c r="AC3241" t="s">
        <v>310</v>
      </c>
      <c r="AD3241">
        <v>9</v>
      </c>
      <c r="AE3241" t="s">
        <v>1392</v>
      </c>
      <c r="AF3241">
        <v>0</v>
      </c>
      <c r="AG3241" t="s">
        <v>310</v>
      </c>
      <c r="AH3241">
        <f>SUM((MID(Dyno_Data[[#This Row],[Team]],4,5))+(Dyno_Data[[#This Row],[Match]]/100))</f>
        <v>7031.6</v>
      </c>
      <c r="AI3241" s="76">
        <f>ROUND(SUM(IF(Dyno_Data[[#This Row],[AcqCenter]]&gt;0,Dyno_Data[[#This Row],[Time]]-SUMIFS(Dyno_Data[Time],Dyno_Data[Team],Dyno_Data[[#This Row],[Team]],Dyno_Data[RecordType],"StartMatch",Dyno_Data[Match],Dyno_Data[[#This Row],[Match]]),0)*86400),0)</f>
        <v>0</v>
      </c>
    </row>
    <row r="3242" spans="1:35" x14ac:dyDescent="0.3">
      <c r="A3242">
        <v>3249</v>
      </c>
      <c r="B3242" t="s">
        <v>370</v>
      </c>
      <c r="C3242">
        <v>60</v>
      </c>
      <c r="D3242" s="105">
        <v>45374.387986574075</v>
      </c>
      <c r="E3242" t="s">
        <v>308</v>
      </c>
      <c r="F3242" t="s">
        <v>309</v>
      </c>
      <c r="G3242">
        <v>0</v>
      </c>
      <c r="H3242" t="s">
        <v>310</v>
      </c>
      <c r="I3242">
        <v>0</v>
      </c>
      <c r="J3242">
        <v>0</v>
      </c>
      <c r="K3242">
        <v>0</v>
      </c>
      <c r="L3242" t="s">
        <v>310</v>
      </c>
      <c r="M3242" t="s">
        <v>310</v>
      </c>
      <c r="N3242">
        <v>0</v>
      </c>
      <c r="O3242" t="s">
        <v>1395</v>
      </c>
      <c r="P3242" t="s">
        <v>310</v>
      </c>
      <c r="Q3242" t="s">
        <v>310</v>
      </c>
      <c r="R3242" t="s">
        <v>310</v>
      </c>
      <c r="S3242">
        <v>9</v>
      </c>
      <c r="T3242" t="s">
        <v>310</v>
      </c>
      <c r="U3242">
        <v>9</v>
      </c>
      <c r="V3242">
        <v>9</v>
      </c>
      <c r="W3242">
        <v>0</v>
      </c>
      <c r="X3242">
        <v>0</v>
      </c>
      <c r="Y3242">
        <v>0</v>
      </c>
      <c r="Z3242">
        <v>0</v>
      </c>
      <c r="AA3242">
        <v>9</v>
      </c>
      <c r="AB3242">
        <v>9</v>
      </c>
      <c r="AC3242" t="s">
        <v>310</v>
      </c>
      <c r="AD3242">
        <v>9</v>
      </c>
      <c r="AE3242" t="s">
        <v>1387</v>
      </c>
      <c r="AF3242">
        <v>10000000</v>
      </c>
      <c r="AG3242" t="s">
        <v>310</v>
      </c>
      <c r="AH3242">
        <f>SUM((MID(Dyno_Data[[#This Row],[Team]],4,5))+(Dyno_Data[[#This Row],[Match]]/100))</f>
        <v>6911.6</v>
      </c>
      <c r="AI3242" s="76">
        <f>ROUND(SUM(IF(Dyno_Data[[#This Row],[AcqCenter]]&gt;0,Dyno_Data[[#This Row],[Time]]-SUMIFS(Dyno_Data[Time],Dyno_Data[Team],Dyno_Data[[#This Row],[Team]],Dyno_Data[RecordType],"StartMatch",Dyno_Data[Match],Dyno_Data[[#This Row],[Match]]),0)*86400),0)</f>
        <v>0</v>
      </c>
    </row>
    <row r="3243" spans="1:35" x14ac:dyDescent="0.3">
      <c r="A3243">
        <v>3251</v>
      </c>
      <c r="B3243" t="s">
        <v>1295</v>
      </c>
      <c r="C3243">
        <v>60</v>
      </c>
      <c r="D3243" s="105">
        <v>45374.387987268521</v>
      </c>
      <c r="E3243" t="s">
        <v>308</v>
      </c>
      <c r="F3243" t="s">
        <v>309</v>
      </c>
      <c r="G3243">
        <v>0</v>
      </c>
      <c r="H3243" t="s">
        <v>310</v>
      </c>
      <c r="I3243">
        <v>0</v>
      </c>
      <c r="J3243">
        <v>0</v>
      </c>
      <c r="K3243">
        <v>0</v>
      </c>
      <c r="L3243" t="s">
        <v>310</v>
      </c>
      <c r="M3243" t="s">
        <v>310</v>
      </c>
      <c r="N3243">
        <v>0</v>
      </c>
      <c r="O3243" t="s">
        <v>319</v>
      </c>
      <c r="P3243" t="s">
        <v>310</v>
      </c>
      <c r="Q3243" t="s">
        <v>310</v>
      </c>
      <c r="R3243" t="s">
        <v>310</v>
      </c>
      <c r="S3243">
        <v>9</v>
      </c>
      <c r="T3243" t="s">
        <v>310</v>
      </c>
      <c r="U3243">
        <v>9</v>
      </c>
      <c r="V3243">
        <v>9</v>
      </c>
      <c r="W3243">
        <v>0</v>
      </c>
      <c r="X3243">
        <v>0</v>
      </c>
      <c r="Y3243">
        <v>0</v>
      </c>
      <c r="Z3243">
        <v>0</v>
      </c>
      <c r="AA3243">
        <v>9</v>
      </c>
      <c r="AB3243">
        <v>9</v>
      </c>
      <c r="AC3243" t="s">
        <v>310</v>
      </c>
      <c r="AD3243">
        <v>9</v>
      </c>
      <c r="AE3243" t="s">
        <v>1394</v>
      </c>
      <c r="AF3243">
        <v>0</v>
      </c>
      <c r="AG3243" t="s">
        <v>310</v>
      </c>
      <c r="AH3243">
        <f>SUM((MID(Dyno_Data[[#This Row],[Team]],4,5))+(Dyno_Data[[#This Row],[Match]]/100))</f>
        <v>6300.6</v>
      </c>
      <c r="AI3243" s="76">
        <f>ROUND(SUM(IF(Dyno_Data[[#This Row],[AcqCenter]]&gt;0,Dyno_Data[[#This Row],[Time]]-SUMIFS(Dyno_Data[Time],Dyno_Data[Team],Dyno_Data[[#This Row],[Team]],Dyno_Data[RecordType],"StartMatch",Dyno_Data[Match],Dyno_Data[[#This Row],[Match]]),0)*86400),0)</f>
        <v>0</v>
      </c>
    </row>
    <row r="3244" spans="1:35" x14ac:dyDescent="0.3">
      <c r="A3244">
        <v>3239</v>
      </c>
      <c r="B3244" t="s">
        <v>1295</v>
      </c>
      <c r="C3244">
        <v>60</v>
      </c>
      <c r="D3244" s="105">
        <v>45374.387998460646</v>
      </c>
      <c r="E3244" t="s">
        <v>312</v>
      </c>
      <c r="F3244" t="s">
        <v>309</v>
      </c>
      <c r="G3244">
        <v>0</v>
      </c>
      <c r="H3244" t="s">
        <v>1397</v>
      </c>
      <c r="I3244">
        <v>0</v>
      </c>
      <c r="J3244">
        <v>0</v>
      </c>
      <c r="K3244">
        <v>0</v>
      </c>
      <c r="L3244" t="s">
        <v>241</v>
      </c>
      <c r="M3244" t="s">
        <v>1398</v>
      </c>
      <c r="N3244">
        <v>1</v>
      </c>
      <c r="O3244" t="s">
        <v>319</v>
      </c>
      <c r="P3244" t="s">
        <v>310</v>
      </c>
      <c r="Q3244" t="s">
        <v>310</v>
      </c>
      <c r="R3244" t="s">
        <v>310</v>
      </c>
      <c r="S3244">
        <v>9</v>
      </c>
      <c r="T3244" t="s">
        <v>310</v>
      </c>
      <c r="U3244">
        <v>9</v>
      </c>
      <c r="V3244">
        <v>9</v>
      </c>
      <c r="W3244">
        <v>0</v>
      </c>
      <c r="X3244">
        <v>0</v>
      </c>
      <c r="Y3244">
        <v>0</v>
      </c>
      <c r="Z3244">
        <v>0</v>
      </c>
      <c r="AA3244">
        <v>9</v>
      </c>
      <c r="AB3244">
        <v>9</v>
      </c>
      <c r="AC3244" t="s">
        <v>310</v>
      </c>
      <c r="AD3244">
        <v>9</v>
      </c>
      <c r="AE3244" t="s">
        <v>1394</v>
      </c>
      <c r="AF3244">
        <v>0</v>
      </c>
      <c r="AG3244" t="s">
        <v>310</v>
      </c>
      <c r="AH3244">
        <f>SUM((MID(Dyno_Data[[#This Row],[Team]],4,5))+(Dyno_Data[[#This Row],[Match]]/100))</f>
        <v>6300.6</v>
      </c>
      <c r="AI3244" s="76">
        <f>ROUND(SUM(IF(Dyno_Data[[#This Row],[AcqCenter]]&gt;0,Dyno_Data[[#This Row],[Time]]-SUMIFS(Dyno_Data[Time],Dyno_Data[Team],Dyno_Data[[#This Row],[Team]],Dyno_Data[RecordType],"StartMatch",Dyno_Data[Match],Dyno_Data[[#This Row],[Match]]),0)*86400),0)</f>
        <v>0</v>
      </c>
    </row>
    <row r="3245" spans="1:35" x14ac:dyDescent="0.3">
      <c r="A3245">
        <v>3254</v>
      </c>
      <c r="B3245" t="s">
        <v>1310</v>
      </c>
      <c r="C3245">
        <v>60</v>
      </c>
      <c r="D3245" s="105">
        <v>45374.387999571758</v>
      </c>
      <c r="E3245" t="s">
        <v>308</v>
      </c>
      <c r="F3245" t="s">
        <v>309</v>
      </c>
      <c r="G3245">
        <v>0</v>
      </c>
      <c r="H3245" t="s">
        <v>310</v>
      </c>
      <c r="I3245">
        <v>0</v>
      </c>
      <c r="J3245">
        <v>0</v>
      </c>
      <c r="K3245">
        <v>0</v>
      </c>
      <c r="L3245" t="s">
        <v>310</v>
      </c>
      <c r="M3245" t="s">
        <v>310</v>
      </c>
      <c r="N3245">
        <v>0</v>
      </c>
      <c r="O3245" t="s">
        <v>1393</v>
      </c>
      <c r="P3245" t="s">
        <v>310</v>
      </c>
      <c r="Q3245" t="s">
        <v>310</v>
      </c>
      <c r="R3245" t="s">
        <v>310</v>
      </c>
      <c r="S3245">
        <v>9</v>
      </c>
      <c r="T3245" t="s">
        <v>310</v>
      </c>
      <c r="U3245">
        <v>9</v>
      </c>
      <c r="V3245">
        <v>9</v>
      </c>
      <c r="W3245">
        <v>0</v>
      </c>
      <c r="X3245">
        <v>0</v>
      </c>
      <c r="Y3245">
        <v>0</v>
      </c>
      <c r="Z3245">
        <v>0</v>
      </c>
      <c r="AA3245">
        <v>9</v>
      </c>
      <c r="AB3245">
        <v>9</v>
      </c>
      <c r="AC3245" t="s">
        <v>310</v>
      </c>
      <c r="AD3245">
        <v>9</v>
      </c>
      <c r="AE3245" t="s">
        <v>1390</v>
      </c>
      <c r="AF3245">
        <v>0</v>
      </c>
      <c r="AG3245" t="s">
        <v>310</v>
      </c>
      <c r="AH3245">
        <f>SUM((MID(Dyno_Data[[#This Row],[Team]],4,5))+(Dyno_Data[[#This Row],[Match]]/100))</f>
        <v>6621.6</v>
      </c>
      <c r="AI3245" s="76">
        <f>ROUND(SUM(IF(Dyno_Data[[#This Row],[AcqCenter]]&gt;0,Dyno_Data[[#This Row],[Time]]-SUMIFS(Dyno_Data[Time],Dyno_Data[Team],Dyno_Data[[#This Row],[Team]],Dyno_Data[RecordType],"StartMatch",Dyno_Data[Match],Dyno_Data[[#This Row],[Match]]),0)*86400),0)</f>
        <v>0</v>
      </c>
    </row>
    <row r="3246" spans="1:35" x14ac:dyDescent="0.3">
      <c r="A3246">
        <v>3256</v>
      </c>
      <c r="B3246" t="s">
        <v>1306</v>
      </c>
      <c r="C3246">
        <v>60</v>
      </c>
      <c r="D3246" s="105">
        <v>45374.388001701387</v>
      </c>
      <c r="E3246" t="s">
        <v>308</v>
      </c>
      <c r="F3246" t="s">
        <v>309</v>
      </c>
      <c r="G3246">
        <v>0</v>
      </c>
      <c r="H3246" t="s">
        <v>310</v>
      </c>
      <c r="I3246">
        <v>0</v>
      </c>
      <c r="J3246">
        <v>0</v>
      </c>
      <c r="K3246">
        <v>0</v>
      </c>
      <c r="L3246" t="s">
        <v>310</v>
      </c>
      <c r="M3246" t="s">
        <v>310</v>
      </c>
      <c r="N3246">
        <v>0</v>
      </c>
      <c r="O3246" t="s">
        <v>311</v>
      </c>
      <c r="P3246" t="s">
        <v>310</v>
      </c>
      <c r="Q3246" t="s">
        <v>310</v>
      </c>
      <c r="R3246" t="s">
        <v>310</v>
      </c>
      <c r="S3246">
        <v>9</v>
      </c>
      <c r="T3246" t="s">
        <v>310</v>
      </c>
      <c r="U3246">
        <v>9</v>
      </c>
      <c r="V3246">
        <v>9</v>
      </c>
      <c r="W3246">
        <v>0</v>
      </c>
      <c r="X3246">
        <v>0</v>
      </c>
      <c r="Y3246">
        <v>0</v>
      </c>
      <c r="Z3246">
        <v>0</v>
      </c>
      <c r="AA3246">
        <v>9</v>
      </c>
      <c r="AB3246">
        <v>9</v>
      </c>
      <c r="AC3246" t="s">
        <v>310</v>
      </c>
      <c r="AD3246">
        <v>9</v>
      </c>
      <c r="AE3246" t="s">
        <v>1388</v>
      </c>
      <c r="AF3246">
        <v>0</v>
      </c>
      <c r="AG3246" t="s">
        <v>310</v>
      </c>
      <c r="AH3246">
        <f>SUM((MID(Dyno_Data[[#This Row],[Team]],4,5))+(Dyno_Data[[#This Row],[Match]]/100))</f>
        <v>3986.6</v>
      </c>
      <c r="AI3246" s="76">
        <f>ROUND(SUM(IF(Dyno_Data[[#This Row],[AcqCenter]]&gt;0,Dyno_Data[[#This Row],[Time]]-SUMIFS(Dyno_Data[Time],Dyno_Data[Team],Dyno_Data[[#This Row],[Team]],Dyno_Data[RecordType],"StartMatch",Dyno_Data[Match],Dyno_Data[[#This Row],[Match]]),0)*86400),0)</f>
        <v>0</v>
      </c>
    </row>
    <row r="3247" spans="1:35" x14ac:dyDescent="0.3">
      <c r="A3247">
        <v>3240</v>
      </c>
      <c r="B3247" t="s">
        <v>1310</v>
      </c>
      <c r="C3247">
        <v>60</v>
      </c>
      <c r="D3247" s="105">
        <v>45374.388023344909</v>
      </c>
      <c r="E3247" t="s">
        <v>312</v>
      </c>
      <c r="F3247" t="s">
        <v>309</v>
      </c>
      <c r="G3247">
        <v>0</v>
      </c>
      <c r="H3247" t="s">
        <v>1397</v>
      </c>
      <c r="I3247">
        <v>0</v>
      </c>
      <c r="J3247">
        <v>0</v>
      </c>
      <c r="K3247">
        <v>0</v>
      </c>
      <c r="L3247" t="s">
        <v>241</v>
      </c>
      <c r="M3247" t="s">
        <v>1398</v>
      </c>
      <c r="N3247">
        <v>0</v>
      </c>
      <c r="O3247" t="s">
        <v>1393</v>
      </c>
      <c r="P3247" t="s">
        <v>310</v>
      </c>
      <c r="Q3247" t="s">
        <v>310</v>
      </c>
      <c r="R3247" t="s">
        <v>310</v>
      </c>
      <c r="S3247">
        <v>9</v>
      </c>
      <c r="T3247" t="s">
        <v>310</v>
      </c>
      <c r="U3247">
        <v>9</v>
      </c>
      <c r="V3247">
        <v>9</v>
      </c>
      <c r="W3247">
        <v>0</v>
      </c>
      <c r="X3247">
        <v>0</v>
      </c>
      <c r="Y3247">
        <v>0</v>
      </c>
      <c r="Z3247">
        <v>0</v>
      </c>
      <c r="AA3247">
        <v>9</v>
      </c>
      <c r="AB3247">
        <v>9</v>
      </c>
      <c r="AC3247" t="s">
        <v>310</v>
      </c>
      <c r="AD3247">
        <v>9</v>
      </c>
      <c r="AE3247" t="s">
        <v>1390</v>
      </c>
      <c r="AF3247">
        <v>0</v>
      </c>
      <c r="AG3247" t="s">
        <v>310</v>
      </c>
      <c r="AH3247">
        <f>SUM((MID(Dyno_Data[[#This Row],[Team]],4,5))+(Dyno_Data[[#This Row],[Match]]/100))</f>
        <v>6621.6</v>
      </c>
      <c r="AI3247" s="76">
        <f>ROUND(SUM(IF(Dyno_Data[[#This Row],[AcqCenter]]&gt;0,Dyno_Data[[#This Row],[Time]]-SUMIFS(Dyno_Data[Time],Dyno_Data[Team],Dyno_Data[[#This Row],[Team]],Dyno_Data[RecordType],"StartMatch",Dyno_Data[Match],Dyno_Data[[#This Row],[Match]]),0)*86400),0)</f>
        <v>0</v>
      </c>
    </row>
    <row r="3248" spans="1:35" x14ac:dyDescent="0.3">
      <c r="A3248">
        <v>3241</v>
      </c>
      <c r="B3248" t="s">
        <v>370</v>
      </c>
      <c r="C3248">
        <v>60</v>
      </c>
      <c r="D3248" s="105">
        <v>45374.388040659724</v>
      </c>
      <c r="E3248" t="s">
        <v>312</v>
      </c>
      <c r="F3248" t="s">
        <v>309</v>
      </c>
      <c r="G3248">
        <v>0</v>
      </c>
      <c r="H3248" t="s">
        <v>1397</v>
      </c>
      <c r="I3248">
        <v>0</v>
      </c>
      <c r="J3248">
        <v>0</v>
      </c>
      <c r="K3248">
        <v>0</v>
      </c>
      <c r="L3248" t="s">
        <v>241</v>
      </c>
      <c r="M3248" t="s">
        <v>1398</v>
      </c>
      <c r="N3248">
        <v>1</v>
      </c>
      <c r="O3248" t="s">
        <v>1395</v>
      </c>
      <c r="P3248" t="s">
        <v>310</v>
      </c>
      <c r="Q3248" t="s">
        <v>310</v>
      </c>
      <c r="R3248" t="s">
        <v>310</v>
      </c>
      <c r="S3248">
        <v>9</v>
      </c>
      <c r="T3248" t="s">
        <v>310</v>
      </c>
      <c r="U3248">
        <v>9</v>
      </c>
      <c r="V3248">
        <v>9</v>
      </c>
      <c r="W3248">
        <v>0</v>
      </c>
      <c r="X3248">
        <v>0</v>
      </c>
      <c r="Y3248">
        <v>0</v>
      </c>
      <c r="Z3248">
        <v>0</v>
      </c>
      <c r="AA3248">
        <v>9</v>
      </c>
      <c r="AB3248">
        <v>9</v>
      </c>
      <c r="AC3248" t="s">
        <v>310</v>
      </c>
      <c r="AD3248">
        <v>9</v>
      </c>
      <c r="AE3248" t="s">
        <v>1387</v>
      </c>
      <c r="AF3248">
        <v>0</v>
      </c>
      <c r="AG3248" t="s">
        <v>310</v>
      </c>
      <c r="AH3248">
        <f>SUM((MID(Dyno_Data[[#This Row],[Team]],4,5))+(Dyno_Data[[#This Row],[Match]]/100))</f>
        <v>6911.6</v>
      </c>
      <c r="AI3248" s="76">
        <f>ROUND(SUM(IF(Dyno_Data[[#This Row],[AcqCenter]]&gt;0,Dyno_Data[[#This Row],[Time]]-SUMIFS(Dyno_Data[Time],Dyno_Data[Team],Dyno_Data[[#This Row],[Team]],Dyno_Data[RecordType],"StartMatch",Dyno_Data[Match],Dyno_Data[[#This Row],[Match]]),0)*86400),0)</f>
        <v>0</v>
      </c>
    </row>
    <row r="3249" spans="1:35" x14ac:dyDescent="0.3">
      <c r="A3249">
        <v>3242</v>
      </c>
      <c r="B3249" t="s">
        <v>1317</v>
      </c>
      <c r="C3249">
        <v>60</v>
      </c>
      <c r="D3249" s="105">
        <v>45374.388046759261</v>
      </c>
      <c r="E3249" t="s">
        <v>312</v>
      </c>
      <c r="F3249" t="s">
        <v>309</v>
      </c>
      <c r="G3249">
        <v>0</v>
      </c>
      <c r="H3249" t="s">
        <v>1397</v>
      </c>
      <c r="I3249">
        <v>0</v>
      </c>
      <c r="J3249">
        <v>0</v>
      </c>
      <c r="K3249">
        <v>0</v>
      </c>
      <c r="L3249" t="s">
        <v>240</v>
      </c>
      <c r="M3249" t="s">
        <v>1398</v>
      </c>
      <c r="N3249">
        <v>0</v>
      </c>
      <c r="O3249" t="s">
        <v>1391</v>
      </c>
      <c r="P3249" t="s">
        <v>310</v>
      </c>
      <c r="Q3249" t="s">
        <v>310</v>
      </c>
      <c r="R3249" t="s">
        <v>310</v>
      </c>
      <c r="S3249">
        <v>9</v>
      </c>
      <c r="T3249" t="s">
        <v>310</v>
      </c>
      <c r="U3249">
        <v>9</v>
      </c>
      <c r="V3249">
        <v>9</v>
      </c>
      <c r="W3249">
        <v>0</v>
      </c>
      <c r="X3249">
        <v>0</v>
      </c>
      <c r="Y3249">
        <v>0</v>
      </c>
      <c r="Z3249">
        <v>0</v>
      </c>
      <c r="AA3249">
        <v>9</v>
      </c>
      <c r="AB3249">
        <v>9</v>
      </c>
      <c r="AC3249" t="s">
        <v>310</v>
      </c>
      <c r="AD3249">
        <v>9</v>
      </c>
      <c r="AE3249" t="s">
        <v>1396</v>
      </c>
      <c r="AF3249">
        <v>0</v>
      </c>
      <c r="AG3249" t="s">
        <v>310</v>
      </c>
      <c r="AH3249">
        <f>SUM((MID(Dyno_Data[[#This Row],[Team]],4,5))+(Dyno_Data[[#This Row],[Match]]/100))</f>
        <v>296.60000000000002</v>
      </c>
      <c r="AI3249" s="76">
        <f>ROUND(SUM(IF(Dyno_Data[[#This Row],[AcqCenter]]&gt;0,Dyno_Data[[#This Row],[Time]]-SUMIFS(Dyno_Data[Time],Dyno_Data[Team],Dyno_Data[[#This Row],[Team]],Dyno_Data[RecordType],"StartMatch",Dyno_Data[Match],Dyno_Data[[#This Row],[Match]]),0)*86400),0)</f>
        <v>0</v>
      </c>
    </row>
    <row r="3250" spans="1:35" x14ac:dyDescent="0.3">
      <c r="A3250">
        <v>3243</v>
      </c>
      <c r="B3250" t="s">
        <v>1317</v>
      </c>
      <c r="C3250">
        <v>60</v>
      </c>
      <c r="D3250" s="105">
        <v>45374.388083067126</v>
      </c>
      <c r="E3250" t="s">
        <v>312</v>
      </c>
      <c r="F3250" t="s">
        <v>309</v>
      </c>
      <c r="G3250">
        <v>0</v>
      </c>
      <c r="H3250" t="s">
        <v>315</v>
      </c>
      <c r="I3250">
        <v>0</v>
      </c>
      <c r="J3250">
        <v>0</v>
      </c>
      <c r="K3250">
        <v>0</v>
      </c>
      <c r="L3250" t="s">
        <v>240</v>
      </c>
      <c r="M3250" t="s">
        <v>1398</v>
      </c>
      <c r="N3250">
        <v>1</v>
      </c>
      <c r="O3250" t="s">
        <v>1391</v>
      </c>
      <c r="P3250" t="s">
        <v>310</v>
      </c>
      <c r="Q3250" t="s">
        <v>310</v>
      </c>
      <c r="R3250" t="s">
        <v>310</v>
      </c>
      <c r="S3250">
        <v>9</v>
      </c>
      <c r="T3250" t="s">
        <v>310</v>
      </c>
      <c r="U3250">
        <v>9</v>
      </c>
      <c r="V3250">
        <v>9</v>
      </c>
      <c r="W3250">
        <v>0</v>
      </c>
      <c r="X3250">
        <v>0</v>
      </c>
      <c r="Y3250">
        <v>0</v>
      </c>
      <c r="Z3250">
        <v>0</v>
      </c>
      <c r="AA3250">
        <v>9</v>
      </c>
      <c r="AB3250">
        <v>9</v>
      </c>
      <c r="AC3250" t="s">
        <v>310</v>
      </c>
      <c r="AD3250">
        <v>9</v>
      </c>
      <c r="AE3250" t="s">
        <v>1396</v>
      </c>
      <c r="AF3250">
        <v>10000000</v>
      </c>
      <c r="AG3250" t="s">
        <v>310</v>
      </c>
      <c r="AH3250">
        <f>SUM((MID(Dyno_Data[[#This Row],[Team]],4,5))+(Dyno_Data[[#This Row],[Match]]/100))</f>
        <v>296.60000000000002</v>
      </c>
      <c r="AI3250" s="76">
        <f>ROUND(SUM(IF(Dyno_Data[[#This Row],[AcqCenter]]&gt;0,Dyno_Data[[#This Row],[Time]]-SUMIFS(Dyno_Data[Time],Dyno_Data[Team],Dyno_Data[[#This Row],[Team]],Dyno_Data[RecordType],"StartMatch",Dyno_Data[Match],Dyno_Data[[#This Row],[Match]]),0)*86400),0)</f>
        <v>0</v>
      </c>
    </row>
    <row r="3251" spans="1:35" x14ac:dyDescent="0.3">
      <c r="A3251">
        <v>3244</v>
      </c>
      <c r="B3251" t="s">
        <v>370</v>
      </c>
      <c r="C3251">
        <v>60</v>
      </c>
      <c r="D3251" s="105">
        <v>45374.388113657405</v>
      </c>
      <c r="E3251" t="s">
        <v>312</v>
      </c>
      <c r="F3251" t="s">
        <v>309</v>
      </c>
      <c r="G3251">
        <v>0</v>
      </c>
      <c r="H3251" t="s">
        <v>315</v>
      </c>
      <c r="I3251">
        <v>0</v>
      </c>
      <c r="J3251">
        <v>0</v>
      </c>
      <c r="K3251">
        <v>0</v>
      </c>
      <c r="L3251" t="s">
        <v>241</v>
      </c>
      <c r="M3251" t="s">
        <v>1398</v>
      </c>
      <c r="N3251">
        <v>0</v>
      </c>
      <c r="O3251" t="s">
        <v>1395</v>
      </c>
      <c r="P3251" t="s">
        <v>310</v>
      </c>
      <c r="Q3251" t="s">
        <v>310</v>
      </c>
      <c r="R3251" t="s">
        <v>310</v>
      </c>
      <c r="S3251">
        <v>9</v>
      </c>
      <c r="T3251" t="s">
        <v>310</v>
      </c>
      <c r="U3251">
        <v>9</v>
      </c>
      <c r="V3251">
        <v>9</v>
      </c>
      <c r="W3251">
        <v>0</v>
      </c>
      <c r="X3251">
        <v>0</v>
      </c>
      <c r="Y3251">
        <v>0</v>
      </c>
      <c r="Z3251">
        <v>0</v>
      </c>
      <c r="AA3251">
        <v>9</v>
      </c>
      <c r="AB3251">
        <v>9</v>
      </c>
      <c r="AC3251" t="s">
        <v>310</v>
      </c>
      <c r="AD3251">
        <v>9</v>
      </c>
      <c r="AE3251" t="s">
        <v>1387</v>
      </c>
      <c r="AF3251">
        <v>10000000</v>
      </c>
      <c r="AG3251" t="s">
        <v>310</v>
      </c>
      <c r="AH3251">
        <f>SUM((MID(Dyno_Data[[#This Row],[Team]],4,5))+(Dyno_Data[[#This Row],[Match]]/100))</f>
        <v>6911.6</v>
      </c>
      <c r="AI3251" s="76">
        <f>ROUND(SUM(IF(Dyno_Data[[#This Row],[AcqCenter]]&gt;0,Dyno_Data[[#This Row],[Time]]-SUMIFS(Dyno_Data[Time],Dyno_Data[Team],Dyno_Data[[#This Row],[Team]],Dyno_Data[RecordType],"StartMatch",Dyno_Data[Match],Dyno_Data[[#This Row],[Match]]),0)*86400),0)</f>
        <v>0</v>
      </c>
    </row>
    <row r="3252" spans="1:35" x14ac:dyDescent="0.3">
      <c r="A3252">
        <v>3246</v>
      </c>
      <c r="B3252" t="s">
        <v>1317</v>
      </c>
      <c r="C3252">
        <v>60</v>
      </c>
      <c r="D3252" s="105">
        <v>45374.388192048609</v>
      </c>
      <c r="E3252" t="s">
        <v>314</v>
      </c>
      <c r="F3252" t="s">
        <v>309</v>
      </c>
      <c r="G3252">
        <v>1</v>
      </c>
      <c r="H3252" t="s">
        <v>310</v>
      </c>
      <c r="I3252">
        <v>0</v>
      </c>
      <c r="J3252">
        <v>0</v>
      </c>
      <c r="K3252">
        <v>0</v>
      </c>
      <c r="L3252" t="s">
        <v>310</v>
      </c>
      <c r="M3252" t="s">
        <v>310</v>
      </c>
      <c r="N3252">
        <v>0</v>
      </c>
      <c r="O3252" t="s">
        <v>1391</v>
      </c>
      <c r="P3252" t="s">
        <v>240</v>
      </c>
      <c r="Q3252" t="s">
        <v>1400</v>
      </c>
      <c r="R3252" t="s">
        <v>310</v>
      </c>
      <c r="S3252">
        <v>9</v>
      </c>
      <c r="T3252" t="s">
        <v>310</v>
      </c>
      <c r="U3252">
        <v>9</v>
      </c>
      <c r="V3252">
        <v>9</v>
      </c>
      <c r="W3252">
        <v>0</v>
      </c>
      <c r="X3252">
        <v>0</v>
      </c>
      <c r="Y3252">
        <v>0</v>
      </c>
      <c r="Z3252">
        <v>0</v>
      </c>
      <c r="AA3252">
        <v>9</v>
      </c>
      <c r="AB3252">
        <v>9</v>
      </c>
      <c r="AC3252" t="s">
        <v>310</v>
      </c>
      <c r="AD3252">
        <v>9</v>
      </c>
      <c r="AE3252" t="s">
        <v>1396</v>
      </c>
      <c r="AF3252">
        <v>10000000</v>
      </c>
      <c r="AG3252" t="s">
        <v>310</v>
      </c>
      <c r="AH3252">
        <f>SUM((MID(Dyno_Data[[#This Row],[Team]],4,5))+(Dyno_Data[[#This Row],[Match]]/100))</f>
        <v>296.60000000000002</v>
      </c>
      <c r="AI3252" s="76">
        <f>ROUND(SUM(IF(Dyno_Data[[#This Row],[AcqCenter]]&gt;0,Dyno_Data[[#This Row],[Time]]-SUMIFS(Dyno_Data[Time],Dyno_Data[Team],Dyno_Data[[#This Row],[Team]],Dyno_Data[RecordType],"StartMatch",Dyno_Data[Match],Dyno_Data[[#This Row],[Match]]),0)*86400),0)</f>
        <v>0</v>
      </c>
    </row>
    <row r="3253" spans="1:35" x14ac:dyDescent="0.3">
      <c r="A3253">
        <v>3248</v>
      </c>
      <c r="B3253" t="s">
        <v>1301</v>
      </c>
      <c r="C3253">
        <v>60</v>
      </c>
      <c r="D3253" s="105">
        <v>45374.388192395832</v>
      </c>
      <c r="E3253" t="s">
        <v>314</v>
      </c>
      <c r="F3253" t="s">
        <v>309</v>
      </c>
      <c r="G3253">
        <v>0</v>
      </c>
      <c r="H3253" t="s">
        <v>310</v>
      </c>
      <c r="I3253">
        <v>0</v>
      </c>
      <c r="J3253">
        <v>0</v>
      </c>
      <c r="K3253">
        <v>0</v>
      </c>
      <c r="L3253" t="s">
        <v>310</v>
      </c>
      <c r="M3253" t="s">
        <v>310</v>
      </c>
      <c r="N3253">
        <v>0</v>
      </c>
      <c r="O3253" t="s">
        <v>1389</v>
      </c>
      <c r="P3253" t="s">
        <v>320</v>
      </c>
      <c r="Q3253" t="s">
        <v>1400</v>
      </c>
      <c r="R3253" t="s">
        <v>310</v>
      </c>
      <c r="S3253">
        <v>9</v>
      </c>
      <c r="T3253" t="s">
        <v>310</v>
      </c>
      <c r="U3253">
        <v>9</v>
      </c>
      <c r="V3253">
        <v>9</v>
      </c>
      <c r="W3253">
        <v>0</v>
      </c>
      <c r="X3253">
        <v>0</v>
      </c>
      <c r="Y3253">
        <v>0</v>
      </c>
      <c r="Z3253">
        <v>0</v>
      </c>
      <c r="AA3253">
        <v>9</v>
      </c>
      <c r="AB3253">
        <v>9</v>
      </c>
      <c r="AC3253" t="s">
        <v>310</v>
      </c>
      <c r="AD3253">
        <v>9</v>
      </c>
      <c r="AE3253" t="s">
        <v>1392</v>
      </c>
      <c r="AF3253">
        <v>0</v>
      </c>
      <c r="AG3253" t="s">
        <v>310</v>
      </c>
      <c r="AH3253">
        <f>SUM((MID(Dyno_Data[[#This Row],[Team]],4,5))+(Dyno_Data[[#This Row],[Match]]/100))</f>
        <v>7031.6</v>
      </c>
      <c r="AI3253" s="76">
        <f>ROUND(SUM(IF(Dyno_Data[[#This Row],[AcqCenter]]&gt;0,Dyno_Data[[#This Row],[Time]]-SUMIFS(Dyno_Data[Time],Dyno_Data[Team],Dyno_Data[[#This Row],[Team]],Dyno_Data[RecordType],"StartMatch",Dyno_Data[Match],Dyno_Data[[#This Row],[Match]]),0)*86400),0)</f>
        <v>0</v>
      </c>
    </row>
    <row r="3254" spans="1:35" x14ac:dyDescent="0.3">
      <c r="A3254">
        <v>3250</v>
      </c>
      <c r="B3254" t="s">
        <v>370</v>
      </c>
      <c r="C3254">
        <v>60</v>
      </c>
      <c r="D3254" s="105">
        <v>45374.388194907406</v>
      </c>
      <c r="E3254" t="s">
        <v>314</v>
      </c>
      <c r="F3254" t="s">
        <v>309</v>
      </c>
      <c r="G3254">
        <v>1</v>
      </c>
      <c r="H3254" t="s">
        <v>310</v>
      </c>
      <c r="I3254">
        <v>0</v>
      </c>
      <c r="J3254">
        <v>0</v>
      </c>
      <c r="K3254">
        <v>0</v>
      </c>
      <c r="L3254" t="s">
        <v>310</v>
      </c>
      <c r="M3254" t="s">
        <v>310</v>
      </c>
      <c r="N3254">
        <v>0</v>
      </c>
      <c r="O3254" t="s">
        <v>1395</v>
      </c>
      <c r="P3254" t="s">
        <v>1401</v>
      </c>
      <c r="Q3254" t="s">
        <v>1400</v>
      </c>
      <c r="R3254" t="s">
        <v>310</v>
      </c>
      <c r="S3254">
        <v>9</v>
      </c>
      <c r="T3254" t="s">
        <v>310</v>
      </c>
      <c r="U3254">
        <v>9</v>
      </c>
      <c r="V3254">
        <v>9</v>
      </c>
      <c r="W3254">
        <v>0</v>
      </c>
      <c r="X3254">
        <v>0</v>
      </c>
      <c r="Y3254">
        <v>0</v>
      </c>
      <c r="Z3254">
        <v>0</v>
      </c>
      <c r="AA3254">
        <v>9</v>
      </c>
      <c r="AB3254">
        <v>9</v>
      </c>
      <c r="AC3254" t="s">
        <v>310</v>
      </c>
      <c r="AD3254">
        <v>9</v>
      </c>
      <c r="AE3254" t="s">
        <v>1387</v>
      </c>
      <c r="AF3254">
        <v>10000000</v>
      </c>
      <c r="AG3254" t="s">
        <v>310</v>
      </c>
      <c r="AH3254">
        <f>SUM((MID(Dyno_Data[[#This Row],[Team]],4,5))+(Dyno_Data[[#This Row],[Match]]/100))</f>
        <v>6911.6</v>
      </c>
      <c r="AI3254" s="76">
        <f>ROUND(SUM(IF(Dyno_Data[[#This Row],[AcqCenter]]&gt;0,Dyno_Data[[#This Row],[Time]]-SUMIFS(Dyno_Data[Time],Dyno_Data[Team],Dyno_Data[[#This Row],[Team]],Dyno_Data[RecordType],"StartMatch",Dyno_Data[Match],Dyno_Data[[#This Row],[Match]]),0)*86400),0)</f>
        <v>0</v>
      </c>
    </row>
    <row r="3255" spans="1:35" x14ac:dyDescent="0.3">
      <c r="A3255">
        <v>3252</v>
      </c>
      <c r="B3255" t="s">
        <v>1295</v>
      </c>
      <c r="C3255">
        <v>60</v>
      </c>
      <c r="D3255" s="105">
        <v>45374.388195601852</v>
      </c>
      <c r="E3255" t="s">
        <v>314</v>
      </c>
      <c r="F3255" t="s">
        <v>309</v>
      </c>
      <c r="G3255">
        <v>1</v>
      </c>
      <c r="H3255" t="s">
        <v>310</v>
      </c>
      <c r="I3255">
        <v>0</v>
      </c>
      <c r="J3255">
        <v>0</v>
      </c>
      <c r="K3255">
        <v>0</v>
      </c>
      <c r="L3255" t="s">
        <v>310</v>
      </c>
      <c r="M3255" t="s">
        <v>310</v>
      </c>
      <c r="N3255">
        <v>0</v>
      </c>
      <c r="O3255" t="s">
        <v>319</v>
      </c>
      <c r="P3255" t="s">
        <v>1401</v>
      </c>
      <c r="Q3255" t="s">
        <v>1400</v>
      </c>
      <c r="R3255" t="s">
        <v>310</v>
      </c>
      <c r="S3255">
        <v>9</v>
      </c>
      <c r="T3255" t="s">
        <v>310</v>
      </c>
      <c r="U3255">
        <v>9</v>
      </c>
      <c r="V3255">
        <v>9</v>
      </c>
      <c r="W3255">
        <v>0</v>
      </c>
      <c r="X3255">
        <v>0</v>
      </c>
      <c r="Y3255">
        <v>0</v>
      </c>
      <c r="Z3255">
        <v>0</v>
      </c>
      <c r="AA3255">
        <v>9</v>
      </c>
      <c r="AB3255">
        <v>9</v>
      </c>
      <c r="AC3255" t="s">
        <v>310</v>
      </c>
      <c r="AD3255">
        <v>9</v>
      </c>
      <c r="AE3255" t="s">
        <v>1394</v>
      </c>
      <c r="AF3255">
        <v>0</v>
      </c>
      <c r="AG3255" t="s">
        <v>310</v>
      </c>
      <c r="AH3255">
        <f>SUM((MID(Dyno_Data[[#This Row],[Team]],4,5))+(Dyno_Data[[#This Row],[Match]]/100))</f>
        <v>6300.6</v>
      </c>
      <c r="AI3255" s="76">
        <f>ROUND(SUM(IF(Dyno_Data[[#This Row],[AcqCenter]]&gt;0,Dyno_Data[[#This Row],[Time]]-SUMIFS(Dyno_Data[Time],Dyno_Data[Team],Dyno_Data[[#This Row],[Team]],Dyno_Data[RecordType],"StartMatch",Dyno_Data[Match],Dyno_Data[[#This Row],[Match]]),0)*86400),0)</f>
        <v>0</v>
      </c>
    </row>
    <row r="3256" spans="1:35" x14ac:dyDescent="0.3">
      <c r="A3256">
        <v>3253</v>
      </c>
      <c r="B3256" t="s">
        <v>1306</v>
      </c>
      <c r="C3256">
        <v>60</v>
      </c>
      <c r="D3256" s="105">
        <v>45374.38819849537</v>
      </c>
      <c r="E3256" t="s">
        <v>1403</v>
      </c>
      <c r="F3256" t="s">
        <v>309</v>
      </c>
      <c r="G3256">
        <v>0</v>
      </c>
      <c r="H3256" t="s">
        <v>310</v>
      </c>
      <c r="I3256">
        <v>0</v>
      </c>
      <c r="J3256">
        <v>0</v>
      </c>
      <c r="K3256">
        <v>0</v>
      </c>
      <c r="L3256" t="s">
        <v>310</v>
      </c>
      <c r="M3256" t="s">
        <v>310</v>
      </c>
      <c r="N3256">
        <v>0</v>
      </c>
      <c r="O3256" t="s">
        <v>311</v>
      </c>
      <c r="P3256" t="s">
        <v>310</v>
      </c>
      <c r="Q3256" t="s">
        <v>310</v>
      </c>
      <c r="R3256" t="s">
        <v>310</v>
      </c>
      <c r="S3256">
        <v>9</v>
      </c>
      <c r="T3256" t="s">
        <v>310</v>
      </c>
      <c r="U3256">
        <v>9</v>
      </c>
      <c r="V3256">
        <v>9</v>
      </c>
      <c r="W3256">
        <v>0</v>
      </c>
      <c r="X3256">
        <v>0</v>
      </c>
      <c r="Y3256">
        <v>0</v>
      </c>
      <c r="Z3256">
        <v>0</v>
      </c>
      <c r="AA3256">
        <v>9</v>
      </c>
      <c r="AB3256">
        <v>9</v>
      </c>
      <c r="AC3256" t="s">
        <v>310</v>
      </c>
      <c r="AD3256">
        <v>9</v>
      </c>
      <c r="AE3256" t="s">
        <v>1388</v>
      </c>
      <c r="AF3256">
        <v>0</v>
      </c>
      <c r="AG3256" t="s">
        <v>249</v>
      </c>
      <c r="AH3256">
        <f>SUM((MID(Dyno_Data[[#This Row],[Team]],4,5))+(Dyno_Data[[#This Row],[Match]]/100))</f>
        <v>3986.6</v>
      </c>
      <c r="AI3256" s="76">
        <f>ROUND(SUM(IF(Dyno_Data[[#This Row],[AcqCenter]]&gt;0,Dyno_Data[[#This Row],[Time]]-SUMIFS(Dyno_Data[Time],Dyno_Data[Team],Dyno_Data[[#This Row],[Team]],Dyno_Data[RecordType],"StartMatch",Dyno_Data[Match],Dyno_Data[[#This Row],[Match]]),0)*86400),0)</f>
        <v>0</v>
      </c>
    </row>
    <row r="3257" spans="1:35" x14ac:dyDescent="0.3">
      <c r="A3257">
        <v>3255</v>
      </c>
      <c r="B3257" t="s">
        <v>1310</v>
      </c>
      <c r="C3257">
        <v>60</v>
      </c>
      <c r="D3257" s="105">
        <v>45374.388207905089</v>
      </c>
      <c r="E3257" t="s">
        <v>314</v>
      </c>
      <c r="F3257" t="s">
        <v>309</v>
      </c>
      <c r="G3257">
        <v>1</v>
      </c>
      <c r="H3257" t="s">
        <v>310</v>
      </c>
      <c r="I3257">
        <v>0</v>
      </c>
      <c r="J3257">
        <v>0</v>
      </c>
      <c r="K3257">
        <v>0</v>
      </c>
      <c r="L3257" t="s">
        <v>310</v>
      </c>
      <c r="M3257" t="s">
        <v>310</v>
      </c>
      <c r="N3257">
        <v>0</v>
      </c>
      <c r="O3257" t="s">
        <v>1393</v>
      </c>
      <c r="P3257" t="s">
        <v>101</v>
      </c>
      <c r="Q3257" t="s">
        <v>1399</v>
      </c>
      <c r="R3257" t="s">
        <v>310</v>
      </c>
      <c r="S3257">
        <v>9</v>
      </c>
      <c r="T3257" t="s">
        <v>310</v>
      </c>
      <c r="U3257">
        <v>9</v>
      </c>
      <c r="V3257">
        <v>9</v>
      </c>
      <c r="W3257">
        <v>0</v>
      </c>
      <c r="X3257">
        <v>0</v>
      </c>
      <c r="Y3257">
        <v>0</v>
      </c>
      <c r="Z3257">
        <v>0</v>
      </c>
      <c r="AA3257">
        <v>9</v>
      </c>
      <c r="AB3257">
        <v>9</v>
      </c>
      <c r="AC3257" t="s">
        <v>310</v>
      </c>
      <c r="AD3257">
        <v>9</v>
      </c>
      <c r="AE3257" t="s">
        <v>1390</v>
      </c>
      <c r="AF3257">
        <v>0</v>
      </c>
      <c r="AG3257" t="s">
        <v>310</v>
      </c>
      <c r="AH3257">
        <f>SUM((MID(Dyno_Data[[#This Row],[Team]],4,5))+(Dyno_Data[[#This Row],[Match]]/100))</f>
        <v>6621.6</v>
      </c>
      <c r="AI3257" s="76">
        <f>ROUND(SUM(IF(Dyno_Data[[#This Row],[AcqCenter]]&gt;0,Dyno_Data[[#This Row],[Time]]-SUMIFS(Dyno_Data[Time],Dyno_Data[Team],Dyno_Data[[#This Row],[Team]],Dyno_Data[RecordType],"StartMatch",Dyno_Data[Match],Dyno_Data[[#This Row],[Match]]),0)*86400),0)</f>
        <v>0</v>
      </c>
    </row>
    <row r="3258" spans="1:35" x14ac:dyDescent="0.3">
      <c r="A3258">
        <v>3257</v>
      </c>
      <c r="B3258" t="s">
        <v>1306</v>
      </c>
      <c r="C3258">
        <v>60</v>
      </c>
      <c r="D3258" s="105">
        <v>45374.388210034725</v>
      </c>
      <c r="E3258" t="s">
        <v>314</v>
      </c>
      <c r="F3258" t="s">
        <v>309</v>
      </c>
      <c r="G3258">
        <v>0</v>
      </c>
      <c r="H3258" t="s">
        <v>310</v>
      </c>
      <c r="I3258">
        <v>0</v>
      </c>
      <c r="J3258">
        <v>0</v>
      </c>
      <c r="K3258">
        <v>0</v>
      </c>
      <c r="L3258" t="s">
        <v>310</v>
      </c>
      <c r="M3258" t="s">
        <v>310</v>
      </c>
      <c r="N3258">
        <v>0</v>
      </c>
      <c r="O3258" t="s">
        <v>311</v>
      </c>
      <c r="P3258" t="s">
        <v>320</v>
      </c>
      <c r="Q3258" t="s">
        <v>1399</v>
      </c>
      <c r="R3258" t="s">
        <v>310</v>
      </c>
      <c r="S3258">
        <v>9</v>
      </c>
      <c r="T3258" t="s">
        <v>310</v>
      </c>
      <c r="U3258">
        <v>9</v>
      </c>
      <c r="V3258">
        <v>9</v>
      </c>
      <c r="W3258">
        <v>0</v>
      </c>
      <c r="X3258">
        <v>0</v>
      </c>
      <c r="Y3258">
        <v>0</v>
      </c>
      <c r="Z3258">
        <v>0</v>
      </c>
      <c r="AA3258">
        <v>9</v>
      </c>
      <c r="AB3258">
        <v>9</v>
      </c>
      <c r="AC3258" t="s">
        <v>310</v>
      </c>
      <c r="AD3258">
        <v>9</v>
      </c>
      <c r="AE3258" t="s">
        <v>1388</v>
      </c>
      <c r="AF3258">
        <v>0</v>
      </c>
      <c r="AG3258" t="s">
        <v>310</v>
      </c>
      <c r="AH3258">
        <f>SUM((MID(Dyno_Data[[#This Row],[Team]],4,5))+(Dyno_Data[[#This Row],[Match]]/100))</f>
        <v>3986.6</v>
      </c>
      <c r="AI3258" s="76">
        <f>ROUND(SUM(IF(Dyno_Data[[#This Row],[AcqCenter]]&gt;0,Dyno_Data[[#This Row],[Time]]-SUMIFS(Dyno_Data[Time],Dyno_Data[Team],Dyno_Data[[#This Row],[Team]],Dyno_Data[RecordType],"StartMatch",Dyno_Data[Match],Dyno_Data[[#This Row],[Match]]),0)*86400),0)</f>
        <v>0</v>
      </c>
    </row>
    <row r="3259" spans="1:35" x14ac:dyDescent="0.3">
      <c r="A3259">
        <v>3258</v>
      </c>
      <c r="B3259" t="s">
        <v>1310</v>
      </c>
      <c r="C3259">
        <v>60</v>
      </c>
      <c r="D3259" s="105">
        <v>45374.388218136577</v>
      </c>
      <c r="E3259" t="s">
        <v>1403</v>
      </c>
      <c r="F3259" t="s">
        <v>1402</v>
      </c>
      <c r="G3259">
        <v>0</v>
      </c>
      <c r="H3259" t="s">
        <v>310</v>
      </c>
      <c r="I3259">
        <v>0</v>
      </c>
      <c r="J3259">
        <v>0</v>
      </c>
      <c r="K3259">
        <v>0</v>
      </c>
      <c r="L3259" t="s">
        <v>310</v>
      </c>
      <c r="M3259" t="s">
        <v>310</v>
      </c>
      <c r="N3259">
        <v>0</v>
      </c>
      <c r="O3259" t="s">
        <v>1393</v>
      </c>
      <c r="P3259" t="s">
        <v>310</v>
      </c>
      <c r="Q3259" t="s">
        <v>310</v>
      </c>
      <c r="R3259" t="s">
        <v>310</v>
      </c>
      <c r="S3259">
        <v>9</v>
      </c>
      <c r="T3259" t="s">
        <v>310</v>
      </c>
      <c r="U3259">
        <v>9</v>
      </c>
      <c r="V3259">
        <v>9</v>
      </c>
      <c r="W3259">
        <v>0</v>
      </c>
      <c r="X3259">
        <v>0</v>
      </c>
      <c r="Y3259">
        <v>0</v>
      </c>
      <c r="Z3259">
        <v>0</v>
      </c>
      <c r="AA3259">
        <v>9</v>
      </c>
      <c r="AB3259">
        <v>9</v>
      </c>
      <c r="AC3259" t="s">
        <v>310</v>
      </c>
      <c r="AD3259">
        <v>9</v>
      </c>
      <c r="AE3259" t="s">
        <v>1390</v>
      </c>
      <c r="AF3259">
        <v>0</v>
      </c>
      <c r="AG3259" t="s">
        <v>253</v>
      </c>
      <c r="AH3259">
        <f>SUM((MID(Dyno_Data[[#This Row],[Team]],4,5))+(Dyno_Data[[#This Row],[Match]]/100))</f>
        <v>6621.6</v>
      </c>
      <c r="AI3259" s="76">
        <f>ROUND(SUM(IF(Dyno_Data[[#This Row],[AcqCenter]]&gt;0,Dyno_Data[[#This Row],[Time]]-SUMIFS(Dyno_Data[Time],Dyno_Data[Team],Dyno_Data[[#This Row],[Team]],Dyno_Data[RecordType],"StartMatch",Dyno_Data[Match],Dyno_Data[[#This Row],[Match]]),0)*86400),0)</f>
        <v>0</v>
      </c>
    </row>
    <row r="3260" spans="1:35" x14ac:dyDescent="0.3">
      <c r="A3260">
        <v>3259</v>
      </c>
      <c r="B3260" t="s">
        <v>1306</v>
      </c>
      <c r="C3260">
        <v>60</v>
      </c>
      <c r="D3260" s="105">
        <v>45374.388237615742</v>
      </c>
      <c r="E3260" t="s">
        <v>312</v>
      </c>
      <c r="F3260" t="s">
        <v>1402</v>
      </c>
      <c r="G3260">
        <v>0</v>
      </c>
      <c r="H3260" t="s">
        <v>1397</v>
      </c>
      <c r="I3260">
        <v>0</v>
      </c>
      <c r="J3260">
        <v>0</v>
      </c>
      <c r="K3260">
        <v>0</v>
      </c>
      <c r="L3260" t="s">
        <v>241</v>
      </c>
      <c r="M3260" t="s">
        <v>1398</v>
      </c>
      <c r="N3260">
        <v>1</v>
      </c>
      <c r="O3260" t="s">
        <v>311</v>
      </c>
      <c r="P3260" t="s">
        <v>310</v>
      </c>
      <c r="Q3260" t="s">
        <v>310</v>
      </c>
      <c r="R3260" t="s">
        <v>310</v>
      </c>
      <c r="S3260">
        <v>9</v>
      </c>
      <c r="T3260" t="s">
        <v>310</v>
      </c>
      <c r="U3260">
        <v>9</v>
      </c>
      <c r="V3260">
        <v>9</v>
      </c>
      <c r="W3260">
        <v>0</v>
      </c>
      <c r="X3260">
        <v>0</v>
      </c>
      <c r="Y3260">
        <v>0</v>
      </c>
      <c r="Z3260">
        <v>0</v>
      </c>
      <c r="AA3260">
        <v>9</v>
      </c>
      <c r="AB3260">
        <v>9</v>
      </c>
      <c r="AC3260" t="s">
        <v>310</v>
      </c>
      <c r="AD3260">
        <v>9</v>
      </c>
      <c r="AE3260" t="s">
        <v>1388</v>
      </c>
      <c r="AF3260">
        <v>0</v>
      </c>
      <c r="AG3260" t="s">
        <v>310</v>
      </c>
      <c r="AH3260">
        <f>SUM((MID(Dyno_Data[[#This Row],[Team]],4,5))+(Dyno_Data[[#This Row],[Match]]/100))</f>
        <v>3986.6</v>
      </c>
      <c r="AI3260" s="76">
        <f>ROUND(SUM(IF(Dyno_Data[[#This Row],[AcqCenter]]&gt;0,Dyno_Data[[#This Row],[Time]]-SUMIFS(Dyno_Data[Time],Dyno_Data[Team],Dyno_Data[[#This Row],[Team]],Dyno_Data[RecordType],"StartMatch",Dyno_Data[Match],Dyno_Data[[#This Row],[Match]]),0)*86400),0)</f>
        <v>0</v>
      </c>
    </row>
    <row r="3261" spans="1:35" x14ac:dyDescent="0.3">
      <c r="A3261">
        <v>3260</v>
      </c>
      <c r="B3261" t="s">
        <v>1310</v>
      </c>
      <c r="C3261">
        <v>60</v>
      </c>
      <c r="D3261" s="105">
        <v>45374.388273460645</v>
      </c>
      <c r="E3261" t="s">
        <v>1403</v>
      </c>
      <c r="F3261" t="s">
        <v>1402</v>
      </c>
      <c r="G3261">
        <v>0</v>
      </c>
      <c r="H3261" t="s">
        <v>310</v>
      </c>
      <c r="I3261">
        <v>0</v>
      </c>
      <c r="J3261">
        <v>0</v>
      </c>
      <c r="K3261">
        <v>0</v>
      </c>
      <c r="L3261" t="s">
        <v>310</v>
      </c>
      <c r="M3261" t="s">
        <v>310</v>
      </c>
      <c r="N3261">
        <v>0</v>
      </c>
      <c r="O3261" t="s">
        <v>1393</v>
      </c>
      <c r="P3261" t="s">
        <v>310</v>
      </c>
      <c r="Q3261" t="s">
        <v>310</v>
      </c>
      <c r="R3261" t="s">
        <v>310</v>
      </c>
      <c r="S3261">
        <v>9</v>
      </c>
      <c r="T3261" t="s">
        <v>310</v>
      </c>
      <c r="U3261">
        <v>9</v>
      </c>
      <c r="V3261">
        <v>9</v>
      </c>
      <c r="W3261">
        <v>0</v>
      </c>
      <c r="X3261">
        <v>0</v>
      </c>
      <c r="Y3261">
        <v>0</v>
      </c>
      <c r="Z3261">
        <v>0</v>
      </c>
      <c r="AA3261">
        <v>9</v>
      </c>
      <c r="AB3261">
        <v>9</v>
      </c>
      <c r="AC3261" t="s">
        <v>310</v>
      </c>
      <c r="AD3261">
        <v>9</v>
      </c>
      <c r="AE3261" t="s">
        <v>1390</v>
      </c>
      <c r="AF3261">
        <v>0</v>
      </c>
      <c r="AG3261" t="s">
        <v>258</v>
      </c>
      <c r="AH3261">
        <f>SUM((MID(Dyno_Data[[#This Row],[Team]],4,5))+(Dyno_Data[[#This Row],[Match]]/100))</f>
        <v>6621.6</v>
      </c>
      <c r="AI3261" s="76">
        <f>ROUND(SUM(IF(Dyno_Data[[#This Row],[AcqCenter]]&gt;0,Dyno_Data[[#This Row],[Time]]-SUMIFS(Dyno_Data[Time],Dyno_Data[Team],Dyno_Data[[#This Row],[Team]],Dyno_Data[RecordType],"StartMatch",Dyno_Data[Match],Dyno_Data[[#This Row],[Match]]),0)*86400),0)</f>
        <v>0</v>
      </c>
    </row>
    <row r="3262" spans="1:35" x14ac:dyDescent="0.3">
      <c r="A3262">
        <v>3261</v>
      </c>
      <c r="B3262" t="s">
        <v>370</v>
      </c>
      <c r="C3262">
        <v>60</v>
      </c>
      <c r="D3262" s="105">
        <v>45374.388290196759</v>
      </c>
      <c r="E3262" t="s">
        <v>312</v>
      </c>
      <c r="F3262" t="s">
        <v>1402</v>
      </c>
      <c r="G3262">
        <v>0</v>
      </c>
      <c r="H3262" t="s">
        <v>315</v>
      </c>
      <c r="I3262">
        <v>0</v>
      </c>
      <c r="J3262">
        <v>0</v>
      </c>
      <c r="K3262">
        <v>0</v>
      </c>
      <c r="L3262" t="s">
        <v>241</v>
      </c>
      <c r="M3262" t="s">
        <v>1398</v>
      </c>
      <c r="N3262">
        <v>0</v>
      </c>
      <c r="O3262" t="s">
        <v>1395</v>
      </c>
      <c r="P3262" t="s">
        <v>310</v>
      </c>
      <c r="Q3262" t="s">
        <v>310</v>
      </c>
      <c r="R3262" t="s">
        <v>310</v>
      </c>
      <c r="S3262">
        <v>9</v>
      </c>
      <c r="T3262" t="s">
        <v>310</v>
      </c>
      <c r="U3262">
        <v>9</v>
      </c>
      <c r="V3262">
        <v>9</v>
      </c>
      <c r="W3262">
        <v>0</v>
      </c>
      <c r="X3262">
        <v>0</v>
      </c>
      <c r="Y3262">
        <v>0</v>
      </c>
      <c r="Z3262">
        <v>0</v>
      </c>
      <c r="AA3262">
        <v>9</v>
      </c>
      <c r="AB3262">
        <v>9</v>
      </c>
      <c r="AC3262" t="s">
        <v>310</v>
      </c>
      <c r="AD3262">
        <v>9</v>
      </c>
      <c r="AE3262" t="s">
        <v>1387</v>
      </c>
      <c r="AF3262">
        <v>20000000</v>
      </c>
      <c r="AG3262" t="s">
        <v>310</v>
      </c>
      <c r="AH3262">
        <f>SUM((MID(Dyno_Data[[#This Row],[Team]],4,5))+(Dyno_Data[[#This Row],[Match]]/100))</f>
        <v>6911.6</v>
      </c>
      <c r="AI3262" s="76">
        <f>ROUND(SUM(IF(Dyno_Data[[#This Row],[AcqCenter]]&gt;0,Dyno_Data[[#This Row],[Time]]-SUMIFS(Dyno_Data[Time],Dyno_Data[Team],Dyno_Data[[#This Row],[Team]],Dyno_Data[RecordType],"StartMatch",Dyno_Data[Match],Dyno_Data[[#This Row],[Match]]),0)*86400),0)</f>
        <v>0</v>
      </c>
    </row>
    <row r="3263" spans="1:35" x14ac:dyDescent="0.3">
      <c r="A3263">
        <v>3262</v>
      </c>
      <c r="B3263" t="s">
        <v>1306</v>
      </c>
      <c r="C3263">
        <v>60</v>
      </c>
      <c r="D3263" s="105">
        <v>45374.388304780092</v>
      </c>
      <c r="E3263" t="s">
        <v>312</v>
      </c>
      <c r="F3263" t="s">
        <v>1402</v>
      </c>
      <c r="G3263">
        <v>0</v>
      </c>
      <c r="H3263" t="s">
        <v>315</v>
      </c>
      <c r="I3263">
        <v>0</v>
      </c>
      <c r="J3263">
        <v>0</v>
      </c>
      <c r="K3263">
        <v>0</v>
      </c>
      <c r="L3263" t="s">
        <v>240</v>
      </c>
      <c r="M3263" t="s">
        <v>1398</v>
      </c>
      <c r="N3263">
        <v>1</v>
      </c>
      <c r="O3263" t="s">
        <v>311</v>
      </c>
      <c r="P3263" t="s">
        <v>310</v>
      </c>
      <c r="Q3263" t="s">
        <v>310</v>
      </c>
      <c r="R3263" t="s">
        <v>310</v>
      </c>
      <c r="S3263">
        <v>9</v>
      </c>
      <c r="T3263" t="s">
        <v>310</v>
      </c>
      <c r="U3263">
        <v>9</v>
      </c>
      <c r="V3263">
        <v>9</v>
      </c>
      <c r="W3263">
        <v>0</v>
      </c>
      <c r="X3263">
        <v>0</v>
      </c>
      <c r="Y3263">
        <v>0</v>
      </c>
      <c r="Z3263">
        <v>0</v>
      </c>
      <c r="AA3263">
        <v>9</v>
      </c>
      <c r="AB3263">
        <v>9</v>
      </c>
      <c r="AC3263" t="s">
        <v>310</v>
      </c>
      <c r="AD3263">
        <v>9</v>
      </c>
      <c r="AE3263" t="s">
        <v>1388</v>
      </c>
      <c r="AF3263">
        <v>10000000</v>
      </c>
      <c r="AG3263" t="s">
        <v>310</v>
      </c>
      <c r="AH3263">
        <f>SUM((MID(Dyno_Data[[#This Row],[Team]],4,5))+(Dyno_Data[[#This Row],[Match]]/100))</f>
        <v>3986.6</v>
      </c>
      <c r="AI3263" s="76">
        <f>ROUND(SUM(IF(Dyno_Data[[#This Row],[AcqCenter]]&gt;0,Dyno_Data[[#This Row],[Time]]-SUMIFS(Dyno_Data[Time],Dyno_Data[Team],Dyno_Data[[#This Row],[Team]],Dyno_Data[RecordType],"StartMatch",Dyno_Data[Match],Dyno_Data[[#This Row],[Match]]),0)*86400),0)</f>
        <v>0</v>
      </c>
    </row>
    <row r="3264" spans="1:35" x14ac:dyDescent="0.3">
      <c r="A3264">
        <v>3263</v>
      </c>
      <c r="B3264" t="s">
        <v>1317</v>
      </c>
      <c r="C3264">
        <v>60</v>
      </c>
      <c r="D3264" s="105">
        <v>45374.388320104168</v>
      </c>
      <c r="E3264" t="s">
        <v>312</v>
      </c>
      <c r="F3264" t="s">
        <v>1402</v>
      </c>
      <c r="G3264">
        <v>0</v>
      </c>
      <c r="H3264" t="s">
        <v>315</v>
      </c>
      <c r="I3264">
        <v>0</v>
      </c>
      <c r="J3264">
        <v>0</v>
      </c>
      <c r="K3264">
        <v>0</v>
      </c>
      <c r="L3264" t="s">
        <v>240</v>
      </c>
      <c r="M3264" t="s">
        <v>1398</v>
      </c>
      <c r="N3264">
        <v>1</v>
      </c>
      <c r="O3264" t="s">
        <v>1391</v>
      </c>
      <c r="P3264" t="s">
        <v>310</v>
      </c>
      <c r="Q3264" t="s">
        <v>310</v>
      </c>
      <c r="R3264" t="s">
        <v>310</v>
      </c>
      <c r="S3264">
        <v>9</v>
      </c>
      <c r="T3264" t="s">
        <v>310</v>
      </c>
      <c r="U3264">
        <v>9</v>
      </c>
      <c r="V3264">
        <v>9</v>
      </c>
      <c r="W3264">
        <v>0</v>
      </c>
      <c r="X3264">
        <v>0</v>
      </c>
      <c r="Y3264">
        <v>0</v>
      </c>
      <c r="Z3264">
        <v>0</v>
      </c>
      <c r="AA3264">
        <v>9</v>
      </c>
      <c r="AB3264">
        <v>9</v>
      </c>
      <c r="AC3264" t="s">
        <v>310</v>
      </c>
      <c r="AD3264">
        <v>9</v>
      </c>
      <c r="AE3264" t="s">
        <v>1396</v>
      </c>
      <c r="AF3264">
        <v>20000000</v>
      </c>
      <c r="AG3264" t="s">
        <v>310</v>
      </c>
      <c r="AH3264">
        <f>SUM((MID(Dyno_Data[[#This Row],[Team]],4,5))+(Dyno_Data[[#This Row],[Match]]/100))</f>
        <v>296.60000000000002</v>
      </c>
      <c r="AI3264" s="76">
        <f>ROUND(SUM(IF(Dyno_Data[[#This Row],[AcqCenter]]&gt;0,Dyno_Data[[#This Row],[Time]]-SUMIFS(Dyno_Data[Time],Dyno_Data[Team],Dyno_Data[[#This Row],[Team]],Dyno_Data[RecordType],"StartMatch",Dyno_Data[Match],Dyno_Data[[#This Row],[Match]]),0)*86400),0)</f>
        <v>0</v>
      </c>
    </row>
    <row r="3265" spans="1:35" x14ac:dyDescent="0.3">
      <c r="A3265">
        <v>3264</v>
      </c>
      <c r="B3265" t="s">
        <v>1295</v>
      </c>
      <c r="C3265">
        <v>60</v>
      </c>
      <c r="D3265" s="105">
        <v>45374.388320868056</v>
      </c>
      <c r="E3265" t="s">
        <v>312</v>
      </c>
      <c r="F3265" t="s">
        <v>1402</v>
      </c>
      <c r="G3265">
        <v>0</v>
      </c>
      <c r="H3265" t="s">
        <v>315</v>
      </c>
      <c r="I3265">
        <v>0</v>
      </c>
      <c r="J3265">
        <v>0</v>
      </c>
      <c r="K3265">
        <v>0</v>
      </c>
      <c r="L3265" t="s">
        <v>241</v>
      </c>
      <c r="M3265" t="s">
        <v>101</v>
      </c>
      <c r="N3265">
        <v>0</v>
      </c>
      <c r="O3265" t="s">
        <v>319</v>
      </c>
      <c r="P3265" t="s">
        <v>310</v>
      </c>
      <c r="Q3265" t="s">
        <v>310</v>
      </c>
      <c r="R3265" t="s">
        <v>310</v>
      </c>
      <c r="S3265">
        <v>9</v>
      </c>
      <c r="T3265" t="s">
        <v>310</v>
      </c>
      <c r="U3265">
        <v>9</v>
      </c>
      <c r="V3265">
        <v>9</v>
      </c>
      <c r="W3265">
        <v>0</v>
      </c>
      <c r="X3265">
        <v>0</v>
      </c>
      <c r="Y3265">
        <v>0</v>
      </c>
      <c r="Z3265">
        <v>0</v>
      </c>
      <c r="AA3265">
        <v>9</v>
      </c>
      <c r="AB3265">
        <v>9</v>
      </c>
      <c r="AC3265" t="s">
        <v>310</v>
      </c>
      <c r="AD3265">
        <v>9</v>
      </c>
      <c r="AE3265" t="s">
        <v>1394</v>
      </c>
      <c r="AF3265">
        <v>10000000</v>
      </c>
      <c r="AG3265" t="s">
        <v>310</v>
      </c>
      <c r="AH3265">
        <f>SUM((MID(Dyno_Data[[#This Row],[Team]],4,5))+(Dyno_Data[[#This Row],[Match]]/100))</f>
        <v>6300.6</v>
      </c>
      <c r="AI3265" s="76">
        <f>ROUND(SUM(IF(Dyno_Data[[#This Row],[AcqCenter]]&gt;0,Dyno_Data[[#This Row],[Time]]-SUMIFS(Dyno_Data[Time],Dyno_Data[Team],Dyno_Data[[#This Row],[Team]],Dyno_Data[RecordType],"StartMatch",Dyno_Data[Match],Dyno_Data[[#This Row],[Match]]),0)*86400),0)</f>
        <v>0</v>
      </c>
    </row>
    <row r="3266" spans="1:35" x14ac:dyDescent="0.3">
      <c r="A3266">
        <v>3265</v>
      </c>
      <c r="B3266" t="s">
        <v>370</v>
      </c>
      <c r="C3266">
        <v>60</v>
      </c>
      <c r="D3266" s="105">
        <v>45374.388350543981</v>
      </c>
      <c r="E3266" t="s">
        <v>312</v>
      </c>
      <c r="F3266" t="s">
        <v>1402</v>
      </c>
      <c r="G3266">
        <v>0</v>
      </c>
      <c r="H3266" t="s">
        <v>315</v>
      </c>
      <c r="I3266">
        <v>0</v>
      </c>
      <c r="J3266">
        <v>0</v>
      </c>
      <c r="K3266">
        <v>0</v>
      </c>
      <c r="L3266" t="s">
        <v>241</v>
      </c>
      <c r="M3266" t="s">
        <v>1398</v>
      </c>
      <c r="N3266">
        <v>0</v>
      </c>
      <c r="O3266" t="s">
        <v>1395</v>
      </c>
      <c r="P3266" t="s">
        <v>310</v>
      </c>
      <c r="Q3266" t="s">
        <v>310</v>
      </c>
      <c r="R3266" t="s">
        <v>310</v>
      </c>
      <c r="S3266">
        <v>9</v>
      </c>
      <c r="T3266" t="s">
        <v>310</v>
      </c>
      <c r="U3266">
        <v>9</v>
      </c>
      <c r="V3266">
        <v>9</v>
      </c>
      <c r="W3266">
        <v>0</v>
      </c>
      <c r="X3266">
        <v>0</v>
      </c>
      <c r="Y3266">
        <v>0</v>
      </c>
      <c r="Z3266">
        <v>0</v>
      </c>
      <c r="AA3266">
        <v>9</v>
      </c>
      <c r="AB3266">
        <v>9</v>
      </c>
      <c r="AC3266" t="s">
        <v>310</v>
      </c>
      <c r="AD3266">
        <v>9</v>
      </c>
      <c r="AE3266" t="s">
        <v>1387</v>
      </c>
      <c r="AF3266">
        <v>30000000</v>
      </c>
      <c r="AG3266" t="s">
        <v>310</v>
      </c>
      <c r="AH3266">
        <f>SUM((MID(Dyno_Data[[#This Row],[Team]],4,5))+(Dyno_Data[[#This Row],[Match]]/100))</f>
        <v>6911.6</v>
      </c>
      <c r="AI3266" s="76">
        <f>ROUND(SUM(IF(Dyno_Data[[#This Row],[AcqCenter]]&gt;0,Dyno_Data[[#This Row],[Time]]-SUMIFS(Dyno_Data[Time],Dyno_Data[Team],Dyno_Data[[#This Row],[Team]],Dyno_Data[RecordType],"StartMatch",Dyno_Data[Match],Dyno_Data[[#This Row],[Match]]),0)*86400),0)</f>
        <v>0</v>
      </c>
    </row>
    <row r="3267" spans="1:35" x14ac:dyDescent="0.3">
      <c r="A3267">
        <v>3266</v>
      </c>
      <c r="B3267" t="s">
        <v>1295</v>
      </c>
      <c r="C3267">
        <v>60</v>
      </c>
      <c r="D3267" s="105">
        <v>45374.388393668982</v>
      </c>
      <c r="E3267" t="s">
        <v>312</v>
      </c>
      <c r="F3267" t="s">
        <v>1402</v>
      </c>
      <c r="G3267">
        <v>0</v>
      </c>
      <c r="H3267" t="s">
        <v>315</v>
      </c>
      <c r="I3267">
        <v>0</v>
      </c>
      <c r="J3267">
        <v>0</v>
      </c>
      <c r="K3267">
        <v>0</v>
      </c>
      <c r="L3267" t="s">
        <v>241</v>
      </c>
      <c r="M3267" t="s">
        <v>101</v>
      </c>
      <c r="N3267">
        <v>0</v>
      </c>
      <c r="O3267" t="s">
        <v>319</v>
      </c>
      <c r="P3267" t="s">
        <v>310</v>
      </c>
      <c r="Q3267" t="s">
        <v>310</v>
      </c>
      <c r="R3267" t="s">
        <v>310</v>
      </c>
      <c r="S3267">
        <v>9</v>
      </c>
      <c r="T3267" t="s">
        <v>310</v>
      </c>
      <c r="U3267">
        <v>9</v>
      </c>
      <c r="V3267">
        <v>9</v>
      </c>
      <c r="W3267">
        <v>0</v>
      </c>
      <c r="X3267">
        <v>0</v>
      </c>
      <c r="Y3267">
        <v>0</v>
      </c>
      <c r="Z3267">
        <v>0</v>
      </c>
      <c r="AA3267">
        <v>9</v>
      </c>
      <c r="AB3267">
        <v>9</v>
      </c>
      <c r="AC3267" t="s">
        <v>310</v>
      </c>
      <c r="AD3267">
        <v>9</v>
      </c>
      <c r="AE3267" t="s">
        <v>1394</v>
      </c>
      <c r="AF3267">
        <v>20000000</v>
      </c>
      <c r="AG3267" t="s">
        <v>310</v>
      </c>
      <c r="AH3267">
        <f>SUM((MID(Dyno_Data[[#This Row],[Team]],4,5))+(Dyno_Data[[#This Row],[Match]]/100))</f>
        <v>6300.6</v>
      </c>
      <c r="AI3267" s="76">
        <f>ROUND(SUM(IF(Dyno_Data[[#This Row],[AcqCenter]]&gt;0,Dyno_Data[[#This Row],[Time]]-SUMIFS(Dyno_Data[Time],Dyno_Data[Team],Dyno_Data[[#This Row],[Team]],Dyno_Data[RecordType],"StartMatch",Dyno_Data[Match],Dyno_Data[[#This Row],[Match]]),0)*86400),0)</f>
        <v>0</v>
      </c>
    </row>
    <row r="3268" spans="1:35" x14ac:dyDescent="0.3">
      <c r="A3268">
        <v>3267</v>
      </c>
      <c r="B3268" t="s">
        <v>1317</v>
      </c>
      <c r="C3268">
        <v>60</v>
      </c>
      <c r="D3268" s="105">
        <v>45374.388419062503</v>
      </c>
      <c r="E3268" t="s">
        <v>312</v>
      </c>
      <c r="F3268" t="s">
        <v>1402</v>
      </c>
      <c r="G3268">
        <v>0</v>
      </c>
      <c r="H3268" t="s">
        <v>315</v>
      </c>
      <c r="I3268">
        <v>0</v>
      </c>
      <c r="J3268">
        <v>0</v>
      </c>
      <c r="K3268">
        <v>0</v>
      </c>
      <c r="L3268" t="s">
        <v>240</v>
      </c>
      <c r="M3268" t="s">
        <v>1398</v>
      </c>
      <c r="N3268">
        <v>0</v>
      </c>
      <c r="O3268" t="s">
        <v>1391</v>
      </c>
      <c r="P3268" t="s">
        <v>310</v>
      </c>
      <c r="Q3268" t="s">
        <v>310</v>
      </c>
      <c r="R3268" t="s">
        <v>310</v>
      </c>
      <c r="S3268">
        <v>9</v>
      </c>
      <c r="T3268" t="s">
        <v>310</v>
      </c>
      <c r="U3268">
        <v>9</v>
      </c>
      <c r="V3268">
        <v>9</v>
      </c>
      <c r="W3268">
        <v>0</v>
      </c>
      <c r="X3268">
        <v>0</v>
      </c>
      <c r="Y3268">
        <v>0</v>
      </c>
      <c r="Z3268">
        <v>0</v>
      </c>
      <c r="AA3268">
        <v>9</v>
      </c>
      <c r="AB3268">
        <v>9</v>
      </c>
      <c r="AC3268" t="s">
        <v>310</v>
      </c>
      <c r="AD3268">
        <v>9</v>
      </c>
      <c r="AE3268" t="s">
        <v>1396</v>
      </c>
      <c r="AF3268">
        <v>30000000</v>
      </c>
      <c r="AG3268" t="s">
        <v>310</v>
      </c>
      <c r="AH3268">
        <f>SUM((MID(Dyno_Data[[#This Row],[Team]],4,5))+(Dyno_Data[[#This Row],[Match]]/100))</f>
        <v>296.60000000000002</v>
      </c>
      <c r="AI3268" s="76">
        <f>ROUND(SUM(IF(Dyno_Data[[#This Row],[AcqCenter]]&gt;0,Dyno_Data[[#This Row],[Time]]-SUMIFS(Dyno_Data[Time],Dyno_Data[Team],Dyno_Data[[#This Row],[Team]],Dyno_Data[RecordType],"StartMatch",Dyno_Data[Match],Dyno_Data[[#This Row],[Match]]),0)*86400),0)</f>
        <v>0</v>
      </c>
    </row>
    <row r="3269" spans="1:35" x14ac:dyDescent="0.3">
      <c r="A3269">
        <v>3268</v>
      </c>
      <c r="B3269" t="s">
        <v>1306</v>
      </c>
      <c r="C3269">
        <v>60</v>
      </c>
      <c r="D3269" s="105">
        <v>45374.388429942126</v>
      </c>
      <c r="E3269" t="s">
        <v>312</v>
      </c>
      <c r="F3269" t="s">
        <v>1402</v>
      </c>
      <c r="G3269">
        <v>0</v>
      </c>
      <c r="H3269" t="s">
        <v>315</v>
      </c>
      <c r="I3269">
        <v>0</v>
      </c>
      <c r="J3269">
        <v>0</v>
      </c>
      <c r="K3269">
        <v>0</v>
      </c>
      <c r="L3269" t="s">
        <v>241</v>
      </c>
      <c r="M3269" t="s">
        <v>241</v>
      </c>
      <c r="N3269">
        <v>1</v>
      </c>
      <c r="O3269" t="s">
        <v>311</v>
      </c>
      <c r="P3269" t="s">
        <v>310</v>
      </c>
      <c r="Q3269" t="s">
        <v>310</v>
      </c>
      <c r="R3269" t="s">
        <v>310</v>
      </c>
      <c r="S3269">
        <v>9</v>
      </c>
      <c r="T3269" t="s">
        <v>310</v>
      </c>
      <c r="U3269">
        <v>9</v>
      </c>
      <c r="V3269">
        <v>9</v>
      </c>
      <c r="W3269">
        <v>0</v>
      </c>
      <c r="X3269">
        <v>0</v>
      </c>
      <c r="Y3269">
        <v>0</v>
      </c>
      <c r="Z3269">
        <v>0</v>
      </c>
      <c r="AA3269">
        <v>9</v>
      </c>
      <c r="AB3269">
        <v>9</v>
      </c>
      <c r="AC3269" t="s">
        <v>310</v>
      </c>
      <c r="AD3269">
        <v>9</v>
      </c>
      <c r="AE3269" t="s">
        <v>1388</v>
      </c>
      <c r="AF3269">
        <v>20000000</v>
      </c>
      <c r="AG3269" t="s">
        <v>310</v>
      </c>
      <c r="AH3269">
        <f>SUM((MID(Dyno_Data[[#This Row],[Team]],4,5))+(Dyno_Data[[#This Row],[Match]]/100))</f>
        <v>3986.6</v>
      </c>
      <c r="AI3269" s="76">
        <f>ROUND(SUM(IF(Dyno_Data[[#This Row],[AcqCenter]]&gt;0,Dyno_Data[[#This Row],[Time]]-SUMIFS(Dyno_Data[Time],Dyno_Data[Team],Dyno_Data[[#This Row],[Team]],Dyno_Data[RecordType],"StartMatch",Dyno_Data[Match],Dyno_Data[[#This Row],[Match]]),0)*86400),0)</f>
        <v>0</v>
      </c>
    </row>
    <row r="3270" spans="1:35" x14ac:dyDescent="0.3">
      <c r="A3270">
        <v>3269</v>
      </c>
      <c r="B3270" t="s">
        <v>1295</v>
      </c>
      <c r="C3270">
        <v>60</v>
      </c>
      <c r="D3270" s="105">
        <v>45374.3885065625</v>
      </c>
      <c r="E3270" t="s">
        <v>312</v>
      </c>
      <c r="F3270" t="s">
        <v>1402</v>
      </c>
      <c r="G3270">
        <v>0</v>
      </c>
      <c r="H3270" t="s">
        <v>315</v>
      </c>
      <c r="I3270">
        <v>0</v>
      </c>
      <c r="J3270">
        <v>0</v>
      </c>
      <c r="K3270">
        <v>0</v>
      </c>
      <c r="L3270" t="s">
        <v>241</v>
      </c>
      <c r="M3270" t="s">
        <v>101</v>
      </c>
      <c r="N3270">
        <v>0</v>
      </c>
      <c r="O3270" t="s">
        <v>319</v>
      </c>
      <c r="P3270" t="s">
        <v>310</v>
      </c>
      <c r="Q3270" t="s">
        <v>310</v>
      </c>
      <c r="R3270" t="s">
        <v>310</v>
      </c>
      <c r="S3270">
        <v>9</v>
      </c>
      <c r="T3270" t="s">
        <v>310</v>
      </c>
      <c r="U3270">
        <v>9</v>
      </c>
      <c r="V3270">
        <v>9</v>
      </c>
      <c r="W3270">
        <v>0</v>
      </c>
      <c r="X3270">
        <v>0</v>
      </c>
      <c r="Y3270">
        <v>0</v>
      </c>
      <c r="Z3270">
        <v>0</v>
      </c>
      <c r="AA3270">
        <v>9</v>
      </c>
      <c r="AB3270">
        <v>9</v>
      </c>
      <c r="AC3270" t="s">
        <v>310</v>
      </c>
      <c r="AD3270">
        <v>9</v>
      </c>
      <c r="AE3270" t="s">
        <v>1394</v>
      </c>
      <c r="AF3270">
        <v>30000000</v>
      </c>
      <c r="AG3270" t="s">
        <v>310</v>
      </c>
      <c r="AH3270">
        <f>SUM((MID(Dyno_Data[[#This Row],[Team]],4,5))+(Dyno_Data[[#This Row],[Match]]/100))</f>
        <v>6300.6</v>
      </c>
      <c r="AI3270" s="76">
        <f>ROUND(SUM(IF(Dyno_Data[[#This Row],[AcqCenter]]&gt;0,Dyno_Data[[#This Row],[Time]]-SUMIFS(Dyno_Data[Time],Dyno_Data[Team],Dyno_Data[[#This Row],[Team]],Dyno_Data[RecordType],"StartMatch",Dyno_Data[Match],Dyno_Data[[#This Row],[Match]]),0)*86400),0)</f>
        <v>0</v>
      </c>
    </row>
    <row r="3271" spans="1:35" x14ac:dyDescent="0.3">
      <c r="A3271">
        <v>3270</v>
      </c>
      <c r="B3271" t="s">
        <v>370</v>
      </c>
      <c r="C3271">
        <v>60</v>
      </c>
      <c r="D3271" s="105">
        <v>45374.388544131943</v>
      </c>
      <c r="E3271" t="s">
        <v>312</v>
      </c>
      <c r="F3271" t="s">
        <v>1402</v>
      </c>
      <c r="G3271">
        <v>0</v>
      </c>
      <c r="H3271" t="s">
        <v>315</v>
      </c>
      <c r="I3271">
        <v>0</v>
      </c>
      <c r="J3271">
        <v>0</v>
      </c>
      <c r="K3271">
        <v>0</v>
      </c>
      <c r="L3271" t="s">
        <v>241</v>
      </c>
      <c r="M3271" t="s">
        <v>1398</v>
      </c>
      <c r="N3271">
        <v>0</v>
      </c>
      <c r="O3271" t="s">
        <v>1395</v>
      </c>
      <c r="P3271" t="s">
        <v>310</v>
      </c>
      <c r="Q3271" t="s">
        <v>310</v>
      </c>
      <c r="R3271" t="s">
        <v>310</v>
      </c>
      <c r="S3271">
        <v>9</v>
      </c>
      <c r="T3271" t="s">
        <v>310</v>
      </c>
      <c r="U3271">
        <v>9</v>
      </c>
      <c r="V3271">
        <v>9</v>
      </c>
      <c r="W3271">
        <v>0</v>
      </c>
      <c r="X3271">
        <v>0</v>
      </c>
      <c r="Y3271">
        <v>0</v>
      </c>
      <c r="Z3271">
        <v>0</v>
      </c>
      <c r="AA3271">
        <v>9</v>
      </c>
      <c r="AB3271">
        <v>9</v>
      </c>
      <c r="AC3271" t="s">
        <v>310</v>
      </c>
      <c r="AD3271">
        <v>9</v>
      </c>
      <c r="AE3271" t="s">
        <v>1387</v>
      </c>
      <c r="AF3271">
        <v>40000000</v>
      </c>
      <c r="AG3271" t="s">
        <v>310</v>
      </c>
      <c r="AH3271">
        <f>SUM((MID(Dyno_Data[[#This Row],[Team]],4,5))+(Dyno_Data[[#This Row],[Match]]/100))</f>
        <v>6911.6</v>
      </c>
      <c r="AI3271" s="76">
        <f>ROUND(SUM(IF(Dyno_Data[[#This Row],[AcqCenter]]&gt;0,Dyno_Data[[#This Row],[Time]]-SUMIFS(Dyno_Data[Time],Dyno_Data[Team],Dyno_Data[[#This Row],[Team]],Dyno_Data[RecordType],"StartMatch",Dyno_Data[Match],Dyno_Data[[#This Row],[Match]]),0)*86400),0)</f>
        <v>0</v>
      </c>
    </row>
    <row r="3272" spans="1:35" x14ac:dyDescent="0.3">
      <c r="A3272">
        <v>3271</v>
      </c>
      <c r="B3272" t="s">
        <v>1306</v>
      </c>
      <c r="C3272">
        <v>60</v>
      </c>
      <c r="D3272" s="105">
        <v>45374.388634872688</v>
      </c>
      <c r="E3272" t="s">
        <v>312</v>
      </c>
      <c r="F3272" t="s">
        <v>1402</v>
      </c>
      <c r="G3272">
        <v>0</v>
      </c>
      <c r="H3272" t="s">
        <v>315</v>
      </c>
      <c r="I3272">
        <v>0</v>
      </c>
      <c r="J3272">
        <v>0</v>
      </c>
      <c r="K3272">
        <v>0</v>
      </c>
      <c r="L3272" t="s">
        <v>241</v>
      </c>
      <c r="M3272" t="s">
        <v>1398</v>
      </c>
      <c r="N3272">
        <v>1</v>
      </c>
      <c r="O3272" t="s">
        <v>311</v>
      </c>
      <c r="P3272" t="s">
        <v>310</v>
      </c>
      <c r="Q3272" t="s">
        <v>310</v>
      </c>
      <c r="R3272" t="s">
        <v>310</v>
      </c>
      <c r="S3272">
        <v>9</v>
      </c>
      <c r="T3272" t="s">
        <v>310</v>
      </c>
      <c r="U3272">
        <v>9</v>
      </c>
      <c r="V3272">
        <v>9</v>
      </c>
      <c r="W3272">
        <v>0</v>
      </c>
      <c r="X3272">
        <v>0</v>
      </c>
      <c r="Y3272">
        <v>0</v>
      </c>
      <c r="Z3272">
        <v>0</v>
      </c>
      <c r="AA3272">
        <v>9</v>
      </c>
      <c r="AB3272">
        <v>9</v>
      </c>
      <c r="AC3272" t="s">
        <v>310</v>
      </c>
      <c r="AD3272">
        <v>9</v>
      </c>
      <c r="AE3272" t="s">
        <v>1388</v>
      </c>
      <c r="AF3272">
        <v>30000000</v>
      </c>
      <c r="AG3272" t="s">
        <v>310</v>
      </c>
      <c r="AH3272">
        <f>SUM((MID(Dyno_Data[[#This Row],[Team]],4,5))+(Dyno_Data[[#This Row],[Match]]/100))</f>
        <v>3986.6</v>
      </c>
      <c r="AI3272" s="76">
        <f>ROUND(SUM(IF(Dyno_Data[[#This Row],[AcqCenter]]&gt;0,Dyno_Data[[#This Row],[Time]]-SUMIFS(Dyno_Data[Time],Dyno_Data[Team],Dyno_Data[[#This Row],[Team]],Dyno_Data[RecordType],"StartMatch",Dyno_Data[Match],Dyno_Data[[#This Row],[Match]]),0)*86400),0)</f>
        <v>0</v>
      </c>
    </row>
    <row r="3273" spans="1:35" x14ac:dyDescent="0.3">
      <c r="A3273">
        <v>3272</v>
      </c>
      <c r="B3273" t="s">
        <v>1317</v>
      </c>
      <c r="C3273">
        <v>60</v>
      </c>
      <c r="D3273" s="105">
        <v>45374.38868275463</v>
      </c>
      <c r="E3273" t="s">
        <v>312</v>
      </c>
      <c r="F3273" t="s">
        <v>1402</v>
      </c>
      <c r="G3273">
        <v>0</v>
      </c>
      <c r="H3273" t="s">
        <v>315</v>
      </c>
      <c r="I3273">
        <v>0</v>
      </c>
      <c r="J3273">
        <v>0</v>
      </c>
      <c r="K3273">
        <v>0</v>
      </c>
      <c r="L3273" t="s">
        <v>240</v>
      </c>
      <c r="M3273" t="s">
        <v>1398</v>
      </c>
      <c r="N3273">
        <v>0</v>
      </c>
      <c r="O3273" t="s">
        <v>1391</v>
      </c>
      <c r="P3273" t="s">
        <v>310</v>
      </c>
      <c r="Q3273" t="s">
        <v>310</v>
      </c>
      <c r="R3273" t="s">
        <v>310</v>
      </c>
      <c r="S3273">
        <v>9</v>
      </c>
      <c r="T3273" t="s">
        <v>310</v>
      </c>
      <c r="U3273">
        <v>9</v>
      </c>
      <c r="V3273">
        <v>9</v>
      </c>
      <c r="W3273">
        <v>0</v>
      </c>
      <c r="X3273">
        <v>0</v>
      </c>
      <c r="Y3273">
        <v>0</v>
      </c>
      <c r="Z3273">
        <v>0</v>
      </c>
      <c r="AA3273">
        <v>9</v>
      </c>
      <c r="AB3273">
        <v>9</v>
      </c>
      <c r="AC3273" t="s">
        <v>310</v>
      </c>
      <c r="AD3273">
        <v>9</v>
      </c>
      <c r="AE3273" t="s">
        <v>1396</v>
      </c>
      <c r="AF3273">
        <v>40000000</v>
      </c>
      <c r="AG3273" t="s">
        <v>310</v>
      </c>
      <c r="AH3273">
        <f>SUM((MID(Dyno_Data[[#This Row],[Team]],4,5))+(Dyno_Data[[#This Row],[Match]]/100))</f>
        <v>296.60000000000002</v>
      </c>
      <c r="AI3273" s="76">
        <f>ROUND(SUM(IF(Dyno_Data[[#This Row],[AcqCenter]]&gt;0,Dyno_Data[[#This Row],[Time]]-SUMIFS(Dyno_Data[Time],Dyno_Data[Team],Dyno_Data[[#This Row],[Team]],Dyno_Data[RecordType],"StartMatch",Dyno_Data[Match],Dyno_Data[[#This Row],[Match]]),0)*86400),0)</f>
        <v>0</v>
      </c>
    </row>
    <row r="3274" spans="1:35" x14ac:dyDescent="0.3">
      <c r="A3274">
        <v>3273</v>
      </c>
      <c r="B3274" t="s">
        <v>1301</v>
      </c>
      <c r="C3274">
        <v>60</v>
      </c>
      <c r="D3274" s="105">
        <v>45374.388691400462</v>
      </c>
      <c r="E3274" t="s">
        <v>1403</v>
      </c>
      <c r="F3274" t="s">
        <v>1402</v>
      </c>
      <c r="G3274">
        <v>0</v>
      </c>
      <c r="H3274" t="s">
        <v>310</v>
      </c>
      <c r="I3274">
        <v>0</v>
      </c>
      <c r="J3274">
        <v>0</v>
      </c>
      <c r="K3274">
        <v>0</v>
      </c>
      <c r="L3274" t="s">
        <v>310</v>
      </c>
      <c r="M3274" t="s">
        <v>310</v>
      </c>
      <c r="N3274">
        <v>0</v>
      </c>
      <c r="O3274" t="s">
        <v>1389</v>
      </c>
      <c r="P3274" t="s">
        <v>310</v>
      </c>
      <c r="Q3274" t="s">
        <v>310</v>
      </c>
      <c r="R3274" t="s">
        <v>310</v>
      </c>
      <c r="S3274">
        <v>9</v>
      </c>
      <c r="T3274" t="s">
        <v>310</v>
      </c>
      <c r="U3274">
        <v>9</v>
      </c>
      <c r="V3274">
        <v>9</v>
      </c>
      <c r="W3274">
        <v>0</v>
      </c>
      <c r="X3274">
        <v>0</v>
      </c>
      <c r="Y3274">
        <v>0</v>
      </c>
      <c r="Z3274">
        <v>0</v>
      </c>
      <c r="AA3274">
        <v>9</v>
      </c>
      <c r="AB3274">
        <v>9</v>
      </c>
      <c r="AC3274" t="s">
        <v>310</v>
      </c>
      <c r="AD3274">
        <v>9</v>
      </c>
      <c r="AE3274" t="s">
        <v>1392</v>
      </c>
      <c r="AF3274">
        <v>40000000</v>
      </c>
      <c r="AG3274" t="s">
        <v>248</v>
      </c>
      <c r="AH3274">
        <f>SUM((MID(Dyno_Data[[#This Row],[Team]],4,5))+(Dyno_Data[[#This Row],[Match]]/100))</f>
        <v>7031.6</v>
      </c>
      <c r="AI3274" s="76">
        <f>ROUND(SUM(IF(Dyno_Data[[#This Row],[AcqCenter]]&gt;0,Dyno_Data[[#This Row],[Time]]-SUMIFS(Dyno_Data[Time],Dyno_Data[Team],Dyno_Data[[#This Row],[Team]],Dyno_Data[RecordType],"StartMatch",Dyno_Data[Match],Dyno_Data[[#This Row],[Match]]),0)*86400),0)</f>
        <v>0</v>
      </c>
    </row>
    <row r="3275" spans="1:35" x14ac:dyDescent="0.3">
      <c r="A3275">
        <v>3274</v>
      </c>
      <c r="B3275" t="s">
        <v>1295</v>
      </c>
      <c r="C3275">
        <v>60</v>
      </c>
      <c r="D3275" s="105">
        <v>45374.388700115742</v>
      </c>
      <c r="E3275" t="s">
        <v>312</v>
      </c>
      <c r="F3275" t="s">
        <v>1402</v>
      </c>
      <c r="G3275">
        <v>0</v>
      </c>
      <c r="H3275" t="s">
        <v>315</v>
      </c>
      <c r="I3275">
        <v>0</v>
      </c>
      <c r="J3275">
        <v>0</v>
      </c>
      <c r="K3275">
        <v>0</v>
      </c>
      <c r="L3275" t="s">
        <v>241</v>
      </c>
      <c r="M3275" t="s">
        <v>1398</v>
      </c>
      <c r="N3275">
        <v>0</v>
      </c>
      <c r="O3275" t="s">
        <v>319</v>
      </c>
      <c r="P3275" t="s">
        <v>310</v>
      </c>
      <c r="Q3275" t="s">
        <v>310</v>
      </c>
      <c r="R3275" t="s">
        <v>310</v>
      </c>
      <c r="S3275">
        <v>9</v>
      </c>
      <c r="T3275" t="s">
        <v>310</v>
      </c>
      <c r="U3275">
        <v>9</v>
      </c>
      <c r="V3275">
        <v>9</v>
      </c>
      <c r="W3275">
        <v>0</v>
      </c>
      <c r="X3275">
        <v>0</v>
      </c>
      <c r="Y3275">
        <v>0</v>
      </c>
      <c r="Z3275">
        <v>0</v>
      </c>
      <c r="AA3275">
        <v>9</v>
      </c>
      <c r="AB3275">
        <v>9</v>
      </c>
      <c r="AC3275" t="s">
        <v>310</v>
      </c>
      <c r="AD3275">
        <v>9</v>
      </c>
      <c r="AE3275" t="s">
        <v>1394</v>
      </c>
      <c r="AF3275">
        <v>40000000</v>
      </c>
      <c r="AG3275" t="s">
        <v>310</v>
      </c>
      <c r="AH3275">
        <f>SUM((MID(Dyno_Data[[#This Row],[Team]],4,5))+(Dyno_Data[[#This Row],[Match]]/100))</f>
        <v>6300.6</v>
      </c>
      <c r="AI3275" s="76">
        <f>ROUND(SUM(IF(Dyno_Data[[#This Row],[AcqCenter]]&gt;0,Dyno_Data[[#This Row],[Time]]-SUMIFS(Dyno_Data[Time],Dyno_Data[Team],Dyno_Data[[#This Row],[Team]],Dyno_Data[RecordType],"StartMatch",Dyno_Data[Match],Dyno_Data[[#This Row],[Match]]),0)*86400),0)</f>
        <v>0</v>
      </c>
    </row>
    <row r="3276" spans="1:35" x14ac:dyDescent="0.3">
      <c r="A3276">
        <v>3275</v>
      </c>
      <c r="B3276" t="s">
        <v>370</v>
      </c>
      <c r="C3276">
        <v>60</v>
      </c>
      <c r="D3276" s="105">
        <v>45374.388715312503</v>
      </c>
      <c r="E3276" t="s">
        <v>312</v>
      </c>
      <c r="F3276" t="s">
        <v>1402</v>
      </c>
      <c r="G3276">
        <v>0</v>
      </c>
      <c r="H3276" t="s">
        <v>315</v>
      </c>
      <c r="I3276">
        <v>0</v>
      </c>
      <c r="J3276">
        <v>0</v>
      </c>
      <c r="K3276">
        <v>0</v>
      </c>
      <c r="L3276" t="s">
        <v>241</v>
      </c>
      <c r="M3276" t="s">
        <v>1398</v>
      </c>
      <c r="N3276">
        <v>0</v>
      </c>
      <c r="O3276" t="s">
        <v>1395</v>
      </c>
      <c r="P3276" t="s">
        <v>310</v>
      </c>
      <c r="Q3276" t="s">
        <v>310</v>
      </c>
      <c r="R3276" t="s">
        <v>310</v>
      </c>
      <c r="S3276">
        <v>9</v>
      </c>
      <c r="T3276" t="s">
        <v>310</v>
      </c>
      <c r="U3276">
        <v>9</v>
      </c>
      <c r="V3276">
        <v>9</v>
      </c>
      <c r="W3276">
        <v>0</v>
      </c>
      <c r="X3276">
        <v>0</v>
      </c>
      <c r="Y3276">
        <v>0</v>
      </c>
      <c r="Z3276">
        <v>0</v>
      </c>
      <c r="AA3276">
        <v>9</v>
      </c>
      <c r="AB3276">
        <v>9</v>
      </c>
      <c r="AC3276" t="s">
        <v>310</v>
      </c>
      <c r="AD3276">
        <v>9</v>
      </c>
      <c r="AE3276" t="s">
        <v>1387</v>
      </c>
      <c r="AF3276">
        <v>50000000</v>
      </c>
      <c r="AG3276" t="s">
        <v>310</v>
      </c>
      <c r="AH3276">
        <f>SUM((MID(Dyno_Data[[#This Row],[Team]],4,5))+(Dyno_Data[[#This Row],[Match]]/100))</f>
        <v>6911.6</v>
      </c>
      <c r="AI3276" s="76">
        <f>ROUND(SUM(IF(Dyno_Data[[#This Row],[AcqCenter]]&gt;0,Dyno_Data[[#This Row],[Time]]-SUMIFS(Dyno_Data[Time],Dyno_Data[Team],Dyno_Data[[#This Row],[Team]],Dyno_Data[RecordType],"StartMatch",Dyno_Data[Match],Dyno_Data[[#This Row],[Match]]),0)*86400),0)</f>
        <v>0</v>
      </c>
    </row>
    <row r="3277" spans="1:35" x14ac:dyDescent="0.3">
      <c r="A3277">
        <v>3276</v>
      </c>
      <c r="B3277" t="s">
        <v>1295</v>
      </c>
      <c r="C3277">
        <v>60</v>
      </c>
      <c r="D3277" s="105">
        <v>45374.388753622683</v>
      </c>
      <c r="E3277" t="s">
        <v>312</v>
      </c>
      <c r="F3277" t="s">
        <v>1402</v>
      </c>
      <c r="G3277">
        <v>0</v>
      </c>
      <c r="H3277" t="s">
        <v>315</v>
      </c>
      <c r="I3277">
        <v>0</v>
      </c>
      <c r="J3277">
        <v>0</v>
      </c>
      <c r="K3277">
        <v>0</v>
      </c>
      <c r="L3277" t="s">
        <v>240</v>
      </c>
      <c r="M3277" t="s">
        <v>1398</v>
      </c>
      <c r="N3277">
        <v>1</v>
      </c>
      <c r="O3277" t="s">
        <v>319</v>
      </c>
      <c r="P3277" t="s">
        <v>310</v>
      </c>
      <c r="Q3277" t="s">
        <v>310</v>
      </c>
      <c r="R3277" t="s">
        <v>310</v>
      </c>
      <c r="S3277">
        <v>9</v>
      </c>
      <c r="T3277" t="s">
        <v>310</v>
      </c>
      <c r="U3277">
        <v>9</v>
      </c>
      <c r="V3277">
        <v>9</v>
      </c>
      <c r="W3277">
        <v>0</v>
      </c>
      <c r="X3277">
        <v>0</v>
      </c>
      <c r="Y3277">
        <v>0</v>
      </c>
      <c r="Z3277">
        <v>0</v>
      </c>
      <c r="AA3277">
        <v>9</v>
      </c>
      <c r="AB3277">
        <v>9</v>
      </c>
      <c r="AC3277" t="s">
        <v>310</v>
      </c>
      <c r="AD3277">
        <v>9</v>
      </c>
      <c r="AE3277" t="s">
        <v>1394</v>
      </c>
      <c r="AF3277">
        <v>50000000</v>
      </c>
      <c r="AG3277" t="s">
        <v>310</v>
      </c>
      <c r="AH3277">
        <f>SUM((MID(Dyno_Data[[#This Row],[Team]],4,5))+(Dyno_Data[[#This Row],[Match]]/100))</f>
        <v>6300.6</v>
      </c>
      <c r="AI3277" s="76">
        <f>ROUND(SUM(IF(Dyno_Data[[#This Row],[AcqCenter]]&gt;0,Dyno_Data[[#This Row],[Time]]-SUMIFS(Dyno_Data[Time],Dyno_Data[Team],Dyno_Data[[#This Row],[Team]],Dyno_Data[RecordType],"StartMatch",Dyno_Data[Match],Dyno_Data[[#This Row],[Match]]),0)*86400),0)</f>
        <v>0</v>
      </c>
    </row>
    <row r="3278" spans="1:35" x14ac:dyDescent="0.3">
      <c r="A3278">
        <v>3277</v>
      </c>
      <c r="B3278" t="s">
        <v>370</v>
      </c>
      <c r="C3278">
        <v>60</v>
      </c>
      <c r="D3278" s="105">
        <v>45374.38879193287</v>
      </c>
      <c r="E3278" t="s">
        <v>312</v>
      </c>
      <c r="F3278" t="s">
        <v>1402</v>
      </c>
      <c r="G3278">
        <v>0</v>
      </c>
      <c r="H3278" t="s">
        <v>315</v>
      </c>
      <c r="I3278">
        <v>0</v>
      </c>
      <c r="J3278">
        <v>0</v>
      </c>
      <c r="K3278">
        <v>0</v>
      </c>
      <c r="L3278" t="s">
        <v>241</v>
      </c>
      <c r="M3278" t="s">
        <v>1398</v>
      </c>
      <c r="N3278">
        <v>0</v>
      </c>
      <c r="O3278" t="s">
        <v>1395</v>
      </c>
      <c r="P3278" t="s">
        <v>310</v>
      </c>
      <c r="Q3278" t="s">
        <v>310</v>
      </c>
      <c r="R3278" t="s">
        <v>310</v>
      </c>
      <c r="S3278">
        <v>9</v>
      </c>
      <c r="T3278" t="s">
        <v>310</v>
      </c>
      <c r="U3278">
        <v>9</v>
      </c>
      <c r="V3278">
        <v>9</v>
      </c>
      <c r="W3278">
        <v>0</v>
      </c>
      <c r="X3278">
        <v>0</v>
      </c>
      <c r="Y3278">
        <v>0</v>
      </c>
      <c r="Z3278">
        <v>0</v>
      </c>
      <c r="AA3278">
        <v>9</v>
      </c>
      <c r="AB3278">
        <v>9</v>
      </c>
      <c r="AC3278" t="s">
        <v>310</v>
      </c>
      <c r="AD3278">
        <v>9</v>
      </c>
      <c r="AE3278" t="s">
        <v>1387</v>
      </c>
      <c r="AF3278">
        <v>60000000</v>
      </c>
      <c r="AG3278" t="s">
        <v>310</v>
      </c>
      <c r="AH3278">
        <f>SUM((MID(Dyno_Data[[#This Row],[Team]],4,5))+(Dyno_Data[[#This Row],[Match]]/100))</f>
        <v>6911.6</v>
      </c>
      <c r="AI3278" s="76">
        <f>ROUND(SUM(IF(Dyno_Data[[#This Row],[AcqCenter]]&gt;0,Dyno_Data[[#This Row],[Time]]-SUMIFS(Dyno_Data[Time],Dyno_Data[Team],Dyno_Data[[#This Row],[Team]],Dyno_Data[RecordType],"StartMatch",Dyno_Data[Match],Dyno_Data[[#This Row],[Match]]),0)*86400),0)</f>
        <v>0</v>
      </c>
    </row>
    <row r="3279" spans="1:35" x14ac:dyDescent="0.3">
      <c r="A3279">
        <v>3278</v>
      </c>
      <c r="B3279" t="s">
        <v>1306</v>
      </c>
      <c r="C3279">
        <v>60</v>
      </c>
      <c r="D3279" s="105">
        <v>45374.388800659719</v>
      </c>
      <c r="E3279" t="s">
        <v>312</v>
      </c>
      <c r="F3279" t="s">
        <v>1402</v>
      </c>
      <c r="G3279">
        <v>0</v>
      </c>
      <c r="H3279" t="s">
        <v>315</v>
      </c>
      <c r="I3279">
        <v>0</v>
      </c>
      <c r="J3279">
        <v>0</v>
      </c>
      <c r="K3279">
        <v>0</v>
      </c>
      <c r="L3279" t="s">
        <v>241</v>
      </c>
      <c r="M3279" t="s">
        <v>1398</v>
      </c>
      <c r="N3279">
        <v>0</v>
      </c>
      <c r="O3279" t="s">
        <v>311</v>
      </c>
      <c r="P3279" t="s">
        <v>310</v>
      </c>
      <c r="Q3279" t="s">
        <v>310</v>
      </c>
      <c r="R3279" t="s">
        <v>310</v>
      </c>
      <c r="S3279">
        <v>9</v>
      </c>
      <c r="T3279" t="s">
        <v>310</v>
      </c>
      <c r="U3279">
        <v>9</v>
      </c>
      <c r="V3279">
        <v>9</v>
      </c>
      <c r="W3279">
        <v>0</v>
      </c>
      <c r="X3279">
        <v>0</v>
      </c>
      <c r="Y3279">
        <v>0</v>
      </c>
      <c r="Z3279">
        <v>0</v>
      </c>
      <c r="AA3279">
        <v>9</v>
      </c>
      <c r="AB3279">
        <v>9</v>
      </c>
      <c r="AC3279" t="s">
        <v>310</v>
      </c>
      <c r="AD3279">
        <v>9</v>
      </c>
      <c r="AE3279" t="s">
        <v>1388</v>
      </c>
      <c r="AF3279">
        <v>40000000</v>
      </c>
      <c r="AG3279" t="s">
        <v>310</v>
      </c>
      <c r="AH3279">
        <f>SUM((MID(Dyno_Data[[#This Row],[Team]],4,5))+(Dyno_Data[[#This Row],[Match]]/100))</f>
        <v>3986.6</v>
      </c>
      <c r="AI3279" s="76">
        <f>ROUND(SUM(IF(Dyno_Data[[#This Row],[AcqCenter]]&gt;0,Dyno_Data[[#This Row],[Time]]-SUMIFS(Dyno_Data[Time],Dyno_Data[Team],Dyno_Data[[#This Row],[Team]],Dyno_Data[RecordType],"StartMatch",Dyno_Data[Match],Dyno_Data[[#This Row],[Match]]),0)*86400),0)</f>
        <v>0</v>
      </c>
    </row>
    <row r="3280" spans="1:35" x14ac:dyDescent="0.3">
      <c r="A3280">
        <v>3279</v>
      </c>
      <c r="B3280" t="s">
        <v>1295</v>
      </c>
      <c r="C3280">
        <v>60</v>
      </c>
      <c r="D3280" s="105">
        <v>45374.388818946762</v>
      </c>
      <c r="E3280" t="s">
        <v>312</v>
      </c>
      <c r="F3280" t="s">
        <v>1402</v>
      </c>
      <c r="G3280">
        <v>0</v>
      </c>
      <c r="H3280" t="s">
        <v>315</v>
      </c>
      <c r="I3280">
        <v>0</v>
      </c>
      <c r="J3280">
        <v>0</v>
      </c>
      <c r="K3280">
        <v>0</v>
      </c>
      <c r="L3280" t="s">
        <v>241</v>
      </c>
      <c r="M3280" t="s">
        <v>101</v>
      </c>
      <c r="N3280">
        <v>0</v>
      </c>
      <c r="O3280" t="s">
        <v>319</v>
      </c>
      <c r="P3280" t="s">
        <v>310</v>
      </c>
      <c r="Q3280" t="s">
        <v>310</v>
      </c>
      <c r="R3280" t="s">
        <v>310</v>
      </c>
      <c r="S3280">
        <v>9</v>
      </c>
      <c r="T3280" t="s">
        <v>310</v>
      </c>
      <c r="U3280">
        <v>9</v>
      </c>
      <c r="V3280">
        <v>9</v>
      </c>
      <c r="W3280">
        <v>0</v>
      </c>
      <c r="X3280">
        <v>0</v>
      </c>
      <c r="Y3280">
        <v>0</v>
      </c>
      <c r="Z3280">
        <v>0</v>
      </c>
      <c r="AA3280">
        <v>9</v>
      </c>
      <c r="AB3280">
        <v>9</v>
      </c>
      <c r="AC3280" t="s">
        <v>310</v>
      </c>
      <c r="AD3280">
        <v>9</v>
      </c>
      <c r="AE3280" t="s">
        <v>1394</v>
      </c>
      <c r="AF3280">
        <v>60000000</v>
      </c>
      <c r="AG3280" t="s">
        <v>310</v>
      </c>
      <c r="AH3280">
        <f>SUM((MID(Dyno_Data[[#This Row],[Team]],4,5))+(Dyno_Data[[#This Row],[Match]]/100))</f>
        <v>6300.6</v>
      </c>
      <c r="AI3280" s="76">
        <f>ROUND(SUM(IF(Dyno_Data[[#This Row],[AcqCenter]]&gt;0,Dyno_Data[[#This Row],[Time]]-SUMIFS(Dyno_Data[Time],Dyno_Data[Team],Dyno_Data[[#This Row],[Team]],Dyno_Data[RecordType],"StartMatch",Dyno_Data[Match],Dyno_Data[[#This Row],[Match]]),0)*86400),0)</f>
        <v>0</v>
      </c>
    </row>
    <row r="3281" spans="1:35" x14ac:dyDescent="0.3">
      <c r="A3281">
        <v>3280</v>
      </c>
      <c r="B3281" t="s">
        <v>1295</v>
      </c>
      <c r="C3281">
        <v>60</v>
      </c>
      <c r="D3281" s="105">
        <v>45374.388972222223</v>
      </c>
      <c r="E3281" t="s">
        <v>312</v>
      </c>
      <c r="F3281" t="s">
        <v>1402</v>
      </c>
      <c r="G3281">
        <v>0</v>
      </c>
      <c r="H3281" t="s">
        <v>315</v>
      </c>
      <c r="I3281">
        <v>0</v>
      </c>
      <c r="J3281">
        <v>0</v>
      </c>
      <c r="K3281">
        <v>0</v>
      </c>
      <c r="L3281" t="s">
        <v>241</v>
      </c>
      <c r="M3281" t="s">
        <v>101</v>
      </c>
      <c r="N3281">
        <v>0</v>
      </c>
      <c r="O3281" t="s">
        <v>319</v>
      </c>
      <c r="P3281" t="s">
        <v>310</v>
      </c>
      <c r="Q3281" t="s">
        <v>310</v>
      </c>
      <c r="R3281" t="s">
        <v>310</v>
      </c>
      <c r="S3281">
        <v>9</v>
      </c>
      <c r="T3281" t="s">
        <v>310</v>
      </c>
      <c r="U3281">
        <v>9</v>
      </c>
      <c r="V3281">
        <v>9</v>
      </c>
      <c r="W3281">
        <v>0</v>
      </c>
      <c r="X3281">
        <v>0</v>
      </c>
      <c r="Y3281">
        <v>0</v>
      </c>
      <c r="Z3281">
        <v>0</v>
      </c>
      <c r="AA3281">
        <v>9</v>
      </c>
      <c r="AB3281">
        <v>9</v>
      </c>
      <c r="AC3281" t="s">
        <v>310</v>
      </c>
      <c r="AD3281">
        <v>9</v>
      </c>
      <c r="AE3281" t="s">
        <v>1394</v>
      </c>
      <c r="AF3281">
        <v>70000000</v>
      </c>
      <c r="AG3281" t="s">
        <v>310</v>
      </c>
      <c r="AH3281">
        <f>SUM((MID(Dyno_Data[[#This Row],[Team]],4,5))+(Dyno_Data[[#This Row],[Match]]/100))</f>
        <v>6300.6</v>
      </c>
      <c r="AI3281" s="76">
        <f>ROUND(SUM(IF(Dyno_Data[[#This Row],[AcqCenter]]&gt;0,Dyno_Data[[#This Row],[Time]]-SUMIFS(Dyno_Data[Time],Dyno_Data[Team],Dyno_Data[[#This Row],[Team]],Dyno_Data[RecordType],"StartMatch",Dyno_Data[Match],Dyno_Data[[#This Row],[Match]]),0)*86400),0)</f>
        <v>0</v>
      </c>
    </row>
    <row r="3282" spans="1:35" x14ac:dyDescent="0.3">
      <c r="A3282">
        <v>3281</v>
      </c>
      <c r="B3282" t="s">
        <v>370</v>
      </c>
      <c r="C3282">
        <v>60</v>
      </c>
      <c r="D3282" s="105">
        <v>45374.388996261572</v>
      </c>
      <c r="E3282" t="s">
        <v>312</v>
      </c>
      <c r="F3282" t="s">
        <v>1402</v>
      </c>
      <c r="G3282">
        <v>0</v>
      </c>
      <c r="H3282" t="s">
        <v>315</v>
      </c>
      <c r="I3282">
        <v>0</v>
      </c>
      <c r="J3282">
        <v>0</v>
      </c>
      <c r="K3282">
        <v>0</v>
      </c>
      <c r="L3282" t="s">
        <v>241</v>
      </c>
      <c r="M3282" t="s">
        <v>1398</v>
      </c>
      <c r="N3282">
        <v>0</v>
      </c>
      <c r="O3282" t="s">
        <v>1395</v>
      </c>
      <c r="P3282" t="s">
        <v>310</v>
      </c>
      <c r="Q3282" t="s">
        <v>310</v>
      </c>
      <c r="R3282" t="s">
        <v>310</v>
      </c>
      <c r="S3282">
        <v>9</v>
      </c>
      <c r="T3282" t="s">
        <v>310</v>
      </c>
      <c r="U3282">
        <v>9</v>
      </c>
      <c r="V3282">
        <v>9</v>
      </c>
      <c r="W3282">
        <v>0</v>
      </c>
      <c r="X3282">
        <v>0</v>
      </c>
      <c r="Y3282">
        <v>0</v>
      </c>
      <c r="Z3282">
        <v>0</v>
      </c>
      <c r="AA3282">
        <v>9</v>
      </c>
      <c r="AB3282">
        <v>9</v>
      </c>
      <c r="AC3282" t="s">
        <v>310</v>
      </c>
      <c r="AD3282">
        <v>9</v>
      </c>
      <c r="AE3282" t="s">
        <v>1387</v>
      </c>
      <c r="AF3282">
        <v>70000000</v>
      </c>
      <c r="AG3282" t="s">
        <v>310</v>
      </c>
      <c r="AH3282">
        <f>SUM((MID(Dyno_Data[[#This Row],[Team]],4,5))+(Dyno_Data[[#This Row],[Match]]/100))</f>
        <v>6911.6</v>
      </c>
      <c r="AI3282" s="76">
        <f>ROUND(SUM(IF(Dyno_Data[[#This Row],[AcqCenter]]&gt;0,Dyno_Data[[#This Row],[Time]]-SUMIFS(Dyno_Data[Time],Dyno_Data[Team],Dyno_Data[[#This Row],[Team]],Dyno_Data[RecordType],"StartMatch",Dyno_Data[Match],Dyno_Data[[#This Row],[Match]]),0)*86400),0)</f>
        <v>0</v>
      </c>
    </row>
    <row r="3283" spans="1:35" x14ac:dyDescent="0.3">
      <c r="A3283">
        <v>3282</v>
      </c>
      <c r="B3283" t="s">
        <v>1306</v>
      </c>
      <c r="C3283">
        <v>60</v>
      </c>
      <c r="D3283" s="105">
        <v>45374.389038310183</v>
      </c>
      <c r="E3283" t="s">
        <v>312</v>
      </c>
      <c r="F3283" t="s">
        <v>1402</v>
      </c>
      <c r="G3283">
        <v>0</v>
      </c>
      <c r="H3283" t="s">
        <v>315</v>
      </c>
      <c r="I3283">
        <v>0</v>
      </c>
      <c r="J3283">
        <v>0</v>
      </c>
      <c r="K3283">
        <v>0</v>
      </c>
      <c r="L3283" t="s">
        <v>241</v>
      </c>
      <c r="M3283" t="s">
        <v>101</v>
      </c>
      <c r="N3283">
        <v>0</v>
      </c>
      <c r="O3283" t="s">
        <v>311</v>
      </c>
      <c r="P3283" t="s">
        <v>310</v>
      </c>
      <c r="Q3283" t="s">
        <v>310</v>
      </c>
      <c r="R3283" t="s">
        <v>310</v>
      </c>
      <c r="S3283">
        <v>9</v>
      </c>
      <c r="T3283" t="s">
        <v>310</v>
      </c>
      <c r="U3283">
        <v>9</v>
      </c>
      <c r="V3283">
        <v>9</v>
      </c>
      <c r="W3283">
        <v>0</v>
      </c>
      <c r="X3283">
        <v>0</v>
      </c>
      <c r="Y3283">
        <v>0</v>
      </c>
      <c r="Z3283">
        <v>0</v>
      </c>
      <c r="AA3283">
        <v>9</v>
      </c>
      <c r="AB3283">
        <v>9</v>
      </c>
      <c r="AC3283" t="s">
        <v>310</v>
      </c>
      <c r="AD3283">
        <v>9</v>
      </c>
      <c r="AE3283" t="s">
        <v>1388</v>
      </c>
      <c r="AF3283">
        <v>50000000</v>
      </c>
      <c r="AG3283" t="s">
        <v>310</v>
      </c>
      <c r="AH3283">
        <f>SUM((MID(Dyno_Data[[#This Row],[Team]],4,5))+(Dyno_Data[[#This Row],[Match]]/100))</f>
        <v>3986.6</v>
      </c>
      <c r="AI3283" s="76">
        <f>ROUND(SUM(IF(Dyno_Data[[#This Row],[AcqCenter]]&gt;0,Dyno_Data[[#This Row],[Time]]-SUMIFS(Dyno_Data[Time],Dyno_Data[Team],Dyno_Data[[#This Row],[Team]],Dyno_Data[RecordType],"StartMatch",Dyno_Data[Match],Dyno_Data[[#This Row],[Match]]),0)*86400),0)</f>
        <v>0</v>
      </c>
    </row>
    <row r="3284" spans="1:35" x14ac:dyDescent="0.3">
      <c r="A3284">
        <v>3283</v>
      </c>
      <c r="B3284" t="s">
        <v>1317</v>
      </c>
      <c r="C3284">
        <v>60</v>
      </c>
      <c r="D3284" s="105">
        <v>45374.389046180557</v>
      </c>
      <c r="E3284" t="s">
        <v>312</v>
      </c>
      <c r="F3284" t="s">
        <v>1402</v>
      </c>
      <c r="G3284">
        <v>0</v>
      </c>
      <c r="H3284" t="s">
        <v>315</v>
      </c>
      <c r="I3284">
        <v>0</v>
      </c>
      <c r="J3284">
        <v>0</v>
      </c>
      <c r="K3284">
        <v>0</v>
      </c>
      <c r="L3284" t="s">
        <v>240</v>
      </c>
      <c r="M3284" t="s">
        <v>1398</v>
      </c>
      <c r="N3284">
        <v>0</v>
      </c>
      <c r="O3284" t="s">
        <v>1391</v>
      </c>
      <c r="P3284" t="s">
        <v>310</v>
      </c>
      <c r="Q3284" t="s">
        <v>310</v>
      </c>
      <c r="R3284" t="s">
        <v>310</v>
      </c>
      <c r="S3284">
        <v>9</v>
      </c>
      <c r="T3284" t="s">
        <v>310</v>
      </c>
      <c r="U3284">
        <v>9</v>
      </c>
      <c r="V3284">
        <v>9</v>
      </c>
      <c r="W3284">
        <v>0</v>
      </c>
      <c r="X3284">
        <v>0</v>
      </c>
      <c r="Y3284">
        <v>0</v>
      </c>
      <c r="Z3284">
        <v>0</v>
      </c>
      <c r="AA3284">
        <v>9</v>
      </c>
      <c r="AB3284">
        <v>9</v>
      </c>
      <c r="AC3284" t="s">
        <v>310</v>
      </c>
      <c r="AD3284">
        <v>9</v>
      </c>
      <c r="AE3284" t="s">
        <v>1396</v>
      </c>
      <c r="AF3284">
        <v>50000000</v>
      </c>
      <c r="AG3284" t="s">
        <v>310</v>
      </c>
      <c r="AH3284">
        <f>SUM((MID(Dyno_Data[[#This Row],[Team]],4,5))+(Dyno_Data[[#This Row],[Match]]/100))</f>
        <v>296.60000000000002</v>
      </c>
      <c r="AI3284" s="76">
        <f>ROUND(SUM(IF(Dyno_Data[[#This Row],[AcqCenter]]&gt;0,Dyno_Data[[#This Row],[Time]]-SUMIFS(Dyno_Data[Time],Dyno_Data[Team],Dyno_Data[[#This Row],[Team]],Dyno_Data[RecordType],"StartMatch",Dyno_Data[Match],Dyno_Data[[#This Row],[Match]]),0)*86400),0)</f>
        <v>0</v>
      </c>
    </row>
    <row r="3285" spans="1:35" x14ac:dyDescent="0.3">
      <c r="A3285">
        <v>3284</v>
      </c>
      <c r="B3285" t="s">
        <v>370</v>
      </c>
      <c r="C3285">
        <v>60</v>
      </c>
      <c r="D3285" s="105">
        <v>45374.389071562502</v>
      </c>
      <c r="E3285" t="s">
        <v>312</v>
      </c>
      <c r="F3285" t="s">
        <v>1402</v>
      </c>
      <c r="G3285">
        <v>0</v>
      </c>
      <c r="H3285" t="s">
        <v>315</v>
      </c>
      <c r="I3285">
        <v>0</v>
      </c>
      <c r="J3285">
        <v>0</v>
      </c>
      <c r="K3285">
        <v>0</v>
      </c>
      <c r="L3285" t="s">
        <v>241</v>
      </c>
      <c r="M3285" t="s">
        <v>1398</v>
      </c>
      <c r="N3285">
        <v>1</v>
      </c>
      <c r="O3285" t="s">
        <v>1395</v>
      </c>
      <c r="P3285" t="s">
        <v>310</v>
      </c>
      <c r="Q3285" t="s">
        <v>310</v>
      </c>
      <c r="R3285" t="s">
        <v>310</v>
      </c>
      <c r="S3285">
        <v>9</v>
      </c>
      <c r="T3285" t="s">
        <v>310</v>
      </c>
      <c r="U3285">
        <v>9</v>
      </c>
      <c r="V3285">
        <v>9</v>
      </c>
      <c r="W3285">
        <v>0</v>
      </c>
      <c r="X3285">
        <v>0</v>
      </c>
      <c r="Y3285">
        <v>0</v>
      </c>
      <c r="Z3285">
        <v>0</v>
      </c>
      <c r="AA3285">
        <v>9</v>
      </c>
      <c r="AB3285">
        <v>9</v>
      </c>
      <c r="AC3285" t="s">
        <v>310</v>
      </c>
      <c r="AD3285">
        <v>9</v>
      </c>
      <c r="AE3285" t="s">
        <v>1387</v>
      </c>
      <c r="AF3285">
        <v>80000000</v>
      </c>
      <c r="AG3285" t="s">
        <v>310</v>
      </c>
      <c r="AH3285">
        <f>SUM((MID(Dyno_Data[[#This Row],[Team]],4,5))+(Dyno_Data[[#This Row],[Match]]/100))</f>
        <v>6911.6</v>
      </c>
      <c r="AI3285" s="76">
        <f>ROUND(SUM(IF(Dyno_Data[[#This Row],[AcqCenter]]&gt;0,Dyno_Data[[#This Row],[Time]]-SUMIFS(Dyno_Data[Time],Dyno_Data[Team],Dyno_Data[[#This Row],[Team]],Dyno_Data[RecordType],"StartMatch",Dyno_Data[Match],Dyno_Data[[#This Row],[Match]]),0)*86400),0)</f>
        <v>0</v>
      </c>
    </row>
    <row r="3286" spans="1:35" x14ac:dyDescent="0.3">
      <c r="A3286">
        <v>3285</v>
      </c>
      <c r="B3286" t="s">
        <v>1295</v>
      </c>
      <c r="C3286">
        <v>60</v>
      </c>
      <c r="D3286" s="105">
        <v>45374.389129201387</v>
      </c>
      <c r="E3286" t="s">
        <v>312</v>
      </c>
      <c r="F3286" t="s">
        <v>1402</v>
      </c>
      <c r="G3286">
        <v>0</v>
      </c>
      <c r="H3286" t="s">
        <v>315</v>
      </c>
      <c r="I3286">
        <v>0</v>
      </c>
      <c r="J3286">
        <v>0</v>
      </c>
      <c r="K3286">
        <v>0</v>
      </c>
      <c r="L3286" t="s">
        <v>241</v>
      </c>
      <c r="M3286" t="s">
        <v>1398</v>
      </c>
      <c r="N3286">
        <v>0</v>
      </c>
      <c r="O3286" t="s">
        <v>319</v>
      </c>
      <c r="P3286" t="s">
        <v>310</v>
      </c>
      <c r="Q3286" t="s">
        <v>310</v>
      </c>
      <c r="R3286" t="s">
        <v>310</v>
      </c>
      <c r="S3286">
        <v>9</v>
      </c>
      <c r="T3286" t="s">
        <v>310</v>
      </c>
      <c r="U3286">
        <v>9</v>
      </c>
      <c r="V3286">
        <v>9</v>
      </c>
      <c r="W3286">
        <v>0</v>
      </c>
      <c r="X3286">
        <v>0</v>
      </c>
      <c r="Y3286">
        <v>0</v>
      </c>
      <c r="Z3286">
        <v>0</v>
      </c>
      <c r="AA3286">
        <v>9</v>
      </c>
      <c r="AB3286">
        <v>9</v>
      </c>
      <c r="AC3286" t="s">
        <v>310</v>
      </c>
      <c r="AD3286">
        <v>9</v>
      </c>
      <c r="AE3286" t="s">
        <v>1394</v>
      </c>
      <c r="AF3286">
        <v>80000000</v>
      </c>
      <c r="AG3286" t="s">
        <v>310</v>
      </c>
      <c r="AH3286">
        <f>SUM((MID(Dyno_Data[[#This Row],[Team]],4,5))+(Dyno_Data[[#This Row],[Match]]/100))</f>
        <v>6300.6</v>
      </c>
      <c r="AI3286" s="76">
        <f>ROUND(SUM(IF(Dyno_Data[[#This Row],[AcqCenter]]&gt;0,Dyno_Data[[#This Row],[Time]]-SUMIFS(Dyno_Data[Time],Dyno_Data[Team],Dyno_Data[[#This Row],[Team]],Dyno_Data[RecordType],"StartMatch",Dyno_Data[Match],Dyno_Data[[#This Row],[Match]]),0)*86400),0)</f>
        <v>0</v>
      </c>
    </row>
    <row r="3287" spans="1:35" x14ac:dyDescent="0.3">
      <c r="A3287">
        <v>3286</v>
      </c>
      <c r="B3287" t="s">
        <v>1301</v>
      </c>
      <c r="C3287">
        <v>60</v>
      </c>
      <c r="D3287" s="105">
        <v>45374.389131331016</v>
      </c>
      <c r="E3287" t="s">
        <v>1403</v>
      </c>
      <c r="F3287" t="s">
        <v>1402</v>
      </c>
      <c r="G3287">
        <v>0</v>
      </c>
      <c r="H3287" t="s">
        <v>310</v>
      </c>
      <c r="I3287">
        <v>0</v>
      </c>
      <c r="J3287">
        <v>0</v>
      </c>
      <c r="K3287">
        <v>0</v>
      </c>
      <c r="L3287" t="s">
        <v>310</v>
      </c>
      <c r="M3287" t="s">
        <v>310</v>
      </c>
      <c r="N3287">
        <v>0</v>
      </c>
      <c r="O3287" t="s">
        <v>1389</v>
      </c>
      <c r="P3287" t="s">
        <v>310</v>
      </c>
      <c r="Q3287" t="s">
        <v>310</v>
      </c>
      <c r="R3287" t="s">
        <v>310</v>
      </c>
      <c r="S3287">
        <v>9</v>
      </c>
      <c r="T3287" t="s">
        <v>310</v>
      </c>
      <c r="U3287">
        <v>9</v>
      </c>
      <c r="V3287">
        <v>9</v>
      </c>
      <c r="W3287">
        <v>0</v>
      </c>
      <c r="X3287">
        <v>0</v>
      </c>
      <c r="Y3287">
        <v>0</v>
      </c>
      <c r="Z3287">
        <v>0</v>
      </c>
      <c r="AA3287">
        <v>9</v>
      </c>
      <c r="AB3287">
        <v>9</v>
      </c>
      <c r="AC3287" t="s">
        <v>310</v>
      </c>
      <c r="AD3287">
        <v>9</v>
      </c>
      <c r="AE3287" t="s">
        <v>1392</v>
      </c>
      <c r="AF3287">
        <v>80000000</v>
      </c>
      <c r="AG3287" t="s">
        <v>248</v>
      </c>
      <c r="AH3287">
        <f>SUM((MID(Dyno_Data[[#This Row],[Team]],4,5))+(Dyno_Data[[#This Row],[Match]]/100))</f>
        <v>7031.6</v>
      </c>
      <c r="AI3287" s="76">
        <f>ROUND(SUM(IF(Dyno_Data[[#This Row],[AcqCenter]]&gt;0,Dyno_Data[[#This Row],[Time]]-SUMIFS(Dyno_Data[Time],Dyno_Data[Team],Dyno_Data[[#This Row],[Team]],Dyno_Data[RecordType],"StartMatch",Dyno_Data[Match],Dyno_Data[[#This Row],[Match]]),0)*86400),0)</f>
        <v>0</v>
      </c>
    </row>
    <row r="3288" spans="1:35" x14ac:dyDescent="0.3">
      <c r="A3288">
        <v>3287</v>
      </c>
      <c r="B3288" t="s">
        <v>1306</v>
      </c>
      <c r="C3288">
        <v>60</v>
      </c>
      <c r="D3288" s="105">
        <v>45374.389168553244</v>
      </c>
      <c r="E3288" t="s">
        <v>312</v>
      </c>
      <c r="F3288" t="s">
        <v>1402</v>
      </c>
      <c r="G3288">
        <v>0</v>
      </c>
      <c r="H3288" t="s">
        <v>315</v>
      </c>
      <c r="I3288">
        <v>0</v>
      </c>
      <c r="J3288">
        <v>0</v>
      </c>
      <c r="K3288">
        <v>0</v>
      </c>
      <c r="L3288" t="s">
        <v>241</v>
      </c>
      <c r="M3288" t="s">
        <v>1398</v>
      </c>
      <c r="N3288">
        <v>1</v>
      </c>
      <c r="O3288" t="s">
        <v>311</v>
      </c>
      <c r="P3288" t="s">
        <v>310</v>
      </c>
      <c r="Q3288" t="s">
        <v>310</v>
      </c>
      <c r="R3288" t="s">
        <v>310</v>
      </c>
      <c r="S3288">
        <v>9</v>
      </c>
      <c r="T3288" t="s">
        <v>310</v>
      </c>
      <c r="U3288">
        <v>9</v>
      </c>
      <c r="V3288">
        <v>9</v>
      </c>
      <c r="W3288">
        <v>0</v>
      </c>
      <c r="X3288">
        <v>0</v>
      </c>
      <c r="Y3288">
        <v>0</v>
      </c>
      <c r="Z3288">
        <v>0</v>
      </c>
      <c r="AA3288">
        <v>9</v>
      </c>
      <c r="AB3288">
        <v>9</v>
      </c>
      <c r="AC3288" t="s">
        <v>310</v>
      </c>
      <c r="AD3288">
        <v>9</v>
      </c>
      <c r="AE3288" t="s">
        <v>1388</v>
      </c>
      <c r="AF3288">
        <v>60000000</v>
      </c>
      <c r="AG3288" t="s">
        <v>310</v>
      </c>
      <c r="AH3288">
        <f>SUM((MID(Dyno_Data[[#This Row],[Team]],4,5))+(Dyno_Data[[#This Row],[Match]]/100))</f>
        <v>3986.6</v>
      </c>
      <c r="AI3288" s="76">
        <f>ROUND(SUM(IF(Dyno_Data[[#This Row],[AcqCenter]]&gt;0,Dyno_Data[[#This Row],[Time]]-SUMIFS(Dyno_Data[Time],Dyno_Data[Team],Dyno_Data[[#This Row],[Team]],Dyno_Data[RecordType],"StartMatch",Dyno_Data[Match],Dyno_Data[[#This Row],[Match]]),0)*86400),0)</f>
        <v>0</v>
      </c>
    </row>
    <row r="3289" spans="1:35" x14ac:dyDescent="0.3">
      <c r="A3289">
        <v>3288</v>
      </c>
      <c r="B3289" t="s">
        <v>370</v>
      </c>
      <c r="C3289">
        <v>60</v>
      </c>
      <c r="D3289" s="105">
        <v>45374.389251932873</v>
      </c>
      <c r="E3289" t="s">
        <v>312</v>
      </c>
      <c r="F3289" t="s">
        <v>1402</v>
      </c>
      <c r="G3289">
        <v>0</v>
      </c>
      <c r="H3289" t="s">
        <v>315</v>
      </c>
      <c r="I3289">
        <v>0</v>
      </c>
      <c r="J3289">
        <v>0</v>
      </c>
      <c r="K3289">
        <v>0</v>
      </c>
      <c r="L3289" t="s">
        <v>241</v>
      </c>
      <c r="M3289" t="s">
        <v>1398</v>
      </c>
      <c r="N3289">
        <v>1</v>
      </c>
      <c r="O3289" t="s">
        <v>1395</v>
      </c>
      <c r="P3289" t="s">
        <v>310</v>
      </c>
      <c r="Q3289" t="s">
        <v>310</v>
      </c>
      <c r="R3289" t="s">
        <v>310</v>
      </c>
      <c r="S3289">
        <v>9</v>
      </c>
      <c r="T3289" t="s">
        <v>310</v>
      </c>
      <c r="U3289">
        <v>9</v>
      </c>
      <c r="V3289">
        <v>9</v>
      </c>
      <c r="W3289">
        <v>0</v>
      </c>
      <c r="X3289">
        <v>0</v>
      </c>
      <c r="Y3289">
        <v>0</v>
      </c>
      <c r="Z3289">
        <v>0</v>
      </c>
      <c r="AA3289">
        <v>9</v>
      </c>
      <c r="AB3289">
        <v>9</v>
      </c>
      <c r="AC3289" t="s">
        <v>310</v>
      </c>
      <c r="AD3289">
        <v>9</v>
      </c>
      <c r="AE3289" t="s">
        <v>1387</v>
      </c>
      <c r="AF3289">
        <v>90000000</v>
      </c>
      <c r="AG3289" t="s">
        <v>310</v>
      </c>
      <c r="AH3289">
        <f>SUM((MID(Dyno_Data[[#This Row],[Team]],4,5))+(Dyno_Data[[#This Row],[Match]]/100))</f>
        <v>6911.6</v>
      </c>
      <c r="AI3289" s="76">
        <f>ROUND(SUM(IF(Dyno_Data[[#This Row],[AcqCenter]]&gt;0,Dyno_Data[[#This Row],[Time]]-SUMIFS(Dyno_Data[Time],Dyno_Data[Team],Dyno_Data[[#This Row],[Team]],Dyno_Data[RecordType],"StartMatch",Dyno_Data[Match],Dyno_Data[[#This Row],[Match]]),0)*86400),0)</f>
        <v>0</v>
      </c>
    </row>
    <row r="3290" spans="1:35" x14ac:dyDescent="0.3">
      <c r="A3290">
        <v>3289</v>
      </c>
      <c r="B3290" t="s">
        <v>1306</v>
      </c>
      <c r="C3290">
        <v>60</v>
      </c>
      <c r="D3290" s="105">
        <v>45374.389258530093</v>
      </c>
      <c r="E3290" t="s">
        <v>312</v>
      </c>
      <c r="F3290" t="s">
        <v>1402</v>
      </c>
      <c r="G3290">
        <v>0</v>
      </c>
      <c r="H3290" t="s">
        <v>315</v>
      </c>
      <c r="I3290">
        <v>0</v>
      </c>
      <c r="J3290">
        <v>0</v>
      </c>
      <c r="K3290">
        <v>0</v>
      </c>
      <c r="L3290" t="s">
        <v>241</v>
      </c>
      <c r="M3290" t="s">
        <v>1398</v>
      </c>
      <c r="N3290">
        <v>1</v>
      </c>
      <c r="O3290" t="s">
        <v>311</v>
      </c>
      <c r="P3290" t="s">
        <v>310</v>
      </c>
      <c r="Q3290" t="s">
        <v>310</v>
      </c>
      <c r="R3290" t="s">
        <v>310</v>
      </c>
      <c r="S3290">
        <v>9</v>
      </c>
      <c r="T3290" t="s">
        <v>310</v>
      </c>
      <c r="U3290">
        <v>9</v>
      </c>
      <c r="V3290">
        <v>9</v>
      </c>
      <c r="W3290">
        <v>0</v>
      </c>
      <c r="X3290">
        <v>0</v>
      </c>
      <c r="Y3290">
        <v>0</v>
      </c>
      <c r="Z3290">
        <v>0</v>
      </c>
      <c r="AA3290">
        <v>9</v>
      </c>
      <c r="AB3290">
        <v>9</v>
      </c>
      <c r="AC3290" t="s">
        <v>310</v>
      </c>
      <c r="AD3290">
        <v>9</v>
      </c>
      <c r="AE3290" t="s">
        <v>1388</v>
      </c>
      <c r="AF3290">
        <v>70000000</v>
      </c>
      <c r="AG3290" t="s">
        <v>310</v>
      </c>
      <c r="AH3290">
        <f>SUM((MID(Dyno_Data[[#This Row],[Team]],4,5))+(Dyno_Data[[#This Row],[Match]]/100))</f>
        <v>3986.6</v>
      </c>
      <c r="AI3290" s="76">
        <f>ROUND(SUM(IF(Dyno_Data[[#This Row],[AcqCenter]]&gt;0,Dyno_Data[[#This Row],[Time]]-SUMIFS(Dyno_Data[Time],Dyno_Data[Team],Dyno_Data[[#This Row],[Team]],Dyno_Data[RecordType],"StartMatch",Dyno_Data[Match],Dyno_Data[[#This Row],[Match]]),0)*86400),0)</f>
        <v>0</v>
      </c>
    </row>
    <row r="3291" spans="1:35" x14ac:dyDescent="0.3">
      <c r="A3291">
        <v>3290</v>
      </c>
      <c r="B3291" t="s">
        <v>1317</v>
      </c>
      <c r="C3291">
        <v>60</v>
      </c>
      <c r="D3291" s="105">
        <v>45374.389309803242</v>
      </c>
      <c r="E3291" t="s">
        <v>312</v>
      </c>
      <c r="F3291" t="s">
        <v>1402</v>
      </c>
      <c r="G3291">
        <v>0</v>
      </c>
      <c r="H3291" t="s">
        <v>315</v>
      </c>
      <c r="I3291">
        <v>0</v>
      </c>
      <c r="J3291">
        <v>0</v>
      </c>
      <c r="K3291">
        <v>0</v>
      </c>
      <c r="L3291" t="s">
        <v>240</v>
      </c>
      <c r="M3291" t="s">
        <v>1398</v>
      </c>
      <c r="N3291">
        <v>0</v>
      </c>
      <c r="O3291" t="s">
        <v>1391</v>
      </c>
      <c r="P3291" t="s">
        <v>310</v>
      </c>
      <c r="Q3291" t="s">
        <v>310</v>
      </c>
      <c r="R3291" t="s">
        <v>310</v>
      </c>
      <c r="S3291">
        <v>9</v>
      </c>
      <c r="T3291" t="s">
        <v>310</v>
      </c>
      <c r="U3291">
        <v>9</v>
      </c>
      <c r="V3291">
        <v>9</v>
      </c>
      <c r="W3291">
        <v>0</v>
      </c>
      <c r="X3291">
        <v>0</v>
      </c>
      <c r="Y3291">
        <v>0</v>
      </c>
      <c r="Z3291">
        <v>0</v>
      </c>
      <c r="AA3291">
        <v>9</v>
      </c>
      <c r="AB3291">
        <v>9</v>
      </c>
      <c r="AC3291" t="s">
        <v>310</v>
      </c>
      <c r="AD3291">
        <v>9</v>
      </c>
      <c r="AE3291" t="s">
        <v>1396</v>
      </c>
      <c r="AF3291">
        <v>60000000</v>
      </c>
      <c r="AG3291" t="s">
        <v>310</v>
      </c>
      <c r="AH3291">
        <f>SUM((MID(Dyno_Data[[#This Row],[Team]],4,5))+(Dyno_Data[[#This Row],[Match]]/100))</f>
        <v>296.60000000000002</v>
      </c>
      <c r="AI3291" s="76">
        <f>ROUND(SUM(IF(Dyno_Data[[#This Row],[AcqCenter]]&gt;0,Dyno_Data[[#This Row],[Time]]-SUMIFS(Dyno_Data[Time],Dyno_Data[Team],Dyno_Data[[#This Row],[Team]],Dyno_Data[RecordType],"StartMatch",Dyno_Data[Match],Dyno_Data[[#This Row],[Match]]),0)*86400),0)</f>
        <v>0</v>
      </c>
    </row>
    <row r="3292" spans="1:35" x14ac:dyDescent="0.3">
      <c r="A3292">
        <v>3291</v>
      </c>
      <c r="B3292" t="s">
        <v>1295</v>
      </c>
      <c r="C3292">
        <v>60</v>
      </c>
      <c r="D3292" s="105">
        <v>45374.389320138886</v>
      </c>
      <c r="E3292" t="s">
        <v>312</v>
      </c>
      <c r="F3292" t="s">
        <v>1402</v>
      </c>
      <c r="G3292">
        <v>0</v>
      </c>
      <c r="H3292" t="s">
        <v>315</v>
      </c>
      <c r="I3292">
        <v>0</v>
      </c>
      <c r="J3292">
        <v>0</v>
      </c>
      <c r="K3292">
        <v>0</v>
      </c>
      <c r="L3292" t="s">
        <v>241</v>
      </c>
      <c r="M3292" t="s">
        <v>101</v>
      </c>
      <c r="N3292">
        <v>0</v>
      </c>
      <c r="O3292" t="s">
        <v>319</v>
      </c>
      <c r="P3292" t="s">
        <v>310</v>
      </c>
      <c r="Q3292" t="s">
        <v>310</v>
      </c>
      <c r="R3292" t="s">
        <v>310</v>
      </c>
      <c r="S3292">
        <v>9</v>
      </c>
      <c r="T3292" t="s">
        <v>310</v>
      </c>
      <c r="U3292">
        <v>9</v>
      </c>
      <c r="V3292">
        <v>9</v>
      </c>
      <c r="W3292">
        <v>0</v>
      </c>
      <c r="X3292">
        <v>0</v>
      </c>
      <c r="Y3292">
        <v>0</v>
      </c>
      <c r="Z3292">
        <v>0</v>
      </c>
      <c r="AA3292">
        <v>9</v>
      </c>
      <c r="AB3292">
        <v>9</v>
      </c>
      <c r="AC3292" t="s">
        <v>310</v>
      </c>
      <c r="AD3292">
        <v>9</v>
      </c>
      <c r="AE3292" t="s">
        <v>1394</v>
      </c>
      <c r="AF3292">
        <v>90000000</v>
      </c>
      <c r="AG3292" t="s">
        <v>310</v>
      </c>
      <c r="AH3292">
        <f>SUM((MID(Dyno_Data[[#This Row],[Team]],4,5))+(Dyno_Data[[#This Row],[Match]]/100))</f>
        <v>6300.6</v>
      </c>
      <c r="AI3292" s="76">
        <f>ROUND(SUM(IF(Dyno_Data[[#This Row],[AcqCenter]]&gt;0,Dyno_Data[[#This Row],[Time]]-SUMIFS(Dyno_Data[Time],Dyno_Data[Team],Dyno_Data[[#This Row],[Team]],Dyno_Data[RecordType],"StartMatch",Dyno_Data[Match],Dyno_Data[[#This Row],[Match]]),0)*86400),0)</f>
        <v>0</v>
      </c>
    </row>
    <row r="3293" spans="1:35" x14ac:dyDescent="0.3">
      <c r="A3293">
        <v>3292</v>
      </c>
      <c r="B3293" t="s">
        <v>370</v>
      </c>
      <c r="C3293">
        <v>60</v>
      </c>
      <c r="D3293" s="105">
        <v>45374.389382488429</v>
      </c>
      <c r="E3293" t="s">
        <v>312</v>
      </c>
      <c r="F3293" t="s">
        <v>1402</v>
      </c>
      <c r="G3293">
        <v>0</v>
      </c>
      <c r="H3293" t="s">
        <v>315</v>
      </c>
      <c r="I3293">
        <v>0</v>
      </c>
      <c r="J3293">
        <v>0</v>
      </c>
      <c r="K3293">
        <v>0</v>
      </c>
      <c r="L3293" t="s">
        <v>241</v>
      </c>
      <c r="M3293" t="s">
        <v>1398</v>
      </c>
      <c r="N3293">
        <v>0</v>
      </c>
      <c r="O3293" t="s">
        <v>1395</v>
      </c>
      <c r="P3293" t="s">
        <v>310</v>
      </c>
      <c r="Q3293" t="s">
        <v>310</v>
      </c>
      <c r="R3293" t="s">
        <v>310</v>
      </c>
      <c r="S3293">
        <v>9</v>
      </c>
      <c r="T3293" t="s">
        <v>310</v>
      </c>
      <c r="U3293">
        <v>9</v>
      </c>
      <c r="V3293">
        <v>9</v>
      </c>
      <c r="W3293">
        <v>0</v>
      </c>
      <c r="X3293">
        <v>0</v>
      </c>
      <c r="Y3293">
        <v>0</v>
      </c>
      <c r="Z3293">
        <v>0</v>
      </c>
      <c r="AA3293">
        <v>9</v>
      </c>
      <c r="AB3293">
        <v>9</v>
      </c>
      <c r="AC3293" t="s">
        <v>310</v>
      </c>
      <c r="AD3293">
        <v>9</v>
      </c>
      <c r="AE3293" t="s">
        <v>1387</v>
      </c>
      <c r="AF3293">
        <v>100000000</v>
      </c>
      <c r="AG3293" t="s">
        <v>310</v>
      </c>
      <c r="AH3293">
        <f>SUM((MID(Dyno_Data[[#This Row],[Team]],4,5))+(Dyno_Data[[#This Row],[Match]]/100))</f>
        <v>6911.6</v>
      </c>
      <c r="AI3293" s="76">
        <f>ROUND(SUM(IF(Dyno_Data[[#This Row],[AcqCenter]]&gt;0,Dyno_Data[[#This Row],[Time]]-SUMIFS(Dyno_Data[Time],Dyno_Data[Team],Dyno_Data[[#This Row],[Team]],Dyno_Data[RecordType],"StartMatch",Dyno_Data[Match],Dyno_Data[[#This Row],[Match]]),0)*86400),0)</f>
        <v>0</v>
      </c>
    </row>
    <row r="3294" spans="1:35" x14ac:dyDescent="0.3">
      <c r="A3294">
        <v>3293</v>
      </c>
      <c r="B3294" t="s">
        <v>1295</v>
      </c>
      <c r="C3294">
        <v>60</v>
      </c>
      <c r="D3294" s="105">
        <v>45374.389402928238</v>
      </c>
      <c r="E3294" t="s">
        <v>312</v>
      </c>
      <c r="F3294" t="s">
        <v>1402</v>
      </c>
      <c r="G3294">
        <v>0</v>
      </c>
      <c r="H3294" t="s">
        <v>315</v>
      </c>
      <c r="I3294">
        <v>0</v>
      </c>
      <c r="J3294">
        <v>0</v>
      </c>
      <c r="K3294">
        <v>0</v>
      </c>
      <c r="L3294" t="s">
        <v>241</v>
      </c>
      <c r="M3294" t="s">
        <v>101</v>
      </c>
      <c r="N3294">
        <v>0</v>
      </c>
      <c r="O3294" t="s">
        <v>319</v>
      </c>
      <c r="P3294" t="s">
        <v>310</v>
      </c>
      <c r="Q3294" t="s">
        <v>310</v>
      </c>
      <c r="R3294" t="s">
        <v>310</v>
      </c>
      <c r="S3294">
        <v>9</v>
      </c>
      <c r="T3294" t="s">
        <v>310</v>
      </c>
      <c r="U3294">
        <v>9</v>
      </c>
      <c r="V3294">
        <v>9</v>
      </c>
      <c r="W3294">
        <v>0</v>
      </c>
      <c r="X3294">
        <v>0</v>
      </c>
      <c r="Y3294">
        <v>0</v>
      </c>
      <c r="Z3294">
        <v>0</v>
      </c>
      <c r="AA3294">
        <v>9</v>
      </c>
      <c r="AB3294">
        <v>9</v>
      </c>
      <c r="AC3294" t="s">
        <v>310</v>
      </c>
      <c r="AD3294">
        <v>9</v>
      </c>
      <c r="AE3294" t="s">
        <v>1394</v>
      </c>
      <c r="AF3294">
        <v>100000000</v>
      </c>
      <c r="AG3294" t="s">
        <v>310</v>
      </c>
      <c r="AH3294">
        <f>SUM((MID(Dyno_Data[[#This Row],[Team]],4,5))+(Dyno_Data[[#This Row],[Match]]/100))</f>
        <v>6300.6</v>
      </c>
      <c r="AI3294" s="76">
        <f>ROUND(SUM(IF(Dyno_Data[[#This Row],[AcqCenter]]&gt;0,Dyno_Data[[#This Row],[Time]]-SUMIFS(Dyno_Data[Time],Dyno_Data[Team],Dyno_Data[[#This Row],[Team]],Dyno_Data[RecordType],"StartMatch",Dyno_Data[Match],Dyno_Data[[#This Row],[Match]]),0)*86400),0)</f>
        <v>0</v>
      </c>
    </row>
    <row r="3295" spans="1:35" x14ac:dyDescent="0.3">
      <c r="A3295">
        <v>3294</v>
      </c>
      <c r="B3295" t="s">
        <v>1306</v>
      </c>
      <c r="C3295">
        <v>60</v>
      </c>
      <c r="D3295" s="105">
        <v>45374.389458217593</v>
      </c>
      <c r="E3295" t="s">
        <v>312</v>
      </c>
      <c r="F3295" t="s">
        <v>1402</v>
      </c>
      <c r="G3295">
        <v>0</v>
      </c>
      <c r="H3295" t="s">
        <v>315</v>
      </c>
      <c r="I3295">
        <v>0</v>
      </c>
      <c r="J3295">
        <v>0</v>
      </c>
      <c r="K3295">
        <v>0</v>
      </c>
      <c r="L3295" t="s">
        <v>241</v>
      </c>
      <c r="M3295" t="s">
        <v>1398</v>
      </c>
      <c r="N3295">
        <v>1</v>
      </c>
      <c r="O3295" t="s">
        <v>311</v>
      </c>
      <c r="P3295" t="s">
        <v>310</v>
      </c>
      <c r="Q3295" t="s">
        <v>310</v>
      </c>
      <c r="R3295" t="s">
        <v>310</v>
      </c>
      <c r="S3295">
        <v>9</v>
      </c>
      <c r="T3295" t="s">
        <v>310</v>
      </c>
      <c r="U3295">
        <v>9</v>
      </c>
      <c r="V3295">
        <v>9</v>
      </c>
      <c r="W3295">
        <v>0</v>
      </c>
      <c r="X3295">
        <v>0</v>
      </c>
      <c r="Y3295">
        <v>0</v>
      </c>
      <c r="Z3295">
        <v>0</v>
      </c>
      <c r="AA3295">
        <v>9</v>
      </c>
      <c r="AB3295">
        <v>9</v>
      </c>
      <c r="AC3295" t="s">
        <v>310</v>
      </c>
      <c r="AD3295">
        <v>9</v>
      </c>
      <c r="AE3295" t="s">
        <v>1388</v>
      </c>
      <c r="AF3295">
        <v>80000000</v>
      </c>
      <c r="AG3295" t="s">
        <v>310</v>
      </c>
      <c r="AH3295">
        <f>SUM((MID(Dyno_Data[[#This Row],[Team]],4,5))+(Dyno_Data[[#This Row],[Match]]/100))</f>
        <v>3986.6</v>
      </c>
      <c r="AI3295" s="76">
        <f>ROUND(SUM(IF(Dyno_Data[[#This Row],[AcqCenter]]&gt;0,Dyno_Data[[#This Row],[Time]]-SUMIFS(Dyno_Data[Time],Dyno_Data[Team],Dyno_Data[[#This Row],[Team]],Dyno_Data[RecordType],"StartMatch",Dyno_Data[Match],Dyno_Data[[#This Row],[Match]]),0)*86400),0)</f>
        <v>0</v>
      </c>
    </row>
    <row r="3296" spans="1:35" x14ac:dyDescent="0.3">
      <c r="A3296">
        <v>3295</v>
      </c>
      <c r="B3296" t="s">
        <v>1301</v>
      </c>
      <c r="C3296">
        <v>60</v>
      </c>
      <c r="D3296" s="105">
        <v>45374.389471875002</v>
      </c>
      <c r="E3296" t="s">
        <v>1403</v>
      </c>
      <c r="F3296" t="s">
        <v>1402</v>
      </c>
      <c r="G3296">
        <v>0</v>
      </c>
      <c r="H3296" t="s">
        <v>310</v>
      </c>
      <c r="I3296">
        <v>0</v>
      </c>
      <c r="J3296">
        <v>0</v>
      </c>
      <c r="K3296">
        <v>0</v>
      </c>
      <c r="L3296" t="s">
        <v>310</v>
      </c>
      <c r="M3296" t="s">
        <v>310</v>
      </c>
      <c r="N3296">
        <v>0</v>
      </c>
      <c r="O3296" t="s">
        <v>1389</v>
      </c>
      <c r="P3296" t="s">
        <v>310</v>
      </c>
      <c r="Q3296" t="s">
        <v>310</v>
      </c>
      <c r="R3296" t="s">
        <v>310</v>
      </c>
      <c r="S3296">
        <v>9</v>
      </c>
      <c r="T3296" t="s">
        <v>310</v>
      </c>
      <c r="U3296">
        <v>9</v>
      </c>
      <c r="V3296">
        <v>9</v>
      </c>
      <c r="W3296">
        <v>0</v>
      </c>
      <c r="X3296">
        <v>0</v>
      </c>
      <c r="Y3296">
        <v>0</v>
      </c>
      <c r="Z3296">
        <v>0</v>
      </c>
      <c r="AA3296">
        <v>9</v>
      </c>
      <c r="AB3296">
        <v>9</v>
      </c>
      <c r="AC3296" t="s">
        <v>310</v>
      </c>
      <c r="AD3296">
        <v>9</v>
      </c>
      <c r="AE3296" t="s">
        <v>1392</v>
      </c>
      <c r="AF3296">
        <v>80000000</v>
      </c>
      <c r="AG3296" t="s">
        <v>248</v>
      </c>
      <c r="AH3296">
        <f>SUM((MID(Dyno_Data[[#This Row],[Team]],4,5))+(Dyno_Data[[#This Row],[Match]]/100))</f>
        <v>7031.6</v>
      </c>
      <c r="AI3296" s="76">
        <f>ROUND(SUM(IF(Dyno_Data[[#This Row],[AcqCenter]]&gt;0,Dyno_Data[[#This Row],[Time]]-SUMIFS(Dyno_Data[Time],Dyno_Data[Team],Dyno_Data[[#This Row],[Team]],Dyno_Data[RecordType],"StartMatch",Dyno_Data[Match],Dyno_Data[[#This Row],[Match]]),0)*86400),0)</f>
        <v>0</v>
      </c>
    </row>
    <row r="3297" spans="1:35" x14ac:dyDescent="0.3">
      <c r="A3297">
        <v>3296</v>
      </c>
      <c r="B3297" t="s">
        <v>1306</v>
      </c>
      <c r="C3297">
        <v>60</v>
      </c>
      <c r="D3297" s="105">
        <v>45374.389537071758</v>
      </c>
      <c r="E3297" t="s">
        <v>312</v>
      </c>
      <c r="F3297" t="s">
        <v>1402</v>
      </c>
      <c r="G3297">
        <v>0</v>
      </c>
      <c r="H3297" t="s">
        <v>315</v>
      </c>
      <c r="I3297">
        <v>0</v>
      </c>
      <c r="J3297">
        <v>0</v>
      </c>
      <c r="K3297">
        <v>0</v>
      </c>
      <c r="L3297" t="s">
        <v>241</v>
      </c>
      <c r="M3297" t="s">
        <v>1398</v>
      </c>
      <c r="N3297">
        <v>0</v>
      </c>
      <c r="O3297" t="s">
        <v>311</v>
      </c>
      <c r="P3297" t="s">
        <v>310</v>
      </c>
      <c r="Q3297" t="s">
        <v>310</v>
      </c>
      <c r="R3297" t="s">
        <v>310</v>
      </c>
      <c r="S3297">
        <v>9</v>
      </c>
      <c r="T3297" t="s">
        <v>310</v>
      </c>
      <c r="U3297">
        <v>9</v>
      </c>
      <c r="V3297">
        <v>9</v>
      </c>
      <c r="W3297">
        <v>0</v>
      </c>
      <c r="X3297">
        <v>0</v>
      </c>
      <c r="Y3297">
        <v>0</v>
      </c>
      <c r="Z3297">
        <v>0</v>
      </c>
      <c r="AA3297">
        <v>9</v>
      </c>
      <c r="AB3297">
        <v>9</v>
      </c>
      <c r="AC3297" t="s">
        <v>310</v>
      </c>
      <c r="AD3297">
        <v>9</v>
      </c>
      <c r="AE3297" t="s">
        <v>1388</v>
      </c>
      <c r="AF3297">
        <v>90000000</v>
      </c>
      <c r="AG3297" t="s">
        <v>310</v>
      </c>
      <c r="AH3297">
        <f>SUM((MID(Dyno_Data[[#This Row],[Team]],4,5))+(Dyno_Data[[#This Row],[Match]]/100))</f>
        <v>3986.6</v>
      </c>
      <c r="AI3297" s="76">
        <f>ROUND(SUM(IF(Dyno_Data[[#This Row],[AcqCenter]]&gt;0,Dyno_Data[[#This Row],[Time]]-SUMIFS(Dyno_Data[Time],Dyno_Data[Team],Dyno_Data[[#This Row],[Team]],Dyno_Data[RecordType],"StartMatch",Dyno_Data[Match],Dyno_Data[[#This Row],[Match]]),0)*86400),0)</f>
        <v>0</v>
      </c>
    </row>
    <row r="3298" spans="1:35" x14ac:dyDescent="0.3">
      <c r="A3298">
        <v>3297</v>
      </c>
      <c r="B3298" t="s">
        <v>370</v>
      </c>
      <c r="C3298">
        <v>60</v>
      </c>
      <c r="D3298" s="105">
        <v>45374.389543553239</v>
      </c>
      <c r="E3298" t="s">
        <v>312</v>
      </c>
      <c r="F3298" t="s">
        <v>1402</v>
      </c>
      <c r="G3298">
        <v>0</v>
      </c>
      <c r="H3298" t="s">
        <v>315</v>
      </c>
      <c r="I3298">
        <v>0</v>
      </c>
      <c r="J3298">
        <v>0</v>
      </c>
      <c r="K3298">
        <v>0</v>
      </c>
      <c r="L3298" t="s">
        <v>241</v>
      </c>
      <c r="M3298" t="s">
        <v>1398</v>
      </c>
      <c r="N3298">
        <v>0</v>
      </c>
      <c r="O3298" t="s">
        <v>1395</v>
      </c>
      <c r="P3298" t="s">
        <v>310</v>
      </c>
      <c r="Q3298" t="s">
        <v>310</v>
      </c>
      <c r="R3298" t="s">
        <v>310</v>
      </c>
      <c r="S3298">
        <v>9</v>
      </c>
      <c r="T3298" t="s">
        <v>310</v>
      </c>
      <c r="U3298">
        <v>9</v>
      </c>
      <c r="V3298">
        <v>9</v>
      </c>
      <c r="W3298">
        <v>0</v>
      </c>
      <c r="X3298">
        <v>0</v>
      </c>
      <c r="Y3298">
        <v>0</v>
      </c>
      <c r="Z3298">
        <v>0</v>
      </c>
      <c r="AA3298">
        <v>9</v>
      </c>
      <c r="AB3298">
        <v>9</v>
      </c>
      <c r="AC3298" t="s">
        <v>310</v>
      </c>
      <c r="AD3298">
        <v>9</v>
      </c>
      <c r="AE3298" t="s">
        <v>1387</v>
      </c>
      <c r="AF3298">
        <v>110000000</v>
      </c>
      <c r="AG3298" t="s">
        <v>310</v>
      </c>
      <c r="AH3298">
        <f>SUM((MID(Dyno_Data[[#This Row],[Team]],4,5))+(Dyno_Data[[#This Row],[Match]]/100))</f>
        <v>6911.6</v>
      </c>
      <c r="AI3298" s="76">
        <f>ROUND(SUM(IF(Dyno_Data[[#This Row],[AcqCenter]]&gt;0,Dyno_Data[[#This Row],[Time]]-SUMIFS(Dyno_Data[Time],Dyno_Data[Team],Dyno_Data[[#This Row],[Team]],Dyno_Data[RecordType],"StartMatch",Dyno_Data[Match],Dyno_Data[[#This Row],[Match]]),0)*86400),0)</f>
        <v>0</v>
      </c>
    </row>
    <row r="3299" spans="1:35" x14ac:dyDescent="0.3">
      <c r="A3299">
        <v>3298</v>
      </c>
      <c r="B3299" t="s">
        <v>1295</v>
      </c>
      <c r="C3299">
        <v>60</v>
      </c>
      <c r="D3299" s="105">
        <v>45374.389559409719</v>
      </c>
      <c r="E3299" t="s">
        <v>312</v>
      </c>
      <c r="F3299" t="s">
        <v>1402</v>
      </c>
      <c r="G3299">
        <v>0</v>
      </c>
      <c r="H3299" t="s">
        <v>315</v>
      </c>
      <c r="I3299">
        <v>0</v>
      </c>
      <c r="J3299">
        <v>0</v>
      </c>
      <c r="K3299">
        <v>0</v>
      </c>
      <c r="L3299" t="s">
        <v>241</v>
      </c>
      <c r="M3299" t="s">
        <v>1398</v>
      </c>
      <c r="N3299">
        <v>0</v>
      </c>
      <c r="O3299" t="s">
        <v>319</v>
      </c>
      <c r="P3299" t="s">
        <v>310</v>
      </c>
      <c r="Q3299" t="s">
        <v>310</v>
      </c>
      <c r="R3299" t="s">
        <v>310</v>
      </c>
      <c r="S3299">
        <v>9</v>
      </c>
      <c r="T3299" t="s">
        <v>310</v>
      </c>
      <c r="U3299">
        <v>9</v>
      </c>
      <c r="V3299">
        <v>9</v>
      </c>
      <c r="W3299">
        <v>0</v>
      </c>
      <c r="X3299">
        <v>0</v>
      </c>
      <c r="Y3299">
        <v>0</v>
      </c>
      <c r="Z3299">
        <v>0</v>
      </c>
      <c r="AA3299">
        <v>9</v>
      </c>
      <c r="AB3299">
        <v>9</v>
      </c>
      <c r="AC3299" t="s">
        <v>310</v>
      </c>
      <c r="AD3299">
        <v>9</v>
      </c>
      <c r="AE3299" t="s">
        <v>1394</v>
      </c>
      <c r="AF3299">
        <v>110000000</v>
      </c>
      <c r="AG3299" t="s">
        <v>310</v>
      </c>
      <c r="AH3299">
        <f>SUM((MID(Dyno_Data[[#This Row],[Team]],4,5))+(Dyno_Data[[#This Row],[Match]]/100))</f>
        <v>6300.6</v>
      </c>
      <c r="AI3299" s="76">
        <f>ROUND(SUM(IF(Dyno_Data[[#This Row],[AcqCenter]]&gt;0,Dyno_Data[[#This Row],[Time]]-SUMIFS(Dyno_Data[Time],Dyno_Data[Team],Dyno_Data[[#This Row],[Team]],Dyno_Data[RecordType],"StartMatch",Dyno_Data[Match],Dyno_Data[[#This Row],[Match]]),0)*86400),0)</f>
        <v>0</v>
      </c>
    </row>
    <row r="3300" spans="1:35" x14ac:dyDescent="0.3">
      <c r="A3300">
        <v>3299</v>
      </c>
      <c r="B3300" t="s">
        <v>1317</v>
      </c>
      <c r="C3300">
        <v>60</v>
      </c>
      <c r="D3300" s="105">
        <v>45374.389603854164</v>
      </c>
      <c r="E3300" t="s">
        <v>312</v>
      </c>
      <c r="F3300" t="s">
        <v>1402</v>
      </c>
      <c r="G3300">
        <v>0</v>
      </c>
      <c r="H3300" t="s">
        <v>315</v>
      </c>
      <c r="I3300">
        <v>0</v>
      </c>
      <c r="J3300">
        <v>0</v>
      </c>
      <c r="K3300">
        <v>0</v>
      </c>
      <c r="L3300" t="s">
        <v>240</v>
      </c>
      <c r="M3300" t="s">
        <v>1398</v>
      </c>
      <c r="N3300">
        <v>0</v>
      </c>
      <c r="O3300" t="s">
        <v>1391</v>
      </c>
      <c r="P3300" t="s">
        <v>310</v>
      </c>
      <c r="Q3300" t="s">
        <v>310</v>
      </c>
      <c r="R3300" t="s">
        <v>310</v>
      </c>
      <c r="S3300">
        <v>9</v>
      </c>
      <c r="T3300" t="s">
        <v>310</v>
      </c>
      <c r="U3300">
        <v>9</v>
      </c>
      <c r="V3300">
        <v>9</v>
      </c>
      <c r="W3300">
        <v>0</v>
      </c>
      <c r="X3300">
        <v>0</v>
      </c>
      <c r="Y3300">
        <v>0</v>
      </c>
      <c r="Z3300">
        <v>0</v>
      </c>
      <c r="AA3300">
        <v>9</v>
      </c>
      <c r="AB3300">
        <v>9</v>
      </c>
      <c r="AC3300" t="s">
        <v>310</v>
      </c>
      <c r="AD3300">
        <v>9</v>
      </c>
      <c r="AE3300" t="s">
        <v>1396</v>
      </c>
      <c r="AF3300">
        <v>70000000</v>
      </c>
      <c r="AG3300" t="s">
        <v>310</v>
      </c>
      <c r="AH3300">
        <f>SUM((MID(Dyno_Data[[#This Row],[Team]],4,5))+(Dyno_Data[[#This Row],[Match]]/100))</f>
        <v>296.60000000000002</v>
      </c>
      <c r="AI3300" s="76">
        <f>ROUND(SUM(IF(Dyno_Data[[#This Row],[AcqCenter]]&gt;0,Dyno_Data[[#This Row],[Time]]-SUMIFS(Dyno_Data[Time],Dyno_Data[Team],Dyno_Data[[#This Row],[Team]],Dyno_Data[RecordType],"StartMatch",Dyno_Data[Match],Dyno_Data[[#This Row],[Match]]),0)*86400),0)</f>
        <v>0</v>
      </c>
    </row>
    <row r="3301" spans="1:35" x14ac:dyDescent="0.3">
      <c r="A3301">
        <v>3300</v>
      </c>
      <c r="B3301" t="s">
        <v>1295</v>
      </c>
      <c r="C3301">
        <v>60</v>
      </c>
      <c r="D3301" s="105">
        <v>45374.389720833336</v>
      </c>
      <c r="E3301" t="s">
        <v>312</v>
      </c>
      <c r="F3301" t="s">
        <v>1402</v>
      </c>
      <c r="G3301">
        <v>0</v>
      </c>
      <c r="H3301" t="s">
        <v>315</v>
      </c>
      <c r="I3301">
        <v>0</v>
      </c>
      <c r="J3301">
        <v>0</v>
      </c>
      <c r="K3301">
        <v>0</v>
      </c>
      <c r="L3301" t="s">
        <v>240</v>
      </c>
      <c r="M3301" t="s">
        <v>1398</v>
      </c>
      <c r="N3301">
        <v>0</v>
      </c>
      <c r="O3301" t="s">
        <v>319</v>
      </c>
      <c r="P3301" t="s">
        <v>310</v>
      </c>
      <c r="Q3301" t="s">
        <v>310</v>
      </c>
      <c r="R3301" t="s">
        <v>310</v>
      </c>
      <c r="S3301">
        <v>9</v>
      </c>
      <c r="T3301" t="s">
        <v>310</v>
      </c>
      <c r="U3301">
        <v>9</v>
      </c>
      <c r="V3301">
        <v>9</v>
      </c>
      <c r="W3301">
        <v>0</v>
      </c>
      <c r="X3301">
        <v>0</v>
      </c>
      <c r="Y3301">
        <v>0</v>
      </c>
      <c r="Z3301">
        <v>0</v>
      </c>
      <c r="AA3301">
        <v>9</v>
      </c>
      <c r="AB3301">
        <v>9</v>
      </c>
      <c r="AC3301" t="s">
        <v>310</v>
      </c>
      <c r="AD3301">
        <v>9</v>
      </c>
      <c r="AE3301" t="s">
        <v>1394</v>
      </c>
      <c r="AF3301">
        <v>120000000</v>
      </c>
      <c r="AG3301" t="s">
        <v>310</v>
      </c>
      <c r="AH3301">
        <f>SUM((MID(Dyno_Data[[#This Row],[Team]],4,5))+(Dyno_Data[[#This Row],[Match]]/100))</f>
        <v>6300.6</v>
      </c>
      <c r="AI3301" s="76">
        <f>ROUND(SUM(IF(Dyno_Data[[#This Row],[AcqCenter]]&gt;0,Dyno_Data[[#This Row],[Time]]-SUMIFS(Dyno_Data[Time],Dyno_Data[Team],Dyno_Data[[#This Row],[Team]],Dyno_Data[RecordType],"StartMatch",Dyno_Data[Match],Dyno_Data[[#This Row],[Match]]),0)*86400),0)</f>
        <v>0</v>
      </c>
    </row>
    <row r="3302" spans="1:35" x14ac:dyDescent="0.3">
      <c r="A3302">
        <v>3301</v>
      </c>
      <c r="B3302" t="s">
        <v>1301</v>
      </c>
      <c r="C3302">
        <v>60</v>
      </c>
      <c r="D3302" s="105">
        <v>45374.389866319441</v>
      </c>
      <c r="E3302" t="s">
        <v>1403</v>
      </c>
      <c r="F3302" t="s">
        <v>317</v>
      </c>
      <c r="G3302">
        <v>0</v>
      </c>
      <c r="H3302" t="s">
        <v>310</v>
      </c>
      <c r="I3302">
        <v>0</v>
      </c>
      <c r="J3302">
        <v>0</v>
      </c>
      <c r="K3302">
        <v>0</v>
      </c>
      <c r="L3302" t="s">
        <v>310</v>
      </c>
      <c r="M3302" t="s">
        <v>310</v>
      </c>
      <c r="N3302">
        <v>0</v>
      </c>
      <c r="O3302" t="s">
        <v>1389</v>
      </c>
      <c r="P3302" t="s">
        <v>310</v>
      </c>
      <c r="Q3302" t="s">
        <v>310</v>
      </c>
      <c r="R3302" t="s">
        <v>310</v>
      </c>
      <c r="S3302">
        <v>9</v>
      </c>
      <c r="T3302" t="s">
        <v>310</v>
      </c>
      <c r="U3302">
        <v>9</v>
      </c>
      <c r="V3302">
        <v>9</v>
      </c>
      <c r="W3302">
        <v>0</v>
      </c>
      <c r="X3302">
        <v>0</v>
      </c>
      <c r="Y3302">
        <v>0</v>
      </c>
      <c r="Z3302">
        <v>0</v>
      </c>
      <c r="AA3302">
        <v>9</v>
      </c>
      <c r="AB3302">
        <v>9</v>
      </c>
      <c r="AC3302" t="s">
        <v>310</v>
      </c>
      <c r="AD3302">
        <v>9</v>
      </c>
      <c r="AE3302" t="s">
        <v>1392</v>
      </c>
      <c r="AF3302">
        <v>120000000</v>
      </c>
      <c r="AG3302" t="s">
        <v>251</v>
      </c>
      <c r="AH3302">
        <f>SUM((MID(Dyno_Data[[#This Row],[Team]],4,5))+(Dyno_Data[[#This Row],[Match]]/100))</f>
        <v>7031.6</v>
      </c>
      <c r="AI3302" s="76">
        <f>ROUND(SUM(IF(Dyno_Data[[#This Row],[AcqCenter]]&gt;0,Dyno_Data[[#This Row],[Time]]-SUMIFS(Dyno_Data[Time],Dyno_Data[Team],Dyno_Data[[#This Row],[Team]],Dyno_Data[RecordType],"StartMatch",Dyno_Data[Match],Dyno_Data[[#This Row],[Match]]),0)*86400),0)</f>
        <v>0</v>
      </c>
    </row>
    <row r="3303" spans="1:35" x14ac:dyDescent="0.3">
      <c r="A3303">
        <v>3302</v>
      </c>
      <c r="B3303" t="s">
        <v>1306</v>
      </c>
      <c r="C3303">
        <v>60</v>
      </c>
      <c r="D3303" s="105">
        <v>45374.391679398148</v>
      </c>
      <c r="E3303" t="s">
        <v>316</v>
      </c>
      <c r="F3303" t="s">
        <v>317</v>
      </c>
      <c r="G3303">
        <v>0</v>
      </c>
      <c r="H3303" t="s">
        <v>310</v>
      </c>
      <c r="I3303">
        <v>0</v>
      </c>
      <c r="J3303">
        <v>0</v>
      </c>
      <c r="K3303">
        <v>0</v>
      </c>
      <c r="L3303" t="s">
        <v>310</v>
      </c>
      <c r="M3303" t="s">
        <v>310</v>
      </c>
      <c r="N3303">
        <v>0</v>
      </c>
      <c r="O3303" t="s">
        <v>311</v>
      </c>
      <c r="P3303" t="s">
        <v>320</v>
      </c>
      <c r="Q3303" t="s">
        <v>1399</v>
      </c>
      <c r="R3303" t="s">
        <v>1404</v>
      </c>
      <c r="S3303">
        <v>-1</v>
      </c>
      <c r="T3303" t="s">
        <v>105</v>
      </c>
      <c r="U3303">
        <v>9</v>
      </c>
      <c r="V3303">
        <v>9</v>
      </c>
      <c r="W3303">
        <v>16.8695533</v>
      </c>
      <c r="X3303">
        <v>31.7638575</v>
      </c>
      <c r="Y3303">
        <v>20.534724000000001</v>
      </c>
      <c r="Z3303">
        <v>65.748240299999992</v>
      </c>
      <c r="AA3303">
        <v>0</v>
      </c>
      <c r="AB3303">
        <v>2</v>
      </c>
      <c r="AC3303" t="s">
        <v>174</v>
      </c>
      <c r="AD3303">
        <v>0</v>
      </c>
      <c r="AE3303" t="s">
        <v>1388</v>
      </c>
      <c r="AF3303">
        <v>90000000</v>
      </c>
      <c r="AG3303" t="s">
        <v>310</v>
      </c>
      <c r="AH3303">
        <f>SUM((MID(Dyno_Data[[#This Row],[Team]],4,5))+(Dyno_Data[[#This Row],[Match]]/100))</f>
        <v>3986.6</v>
      </c>
      <c r="AI3303" s="76">
        <f>ROUND(SUM(IF(Dyno_Data[[#This Row],[AcqCenter]]&gt;0,Dyno_Data[[#This Row],[Time]]-SUMIFS(Dyno_Data[Time],Dyno_Data[Team],Dyno_Data[[#This Row],[Team]],Dyno_Data[RecordType],"StartMatch",Dyno_Data[Match],Dyno_Data[[#This Row],[Match]]),0)*86400),0)</f>
        <v>0</v>
      </c>
    </row>
    <row r="3304" spans="1:35" x14ac:dyDescent="0.3">
      <c r="A3304">
        <v>3303</v>
      </c>
      <c r="B3304" t="s">
        <v>1317</v>
      </c>
      <c r="C3304">
        <v>60</v>
      </c>
      <c r="D3304" s="105">
        <v>45374.391679594904</v>
      </c>
      <c r="E3304" t="s">
        <v>316</v>
      </c>
      <c r="F3304" t="s">
        <v>317</v>
      </c>
      <c r="G3304">
        <v>1</v>
      </c>
      <c r="H3304" t="s">
        <v>310</v>
      </c>
      <c r="I3304">
        <v>0</v>
      </c>
      <c r="J3304">
        <v>0</v>
      </c>
      <c r="K3304">
        <v>0</v>
      </c>
      <c r="L3304" t="s">
        <v>310</v>
      </c>
      <c r="M3304" t="s">
        <v>310</v>
      </c>
      <c r="N3304">
        <v>0</v>
      </c>
      <c r="O3304" t="s">
        <v>1391</v>
      </c>
      <c r="P3304" t="s">
        <v>240</v>
      </c>
      <c r="Q3304" t="s">
        <v>1400</v>
      </c>
      <c r="R3304" t="s">
        <v>1405</v>
      </c>
      <c r="S3304">
        <v>1</v>
      </c>
      <c r="T3304" t="s">
        <v>1407</v>
      </c>
      <c r="U3304">
        <v>0</v>
      </c>
      <c r="V3304">
        <v>0</v>
      </c>
      <c r="W3304">
        <v>8.8911470000000001</v>
      </c>
      <c r="X3304">
        <v>49.699808599999997</v>
      </c>
      <c r="Y3304">
        <v>20.243685299999999</v>
      </c>
      <c r="Z3304">
        <v>54.852237299999999</v>
      </c>
      <c r="AA3304">
        <v>0</v>
      </c>
      <c r="AB3304">
        <v>1</v>
      </c>
      <c r="AC3304" t="s">
        <v>174</v>
      </c>
      <c r="AD3304">
        <v>9</v>
      </c>
      <c r="AE3304" t="s">
        <v>1396</v>
      </c>
      <c r="AF3304">
        <v>70000000</v>
      </c>
      <c r="AG3304" t="s">
        <v>310</v>
      </c>
      <c r="AH3304">
        <f>SUM((MID(Dyno_Data[[#This Row],[Team]],4,5))+(Dyno_Data[[#This Row],[Match]]/100))</f>
        <v>296.60000000000002</v>
      </c>
      <c r="AI3304" s="76">
        <f>ROUND(SUM(IF(Dyno_Data[[#This Row],[AcqCenter]]&gt;0,Dyno_Data[[#This Row],[Time]]-SUMIFS(Dyno_Data[Time],Dyno_Data[Team],Dyno_Data[[#This Row],[Team]],Dyno_Data[RecordType],"StartMatch",Dyno_Data[Match],Dyno_Data[[#This Row],[Match]]),0)*86400),0)</f>
        <v>0</v>
      </c>
    </row>
    <row r="3305" spans="1:35" x14ac:dyDescent="0.3">
      <c r="A3305">
        <v>3304</v>
      </c>
      <c r="B3305" t="s">
        <v>1295</v>
      </c>
      <c r="C3305">
        <v>60</v>
      </c>
      <c r="D3305" s="105">
        <v>45374.391679780092</v>
      </c>
      <c r="E3305" t="s">
        <v>316</v>
      </c>
      <c r="F3305" t="s">
        <v>317</v>
      </c>
      <c r="G3305">
        <v>1</v>
      </c>
      <c r="H3305" t="s">
        <v>310</v>
      </c>
      <c r="I3305">
        <v>0</v>
      </c>
      <c r="J3305">
        <v>0</v>
      </c>
      <c r="K3305">
        <v>0</v>
      </c>
      <c r="L3305" t="s">
        <v>310</v>
      </c>
      <c r="M3305" t="s">
        <v>310</v>
      </c>
      <c r="N3305">
        <v>0</v>
      </c>
      <c r="O3305" t="s">
        <v>319</v>
      </c>
      <c r="P3305" t="s">
        <v>1401</v>
      </c>
      <c r="Q3305" t="s">
        <v>1400</v>
      </c>
      <c r="R3305" t="s">
        <v>1404</v>
      </c>
      <c r="S3305">
        <v>-1</v>
      </c>
      <c r="T3305" t="s">
        <v>105</v>
      </c>
      <c r="U3305">
        <v>9</v>
      </c>
      <c r="V3305">
        <v>9</v>
      </c>
      <c r="W3305">
        <v>3.5688410999999998</v>
      </c>
      <c r="X3305">
        <v>36.058241299999999</v>
      </c>
      <c r="Y3305">
        <v>25.9449398</v>
      </c>
      <c r="Z3305">
        <v>71.291944099999995</v>
      </c>
      <c r="AA3305">
        <v>0</v>
      </c>
      <c r="AB3305">
        <v>0</v>
      </c>
      <c r="AC3305" t="s">
        <v>174</v>
      </c>
      <c r="AD3305">
        <v>9</v>
      </c>
      <c r="AE3305" t="s">
        <v>1394</v>
      </c>
      <c r="AF3305">
        <v>120000000</v>
      </c>
      <c r="AG3305" t="s">
        <v>310</v>
      </c>
      <c r="AH3305">
        <f>SUM((MID(Dyno_Data[[#This Row],[Team]],4,5))+(Dyno_Data[[#This Row],[Match]]/100))</f>
        <v>6300.6</v>
      </c>
      <c r="AI3305" s="76">
        <f>ROUND(SUM(IF(Dyno_Data[[#This Row],[AcqCenter]]&gt;0,Dyno_Data[[#This Row],[Time]]-SUMIFS(Dyno_Data[Time],Dyno_Data[Team],Dyno_Data[[#This Row],[Team]],Dyno_Data[RecordType],"StartMatch",Dyno_Data[Match],Dyno_Data[[#This Row],[Match]]),0)*86400),0)</f>
        <v>0</v>
      </c>
    </row>
    <row r="3306" spans="1:35" x14ac:dyDescent="0.3">
      <c r="A3306">
        <v>3305</v>
      </c>
      <c r="B3306" t="s">
        <v>1310</v>
      </c>
      <c r="C3306">
        <v>60</v>
      </c>
      <c r="D3306" s="105">
        <v>45374.391679780092</v>
      </c>
      <c r="E3306" t="s">
        <v>316</v>
      </c>
      <c r="F3306" t="s">
        <v>317</v>
      </c>
      <c r="G3306">
        <v>1</v>
      </c>
      <c r="H3306" t="s">
        <v>310</v>
      </c>
      <c r="I3306">
        <v>0</v>
      </c>
      <c r="J3306">
        <v>0</v>
      </c>
      <c r="K3306">
        <v>0</v>
      </c>
      <c r="L3306" t="s">
        <v>310</v>
      </c>
      <c r="M3306" t="s">
        <v>310</v>
      </c>
      <c r="N3306">
        <v>0</v>
      </c>
      <c r="O3306" t="s">
        <v>1393</v>
      </c>
      <c r="P3306" t="s">
        <v>101</v>
      </c>
      <c r="Q3306" t="s">
        <v>1399</v>
      </c>
      <c r="R3306" t="s">
        <v>1405</v>
      </c>
      <c r="S3306">
        <v>1</v>
      </c>
      <c r="T3306" t="s">
        <v>1406</v>
      </c>
      <c r="U3306">
        <v>0</v>
      </c>
      <c r="V3306">
        <v>0</v>
      </c>
      <c r="W3306">
        <v>14.286563999999998</v>
      </c>
      <c r="X3306">
        <v>0</v>
      </c>
      <c r="Y3306">
        <v>44.643958900000001</v>
      </c>
      <c r="Z3306">
        <v>74.136611399999992</v>
      </c>
      <c r="AA3306">
        <v>3</v>
      </c>
      <c r="AB3306">
        <v>0</v>
      </c>
      <c r="AC3306" t="s">
        <v>170</v>
      </c>
      <c r="AD3306">
        <v>1</v>
      </c>
      <c r="AE3306" t="s">
        <v>1390</v>
      </c>
      <c r="AF3306">
        <v>0</v>
      </c>
      <c r="AG3306" t="s">
        <v>310</v>
      </c>
      <c r="AH3306">
        <f>SUM((MID(Dyno_Data[[#This Row],[Team]],4,5))+(Dyno_Data[[#This Row],[Match]]/100))</f>
        <v>6621.6</v>
      </c>
      <c r="AI3306" s="76">
        <f>ROUND(SUM(IF(Dyno_Data[[#This Row],[AcqCenter]]&gt;0,Dyno_Data[[#This Row],[Time]]-SUMIFS(Dyno_Data[Time],Dyno_Data[Team],Dyno_Data[[#This Row],[Team]],Dyno_Data[RecordType],"StartMatch",Dyno_Data[Match],Dyno_Data[[#This Row],[Match]]),0)*86400),0)</f>
        <v>0</v>
      </c>
    </row>
    <row r="3307" spans="1:35" x14ac:dyDescent="0.3">
      <c r="A3307">
        <v>3306</v>
      </c>
      <c r="B3307" t="s">
        <v>1301</v>
      </c>
      <c r="C3307">
        <v>60</v>
      </c>
      <c r="D3307" s="105">
        <v>45374.391679942128</v>
      </c>
      <c r="E3307" t="s">
        <v>316</v>
      </c>
      <c r="F3307" t="s">
        <v>317</v>
      </c>
      <c r="G3307">
        <v>0</v>
      </c>
      <c r="H3307" t="s">
        <v>310</v>
      </c>
      <c r="I3307">
        <v>0</v>
      </c>
      <c r="J3307">
        <v>0</v>
      </c>
      <c r="K3307">
        <v>0</v>
      </c>
      <c r="L3307" t="s">
        <v>310</v>
      </c>
      <c r="M3307" t="s">
        <v>310</v>
      </c>
      <c r="N3307">
        <v>0</v>
      </c>
      <c r="O3307" t="s">
        <v>1389</v>
      </c>
      <c r="P3307" t="s">
        <v>320</v>
      </c>
      <c r="Q3307" t="s">
        <v>1400</v>
      </c>
      <c r="R3307" t="s">
        <v>1404</v>
      </c>
      <c r="S3307">
        <v>0</v>
      </c>
      <c r="T3307" t="s">
        <v>105</v>
      </c>
      <c r="U3307">
        <v>9</v>
      </c>
      <c r="V3307">
        <v>9</v>
      </c>
      <c r="W3307">
        <v>0</v>
      </c>
      <c r="X3307">
        <v>26.930705699999997</v>
      </c>
      <c r="Y3307">
        <v>33.487005099999998</v>
      </c>
      <c r="Z3307">
        <v>70.206314699999993</v>
      </c>
      <c r="AA3307">
        <v>0</v>
      </c>
      <c r="AB3307">
        <v>0</v>
      </c>
      <c r="AC3307" t="s">
        <v>174</v>
      </c>
      <c r="AD3307">
        <v>9</v>
      </c>
      <c r="AE3307" t="s">
        <v>1392</v>
      </c>
      <c r="AF3307">
        <v>0</v>
      </c>
      <c r="AG3307" t="s">
        <v>310</v>
      </c>
      <c r="AH3307">
        <f>SUM((MID(Dyno_Data[[#This Row],[Team]],4,5))+(Dyno_Data[[#This Row],[Match]]/100))</f>
        <v>7031.6</v>
      </c>
      <c r="AI3307" s="76">
        <f>ROUND(SUM(IF(Dyno_Data[[#This Row],[AcqCenter]]&gt;0,Dyno_Data[[#This Row],[Time]]-SUMIFS(Dyno_Data[Time],Dyno_Data[Team],Dyno_Data[[#This Row],[Team]],Dyno_Data[RecordType],"StartMatch",Dyno_Data[Match],Dyno_Data[[#This Row],[Match]]),0)*86400),0)</f>
        <v>0</v>
      </c>
    </row>
    <row r="3308" spans="1:35" x14ac:dyDescent="0.3">
      <c r="A3308">
        <v>3307</v>
      </c>
      <c r="B3308" t="s">
        <v>370</v>
      </c>
      <c r="C3308">
        <v>60</v>
      </c>
      <c r="D3308" s="105">
        <v>45374.391679942128</v>
      </c>
      <c r="E3308" t="s">
        <v>316</v>
      </c>
      <c r="F3308" t="s">
        <v>317</v>
      </c>
      <c r="G3308">
        <v>1</v>
      </c>
      <c r="H3308" t="s">
        <v>310</v>
      </c>
      <c r="I3308">
        <v>0</v>
      </c>
      <c r="J3308">
        <v>0</v>
      </c>
      <c r="K3308">
        <v>0</v>
      </c>
      <c r="L3308" t="s">
        <v>310</v>
      </c>
      <c r="M3308" t="s">
        <v>310</v>
      </c>
      <c r="N3308">
        <v>0</v>
      </c>
      <c r="O3308" t="s">
        <v>1395</v>
      </c>
      <c r="P3308" t="s">
        <v>1401</v>
      </c>
      <c r="Q3308" t="s">
        <v>1400</v>
      </c>
      <c r="R3308" t="s">
        <v>1404</v>
      </c>
      <c r="S3308">
        <v>-1</v>
      </c>
      <c r="T3308" t="s">
        <v>105</v>
      </c>
      <c r="U3308">
        <v>9</v>
      </c>
      <c r="V3308">
        <v>9</v>
      </c>
      <c r="W3308">
        <v>12.336155699999999</v>
      </c>
      <c r="X3308">
        <v>34.566149500000002</v>
      </c>
      <c r="Y3308">
        <v>21.6985335</v>
      </c>
      <c r="Z3308">
        <v>68.383692799999992</v>
      </c>
      <c r="AA3308">
        <v>0</v>
      </c>
      <c r="AB3308">
        <v>0</v>
      </c>
      <c r="AC3308" t="s">
        <v>174</v>
      </c>
      <c r="AD3308">
        <v>9</v>
      </c>
      <c r="AE3308" t="s">
        <v>1387</v>
      </c>
      <c r="AF3308">
        <v>110000000</v>
      </c>
      <c r="AG3308" t="s">
        <v>310</v>
      </c>
      <c r="AH3308">
        <f>SUM((MID(Dyno_Data[[#This Row],[Team]],4,5))+(Dyno_Data[[#This Row],[Match]]/100))</f>
        <v>6911.6</v>
      </c>
      <c r="AI3308" s="76">
        <f>ROUND(SUM(IF(Dyno_Data[[#This Row],[AcqCenter]]&gt;0,Dyno_Data[[#This Row],[Time]]-SUMIFS(Dyno_Data[Time],Dyno_Data[Team],Dyno_Data[[#This Row],[Team]],Dyno_Data[RecordType],"StartMatch",Dyno_Data[Match],Dyno_Data[[#This Row],[Match]]),0)*86400),0)</f>
        <v>0</v>
      </c>
    </row>
    <row r="3309" spans="1:35" x14ac:dyDescent="0.3">
      <c r="A3309">
        <v>3316</v>
      </c>
      <c r="B3309" t="s">
        <v>373</v>
      </c>
      <c r="C3309">
        <v>61</v>
      </c>
      <c r="D3309" s="105">
        <v>45374.394570335651</v>
      </c>
      <c r="E3309" t="s">
        <v>308</v>
      </c>
      <c r="F3309" t="s">
        <v>309</v>
      </c>
      <c r="G3309">
        <v>0</v>
      </c>
      <c r="H3309" t="s">
        <v>310</v>
      </c>
      <c r="I3309">
        <v>0</v>
      </c>
      <c r="J3309">
        <v>0</v>
      </c>
      <c r="K3309">
        <v>0</v>
      </c>
      <c r="L3309" t="s">
        <v>310</v>
      </c>
      <c r="M3309" t="s">
        <v>310</v>
      </c>
      <c r="N3309">
        <v>0</v>
      </c>
      <c r="O3309" t="s">
        <v>1389</v>
      </c>
      <c r="P3309" t="s">
        <v>310</v>
      </c>
      <c r="Q3309" t="s">
        <v>310</v>
      </c>
      <c r="R3309" t="s">
        <v>310</v>
      </c>
      <c r="S3309">
        <v>9</v>
      </c>
      <c r="T3309" t="s">
        <v>310</v>
      </c>
      <c r="U3309">
        <v>9</v>
      </c>
      <c r="V3309">
        <v>9</v>
      </c>
      <c r="W3309">
        <v>0</v>
      </c>
      <c r="X3309">
        <v>0</v>
      </c>
      <c r="Y3309">
        <v>0</v>
      </c>
      <c r="Z3309">
        <v>0</v>
      </c>
      <c r="AA3309">
        <v>9</v>
      </c>
      <c r="AB3309">
        <v>9</v>
      </c>
      <c r="AC3309" t="s">
        <v>310</v>
      </c>
      <c r="AD3309">
        <v>9</v>
      </c>
      <c r="AE3309" t="s">
        <v>1392</v>
      </c>
      <c r="AF3309">
        <v>0</v>
      </c>
      <c r="AG3309" t="s">
        <v>310</v>
      </c>
      <c r="AH3309">
        <f>SUM((MID(Dyno_Data[[#This Row],[Team]],4,5))+(Dyno_Data[[#This Row],[Match]]/100))</f>
        <v>7718.61</v>
      </c>
      <c r="AI3309" s="76">
        <f>ROUND(SUM(IF(Dyno_Data[[#This Row],[AcqCenter]]&gt;0,Dyno_Data[[#This Row],[Time]]-SUMIFS(Dyno_Data[Time],Dyno_Data[Team],Dyno_Data[[#This Row],[Team]],Dyno_Data[RecordType],"StartMatch",Dyno_Data[Match],Dyno_Data[[#This Row],[Match]]),0)*86400),0)</f>
        <v>0</v>
      </c>
    </row>
    <row r="3310" spans="1:35" x14ac:dyDescent="0.3">
      <c r="A3310">
        <v>3318</v>
      </c>
      <c r="B3310" t="s">
        <v>1276</v>
      </c>
      <c r="C3310">
        <v>61</v>
      </c>
      <c r="D3310" s="105">
        <v>45374.394570335651</v>
      </c>
      <c r="E3310" t="s">
        <v>308</v>
      </c>
      <c r="F3310" t="s">
        <v>309</v>
      </c>
      <c r="G3310">
        <v>0</v>
      </c>
      <c r="H3310" t="s">
        <v>310</v>
      </c>
      <c r="I3310">
        <v>0</v>
      </c>
      <c r="J3310">
        <v>0</v>
      </c>
      <c r="K3310">
        <v>0</v>
      </c>
      <c r="L3310" t="s">
        <v>310</v>
      </c>
      <c r="M3310" t="s">
        <v>310</v>
      </c>
      <c r="N3310">
        <v>0</v>
      </c>
      <c r="O3310" t="s">
        <v>1395</v>
      </c>
      <c r="P3310" t="s">
        <v>310</v>
      </c>
      <c r="Q3310" t="s">
        <v>310</v>
      </c>
      <c r="R3310" t="s">
        <v>310</v>
      </c>
      <c r="S3310">
        <v>9</v>
      </c>
      <c r="T3310" t="s">
        <v>310</v>
      </c>
      <c r="U3310">
        <v>9</v>
      </c>
      <c r="V3310">
        <v>9</v>
      </c>
      <c r="W3310">
        <v>0</v>
      </c>
      <c r="X3310">
        <v>0</v>
      </c>
      <c r="Y3310">
        <v>0</v>
      </c>
      <c r="Z3310">
        <v>0</v>
      </c>
      <c r="AA3310">
        <v>9</v>
      </c>
      <c r="AB3310">
        <v>9</v>
      </c>
      <c r="AC3310" t="s">
        <v>310</v>
      </c>
      <c r="AD3310">
        <v>9</v>
      </c>
      <c r="AE3310" t="s">
        <v>1387</v>
      </c>
      <c r="AF3310">
        <v>0</v>
      </c>
      <c r="AG3310" t="s">
        <v>310</v>
      </c>
      <c r="AH3310">
        <f>SUM((MID(Dyno_Data[[#This Row],[Team]],4,5))+(Dyno_Data[[#This Row],[Match]]/100))</f>
        <v>229.61</v>
      </c>
      <c r="AI3310" s="76">
        <f>ROUND(SUM(IF(Dyno_Data[[#This Row],[AcqCenter]]&gt;0,Dyno_Data[[#This Row],[Time]]-SUMIFS(Dyno_Data[Time],Dyno_Data[Team],Dyno_Data[[#This Row],[Team]],Dyno_Data[RecordType],"StartMatch",Dyno_Data[Match],Dyno_Data[[#This Row],[Match]]),0)*86400),0)</f>
        <v>0</v>
      </c>
    </row>
    <row r="3311" spans="1:35" x14ac:dyDescent="0.3">
      <c r="A3311">
        <v>3320</v>
      </c>
      <c r="B3311" t="s">
        <v>369</v>
      </c>
      <c r="C3311">
        <v>61</v>
      </c>
      <c r="D3311" s="105">
        <v>45374.394573923608</v>
      </c>
      <c r="E3311" t="s">
        <v>308</v>
      </c>
      <c r="F3311" t="s">
        <v>309</v>
      </c>
      <c r="G3311">
        <v>0</v>
      </c>
      <c r="H3311" t="s">
        <v>310</v>
      </c>
      <c r="I3311">
        <v>0</v>
      </c>
      <c r="J3311">
        <v>0</v>
      </c>
      <c r="K3311">
        <v>0</v>
      </c>
      <c r="L3311" t="s">
        <v>310</v>
      </c>
      <c r="M3311" t="s">
        <v>310</v>
      </c>
      <c r="N3311">
        <v>0</v>
      </c>
      <c r="O3311" t="s">
        <v>311</v>
      </c>
      <c r="P3311" t="s">
        <v>310</v>
      </c>
      <c r="Q3311" t="s">
        <v>310</v>
      </c>
      <c r="R3311" t="s">
        <v>310</v>
      </c>
      <c r="S3311">
        <v>9</v>
      </c>
      <c r="T3311" t="s">
        <v>310</v>
      </c>
      <c r="U3311">
        <v>9</v>
      </c>
      <c r="V3311">
        <v>9</v>
      </c>
      <c r="W3311">
        <v>0</v>
      </c>
      <c r="X3311">
        <v>0</v>
      </c>
      <c r="Y3311">
        <v>0</v>
      </c>
      <c r="Z3311">
        <v>0</v>
      </c>
      <c r="AA3311">
        <v>9</v>
      </c>
      <c r="AB3311">
        <v>9</v>
      </c>
      <c r="AC3311" t="s">
        <v>310</v>
      </c>
      <c r="AD3311">
        <v>9</v>
      </c>
      <c r="AE3311" t="s">
        <v>1388</v>
      </c>
      <c r="AF3311">
        <v>0</v>
      </c>
      <c r="AG3311" t="s">
        <v>310</v>
      </c>
      <c r="AH3311">
        <f>SUM((MID(Dyno_Data[[#This Row],[Team]],4,5))+(Dyno_Data[[#This Row],[Match]]/100))</f>
        <v>6463.61</v>
      </c>
      <c r="AI3311" s="76">
        <f>ROUND(SUM(IF(Dyno_Data[[#This Row],[AcqCenter]]&gt;0,Dyno_Data[[#This Row],[Time]]-SUMIFS(Dyno_Data[Time],Dyno_Data[Team],Dyno_Data[[#This Row],[Team]],Dyno_Data[RecordType],"StartMatch",Dyno_Data[Match],Dyno_Data[[#This Row],[Match]]),0)*86400),0)</f>
        <v>0</v>
      </c>
    </row>
    <row r="3312" spans="1:35" x14ac:dyDescent="0.3">
      <c r="A3312">
        <v>3322</v>
      </c>
      <c r="B3312" t="s">
        <v>371</v>
      </c>
      <c r="C3312">
        <v>61</v>
      </c>
      <c r="D3312" s="105">
        <v>45374.394579826389</v>
      </c>
      <c r="E3312" t="s">
        <v>308</v>
      </c>
      <c r="F3312" t="s">
        <v>309</v>
      </c>
      <c r="G3312">
        <v>0</v>
      </c>
      <c r="H3312" t="s">
        <v>310</v>
      </c>
      <c r="I3312">
        <v>0</v>
      </c>
      <c r="J3312">
        <v>0</v>
      </c>
      <c r="K3312">
        <v>0</v>
      </c>
      <c r="L3312" t="s">
        <v>310</v>
      </c>
      <c r="M3312" t="s">
        <v>310</v>
      </c>
      <c r="N3312">
        <v>0</v>
      </c>
      <c r="O3312" t="s">
        <v>1391</v>
      </c>
      <c r="P3312" t="s">
        <v>310</v>
      </c>
      <c r="Q3312" t="s">
        <v>310</v>
      </c>
      <c r="R3312" t="s">
        <v>310</v>
      </c>
      <c r="S3312">
        <v>9</v>
      </c>
      <c r="T3312" t="s">
        <v>310</v>
      </c>
      <c r="U3312">
        <v>9</v>
      </c>
      <c r="V3312">
        <v>9</v>
      </c>
      <c r="W3312">
        <v>0</v>
      </c>
      <c r="X3312">
        <v>0</v>
      </c>
      <c r="Y3312">
        <v>0</v>
      </c>
      <c r="Z3312">
        <v>0</v>
      </c>
      <c r="AA3312">
        <v>9</v>
      </c>
      <c r="AB3312">
        <v>9</v>
      </c>
      <c r="AC3312" t="s">
        <v>310</v>
      </c>
      <c r="AD3312">
        <v>9</v>
      </c>
      <c r="AE3312" t="s">
        <v>1396</v>
      </c>
      <c r="AF3312">
        <v>0</v>
      </c>
      <c r="AG3312" t="s">
        <v>310</v>
      </c>
      <c r="AH3312">
        <f>SUM((MID(Dyno_Data[[#This Row],[Team]],4,5))+(Dyno_Data[[#This Row],[Match]]/100))</f>
        <v>6969.61</v>
      </c>
      <c r="AI3312" s="76">
        <f>ROUND(SUM(IF(Dyno_Data[[#This Row],[AcqCenter]]&gt;0,Dyno_Data[[#This Row],[Time]]-SUMIFS(Dyno_Data[Time],Dyno_Data[Team],Dyno_Data[[#This Row],[Team]],Dyno_Data[RecordType],"StartMatch",Dyno_Data[Match],Dyno_Data[[#This Row],[Match]]),0)*86400),0)</f>
        <v>0</v>
      </c>
    </row>
    <row r="3313" spans="1:35" x14ac:dyDescent="0.3">
      <c r="A3313">
        <v>3324</v>
      </c>
      <c r="B3313" t="s">
        <v>1305</v>
      </c>
      <c r="C3313">
        <v>61</v>
      </c>
      <c r="D3313" s="105">
        <v>45374.394581250002</v>
      </c>
      <c r="E3313" t="s">
        <v>308</v>
      </c>
      <c r="F3313" t="s">
        <v>309</v>
      </c>
      <c r="G3313">
        <v>0</v>
      </c>
      <c r="H3313" t="s">
        <v>310</v>
      </c>
      <c r="I3313">
        <v>0</v>
      </c>
      <c r="J3313">
        <v>0</v>
      </c>
      <c r="K3313">
        <v>0</v>
      </c>
      <c r="L3313" t="s">
        <v>310</v>
      </c>
      <c r="M3313" t="s">
        <v>310</v>
      </c>
      <c r="N3313">
        <v>0</v>
      </c>
      <c r="O3313" t="s">
        <v>319</v>
      </c>
      <c r="P3313" t="s">
        <v>310</v>
      </c>
      <c r="Q3313" t="s">
        <v>310</v>
      </c>
      <c r="R3313" t="s">
        <v>310</v>
      </c>
      <c r="S3313">
        <v>9</v>
      </c>
      <c r="T3313" t="s">
        <v>310</v>
      </c>
      <c r="U3313">
        <v>9</v>
      </c>
      <c r="V3313">
        <v>9</v>
      </c>
      <c r="W3313">
        <v>0</v>
      </c>
      <c r="X3313">
        <v>0</v>
      </c>
      <c r="Y3313">
        <v>0</v>
      </c>
      <c r="Z3313">
        <v>0</v>
      </c>
      <c r="AA3313">
        <v>9</v>
      </c>
      <c r="AB3313">
        <v>9</v>
      </c>
      <c r="AC3313" t="s">
        <v>310</v>
      </c>
      <c r="AD3313">
        <v>9</v>
      </c>
      <c r="AE3313" t="s">
        <v>1394</v>
      </c>
      <c r="AF3313">
        <v>10000000</v>
      </c>
      <c r="AG3313" t="s">
        <v>310</v>
      </c>
      <c r="AH3313">
        <f>SUM((MID(Dyno_Data[[#This Row],[Team]],4,5))+(Dyno_Data[[#This Row],[Match]]/100))</f>
        <v>3173.61</v>
      </c>
      <c r="AI3313" s="76">
        <f>ROUND(SUM(IF(Dyno_Data[[#This Row],[AcqCenter]]&gt;0,Dyno_Data[[#This Row],[Time]]-SUMIFS(Dyno_Data[Time],Dyno_Data[Team],Dyno_Data[[#This Row],[Team]],Dyno_Data[RecordType],"StartMatch",Dyno_Data[Match],Dyno_Data[[#This Row],[Match]]),0)*86400),0)</f>
        <v>0</v>
      </c>
    </row>
    <row r="3314" spans="1:35" x14ac:dyDescent="0.3">
      <c r="A3314">
        <v>3308</v>
      </c>
      <c r="B3314" t="s">
        <v>1291</v>
      </c>
      <c r="C3314">
        <v>61</v>
      </c>
      <c r="D3314" s="105">
        <v>45374.394583449073</v>
      </c>
      <c r="E3314" t="s">
        <v>312</v>
      </c>
      <c r="F3314" t="s">
        <v>309</v>
      </c>
      <c r="G3314">
        <v>0</v>
      </c>
      <c r="H3314" t="s">
        <v>1397</v>
      </c>
      <c r="I3314">
        <v>0</v>
      </c>
      <c r="J3314">
        <v>0</v>
      </c>
      <c r="K3314">
        <v>0</v>
      </c>
      <c r="L3314" t="s">
        <v>240</v>
      </c>
      <c r="M3314" t="s">
        <v>1398</v>
      </c>
      <c r="N3314">
        <v>0</v>
      </c>
      <c r="O3314" t="s">
        <v>1393</v>
      </c>
      <c r="P3314" t="s">
        <v>310</v>
      </c>
      <c r="Q3314" t="s">
        <v>310</v>
      </c>
      <c r="R3314" t="s">
        <v>310</v>
      </c>
      <c r="S3314">
        <v>9</v>
      </c>
      <c r="T3314" t="s">
        <v>310</v>
      </c>
      <c r="U3314">
        <v>9</v>
      </c>
      <c r="V3314">
        <v>9</v>
      </c>
      <c r="W3314">
        <v>0</v>
      </c>
      <c r="X3314">
        <v>0</v>
      </c>
      <c r="Y3314">
        <v>0</v>
      </c>
      <c r="Z3314">
        <v>0</v>
      </c>
      <c r="AA3314">
        <v>9</v>
      </c>
      <c r="AB3314">
        <v>9</v>
      </c>
      <c r="AC3314" t="s">
        <v>310</v>
      </c>
      <c r="AD3314">
        <v>9</v>
      </c>
      <c r="AE3314" t="s">
        <v>1390</v>
      </c>
      <c r="AF3314">
        <v>0</v>
      </c>
      <c r="AG3314" t="s">
        <v>310</v>
      </c>
      <c r="AH3314">
        <f>SUM((MID(Dyno_Data[[#This Row],[Team]],4,5))+(Dyno_Data[[#This Row],[Match]]/100))</f>
        <v>1493.61</v>
      </c>
      <c r="AI3314" s="76">
        <f>ROUND(SUM(IF(Dyno_Data[[#This Row],[AcqCenter]]&gt;0,Dyno_Data[[#This Row],[Time]]-SUMIFS(Dyno_Data[Time],Dyno_Data[Team],Dyno_Data[[#This Row],[Team]],Dyno_Data[RecordType],"StartMatch",Dyno_Data[Match],Dyno_Data[[#This Row],[Match]]),0)*86400),0)</f>
        <v>0</v>
      </c>
    </row>
    <row r="3315" spans="1:35" x14ac:dyDescent="0.3">
      <c r="A3315">
        <v>3309</v>
      </c>
      <c r="B3315" t="s">
        <v>1305</v>
      </c>
      <c r="C3315">
        <v>61</v>
      </c>
      <c r="D3315" s="105">
        <v>45374.394589351854</v>
      </c>
      <c r="E3315" t="s">
        <v>312</v>
      </c>
      <c r="F3315" t="s">
        <v>309</v>
      </c>
      <c r="G3315">
        <v>0</v>
      </c>
      <c r="H3315" t="s">
        <v>1397</v>
      </c>
      <c r="I3315">
        <v>0</v>
      </c>
      <c r="J3315">
        <v>0</v>
      </c>
      <c r="K3315">
        <v>0</v>
      </c>
      <c r="L3315" t="s">
        <v>241</v>
      </c>
      <c r="M3315" t="s">
        <v>1398</v>
      </c>
      <c r="N3315">
        <v>0</v>
      </c>
      <c r="O3315" t="s">
        <v>319</v>
      </c>
      <c r="P3315" t="s">
        <v>310</v>
      </c>
      <c r="Q3315" t="s">
        <v>310</v>
      </c>
      <c r="R3315" t="s">
        <v>310</v>
      </c>
      <c r="S3315">
        <v>9</v>
      </c>
      <c r="T3315" t="s">
        <v>310</v>
      </c>
      <c r="U3315">
        <v>9</v>
      </c>
      <c r="V3315">
        <v>9</v>
      </c>
      <c r="W3315">
        <v>0</v>
      </c>
      <c r="X3315">
        <v>0</v>
      </c>
      <c r="Y3315">
        <v>0</v>
      </c>
      <c r="Z3315">
        <v>0</v>
      </c>
      <c r="AA3315">
        <v>9</v>
      </c>
      <c r="AB3315">
        <v>9</v>
      </c>
      <c r="AC3315" t="s">
        <v>310</v>
      </c>
      <c r="AD3315">
        <v>9</v>
      </c>
      <c r="AE3315" t="s">
        <v>1394</v>
      </c>
      <c r="AF3315">
        <v>0</v>
      </c>
      <c r="AG3315" t="s">
        <v>310</v>
      </c>
      <c r="AH3315">
        <f>SUM((MID(Dyno_Data[[#This Row],[Team]],4,5))+(Dyno_Data[[#This Row],[Match]]/100))</f>
        <v>3173.61</v>
      </c>
      <c r="AI3315" s="76">
        <f>ROUND(SUM(IF(Dyno_Data[[#This Row],[AcqCenter]]&gt;0,Dyno_Data[[#This Row],[Time]]-SUMIFS(Dyno_Data[Time],Dyno_Data[Team],Dyno_Data[[#This Row],[Team]],Dyno_Data[RecordType],"StartMatch",Dyno_Data[Match],Dyno_Data[[#This Row],[Match]]),0)*86400),0)</f>
        <v>0</v>
      </c>
    </row>
    <row r="3316" spans="1:35" x14ac:dyDescent="0.3">
      <c r="A3316">
        <v>3326</v>
      </c>
      <c r="B3316" t="s">
        <v>1291</v>
      </c>
      <c r="C3316">
        <v>61</v>
      </c>
      <c r="D3316" s="105">
        <v>45374.394594247686</v>
      </c>
      <c r="E3316" t="s">
        <v>308</v>
      </c>
      <c r="F3316" t="s">
        <v>309</v>
      </c>
      <c r="G3316">
        <v>0</v>
      </c>
      <c r="H3316" t="s">
        <v>310</v>
      </c>
      <c r="I3316">
        <v>0</v>
      </c>
      <c r="J3316">
        <v>0</v>
      </c>
      <c r="K3316">
        <v>0</v>
      </c>
      <c r="L3316" t="s">
        <v>310</v>
      </c>
      <c r="M3316" t="s">
        <v>310</v>
      </c>
      <c r="N3316">
        <v>0</v>
      </c>
      <c r="O3316" t="s">
        <v>1393</v>
      </c>
      <c r="P3316" t="s">
        <v>310</v>
      </c>
      <c r="Q3316" t="s">
        <v>310</v>
      </c>
      <c r="R3316" t="s">
        <v>310</v>
      </c>
      <c r="S3316">
        <v>9</v>
      </c>
      <c r="T3316" t="s">
        <v>310</v>
      </c>
      <c r="U3316">
        <v>9</v>
      </c>
      <c r="V3316">
        <v>9</v>
      </c>
      <c r="W3316">
        <v>0</v>
      </c>
      <c r="X3316">
        <v>0</v>
      </c>
      <c r="Y3316">
        <v>0</v>
      </c>
      <c r="Z3316">
        <v>0</v>
      </c>
      <c r="AA3316">
        <v>9</v>
      </c>
      <c r="AB3316">
        <v>9</v>
      </c>
      <c r="AC3316" t="s">
        <v>310</v>
      </c>
      <c r="AD3316">
        <v>9</v>
      </c>
      <c r="AE3316" t="s">
        <v>1390</v>
      </c>
      <c r="AF3316">
        <v>20000000</v>
      </c>
      <c r="AG3316" t="s">
        <v>310</v>
      </c>
      <c r="AH3316">
        <f>SUM((MID(Dyno_Data[[#This Row],[Team]],4,5))+(Dyno_Data[[#This Row],[Match]]/100))</f>
        <v>1493.61</v>
      </c>
      <c r="AI3316" s="76">
        <f>ROUND(SUM(IF(Dyno_Data[[#This Row],[AcqCenter]]&gt;0,Dyno_Data[[#This Row],[Time]]-SUMIFS(Dyno_Data[Time],Dyno_Data[Team],Dyno_Data[[#This Row],[Team]],Dyno_Data[RecordType],"StartMatch",Dyno_Data[Match],Dyno_Data[[#This Row],[Match]]),0)*86400),0)</f>
        <v>0</v>
      </c>
    </row>
    <row r="3317" spans="1:35" x14ac:dyDescent="0.3">
      <c r="A3317">
        <v>3310</v>
      </c>
      <c r="B3317" t="s">
        <v>371</v>
      </c>
      <c r="C3317">
        <v>61</v>
      </c>
      <c r="D3317" s="105">
        <v>45374.39461855324</v>
      </c>
      <c r="E3317" t="s">
        <v>312</v>
      </c>
      <c r="F3317" t="s">
        <v>309</v>
      </c>
      <c r="G3317">
        <v>0</v>
      </c>
      <c r="H3317" t="s">
        <v>1397</v>
      </c>
      <c r="I3317">
        <v>0</v>
      </c>
      <c r="J3317">
        <v>0</v>
      </c>
      <c r="K3317">
        <v>0</v>
      </c>
      <c r="L3317" t="s">
        <v>240</v>
      </c>
      <c r="M3317" t="s">
        <v>1398</v>
      </c>
      <c r="N3317">
        <v>1</v>
      </c>
      <c r="O3317" t="s">
        <v>1391</v>
      </c>
      <c r="P3317" t="s">
        <v>310</v>
      </c>
      <c r="Q3317" t="s">
        <v>310</v>
      </c>
      <c r="R3317" t="s">
        <v>310</v>
      </c>
      <c r="S3317">
        <v>9</v>
      </c>
      <c r="T3317" t="s">
        <v>310</v>
      </c>
      <c r="U3317">
        <v>9</v>
      </c>
      <c r="V3317">
        <v>9</v>
      </c>
      <c r="W3317">
        <v>0</v>
      </c>
      <c r="X3317">
        <v>0</v>
      </c>
      <c r="Y3317">
        <v>0</v>
      </c>
      <c r="Z3317">
        <v>0</v>
      </c>
      <c r="AA3317">
        <v>9</v>
      </c>
      <c r="AB3317">
        <v>9</v>
      </c>
      <c r="AC3317" t="s">
        <v>310</v>
      </c>
      <c r="AD3317">
        <v>9</v>
      </c>
      <c r="AE3317" t="s">
        <v>1396</v>
      </c>
      <c r="AF3317">
        <v>0</v>
      </c>
      <c r="AG3317" t="s">
        <v>310</v>
      </c>
      <c r="AH3317">
        <f>SUM((MID(Dyno_Data[[#This Row],[Team]],4,5))+(Dyno_Data[[#This Row],[Match]]/100))</f>
        <v>6969.61</v>
      </c>
      <c r="AI3317" s="76">
        <f>ROUND(SUM(IF(Dyno_Data[[#This Row],[AcqCenter]]&gt;0,Dyno_Data[[#This Row],[Time]]-SUMIFS(Dyno_Data[Time],Dyno_Data[Team],Dyno_Data[[#This Row],[Team]],Dyno_Data[RecordType],"StartMatch",Dyno_Data[Match],Dyno_Data[[#This Row],[Match]]),0)*86400),0)</f>
        <v>0</v>
      </c>
    </row>
    <row r="3318" spans="1:35" x14ac:dyDescent="0.3">
      <c r="A3318">
        <v>3311</v>
      </c>
      <c r="B3318" t="s">
        <v>1291</v>
      </c>
      <c r="C3318">
        <v>61</v>
      </c>
      <c r="D3318" s="105">
        <v>45374.394639664351</v>
      </c>
      <c r="E3318" t="s">
        <v>312</v>
      </c>
      <c r="F3318" t="s">
        <v>309</v>
      </c>
      <c r="G3318">
        <v>0</v>
      </c>
      <c r="H3318" t="s">
        <v>315</v>
      </c>
      <c r="I3318">
        <v>0</v>
      </c>
      <c r="J3318">
        <v>0</v>
      </c>
      <c r="K3318">
        <v>0</v>
      </c>
      <c r="L3318" t="s">
        <v>240</v>
      </c>
      <c r="M3318" t="s">
        <v>1398</v>
      </c>
      <c r="N3318">
        <v>0</v>
      </c>
      <c r="O3318" t="s">
        <v>1393</v>
      </c>
      <c r="P3318" t="s">
        <v>310</v>
      </c>
      <c r="Q3318" t="s">
        <v>310</v>
      </c>
      <c r="R3318" t="s">
        <v>310</v>
      </c>
      <c r="S3318">
        <v>9</v>
      </c>
      <c r="T3318" t="s">
        <v>310</v>
      </c>
      <c r="U3318">
        <v>9</v>
      </c>
      <c r="V3318">
        <v>9</v>
      </c>
      <c r="W3318">
        <v>0</v>
      </c>
      <c r="X3318">
        <v>0</v>
      </c>
      <c r="Y3318">
        <v>0</v>
      </c>
      <c r="Z3318">
        <v>0</v>
      </c>
      <c r="AA3318">
        <v>9</v>
      </c>
      <c r="AB3318">
        <v>9</v>
      </c>
      <c r="AC3318" t="s">
        <v>310</v>
      </c>
      <c r="AD3318">
        <v>9</v>
      </c>
      <c r="AE3318" t="s">
        <v>1390</v>
      </c>
      <c r="AF3318">
        <v>10000000</v>
      </c>
      <c r="AG3318" t="s">
        <v>310</v>
      </c>
      <c r="AH3318">
        <f>SUM((MID(Dyno_Data[[#This Row],[Team]],4,5))+(Dyno_Data[[#This Row],[Match]]/100))</f>
        <v>1493.61</v>
      </c>
      <c r="AI3318" s="76">
        <f>ROUND(SUM(IF(Dyno_Data[[#This Row],[AcqCenter]]&gt;0,Dyno_Data[[#This Row],[Time]]-SUMIFS(Dyno_Data[Time],Dyno_Data[Team],Dyno_Data[[#This Row],[Team]],Dyno_Data[RecordType],"StartMatch",Dyno_Data[Match],Dyno_Data[[#This Row],[Match]]),0)*86400),0)</f>
        <v>0</v>
      </c>
    </row>
    <row r="3319" spans="1:35" x14ac:dyDescent="0.3">
      <c r="A3319">
        <v>3312</v>
      </c>
      <c r="B3319" t="s">
        <v>1305</v>
      </c>
      <c r="C3319">
        <v>61</v>
      </c>
      <c r="D3319" s="105">
        <v>45374.394671493057</v>
      </c>
      <c r="E3319" t="s">
        <v>312</v>
      </c>
      <c r="F3319" t="s">
        <v>309</v>
      </c>
      <c r="G3319">
        <v>0</v>
      </c>
      <c r="H3319" t="s">
        <v>143</v>
      </c>
      <c r="I3319">
        <v>5</v>
      </c>
      <c r="J3319">
        <v>1</v>
      </c>
      <c r="K3319">
        <v>0</v>
      </c>
      <c r="L3319" t="s">
        <v>310</v>
      </c>
      <c r="M3319" t="s">
        <v>310</v>
      </c>
      <c r="N3319">
        <v>0</v>
      </c>
      <c r="O3319" t="s">
        <v>319</v>
      </c>
      <c r="P3319" t="s">
        <v>310</v>
      </c>
      <c r="Q3319" t="s">
        <v>310</v>
      </c>
      <c r="R3319" t="s">
        <v>310</v>
      </c>
      <c r="S3319">
        <v>9</v>
      </c>
      <c r="T3319" t="s">
        <v>310</v>
      </c>
      <c r="U3319">
        <v>9</v>
      </c>
      <c r="V3319">
        <v>9</v>
      </c>
      <c r="W3319">
        <v>0</v>
      </c>
      <c r="X3319">
        <v>0</v>
      </c>
      <c r="Y3319">
        <v>0</v>
      </c>
      <c r="Z3319">
        <v>0</v>
      </c>
      <c r="AA3319">
        <v>9</v>
      </c>
      <c r="AB3319">
        <v>9</v>
      </c>
      <c r="AC3319" t="s">
        <v>310</v>
      </c>
      <c r="AD3319">
        <v>9</v>
      </c>
      <c r="AE3319" t="s">
        <v>1394</v>
      </c>
      <c r="AF3319">
        <v>0</v>
      </c>
      <c r="AG3319" t="s">
        <v>310</v>
      </c>
      <c r="AH3319">
        <f>SUM((MID(Dyno_Data[[#This Row],[Team]],4,5))+(Dyno_Data[[#This Row],[Match]]/100))</f>
        <v>3173.61</v>
      </c>
      <c r="AI3319" s="76">
        <f>ROUND(SUM(IF(Dyno_Data[[#This Row],[AcqCenter]]&gt;0,Dyno_Data[[#This Row],[Time]]-SUMIFS(Dyno_Data[Time],Dyno_Data[Team],Dyno_Data[[#This Row],[Team]],Dyno_Data[RecordType],"StartMatch",Dyno_Data[Match],Dyno_Data[[#This Row],[Match]]),0)*86400),0)</f>
        <v>8</v>
      </c>
    </row>
    <row r="3320" spans="1:35" x14ac:dyDescent="0.3">
      <c r="A3320">
        <v>3313</v>
      </c>
      <c r="B3320" t="s">
        <v>1305</v>
      </c>
      <c r="C3320">
        <v>61</v>
      </c>
      <c r="D3320" s="105">
        <v>45374.394692326387</v>
      </c>
      <c r="E3320" t="s">
        <v>312</v>
      </c>
      <c r="F3320" t="s">
        <v>309</v>
      </c>
      <c r="G3320">
        <v>0</v>
      </c>
      <c r="H3320" t="s">
        <v>143</v>
      </c>
      <c r="I3320">
        <v>0</v>
      </c>
      <c r="J3320">
        <v>0</v>
      </c>
      <c r="K3320">
        <v>0</v>
      </c>
      <c r="L3320" t="s">
        <v>241</v>
      </c>
      <c r="M3320" t="s">
        <v>1398</v>
      </c>
      <c r="N3320">
        <v>0</v>
      </c>
      <c r="O3320" t="s">
        <v>319</v>
      </c>
      <c r="P3320" t="s">
        <v>310</v>
      </c>
      <c r="Q3320" t="s">
        <v>310</v>
      </c>
      <c r="R3320" t="s">
        <v>310</v>
      </c>
      <c r="S3320">
        <v>9</v>
      </c>
      <c r="T3320" t="s">
        <v>310</v>
      </c>
      <c r="U3320">
        <v>9</v>
      </c>
      <c r="V3320">
        <v>9</v>
      </c>
      <c r="W3320">
        <v>0</v>
      </c>
      <c r="X3320">
        <v>0</v>
      </c>
      <c r="Y3320">
        <v>0</v>
      </c>
      <c r="Z3320">
        <v>0</v>
      </c>
      <c r="AA3320">
        <v>9</v>
      </c>
      <c r="AB3320">
        <v>9</v>
      </c>
      <c r="AC3320" t="s">
        <v>310</v>
      </c>
      <c r="AD3320">
        <v>9</v>
      </c>
      <c r="AE3320" t="s">
        <v>1394</v>
      </c>
      <c r="AF3320">
        <v>0</v>
      </c>
      <c r="AG3320" t="s">
        <v>310</v>
      </c>
      <c r="AH3320">
        <f>SUM((MID(Dyno_Data[[#This Row],[Team]],4,5))+(Dyno_Data[[#This Row],[Match]]/100))</f>
        <v>3173.61</v>
      </c>
      <c r="AI3320" s="76">
        <f>ROUND(SUM(IF(Dyno_Data[[#This Row],[AcqCenter]]&gt;0,Dyno_Data[[#This Row],[Time]]-SUMIFS(Dyno_Data[Time],Dyno_Data[Team],Dyno_Data[[#This Row],[Team]],Dyno_Data[RecordType],"StartMatch",Dyno_Data[Match],Dyno_Data[[#This Row],[Match]]),0)*86400),0)</f>
        <v>0</v>
      </c>
    </row>
    <row r="3321" spans="1:35" x14ac:dyDescent="0.3">
      <c r="A3321">
        <v>3314</v>
      </c>
      <c r="B3321" t="s">
        <v>1305</v>
      </c>
      <c r="C3321">
        <v>61</v>
      </c>
      <c r="D3321" s="105">
        <v>45374.394727395833</v>
      </c>
      <c r="E3321" t="s">
        <v>312</v>
      </c>
      <c r="F3321" t="s">
        <v>309</v>
      </c>
      <c r="G3321">
        <v>0</v>
      </c>
      <c r="H3321" t="s">
        <v>315</v>
      </c>
      <c r="I3321">
        <v>0</v>
      </c>
      <c r="J3321">
        <v>0</v>
      </c>
      <c r="K3321">
        <v>0</v>
      </c>
      <c r="L3321" t="s">
        <v>241</v>
      </c>
      <c r="M3321" t="s">
        <v>1398</v>
      </c>
      <c r="N3321">
        <v>0</v>
      </c>
      <c r="O3321" t="s">
        <v>319</v>
      </c>
      <c r="P3321" t="s">
        <v>310</v>
      </c>
      <c r="Q3321" t="s">
        <v>310</v>
      </c>
      <c r="R3321" t="s">
        <v>310</v>
      </c>
      <c r="S3321">
        <v>9</v>
      </c>
      <c r="T3321" t="s">
        <v>310</v>
      </c>
      <c r="U3321">
        <v>9</v>
      </c>
      <c r="V3321">
        <v>9</v>
      </c>
      <c r="W3321">
        <v>0</v>
      </c>
      <c r="X3321">
        <v>0</v>
      </c>
      <c r="Y3321">
        <v>0</v>
      </c>
      <c r="Z3321">
        <v>0</v>
      </c>
      <c r="AA3321">
        <v>9</v>
      </c>
      <c r="AB3321">
        <v>9</v>
      </c>
      <c r="AC3321" t="s">
        <v>310</v>
      </c>
      <c r="AD3321">
        <v>9</v>
      </c>
      <c r="AE3321" t="s">
        <v>1394</v>
      </c>
      <c r="AF3321">
        <v>10000000</v>
      </c>
      <c r="AG3321" t="s">
        <v>310</v>
      </c>
      <c r="AH3321">
        <f>SUM((MID(Dyno_Data[[#This Row],[Team]],4,5))+(Dyno_Data[[#This Row],[Match]]/100))</f>
        <v>3173.61</v>
      </c>
      <c r="AI3321" s="76">
        <f>ROUND(SUM(IF(Dyno_Data[[#This Row],[AcqCenter]]&gt;0,Dyno_Data[[#This Row],[Time]]-SUMIFS(Dyno_Data[Time],Dyno_Data[Team],Dyno_Data[[#This Row],[Team]],Dyno_Data[RecordType],"StartMatch",Dyno_Data[Match],Dyno_Data[[#This Row],[Match]]),0)*86400),0)</f>
        <v>0</v>
      </c>
    </row>
    <row r="3322" spans="1:35" x14ac:dyDescent="0.3">
      <c r="A3322">
        <v>3315</v>
      </c>
      <c r="B3322" t="s">
        <v>1291</v>
      </c>
      <c r="C3322">
        <v>61</v>
      </c>
      <c r="D3322" s="105">
        <v>45374.394742164353</v>
      </c>
      <c r="E3322" t="s">
        <v>312</v>
      </c>
      <c r="F3322" t="s">
        <v>309</v>
      </c>
      <c r="G3322">
        <v>0</v>
      </c>
      <c r="H3322" t="s">
        <v>315</v>
      </c>
      <c r="I3322">
        <v>0</v>
      </c>
      <c r="J3322">
        <v>0</v>
      </c>
      <c r="K3322">
        <v>0</v>
      </c>
      <c r="L3322" t="s">
        <v>241</v>
      </c>
      <c r="M3322" t="s">
        <v>1398</v>
      </c>
      <c r="N3322">
        <v>0</v>
      </c>
      <c r="O3322" t="s">
        <v>1393</v>
      </c>
      <c r="P3322" t="s">
        <v>310</v>
      </c>
      <c r="Q3322" t="s">
        <v>310</v>
      </c>
      <c r="R3322" t="s">
        <v>310</v>
      </c>
      <c r="S3322">
        <v>9</v>
      </c>
      <c r="T3322" t="s">
        <v>310</v>
      </c>
      <c r="U3322">
        <v>9</v>
      </c>
      <c r="V3322">
        <v>9</v>
      </c>
      <c r="W3322">
        <v>0</v>
      </c>
      <c r="X3322">
        <v>0</v>
      </c>
      <c r="Y3322">
        <v>0</v>
      </c>
      <c r="Z3322">
        <v>0</v>
      </c>
      <c r="AA3322">
        <v>9</v>
      </c>
      <c r="AB3322">
        <v>9</v>
      </c>
      <c r="AC3322" t="s">
        <v>310</v>
      </c>
      <c r="AD3322">
        <v>9</v>
      </c>
      <c r="AE3322" t="s">
        <v>1390</v>
      </c>
      <c r="AF3322">
        <v>20000000</v>
      </c>
      <c r="AG3322" t="s">
        <v>310</v>
      </c>
      <c r="AH3322">
        <f>SUM((MID(Dyno_Data[[#This Row],[Team]],4,5))+(Dyno_Data[[#This Row],[Match]]/100))</f>
        <v>1493.61</v>
      </c>
      <c r="AI3322" s="76">
        <f>ROUND(SUM(IF(Dyno_Data[[#This Row],[AcqCenter]]&gt;0,Dyno_Data[[#This Row],[Time]]-SUMIFS(Dyno_Data[Time],Dyno_Data[Team],Dyno_Data[[#This Row],[Team]],Dyno_Data[RecordType],"StartMatch",Dyno_Data[Match],Dyno_Data[[#This Row],[Match]]),0)*86400),0)</f>
        <v>0</v>
      </c>
    </row>
    <row r="3323" spans="1:35" x14ac:dyDescent="0.3">
      <c r="A3323">
        <v>3319</v>
      </c>
      <c r="B3323" t="s">
        <v>1276</v>
      </c>
      <c r="C3323">
        <v>61</v>
      </c>
      <c r="D3323" s="105">
        <v>45374.394778668982</v>
      </c>
      <c r="E3323" t="s">
        <v>314</v>
      </c>
      <c r="F3323" t="s">
        <v>309</v>
      </c>
      <c r="G3323">
        <v>0</v>
      </c>
      <c r="H3323" t="s">
        <v>310</v>
      </c>
      <c r="I3323">
        <v>0</v>
      </c>
      <c r="J3323">
        <v>0</v>
      </c>
      <c r="K3323">
        <v>0</v>
      </c>
      <c r="L3323" t="s">
        <v>310</v>
      </c>
      <c r="M3323" t="s">
        <v>310</v>
      </c>
      <c r="N3323">
        <v>0</v>
      </c>
      <c r="O3323" t="s">
        <v>1395</v>
      </c>
      <c r="P3323" t="s">
        <v>101</v>
      </c>
      <c r="Q3323" t="s">
        <v>1400</v>
      </c>
      <c r="R3323" t="s">
        <v>310</v>
      </c>
      <c r="S3323">
        <v>9</v>
      </c>
      <c r="T3323" t="s">
        <v>310</v>
      </c>
      <c r="U3323">
        <v>9</v>
      </c>
      <c r="V3323">
        <v>9</v>
      </c>
      <c r="W3323">
        <v>0</v>
      </c>
      <c r="X3323">
        <v>0</v>
      </c>
      <c r="Y3323">
        <v>0</v>
      </c>
      <c r="Z3323">
        <v>0</v>
      </c>
      <c r="AA3323">
        <v>9</v>
      </c>
      <c r="AB3323">
        <v>9</v>
      </c>
      <c r="AC3323" t="s">
        <v>310</v>
      </c>
      <c r="AD3323">
        <v>9</v>
      </c>
      <c r="AE3323" t="s">
        <v>1387</v>
      </c>
      <c r="AF3323">
        <v>0</v>
      </c>
      <c r="AG3323" t="s">
        <v>310</v>
      </c>
      <c r="AH3323">
        <f>SUM((MID(Dyno_Data[[#This Row],[Team]],4,5))+(Dyno_Data[[#This Row],[Match]]/100))</f>
        <v>229.61</v>
      </c>
      <c r="AI3323" s="76">
        <f>ROUND(SUM(IF(Dyno_Data[[#This Row],[AcqCenter]]&gt;0,Dyno_Data[[#This Row],[Time]]-SUMIFS(Dyno_Data[Time],Dyno_Data[Team],Dyno_Data[[#This Row],[Team]],Dyno_Data[RecordType],"StartMatch",Dyno_Data[Match],Dyno_Data[[#This Row],[Match]]),0)*86400),0)</f>
        <v>0</v>
      </c>
    </row>
    <row r="3324" spans="1:35" x14ac:dyDescent="0.3">
      <c r="A3324">
        <v>3317</v>
      </c>
      <c r="B3324" t="s">
        <v>373</v>
      </c>
      <c r="C3324">
        <v>61</v>
      </c>
      <c r="D3324" s="105">
        <v>45374.394778668982</v>
      </c>
      <c r="E3324" t="s">
        <v>314</v>
      </c>
      <c r="F3324" t="s">
        <v>309</v>
      </c>
      <c r="G3324">
        <v>0</v>
      </c>
      <c r="H3324" t="s">
        <v>310</v>
      </c>
      <c r="I3324">
        <v>0</v>
      </c>
      <c r="J3324">
        <v>0</v>
      </c>
      <c r="K3324">
        <v>0</v>
      </c>
      <c r="L3324" t="s">
        <v>310</v>
      </c>
      <c r="M3324" t="s">
        <v>310</v>
      </c>
      <c r="N3324">
        <v>0</v>
      </c>
      <c r="O3324" t="s">
        <v>1389</v>
      </c>
      <c r="P3324" t="s">
        <v>1401</v>
      </c>
      <c r="Q3324" t="s">
        <v>1399</v>
      </c>
      <c r="R3324" t="s">
        <v>310</v>
      </c>
      <c r="S3324">
        <v>9</v>
      </c>
      <c r="T3324" t="s">
        <v>310</v>
      </c>
      <c r="U3324">
        <v>9</v>
      </c>
      <c r="V3324">
        <v>9</v>
      </c>
      <c r="W3324">
        <v>0</v>
      </c>
      <c r="X3324">
        <v>0</v>
      </c>
      <c r="Y3324">
        <v>0</v>
      </c>
      <c r="Z3324">
        <v>0</v>
      </c>
      <c r="AA3324">
        <v>9</v>
      </c>
      <c r="AB3324">
        <v>9</v>
      </c>
      <c r="AC3324" t="s">
        <v>310</v>
      </c>
      <c r="AD3324">
        <v>9</v>
      </c>
      <c r="AE3324" t="s">
        <v>1392</v>
      </c>
      <c r="AF3324">
        <v>0</v>
      </c>
      <c r="AG3324" t="s">
        <v>310</v>
      </c>
      <c r="AH3324">
        <f>SUM((MID(Dyno_Data[[#This Row],[Team]],4,5))+(Dyno_Data[[#This Row],[Match]]/100))</f>
        <v>7718.61</v>
      </c>
      <c r="AI3324" s="76">
        <f>ROUND(SUM(IF(Dyno_Data[[#This Row],[AcqCenter]]&gt;0,Dyno_Data[[#This Row],[Time]]-SUMIFS(Dyno_Data[Time],Dyno_Data[Team],Dyno_Data[[#This Row],[Team]],Dyno_Data[RecordType],"StartMatch",Dyno_Data[Match],Dyno_Data[[#This Row],[Match]]),0)*86400),0)</f>
        <v>0</v>
      </c>
    </row>
    <row r="3325" spans="1:35" x14ac:dyDescent="0.3">
      <c r="A3325">
        <v>3321</v>
      </c>
      <c r="B3325" t="s">
        <v>369</v>
      </c>
      <c r="C3325">
        <v>61</v>
      </c>
      <c r="D3325" s="105">
        <v>45374.394782256946</v>
      </c>
      <c r="E3325" t="s">
        <v>314</v>
      </c>
      <c r="F3325" t="s">
        <v>309</v>
      </c>
      <c r="G3325">
        <v>0</v>
      </c>
      <c r="H3325" t="s">
        <v>310</v>
      </c>
      <c r="I3325">
        <v>0</v>
      </c>
      <c r="J3325">
        <v>0</v>
      </c>
      <c r="K3325">
        <v>0</v>
      </c>
      <c r="L3325" t="s">
        <v>310</v>
      </c>
      <c r="M3325" t="s">
        <v>310</v>
      </c>
      <c r="N3325">
        <v>0</v>
      </c>
      <c r="O3325" t="s">
        <v>311</v>
      </c>
      <c r="P3325" t="s">
        <v>320</v>
      </c>
      <c r="Q3325" t="s">
        <v>1399</v>
      </c>
      <c r="R3325" t="s">
        <v>310</v>
      </c>
      <c r="S3325">
        <v>9</v>
      </c>
      <c r="T3325" t="s">
        <v>310</v>
      </c>
      <c r="U3325">
        <v>9</v>
      </c>
      <c r="V3325">
        <v>9</v>
      </c>
      <c r="W3325">
        <v>0</v>
      </c>
      <c r="X3325">
        <v>0</v>
      </c>
      <c r="Y3325">
        <v>0</v>
      </c>
      <c r="Z3325">
        <v>0</v>
      </c>
      <c r="AA3325">
        <v>9</v>
      </c>
      <c r="AB3325">
        <v>9</v>
      </c>
      <c r="AC3325" t="s">
        <v>310</v>
      </c>
      <c r="AD3325">
        <v>9</v>
      </c>
      <c r="AE3325" t="s">
        <v>1388</v>
      </c>
      <c r="AF3325">
        <v>0</v>
      </c>
      <c r="AG3325" t="s">
        <v>310</v>
      </c>
      <c r="AH3325">
        <f>SUM((MID(Dyno_Data[[#This Row],[Team]],4,5))+(Dyno_Data[[#This Row],[Match]]/100))</f>
        <v>6463.61</v>
      </c>
      <c r="AI3325" s="76">
        <f>ROUND(SUM(IF(Dyno_Data[[#This Row],[AcqCenter]]&gt;0,Dyno_Data[[#This Row],[Time]]-SUMIFS(Dyno_Data[Time],Dyno_Data[Team],Dyno_Data[[#This Row],[Team]],Dyno_Data[RecordType],"StartMatch",Dyno_Data[Match],Dyno_Data[[#This Row],[Match]]),0)*86400),0)</f>
        <v>0</v>
      </c>
    </row>
    <row r="3326" spans="1:35" x14ac:dyDescent="0.3">
      <c r="A3326">
        <v>3323</v>
      </c>
      <c r="B3326" t="s">
        <v>371</v>
      </c>
      <c r="C3326">
        <v>61</v>
      </c>
      <c r="D3326" s="105">
        <v>45374.39478815972</v>
      </c>
      <c r="E3326" t="s">
        <v>314</v>
      </c>
      <c r="F3326" t="s">
        <v>309</v>
      </c>
      <c r="G3326">
        <v>0</v>
      </c>
      <c r="H3326" t="s">
        <v>310</v>
      </c>
      <c r="I3326">
        <v>0</v>
      </c>
      <c r="J3326">
        <v>0</v>
      </c>
      <c r="K3326">
        <v>0</v>
      </c>
      <c r="L3326" t="s">
        <v>310</v>
      </c>
      <c r="M3326" t="s">
        <v>310</v>
      </c>
      <c r="N3326">
        <v>0</v>
      </c>
      <c r="O3326" t="s">
        <v>1391</v>
      </c>
      <c r="P3326" t="s">
        <v>1401</v>
      </c>
      <c r="Q3326" t="s">
        <v>1400</v>
      </c>
      <c r="R3326" t="s">
        <v>310</v>
      </c>
      <c r="S3326">
        <v>9</v>
      </c>
      <c r="T3326" t="s">
        <v>310</v>
      </c>
      <c r="U3326">
        <v>9</v>
      </c>
      <c r="V3326">
        <v>9</v>
      </c>
      <c r="W3326">
        <v>0</v>
      </c>
      <c r="X3326">
        <v>0</v>
      </c>
      <c r="Y3326">
        <v>0</v>
      </c>
      <c r="Z3326">
        <v>0</v>
      </c>
      <c r="AA3326">
        <v>9</v>
      </c>
      <c r="AB3326">
        <v>9</v>
      </c>
      <c r="AC3326" t="s">
        <v>310</v>
      </c>
      <c r="AD3326">
        <v>9</v>
      </c>
      <c r="AE3326" t="s">
        <v>1396</v>
      </c>
      <c r="AF3326">
        <v>0</v>
      </c>
      <c r="AG3326" t="s">
        <v>310</v>
      </c>
      <c r="AH3326">
        <f>SUM((MID(Dyno_Data[[#This Row],[Team]],4,5))+(Dyno_Data[[#This Row],[Match]]/100))</f>
        <v>6969.61</v>
      </c>
      <c r="AI3326" s="76">
        <f>ROUND(SUM(IF(Dyno_Data[[#This Row],[AcqCenter]]&gt;0,Dyno_Data[[#This Row],[Time]]-SUMIFS(Dyno_Data[Time],Dyno_Data[Team],Dyno_Data[[#This Row],[Team]],Dyno_Data[RecordType],"StartMatch",Dyno_Data[Match],Dyno_Data[[#This Row],[Match]]),0)*86400),0)</f>
        <v>0</v>
      </c>
    </row>
    <row r="3327" spans="1:35" x14ac:dyDescent="0.3">
      <c r="A3327">
        <v>3325</v>
      </c>
      <c r="B3327" t="s">
        <v>1305</v>
      </c>
      <c r="C3327">
        <v>61</v>
      </c>
      <c r="D3327" s="105">
        <v>45374.394789583333</v>
      </c>
      <c r="E3327" t="s">
        <v>314</v>
      </c>
      <c r="F3327" t="s">
        <v>309</v>
      </c>
      <c r="G3327">
        <v>1</v>
      </c>
      <c r="H3327" t="s">
        <v>310</v>
      </c>
      <c r="I3327">
        <v>0</v>
      </c>
      <c r="J3327">
        <v>0</v>
      </c>
      <c r="K3327">
        <v>0</v>
      </c>
      <c r="L3327" t="s">
        <v>310</v>
      </c>
      <c r="M3327" t="s">
        <v>310</v>
      </c>
      <c r="N3327">
        <v>0</v>
      </c>
      <c r="O3327" t="s">
        <v>319</v>
      </c>
      <c r="P3327" t="s">
        <v>101</v>
      </c>
      <c r="Q3327" t="s">
        <v>1400</v>
      </c>
      <c r="R3327" t="s">
        <v>310</v>
      </c>
      <c r="S3327">
        <v>9</v>
      </c>
      <c r="T3327" t="s">
        <v>310</v>
      </c>
      <c r="U3327">
        <v>9</v>
      </c>
      <c r="V3327">
        <v>9</v>
      </c>
      <c r="W3327">
        <v>0</v>
      </c>
      <c r="X3327">
        <v>0</v>
      </c>
      <c r="Y3327">
        <v>0</v>
      </c>
      <c r="Z3327">
        <v>0</v>
      </c>
      <c r="AA3327">
        <v>9</v>
      </c>
      <c r="AB3327">
        <v>9</v>
      </c>
      <c r="AC3327" t="s">
        <v>310</v>
      </c>
      <c r="AD3327">
        <v>9</v>
      </c>
      <c r="AE3327" t="s">
        <v>1394</v>
      </c>
      <c r="AF3327">
        <v>10000000</v>
      </c>
      <c r="AG3327" t="s">
        <v>310</v>
      </c>
      <c r="AH3327">
        <f>SUM((MID(Dyno_Data[[#This Row],[Team]],4,5))+(Dyno_Data[[#This Row],[Match]]/100))</f>
        <v>3173.61</v>
      </c>
      <c r="AI3327" s="76">
        <f>ROUND(SUM(IF(Dyno_Data[[#This Row],[AcqCenter]]&gt;0,Dyno_Data[[#This Row],[Time]]-SUMIFS(Dyno_Data[Time],Dyno_Data[Team],Dyno_Data[[#This Row],[Team]],Dyno_Data[RecordType],"StartMatch",Dyno_Data[Match],Dyno_Data[[#This Row],[Match]]),0)*86400),0)</f>
        <v>0</v>
      </c>
    </row>
    <row r="3328" spans="1:35" x14ac:dyDescent="0.3">
      <c r="A3328">
        <v>3327</v>
      </c>
      <c r="B3328" t="s">
        <v>1291</v>
      </c>
      <c r="C3328">
        <v>61</v>
      </c>
      <c r="D3328" s="105">
        <v>45374.394802581017</v>
      </c>
      <c r="E3328" t="s">
        <v>314</v>
      </c>
      <c r="F3328" t="s">
        <v>309</v>
      </c>
      <c r="G3328">
        <v>1</v>
      </c>
      <c r="H3328" t="s">
        <v>310</v>
      </c>
      <c r="I3328">
        <v>0</v>
      </c>
      <c r="J3328">
        <v>0</v>
      </c>
      <c r="K3328">
        <v>0</v>
      </c>
      <c r="L3328" t="s">
        <v>310</v>
      </c>
      <c r="M3328" t="s">
        <v>310</v>
      </c>
      <c r="N3328">
        <v>0</v>
      </c>
      <c r="O3328" t="s">
        <v>1393</v>
      </c>
      <c r="P3328" t="s">
        <v>240</v>
      </c>
      <c r="Q3328" t="s">
        <v>1400</v>
      </c>
      <c r="R3328" t="s">
        <v>310</v>
      </c>
      <c r="S3328">
        <v>9</v>
      </c>
      <c r="T3328" t="s">
        <v>310</v>
      </c>
      <c r="U3328">
        <v>9</v>
      </c>
      <c r="V3328">
        <v>9</v>
      </c>
      <c r="W3328">
        <v>0</v>
      </c>
      <c r="X3328">
        <v>0</v>
      </c>
      <c r="Y3328">
        <v>0</v>
      </c>
      <c r="Z3328">
        <v>0</v>
      </c>
      <c r="AA3328">
        <v>9</v>
      </c>
      <c r="AB3328">
        <v>9</v>
      </c>
      <c r="AC3328" t="s">
        <v>310</v>
      </c>
      <c r="AD3328">
        <v>9</v>
      </c>
      <c r="AE3328" t="s">
        <v>1390</v>
      </c>
      <c r="AF3328">
        <v>20000000</v>
      </c>
      <c r="AG3328" t="s">
        <v>310</v>
      </c>
      <c r="AH3328">
        <f>SUM((MID(Dyno_Data[[#This Row],[Team]],4,5))+(Dyno_Data[[#This Row],[Match]]/100))</f>
        <v>1493.61</v>
      </c>
      <c r="AI3328" s="76">
        <f>ROUND(SUM(IF(Dyno_Data[[#This Row],[AcqCenter]]&gt;0,Dyno_Data[[#This Row],[Time]]-SUMIFS(Dyno_Data[Time],Dyno_Data[Team],Dyno_Data[[#This Row],[Team]],Dyno_Data[RecordType],"StartMatch",Dyno_Data[Match],Dyno_Data[[#This Row],[Match]]),0)*86400),0)</f>
        <v>0</v>
      </c>
    </row>
    <row r="3329" spans="1:35" x14ac:dyDescent="0.3">
      <c r="A3329">
        <v>3328</v>
      </c>
      <c r="B3329" t="s">
        <v>1305</v>
      </c>
      <c r="C3329">
        <v>61</v>
      </c>
      <c r="D3329" s="105">
        <v>45374.39482947917</v>
      </c>
      <c r="E3329" t="s">
        <v>312</v>
      </c>
      <c r="F3329" t="s">
        <v>1402</v>
      </c>
      <c r="G3329">
        <v>0</v>
      </c>
      <c r="H3329" t="s">
        <v>315</v>
      </c>
      <c r="I3329">
        <v>0</v>
      </c>
      <c r="J3329">
        <v>0</v>
      </c>
      <c r="K3329">
        <v>0</v>
      </c>
      <c r="L3329" t="s">
        <v>241</v>
      </c>
      <c r="M3329" t="s">
        <v>101</v>
      </c>
      <c r="N3329">
        <v>0</v>
      </c>
      <c r="O3329" t="s">
        <v>319</v>
      </c>
      <c r="P3329" t="s">
        <v>310</v>
      </c>
      <c r="Q3329" t="s">
        <v>310</v>
      </c>
      <c r="R3329" t="s">
        <v>310</v>
      </c>
      <c r="S3329">
        <v>9</v>
      </c>
      <c r="T3329" t="s">
        <v>310</v>
      </c>
      <c r="U3329">
        <v>9</v>
      </c>
      <c r="V3329">
        <v>9</v>
      </c>
      <c r="W3329">
        <v>0</v>
      </c>
      <c r="X3329">
        <v>0</v>
      </c>
      <c r="Y3329">
        <v>0</v>
      </c>
      <c r="Z3329">
        <v>0</v>
      </c>
      <c r="AA3329">
        <v>9</v>
      </c>
      <c r="AB3329">
        <v>9</v>
      </c>
      <c r="AC3329" t="s">
        <v>310</v>
      </c>
      <c r="AD3329">
        <v>9</v>
      </c>
      <c r="AE3329" t="s">
        <v>1394</v>
      </c>
      <c r="AF3329">
        <v>20000000</v>
      </c>
      <c r="AG3329" t="s">
        <v>310</v>
      </c>
      <c r="AH3329">
        <f>SUM((MID(Dyno_Data[[#This Row],[Team]],4,5))+(Dyno_Data[[#This Row],[Match]]/100))</f>
        <v>3173.61</v>
      </c>
      <c r="AI3329" s="76">
        <f>ROUND(SUM(IF(Dyno_Data[[#This Row],[AcqCenter]]&gt;0,Dyno_Data[[#This Row],[Time]]-SUMIFS(Dyno_Data[Time],Dyno_Data[Team],Dyno_Data[[#This Row],[Team]],Dyno_Data[RecordType],"StartMatch",Dyno_Data[Match],Dyno_Data[[#This Row],[Match]]),0)*86400),0)</f>
        <v>0</v>
      </c>
    </row>
    <row r="3330" spans="1:35" x14ac:dyDescent="0.3">
      <c r="A3330">
        <v>3329</v>
      </c>
      <c r="B3330" t="s">
        <v>1291</v>
      </c>
      <c r="C3330">
        <v>61</v>
      </c>
      <c r="D3330" s="105">
        <v>45374.394862881942</v>
      </c>
      <c r="E3330" t="s">
        <v>312</v>
      </c>
      <c r="F3330" t="s">
        <v>1402</v>
      </c>
      <c r="G3330">
        <v>0</v>
      </c>
      <c r="H3330" t="s">
        <v>315</v>
      </c>
      <c r="I3330">
        <v>0</v>
      </c>
      <c r="J3330">
        <v>0</v>
      </c>
      <c r="K3330">
        <v>0</v>
      </c>
      <c r="L3330" t="s">
        <v>241</v>
      </c>
      <c r="M3330" t="s">
        <v>101</v>
      </c>
      <c r="N3330">
        <v>0</v>
      </c>
      <c r="O3330" t="s">
        <v>1393</v>
      </c>
      <c r="P3330" t="s">
        <v>310</v>
      </c>
      <c r="Q3330" t="s">
        <v>310</v>
      </c>
      <c r="R3330" t="s">
        <v>310</v>
      </c>
      <c r="S3330">
        <v>9</v>
      </c>
      <c r="T3330" t="s">
        <v>310</v>
      </c>
      <c r="U3330">
        <v>9</v>
      </c>
      <c r="V3330">
        <v>9</v>
      </c>
      <c r="W3330">
        <v>0</v>
      </c>
      <c r="X3330">
        <v>0</v>
      </c>
      <c r="Y3330">
        <v>0</v>
      </c>
      <c r="Z3330">
        <v>0</v>
      </c>
      <c r="AA3330">
        <v>9</v>
      </c>
      <c r="AB3330">
        <v>9</v>
      </c>
      <c r="AC3330" t="s">
        <v>310</v>
      </c>
      <c r="AD3330">
        <v>9</v>
      </c>
      <c r="AE3330" t="s">
        <v>1390</v>
      </c>
      <c r="AF3330">
        <v>30000000</v>
      </c>
      <c r="AG3330" t="s">
        <v>310</v>
      </c>
      <c r="AH3330">
        <f>SUM((MID(Dyno_Data[[#This Row],[Team]],4,5))+(Dyno_Data[[#This Row],[Match]]/100))</f>
        <v>1493.61</v>
      </c>
      <c r="AI3330" s="76">
        <f>ROUND(SUM(IF(Dyno_Data[[#This Row],[AcqCenter]]&gt;0,Dyno_Data[[#This Row],[Time]]-SUMIFS(Dyno_Data[Time],Dyno_Data[Team],Dyno_Data[[#This Row],[Team]],Dyno_Data[RecordType],"StartMatch",Dyno_Data[Match],Dyno_Data[[#This Row],[Match]]),0)*86400),0)</f>
        <v>0</v>
      </c>
    </row>
    <row r="3331" spans="1:35" x14ac:dyDescent="0.3">
      <c r="A3331">
        <v>3330</v>
      </c>
      <c r="B3331" t="s">
        <v>1305</v>
      </c>
      <c r="C3331">
        <v>61</v>
      </c>
      <c r="D3331" s="105">
        <v>45374.394927581016</v>
      </c>
      <c r="E3331" t="s">
        <v>312</v>
      </c>
      <c r="F3331" t="s">
        <v>1402</v>
      </c>
      <c r="G3331">
        <v>0</v>
      </c>
      <c r="H3331" t="s">
        <v>315</v>
      </c>
      <c r="I3331">
        <v>0</v>
      </c>
      <c r="J3331">
        <v>0</v>
      </c>
      <c r="K3331">
        <v>0</v>
      </c>
      <c r="L3331" t="s">
        <v>241</v>
      </c>
      <c r="M3331" t="s">
        <v>101</v>
      </c>
      <c r="N3331">
        <v>0</v>
      </c>
      <c r="O3331" t="s">
        <v>319</v>
      </c>
      <c r="P3331" t="s">
        <v>310</v>
      </c>
      <c r="Q3331" t="s">
        <v>310</v>
      </c>
      <c r="R3331" t="s">
        <v>310</v>
      </c>
      <c r="S3331">
        <v>9</v>
      </c>
      <c r="T3331" t="s">
        <v>310</v>
      </c>
      <c r="U3331">
        <v>9</v>
      </c>
      <c r="V3331">
        <v>9</v>
      </c>
      <c r="W3331">
        <v>0</v>
      </c>
      <c r="X3331">
        <v>0</v>
      </c>
      <c r="Y3331">
        <v>0</v>
      </c>
      <c r="Z3331">
        <v>0</v>
      </c>
      <c r="AA3331">
        <v>9</v>
      </c>
      <c r="AB3331">
        <v>9</v>
      </c>
      <c r="AC3331" t="s">
        <v>310</v>
      </c>
      <c r="AD3331">
        <v>9</v>
      </c>
      <c r="AE3331" t="s">
        <v>1394</v>
      </c>
      <c r="AF3331">
        <v>30000000</v>
      </c>
      <c r="AG3331" t="s">
        <v>310</v>
      </c>
      <c r="AH3331">
        <f>SUM((MID(Dyno_Data[[#This Row],[Team]],4,5))+(Dyno_Data[[#This Row],[Match]]/100))</f>
        <v>3173.61</v>
      </c>
      <c r="AI3331" s="76">
        <f>ROUND(SUM(IF(Dyno_Data[[#This Row],[AcqCenter]]&gt;0,Dyno_Data[[#This Row],[Time]]-SUMIFS(Dyno_Data[Time],Dyno_Data[Team],Dyno_Data[[#This Row],[Team]],Dyno_Data[RecordType],"StartMatch",Dyno_Data[Match],Dyno_Data[[#This Row],[Match]]),0)*86400),0)</f>
        <v>0</v>
      </c>
    </row>
    <row r="3332" spans="1:35" x14ac:dyDescent="0.3">
      <c r="A3332">
        <v>3331</v>
      </c>
      <c r="B3332" t="s">
        <v>1291</v>
      </c>
      <c r="C3332">
        <v>61</v>
      </c>
      <c r="D3332" s="105">
        <v>45374.39500355324</v>
      </c>
      <c r="E3332" t="s">
        <v>312</v>
      </c>
      <c r="F3332" t="s">
        <v>1402</v>
      </c>
      <c r="G3332">
        <v>0</v>
      </c>
      <c r="H3332" t="s">
        <v>315</v>
      </c>
      <c r="I3332">
        <v>0</v>
      </c>
      <c r="J3332">
        <v>0</v>
      </c>
      <c r="K3332">
        <v>0</v>
      </c>
      <c r="L3332" t="s">
        <v>241</v>
      </c>
      <c r="M3332" t="s">
        <v>101</v>
      </c>
      <c r="N3332">
        <v>0</v>
      </c>
      <c r="O3332" t="s">
        <v>1393</v>
      </c>
      <c r="P3332" t="s">
        <v>310</v>
      </c>
      <c r="Q3332" t="s">
        <v>310</v>
      </c>
      <c r="R3332" t="s">
        <v>310</v>
      </c>
      <c r="S3332">
        <v>9</v>
      </c>
      <c r="T3332" t="s">
        <v>310</v>
      </c>
      <c r="U3332">
        <v>9</v>
      </c>
      <c r="V3332">
        <v>9</v>
      </c>
      <c r="W3332">
        <v>0</v>
      </c>
      <c r="X3332">
        <v>0</v>
      </c>
      <c r="Y3332">
        <v>0</v>
      </c>
      <c r="Z3332">
        <v>0</v>
      </c>
      <c r="AA3332">
        <v>9</v>
      </c>
      <c r="AB3332">
        <v>9</v>
      </c>
      <c r="AC3332" t="s">
        <v>310</v>
      </c>
      <c r="AD3332">
        <v>9</v>
      </c>
      <c r="AE3332" t="s">
        <v>1390</v>
      </c>
      <c r="AF3332">
        <v>40000000</v>
      </c>
      <c r="AG3332" t="s">
        <v>310</v>
      </c>
      <c r="AH3332">
        <f>SUM((MID(Dyno_Data[[#This Row],[Team]],4,5))+(Dyno_Data[[#This Row],[Match]]/100))</f>
        <v>1493.61</v>
      </c>
      <c r="AI3332" s="76">
        <f>ROUND(SUM(IF(Dyno_Data[[#This Row],[AcqCenter]]&gt;0,Dyno_Data[[#This Row],[Time]]-SUMIFS(Dyno_Data[Time],Dyno_Data[Team],Dyno_Data[[#This Row],[Team]],Dyno_Data[RecordType],"StartMatch",Dyno_Data[Match],Dyno_Data[[#This Row],[Match]]),0)*86400),0)</f>
        <v>0</v>
      </c>
    </row>
    <row r="3333" spans="1:35" x14ac:dyDescent="0.3">
      <c r="A3333">
        <v>3332</v>
      </c>
      <c r="B3333" t="s">
        <v>1305</v>
      </c>
      <c r="C3333">
        <v>61</v>
      </c>
      <c r="D3333" s="105">
        <v>45374.395016087961</v>
      </c>
      <c r="E3333" t="s">
        <v>312</v>
      </c>
      <c r="F3333" t="s">
        <v>1402</v>
      </c>
      <c r="G3333">
        <v>0</v>
      </c>
      <c r="H3333" t="s">
        <v>315</v>
      </c>
      <c r="I3333">
        <v>0</v>
      </c>
      <c r="J3333">
        <v>0</v>
      </c>
      <c r="K3333">
        <v>0</v>
      </c>
      <c r="L3333" t="s">
        <v>240</v>
      </c>
      <c r="M3333" t="s">
        <v>1398</v>
      </c>
      <c r="N3333">
        <v>0</v>
      </c>
      <c r="O3333" t="s">
        <v>319</v>
      </c>
      <c r="P3333" t="s">
        <v>310</v>
      </c>
      <c r="Q3333" t="s">
        <v>310</v>
      </c>
      <c r="R3333" t="s">
        <v>310</v>
      </c>
      <c r="S3333">
        <v>9</v>
      </c>
      <c r="T3333" t="s">
        <v>310</v>
      </c>
      <c r="U3333">
        <v>9</v>
      </c>
      <c r="V3333">
        <v>9</v>
      </c>
      <c r="W3333">
        <v>0</v>
      </c>
      <c r="X3333">
        <v>0</v>
      </c>
      <c r="Y3333">
        <v>0</v>
      </c>
      <c r="Z3333">
        <v>0</v>
      </c>
      <c r="AA3333">
        <v>9</v>
      </c>
      <c r="AB3333">
        <v>9</v>
      </c>
      <c r="AC3333" t="s">
        <v>310</v>
      </c>
      <c r="AD3333">
        <v>9</v>
      </c>
      <c r="AE3333" t="s">
        <v>1394</v>
      </c>
      <c r="AF3333">
        <v>40000000</v>
      </c>
      <c r="AG3333" t="s">
        <v>310</v>
      </c>
      <c r="AH3333">
        <f>SUM((MID(Dyno_Data[[#This Row],[Team]],4,5))+(Dyno_Data[[#This Row],[Match]]/100))</f>
        <v>3173.61</v>
      </c>
      <c r="AI3333" s="76">
        <f>ROUND(SUM(IF(Dyno_Data[[#This Row],[AcqCenter]]&gt;0,Dyno_Data[[#This Row],[Time]]-SUMIFS(Dyno_Data[Time],Dyno_Data[Team],Dyno_Data[[#This Row],[Team]],Dyno_Data[RecordType],"StartMatch",Dyno_Data[Match],Dyno_Data[[#This Row],[Match]]),0)*86400),0)</f>
        <v>0</v>
      </c>
    </row>
    <row r="3334" spans="1:35" x14ac:dyDescent="0.3">
      <c r="A3334">
        <v>3333</v>
      </c>
      <c r="B3334" t="s">
        <v>1305</v>
      </c>
      <c r="C3334">
        <v>61</v>
      </c>
      <c r="D3334" s="105">
        <v>45374.395059571762</v>
      </c>
      <c r="E3334" t="s">
        <v>312</v>
      </c>
      <c r="F3334" t="s">
        <v>1402</v>
      </c>
      <c r="G3334">
        <v>0</v>
      </c>
      <c r="H3334" t="s">
        <v>315</v>
      </c>
      <c r="I3334">
        <v>0</v>
      </c>
      <c r="J3334">
        <v>0</v>
      </c>
      <c r="K3334">
        <v>0</v>
      </c>
      <c r="L3334" t="s">
        <v>240</v>
      </c>
      <c r="M3334" t="s">
        <v>1398</v>
      </c>
      <c r="N3334">
        <v>0</v>
      </c>
      <c r="O3334" t="s">
        <v>319</v>
      </c>
      <c r="P3334" t="s">
        <v>310</v>
      </c>
      <c r="Q3334" t="s">
        <v>310</v>
      </c>
      <c r="R3334" t="s">
        <v>310</v>
      </c>
      <c r="S3334">
        <v>9</v>
      </c>
      <c r="T3334" t="s">
        <v>310</v>
      </c>
      <c r="U3334">
        <v>9</v>
      </c>
      <c r="V3334">
        <v>9</v>
      </c>
      <c r="W3334">
        <v>0</v>
      </c>
      <c r="X3334">
        <v>0</v>
      </c>
      <c r="Y3334">
        <v>0</v>
      </c>
      <c r="Z3334">
        <v>0</v>
      </c>
      <c r="AA3334">
        <v>9</v>
      </c>
      <c r="AB3334">
        <v>9</v>
      </c>
      <c r="AC3334" t="s">
        <v>310</v>
      </c>
      <c r="AD3334">
        <v>9</v>
      </c>
      <c r="AE3334" t="s">
        <v>1394</v>
      </c>
      <c r="AF3334">
        <v>50000000</v>
      </c>
      <c r="AG3334" t="s">
        <v>310</v>
      </c>
      <c r="AH3334">
        <f>SUM((MID(Dyno_Data[[#This Row],[Team]],4,5))+(Dyno_Data[[#This Row],[Match]]/100))</f>
        <v>3173.61</v>
      </c>
      <c r="AI3334" s="76">
        <f>ROUND(SUM(IF(Dyno_Data[[#This Row],[AcqCenter]]&gt;0,Dyno_Data[[#This Row],[Time]]-SUMIFS(Dyno_Data[Time],Dyno_Data[Team],Dyno_Data[[#This Row],[Team]],Dyno_Data[RecordType],"StartMatch",Dyno_Data[Match],Dyno_Data[[#This Row],[Match]]),0)*86400),0)</f>
        <v>0</v>
      </c>
    </row>
    <row r="3335" spans="1:35" x14ac:dyDescent="0.3">
      <c r="A3335">
        <v>3334</v>
      </c>
      <c r="B3335" t="s">
        <v>1305</v>
      </c>
      <c r="C3335">
        <v>61</v>
      </c>
      <c r="D3335" s="105">
        <v>45374.395101770831</v>
      </c>
      <c r="E3335" t="s">
        <v>312</v>
      </c>
      <c r="F3335" t="s">
        <v>1402</v>
      </c>
      <c r="G3335">
        <v>0</v>
      </c>
      <c r="H3335" t="s">
        <v>315</v>
      </c>
      <c r="I3335">
        <v>0</v>
      </c>
      <c r="J3335">
        <v>0</v>
      </c>
      <c r="K3335">
        <v>0</v>
      </c>
      <c r="L3335" t="s">
        <v>240</v>
      </c>
      <c r="M3335" t="s">
        <v>1398</v>
      </c>
      <c r="N3335">
        <v>0</v>
      </c>
      <c r="O3335" t="s">
        <v>319</v>
      </c>
      <c r="P3335" t="s">
        <v>310</v>
      </c>
      <c r="Q3335" t="s">
        <v>310</v>
      </c>
      <c r="R3335" t="s">
        <v>310</v>
      </c>
      <c r="S3335">
        <v>9</v>
      </c>
      <c r="T3335" t="s">
        <v>310</v>
      </c>
      <c r="U3335">
        <v>9</v>
      </c>
      <c r="V3335">
        <v>9</v>
      </c>
      <c r="W3335">
        <v>0</v>
      </c>
      <c r="X3335">
        <v>0</v>
      </c>
      <c r="Y3335">
        <v>0</v>
      </c>
      <c r="Z3335">
        <v>0</v>
      </c>
      <c r="AA3335">
        <v>9</v>
      </c>
      <c r="AB3335">
        <v>9</v>
      </c>
      <c r="AC3335" t="s">
        <v>310</v>
      </c>
      <c r="AD3335">
        <v>9</v>
      </c>
      <c r="AE3335" t="s">
        <v>1394</v>
      </c>
      <c r="AF3335">
        <v>60000000</v>
      </c>
      <c r="AG3335" t="s">
        <v>310</v>
      </c>
      <c r="AH3335">
        <f>SUM((MID(Dyno_Data[[#This Row],[Team]],4,5))+(Dyno_Data[[#This Row],[Match]]/100))</f>
        <v>3173.61</v>
      </c>
      <c r="AI3335" s="76">
        <f>ROUND(SUM(IF(Dyno_Data[[#This Row],[AcqCenter]]&gt;0,Dyno_Data[[#This Row],[Time]]-SUMIFS(Dyno_Data[Time],Dyno_Data[Team],Dyno_Data[[#This Row],[Team]],Dyno_Data[RecordType],"StartMatch",Dyno_Data[Match],Dyno_Data[[#This Row],[Match]]),0)*86400),0)</f>
        <v>0</v>
      </c>
    </row>
    <row r="3336" spans="1:35" x14ac:dyDescent="0.3">
      <c r="A3336">
        <v>3335</v>
      </c>
      <c r="B3336" t="s">
        <v>1291</v>
      </c>
      <c r="C3336">
        <v>61</v>
      </c>
      <c r="D3336" s="105">
        <v>45374.395181215281</v>
      </c>
      <c r="E3336" t="s">
        <v>312</v>
      </c>
      <c r="F3336" t="s">
        <v>1402</v>
      </c>
      <c r="G3336">
        <v>0</v>
      </c>
      <c r="H3336" t="s">
        <v>315</v>
      </c>
      <c r="I3336">
        <v>0</v>
      </c>
      <c r="J3336">
        <v>0</v>
      </c>
      <c r="K3336">
        <v>0</v>
      </c>
      <c r="L3336" t="s">
        <v>241</v>
      </c>
      <c r="M3336" t="s">
        <v>101</v>
      </c>
      <c r="N3336">
        <v>0</v>
      </c>
      <c r="O3336" t="s">
        <v>1393</v>
      </c>
      <c r="P3336" t="s">
        <v>310</v>
      </c>
      <c r="Q3336" t="s">
        <v>310</v>
      </c>
      <c r="R3336" t="s">
        <v>310</v>
      </c>
      <c r="S3336">
        <v>9</v>
      </c>
      <c r="T3336" t="s">
        <v>310</v>
      </c>
      <c r="U3336">
        <v>9</v>
      </c>
      <c r="V3336">
        <v>9</v>
      </c>
      <c r="W3336">
        <v>0</v>
      </c>
      <c r="X3336">
        <v>0</v>
      </c>
      <c r="Y3336">
        <v>0</v>
      </c>
      <c r="Z3336">
        <v>0</v>
      </c>
      <c r="AA3336">
        <v>9</v>
      </c>
      <c r="AB3336">
        <v>9</v>
      </c>
      <c r="AC3336" t="s">
        <v>310</v>
      </c>
      <c r="AD3336">
        <v>9</v>
      </c>
      <c r="AE3336" t="s">
        <v>1390</v>
      </c>
      <c r="AF3336">
        <v>50000000</v>
      </c>
      <c r="AG3336" t="s">
        <v>310</v>
      </c>
      <c r="AH3336">
        <f>SUM((MID(Dyno_Data[[#This Row],[Team]],4,5))+(Dyno_Data[[#This Row],[Match]]/100))</f>
        <v>1493.61</v>
      </c>
      <c r="AI3336" s="76">
        <f>ROUND(SUM(IF(Dyno_Data[[#This Row],[AcqCenter]]&gt;0,Dyno_Data[[#This Row],[Time]]-SUMIFS(Dyno_Data[Time],Dyno_Data[Team],Dyno_Data[[#This Row],[Team]],Dyno_Data[RecordType],"StartMatch",Dyno_Data[Match],Dyno_Data[[#This Row],[Match]]),0)*86400),0)</f>
        <v>0</v>
      </c>
    </row>
    <row r="3337" spans="1:35" x14ac:dyDescent="0.3">
      <c r="A3337">
        <v>3336</v>
      </c>
      <c r="B3337" t="s">
        <v>1305</v>
      </c>
      <c r="C3337">
        <v>61</v>
      </c>
      <c r="D3337" s="105">
        <v>45374.395236840275</v>
      </c>
      <c r="E3337" t="s">
        <v>312</v>
      </c>
      <c r="F3337" t="s">
        <v>1402</v>
      </c>
      <c r="G3337">
        <v>0</v>
      </c>
      <c r="H3337" t="s">
        <v>315</v>
      </c>
      <c r="I3337">
        <v>0</v>
      </c>
      <c r="J3337">
        <v>0</v>
      </c>
      <c r="K3337">
        <v>0</v>
      </c>
      <c r="L3337" t="s">
        <v>241</v>
      </c>
      <c r="M3337" t="s">
        <v>101</v>
      </c>
      <c r="N3337">
        <v>0</v>
      </c>
      <c r="O3337" t="s">
        <v>319</v>
      </c>
      <c r="P3337" t="s">
        <v>310</v>
      </c>
      <c r="Q3337" t="s">
        <v>310</v>
      </c>
      <c r="R3337" t="s">
        <v>310</v>
      </c>
      <c r="S3337">
        <v>9</v>
      </c>
      <c r="T3337" t="s">
        <v>310</v>
      </c>
      <c r="U3337">
        <v>9</v>
      </c>
      <c r="V3337">
        <v>9</v>
      </c>
      <c r="W3337">
        <v>0</v>
      </c>
      <c r="X3337">
        <v>0</v>
      </c>
      <c r="Y3337">
        <v>0</v>
      </c>
      <c r="Z3337">
        <v>0</v>
      </c>
      <c r="AA3337">
        <v>9</v>
      </c>
      <c r="AB3337">
        <v>9</v>
      </c>
      <c r="AC3337" t="s">
        <v>310</v>
      </c>
      <c r="AD3337">
        <v>9</v>
      </c>
      <c r="AE3337" t="s">
        <v>1394</v>
      </c>
      <c r="AF3337">
        <v>70000000</v>
      </c>
      <c r="AG3337" t="s">
        <v>310</v>
      </c>
      <c r="AH3337">
        <f>SUM((MID(Dyno_Data[[#This Row],[Team]],4,5))+(Dyno_Data[[#This Row],[Match]]/100))</f>
        <v>3173.61</v>
      </c>
      <c r="AI3337" s="76">
        <f>ROUND(SUM(IF(Dyno_Data[[#This Row],[AcqCenter]]&gt;0,Dyno_Data[[#This Row],[Time]]-SUMIFS(Dyno_Data[Time],Dyno_Data[Team],Dyno_Data[[#This Row],[Team]],Dyno_Data[RecordType],"StartMatch",Dyno_Data[Match],Dyno_Data[[#This Row],[Match]]),0)*86400),0)</f>
        <v>0</v>
      </c>
    </row>
    <row r="3338" spans="1:35" x14ac:dyDescent="0.3">
      <c r="A3338">
        <v>3337</v>
      </c>
      <c r="B3338" t="s">
        <v>1291</v>
      </c>
      <c r="C3338">
        <v>61</v>
      </c>
      <c r="D3338" s="105">
        <v>45374.395323414348</v>
      </c>
      <c r="E3338" t="s">
        <v>312</v>
      </c>
      <c r="F3338" t="s">
        <v>1402</v>
      </c>
      <c r="G3338">
        <v>0</v>
      </c>
      <c r="H3338" t="s">
        <v>315</v>
      </c>
      <c r="I3338">
        <v>0</v>
      </c>
      <c r="J3338">
        <v>0</v>
      </c>
      <c r="K3338">
        <v>0</v>
      </c>
      <c r="L3338" t="s">
        <v>242</v>
      </c>
      <c r="M3338" t="s">
        <v>241</v>
      </c>
      <c r="N3338">
        <v>0</v>
      </c>
      <c r="O3338" t="s">
        <v>1393</v>
      </c>
      <c r="P3338" t="s">
        <v>310</v>
      </c>
      <c r="Q3338" t="s">
        <v>310</v>
      </c>
      <c r="R3338" t="s">
        <v>310</v>
      </c>
      <c r="S3338">
        <v>9</v>
      </c>
      <c r="T3338" t="s">
        <v>310</v>
      </c>
      <c r="U3338">
        <v>9</v>
      </c>
      <c r="V3338">
        <v>9</v>
      </c>
      <c r="W3338">
        <v>0</v>
      </c>
      <c r="X3338">
        <v>0</v>
      </c>
      <c r="Y3338">
        <v>0</v>
      </c>
      <c r="Z3338">
        <v>0</v>
      </c>
      <c r="AA3338">
        <v>9</v>
      </c>
      <c r="AB3338">
        <v>9</v>
      </c>
      <c r="AC3338" t="s">
        <v>310</v>
      </c>
      <c r="AD3338">
        <v>9</v>
      </c>
      <c r="AE3338" t="s">
        <v>1390</v>
      </c>
      <c r="AF3338">
        <v>60000000</v>
      </c>
      <c r="AG3338" t="s">
        <v>310</v>
      </c>
      <c r="AH3338">
        <f>SUM((MID(Dyno_Data[[#This Row],[Team]],4,5))+(Dyno_Data[[#This Row],[Match]]/100))</f>
        <v>1493.61</v>
      </c>
      <c r="AI3338" s="76">
        <f>ROUND(SUM(IF(Dyno_Data[[#This Row],[AcqCenter]]&gt;0,Dyno_Data[[#This Row],[Time]]-SUMIFS(Dyno_Data[Time],Dyno_Data[Team],Dyno_Data[[#This Row],[Team]],Dyno_Data[RecordType],"StartMatch",Dyno_Data[Match],Dyno_Data[[#This Row],[Match]]),0)*86400),0)</f>
        <v>0</v>
      </c>
    </row>
    <row r="3339" spans="1:35" x14ac:dyDescent="0.3">
      <c r="A3339">
        <v>3338</v>
      </c>
      <c r="B3339" t="s">
        <v>1305</v>
      </c>
      <c r="C3339">
        <v>61</v>
      </c>
      <c r="D3339" s="105">
        <v>45374.395386886572</v>
      </c>
      <c r="E3339" t="s">
        <v>312</v>
      </c>
      <c r="F3339" t="s">
        <v>1402</v>
      </c>
      <c r="G3339">
        <v>0</v>
      </c>
      <c r="H3339" t="s">
        <v>315</v>
      </c>
      <c r="I3339">
        <v>0</v>
      </c>
      <c r="J3339">
        <v>0</v>
      </c>
      <c r="K3339">
        <v>0</v>
      </c>
      <c r="L3339" t="s">
        <v>241</v>
      </c>
      <c r="M3339" t="s">
        <v>101</v>
      </c>
      <c r="N3339">
        <v>0</v>
      </c>
      <c r="O3339" t="s">
        <v>319</v>
      </c>
      <c r="P3339" t="s">
        <v>310</v>
      </c>
      <c r="Q3339" t="s">
        <v>310</v>
      </c>
      <c r="R3339" t="s">
        <v>310</v>
      </c>
      <c r="S3339">
        <v>9</v>
      </c>
      <c r="T3339" t="s">
        <v>310</v>
      </c>
      <c r="U3339">
        <v>9</v>
      </c>
      <c r="V3339">
        <v>9</v>
      </c>
      <c r="W3339">
        <v>0</v>
      </c>
      <c r="X3339">
        <v>0</v>
      </c>
      <c r="Y3339">
        <v>0</v>
      </c>
      <c r="Z3339">
        <v>0</v>
      </c>
      <c r="AA3339">
        <v>9</v>
      </c>
      <c r="AB3339">
        <v>9</v>
      </c>
      <c r="AC3339" t="s">
        <v>310</v>
      </c>
      <c r="AD3339">
        <v>9</v>
      </c>
      <c r="AE3339" t="s">
        <v>1394</v>
      </c>
      <c r="AF3339">
        <v>80000000</v>
      </c>
      <c r="AG3339" t="s">
        <v>310</v>
      </c>
      <c r="AH3339">
        <f>SUM((MID(Dyno_Data[[#This Row],[Team]],4,5))+(Dyno_Data[[#This Row],[Match]]/100))</f>
        <v>3173.61</v>
      </c>
      <c r="AI3339" s="76">
        <f>ROUND(SUM(IF(Dyno_Data[[#This Row],[AcqCenter]]&gt;0,Dyno_Data[[#This Row],[Time]]-SUMIFS(Dyno_Data[Time],Dyno_Data[Team],Dyno_Data[[#This Row],[Team]],Dyno_Data[RecordType],"StartMatch",Dyno_Data[Match],Dyno_Data[[#This Row],[Match]]),0)*86400),0)</f>
        <v>0</v>
      </c>
    </row>
    <row r="3340" spans="1:35" x14ac:dyDescent="0.3">
      <c r="A3340">
        <v>3339</v>
      </c>
      <c r="B3340" t="s">
        <v>1291</v>
      </c>
      <c r="C3340">
        <v>61</v>
      </c>
      <c r="D3340" s="105">
        <v>45374.395409641205</v>
      </c>
      <c r="E3340" t="s">
        <v>312</v>
      </c>
      <c r="F3340" t="s">
        <v>1402</v>
      </c>
      <c r="G3340">
        <v>0</v>
      </c>
      <c r="H3340" t="s">
        <v>315</v>
      </c>
      <c r="I3340">
        <v>0</v>
      </c>
      <c r="J3340">
        <v>0</v>
      </c>
      <c r="K3340">
        <v>0</v>
      </c>
      <c r="L3340" t="s">
        <v>242</v>
      </c>
      <c r="M3340" t="s">
        <v>241</v>
      </c>
      <c r="N3340">
        <v>0</v>
      </c>
      <c r="O3340" t="s">
        <v>1393</v>
      </c>
      <c r="P3340" t="s">
        <v>310</v>
      </c>
      <c r="Q3340" t="s">
        <v>310</v>
      </c>
      <c r="R3340" t="s">
        <v>310</v>
      </c>
      <c r="S3340">
        <v>9</v>
      </c>
      <c r="T3340" t="s">
        <v>310</v>
      </c>
      <c r="U3340">
        <v>9</v>
      </c>
      <c r="V3340">
        <v>9</v>
      </c>
      <c r="W3340">
        <v>0</v>
      </c>
      <c r="X3340">
        <v>0</v>
      </c>
      <c r="Y3340">
        <v>0</v>
      </c>
      <c r="Z3340">
        <v>0</v>
      </c>
      <c r="AA3340">
        <v>9</v>
      </c>
      <c r="AB3340">
        <v>9</v>
      </c>
      <c r="AC3340" t="s">
        <v>310</v>
      </c>
      <c r="AD3340">
        <v>9</v>
      </c>
      <c r="AE3340" t="s">
        <v>1390</v>
      </c>
      <c r="AF3340">
        <v>70000000</v>
      </c>
      <c r="AG3340" t="s">
        <v>310</v>
      </c>
      <c r="AH3340">
        <f>SUM((MID(Dyno_Data[[#This Row],[Team]],4,5))+(Dyno_Data[[#This Row],[Match]]/100))</f>
        <v>1493.61</v>
      </c>
      <c r="AI3340" s="76">
        <f>ROUND(SUM(IF(Dyno_Data[[#This Row],[AcqCenter]]&gt;0,Dyno_Data[[#This Row],[Time]]-SUMIFS(Dyno_Data[Time],Dyno_Data[Team],Dyno_Data[[#This Row],[Team]],Dyno_Data[RecordType],"StartMatch",Dyno_Data[Match],Dyno_Data[[#This Row],[Match]]),0)*86400),0)</f>
        <v>0</v>
      </c>
    </row>
    <row r="3341" spans="1:35" x14ac:dyDescent="0.3">
      <c r="A3341">
        <v>3340</v>
      </c>
      <c r="B3341" t="s">
        <v>1276</v>
      </c>
      <c r="C3341">
        <v>61</v>
      </c>
      <c r="D3341" s="105">
        <v>45374.395411921294</v>
      </c>
      <c r="E3341" t="s">
        <v>1403</v>
      </c>
      <c r="F3341" t="s">
        <v>1402</v>
      </c>
      <c r="G3341">
        <v>0</v>
      </c>
      <c r="H3341" t="s">
        <v>310</v>
      </c>
      <c r="I3341">
        <v>0</v>
      </c>
      <c r="J3341">
        <v>0</v>
      </c>
      <c r="K3341">
        <v>0</v>
      </c>
      <c r="L3341" t="s">
        <v>310</v>
      </c>
      <c r="M3341" t="s">
        <v>310</v>
      </c>
      <c r="N3341">
        <v>0</v>
      </c>
      <c r="O3341" t="s">
        <v>1395</v>
      </c>
      <c r="P3341" t="s">
        <v>310</v>
      </c>
      <c r="Q3341" t="s">
        <v>310</v>
      </c>
      <c r="R3341" t="s">
        <v>310</v>
      </c>
      <c r="S3341">
        <v>9</v>
      </c>
      <c r="T3341" t="s">
        <v>310</v>
      </c>
      <c r="U3341">
        <v>9</v>
      </c>
      <c r="V3341">
        <v>9</v>
      </c>
      <c r="W3341">
        <v>0</v>
      </c>
      <c r="X3341">
        <v>0</v>
      </c>
      <c r="Y3341">
        <v>0</v>
      </c>
      <c r="Z3341">
        <v>0</v>
      </c>
      <c r="AA3341">
        <v>9</v>
      </c>
      <c r="AB3341">
        <v>9</v>
      </c>
      <c r="AC3341" t="s">
        <v>310</v>
      </c>
      <c r="AD3341">
        <v>9</v>
      </c>
      <c r="AE3341" t="s">
        <v>1387</v>
      </c>
      <c r="AF3341">
        <v>70000000</v>
      </c>
      <c r="AG3341" t="s">
        <v>249</v>
      </c>
      <c r="AH3341">
        <f>SUM((MID(Dyno_Data[[#This Row],[Team]],4,5))+(Dyno_Data[[#This Row],[Match]]/100))</f>
        <v>229.61</v>
      </c>
      <c r="AI3341" s="76">
        <f>ROUND(SUM(IF(Dyno_Data[[#This Row],[AcqCenter]]&gt;0,Dyno_Data[[#This Row],[Time]]-SUMIFS(Dyno_Data[Time],Dyno_Data[Team],Dyno_Data[[#This Row],[Team]],Dyno_Data[RecordType],"StartMatch",Dyno_Data[Match],Dyno_Data[[#This Row],[Match]]),0)*86400),0)</f>
        <v>0</v>
      </c>
    </row>
    <row r="3342" spans="1:35" x14ac:dyDescent="0.3">
      <c r="A3342">
        <v>3341</v>
      </c>
      <c r="B3342" t="s">
        <v>369</v>
      </c>
      <c r="C3342">
        <v>61</v>
      </c>
      <c r="D3342" s="105">
        <v>45374.395487696762</v>
      </c>
      <c r="E3342" t="s">
        <v>1403</v>
      </c>
      <c r="F3342" t="s">
        <v>1402</v>
      </c>
      <c r="G3342">
        <v>0</v>
      </c>
      <c r="H3342" t="s">
        <v>310</v>
      </c>
      <c r="I3342">
        <v>0</v>
      </c>
      <c r="J3342">
        <v>0</v>
      </c>
      <c r="K3342">
        <v>0</v>
      </c>
      <c r="L3342" t="s">
        <v>310</v>
      </c>
      <c r="M3342" t="s">
        <v>310</v>
      </c>
      <c r="N3342">
        <v>0</v>
      </c>
      <c r="O3342" t="s">
        <v>311</v>
      </c>
      <c r="P3342" t="s">
        <v>310</v>
      </c>
      <c r="Q3342" t="s">
        <v>310</v>
      </c>
      <c r="R3342" t="s">
        <v>310</v>
      </c>
      <c r="S3342">
        <v>9</v>
      </c>
      <c r="T3342" t="s">
        <v>310</v>
      </c>
      <c r="U3342">
        <v>9</v>
      </c>
      <c r="V3342">
        <v>9</v>
      </c>
      <c r="W3342">
        <v>0</v>
      </c>
      <c r="X3342">
        <v>0</v>
      </c>
      <c r="Y3342">
        <v>0</v>
      </c>
      <c r="Z3342">
        <v>0</v>
      </c>
      <c r="AA3342">
        <v>9</v>
      </c>
      <c r="AB3342">
        <v>9</v>
      </c>
      <c r="AC3342" t="s">
        <v>310</v>
      </c>
      <c r="AD3342">
        <v>9</v>
      </c>
      <c r="AE3342" t="s">
        <v>1388</v>
      </c>
      <c r="AF3342">
        <v>70000000</v>
      </c>
      <c r="AG3342" t="s">
        <v>251</v>
      </c>
      <c r="AH3342">
        <f>SUM((MID(Dyno_Data[[#This Row],[Team]],4,5))+(Dyno_Data[[#This Row],[Match]]/100))</f>
        <v>6463.61</v>
      </c>
      <c r="AI3342" s="76">
        <f>ROUND(SUM(IF(Dyno_Data[[#This Row],[AcqCenter]]&gt;0,Dyno_Data[[#This Row],[Time]]-SUMIFS(Dyno_Data[Time],Dyno_Data[Team],Dyno_Data[[#This Row],[Team]],Dyno_Data[RecordType],"StartMatch",Dyno_Data[Match],Dyno_Data[[#This Row],[Match]]),0)*86400),0)</f>
        <v>0</v>
      </c>
    </row>
    <row r="3343" spans="1:35" x14ac:dyDescent="0.3">
      <c r="A3343">
        <v>3342</v>
      </c>
      <c r="B3343" t="s">
        <v>1305</v>
      </c>
      <c r="C3343">
        <v>61</v>
      </c>
      <c r="D3343" s="105">
        <v>45374.395526122687</v>
      </c>
      <c r="E3343" t="s">
        <v>312</v>
      </c>
      <c r="F3343" t="s">
        <v>1402</v>
      </c>
      <c r="G3343">
        <v>0</v>
      </c>
      <c r="H3343" t="s">
        <v>315</v>
      </c>
      <c r="I3343">
        <v>0</v>
      </c>
      <c r="J3343">
        <v>0</v>
      </c>
      <c r="K3343">
        <v>0</v>
      </c>
      <c r="L3343" t="s">
        <v>240</v>
      </c>
      <c r="M3343" t="s">
        <v>1398</v>
      </c>
      <c r="N3343">
        <v>0</v>
      </c>
      <c r="O3343" t="s">
        <v>319</v>
      </c>
      <c r="P3343" t="s">
        <v>310</v>
      </c>
      <c r="Q3343" t="s">
        <v>310</v>
      </c>
      <c r="R3343" t="s">
        <v>310</v>
      </c>
      <c r="S3343">
        <v>9</v>
      </c>
      <c r="T3343" t="s">
        <v>310</v>
      </c>
      <c r="U3343">
        <v>9</v>
      </c>
      <c r="V3343">
        <v>9</v>
      </c>
      <c r="W3343">
        <v>0</v>
      </c>
      <c r="X3343">
        <v>0</v>
      </c>
      <c r="Y3343">
        <v>0</v>
      </c>
      <c r="Z3343">
        <v>0</v>
      </c>
      <c r="AA3343">
        <v>9</v>
      </c>
      <c r="AB3343">
        <v>9</v>
      </c>
      <c r="AC3343" t="s">
        <v>310</v>
      </c>
      <c r="AD3343">
        <v>9</v>
      </c>
      <c r="AE3343" t="s">
        <v>1394</v>
      </c>
      <c r="AF3343">
        <v>90000000</v>
      </c>
      <c r="AG3343" t="s">
        <v>310</v>
      </c>
      <c r="AH3343">
        <f>SUM((MID(Dyno_Data[[#This Row],[Team]],4,5))+(Dyno_Data[[#This Row],[Match]]/100))</f>
        <v>3173.61</v>
      </c>
      <c r="AI3343" s="76">
        <f>ROUND(SUM(IF(Dyno_Data[[#This Row],[AcqCenter]]&gt;0,Dyno_Data[[#This Row],[Time]]-SUMIFS(Dyno_Data[Time],Dyno_Data[Team],Dyno_Data[[#This Row],[Team]],Dyno_Data[RecordType],"StartMatch",Dyno_Data[Match],Dyno_Data[[#This Row],[Match]]),0)*86400),0)</f>
        <v>0</v>
      </c>
    </row>
    <row r="3344" spans="1:35" x14ac:dyDescent="0.3">
      <c r="A3344">
        <v>3343</v>
      </c>
      <c r="B3344" t="s">
        <v>1305</v>
      </c>
      <c r="C3344">
        <v>61</v>
      </c>
      <c r="D3344" s="105">
        <v>45374.395611493055</v>
      </c>
      <c r="E3344" t="s">
        <v>312</v>
      </c>
      <c r="F3344" t="s">
        <v>1402</v>
      </c>
      <c r="G3344">
        <v>0</v>
      </c>
      <c r="H3344" t="s">
        <v>315</v>
      </c>
      <c r="I3344">
        <v>0</v>
      </c>
      <c r="J3344">
        <v>0</v>
      </c>
      <c r="K3344">
        <v>0</v>
      </c>
      <c r="L3344" t="s">
        <v>240</v>
      </c>
      <c r="M3344" t="s">
        <v>1398</v>
      </c>
      <c r="N3344">
        <v>0</v>
      </c>
      <c r="O3344" t="s">
        <v>319</v>
      </c>
      <c r="P3344" t="s">
        <v>310</v>
      </c>
      <c r="Q3344" t="s">
        <v>310</v>
      </c>
      <c r="R3344" t="s">
        <v>310</v>
      </c>
      <c r="S3344">
        <v>9</v>
      </c>
      <c r="T3344" t="s">
        <v>310</v>
      </c>
      <c r="U3344">
        <v>9</v>
      </c>
      <c r="V3344">
        <v>9</v>
      </c>
      <c r="W3344">
        <v>0</v>
      </c>
      <c r="X3344">
        <v>0</v>
      </c>
      <c r="Y3344">
        <v>0</v>
      </c>
      <c r="Z3344">
        <v>0</v>
      </c>
      <c r="AA3344">
        <v>9</v>
      </c>
      <c r="AB3344">
        <v>9</v>
      </c>
      <c r="AC3344" t="s">
        <v>310</v>
      </c>
      <c r="AD3344">
        <v>9</v>
      </c>
      <c r="AE3344" t="s">
        <v>1394</v>
      </c>
      <c r="AF3344">
        <v>100000000</v>
      </c>
      <c r="AG3344" t="s">
        <v>310</v>
      </c>
      <c r="AH3344">
        <f>SUM((MID(Dyno_Data[[#This Row],[Team]],4,5))+(Dyno_Data[[#This Row],[Match]]/100))</f>
        <v>3173.61</v>
      </c>
      <c r="AI3344" s="76">
        <f>ROUND(SUM(IF(Dyno_Data[[#This Row],[AcqCenter]]&gt;0,Dyno_Data[[#This Row],[Time]]-SUMIFS(Dyno_Data[Time],Dyno_Data[Team],Dyno_Data[[#This Row],[Team]],Dyno_Data[RecordType],"StartMatch",Dyno_Data[Match],Dyno_Data[[#This Row],[Match]]),0)*86400),0)</f>
        <v>0</v>
      </c>
    </row>
    <row r="3345" spans="1:35" x14ac:dyDescent="0.3">
      <c r="A3345">
        <v>3344</v>
      </c>
      <c r="B3345" t="s">
        <v>1291</v>
      </c>
      <c r="C3345">
        <v>61</v>
      </c>
      <c r="D3345" s="105">
        <v>45374.395612928238</v>
      </c>
      <c r="E3345" t="s">
        <v>312</v>
      </c>
      <c r="F3345" t="s">
        <v>1402</v>
      </c>
      <c r="G3345">
        <v>0</v>
      </c>
      <c r="H3345" t="s">
        <v>315</v>
      </c>
      <c r="I3345">
        <v>0</v>
      </c>
      <c r="J3345">
        <v>0</v>
      </c>
      <c r="K3345">
        <v>0</v>
      </c>
      <c r="L3345" t="s">
        <v>241</v>
      </c>
      <c r="M3345" t="s">
        <v>1398</v>
      </c>
      <c r="N3345">
        <v>0</v>
      </c>
      <c r="O3345" t="s">
        <v>1393</v>
      </c>
      <c r="P3345" t="s">
        <v>310</v>
      </c>
      <c r="Q3345" t="s">
        <v>310</v>
      </c>
      <c r="R3345" t="s">
        <v>310</v>
      </c>
      <c r="S3345">
        <v>9</v>
      </c>
      <c r="T3345" t="s">
        <v>310</v>
      </c>
      <c r="U3345">
        <v>9</v>
      </c>
      <c r="V3345">
        <v>9</v>
      </c>
      <c r="W3345">
        <v>0</v>
      </c>
      <c r="X3345">
        <v>0</v>
      </c>
      <c r="Y3345">
        <v>0</v>
      </c>
      <c r="Z3345">
        <v>0</v>
      </c>
      <c r="AA3345">
        <v>9</v>
      </c>
      <c r="AB3345">
        <v>9</v>
      </c>
      <c r="AC3345" t="s">
        <v>310</v>
      </c>
      <c r="AD3345">
        <v>9</v>
      </c>
      <c r="AE3345" t="s">
        <v>1390</v>
      </c>
      <c r="AF3345">
        <v>80000000</v>
      </c>
      <c r="AG3345" t="s">
        <v>310</v>
      </c>
      <c r="AH3345">
        <f>SUM((MID(Dyno_Data[[#This Row],[Team]],4,5))+(Dyno_Data[[#This Row],[Match]]/100))</f>
        <v>1493.61</v>
      </c>
      <c r="AI3345" s="76">
        <f>ROUND(SUM(IF(Dyno_Data[[#This Row],[AcqCenter]]&gt;0,Dyno_Data[[#This Row],[Time]]-SUMIFS(Dyno_Data[Time],Dyno_Data[Team],Dyno_Data[[#This Row],[Team]],Dyno_Data[RecordType],"StartMatch",Dyno_Data[Match],Dyno_Data[[#This Row],[Match]]),0)*86400),0)</f>
        <v>0</v>
      </c>
    </row>
    <row r="3346" spans="1:35" x14ac:dyDescent="0.3">
      <c r="A3346">
        <v>3345</v>
      </c>
      <c r="B3346" t="s">
        <v>1291</v>
      </c>
      <c r="C3346">
        <v>61</v>
      </c>
      <c r="D3346" s="105">
        <v>45374.395663738425</v>
      </c>
      <c r="E3346" t="s">
        <v>312</v>
      </c>
      <c r="F3346" t="s">
        <v>1402</v>
      </c>
      <c r="G3346">
        <v>0</v>
      </c>
      <c r="H3346" t="s">
        <v>315</v>
      </c>
      <c r="I3346">
        <v>0</v>
      </c>
      <c r="J3346">
        <v>0</v>
      </c>
      <c r="K3346">
        <v>0</v>
      </c>
      <c r="L3346" t="s">
        <v>241</v>
      </c>
      <c r="M3346" t="s">
        <v>1398</v>
      </c>
      <c r="N3346">
        <v>0</v>
      </c>
      <c r="O3346" t="s">
        <v>1393</v>
      </c>
      <c r="P3346" t="s">
        <v>310</v>
      </c>
      <c r="Q3346" t="s">
        <v>310</v>
      </c>
      <c r="R3346" t="s">
        <v>310</v>
      </c>
      <c r="S3346">
        <v>9</v>
      </c>
      <c r="T3346" t="s">
        <v>310</v>
      </c>
      <c r="U3346">
        <v>9</v>
      </c>
      <c r="V3346">
        <v>9</v>
      </c>
      <c r="W3346">
        <v>0</v>
      </c>
      <c r="X3346">
        <v>0</v>
      </c>
      <c r="Y3346">
        <v>0</v>
      </c>
      <c r="Z3346">
        <v>0</v>
      </c>
      <c r="AA3346">
        <v>9</v>
      </c>
      <c r="AB3346">
        <v>9</v>
      </c>
      <c r="AC3346" t="s">
        <v>310</v>
      </c>
      <c r="AD3346">
        <v>9</v>
      </c>
      <c r="AE3346" t="s">
        <v>1390</v>
      </c>
      <c r="AF3346">
        <v>90000000</v>
      </c>
      <c r="AG3346" t="s">
        <v>310</v>
      </c>
      <c r="AH3346">
        <f>SUM((MID(Dyno_Data[[#This Row],[Team]],4,5))+(Dyno_Data[[#This Row],[Match]]/100))</f>
        <v>1493.61</v>
      </c>
      <c r="AI3346" s="76">
        <f>ROUND(SUM(IF(Dyno_Data[[#This Row],[AcqCenter]]&gt;0,Dyno_Data[[#This Row],[Time]]-SUMIFS(Dyno_Data[Time],Dyno_Data[Team],Dyno_Data[[#This Row],[Team]],Dyno_Data[RecordType],"StartMatch",Dyno_Data[Match],Dyno_Data[[#This Row],[Match]]),0)*86400),0)</f>
        <v>0</v>
      </c>
    </row>
    <row r="3347" spans="1:35" x14ac:dyDescent="0.3">
      <c r="A3347">
        <v>3346</v>
      </c>
      <c r="B3347" t="s">
        <v>371</v>
      </c>
      <c r="C3347">
        <v>61</v>
      </c>
      <c r="D3347" s="105">
        <v>45374.395768055554</v>
      </c>
      <c r="E3347" t="s">
        <v>312</v>
      </c>
      <c r="F3347" t="s">
        <v>1402</v>
      </c>
      <c r="G3347">
        <v>0</v>
      </c>
      <c r="H3347" t="s">
        <v>315</v>
      </c>
      <c r="I3347">
        <v>0</v>
      </c>
      <c r="J3347">
        <v>0</v>
      </c>
      <c r="K3347">
        <v>0</v>
      </c>
      <c r="L3347" t="s">
        <v>240</v>
      </c>
      <c r="M3347" t="s">
        <v>1398</v>
      </c>
      <c r="N3347">
        <v>1</v>
      </c>
      <c r="O3347" t="s">
        <v>1391</v>
      </c>
      <c r="P3347" t="s">
        <v>310</v>
      </c>
      <c r="Q3347" t="s">
        <v>310</v>
      </c>
      <c r="R3347" t="s">
        <v>310</v>
      </c>
      <c r="S3347">
        <v>9</v>
      </c>
      <c r="T3347" t="s">
        <v>310</v>
      </c>
      <c r="U3347">
        <v>9</v>
      </c>
      <c r="V3347">
        <v>9</v>
      </c>
      <c r="W3347">
        <v>0</v>
      </c>
      <c r="X3347">
        <v>0</v>
      </c>
      <c r="Y3347">
        <v>0</v>
      </c>
      <c r="Z3347">
        <v>0</v>
      </c>
      <c r="AA3347">
        <v>9</v>
      </c>
      <c r="AB3347">
        <v>9</v>
      </c>
      <c r="AC3347" t="s">
        <v>310</v>
      </c>
      <c r="AD3347">
        <v>9</v>
      </c>
      <c r="AE3347" t="s">
        <v>1396</v>
      </c>
      <c r="AF3347">
        <v>10000000</v>
      </c>
      <c r="AG3347" t="s">
        <v>310</v>
      </c>
      <c r="AH3347">
        <f>SUM((MID(Dyno_Data[[#This Row],[Team]],4,5))+(Dyno_Data[[#This Row],[Match]]/100))</f>
        <v>6969.61</v>
      </c>
      <c r="AI3347" s="76">
        <f>ROUND(SUM(IF(Dyno_Data[[#This Row],[AcqCenter]]&gt;0,Dyno_Data[[#This Row],[Time]]-SUMIFS(Dyno_Data[Time],Dyno_Data[Team],Dyno_Data[[#This Row],[Team]],Dyno_Data[RecordType],"StartMatch",Dyno_Data[Match],Dyno_Data[[#This Row],[Match]]),0)*86400),0)</f>
        <v>0</v>
      </c>
    </row>
    <row r="3348" spans="1:35" x14ac:dyDescent="0.3">
      <c r="A3348">
        <v>3347</v>
      </c>
      <c r="B3348" t="s">
        <v>1305</v>
      </c>
      <c r="C3348">
        <v>61</v>
      </c>
      <c r="D3348" s="105">
        <v>45374.395772534721</v>
      </c>
      <c r="E3348" t="s">
        <v>312</v>
      </c>
      <c r="F3348" t="s">
        <v>1402</v>
      </c>
      <c r="G3348">
        <v>0</v>
      </c>
      <c r="H3348" t="s">
        <v>315</v>
      </c>
      <c r="I3348">
        <v>0</v>
      </c>
      <c r="J3348">
        <v>0</v>
      </c>
      <c r="K3348">
        <v>0</v>
      </c>
      <c r="L3348" t="s">
        <v>241</v>
      </c>
      <c r="M3348" t="s">
        <v>101</v>
      </c>
      <c r="N3348">
        <v>0</v>
      </c>
      <c r="O3348" t="s">
        <v>319</v>
      </c>
      <c r="P3348" t="s">
        <v>310</v>
      </c>
      <c r="Q3348" t="s">
        <v>310</v>
      </c>
      <c r="R3348" t="s">
        <v>310</v>
      </c>
      <c r="S3348">
        <v>9</v>
      </c>
      <c r="T3348" t="s">
        <v>310</v>
      </c>
      <c r="U3348">
        <v>9</v>
      </c>
      <c r="V3348">
        <v>9</v>
      </c>
      <c r="W3348">
        <v>0</v>
      </c>
      <c r="X3348">
        <v>0</v>
      </c>
      <c r="Y3348">
        <v>0</v>
      </c>
      <c r="Z3348">
        <v>0</v>
      </c>
      <c r="AA3348">
        <v>9</v>
      </c>
      <c r="AB3348">
        <v>9</v>
      </c>
      <c r="AC3348" t="s">
        <v>310</v>
      </c>
      <c r="AD3348">
        <v>9</v>
      </c>
      <c r="AE3348" t="s">
        <v>1394</v>
      </c>
      <c r="AF3348">
        <v>110000000</v>
      </c>
      <c r="AG3348" t="s">
        <v>310</v>
      </c>
      <c r="AH3348">
        <f>SUM((MID(Dyno_Data[[#This Row],[Team]],4,5))+(Dyno_Data[[#This Row],[Match]]/100))</f>
        <v>3173.61</v>
      </c>
      <c r="AI3348" s="76">
        <f>ROUND(SUM(IF(Dyno_Data[[#This Row],[AcqCenter]]&gt;0,Dyno_Data[[#This Row],[Time]]-SUMIFS(Dyno_Data[Time],Dyno_Data[Team],Dyno_Data[[#This Row],[Team]],Dyno_Data[RecordType],"StartMatch",Dyno_Data[Match],Dyno_Data[[#This Row],[Match]]),0)*86400),0)</f>
        <v>0</v>
      </c>
    </row>
    <row r="3349" spans="1:35" x14ac:dyDescent="0.3">
      <c r="A3349">
        <v>3348</v>
      </c>
      <c r="B3349" t="s">
        <v>1291</v>
      </c>
      <c r="C3349">
        <v>61</v>
      </c>
      <c r="D3349" s="105">
        <v>45374.395800775463</v>
      </c>
      <c r="E3349" t="s">
        <v>312</v>
      </c>
      <c r="F3349" t="s">
        <v>1402</v>
      </c>
      <c r="G3349">
        <v>0</v>
      </c>
      <c r="H3349" t="s">
        <v>315</v>
      </c>
      <c r="I3349">
        <v>0</v>
      </c>
      <c r="J3349">
        <v>0</v>
      </c>
      <c r="K3349">
        <v>0</v>
      </c>
      <c r="L3349" t="s">
        <v>242</v>
      </c>
      <c r="M3349" t="s">
        <v>241</v>
      </c>
      <c r="N3349">
        <v>0</v>
      </c>
      <c r="O3349" t="s">
        <v>1393</v>
      </c>
      <c r="P3349" t="s">
        <v>310</v>
      </c>
      <c r="Q3349" t="s">
        <v>310</v>
      </c>
      <c r="R3349" t="s">
        <v>310</v>
      </c>
      <c r="S3349">
        <v>9</v>
      </c>
      <c r="T3349" t="s">
        <v>310</v>
      </c>
      <c r="U3349">
        <v>9</v>
      </c>
      <c r="V3349">
        <v>9</v>
      </c>
      <c r="W3349">
        <v>0</v>
      </c>
      <c r="X3349">
        <v>0</v>
      </c>
      <c r="Y3349">
        <v>0</v>
      </c>
      <c r="Z3349">
        <v>0</v>
      </c>
      <c r="AA3349">
        <v>9</v>
      </c>
      <c r="AB3349">
        <v>9</v>
      </c>
      <c r="AC3349" t="s">
        <v>310</v>
      </c>
      <c r="AD3349">
        <v>9</v>
      </c>
      <c r="AE3349" t="s">
        <v>1390</v>
      </c>
      <c r="AF3349">
        <v>100000000</v>
      </c>
      <c r="AG3349" t="s">
        <v>310</v>
      </c>
      <c r="AH3349">
        <f>SUM((MID(Dyno_Data[[#This Row],[Team]],4,5))+(Dyno_Data[[#This Row],[Match]]/100))</f>
        <v>1493.61</v>
      </c>
      <c r="AI3349" s="76">
        <f>ROUND(SUM(IF(Dyno_Data[[#This Row],[AcqCenter]]&gt;0,Dyno_Data[[#This Row],[Time]]-SUMIFS(Dyno_Data[Time],Dyno_Data[Team],Dyno_Data[[#This Row],[Team]],Dyno_Data[RecordType],"StartMatch",Dyno_Data[Match],Dyno_Data[[#This Row],[Match]]),0)*86400),0)</f>
        <v>0</v>
      </c>
    </row>
    <row r="3350" spans="1:35" x14ac:dyDescent="0.3">
      <c r="A3350">
        <v>3349</v>
      </c>
      <c r="B3350" t="s">
        <v>1291</v>
      </c>
      <c r="C3350">
        <v>61</v>
      </c>
      <c r="D3350" s="105">
        <v>45374.395902581018</v>
      </c>
      <c r="E3350" t="s">
        <v>312</v>
      </c>
      <c r="F3350" t="s">
        <v>1402</v>
      </c>
      <c r="G3350">
        <v>0</v>
      </c>
      <c r="H3350" t="s">
        <v>315</v>
      </c>
      <c r="I3350">
        <v>0</v>
      </c>
      <c r="J3350">
        <v>0</v>
      </c>
      <c r="K3350">
        <v>0</v>
      </c>
      <c r="L3350" t="s">
        <v>242</v>
      </c>
      <c r="M3350" t="s">
        <v>241</v>
      </c>
      <c r="N3350">
        <v>0</v>
      </c>
      <c r="O3350" t="s">
        <v>1393</v>
      </c>
      <c r="P3350" t="s">
        <v>310</v>
      </c>
      <c r="Q3350" t="s">
        <v>310</v>
      </c>
      <c r="R3350" t="s">
        <v>310</v>
      </c>
      <c r="S3350">
        <v>9</v>
      </c>
      <c r="T3350" t="s">
        <v>310</v>
      </c>
      <c r="U3350">
        <v>9</v>
      </c>
      <c r="V3350">
        <v>9</v>
      </c>
      <c r="W3350">
        <v>0</v>
      </c>
      <c r="X3350">
        <v>0</v>
      </c>
      <c r="Y3350">
        <v>0</v>
      </c>
      <c r="Z3350">
        <v>0</v>
      </c>
      <c r="AA3350">
        <v>9</v>
      </c>
      <c r="AB3350">
        <v>9</v>
      </c>
      <c r="AC3350" t="s">
        <v>310</v>
      </c>
      <c r="AD3350">
        <v>9</v>
      </c>
      <c r="AE3350" t="s">
        <v>1390</v>
      </c>
      <c r="AF3350">
        <v>110000000</v>
      </c>
      <c r="AG3350" t="s">
        <v>310</v>
      </c>
      <c r="AH3350">
        <f>SUM((MID(Dyno_Data[[#This Row],[Team]],4,5))+(Dyno_Data[[#This Row],[Match]]/100))</f>
        <v>1493.61</v>
      </c>
      <c r="AI3350" s="76">
        <f>ROUND(SUM(IF(Dyno_Data[[#This Row],[AcqCenter]]&gt;0,Dyno_Data[[#This Row],[Time]]-SUMIFS(Dyno_Data[Time],Dyno_Data[Team],Dyno_Data[[#This Row],[Team]],Dyno_Data[RecordType],"StartMatch",Dyno_Data[Match],Dyno_Data[[#This Row],[Match]]),0)*86400),0)</f>
        <v>0</v>
      </c>
    </row>
    <row r="3351" spans="1:35" x14ac:dyDescent="0.3">
      <c r="A3351">
        <v>3350</v>
      </c>
      <c r="B3351" t="s">
        <v>1305</v>
      </c>
      <c r="C3351">
        <v>61</v>
      </c>
      <c r="D3351" s="105">
        <v>45374.395940543982</v>
      </c>
      <c r="E3351" t="s">
        <v>312</v>
      </c>
      <c r="F3351" t="s">
        <v>1402</v>
      </c>
      <c r="G3351">
        <v>0</v>
      </c>
      <c r="H3351" t="s">
        <v>315</v>
      </c>
      <c r="I3351">
        <v>0</v>
      </c>
      <c r="J3351">
        <v>0</v>
      </c>
      <c r="K3351">
        <v>0</v>
      </c>
      <c r="L3351" t="s">
        <v>241</v>
      </c>
      <c r="M3351" t="s">
        <v>101</v>
      </c>
      <c r="N3351">
        <v>0</v>
      </c>
      <c r="O3351" t="s">
        <v>319</v>
      </c>
      <c r="P3351" t="s">
        <v>310</v>
      </c>
      <c r="Q3351" t="s">
        <v>310</v>
      </c>
      <c r="R3351" t="s">
        <v>310</v>
      </c>
      <c r="S3351">
        <v>9</v>
      </c>
      <c r="T3351" t="s">
        <v>310</v>
      </c>
      <c r="U3351">
        <v>9</v>
      </c>
      <c r="V3351">
        <v>9</v>
      </c>
      <c r="W3351">
        <v>0</v>
      </c>
      <c r="X3351">
        <v>0</v>
      </c>
      <c r="Y3351">
        <v>0</v>
      </c>
      <c r="Z3351">
        <v>0</v>
      </c>
      <c r="AA3351">
        <v>9</v>
      </c>
      <c r="AB3351">
        <v>9</v>
      </c>
      <c r="AC3351" t="s">
        <v>310</v>
      </c>
      <c r="AD3351">
        <v>9</v>
      </c>
      <c r="AE3351" t="s">
        <v>1394</v>
      </c>
      <c r="AF3351">
        <v>120000000</v>
      </c>
      <c r="AG3351" t="s">
        <v>310</v>
      </c>
      <c r="AH3351">
        <f>SUM((MID(Dyno_Data[[#This Row],[Team]],4,5))+(Dyno_Data[[#This Row],[Match]]/100))</f>
        <v>3173.61</v>
      </c>
      <c r="AI3351" s="76">
        <f>ROUND(SUM(IF(Dyno_Data[[#This Row],[AcqCenter]]&gt;0,Dyno_Data[[#This Row],[Time]]-SUMIFS(Dyno_Data[Time],Dyno_Data[Team],Dyno_Data[[#This Row],[Team]],Dyno_Data[RecordType],"StartMatch",Dyno_Data[Match],Dyno_Data[[#This Row],[Match]]),0)*86400),0)</f>
        <v>0</v>
      </c>
    </row>
    <row r="3352" spans="1:35" x14ac:dyDescent="0.3">
      <c r="A3352">
        <v>3351</v>
      </c>
      <c r="B3352" t="s">
        <v>371</v>
      </c>
      <c r="C3352">
        <v>61</v>
      </c>
      <c r="D3352" s="105">
        <v>45374.396036261576</v>
      </c>
      <c r="E3352" t="s">
        <v>312</v>
      </c>
      <c r="F3352" t="s">
        <v>1402</v>
      </c>
      <c r="G3352">
        <v>0</v>
      </c>
      <c r="H3352" t="s">
        <v>315</v>
      </c>
      <c r="I3352">
        <v>0</v>
      </c>
      <c r="J3352">
        <v>0</v>
      </c>
      <c r="K3352">
        <v>0</v>
      </c>
      <c r="L3352" t="s">
        <v>240</v>
      </c>
      <c r="M3352" t="s">
        <v>1398</v>
      </c>
      <c r="N3352">
        <v>1</v>
      </c>
      <c r="O3352" t="s">
        <v>1391</v>
      </c>
      <c r="P3352" t="s">
        <v>310</v>
      </c>
      <c r="Q3352" t="s">
        <v>310</v>
      </c>
      <c r="R3352" t="s">
        <v>310</v>
      </c>
      <c r="S3352">
        <v>9</v>
      </c>
      <c r="T3352" t="s">
        <v>310</v>
      </c>
      <c r="U3352">
        <v>9</v>
      </c>
      <c r="V3352">
        <v>9</v>
      </c>
      <c r="W3352">
        <v>0</v>
      </c>
      <c r="X3352">
        <v>0</v>
      </c>
      <c r="Y3352">
        <v>0</v>
      </c>
      <c r="Z3352">
        <v>0</v>
      </c>
      <c r="AA3352">
        <v>9</v>
      </c>
      <c r="AB3352">
        <v>9</v>
      </c>
      <c r="AC3352" t="s">
        <v>310</v>
      </c>
      <c r="AD3352">
        <v>9</v>
      </c>
      <c r="AE3352" t="s">
        <v>1396</v>
      </c>
      <c r="AF3352">
        <v>20000000</v>
      </c>
      <c r="AG3352" t="s">
        <v>310</v>
      </c>
      <c r="AH3352">
        <f>SUM((MID(Dyno_Data[[#This Row],[Team]],4,5))+(Dyno_Data[[#This Row],[Match]]/100))</f>
        <v>6969.61</v>
      </c>
      <c r="AI3352" s="76">
        <f>ROUND(SUM(IF(Dyno_Data[[#This Row],[AcqCenter]]&gt;0,Dyno_Data[[#This Row],[Time]]-SUMIFS(Dyno_Data[Time],Dyno_Data[Team],Dyno_Data[[#This Row],[Team]],Dyno_Data[RecordType],"StartMatch",Dyno_Data[Match],Dyno_Data[[#This Row],[Match]]),0)*86400),0)</f>
        <v>0</v>
      </c>
    </row>
    <row r="3353" spans="1:35" x14ac:dyDescent="0.3">
      <c r="A3353">
        <v>3352</v>
      </c>
      <c r="B3353" t="s">
        <v>1291</v>
      </c>
      <c r="C3353">
        <v>61</v>
      </c>
      <c r="D3353" s="105">
        <v>45374.396058101855</v>
      </c>
      <c r="E3353" t="s">
        <v>312</v>
      </c>
      <c r="F3353" t="s">
        <v>1402</v>
      </c>
      <c r="G3353">
        <v>0</v>
      </c>
      <c r="H3353" t="s">
        <v>315</v>
      </c>
      <c r="I3353">
        <v>0</v>
      </c>
      <c r="J3353">
        <v>0</v>
      </c>
      <c r="K3353">
        <v>0</v>
      </c>
      <c r="L3353" t="s">
        <v>241</v>
      </c>
      <c r="M3353" t="s">
        <v>1398</v>
      </c>
      <c r="N3353">
        <v>0</v>
      </c>
      <c r="O3353" t="s">
        <v>1393</v>
      </c>
      <c r="P3353" t="s">
        <v>310</v>
      </c>
      <c r="Q3353" t="s">
        <v>310</v>
      </c>
      <c r="R3353" t="s">
        <v>310</v>
      </c>
      <c r="S3353">
        <v>9</v>
      </c>
      <c r="T3353" t="s">
        <v>310</v>
      </c>
      <c r="U3353">
        <v>9</v>
      </c>
      <c r="V3353">
        <v>9</v>
      </c>
      <c r="W3353">
        <v>0</v>
      </c>
      <c r="X3353">
        <v>0</v>
      </c>
      <c r="Y3353">
        <v>0</v>
      </c>
      <c r="Z3353">
        <v>0</v>
      </c>
      <c r="AA3353">
        <v>9</v>
      </c>
      <c r="AB3353">
        <v>9</v>
      </c>
      <c r="AC3353" t="s">
        <v>310</v>
      </c>
      <c r="AD3353">
        <v>9</v>
      </c>
      <c r="AE3353" t="s">
        <v>1390</v>
      </c>
      <c r="AF3353">
        <v>120000000</v>
      </c>
      <c r="AG3353" t="s">
        <v>310</v>
      </c>
      <c r="AH3353">
        <f>SUM((MID(Dyno_Data[[#This Row],[Team]],4,5))+(Dyno_Data[[#This Row],[Match]]/100))</f>
        <v>1493.61</v>
      </c>
      <c r="AI3353" s="76">
        <f>ROUND(SUM(IF(Dyno_Data[[#This Row],[AcqCenter]]&gt;0,Dyno_Data[[#This Row],[Time]]-SUMIFS(Dyno_Data[Time],Dyno_Data[Team],Dyno_Data[[#This Row],[Team]],Dyno_Data[RecordType],"StartMatch",Dyno_Data[Match],Dyno_Data[[#This Row],[Match]]),0)*86400),0)</f>
        <v>0</v>
      </c>
    </row>
    <row r="3354" spans="1:35" x14ac:dyDescent="0.3">
      <c r="A3354">
        <v>3353</v>
      </c>
      <c r="B3354" t="s">
        <v>1305</v>
      </c>
      <c r="C3354">
        <v>61</v>
      </c>
      <c r="D3354" s="105">
        <v>45374.39608510417</v>
      </c>
      <c r="E3354" t="s">
        <v>312</v>
      </c>
      <c r="F3354" t="s">
        <v>1402</v>
      </c>
      <c r="G3354">
        <v>0</v>
      </c>
      <c r="H3354" t="s">
        <v>315</v>
      </c>
      <c r="I3354">
        <v>0</v>
      </c>
      <c r="J3354">
        <v>0</v>
      </c>
      <c r="K3354">
        <v>0</v>
      </c>
      <c r="L3354" t="s">
        <v>240</v>
      </c>
      <c r="M3354" t="s">
        <v>1398</v>
      </c>
      <c r="N3354">
        <v>0</v>
      </c>
      <c r="O3354" t="s">
        <v>319</v>
      </c>
      <c r="P3354" t="s">
        <v>310</v>
      </c>
      <c r="Q3354" t="s">
        <v>310</v>
      </c>
      <c r="R3354" t="s">
        <v>310</v>
      </c>
      <c r="S3354">
        <v>9</v>
      </c>
      <c r="T3354" t="s">
        <v>310</v>
      </c>
      <c r="U3354">
        <v>9</v>
      </c>
      <c r="V3354">
        <v>9</v>
      </c>
      <c r="W3354">
        <v>0</v>
      </c>
      <c r="X3354">
        <v>0</v>
      </c>
      <c r="Y3354">
        <v>0</v>
      </c>
      <c r="Z3354">
        <v>0</v>
      </c>
      <c r="AA3354">
        <v>9</v>
      </c>
      <c r="AB3354">
        <v>9</v>
      </c>
      <c r="AC3354" t="s">
        <v>310</v>
      </c>
      <c r="AD3354">
        <v>9</v>
      </c>
      <c r="AE3354" t="s">
        <v>1394</v>
      </c>
      <c r="AF3354">
        <v>130000000</v>
      </c>
      <c r="AG3354" t="s">
        <v>310</v>
      </c>
      <c r="AH3354">
        <f>SUM((MID(Dyno_Data[[#This Row],[Team]],4,5))+(Dyno_Data[[#This Row],[Match]]/100))</f>
        <v>3173.61</v>
      </c>
      <c r="AI3354" s="76">
        <f>ROUND(SUM(IF(Dyno_Data[[#This Row],[AcqCenter]]&gt;0,Dyno_Data[[#This Row],[Time]]-SUMIFS(Dyno_Data[Time],Dyno_Data[Team],Dyno_Data[[#This Row],[Team]],Dyno_Data[RecordType],"StartMatch",Dyno_Data[Match],Dyno_Data[[#This Row],[Match]]),0)*86400),0)</f>
        <v>0</v>
      </c>
    </row>
    <row r="3355" spans="1:35" x14ac:dyDescent="0.3">
      <c r="A3355">
        <v>3354</v>
      </c>
      <c r="B3355" t="s">
        <v>1291</v>
      </c>
      <c r="C3355">
        <v>61</v>
      </c>
      <c r="D3355" s="105">
        <v>45374.396131099536</v>
      </c>
      <c r="E3355" t="s">
        <v>312</v>
      </c>
      <c r="F3355" t="s">
        <v>1402</v>
      </c>
      <c r="G3355">
        <v>0</v>
      </c>
      <c r="H3355" t="s">
        <v>315</v>
      </c>
      <c r="I3355">
        <v>0</v>
      </c>
      <c r="J3355">
        <v>0</v>
      </c>
      <c r="K3355">
        <v>0</v>
      </c>
      <c r="L3355" t="s">
        <v>241</v>
      </c>
      <c r="M3355" t="s">
        <v>1398</v>
      </c>
      <c r="N3355">
        <v>0</v>
      </c>
      <c r="O3355" t="s">
        <v>1393</v>
      </c>
      <c r="P3355" t="s">
        <v>310</v>
      </c>
      <c r="Q3355" t="s">
        <v>310</v>
      </c>
      <c r="R3355" t="s">
        <v>310</v>
      </c>
      <c r="S3355">
        <v>9</v>
      </c>
      <c r="T3355" t="s">
        <v>310</v>
      </c>
      <c r="U3355">
        <v>9</v>
      </c>
      <c r="V3355">
        <v>9</v>
      </c>
      <c r="W3355">
        <v>0</v>
      </c>
      <c r="X3355">
        <v>0</v>
      </c>
      <c r="Y3355">
        <v>0</v>
      </c>
      <c r="Z3355">
        <v>0</v>
      </c>
      <c r="AA3355">
        <v>9</v>
      </c>
      <c r="AB3355">
        <v>9</v>
      </c>
      <c r="AC3355" t="s">
        <v>310</v>
      </c>
      <c r="AD3355">
        <v>9</v>
      </c>
      <c r="AE3355" t="s">
        <v>1390</v>
      </c>
      <c r="AF3355">
        <v>130000000</v>
      </c>
      <c r="AG3355" t="s">
        <v>310</v>
      </c>
      <c r="AH3355">
        <f>SUM((MID(Dyno_Data[[#This Row],[Team]],4,5))+(Dyno_Data[[#This Row],[Match]]/100))</f>
        <v>1493.61</v>
      </c>
      <c r="AI3355" s="76">
        <f>ROUND(SUM(IF(Dyno_Data[[#This Row],[AcqCenter]]&gt;0,Dyno_Data[[#This Row],[Time]]-SUMIFS(Dyno_Data[Time],Dyno_Data[Team],Dyno_Data[[#This Row],[Team]],Dyno_Data[RecordType],"StartMatch",Dyno_Data[Match],Dyno_Data[[#This Row],[Match]]),0)*86400),0)</f>
        <v>0</v>
      </c>
    </row>
    <row r="3356" spans="1:35" x14ac:dyDescent="0.3">
      <c r="A3356">
        <v>3355</v>
      </c>
      <c r="B3356" t="s">
        <v>1291</v>
      </c>
      <c r="C3356">
        <v>61</v>
      </c>
      <c r="D3356" s="105">
        <v>45374.396205902776</v>
      </c>
      <c r="E3356" t="s">
        <v>312</v>
      </c>
      <c r="F3356" t="s">
        <v>1402</v>
      </c>
      <c r="G3356">
        <v>0</v>
      </c>
      <c r="H3356" t="s">
        <v>315</v>
      </c>
      <c r="I3356">
        <v>0</v>
      </c>
      <c r="J3356">
        <v>0</v>
      </c>
      <c r="K3356">
        <v>0</v>
      </c>
      <c r="L3356" t="s">
        <v>241</v>
      </c>
      <c r="M3356" t="s">
        <v>1398</v>
      </c>
      <c r="N3356">
        <v>0</v>
      </c>
      <c r="O3356" t="s">
        <v>1393</v>
      </c>
      <c r="P3356" t="s">
        <v>310</v>
      </c>
      <c r="Q3356" t="s">
        <v>310</v>
      </c>
      <c r="R3356" t="s">
        <v>310</v>
      </c>
      <c r="S3356">
        <v>9</v>
      </c>
      <c r="T3356" t="s">
        <v>310</v>
      </c>
      <c r="U3356">
        <v>9</v>
      </c>
      <c r="V3356">
        <v>9</v>
      </c>
      <c r="W3356">
        <v>0</v>
      </c>
      <c r="X3356">
        <v>0</v>
      </c>
      <c r="Y3356">
        <v>0</v>
      </c>
      <c r="Z3356">
        <v>0</v>
      </c>
      <c r="AA3356">
        <v>9</v>
      </c>
      <c r="AB3356">
        <v>9</v>
      </c>
      <c r="AC3356" t="s">
        <v>310</v>
      </c>
      <c r="AD3356">
        <v>9</v>
      </c>
      <c r="AE3356" t="s">
        <v>1390</v>
      </c>
      <c r="AF3356">
        <v>140000000</v>
      </c>
      <c r="AG3356" t="s">
        <v>310</v>
      </c>
      <c r="AH3356">
        <f>SUM((MID(Dyno_Data[[#This Row],[Team]],4,5))+(Dyno_Data[[#This Row],[Match]]/100))</f>
        <v>1493.61</v>
      </c>
      <c r="AI3356" s="76">
        <f>ROUND(SUM(IF(Dyno_Data[[#This Row],[AcqCenter]]&gt;0,Dyno_Data[[#This Row],[Time]]-SUMIFS(Dyno_Data[Time],Dyno_Data[Team],Dyno_Data[[#This Row],[Team]],Dyno_Data[RecordType],"StartMatch",Dyno_Data[Match],Dyno_Data[[#This Row],[Match]]),0)*86400),0)</f>
        <v>0</v>
      </c>
    </row>
    <row r="3357" spans="1:35" x14ac:dyDescent="0.3">
      <c r="A3357">
        <v>3356</v>
      </c>
      <c r="B3357" t="s">
        <v>371</v>
      </c>
      <c r="C3357">
        <v>61</v>
      </c>
      <c r="D3357" s="105">
        <v>45374.396317094906</v>
      </c>
      <c r="E3357" t="s">
        <v>312</v>
      </c>
      <c r="F3357" t="s">
        <v>1402</v>
      </c>
      <c r="G3357">
        <v>0</v>
      </c>
      <c r="H3357" t="s">
        <v>315</v>
      </c>
      <c r="I3357">
        <v>0</v>
      </c>
      <c r="J3357">
        <v>0</v>
      </c>
      <c r="K3357">
        <v>0</v>
      </c>
      <c r="L3357" t="s">
        <v>240</v>
      </c>
      <c r="M3357" t="s">
        <v>1398</v>
      </c>
      <c r="N3357">
        <v>0</v>
      </c>
      <c r="O3357" t="s">
        <v>1391</v>
      </c>
      <c r="P3357" t="s">
        <v>310</v>
      </c>
      <c r="Q3357" t="s">
        <v>310</v>
      </c>
      <c r="R3357" t="s">
        <v>310</v>
      </c>
      <c r="S3357">
        <v>9</v>
      </c>
      <c r="T3357" t="s">
        <v>310</v>
      </c>
      <c r="U3357">
        <v>9</v>
      </c>
      <c r="V3357">
        <v>9</v>
      </c>
      <c r="W3357">
        <v>0</v>
      </c>
      <c r="X3357">
        <v>0</v>
      </c>
      <c r="Y3357">
        <v>0</v>
      </c>
      <c r="Z3357">
        <v>0</v>
      </c>
      <c r="AA3357">
        <v>9</v>
      </c>
      <c r="AB3357">
        <v>9</v>
      </c>
      <c r="AC3357" t="s">
        <v>310</v>
      </c>
      <c r="AD3357">
        <v>9</v>
      </c>
      <c r="AE3357" t="s">
        <v>1396</v>
      </c>
      <c r="AF3357">
        <v>30000000</v>
      </c>
      <c r="AG3357" t="s">
        <v>310</v>
      </c>
      <c r="AH3357">
        <f>SUM((MID(Dyno_Data[[#This Row],[Team]],4,5))+(Dyno_Data[[#This Row],[Match]]/100))</f>
        <v>6969.61</v>
      </c>
      <c r="AI3357" s="76">
        <f>ROUND(SUM(IF(Dyno_Data[[#This Row],[AcqCenter]]&gt;0,Dyno_Data[[#This Row],[Time]]-SUMIFS(Dyno_Data[Time],Dyno_Data[Team],Dyno_Data[[#This Row],[Team]],Dyno_Data[RecordType],"StartMatch",Dyno_Data[Match],Dyno_Data[[#This Row],[Match]]),0)*86400),0)</f>
        <v>0</v>
      </c>
    </row>
    <row r="3358" spans="1:35" x14ac:dyDescent="0.3">
      <c r="A3358">
        <v>3357</v>
      </c>
      <c r="B3358" t="s">
        <v>369</v>
      </c>
      <c r="C3358">
        <v>61</v>
      </c>
      <c r="D3358" s="105">
        <v>45374.397076388886</v>
      </c>
      <c r="E3358" t="s">
        <v>316</v>
      </c>
      <c r="F3358" t="s">
        <v>317</v>
      </c>
      <c r="G3358">
        <v>0</v>
      </c>
      <c r="H3358" t="s">
        <v>310</v>
      </c>
      <c r="I3358">
        <v>0</v>
      </c>
      <c r="J3358">
        <v>0</v>
      </c>
      <c r="K3358">
        <v>0</v>
      </c>
      <c r="L3358" t="s">
        <v>310</v>
      </c>
      <c r="M3358" t="s">
        <v>310</v>
      </c>
      <c r="N3358">
        <v>0</v>
      </c>
      <c r="O3358" t="s">
        <v>311</v>
      </c>
      <c r="P3358" t="s">
        <v>320</v>
      </c>
      <c r="Q3358" t="s">
        <v>1399</v>
      </c>
      <c r="R3358" t="s">
        <v>321</v>
      </c>
      <c r="S3358">
        <v>0</v>
      </c>
      <c r="T3358" t="s">
        <v>105</v>
      </c>
      <c r="U3358">
        <v>9</v>
      </c>
      <c r="V3358">
        <v>9</v>
      </c>
      <c r="W3358">
        <v>0</v>
      </c>
      <c r="X3358">
        <v>0</v>
      </c>
      <c r="Y3358">
        <v>110.28591139999999</v>
      </c>
      <c r="Z3358">
        <v>26.409513799999999</v>
      </c>
      <c r="AA3358">
        <v>0</v>
      </c>
      <c r="AB3358">
        <v>0</v>
      </c>
      <c r="AC3358" t="s">
        <v>167</v>
      </c>
      <c r="AD3358">
        <v>0</v>
      </c>
      <c r="AE3358" t="s">
        <v>1388</v>
      </c>
      <c r="AF3358">
        <v>0</v>
      </c>
      <c r="AG3358" t="s">
        <v>310</v>
      </c>
      <c r="AH3358">
        <f>SUM((MID(Dyno_Data[[#This Row],[Team]],4,5))+(Dyno_Data[[#This Row],[Match]]/100))</f>
        <v>6463.61</v>
      </c>
      <c r="AI3358" s="76">
        <f>ROUND(SUM(IF(Dyno_Data[[#This Row],[AcqCenter]]&gt;0,Dyno_Data[[#This Row],[Time]]-SUMIFS(Dyno_Data[Time],Dyno_Data[Team],Dyno_Data[[#This Row],[Team]],Dyno_Data[RecordType],"StartMatch",Dyno_Data[Match],Dyno_Data[[#This Row],[Match]]),0)*86400),0)</f>
        <v>0</v>
      </c>
    </row>
    <row r="3359" spans="1:35" x14ac:dyDescent="0.3">
      <c r="A3359">
        <v>3358</v>
      </c>
      <c r="B3359" t="s">
        <v>371</v>
      </c>
      <c r="C3359">
        <v>61</v>
      </c>
      <c r="D3359" s="105">
        <v>45374.39707658565</v>
      </c>
      <c r="E3359" t="s">
        <v>316</v>
      </c>
      <c r="F3359" t="s">
        <v>317</v>
      </c>
      <c r="G3359">
        <v>0</v>
      </c>
      <c r="H3359" t="s">
        <v>310</v>
      </c>
      <c r="I3359">
        <v>0</v>
      </c>
      <c r="J3359">
        <v>0</v>
      </c>
      <c r="K3359">
        <v>0</v>
      </c>
      <c r="L3359" t="s">
        <v>310</v>
      </c>
      <c r="M3359" t="s">
        <v>310</v>
      </c>
      <c r="N3359">
        <v>0</v>
      </c>
      <c r="O3359" t="s">
        <v>1391</v>
      </c>
      <c r="P3359" t="s">
        <v>1401</v>
      </c>
      <c r="Q3359" t="s">
        <v>1400</v>
      </c>
      <c r="R3359" t="s">
        <v>321</v>
      </c>
      <c r="S3359">
        <v>0</v>
      </c>
      <c r="T3359" t="s">
        <v>105</v>
      </c>
      <c r="U3359">
        <v>9</v>
      </c>
      <c r="V3359">
        <v>9</v>
      </c>
      <c r="W3359">
        <v>0</v>
      </c>
      <c r="X3359">
        <v>12.346283999999999</v>
      </c>
      <c r="Y3359">
        <v>12.987367299999999</v>
      </c>
      <c r="Z3359">
        <v>112.03208649999999</v>
      </c>
      <c r="AA3359">
        <v>0</v>
      </c>
      <c r="AB3359">
        <v>1</v>
      </c>
      <c r="AC3359" t="s">
        <v>174</v>
      </c>
      <c r="AD3359">
        <v>9</v>
      </c>
      <c r="AE3359" t="s">
        <v>1396</v>
      </c>
      <c r="AF3359">
        <v>30000000</v>
      </c>
      <c r="AG3359" t="s">
        <v>310</v>
      </c>
      <c r="AH3359">
        <f>SUM((MID(Dyno_Data[[#This Row],[Team]],4,5))+(Dyno_Data[[#This Row],[Match]]/100))</f>
        <v>6969.61</v>
      </c>
      <c r="AI3359" s="76">
        <f>ROUND(SUM(IF(Dyno_Data[[#This Row],[AcqCenter]]&gt;0,Dyno_Data[[#This Row],[Time]]-SUMIFS(Dyno_Data[Time],Dyno_Data[Team],Dyno_Data[[#This Row],[Team]],Dyno_Data[RecordType],"StartMatch",Dyno_Data[Match],Dyno_Data[[#This Row],[Match]]),0)*86400),0)</f>
        <v>0</v>
      </c>
    </row>
    <row r="3360" spans="1:35" x14ac:dyDescent="0.3">
      <c r="A3360">
        <v>3359</v>
      </c>
      <c r="B3360" t="s">
        <v>1305</v>
      </c>
      <c r="C3360">
        <v>61</v>
      </c>
      <c r="D3360" s="105">
        <v>45374.39707658565</v>
      </c>
      <c r="E3360" t="s">
        <v>316</v>
      </c>
      <c r="F3360" t="s">
        <v>317</v>
      </c>
      <c r="G3360">
        <v>1</v>
      </c>
      <c r="H3360" t="s">
        <v>310</v>
      </c>
      <c r="I3360">
        <v>0</v>
      </c>
      <c r="J3360">
        <v>0</v>
      </c>
      <c r="K3360">
        <v>0</v>
      </c>
      <c r="L3360" t="s">
        <v>310</v>
      </c>
      <c r="M3360" t="s">
        <v>310</v>
      </c>
      <c r="N3360">
        <v>0</v>
      </c>
      <c r="O3360" t="s">
        <v>319</v>
      </c>
      <c r="P3360" t="s">
        <v>101</v>
      </c>
      <c r="Q3360" t="s">
        <v>1400</v>
      </c>
      <c r="R3360" t="s">
        <v>1404</v>
      </c>
      <c r="S3360">
        <v>0</v>
      </c>
      <c r="T3360" t="s">
        <v>105</v>
      </c>
      <c r="U3360">
        <v>9</v>
      </c>
      <c r="V3360">
        <v>9</v>
      </c>
      <c r="W3360">
        <v>0</v>
      </c>
      <c r="X3360">
        <v>37.872864899999996</v>
      </c>
      <c r="Y3360">
        <v>20.745625999999998</v>
      </c>
      <c r="Z3360">
        <v>76.994848500000003</v>
      </c>
      <c r="AA3360">
        <v>0</v>
      </c>
      <c r="AB3360">
        <v>1</v>
      </c>
      <c r="AC3360" t="s">
        <v>174</v>
      </c>
      <c r="AD3360">
        <v>9</v>
      </c>
      <c r="AE3360" t="s">
        <v>1394</v>
      </c>
      <c r="AF3360">
        <v>130000000</v>
      </c>
      <c r="AG3360" t="s">
        <v>310</v>
      </c>
      <c r="AH3360">
        <f>SUM((MID(Dyno_Data[[#This Row],[Team]],4,5))+(Dyno_Data[[#This Row],[Match]]/100))</f>
        <v>3173.61</v>
      </c>
      <c r="AI3360" s="76">
        <f>ROUND(SUM(IF(Dyno_Data[[#This Row],[AcqCenter]]&gt;0,Dyno_Data[[#This Row],[Time]]-SUMIFS(Dyno_Data[Time],Dyno_Data[Team],Dyno_Data[[#This Row],[Team]],Dyno_Data[RecordType],"StartMatch",Dyno_Data[Match],Dyno_Data[[#This Row],[Match]]),0)*86400),0)</f>
        <v>0</v>
      </c>
    </row>
    <row r="3361" spans="1:35" x14ac:dyDescent="0.3">
      <c r="A3361">
        <v>3360</v>
      </c>
      <c r="B3361" t="s">
        <v>1291</v>
      </c>
      <c r="C3361">
        <v>61</v>
      </c>
      <c r="D3361" s="105">
        <v>45374.397076770831</v>
      </c>
      <c r="E3361" t="s">
        <v>316</v>
      </c>
      <c r="F3361" t="s">
        <v>317</v>
      </c>
      <c r="G3361">
        <v>1</v>
      </c>
      <c r="H3361" t="s">
        <v>310</v>
      </c>
      <c r="I3361">
        <v>0</v>
      </c>
      <c r="J3361">
        <v>0</v>
      </c>
      <c r="K3361">
        <v>0</v>
      </c>
      <c r="L3361" t="s">
        <v>310</v>
      </c>
      <c r="M3361" t="s">
        <v>310</v>
      </c>
      <c r="N3361">
        <v>0</v>
      </c>
      <c r="O3361" t="s">
        <v>1393</v>
      </c>
      <c r="P3361" t="s">
        <v>240</v>
      </c>
      <c r="Q3361" t="s">
        <v>1400</v>
      </c>
      <c r="R3361" t="s">
        <v>321</v>
      </c>
      <c r="S3361">
        <v>0</v>
      </c>
      <c r="T3361" t="s">
        <v>105</v>
      </c>
      <c r="U3361">
        <v>9</v>
      </c>
      <c r="V3361">
        <v>9</v>
      </c>
      <c r="W3361">
        <v>0</v>
      </c>
      <c r="X3361">
        <v>31.412668099999998</v>
      </c>
      <c r="Y3361">
        <v>34.383530100000002</v>
      </c>
      <c r="Z3361">
        <v>69.4425746</v>
      </c>
      <c r="AA3361">
        <v>0</v>
      </c>
      <c r="AB3361">
        <v>1</v>
      </c>
      <c r="AC3361" t="s">
        <v>174</v>
      </c>
      <c r="AD3361">
        <v>9</v>
      </c>
      <c r="AE3361" t="s">
        <v>1390</v>
      </c>
      <c r="AF3361">
        <v>140000000</v>
      </c>
      <c r="AG3361" t="s">
        <v>310</v>
      </c>
      <c r="AH3361">
        <f>SUM((MID(Dyno_Data[[#This Row],[Team]],4,5))+(Dyno_Data[[#This Row],[Match]]/100))</f>
        <v>1493.61</v>
      </c>
      <c r="AI3361" s="76">
        <f>ROUND(SUM(IF(Dyno_Data[[#This Row],[AcqCenter]]&gt;0,Dyno_Data[[#This Row],[Time]]-SUMIFS(Dyno_Data[Time],Dyno_Data[Team],Dyno_Data[[#This Row],[Team]],Dyno_Data[RecordType],"StartMatch",Dyno_Data[Match],Dyno_Data[[#This Row],[Match]]),0)*86400),0)</f>
        <v>0</v>
      </c>
    </row>
    <row r="3362" spans="1:35" x14ac:dyDescent="0.3">
      <c r="A3362">
        <v>3361</v>
      </c>
      <c r="B3362" t="s">
        <v>373</v>
      </c>
      <c r="C3362">
        <v>61</v>
      </c>
      <c r="D3362" s="105">
        <v>45374.397076932873</v>
      </c>
      <c r="E3362" t="s">
        <v>316</v>
      </c>
      <c r="F3362" t="s">
        <v>317</v>
      </c>
      <c r="G3362">
        <v>0</v>
      </c>
      <c r="H3362" t="s">
        <v>310</v>
      </c>
      <c r="I3362">
        <v>0</v>
      </c>
      <c r="J3362">
        <v>0</v>
      </c>
      <c r="K3362">
        <v>0</v>
      </c>
      <c r="L3362" t="s">
        <v>310</v>
      </c>
      <c r="M3362" t="s">
        <v>310</v>
      </c>
      <c r="N3362">
        <v>0</v>
      </c>
      <c r="O3362" t="s">
        <v>1389</v>
      </c>
      <c r="P3362" t="s">
        <v>1401</v>
      </c>
      <c r="Q3362" t="s">
        <v>1399</v>
      </c>
      <c r="R3362" t="s">
        <v>321</v>
      </c>
      <c r="S3362">
        <v>0</v>
      </c>
      <c r="T3362" t="s">
        <v>105</v>
      </c>
      <c r="U3362">
        <v>9</v>
      </c>
      <c r="V3362">
        <v>9</v>
      </c>
      <c r="W3362">
        <v>0</v>
      </c>
      <c r="X3362">
        <v>0</v>
      </c>
      <c r="Y3362">
        <v>75.791726999999995</v>
      </c>
      <c r="Z3362">
        <v>61.205528199999996</v>
      </c>
      <c r="AA3362">
        <v>3</v>
      </c>
      <c r="AB3362">
        <v>0</v>
      </c>
      <c r="AC3362" t="s">
        <v>170</v>
      </c>
      <c r="AD3362">
        <v>0</v>
      </c>
      <c r="AE3362" t="s">
        <v>1392</v>
      </c>
      <c r="AF3362">
        <v>0</v>
      </c>
      <c r="AG3362" t="s">
        <v>310</v>
      </c>
      <c r="AH3362">
        <f>SUM((MID(Dyno_Data[[#This Row],[Team]],4,5))+(Dyno_Data[[#This Row],[Match]]/100))</f>
        <v>7718.61</v>
      </c>
      <c r="AI3362" s="76">
        <f>ROUND(SUM(IF(Dyno_Data[[#This Row],[AcqCenter]]&gt;0,Dyno_Data[[#This Row],[Time]]-SUMIFS(Dyno_Data[Time],Dyno_Data[Team],Dyno_Data[[#This Row],[Team]],Dyno_Data[RecordType],"StartMatch",Dyno_Data[Match],Dyno_Data[[#This Row],[Match]]),0)*86400),0)</f>
        <v>0</v>
      </c>
    </row>
    <row r="3363" spans="1:35" x14ac:dyDescent="0.3">
      <c r="A3363">
        <v>3362</v>
      </c>
      <c r="B3363" t="s">
        <v>1276</v>
      </c>
      <c r="C3363">
        <v>61</v>
      </c>
      <c r="D3363" s="105">
        <v>45374.397076932873</v>
      </c>
      <c r="E3363" t="s">
        <v>316</v>
      </c>
      <c r="F3363" t="s">
        <v>317</v>
      </c>
      <c r="G3363">
        <v>0</v>
      </c>
      <c r="H3363" t="s">
        <v>310</v>
      </c>
      <c r="I3363">
        <v>0</v>
      </c>
      <c r="J3363">
        <v>0</v>
      </c>
      <c r="K3363">
        <v>0</v>
      </c>
      <c r="L3363" t="s">
        <v>310</v>
      </c>
      <c r="M3363" t="s">
        <v>310</v>
      </c>
      <c r="N3363">
        <v>0</v>
      </c>
      <c r="O3363" t="s">
        <v>1395</v>
      </c>
      <c r="P3363" t="s">
        <v>101</v>
      </c>
      <c r="Q3363" t="s">
        <v>1400</v>
      </c>
      <c r="R3363" t="s">
        <v>321</v>
      </c>
      <c r="S3363">
        <v>0</v>
      </c>
      <c r="T3363" t="s">
        <v>105</v>
      </c>
      <c r="U3363">
        <v>9</v>
      </c>
      <c r="V3363">
        <v>9</v>
      </c>
      <c r="W3363">
        <v>0</v>
      </c>
      <c r="X3363">
        <v>65.462534899999994</v>
      </c>
      <c r="Y3363">
        <v>33.816823599999999</v>
      </c>
      <c r="Z3363">
        <v>38.5838629</v>
      </c>
      <c r="AA3363">
        <v>2</v>
      </c>
      <c r="AB3363">
        <v>0</v>
      </c>
      <c r="AC3363" t="s">
        <v>167</v>
      </c>
      <c r="AD3363">
        <v>9</v>
      </c>
      <c r="AE3363" t="s">
        <v>1387</v>
      </c>
      <c r="AF3363">
        <v>0</v>
      </c>
      <c r="AG3363" t="s">
        <v>310</v>
      </c>
      <c r="AH3363">
        <f>SUM((MID(Dyno_Data[[#This Row],[Team]],4,5))+(Dyno_Data[[#This Row],[Match]]/100))</f>
        <v>229.61</v>
      </c>
      <c r="AI3363" s="76">
        <f>ROUND(SUM(IF(Dyno_Data[[#This Row],[AcqCenter]]&gt;0,Dyno_Data[[#This Row],[Time]]-SUMIFS(Dyno_Data[Time],Dyno_Data[Team],Dyno_Data[[#This Row],[Team]],Dyno_Data[RecordType],"StartMatch",Dyno_Data[Match],Dyno_Data[[#This Row],[Match]]),0)*86400),0)</f>
        <v>0</v>
      </c>
    </row>
    <row r="3364" spans="1:35" x14ac:dyDescent="0.3">
      <c r="A3364">
        <v>3373</v>
      </c>
      <c r="B3364" t="s">
        <v>1279</v>
      </c>
      <c r="C3364">
        <v>62</v>
      </c>
      <c r="D3364" s="105">
        <v>45374.403039780096</v>
      </c>
      <c r="E3364" t="s">
        <v>308</v>
      </c>
      <c r="F3364" t="s">
        <v>309</v>
      </c>
      <c r="G3364">
        <v>0</v>
      </c>
      <c r="H3364" t="s">
        <v>310</v>
      </c>
      <c r="I3364">
        <v>0</v>
      </c>
      <c r="J3364">
        <v>0</v>
      </c>
      <c r="K3364">
        <v>0</v>
      </c>
      <c r="L3364" t="s">
        <v>310</v>
      </c>
      <c r="M3364" t="s">
        <v>310</v>
      </c>
      <c r="N3364">
        <v>0</v>
      </c>
      <c r="O3364" t="s">
        <v>1395</v>
      </c>
      <c r="P3364" t="s">
        <v>310</v>
      </c>
      <c r="Q3364" t="s">
        <v>310</v>
      </c>
      <c r="R3364" t="s">
        <v>310</v>
      </c>
      <c r="S3364">
        <v>9</v>
      </c>
      <c r="T3364" t="s">
        <v>310</v>
      </c>
      <c r="U3364">
        <v>9</v>
      </c>
      <c r="V3364">
        <v>9</v>
      </c>
      <c r="W3364">
        <v>0</v>
      </c>
      <c r="X3364">
        <v>0</v>
      </c>
      <c r="Y3364">
        <v>0</v>
      </c>
      <c r="Z3364">
        <v>0</v>
      </c>
      <c r="AA3364">
        <v>9</v>
      </c>
      <c r="AB3364">
        <v>9</v>
      </c>
      <c r="AC3364" t="s">
        <v>310</v>
      </c>
      <c r="AD3364">
        <v>9</v>
      </c>
      <c r="AE3364" t="s">
        <v>1387</v>
      </c>
      <c r="AF3364">
        <v>0</v>
      </c>
      <c r="AG3364" t="s">
        <v>310</v>
      </c>
      <c r="AH3364">
        <f>SUM((MID(Dyno_Data[[#This Row],[Team]],4,5))+(Dyno_Data[[#This Row],[Match]]/100))</f>
        <v>5149.62</v>
      </c>
      <c r="AI3364" s="76">
        <f>ROUND(SUM(IF(Dyno_Data[[#This Row],[AcqCenter]]&gt;0,Dyno_Data[[#This Row],[Time]]-SUMIFS(Dyno_Data[Time],Dyno_Data[Team],Dyno_Data[[#This Row],[Team]],Dyno_Data[RecordType],"StartMatch",Dyno_Data[Match],Dyno_Data[[#This Row],[Match]]),0)*86400),0)</f>
        <v>0</v>
      </c>
    </row>
    <row r="3365" spans="1:35" x14ac:dyDescent="0.3">
      <c r="A3365">
        <v>3375</v>
      </c>
      <c r="B3365" t="s">
        <v>1285</v>
      </c>
      <c r="C3365">
        <v>62</v>
      </c>
      <c r="D3365" s="105">
        <v>45374.403041168982</v>
      </c>
      <c r="E3365" t="s">
        <v>308</v>
      </c>
      <c r="F3365" t="s">
        <v>309</v>
      </c>
      <c r="G3365">
        <v>0</v>
      </c>
      <c r="H3365" t="s">
        <v>310</v>
      </c>
      <c r="I3365">
        <v>0</v>
      </c>
      <c r="J3365">
        <v>0</v>
      </c>
      <c r="K3365">
        <v>0</v>
      </c>
      <c r="L3365" t="s">
        <v>310</v>
      </c>
      <c r="M3365" t="s">
        <v>310</v>
      </c>
      <c r="N3365">
        <v>0</v>
      </c>
      <c r="O3365" t="s">
        <v>311</v>
      </c>
      <c r="P3365" t="s">
        <v>310</v>
      </c>
      <c r="Q3365" t="s">
        <v>310</v>
      </c>
      <c r="R3365" t="s">
        <v>310</v>
      </c>
      <c r="S3365">
        <v>9</v>
      </c>
      <c r="T3365" t="s">
        <v>310</v>
      </c>
      <c r="U3365">
        <v>9</v>
      </c>
      <c r="V3365">
        <v>9</v>
      </c>
      <c r="W3365">
        <v>0</v>
      </c>
      <c r="X3365">
        <v>0</v>
      </c>
      <c r="Y3365">
        <v>0</v>
      </c>
      <c r="Z3365">
        <v>0</v>
      </c>
      <c r="AA3365">
        <v>9</v>
      </c>
      <c r="AB3365">
        <v>9</v>
      </c>
      <c r="AC3365" t="s">
        <v>310</v>
      </c>
      <c r="AD3365">
        <v>9</v>
      </c>
      <c r="AE3365" t="s">
        <v>1388</v>
      </c>
      <c r="AF3365">
        <v>0</v>
      </c>
      <c r="AG3365" t="s">
        <v>310</v>
      </c>
      <c r="AH3365">
        <f>SUM((MID(Dyno_Data[[#This Row],[Team]],4,5))+(Dyno_Data[[#This Row],[Match]]/100))</f>
        <v>5993.62</v>
      </c>
      <c r="AI3365" s="76">
        <f>ROUND(SUM(IF(Dyno_Data[[#This Row],[AcqCenter]]&gt;0,Dyno_Data[[#This Row],[Time]]-SUMIFS(Dyno_Data[Time],Dyno_Data[Team],Dyno_Data[[#This Row],[Team]],Dyno_Data[RecordType],"StartMatch",Dyno_Data[Match],Dyno_Data[[#This Row],[Match]]),0)*86400),0)</f>
        <v>0</v>
      </c>
    </row>
    <row r="3366" spans="1:35" x14ac:dyDescent="0.3">
      <c r="A3366">
        <v>3377</v>
      </c>
      <c r="B3366" t="s">
        <v>366</v>
      </c>
      <c r="C3366">
        <v>62</v>
      </c>
      <c r="D3366" s="105">
        <v>45374.403046377316</v>
      </c>
      <c r="E3366" t="s">
        <v>308</v>
      </c>
      <c r="F3366" t="s">
        <v>309</v>
      </c>
      <c r="G3366">
        <v>0</v>
      </c>
      <c r="H3366" t="s">
        <v>310</v>
      </c>
      <c r="I3366">
        <v>0</v>
      </c>
      <c r="J3366">
        <v>0</v>
      </c>
      <c r="K3366">
        <v>0</v>
      </c>
      <c r="L3366" t="s">
        <v>310</v>
      </c>
      <c r="M3366" t="s">
        <v>310</v>
      </c>
      <c r="N3366">
        <v>0</v>
      </c>
      <c r="O3366" t="s">
        <v>319</v>
      </c>
      <c r="P3366" t="s">
        <v>310</v>
      </c>
      <c r="Q3366" t="s">
        <v>310</v>
      </c>
      <c r="R3366" t="s">
        <v>310</v>
      </c>
      <c r="S3366">
        <v>9</v>
      </c>
      <c r="T3366" t="s">
        <v>310</v>
      </c>
      <c r="U3366">
        <v>9</v>
      </c>
      <c r="V3366">
        <v>9</v>
      </c>
      <c r="W3366">
        <v>0</v>
      </c>
      <c r="X3366">
        <v>0</v>
      </c>
      <c r="Y3366">
        <v>0</v>
      </c>
      <c r="Z3366">
        <v>0</v>
      </c>
      <c r="AA3366">
        <v>9</v>
      </c>
      <c r="AB3366">
        <v>9</v>
      </c>
      <c r="AC3366" t="s">
        <v>310</v>
      </c>
      <c r="AD3366">
        <v>9</v>
      </c>
      <c r="AE3366" t="s">
        <v>1392</v>
      </c>
      <c r="AF3366">
        <v>30000000</v>
      </c>
      <c r="AG3366" t="s">
        <v>310</v>
      </c>
      <c r="AH3366">
        <f>SUM((MID(Dyno_Data[[#This Row],[Team]],4,5))+(Dyno_Data[[#This Row],[Match]]/100))</f>
        <v>4122.62</v>
      </c>
      <c r="AI3366" s="76">
        <f>ROUND(SUM(IF(Dyno_Data[[#This Row],[AcqCenter]]&gt;0,Dyno_Data[[#This Row],[Time]]-SUMIFS(Dyno_Data[Time],Dyno_Data[Team],Dyno_Data[[#This Row],[Team]],Dyno_Data[RecordType],"StartMatch",Dyno_Data[Match],Dyno_Data[[#This Row],[Match]]),0)*86400),0)</f>
        <v>0</v>
      </c>
    </row>
    <row r="3367" spans="1:35" x14ac:dyDescent="0.3">
      <c r="A3367">
        <v>3381</v>
      </c>
      <c r="B3367" t="s">
        <v>1277</v>
      </c>
      <c r="C3367">
        <v>62</v>
      </c>
      <c r="D3367" s="105">
        <v>45374.40304996528</v>
      </c>
      <c r="E3367" t="s">
        <v>308</v>
      </c>
      <c r="F3367" t="s">
        <v>309</v>
      </c>
      <c r="G3367">
        <v>0</v>
      </c>
      <c r="H3367" t="s">
        <v>310</v>
      </c>
      <c r="I3367">
        <v>0</v>
      </c>
      <c r="J3367">
        <v>0</v>
      </c>
      <c r="K3367">
        <v>0</v>
      </c>
      <c r="L3367" t="s">
        <v>310</v>
      </c>
      <c r="M3367" t="s">
        <v>310</v>
      </c>
      <c r="N3367">
        <v>0</v>
      </c>
      <c r="O3367" t="s">
        <v>1393</v>
      </c>
      <c r="P3367" t="s">
        <v>310</v>
      </c>
      <c r="Q3367" t="s">
        <v>310</v>
      </c>
      <c r="R3367" t="s">
        <v>310</v>
      </c>
      <c r="S3367">
        <v>9</v>
      </c>
      <c r="T3367" t="s">
        <v>310</v>
      </c>
      <c r="U3367">
        <v>9</v>
      </c>
      <c r="V3367">
        <v>9</v>
      </c>
      <c r="W3367">
        <v>0</v>
      </c>
      <c r="X3367">
        <v>0</v>
      </c>
      <c r="Y3367">
        <v>0</v>
      </c>
      <c r="Z3367">
        <v>0</v>
      </c>
      <c r="AA3367">
        <v>9</v>
      </c>
      <c r="AB3367">
        <v>9</v>
      </c>
      <c r="AC3367" t="s">
        <v>310</v>
      </c>
      <c r="AD3367">
        <v>9</v>
      </c>
      <c r="AE3367" t="s">
        <v>1390</v>
      </c>
      <c r="AF3367">
        <v>10000000</v>
      </c>
      <c r="AG3367" t="s">
        <v>310</v>
      </c>
      <c r="AH3367">
        <f>SUM((MID(Dyno_Data[[#This Row],[Team]],4,5))+(Dyno_Data[[#This Row],[Match]]/100))</f>
        <v>3360.62</v>
      </c>
      <c r="AI3367" s="76">
        <f>ROUND(SUM(IF(Dyno_Data[[#This Row],[AcqCenter]]&gt;0,Dyno_Data[[#This Row],[Time]]-SUMIFS(Dyno_Data[Time],Dyno_Data[Team],Dyno_Data[[#This Row],[Team]],Dyno_Data[RecordType],"StartMatch",Dyno_Data[Match],Dyno_Data[[#This Row],[Match]]),0)*86400),0)</f>
        <v>0</v>
      </c>
    </row>
    <row r="3368" spans="1:35" x14ac:dyDescent="0.3">
      <c r="A3368">
        <v>3379</v>
      </c>
      <c r="B3368" t="s">
        <v>1290</v>
      </c>
      <c r="C3368">
        <v>62</v>
      </c>
      <c r="D3368" s="105">
        <v>45374.40304996528</v>
      </c>
      <c r="E3368" t="s">
        <v>308</v>
      </c>
      <c r="F3368" t="s">
        <v>309</v>
      </c>
      <c r="G3368">
        <v>0</v>
      </c>
      <c r="H3368" t="s">
        <v>310</v>
      </c>
      <c r="I3368">
        <v>0</v>
      </c>
      <c r="J3368">
        <v>0</v>
      </c>
      <c r="K3368">
        <v>0</v>
      </c>
      <c r="L3368" t="s">
        <v>310</v>
      </c>
      <c r="M3368" t="s">
        <v>310</v>
      </c>
      <c r="N3368">
        <v>0</v>
      </c>
      <c r="O3368" t="s">
        <v>1391</v>
      </c>
      <c r="P3368" t="s">
        <v>310</v>
      </c>
      <c r="Q3368" t="s">
        <v>310</v>
      </c>
      <c r="R3368" t="s">
        <v>310</v>
      </c>
      <c r="S3368">
        <v>9</v>
      </c>
      <c r="T3368" t="s">
        <v>310</v>
      </c>
      <c r="U3368">
        <v>9</v>
      </c>
      <c r="V3368">
        <v>9</v>
      </c>
      <c r="W3368">
        <v>0</v>
      </c>
      <c r="X3368">
        <v>0</v>
      </c>
      <c r="Y3368">
        <v>0</v>
      </c>
      <c r="Z3368">
        <v>0</v>
      </c>
      <c r="AA3368">
        <v>9</v>
      </c>
      <c r="AB3368">
        <v>9</v>
      </c>
      <c r="AC3368" t="s">
        <v>310</v>
      </c>
      <c r="AD3368">
        <v>9</v>
      </c>
      <c r="AE3368" t="s">
        <v>1396</v>
      </c>
      <c r="AF3368">
        <v>0</v>
      </c>
      <c r="AG3368" t="s">
        <v>310</v>
      </c>
      <c r="AH3368">
        <f>SUM((MID(Dyno_Data[[#This Row],[Team]],4,5))+(Dyno_Data[[#This Row],[Match]]/100))</f>
        <v>5881.62</v>
      </c>
      <c r="AI3368" s="76">
        <f>ROUND(SUM(IF(Dyno_Data[[#This Row],[AcqCenter]]&gt;0,Dyno_Data[[#This Row],[Time]]-SUMIFS(Dyno_Data[Time],Dyno_Data[Team],Dyno_Data[[#This Row],[Team]],Dyno_Data[RecordType],"StartMatch",Dyno_Data[Match],Dyno_Data[[#This Row],[Match]]),0)*86400),0)</f>
        <v>0</v>
      </c>
    </row>
    <row r="3369" spans="1:35" x14ac:dyDescent="0.3">
      <c r="A3369">
        <v>3363</v>
      </c>
      <c r="B3369" t="s">
        <v>1277</v>
      </c>
      <c r="C3369">
        <v>62</v>
      </c>
      <c r="D3369" s="105">
        <v>45374.40307291667</v>
      </c>
      <c r="E3369" t="s">
        <v>312</v>
      </c>
      <c r="F3369" t="s">
        <v>309</v>
      </c>
      <c r="G3369">
        <v>0</v>
      </c>
      <c r="H3369" t="s">
        <v>1397</v>
      </c>
      <c r="I3369">
        <v>0</v>
      </c>
      <c r="J3369">
        <v>0</v>
      </c>
      <c r="K3369">
        <v>0</v>
      </c>
      <c r="L3369" t="s">
        <v>241</v>
      </c>
      <c r="M3369" t="s">
        <v>1398</v>
      </c>
      <c r="N3369">
        <v>0</v>
      </c>
      <c r="O3369" t="s">
        <v>1393</v>
      </c>
      <c r="P3369" t="s">
        <v>310</v>
      </c>
      <c r="Q3369" t="s">
        <v>310</v>
      </c>
      <c r="R3369" t="s">
        <v>310</v>
      </c>
      <c r="S3369">
        <v>9</v>
      </c>
      <c r="T3369" t="s">
        <v>310</v>
      </c>
      <c r="U3369">
        <v>9</v>
      </c>
      <c r="V3369">
        <v>9</v>
      </c>
      <c r="W3369">
        <v>0</v>
      </c>
      <c r="X3369">
        <v>0</v>
      </c>
      <c r="Y3369">
        <v>0</v>
      </c>
      <c r="Z3369">
        <v>0</v>
      </c>
      <c r="AA3369">
        <v>9</v>
      </c>
      <c r="AB3369">
        <v>9</v>
      </c>
      <c r="AC3369" t="s">
        <v>310</v>
      </c>
      <c r="AD3369">
        <v>9</v>
      </c>
      <c r="AE3369" t="s">
        <v>1390</v>
      </c>
      <c r="AF3369">
        <v>0</v>
      </c>
      <c r="AG3369" t="s">
        <v>310</v>
      </c>
      <c r="AH3369">
        <f>SUM((MID(Dyno_Data[[#This Row],[Team]],4,5))+(Dyno_Data[[#This Row],[Match]]/100))</f>
        <v>3360.62</v>
      </c>
      <c r="AI3369" s="76">
        <f>ROUND(SUM(IF(Dyno_Data[[#This Row],[AcqCenter]]&gt;0,Dyno_Data[[#This Row],[Time]]-SUMIFS(Dyno_Data[Time],Dyno_Data[Team],Dyno_Data[[#This Row],[Team]],Dyno_Data[RecordType],"StartMatch",Dyno_Data[Match],Dyno_Data[[#This Row],[Match]]),0)*86400),0)</f>
        <v>0</v>
      </c>
    </row>
    <row r="3370" spans="1:35" x14ac:dyDescent="0.3">
      <c r="A3370">
        <v>3364</v>
      </c>
      <c r="B3370" t="s">
        <v>1285</v>
      </c>
      <c r="C3370">
        <v>62</v>
      </c>
      <c r="D3370" s="105">
        <v>45374.403082951387</v>
      </c>
      <c r="E3370" t="s">
        <v>312</v>
      </c>
      <c r="F3370" t="s">
        <v>309</v>
      </c>
      <c r="G3370">
        <v>0</v>
      </c>
      <c r="H3370" t="s">
        <v>1397</v>
      </c>
      <c r="I3370">
        <v>0</v>
      </c>
      <c r="J3370">
        <v>0</v>
      </c>
      <c r="K3370">
        <v>0</v>
      </c>
      <c r="L3370" t="s">
        <v>240</v>
      </c>
      <c r="M3370" t="s">
        <v>1398</v>
      </c>
      <c r="N3370">
        <v>1</v>
      </c>
      <c r="O3370" t="s">
        <v>311</v>
      </c>
      <c r="P3370" t="s">
        <v>310</v>
      </c>
      <c r="Q3370" t="s">
        <v>310</v>
      </c>
      <c r="R3370" t="s">
        <v>310</v>
      </c>
      <c r="S3370">
        <v>9</v>
      </c>
      <c r="T3370" t="s">
        <v>310</v>
      </c>
      <c r="U3370">
        <v>9</v>
      </c>
      <c r="V3370">
        <v>9</v>
      </c>
      <c r="W3370">
        <v>0</v>
      </c>
      <c r="X3370">
        <v>0</v>
      </c>
      <c r="Y3370">
        <v>0</v>
      </c>
      <c r="Z3370">
        <v>0</v>
      </c>
      <c r="AA3370">
        <v>9</v>
      </c>
      <c r="AB3370">
        <v>9</v>
      </c>
      <c r="AC3370" t="s">
        <v>310</v>
      </c>
      <c r="AD3370">
        <v>9</v>
      </c>
      <c r="AE3370" t="s">
        <v>1388</v>
      </c>
      <c r="AF3370">
        <v>0</v>
      </c>
      <c r="AG3370" t="s">
        <v>310</v>
      </c>
      <c r="AH3370">
        <f>SUM((MID(Dyno_Data[[#This Row],[Team]],4,5))+(Dyno_Data[[#This Row],[Match]]/100))</f>
        <v>5993.62</v>
      </c>
      <c r="AI3370" s="76">
        <f>ROUND(SUM(IF(Dyno_Data[[#This Row],[AcqCenter]]&gt;0,Dyno_Data[[#This Row],[Time]]-SUMIFS(Dyno_Data[Time],Dyno_Data[Team],Dyno_Data[[#This Row],[Team]],Dyno_Data[RecordType],"StartMatch",Dyno_Data[Match],Dyno_Data[[#This Row],[Match]]),0)*86400),0)</f>
        <v>0</v>
      </c>
    </row>
    <row r="3371" spans="1:35" x14ac:dyDescent="0.3">
      <c r="A3371">
        <v>3365</v>
      </c>
      <c r="B3371" t="s">
        <v>1290</v>
      </c>
      <c r="C3371">
        <v>62</v>
      </c>
      <c r="D3371" s="105">
        <v>45374.403087418985</v>
      </c>
      <c r="E3371" t="s">
        <v>312</v>
      </c>
      <c r="F3371" t="s">
        <v>309</v>
      </c>
      <c r="G3371">
        <v>0</v>
      </c>
      <c r="H3371" t="s">
        <v>1397</v>
      </c>
      <c r="I3371">
        <v>0</v>
      </c>
      <c r="J3371">
        <v>0</v>
      </c>
      <c r="K3371">
        <v>0</v>
      </c>
      <c r="L3371" t="s">
        <v>240</v>
      </c>
      <c r="M3371" t="s">
        <v>1398</v>
      </c>
      <c r="N3371">
        <v>1</v>
      </c>
      <c r="O3371" t="s">
        <v>1391</v>
      </c>
      <c r="P3371" t="s">
        <v>310</v>
      </c>
      <c r="Q3371" t="s">
        <v>310</v>
      </c>
      <c r="R3371" t="s">
        <v>310</v>
      </c>
      <c r="S3371">
        <v>9</v>
      </c>
      <c r="T3371" t="s">
        <v>310</v>
      </c>
      <c r="U3371">
        <v>9</v>
      </c>
      <c r="V3371">
        <v>9</v>
      </c>
      <c r="W3371">
        <v>0</v>
      </c>
      <c r="X3371">
        <v>0</v>
      </c>
      <c r="Y3371">
        <v>0</v>
      </c>
      <c r="Z3371">
        <v>0</v>
      </c>
      <c r="AA3371">
        <v>9</v>
      </c>
      <c r="AB3371">
        <v>9</v>
      </c>
      <c r="AC3371" t="s">
        <v>310</v>
      </c>
      <c r="AD3371">
        <v>9</v>
      </c>
      <c r="AE3371" t="s">
        <v>1396</v>
      </c>
      <c r="AF3371">
        <v>0</v>
      </c>
      <c r="AG3371" t="s">
        <v>310</v>
      </c>
      <c r="AH3371">
        <f>SUM((MID(Dyno_Data[[#This Row],[Team]],4,5))+(Dyno_Data[[#This Row],[Match]]/100))</f>
        <v>5881.62</v>
      </c>
      <c r="AI3371" s="76">
        <f>ROUND(SUM(IF(Dyno_Data[[#This Row],[AcqCenter]]&gt;0,Dyno_Data[[#This Row],[Time]]-SUMIFS(Dyno_Data[Time],Dyno_Data[Team],Dyno_Data[[#This Row],[Team]],Dyno_Data[RecordType],"StartMatch",Dyno_Data[Match],Dyno_Data[[#This Row],[Match]]),0)*86400),0)</f>
        <v>0</v>
      </c>
    </row>
    <row r="3372" spans="1:35" x14ac:dyDescent="0.3">
      <c r="A3372">
        <v>3366</v>
      </c>
      <c r="B3372" t="s">
        <v>366</v>
      </c>
      <c r="C3372">
        <v>62</v>
      </c>
      <c r="D3372" s="105">
        <v>45374.403087418985</v>
      </c>
      <c r="E3372" t="s">
        <v>312</v>
      </c>
      <c r="F3372" t="s">
        <v>309</v>
      </c>
      <c r="G3372">
        <v>0</v>
      </c>
      <c r="H3372" t="s">
        <v>1397</v>
      </c>
      <c r="I3372">
        <v>0</v>
      </c>
      <c r="J3372">
        <v>0</v>
      </c>
      <c r="K3372">
        <v>0</v>
      </c>
      <c r="L3372" t="s">
        <v>240</v>
      </c>
      <c r="M3372" t="s">
        <v>1398</v>
      </c>
      <c r="N3372">
        <v>0</v>
      </c>
      <c r="O3372" t="s">
        <v>319</v>
      </c>
      <c r="P3372" t="s">
        <v>310</v>
      </c>
      <c r="Q3372" t="s">
        <v>310</v>
      </c>
      <c r="R3372" t="s">
        <v>310</v>
      </c>
      <c r="S3372">
        <v>9</v>
      </c>
      <c r="T3372" t="s">
        <v>310</v>
      </c>
      <c r="U3372">
        <v>9</v>
      </c>
      <c r="V3372">
        <v>9</v>
      </c>
      <c r="W3372">
        <v>0</v>
      </c>
      <c r="X3372">
        <v>0</v>
      </c>
      <c r="Y3372">
        <v>0</v>
      </c>
      <c r="Z3372">
        <v>0</v>
      </c>
      <c r="AA3372">
        <v>9</v>
      </c>
      <c r="AB3372">
        <v>9</v>
      </c>
      <c r="AC3372" t="s">
        <v>310</v>
      </c>
      <c r="AD3372">
        <v>9</v>
      </c>
      <c r="AE3372" t="s">
        <v>1392</v>
      </c>
      <c r="AF3372">
        <v>0</v>
      </c>
      <c r="AG3372" t="s">
        <v>310</v>
      </c>
      <c r="AH3372">
        <f>SUM((MID(Dyno_Data[[#This Row],[Team]],4,5))+(Dyno_Data[[#This Row],[Match]]/100))</f>
        <v>4122.62</v>
      </c>
      <c r="AI3372" s="76">
        <f>ROUND(SUM(IF(Dyno_Data[[#This Row],[AcqCenter]]&gt;0,Dyno_Data[[#This Row],[Time]]-SUMIFS(Dyno_Data[Time],Dyno_Data[Team],Dyno_Data[[#This Row],[Team]],Dyno_Data[RecordType],"StartMatch",Dyno_Data[Match],Dyno_Data[[#This Row],[Match]]),0)*86400),0)</f>
        <v>0</v>
      </c>
    </row>
    <row r="3373" spans="1:35" x14ac:dyDescent="0.3">
      <c r="A3373">
        <v>3367</v>
      </c>
      <c r="B3373" t="s">
        <v>1277</v>
      </c>
      <c r="C3373">
        <v>62</v>
      </c>
      <c r="D3373" s="105">
        <v>45374.403121527779</v>
      </c>
      <c r="E3373" t="s">
        <v>312</v>
      </c>
      <c r="F3373" t="s">
        <v>309</v>
      </c>
      <c r="G3373">
        <v>0</v>
      </c>
      <c r="H3373" t="s">
        <v>315</v>
      </c>
      <c r="I3373">
        <v>0</v>
      </c>
      <c r="J3373">
        <v>0</v>
      </c>
      <c r="K3373">
        <v>0</v>
      </c>
      <c r="L3373" t="s">
        <v>241</v>
      </c>
      <c r="M3373" t="s">
        <v>1398</v>
      </c>
      <c r="N3373">
        <v>0</v>
      </c>
      <c r="O3373" t="s">
        <v>1393</v>
      </c>
      <c r="P3373" t="s">
        <v>310</v>
      </c>
      <c r="Q3373" t="s">
        <v>310</v>
      </c>
      <c r="R3373" t="s">
        <v>310</v>
      </c>
      <c r="S3373">
        <v>9</v>
      </c>
      <c r="T3373" t="s">
        <v>310</v>
      </c>
      <c r="U3373">
        <v>9</v>
      </c>
      <c r="V3373">
        <v>9</v>
      </c>
      <c r="W3373">
        <v>0</v>
      </c>
      <c r="X3373">
        <v>0</v>
      </c>
      <c r="Y3373">
        <v>0</v>
      </c>
      <c r="Z3373">
        <v>0</v>
      </c>
      <c r="AA3373">
        <v>9</v>
      </c>
      <c r="AB3373">
        <v>9</v>
      </c>
      <c r="AC3373" t="s">
        <v>310</v>
      </c>
      <c r="AD3373">
        <v>9</v>
      </c>
      <c r="AE3373" t="s">
        <v>1390</v>
      </c>
      <c r="AF3373">
        <v>10000000</v>
      </c>
      <c r="AG3373" t="s">
        <v>310</v>
      </c>
      <c r="AH3373">
        <f>SUM((MID(Dyno_Data[[#This Row],[Team]],4,5))+(Dyno_Data[[#This Row],[Match]]/100))</f>
        <v>3360.62</v>
      </c>
      <c r="AI3373" s="76">
        <f>ROUND(SUM(IF(Dyno_Data[[#This Row],[AcqCenter]]&gt;0,Dyno_Data[[#This Row],[Time]]-SUMIFS(Dyno_Data[Time],Dyno_Data[Team],Dyno_Data[[#This Row],[Team]],Dyno_Data[RecordType],"StartMatch",Dyno_Data[Match],Dyno_Data[[#This Row],[Match]]),0)*86400),0)</f>
        <v>0</v>
      </c>
    </row>
    <row r="3374" spans="1:35" x14ac:dyDescent="0.3">
      <c r="A3374">
        <v>3368</v>
      </c>
      <c r="B3374" t="s">
        <v>366</v>
      </c>
      <c r="C3374">
        <v>62</v>
      </c>
      <c r="D3374" s="105">
        <v>45374.403125196761</v>
      </c>
      <c r="E3374" t="s">
        <v>312</v>
      </c>
      <c r="F3374" t="s">
        <v>309</v>
      </c>
      <c r="G3374">
        <v>0</v>
      </c>
      <c r="H3374" t="s">
        <v>315</v>
      </c>
      <c r="I3374">
        <v>0</v>
      </c>
      <c r="J3374">
        <v>0</v>
      </c>
      <c r="K3374">
        <v>0</v>
      </c>
      <c r="L3374" t="s">
        <v>241</v>
      </c>
      <c r="M3374" t="s">
        <v>1398</v>
      </c>
      <c r="N3374">
        <v>0</v>
      </c>
      <c r="O3374" t="s">
        <v>319</v>
      </c>
      <c r="P3374" t="s">
        <v>310</v>
      </c>
      <c r="Q3374" t="s">
        <v>310</v>
      </c>
      <c r="R3374" t="s">
        <v>310</v>
      </c>
      <c r="S3374">
        <v>9</v>
      </c>
      <c r="T3374" t="s">
        <v>310</v>
      </c>
      <c r="U3374">
        <v>9</v>
      </c>
      <c r="V3374">
        <v>9</v>
      </c>
      <c r="W3374">
        <v>0</v>
      </c>
      <c r="X3374">
        <v>0</v>
      </c>
      <c r="Y3374">
        <v>0</v>
      </c>
      <c r="Z3374">
        <v>0</v>
      </c>
      <c r="AA3374">
        <v>9</v>
      </c>
      <c r="AB3374">
        <v>9</v>
      </c>
      <c r="AC3374" t="s">
        <v>310</v>
      </c>
      <c r="AD3374">
        <v>9</v>
      </c>
      <c r="AE3374" t="s">
        <v>1392</v>
      </c>
      <c r="AF3374">
        <v>10000000</v>
      </c>
      <c r="AG3374" t="s">
        <v>310</v>
      </c>
      <c r="AH3374">
        <f>SUM((MID(Dyno_Data[[#This Row],[Team]],4,5))+(Dyno_Data[[#This Row],[Match]]/100))</f>
        <v>4122.62</v>
      </c>
      <c r="AI3374" s="76">
        <f>ROUND(SUM(IF(Dyno_Data[[#This Row],[AcqCenter]]&gt;0,Dyno_Data[[#This Row],[Time]]-SUMIFS(Dyno_Data[Time],Dyno_Data[Team],Dyno_Data[[#This Row],[Team]],Dyno_Data[RecordType],"StartMatch",Dyno_Data[Match],Dyno_Data[[#This Row],[Match]]),0)*86400),0)</f>
        <v>0</v>
      </c>
    </row>
    <row r="3375" spans="1:35" x14ac:dyDescent="0.3">
      <c r="A3375">
        <v>3369</v>
      </c>
      <c r="B3375" t="s">
        <v>366</v>
      </c>
      <c r="C3375">
        <v>62</v>
      </c>
      <c r="D3375" s="105">
        <v>45374.403178969907</v>
      </c>
      <c r="E3375" t="s">
        <v>312</v>
      </c>
      <c r="F3375" t="s">
        <v>309</v>
      </c>
      <c r="G3375">
        <v>0</v>
      </c>
      <c r="H3375" t="s">
        <v>315</v>
      </c>
      <c r="I3375">
        <v>0</v>
      </c>
      <c r="J3375">
        <v>0</v>
      </c>
      <c r="K3375">
        <v>0</v>
      </c>
      <c r="L3375" t="s">
        <v>241</v>
      </c>
      <c r="M3375" t="s">
        <v>1398</v>
      </c>
      <c r="N3375">
        <v>1</v>
      </c>
      <c r="O3375" t="s">
        <v>319</v>
      </c>
      <c r="P3375" t="s">
        <v>310</v>
      </c>
      <c r="Q3375" t="s">
        <v>310</v>
      </c>
      <c r="R3375" t="s">
        <v>310</v>
      </c>
      <c r="S3375">
        <v>9</v>
      </c>
      <c r="T3375" t="s">
        <v>310</v>
      </c>
      <c r="U3375">
        <v>9</v>
      </c>
      <c r="V3375">
        <v>9</v>
      </c>
      <c r="W3375">
        <v>0</v>
      </c>
      <c r="X3375">
        <v>0</v>
      </c>
      <c r="Y3375">
        <v>0</v>
      </c>
      <c r="Z3375">
        <v>0</v>
      </c>
      <c r="AA3375">
        <v>9</v>
      </c>
      <c r="AB3375">
        <v>9</v>
      </c>
      <c r="AC3375" t="s">
        <v>310</v>
      </c>
      <c r="AD3375">
        <v>9</v>
      </c>
      <c r="AE3375" t="s">
        <v>1392</v>
      </c>
      <c r="AF3375">
        <v>20000000</v>
      </c>
      <c r="AG3375" t="s">
        <v>310</v>
      </c>
      <c r="AH3375">
        <f>SUM((MID(Dyno_Data[[#This Row],[Team]],4,5))+(Dyno_Data[[#This Row],[Match]]/100))</f>
        <v>4122.62</v>
      </c>
      <c r="AI3375" s="76">
        <f>ROUND(SUM(IF(Dyno_Data[[#This Row],[AcqCenter]]&gt;0,Dyno_Data[[#This Row],[Time]]-SUMIFS(Dyno_Data[Time],Dyno_Data[Team],Dyno_Data[[#This Row],[Team]],Dyno_Data[RecordType],"StartMatch",Dyno_Data[Match],Dyno_Data[[#This Row],[Match]]),0)*86400),0)</f>
        <v>0</v>
      </c>
    </row>
    <row r="3376" spans="1:35" x14ac:dyDescent="0.3">
      <c r="A3376">
        <v>3370</v>
      </c>
      <c r="B3376" t="s">
        <v>1312</v>
      </c>
      <c r="C3376">
        <v>62</v>
      </c>
      <c r="D3376" s="105">
        <v>45374.403192048609</v>
      </c>
      <c r="E3376" t="s">
        <v>312</v>
      </c>
      <c r="F3376" t="s">
        <v>309</v>
      </c>
      <c r="G3376">
        <v>0</v>
      </c>
      <c r="H3376" t="s">
        <v>1397</v>
      </c>
      <c r="I3376">
        <v>0</v>
      </c>
      <c r="J3376">
        <v>0</v>
      </c>
      <c r="K3376">
        <v>0</v>
      </c>
      <c r="L3376" t="s">
        <v>241</v>
      </c>
      <c r="M3376" t="s">
        <v>1398</v>
      </c>
      <c r="N3376">
        <v>1</v>
      </c>
      <c r="O3376" t="s">
        <v>1389</v>
      </c>
      <c r="P3376" t="s">
        <v>310</v>
      </c>
      <c r="Q3376" t="s">
        <v>310</v>
      </c>
      <c r="R3376" t="s">
        <v>310</v>
      </c>
      <c r="S3376">
        <v>9</v>
      </c>
      <c r="T3376" t="s">
        <v>310</v>
      </c>
      <c r="U3376">
        <v>9</v>
      </c>
      <c r="V3376">
        <v>9</v>
      </c>
      <c r="W3376">
        <v>0</v>
      </c>
      <c r="X3376">
        <v>0</v>
      </c>
      <c r="Y3376">
        <v>0</v>
      </c>
      <c r="Z3376">
        <v>0</v>
      </c>
      <c r="AA3376">
        <v>9</v>
      </c>
      <c r="AB3376">
        <v>9</v>
      </c>
      <c r="AC3376" t="s">
        <v>310</v>
      </c>
      <c r="AD3376">
        <v>9</v>
      </c>
      <c r="AE3376" t="s">
        <v>1394</v>
      </c>
      <c r="AF3376">
        <v>0</v>
      </c>
      <c r="AG3376" t="s">
        <v>310</v>
      </c>
      <c r="AH3376">
        <f>SUM((MID(Dyno_Data[[#This Row],[Team]],4,5))+(Dyno_Data[[#This Row],[Match]]/100))</f>
        <v>2053.62</v>
      </c>
      <c r="AI3376" s="76">
        <f>ROUND(SUM(IF(Dyno_Data[[#This Row],[AcqCenter]]&gt;0,Dyno_Data[[#This Row],[Time]]-SUMIFS(Dyno_Data[Time],Dyno_Data[Team],Dyno_Data[[#This Row],[Team]],Dyno_Data[RecordType],"StartMatch",Dyno_Data[Match],Dyno_Data[[#This Row],[Match]]),0)*86400),0)</f>
        <v>0</v>
      </c>
    </row>
    <row r="3377" spans="1:35" x14ac:dyDescent="0.3">
      <c r="A3377">
        <v>3371</v>
      </c>
      <c r="B3377" t="s">
        <v>366</v>
      </c>
      <c r="C3377">
        <v>62</v>
      </c>
      <c r="D3377" s="105">
        <v>45374.403215312501</v>
      </c>
      <c r="E3377" t="s">
        <v>312</v>
      </c>
      <c r="F3377" t="s">
        <v>309</v>
      </c>
      <c r="G3377">
        <v>0</v>
      </c>
      <c r="H3377" t="s">
        <v>315</v>
      </c>
      <c r="I3377">
        <v>0</v>
      </c>
      <c r="J3377">
        <v>0</v>
      </c>
      <c r="K3377">
        <v>0</v>
      </c>
      <c r="L3377" t="s">
        <v>241</v>
      </c>
      <c r="M3377" t="s">
        <v>1398</v>
      </c>
      <c r="N3377">
        <v>1</v>
      </c>
      <c r="O3377" t="s">
        <v>319</v>
      </c>
      <c r="P3377" t="s">
        <v>310</v>
      </c>
      <c r="Q3377" t="s">
        <v>310</v>
      </c>
      <c r="R3377" t="s">
        <v>310</v>
      </c>
      <c r="S3377">
        <v>9</v>
      </c>
      <c r="T3377" t="s">
        <v>310</v>
      </c>
      <c r="U3377">
        <v>9</v>
      </c>
      <c r="V3377">
        <v>9</v>
      </c>
      <c r="W3377">
        <v>0</v>
      </c>
      <c r="X3377">
        <v>0</v>
      </c>
      <c r="Y3377">
        <v>0</v>
      </c>
      <c r="Z3377">
        <v>0</v>
      </c>
      <c r="AA3377">
        <v>9</v>
      </c>
      <c r="AB3377">
        <v>9</v>
      </c>
      <c r="AC3377" t="s">
        <v>310</v>
      </c>
      <c r="AD3377">
        <v>9</v>
      </c>
      <c r="AE3377" t="s">
        <v>1392</v>
      </c>
      <c r="AF3377">
        <v>30000000</v>
      </c>
      <c r="AG3377" t="s">
        <v>310</v>
      </c>
      <c r="AH3377">
        <f>SUM((MID(Dyno_Data[[#This Row],[Team]],4,5))+(Dyno_Data[[#This Row],[Match]]/100))</f>
        <v>4122.62</v>
      </c>
      <c r="AI3377" s="76">
        <f>ROUND(SUM(IF(Dyno_Data[[#This Row],[AcqCenter]]&gt;0,Dyno_Data[[#This Row],[Time]]-SUMIFS(Dyno_Data[Time],Dyno_Data[Team],Dyno_Data[[#This Row],[Team]],Dyno_Data[RecordType],"StartMatch",Dyno_Data[Match],Dyno_Data[[#This Row],[Match]]),0)*86400),0)</f>
        <v>0</v>
      </c>
    </row>
    <row r="3378" spans="1:35" x14ac:dyDescent="0.3">
      <c r="A3378">
        <v>3372</v>
      </c>
      <c r="B3378" t="s">
        <v>1312</v>
      </c>
      <c r="C3378">
        <v>62</v>
      </c>
      <c r="D3378" s="105">
        <v>45374.403220335647</v>
      </c>
      <c r="E3378" t="s">
        <v>312</v>
      </c>
      <c r="F3378" t="s">
        <v>309</v>
      </c>
      <c r="G3378">
        <v>0</v>
      </c>
      <c r="H3378" t="s">
        <v>143</v>
      </c>
      <c r="I3378">
        <v>1</v>
      </c>
      <c r="J3378">
        <v>-1</v>
      </c>
      <c r="K3378">
        <v>0</v>
      </c>
      <c r="L3378" t="s">
        <v>310</v>
      </c>
      <c r="M3378" t="s">
        <v>310</v>
      </c>
      <c r="N3378">
        <v>0</v>
      </c>
      <c r="O3378" t="s">
        <v>1389</v>
      </c>
      <c r="P3378" t="s">
        <v>310</v>
      </c>
      <c r="Q3378" t="s">
        <v>310</v>
      </c>
      <c r="R3378" t="s">
        <v>310</v>
      </c>
      <c r="S3378">
        <v>9</v>
      </c>
      <c r="T3378" t="s">
        <v>310</v>
      </c>
      <c r="U3378">
        <v>9</v>
      </c>
      <c r="V3378">
        <v>9</v>
      </c>
      <c r="W3378">
        <v>0</v>
      </c>
      <c r="X3378">
        <v>0</v>
      </c>
      <c r="Y3378">
        <v>0</v>
      </c>
      <c r="Z3378">
        <v>0</v>
      </c>
      <c r="AA3378">
        <v>9</v>
      </c>
      <c r="AB3378">
        <v>9</v>
      </c>
      <c r="AC3378" t="s">
        <v>310</v>
      </c>
      <c r="AD3378">
        <v>9</v>
      </c>
      <c r="AE3378" t="s">
        <v>1394</v>
      </c>
      <c r="AF3378">
        <v>0</v>
      </c>
      <c r="AG3378" t="s">
        <v>310</v>
      </c>
      <c r="AH3378">
        <f>SUM((MID(Dyno_Data[[#This Row],[Team]],4,5))+(Dyno_Data[[#This Row],[Match]]/100))</f>
        <v>2053.62</v>
      </c>
      <c r="AI3378" s="76">
        <f>ROUND(SUM(IF(Dyno_Data[[#This Row],[AcqCenter]]&gt;0,Dyno_Data[[#This Row],[Time]]-SUMIFS(Dyno_Data[Time],Dyno_Data[Team],Dyno_Data[[#This Row],[Team]],Dyno_Data[RecordType],"StartMatch",Dyno_Data[Match],Dyno_Data[[#This Row],[Match]]),0)*86400),0)</f>
        <v>-110</v>
      </c>
    </row>
    <row r="3379" spans="1:35" x14ac:dyDescent="0.3">
      <c r="A3379">
        <v>3374</v>
      </c>
      <c r="B3379" t="s">
        <v>1279</v>
      </c>
      <c r="C3379">
        <v>62</v>
      </c>
      <c r="D3379" s="105">
        <v>45374.403248113427</v>
      </c>
      <c r="E3379" t="s">
        <v>314</v>
      </c>
      <c r="F3379" t="s">
        <v>309</v>
      </c>
      <c r="G3379">
        <v>0</v>
      </c>
      <c r="H3379" t="s">
        <v>310</v>
      </c>
      <c r="I3379">
        <v>0</v>
      </c>
      <c r="J3379">
        <v>0</v>
      </c>
      <c r="K3379">
        <v>0</v>
      </c>
      <c r="L3379" t="s">
        <v>310</v>
      </c>
      <c r="M3379" t="s">
        <v>310</v>
      </c>
      <c r="N3379">
        <v>0</v>
      </c>
      <c r="O3379" t="s">
        <v>1395</v>
      </c>
      <c r="P3379" t="s">
        <v>101</v>
      </c>
      <c r="Q3379" t="s">
        <v>1400</v>
      </c>
      <c r="R3379" t="s">
        <v>310</v>
      </c>
      <c r="S3379">
        <v>9</v>
      </c>
      <c r="T3379" t="s">
        <v>310</v>
      </c>
      <c r="U3379">
        <v>9</v>
      </c>
      <c r="V3379">
        <v>9</v>
      </c>
      <c r="W3379">
        <v>0</v>
      </c>
      <c r="X3379">
        <v>0</v>
      </c>
      <c r="Y3379">
        <v>0</v>
      </c>
      <c r="Z3379">
        <v>0</v>
      </c>
      <c r="AA3379">
        <v>9</v>
      </c>
      <c r="AB3379">
        <v>9</v>
      </c>
      <c r="AC3379" t="s">
        <v>310</v>
      </c>
      <c r="AD3379">
        <v>9</v>
      </c>
      <c r="AE3379" t="s">
        <v>1387</v>
      </c>
      <c r="AF3379">
        <v>0</v>
      </c>
      <c r="AG3379" t="s">
        <v>310</v>
      </c>
      <c r="AH3379">
        <f>SUM((MID(Dyno_Data[[#This Row],[Team]],4,5))+(Dyno_Data[[#This Row],[Match]]/100))</f>
        <v>5149.62</v>
      </c>
      <c r="AI3379" s="76">
        <f>ROUND(SUM(IF(Dyno_Data[[#This Row],[AcqCenter]]&gt;0,Dyno_Data[[#This Row],[Time]]-SUMIFS(Dyno_Data[Time],Dyno_Data[Team],Dyno_Data[[#This Row],[Team]],Dyno_Data[RecordType],"StartMatch",Dyno_Data[Match],Dyno_Data[[#This Row],[Match]]),0)*86400),0)</f>
        <v>0</v>
      </c>
    </row>
    <row r="3380" spans="1:35" x14ac:dyDescent="0.3">
      <c r="A3380">
        <v>3376</v>
      </c>
      <c r="B3380" t="s">
        <v>1285</v>
      </c>
      <c r="C3380">
        <v>62</v>
      </c>
      <c r="D3380" s="105">
        <v>45374.403249502313</v>
      </c>
      <c r="E3380" t="s">
        <v>314</v>
      </c>
      <c r="F3380" t="s">
        <v>309</v>
      </c>
      <c r="G3380">
        <v>0</v>
      </c>
      <c r="H3380" t="s">
        <v>310</v>
      </c>
      <c r="I3380">
        <v>0</v>
      </c>
      <c r="J3380">
        <v>0</v>
      </c>
      <c r="K3380">
        <v>0</v>
      </c>
      <c r="L3380" t="s">
        <v>310</v>
      </c>
      <c r="M3380" t="s">
        <v>310</v>
      </c>
      <c r="N3380">
        <v>0</v>
      </c>
      <c r="O3380" t="s">
        <v>311</v>
      </c>
      <c r="P3380" t="s">
        <v>1401</v>
      </c>
      <c r="Q3380" t="s">
        <v>1399</v>
      </c>
      <c r="R3380" t="s">
        <v>310</v>
      </c>
      <c r="S3380">
        <v>9</v>
      </c>
      <c r="T3380" t="s">
        <v>310</v>
      </c>
      <c r="U3380">
        <v>9</v>
      </c>
      <c r="V3380">
        <v>9</v>
      </c>
      <c r="W3380">
        <v>0</v>
      </c>
      <c r="X3380">
        <v>0</v>
      </c>
      <c r="Y3380">
        <v>0</v>
      </c>
      <c r="Z3380">
        <v>0</v>
      </c>
      <c r="AA3380">
        <v>9</v>
      </c>
      <c r="AB3380">
        <v>9</v>
      </c>
      <c r="AC3380" t="s">
        <v>310</v>
      </c>
      <c r="AD3380">
        <v>9</v>
      </c>
      <c r="AE3380" t="s">
        <v>1388</v>
      </c>
      <c r="AF3380">
        <v>0</v>
      </c>
      <c r="AG3380" t="s">
        <v>310</v>
      </c>
      <c r="AH3380">
        <f>SUM((MID(Dyno_Data[[#This Row],[Team]],4,5))+(Dyno_Data[[#This Row],[Match]]/100))</f>
        <v>5993.62</v>
      </c>
      <c r="AI3380" s="76">
        <f>ROUND(SUM(IF(Dyno_Data[[#This Row],[AcqCenter]]&gt;0,Dyno_Data[[#This Row],[Time]]-SUMIFS(Dyno_Data[Time],Dyno_Data[Team],Dyno_Data[[#This Row],[Team]],Dyno_Data[RecordType],"StartMatch",Dyno_Data[Match],Dyno_Data[[#This Row],[Match]]),0)*86400),0)</f>
        <v>0</v>
      </c>
    </row>
    <row r="3381" spans="1:35" x14ac:dyDescent="0.3">
      <c r="A3381">
        <v>3378</v>
      </c>
      <c r="B3381" t="s">
        <v>366</v>
      </c>
      <c r="C3381">
        <v>62</v>
      </c>
      <c r="D3381" s="105">
        <v>45374.403254710647</v>
      </c>
      <c r="E3381" t="s">
        <v>314</v>
      </c>
      <c r="F3381" t="s">
        <v>309</v>
      </c>
      <c r="G3381">
        <v>1</v>
      </c>
      <c r="H3381" t="s">
        <v>310</v>
      </c>
      <c r="I3381">
        <v>0</v>
      </c>
      <c r="J3381">
        <v>0</v>
      </c>
      <c r="K3381">
        <v>0</v>
      </c>
      <c r="L3381" t="s">
        <v>310</v>
      </c>
      <c r="M3381" t="s">
        <v>310</v>
      </c>
      <c r="N3381">
        <v>0</v>
      </c>
      <c r="O3381" t="s">
        <v>319</v>
      </c>
      <c r="P3381" t="s">
        <v>240</v>
      </c>
      <c r="Q3381" t="s">
        <v>1400</v>
      </c>
      <c r="R3381" t="s">
        <v>310</v>
      </c>
      <c r="S3381">
        <v>9</v>
      </c>
      <c r="T3381" t="s">
        <v>310</v>
      </c>
      <c r="U3381">
        <v>9</v>
      </c>
      <c r="V3381">
        <v>9</v>
      </c>
      <c r="W3381">
        <v>0</v>
      </c>
      <c r="X3381">
        <v>0</v>
      </c>
      <c r="Y3381">
        <v>0</v>
      </c>
      <c r="Z3381">
        <v>0</v>
      </c>
      <c r="AA3381">
        <v>9</v>
      </c>
      <c r="AB3381">
        <v>9</v>
      </c>
      <c r="AC3381" t="s">
        <v>310</v>
      </c>
      <c r="AD3381">
        <v>9</v>
      </c>
      <c r="AE3381" t="s">
        <v>1392</v>
      </c>
      <c r="AF3381">
        <v>30000000</v>
      </c>
      <c r="AG3381" t="s">
        <v>310</v>
      </c>
      <c r="AH3381">
        <f>SUM((MID(Dyno_Data[[#This Row],[Team]],4,5))+(Dyno_Data[[#This Row],[Match]]/100))</f>
        <v>4122.62</v>
      </c>
      <c r="AI3381" s="76">
        <f>ROUND(SUM(IF(Dyno_Data[[#This Row],[AcqCenter]]&gt;0,Dyno_Data[[#This Row],[Time]]-SUMIFS(Dyno_Data[Time],Dyno_Data[Team],Dyno_Data[[#This Row],[Team]],Dyno_Data[RecordType],"StartMatch",Dyno_Data[Match],Dyno_Data[[#This Row],[Match]]),0)*86400),0)</f>
        <v>0</v>
      </c>
    </row>
    <row r="3382" spans="1:35" x14ac:dyDescent="0.3">
      <c r="A3382">
        <v>3382</v>
      </c>
      <c r="B3382" t="s">
        <v>1277</v>
      </c>
      <c r="C3382">
        <v>62</v>
      </c>
      <c r="D3382" s="105">
        <v>45374.403258298611</v>
      </c>
      <c r="E3382" t="s">
        <v>314</v>
      </c>
      <c r="F3382" t="s">
        <v>309</v>
      </c>
      <c r="G3382">
        <v>1</v>
      </c>
      <c r="H3382" t="s">
        <v>310</v>
      </c>
      <c r="I3382">
        <v>0</v>
      </c>
      <c r="J3382">
        <v>0</v>
      </c>
      <c r="K3382">
        <v>0</v>
      </c>
      <c r="L3382" t="s">
        <v>310</v>
      </c>
      <c r="M3382" t="s">
        <v>310</v>
      </c>
      <c r="N3382">
        <v>0</v>
      </c>
      <c r="O3382" t="s">
        <v>1393</v>
      </c>
      <c r="P3382" t="s">
        <v>240</v>
      </c>
      <c r="Q3382" t="s">
        <v>1399</v>
      </c>
      <c r="R3382" t="s">
        <v>310</v>
      </c>
      <c r="S3382">
        <v>9</v>
      </c>
      <c r="T3382" t="s">
        <v>310</v>
      </c>
      <c r="U3382">
        <v>9</v>
      </c>
      <c r="V3382">
        <v>9</v>
      </c>
      <c r="W3382">
        <v>0</v>
      </c>
      <c r="X3382">
        <v>0</v>
      </c>
      <c r="Y3382">
        <v>0</v>
      </c>
      <c r="Z3382">
        <v>0</v>
      </c>
      <c r="AA3382">
        <v>9</v>
      </c>
      <c r="AB3382">
        <v>9</v>
      </c>
      <c r="AC3382" t="s">
        <v>310</v>
      </c>
      <c r="AD3382">
        <v>9</v>
      </c>
      <c r="AE3382" t="s">
        <v>1390</v>
      </c>
      <c r="AF3382">
        <v>10000000</v>
      </c>
      <c r="AG3382" t="s">
        <v>310</v>
      </c>
      <c r="AH3382">
        <f>SUM((MID(Dyno_Data[[#This Row],[Team]],4,5))+(Dyno_Data[[#This Row],[Match]]/100))</f>
        <v>3360.62</v>
      </c>
      <c r="AI3382" s="76">
        <f>ROUND(SUM(IF(Dyno_Data[[#This Row],[AcqCenter]]&gt;0,Dyno_Data[[#This Row],[Time]]-SUMIFS(Dyno_Data[Time],Dyno_Data[Team],Dyno_Data[[#This Row],[Team]],Dyno_Data[RecordType],"StartMatch",Dyno_Data[Match],Dyno_Data[[#This Row],[Match]]),0)*86400),0)</f>
        <v>0</v>
      </c>
    </row>
    <row r="3383" spans="1:35" x14ac:dyDescent="0.3">
      <c r="A3383">
        <v>3380</v>
      </c>
      <c r="B3383" t="s">
        <v>1290</v>
      </c>
      <c r="C3383">
        <v>62</v>
      </c>
      <c r="D3383" s="105">
        <v>45374.403258298611</v>
      </c>
      <c r="E3383" t="s">
        <v>314</v>
      </c>
      <c r="F3383" t="s">
        <v>309</v>
      </c>
      <c r="G3383">
        <v>0</v>
      </c>
      <c r="H3383" t="s">
        <v>310</v>
      </c>
      <c r="I3383">
        <v>0</v>
      </c>
      <c r="J3383">
        <v>0</v>
      </c>
      <c r="K3383">
        <v>0</v>
      </c>
      <c r="L3383" t="s">
        <v>310</v>
      </c>
      <c r="M3383" t="s">
        <v>310</v>
      </c>
      <c r="N3383">
        <v>0</v>
      </c>
      <c r="O3383" t="s">
        <v>1391</v>
      </c>
      <c r="P3383" t="s">
        <v>101</v>
      </c>
      <c r="Q3383" t="s">
        <v>1400</v>
      </c>
      <c r="R3383" t="s">
        <v>310</v>
      </c>
      <c r="S3383">
        <v>9</v>
      </c>
      <c r="T3383" t="s">
        <v>310</v>
      </c>
      <c r="U3383">
        <v>9</v>
      </c>
      <c r="V3383">
        <v>9</v>
      </c>
      <c r="W3383">
        <v>0</v>
      </c>
      <c r="X3383">
        <v>0</v>
      </c>
      <c r="Y3383">
        <v>0</v>
      </c>
      <c r="Z3383">
        <v>0</v>
      </c>
      <c r="AA3383">
        <v>9</v>
      </c>
      <c r="AB3383">
        <v>9</v>
      </c>
      <c r="AC3383" t="s">
        <v>310</v>
      </c>
      <c r="AD3383">
        <v>9</v>
      </c>
      <c r="AE3383" t="s">
        <v>1396</v>
      </c>
      <c r="AF3383">
        <v>0</v>
      </c>
      <c r="AG3383" t="s">
        <v>310</v>
      </c>
      <c r="AH3383">
        <f>SUM((MID(Dyno_Data[[#This Row],[Team]],4,5))+(Dyno_Data[[#This Row],[Match]]/100))</f>
        <v>5881.62</v>
      </c>
      <c r="AI3383" s="76">
        <f>ROUND(SUM(IF(Dyno_Data[[#This Row],[AcqCenter]]&gt;0,Dyno_Data[[#This Row],[Time]]-SUMIFS(Dyno_Data[Time],Dyno_Data[Team],Dyno_Data[[#This Row],[Team]],Dyno_Data[RecordType],"StartMatch",Dyno_Data[Match],Dyno_Data[[#This Row],[Match]]),0)*86400),0)</f>
        <v>0</v>
      </c>
    </row>
    <row r="3384" spans="1:35" x14ac:dyDescent="0.3">
      <c r="A3384">
        <v>3383</v>
      </c>
      <c r="B3384" t="s">
        <v>366</v>
      </c>
      <c r="C3384">
        <v>62</v>
      </c>
      <c r="D3384" s="105">
        <v>45374.403335567127</v>
      </c>
      <c r="E3384" t="s">
        <v>312</v>
      </c>
      <c r="F3384" t="s">
        <v>1402</v>
      </c>
      <c r="G3384">
        <v>0</v>
      </c>
      <c r="H3384" t="s">
        <v>315</v>
      </c>
      <c r="I3384">
        <v>0</v>
      </c>
      <c r="J3384">
        <v>0</v>
      </c>
      <c r="K3384">
        <v>0</v>
      </c>
      <c r="L3384" t="s">
        <v>240</v>
      </c>
      <c r="M3384" t="s">
        <v>1398</v>
      </c>
      <c r="N3384">
        <v>0</v>
      </c>
      <c r="O3384" t="s">
        <v>319</v>
      </c>
      <c r="P3384" t="s">
        <v>310</v>
      </c>
      <c r="Q3384" t="s">
        <v>310</v>
      </c>
      <c r="R3384" t="s">
        <v>310</v>
      </c>
      <c r="S3384">
        <v>9</v>
      </c>
      <c r="T3384" t="s">
        <v>310</v>
      </c>
      <c r="U3384">
        <v>9</v>
      </c>
      <c r="V3384">
        <v>9</v>
      </c>
      <c r="W3384">
        <v>0</v>
      </c>
      <c r="X3384">
        <v>0</v>
      </c>
      <c r="Y3384">
        <v>0</v>
      </c>
      <c r="Z3384">
        <v>0</v>
      </c>
      <c r="AA3384">
        <v>9</v>
      </c>
      <c r="AB3384">
        <v>9</v>
      </c>
      <c r="AC3384" t="s">
        <v>310</v>
      </c>
      <c r="AD3384">
        <v>9</v>
      </c>
      <c r="AE3384" t="s">
        <v>1392</v>
      </c>
      <c r="AF3384">
        <v>40000000</v>
      </c>
      <c r="AG3384" t="s">
        <v>310</v>
      </c>
      <c r="AH3384">
        <f>SUM((MID(Dyno_Data[[#This Row],[Team]],4,5))+(Dyno_Data[[#This Row],[Match]]/100))</f>
        <v>4122.62</v>
      </c>
      <c r="AI3384" s="76">
        <f>ROUND(SUM(IF(Dyno_Data[[#This Row],[AcqCenter]]&gt;0,Dyno_Data[[#This Row],[Time]]-SUMIFS(Dyno_Data[Time],Dyno_Data[Team],Dyno_Data[[#This Row],[Team]],Dyno_Data[RecordType],"StartMatch",Dyno_Data[Match],Dyno_Data[[#This Row],[Match]]),0)*86400),0)</f>
        <v>0</v>
      </c>
    </row>
    <row r="3385" spans="1:35" x14ac:dyDescent="0.3">
      <c r="A3385">
        <v>3384</v>
      </c>
      <c r="B3385" t="s">
        <v>1277</v>
      </c>
      <c r="C3385">
        <v>62</v>
      </c>
      <c r="D3385" s="105">
        <v>45374.40336744213</v>
      </c>
      <c r="E3385" t="s">
        <v>312</v>
      </c>
      <c r="F3385" t="s">
        <v>1402</v>
      </c>
      <c r="G3385">
        <v>0</v>
      </c>
      <c r="H3385" t="s">
        <v>315</v>
      </c>
      <c r="I3385">
        <v>0</v>
      </c>
      <c r="J3385">
        <v>0</v>
      </c>
      <c r="K3385">
        <v>0</v>
      </c>
      <c r="L3385" t="s">
        <v>241</v>
      </c>
      <c r="M3385" t="s">
        <v>1398</v>
      </c>
      <c r="N3385">
        <v>0</v>
      </c>
      <c r="O3385" t="s">
        <v>1393</v>
      </c>
      <c r="P3385" t="s">
        <v>310</v>
      </c>
      <c r="Q3385" t="s">
        <v>310</v>
      </c>
      <c r="R3385" t="s">
        <v>310</v>
      </c>
      <c r="S3385">
        <v>9</v>
      </c>
      <c r="T3385" t="s">
        <v>310</v>
      </c>
      <c r="U3385">
        <v>9</v>
      </c>
      <c r="V3385">
        <v>9</v>
      </c>
      <c r="W3385">
        <v>0</v>
      </c>
      <c r="X3385">
        <v>0</v>
      </c>
      <c r="Y3385">
        <v>0</v>
      </c>
      <c r="Z3385">
        <v>0</v>
      </c>
      <c r="AA3385">
        <v>9</v>
      </c>
      <c r="AB3385">
        <v>9</v>
      </c>
      <c r="AC3385" t="s">
        <v>310</v>
      </c>
      <c r="AD3385">
        <v>9</v>
      </c>
      <c r="AE3385" t="s">
        <v>1390</v>
      </c>
      <c r="AF3385">
        <v>20000000</v>
      </c>
      <c r="AG3385" t="s">
        <v>310</v>
      </c>
      <c r="AH3385">
        <f>SUM((MID(Dyno_Data[[#This Row],[Team]],4,5))+(Dyno_Data[[#This Row],[Match]]/100))</f>
        <v>3360.62</v>
      </c>
      <c r="AI3385" s="76">
        <f>ROUND(SUM(IF(Dyno_Data[[#This Row],[AcqCenter]]&gt;0,Dyno_Data[[#This Row],[Time]]-SUMIFS(Dyno_Data[Time],Dyno_Data[Team],Dyno_Data[[#This Row],[Team]],Dyno_Data[RecordType],"StartMatch",Dyno_Data[Match],Dyno_Data[[#This Row],[Match]]),0)*86400),0)</f>
        <v>0</v>
      </c>
    </row>
    <row r="3386" spans="1:35" x14ac:dyDescent="0.3">
      <c r="A3386">
        <v>3385</v>
      </c>
      <c r="B3386" t="s">
        <v>366</v>
      </c>
      <c r="C3386">
        <v>62</v>
      </c>
      <c r="D3386" s="105">
        <v>45374.40337565972</v>
      </c>
      <c r="E3386" t="s">
        <v>312</v>
      </c>
      <c r="F3386" t="s">
        <v>1402</v>
      </c>
      <c r="G3386">
        <v>0</v>
      </c>
      <c r="H3386" t="s">
        <v>315</v>
      </c>
      <c r="I3386">
        <v>0</v>
      </c>
      <c r="J3386">
        <v>0</v>
      </c>
      <c r="K3386">
        <v>0</v>
      </c>
      <c r="L3386" t="s">
        <v>240</v>
      </c>
      <c r="M3386" t="s">
        <v>1398</v>
      </c>
      <c r="N3386">
        <v>0</v>
      </c>
      <c r="O3386" t="s">
        <v>319</v>
      </c>
      <c r="P3386" t="s">
        <v>310</v>
      </c>
      <c r="Q3386" t="s">
        <v>310</v>
      </c>
      <c r="R3386" t="s">
        <v>310</v>
      </c>
      <c r="S3386">
        <v>9</v>
      </c>
      <c r="T3386" t="s">
        <v>310</v>
      </c>
      <c r="U3386">
        <v>9</v>
      </c>
      <c r="V3386">
        <v>9</v>
      </c>
      <c r="W3386">
        <v>0</v>
      </c>
      <c r="X3386">
        <v>0</v>
      </c>
      <c r="Y3386">
        <v>0</v>
      </c>
      <c r="Z3386">
        <v>0</v>
      </c>
      <c r="AA3386">
        <v>9</v>
      </c>
      <c r="AB3386">
        <v>9</v>
      </c>
      <c r="AC3386" t="s">
        <v>310</v>
      </c>
      <c r="AD3386">
        <v>9</v>
      </c>
      <c r="AE3386" t="s">
        <v>1392</v>
      </c>
      <c r="AF3386">
        <v>50000000</v>
      </c>
      <c r="AG3386" t="s">
        <v>310</v>
      </c>
      <c r="AH3386">
        <f>SUM((MID(Dyno_Data[[#This Row],[Team]],4,5))+(Dyno_Data[[#This Row],[Match]]/100))</f>
        <v>4122.62</v>
      </c>
      <c r="AI3386" s="76">
        <f>ROUND(SUM(IF(Dyno_Data[[#This Row],[AcqCenter]]&gt;0,Dyno_Data[[#This Row],[Time]]-SUMIFS(Dyno_Data[Time],Dyno_Data[Team],Dyno_Data[[#This Row],[Team]],Dyno_Data[RecordType],"StartMatch",Dyno_Data[Match],Dyno_Data[[#This Row],[Match]]),0)*86400),0)</f>
        <v>0</v>
      </c>
    </row>
    <row r="3387" spans="1:35" x14ac:dyDescent="0.3">
      <c r="A3387">
        <v>3386</v>
      </c>
      <c r="B3387" t="s">
        <v>1290</v>
      </c>
      <c r="C3387">
        <v>62</v>
      </c>
      <c r="D3387" s="105">
        <v>45374.403426620367</v>
      </c>
      <c r="E3387" t="s">
        <v>312</v>
      </c>
      <c r="F3387" t="s">
        <v>1402</v>
      </c>
      <c r="G3387">
        <v>0</v>
      </c>
      <c r="H3387" t="s">
        <v>315</v>
      </c>
      <c r="I3387">
        <v>0</v>
      </c>
      <c r="J3387">
        <v>0</v>
      </c>
      <c r="K3387">
        <v>0</v>
      </c>
      <c r="L3387" t="s">
        <v>241</v>
      </c>
      <c r="M3387" t="s">
        <v>1398</v>
      </c>
      <c r="N3387">
        <v>0</v>
      </c>
      <c r="O3387" t="s">
        <v>1391</v>
      </c>
      <c r="P3387" t="s">
        <v>310</v>
      </c>
      <c r="Q3387" t="s">
        <v>310</v>
      </c>
      <c r="R3387" t="s">
        <v>310</v>
      </c>
      <c r="S3387">
        <v>9</v>
      </c>
      <c r="T3387" t="s">
        <v>310</v>
      </c>
      <c r="U3387">
        <v>9</v>
      </c>
      <c r="V3387">
        <v>9</v>
      </c>
      <c r="W3387">
        <v>0</v>
      </c>
      <c r="X3387">
        <v>0</v>
      </c>
      <c r="Y3387">
        <v>0</v>
      </c>
      <c r="Z3387">
        <v>0</v>
      </c>
      <c r="AA3387">
        <v>9</v>
      </c>
      <c r="AB3387">
        <v>9</v>
      </c>
      <c r="AC3387" t="s">
        <v>310</v>
      </c>
      <c r="AD3387">
        <v>9</v>
      </c>
      <c r="AE3387" t="s">
        <v>1396</v>
      </c>
      <c r="AF3387">
        <v>10000000</v>
      </c>
      <c r="AG3387" t="s">
        <v>310</v>
      </c>
      <c r="AH3387">
        <f>SUM((MID(Dyno_Data[[#This Row],[Team]],4,5))+(Dyno_Data[[#This Row],[Match]]/100))</f>
        <v>5881.62</v>
      </c>
      <c r="AI3387" s="76">
        <f>ROUND(SUM(IF(Dyno_Data[[#This Row],[AcqCenter]]&gt;0,Dyno_Data[[#This Row],[Time]]-SUMIFS(Dyno_Data[Time],Dyno_Data[Team],Dyno_Data[[#This Row],[Team]],Dyno_Data[RecordType],"StartMatch",Dyno_Data[Match],Dyno_Data[[#This Row],[Match]]),0)*86400),0)</f>
        <v>0</v>
      </c>
    </row>
    <row r="3388" spans="1:35" x14ac:dyDescent="0.3">
      <c r="A3388">
        <v>3387</v>
      </c>
      <c r="B3388" t="s">
        <v>1312</v>
      </c>
      <c r="C3388">
        <v>62</v>
      </c>
      <c r="D3388" s="105">
        <v>45374.403433067127</v>
      </c>
      <c r="E3388" t="s">
        <v>312</v>
      </c>
      <c r="F3388" t="s">
        <v>309</v>
      </c>
      <c r="G3388">
        <v>0</v>
      </c>
      <c r="H3388" t="s">
        <v>315</v>
      </c>
      <c r="I3388">
        <v>0</v>
      </c>
      <c r="J3388">
        <v>0</v>
      </c>
      <c r="K3388">
        <v>0</v>
      </c>
      <c r="L3388" t="s">
        <v>241</v>
      </c>
      <c r="M3388" t="s">
        <v>101</v>
      </c>
      <c r="N3388">
        <v>0</v>
      </c>
      <c r="O3388" t="s">
        <v>1389</v>
      </c>
      <c r="P3388" t="s">
        <v>310</v>
      </c>
      <c r="Q3388" t="s">
        <v>310</v>
      </c>
      <c r="R3388" t="s">
        <v>310</v>
      </c>
      <c r="S3388">
        <v>9</v>
      </c>
      <c r="T3388" t="s">
        <v>310</v>
      </c>
      <c r="U3388">
        <v>9</v>
      </c>
      <c r="V3388">
        <v>9</v>
      </c>
      <c r="W3388">
        <v>0</v>
      </c>
      <c r="X3388">
        <v>0</v>
      </c>
      <c r="Y3388">
        <v>0</v>
      </c>
      <c r="Z3388">
        <v>0</v>
      </c>
      <c r="AA3388">
        <v>9</v>
      </c>
      <c r="AB3388">
        <v>9</v>
      </c>
      <c r="AC3388" t="s">
        <v>310</v>
      </c>
      <c r="AD3388">
        <v>9</v>
      </c>
      <c r="AE3388" t="s">
        <v>1394</v>
      </c>
      <c r="AF3388">
        <v>10000000</v>
      </c>
      <c r="AG3388" t="s">
        <v>310</v>
      </c>
      <c r="AH3388">
        <f>SUM((MID(Dyno_Data[[#This Row],[Team]],4,5))+(Dyno_Data[[#This Row],[Match]]/100))</f>
        <v>2053.62</v>
      </c>
      <c r="AI3388" s="76">
        <f>ROUND(SUM(IF(Dyno_Data[[#This Row],[AcqCenter]]&gt;0,Dyno_Data[[#This Row],[Time]]-SUMIFS(Dyno_Data[Time],Dyno_Data[Team],Dyno_Data[[#This Row],[Team]],Dyno_Data[RecordType],"StartMatch",Dyno_Data[Match],Dyno_Data[[#This Row],[Match]]),0)*86400),0)</f>
        <v>0</v>
      </c>
    </row>
    <row r="3389" spans="1:35" x14ac:dyDescent="0.3">
      <c r="A3389">
        <v>3388</v>
      </c>
      <c r="B3389" t="s">
        <v>366</v>
      </c>
      <c r="C3389">
        <v>62</v>
      </c>
      <c r="D3389" s="105">
        <v>45374.40345489583</v>
      </c>
      <c r="E3389" t="s">
        <v>312</v>
      </c>
      <c r="F3389" t="s">
        <v>1402</v>
      </c>
      <c r="G3389">
        <v>0</v>
      </c>
      <c r="H3389" t="s">
        <v>315</v>
      </c>
      <c r="I3389">
        <v>0</v>
      </c>
      <c r="J3389">
        <v>0</v>
      </c>
      <c r="K3389">
        <v>0</v>
      </c>
      <c r="L3389" t="s">
        <v>240</v>
      </c>
      <c r="M3389" t="s">
        <v>1398</v>
      </c>
      <c r="N3389">
        <v>0</v>
      </c>
      <c r="O3389" t="s">
        <v>319</v>
      </c>
      <c r="P3389" t="s">
        <v>310</v>
      </c>
      <c r="Q3389" t="s">
        <v>310</v>
      </c>
      <c r="R3389" t="s">
        <v>310</v>
      </c>
      <c r="S3389">
        <v>9</v>
      </c>
      <c r="T3389" t="s">
        <v>310</v>
      </c>
      <c r="U3389">
        <v>9</v>
      </c>
      <c r="V3389">
        <v>9</v>
      </c>
      <c r="W3389">
        <v>0</v>
      </c>
      <c r="X3389">
        <v>0</v>
      </c>
      <c r="Y3389">
        <v>0</v>
      </c>
      <c r="Z3389">
        <v>0</v>
      </c>
      <c r="AA3389">
        <v>9</v>
      </c>
      <c r="AB3389">
        <v>9</v>
      </c>
      <c r="AC3389" t="s">
        <v>310</v>
      </c>
      <c r="AD3389">
        <v>9</v>
      </c>
      <c r="AE3389" t="s">
        <v>1392</v>
      </c>
      <c r="AF3389">
        <v>60000000</v>
      </c>
      <c r="AG3389" t="s">
        <v>310</v>
      </c>
      <c r="AH3389">
        <f>SUM((MID(Dyno_Data[[#This Row],[Team]],4,5))+(Dyno_Data[[#This Row],[Match]]/100))</f>
        <v>4122.62</v>
      </c>
      <c r="AI3389" s="76">
        <f>ROUND(SUM(IF(Dyno_Data[[#This Row],[AcqCenter]]&gt;0,Dyno_Data[[#This Row],[Time]]-SUMIFS(Dyno_Data[Time],Dyno_Data[Team],Dyno_Data[[#This Row],[Team]],Dyno_Data[RecordType],"StartMatch",Dyno_Data[Match],Dyno_Data[[#This Row],[Match]]),0)*86400),0)</f>
        <v>0</v>
      </c>
    </row>
    <row r="3390" spans="1:35" x14ac:dyDescent="0.3">
      <c r="A3390">
        <v>3389</v>
      </c>
      <c r="B3390" t="s">
        <v>1277</v>
      </c>
      <c r="C3390">
        <v>62</v>
      </c>
      <c r="D3390" s="105">
        <v>45374.403464386574</v>
      </c>
      <c r="E3390" t="s">
        <v>312</v>
      </c>
      <c r="F3390" t="s">
        <v>1402</v>
      </c>
      <c r="G3390">
        <v>0</v>
      </c>
      <c r="H3390" t="s">
        <v>315</v>
      </c>
      <c r="I3390">
        <v>0</v>
      </c>
      <c r="J3390">
        <v>0</v>
      </c>
      <c r="K3390">
        <v>0</v>
      </c>
      <c r="L3390" t="s">
        <v>241</v>
      </c>
      <c r="M3390" t="s">
        <v>1398</v>
      </c>
      <c r="N3390">
        <v>0</v>
      </c>
      <c r="O3390" t="s">
        <v>1393</v>
      </c>
      <c r="P3390" t="s">
        <v>310</v>
      </c>
      <c r="Q3390" t="s">
        <v>310</v>
      </c>
      <c r="R3390" t="s">
        <v>310</v>
      </c>
      <c r="S3390">
        <v>9</v>
      </c>
      <c r="T3390" t="s">
        <v>310</v>
      </c>
      <c r="U3390">
        <v>9</v>
      </c>
      <c r="V3390">
        <v>9</v>
      </c>
      <c r="W3390">
        <v>0</v>
      </c>
      <c r="X3390">
        <v>0</v>
      </c>
      <c r="Y3390">
        <v>0</v>
      </c>
      <c r="Z3390">
        <v>0</v>
      </c>
      <c r="AA3390">
        <v>9</v>
      </c>
      <c r="AB3390">
        <v>9</v>
      </c>
      <c r="AC3390" t="s">
        <v>310</v>
      </c>
      <c r="AD3390">
        <v>9</v>
      </c>
      <c r="AE3390" t="s">
        <v>1390</v>
      </c>
      <c r="AF3390">
        <v>30000000</v>
      </c>
      <c r="AG3390" t="s">
        <v>310</v>
      </c>
      <c r="AH3390">
        <f>SUM((MID(Dyno_Data[[#This Row],[Team]],4,5))+(Dyno_Data[[#This Row],[Match]]/100))</f>
        <v>3360.62</v>
      </c>
      <c r="AI3390" s="76">
        <f>ROUND(SUM(IF(Dyno_Data[[#This Row],[AcqCenter]]&gt;0,Dyno_Data[[#This Row],[Time]]-SUMIFS(Dyno_Data[Time],Dyno_Data[Team],Dyno_Data[[#This Row],[Team]],Dyno_Data[RecordType],"StartMatch",Dyno_Data[Match],Dyno_Data[[#This Row],[Match]]),0)*86400),0)</f>
        <v>0</v>
      </c>
    </row>
    <row r="3391" spans="1:35" x14ac:dyDescent="0.3">
      <c r="A3391">
        <v>3390</v>
      </c>
      <c r="B3391" t="s">
        <v>366</v>
      </c>
      <c r="C3391">
        <v>62</v>
      </c>
      <c r="D3391" s="105">
        <v>45374.40356269676</v>
      </c>
      <c r="E3391" t="s">
        <v>312</v>
      </c>
      <c r="F3391" t="s">
        <v>1402</v>
      </c>
      <c r="G3391">
        <v>0</v>
      </c>
      <c r="H3391" t="s">
        <v>315</v>
      </c>
      <c r="I3391">
        <v>0</v>
      </c>
      <c r="J3391">
        <v>0</v>
      </c>
      <c r="K3391">
        <v>0</v>
      </c>
      <c r="L3391" t="s">
        <v>240</v>
      </c>
      <c r="M3391" t="s">
        <v>1398</v>
      </c>
      <c r="N3391">
        <v>0</v>
      </c>
      <c r="O3391" t="s">
        <v>319</v>
      </c>
      <c r="P3391" t="s">
        <v>310</v>
      </c>
      <c r="Q3391" t="s">
        <v>310</v>
      </c>
      <c r="R3391" t="s">
        <v>310</v>
      </c>
      <c r="S3391">
        <v>9</v>
      </c>
      <c r="T3391" t="s">
        <v>310</v>
      </c>
      <c r="U3391">
        <v>9</v>
      </c>
      <c r="V3391">
        <v>9</v>
      </c>
      <c r="W3391">
        <v>0</v>
      </c>
      <c r="X3391">
        <v>0</v>
      </c>
      <c r="Y3391">
        <v>0</v>
      </c>
      <c r="Z3391">
        <v>0</v>
      </c>
      <c r="AA3391">
        <v>9</v>
      </c>
      <c r="AB3391">
        <v>9</v>
      </c>
      <c r="AC3391" t="s">
        <v>310</v>
      </c>
      <c r="AD3391">
        <v>9</v>
      </c>
      <c r="AE3391" t="s">
        <v>1392</v>
      </c>
      <c r="AF3391">
        <v>70000000</v>
      </c>
      <c r="AG3391" t="s">
        <v>310</v>
      </c>
      <c r="AH3391">
        <f>SUM((MID(Dyno_Data[[#This Row],[Team]],4,5))+(Dyno_Data[[#This Row],[Match]]/100))</f>
        <v>4122.62</v>
      </c>
      <c r="AI3391" s="76">
        <f>ROUND(SUM(IF(Dyno_Data[[#This Row],[AcqCenter]]&gt;0,Dyno_Data[[#This Row],[Time]]-SUMIFS(Dyno_Data[Time],Dyno_Data[Team],Dyno_Data[[#This Row],[Team]],Dyno_Data[RecordType],"StartMatch",Dyno_Data[Match],Dyno_Data[[#This Row],[Match]]),0)*86400),0)</f>
        <v>0</v>
      </c>
    </row>
    <row r="3392" spans="1:35" x14ac:dyDescent="0.3">
      <c r="A3392">
        <v>3391</v>
      </c>
      <c r="B3392" t="s">
        <v>1290</v>
      </c>
      <c r="C3392">
        <v>62</v>
      </c>
      <c r="D3392" s="105">
        <v>45374.403578819445</v>
      </c>
      <c r="E3392" t="s">
        <v>312</v>
      </c>
      <c r="F3392" t="s">
        <v>1402</v>
      </c>
      <c r="G3392">
        <v>0</v>
      </c>
      <c r="H3392" t="s">
        <v>315</v>
      </c>
      <c r="I3392">
        <v>0</v>
      </c>
      <c r="J3392">
        <v>0</v>
      </c>
      <c r="K3392">
        <v>0</v>
      </c>
      <c r="L3392" t="s">
        <v>241</v>
      </c>
      <c r="M3392" t="s">
        <v>1398</v>
      </c>
      <c r="N3392">
        <v>1</v>
      </c>
      <c r="O3392" t="s">
        <v>1391</v>
      </c>
      <c r="P3392" t="s">
        <v>310</v>
      </c>
      <c r="Q3392" t="s">
        <v>310</v>
      </c>
      <c r="R3392" t="s">
        <v>310</v>
      </c>
      <c r="S3392">
        <v>9</v>
      </c>
      <c r="T3392" t="s">
        <v>310</v>
      </c>
      <c r="U3392">
        <v>9</v>
      </c>
      <c r="V3392">
        <v>9</v>
      </c>
      <c r="W3392">
        <v>0</v>
      </c>
      <c r="X3392">
        <v>0</v>
      </c>
      <c r="Y3392">
        <v>0</v>
      </c>
      <c r="Z3392">
        <v>0</v>
      </c>
      <c r="AA3392">
        <v>9</v>
      </c>
      <c r="AB3392">
        <v>9</v>
      </c>
      <c r="AC3392" t="s">
        <v>310</v>
      </c>
      <c r="AD3392">
        <v>9</v>
      </c>
      <c r="AE3392" t="s">
        <v>1396</v>
      </c>
      <c r="AF3392">
        <v>20000000</v>
      </c>
      <c r="AG3392" t="s">
        <v>310</v>
      </c>
      <c r="AH3392">
        <f>SUM((MID(Dyno_Data[[#This Row],[Team]],4,5))+(Dyno_Data[[#This Row],[Match]]/100))</f>
        <v>5881.62</v>
      </c>
      <c r="AI3392" s="76">
        <f>ROUND(SUM(IF(Dyno_Data[[#This Row],[AcqCenter]]&gt;0,Dyno_Data[[#This Row],[Time]]-SUMIFS(Dyno_Data[Time],Dyno_Data[Team],Dyno_Data[[#This Row],[Team]],Dyno_Data[RecordType],"StartMatch",Dyno_Data[Match],Dyno_Data[[#This Row],[Match]]),0)*86400),0)</f>
        <v>0</v>
      </c>
    </row>
    <row r="3393" spans="1:35" x14ac:dyDescent="0.3">
      <c r="A3393">
        <v>3392</v>
      </c>
      <c r="B3393" t="s">
        <v>1277</v>
      </c>
      <c r="C3393">
        <v>62</v>
      </c>
      <c r="D3393" s="105">
        <v>45374.40359332176</v>
      </c>
      <c r="E3393" t="s">
        <v>312</v>
      </c>
      <c r="F3393" t="s">
        <v>1402</v>
      </c>
      <c r="G3393">
        <v>0</v>
      </c>
      <c r="H3393" t="s">
        <v>315</v>
      </c>
      <c r="I3393">
        <v>0</v>
      </c>
      <c r="J3393">
        <v>0</v>
      </c>
      <c r="K3393">
        <v>0</v>
      </c>
      <c r="L3393" t="s">
        <v>240</v>
      </c>
      <c r="M3393" t="s">
        <v>1398</v>
      </c>
      <c r="N3393">
        <v>0</v>
      </c>
      <c r="O3393" t="s">
        <v>1393</v>
      </c>
      <c r="P3393" t="s">
        <v>310</v>
      </c>
      <c r="Q3393" t="s">
        <v>310</v>
      </c>
      <c r="R3393" t="s">
        <v>310</v>
      </c>
      <c r="S3393">
        <v>9</v>
      </c>
      <c r="T3393" t="s">
        <v>310</v>
      </c>
      <c r="U3393">
        <v>9</v>
      </c>
      <c r="V3393">
        <v>9</v>
      </c>
      <c r="W3393">
        <v>0</v>
      </c>
      <c r="X3393">
        <v>0</v>
      </c>
      <c r="Y3393">
        <v>0</v>
      </c>
      <c r="Z3393">
        <v>0</v>
      </c>
      <c r="AA3393">
        <v>9</v>
      </c>
      <c r="AB3393">
        <v>9</v>
      </c>
      <c r="AC3393" t="s">
        <v>310</v>
      </c>
      <c r="AD3393">
        <v>9</v>
      </c>
      <c r="AE3393" t="s">
        <v>1390</v>
      </c>
      <c r="AF3393">
        <v>40000000</v>
      </c>
      <c r="AG3393" t="s">
        <v>310</v>
      </c>
      <c r="AH3393">
        <f>SUM((MID(Dyno_Data[[#This Row],[Team]],4,5))+(Dyno_Data[[#This Row],[Match]]/100))</f>
        <v>3360.62</v>
      </c>
      <c r="AI3393" s="76">
        <f>ROUND(SUM(IF(Dyno_Data[[#This Row],[AcqCenter]]&gt;0,Dyno_Data[[#This Row],[Time]]-SUMIFS(Dyno_Data[Time],Dyno_Data[Team],Dyno_Data[[#This Row],[Team]],Dyno_Data[RecordType],"StartMatch",Dyno_Data[Match],Dyno_Data[[#This Row],[Match]]),0)*86400),0)</f>
        <v>0</v>
      </c>
    </row>
    <row r="3394" spans="1:35" x14ac:dyDescent="0.3">
      <c r="A3394">
        <v>3393</v>
      </c>
      <c r="B3394" t="s">
        <v>1312</v>
      </c>
      <c r="C3394">
        <v>62</v>
      </c>
      <c r="D3394" s="105">
        <v>45374.403675960646</v>
      </c>
      <c r="E3394" t="s">
        <v>312</v>
      </c>
      <c r="F3394" t="s">
        <v>309</v>
      </c>
      <c r="G3394">
        <v>0</v>
      </c>
      <c r="H3394" t="s">
        <v>315</v>
      </c>
      <c r="I3394">
        <v>0</v>
      </c>
      <c r="J3394">
        <v>0</v>
      </c>
      <c r="K3394">
        <v>0</v>
      </c>
      <c r="L3394" t="s">
        <v>241</v>
      </c>
      <c r="M3394" t="s">
        <v>101</v>
      </c>
      <c r="N3394">
        <v>0</v>
      </c>
      <c r="O3394" t="s">
        <v>1389</v>
      </c>
      <c r="P3394" t="s">
        <v>310</v>
      </c>
      <c r="Q3394" t="s">
        <v>310</v>
      </c>
      <c r="R3394" t="s">
        <v>310</v>
      </c>
      <c r="S3394">
        <v>9</v>
      </c>
      <c r="T3394" t="s">
        <v>310</v>
      </c>
      <c r="U3394">
        <v>9</v>
      </c>
      <c r="V3394">
        <v>9</v>
      </c>
      <c r="W3394">
        <v>0</v>
      </c>
      <c r="X3394">
        <v>0</v>
      </c>
      <c r="Y3394">
        <v>0</v>
      </c>
      <c r="Z3394">
        <v>0</v>
      </c>
      <c r="AA3394">
        <v>9</v>
      </c>
      <c r="AB3394">
        <v>9</v>
      </c>
      <c r="AC3394" t="s">
        <v>310</v>
      </c>
      <c r="AD3394">
        <v>9</v>
      </c>
      <c r="AE3394" t="s">
        <v>1394</v>
      </c>
      <c r="AF3394">
        <v>20000000</v>
      </c>
      <c r="AG3394" t="s">
        <v>310</v>
      </c>
      <c r="AH3394">
        <f>SUM((MID(Dyno_Data[[#This Row],[Team]],4,5))+(Dyno_Data[[#This Row],[Match]]/100))</f>
        <v>2053.62</v>
      </c>
      <c r="AI3394" s="76">
        <f>ROUND(SUM(IF(Dyno_Data[[#This Row],[AcqCenter]]&gt;0,Dyno_Data[[#This Row],[Time]]-SUMIFS(Dyno_Data[Time],Dyno_Data[Team],Dyno_Data[[#This Row],[Team]],Dyno_Data[RecordType],"StartMatch",Dyno_Data[Match],Dyno_Data[[#This Row],[Match]]),0)*86400),0)</f>
        <v>0</v>
      </c>
    </row>
    <row r="3395" spans="1:35" x14ac:dyDescent="0.3">
      <c r="A3395">
        <v>3394</v>
      </c>
      <c r="B3395" t="s">
        <v>1290</v>
      </c>
      <c r="C3395">
        <v>62</v>
      </c>
      <c r="D3395" s="105">
        <v>45374.403688506944</v>
      </c>
      <c r="E3395" t="s">
        <v>312</v>
      </c>
      <c r="F3395" t="s">
        <v>1402</v>
      </c>
      <c r="G3395">
        <v>0</v>
      </c>
      <c r="H3395" t="s">
        <v>315</v>
      </c>
      <c r="I3395">
        <v>0</v>
      </c>
      <c r="J3395">
        <v>0</v>
      </c>
      <c r="K3395">
        <v>0</v>
      </c>
      <c r="L3395" t="s">
        <v>241</v>
      </c>
      <c r="M3395" t="s">
        <v>1398</v>
      </c>
      <c r="N3395">
        <v>1</v>
      </c>
      <c r="O3395" t="s">
        <v>1391</v>
      </c>
      <c r="P3395" t="s">
        <v>310</v>
      </c>
      <c r="Q3395" t="s">
        <v>310</v>
      </c>
      <c r="R3395" t="s">
        <v>310</v>
      </c>
      <c r="S3395">
        <v>9</v>
      </c>
      <c r="T3395" t="s">
        <v>310</v>
      </c>
      <c r="U3395">
        <v>9</v>
      </c>
      <c r="V3395">
        <v>9</v>
      </c>
      <c r="W3395">
        <v>0</v>
      </c>
      <c r="X3395">
        <v>0</v>
      </c>
      <c r="Y3395">
        <v>0</v>
      </c>
      <c r="Z3395">
        <v>0</v>
      </c>
      <c r="AA3395">
        <v>9</v>
      </c>
      <c r="AB3395">
        <v>9</v>
      </c>
      <c r="AC3395" t="s">
        <v>310</v>
      </c>
      <c r="AD3395">
        <v>9</v>
      </c>
      <c r="AE3395" t="s">
        <v>1396</v>
      </c>
      <c r="AF3395">
        <v>30000000</v>
      </c>
      <c r="AG3395" t="s">
        <v>310</v>
      </c>
      <c r="AH3395">
        <f>SUM((MID(Dyno_Data[[#This Row],[Team]],4,5))+(Dyno_Data[[#This Row],[Match]]/100))</f>
        <v>5881.62</v>
      </c>
      <c r="AI3395" s="76">
        <f>ROUND(SUM(IF(Dyno_Data[[#This Row],[AcqCenter]]&gt;0,Dyno_Data[[#This Row],[Time]]-SUMIFS(Dyno_Data[Time],Dyno_Data[Team],Dyno_Data[[#This Row],[Team]],Dyno_Data[RecordType],"StartMatch",Dyno_Data[Match],Dyno_Data[[#This Row],[Match]]),0)*86400),0)</f>
        <v>0</v>
      </c>
    </row>
    <row r="3396" spans="1:35" x14ac:dyDescent="0.3">
      <c r="A3396">
        <v>3395</v>
      </c>
      <c r="B3396" t="s">
        <v>1277</v>
      </c>
      <c r="C3396">
        <v>62</v>
      </c>
      <c r="D3396" s="105">
        <v>45374.403750578706</v>
      </c>
      <c r="E3396" t="s">
        <v>312</v>
      </c>
      <c r="F3396" t="s">
        <v>1402</v>
      </c>
      <c r="G3396">
        <v>0</v>
      </c>
      <c r="H3396" t="s">
        <v>315</v>
      </c>
      <c r="I3396">
        <v>0</v>
      </c>
      <c r="J3396">
        <v>0</v>
      </c>
      <c r="K3396">
        <v>0</v>
      </c>
      <c r="L3396" t="s">
        <v>241</v>
      </c>
      <c r="M3396" t="s">
        <v>101</v>
      </c>
      <c r="N3396">
        <v>0</v>
      </c>
      <c r="O3396" t="s">
        <v>1393</v>
      </c>
      <c r="P3396" t="s">
        <v>310</v>
      </c>
      <c r="Q3396" t="s">
        <v>310</v>
      </c>
      <c r="R3396" t="s">
        <v>310</v>
      </c>
      <c r="S3396">
        <v>9</v>
      </c>
      <c r="T3396" t="s">
        <v>310</v>
      </c>
      <c r="U3396">
        <v>9</v>
      </c>
      <c r="V3396">
        <v>9</v>
      </c>
      <c r="W3396">
        <v>0</v>
      </c>
      <c r="X3396">
        <v>0</v>
      </c>
      <c r="Y3396">
        <v>0</v>
      </c>
      <c r="Z3396">
        <v>0</v>
      </c>
      <c r="AA3396">
        <v>9</v>
      </c>
      <c r="AB3396">
        <v>9</v>
      </c>
      <c r="AC3396" t="s">
        <v>310</v>
      </c>
      <c r="AD3396">
        <v>9</v>
      </c>
      <c r="AE3396" t="s">
        <v>1390</v>
      </c>
      <c r="AF3396">
        <v>50000000</v>
      </c>
      <c r="AG3396" t="s">
        <v>310</v>
      </c>
      <c r="AH3396">
        <f>SUM((MID(Dyno_Data[[#This Row],[Team]],4,5))+(Dyno_Data[[#This Row],[Match]]/100))</f>
        <v>3360.62</v>
      </c>
      <c r="AI3396" s="76">
        <f>ROUND(SUM(IF(Dyno_Data[[#This Row],[AcqCenter]]&gt;0,Dyno_Data[[#This Row],[Time]]-SUMIFS(Dyno_Data[Time],Dyno_Data[Team],Dyno_Data[[#This Row],[Team]],Dyno_Data[RecordType],"StartMatch",Dyno_Data[Match],Dyno_Data[[#This Row],[Match]]),0)*86400),0)</f>
        <v>0</v>
      </c>
    </row>
    <row r="3397" spans="1:35" x14ac:dyDescent="0.3">
      <c r="A3397">
        <v>3396</v>
      </c>
      <c r="B3397" t="s">
        <v>366</v>
      </c>
      <c r="C3397">
        <v>62</v>
      </c>
      <c r="D3397" s="105">
        <v>45374.403760763889</v>
      </c>
      <c r="E3397" t="s">
        <v>312</v>
      </c>
      <c r="F3397" t="s">
        <v>1402</v>
      </c>
      <c r="G3397">
        <v>0</v>
      </c>
      <c r="H3397" t="s">
        <v>315</v>
      </c>
      <c r="I3397">
        <v>0</v>
      </c>
      <c r="J3397">
        <v>0</v>
      </c>
      <c r="K3397">
        <v>0</v>
      </c>
      <c r="L3397" t="s">
        <v>240</v>
      </c>
      <c r="M3397" t="s">
        <v>1398</v>
      </c>
      <c r="N3397">
        <v>0</v>
      </c>
      <c r="O3397" t="s">
        <v>319</v>
      </c>
      <c r="P3397" t="s">
        <v>310</v>
      </c>
      <c r="Q3397" t="s">
        <v>310</v>
      </c>
      <c r="R3397" t="s">
        <v>310</v>
      </c>
      <c r="S3397">
        <v>9</v>
      </c>
      <c r="T3397" t="s">
        <v>310</v>
      </c>
      <c r="U3397">
        <v>9</v>
      </c>
      <c r="V3397">
        <v>9</v>
      </c>
      <c r="W3397">
        <v>0</v>
      </c>
      <c r="X3397">
        <v>0</v>
      </c>
      <c r="Y3397">
        <v>0</v>
      </c>
      <c r="Z3397">
        <v>0</v>
      </c>
      <c r="AA3397">
        <v>9</v>
      </c>
      <c r="AB3397">
        <v>9</v>
      </c>
      <c r="AC3397" t="s">
        <v>310</v>
      </c>
      <c r="AD3397">
        <v>9</v>
      </c>
      <c r="AE3397" t="s">
        <v>1392</v>
      </c>
      <c r="AF3397">
        <v>80000000</v>
      </c>
      <c r="AG3397" t="s">
        <v>310</v>
      </c>
      <c r="AH3397">
        <f>SUM((MID(Dyno_Data[[#This Row],[Team]],4,5))+(Dyno_Data[[#This Row],[Match]]/100))</f>
        <v>4122.62</v>
      </c>
      <c r="AI3397" s="76">
        <f>ROUND(SUM(IF(Dyno_Data[[#This Row],[AcqCenter]]&gt;0,Dyno_Data[[#This Row],[Time]]-SUMIFS(Dyno_Data[Time],Dyno_Data[Team],Dyno_Data[[#This Row],[Team]],Dyno_Data[RecordType],"StartMatch",Dyno_Data[Match],Dyno_Data[[#This Row],[Match]]),0)*86400),0)</f>
        <v>0</v>
      </c>
    </row>
    <row r="3398" spans="1:35" x14ac:dyDescent="0.3">
      <c r="A3398">
        <v>3397</v>
      </c>
      <c r="B3398" t="s">
        <v>1290</v>
      </c>
      <c r="C3398">
        <v>62</v>
      </c>
      <c r="D3398" s="105">
        <v>45374.403784988426</v>
      </c>
      <c r="E3398" t="s">
        <v>312</v>
      </c>
      <c r="F3398" t="s">
        <v>1402</v>
      </c>
      <c r="G3398">
        <v>0</v>
      </c>
      <c r="H3398" t="s">
        <v>315</v>
      </c>
      <c r="I3398">
        <v>0</v>
      </c>
      <c r="J3398">
        <v>0</v>
      </c>
      <c r="K3398">
        <v>0</v>
      </c>
      <c r="L3398" t="s">
        <v>241</v>
      </c>
      <c r="M3398" t="s">
        <v>1398</v>
      </c>
      <c r="N3398">
        <v>0</v>
      </c>
      <c r="O3398" t="s">
        <v>1391</v>
      </c>
      <c r="P3398" t="s">
        <v>310</v>
      </c>
      <c r="Q3398" t="s">
        <v>310</v>
      </c>
      <c r="R3398" t="s">
        <v>310</v>
      </c>
      <c r="S3398">
        <v>9</v>
      </c>
      <c r="T3398" t="s">
        <v>310</v>
      </c>
      <c r="U3398">
        <v>9</v>
      </c>
      <c r="V3398">
        <v>9</v>
      </c>
      <c r="W3398">
        <v>0</v>
      </c>
      <c r="X3398">
        <v>0</v>
      </c>
      <c r="Y3398">
        <v>0</v>
      </c>
      <c r="Z3398">
        <v>0</v>
      </c>
      <c r="AA3398">
        <v>9</v>
      </c>
      <c r="AB3398">
        <v>9</v>
      </c>
      <c r="AC3398" t="s">
        <v>310</v>
      </c>
      <c r="AD3398">
        <v>9</v>
      </c>
      <c r="AE3398" t="s">
        <v>1396</v>
      </c>
      <c r="AF3398">
        <v>40000000</v>
      </c>
      <c r="AG3398" t="s">
        <v>310</v>
      </c>
      <c r="AH3398">
        <f>SUM((MID(Dyno_Data[[#This Row],[Team]],4,5))+(Dyno_Data[[#This Row],[Match]]/100))</f>
        <v>5881.62</v>
      </c>
      <c r="AI3398" s="76">
        <f>ROUND(SUM(IF(Dyno_Data[[#This Row],[AcqCenter]]&gt;0,Dyno_Data[[#This Row],[Time]]-SUMIFS(Dyno_Data[Time],Dyno_Data[Team],Dyno_Data[[#This Row],[Team]],Dyno_Data[RecordType],"StartMatch",Dyno_Data[Match],Dyno_Data[[#This Row],[Match]]),0)*86400),0)</f>
        <v>0</v>
      </c>
    </row>
    <row r="3399" spans="1:35" x14ac:dyDescent="0.3">
      <c r="A3399">
        <v>3398</v>
      </c>
      <c r="B3399" t="s">
        <v>366</v>
      </c>
      <c r="C3399">
        <v>62</v>
      </c>
      <c r="D3399" s="105">
        <v>45374.403804629626</v>
      </c>
      <c r="E3399" t="s">
        <v>312</v>
      </c>
      <c r="F3399" t="s">
        <v>1402</v>
      </c>
      <c r="G3399">
        <v>0</v>
      </c>
      <c r="H3399" t="s">
        <v>315</v>
      </c>
      <c r="I3399">
        <v>0</v>
      </c>
      <c r="J3399">
        <v>0</v>
      </c>
      <c r="K3399">
        <v>0</v>
      </c>
      <c r="L3399" t="s">
        <v>240</v>
      </c>
      <c r="M3399" t="s">
        <v>1398</v>
      </c>
      <c r="N3399">
        <v>0</v>
      </c>
      <c r="O3399" t="s">
        <v>319</v>
      </c>
      <c r="P3399" t="s">
        <v>310</v>
      </c>
      <c r="Q3399" t="s">
        <v>310</v>
      </c>
      <c r="R3399" t="s">
        <v>310</v>
      </c>
      <c r="S3399">
        <v>9</v>
      </c>
      <c r="T3399" t="s">
        <v>310</v>
      </c>
      <c r="U3399">
        <v>9</v>
      </c>
      <c r="V3399">
        <v>9</v>
      </c>
      <c r="W3399">
        <v>0</v>
      </c>
      <c r="X3399">
        <v>0</v>
      </c>
      <c r="Y3399">
        <v>0</v>
      </c>
      <c r="Z3399">
        <v>0</v>
      </c>
      <c r="AA3399">
        <v>9</v>
      </c>
      <c r="AB3399">
        <v>9</v>
      </c>
      <c r="AC3399" t="s">
        <v>310</v>
      </c>
      <c r="AD3399">
        <v>9</v>
      </c>
      <c r="AE3399" t="s">
        <v>1392</v>
      </c>
      <c r="AF3399">
        <v>90000000</v>
      </c>
      <c r="AG3399" t="s">
        <v>310</v>
      </c>
      <c r="AH3399">
        <f>SUM((MID(Dyno_Data[[#This Row],[Team]],4,5))+(Dyno_Data[[#This Row],[Match]]/100))</f>
        <v>4122.62</v>
      </c>
      <c r="AI3399" s="76">
        <f>ROUND(SUM(IF(Dyno_Data[[#This Row],[AcqCenter]]&gt;0,Dyno_Data[[#This Row],[Time]]-SUMIFS(Dyno_Data[Time],Dyno_Data[Team],Dyno_Data[[#This Row],[Team]],Dyno_Data[RecordType],"StartMatch",Dyno_Data[Match],Dyno_Data[[#This Row],[Match]]),0)*86400),0)</f>
        <v>0</v>
      </c>
    </row>
    <row r="3400" spans="1:35" x14ac:dyDescent="0.3">
      <c r="A3400">
        <v>3399</v>
      </c>
      <c r="B3400" t="s">
        <v>1312</v>
      </c>
      <c r="C3400">
        <v>62</v>
      </c>
      <c r="D3400" s="105">
        <v>45374.403849155089</v>
      </c>
      <c r="E3400" t="s">
        <v>312</v>
      </c>
      <c r="F3400" t="s">
        <v>309</v>
      </c>
      <c r="G3400">
        <v>0</v>
      </c>
      <c r="H3400" t="s">
        <v>315</v>
      </c>
      <c r="I3400">
        <v>0</v>
      </c>
      <c r="J3400">
        <v>0</v>
      </c>
      <c r="K3400">
        <v>0</v>
      </c>
      <c r="L3400" t="s">
        <v>241</v>
      </c>
      <c r="M3400" t="s">
        <v>1398</v>
      </c>
      <c r="N3400">
        <v>1</v>
      </c>
      <c r="O3400" t="s">
        <v>1389</v>
      </c>
      <c r="P3400" t="s">
        <v>310</v>
      </c>
      <c r="Q3400" t="s">
        <v>310</v>
      </c>
      <c r="R3400" t="s">
        <v>310</v>
      </c>
      <c r="S3400">
        <v>9</v>
      </c>
      <c r="T3400" t="s">
        <v>310</v>
      </c>
      <c r="U3400">
        <v>9</v>
      </c>
      <c r="V3400">
        <v>9</v>
      </c>
      <c r="W3400">
        <v>0</v>
      </c>
      <c r="X3400">
        <v>0</v>
      </c>
      <c r="Y3400">
        <v>0</v>
      </c>
      <c r="Z3400">
        <v>0</v>
      </c>
      <c r="AA3400">
        <v>9</v>
      </c>
      <c r="AB3400">
        <v>9</v>
      </c>
      <c r="AC3400" t="s">
        <v>310</v>
      </c>
      <c r="AD3400">
        <v>9</v>
      </c>
      <c r="AE3400" t="s">
        <v>1394</v>
      </c>
      <c r="AF3400">
        <v>30000000</v>
      </c>
      <c r="AG3400" t="s">
        <v>310</v>
      </c>
      <c r="AH3400">
        <f>SUM((MID(Dyno_Data[[#This Row],[Team]],4,5))+(Dyno_Data[[#This Row],[Match]]/100))</f>
        <v>2053.62</v>
      </c>
      <c r="AI3400" s="76">
        <f>ROUND(SUM(IF(Dyno_Data[[#This Row],[AcqCenter]]&gt;0,Dyno_Data[[#This Row],[Time]]-SUMIFS(Dyno_Data[Time],Dyno_Data[Team],Dyno_Data[[#This Row],[Team]],Dyno_Data[RecordType],"StartMatch",Dyno_Data[Match],Dyno_Data[[#This Row],[Match]]),0)*86400),0)</f>
        <v>0</v>
      </c>
    </row>
    <row r="3401" spans="1:35" x14ac:dyDescent="0.3">
      <c r="A3401">
        <v>3400</v>
      </c>
      <c r="B3401" t="s">
        <v>1312</v>
      </c>
      <c r="C3401">
        <v>62</v>
      </c>
      <c r="D3401" s="105">
        <v>45374.403950034721</v>
      </c>
      <c r="E3401" t="s">
        <v>312</v>
      </c>
      <c r="F3401" t="s">
        <v>309</v>
      </c>
      <c r="G3401">
        <v>0</v>
      </c>
      <c r="H3401" t="s">
        <v>315</v>
      </c>
      <c r="I3401">
        <v>0</v>
      </c>
      <c r="J3401">
        <v>0</v>
      </c>
      <c r="K3401">
        <v>0</v>
      </c>
      <c r="L3401" t="s">
        <v>241</v>
      </c>
      <c r="M3401" t="s">
        <v>1398</v>
      </c>
      <c r="N3401">
        <v>0</v>
      </c>
      <c r="O3401" t="s">
        <v>1389</v>
      </c>
      <c r="P3401" t="s">
        <v>310</v>
      </c>
      <c r="Q3401" t="s">
        <v>310</v>
      </c>
      <c r="R3401" t="s">
        <v>310</v>
      </c>
      <c r="S3401">
        <v>9</v>
      </c>
      <c r="T3401" t="s">
        <v>310</v>
      </c>
      <c r="U3401">
        <v>9</v>
      </c>
      <c r="V3401">
        <v>9</v>
      </c>
      <c r="W3401">
        <v>0</v>
      </c>
      <c r="X3401">
        <v>0</v>
      </c>
      <c r="Y3401">
        <v>0</v>
      </c>
      <c r="Z3401">
        <v>0</v>
      </c>
      <c r="AA3401">
        <v>9</v>
      </c>
      <c r="AB3401">
        <v>9</v>
      </c>
      <c r="AC3401" t="s">
        <v>310</v>
      </c>
      <c r="AD3401">
        <v>9</v>
      </c>
      <c r="AE3401" t="s">
        <v>1394</v>
      </c>
      <c r="AF3401">
        <v>40000000</v>
      </c>
      <c r="AG3401" t="s">
        <v>310</v>
      </c>
      <c r="AH3401">
        <f>SUM((MID(Dyno_Data[[#This Row],[Team]],4,5))+(Dyno_Data[[#This Row],[Match]]/100))</f>
        <v>2053.62</v>
      </c>
      <c r="AI3401" s="76">
        <f>ROUND(SUM(IF(Dyno_Data[[#This Row],[AcqCenter]]&gt;0,Dyno_Data[[#This Row],[Time]]-SUMIFS(Dyno_Data[Time],Dyno_Data[Team],Dyno_Data[[#This Row],[Team]],Dyno_Data[RecordType],"StartMatch",Dyno_Data[Match],Dyno_Data[[#This Row],[Match]]),0)*86400),0)</f>
        <v>0</v>
      </c>
    </row>
    <row r="3402" spans="1:35" x14ac:dyDescent="0.3">
      <c r="A3402">
        <v>3401</v>
      </c>
      <c r="B3402" t="s">
        <v>1290</v>
      </c>
      <c r="C3402">
        <v>62</v>
      </c>
      <c r="D3402" s="105">
        <v>45374.40397172454</v>
      </c>
      <c r="E3402" t="s">
        <v>312</v>
      </c>
      <c r="F3402" t="s">
        <v>1402</v>
      </c>
      <c r="G3402">
        <v>0</v>
      </c>
      <c r="H3402" t="s">
        <v>315</v>
      </c>
      <c r="I3402">
        <v>0</v>
      </c>
      <c r="J3402">
        <v>0</v>
      </c>
      <c r="K3402">
        <v>0</v>
      </c>
      <c r="L3402" t="s">
        <v>241</v>
      </c>
      <c r="M3402" t="s">
        <v>1398</v>
      </c>
      <c r="N3402">
        <v>0</v>
      </c>
      <c r="O3402" t="s">
        <v>1391</v>
      </c>
      <c r="P3402" t="s">
        <v>310</v>
      </c>
      <c r="Q3402" t="s">
        <v>310</v>
      </c>
      <c r="R3402" t="s">
        <v>310</v>
      </c>
      <c r="S3402">
        <v>9</v>
      </c>
      <c r="T3402" t="s">
        <v>310</v>
      </c>
      <c r="U3402">
        <v>9</v>
      </c>
      <c r="V3402">
        <v>9</v>
      </c>
      <c r="W3402">
        <v>0</v>
      </c>
      <c r="X3402">
        <v>0</v>
      </c>
      <c r="Y3402">
        <v>0</v>
      </c>
      <c r="Z3402">
        <v>0</v>
      </c>
      <c r="AA3402">
        <v>9</v>
      </c>
      <c r="AB3402">
        <v>9</v>
      </c>
      <c r="AC3402" t="s">
        <v>310</v>
      </c>
      <c r="AD3402">
        <v>9</v>
      </c>
      <c r="AE3402" t="s">
        <v>1396</v>
      </c>
      <c r="AF3402">
        <v>50000000</v>
      </c>
      <c r="AG3402" t="s">
        <v>310</v>
      </c>
      <c r="AH3402">
        <f>SUM((MID(Dyno_Data[[#This Row],[Team]],4,5))+(Dyno_Data[[#This Row],[Match]]/100))</f>
        <v>5881.62</v>
      </c>
      <c r="AI3402" s="76">
        <f>ROUND(SUM(IF(Dyno_Data[[#This Row],[AcqCenter]]&gt;0,Dyno_Data[[#This Row],[Time]]-SUMIFS(Dyno_Data[Time],Dyno_Data[Team],Dyno_Data[[#This Row],[Team]],Dyno_Data[RecordType],"StartMatch",Dyno_Data[Match],Dyno_Data[[#This Row],[Match]]),0)*86400),0)</f>
        <v>0</v>
      </c>
    </row>
    <row r="3403" spans="1:35" x14ac:dyDescent="0.3">
      <c r="A3403">
        <v>3402</v>
      </c>
      <c r="B3403" t="s">
        <v>1277</v>
      </c>
      <c r="C3403">
        <v>62</v>
      </c>
      <c r="D3403" s="105">
        <v>45374.404008217592</v>
      </c>
      <c r="E3403" t="s">
        <v>312</v>
      </c>
      <c r="F3403" t="s">
        <v>1402</v>
      </c>
      <c r="G3403">
        <v>0</v>
      </c>
      <c r="H3403" t="s">
        <v>315</v>
      </c>
      <c r="I3403">
        <v>0</v>
      </c>
      <c r="J3403">
        <v>0</v>
      </c>
      <c r="K3403">
        <v>0</v>
      </c>
      <c r="L3403" t="s">
        <v>241</v>
      </c>
      <c r="M3403" t="s">
        <v>1398</v>
      </c>
      <c r="N3403">
        <v>0</v>
      </c>
      <c r="O3403" t="s">
        <v>1393</v>
      </c>
      <c r="P3403" t="s">
        <v>310</v>
      </c>
      <c r="Q3403" t="s">
        <v>310</v>
      </c>
      <c r="R3403" t="s">
        <v>310</v>
      </c>
      <c r="S3403">
        <v>9</v>
      </c>
      <c r="T3403" t="s">
        <v>310</v>
      </c>
      <c r="U3403">
        <v>9</v>
      </c>
      <c r="V3403">
        <v>9</v>
      </c>
      <c r="W3403">
        <v>0</v>
      </c>
      <c r="X3403">
        <v>0</v>
      </c>
      <c r="Y3403">
        <v>0</v>
      </c>
      <c r="Z3403">
        <v>0</v>
      </c>
      <c r="AA3403">
        <v>9</v>
      </c>
      <c r="AB3403">
        <v>9</v>
      </c>
      <c r="AC3403" t="s">
        <v>310</v>
      </c>
      <c r="AD3403">
        <v>9</v>
      </c>
      <c r="AE3403" t="s">
        <v>1390</v>
      </c>
      <c r="AF3403">
        <v>60000000</v>
      </c>
      <c r="AG3403" t="s">
        <v>310</v>
      </c>
      <c r="AH3403">
        <f>SUM((MID(Dyno_Data[[#This Row],[Team]],4,5))+(Dyno_Data[[#This Row],[Match]]/100))</f>
        <v>3360.62</v>
      </c>
      <c r="AI3403" s="76">
        <f>ROUND(SUM(IF(Dyno_Data[[#This Row],[AcqCenter]]&gt;0,Dyno_Data[[#This Row],[Time]]-SUMIFS(Dyno_Data[Time],Dyno_Data[Team],Dyno_Data[[#This Row],[Team]],Dyno_Data[RecordType],"StartMatch",Dyno_Data[Match],Dyno_Data[[#This Row],[Match]]),0)*86400),0)</f>
        <v>0</v>
      </c>
    </row>
    <row r="3404" spans="1:35" x14ac:dyDescent="0.3">
      <c r="A3404">
        <v>3403</v>
      </c>
      <c r="B3404" t="s">
        <v>366</v>
      </c>
      <c r="C3404">
        <v>62</v>
      </c>
      <c r="D3404" s="105">
        <v>45374.404027118057</v>
      </c>
      <c r="E3404" t="s">
        <v>312</v>
      </c>
      <c r="F3404" t="s">
        <v>1402</v>
      </c>
      <c r="G3404">
        <v>0</v>
      </c>
      <c r="H3404" t="s">
        <v>315</v>
      </c>
      <c r="I3404">
        <v>0</v>
      </c>
      <c r="J3404">
        <v>0</v>
      </c>
      <c r="K3404">
        <v>0</v>
      </c>
      <c r="L3404" t="s">
        <v>240</v>
      </c>
      <c r="M3404" t="s">
        <v>1398</v>
      </c>
      <c r="N3404">
        <v>0</v>
      </c>
      <c r="O3404" t="s">
        <v>319</v>
      </c>
      <c r="P3404" t="s">
        <v>310</v>
      </c>
      <c r="Q3404" t="s">
        <v>310</v>
      </c>
      <c r="R3404" t="s">
        <v>310</v>
      </c>
      <c r="S3404">
        <v>9</v>
      </c>
      <c r="T3404" t="s">
        <v>310</v>
      </c>
      <c r="U3404">
        <v>9</v>
      </c>
      <c r="V3404">
        <v>9</v>
      </c>
      <c r="W3404">
        <v>0</v>
      </c>
      <c r="X3404">
        <v>0</v>
      </c>
      <c r="Y3404">
        <v>0</v>
      </c>
      <c r="Z3404">
        <v>0</v>
      </c>
      <c r="AA3404">
        <v>9</v>
      </c>
      <c r="AB3404">
        <v>9</v>
      </c>
      <c r="AC3404" t="s">
        <v>310</v>
      </c>
      <c r="AD3404">
        <v>9</v>
      </c>
      <c r="AE3404" t="s">
        <v>1392</v>
      </c>
      <c r="AF3404">
        <v>100000000</v>
      </c>
      <c r="AG3404" t="s">
        <v>310</v>
      </c>
      <c r="AH3404">
        <f>SUM((MID(Dyno_Data[[#This Row],[Team]],4,5))+(Dyno_Data[[#This Row],[Match]]/100))</f>
        <v>4122.62</v>
      </c>
      <c r="AI3404" s="76">
        <f>ROUND(SUM(IF(Dyno_Data[[#This Row],[AcqCenter]]&gt;0,Dyno_Data[[#This Row],[Time]]-SUMIFS(Dyno_Data[Time],Dyno_Data[Team],Dyno_Data[[#This Row],[Team]],Dyno_Data[RecordType],"StartMatch",Dyno_Data[Match],Dyno_Data[[#This Row],[Match]]),0)*86400),0)</f>
        <v>0</v>
      </c>
    </row>
    <row r="3405" spans="1:35" x14ac:dyDescent="0.3">
      <c r="A3405">
        <v>3404</v>
      </c>
      <c r="B3405" t="s">
        <v>1290</v>
      </c>
      <c r="C3405">
        <v>62</v>
      </c>
      <c r="D3405" s="105">
        <v>45374.404081562498</v>
      </c>
      <c r="E3405" t="s">
        <v>312</v>
      </c>
      <c r="F3405" t="s">
        <v>1402</v>
      </c>
      <c r="G3405">
        <v>0</v>
      </c>
      <c r="H3405" t="s">
        <v>315</v>
      </c>
      <c r="I3405">
        <v>0</v>
      </c>
      <c r="J3405">
        <v>0</v>
      </c>
      <c r="K3405">
        <v>0</v>
      </c>
      <c r="L3405" t="s">
        <v>241</v>
      </c>
      <c r="M3405" t="s">
        <v>1398</v>
      </c>
      <c r="N3405">
        <v>0</v>
      </c>
      <c r="O3405" t="s">
        <v>1391</v>
      </c>
      <c r="P3405" t="s">
        <v>310</v>
      </c>
      <c r="Q3405" t="s">
        <v>310</v>
      </c>
      <c r="R3405" t="s">
        <v>310</v>
      </c>
      <c r="S3405">
        <v>9</v>
      </c>
      <c r="T3405" t="s">
        <v>310</v>
      </c>
      <c r="U3405">
        <v>9</v>
      </c>
      <c r="V3405">
        <v>9</v>
      </c>
      <c r="W3405">
        <v>0</v>
      </c>
      <c r="X3405">
        <v>0</v>
      </c>
      <c r="Y3405">
        <v>0</v>
      </c>
      <c r="Z3405">
        <v>0</v>
      </c>
      <c r="AA3405">
        <v>9</v>
      </c>
      <c r="AB3405">
        <v>9</v>
      </c>
      <c r="AC3405" t="s">
        <v>310</v>
      </c>
      <c r="AD3405">
        <v>9</v>
      </c>
      <c r="AE3405" t="s">
        <v>1396</v>
      </c>
      <c r="AF3405">
        <v>60000000</v>
      </c>
      <c r="AG3405" t="s">
        <v>310</v>
      </c>
      <c r="AH3405">
        <f>SUM((MID(Dyno_Data[[#This Row],[Team]],4,5))+(Dyno_Data[[#This Row],[Match]]/100))</f>
        <v>5881.62</v>
      </c>
      <c r="AI3405" s="76">
        <f>ROUND(SUM(IF(Dyno_Data[[#This Row],[AcqCenter]]&gt;0,Dyno_Data[[#This Row],[Time]]-SUMIFS(Dyno_Data[Time],Dyno_Data[Team],Dyno_Data[[#This Row],[Team]],Dyno_Data[RecordType],"StartMatch",Dyno_Data[Match],Dyno_Data[[#This Row],[Match]]),0)*86400),0)</f>
        <v>0</v>
      </c>
    </row>
    <row r="3406" spans="1:35" x14ac:dyDescent="0.3">
      <c r="A3406">
        <v>3405</v>
      </c>
      <c r="B3406" t="s">
        <v>366</v>
      </c>
      <c r="C3406">
        <v>62</v>
      </c>
      <c r="D3406" s="105">
        <v>45374.404203738428</v>
      </c>
      <c r="E3406" t="s">
        <v>312</v>
      </c>
      <c r="F3406" t="s">
        <v>1402</v>
      </c>
      <c r="G3406">
        <v>0</v>
      </c>
      <c r="H3406" t="s">
        <v>315</v>
      </c>
      <c r="I3406">
        <v>0</v>
      </c>
      <c r="J3406">
        <v>0</v>
      </c>
      <c r="K3406">
        <v>0</v>
      </c>
      <c r="L3406" t="s">
        <v>240</v>
      </c>
      <c r="M3406" t="s">
        <v>1398</v>
      </c>
      <c r="N3406">
        <v>0</v>
      </c>
      <c r="O3406" t="s">
        <v>319</v>
      </c>
      <c r="P3406" t="s">
        <v>310</v>
      </c>
      <c r="Q3406" t="s">
        <v>310</v>
      </c>
      <c r="R3406" t="s">
        <v>310</v>
      </c>
      <c r="S3406">
        <v>9</v>
      </c>
      <c r="T3406" t="s">
        <v>310</v>
      </c>
      <c r="U3406">
        <v>9</v>
      </c>
      <c r="V3406">
        <v>9</v>
      </c>
      <c r="W3406">
        <v>0</v>
      </c>
      <c r="X3406">
        <v>0</v>
      </c>
      <c r="Y3406">
        <v>0</v>
      </c>
      <c r="Z3406">
        <v>0</v>
      </c>
      <c r="AA3406">
        <v>9</v>
      </c>
      <c r="AB3406">
        <v>9</v>
      </c>
      <c r="AC3406" t="s">
        <v>310</v>
      </c>
      <c r="AD3406">
        <v>9</v>
      </c>
      <c r="AE3406" t="s">
        <v>1392</v>
      </c>
      <c r="AF3406">
        <v>110000000</v>
      </c>
      <c r="AG3406" t="s">
        <v>310</v>
      </c>
      <c r="AH3406">
        <f>SUM((MID(Dyno_Data[[#This Row],[Team]],4,5))+(Dyno_Data[[#This Row],[Match]]/100))</f>
        <v>4122.62</v>
      </c>
      <c r="AI3406" s="76">
        <f>ROUND(SUM(IF(Dyno_Data[[#This Row],[AcqCenter]]&gt;0,Dyno_Data[[#This Row],[Time]]-SUMIFS(Dyno_Data[Time],Dyno_Data[Team],Dyno_Data[[#This Row],[Team]],Dyno_Data[RecordType],"StartMatch",Dyno_Data[Match],Dyno_Data[[#This Row],[Match]]),0)*86400),0)</f>
        <v>0</v>
      </c>
    </row>
    <row r="3407" spans="1:35" x14ac:dyDescent="0.3">
      <c r="A3407">
        <v>3406</v>
      </c>
      <c r="B3407" t="s">
        <v>1312</v>
      </c>
      <c r="C3407">
        <v>62</v>
      </c>
      <c r="D3407" s="105">
        <v>45374.404245798614</v>
      </c>
      <c r="E3407" t="s">
        <v>312</v>
      </c>
      <c r="F3407" t="s">
        <v>309</v>
      </c>
      <c r="G3407">
        <v>0</v>
      </c>
      <c r="H3407" t="s">
        <v>315</v>
      </c>
      <c r="I3407">
        <v>0</v>
      </c>
      <c r="J3407">
        <v>0</v>
      </c>
      <c r="K3407">
        <v>0</v>
      </c>
      <c r="L3407" t="s">
        <v>241</v>
      </c>
      <c r="M3407" t="s">
        <v>101</v>
      </c>
      <c r="N3407">
        <v>0</v>
      </c>
      <c r="O3407" t="s">
        <v>1389</v>
      </c>
      <c r="P3407" t="s">
        <v>310</v>
      </c>
      <c r="Q3407" t="s">
        <v>310</v>
      </c>
      <c r="R3407" t="s">
        <v>310</v>
      </c>
      <c r="S3407">
        <v>9</v>
      </c>
      <c r="T3407" t="s">
        <v>310</v>
      </c>
      <c r="U3407">
        <v>9</v>
      </c>
      <c r="V3407">
        <v>9</v>
      </c>
      <c r="W3407">
        <v>0</v>
      </c>
      <c r="X3407">
        <v>0</v>
      </c>
      <c r="Y3407">
        <v>0</v>
      </c>
      <c r="Z3407">
        <v>0</v>
      </c>
      <c r="AA3407">
        <v>9</v>
      </c>
      <c r="AB3407">
        <v>9</v>
      </c>
      <c r="AC3407" t="s">
        <v>310</v>
      </c>
      <c r="AD3407">
        <v>9</v>
      </c>
      <c r="AE3407" t="s">
        <v>1394</v>
      </c>
      <c r="AF3407">
        <v>50000000</v>
      </c>
      <c r="AG3407" t="s">
        <v>310</v>
      </c>
      <c r="AH3407">
        <f>SUM((MID(Dyno_Data[[#This Row],[Team]],4,5))+(Dyno_Data[[#This Row],[Match]]/100))</f>
        <v>2053.62</v>
      </c>
      <c r="AI3407" s="76">
        <f>ROUND(SUM(IF(Dyno_Data[[#This Row],[AcqCenter]]&gt;0,Dyno_Data[[#This Row],[Time]]-SUMIFS(Dyno_Data[Time],Dyno_Data[Team],Dyno_Data[[#This Row],[Team]],Dyno_Data[RecordType],"StartMatch",Dyno_Data[Match],Dyno_Data[[#This Row],[Match]]),0)*86400),0)</f>
        <v>0</v>
      </c>
    </row>
    <row r="3408" spans="1:35" x14ac:dyDescent="0.3">
      <c r="A3408">
        <v>3407</v>
      </c>
      <c r="B3408" t="s">
        <v>1277</v>
      </c>
      <c r="C3408">
        <v>62</v>
      </c>
      <c r="D3408" s="105">
        <v>45374.404298414353</v>
      </c>
      <c r="E3408" t="s">
        <v>312</v>
      </c>
      <c r="F3408" t="s">
        <v>1402</v>
      </c>
      <c r="G3408">
        <v>0</v>
      </c>
      <c r="H3408" t="s">
        <v>315</v>
      </c>
      <c r="I3408">
        <v>0</v>
      </c>
      <c r="J3408">
        <v>0</v>
      </c>
      <c r="K3408">
        <v>0</v>
      </c>
      <c r="L3408" t="s">
        <v>241</v>
      </c>
      <c r="M3408" t="s">
        <v>1398</v>
      </c>
      <c r="N3408">
        <v>0</v>
      </c>
      <c r="O3408" t="s">
        <v>1393</v>
      </c>
      <c r="P3408" t="s">
        <v>310</v>
      </c>
      <c r="Q3408" t="s">
        <v>310</v>
      </c>
      <c r="R3408" t="s">
        <v>310</v>
      </c>
      <c r="S3408">
        <v>9</v>
      </c>
      <c r="T3408" t="s">
        <v>310</v>
      </c>
      <c r="U3408">
        <v>9</v>
      </c>
      <c r="V3408">
        <v>9</v>
      </c>
      <c r="W3408">
        <v>0</v>
      </c>
      <c r="X3408">
        <v>0</v>
      </c>
      <c r="Y3408">
        <v>0</v>
      </c>
      <c r="Z3408">
        <v>0</v>
      </c>
      <c r="AA3408">
        <v>9</v>
      </c>
      <c r="AB3408">
        <v>9</v>
      </c>
      <c r="AC3408" t="s">
        <v>310</v>
      </c>
      <c r="AD3408">
        <v>9</v>
      </c>
      <c r="AE3408" t="s">
        <v>1390</v>
      </c>
      <c r="AF3408">
        <v>70000000</v>
      </c>
      <c r="AG3408" t="s">
        <v>310</v>
      </c>
      <c r="AH3408">
        <f>SUM((MID(Dyno_Data[[#This Row],[Team]],4,5))+(Dyno_Data[[#This Row],[Match]]/100))</f>
        <v>3360.62</v>
      </c>
      <c r="AI3408" s="76">
        <f>ROUND(SUM(IF(Dyno_Data[[#This Row],[AcqCenter]]&gt;0,Dyno_Data[[#This Row],[Time]]-SUMIFS(Dyno_Data[Time],Dyno_Data[Team],Dyno_Data[[#This Row],[Team]],Dyno_Data[RecordType],"StartMatch",Dyno_Data[Match],Dyno_Data[[#This Row],[Match]]),0)*86400),0)</f>
        <v>0</v>
      </c>
    </row>
    <row r="3409" spans="1:35" x14ac:dyDescent="0.3">
      <c r="A3409">
        <v>3408</v>
      </c>
      <c r="B3409" t="s">
        <v>1290</v>
      </c>
      <c r="C3409">
        <v>62</v>
      </c>
      <c r="D3409" s="105">
        <v>45374.404306249999</v>
      </c>
      <c r="E3409" t="s">
        <v>312</v>
      </c>
      <c r="F3409" t="s">
        <v>1402</v>
      </c>
      <c r="G3409">
        <v>0</v>
      </c>
      <c r="H3409" t="s">
        <v>315</v>
      </c>
      <c r="I3409">
        <v>0</v>
      </c>
      <c r="J3409">
        <v>0</v>
      </c>
      <c r="K3409">
        <v>0</v>
      </c>
      <c r="L3409" t="s">
        <v>241</v>
      </c>
      <c r="M3409" t="s">
        <v>1398</v>
      </c>
      <c r="N3409">
        <v>0</v>
      </c>
      <c r="O3409" t="s">
        <v>1391</v>
      </c>
      <c r="P3409" t="s">
        <v>310</v>
      </c>
      <c r="Q3409" t="s">
        <v>310</v>
      </c>
      <c r="R3409" t="s">
        <v>310</v>
      </c>
      <c r="S3409">
        <v>9</v>
      </c>
      <c r="T3409" t="s">
        <v>310</v>
      </c>
      <c r="U3409">
        <v>9</v>
      </c>
      <c r="V3409">
        <v>9</v>
      </c>
      <c r="W3409">
        <v>0</v>
      </c>
      <c r="X3409">
        <v>0</v>
      </c>
      <c r="Y3409">
        <v>0</v>
      </c>
      <c r="Z3409">
        <v>0</v>
      </c>
      <c r="AA3409">
        <v>9</v>
      </c>
      <c r="AB3409">
        <v>9</v>
      </c>
      <c r="AC3409" t="s">
        <v>310</v>
      </c>
      <c r="AD3409">
        <v>9</v>
      </c>
      <c r="AE3409" t="s">
        <v>1396</v>
      </c>
      <c r="AF3409">
        <v>70000000</v>
      </c>
      <c r="AG3409" t="s">
        <v>310</v>
      </c>
      <c r="AH3409">
        <f>SUM((MID(Dyno_Data[[#This Row],[Team]],4,5))+(Dyno_Data[[#This Row],[Match]]/100))</f>
        <v>5881.62</v>
      </c>
      <c r="AI3409" s="76">
        <f>ROUND(SUM(IF(Dyno_Data[[#This Row],[AcqCenter]]&gt;0,Dyno_Data[[#This Row],[Time]]-SUMIFS(Dyno_Data[Time],Dyno_Data[Team],Dyno_Data[[#This Row],[Team]],Dyno_Data[RecordType],"StartMatch",Dyno_Data[Match],Dyno_Data[[#This Row],[Match]]),0)*86400),0)</f>
        <v>0</v>
      </c>
    </row>
    <row r="3410" spans="1:35" x14ac:dyDescent="0.3">
      <c r="A3410">
        <v>3409</v>
      </c>
      <c r="B3410" t="s">
        <v>366</v>
      </c>
      <c r="C3410">
        <v>62</v>
      </c>
      <c r="D3410" s="105">
        <v>45374.404346377312</v>
      </c>
      <c r="E3410" t="s">
        <v>312</v>
      </c>
      <c r="F3410" t="s">
        <v>1402</v>
      </c>
      <c r="G3410">
        <v>0</v>
      </c>
      <c r="H3410" t="s">
        <v>315</v>
      </c>
      <c r="I3410">
        <v>0</v>
      </c>
      <c r="J3410">
        <v>0</v>
      </c>
      <c r="K3410">
        <v>0</v>
      </c>
      <c r="L3410" t="s">
        <v>240</v>
      </c>
      <c r="M3410" t="s">
        <v>1398</v>
      </c>
      <c r="N3410">
        <v>1</v>
      </c>
      <c r="O3410" t="s">
        <v>319</v>
      </c>
      <c r="P3410" t="s">
        <v>310</v>
      </c>
      <c r="Q3410" t="s">
        <v>310</v>
      </c>
      <c r="R3410" t="s">
        <v>310</v>
      </c>
      <c r="S3410">
        <v>9</v>
      </c>
      <c r="T3410" t="s">
        <v>310</v>
      </c>
      <c r="U3410">
        <v>9</v>
      </c>
      <c r="V3410">
        <v>9</v>
      </c>
      <c r="W3410">
        <v>0</v>
      </c>
      <c r="X3410">
        <v>0</v>
      </c>
      <c r="Y3410">
        <v>0</v>
      </c>
      <c r="Z3410">
        <v>0</v>
      </c>
      <c r="AA3410">
        <v>9</v>
      </c>
      <c r="AB3410">
        <v>9</v>
      </c>
      <c r="AC3410" t="s">
        <v>310</v>
      </c>
      <c r="AD3410">
        <v>9</v>
      </c>
      <c r="AE3410" t="s">
        <v>1392</v>
      </c>
      <c r="AF3410">
        <v>120000000</v>
      </c>
      <c r="AG3410" t="s">
        <v>310</v>
      </c>
      <c r="AH3410">
        <f>SUM((MID(Dyno_Data[[#This Row],[Team]],4,5))+(Dyno_Data[[#This Row],[Match]]/100))</f>
        <v>4122.62</v>
      </c>
      <c r="AI3410" s="76">
        <f>ROUND(SUM(IF(Dyno_Data[[#This Row],[AcqCenter]]&gt;0,Dyno_Data[[#This Row],[Time]]-SUMIFS(Dyno_Data[Time],Dyno_Data[Team],Dyno_Data[[#This Row],[Team]],Dyno_Data[RecordType],"StartMatch",Dyno_Data[Match],Dyno_Data[[#This Row],[Match]]),0)*86400),0)</f>
        <v>0</v>
      </c>
    </row>
    <row r="3411" spans="1:35" x14ac:dyDescent="0.3">
      <c r="A3411">
        <v>3410</v>
      </c>
      <c r="B3411" t="s">
        <v>366</v>
      </c>
      <c r="C3411">
        <v>62</v>
      </c>
      <c r="D3411" s="105">
        <v>45374.404418287035</v>
      </c>
      <c r="E3411" t="s">
        <v>312</v>
      </c>
      <c r="F3411" t="s">
        <v>1402</v>
      </c>
      <c r="G3411">
        <v>0</v>
      </c>
      <c r="H3411" t="s">
        <v>315</v>
      </c>
      <c r="I3411">
        <v>0</v>
      </c>
      <c r="J3411">
        <v>0</v>
      </c>
      <c r="K3411">
        <v>0</v>
      </c>
      <c r="L3411" t="s">
        <v>240</v>
      </c>
      <c r="M3411" t="s">
        <v>1398</v>
      </c>
      <c r="N3411">
        <v>0</v>
      </c>
      <c r="O3411" t="s">
        <v>319</v>
      </c>
      <c r="P3411" t="s">
        <v>310</v>
      </c>
      <c r="Q3411" t="s">
        <v>310</v>
      </c>
      <c r="R3411" t="s">
        <v>310</v>
      </c>
      <c r="S3411">
        <v>9</v>
      </c>
      <c r="T3411" t="s">
        <v>310</v>
      </c>
      <c r="U3411">
        <v>9</v>
      </c>
      <c r="V3411">
        <v>9</v>
      </c>
      <c r="W3411">
        <v>0</v>
      </c>
      <c r="X3411">
        <v>0</v>
      </c>
      <c r="Y3411">
        <v>0</v>
      </c>
      <c r="Z3411">
        <v>0</v>
      </c>
      <c r="AA3411">
        <v>9</v>
      </c>
      <c r="AB3411">
        <v>9</v>
      </c>
      <c r="AC3411" t="s">
        <v>310</v>
      </c>
      <c r="AD3411">
        <v>9</v>
      </c>
      <c r="AE3411" t="s">
        <v>1392</v>
      </c>
      <c r="AF3411">
        <v>130000000</v>
      </c>
      <c r="AG3411" t="s">
        <v>310</v>
      </c>
      <c r="AH3411">
        <f>SUM((MID(Dyno_Data[[#This Row],[Team]],4,5))+(Dyno_Data[[#This Row],[Match]]/100))</f>
        <v>4122.62</v>
      </c>
      <c r="AI3411" s="76">
        <f>ROUND(SUM(IF(Dyno_Data[[#This Row],[AcqCenter]]&gt;0,Dyno_Data[[#This Row],[Time]]-SUMIFS(Dyno_Data[Time],Dyno_Data[Team],Dyno_Data[[#This Row],[Team]],Dyno_Data[RecordType],"StartMatch",Dyno_Data[Match],Dyno_Data[[#This Row],[Match]]),0)*86400),0)</f>
        <v>0</v>
      </c>
    </row>
    <row r="3412" spans="1:35" x14ac:dyDescent="0.3">
      <c r="A3412">
        <v>3411</v>
      </c>
      <c r="B3412" t="s">
        <v>1312</v>
      </c>
      <c r="C3412">
        <v>62</v>
      </c>
      <c r="D3412" s="105">
        <v>45374.404443518521</v>
      </c>
      <c r="E3412" t="s">
        <v>312</v>
      </c>
      <c r="F3412" t="s">
        <v>309</v>
      </c>
      <c r="G3412">
        <v>0</v>
      </c>
      <c r="H3412" t="s">
        <v>315</v>
      </c>
      <c r="I3412">
        <v>0</v>
      </c>
      <c r="J3412">
        <v>0</v>
      </c>
      <c r="K3412">
        <v>0</v>
      </c>
      <c r="L3412" t="s">
        <v>241</v>
      </c>
      <c r="M3412" t="s">
        <v>101</v>
      </c>
      <c r="N3412">
        <v>0</v>
      </c>
      <c r="O3412" t="s">
        <v>1389</v>
      </c>
      <c r="P3412" t="s">
        <v>310</v>
      </c>
      <c r="Q3412" t="s">
        <v>310</v>
      </c>
      <c r="R3412" t="s">
        <v>310</v>
      </c>
      <c r="S3412">
        <v>9</v>
      </c>
      <c r="T3412" t="s">
        <v>310</v>
      </c>
      <c r="U3412">
        <v>9</v>
      </c>
      <c r="V3412">
        <v>9</v>
      </c>
      <c r="W3412">
        <v>0</v>
      </c>
      <c r="X3412">
        <v>0</v>
      </c>
      <c r="Y3412">
        <v>0</v>
      </c>
      <c r="Z3412">
        <v>0</v>
      </c>
      <c r="AA3412">
        <v>9</v>
      </c>
      <c r="AB3412">
        <v>9</v>
      </c>
      <c r="AC3412" t="s">
        <v>310</v>
      </c>
      <c r="AD3412">
        <v>9</v>
      </c>
      <c r="AE3412" t="s">
        <v>1394</v>
      </c>
      <c r="AF3412">
        <v>60000000</v>
      </c>
      <c r="AG3412" t="s">
        <v>310</v>
      </c>
      <c r="AH3412">
        <f>SUM((MID(Dyno_Data[[#This Row],[Team]],4,5))+(Dyno_Data[[#This Row],[Match]]/100))</f>
        <v>2053.62</v>
      </c>
      <c r="AI3412" s="76">
        <f>ROUND(SUM(IF(Dyno_Data[[#This Row],[AcqCenter]]&gt;0,Dyno_Data[[#This Row],[Time]]-SUMIFS(Dyno_Data[Time],Dyno_Data[Team],Dyno_Data[[#This Row],[Team]],Dyno_Data[RecordType],"StartMatch",Dyno_Data[Match],Dyno_Data[[#This Row],[Match]]),0)*86400),0)</f>
        <v>0</v>
      </c>
    </row>
    <row r="3413" spans="1:35" x14ac:dyDescent="0.3">
      <c r="A3413">
        <v>3412</v>
      </c>
      <c r="B3413" t="s">
        <v>1290</v>
      </c>
      <c r="C3413">
        <v>62</v>
      </c>
      <c r="D3413" s="105">
        <v>45374.404455324075</v>
      </c>
      <c r="E3413" t="s">
        <v>312</v>
      </c>
      <c r="F3413" t="s">
        <v>1402</v>
      </c>
      <c r="G3413">
        <v>0</v>
      </c>
      <c r="H3413" t="s">
        <v>315</v>
      </c>
      <c r="I3413">
        <v>0</v>
      </c>
      <c r="J3413">
        <v>0</v>
      </c>
      <c r="K3413">
        <v>0</v>
      </c>
      <c r="L3413" t="s">
        <v>241</v>
      </c>
      <c r="M3413" t="s">
        <v>1398</v>
      </c>
      <c r="N3413">
        <v>1</v>
      </c>
      <c r="O3413" t="s">
        <v>1391</v>
      </c>
      <c r="P3413" t="s">
        <v>310</v>
      </c>
      <c r="Q3413" t="s">
        <v>310</v>
      </c>
      <c r="R3413" t="s">
        <v>310</v>
      </c>
      <c r="S3413">
        <v>9</v>
      </c>
      <c r="T3413" t="s">
        <v>310</v>
      </c>
      <c r="U3413">
        <v>9</v>
      </c>
      <c r="V3413">
        <v>9</v>
      </c>
      <c r="W3413">
        <v>0</v>
      </c>
      <c r="X3413">
        <v>0</v>
      </c>
      <c r="Y3413">
        <v>0</v>
      </c>
      <c r="Z3413">
        <v>0</v>
      </c>
      <c r="AA3413">
        <v>9</v>
      </c>
      <c r="AB3413">
        <v>9</v>
      </c>
      <c r="AC3413" t="s">
        <v>310</v>
      </c>
      <c r="AD3413">
        <v>9</v>
      </c>
      <c r="AE3413" t="s">
        <v>1396</v>
      </c>
      <c r="AF3413">
        <v>80000000</v>
      </c>
      <c r="AG3413" t="s">
        <v>310</v>
      </c>
      <c r="AH3413">
        <f>SUM((MID(Dyno_Data[[#This Row],[Team]],4,5))+(Dyno_Data[[#This Row],[Match]]/100))</f>
        <v>5881.62</v>
      </c>
      <c r="AI3413" s="76">
        <f>ROUND(SUM(IF(Dyno_Data[[#This Row],[AcqCenter]]&gt;0,Dyno_Data[[#This Row],[Time]]-SUMIFS(Dyno_Data[Time],Dyno_Data[Team],Dyno_Data[[#This Row],[Team]],Dyno_Data[RecordType],"StartMatch",Dyno_Data[Match],Dyno_Data[[#This Row],[Match]]),0)*86400),0)</f>
        <v>0</v>
      </c>
    </row>
    <row r="3414" spans="1:35" x14ac:dyDescent="0.3">
      <c r="A3414">
        <v>3417</v>
      </c>
      <c r="B3414" t="s">
        <v>1312</v>
      </c>
      <c r="C3414">
        <v>62</v>
      </c>
      <c r="D3414" s="105">
        <v>45374.404491400463</v>
      </c>
      <c r="E3414" t="s">
        <v>308</v>
      </c>
      <c r="F3414" t="s">
        <v>309</v>
      </c>
      <c r="G3414">
        <v>0</v>
      </c>
      <c r="H3414" t="s">
        <v>310</v>
      </c>
      <c r="I3414">
        <v>0</v>
      </c>
      <c r="J3414">
        <v>0</v>
      </c>
      <c r="K3414">
        <v>0</v>
      </c>
      <c r="L3414" t="s">
        <v>310</v>
      </c>
      <c r="M3414" t="s">
        <v>310</v>
      </c>
      <c r="N3414">
        <v>0</v>
      </c>
      <c r="O3414" t="s">
        <v>1389</v>
      </c>
      <c r="P3414" t="s">
        <v>310</v>
      </c>
      <c r="Q3414" t="s">
        <v>310</v>
      </c>
      <c r="R3414" t="s">
        <v>310</v>
      </c>
      <c r="S3414">
        <v>9</v>
      </c>
      <c r="T3414" t="s">
        <v>310</v>
      </c>
      <c r="U3414">
        <v>9</v>
      </c>
      <c r="V3414">
        <v>9</v>
      </c>
      <c r="W3414">
        <v>0</v>
      </c>
      <c r="X3414">
        <v>0</v>
      </c>
      <c r="Y3414">
        <v>0</v>
      </c>
      <c r="Z3414">
        <v>0</v>
      </c>
      <c r="AA3414">
        <v>9</v>
      </c>
      <c r="AB3414">
        <v>9</v>
      </c>
      <c r="AC3414" t="s">
        <v>310</v>
      </c>
      <c r="AD3414">
        <v>9</v>
      </c>
      <c r="AE3414" t="s">
        <v>1394</v>
      </c>
      <c r="AF3414">
        <v>70000000</v>
      </c>
      <c r="AG3414" t="s">
        <v>310</v>
      </c>
      <c r="AH3414">
        <f>SUM((MID(Dyno_Data[[#This Row],[Team]],4,5))+(Dyno_Data[[#This Row],[Match]]/100))</f>
        <v>2053.62</v>
      </c>
      <c r="AI3414" s="76">
        <f>ROUND(SUM(IF(Dyno_Data[[#This Row],[AcqCenter]]&gt;0,Dyno_Data[[#This Row],[Time]]-SUMIFS(Dyno_Data[Time],Dyno_Data[Team],Dyno_Data[[#This Row],[Team]],Dyno_Data[RecordType],"StartMatch",Dyno_Data[Match],Dyno_Data[[#This Row],[Match]]),0)*86400),0)</f>
        <v>0</v>
      </c>
    </row>
    <row r="3415" spans="1:35" x14ac:dyDescent="0.3">
      <c r="A3415">
        <v>3413</v>
      </c>
      <c r="B3415" t="s">
        <v>1290</v>
      </c>
      <c r="C3415">
        <v>62</v>
      </c>
      <c r="D3415" s="105">
        <v>45374.404553738423</v>
      </c>
      <c r="E3415" t="s">
        <v>312</v>
      </c>
      <c r="F3415" t="s">
        <v>1402</v>
      </c>
      <c r="G3415">
        <v>0</v>
      </c>
      <c r="H3415" t="s">
        <v>315</v>
      </c>
      <c r="I3415">
        <v>0</v>
      </c>
      <c r="J3415">
        <v>0</v>
      </c>
      <c r="K3415">
        <v>0</v>
      </c>
      <c r="L3415" t="s">
        <v>241</v>
      </c>
      <c r="M3415" t="s">
        <v>1398</v>
      </c>
      <c r="N3415">
        <v>1</v>
      </c>
      <c r="O3415" t="s">
        <v>1391</v>
      </c>
      <c r="P3415" t="s">
        <v>310</v>
      </c>
      <c r="Q3415" t="s">
        <v>310</v>
      </c>
      <c r="R3415" t="s">
        <v>310</v>
      </c>
      <c r="S3415">
        <v>9</v>
      </c>
      <c r="T3415" t="s">
        <v>310</v>
      </c>
      <c r="U3415">
        <v>9</v>
      </c>
      <c r="V3415">
        <v>9</v>
      </c>
      <c r="W3415">
        <v>0</v>
      </c>
      <c r="X3415">
        <v>0</v>
      </c>
      <c r="Y3415">
        <v>0</v>
      </c>
      <c r="Z3415">
        <v>0</v>
      </c>
      <c r="AA3415">
        <v>9</v>
      </c>
      <c r="AB3415">
        <v>9</v>
      </c>
      <c r="AC3415" t="s">
        <v>310</v>
      </c>
      <c r="AD3415">
        <v>9</v>
      </c>
      <c r="AE3415" t="s">
        <v>1396</v>
      </c>
      <c r="AF3415">
        <v>90000000</v>
      </c>
      <c r="AG3415" t="s">
        <v>310</v>
      </c>
      <c r="AH3415">
        <f>SUM((MID(Dyno_Data[[#This Row],[Team]],4,5))+(Dyno_Data[[#This Row],[Match]]/100))</f>
        <v>5881.62</v>
      </c>
      <c r="AI3415" s="76">
        <f>ROUND(SUM(IF(Dyno_Data[[#This Row],[AcqCenter]]&gt;0,Dyno_Data[[#This Row],[Time]]-SUMIFS(Dyno_Data[Time],Dyno_Data[Team],Dyno_Data[[#This Row],[Team]],Dyno_Data[RecordType],"StartMatch",Dyno_Data[Match],Dyno_Data[[#This Row],[Match]]),0)*86400),0)</f>
        <v>0</v>
      </c>
    </row>
    <row r="3416" spans="1:35" x14ac:dyDescent="0.3">
      <c r="A3416">
        <v>3414</v>
      </c>
      <c r="B3416" t="s">
        <v>1277</v>
      </c>
      <c r="C3416">
        <v>62</v>
      </c>
      <c r="D3416" s="105">
        <v>45374.404561724536</v>
      </c>
      <c r="E3416" t="s">
        <v>312</v>
      </c>
      <c r="F3416" t="s">
        <v>1402</v>
      </c>
      <c r="G3416">
        <v>0</v>
      </c>
      <c r="H3416" t="s">
        <v>315</v>
      </c>
      <c r="I3416">
        <v>0</v>
      </c>
      <c r="J3416">
        <v>0</v>
      </c>
      <c r="K3416">
        <v>0</v>
      </c>
      <c r="L3416" t="s">
        <v>241</v>
      </c>
      <c r="M3416" t="s">
        <v>1398</v>
      </c>
      <c r="N3416">
        <v>0</v>
      </c>
      <c r="O3416" t="s">
        <v>1393</v>
      </c>
      <c r="P3416" t="s">
        <v>310</v>
      </c>
      <c r="Q3416" t="s">
        <v>310</v>
      </c>
      <c r="R3416" t="s">
        <v>310</v>
      </c>
      <c r="S3416">
        <v>9</v>
      </c>
      <c r="T3416" t="s">
        <v>310</v>
      </c>
      <c r="U3416">
        <v>9</v>
      </c>
      <c r="V3416">
        <v>9</v>
      </c>
      <c r="W3416">
        <v>0</v>
      </c>
      <c r="X3416">
        <v>0</v>
      </c>
      <c r="Y3416">
        <v>0</v>
      </c>
      <c r="Z3416">
        <v>0</v>
      </c>
      <c r="AA3416">
        <v>9</v>
      </c>
      <c r="AB3416">
        <v>9</v>
      </c>
      <c r="AC3416" t="s">
        <v>310</v>
      </c>
      <c r="AD3416">
        <v>9</v>
      </c>
      <c r="AE3416" t="s">
        <v>1390</v>
      </c>
      <c r="AF3416">
        <v>80000000</v>
      </c>
      <c r="AG3416" t="s">
        <v>310</v>
      </c>
      <c r="AH3416">
        <f>SUM((MID(Dyno_Data[[#This Row],[Team]],4,5))+(Dyno_Data[[#This Row],[Match]]/100))</f>
        <v>3360.62</v>
      </c>
      <c r="AI3416" s="76">
        <f>ROUND(SUM(IF(Dyno_Data[[#This Row],[AcqCenter]]&gt;0,Dyno_Data[[#This Row],[Time]]-SUMIFS(Dyno_Data[Time],Dyno_Data[Team],Dyno_Data[[#This Row],[Team]],Dyno_Data[RecordType],"StartMatch",Dyno_Data[Match],Dyno_Data[[#This Row],[Match]]),0)*86400),0)</f>
        <v>0</v>
      </c>
    </row>
    <row r="3417" spans="1:35" x14ac:dyDescent="0.3">
      <c r="A3417">
        <v>3415</v>
      </c>
      <c r="B3417" t="s">
        <v>366</v>
      </c>
      <c r="C3417">
        <v>62</v>
      </c>
      <c r="D3417" s="105">
        <v>45374.404594479165</v>
      </c>
      <c r="E3417" t="s">
        <v>312</v>
      </c>
      <c r="F3417" t="s">
        <v>1402</v>
      </c>
      <c r="G3417">
        <v>0</v>
      </c>
      <c r="H3417" t="s">
        <v>315</v>
      </c>
      <c r="I3417">
        <v>0</v>
      </c>
      <c r="J3417">
        <v>0</v>
      </c>
      <c r="K3417">
        <v>0</v>
      </c>
      <c r="L3417" t="s">
        <v>241</v>
      </c>
      <c r="M3417" t="s">
        <v>1398</v>
      </c>
      <c r="N3417">
        <v>0</v>
      </c>
      <c r="O3417" t="s">
        <v>319</v>
      </c>
      <c r="P3417" t="s">
        <v>310</v>
      </c>
      <c r="Q3417" t="s">
        <v>310</v>
      </c>
      <c r="R3417" t="s">
        <v>310</v>
      </c>
      <c r="S3417">
        <v>9</v>
      </c>
      <c r="T3417" t="s">
        <v>310</v>
      </c>
      <c r="U3417">
        <v>9</v>
      </c>
      <c r="V3417">
        <v>9</v>
      </c>
      <c r="W3417">
        <v>0</v>
      </c>
      <c r="X3417">
        <v>0</v>
      </c>
      <c r="Y3417">
        <v>0</v>
      </c>
      <c r="Z3417">
        <v>0</v>
      </c>
      <c r="AA3417">
        <v>9</v>
      </c>
      <c r="AB3417">
        <v>9</v>
      </c>
      <c r="AC3417" t="s">
        <v>310</v>
      </c>
      <c r="AD3417">
        <v>9</v>
      </c>
      <c r="AE3417" t="s">
        <v>1392</v>
      </c>
      <c r="AF3417">
        <v>140000000</v>
      </c>
      <c r="AG3417" t="s">
        <v>310</v>
      </c>
      <c r="AH3417">
        <f>SUM((MID(Dyno_Data[[#This Row],[Team]],4,5))+(Dyno_Data[[#This Row],[Match]]/100))</f>
        <v>4122.62</v>
      </c>
      <c r="AI3417" s="76">
        <f>ROUND(SUM(IF(Dyno_Data[[#This Row],[AcqCenter]]&gt;0,Dyno_Data[[#This Row],[Time]]-SUMIFS(Dyno_Data[Time],Dyno_Data[Team],Dyno_Data[[#This Row],[Team]],Dyno_Data[RecordType],"StartMatch",Dyno_Data[Match],Dyno_Data[[#This Row],[Match]]),0)*86400),0)</f>
        <v>0</v>
      </c>
    </row>
    <row r="3418" spans="1:35" x14ac:dyDescent="0.3">
      <c r="A3418">
        <v>3416</v>
      </c>
      <c r="B3418" t="s">
        <v>1312</v>
      </c>
      <c r="C3418">
        <v>62</v>
      </c>
      <c r="D3418" s="105">
        <v>45374.404630289355</v>
      </c>
      <c r="E3418" t="s">
        <v>312</v>
      </c>
      <c r="F3418" t="s">
        <v>309</v>
      </c>
      <c r="G3418">
        <v>0</v>
      </c>
      <c r="H3418" t="s">
        <v>315</v>
      </c>
      <c r="I3418">
        <v>0</v>
      </c>
      <c r="J3418">
        <v>0</v>
      </c>
      <c r="K3418">
        <v>0</v>
      </c>
      <c r="L3418" t="s">
        <v>241</v>
      </c>
      <c r="M3418" t="s">
        <v>1398</v>
      </c>
      <c r="N3418">
        <v>0</v>
      </c>
      <c r="O3418" t="s">
        <v>1389</v>
      </c>
      <c r="P3418" t="s">
        <v>310</v>
      </c>
      <c r="Q3418" t="s">
        <v>310</v>
      </c>
      <c r="R3418" t="s">
        <v>310</v>
      </c>
      <c r="S3418">
        <v>9</v>
      </c>
      <c r="T3418" t="s">
        <v>310</v>
      </c>
      <c r="U3418">
        <v>9</v>
      </c>
      <c r="V3418">
        <v>9</v>
      </c>
      <c r="W3418">
        <v>0</v>
      </c>
      <c r="X3418">
        <v>0</v>
      </c>
      <c r="Y3418">
        <v>0</v>
      </c>
      <c r="Z3418">
        <v>0</v>
      </c>
      <c r="AA3418">
        <v>9</v>
      </c>
      <c r="AB3418">
        <v>9</v>
      </c>
      <c r="AC3418" t="s">
        <v>310</v>
      </c>
      <c r="AD3418">
        <v>9</v>
      </c>
      <c r="AE3418" t="s">
        <v>1394</v>
      </c>
      <c r="AF3418">
        <v>70000000</v>
      </c>
      <c r="AG3418" t="s">
        <v>310</v>
      </c>
      <c r="AH3418">
        <f>SUM((MID(Dyno_Data[[#This Row],[Team]],4,5))+(Dyno_Data[[#This Row],[Match]]/100))</f>
        <v>2053.62</v>
      </c>
      <c r="AI3418" s="76">
        <f>ROUND(SUM(IF(Dyno_Data[[#This Row],[AcqCenter]]&gt;0,Dyno_Data[[#This Row],[Time]]-SUMIFS(Dyno_Data[Time],Dyno_Data[Team],Dyno_Data[[#This Row],[Team]],Dyno_Data[RecordType],"StartMatch",Dyno_Data[Match],Dyno_Data[[#This Row],[Match]]),0)*86400),0)</f>
        <v>0</v>
      </c>
    </row>
    <row r="3419" spans="1:35" x14ac:dyDescent="0.3">
      <c r="A3419">
        <v>3418</v>
      </c>
      <c r="B3419" t="s">
        <v>1312</v>
      </c>
      <c r="C3419">
        <v>62</v>
      </c>
      <c r="D3419" s="105">
        <v>45374.404699733794</v>
      </c>
      <c r="E3419" t="s">
        <v>314</v>
      </c>
      <c r="F3419" t="s">
        <v>309</v>
      </c>
      <c r="G3419">
        <v>1</v>
      </c>
      <c r="H3419" t="s">
        <v>310</v>
      </c>
      <c r="I3419">
        <v>0</v>
      </c>
      <c r="J3419">
        <v>0</v>
      </c>
      <c r="K3419">
        <v>0</v>
      </c>
      <c r="L3419" t="s">
        <v>310</v>
      </c>
      <c r="M3419" t="s">
        <v>310</v>
      </c>
      <c r="N3419">
        <v>0</v>
      </c>
      <c r="O3419" t="s">
        <v>1389</v>
      </c>
      <c r="P3419" t="s">
        <v>320</v>
      </c>
      <c r="Q3419" t="s">
        <v>1400</v>
      </c>
      <c r="R3419" t="s">
        <v>310</v>
      </c>
      <c r="S3419">
        <v>9</v>
      </c>
      <c r="T3419" t="s">
        <v>310</v>
      </c>
      <c r="U3419">
        <v>9</v>
      </c>
      <c r="V3419">
        <v>9</v>
      </c>
      <c r="W3419">
        <v>0</v>
      </c>
      <c r="X3419">
        <v>0</v>
      </c>
      <c r="Y3419">
        <v>0</v>
      </c>
      <c r="Z3419">
        <v>0</v>
      </c>
      <c r="AA3419">
        <v>9</v>
      </c>
      <c r="AB3419">
        <v>9</v>
      </c>
      <c r="AC3419" t="s">
        <v>310</v>
      </c>
      <c r="AD3419">
        <v>9</v>
      </c>
      <c r="AE3419" t="s">
        <v>1394</v>
      </c>
      <c r="AF3419">
        <v>70000000</v>
      </c>
      <c r="AG3419" t="s">
        <v>310</v>
      </c>
      <c r="AH3419">
        <f>SUM((MID(Dyno_Data[[#This Row],[Team]],4,5))+(Dyno_Data[[#This Row],[Match]]/100))</f>
        <v>2053.62</v>
      </c>
      <c r="AI3419" s="76">
        <f>ROUND(SUM(IF(Dyno_Data[[#This Row],[AcqCenter]]&gt;0,Dyno_Data[[#This Row],[Time]]-SUMIFS(Dyno_Data[Time],Dyno_Data[Team],Dyno_Data[[#This Row],[Team]],Dyno_Data[RecordType],"StartMatch",Dyno_Data[Match],Dyno_Data[[#This Row],[Match]]),0)*86400),0)</f>
        <v>0</v>
      </c>
    </row>
    <row r="3420" spans="1:35" x14ac:dyDescent="0.3">
      <c r="A3420">
        <v>3419</v>
      </c>
      <c r="B3420" t="s">
        <v>366</v>
      </c>
      <c r="C3420">
        <v>62</v>
      </c>
      <c r="D3420" s="105">
        <v>45374.4047278125</v>
      </c>
      <c r="E3420" t="s">
        <v>312</v>
      </c>
      <c r="F3420" t="s">
        <v>1402</v>
      </c>
      <c r="G3420">
        <v>0</v>
      </c>
      <c r="H3420" t="s">
        <v>315</v>
      </c>
      <c r="I3420">
        <v>0</v>
      </c>
      <c r="J3420">
        <v>0</v>
      </c>
      <c r="K3420">
        <v>0</v>
      </c>
      <c r="L3420" t="s">
        <v>240</v>
      </c>
      <c r="M3420" t="s">
        <v>1398</v>
      </c>
      <c r="N3420">
        <v>0</v>
      </c>
      <c r="O3420" t="s">
        <v>319</v>
      </c>
      <c r="P3420" t="s">
        <v>310</v>
      </c>
      <c r="Q3420" t="s">
        <v>310</v>
      </c>
      <c r="R3420" t="s">
        <v>310</v>
      </c>
      <c r="S3420">
        <v>9</v>
      </c>
      <c r="T3420" t="s">
        <v>310</v>
      </c>
      <c r="U3420">
        <v>9</v>
      </c>
      <c r="V3420">
        <v>9</v>
      </c>
      <c r="W3420">
        <v>0</v>
      </c>
      <c r="X3420">
        <v>0</v>
      </c>
      <c r="Y3420">
        <v>0</v>
      </c>
      <c r="Z3420">
        <v>0</v>
      </c>
      <c r="AA3420">
        <v>9</v>
      </c>
      <c r="AB3420">
        <v>9</v>
      </c>
      <c r="AC3420" t="s">
        <v>310</v>
      </c>
      <c r="AD3420">
        <v>9</v>
      </c>
      <c r="AE3420" t="s">
        <v>1392</v>
      </c>
      <c r="AF3420">
        <v>150000000</v>
      </c>
      <c r="AG3420" t="s">
        <v>310</v>
      </c>
      <c r="AH3420">
        <f>SUM((MID(Dyno_Data[[#This Row],[Team]],4,5))+(Dyno_Data[[#This Row],[Match]]/100))</f>
        <v>4122.62</v>
      </c>
      <c r="AI3420" s="76">
        <f>ROUND(SUM(IF(Dyno_Data[[#This Row],[AcqCenter]]&gt;0,Dyno_Data[[#This Row],[Time]]-SUMIFS(Dyno_Data[Time],Dyno_Data[Team],Dyno_Data[[#This Row],[Team]],Dyno_Data[RecordType],"StartMatch",Dyno_Data[Match],Dyno_Data[[#This Row],[Match]]),0)*86400),0)</f>
        <v>0</v>
      </c>
    </row>
    <row r="3421" spans="1:35" x14ac:dyDescent="0.3">
      <c r="A3421">
        <v>3420</v>
      </c>
      <c r="B3421" t="s">
        <v>1290</v>
      </c>
      <c r="C3421">
        <v>62</v>
      </c>
      <c r="D3421" s="105">
        <v>45374.404799537035</v>
      </c>
      <c r="E3421" t="s">
        <v>312</v>
      </c>
      <c r="F3421" t="s">
        <v>1402</v>
      </c>
      <c r="G3421">
        <v>0</v>
      </c>
      <c r="H3421" t="s">
        <v>315</v>
      </c>
      <c r="I3421">
        <v>0</v>
      </c>
      <c r="J3421">
        <v>0</v>
      </c>
      <c r="K3421">
        <v>0</v>
      </c>
      <c r="L3421" t="s">
        <v>241</v>
      </c>
      <c r="M3421" t="s">
        <v>1398</v>
      </c>
      <c r="N3421">
        <v>0</v>
      </c>
      <c r="O3421" t="s">
        <v>1391</v>
      </c>
      <c r="P3421" t="s">
        <v>310</v>
      </c>
      <c r="Q3421" t="s">
        <v>310</v>
      </c>
      <c r="R3421" t="s">
        <v>310</v>
      </c>
      <c r="S3421">
        <v>9</v>
      </c>
      <c r="T3421" t="s">
        <v>310</v>
      </c>
      <c r="U3421">
        <v>9</v>
      </c>
      <c r="V3421">
        <v>9</v>
      </c>
      <c r="W3421">
        <v>0</v>
      </c>
      <c r="X3421">
        <v>0</v>
      </c>
      <c r="Y3421">
        <v>0</v>
      </c>
      <c r="Z3421">
        <v>0</v>
      </c>
      <c r="AA3421">
        <v>9</v>
      </c>
      <c r="AB3421">
        <v>9</v>
      </c>
      <c r="AC3421" t="s">
        <v>310</v>
      </c>
      <c r="AD3421">
        <v>9</v>
      </c>
      <c r="AE3421" t="s">
        <v>1396</v>
      </c>
      <c r="AF3421">
        <v>100000000</v>
      </c>
      <c r="AG3421" t="s">
        <v>310</v>
      </c>
      <c r="AH3421">
        <f>SUM((MID(Dyno_Data[[#This Row],[Team]],4,5))+(Dyno_Data[[#This Row],[Match]]/100))</f>
        <v>5881.62</v>
      </c>
      <c r="AI3421" s="76">
        <f>ROUND(SUM(IF(Dyno_Data[[#This Row],[AcqCenter]]&gt;0,Dyno_Data[[#This Row],[Time]]-SUMIFS(Dyno_Data[Time],Dyno_Data[Team],Dyno_Data[[#This Row],[Team]],Dyno_Data[RecordType],"StartMatch",Dyno_Data[Match],Dyno_Data[[#This Row],[Match]]),0)*86400),0)</f>
        <v>0</v>
      </c>
    </row>
    <row r="3422" spans="1:35" x14ac:dyDescent="0.3">
      <c r="A3422">
        <v>3421</v>
      </c>
      <c r="B3422" t="s">
        <v>1285</v>
      </c>
      <c r="C3422">
        <v>62</v>
      </c>
      <c r="D3422" s="105">
        <v>45374.405771064812</v>
      </c>
      <c r="E3422" t="s">
        <v>316</v>
      </c>
      <c r="F3422" t="s">
        <v>317</v>
      </c>
      <c r="G3422">
        <v>0</v>
      </c>
      <c r="H3422" t="s">
        <v>310</v>
      </c>
      <c r="I3422">
        <v>0</v>
      </c>
      <c r="J3422">
        <v>0</v>
      </c>
      <c r="K3422">
        <v>0</v>
      </c>
      <c r="L3422" t="s">
        <v>310</v>
      </c>
      <c r="M3422" t="s">
        <v>310</v>
      </c>
      <c r="N3422">
        <v>0</v>
      </c>
      <c r="O3422" t="s">
        <v>311</v>
      </c>
      <c r="P3422" t="s">
        <v>1401</v>
      </c>
      <c r="Q3422" t="s">
        <v>1399</v>
      </c>
      <c r="R3422" t="s">
        <v>1404</v>
      </c>
      <c r="S3422">
        <v>-1</v>
      </c>
      <c r="T3422" t="s">
        <v>105</v>
      </c>
      <c r="U3422">
        <v>9</v>
      </c>
      <c r="V3422">
        <v>9</v>
      </c>
      <c r="W3422">
        <v>12.411978999999999</v>
      </c>
      <c r="X3422">
        <v>0</v>
      </c>
      <c r="Y3422">
        <v>104.8774487</v>
      </c>
      <c r="Z3422">
        <v>18.158403799999999</v>
      </c>
      <c r="AA3422">
        <v>3</v>
      </c>
      <c r="AB3422">
        <v>0</v>
      </c>
      <c r="AC3422" t="s">
        <v>170</v>
      </c>
      <c r="AD3422">
        <v>0</v>
      </c>
      <c r="AE3422" t="s">
        <v>1388</v>
      </c>
      <c r="AF3422">
        <v>0</v>
      </c>
      <c r="AG3422" t="s">
        <v>310</v>
      </c>
      <c r="AH3422">
        <f>SUM((MID(Dyno_Data[[#This Row],[Team]],4,5))+(Dyno_Data[[#This Row],[Match]]/100))</f>
        <v>5993.62</v>
      </c>
      <c r="AI3422" s="76">
        <f>ROUND(SUM(IF(Dyno_Data[[#This Row],[AcqCenter]]&gt;0,Dyno_Data[[#This Row],[Time]]-SUMIFS(Dyno_Data[Time],Dyno_Data[Team],Dyno_Data[[#This Row],[Team]],Dyno_Data[RecordType],"StartMatch",Dyno_Data[Match],Dyno_Data[[#This Row],[Match]]),0)*86400),0)</f>
        <v>0</v>
      </c>
    </row>
    <row r="3423" spans="1:35" x14ac:dyDescent="0.3">
      <c r="A3423">
        <v>3422</v>
      </c>
      <c r="B3423" t="s">
        <v>1290</v>
      </c>
      <c r="C3423">
        <v>62</v>
      </c>
      <c r="D3423" s="105">
        <v>45374.405771064812</v>
      </c>
      <c r="E3423" t="s">
        <v>316</v>
      </c>
      <c r="F3423" t="s">
        <v>317</v>
      </c>
      <c r="G3423">
        <v>0</v>
      </c>
      <c r="H3423" t="s">
        <v>310</v>
      </c>
      <c r="I3423">
        <v>0</v>
      </c>
      <c r="J3423">
        <v>0</v>
      </c>
      <c r="K3423">
        <v>0</v>
      </c>
      <c r="L3423" t="s">
        <v>310</v>
      </c>
      <c r="M3423" t="s">
        <v>310</v>
      </c>
      <c r="N3423">
        <v>0</v>
      </c>
      <c r="O3423" t="s">
        <v>1391</v>
      </c>
      <c r="P3423" t="s">
        <v>101</v>
      </c>
      <c r="Q3423" t="s">
        <v>1400</v>
      </c>
      <c r="R3423" t="s">
        <v>1404</v>
      </c>
      <c r="S3423">
        <v>0</v>
      </c>
      <c r="T3423" t="s">
        <v>105</v>
      </c>
      <c r="U3423">
        <v>9</v>
      </c>
      <c r="V3423">
        <v>9</v>
      </c>
      <c r="W3423">
        <v>0</v>
      </c>
      <c r="X3423">
        <v>29.929039799999998</v>
      </c>
      <c r="Y3423">
        <v>16.389625899999999</v>
      </c>
      <c r="Z3423">
        <v>89.663852699999993</v>
      </c>
      <c r="AA3423">
        <v>0</v>
      </c>
      <c r="AB3423">
        <v>0</v>
      </c>
      <c r="AC3423" t="s">
        <v>174</v>
      </c>
      <c r="AD3423">
        <v>9</v>
      </c>
      <c r="AE3423" t="s">
        <v>1396</v>
      </c>
      <c r="AF3423">
        <v>100000000</v>
      </c>
      <c r="AG3423" t="s">
        <v>310</v>
      </c>
      <c r="AH3423">
        <f>SUM((MID(Dyno_Data[[#This Row],[Team]],4,5))+(Dyno_Data[[#This Row],[Match]]/100))</f>
        <v>5881.62</v>
      </c>
      <c r="AI3423" s="76">
        <f>ROUND(SUM(IF(Dyno_Data[[#This Row],[AcqCenter]]&gt;0,Dyno_Data[[#This Row],[Time]]-SUMIFS(Dyno_Data[Time],Dyno_Data[Team],Dyno_Data[[#This Row],[Team]],Dyno_Data[RecordType],"StartMatch",Dyno_Data[Match],Dyno_Data[[#This Row],[Match]]),0)*86400),0)</f>
        <v>0</v>
      </c>
    </row>
    <row r="3424" spans="1:35" x14ac:dyDescent="0.3">
      <c r="A3424">
        <v>3423</v>
      </c>
      <c r="B3424" t="s">
        <v>366</v>
      </c>
      <c r="C3424">
        <v>62</v>
      </c>
      <c r="D3424" s="105">
        <v>45374.405771215279</v>
      </c>
      <c r="E3424" t="s">
        <v>316</v>
      </c>
      <c r="F3424" t="s">
        <v>317</v>
      </c>
      <c r="G3424">
        <v>1</v>
      </c>
      <c r="H3424" t="s">
        <v>310</v>
      </c>
      <c r="I3424">
        <v>0</v>
      </c>
      <c r="J3424">
        <v>0</v>
      </c>
      <c r="K3424">
        <v>0</v>
      </c>
      <c r="L3424" t="s">
        <v>310</v>
      </c>
      <c r="M3424" t="s">
        <v>310</v>
      </c>
      <c r="N3424">
        <v>0</v>
      </c>
      <c r="O3424" t="s">
        <v>319</v>
      </c>
      <c r="P3424" t="s">
        <v>240</v>
      </c>
      <c r="Q3424" t="s">
        <v>1400</v>
      </c>
      <c r="R3424" t="s">
        <v>1404</v>
      </c>
      <c r="S3424">
        <v>0</v>
      </c>
      <c r="T3424" t="s">
        <v>105</v>
      </c>
      <c r="U3424">
        <v>9</v>
      </c>
      <c r="V3424">
        <v>9</v>
      </c>
      <c r="W3424">
        <v>0</v>
      </c>
      <c r="X3424">
        <v>35.252171699999998</v>
      </c>
      <c r="Y3424">
        <v>25.905849</v>
      </c>
      <c r="Z3424">
        <v>69.617427699999993</v>
      </c>
      <c r="AA3424">
        <v>0</v>
      </c>
      <c r="AB3424">
        <v>0</v>
      </c>
      <c r="AC3424" t="s">
        <v>174</v>
      </c>
      <c r="AD3424">
        <v>9</v>
      </c>
      <c r="AE3424" t="s">
        <v>1392</v>
      </c>
      <c r="AF3424">
        <v>150000000</v>
      </c>
      <c r="AG3424" t="s">
        <v>310</v>
      </c>
      <c r="AH3424">
        <f>SUM((MID(Dyno_Data[[#This Row],[Team]],4,5))+(Dyno_Data[[#This Row],[Match]]/100))</f>
        <v>4122.62</v>
      </c>
      <c r="AI3424" s="76">
        <f>ROUND(SUM(IF(Dyno_Data[[#This Row],[AcqCenter]]&gt;0,Dyno_Data[[#This Row],[Time]]-SUMIFS(Dyno_Data[Time],Dyno_Data[Team],Dyno_Data[[#This Row],[Team]],Dyno_Data[RecordType],"StartMatch",Dyno_Data[Match],Dyno_Data[[#This Row],[Match]]),0)*86400),0)</f>
        <v>0</v>
      </c>
    </row>
    <row r="3425" spans="1:35" x14ac:dyDescent="0.3">
      <c r="A3425">
        <v>3424</v>
      </c>
      <c r="B3425" t="s">
        <v>1277</v>
      </c>
      <c r="C3425">
        <v>62</v>
      </c>
      <c r="D3425" s="105">
        <v>45374.405771215279</v>
      </c>
      <c r="E3425" t="s">
        <v>316</v>
      </c>
      <c r="F3425" t="s">
        <v>317</v>
      </c>
      <c r="G3425">
        <v>1</v>
      </c>
      <c r="H3425" t="s">
        <v>310</v>
      </c>
      <c r="I3425">
        <v>0</v>
      </c>
      <c r="J3425">
        <v>0</v>
      </c>
      <c r="K3425">
        <v>0</v>
      </c>
      <c r="L3425" t="s">
        <v>310</v>
      </c>
      <c r="M3425" t="s">
        <v>310</v>
      </c>
      <c r="N3425">
        <v>0</v>
      </c>
      <c r="O3425" t="s">
        <v>1393</v>
      </c>
      <c r="P3425" t="s">
        <v>240</v>
      </c>
      <c r="Q3425" t="s">
        <v>1399</v>
      </c>
      <c r="R3425" t="s">
        <v>1404</v>
      </c>
      <c r="S3425">
        <v>-1</v>
      </c>
      <c r="T3425" t="s">
        <v>105</v>
      </c>
      <c r="U3425">
        <v>9</v>
      </c>
      <c r="V3425">
        <v>9</v>
      </c>
      <c r="W3425">
        <v>9.4540814999999991</v>
      </c>
      <c r="X3425">
        <v>41.897734700000001</v>
      </c>
      <c r="Y3425">
        <v>28.897130099999998</v>
      </c>
      <c r="Z3425">
        <v>54.735122699999998</v>
      </c>
      <c r="AA3425">
        <v>0</v>
      </c>
      <c r="AB3425">
        <v>3</v>
      </c>
      <c r="AC3425" t="s">
        <v>174</v>
      </c>
      <c r="AD3425">
        <v>0</v>
      </c>
      <c r="AE3425" t="s">
        <v>1390</v>
      </c>
      <c r="AF3425">
        <v>80000000</v>
      </c>
      <c r="AG3425" t="s">
        <v>310</v>
      </c>
      <c r="AH3425">
        <f>SUM((MID(Dyno_Data[[#This Row],[Team]],4,5))+(Dyno_Data[[#This Row],[Match]]/100))</f>
        <v>3360.62</v>
      </c>
      <c r="AI3425" s="76">
        <f>ROUND(SUM(IF(Dyno_Data[[#This Row],[AcqCenter]]&gt;0,Dyno_Data[[#This Row],[Time]]-SUMIFS(Dyno_Data[Time],Dyno_Data[Team],Dyno_Data[[#This Row],[Team]],Dyno_Data[RecordType],"StartMatch",Dyno_Data[Match],Dyno_Data[[#This Row],[Match]]),0)*86400),0)</f>
        <v>0</v>
      </c>
    </row>
    <row r="3426" spans="1:35" x14ac:dyDescent="0.3">
      <c r="A3426">
        <v>3425</v>
      </c>
      <c r="B3426" t="s">
        <v>1312</v>
      </c>
      <c r="C3426">
        <v>62</v>
      </c>
      <c r="D3426" s="105">
        <v>45374.405771412035</v>
      </c>
      <c r="E3426" t="s">
        <v>316</v>
      </c>
      <c r="F3426" t="s">
        <v>317</v>
      </c>
      <c r="G3426">
        <v>1</v>
      </c>
      <c r="H3426" t="s">
        <v>310</v>
      </c>
      <c r="I3426">
        <v>0</v>
      </c>
      <c r="J3426">
        <v>0</v>
      </c>
      <c r="K3426">
        <v>0</v>
      </c>
      <c r="L3426" t="s">
        <v>310</v>
      </c>
      <c r="M3426" t="s">
        <v>310</v>
      </c>
      <c r="N3426">
        <v>0</v>
      </c>
      <c r="O3426" t="s">
        <v>1389</v>
      </c>
      <c r="P3426" t="s">
        <v>320</v>
      </c>
      <c r="Q3426" t="s">
        <v>1400</v>
      </c>
      <c r="R3426" t="s">
        <v>1405</v>
      </c>
      <c r="S3426">
        <v>1</v>
      </c>
      <c r="T3426" t="s">
        <v>1407</v>
      </c>
      <c r="U3426">
        <v>0</v>
      </c>
      <c r="V3426">
        <v>0</v>
      </c>
      <c r="W3426">
        <v>1.1460752999999999</v>
      </c>
      <c r="X3426">
        <v>7.6649024999999993</v>
      </c>
      <c r="Y3426">
        <v>0</v>
      </c>
      <c r="Z3426">
        <v>13.758668199999999</v>
      </c>
      <c r="AA3426">
        <v>0</v>
      </c>
      <c r="AB3426">
        <v>1</v>
      </c>
      <c r="AC3426" t="s">
        <v>174</v>
      </c>
      <c r="AD3426">
        <v>9</v>
      </c>
      <c r="AE3426" t="s">
        <v>1394</v>
      </c>
      <c r="AF3426">
        <v>70000000</v>
      </c>
      <c r="AG3426" t="s">
        <v>310</v>
      </c>
      <c r="AH3426">
        <f>SUM((MID(Dyno_Data[[#This Row],[Team]],4,5))+(Dyno_Data[[#This Row],[Match]]/100))</f>
        <v>2053.62</v>
      </c>
      <c r="AI3426" s="76">
        <f>ROUND(SUM(IF(Dyno_Data[[#This Row],[AcqCenter]]&gt;0,Dyno_Data[[#This Row],[Time]]-SUMIFS(Dyno_Data[Time],Dyno_Data[Team],Dyno_Data[[#This Row],[Team]],Dyno_Data[RecordType],"StartMatch",Dyno_Data[Match],Dyno_Data[[#This Row],[Match]]),0)*86400),0)</f>
        <v>0</v>
      </c>
    </row>
    <row r="3427" spans="1:35" x14ac:dyDescent="0.3">
      <c r="A3427">
        <v>3426</v>
      </c>
      <c r="B3427" t="s">
        <v>1279</v>
      </c>
      <c r="C3427">
        <v>62</v>
      </c>
      <c r="D3427" s="105">
        <v>45374.405771412035</v>
      </c>
      <c r="E3427" t="s">
        <v>316</v>
      </c>
      <c r="F3427" t="s">
        <v>317</v>
      </c>
      <c r="G3427">
        <v>0</v>
      </c>
      <c r="H3427" t="s">
        <v>310</v>
      </c>
      <c r="I3427">
        <v>0</v>
      </c>
      <c r="J3427">
        <v>0</v>
      </c>
      <c r="K3427">
        <v>0</v>
      </c>
      <c r="L3427" t="s">
        <v>310</v>
      </c>
      <c r="M3427" t="s">
        <v>310</v>
      </c>
      <c r="N3427">
        <v>0</v>
      </c>
      <c r="O3427" t="s">
        <v>1395</v>
      </c>
      <c r="P3427" t="s">
        <v>101</v>
      </c>
      <c r="Q3427" t="s">
        <v>1400</v>
      </c>
      <c r="R3427" t="s">
        <v>1404</v>
      </c>
      <c r="S3427">
        <v>0</v>
      </c>
      <c r="T3427" t="s">
        <v>105</v>
      </c>
      <c r="U3427">
        <v>9</v>
      </c>
      <c r="V3427">
        <v>9</v>
      </c>
      <c r="W3427">
        <v>0</v>
      </c>
      <c r="X3427">
        <v>0</v>
      </c>
      <c r="Y3427">
        <v>29.5197714</v>
      </c>
      <c r="Z3427">
        <v>106.6759337</v>
      </c>
      <c r="AA3427">
        <v>3</v>
      </c>
      <c r="AB3427">
        <v>0</v>
      </c>
      <c r="AC3427" t="s">
        <v>170</v>
      </c>
      <c r="AD3427">
        <v>9</v>
      </c>
      <c r="AE3427" t="s">
        <v>1387</v>
      </c>
      <c r="AF3427">
        <v>0</v>
      </c>
      <c r="AG3427" t="s">
        <v>310</v>
      </c>
      <c r="AH3427">
        <f>SUM((MID(Dyno_Data[[#This Row],[Team]],4,5))+(Dyno_Data[[#This Row],[Match]]/100))</f>
        <v>5149.62</v>
      </c>
      <c r="AI3427" s="76">
        <f>ROUND(SUM(IF(Dyno_Data[[#This Row],[AcqCenter]]&gt;0,Dyno_Data[[#This Row],[Time]]-SUMIFS(Dyno_Data[Time],Dyno_Data[Team],Dyno_Data[[#This Row],[Team]],Dyno_Data[RecordType],"StartMatch",Dyno_Data[Match],Dyno_Data[[#This Row],[Match]]),0)*86400),0)</f>
        <v>0</v>
      </c>
    </row>
    <row r="3428" spans="1:35" x14ac:dyDescent="0.3">
      <c r="A3428">
        <v>3438</v>
      </c>
      <c r="B3428" t="s">
        <v>1309</v>
      </c>
      <c r="C3428">
        <v>63</v>
      </c>
      <c r="D3428" s="105">
        <v>45374.407874733799</v>
      </c>
      <c r="E3428" t="s">
        <v>308</v>
      </c>
      <c r="F3428" t="s">
        <v>309</v>
      </c>
      <c r="G3428">
        <v>0</v>
      </c>
      <c r="H3428" t="s">
        <v>310</v>
      </c>
      <c r="I3428">
        <v>0</v>
      </c>
      <c r="J3428">
        <v>0</v>
      </c>
      <c r="K3428">
        <v>0</v>
      </c>
      <c r="L3428" t="s">
        <v>310</v>
      </c>
      <c r="M3428" t="s">
        <v>310</v>
      </c>
      <c r="N3428">
        <v>0</v>
      </c>
      <c r="O3428" t="s">
        <v>311</v>
      </c>
      <c r="P3428" t="s">
        <v>310</v>
      </c>
      <c r="Q3428" t="s">
        <v>310</v>
      </c>
      <c r="R3428" t="s">
        <v>310</v>
      </c>
      <c r="S3428">
        <v>9</v>
      </c>
      <c r="T3428" t="s">
        <v>310</v>
      </c>
      <c r="U3428">
        <v>9</v>
      </c>
      <c r="V3428">
        <v>9</v>
      </c>
      <c r="W3428">
        <v>0</v>
      </c>
      <c r="X3428">
        <v>0</v>
      </c>
      <c r="Y3428">
        <v>0</v>
      </c>
      <c r="Z3428">
        <v>0</v>
      </c>
      <c r="AA3428">
        <v>9</v>
      </c>
      <c r="AB3428">
        <v>9</v>
      </c>
      <c r="AC3428" t="s">
        <v>310</v>
      </c>
      <c r="AD3428">
        <v>9</v>
      </c>
      <c r="AE3428" t="s">
        <v>1388</v>
      </c>
      <c r="AF3428">
        <v>10001000</v>
      </c>
      <c r="AG3428" t="s">
        <v>310</v>
      </c>
      <c r="AH3428">
        <f>SUM((MID(Dyno_Data[[#This Row],[Team]],4,5))+(Dyno_Data[[#This Row],[Match]]/100))</f>
        <v>3550.63</v>
      </c>
      <c r="AI3428" s="76">
        <f>ROUND(SUM(IF(Dyno_Data[[#This Row],[AcqCenter]]&gt;0,Dyno_Data[[#This Row],[Time]]-SUMIFS(Dyno_Data[Time],Dyno_Data[Team],Dyno_Data[[#This Row],[Team]],Dyno_Data[RecordType],"StartMatch",Dyno_Data[Match],Dyno_Data[[#This Row],[Match]]),0)*86400),0)</f>
        <v>0</v>
      </c>
    </row>
    <row r="3429" spans="1:35" x14ac:dyDescent="0.3">
      <c r="A3429">
        <v>3440</v>
      </c>
      <c r="B3429" t="s">
        <v>1280</v>
      </c>
      <c r="C3429">
        <v>63</v>
      </c>
      <c r="D3429" s="105">
        <v>45374.407876886573</v>
      </c>
      <c r="E3429" t="s">
        <v>308</v>
      </c>
      <c r="F3429" t="s">
        <v>309</v>
      </c>
      <c r="G3429">
        <v>0</v>
      </c>
      <c r="H3429" t="s">
        <v>310</v>
      </c>
      <c r="I3429">
        <v>0</v>
      </c>
      <c r="J3429">
        <v>0</v>
      </c>
      <c r="K3429">
        <v>0</v>
      </c>
      <c r="L3429" t="s">
        <v>310</v>
      </c>
      <c r="M3429" t="s">
        <v>310</v>
      </c>
      <c r="N3429">
        <v>0</v>
      </c>
      <c r="O3429" t="s">
        <v>1393</v>
      </c>
      <c r="P3429" t="s">
        <v>310</v>
      </c>
      <c r="Q3429" t="s">
        <v>310</v>
      </c>
      <c r="R3429" t="s">
        <v>310</v>
      </c>
      <c r="S3429">
        <v>9</v>
      </c>
      <c r="T3429" t="s">
        <v>310</v>
      </c>
      <c r="U3429">
        <v>9</v>
      </c>
      <c r="V3429">
        <v>9</v>
      </c>
      <c r="W3429">
        <v>0</v>
      </c>
      <c r="X3429">
        <v>0</v>
      </c>
      <c r="Y3429">
        <v>0</v>
      </c>
      <c r="Z3429">
        <v>0</v>
      </c>
      <c r="AA3429">
        <v>9</v>
      </c>
      <c r="AB3429">
        <v>9</v>
      </c>
      <c r="AC3429" t="s">
        <v>310</v>
      </c>
      <c r="AD3429">
        <v>9</v>
      </c>
      <c r="AE3429" t="s">
        <v>1390</v>
      </c>
      <c r="AF3429">
        <v>0</v>
      </c>
      <c r="AG3429" t="s">
        <v>310</v>
      </c>
      <c r="AH3429">
        <f>SUM((MID(Dyno_Data[[#This Row],[Team]],4,5))+(Dyno_Data[[#This Row],[Match]]/100))</f>
        <v>1559.63</v>
      </c>
      <c r="AI3429" s="76">
        <f>ROUND(SUM(IF(Dyno_Data[[#This Row],[AcqCenter]]&gt;0,Dyno_Data[[#This Row],[Time]]-SUMIFS(Dyno_Data[Time],Dyno_Data[Team],Dyno_Data[[#This Row],[Team]],Dyno_Data[RecordType],"StartMatch",Dyno_Data[Match],Dyno_Data[[#This Row],[Match]]),0)*86400),0)</f>
        <v>0</v>
      </c>
    </row>
    <row r="3430" spans="1:35" x14ac:dyDescent="0.3">
      <c r="A3430">
        <v>3442</v>
      </c>
      <c r="B3430" t="s">
        <v>1300</v>
      </c>
      <c r="C3430">
        <v>63</v>
      </c>
      <c r="D3430" s="105">
        <v>45374.407876886573</v>
      </c>
      <c r="E3430" t="s">
        <v>308</v>
      </c>
      <c r="F3430" t="s">
        <v>309</v>
      </c>
      <c r="G3430">
        <v>0</v>
      </c>
      <c r="H3430" t="s">
        <v>310</v>
      </c>
      <c r="I3430">
        <v>0</v>
      </c>
      <c r="J3430">
        <v>0</v>
      </c>
      <c r="K3430">
        <v>0</v>
      </c>
      <c r="L3430" t="s">
        <v>310</v>
      </c>
      <c r="M3430" t="s">
        <v>310</v>
      </c>
      <c r="N3430">
        <v>0</v>
      </c>
      <c r="O3430" t="s">
        <v>1395</v>
      </c>
      <c r="P3430" t="s">
        <v>310</v>
      </c>
      <c r="Q3430" t="s">
        <v>310</v>
      </c>
      <c r="R3430" t="s">
        <v>310</v>
      </c>
      <c r="S3430">
        <v>9</v>
      </c>
      <c r="T3430" t="s">
        <v>310</v>
      </c>
      <c r="U3430">
        <v>9</v>
      </c>
      <c r="V3430">
        <v>9</v>
      </c>
      <c r="W3430">
        <v>0</v>
      </c>
      <c r="X3430">
        <v>0</v>
      </c>
      <c r="Y3430">
        <v>0</v>
      </c>
      <c r="Z3430">
        <v>0</v>
      </c>
      <c r="AA3430">
        <v>9</v>
      </c>
      <c r="AB3430">
        <v>9</v>
      </c>
      <c r="AC3430" t="s">
        <v>310</v>
      </c>
      <c r="AD3430">
        <v>9</v>
      </c>
      <c r="AE3430" t="s">
        <v>1387</v>
      </c>
      <c r="AF3430">
        <v>30000000</v>
      </c>
      <c r="AG3430" t="s">
        <v>310</v>
      </c>
      <c r="AH3430">
        <f>SUM((MID(Dyno_Data[[#This Row],[Team]],4,5))+(Dyno_Data[[#This Row],[Match]]/100))</f>
        <v>3044.63</v>
      </c>
      <c r="AI3430" s="76">
        <f>ROUND(SUM(IF(Dyno_Data[[#This Row],[AcqCenter]]&gt;0,Dyno_Data[[#This Row],[Time]]-SUMIFS(Dyno_Data[Time],Dyno_Data[Team],Dyno_Data[[#This Row],[Team]],Dyno_Data[RecordType],"StartMatch",Dyno_Data[Match],Dyno_Data[[#This Row],[Match]]),0)*86400),0)</f>
        <v>0</v>
      </c>
    </row>
    <row r="3431" spans="1:35" x14ac:dyDescent="0.3">
      <c r="A3431">
        <v>3444</v>
      </c>
      <c r="B3431" t="s">
        <v>1298</v>
      </c>
      <c r="C3431">
        <v>63</v>
      </c>
      <c r="D3431" s="105">
        <v>45374.407877627316</v>
      </c>
      <c r="E3431" t="s">
        <v>308</v>
      </c>
      <c r="F3431" t="s">
        <v>309</v>
      </c>
      <c r="G3431">
        <v>0</v>
      </c>
      <c r="H3431" t="s">
        <v>310</v>
      </c>
      <c r="I3431">
        <v>0</v>
      </c>
      <c r="J3431">
        <v>0</v>
      </c>
      <c r="K3431">
        <v>0</v>
      </c>
      <c r="L3431" t="s">
        <v>310</v>
      </c>
      <c r="M3431" t="s">
        <v>310</v>
      </c>
      <c r="N3431">
        <v>0</v>
      </c>
      <c r="O3431" t="s">
        <v>1391</v>
      </c>
      <c r="P3431" t="s">
        <v>310</v>
      </c>
      <c r="Q3431" t="s">
        <v>310</v>
      </c>
      <c r="R3431" t="s">
        <v>310</v>
      </c>
      <c r="S3431">
        <v>9</v>
      </c>
      <c r="T3431" t="s">
        <v>310</v>
      </c>
      <c r="U3431">
        <v>9</v>
      </c>
      <c r="V3431">
        <v>9</v>
      </c>
      <c r="W3431">
        <v>0</v>
      </c>
      <c r="X3431">
        <v>0</v>
      </c>
      <c r="Y3431">
        <v>0</v>
      </c>
      <c r="Z3431">
        <v>0</v>
      </c>
      <c r="AA3431">
        <v>9</v>
      </c>
      <c r="AB3431">
        <v>9</v>
      </c>
      <c r="AC3431" t="s">
        <v>310</v>
      </c>
      <c r="AD3431">
        <v>9</v>
      </c>
      <c r="AE3431" t="s">
        <v>1396</v>
      </c>
      <c r="AF3431">
        <v>0</v>
      </c>
      <c r="AG3431" t="s">
        <v>310</v>
      </c>
      <c r="AH3431">
        <f>SUM((MID(Dyno_Data[[#This Row],[Team]],4,5))+(Dyno_Data[[#This Row],[Match]]/100))</f>
        <v>9624.6299999999992</v>
      </c>
      <c r="AI3431" s="76">
        <f>ROUND(SUM(IF(Dyno_Data[[#This Row],[AcqCenter]]&gt;0,Dyno_Data[[#This Row],[Time]]-SUMIFS(Dyno_Data[Time],Dyno_Data[Team],Dyno_Data[[#This Row],[Team]],Dyno_Data[RecordType],"StartMatch",Dyno_Data[Match],Dyno_Data[[#This Row],[Match]]),0)*86400),0)</f>
        <v>0</v>
      </c>
    </row>
    <row r="3432" spans="1:35" x14ac:dyDescent="0.3">
      <c r="A3432">
        <v>3446</v>
      </c>
      <c r="B3432" t="s">
        <v>1284</v>
      </c>
      <c r="C3432">
        <v>63</v>
      </c>
      <c r="D3432" s="105">
        <v>45374.407879016202</v>
      </c>
      <c r="E3432" t="s">
        <v>308</v>
      </c>
      <c r="F3432" t="s">
        <v>309</v>
      </c>
      <c r="G3432">
        <v>0</v>
      </c>
      <c r="H3432" t="s">
        <v>310</v>
      </c>
      <c r="I3432">
        <v>0</v>
      </c>
      <c r="J3432">
        <v>0</v>
      </c>
      <c r="K3432">
        <v>0</v>
      </c>
      <c r="L3432" t="s">
        <v>310</v>
      </c>
      <c r="M3432" t="s">
        <v>310</v>
      </c>
      <c r="N3432">
        <v>0</v>
      </c>
      <c r="O3432" t="s">
        <v>319</v>
      </c>
      <c r="P3432" t="s">
        <v>310</v>
      </c>
      <c r="Q3432" t="s">
        <v>310</v>
      </c>
      <c r="R3432" t="s">
        <v>310</v>
      </c>
      <c r="S3432">
        <v>9</v>
      </c>
      <c r="T3432" t="s">
        <v>310</v>
      </c>
      <c r="U3432">
        <v>9</v>
      </c>
      <c r="V3432">
        <v>9</v>
      </c>
      <c r="W3432">
        <v>0</v>
      </c>
      <c r="X3432">
        <v>0</v>
      </c>
      <c r="Y3432">
        <v>0</v>
      </c>
      <c r="Z3432">
        <v>0</v>
      </c>
      <c r="AA3432">
        <v>9</v>
      </c>
      <c r="AB3432">
        <v>9</v>
      </c>
      <c r="AC3432" t="s">
        <v>310</v>
      </c>
      <c r="AD3432">
        <v>9</v>
      </c>
      <c r="AE3432" t="s">
        <v>1392</v>
      </c>
      <c r="AF3432">
        <v>20000000</v>
      </c>
      <c r="AG3432" t="s">
        <v>310</v>
      </c>
      <c r="AH3432">
        <f>SUM((MID(Dyno_Data[[#This Row],[Team]],4,5))+(Dyno_Data[[#This Row],[Match]]/100))</f>
        <v>5590.63</v>
      </c>
      <c r="AI3432" s="76">
        <f>ROUND(SUM(IF(Dyno_Data[[#This Row],[AcqCenter]]&gt;0,Dyno_Data[[#This Row],[Time]]-SUMIFS(Dyno_Data[Time],Dyno_Data[Team],Dyno_Data[[#This Row],[Team]],Dyno_Data[RecordType],"StartMatch",Dyno_Data[Match],Dyno_Data[[#This Row],[Match]]),0)*86400),0)</f>
        <v>0</v>
      </c>
    </row>
    <row r="3433" spans="1:35" x14ac:dyDescent="0.3">
      <c r="A3433">
        <v>3448</v>
      </c>
      <c r="B3433" t="s">
        <v>1302</v>
      </c>
      <c r="C3433">
        <v>63</v>
      </c>
      <c r="D3433" s="105">
        <v>45374.407881134262</v>
      </c>
      <c r="E3433" t="s">
        <v>308</v>
      </c>
      <c r="F3433" t="s">
        <v>309</v>
      </c>
      <c r="G3433">
        <v>0</v>
      </c>
      <c r="H3433" t="s">
        <v>310</v>
      </c>
      <c r="I3433">
        <v>0</v>
      </c>
      <c r="J3433">
        <v>0</v>
      </c>
      <c r="K3433">
        <v>0</v>
      </c>
      <c r="L3433" t="s">
        <v>310</v>
      </c>
      <c r="M3433" t="s">
        <v>310</v>
      </c>
      <c r="N3433">
        <v>0</v>
      </c>
      <c r="O3433" t="s">
        <v>1389</v>
      </c>
      <c r="P3433" t="s">
        <v>310</v>
      </c>
      <c r="Q3433" t="s">
        <v>310</v>
      </c>
      <c r="R3433" t="s">
        <v>310</v>
      </c>
      <c r="S3433">
        <v>9</v>
      </c>
      <c r="T3433" t="s">
        <v>310</v>
      </c>
      <c r="U3433">
        <v>9</v>
      </c>
      <c r="V3433">
        <v>9</v>
      </c>
      <c r="W3433">
        <v>0</v>
      </c>
      <c r="X3433">
        <v>0</v>
      </c>
      <c r="Y3433">
        <v>0</v>
      </c>
      <c r="Z3433">
        <v>0</v>
      </c>
      <c r="AA3433">
        <v>9</v>
      </c>
      <c r="AB3433">
        <v>9</v>
      </c>
      <c r="AC3433" t="s">
        <v>310</v>
      </c>
      <c r="AD3433">
        <v>9</v>
      </c>
      <c r="AE3433" t="s">
        <v>1394</v>
      </c>
      <c r="AF3433">
        <v>0</v>
      </c>
      <c r="AG3433" t="s">
        <v>310</v>
      </c>
      <c r="AH3433">
        <f>SUM((MID(Dyno_Data[[#This Row],[Team]],4,5))+(Dyno_Data[[#This Row],[Match]]/100))</f>
        <v>2095.63</v>
      </c>
      <c r="AI3433" s="76">
        <f>ROUND(SUM(IF(Dyno_Data[[#This Row],[AcqCenter]]&gt;0,Dyno_Data[[#This Row],[Time]]-SUMIFS(Dyno_Data[Time],Dyno_Data[Team],Dyno_Data[[#This Row],[Team]],Dyno_Data[RecordType],"StartMatch",Dyno_Data[Match],Dyno_Data[[#This Row],[Match]]),0)*86400),0)</f>
        <v>0</v>
      </c>
    </row>
    <row r="3434" spans="1:35" x14ac:dyDescent="0.3">
      <c r="A3434">
        <v>3427</v>
      </c>
      <c r="B3434" t="s">
        <v>1309</v>
      </c>
      <c r="C3434">
        <v>63</v>
      </c>
      <c r="D3434" s="105">
        <v>45374.407896145836</v>
      </c>
      <c r="E3434" t="s">
        <v>312</v>
      </c>
      <c r="F3434" t="s">
        <v>309</v>
      </c>
      <c r="G3434">
        <v>0</v>
      </c>
      <c r="H3434" t="s">
        <v>1397</v>
      </c>
      <c r="I3434">
        <v>0</v>
      </c>
      <c r="J3434">
        <v>0</v>
      </c>
      <c r="K3434">
        <v>0</v>
      </c>
      <c r="L3434" t="s">
        <v>240</v>
      </c>
      <c r="M3434" t="s">
        <v>1398</v>
      </c>
      <c r="N3434">
        <v>0</v>
      </c>
      <c r="O3434" t="s">
        <v>311</v>
      </c>
      <c r="P3434" t="s">
        <v>310</v>
      </c>
      <c r="Q3434" t="s">
        <v>310</v>
      </c>
      <c r="R3434" t="s">
        <v>310</v>
      </c>
      <c r="S3434">
        <v>9</v>
      </c>
      <c r="T3434" t="s">
        <v>310</v>
      </c>
      <c r="U3434">
        <v>9</v>
      </c>
      <c r="V3434">
        <v>9</v>
      </c>
      <c r="W3434">
        <v>0</v>
      </c>
      <c r="X3434">
        <v>0</v>
      </c>
      <c r="Y3434">
        <v>0</v>
      </c>
      <c r="Z3434">
        <v>0</v>
      </c>
      <c r="AA3434">
        <v>9</v>
      </c>
      <c r="AB3434">
        <v>9</v>
      </c>
      <c r="AC3434" t="s">
        <v>310</v>
      </c>
      <c r="AD3434">
        <v>9</v>
      </c>
      <c r="AE3434" t="s">
        <v>1388</v>
      </c>
      <c r="AF3434">
        <v>0</v>
      </c>
      <c r="AG3434" t="s">
        <v>310</v>
      </c>
      <c r="AH3434">
        <f>SUM((MID(Dyno_Data[[#This Row],[Team]],4,5))+(Dyno_Data[[#This Row],[Match]]/100))</f>
        <v>3550.63</v>
      </c>
      <c r="AI3434" s="76">
        <f>ROUND(SUM(IF(Dyno_Data[[#This Row],[AcqCenter]]&gt;0,Dyno_Data[[#This Row],[Time]]-SUMIFS(Dyno_Data[Time],Dyno_Data[Team],Dyno_Data[[#This Row],[Team]],Dyno_Data[RecordType],"StartMatch",Dyno_Data[Match],Dyno_Data[[#This Row],[Match]]),0)*86400),0)</f>
        <v>0</v>
      </c>
    </row>
    <row r="3435" spans="1:35" x14ac:dyDescent="0.3">
      <c r="A3435">
        <v>3428</v>
      </c>
      <c r="B3435" t="s">
        <v>1280</v>
      </c>
      <c r="C3435">
        <v>63</v>
      </c>
      <c r="D3435" s="105">
        <v>45374.407904201391</v>
      </c>
      <c r="E3435" t="s">
        <v>312</v>
      </c>
      <c r="F3435" t="s">
        <v>309</v>
      </c>
      <c r="G3435">
        <v>0</v>
      </c>
      <c r="H3435" t="s">
        <v>1397</v>
      </c>
      <c r="I3435">
        <v>0</v>
      </c>
      <c r="J3435">
        <v>0</v>
      </c>
      <c r="K3435">
        <v>0</v>
      </c>
      <c r="L3435" t="s">
        <v>241</v>
      </c>
      <c r="M3435" t="s">
        <v>1398</v>
      </c>
      <c r="N3435">
        <v>1</v>
      </c>
      <c r="O3435" t="s">
        <v>1393</v>
      </c>
      <c r="P3435" t="s">
        <v>310</v>
      </c>
      <c r="Q3435" t="s">
        <v>310</v>
      </c>
      <c r="R3435" t="s">
        <v>310</v>
      </c>
      <c r="S3435">
        <v>9</v>
      </c>
      <c r="T3435" t="s">
        <v>310</v>
      </c>
      <c r="U3435">
        <v>9</v>
      </c>
      <c r="V3435">
        <v>9</v>
      </c>
      <c r="W3435">
        <v>0</v>
      </c>
      <c r="X3435">
        <v>0</v>
      </c>
      <c r="Y3435">
        <v>0</v>
      </c>
      <c r="Z3435">
        <v>0</v>
      </c>
      <c r="AA3435">
        <v>9</v>
      </c>
      <c r="AB3435">
        <v>9</v>
      </c>
      <c r="AC3435" t="s">
        <v>310</v>
      </c>
      <c r="AD3435">
        <v>9</v>
      </c>
      <c r="AE3435" t="s">
        <v>1390</v>
      </c>
      <c r="AF3435">
        <v>0</v>
      </c>
      <c r="AG3435" t="s">
        <v>310</v>
      </c>
      <c r="AH3435">
        <f>SUM((MID(Dyno_Data[[#This Row],[Team]],4,5))+(Dyno_Data[[#This Row],[Match]]/100))</f>
        <v>1559.63</v>
      </c>
      <c r="AI3435" s="76">
        <f>ROUND(SUM(IF(Dyno_Data[[#This Row],[AcqCenter]]&gt;0,Dyno_Data[[#This Row],[Time]]-SUMIFS(Dyno_Data[Time],Dyno_Data[Team],Dyno_Data[[#This Row],[Team]],Dyno_Data[RecordType],"StartMatch",Dyno_Data[Match],Dyno_Data[[#This Row],[Match]]),0)*86400),0)</f>
        <v>0</v>
      </c>
    </row>
    <row r="3436" spans="1:35" x14ac:dyDescent="0.3">
      <c r="A3436">
        <v>3429</v>
      </c>
      <c r="B3436" t="s">
        <v>1300</v>
      </c>
      <c r="C3436">
        <v>63</v>
      </c>
      <c r="D3436" s="105">
        <v>45374.407914236108</v>
      </c>
      <c r="E3436" t="s">
        <v>312</v>
      </c>
      <c r="F3436" t="s">
        <v>309</v>
      </c>
      <c r="G3436">
        <v>0</v>
      </c>
      <c r="H3436" t="s">
        <v>1397</v>
      </c>
      <c r="I3436">
        <v>0</v>
      </c>
      <c r="J3436">
        <v>0</v>
      </c>
      <c r="K3436">
        <v>0</v>
      </c>
      <c r="L3436" t="s">
        <v>240</v>
      </c>
      <c r="M3436" t="s">
        <v>1398</v>
      </c>
      <c r="N3436">
        <v>1</v>
      </c>
      <c r="O3436" t="s">
        <v>1395</v>
      </c>
      <c r="P3436" t="s">
        <v>310</v>
      </c>
      <c r="Q3436" t="s">
        <v>310</v>
      </c>
      <c r="R3436" t="s">
        <v>310</v>
      </c>
      <c r="S3436">
        <v>9</v>
      </c>
      <c r="T3436" t="s">
        <v>310</v>
      </c>
      <c r="U3436">
        <v>9</v>
      </c>
      <c r="V3436">
        <v>9</v>
      </c>
      <c r="W3436">
        <v>0</v>
      </c>
      <c r="X3436">
        <v>0</v>
      </c>
      <c r="Y3436">
        <v>0</v>
      </c>
      <c r="Z3436">
        <v>0</v>
      </c>
      <c r="AA3436">
        <v>9</v>
      </c>
      <c r="AB3436">
        <v>9</v>
      </c>
      <c r="AC3436" t="s">
        <v>310</v>
      </c>
      <c r="AD3436">
        <v>9</v>
      </c>
      <c r="AE3436" t="s">
        <v>1387</v>
      </c>
      <c r="AF3436">
        <v>0</v>
      </c>
      <c r="AG3436" t="s">
        <v>310</v>
      </c>
      <c r="AH3436">
        <f>SUM((MID(Dyno_Data[[#This Row],[Team]],4,5))+(Dyno_Data[[#This Row],[Match]]/100))</f>
        <v>3044.63</v>
      </c>
      <c r="AI3436" s="76">
        <f>ROUND(SUM(IF(Dyno_Data[[#This Row],[AcqCenter]]&gt;0,Dyno_Data[[#This Row],[Time]]-SUMIFS(Dyno_Data[Time],Dyno_Data[Team],Dyno_Data[[#This Row],[Team]],Dyno_Data[RecordType],"StartMatch",Dyno_Data[Match],Dyno_Data[[#This Row],[Match]]),0)*86400),0)</f>
        <v>0</v>
      </c>
    </row>
    <row r="3437" spans="1:35" x14ac:dyDescent="0.3">
      <c r="A3437">
        <v>3430</v>
      </c>
      <c r="B3437" t="s">
        <v>1284</v>
      </c>
      <c r="C3437">
        <v>63</v>
      </c>
      <c r="D3437" s="105">
        <v>45374.407935416668</v>
      </c>
      <c r="E3437" t="s">
        <v>312</v>
      </c>
      <c r="F3437" t="s">
        <v>309</v>
      </c>
      <c r="G3437">
        <v>0</v>
      </c>
      <c r="H3437" t="s">
        <v>1397</v>
      </c>
      <c r="I3437">
        <v>0</v>
      </c>
      <c r="J3437">
        <v>0</v>
      </c>
      <c r="K3437">
        <v>0</v>
      </c>
      <c r="L3437" t="s">
        <v>240</v>
      </c>
      <c r="M3437" t="s">
        <v>1398</v>
      </c>
      <c r="N3437">
        <v>0</v>
      </c>
      <c r="O3437" t="s">
        <v>319</v>
      </c>
      <c r="P3437" t="s">
        <v>310</v>
      </c>
      <c r="Q3437" t="s">
        <v>310</v>
      </c>
      <c r="R3437" t="s">
        <v>310</v>
      </c>
      <c r="S3437">
        <v>9</v>
      </c>
      <c r="T3437" t="s">
        <v>310</v>
      </c>
      <c r="U3437">
        <v>9</v>
      </c>
      <c r="V3437">
        <v>9</v>
      </c>
      <c r="W3437">
        <v>0</v>
      </c>
      <c r="X3437">
        <v>0</v>
      </c>
      <c r="Y3437">
        <v>0</v>
      </c>
      <c r="Z3437">
        <v>0</v>
      </c>
      <c r="AA3437">
        <v>9</v>
      </c>
      <c r="AB3437">
        <v>9</v>
      </c>
      <c r="AC3437" t="s">
        <v>310</v>
      </c>
      <c r="AD3437">
        <v>9</v>
      </c>
      <c r="AE3437" t="s">
        <v>1392</v>
      </c>
      <c r="AF3437">
        <v>0</v>
      </c>
      <c r="AG3437" t="s">
        <v>310</v>
      </c>
      <c r="AH3437">
        <f>SUM((MID(Dyno_Data[[#This Row],[Team]],4,5))+(Dyno_Data[[#This Row],[Match]]/100))</f>
        <v>5590.63</v>
      </c>
      <c r="AI3437" s="76">
        <f>ROUND(SUM(IF(Dyno_Data[[#This Row],[AcqCenter]]&gt;0,Dyno_Data[[#This Row],[Time]]-SUMIFS(Dyno_Data[Time],Dyno_Data[Team],Dyno_Data[[#This Row],[Team]],Dyno_Data[RecordType],"StartMatch",Dyno_Data[Match],Dyno_Data[[#This Row],[Match]]),0)*86400),0)</f>
        <v>0</v>
      </c>
    </row>
    <row r="3438" spans="1:35" x14ac:dyDescent="0.3">
      <c r="A3438">
        <v>3431</v>
      </c>
      <c r="B3438" t="s">
        <v>1309</v>
      </c>
      <c r="C3438">
        <v>63</v>
      </c>
      <c r="D3438" s="105">
        <v>45374.407955706018</v>
      </c>
      <c r="E3438" t="s">
        <v>312</v>
      </c>
      <c r="F3438" t="s">
        <v>309</v>
      </c>
      <c r="G3438">
        <v>0</v>
      </c>
      <c r="H3438" t="s">
        <v>315</v>
      </c>
      <c r="I3438">
        <v>0</v>
      </c>
      <c r="J3438">
        <v>0</v>
      </c>
      <c r="K3438">
        <v>0</v>
      </c>
      <c r="L3438" t="s">
        <v>241</v>
      </c>
      <c r="M3438" t="s">
        <v>1398</v>
      </c>
      <c r="N3438">
        <v>0</v>
      </c>
      <c r="O3438" t="s">
        <v>311</v>
      </c>
      <c r="P3438" t="s">
        <v>310</v>
      </c>
      <c r="Q3438" t="s">
        <v>310</v>
      </c>
      <c r="R3438" t="s">
        <v>310</v>
      </c>
      <c r="S3438">
        <v>9</v>
      </c>
      <c r="T3438" t="s">
        <v>310</v>
      </c>
      <c r="U3438">
        <v>9</v>
      </c>
      <c r="V3438">
        <v>9</v>
      </c>
      <c r="W3438">
        <v>0</v>
      </c>
      <c r="X3438">
        <v>0</v>
      </c>
      <c r="Y3438">
        <v>0</v>
      </c>
      <c r="Z3438">
        <v>0</v>
      </c>
      <c r="AA3438">
        <v>9</v>
      </c>
      <c r="AB3438">
        <v>9</v>
      </c>
      <c r="AC3438" t="s">
        <v>310</v>
      </c>
      <c r="AD3438">
        <v>9</v>
      </c>
      <c r="AE3438" t="s">
        <v>1388</v>
      </c>
      <c r="AF3438">
        <v>10000000</v>
      </c>
      <c r="AG3438" t="s">
        <v>310</v>
      </c>
      <c r="AH3438">
        <f>SUM((MID(Dyno_Data[[#This Row],[Team]],4,5))+(Dyno_Data[[#This Row],[Match]]/100))</f>
        <v>3550.63</v>
      </c>
      <c r="AI3438" s="76">
        <f>ROUND(SUM(IF(Dyno_Data[[#This Row],[AcqCenter]]&gt;0,Dyno_Data[[#This Row],[Time]]-SUMIFS(Dyno_Data[Time],Dyno_Data[Team],Dyno_Data[[#This Row],[Team]],Dyno_Data[RecordType],"StartMatch",Dyno_Data[Match],Dyno_Data[[#This Row],[Match]]),0)*86400),0)</f>
        <v>0</v>
      </c>
    </row>
    <row r="3439" spans="1:35" x14ac:dyDescent="0.3">
      <c r="A3439">
        <v>3432</v>
      </c>
      <c r="B3439" t="s">
        <v>1300</v>
      </c>
      <c r="C3439">
        <v>63</v>
      </c>
      <c r="D3439" s="105">
        <v>45374.407956446761</v>
      </c>
      <c r="E3439" t="s">
        <v>312</v>
      </c>
      <c r="F3439" t="s">
        <v>309</v>
      </c>
      <c r="G3439">
        <v>0</v>
      </c>
      <c r="H3439" t="s">
        <v>315</v>
      </c>
      <c r="I3439">
        <v>0</v>
      </c>
      <c r="J3439">
        <v>0</v>
      </c>
      <c r="K3439">
        <v>0</v>
      </c>
      <c r="L3439" t="s">
        <v>240</v>
      </c>
      <c r="M3439" t="s">
        <v>1398</v>
      </c>
      <c r="N3439">
        <v>0</v>
      </c>
      <c r="O3439" t="s">
        <v>1395</v>
      </c>
      <c r="P3439" t="s">
        <v>310</v>
      </c>
      <c r="Q3439" t="s">
        <v>310</v>
      </c>
      <c r="R3439" t="s">
        <v>310</v>
      </c>
      <c r="S3439">
        <v>9</v>
      </c>
      <c r="T3439" t="s">
        <v>310</v>
      </c>
      <c r="U3439">
        <v>9</v>
      </c>
      <c r="V3439">
        <v>9</v>
      </c>
      <c r="W3439">
        <v>0</v>
      </c>
      <c r="X3439">
        <v>0</v>
      </c>
      <c r="Y3439">
        <v>0</v>
      </c>
      <c r="Z3439">
        <v>0</v>
      </c>
      <c r="AA3439">
        <v>9</v>
      </c>
      <c r="AB3439">
        <v>9</v>
      </c>
      <c r="AC3439" t="s">
        <v>310</v>
      </c>
      <c r="AD3439">
        <v>9</v>
      </c>
      <c r="AE3439" t="s">
        <v>1387</v>
      </c>
      <c r="AF3439">
        <v>10000000</v>
      </c>
      <c r="AG3439" t="s">
        <v>310</v>
      </c>
      <c r="AH3439">
        <f>SUM((MID(Dyno_Data[[#This Row],[Team]],4,5))+(Dyno_Data[[#This Row],[Match]]/100))</f>
        <v>3044.63</v>
      </c>
      <c r="AI3439" s="76">
        <f>ROUND(SUM(IF(Dyno_Data[[#This Row],[AcqCenter]]&gt;0,Dyno_Data[[#This Row],[Time]]-SUMIFS(Dyno_Data[Time],Dyno_Data[Team],Dyno_Data[[#This Row],[Team]],Dyno_Data[RecordType],"StartMatch",Dyno_Data[Match],Dyno_Data[[#This Row],[Match]]),0)*86400),0)</f>
        <v>0</v>
      </c>
    </row>
    <row r="3440" spans="1:35" x14ac:dyDescent="0.3">
      <c r="A3440">
        <v>3433</v>
      </c>
      <c r="B3440" t="s">
        <v>1284</v>
      </c>
      <c r="C3440">
        <v>63</v>
      </c>
      <c r="D3440" s="105">
        <v>45374.407987881947</v>
      </c>
      <c r="E3440" t="s">
        <v>312</v>
      </c>
      <c r="F3440" t="s">
        <v>309</v>
      </c>
      <c r="G3440">
        <v>0</v>
      </c>
      <c r="H3440" t="s">
        <v>315</v>
      </c>
      <c r="I3440">
        <v>0</v>
      </c>
      <c r="J3440">
        <v>0</v>
      </c>
      <c r="K3440">
        <v>0</v>
      </c>
      <c r="L3440" t="s">
        <v>241</v>
      </c>
      <c r="M3440" t="s">
        <v>1398</v>
      </c>
      <c r="N3440">
        <v>0</v>
      </c>
      <c r="O3440" t="s">
        <v>319</v>
      </c>
      <c r="P3440" t="s">
        <v>310</v>
      </c>
      <c r="Q3440" t="s">
        <v>310</v>
      </c>
      <c r="R3440" t="s">
        <v>310</v>
      </c>
      <c r="S3440">
        <v>9</v>
      </c>
      <c r="T3440" t="s">
        <v>310</v>
      </c>
      <c r="U3440">
        <v>9</v>
      </c>
      <c r="V3440">
        <v>9</v>
      </c>
      <c r="W3440">
        <v>0</v>
      </c>
      <c r="X3440">
        <v>0</v>
      </c>
      <c r="Y3440">
        <v>0</v>
      </c>
      <c r="Z3440">
        <v>0</v>
      </c>
      <c r="AA3440">
        <v>9</v>
      </c>
      <c r="AB3440">
        <v>9</v>
      </c>
      <c r="AC3440" t="s">
        <v>310</v>
      </c>
      <c r="AD3440">
        <v>9</v>
      </c>
      <c r="AE3440" t="s">
        <v>1392</v>
      </c>
      <c r="AF3440">
        <v>10000000</v>
      </c>
      <c r="AG3440" t="s">
        <v>310</v>
      </c>
      <c r="AH3440">
        <f>SUM((MID(Dyno_Data[[#This Row],[Team]],4,5))+(Dyno_Data[[#This Row],[Match]]/100))</f>
        <v>5590.63</v>
      </c>
      <c r="AI3440" s="76">
        <f>ROUND(SUM(IF(Dyno_Data[[#This Row],[AcqCenter]]&gt;0,Dyno_Data[[#This Row],[Time]]-SUMIFS(Dyno_Data[Time],Dyno_Data[Team],Dyno_Data[[#This Row],[Team]],Dyno_Data[RecordType],"StartMatch",Dyno_Data[Match],Dyno_Data[[#This Row],[Match]]),0)*86400),0)</f>
        <v>0</v>
      </c>
    </row>
    <row r="3441" spans="1:35" x14ac:dyDescent="0.3">
      <c r="A3441">
        <v>3435</v>
      </c>
      <c r="B3441" t="s">
        <v>1309</v>
      </c>
      <c r="C3441">
        <v>63</v>
      </c>
      <c r="D3441" s="105">
        <v>45374.407994328707</v>
      </c>
      <c r="E3441" t="s">
        <v>312</v>
      </c>
      <c r="F3441" t="s">
        <v>309</v>
      </c>
      <c r="G3441">
        <v>0</v>
      </c>
      <c r="H3441" t="s">
        <v>143</v>
      </c>
      <c r="I3441">
        <v>4</v>
      </c>
      <c r="J3441">
        <v>1</v>
      </c>
      <c r="K3441">
        <v>0</v>
      </c>
      <c r="L3441" t="s">
        <v>310</v>
      </c>
      <c r="M3441" t="s">
        <v>310</v>
      </c>
      <c r="N3441">
        <v>0</v>
      </c>
      <c r="O3441" t="s">
        <v>311</v>
      </c>
      <c r="P3441" t="s">
        <v>310</v>
      </c>
      <c r="Q3441" t="s">
        <v>310</v>
      </c>
      <c r="R3441" t="s">
        <v>310</v>
      </c>
      <c r="S3441">
        <v>9</v>
      </c>
      <c r="T3441" t="s">
        <v>310</v>
      </c>
      <c r="U3441">
        <v>9</v>
      </c>
      <c r="V3441">
        <v>9</v>
      </c>
      <c r="W3441">
        <v>0</v>
      </c>
      <c r="X3441">
        <v>0</v>
      </c>
      <c r="Y3441">
        <v>0</v>
      </c>
      <c r="Z3441">
        <v>0</v>
      </c>
      <c r="AA3441">
        <v>9</v>
      </c>
      <c r="AB3441">
        <v>9</v>
      </c>
      <c r="AC3441" t="s">
        <v>310</v>
      </c>
      <c r="AD3441">
        <v>9</v>
      </c>
      <c r="AE3441" t="s">
        <v>1388</v>
      </c>
      <c r="AF3441">
        <v>10001000</v>
      </c>
      <c r="AG3441" t="s">
        <v>310</v>
      </c>
      <c r="AH3441">
        <f>SUM((MID(Dyno_Data[[#This Row],[Team]],4,5))+(Dyno_Data[[#This Row],[Match]]/100))</f>
        <v>3550.63</v>
      </c>
      <c r="AI3441" s="76">
        <f>ROUND(SUM(IF(Dyno_Data[[#This Row],[AcqCenter]]&gt;0,Dyno_Data[[#This Row],[Time]]-SUMIFS(Dyno_Data[Time],Dyno_Data[Team],Dyno_Data[[#This Row],[Team]],Dyno_Data[RecordType],"StartMatch",Dyno_Data[Match],Dyno_Data[[#This Row],[Match]]),0)*86400),0)</f>
        <v>10</v>
      </c>
    </row>
    <row r="3442" spans="1:35" x14ac:dyDescent="0.3">
      <c r="A3442">
        <v>3434</v>
      </c>
      <c r="B3442" t="s">
        <v>1300</v>
      </c>
      <c r="C3442">
        <v>63</v>
      </c>
      <c r="D3442" s="105">
        <v>45374.407998993054</v>
      </c>
      <c r="E3442" t="s">
        <v>312</v>
      </c>
      <c r="F3442" t="s">
        <v>309</v>
      </c>
      <c r="G3442">
        <v>0</v>
      </c>
      <c r="H3442" t="s">
        <v>315</v>
      </c>
      <c r="I3442">
        <v>0</v>
      </c>
      <c r="J3442">
        <v>0</v>
      </c>
      <c r="K3442">
        <v>0</v>
      </c>
      <c r="L3442" t="s">
        <v>241</v>
      </c>
      <c r="M3442" t="s">
        <v>1398</v>
      </c>
      <c r="N3442">
        <v>0</v>
      </c>
      <c r="O3442" t="s">
        <v>1395</v>
      </c>
      <c r="P3442" t="s">
        <v>310</v>
      </c>
      <c r="Q3442" t="s">
        <v>310</v>
      </c>
      <c r="R3442" t="s">
        <v>310</v>
      </c>
      <c r="S3442">
        <v>9</v>
      </c>
      <c r="T3442" t="s">
        <v>310</v>
      </c>
      <c r="U3442">
        <v>9</v>
      </c>
      <c r="V3442">
        <v>9</v>
      </c>
      <c r="W3442">
        <v>0</v>
      </c>
      <c r="X3442">
        <v>0</v>
      </c>
      <c r="Y3442">
        <v>0</v>
      </c>
      <c r="Z3442">
        <v>0</v>
      </c>
      <c r="AA3442">
        <v>9</v>
      </c>
      <c r="AB3442">
        <v>9</v>
      </c>
      <c r="AC3442" t="s">
        <v>310</v>
      </c>
      <c r="AD3442">
        <v>9</v>
      </c>
      <c r="AE3442" t="s">
        <v>1387</v>
      </c>
      <c r="AF3442">
        <v>20000000</v>
      </c>
      <c r="AG3442" t="s">
        <v>310</v>
      </c>
      <c r="AH3442">
        <f>SUM((MID(Dyno_Data[[#This Row],[Team]],4,5))+(Dyno_Data[[#This Row],[Match]]/100))</f>
        <v>3044.63</v>
      </c>
      <c r="AI3442" s="76">
        <f>ROUND(SUM(IF(Dyno_Data[[#This Row],[AcqCenter]]&gt;0,Dyno_Data[[#This Row],[Time]]-SUMIFS(Dyno_Data[Time],Dyno_Data[Team],Dyno_Data[[#This Row],[Team]],Dyno_Data[RecordType],"StartMatch",Dyno_Data[Match],Dyno_Data[[#This Row],[Match]]),0)*86400),0)</f>
        <v>0</v>
      </c>
    </row>
    <row r="3443" spans="1:35" x14ac:dyDescent="0.3">
      <c r="A3443">
        <v>3436</v>
      </c>
      <c r="B3443" t="s">
        <v>1300</v>
      </c>
      <c r="C3443">
        <v>63</v>
      </c>
      <c r="D3443" s="105">
        <v>45374.408050150465</v>
      </c>
      <c r="E3443" t="s">
        <v>312</v>
      </c>
      <c r="F3443" t="s">
        <v>309</v>
      </c>
      <c r="G3443">
        <v>0</v>
      </c>
      <c r="H3443" t="s">
        <v>315</v>
      </c>
      <c r="I3443">
        <v>0</v>
      </c>
      <c r="J3443">
        <v>0</v>
      </c>
      <c r="K3443">
        <v>0</v>
      </c>
      <c r="L3443" t="s">
        <v>241</v>
      </c>
      <c r="M3443" t="s">
        <v>1398</v>
      </c>
      <c r="N3443">
        <v>0</v>
      </c>
      <c r="O3443" t="s">
        <v>1395</v>
      </c>
      <c r="P3443" t="s">
        <v>310</v>
      </c>
      <c r="Q3443" t="s">
        <v>310</v>
      </c>
      <c r="R3443" t="s">
        <v>310</v>
      </c>
      <c r="S3443">
        <v>9</v>
      </c>
      <c r="T3443" t="s">
        <v>310</v>
      </c>
      <c r="U3443">
        <v>9</v>
      </c>
      <c r="V3443">
        <v>9</v>
      </c>
      <c r="W3443">
        <v>0</v>
      </c>
      <c r="X3443">
        <v>0</v>
      </c>
      <c r="Y3443">
        <v>0</v>
      </c>
      <c r="Z3443">
        <v>0</v>
      </c>
      <c r="AA3443">
        <v>9</v>
      </c>
      <c r="AB3443">
        <v>9</v>
      </c>
      <c r="AC3443" t="s">
        <v>310</v>
      </c>
      <c r="AD3443">
        <v>9</v>
      </c>
      <c r="AE3443" t="s">
        <v>1387</v>
      </c>
      <c r="AF3443">
        <v>30000000</v>
      </c>
      <c r="AG3443" t="s">
        <v>310</v>
      </c>
      <c r="AH3443">
        <f>SUM((MID(Dyno_Data[[#This Row],[Team]],4,5))+(Dyno_Data[[#This Row],[Match]]/100))</f>
        <v>3044.63</v>
      </c>
      <c r="AI3443" s="76">
        <f>ROUND(SUM(IF(Dyno_Data[[#This Row],[AcqCenter]]&gt;0,Dyno_Data[[#This Row],[Time]]-SUMIFS(Dyno_Data[Time],Dyno_Data[Team],Dyno_Data[[#This Row],[Team]],Dyno_Data[RecordType],"StartMatch",Dyno_Data[Match],Dyno_Data[[#This Row],[Match]]),0)*86400),0)</f>
        <v>0</v>
      </c>
    </row>
    <row r="3444" spans="1:35" x14ac:dyDescent="0.3">
      <c r="A3444">
        <v>3437</v>
      </c>
      <c r="B3444" t="s">
        <v>1284</v>
      </c>
      <c r="C3444">
        <v>63</v>
      </c>
      <c r="D3444" s="105">
        <v>45374.408054398147</v>
      </c>
      <c r="E3444" t="s">
        <v>312</v>
      </c>
      <c r="F3444" t="s">
        <v>309</v>
      </c>
      <c r="G3444">
        <v>0</v>
      </c>
      <c r="H3444" t="s">
        <v>315</v>
      </c>
      <c r="I3444">
        <v>0</v>
      </c>
      <c r="J3444">
        <v>0</v>
      </c>
      <c r="K3444">
        <v>0</v>
      </c>
      <c r="L3444" t="s">
        <v>241</v>
      </c>
      <c r="M3444" t="s">
        <v>1398</v>
      </c>
      <c r="N3444">
        <v>1</v>
      </c>
      <c r="O3444" t="s">
        <v>319</v>
      </c>
      <c r="P3444" t="s">
        <v>310</v>
      </c>
      <c r="Q3444" t="s">
        <v>310</v>
      </c>
      <c r="R3444" t="s">
        <v>310</v>
      </c>
      <c r="S3444">
        <v>9</v>
      </c>
      <c r="T3444" t="s">
        <v>310</v>
      </c>
      <c r="U3444">
        <v>9</v>
      </c>
      <c r="V3444">
        <v>9</v>
      </c>
      <c r="W3444">
        <v>0</v>
      </c>
      <c r="X3444">
        <v>0</v>
      </c>
      <c r="Y3444">
        <v>0</v>
      </c>
      <c r="Z3444">
        <v>0</v>
      </c>
      <c r="AA3444">
        <v>9</v>
      </c>
      <c r="AB3444">
        <v>9</v>
      </c>
      <c r="AC3444" t="s">
        <v>310</v>
      </c>
      <c r="AD3444">
        <v>9</v>
      </c>
      <c r="AE3444" t="s">
        <v>1392</v>
      </c>
      <c r="AF3444">
        <v>20000000</v>
      </c>
      <c r="AG3444" t="s">
        <v>310</v>
      </c>
      <c r="AH3444">
        <f>SUM((MID(Dyno_Data[[#This Row],[Team]],4,5))+(Dyno_Data[[#This Row],[Match]]/100))</f>
        <v>5590.63</v>
      </c>
      <c r="AI3444" s="76">
        <f>ROUND(SUM(IF(Dyno_Data[[#This Row],[AcqCenter]]&gt;0,Dyno_Data[[#This Row],[Time]]-SUMIFS(Dyno_Data[Time],Dyno_Data[Team],Dyno_Data[[#This Row],[Team]],Dyno_Data[RecordType],"StartMatch",Dyno_Data[Match],Dyno_Data[[#This Row],[Match]]),0)*86400),0)</f>
        <v>0</v>
      </c>
    </row>
    <row r="3445" spans="1:35" x14ac:dyDescent="0.3">
      <c r="A3445">
        <v>3439</v>
      </c>
      <c r="B3445" t="s">
        <v>1309</v>
      </c>
      <c r="C3445">
        <v>63</v>
      </c>
      <c r="D3445" s="105">
        <v>45374.40808306713</v>
      </c>
      <c r="E3445" t="s">
        <v>314</v>
      </c>
      <c r="F3445" t="s">
        <v>309</v>
      </c>
      <c r="G3445">
        <v>1</v>
      </c>
      <c r="H3445" t="s">
        <v>310</v>
      </c>
      <c r="I3445">
        <v>0</v>
      </c>
      <c r="J3445">
        <v>0</v>
      </c>
      <c r="K3445">
        <v>0</v>
      </c>
      <c r="L3445" t="s">
        <v>310</v>
      </c>
      <c r="M3445" t="s">
        <v>310</v>
      </c>
      <c r="N3445">
        <v>0</v>
      </c>
      <c r="O3445" t="s">
        <v>311</v>
      </c>
      <c r="P3445" t="s">
        <v>101</v>
      </c>
      <c r="Q3445" t="s">
        <v>1399</v>
      </c>
      <c r="R3445" t="s">
        <v>310</v>
      </c>
      <c r="S3445">
        <v>9</v>
      </c>
      <c r="T3445" t="s">
        <v>310</v>
      </c>
      <c r="U3445">
        <v>9</v>
      </c>
      <c r="V3445">
        <v>9</v>
      </c>
      <c r="W3445">
        <v>0</v>
      </c>
      <c r="X3445">
        <v>0</v>
      </c>
      <c r="Y3445">
        <v>0</v>
      </c>
      <c r="Z3445">
        <v>0</v>
      </c>
      <c r="AA3445">
        <v>9</v>
      </c>
      <c r="AB3445">
        <v>9</v>
      </c>
      <c r="AC3445" t="s">
        <v>310</v>
      </c>
      <c r="AD3445">
        <v>9</v>
      </c>
      <c r="AE3445" t="s">
        <v>1388</v>
      </c>
      <c r="AF3445">
        <v>10001000</v>
      </c>
      <c r="AG3445" t="s">
        <v>310</v>
      </c>
      <c r="AH3445">
        <f>SUM((MID(Dyno_Data[[#This Row],[Team]],4,5))+(Dyno_Data[[#This Row],[Match]]/100))</f>
        <v>3550.63</v>
      </c>
      <c r="AI3445" s="76">
        <f>ROUND(SUM(IF(Dyno_Data[[#This Row],[AcqCenter]]&gt;0,Dyno_Data[[#This Row],[Time]]-SUMIFS(Dyno_Data[Time],Dyno_Data[Team],Dyno_Data[[#This Row],[Team]],Dyno_Data[RecordType],"StartMatch",Dyno_Data[Match],Dyno_Data[[#This Row],[Match]]),0)*86400),0)</f>
        <v>0</v>
      </c>
    </row>
    <row r="3446" spans="1:35" x14ac:dyDescent="0.3">
      <c r="A3446">
        <v>3441</v>
      </c>
      <c r="B3446" t="s">
        <v>1280</v>
      </c>
      <c r="C3446">
        <v>63</v>
      </c>
      <c r="D3446" s="105">
        <v>45374.408085219904</v>
      </c>
      <c r="E3446" t="s">
        <v>314</v>
      </c>
      <c r="F3446" t="s">
        <v>309</v>
      </c>
      <c r="G3446">
        <v>1</v>
      </c>
      <c r="H3446" t="s">
        <v>310</v>
      </c>
      <c r="I3446">
        <v>0</v>
      </c>
      <c r="J3446">
        <v>0</v>
      </c>
      <c r="K3446">
        <v>0</v>
      </c>
      <c r="L3446" t="s">
        <v>310</v>
      </c>
      <c r="M3446" t="s">
        <v>310</v>
      </c>
      <c r="N3446">
        <v>0</v>
      </c>
      <c r="O3446" t="s">
        <v>1393</v>
      </c>
      <c r="P3446" t="s">
        <v>1401</v>
      </c>
      <c r="Q3446" t="s">
        <v>1400</v>
      </c>
      <c r="R3446" t="s">
        <v>310</v>
      </c>
      <c r="S3446">
        <v>9</v>
      </c>
      <c r="T3446" t="s">
        <v>310</v>
      </c>
      <c r="U3446">
        <v>9</v>
      </c>
      <c r="V3446">
        <v>9</v>
      </c>
      <c r="W3446">
        <v>0</v>
      </c>
      <c r="X3446">
        <v>0</v>
      </c>
      <c r="Y3446">
        <v>0</v>
      </c>
      <c r="Z3446">
        <v>0</v>
      </c>
      <c r="AA3446">
        <v>9</v>
      </c>
      <c r="AB3446">
        <v>9</v>
      </c>
      <c r="AC3446" t="s">
        <v>310</v>
      </c>
      <c r="AD3446">
        <v>9</v>
      </c>
      <c r="AE3446" t="s">
        <v>1390</v>
      </c>
      <c r="AF3446">
        <v>0</v>
      </c>
      <c r="AG3446" t="s">
        <v>310</v>
      </c>
      <c r="AH3446">
        <f>SUM((MID(Dyno_Data[[#This Row],[Team]],4,5))+(Dyno_Data[[#This Row],[Match]]/100))</f>
        <v>1559.63</v>
      </c>
      <c r="AI3446" s="76">
        <f>ROUND(SUM(IF(Dyno_Data[[#This Row],[AcqCenter]]&gt;0,Dyno_Data[[#This Row],[Time]]-SUMIFS(Dyno_Data[Time],Dyno_Data[Team],Dyno_Data[[#This Row],[Team]],Dyno_Data[RecordType],"StartMatch",Dyno_Data[Match],Dyno_Data[[#This Row],[Match]]),0)*86400),0)</f>
        <v>0</v>
      </c>
    </row>
    <row r="3447" spans="1:35" x14ac:dyDescent="0.3">
      <c r="A3447">
        <v>3443</v>
      </c>
      <c r="B3447" t="s">
        <v>1300</v>
      </c>
      <c r="C3447">
        <v>63</v>
      </c>
      <c r="D3447" s="105">
        <v>45374.408085219904</v>
      </c>
      <c r="E3447" t="s">
        <v>314</v>
      </c>
      <c r="F3447" t="s">
        <v>309</v>
      </c>
      <c r="G3447">
        <v>1</v>
      </c>
      <c r="H3447" t="s">
        <v>310</v>
      </c>
      <c r="I3447">
        <v>0</v>
      </c>
      <c r="J3447">
        <v>0</v>
      </c>
      <c r="K3447">
        <v>0</v>
      </c>
      <c r="L3447" t="s">
        <v>310</v>
      </c>
      <c r="M3447" t="s">
        <v>310</v>
      </c>
      <c r="N3447">
        <v>0</v>
      </c>
      <c r="O3447" t="s">
        <v>1395</v>
      </c>
      <c r="P3447" t="s">
        <v>240</v>
      </c>
      <c r="Q3447" t="s">
        <v>1400</v>
      </c>
      <c r="R3447" t="s">
        <v>310</v>
      </c>
      <c r="S3447">
        <v>9</v>
      </c>
      <c r="T3447" t="s">
        <v>310</v>
      </c>
      <c r="U3447">
        <v>9</v>
      </c>
      <c r="V3447">
        <v>9</v>
      </c>
      <c r="W3447">
        <v>0</v>
      </c>
      <c r="X3447">
        <v>0</v>
      </c>
      <c r="Y3447">
        <v>0</v>
      </c>
      <c r="Z3447">
        <v>0</v>
      </c>
      <c r="AA3447">
        <v>9</v>
      </c>
      <c r="AB3447">
        <v>9</v>
      </c>
      <c r="AC3447" t="s">
        <v>310</v>
      </c>
      <c r="AD3447">
        <v>9</v>
      </c>
      <c r="AE3447" t="s">
        <v>1387</v>
      </c>
      <c r="AF3447">
        <v>30000000</v>
      </c>
      <c r="AG3447" t="s">
        <v>310</v>
      </c>
      <c r="AH3447">
        <f>SUM((MID(Dyno_Data[[#This Row],[Team]],4,5))+(Dyno_Data[[#This Row],[Match]]/100))</f>
        <v>3044.63</v>
      </c>
      <c r="AI3447" s="76">
        <f>ROUND(SUM(IF(Dyno_Data[[#This Row],[AcqCenter]]&gt;0,Dyno_Data[[#This Row],[Time]]-SUMIFS(Dyno_Data[Time],Dyno_Data[Team],Dyno_Data[[#This Row],[Team]],Dyno_Data[RecordType],"StartMatch",Dyno_Data[Match],Dyno_Data[[#This Row],[Match]]),0)*86400),0)</f>
        <v>0</v>
      </c>
    </row>
    <row r="3448" spans="1:35" x14ac:dyDescent="0.3">
      <c r="A3448">
        <v>3445</v>
      </c>
      <c r="B3448" t="s">
        <v>1298</v>
      </c>
      <c r="C3448">
        <v>63</v>
      </c>
      <c r="D3448" s="105">
        <v>45374.408085960647</v>
      </c>
      <c r="E3448" t="s">
        <v>314</v>
      </c>
      <c r="F3448" t="s">
        <v>309</v>
      </c>
      <c r="G3448">
        <v>0</v>
      </c>
      <c r="H3448" t="s">
        <v>310</v>
      </c>
      <c r="I3448">
        <v>0</v>
      </c>
      <c r="J3448">
        <v>0</v>
      </c>
      <c r="K3448">
        <v>0</v>
      </c>
      <c r="L3448" t="s">
        <v>310</v>
      </c>
      <c r="M3448" t="s">
        <v>310</v>
      </c>
      <c r="N3448">
        <v>0</v>
      </c>
      <c r="O3448" t="s">
        <v>1391</v>
      </c>
      <c r="P3448" t="s">
        <v>1401</v>
      </c>
      <c r="Q3448" t="s">
        <v>1400</v>
      </c>
      <c r="R3448" t="s">
        <v>310</v>
      </c>
      <c r="S3448">
        <v>9</v>
      </c>
      <c r="T3448" t="s">
        <v>310</v>
      </c>
      <c r="U3448">
        <v>9</v>
      </c>
      <c r="V3448">
        <v>9</v>
      </c>
      <c r="W3448">
        <v>0</v>
      </c>
      <c r="X3448">
        <v>0</v>
      </c>
      <c r="Y3448">
        <v>0</v>
      </c>
      <c r="Z3448">
        <v>0</v>
      </c>
      <c r="AA3448">
        <v>9</v>
      </c>
      <c r="AB3448">
        <v>9</v>
      </c>
      <c r="AC3448" t="s">
        <v>310</v>
      </c>
      <c r="AD3448">
        <v>9</v>
      </c>
      <c r="AE3448" t="s">
        <v>1396</v>
      </c>
      <c r="AF3448">
        <v>0</v>
      </c>
      <c r="AG3448" t="s">
        <v>310</v>
      </c>
      <c r="AH3448">
        <f>SUM((MID(Dyno_Data[[#This Row],[Team]],4,5))+(Dyno_Data[[#This Row],[Match]]/100))</f>
        <v>9624.6299999999992</v>
      </c>
      <c r="AI3448" s="76">
        <f>ROUND(SUM(IF(Dyno_Data[[#This Row],[AcqCenter]]&gt;0,Dyno_Data[[#This Row],[Time]]-SUMIFS(Dyno_Data[Time],Dyno_Data[Team],Dyno_Data[[#This Row],[Team]],Dyno_Data[RecordType],"StartMatch",Dyno_Data[Match],Dyno_Data[[#This Row],[Match]]),0)*86400),0)</f>
        <v>0</v>
      </c>
    </row>
    <row r="3449" spans="1:35" x14ac:dyDescent="0.3">
      <c r="A3449">
        <v>3447</v>
      </c>
      <c r="B3449" t="s">
        <v>1284</v>
      </c>
      <c r="C3449">
        <v>63</v>
      </c>
      <c r="D3449" s="105">
        <v>45374.40808734954</v>
      </c>
      <c r="E3449" t="s">
        <v>314</v>
      </c>
      <c r="F3449" t="s">
        <v>309</v>
      </c>
      <c r="G3449">
        <v>1</v>
      </c>
      <c r="H3449" t="s">
        <v>310</v>
      </c>
      <c r="I3449">
        <v>0</v>
      </c>
      <c r="J3449">
        <v>0</v>
      </c>
      <c r="K3449">
        <v>0</v>
      </c>
      <c r="L3449" t="s">
        <v>310</v>
      </c>
      <c r="M3449" t="s">
        <v>310</v>
      </c>
      <c r="N3449">
        <v>0</v>
      </c>
      <c r="O3449" t="s">
        <v>319</v>
      </c>
      <c r="P3449" t="s">
        <v>240</v>
      </c>
      <c r="Q3449" t="s">
        <v>1400</v>
      </c>
      <c r="R3449" t="s">
        <v>310</v>
      </c>
      <c r="S3449">
        <v>9</v>
      </c>
      <c r="T3449" t="s">
        <v>310</v>
      </c>
      <c r="U3449">
        <v>9</v>
      </c>
      <c r="V3449">
        <v>9</v>
      </c>
      <c r="W3449">
        <v>0</v>
      </c>
      <c r="X3449">
        <v>0</v>
      </c>
      <c r="Y3449">
        <v>0</v>
      </c>
      <c r="Z3449">
        <v>0</v>
      </c>
      <c r="AA3449">
        <v>9</v>
      </c>
      <c r="AB3449">
        <v>9</v>
      </c>
      <c r="AC3449" t="s">
        <v>310</v>
      </c>
      <c r="AD3449">
        <v>9</v>
      </c>
      <c r="AE3449" t="s">
        <v>1392</v>
      </c>
      <c r="AF3449">
        <v>20000000</v>
      </c>
      <c r="AG3449" t="s">
        <v>310</v>
      </c>
      <c r="AH3449">
        <f>SUM((MID(Dyno_Data[[#This Row],[Team]],4,5))+(Dyno_Data[[#This Row],[Match]]/100))</f>
        <v>5590.63</v>
      </c>
      <c r="AI3449" s="76">
        <f>ROUND(SUM(IF(Dyno_Data[[#This Row],[AcqCenter]]&gt;0,Dyno_Data[[#This Row],[Time]]-SUMIFS(Dyno_Data[Time],Dyno_Data[Team],Dyno_Data[[#This Row],[Team]],Dyno_Data[RecordType],"StartMatch",Dyno_Data[Match],Dyno_Data[[#This Row],[Match]]),0)*86400),0)</f>
        <v>0</v>
      </c>
    </row>
    <row r="3450" spans="1:35" x14ac:dyDescent="0.3">
      <c r="A3450">
        <v>3449</v>
      </c>
      <c r="B3450" t="s">
        <v>1302</v>
      </c>
      <c r="C3450">
        <v>63</v>
      </c>
      <c r="D3450" s="105">
        <v>45374.408089467594</v>
      </c>
      <c r="E3450" t="s">
        <v>314</v>
      </c>
      <c r="F3450" t="s">
        <v>309</v>
      </c>
      <c r="G3450">
        <v>0</v>
      </c>
      <c r="H3450" t="s">
        <v>310</v>
      </c>
      <c r="I3450">
        <v>0</v>
      </c>
      <c r="J3450">
        <v>0</v>
      </c>
      <c r="K3450">
        <v>0</v>
      </c>
      <c r="L3450" t="s">
        <v>310</v>
      </c>
      <c r="M3450" t="s">
        <v>310</v>
      </c>
      <c r="N3450">
        <v>0</v>
      </c>
      <c r="O3450" t="s">
        <v>1389</v>
      </c>
      <c r="P3450" t="s">
        <v>101</v>
      </c>
      <c r="Q3450" t="s">
        <v>1399</v>
      </c>
      <c r="R3450" t="s">
        <v>310</v>
      </c>
      <c r="S3450">
        <v>9</v>
      </c>
      <c r="T3450" t="s">
        <v>310</v>
      </c>
      <c r="U3450">
        <v>9</v>
      </c>
      <c r="V3450">
        <v>9</v>
      </c>
      <c r="W3450">
        <v>0</v>
      </c>
      <c r="X3450">
        <v>0</v>
      </c>
      <c r="Y3450">
        <v>0</v>
      </c>
      <c r="Z3450">
        <v>0</v>
      </c>
      <c r="AA3450">
        <v>9</v>
      </c>
      <c r="AB3450">
        <v>9</v>
      </c>
      <c r="AC3450" t="s">
        <v>310</v>
      </c>
      <c r="AD3450">
        <v>9</v>
      </c>
      <c r="AE3450" t="s">
        <v>1394</v>
      </c>
      <c r="AF3450">
        <v>0</v>
      </c>
      <c r="AG3450" t="s">
        <v>310</v>
      </c>
      <c r="AH3450">
        <f>SUM((MID(Dyno_Data[[#This Row],[Team]],4,5))+(Dyno_Data[[#This Row],[Match]]/100))</f>
        <v>2095.63</v>
      </c>
      <c r="AI3450" s="76">
        <f>ROUND(SUM(IF(Dyno_Data[[#This Row],[AcqCenter]]&gt;0,Dyno_Data[[#This Row],[Time]]-SUMIFS(Dyno_Data[Time],Dyno_Data[Team],Dyno_Data[[#This Row],[Team]],Dyno_Data[RecordType],"StartMatch",Dyno_Data[Match],Dyno_Data[[#This Row],[Match]]),0)*86400),0)</f>
        <v>0</v>
      </c>
    </row>
    <row r="3451" spans="1:35" x14ac:dyDescent="0.3">
      <c r="A3451">
        <v>3450</v>
      </c>
      <c r="B3451" t="s">
        <v>1309</v>
      </c>
      <c r="C3451">
        <v>63</v>
      </c>
      <c r="D3451" s="105">
        <v>45374.408125312497</v>
      </c>
      <c r="E3451" t="s">
        <v>312</v>
      </c>
      <c r="F3451" t="s">
        <v>1402</v>
      </c>
      <c r="G3451">
        <v>0</v>
      </c>
      <c r="H3451" t="s">
        <v>143</v>
      </c>
      <c r="I3451">
        <v>0</v>
      </c>
      <c r="J3451">
        <v>0</v>
      </c>
      <c r="K3451">
        <v>0</v>
      </c>
      <c r="L3451" t="s">
        <v>241</v>
      </c>
      <c r="M3451" t="s">
        <v>101</v>
      </c>
      <c r="N3451">
        <v>0</v>
      </c>
      <c r="O3451" t="s">
        <v>311</v>
      </c>
      <c r="P3451" t="s">
        <v>310</v>
      </c>
      <c r="Q3451" t="s">
        <v>310</v>
      </c>
      <c r="R3451" t="s">
        <v>310</v>
      </c>
      <c r="S3451">
        <v>9</v>
      </c>
      <c r="T3451" t="s">
        <v>310</v>
      </c>
      <c r="U3451">
        <v>9</v>
      </c>
      <c r="V3451">
        <v>9</v>
      </c>
      <c r="W3451">
        <v>0</v>
      </c>
      <c r="X3451">
        <v>0</v>
      </c>
      <c r="Y3451">
        <v>0</v>
      </c>
      <c r="Z3451">
        <v>0</v>
      </c>
      <c r="AA3451">
        <v>9</v>
      </c>
      <c r="AB3451">
        <v>9</v>
      </c>
      <c r="AC3451" t="s">
        <v>310</v>
      </c>
      <c r="AD3451">
        <v>9</v>
      </c>
      <c r="AE3451" t="s">
        <v>1388</v>
      </c>
      <c r="AF3451">
        <v>10001000</v>
      </c>
      <c r="AG3451" t="s">
        <v>310</v>
      </c>
      <c r="AH3451">
        <f>SUM((MID(Dyno_Data[[#This Row],[Team]],4,5))+(Dyno_Data[[#This Row],[Match]]/100))</f>
        <v>3550.63</v>
      </c>
      <c r="AI3451" s="76">
        <f>ROUND(SUM(IF(Dyno_Data[[#This Row],[AcqCenter]]&gt;0,Dyno_Data[[#This Row],[Time]]-SUMIFS(Dyno_Data[Time],Dyno_Data[Team],Dyno_Data[[#This Row],[Team]],Dyno_Data[RecordType],"StartMatch",Dyno_Data[Match],Dyno_Data[[#This Row],[Match]]),0)*86400),0)</f>
        <v>0</v>
      </c>
    </row>
    <row r="3452" spans="1:35" x14ac:dyDescent="0.3">
      <c r="A3452">
        <v>3451</v>
      </c>
      <c r="B3452" t="s">
        <v>1280</v>
      </c>
      <c r="C3452">
        <v>63</v>
      </c>
      <c r="D3452" s="105">
        <v>45374.408179664351</v>
      </c>
      <c r="E3452" t="s">
        <v>312</v>
      </c>
      <c r="F3452" t="s">
        <v>1402</v>
      </c>
      <c r="G3452">
        <v>0</v>
      </c>
      <c r="H3452" t="s">
        <v>315</v>
      </c>
      <c r="I3452">
        <v>0</v>
      </c>
      <c r="J3452">
        <v>0</v>
      </c>
      <c r="K3452">
        <v>0</v>
      </c>
      <c r="L3452" t="s">
        <v>241</v>
      </c>
      <c r="M3452" t="s">
        <v>1398</v>
      </c>
      <c r="N3452">
        <v>1</v>
      </c>
      <c r="O3452" t="s">
        <v>1393</v>
      </c>
      <c r="P3452" t="s">
        <v>310</v>
      </c>
      <c r="Q3452" t="s">
        <v>310</v>
      </c>
      <c r="R3452" t="s">
        <v>310</v>
      </c>
      <c r="S3452">
        <v>9</v>
      </c>
      <c r="T3452" t="s">
        <v>310</v>
      </c>
      <c r="U3452">
        <v>9</v>
      </c>
      <c r="V3452">
        <v>9</v>
      </c>
      <c r="W3452">
        <v>0</v>
      </c>
      <c r="X3452">
        <v>0</v>
      </c>
      <c r="Y3452">
        <v>0</v>
      </c>
      <c r="Z3452">
        <v>0</v>
      </c>
      <c r="AA3452">
        <v>9</v>
      </c>
      <c r="AB3452">
        <v>9</v>
      </c>
      <c r="AC3452" t="s">
        <v>310</v>
      </c>
      <c r="AD3452">
        <v>9</v>
      </c>
      <c r="AE3452" t="s">
        <v>1390</v>
      </c>
      <c r="AF3452">
        <v>10000000</v>
      </c>
      <c r="AG3452" t="s">
        <v>310</v>
      </c>
      <c r="AH3452">
        <f>SUM((MID(Dyno_Data[[#This Row],[Team]],4,5))+(Dyno_Data[[#This Row],[Match]]/100))</f>
        <v>1559.63</v>
      </c>
      <c r="AI3452" s="76">
        <f>ROUND(SUM(IF(Dyno_Data[[#This Row],[AcqCenter]]&gt;0,Dyno_Data[[#This Row],[Time]]-SUMIFS(Dyno_Data[Time],Dyno_Data[Team],Dyno_Data[[#This Row],[Team]],Dyno_Data[RecordType],"StartMatch",Dyno_Data[Match],Dyno_Data[[#This Row],[Match]]),0)*86400),0)</f>
        <v>0</v>
      </c>
    </row>
    <row r="3453" spans="1:35" x14ac:dyDescent="0.3">
      <c r="A3453">
        <v>3452</v>
      </c>
      <c r="B3453" t="s">
        <v>1309</v>
      </c>
      <c r="C3453">
        <v>63</v>
      </c>
      <c r="D3453" s="105">
        <v>45374.408191168979</v>
      </c>
      <c r="E3453" t="s">
        <v>312</v>
      </c>
      <c r="F3453" t="s">
        <v>1402</v>
      </c>
      <c r="G3453">
        <v>0</v>
      </c>
      <c r="H3453" t="s">
        <v>315</v>
      </c>
      <c r="I3453">
        <v>0</v>
      </c>
      <c r="J3453">
        <v>0</v>
      </c>
      <c r="K3453">
        <v>0</v>
      </c>
      <c r="L3453" t="s">
        <v>241</v>
      </c>
      <c r="M3453" t="s">
        <v>101</v>
      </c>
      <c r="N3453">
        <v>0</v>
      </c>
      <c r="O3453" t="s">
        <v>311</v>
      </c>
      <c r="P3453" t="s">
        <v>310</v>
      </c>
      <c r="Q3453" t="s">
        <v>310</v>
      </c>
      <c r="R3453" t="s">
        <v>310</v>
      </c>
      <c r="S3453">
        <v>9</v>
      </c>
      <c r="T3453" t="s">
        <v>310</v>
      </c>
      <c r="U3453">
        <v>9</v>
      </c>
      <c r="V3453">
        <v>9</v>
      </c>
      <c r="W3453">
        <v>0</v>
      </c>
      <c r="X3453">
        <v>0</v>
      </c>
      <c r="Y3453">
        <v>0</v>
      </c>
      <c r="Z3453">
        <v>0</v>
      </c>
      <c r="AA3453">
        <v>9</v>
      </c>
      <c r="AB3453">
        <v>9</v>
      </c>
      <c r="AC3453" t="s">
        <v>310</v>
      </c>
      <c r="AD3453">
        <v>9</v>
      </c>
      <c r="AE3453" t="s">
        <v>1388</v>
      </c>
      <c r="AF3453">
        <v>20001000</v>
      </c>
      <c r="AG3453" t="s">
        <v>310</v>
      </c>
      <c r="AH3453">
        <f>SUM((MID(Dyno_Data[[#This Row],[Team]],4,5))+(Dyno_Data[[#This Row],[Match]]/100))</f>
        <v>3550.63</v>
      </c>
      <c r="AI3453" s="76">
        <f>ROUND(SUM(IF(Dyno_Data[[#This Row],[AcqCenter]]&gt;0,Dyno_Data[[#This Row],[Time]]-SUMIFS(Dyno_Data[Time],Dyno_Data[Team],Dyno_Data[[#This Row],[Team]],Dyno_Data[RecordType],"StartMatch",Dyno_Data[Match],Dyno_Data[[#This Row],[Match]]),0)*86400),0)</f>
        <v>0</v>
      </c>
    </row>
    <row r="3454" spans="1:35" x14ac:dyDescent="0.3">
      <c r="A3454">
        <v>3453</v>
      </c>
      <c r="B3454" t="s">
        <v>1300</v>
      </c>
      <c r="C3454">
        <v>63</v>
      </c>
      <c r="D3454" s="105">
        <v>45374.408196909724</v>
      </c>
      <c r="E3454" t="s">
        <v>312</v>
      </c>
      <c r="F3454" t="s">
        <v>1402</v>
      </c>
      <c r="G3454">
        <v>0</v>
      </c>
      <c r="H3454" t="s">
        <v>315</v>
      </c>
      <c r="I3454">
        <v>0</v>
      </c>
      <c r="J3454">
        <v>0</v>
      </c>
      <c r="K3454">
        <v>0</v>
      </c>
      <c r="L3454" t="s">
        <v>241</v>
      </c>
      <c r="M3454" t="s">
        <v>1398</v>
      </c>
      <c r="N3454">
        <v>0</v>
      </c>
      <c r="O3454" t="s">
        <v>1395</v>
      </c>
      <c r="P3454" t="s">
        <v>310</v>
      </c>
      <c r="Q3454" t="s">
        <v>310</v>
      </c>
      <c r="R3454" t="s">
        <v>310</v>
      </c>
      <c r="S3454">
        <v>9</v>
      </c>
      <c r="T3454" t="s">
        <v>310</v>
      </c>
      <c r="U3454">
        <v>9</v>
      </c>
      <c r="V3454">
        <v>9</v>
      </c>
      <c r="W3454">
        <v>0</v>
      </c>
      <c r="X3454">
        <v>0</v>
      </c>
      <c r="Y3454">
        <v>0</v>
      </c>
      <c r="Z3454">
        <v>0</v>
      </c>
      <c r="AA3454">
        <v>9</v>
      </c>
      <c r="AB3454">
        <v>9</v>
      </c>
      <c r="AC3454" t="s">
        <v>310</v>
      </c>
      <c r="AD3454">
        <v>9</v>
      </c>
      <c r="AE3454" t="s">
        <v>1387</v>
      </c>
      <c r="AF3454">
        <v>40000000</v>
      </c>
      <c r="AG3454" t="s">
        <v>310</v>
      </c>
      <c r="AH3454">
        <f>SUM((MID(Dyno_Data[[#This Row],[Team]],4,5))+(Dyno_Data[[#This Row],[Match]]/100))</f>
        <v>3044.63</v>
      </c>
      <c r="AI3454" s="76">
        <f>ROUND(SUM(IF(Dyno_Data[[#This Row],[AcqCenter]]&gt;0,Dyno_Data[[#This Row],[Time]]-SUMIFS(Dyno_Data[Time],Dyno_Data[Team],Dyno_Data[[#This Row],[Team]],Dyno_Data[RecordType],"StartMatch",Dyno_Data[Match],Dyno_Data[[#This Row],[Match]]),0)*86400),0)</f>
        <v>0</v>
      </c>
    </row>
    <row r="3455" spans="1:35" x14ac:dyDescent="0.3">
      <c r="A3455">
        <v>3454</v>
      </c>
      <c r="B3455" t="s">
        <v>1298</v>
      </c>
      <c r="C3455">
        <v>63</v>
      </c>
      <c r="D3455" s="105">
        <v>45374.408221215279</v>
      </c>
      <c r="E3455" t="s">
        <v>312</v>
      </c>
      <c r="F3455" t="s">
        <v>1402</v>
      </c>
      <c r="G3455">
        <v>0</v>
      </c>
      <c r="H3455" t="s">
        <v>1397</v>
      </c>
      <c r="I3455">
        <v>0</v>
      </c>
      <c r="J3455">
        <v>0</v>
      </c>
      <c r="K3455">
        <v>0</v>
      </c>
      <c r="L3455" t="s">
        <v>241</v>
      </c>
      <c r="M3455" t="s">
        <v>1398</v>
      </c>
      <c r="N3455">
        <v>0</v>
      </c>
      <c r="O3455" t="s">
        <v>1391</v>
      </c>
      <c r="P3455" t="s">
        <v>310</v>
      </c>
      <c r="Q3455" t="s">
        <v>310</v>
      </c>
      <c r="R3455" t="s">
        <v>310</v>
      </c>
      <c r="S3455">
        <v>9</v>
      </c>
      <c r="T3455" t="s">
        <v>310</v>
      </c>
      <c r="U3455">
        <v>9</v>
      </c>
      <c r="V3455">
        <v>9</v>
      </c>
      <c r="W3455">
        <v>0</v>
      </c>
      <c r="X3455">
        <v>0</v>
      </c>
      <c r="Y3455">
        <v>0</v>
      </c>
      <c r="Z3455">
        <v>0</v>
      </c>
      <c r="AA3455">
        <v>9</v>
      </c>
      <c r="AB3455">
        <v>9</v>
      </c>
      <c r="AC3455" t="s">
        <v>310</v>
      </c>
      <c r="AD3455">
        <v>9</v>
      </c>
      <c r="AE3455" t="s">
        <v>1396</v>
      </c>
      <c r="AF3455">
        <v>0</v>
      </c>
      <c r="AG3455" t="s">
        <v>310</v>
      </c>
      <c r="AH3455">
        <f>SUM((MID(Dyno_Data[[#This Row],[Team]],4,5))+(Dyno_Data[[#This Row],[Match]]/100))</f>
        <v>9624.6299999999992</v>
      </c>
      <c r="AI3455" s="76">
        <f>ROUND(SUM(IF(Dyno_Data[[#This Row],[AcqCenter]]&gt;0,Dyno_Data[[#This Row],[Time]]-SUMIFS(Dyno_Data[Time],Dyno_Data[Team],Dyno_Data[[#This Row],[Team]],Dyno_Data[RecordType],"StartMatch",Dyno_Data[Match],Dyno_Data[[#This Row],[Match]]),0)*86400),0)</f>
        <v>0</v>
      </c>
    </row>
    <row r="3456" spans="1:35" x14ac:dyDescent="0.3">
      <c r="A3456">
        <v>3455</v>
      </c>
      <c r="B3456" t="s">
        <v>1302</v>
      </c>
      <c r="C3456">
        <v>63</v>
      </c>
      <c r="D3456" s="105">
        <v>45374.408225497682</v>
      </c>
      <c r="E3456" t="s">
        <v>312</v>
      </c>
      <c r="F3456" t="s">
        <v>1402</v>
      </c>
      <c r="G3456">
        <v>0</v>
      </c>
      <c r="H3456" t="s">
        <v>1397</v>
      </c>
      <c r="I3456">
        <v>0</v>
      </c>
      <c r="J3456">
        <v>0</v>
      </c>
      <c r="K3456">
        <v>0</v>
      </c>
      <c r="L3456" t="s">
        <v>240</v>
      </c>
      <c r="M3456" t="s">
        <v>1398</v>
      </c>
      <c r="N3456">
        <v>0</v>
      </c>
      <c r="O3456" t="s">
        <v>1389</v>
      </c>
      <c r="P3456" t="s">
        <v>310</v>
      </c>
      <c r="Q3456" t="s">
        <v>310</v>
      </c>
      <c r="R3456" t="s">
        <v>310</v>
      </c>
      <c r="S3456">
        <v>9</v>
      </c>
      <c r="T3456" t="s">
        <v>310</v>
      </c>
      <c r="U3456">
        <v>9</v>
      </c>
      <c r="V3456">
        <v>9</v>
      </c>
      <c r="W3456">
        <v>0</v>
      </c>
      <c r="X3456">
        <v>0</v>
      </c>
      <c r="Y3456">
        <v>0</v>
      </c>
      <c r="Z3456">
        <v>0</v>
      </c>
      <c r="AA3456">
        <v>9</v>
      </c>
      <c r="AB3456">
        <v>9</v>
      </c>
      <c r="AC3456" t="s">
        <v>310</v>
      </c>
      <c r="AD3456">
        <v>9</v>
      </c>
      <c r="AE3456" t="s">
        <v>1394</v>
      </c>
      <c r="AF3456">
        <v>0</v>
      </c>
      <c r="AG3456" t="s">
        <v>310</v>
      </c>
      <c r="AH3456">
        <f>SUM((MID(Dyno_Data[[#This Row],[Team]],4,5))+(Dyno_Data[[#This Row],[Match]]/100))</f>
        <v>2095.63</v>
      </c>
      <c r="AI3456" s="76">
        <f>ROUND(SUM(IF(Dyno_Data[[#This Row],[AcqCenter]]&gt;0,Dyno_Data[[#This Row],[Time]]-SUMIFS(Dyno_Data[Time],Dyno_Data[Team],Dyno_Data[[#This Row],[Team]],Dyno_Data[RecordType],"StartMatch",Dyno_Data[Match],Dyno_Data[[#This Row],[Match]]),0)*86400),0)</f>
        <v>0</v>
      </c>
    </row>
    <row r="3457" spans="1:35" x14ac:dyDescent="0.3">
      <c r="A3457">
        <v>3456</v>
      </c>
      <c r="B3457" t="s">
        <v>1300</v>
      </c>
      <c r="C3457">
        <v>63</v>
      </c>
      <c r="D3457" s="105">
        <v>45374.408286724538</v>
      </c>
      <c r="E3457" t="s">
        <v>312</v>
      </c>
      <c r="F3457" t="s">
        <v>1402</v>
      </c>
      <c r="G3457">
        <v>0</v>
      </c>
      <c r="H3457" t="s">
        <v>315</v>
      </c>
      <c r="I3457">
        <v>0</v>
      </c>
      <c r="J3457">
        <v>0</v>
      </c>
      <c r="K3457">
        <v>0</v>
      </c>
      <c r="L3457" t="s">
        <v>241</v>
      </c>
      <c r="M3457" t="s">
        <v>1398</v>
      </c>
      <c r="N3457">
        <v>1</v>
      </c>
      <c r="O3457" t="s">
        <v>1395</v>
      </c>
      <c r="P3457" t="s">
        <v>310</v>
      </c>
      <c r="Q3457" t="s">
        <v>310</v>
      </c>
      <c r="R3457" t="s">
        <v>310</v>
      </c>
      <c r="S3457">
        <v>9</v>
      </c>
      <c r="T3457" t="s">
        <v>310</v>
      </c>
      <c r="U3457">
        <v>9</v>
      </c>
      <c r="V3457">
        <v>9</v>
      </c>
      <c r="W3457">
        <v>0</v>
      </c>
      <c r="X3457">
        <v>0</v>
      </c>
      <c r="Y3457">
        <v>0</v>
      </c>
      <c r="Z3457">
        <v>0</v>
      </c>
      <c r="AA3457">
        <v>9</v>
      </c>
      <c r="AB3457">
        <v>9</v>
      </c>
      <c r="AC3457" t="s">
        <v>310</v>
      </c>
      <c r="AD3457">
        <v>9</v>
      </c>
      <c r="AE3457" t="s">
        <v>1387</v>
      </c>
      <c r="AF3457">
        <v>50000000</v>
      </c>
      <c r="AG3457" t="s">
        <v>310</v>
      </c>
      <c r="AH3457">
        <f>SUM((MID(Dyno_Data[[#This Row],[Team]],4,5))+(Dyno_Data[[#This Row],[Match]]/100))</f>
        <v>3044.63</v>
      </c>
      <c r="AI3457" s="76">
        <f>ROUND(SUM(IF(Dyno_Data[[#This Row],[AcqCenter]]&gt;0,Dyno_Data[[#This Row],[Time]]-SUMIFS(Dyno_Data[Time],Dyno_Data[Team],Dyno_Data[[#This Row],[Team]],Dyno_Data[RecordType],"StartMatch",Dyno_Data[Match],Dyno_Data[[#This Row],[Match]]),0)*86400),0)</f>
        <v>0</v>
      </c>
    </row>
    <row r="3458" spans="1:35" x14ac:dyDescent="0.3">
      <c r="A3458">
        <v>3457</v>
      </c>
      <c r="B3458" t="s">
        <v>1300</v>
      </c>
      <c r="C3458">
        <v>63</v>
      </c>
      <c r="D3458" s="105">
        <v>45374.408391747682</v>
      </c>
      <c r="E3458" t="s">
        <v>312</v>
      </c>
      <c r="F3458" t="s">
        <v>1402</v>
      </c>
      <c r="G3458">
        <v>0</v>
      </c>
      <c r="H3458" t="s">
        <v>315</v>
      </c>
      <c r="I3458">
        <v>0</v>
      </c>
      <c r="J3458">
        <v>0</v>
      </c>
      <c r="K3458">
        <v>0</v>
      </c>
      <c r="L3458" t="s">
        <v>241</v>
      </c>
      <c r="M3458" t="s">
        <v>1398</v>
      </c>
      <c r="N3458">
        <v>0</v>
      </c>
      <c r="O3458" t="s">
        <v>1395</v>
      </c>
      <c r="P3458" t="s">
        <v>310</v>
      </c>
      <c r="Q3458" t="s">
        <v>310</v>
      </c>
      <c r="R3458" t="s">
        <v>310</v>
      </c>
      <c r="S3458">
        <v>9</v>
      </c>
      <c r="T3458" t="s">
        <v>310</v>
      </c>
      <c r="U3458">
        <v>9</v>
      </c>
      <c r="V3458">
        <v>9</v>
      </c>
      <c r="W3458">
        <v>0</v>
      </c>
      <c r="X3458">
        <v>0</v>
      </c>
      <c r="Y3458">
        <v>0</v>
      </c>
      <c r="Z3458">
        <v>0</v>
      </c>
      <c r="AA3458">
        <v>9</v>
      </c>
      <c r="AB3458">
        <v>9</v>
      </c>
      <c r="AC3458" t="s">
        <v>310</v>
      </c>
      <c r="AD3458">
        <v>9</v>
      </c>
      <c r="AE3458" t="s">
        <v>1387</v>
      </c>
      <c r="AF3458">
        <v>60000000</v>
      </c>
      <c r="AG3458" t="s">
        <v>310</v>
      </c>
      <c r="AH3458">
        <f>SUM((MID(Dyno_Data[[#This Row],[Team]],4,5))+(Dyno_Data[[#This Row],[Match]]/100))</f>
        <v>3044.63</v>
      </c>
      <c r="AI3458" s="76">
        <f>ROUND(SUM(IF(Dyno_Data[[#This Row],[AcqCenter]]&gt;0,Dyno_Data[[#This Row],[Time]]-SUMIFS(Dyno_Data[Time],Dyno_Data[Team],Dyno_Data[[#This Row],[Team]],Dyno_Data[RecordType],"StartMatch",Dyno_Data[Match],Dyno_Data[[#This Row],[Match]]),0)*86400),0)</f>
        <v>0</v>
      </c>
    </row>
    <row r="3459" spans="1:35" x14ac:dyDescent="0.3">
      <c r="A3459">
        <v>3458</v>
      </c>
      <c r="B3459" t="s">
        <v>1309</v>
      </c>
      <c r="C3459">
        <v>63</v>
      </c>
      <c r="D3459" s="105">
        <v>45374.408406446761</v>
      </c>
      <c r="E3459" t="s">
        <v>312</v>
      </c>
      <c r="F3459" t="s">
        <v>1402</v>
      </c>
      <c r="G3459">
        <v>0</v>
      </c>
      <c r="H3459" t="s">
        <v>315</v>
      </c>
      <c r="I3459">
        <v>0</v>
      </c>
      <c r="J3459">
        <v>0</v>
      </c>
      <c r="K3459">
        <v>0</v>
      </c>
      <c r="L3459" t="s">
        <v>241</v>
      </c>
      <c r="M3459" t="s">
        <v>1398</v>
      </c>
      <c r="N3459">
        <v>1</v>
      </c>
      <c r="O3459" t="s">
        <v>311</v>
      </c>
      <c r="P3459" t="s">
        <v>310</v>
      </c>
      <c r="Q3459" t="s">
        <v>310</v>
      </c>
      <c r="R3459" t="s">
        <v>310</v>
      </c>
      <c r="S3459">
        <v>9</v>
      </c>
      <c r="T3459" t="s">
        <v>310</v>
      </c>
      <c r="U3459">
        <v>9</v>
      </c>
      <c r="V3459">
        <v>9</v>
      </c>
      <c r="W3459">
        <v>0</v>
      </c>
      <c r="X3459">
        <v>0</v>
      </c>
      <c r="Y3459">
        <v>0</v>
      </c>
      <c r="Z3459">
        <v>0</v>
      </c>
      <c r="AA3459">
        <v>9</v>
      </c>
      <c r="AB3459">
        <v>9</v>
      </c>
      <c r="AC3459" t="s">
        <v>310</v>
      </c>
      <c r="AD3459">
        <v>9</v>
      </c>
      <c r="AE3459" t="s">
        <v>1388</v>
      </c>
      <c r="AF3459">
        <v>30001000</v>
      </c>
      <c r="AG3459" t="s">
        <v>310</v>
      </c>
      <c r="AH3459">
        <f>SUM((MID(Dyno_Data[[#This Row],[Team]],4,5))+(Dyno_Data[[#This Row],[Match]]/100))</f>
        <v>3550.63</v>
      </c>
      <c r="AI3459" s="76">
        <f>ROUND(SUM(IF(Dyno_Data[[#This Row],[AcqCenter]]&gt;0,Dyno_Data[[#This Row],[Time]]-SUMIFS(Dyno_Data[Time],Dyno_Data[Team],Dyno_Data[[#This Row],[Team]],Dyno_Data[RecordType],"StartMatch",Dyno_Data[Match],Dyno_Data[[#This Row],[Match]]),0)*86400),0)</f>
        <v>0</v>
      </c>
    </row>
    <row r="3460" spans="1:35" x14ac:dyDescent="0.3">
      <c r="A3460">
        <v>3459</v>
      </c>
      <c r="B3460" t="s">
        <v>1300</v>
      </c>
      <c r="C3460">
        <v>63</v>
      </c>
      <c r="D3460" s="105">
        <v>45374.40848121528</v>
      </c>
      <c r="E3460" t="s">
        <v>312</v>
      </c>
      <c r="F3460" t="s">
        <v>1402</v>
      </c>
      <c r="G3460">
        <v>0</v>
      </c>
      <c r="H3460" t="s">
        <v>315</v>
      </c>
      <c r="I3460">
        <v>0</v>
      </c>
      <c r="J3460">
        <v>0</v>
      </c>
      <c r="K3460">
        <v>0</v>
      </c>
      <c r="L3460" t="s">
        <v>241</v>
      </c>
      <c r="M3460" t="s">
        <v>1398</v>
      </c>
      <c r="N3460">
        <v>1</v>
      </c>
      <c r="O3460" t="s">
        <v>1395</v>
      </c>
      <c r="P3460" t="s">
        <v>310</v>
      </c>
      <c r="Q3460" t="s">
        <v>310</v>
      </c>
      <c r="R3460" t="s">
        <v>310</v>
      </c>
      <c r="S3460">
        <v>9</v>
      </c>
      <c r="T3460" t="s">
        <v>310</v>
      </c>
      <c r="U3460">
        <v>9</v>
      </c>
      <c r="V3460">
        <v>9</v>
      </c>
      <c r="W3460">
        <v>0</v>
      </c>
      <c r="X3460">
        <v>0</v>
      </c>
      <c r="Y3460">
        <v>0</v>
      </c>
      <c r="Z3460">
        <v>0</v>
      </c>
      <c r="AA3460">
        <v>9</v>
      </c>
      <c r="AB3460">
        <v>9</v>
      </c>
      <c r="AC3460" t="s">
        <v>310</v>
      </c>
      <c r="AD3460">
        <v>9</v>
      </c>
      <c r="AE3460" t="s">
        <v>1387</v>
      </c>
      <c r="AF3460">
        <v>70000000</v>
      </c>
      <c r="AG3460" t="s">
        <v>310</v>
      </c>
      <c r="AH3460">
        <f>SUM((MID(Dyno_Data[[#This Row],[Team]],4,5))+(Dyno_Data[[#This Row],[Match]]/100))</f>
        <v>3044.63</v>
      </c>
      <c r="AI3460" s="76">
        <f>ROUND(SUM(IF(Dyno_Data[[#This Row],[AcqCenter]]&gt;0,Dyno_Data[[#This Row],[Time]]-SUMIFS(Dyno_Data[Time],Dyno_Data[Team],Dyno_Data[[#This Row],[Team]],Dyno_Data[RecordType],"StartMatch",Dyno_Data[Match],Dyno_Data[[#This Row],[Match]]),0)*86400),0)</f>
        <v>0</v>
      </c>
    </row>
    <row r="3461" spans="1:35" x14ac:dyDescent="0.3">
      <c r="A3461">
        <v>3460</v>
      </c>
      <c r="B3461" t="s">
        <v>1280</v>
      </c>
      <c r="C3461">
        <v>63</v>
      </c>
      <c r="D3461" s="105">
        <v>45374.408485497683</v>
      </c>
      <c r="E3461" t="s">
        <v>312</v>
      </c>
      <c r="F3461" t="s">
        <v>1402</v>
      </c>
      <c r="G3461">
        <v>0</v>
      </c>
      <c r="H3461" t="s">
        <v>315</v>
      </c>
      <c r="I3461">
        <v>0</v>
      </c>
      <c r="J3461">
        <v>0</v>
      </c>
      <c r="K3461">
        <v>0</v>
      </c>
      <c r="L3461" t="s">
        <v>241</v>
      </c>
      <c r="M3461" t="s">
        <v>1398</v>
      </c>
      <c r="N3461">
        <v>1</v>
      </c>
      <c r="O3461" t="s">
        <v>1393</v>
      </c>
      <c r="P3461" t="s">
        <v>310</v>
      </c>
      <c r="Q3461" t="s">
        <v>310</v>
      </c>
      <c r="R3461" t="s">
        <v>310</v>
      </c>
      <c r="S3461">
        <v>9</v>
      </c>
      <c r="T3461" t="s">
        <v>310</v>
      </c>
      <c r="U3461">
        <v>9</v>
      </c>
      <c r="V3461">
        <v>9</v>
      </c>
      <c r="W3461">
        <v>0</v>
      </c>
      <c r="X3461">
        <v>0</v>
      </c>
      <c r="Y3461">
        <v>0</v>
      </c>
      <c r="Z3461">
        <v>0</v>
      </c>
      <c r="AA3461">
        <v>9</v>
      </c>
      <c r="AB3461">
        <v>9</v>
      </c>
      <c r="AC3461" t="s">
        <v>310</v>
      </c>
      <c r="AD3461">
        <v>9</v>
      </c>
      <c r="AE3461" t="s">
        <v>1390</v>
      </c>
      <c r="AF3461">
        <v>20000000</v>
      </c>
      <c r="AG3461" t="s">
        <v>310</v>
      </c>
      <c r="AH3461">
        <f>SUM((MID(Dyno_Data[[#This Row],[Team]],4,5))+(Dyno_Data[[#This Row],[Match]]/100))</f>
        <v>1559.63</v>
      </c>
      <c r="AI3461" s="76">
        <f>ROUND(SUM(IF(Dyno_Data[[#This Row],[AcqCenter]]&gt;0,Dyno_Data[[#This Row],[Time]]-SUMIFS(Dyno_Data[Time],Dyno_Data[Team],Dyno_Data[[#This Row],[Team]],Dyno_Data[RecordType],"StartMatch",Dyno_Data[Match],Dyno_Data[[#This Row],[Match]]),0)*86400),0)</f>
        <v>0</v>
      </c>
    </row>
    <row r="3462" spans="1:35" x14ac:dyDescent="0.3">
      <c r="A3462">
        <v>3461</v>
      </c>
      <c r="B3462" t="s">
        <v>1298</v>
      </c>
      <c r="C3462">
        <v>63</v>
      </c>
      <c r="D3462" s="105">
        <v>45374.40852109954</v>
      </c>
      <c r="E3462" t="s">
        <v>312</v>
      </c>
      <c r="F3462" t="s">
        <v>1402</v>
      </c>
      <c r="G3462">
        <v>0</v>
      </c>
      <c r="H3462" t="s">
        <v>315</v>
      </c>
      <c r="I3462">
        <v>0</v>
      </c>
      <c r="J3462">
        <v>0</v>
      </c>
      <c r="K3462">
        <v>0</v>
      </c>
      <c r="L3462" t="s">
        <v>240</v>
      </c>
      <c r="M3462" t="s">
        <v>1398</v>
      </c>
      <c r="N3462">
        <v>0</v>
      </c>
      <c r="O3462" t="s">
        <v>1391</v>
      </c>
      <c r="P3462" t="s">
        <v>310</v>
      </c>
      <c r="Q3462" t="s">
        <v>310</v>
      </c>
      <c r="R3462" t="s">
        <v>310</v>
      </c>
      <c r="S3462">
        <v>9</v>
      </c>
      <c r="T3462" t="s">
        <v>310</v>
      </c>
      <c r="U3462">
        <v>9</v>
      </c>
      <c r="V3462">
        <v>9</v>
      </c>
      <c r="W3462">
        <v>0</v>
      </c>
      <c r="X3462">
        <v>0</v>
      </c>
      <c r="Y3462">
        <v>0</v>
      </c>
      <c r="Z3462">
        <v>0</v>
      </c>
      <c r="AA3462">
        <v>9</v>
      </c>
      <c r="AB3462">
        <v>9</v>
      </c>
      <c r="AC3462" t="s">
        <v>310</v>
      </c>
      <c r="AD3462">
        <v>9</v>
      </c>
      <c r="AE3462" t="s">
        <v>1396</v>
      </c>
      <c r="AF3462">
        <v>10000000</v>
      </c>
      <c r="AG3462" t="s">
        <v>310</v>
      </c>
      <c r="AH3462">
        <f>SUM((MID(Dyno_Data[[#This Row],[Team]],4,5))+(Dyno_Data[[#This Row],[Match]]/100))</f>
        <v>9624.6299999999992</v>
      </c>
      <c r="AI3462" s="76">
        <f>ROUND(SUM(IF(Dyno_Data[[#This Row],[AcqCenter]]&gt;0,Dyno_Data[[#This Row],[Time]]-SUMIFS(Dyno_Data[Time],Dyno_Data[Team],Dyno_Data[[#This Row],[Team]],Dyno_Data[RecordType],"StartMatch",Dyno_Data[Match],Dyno_Data[[#This Row],[Match]]),0)*86400),0)</f>
        <v>0</v>
      </c>
    </row>
    <row r="3463" spans="1:35" x14ac:dyDescent="0.3">
      <c r="A3463">
        <v>3462</v>
      </c>
      <c r="B3463" t="s">
        <v>1309</v>
      </c>
      <c r="C3463">
        <v>63</v>
      </c>
      <c r="D3463" s="105">
        <v>45374.408551504632</v>
      </c>
      <c r="E3463" t="s">
        <v>312</v>
      </c>
      <c r="F3463" t="s">
        <v>1402</v>
      </c>
      <c r="G3463">
        <v>0</v>
      </c>
      <c r="H3463" t="s">
        <v>315</v>
      </c>
      <c r="I3463">
        <v>0</v>
      </c>
      <c r="J3463">
        <v>0</v>
      </c>
      <c r="K3463">
        <v>0</v>
      </c>
      <c r="L3463" t="s">
        <v>241</v>
      </c>
      <c r="M3463" t="s">
        <v>101</v>
      </c>
      <c r="N3463">
        <v>0</v>
      </c>
      <c r="O3463" t="s">
        <v>311</v>
      </c>
      <c r="P3463" t="s">
        <v>310</v>
      </c>
      <c r="Q3463" t="s">
        <v>310</v>
      </c>
      <c r="R3463" t="s">
        <v>310</v>
      </c>
      <c r="S3463">
        <v>9</v>
      </c>
      <c r="T3463" t="s">
        <v>310</v>
      </c>
      <c r="U3463">
        <v>9</v>
      </c>
      <c r="V3463">
        <v>9</v>
      </c>
      <c r="W3463">
        <v>0</v>
      </c>
      <c r="X3463">
        <v>0</v>
      </c>
      <c r="Y3463">
        <v>0</v>
      </c>
      <c r="Z3463">
        <v>0</v>
      </c>
      <c r="AA3463">
        <v>9</v>
      </c>
      <c r="AB3463">
        <v>9</v>
      </c>
      <c r="AC3463" t="s">
        <v>310</v>
      </c>
      <c r="AD3463">
        <v>9</v>
      </c>
      <c r="AE3463" t="s">
        <v>1388</v>
      </c>
      <c r="AF3463">
        <v>40001000</v>
      </c>
      <c r="AG3463" t="s">
        <v>310</v>
      </c>
      <c r="AH3463">
        <f>SUM((MID(Dyno_Data[[#This Row],[Team]],4,5))+(Dyno_Data[[#This Row],[Match]]/100))</f>
        <v>3550.63</v>
      </c>
      <c r="AI3463" s="76">
        <f>ROUND(SUM(IF(Dyno_Data[[#This Row],[AcqCenter]]&gt;0,Dyno_Data[[#This Row],[Time]]-SUMIFS(Dyno_Data[Time],Dyno_Data[Team],Dyno_Data[[#This Row],[Team]],Dyno_Data[RecordType],"StartMatch",Dyno_Data[Match],Dyno_Data[[#This Row],[Match]]),0)*86400),0)</f>
        <v>0</v>
      </c>
    </row>
    <row r="3464" spans="1:35" x14ac:dyDescent="0.3">
      <c r="A3464">
        <v>3463</v>
      </c>
      <c r="B3464" t="s">
        <v>1284</v>
      </c>
      <c r="C3464">
        <v>63</v>
      </c>
      <c r="D3464" s="105">
        <v>45374.408563159719</v>
      </c>
      <c r="E3464" t="s">
        <v>312</v>
      </c>
      <c r="F3464" t="s">
        <v>1402</v>
      </c>
      <c r="G3464">
        <v>0</v>
      </c>
      <c r="H3464" t="s">
        <v>315</v>
      </c>
      <c r="I3464">
        <v>0</v>
      </c>
      <c r="J3464">
        <v>0</v>
      </c>
      <c r="K3464">
        <v>0</v>
      </c>
      <c r="L3464" t="s">
        <v>240</v>
      </c>
      <c r="M3464" t="s">
        <v>1398</v>
      </c>
      <c r="N3464">
        <v>1</v>
      </c>
      <c r="O3464" t="s">
        <v>319</v>
      </c>
      <c r="P3464" t="s">
        <v>310</v>
      </c>
      <c r="Q3464" t="s">
        <v>310</v>
      </c>
      <c r="R3464" t="s">
        <v>310</v>
      </c>
      <c r="S3464">
        <v>9</v>
      </c>
      <c r="T3464" t="s">
        <v>310</v>
      </c>
      <c r="U3464">
        <v>9</v>
      </c>
      <c r="V3464">
        <v>9</v>
      </c>
      <c r="W3464">
        <v>0</v>
      </c>
      <c r="X3464">
        <v>0</v>
      </c>
      <c r="Y3464">
        <v>0</v>
      </c>
      <c r="Z3464">
        <v>0</v>
      </c>
      <c r="AA3464">
        <v>9</v>
      </c>
      <c r="AB3464">
        <v>9</v>
      </c>
      <c r="AC3464" t="s">
        <v>310</v>
      </c>
      <c r="AD3464">
        <v>9</v>
      </c>
      <c r="AE3464" t="s">
        <v>1392</v>
      </c>
      <c r="AF3464">
        <v>30000000</v>
      </c>
      <c r="AG3464" t="s">
        <v>310</v>
      </c>
      <c r="AH3464">
        <f>SUM((MID(Dyno_Data[[#This Row],[Team]],4,5))+(Dyno_Data[[#This Row],[Match]]/100))</f>
        <v>5590.63</v>
      </c>
      <c r="AI3464" s="76">
        <f>ROUND(SUM(IF(Dyno_Data[[#This Row],[AcqCenter]]&gt;0,Dyno_Data[[#This Row],[Time]]-SUMIFS(Dyno_Data[Time],Dyno_Data[Team],Dyno_Data[[#This Row],[Team]],Dyno_Data[RecordType],"StartMatch",Dyno_Data[Match],Dyno_Data[[#This Row],[Match]]),0)*86400),0)</f>
        <v>0</v>
      </c>
    </row>
    <row r="3465" spans="1:35" x14ac:dyDescent="0.3">
      <c r="A3465">
        <v>3464</v>
      </c>
      <c r="B3465" t="s">
        <v>1302</v>
      </c>
      <c r="C3465">
        <v>63</v>
      </c>
      <c r="D3465" s="105">
        <v>45374.408608217593</v>
      </c>
      <c r="E3465" t="s">
        <v>312</v>
      </c>
      <c r="F3465" t="s">
        <v>1402</v>
      </c>
      <c r="G3465">
        <v>0</v>
      </c>
      <c r="H3465" t="s">
        <v>315</v>
      </c>
      <c r="I3465">
        <v>0</v>
      </c>
      <c r="J3465">
        <v>0</v>
      </c>
      <c r="K3465">
        <v>0</v>
      </c>
      <c r="L3465" t="s">
        <v>240</v>
      </c>
      <c r="M3465" t="s">
        <v>1398</v>
      </c>
      <c r="N3465">
        <v>0</v>
      </c>
      <c r="O3465" t="s">
        <v>1389</v>
      </c>
      <c r="P3465" t="s">
        <v>310</v>
      </c>
      <c r="Q3465" t="s">
        <v>310</v>
      </c>
      <c r="R3465" t="s">
        <v>310</v>
      </c>
      <c r="S3465">
        <v>9</v>
      </c>
      <c r="T3465" t="s">
        <v>310</v>
      </c>
      <c r="U3465">
        <v>9</v>
      </c>
      <c r="V3465">
        <v>9</v>
      </c>
      <c r="W3465">
        <v>0</v>
      </c>
      <c r="X3465">
        <v>0</v>
      </c>
      <c r="Y3465">
        <v>0</v>
      </c>
      <c r="Z3465">
        <v>0</v>
      </c>
      <c r="AA3465">
        <v>9</v>
      </c>
      <c r="AB3465">
        <v>9</v>
      </c>
      <c r="AC3465" t="s">
        <v>310</v>
      </c>
      <c r="AD3465">
        <v>9</v>
      </c>
      <c r="AE3465" t="s">
        <v>1394</v>
      </c>
      <c r="AF3465">
        <v>10000000</v>
      </c>
      <c r="AG3465" t="s">
        <v>310</v>
      </c>
      <c r="AH3465">
        <f>SUM((MID(Dyno_Data[[#This Row],[Team]],4,5))+(Dyno_Data[[#This Row],[Match]]/100))</f>
        <v>2095.63</v>
      </c>
      <c r="AI3465" s="76">
        <f>ROUND(SUM(IF(Dyno_Data[[#This Row],[AcqCenter]]&gt;0,Dyno_Data[[#This Row],[Time]]-SUMIFS(Dyno_Data[Time],Dyno_Data[Team],Dyno_Data[[#This Row],[Team]],Dyno_Data[RecordType],"StartMatch",Dyno_Data[Match],Dyno_Data[[#This Row],[Match]]),0)*86400),0)</f>
        <v>0</v>
      </c>
    </row>
    <row r="3466" spans="1:35" x14ac:dyDescent="0.3">
      <c r="A3466">
        <v>3465</v>
      </c>
      <c r="B3466" t="s">
        <v>1300</v>
      </c>
      <c r="C3466">
        <v>63</v>
      </c>
      <c r="D3466" s="105">
        <v>45374.408608217593</v>
      </c>
      <c r="E3466" t="s">
        <v>312</v>
      </c>
      <c r="F3466" t="s">
        <v>1402</v>
      </c>
      <c r="G3466">
        <v>0</v>
      </c>
      <c r="H3466" t="s">
        <v>315</v>
      </c>
      <c r="I3466">
        <v>0</v>
      </c>
      <c r="J3466">
        <v>0</v>
      </c>
      <c r="K3466">
        <v>0</v>
      </c>
      <c r="L3466" t="s">
        <v>241</v>
      </c>
      <c r="M3466" t="s">
        <v>1398</v>
      </c>
      <c r="N3466">
        <v>1</v>
      </c>
      <c r="O3466" t="s">
        <v>1395</v>
      </c>
      <c r="P3466" t="s">
        <v>310</v>
      </c>
      <c r="Q3466" t="s">
        <v>310</v>
      </c>
      <c r="R3466" t="s">
        <v>310</v>
      </c>
      <c r="S3466">
        <v>9</v>
      </c>
      <c r="T3466" t="s">
        <v>310</v>
      </c>
      <c r="U3466">
        <v>9</v>
      </c>
      <c r="V3466">
        <v>9</v>
      </c>
      <c r="W3466">
        <v>0</v>
      </c>
      <c r="X3466">
        <v>0</v>
      </c>
      <c r="Y3466">
        <v>0</v>
      </c>
      <c r="Z3466">
        <v>0</v>
      </c>
      <c r="AA3466">
        <v>9</v>
      </c>
      <c r="AB3466">
        <v>9</v>
      </c>
      <c r="AC3466" t="s">
        <v>310</v>
      </c>
      <c r="AD3466">
        <v>9</v>
      </c>
      <c r="AE3466" t="s">
        <v>1387</v>
      </c>
      <c r="AF3466">
        <v>80000000</v>
      </c>
      <c r="AG3466" t="s">
        <v>310</v>
      </c>
      <c r="AH3466">
        <f>SUM((MID(Dyno_Data[[#This Row],[Team]],4,5))+(Dyno_Data[[#This Row],[Match]]/100))</f>
        <v>3044.63</v>
      </c>
      <c r="AI3466" s="76">
        <f>ROUND(SUM(IF(Dyno_Data[[#This Row],[AcqCenter]]&gt;0,Dyno_Data[[#This Row],[Time]]-SUMIFS(Dyno_Data[Time],Dyno_Data[Team],Dyno_Data[[#This Row],[Team]],Dyno_Data[RecordType],"StartMatch",Dyno_Data[Match],Dyno_Data[[#This Row],[Match]]),0)*86400),0)</f>
        <v>0</v>
      </c>
    </row>
    <row r="3467" spans="1:35" x14ac:dyDescent="0.3">
      <c r="A3467">
        <v>3466</v>
      </c>
      <c r="B3467" t="s">
        <v>1280</v>
      </c>
      <c r="C3467">
        <v>63</v>
      </c>
      <c r="D3467" s="105">
        <v>45374.408626469907</v>
      </c>
      <c r="E3467" t="s">
        <v>312</v>
      </c>
      <c r="F3467" t="s">
        <v>1402</v>
      </c>
      <c r="G3467">
        <v>0</v>
      </c>
      <c r="H3467" t="s">
        <v>315</v>
      </c>
      <c r="I3467">
        <v>0</v>
      </c>
      <c r="J3467">
        <v>0</v>
      </c>
      <c r="K3467">
        <v>0</v>
      </c>
      <c r="L3467" t="s">
        <v>241</v>
      </c>
      <c r="M3467" t="s">
        <v>1398</v>
      </c>
      <c r="N3467">
        <v>1</v>
      </c>
      <c r="O3467" t="s">
        <v>1393</v>
      </c>
      <c r="P3467" t="s">
        <v>310</v>
      </c>
      <c r="Q3467" t="s">
        <v>310</v>
      </c>
      <c r="R3467" t="s">
        <v>310</v>
      </c>
      <c r="S3467">
        <v>9</v>
      </c>
      <c r="T3467" t="s">
        <v>310</v>
      </c>
      <c r="U3467">
        <v>9</v>
      </c>
      <c r="V3467">
        <v>9</v>
      </c>
      <c r="W3467">
        <v>0</v>
      </c>
      <c r="X3467">
        <v>0</v>
      </c>
      <c r="Y3467">
        <v>0</v>
      </c>
      <c r="Z3467">
        <v>0</v>
      </c>
      <c r="AA3467">
        <v>9</v>
      </c>
      <c r="AB3467">
        <v>9</v>
      </c>
      <c r="AC3467" t="s">
        <v>310</v>
      </c>
      <c r="AD3467">
        <v>9</v>
      </c>
      <c r="AE3467" t="s">
        <v>1390</v>
      </c>
      <c r="AF3467">
        <v>30000000</v>
      </c>
      <c r="AG3467" t="s">
        <v>310</v>
      </c>
      <c r="AH3467">
        <f>SUM((MID(Dyno_Data[[#This Row],[Team]],4,5))+(Dyno_Data[[#This Row],[Match]]/100))</f>
        <v>1559.63</v>
      </c>
      <c r="AI3467" s="76">
        <f>ROUND(SUM(IF(Dyno_Data[[#This Row],[AcqCenter]]&gt;0,Dyno_Data[[#This Row],[Time]]-SUMIFS(Dyno_Data[Time],Dyno_Data[Team],Dyno_Data[[#This Row],[Team]],Dyno_Data[RecordType],"StartMatch",Dyno_Data[Match],Dyno_Data[[#This Row],[Match]]),0)*86400),0)</f>
        <v>0</v>
      </c>
    </row>
    <row r="3468" spans="1:35" x14ac:dyDescent="0.3">
      <c r="A3468">
        <v>3467</v>
      </c>
      <c r="B3468" t="s">
        <v>1298</v>
      </c>
      <c r="C3468">
        <v>63</v>
      </c>
      <c r="D3468" s="105">
        <v>45374.408702696761</v>
      </c>
      <c r="E3468" t="s">
        <v>312</v>
      </c>
      <c r="F3468" t="s">
        <v>1402</v>
      </c>
      <c r="G3468">
        <v>0</v>
      </c>
      <c r="H3468" t="s">
        <v>315</v>
      </c>
      <c r="I3468">
        <v>0</v>
      </c>
      <c r="J3468">
        <v>0</v>
      </c>
      <c r="K3468">
        <v>0</v>
      </c>
      <c r="L3468" t="s">
        <v>240</v>
      </c>
      <c r="M3468" t="s">
        <v>1398</v>
      </c>
      <c r="N3468">
        <v>0</v>
      </c>
      <c r="O3468" t="s">
        <v>1391</v>
      </c>
      <c r="P3468" t="s">
        <v>310</v>
      </c>
      <c r="Q3468" t="s">
        <v>310</v>
      </c>
      <c r="R3468" t="s">
        <v>310</v>
      </c>
      <c r="S3468">
        <v>9</v>
      </c>
      <c r="T3468" t="s">
        <v>310</v>
      </c>
      <c r="U3468">
        <v>9</v>
      </c>
      <c r="V3468">
        <v>9</v>
      </c>
      <c r="W3468">
        <v>0</v>
      </c>
      <c r="X3468">
        <v>0</v>
      </c>
      <c r="Y3468">
        <v>0</v>
      </c>
      <c r="Z3468">
        <v>0</v>
      </c>
      <c r="AA3468">
        <v>9</v>
      </c>
      <c r="AB3468">
        <v>9</v>
      </c>
      <c r="AC3468" t="s">
        <v>310</v>
      </c>
      <c r="AD3468">
        <v>9</v>
      </c>
      <c r="AE3468" t="s">
        <v>1396</v>
      </c>
      <c r="AF3468">
        <v>20000000</v>
      </c>
      <c r="AG3468" t="s">
        <v>310</v>
      </c>
      <c r="AH3468">
        <f>SUM((MID(Dyno_Data[[#This Row],[Team]],4,5))+(Dyno_Data[[#This Row],[Match]]/100))</f>
        <v>9624.6299999999992</v>
      </c>
      <c r="AI3468" s="76">
        <f>ROUND(SUM(IF(Dyno_Data[[#This Row],[AcqCenter]]&gt;0,Dyno_Data[[#This Row],[Time]]-SUMIFS(Dyno_Data[Time],Dyno_Data[Team],Dyno_Data[[#This Row],[Team]],Dyno_Data[RecordType],"StartMatch",Dyno_Data[Match],Dyno_Data[[#This Row],[Match]]),0)*86400),0)</f>
        <v>0</v>
      </c>
    </row>
    <row r="3469" spans="1:35" x14ac:dyDescent="0.3">
      <c r="A3469">
        <v>3468</v>
      </c>
      <c r="B3469" t="s">
        <v>1300</v>
      </c>
      <c r="C3469">
        <v>63</v>
      </c>
      <c r="D3469" s="105">
        <v>45374.408717905091</v>
      </c>
      <c r="E3469" t="s">
        <v>312</v>
      </c>
      <c r="F3469" t="s">
        <v>1402</v>
      </c>
      <c r="G3469">
        <v>0</v>
      </c>
      <c r="H3469" t="s">
        <v>315</v>
      </c>
      <c r="I3469">
        <v>0</v>
      </c>
      <c r="J3469">
        <v>0</v>
      </c>
      <c r="K3469">
        <v>0</v>
      </c>
      <c r="L3469" t="s">
        <v>241</v>
      </c>
      <c r="M3469" t="s">
        <v>1398</v>
      </c>
      <c r="N3469">
        <v>0</v>
      </c>
      <c r="O3469" t="s">
        <v>1395</v>
      </c>
      <c r="P3469" t="s">
        <v>310</v>
      </c>
      <c r="Q3469" t="s">
        <v>310</v>
      </c>
      <c r="R3469" t="s">
        <v>310</v>
      </c>
      <c r="S3469">
        <v>9</v>
      </c>
      <c r="T3469" t="s">
        <v>310</v>
      </c>
      <c r="U3469">
        <v>9</v>
      </c>
      <c r="V3469">
        <v>9</v>
      </c>
      <c r="W3469">
        <v>0</v>
      </c>
      <c r="X3469">
        <v>0</v>
      </c>
      <c r="Y3469">
        <v>0</v>
      </c>
      <c r="Z3469">
        <v>0</v>
      </c>
      <c r="AA3469">
        <v>9</v>
      </c>
      <c r="AB3469">
        <v>9</v>
      </c>
      <c r="AC3469" t="s">
        <v>310</v>
      </c>
      <c r="AD3469">
        <v>9</v>
      </c>
      <c r="AE3469" t="s">
        <v>1387</v>
      </c>
      <c r="AF3469">
        <v>90000000</v>
      </c>
      <c r="AG3469" t="s">
        <v>310</v>
      </c>
      <c r="AH3469">
        <f>SUM((MID(Dyno_Data[[#This Row],[Team]],4,5))+(Dyno_Data[[#This Row],[Match]]/100))</f>
        <v>3044.63</v>
      </c>
      <c r="AI3469" s="76">
        <f>ROUND(SUM(IF(Dyno_Data[[#This Row],[AcqCenter]]&gt;0,Dyno_Data[[#This Row],[Time]]-SUMIFS(Dyno_Data[Time],Dyno_Data[Team],Dyno_Data[[#This Row],[Team]],Dyno_Data[RecordType],"StartMatch",Dyno_Data[Match],Dyno_Data[[#This Row],[Match]]),0)*86400),0)</f>
        <v>0</v>
      </c>
    </row>
    <row r="3470" spans="1:35" x14ac:dyDescent="0.3">
      <c r="A3470">
        <v>3469</v>
      </c>
      <c r="B3470" t="s">
        <v>1280</v>
      </c>
      <c r="C3470">
        <v>63</v>
      </c>
      <c r="D3470" s="105">
        <v>45374.408723067128</v>
      </c>
      <c r="E3470" t="s">
        <v>312</v>
      </c>
      <c r="F3470" t="s">
        <v>1402</v>
      </c>
      <c r="G3470">
        <v>0</v>
      </c>
      <c r="H3470" t="s">
        <v>315</v>
      </c>
      <c r="I3470">
        <v>0</v>
      </c>
      <c r="J3470">
        <v>0</v>
      </c>
      <c r="K3470">
        <v>0</v>
      </c>
      <c r="L3470" t="s">
        <v>241</v>
      </c>
      <c r="M3470" t="s">
        <v>1398</v>
      </c>
      <c r="N3470">
        <v>0</v>
      </c>
      <c r="O3470" t="s">
        <v>1393</v>
      </c>
      <c r="P3470" t="s">
        <v>310</v>
      </c>
      <c r="Q3470" t="s">
        <v>310</v>
      </c>
      <c r="R3470" t="s">
        <v>310</v>
      </c>
      <c r="S3470">
        <v>9</v>
      </c>
      <c r="T3470" t="s">
        <v>310</v>
      </c>
      <c r="U3470">
        <v>9</v>
      </c>
      <c r="V3470">
        <v>9</v>
      </c>
      <c r="W3470">
        <v>0</v>
      </c>
      <c r="X3470">
        <v>0</v>
      </c>
      <c r="Y3470">
        <v>0</v>
      </c>
      <c r="Z3470">
        <v>0</v>
      </c>
      <c r="AA3470">
        <v>9</v>
      </c>
      <c r="AB3470">
        <v>9</v>
      </c>
      <c r="AC3470" t="s">
        <v>310</v>
      </c>
      <c r="AD3470">
        <v>9</v>
      </c>
      <c r="AE3470" t="s">
        <v>1390</v>
      </c>
      <c r="AF3470">
        <v>40000000</v>
      </c>
      <c r="AG3470" t="s">
        <v>310</v>
      </c>
      <c r="AH3470">
        <f>SUM((MID(Dyno_Data[[#This Row],[Team]],4,5))+(Dyno_Data[[#This Row],[Match]]/100))</f>
        <v>1559.63</v>
      </c>
      <c r="AI3470" s="76">
        <f>ROUND(SUM(IF(Dyno_Data[[#This Row],[AcqCenter]]&gt;0,Dyno_Data[[#This Row],[Time]]-SUMIFS(Dyno_Data[Time],Dyno_Data[Team],Dyno_Data[[#This Row],[Team]],Dyno_Data[RecordType],"StartMatch",Dyno_Data[Match],Dyno_Data[[#This Row],[Match]]),0)*86400),0)</f>
        <v>0</v>
      </c>
    </row>
    <row r="3471" spans="1:35" x14ac:dyDescent="0.3">
      <c r="A3471">
        <v>3470</v>
      </c>
      <c r="B3471" t="s">
        <v>1309</v>
      </c>
      <c r="C3471">
        <v>63</v>
      </c>
      <c r="D3471" s="105">
        <v>45374.40872890046</v>
      </c>
      <c r="E3471" t="s">
        <v>312</v>
      </c>
      <c r="F3471" t="s">
        <v>1402</v>
      </c>
      <c r="G3471">
        <v>0</v>
      </c>
      <c r="H3471" t="s">
        <v>315</v>
      </c>
      <c r="I3471">
        <v>0</v>
      </c>
      <c r="J3471">
        <v>0</v>
      </c>
      <c r="K3471">
        <v>0</v>
      </c>
      <c r="L3471" t="s">
        <v>241</v>
      </c>
      <c r="M3471" t="s">
        <v>101</v>
      </c>
      <c r="N3471">
        <v>0</v>
      </c>
      <c r="O3471" t="s">
        <v>311</v>
      </c>
      <c r="P3471" t="s">
        <v>310</v>
      </c>
      <c r="Q3471" t="s">
        <v>310</v>
      </c>
      <c r="R3471" t="s">
        <v>310</v>
      </c>
      <c r="S3471">
        <v>9</v>
      </c>
      <c r="T3471" t="s">
        <v>310</v>
      </c>
      <c r="U3471">
        <v>9</v>
      </c>
      <c r="V3471">
        <v>9</v>
      </c>
      <c r="W3471">
        <v>0</v>
      </c>
      <c r="X3471">
        <v>0</v>
      </c>
      <c r="Y3471">
        <v>0</v>
      </c>
      <c r="Z3471">
        <v>0</v>
      </c>
      <c r="AA3471">
        <v>9</v>
      </c>
      <c r="AB3471">
        <v>9</v>
      </c>
      <c r="AC3471" t="s">
        <v>310</v>
      </c>
      <c r="AD3471">
        <v>9</v>
      </c>
      <c r="AE3471" t="s">
        <v>1388</v>
      </c>
      <c r="AF3471">
        <v>50001000</v>
      </c>
      <c r="AG3471" t="s">
        <v>310</v>
      </c>
      <c r="AH3471">
        <f>SUM((MID(Dyno_Data[[#This Row],[Team]],4,5))+(Dyno_Data[[#This Row],[Match]]/100))</f>
        <v>3550.63</v>
      </c>
      <c r="AI3471" s="76">
        <f>ROUND(SUM(IF(Dyno_Data[[#This Row],[AcqCenter]]&gt;0,Dyno_Data[[#This Row],[Time]]-SUMIFS(Dyno_Data[Time],Dyno_Data[Team],Dyno_Data[[#This Row],[Team]],Dyno_Data[RecordType],"StartMatch",Dyno_Data[Match],Dyno_Data[[#This Row],[Match]]),0)*86400),0)</f>
        <v>0</v>
      </c>
    </row>
    <row r="3472" spans="1:35" x14ac:dyDescent="0.3">
      <c r="A3472">
        <v>3471</v>
      </c>
      <c r="B3472" t="s">
        <v>1284</v>
      </c>
      <c r="C3472">
        <v>63</v>
      </c>
      <c r="D3472" s="105">
        <v>45374.408730405092</v>
      </c>
      <c r="E3472" t="s">
        <v>312</v>
      </c>
      <c r="F3472" t="s">
        <v>1402</v>
      </c>
      <c r="G3472">
        <v>0</v>
      </c>
      <c r="H3472" t="s">
        <v>315</v>
      </c>
      <c r="I3472">
        <v>0</v>
      </c>
      <c r="J3472">
        <v>0</v>
      </c>
      <c r="K3472">
        <v>0</v>
      </c>
      <c r="L3472" t="s">
        <v>240</v>
      </c>
      <c r="M3472" t="s">
        <v>1398</v>
      </c>
      <c r="N3472">
        <v>0</v>
      </c>
      <c r="O3472" t="s">
        <v>319</v>
      </c>
      <c r="P3472" t="s">
        <v>310</v>
      </c>
      <c r="Q3472" t="s">
        <v>310</v>
      </c>
      <c r="R3472" t="s">
        <v>310</v>
      </c>
      <c r="S3472">
        <v>9</v>
      </c>
      <c r="T3472" t="s">
        <v>310</v>
      </c>
      <c r="U3472">
        <v>9</v>
      </c>
      <c r="V3472">
        <v>9</v>
      </c>
      <c r="W3472">
        <v>0</v>
      </c>
      <c r="X3472">
        <v>0</v>
      </c>
      <c r="Y3472">
        <v>0</v>
      </c>
      <c r="Z3472">
        <v>0</v>
      </c>
      <c r="AA3472">
        <v>9</v>
      </c>
      <c r="AB3472">
        <v>9</v>
      </c>
      <c r="AC3472" t="s">
        <v>310</v>
      </c>
      <c r="AD3472">
        <v>9</v>
      </c>
      <c r="AE3472" t="s">
        <v>1392</v>
      </c>
      <c r="AF3472">
        <v>40000000</v>
      </c>
      <c r="AG3472" t="s">
        <v>310</v>
      </c>
      <c r="AH3472">
        <f>SUM((MID(Dyno_Data[[#This Row],[Team]],4,5))+(Dyno_Data[[#This Row],[Match]]/100))</f>
        <v>5590.63</v>
      </c>
      <c r="AI3472" s="76">
        <f>ROUND(SUM(IF(Dyno_Data[[#This Row],[AcqCenter]]&gt;0,Dyno_Data[[#This Row],[Time]]-SUMIFS(Dyno_Data[Time],Dyno_Data[Team],Dyno_Data[[#This Row],[Team]],Dyno_Data[RecordType],"StartMatch",Dyno_Data[Match],Dyno_Data[[#This Row],[Match]]),0)*86400),0)</f>
        <v>0</v>
      </c>
    </row>
    <row r="3473" spans="1:35" x14ac:dyDescent="0.3">
      <c r="A3473">
        <v>3472</v>
      </c>
      <c r="B3473" t="s">
        <v>1302</v>
      </c>
      <c r="C3473">
        <v>63</v>
      </c>
      <c r="D3473" s="105">
        <v>45374.408861886572</v>
      </c>
      <c r="E3473" t="s">
        <v>312</v>
      </c>
      <c r="F3473" t="s">
        <v>1402</v>
      </c>
      <c r="G3473">
        <v>0</v>
      </c>
      <c r="H3473" t="s">
        <v>315</v>
      </c>
      <c r="I3473">
        <v>0</v>
      </c>
      <c r="J3473">
        <v>0</v>
      </c>
      <c r="K3473">
        <v>0</v>
      </c>
      <c r="L3473" t="s">
        <v>240</v>
      </c>
      <c r="M3473" t="s">
        <v>1398</v>
      </c>
      <c r="N3473">
        <v>0</v>
      </c>
      <c r="O3473" t="s">
        <v>1389</v>
      </c>
      <c r="P3473" t="s">
        <v>310</v>
      </c>
      <c r="Q3473" t="s">
        <v>310</v>
      </c>
      <c r="R3473" t="s">
        <v>310</v>
      </c>
      <c r="S3473">
        <v>9</v>
      </c>
      <c r="T3473" t="s">
        <v>310</v>
      </c>
      <c r="U3473">
        <v>9</v>
      </c>
      <c r="V3473">
        <v>9</v>
      </c>
      <c r="W3473">
        <v>0</v>
      </c>
      <c r="X3473">
        <v>0</v>
      </c>
      <c r="Y3473">
        <v>0</v>
      </c>
      <c r="Z3473">
        <v>0</v>
      </c>
      <c r="AA3473">
        <v>9</v>
      </c>
      <c r="AB3473">
        <v>9</v>
      </c>
      <c r="AC3473" t="s">
        <v>310</v>
      </c>
      <c r="AD3473">
        <v>9</v>
      </c>
      <c r="AE3473" t="s">
        <v>1394</v>
      </c>
      <c r="AF3473">
        <v>20000000</v>
      </c>
      <c r="AG3473" t="s">
        <v>310</v>
      </c>
      <c r="AH3473">
        <f>SUM((MID(Dyno_Data[[#This Row],[Team]],4,5))+(Dyno_Data[[#This Row],[Match]]/100))</f>
        <v>2095.63</v>
      </c>
      <c r="AI3473" s="76">
        <f>ROUND(SUM(IF(Dyno_Data[[#This Row],[AcqCenter]]&gt;0,Dyno_Data[[#This Row],[Time]]-SUMIFS(Dyno_Data[Time],Dyno_Data[Team],Dyno_Data[[#This Row],[Team]],Dyno_Data[RecordType],"StartMatch",Dyno_Data[Match],Dyno_Data[[#This Row],[Match]]),0)*86400),0)</f>
        <v>0</v>
      </c>
    </row>
    <row r="3474" spans="1:35" x14ac:dyDescent="0.3">
      <c r="A3474">
        <v>3473</v>
      </c>
      <c r="B3474" t="s">
        <v>1298</v>
      </c>
      <c r="C3474">
        <v>63</v>
      </c>
      <c r="D3474" s="105">
        <v>45374.408883564814</v>
      </c>
      <c r="E3474" t="s">
        <v>312</v>
      </c>
      <c r="F3474" t="s">
        <v>1402</v>
      </c>
      <c r="G3474">
        <v>0</v>
      </c>
      <c r="H3474" t="s">
        <v>315</v>
      </c>
      <c r="I3474">
        <v>0</v>
      </c>
      <c r="J3474">
        <v>0</v>
      </c>
      <c r="K3474">
        <v>0</v>
      </c>
      <c r="L3474" t="s">
        <v>240</v>
      </c>
      <c r="M3474" t="s">
        <v>1398</v>
      </c>
      <c r="N3474">
        <v>0</v>
      </c>
      <c r="O3474" t="s">
        <v>1391</v>
      </c>
      <c r="P3474" t="s">
        <v>310</v>
      </c>
      <c r="Q3474" t="s">
        <v>310</v>
      </c>
      <c r="R3474" t="s">
        <v>310</v>
      </c>
      <c r="S3474">
        <v>9</v>
      </c>
      <c r="T3474" t="s">
        <v>310</v>
      </c>
      <c r="U3474">
        <v>9</v>
      </c>
      <c r="V3474">
        <v>9</v>
      </c>
      <c r="W3474">
        <v>0</v>
      </c>
      <c r="X3474">
        <v>0</v>
      </c>
      <c r="Y3474">
        <v>0</v>
      </c>
      <c r="Z3474">
        <v>0</v>
      </c>
      <c r="AA3474">
        <v>9</v>
      </c>
      <c r="AB3474">
        <v>9</v>
      </c>
      <c r="AC3474" t="s">
        <v>310</v>
      </c>
      <c r="AD3474">
        <v>9</v>
      </c>
      <c r="AE3474" t="s">
        <v>1396</v>
      </c>
      <c r="AF3474">
        <v>30000000</v>
      </c>
      <c r="AG3474" t="s">
        <v>310</v>
      </c>
      <c r="AH3474">
        <f>SUM((MID(Dyno_Data[[#This Row],[Team]],4,5))+(Dyno_Data[[#This Row],[Match]]/100))</f>
        <v>9624.6299999999992</v>
      </c>
      <c r="AI3474" s="76">
        <f>ROUND(SUM(IF(Dyno_Data[[#This Row],[AcqCenter]]&gt;0,Dyno_Data[[#This Row],[Time]]-SUMIFS(Dyno_Data[Time],Dyno_Data[Team],Dyno_Data[[#This Row],[Team]],Dyno_Data[RecordType],"StartMatch",Dyno_Data[Match],Dyno_Data[[#This Row],[Match]]),0)*86400),0)</f>
        <v>0</v>
      </c>
    </row>
    <row r="3475" spans="1:35" x14ac:dyDescent="0.3">
      <c r="A3475">
        <v>3474</v>
      </c>
      <c r="B3475" t="s">
        <v>1280</v>
      </c>
      <c r="C3475">
        <v>63</v>
      </c>
      <c r="D3475" s="105">
        <v>45374.408891747684</v>
      </c>
      <c r="E3475" t="s">
        <v>312</v>
      </c>
      <c r="F3475" t="s">
        <v>1402</v>
      </c>
      <c r="G3475">
        <v>0</v>
      </c>
      <c r="H3475" t="s">
        <v>315</v>
      </c>
      <c r="I3475">
        <v>0</v>
      </c>
      <c r="J3475">
        <v>0</v>
      </c>
      <c r="K3475">
        <v>0</v>
      </c>
      <c r="L3475" t="s">
        <v>241</v>
      </c>
      <c r="M3475" t="s">
        <v>1398</v>
      </c>
      <c r="N3475">
        <v>1</v>
      </c>
      <c r="O3475" t="s">
        <v>1393</v>
      </c>
      <c r="P3475" t="s">
        <v>310</v>
      </c>
      <c r="Q3475" t="s">
        <v>310</v>
      </c>
      <c r="R3475" t="s">
        <v>310</v>
      </c>
      <c r="S3475">
        <v>9</v>
      </c>
      <c r="T3475" t="s">
        <v>310</v>
      </c>
      <c r="U3475">
        <v>9</v>
      </c>
      <c r="V3475">
        <v>9</v>
      </c>
      <c r="W3475">
        <v>0</v>
      </c>
      <c r="X3475">
        <v>0</v>
      </c>
      <c r="Y3475">
        <v>0</v>
      </c>
      <c r="Z3475">
        <v>0</v>
      </c>
      <c r="AA3475">
        <v>9</v>
      </c>
      <c r="AB3475">
        <v>9</v>
      </c>
      <c r="AC3475" t="s">
        <v>310</v>
      </c>
      <c r="AD3475">
        <v>9</v>
      </c>
      <c r="AE3475" t="s">
        <v>1390</v>
      </c>
      <c r="AF3475">
        <v>50000000</v>
      </c>
      <c r="AG3475" t="s">
        <v>310</v>
      </c>
      <c r="AH3475">
        <f>SUM((MID(Dyno_Data[[#This Row],[Team]],4,5))+(Dyno_Data[[#This Row],[Match]]/100))</f>
        <v>1559.63</v>
      </c>
      <c r="AI3475" s="76">
        <f>ROUND(SUM(IF(Dyno_Data[[#This Row],[AcqCenter]]&gt;0,Dyno_Data[[#This Row],[Time]]-SUMIFS(Dyno_Data[Time],Dyno_Data[Team],Dyno_Data[[#This Row],[Team]],Dyno_Data[RecordType],"StartMatch",Dyno_Data[Match],Dyno_Data[[#This Row],[Match]]),0)*86400),0)</f>
        <v>0</v>
      </c>
    </row>
    <row r="3476" spans="1:35" x14ac:dyDescent="0.3">
      <c r="A3476">
        <v>3475</v>
      </c>
      <c r="B3476" t="s">
        <v>1300</v>
      </c>
      <c r="C3476">
        <v>63</v>
      </c>
      <c r="D3476" s="105">
        <v>45374.408949571756</v>
      </c>
      <c r="E3476" t="s">
        <v>312</v>
      </c>
      <c r="F3476" t="s">
        <v>1402</v>
      </c>
      <c r="G3476">
        <v>0</v>
      </c>
      <c r="H3476" t="s">
        <v>315</v>
      </c>
      <c r="I3476">
        <v>0</v>
      </c>
      <c r="J3476">
        <v>0</v>
      </c>
      <c r="K3476">
        <v>0</v>
      </c>
      <c r="L3476" t="s">
        <v>241</v>
      </c>
      <c r="M3476" t="s">
        <v>1398</v>
      </c>
      <c r="N3476">
        <v>0</v>
      </c>
      <c r="O3476" t="s">
        <v>1395</v>
      </c>
      <c r="P3476" t="s">
        <v>310</v>
      </c>
      <c r="Q3476" t="s">
        <v>310</v>
      </c>
      <c r="R3476" t="s">
        <v>310</v>
      </c>
      <c r="S3476">
        <v>9</v>
      </c>
      <c r="T3476" t="s">
        <v>310</v>
      </c>
      <c r="U3476">
        <v>9</v>
      </c>
      <c r="V3476">
        <v>9</v>
      </c>
      <c r="W3476">
        <v>0</v>
      </c>
      <c r="X3476">
        <v>0</v>
      </c>
      <c r="Y3476">
        <v>0</v>
      </c>
      <c r="Z3476">
        <v>0</v>
      </c>
      <c r="AA3476">
        <v>9</v>
      </c>
      <c r="AB3476">
        <v>9</v>
      </c>
      <c r="AC3476" t="s">
        <v>310</v>
      </c>
      <c r="AD3476">
        <v>9</v>
      </c>
      <c r="AE3476" t="s">
        <v>1387</v>
      </c>
      <c r="AF3476">
        <v>100000000</v>
      </c>
      <c r="AG3476" t="s">
        <v>310</v>
      </c>
      <c r="AH3476">
        <f>SUM((MID(Dyno_Data[[#This Row],[Team]],4,5))+(Dyno_Data[[#This Row],[Match]]/100))</f>
        <v>3044.63</v>
      </c>
      <c r="AI3476" s="76">
        <f>ROUND(SUM(IF(Dyno_Data[[#This Row],[AcqCenter]]&gt;0,Dyno_Data[[#This Row],[Time]]-SUMIFS(Dyno_Data[Time],Dyno_Data[Team],Dyno_Data[[#This Row],[Team]],Dyno_Data[RecordType],"StartMatch",Dyno_Data[Match],Dyno_Data[[#This Row],[Match]]),0)*86400),0)</f>
        <v>0</v>
      </c>
    </row>
    <row r="3477" spans="1:35" x14ac:dyDescent="0.3">
      <c r="A3477">
        <v>3476</v>
      </c>
      <c r="B3477" t="s">
        <v>1284</v>
      </c>
      <c r="C3477">
        <v>63</v>
      </c>
      <c r="D3477" s="105">
        <v>45374.40895744213</v>
      </c>
      <c r="E3477" t="s">
        <v>312</v>
      </c>
      <c r="F3477" t="s">
        <v>1402</v>
      </c>
      <c r="G3477">
        <v>0</v>
      </c>
      <c r="H3477" t="s">
        <v>315</v>
      </c>
      <c r="I3477">
        <v>0</v>
      </c>
      <c r="J3477">
        <v>0</v>
      </c>
      <c r="K3477">
        <v>0</v>
      </c>
      <c r="L3477" t="s">
        <v>241</v>
      </c>
      <c r="M3477" t="s">
        <v>1398</v>
      </c>
      <c r="N3477">
        <v>0</v>
      </c>
      <c r="O3477" t="s">
        <v>319</v>
      </c>
      <c r="P3477" t="s">
        <v>310</v>
      </c>
      <c r="Q3477" t="s">
        <v>310</v>
      </c>
      <c r="R3477" t="s">
        <v>310</v>
      </c>
      <c r="S3477">
        <v>9</v>
      </c>
      <c r="T3477" t="s">
        <v>310</v>
      </c>
      <c r="U3477">
        <v>9</v>
      </c>
      <c r="V3477">
        <v>9</v>
      </c>
      <c r="W3477">
        <v>0</v>
      </c>
      <c r="X3477">
        <v>0</v>
      </c>
      <c r="Y3477">
        <v>0</v>
      </c>
      <c r="Z3477">
        <v>0</v>
      </c>
      <c r="AA3477">
        <v>9</v>
      </c>
      <c r="AB3477">
        <v>9</v>
      </c>
      <c r="AC3477" t="s">
        <v>310</v>
      </c>
      <c r="AD3477">
        <v>9</v>
      </c>
      <c r="AE3477" t="s">
        <v>1392</v>
      </c>
      <c r="AF3477">
        <v>50000000</v>
      </c>
      <c r="AG3477" t="s">
        <v>310</v>
      </c>
      <c r="AH3477">
        <f>SUM((MID(Dyno_Data[[#This Row],[Team]],4,5))+(Dyno_Data[[#This Row],[Match]]/100))</f>
        <v>5590.63</v>
      </c>
      <c r="AI3477" s="76">
        <f>ROUND(SUM(IF(Dyno_Data[[#This Row],[AcqCenter]]&gt;0,Dyno_Data[[#This Row],[Time]]-SUMIFS(Dyno_Data[Time],Dyno_Data[Team],Dyno_Data[[#This Row],[Team]],Dyno_Data[RecordType],"StartMatch",Dyno_Data[Match],Dyno_Data[[#This Row],[Match]]),0)*86400),0)</f>
        <v>0</v>
      </c>
    </row>
    <row r="3478" spans="1:35" x14ac:dyDescent="0.3">
      <c r="A3478">
        <v>3477</v>
      </c>
      <c r="B3478" t="s">
        <v>1280</v>
      </c>
      <c r="C3478">
        <v>63</v>
      </c>
      <c r="D3478" s="105">
        <v>45374.408987303243</v>
      </c>
      <c r="E3478" t="s">
        <v>312</v>
      </c>
      <c r="F3478" t="s">
        <v>1402</v>
      </c>
      <c r="G3478">
        <v>0</v>
      </c>
      <c r="H3478" t="s">
        <v>315</v>
      </c>
      <c r="I3478">
        <v>0</v>
      </c>
      <c r="J3478">
        <v>0</v>
      </c>
      <c r="K3478">
        <v>0</v>
      </c>
      <c r="L3478" t="s">
        <v>241</v>
      </c>
      <c r="M3478" t="s">
        <v>1398</v>
      </c>
      <c r="N3478">
        <v>1</v>
      </c>
      <c r="O3478" t="s">
        <v>1393</v>
      </c>
      <c r="P3478" t="s">
        <v>310</v>
      </c>
      <c r="Q3478" t="s">
        <v>310</v>
      </c>
      <c r="R3478" t="s">
        <v>310</v>
      </c>
      <c r="S3478">
        <v>9</v>
      </c>
      <c r="T3478" t="s">
        <v>310</v>
      </c>
      <c r="U3478">
        <v>9</v>
      </c>
      <c r="V3478">
        <v>9</v>
      </c>
      <c r="W3478">
        <v>0</v>
      </c>
      <c r="X3478">
        <v>0</v>
      </c>
      <c r="Y3478">
        <v>0</v>
      </c>
      <c r="Z3478">
        <v>0</v>
      </c>
      <c r="AA3478">
        <v>9</v>
      </c>
      <c r="AB3478">
        <v>9</v>
      </c>
      <c r="AC3478" t="s">
        <v>310</v>
      </c>
      <c r="AD3478">
        <v>9</v>
      </c>
      <c r="AE3478" t="s">
        <v>1390</v>
      </c>
      <c r="AF3478">
        <v>60000000</v>
      </c>
      <c r="AG3478" t="s">
        <v>310</v>
      </c>
      <c r="AH3478">
        <f>SUM((MID(Dyno_Data[[#This Row],[Team]],4,5))+(Dyno_Data[[#This Row],[Match]]/100))</f>
        <v>1559.63</v>
      </c>
      <c r="AI3478" s="76">
        <f>ROUND(SUM(IF(Dyno_Data[[#This Row],[AcqCenter]]&gt;0,Dyno_Data[[#This Row],[Time]]-SUMIFS(Dyno_Data[Time],Dyno_Data[Team],Dyno_Data[[#This Row],[Team]],Dyno_Data[RecordType],"StartMatch",Dyno_Data[Match],Dyno_Data[[#This Row],[Match]]),0)*86400),0)</f>
        <v>0</v>
      </c>
    </row>
    <row r="3479" spans="1:35" x14ac:dyDescent="0.3">
      <c r="A3479">
        <v>3478</v>
      </c>
      <c r="B3479" t="s">
        <v>1309</v>
      </c>
      <c r="C3479">
        <v>63</v>
      </c>
      <c r="D3479" s="105">
        <v>45374.408993252313</v>
      </c>
      <c r="E3479" t="s">
        <v>312</v>
      </c>
      <c r="F3479" t="s">
        <v>1402</v>
      </c>
      <c r="G3479">
        <v>0</v>
      </c>
      <c r="H3479" t="s">
        <v>315</v>
      </c>
      <c r="I3479">
        <v>0</v>
      </c>
      <c r="J3479">
        <v>0</v>
      </c>
      <c r="K3479">
        <v>0</v>
      </c>
      <c r="L3479" t="s">
        <v>240</v>
      </c>
      <c r="M3479" t="s">
        <v>1398</v>
      </c>
      <c r="N3479">
        <v>0</v>
      </c>
      <c r="O3479" t="s">
        <v>311</v>
      </c>
      <c r="P3479" t="s">
        <v>310</v>
      </c>
      <c r="Q3479" t="s">
        <v>310</v>
      </c>
      <c r="R3479" t="s">
        <v>310</v>
      </c>
      <c r="S3479">
        <v>9</v>
      </c>
      <c r="T3479" t="s">
        <v>310</v>
      </c>
      <c r="U3479">
        <v>9</v>
      </c>
      <c r="V3479">
        <v>9</v>
      </c>
      <c r="W3479">
        <v>0</v>
      </c>
      <c r="X3479">
        <v>0</v>
      </c>
      <c r="Y3479">
        <v>0</v>
      </c>
      <c r="Z3479">
        <v>0</v>
      </c>
      <c r="AA3479">
        <v>9</v>
      </c>
      <c r="AB3479">
        <v>9</v>
      </c>
      <c r="AC3479" t="s">
        <v>310</v>
      </c>
      <c r="AD3479">
        <v>9</v>
      </c>
      <c r="AE3479" t="s">
        <v>1388</v>
      </c>
      <c r="AF3479">
        <v>60101000</v>
      </c>
      <c r="AG3479" t="s">
        <v>310</v>
      </c>
      <c r="AH3479">
        <f>SUM((MID(Dyno_Data[[#This Row],[Team]],4,5))+(Dyno_Data[[#This Row],[Match]]/100))</f>
        <v>3550.63</v>
      </c>
      <c r="AI3479" s="76">
        <f>ROUND(SUM(IF(Dyno_Data[[#This Row],[AcqCenter]]&gt;0,Dyno_Data[[#This Row],[Time]]-SUMIFS(Dyno_Data[Time],Dyno_Data[Team],Dyno_Data[[#This Row],[Team]],Dyno_Data[RecordType],"StartMatch",Dyno_Data[Match],Dyno_Data[[#This Row],[Match]]),0)*86400),0)</f>
        <v>0</v>
      </c>
    </row>
    <row r="3480" spans="1:35" x14ac:dyDescent="0.3">
      <c r="A3480">
        <v>3479</v>
      </c>
      <c r="B3480" t="s">
        <v>1280</v>
      </c>
      <c r="C3480">
        <v>63</v>
      </c>
      <c r="D3480" s="105">
        <v>45374.409049386573</v>
      </c>
      <c r="E3480" t="s">
        <v>312</v>
      </c>
      <c r="F3480" t="s">
        <v>1402</v>
      </c>
      <c r="G3480">
        <v>0</v>
      </c>
      <c r="H3480" t="s">
        <v>315</v>
      </c>
      <c r="I3480">
        <v>0</v>
      </c>
      <c r="J3480">
        <v>0</v>
      </c>
      <c r="K3480">
        <v>0</v>
      </c>
      <c r="L3480" t="s">
        <v>241</v>
      </c>
      <c r="M3480" t="s">
        <v>1398</v>
      </c>
      <c r="N3480">
        <v>1</v>
      </c>
      <c r="O3480" t="s">
        <v>1393</v>
      </c>
      <c r="P3480" t="s">
        <v>310</v>
      </c>
      <c r="Q3480" t="s">
        <v>310</v>
      </c>
      <c r="R3480" t="s">
        <v>310</v>
      </c>
      <c r="S3480">
        <v>9</v>
      </c>
      <c r="T3480" t="s">
        <v>310</v>
      </c>
      <c r="U3480">
        <v>9</v>
      </c>
      <c r="V3480">
        <v>9</v>
      </c>
      <c r="W3480">
        <v>0</v>
      </c>
      <c r="X3480">
        <v>0</v>
      </c>
      <c r="Y3480">
        <v>0</v>
      </c>
      <c r="Z3480">
        <v>0</v>
      </c>
      <c r="AA3480">
        <v>9</v>
      </c>
      <c r="AB3480">
        <v>9</v>
      </c>
      <c r="AC3480" t="s">
        <v>310</v>
      </c>
      <c r="AD3480">
        <v>9</v>
      </c>
      <c r="AE3480" t="s">
        <v>1390</v>
      </c>
      <c r="AF3480">
        <v>70000000</v>
      </c>
      <c r="AG3480" t="s">
        <v>310</v>
      </c>
      <c r="AH3480">
        <f>SUM((MID(Dyno_Data[[#This Row],[Team]],4,5))+(Dyno_Data[[#This Row],[Match]]/100))</f>
        <v>1559.63</v>
      </c>
      <c r="AI3480" s="76">
        <f>ROUND(SUM(IF(Dyno_Data[[#This Row],[AcqCenter]]&gt;0,Dyno_Data[[#This Row],[Time]]-SUMIFS(Dyno_Data[Time],Dyno_Data[Team],Dyno_Data[[#This Row],[Team]],Dyno_Data[RecordType],"StartMatch",Dyno_Data[Match],Dyno_Data[[#This Row],[Match]]),0)*86400),0)</f>
        <v>0</v>
      </c>
    </row>
    <row r="3481" spans="1:35" x14ac:dyDescent="0.3">
      <c r="A3481">
        <v>3480</v>
      </c>
      <c r="B3481" t="s">
        <v>1298</v>
      </c>
      <c r="C3481">
        <v>63</v>
      </c>
      <c r="D3481" s="105">
        <v>45374.409084259256</v>
      </c>
      <c r="E3481" t="s">
        <v>312</v>
      </c>
      <c r="F3481" t="s">
        <v>1402</v>
      </c>
      <c r="G3481">
        <v>0</v>
      </c>
      <c r="H3481" t="s">
        <v>315</v>
      </c>
      <c r="I3481">
        <v>0</v>
      </c>
      <c r="J3481">
        <v>0</v>
      </c>
      <c r="K3481">
        <v>0</v>
      </c>
      <c r="L3481" t="s">
        <v>240</v>
      </c>
      <c r="M3481" t="s">
        <v>1398</v>
      </c>
      <c r="N3481">
        <v>0</v>
      </c>
      <c r="O3481" t="s">
        <v>1391</v>
      </c>
      <c r="P3481" t="s">
        <v>310</v>
      </c>
      <c r="Q3481" t="s">
        <v>310</v>
      </c>
      <c r="R3481" t="s">
        <v>310</v>
      </c>
      <c r="S3481">
        <v>9</v>
      </c>
      <c r="T3481" t="s">
        <v>310</v>
      </c>
      <c r="U3481">
        <v>9</v>
      </c>
      <c r="V3481">
        <v>9</v>
      </c>
      <c r="W3481">
        <v>0</v>
      </c>
      <c r="X3481">
        <v>0</v>
      </c>
      <c r="Y3481">
        <v>0</v>
      </c>
      <c r="Z3481">
        <v>0</v>
      </c>
      <c r="AA3481">
        <v>9</v>
      </c>
      <c r="AB3481">
        <v>9</v>
      </c>
      <c r="AC3481" t="s">
        <v>310</v>
      </c>
      <c r="AD3481">
        <v>9</v>
      </c>
      <c r="AE3481" t="s">
        <v>1396</v>
      </c>
      <c r="AF3481">
        <v>40000000</v>
      </c>
      <c r="AG3481" t="s">
        <v>310</v>
      </c>
      <c r="AH3481">
        <f>SUM((MID(Dyno_Data[[#This Row],[Team]],4,5))+(Dyno_Data[[#This Row],[Match]]/100))</f>
        <v>9624.6299999999992</v>
      </c>
      <c r="AI3481" s="76">
        <f>ROUND(SUM(IF(Dyno_Data[[#This Row],[AcqCenter]]&gt;0,Dyno_Data[[#This Row],[Time]]-SUMIFS(Dyno_Data[Time],Dyno_Data[Team],Dyno_Data[[#This Row],[Team]],Dyno_Data[RecordType],"StartMatch",Dyno_Data[Match],Dyno_Data[[#This Row],[Match]]),0)*86400),0)</f>
        <v>0</v>
      </c>
    </row>
    <row r="3482" spans="1:35" x14ac:dyDescent="0.3">
      <c r="A3482">
        <v>3481</v>
      </c>
      <c r="B3482" t="s">
        <v>1300</v>
      </c>
      <c r="C3482">
        <v>63</v>
      </c>
      <c r="D3482" s="105">
        <v>45374.409150497682</v>
      </c>
      <c r="E3482" t="s">
        <v>312</v>
      </c>
      <c r="F3482" t="s">
        <v>1402</v>
      </c>
      <c r="G3482">
        <v>0</v>
      </c>
      <c r="H3482" t="s">
        <v>315</v>
      </c>
      <c r="I3482">
        <v>0</v>
      </c>
      <c r="J3482">
        <v>0</v>
      </c>
      <c r="K3482">
        <v>0</v>
      </c>
      <c r="L3482" t="s">
        <v>240</v>
      </c>
      <c r="M3482" t="s">
        <v>1398</v>
      </c>
      <c r="N3482">
        <v>1</v>
      </c>
      <c r="O3482" t="s">
        <v>1395</v>
      </c>
      <c r="P3482" t="s">
        <v>310</v>
      </c>
      <c r="Q3482" t="s">
        <v>310</v>
      </c>
      <c r="R3482" t="s">
        <v>310</v>
      </c>
      <c r="S3482">
        <v>9</v>
      </c>
      <c r="T3482" t="s">
        <v>310</v>
      </c>
      <c r="U3482">
        <v>9</v>
      </c>
      <c r="V3482">
        <v>9</v>
      </c>
      <c r="W3482">
        <v>0</v>
      </c>
      <c r="X3482">
        <v>0</v>
      </c>
      <c r="Y3482">
        <v>0</v>
      </c>
      <c r="Z3482">
        <v>0</v>
      </c>
      <c r="AA3482">
        <v>9</v>
      </c>
      <c r="AB3482">
        <v>9</v>
      </c>
      <c r="AC3482" t="s">
        <v>310</v>
      </c>
      <c r="AD3482">
        <v>9</v>
      </c>
      <c r="AE3482" t="s">
        <v>1387</v>
      </c>
      <c r="AF3482">
        <v>110000000</v>
      </c>
      <c r="AG3482" t="s">
        <v>310</v>
      </c>
      <c r="AH3482">
        <f>SUM((MID(Dyno_Data[[#This Row],[Team]],4,5))+(Dyno_Data[[#This Row],[Match]]/100))</f>
        <v>3044.63</v>
      </c>
      <c r="AI3482" s="76">
        <f>ROUND(SUM(IF(Dyno_Data[[#This Row],[AcqCenter]]&gt;0,Dyno_Data[[#This Row],[Time]]-SUMIFS(Dyno_Data[Time],Dyno_Data[Team],Dyno_Data[[#This Row],[Team]],Dyno_Data[RecordType],"StartMatch",Dyno_Data[Match],Dyno_Data[[#This Row],[Match]]),0)*86400),0)</f>
        <v>0</v>
      </c>
    </row>
    <row r="3483" spans="1:35" x14ac:dyDescent="0.3">
      <c r="A3483">
        <v>3482</v>
      </c>
      <c r="B3483" t="s">
        <v>1309</v>
      </c>
      <c r="C3483">
        <v>63</v>
      </c>
      <c r="D3483" s="105">
        <v>45374.409158368057</v>
      </c>
      <c r="E3483" t="s">
        <v>312</v>
      </c>
      <c r="F3483" t="s">
        <v>1402</v>
      </c>
      <c r="G3483">
        <v>0</v>
      </c>
      <c r="H3483" t="s">
        <v>315</v>
      </c>
      <c r="I3483">
        <v>0</v>
      </c>
      <c r="J3483">
        <v>0</v>
      </c>
      <c r="K3483">
        <v>0</v>
      </c>
      <c r="L3483" t="s">
        <v>241</v>
      </c>
      <c r="M3483" t="s">
        <v>101</v>
      </c>
      <c r="N3483">
        <v>0</v>
      </c>
      <c r="O3483" t="s">
        <v>311</v>
      </c>
      <c r="P3483" t="s">
        <v>310</v>
      </c>
      <c r="Q3483" t="s">
        <v>310</v>
      </c>
      <c r="R3483" t="s">
        <v>310</v>
      </c>
      <c r="S3483">
        <v>9</v>
      </c>
      <c r="T3483" t="s">
        <v>310</v>
      </c>
      <c r="U3483">
        <v>9</v>
      </c>
      <c r="V3483">
        <v>9</v>
      </c>
      <c r="W3483">
        <v>0</v>
      </c>
      <c r="X3483">
        <v>0</v>
      </c>
      <c r="Y3483">
        <v>0</v>
      </c>
      <c r="Z3483">
        <v>0</v>
      </c>
      <c r="AA3483">
        <v>9</v>
      </c>
      <c r="AB3483">
        <v>9</v>
      </c>
      <c r="AC3483" t="s">
        <v>310</v>
      </c>
      <c r="AD3483">
        <v>9</v>
      </c>
      <c r="AE3483" t="s">
        <v>1388</v>
      </c>
      <c r="AF3483">
        <v>70101000</v>
      </c>
      <c r="AG3483" t="s">
        <v>310</v>
      </c>
      <c r="AH3483">
        <f>SUM((MID(Dyno_Data[[#This Row],[Team]],4,5))+(Dyno_Data[[#This Row],[Match]]/100))</f>
        <v>3550.63</v>
      </c>
      <c r="AI3483" s="76">
        <f>ROUND(SUM(IF(Dyno_Data[[#This Row],[AcqCenter]]&gt;0,Dyno_Data[[#This Row],[Time]]-SUMIFS(Dyno_Data[Time],Dyno_Data[Team],Dyno_Data[[#This Row],[Team]],Dyno_Data[RecordType],"StartMatch",Dyno_Data[Match],Dyno_Data[[#This Row],[Match]]),0)*86400),0)</f>
        <v>0</v>
      </c>
    </row>
    <row r="3484" spans="1:35" x14ac:dyDescent="0.3">
      <c r="A3484">
        <v>3483</v>
      </c>
      <c r="B3484" t="s">
        <v>1284</v>
      </c>
      <c r="C3484">
        <v>63</v>
      </c>
      <c r="D3484" s="105">
        <v>45374.409181053241</v>
      </c>
      <c r="E3484" t="s">
        <v>312</v>
      </c>
      <c r="F3484" t="s">
        <v>1402</v>
      </c>
      <c r="G3484">
        <v>0</v>
      </c>
      <c r="H3484" t="s">
        <v>315</v>
      </c>
      <c r="I3484">
        <v>0</v>
      </c>
      <c r="J3484">
        <v>0</v>
      </c>
      <c r="K3484">
        <v>0</v>
      </c>
      <c r="L3484" t="s">
        <v>241</v>
      </c>
      <c r="M3484" t="s">
        <v>1398</v>
      </c>
      <c r="N3484">
        <v>0</v>
      </c>
      <c r="O3484" t="s">
        <v>319</v>
      </c>
      <c r="P3484" t="s">
        <v>310</v>
      </c>
      <c r="Q3484" t="s">
        <v>310</v>
      </c>
      <c r="R3484" t="s">
        <v>310</v>
      </c>
      <c r="S3484">
        <v>9</v>
      </c>
      <c r="T3484" t="s">
        <v>310</v>
      </c>
      <c r="U3484">
        <v>9</v>
      </c>
      <c r="V3484">
        <v>9</v>
      </c>
      <c r="W3484">
        <v>0</v>
      </c>
      <c r="X3484">
        <v>0</v>
      </c>
      <c r="Y3484">
        <v>0</v>
      </c>
      <c r="Z3484">
        <v>0</v>
      </c>
      <c r="AA3484">
        <v>9</v>
      </c>
      <c r="AB3484">
        <v>9</v>
      </c>
      <c r="AC3484" t="s">
        <v>310</v>
      </c>
      <c r="AD3484">
        <v>9</v>
      </c>
      <c r="AE3484" t="s">
        <v>1392</v>
      </c>
      <c r="AF3484">
        <v>60000000</v>
      </c>
      <c r="AG3484" t="s">
        <v>310</v>
      </c>
      <c r="AH3484">
        <f>SUM((MID(Dyno_Data[[#This Row],[Team]],4,5))+(Dyno_Data[[#This Row],[Match]]/100))</f>
        <v>5590.63</v>
      </c>
      <c r="AI3484" s="76">
        <f>ROUND(SUM(IF(Dyno_Data[[#This Row],[AcqCenter]]&gt;0,Dyno_Data[[#This Row],[Time]]-SUMIFS(Dyno_Data[Time],Dyno_Data[Team],Dyno_Data[[#This Row],[Team]],Dyno_Data[RecordType],"StartMatch",Dyno_Data[Match],Dyno_Data[[#This Row],[Match]]),0)*86400),0)</f>
        <v>0</v>
      </c>
    </row>
    <row r="3485" spans="1:35" x14ac:dyDescent="0.3">
      <c r="A3485">
        <v>3484</v>
      </c>
      <c r="B3485" t="s">
        <v>1300</v>
      </c>
      <c r="C3485">
        <v>63</v>
      </c>
      <c r="D3485" s="105">
        <v>45374.409221493057</v>
      </c>
      <c r="E3485" t="s">
        <v>312</v>
      </c>
      <c r="F3485" t="s">
        <v>1402</v>
      </c>
      <c r="G3485">
        <v>0</v>
      </c>
      <c r="H3485" t="s">
        <v>315</v>
      </c>
      <c r="I3485">
        <v>0</v>
      </c>
      <c r="J3485">
        <v>0</v>
      </c>
      <c r="K3485">
        <v>0</v>
      </c>
      <c r="L3485" t="s">
        <v>241</v>
      </c>
      <c r="M3485" t="s">
        <v>1398</v>
      </c>
      <c r="N3485">
        <v>1</v>
      </c>
      <c r="O3485" t="s">
        <v>1395</v>
      </c>
      <c r="P3485" t="s">
        <v>310</v>
      </c>
      <c r="Q3485" t="s">
        <v>310</v>
      </c>
      <c r="R3485" t="s">
        <v>310</v>
      </c>
      <c r="S3485">
        <v>9</v>
      </c>
      <c r="T3485" t="s">
        <v>310</v>
      </c>
      <c r="U3485">
        <v>9</v>
      </c>
      <c r="V3485">
        <v>9</v>
      </c>
      <c r="W3485">
        <v>0</v>
      </c>
      <c r="X3485">
        <v>0</v>
      </c>
      <c r="Y3485">
        <v>0</v>
      </c>
      <c r="Z3485">
        <v>0</v>
      </c>
      <c r="AA3485">
        <v>9</v>
      </c>
      <c r="AB3485">
        <v>9</v>
      </c>
      <c r="AC3485" t="s">
        <v>310</v>
      </c>
      <c r="AD3485">
        <v>9</v>
      </c>
      <c r="AE3485" t="s">
        <v>1387</v>
      </c>
      <c r="AF3485">
        <v>120000000</v>
      </c>
      <c r="AG3485" t="s">
        <v>310</v>
      </c>
      <c r="AH3485">
        <f>SUM((MID(Dyno_Data[[#This Row],[Team]],4,5))+(Dyno_Data[[#This Row],[Match]]/100))</f>
        <v>3044.63</v>
      </c>
      <c r="AI3485" s="76">
        <f>ROUND(SUM(IF(Dyno_Data[[#This Row],[AcqCenter]]&gt;0,Dyno_Data[[#This Row],[Time]]-SUMIFS(Dyno_Data[Time],Dyno_Data[Team],Dyno_Data[[#This Row],[Team]],Dyno_Data[RecordType],"StartMatch",Dyno_Data[Match],Dyno_Data[[#This Row],[Match]]),0)*86400),0)</f>
        <v>0</v>
      </c>
    </row>
    <row r="3486" spans="1:35" x14ac:dyDescent="0.3">
      <c r="A3486">
        <v>3485</v>
      </c>
      <c r="B3486" t="s">
        <v>1280</v>
      </c>
      <c r="C3486">
        <v>63</v>
      </c>
      <c r="D3486" s="105">
        <v>45374.409273414349</v>
      </c>
      <c r="E3486" t="s">
        <v>312</v>
      </c>
      <c r="F3486" t="s">
        <v>1402</v>
      </c>
      <c r="G3486">
        <v>0</v>
      </c>
      <c r="H3486" t="s">
        <v>315</v>
      </c>
      <c r="I3486">
        <v>0</v>
      </c>
      <c r="J3486">
        <v>0</v>
      </c>
      <c r="K3486">
        <v>0</v>
      </c>
      <c r="L3486" t="s">
        <v>241</v>
      </c>
      <c r="M3486" t="s">
        <v>1398</v>
      </c>
      <c r="N3486">
        <v>0</v>
      </c>
      <c r="O3486" t="s">
        <v>1393</v>
      </c>
      <c r="P3486" t="s">
        <v>310</v>
      </c>
      <c r="Q3486" t="s">
        <v>310</v>
      </c>
      <c r="R3486" t="s">
        <v>310</v>
      </c>
      <c r="S3486">
        <v>9</v>
      </c>
      <c r="T3486" t="s">
        <v>310</v>
      </c>
      <c r="U3486">
        <v>9</v>
      </c>
      <c r="V3486">
        <v>9</v>
      </c>
      <c r="W3486">
        <v>0</v>
      </c>
      <c r="X3486">
        <v>0</v>
      </c>
      <c r="Y3486">
        <v>0</v>
      </c>
      <c r="Z3486">
        <v>0</v>
      </c>
      <c r="AA3486">
        <v>9</v>
      </c>
      <c r="AB3486">
        <v>9</v>
      </c>
      <c r="AC3486" t="s">
        <v>310</v>
      </c>
      <c r="AD3486">
        <v>9</v>
      </c>
      <c r="AE3486" t="s">
        <v>1390</v>
      </c>
      <c r="AF3486">
        <v>80000000</v>
      </c>
      <c r="AG3486" t="s">
        <v>310</v>
      </c>
      <c r="AH3486">
        <f>SUM((MID(Dyno_Data[[#This Row],[Team]],4,5))+(Dyno_Data[[#This Row],[Match]]/100))</f>
        <v>1559.63</v>
      </c>
      <c r="AI3486" s="76">
        <f>ROUND(SUM(IF(Dyno_Data[[#This Row],[AcqCenter]]&gt;0,Dyno_Data[[#This Row],[Time]]-SUMIFS(Dyno_Data[Time],Dyno_Data[Team],Dyno_Data[[#This Row],[Team]],Dyno_Data[RecordType],"StartMatch",Dyno_Data[Match],Dyno_Data[[#This Row],[Match]]),0)*86400),0)</f>
        <v>0</v>
      </c>
    </row>
    <row r="3487" spans="1:35" x14ac:dyDescent="0.3">
      <c r="A3487">
        <v>3486</v>
      </c>
      <c r="B3487" t="s">
        <v>1298</v>
      </c>
      <c r="C3487">
        <v>63</v>
      </c>
      <c r="D3487" s="105">
        <v>45374.409321331019</v>
      </c>
      <c r="E3487" t="s">
        <v>312</v>
      </c>
      <c r="F3487" t="s">
        <v>1402</v>
      </c>
      <c r="G3487">
        <v>0</v>
      </c>
      <c r="H3487" t="s">
        <v>315</v>
      </c>
      <c r="I3487">
        <v>0</v>
      </c>
      <c r="J3487">
        <v>0</v>
      </c>
      <c r="K3487">
        <v>0</v>
      </c>
      <c r="L3487" t="s">
        <v>240</v>
      </c>
      <c r="M3487" t="s">
        <v>1398</v>
      </c>
      <c r="N3487">
        <v>0</v>
      </c>
      <c r="O3487" t="s">
        <v>1391</v>
      </c>
      <c r="P3487" t="s">
        <v>310</v>
      </c>
      <c r="Q3487" t="s">
        <v>310</v>
      </c>
      <c r="R3487" t="s">
        <v>310</v>
      </c>
      <c r="S3487">
        <v>9</v>
      </c>
      <c r="T3487" t="s">
        <v>310</v>
      </c>
      <c r="U3487">
        <v>9</v>
      </c>
      <c r="V3487">
        <v>9</v>
      </c>
      <c r="W3487">
        <v>0</v>
      </c>
      <c r="X3487">
        <v>0</v>
      </c>
      <c r="Y3487">
        <v>0</v>
      </c>
      <c r="Z3487">
        <v>0</v>
      </c>
      <c r="AA3487">
        <v>9</v>
      </c>
      <c r="AB3487">
        <v>9</v>
      </c>
      <c r="AC3487" t="s">
        <v>310</v>
      </c>
      <c r="AD3487">
        <v>9</v>
      </c>
      <c r="AE3487" t="s">
        <v>1396</v>
      </c>
      <c r="AF3487">
        <v>50000000</v>
      </c>
      <c r="AG3487" t="s">
        <v>310</v>
      </c>
      <c r="AH3487">
        <f>SUM((MID(Dyno_Data[[#This Row],[Team]],4,5))+(Dyno_Data[[#This Row],[Match]]/100))</f>
        <v>9624.6299999999992</v>
      </c>
      <c r="AI3487" s="76">
        <f>ROUND(SUM(IF(Dyno_Data[[#This Row],[AcqCenter]]&gt;0,Dyno_Data[[#This Row],[Time]]-SUMIFS(Dyno_Data[Time],Dyno_Data[Team],Dyno_Data[[#This Row],[Team]],Dyno_Data[RecordType],"StartMatch",Dyno_Data[Match],Dyno_Data[[#This Row],[Match]]),0)*86400),0)</f>
        <v>0</v>
      </c>
    </row>
    <row r="3488" spans="1:35" x14ac:dyDescent="0.3">
      <c r="A3488">
        <v>3487</v>
      </c>
      <c r="B3488" t="s">
        <v>1309</v>
      </c>
      <c r="C3488">
        <v>63</v>
      </c>
      <c r="D3488" s="105">
        <v>45374.409328738424</v>
      </c>
      <c r="E3488" t="s">
        <v>312</v>
      </c>
      <c r="F3488" t="s">
        <v>1402</v>
      </c>
      <c r="G3488">
        <v>0</v>
      </c>
      <c r="H3488" t="s">
        <v>315</v>
      </c>
      <c r="I3488">
        <v>0</v>
      </c>
      <c r="J3488">
        <v>0</v>
      </c>
      <c r="K3488">
        <v>0</v>
      </c>
      <c r="L3488" t="s">
        <v>241</v>
      </c>
      <c r="M3488" t="s">
        <v>101</v>
      </c>
      <c r="N3488">
        <v>0</v>
      </c>
      <c r="O3488" t="s">
        <v>311</v>
      </c>
      <c r="P3488" t="s">
        <v>310</v>
      </c>
      <c r="Q3488" t="s">
        <v>310</v>
      </c>
      <c r="R3488" t="s">
        <v>310</v>
      </c>
      <c r="S3488">
        <v>9</v>
      </c>
      <c r="T3488" t="s">
        <v>310</v>
      </c>
      <c r="U3488">
        <v>9</v>
      </c>
      <c r="V3488">
        <v>9</v>
      </c>
      <c r="W3488">
        <v>0</v>
      </c>
      <c r="X3488">
        <v>0</v>
      </c>
      <c r="Y3488">
        <v>0</v>
      </c>
      <c r="Z3488">
        <v>0</v>
      </c>
      <c r="AA3488">
        <v>9</v>
      </c>
      <c r="AB3488">
        <v>9</v>
      </c>
      <c r="AC3488" t="s">
        <v>310</v>
      </c>
      <c r="AD3488">
        <v>9</v>
      </c>
      <c r="AE3488" t="s">
        <v>1388</v>
      </c>
      <c r="AF3488">
        <v>80101000</v>
      </c>
      <c r="AG3488" t="s">
        <v>310</v>
      </c>
      <c r="AH3488">
        <f>SUM((MID(Dyno_Data[[#This Row],[Team]],4,5))+(Dyno_Data[[#This Row],[Match]]/100))</f>
        <v>3550.63</v>
      </c>
      <c r="AI3488" s="76">
        <f>ROUND(SUM(IF(Dyno_Data[[#This Row],[AcqCenter]]&gt;0,Dyno_Data[[#This Row],[Time]]-SUMIFS(Dyno_Data[Time],Dyno_Data[Team],Dyno_Data[[#This Row],[Team]],Dyno_Data[RecordType],"StartMatch",Dyno_Data[Match],Dyno_Data[[#This Row],[Match]]),0)*86400),0)</f>
        <v>0</v>
      </c>
    </row>
    <row r="3489" spans="1:35" x14ac:dyDescent="0.3">
      <c r="A3489">
        <v>3488</v>
      </c>
      <c r="B3489" t="s">
        <v>1302</v>
      </c>
      <c r="C3489">
        <v>63</v>
      </c>
      <c r="D3489" s="105">
        <v>45374.409377349541</v>
      </c>
      <c r="E3489" t="s">
        <v>312</v>
      </c>
      <c r="F3489" t="s">
        <v>1402</v>
      </c>
      <c r="G3489">
        <v>0</v>
      </c>
      <c r="H3489" t="s">
        <v>315</v>
      </c>
      <c r="I3489">
        <v>0</v>
      </c>
      <c r="J3489">
        <v>0</v>
      </c>
      <c r="K3489">
        <v>0</v>
      </c>
      <c r="L3489" t="s">
        <v>240</v>
      </c>
      <c r="M3489" t="s">
        <v>1398</v>
      </c>
      <c r="N3489">
        <v>0</v>
      </c>
      <c r="O3489" t="s">
        <v>1389</v>
      </c>
      <c r="P3489" t="s">
        <v>310</v>
      </c>
      <c r="Q3489" t="s">
        <v>310</v>
      </c>
      <c r="R3489" t="s">
        <v>310</v>
      </c>
      <c r="S3489">
        <v>9</v>
      </c>
      <c r="T3489" t="s">
        <v>310</v>
      </c>
      <c r="U3489">
        <v>9</v>
      </c>
      <c r="V3489">
        <v>9</v>
      </c>
      <c r="W3489">
        <v>0</v>
      </c>
      <c r="X3489">
        <v>0</v>
      </c>
      <c r="Y3489">
        <v>0</v>
      </c>
      <c r="Z3489">
        <v>0</v>
      </c>
      <c r="AA3489">
        <v>9</v>
      </c>
      <c r="AB3489">
        <v>9</v>
      </c>
      <c r="AC3489" t="s">
        <v>310</v>
      </c>
      <c r="AD3489">
        <v>9</v>
      </c>
      <c r="AE3489" t="s">
        <v>1394</v>
      </c>
      <c r="AF3489">
        <v>30000000</v>
      </c>
      <c r="AG3489" t="s">
        <v>310</v>
      </c>
      <c r="AH3489">
        <f>SUM((MID(Dyno_Data[[#This Row],[Team]],4,5))+(Dyno_Data[[#This Row],[Match]]/100))</f>
        <v>2095.63</v>
      </c>
      <c r="AI3489" s="76">
        <f>ROUND(SUM(IF(Dyno_Data[[#This Row],[AcqCenter]]&gt;0,Dyno_Data[[#This Row],[Time]]-SUMIFS(Dyno_Data[Time],Dyno_Data[Team],Dyno_Data[[#This Row],[Team]],Dyno_Data[RecordType],"StartMatch",Dyno_Data[Match],Dyno_Data[[#This Row],[Match]]),0)*86400),0)</f>
        <v>0</v>
      </c>
    </row>
    <row r="3490" spans="1:35" x14ac:dyDescent="0.3">
      <c r="A3490">
        <v>3489</v>
      </c>
      <c r="B3490" t="s">
        <v>1309</v>
      </c>
      <c r="C3490">
        <v>63</v>
      </c>
      <c r="D3490" s="105">
        <v>45374.410210451388</v>
      </c>
      <c r="E3490" t="s">
        <v>316</v>
      </c>
      <c r="F3490" t="s">
        <v>317</v>
      </c>
      <c r="G3490">
        <v>1</v>
      </c>
      <c r="H3490" t="s">
        <v>310</v>
      </c>
      <c r="I3490">
        <v>0</v>
      </c>
      <c r="J3490">
        <v>0</v>
      </c>
      <c r="K3490">
        <v>0</v>
      </c>
      <c r="L3490" t="s">
        <v>310</v>
      </c>
      <c r="M3490" t="s">
        <v>310</v>
      </c>
      <c r="N3490">
        <v>0</v>
      </c>
      <c r="O3490" t="s">
        <v>311</v>
      </c>
      <c r="P3490" t="s">
        <v>101</v>
      </c>
      <c r="Q3490" t="s">
        <v>1399</v>
      </c>
      <c r="R3490" t="s">
        <v>1405</v>
      </c>
      <c r="S3490">
        <v>1</v>
      </c>
      <c r="T3490" t="s">
        <v>1406</v>
      </c>
      <c r="U3490">
        <v>0</v>
      </c>
      <c r="V3490">
        <v>0</v>
      </c>
      <c r="W3490">
        <v>12.354309899999999</v>
      </c>
      <c r="X3490">
        <v>31.234405499999998</v>
      </c>
      <c r="Y3490">
        <v>26.345760599999998</v>
      </c>
      <c r="Z3490">
        <v>53.063474399999997</v>
      </c>
      <c r="AA3490">
        <v>0</v>
      </c>
      <c r="AB3490">
        <v>1</v>
      </c>
      <c r="AC3490" t="s">
        <v>174</v>
      </c>
      <c r="AD3490">
        <v>0</v>
      </c>
      <c r="AE3490" t="s">
        <v>1388</v>
      </c>
      <c r="AF3490">
        <v>80101000</v>
      </c>
      <c r="AG3490" t="s">
        <v>310</v>
      </c>
      <c r="AH3490">
        <f>SUM((MID(Dyno_Data[[#This Row],[Team]],4,5))+(Dyno_Data[[#This Row],[Match]]/100))</f>
        <v>3550.63</v>
      </c>
      <c r="AI3490" s="76">
        <f>ROUND(SUM(IF(Dyno_Data[[#This Row],[AcqCenter]]&gt;0,Dyno_Data[[#This Row],[Time]]-SUMIFS(Dyno_Data[Time],Dyno_Data[Team],Dyno_Data[[#This Row],[Team]],Dyno_Data[RecordType],"StartMatch",Dyno_Data[Match],Dyno_Data[[#This Row],[Match]]),0)*86400),0)</f>
        <v>0</v>
      </c>
    </row>
    <row r="3491" spans="1:35" x14ac:dyDescent="0.3">
      <c r="A3491">
        <v>3490</v>
      </c>
      <c r="B3491" t="s">
        <v>1298</v>
      </c>
      <c r="C3491">
        <v>63</v>
      </c>
      <c r="D3491" s="105">
        <v>45374.410210648151</v>
      </c>
      <c r="E3491" t="s">
        <v>316</v>
      </c>
      <c r="F3491" t="s">
        <v>317</v>
      </c>
      <c r="G3491">
        <v>0</v>
      </c>
      <c r="H3491" t="s">
        <v>310</v>
      </c>
      <c r="I3491">
        <v>0</v>
      </c>
      <c r="J3491">
        <v>0</v>
      </c>
      <c r="K3491">
        <v>0</v>
      </c>
      <c r="L3491" t="s">
        <v>310</v>
      </c>
      <c r="M3491" t="s">
        <v>310</v>
      </c>
      <c r="N3491">
        <v>0</v>
      </c>
      <c r="O3491" t="s">
        <v>1391</v>
      </c>
      <c r="P3491" t="s">
        <v>1401</v>
      </c>
      <c r="Q3491" t="s">
        <v>1400</v>
      </c>
      <c r="R3491" t="s">
        <v>1404</v>
      </c>
      <c r="S3491">
        <v>0</v>
      </c>
      <c r="T3491" t="s">
        <v>105</v>
      </c>
      <c r="U3491">
        <v>9</v>
      </c>
      <c r="V3491">
        <v>9</v>
      </c>
      <c r="W3491">
        <v>0</v>
      </c>
      <c r="X3491">
        <v>25.315451599999999</v>
      </c>
      <c r="Y3491">
        <v>27.6735452</v>
      </c>
      <c r="Z3491">
        <v>81.974243299999998</v>
      </c>
      <c r="AA3491">
        <v>0</v>
      </c>
      <c r="AB3491">
        <v>0</v>
      </c>
      <c r="AC3491" t="s">
        <v>174</v>
      </c>
      <c r="AD3491">
        <v>9</v>
      </c>
      <c r="AE3491" t="s">
        <v>1396</v>
      </c>
      <c r="AF3491">
        <v>50000000</v>
      </c>
      <c r="AG3491" t="s">
        <v>310</v>
      </c>
      <c r="AH3491">
        <f>SUM((MID(Dyno_Data[[#This Row],[Team]],4,5))+(Dyno_Data[[#This Row],[Match]]/100))</f>
        <v>9624.6299999999992</v>
      </c>
      <c r="AI3491" s="76">
        <f>ROUND(SUM(IF(Dyno_Data[[#This Row],[AcqCenter]]&gt;0,Dyno_Data[[#This Row],[Time]]-SUMIFS(Dyno_Data[Time],Dyno_Data[Team],Dyno_Data[[#This Row],[Team]],Dyno_Data[RecordType],"StartMatch",Dyno_Data[Match],Dyno_Data[[#This Row],[Match]]),0)*86400),0)</f>
        <v>0</v>
      </c>
    </row>
    <row r="3492" spans="1:35" x14ac:dyDescent="0.3">
      <c r="A3492">
        <v>3491</v>
      </c>
      <c r="B3492" t="s">
        <v>1284</v>
      </c>
      <c r="C3492">
        <v>63</v>
      </c>
      <c r="D3492" s="105">
        <v>45374.410210648151</v>
      </c>
      <c r="E3492" t="s">
        <v>316</v>
      </c>
      <c r="F3492" t="s">
        <v>317</v>
      </c>
      <c r="G3492">
        <v>1</v>
      </c>
      <c r="H3492" t="s">
        <v>310</v>
      </c>
      <c r="I3492">
        <v>0</v>
      </c>
      <c r="J3492">
        <v>0</v>
      </c>
      <c r="K3492">
        <v>0</v>
      </c>
      <c r="L3492" t="s">
        <v>310</v>
      </c>
      <c r="M3492" t="s">
        <v>310</v>
      </c>
      <c r="N3492">
        <v>0</v>
      </c>
      <c r="O3492" t="s">
        <v>319</v>
      </c>
      <c r="P3492" t="s">
        <v>240</v>
      </c>
      <c r="Q3492" t="s">
        <v>1400</v>
      </c>
      <c r="R3492" t="s">
        <v>1404</v>
      </c>
      <c r="S3492">
        <v>-1</v>
      </c>
      <c r="T3492" t="s">
        <v>105</v>
      </c>
      <c r="U3492">
        <v>9</v>
      </c>
      <c r="V3492">
        <v>9</v>
      </c>
      <c r="W3492">
        <v>19.890083199999999</v>
      </c>
      <c r="X3492">
        <v>40.825781999999997</v>
      </c>
      <c r="Y3492">
        <v>32.417315199999997</v>
      </c>
      <c r="Z3492">
        <v>39.658229299999995</v>
      </c>
      <c r="AA3492">
        <v>0</v>
      </c>
      <c r="AB3492">
        <v>0</v>
      </c>
      <c r="AC3492" t="s">
        <v>174</v>
      </c>
      <c r="AD3492">
        <v>9</v>
      </c>
      <c r="AE3492" t="s">
        <v>1392</v>
      </c>
      <c r="AF3492">
        <v>60000000</v>
      </c>
      <c r="AG3492" t="s">
        <v>310</v>
      </c>
      <c r="AH3492">
        <f>SUM((MID(Dyno_Data[[#This Row],[Team]],4,5))+(Dyno_Data[[#This Row],[Match]]/100))</f>
        <v>5590.63</v>
      </c>
      <c r="AI3492" s="76">
        <f>ROUND(SUM(IF(Dyno_Data[[#This Row],[AcqCenter]]&gt;0,Dyno_Data[[#This Row],[Time]]-SUMIFS(Dyno_Data[Time],Dyno_Data[Team],Dyno_Data[[#This Row],[Team]],Dyno_Data[RecordType],"StartMatch",Dyno_Data[Match],Dyno_Data[[#This Row],[Match]]),0)*86400),0)</f>
        <v>0</v>
      </c>
    </row>
    <row r="3493" spans="1:35" x14ac:dyDescent="0.3">
      <c r="A3493">
        <v>3492</v>
      </c>
      <c r="B3493" t="s">
        <v>1280</v>
      </c>
      <c r="C3493">
        <v>63</v>
      </c>
      <c r="D3493" s="105">
        <v>45374.410210798611</v>
      </c>
      <c r="E3493" t="s">
        <v>316</v>
      </c>
      <c r="F3493" t="s">
        <v>317</v>
      </c>
      <c r="G3493">
        <v>1</v>
      </c>
      <c r="H3493" t="s">
        <v>310</v>
      </c>
      <c r="I3493">
        <v>0</v>
      </c>
      <c r="J3493">
        <v>0</v>
      </c>
      <c r="K3493">
        <v>0</v>
      </c>
      <c r="L3493" t="s">
        <v>310</v>
      </c>
      <c r="M3493" t="s">
        <v>310</v>
      </c>
      <c r="N3493">
        <v>0</v>
      </c>
      <c r="O3493" t="s">
        <v>1393</v>
      </c>
      <c r="P3493" t="s">
        <v>1401</v>
      </c>
      <c r="Q3493" t="s">
        <v>1400</v>
      </c>
      <c r="R3493" t="s">
        <v>1405</v>
      </c>
      <c r="S3493">
        <v>1</v>
      </c>
      <c r="T3493" t="s">
        <v>1407</v>
      </c>
      <c r="U3493">
        <v>0</v>
      </c>
      <c r="V3493">
        <v>0</v>
      </c>
      <c r="W3493">
        <v>12.355657599999999</v>
      </c>
      <c r="X3493">
        <v>26.654353199999999</v>
      </c>
      <c r="Y3493">
        <v>18.688604399999999</v>
      </c>
      <c r="Z3493">
        <v>61.338413799999998</v>
      </c>
      <c r="AA3493">
        <v>0</v>
      </c>
      <c r="AB3493">
        <v>0</v>
      </c>
      <c r="AC3493" t="s">
        <v>174</v>
      </c>
      <c r="AD3493">
        <v>9</v>
      </c>
      <c r="AE3493" t="s">
        <v>1390</v>
      </c>
      <c r="AF3493">
        <v>80000000</v>
      </c>
      <c r="AG3493" t="s">
        <v>310</v>
      </c>
      <c r="AH3493">
        <f>SUM((MID(Dyno_Data[[#This Row],[Team]],4,5))+(Dyno_Data[[#This Row],[Match]]/100))</f>
        <v>1559.63</v>
      </c>
      <c r="AI3493" s="76">
        <f>ROUND(SUM(IF(Dyno_Data[[#This Row],[AcqCenter]]&gt;0,Dyno_Data[[#This Row],[Time]]-SUMIFS(Dyno_Data[Time],Dyno_Data[Team],Dyno_Data[[#This Row],[Team]],Dyno_Data[RecordType],"StartMatch",Dyno_Data[Match],Dyno_Data[[#This Row],[Match]]),0)*86400),0)</f>
        <v>0</v>
      </c>
    </row>
    <row r="3494" spans="1:35" x14ac:dyDescent="0.3">
      <c r="A3494">
        <v>3493</v>
      </c>
      <c r="B3494" t="s">
        <v>1302</v>
      </c>
      <c r="C3494">
        <v>63</v>
      </c>
      <c r="D3494" s="105">
        <v>45374.410210798611</v>
      </c>
      <c r="E3494" t="s">
        <v>316</v>
      </c>
      <c r="F3494" t="s">
        <v>317</v>
      </c>
      <c r="G3494">
        <v>0</v>
      </c>
      <c r="H3494" t="s">
        <v>310</v>
      </c>
      <c r="I3494">
        <v>0</v>
      </c>
      <c r="J3494">
        <v>0</v>
      </c>
      <c r="K3494">
        <v>0</v>
      </c>
      <c r="L3494" t="s">
        <v>310</v>
      </c>
      <c r="M3494" t="s">
        <v>310</v>
      </c>
      <c r="N3494">
        <v>0</v>
      </c>
      <c r="O3494" t="s">
        <v>1389</v>
      </c>
      <c r="P3494" t="s">
        <v>101</v>
      </c>
      <c r="Q3494" t="s">
        <v>1399</v>
      </c>
      <c r="R3494" t="s">
        <v>1404</v>
      </c>
      <c r="S3494">
        <v>-1</v>
      </c>
      <c r="T3494" t="s">
        <v>105</v>
      </c>
      <c r="U3494">
        <v>9</v>
      </c>
      <c r="V3494">
        <v>9</v>
      </c>
      <c r="W3494">
        <v>11.240321699999999</v>
      </c>
      <c r="X3494">
        <v>25.076358199999998</v>
      </c>
      <c r="Y3494">
        <v>15.187712099999999</v>
      </c>
      <c r="Z3494">
        <v>83.861109900000002</v>
      </c>
      <c r="AA3494">
        <v>10</v>
      </c>
      <c r="AB3494">
        <v>10</v>
      </c>
      <c r="AC3494" t="s">
        <v>315</v>
      </c>
      <c r="AD3494">
        <v>10</v>
      </c>
      <c r="AE3494" t="s">
        <v>1394</v>
      </c>
      <c r="AF3494">
        <v>30000040</v>
      </c>
      <c r="AG3494" t="s">
        <v>310</v>
      </c>
      <c r="AH3494">
        <f>SUM((MID(Dyno_Data[[#This Row],[Team]],4,5))+(Dyno_Data[[#This Row],[Match]]/100))</f>
        <v>2095.63</v>
      </c>
      <c r="AI3494" s="76">
        <f>ROUND(SUM(IF(Dyno_Data[[#This Row],[AcqCenter]]&gt;0,Dyno_Data[[#This Row],[Time]]-SUMIFS(Dyno_Data[Time],Dyno_Data[Team],Dyno_Data[[#This Row],[Team]],Dyno_Data[RecordType],"StartMatch",Dyno_Data[Match],Dyno_Data[[#This Row],[Match]]),0)*86400),0)</f>
        <v>0</v>
      </c>
    </row>
    <row r="3495" spans="1:35" x14ac:dyDescent="0.3">
      <c r="A3495">
        <v>3494</v>
      </c>
      <c r="B3495" t="s">
        <v>1300</v>
      </c>
      <c r="C3495">
        <v>63</v>
      </c>
      <c r="D3495" s="105">
        <v>45374.410210995367</v>
      </c>
      <c r="E3495" t="s">
        <v>316</v>
      </c>
      <c r="F3495" t="s">
        <v>317</v>
      </c>
      <c r="G3495">
        <v>1</v>
      </c>
      <c r="H3495" t="s">
        <v>310</v>
      </c>
      <c r="I3495">
        <v>0</v>
      </c>
      <c r="J3495">
        <v>0</v>
      </c>
      <c r="K3495">
        <v>0</v>
      </c>
      <c r="L3495" t="s">
        <v>310</v>
      </c>
      <c r="M3495" t="s">
        <v>310</v>
      </c>
      <c r="N3495">
        <v>0</v>
      </c>
      <c r="O3495" t="s">
        <v>1395</v>
      </c>
      <c r="P3495" t="s">
        <v>240</v>
      </c>
      <c r="Q3495" t="s">
        <v>1400</v>
      </c>
      <c r="R3495" t="s">
        <v>1404</v>
      </c>
      <c r="S3495">
        <v>-1</v>
      </c>
      <c r="T3495" t="s">
        <v>105</v>
      </c>
      <c r="U3495">
        <v>9</v>
      </c>
      <c r="V3495">
        <v>9</v>
      </c>
      <c r="W3495">
        <v>10.6645526</v>
      </c>
      <c r="X3495">
        <v>13.204357799999999</v>
      </c>
      <c r="Y3495">
        <v>9.7225488999999996</v>
      </c>
      <c r="Z3495">
        <v>100.6226985</v>
      </c>
      <c r="AA3495">
        <v>0</v>
      </c>
      <c r="AB3495">
        <v>0</v>
      </c>
      <c r="AC3495" t="s">
        <v>174</v>
      </c>
      <c r="AD3495">
        <v>9</v>
      </c>
      <c r="AE3495" t="s">
        <v>1387</v>
      </c>
      <c r="AF3495">
        <v>120000000</v>
      </c>
      <c r="AG3495" t="s">
        <v>310</v>
      </c>
      <c r="AH3495">
        <f>SUM((MID(Dyno_Data[[#This Row],[Team]],4,5))+(Dyno_Data[[#This Row],[Match]]/100))</f>
        <v>3044.63</v>
      </c>
      <c r="AI3495" s="76">
        <f>ROUND(SUM(IF(Dyno_Data[[#This Row],[AcqCenter]]&gt;0,Dyno_Data[[#This Row],[Time]]-SUMIFS(Dyno_Data[Time],Dyno_Data[Team],Dyno_Data[[#This Row],[Team]],Dyno_Data[RecordType],"StartMatch",Dyno_Data[Match],Dyno_Data[[#This Row],[Match]]),0)*86400),0)</f>
        <v>0</v>
      </c>
    </row>
    <row r="3496" spans="1:35" x14ac:dyDescent="0.3">
      <c r="A3496">
        <v>3506</v>
      </c>
      <c r="B3496" t="s">
        <v>1303</v>
      </c>
      <c r="C3496">
        <v>64</v>
      </c>
      <c r="D3496" s="105">
        <v>45374.412768402777</v>
      </c>
      <c r="E3496" t="s">
        <v>308</v>
      </c>
      <c r="F3496" t="s">
        <v>309</v>
      </c>
      <c r="G3496">
        <v>0</v>
      </c>
      <c r="H3496" t="s">
        <v>310</v>
      </c>
      <c r="I3496">
        <v>0</v>
      </c>
      <c r="J3496">
        <v>0</v>
      </c>
      <c r="K3496">
        <v>0</v>
      </c>
      <c r="L3496" t="s">
        <v>310</v>
      </c>
      <c r="M3496" t="s">
        <v>310</v>
      </c>
      <c r="N3496">
        <v>0</v>
      </c>
      <c r="O3496" t="s">
        <v>1393</v>
      </c>
      <c r="P3496" t="s">
        <v>310</v>
      </c>
      <c r="Q3496" t="s">
        <v>310</v>
      </c>
      <c r="R3496" t="s">
        <v>310</v>
      </c>
      <c r="S3496">
        <v>9</v>
      </c>
      <c r="T3496" t="s">
        <v>310</v>
      </c>
      <c r="U3496">
        <v>9</v>
      </c>
      <c r="V3496">
        <v>9</v>
      </c>
      <c r="W3496">
        <v>0</v>
      </c>
      <c r="X3496">
        <v>0</v>
      </c>
      <c r="Y3496">
        <v>0</v>
      </c>
      <c r="Z3496">
        <v>0</v>
      </c>
      <c r="AA3496">
        <v>9</v>
      </c>
      <c r="AB3496">
        <v>9</v>
      </c>
      <c r="AC3496" t="s">
        <v>310</v>
      </c>
      <c r="AD3496">
        <v>9</v>
      </c>
      <c r="AE3496" t="s">
        <v>1412</v>
      </c>
      <c r="AF3496">
        <v>0</v>
      </c>
      <c r="AG3496" t="s">
        <v>310</v>
      </c>
      <c r="AH3496">
        <f>SUM((MID(Dyno_Data[[#This Row],[Team]],4,5))+(Dyno_Data[[#This Row],[Match]]/100))</f>
        <v>7605.64</v>
      </c>
      <c r="AI3496" s="76">
        <f>ROUND(SUM(IF(Dyno_Data[[#This Row],[AcqCenter]]&gt;0,Dyno_Data[[#This Row],[Time]]-SUMIFS(Dyno_Data[Time],Dyno_Data[Team],Dyno_Data[[#This Row],[Team]],Dyno_Data[RecordType],"StartMatch",Dyno_Data[Match],Dyno_Data[[#This Row],[Match]]),0)*86400),0)</f>
        <v>0</v>
      </c>
    </row>
    <row r="3497" spans="1:35" x14ac:dyDescent="0.3">
      <c r="A3497">
        <v>3508</v>
      </c>
      <c r="B3497" t="s">
        <v>1314</v>
      </c>
      <c r="C3497">
        <v>64</v>
      </c>
      <c r="D3497" s="105">
        <v>45374.412769826391</v>
      </c>
      <c r="E3497" t="s">
        <v>308</v>
      </c>
      <c r="F3497" t="s">
        <v>309</v>
      </c>
      <c r="G3497">
        <v>0</v>
      </c>
      <c r="H3497" t="s">
        <v>310</v>
      </c>
      <c r="I3497">
        <v>0</v>
      </c>
      <c r="J3497">
        <v>0</v>
      </c>
      <c r="K3497">
        <v>0</v>
      </c>
      <c r="L3497" t="s">
        <v>310</v>
      </c>
      <c r="M3497" t="s">
        <v>310</v>
      </c>
      <c r="N3497">
        <v>0</v>
      </c>
      <c r="O3497" t="s">
        <v>319</v>
      </c>
      <c r="P3497" t="s">
        <v>310</v>
      </c>
      <c r="Q3497" t="s">
        <v>310</v>
      </c>
      <c r="R3497" t="s">
        <v>310</v>
      </c>
      <c r="S3497">
        <v>9</v>
      </c>
      <c r="T3497" t="s">
        <v>310</v>
      </c>
      <c r="U3497">
        <v>9</v>
      </c>
      <c r="V3497">
        <v>9</v>
      </c>
      <c r="W3497">
        <v>0</v>
      </c>
      <c r="X3497">
        <v>0</v>
      </c>
      <c r="Y3497">
        <v>0</v>
      </c>
      <c r="Z3497">
        <v>0</v>
      </c>
      <c r="AA3497">
        <v>9</v>
      </c>
      <c r="AB3497">
        <v>9</v>
      </c>
      <c r="AC3497" t="s">
        <v>310</v>
      </c>
      <c r="AD3497">
        <v>9</v>
      </c>
      <c r="AE3497" t="s">
        <v>1396</v>
      </c>
      <c r="AF3497">
        <v>10001000</v>
      </c>
      <c r="AG3497" t="s">
        <v>310</v>
      </c>
      <c r="AH3497">
        <f>SUM((MID(Dyno_Data[[#This Row],[Team]],4,5))+(Dyno_Data[[#This Row],[Match]]/100))</f>
        <v>3419.64</v>
      </c>
      <c r="AI3497" s="76">
        <f>ROUND(SUM(IF(Dyno_Data[[#This Row],[AcqCenter]]&gt;0,Dyno_Data[[#This Row],[Time]]-SUMIFS(Dyno_Data[Time],Dyno_Data[Team],Dyno_Data[[#This Row],[Team]],Dyno_Data[RecordType],"StartMatch",Dyno_Data[Match],Dyno_Data[[#This Row],[Match]]),0)*86400),0)</f>
        <v>0</v>
      </c>
    </row>
    <row r="3498" spans="1:35" x14ac:dyDescent="0.3">
      <c r="A3498">
        <v>3510</v>
      </c>
      <c r="B3498" t="s">
        <v>1315</v>
      </c>
      <c r="C3498">
        <v>64</v>
      </c>
      <c r="D3498" s="105">
        <v>45374.412772719908</v>
      </c>
      <c r="E3498" t="s">
        <v>308</v>
      </c>
      <c r="F3498" t="s">
        <v>309</v>
      </c>
      <c r="G3498">
        <v>0</v>
      </c>
      <c r="H3498" t="s">
        <v>310</v>
      </c>
      <c r="I3498">
        <v>0</v>
      </c>
      <c r="J3498">
        <v>0</v>
      </c>
      <c r="K3498">
        <v>0</v>
      </c>
      <c r="L3498" t="s">
        <v>310</v>
      </c>
      <c r="M3498" t="s">
        <v>310</v>
      </c>
      <c r="N3498">
        <v>0</v>
      </c>
      <c r="O3498" t="s">
        <v>311</v>
      </c>
      <c r="P3498" t="s">
        <v>310</v>
      </c>
      <c r="Q3498" t="s">
        <v>310</v>
      </c>
      <c r="R3498" t="s">
        <v>310</v>
      </c>
      <c r="S3498">
        <v>9</v>
      </c>
      <c r="T3498" t="s">
        <v>310</v>
      </c>
      <c r="U3498">
        <v>9</v>
      </c>
      <c r="V3498">
        <v>9</v>
      </c>
      <c r="W3498">
        <v>0</v>
      </c>
      <c r="X3498">
        <v>0</v>
      </c>
      <c r="Y3498">
        <v>0</v>
      </c>
      <c r="Z3498">
        <v>0</v>
      </c>
      <c r="AA3498">
        <v>9</v>
      </c>
      <c r="AB3498">
        <v>9</v>
      </c>
      <c r="AC3498" t="s">
        <v>310</v>
      </c>
      <c r="AD3498">
        <v>9</v>
      </c>
      <c r="AE3498" t="s">
        <v>1390</v>
      </c>
      <c r="AF3498">
        <v>0</v>
      </c>
      <c r="AG3498" t="s">
        <v>310</v>
      </c>
      <c r="AH3498">
        <f>SUM((MID(Dyno_Data[[#This Row],[Team]],4,5))+(Dyno_Data[[#This Row],[Match]]/100))</f>
        <v>1511.64</v>
      </c>
      <c r="AI3498" s="76">
        <f>ROUND(SUM(IF(Dyno_Data[[#This Row],[AcqCenter]]&gt;0,Dyno_Data[[#This Row],[Time]]-SUMIFS(Dyno_Data[Time],Dyno_Data[Team],Dyno_Data[[#This Row],[Team]],Dyno_Data[RecordType],"StartMatch",Dyno_Data[Match],Dyno_Data[[#This Row],[Match]]),0)*86400),0)</f>
        <v>0</v>
      </c>
    </row>
    <row r="3499" spans="1:35" x14ac:dyDescent="0.3">
      <c r="A3499">
        <v>3512</v>
      </c>
      <c r="B3499" t="s">
        <v>1297</v>
      </c>
      <c r="C3499">
        <v>64</v>
      </c>
      <c r="D3499" s="105">
        <v>45374.412781597224</v>
      </c>
      <c r="E3499" t="s">
        <v>308</v>
      </c>
      <c r="F3499" t="s">
        <v>309</v>
      </c>
      <c r="G3499">
        <v>0</v>
      </c>
      <c r="H3499" t="s">
        <v>310</v>
      </c>
      <c r="I3499">
        <v>0</v>
      </c>
      <c r="J3499">
        <v>0</v>
      </c>
      <c r="K3499">
        <v>0</v>
      </c>
      <c r="L3499" t="s">
        <v>310</v>
      </c>
      <c r="M3499" t="s">
        <v>310</v>
      </c>
      <c r="N3499">
        <v>0</v>
      </c>
      <c r="O3499" t="s">
        <v>1395</v>
      </c>
      <c r="P3499" t="s">
        <v>310</v>
      </c>
      <c r="Q3499" t="s">
        <v>310</v>
      </c>
      <c r="R3499" t="s">
        <v>310</v>
      </c>
      <c r="S3499">
        <v>9</v>
      </c>
      <c r="T3499" t="s">
        <v>310</v>
      </c>
      <c r="U3499">
        <v>9</v>
      </c>
      <c r="V3499">
        <v>9</v>
      </c>
      <c r="W3499">
        <v>0</v>
      </c>
      <c r="X3499">
        <v>0</v>
      </c>
      <c r="Y3499">
        <v>0</v>
      </c>
      <c r="Z3499">
        <v>0</v>
      </c>
      <c r="AA3499">
        <v>9</v>
      </c>
      <c r="AB3499">
        <v>9</v>
      </c>
      <c r="AC3499" t="s">
        <v>310</v>
      </c>
      <c r="AD3499">
        <v>9</v>
      </c>
      <c r="AE3499" t="s">
        <v>1414</v>
      </c>
      <c r="AF3499">
        <v>0</v>
      </c>
      <c r="AG3499" t="s">
        <v>310</v>
      </c>
      <c r="AH3499">
        <f>SUM((MID(Dyno_Data[[#This Row],[Team]],4,5))+(Dyno_Data[[#This Row],[Match]]/100))</f>
        <v>9750.64</v>
      </c>
      <c r="AI3499" s="76">
        <f>ROUND(SUM(IF(Dyno_Data[[#This Row],[AcqCenter]]&gt;0,Dyno_Data[[#This Row],[Time]]-SUMIFS(Dyno_Data[Time],Dyno_Data[Team],Dyno_Data[[#This Row],[Team]],Dyno_Data[RecordType],"StartMatch",Dyno_Data[Match],Dyno_Data[[#This Row],[Match]]),0)*86400),0)</f>
        <v>0</v>
      </c>
    </row>
    <row r="3500" spans="1:35" x14ac:dyDescent="0.3">
      <c r="A3500">
        <v>3495</v>
      </c>
      <c r="B3500" t="s">
        <v>372</v>
      </c>
      <c r="C3500">
        <v>64</v>
      </c>
      <c r="D3500" s="105">
        <v>45374.412788113426</v>
      </c>
      <c r="E3500" t="s">
        <v>312</v>
      </c>
      <c r="F3500" t="s">
        <v>309</v>
      </c>
      <c r="G3500">
        <v>0</v>
      </c>
      <c r="H3500" t="s">
        <v>1397</v>
      </c>
      <c r="I3500">
        <v>0</v>
      </c>
      <c r="J3500">
        <v>0</v>
      </c>
      <c r="K3500">
        <v>0</v>
      </c>
      <c r="L3500" t="s">
        <v>240</v>
      </c>
      <c r="M3500" t="s">
        <v>1398</v>
      </c>
      <c r="N3500">
        <v>0</v>
      </c>
      <c r="O3500" t="s">
        <v>1389</v>
      </c>
      <c r="P3500" t="s">
        <v>310</v>
      </c>
      <c r="Q3500" t="s">
        <v>310</v>
      </c>
      <c r="R3500" t="s">
        <v>310</v>
      </c>
      <c r="S3500">
        <v>9</v>
      </c>
      <c r="T3500" t="s">
        <v>310</v>
      </c>
      <c r="U3500">
        <v>9</v>
      </c>
      <c r="V3500">
        <v>9</v>
      </c>
      <c r="W3500">
        <v>0</v>
      </c>
      <c r="X3500">
        <v>0</v>
      </c>
      <c r="Y3500">
        <v>0</v>
      </c>
      <c r="Z3500">
        <v>0</v>
      </c>
      <c r="AA3500">
        <v>9</v>
      </c>
      <c r="AB3500">
        <v>9</v>
      </c>
      <c r="AC3500" t="s">
        <v>310</v>
      </c>
      <c r="AD3500">
        <v>9</v>
      </c>
      <c r="AE3500" t="s">
        <v>1413</v>
      </c>
      <c r="AF3500">
        <v>0</v>
      </c>
      <c r="AG3500" t="s">
        <v>310</v>
      </c>
      <c r="AH3500">
        <f>SUM((MID(Dyno_Data[[#This Row],[Team]],4,5))+(Dyno_Data[[#This Row],[Match]]/100))</f>
        <v>7504.64</v>
      </c>
      <c r="AI3500" s="76">
        <f>ROUND(SUM(IF(Dyno_Data[[#This Row],[AcqCenter]]&gt;0,Dyno_Data[[#This Row],[Time]]-SUMIFS(Dyno_Data[Time],Dyno_Data[Team],Dyno_Data[[#This Row],[Team]],Dyno_Data[RecordType],"StartMatch",Dyno_Data[Match],Dyno_Data[[#This Row],[Match]]),0)*86400),0)</f>
        <v>0</v>
      </c>
    </row>
    <row r="3501" spans="1:35" x14ac:dyDescent="0.3">
      <c r="A3501">
        <v>3496</v>
      </c>
      <c r="B3501" t="s">
        <v>1286</v>
      </c>
      <c r="C3501">
        <v>64</v>
      </c>
      <c r="D3501" s="105">
        <v>45374.41279386574</v>
      </c>
      <c r="E3501" t="s">
        <v>312</v>
      </c>
      <c r="F3501" t="s">
        <v>309</v>
      </c>
      <c r="G3501">
        <v>0</v>
      </c>
      <c r="H3501" t="s">
        <v>1397</v>
      </c>
      <c r="I3501">
        <v>0</v>
      </c>
      <c r="J3501">
        <v>0</v>
      </c>
      <c r="K3501">
        <v>0</v>
      </c>
      <c r="L3501" t="s">
        <v>240</v>
      </c>
      <c r="M3501" t="s">
        <v>1398</v>
      </c>
      <c r="N3501">
        <v>0</v>
      </c>
      <c r="O3501" t="s">
        <v>1391</v>
      </c>
      <c r="P3501" t="s">
        <v>310</v>
      </c>
      <c r="Q3501" t="s">
        <v>310</v>
      </c>
      <c r="R3501" t="s">
        <v>310</v>
      </c>
      <c r="S3501">
        <v>9</v>
      </c>
      <c r="T3501" t="s">
        <v>310</v>
      </c>
      <c r="U3501">
        <v>9</v>
      </c>
      <c r="V3501">
        <v>9</v>
      </c>
      <c r="W3501">
        <v>0</v>
      </c>
      <c r="X3501">
        <v>0</v>
      </c>
      <c r="Y3501">
        <v>0</v>
      </c>
      <c r="Z3501">
        <v>0</v>
      </c>
      <c r="AA3501">
        <v>9</v>
      </c>
      <c r="AB3501">
        <v>9</v>
      </c>
      <c r="AC3501" t="s">
        <v>310</v>
      </c>
      <c r="AD3501">
        <v>9</v>
      </c>
      <c r="AE3501" t="s">
        <v>1388</v>
      </c>
      <c r="AF3501">
        <v>0</v>
      </c>
      <c r="AG3501" t="s">
        <v>310</v>
      </c>
      <c r="AH3501">
        <f>SUM((MID(Dyno_Data[[#This Row],[Team]],4,5))+(Dyno_Data[[#This Row],[Match]]/100))</f>
        <v>1591.64</v>
      </c>
      <c r="AI3501" s="76">
        <f>ROUND(SUM(IF(Dyno_Data[[#This Row],[AcqCenter]]&gt;0,Dyno_Data[[#This Row],[Time]]-SUMIFS(Dyno_Data[Time],Dyno_Data[Team],Dyno_Data[[#This Row],[Team]],Dyno_Data[RecordType],"StartMatch",Dyno_Data[Match],Dyno_Data[[#This Row],[Match]]),0)*86400),0)</f>
        <v>0</v>
      </c>
    </row>
    <row r="3502" spans="1:35" x14ac:dyDescent="0.3">
      <c r="A3502">
        <v>3497</v>
      </c>
      <c r="B3502" t="s">
        <v>1303</v>
      </c>
      <c r="C3502">
        <v>64</v>
      </c>
      <c r="D3502" s="105">
        <v>45374.412798148151</v>
      </c>
      <c r="E3502" t="s">
        <v>312</v>
      </c>
      <c r="F3502" t="s">
        <v>309</v>
      </c>
      <c r="G3502">
        <v>0</v>
      </c>
      <c r="H3502" t="s">
        <v>1397</v>
      </c>
      <c r="I3502">
        <v>0</v>
      </c>
      <c r="J3502">
        <v>0</v>
      </c>
      <c r="K3502">
        <v>0</v>
      </c>
      <c r="L3502" t="s">
        <v>240</v>
      </c>
      <c r="M3502" t="s">
        <v>1398</v>
      </c>
      <c r="N3502">
        <v>0</v>
      </c>
      <c r="O3502" t="s">
        <v>1393</v>
      </c>
      <c r="P3502" t="s">
        <v>310</v>
      </c>
      <c r="Q3502" t="s">
        <v>310</v>
      </c>
      <c r="R3502" t="s">
        <v>310</v>
      </c>
      <c r="S3502">
        <v>9</v>
      </c>
      <c r="T3502" t="s">
        <v>310</v>
      </c>
      <c r="U3502">
        <v>9</v>
      </c>
      <c r="V3502">
        <v>9</v>
      </c>
      <c r="W3502">
        <v>0</v>
      </c>
      <c r="X3502">
        <v>0</v>
      </c>
      <c r="Y3502">
        <v>0</v>
      </c>
      <c r="Z3502">
        <v>0</v>
      </c>
      <c r="AA3502">
        <v>9</v>
      </c>
      <c r="AB3502">
        <v>9</v>
      </c>
      <c r="AC3502" t="s">
        <v>310</v>
      </c>
      <c r="AD3502">
        <v>9</v>
      </c>
      <c r="AE3502" t="s">
        <v>1412</v>
      </c>
      <c r="AF3502">
        <v>0</v>
      </c>
      <c r="AG3502" t="s">
        <v>310</v>
      </c>
      <c r="AH3502">
        <f>SUM((MID(Dyno_Data[[#This Row],[Team]],4,5))+(Dyno_Data[[#This Row],[Match]]/100))</f>
        <v>7605.64</v>
      </c>
      <c r="AI3502" s="76">
        <f>ROUND(SUM(IF(Dyno_Data[[#This Row],[AcqCenter]]&gt;0,Dyno_Data[[#This Row],[Time]]-SUMIFS(Dyno_Data[Time],Dyno_Data[Team],Dyno_Data[[#This Row],[Team]],Dyno_Data[RecordType],"StartMatch",Dyno_Data[Match],Dyno_Data[[#This Row],[Match]]),0)*86400),0)</f>
        <v>0</v>
      </c>
    </row>
    <row r="3503" spans="1:35" x14ac:dyDescent="0.3">
      <c r="A3503">
        <v>3498</v>
      </c>
      <c r="B3503" t="s">
        <v>1314</v>
      </c>
      <c r="C3503">
        <v>64</v>
      </c>
      <c r="D3503" s="105">
        <v>45374.412807060187</v>
      </c>
      <c r="E3503" t="s">
        <v>312</v>
      </c>
      <c r="F3503" t="s">
        <v>309</v>
      </c>
      <c r="G3503">
        <v>0</v>
      </c>
      <c r="H3503" t="s">
        <v>1397</v>
      </c>
      <c r="I3503">
        <v>0</v>
      </c>
      <c r="J3503">
        <v>0</v>
      </c>
      <c r="K3503">
        <v>0</v>
      </c>
      <c r="L3503" t="s">
        <v>240</v>
      </c>
      <c r="M3503" t="s">
        <v>1398</v>
      </c>
      <c r="N3503">
        <v>0</v>
      </c>
      <c r="O3503" t="s">
        <v>319</v>
      </c>
      <c r="P3503" t="s">
        <v>310</v>
      </c>
      <c r="Q3503" t="s">
        <v>310</v>
      </c>
      <c r="R3503" t="s">
        <v>310</v>
      </c>
      <c r="S3503">
        <v>9</v>
      </c>
      <c r="T3503" t="s">
        <v>310</v>
      </c>
      <c r="U3503">
        <v>9</v>
      </c>
      <c r="V3503">
        <v>9</v>
      </c>
      <c r="W3503">
        <v>0</v>
      </c>
      <c r="X3503">
        <v>0</v>
      </c>
      <c r="Y3503">
        <v>0</v>
      </c>
      <c r="Z3503">
        <v>0</v>
      </c>
      <c r="AA3503">
        <v>9</v>
      </c>
      <c r="AB3503">
        <v>9</v>
      </c>
      <c r="AC3503" t="s">
        <v>310</v>
      </c>
      <c r="AD3503">
        <v>9</v>
      </c>
      <c r="AE3503" t="s">
        <v>1396</v>
      </c>
      <c r="AF3503">
        <v>0</v>
      </c>
      <c r="AG3503" t="s">
        <v>310</v>
      </c>
      <c r="AH3503">
        <f>SUM((MID(Dyno_Data[[#This Row],[Team]],4,5))+(Dyno_Data[[#This Row],[Match]]/100))</f>
        <v>3419.64</v>
      </c>
      <c r="AI3503" s="76">
        <f>ROUND(SUM(IF(Dyno_Data[[#This Row],[AcqCenter]]&gt;0,Dyno_Data[[#This Row],[Time]]-SUMIFS(Dyno_Data[Time],Dyno_Data[Team],Dyno_Data[[#This Row],[Team]],Dyno_Data[RecordType],"StartMatch",Dyno_Data[Match],Dyno_Data[[#This Row],[Match]]),0)*86400),0)</f>
        <v>0</v>
      </c>
    </row>
    <row r="3504" spans="1:35" x14ac:dyDescent="0.3">
      <c r="A3504">
        <v>3500</v>
      </c>
      <c r="B3504" t="s">
        <v>1286</v>
      </c>
      <c r="C3504">
        <v>64</v>
      </c>
      <c r="D3504" s="105">
        <v>45374.412808530091</v>
      </c>
      <c r="E3504" t="s">
        <v>312</v>
      </c>
      <c r="F3504" t="s">
        <v>309</v>
      </c>
      <c r="G3504">
        <v>0</v>
      </c>
      <c r="H3504" t="s">
        <v>143</v>
      </c>
      <c r="I3504">
        <v>3</v>
      </c>
      <c r="J3504">
        <v>1</v>
      </c>
      <c r="K3504">
        <v>0</v>
      </c>
      <c r="L3504" t="s">
        <v>310</v>
      </c>
      <c r="M3504" t="s">
        <v>310</v>
      </c>
      <c r="N3504">
        <v>0</v>
      </c>
      <c r="O3504" t="s">
        <v>1391</v>
      </c>
      <c r="P3504" t="s">
        <v>310</v>
      </c>
      <c r="Q3504" t="s">
        <v>310</v>
      </c>
      <c r="R3504" t="s">
        <v>310</v>
      </c>
      <c r="S3504">
        <v>9</v>
      </c>
      <c r="T3504" t="s">
        <v>310</v>
      </c>
      <c r="U3504">
        <v>9</v>
      </c>
      <c r="V3504">
        <v>9</v>
      </c>
      <c r="W3504">
        <v>0</v>
      </c>
      <c r="X3504">
        <v>0</v>
      </c>
      <c r="Y3504">
        <v>0</v>
      </c>
      <c r="Z3504">
        <v>0</v>
      </c>
      <c r="AA3504">
        <v>9</v>
      </c>
      <c r="AB3504">
        <v>9</v>
      </c>
      <c r="AC3504" t="s">
        <v>310</v>
      </c>
      <c r="AD3504">
        <v>9</v>
      </c>
      <c r="AE3504" t="s">
        <v>1388</v>
      </c>
      <c r="AF3504">
        <v>1000</v>
      </c>
      <c r="AG3504" t="s">
        <v>310</v>
      </c>
      <c r="AH3504">
        <f>SUM((MID(Dyno_Data[[#This Row],[Team]],4,5))+(Dyno_Data[[#This Row],[Match]]/100))</f>
        <v>1591.64</v>
      </c>
      <c r="AI3504" s="76">
        <f>ROUND(SUM(IF(Dyno_Data[[#This Row],[AcqCenter]]&gt;0,Dyno_Data[[#This Row],[Time]]-SUMIFS(Dyno_Data[Time],Dyno_Data[Team],Dyno_Data[[#This Row],[Team]],Dyno_Data[RecordType],"StartMatch",Dyno_Data[Match],Dyno_Data[[#This Row],[Match]]),0)*86400),0)</f>
        <v>-3</v>
      </c>
    </row>
    <row r="3505" spans="1:35" x14ac:dyDescent="0.3">
      <c r="A3505">
        <v>3499</v>
      </c>
      <c r="B3505" t="s">
        <v>1315</v>
      </c>
      <c r="C3505">
        <v>64</v>
      </c>
      <c r="D3505" s="105">
        <v>45374.412812812501</v>
      </c>
      <c r="E3505" t="s">
        <v>312</v>
      </c>
      <c r="F3505" t="s">
        <v>309</v>
      </c>
      <c r="G3505">
        <v>0</v>
      </c>
      <c r="H3505" t="s">
        <v>1397</v>
      </c>
      <c r="I3505">
        <v>0</v>
      </c>
      <c r="J3505">
        <v>0</v>
      </c>
      <c r="K3505">
        <v>0</v>
      </c>
      <c r="L3505" t="s">
        <v>240</v>
      </c>
      <c r="M3505" t="s">
        <v>1398</v>
      </c>
      <c r="N3505">
        <v>0</v>
      </c>
      <c r="O3505" t="s">
        <v>311</v>
      </c>
      <c r="P3505" t="s">
        <v>310</v>
      </c>
      <c r="Q3505" t="s">
        <v>310</v>
      </c>
      <c r="R3505" t="s">
        <v>310</v>
      </c>
      <c r="S3505">
        <v>9</v>
      </c>
      <c r="T3505" t="s">
        <v>310</v>
      </c>
      <c r="U3505">
        <v>9</v>
      </c>
      <c r="V3505">
        <v>9</v>
      </c>
      <c r="W3505">
        <v>0</v>
      </c>
      <c r="X3505">
        <v>0</v>
      </c>
      <c r="Y3505">
        <v>0</v>
      </c>
      <c r="Z3505">
        <v>0</v>
      </c>
      <c r="AA3505">
        <v>9</v>
      </c>
      <c r="AB3505">
        <v>9</v>
      </c>
      <c r="AC3505" t="s">
        <v>310</v>
      </c>
      <c r="AD3505">
        <v>9</v>
      </c>
      <c r="AE3505" t="s">
        <v>1390</v>
      </c>
      <c r="AF3505">
        <v>0</v>
      </c>
      <c r="AG3505" t="s">
        <v>310</v>
      </c>
      <c r="AH3505">
        <f>SUM((MID(Dyno_Data[[#This Row],[Team]],4,5))+(Dyno_Data[[#This Row],[Match]]/100))</f>
        <v>1511.64</v>
      </c>
      <c r="AI3505" s="76">
        <f>ROUND(SUM(IF(Dyno_Data[[#This Row],[AcqCenter]]&gt;0,Dyno_Data[[#This Row],[Time]]-SUMIFS(Dyno_Data[Time],Dyno_Data[Team],Dyno_Data[[#This Row],[Team]],Dyno_Data[RecordType],"StartMatch",Dyno_Data[Match],Dyno_Data[[#This Row],[Match]]),0)*86400),0)</f>
        <v>0</v>
      </c>
    </row>
    <row r="3506" spans="1:35" x14ac:dyDescent="0.3">
      <c r="A3506">
        <v>3501</v>
      </c>
      <c r="B3506" t="s">
        <v>1314</v>
      </c>
      <c r="C3506">
        <v>64</v>
      </c>
      <c r="D3506" s="105">
        <v>45374.4128375</v>
      </c>
      <c r="E3506" t="s">
        <v>312</v>
      </c>
      <c r="F3506" t="s">
        <v>309</v>
      </c>
      <c r="G3506">
        <v>0</v>
      </c>
      <c r="H3506" t="s">
        <v>315</v>
      </c>
      <c r="I3506">
        <v>0</v>
      </c>
      <c r="J3506">
        <v>0</v>
      </c>
      <c r="K3506">
        <v>0</v>
      </c>
      <c r="L3506" t="s">
        <v>240</v>
      </c>
      <c r="M3506" t="s">
        <v>1398</v>
      </c>
      <c r="N3506">
        <v>0</v>
      </c>
      <c r="O3506" t="s">
        <v>319</v>
      </c>
      <c r="P3506" t="s">
        <v>310</v>
      </c>
      <c r="Q3506" t="s">
        <v>310</v>
      </c>
      <c r="R3506" t="s">
        <v>310</v>
      </c>
      <c r="S3506">
        <v>9</v>
      </c>
      <c r="T3506" t="s">
        <v>310</v>
      </c>
      <c r="U3506">
        <v>9</v>
      </c>
      <c r="V3506">
        <v>9</v>
      </c>
      <c r="W3506">
        <v>0</v>
      </c>
      <c r="X3506">
        <v>0</v>
      </c>
      <c r="Y3506">
        <v>0</v>
      </c>
      <c r="Z3506">
        <v>0</v>
      </c>
      <c r="AA3506">
        <v>9</v>
      </c>
      <c r="AB3506">
        <v>9</v>
      </c>
      <c r="AC3506" t="s">
        <v>310</v>
      </c>
      <c r="AD3506">
        <v>9</v>
      </c>
      <c r="AE3506" t="s">
        <v>1396</v>
      </c>
      <c r="AF3506">
        <v>10000000</v>
      </c>
      <c r="AG3506" t="s">
        <v>310</v>
      </c>
      <c r="AH3506">
        <f>SUM((MID(Dyno_Data[[#This Row],[Team]],4,5))+(Dyno_Data[[#This Row],[Match]]/100))</f>
        <v>3419.64</v>
      </c>
      <c r="AI3506" s="76">
        <f>ROUND(SUM(IF(Dyno_Data[[#This Row],[AcqCenter]]&gt;0,Dyno_Data[[#This Row],[Time]]-SUMIFS(Dyno_Data[Time],Dyno_Data[Team],Dyno_Data[[#This Row],[Team]],Dyno_Data[RecordType],"StartMatch",Dyno_Data[Match],Dyno_Data[[#This Row],[Match]]),0)*86400),0)</f>
        <v>0</v>
      </c>
    </row>
    <row r="3507" spans="1:35" x14ac:dyDescent="0.3">
      <c r="A3507">
        <v>3516</v>
      </c>
      <c r="B3507" t="s">
        <v>1286</v>
      </c>
      <c r="C3507">
        <v>64</v>
      </c>
      <c r="D3507" s="105">
        <v>45374.412845520834</v>
      </c>
      <c r="E3507" t="s">
        <v>308</v>
      </c>
      <c r="F3507" t="s">
        <v>309</v>
      </c>
      <c r="G3507">
        <v>0</v>
      </c>
      <c r="H3507" t="s">
        <v>310</v>
      </c>
      <c r="I3507">
        <v>0</v>
      </c>
      <c r="J3507">
        <v>0</v>
      </c>
      <c r="K3507">
        <v>0</v>
      </c>
      <c r="L3507" t="s">
        <v>310</v>
      </c>
      <c r="M3507" t="s">
        <v>310</v>
      </c>
      <c r="N3507">
        <v>0</v>
      </c>
      <c r="O3507" t="s">
        <v>1391</v>
      </c>
      <c r="P3507" t="s">
        <v>310</v>
      </c>
      <c r="Q3507" t="s">
        <v>310</v>
      </c>
      <c r="R3507" t="s">
        <v>310</v>
      </c>
      <c r="S3507">
        <v>9</v>
      </c>
      <c r="T3507" t="s">
        <v>310</v>
      </c>
      <c r="U3507">
        <v>9</v>
      </c>
      <c r="V3507">
        <v>9</v>
      </c>
      <c r="W3507">
        <v>0</v>
      </c>
      <c r="X3507">
        <v>0</v>
      </c>
      <c r="Y3507">
        <v>0</v>
      </c>
      <c r="Z3507">
        <v>0</v>
      </c>
      <c r="AA3507">
        <v>9</v>
      </c>
      <c r="AB3507">
        <v>9</v>
      </c>
      <c r="AC3507" t="s">
        <v>310</v>
      </c>
      <c r="AD3507">
        <v>9</v>
      </c>
      <c r="AE3507" t="s">
        <v>1388</v>
      </c>
      <c r="AF3507">
        <v>20001000</v>
      </c>
      <c r="AG3507" t="s">
        <v>310</v>
      </c>
      <c r="AH3507">
        <f>SUM((MID(Dyno_Data[[#This Row],[Team]],4,5))+(Dyno_Data[[#This Row],[Match]]/100))</f>
        <v>1591.64</v>
      </c>
      <c r="AI3507" s="76">
        <f>ROUND(SUM(IF(Dyno_Data[[#This Row],[AcqCenter]]&gt;0,Dyno_Data[[#This Row],[Time]]-SUMIFS(Dyno_Data[Time],Dyno_Data[Team],Dyno_Data[[#This Row],[Team]],Dyno_Data[RecordType],"StartMatch",Dyno_Data[Match],Dyno_Data[[#This Row],[Match]]),0)*86400),0)</f>
        <v>0</v>
      </c>
    </row>
    <row r="3508" spans="1:35" x14ac:dyDescent="0.3">
      <c r="A3508">
        <v>3502</v>
      </c>
      <c r="B3508" t="s">
        <v>1286</v>
      </c>
      <c r="C3508">
        <v>64</v>
      </c>
      <c r="D3508" s="105">
        <v>45374.412852743058</v>
      </c>
      <c r="E3508" t="s">
        <v>312</v>
      </c>
      <c r="F3508" t="s">
        <v>309</v>
      </c>
      <c r="G3508">
        <v>0</v>
      </c>
      <c r="H3508" t="s">
        <v>143</v>
      </c>
      <c r="I3508">
        <v>0</v>
      </c>
      <c r="J3508">
        <v>0</v>
      </c>
      <c r="K3508">
        <v>0</v>
      </c>
      <c r="L3508" t="s">
        <v>241</v>
      </c>
      <c r="M3508" t="s">
        <v>1398</v>
      </c>
      <c r="N3508">
        <v>0</v>
      </c>
      <c r="O3508" t="s">
        <v>1391</v>
      </c>
      <c r="P3508" t="s">
        <v>310</v>
      </c>
      <c r="Q3508" t="s">
        <v>310</v>
      </c>
      <c r="R3508" t="s">
        <v>310</v>
      </c>
      <c r="S3508">
        <v>9</v>
      </c>
      <c r="T3508" t="s">
        <v>310</v>
      </c>
      <c r="U3508">
        <v>9</v>
      </c>
      <c r="V3508">
        <v>9</v>
      </c>
      <c r="W3508">
        <v>0</v>
      </c>
      <c r="X3508">
        <v>0</v>
      </c>
      <c r="Y3508">
        <v>0</v>
      </c>
      <c r="Z3508">
        <v>0</v>
      </c>
      <c r="AA3508">
        <v>9</v>
      </c>
      <c r="AB3508">
        <v>9</v>
      </c>
      <c r="AC3508" t="s">
        <v>310</v>
      </c>
      <c r="AD3508">
        <v>9</v>
      </c>
      <c r="AE3508" t="s">
        <v>1388</v>
      </c>
      <c r="AF3508">
        <v>1000</v>
      </c>
      <c r="AG3508" t="s">
        <v>310</v>
      </c>
      <c r="AH3508">
        <f>SUM((MID(Dyno_Data[[#This Row],[Team]],4,5))+(Dyno_Data[[#This Row],[Match]]/100))</f>
        <v>1591.64</v>
      </c>
      <c r="AI3508" s="76">
        <f>ROUND(SUM(IF(Dyno_Data[[#This Row],[AcqCenter]]&gt;0,Dyno_Data[[#This Row],[Time]]-SUMIFS(Dyno_Data[Time],Dyno_Data[Team],Dyno_Data[[#This Row],[Team]],Dyno_Data[RecordType],"StartMatch",Dyno_Data[Match],Dyno_Data[[#This Row],[Match]]),0)*86400),0)</f>
        <v>0</v>
      </c>
    </row>
    <row r="3509" spans="1:35" x14ac:dyDescent="0.3">
      <c r="A3509">
        <v>3503</v>
      </c>
      <c r="B3509" t="s">
        <v>1314</v>
      </c>
      <c r="C3509">
        <v>64</v>
      </c>
      <c r="D3509" s="105">
        <v>45374.412891817126</v>
      </c>
      <c r="E3509" t="s">
        <v>312</v>
      </c>
      <c r="F3509" t="s">
        <v>309</v>
      </c>
      <c r="G3509">
        <v>0</v>
      </c>
      <c r="H3509" t="s">
        <v>143</v>
      </c>
      <c r="I3509">
        <v>5</v>
      </c>
      <c r="J3509">
        <v>1</v>
      </c>
      <c r="K3509">
        <v>0</v>
      </c>
      <c r="L3509" t="s">
        <v>310</v>
      </c>
      <c r="M3509" t="s">
        <v>310</v>
      </c>
      <c r="N3509">
        <v>0</v>
      </c>
      <c r="O3509" t="s">
        <v>319</v>
      </c>
      <c r="P3509" t="s">
        <v>310</v>
      </c>
      <c r="Q3509" t="s">
        <v>310</v>
      </c>
      <c r="R3509" t="s">
        <v>310</v>
      </c>
      <c r="S3509">
        <v>9</v>
      </c>
      <c r="T3509" t="s">
        <v>310</v>
      </c>
      <c r="U3509">
        <v>9</v>
      </c>
      <c r="V3509">
        <v>9</v>
      </c>
      <c r="W3509">
        <v>0</v>
      </c>
      <c r="X3509">
        <v>0</v>
      </c>
      <c r="Y3509">
        <v>0</v>
      </c>
      <c r="Z3509">
        <v>0</v>
      </c>
      <c r="AA3509">
        <v>9</v>
      </c>
      <c r="AB3509">
        <v>9</v>
      </c>
      <c r="AC3509" t="s">
        <v>310</v>
      </c>
      <c r="AD3509">
        <v>9</v>
      </c>
      <c r="AE3509" t="s">
        <v>1396</v>
      </c>
      <c r="AF3509">
        <v>10001000</v>
      </c>
      <c r="AG3509" t="s">
        <v>310</v>
      </c>
      <c r="AH3509">
        <f>SUM((MID(Dyno_Data[[#This Row],[Team]],4,5))+(Dyno_Data[[#This Row],[Match]]/100))</f>
        <v>3419.64</v>
      </c>
      <c r="AI3509" s="76">
        <f>ROUND(SUM(IF(Dyno_Data[[#This Row],[AcqCenter]]&gt;0,Dyno_Data[[#This Row],[Time]]-SUMIFS(Dyno_Data[Time],Dyno_Data[Team],Dyno_Data[[#This Row],[Team]],Dyno_Data[RecordType],"StartMatch",Dyno_Data[Match],Dyno_Data[[#This Row],[Match]]),0)*86400),0)</f>
        <v>11</v>
      </c>
    </row>
    <row r="3510" spans="1:35" x14ac:dyDescent="0.3">
      <c r="A3510">
        <v>3504</v>
      </c>
      <c r="B3510" t="s">
        <v>1286</v>
      </c>
      <c r="C3510">
        <v>64</v>
      </c>
      <c r="D3510" s="105">
        <v>45374.412910335646</v>
      </c>
      <c r="E3510" t="s">
        <v>312</v>
      </c>
      <c r="F3510" t="s">
        <v>309</v>
      </c>
      <c r="G3510">
        <v>0</v>
      </c>
      <c r="H3510" t="s">
        <v>315</v>
      </c>
      <c r="I3510">
        <v>0</v>
      </c>
      <c r="J3510">
        <v>0</v>
      </c>
      <c r="K3510">
        <v>0</v>
      </c>
      <c r="L3510" t="s">
        <v>241</v>
      </c>
      <c r="M3510" t="s">
        <v>1398</v>
      </c>
      <c r="N3510">
        <v>0</v>
      </c>
      <c r="O3510" t="s">
        <v>1391</v>
      </c>
      <c r="P3510" t="s">
        <v>310</v>
      </c>
      <c r="Q3510" t="s">
        <v>310</v>
      </c>
      <c r="R3510" t="s">
        <v>310</v>
      </c>
      <c r="S3510">
        <v>9</v>
      </c>
      <c r="T3510" t="s">
        <v>310</v>
      </c>
      <c r="U3510">
        <v>9</v>
      </c>
      <c r="V3510">
        <v>9</v>
      </c>
      <c r="W3510">
        <v>0</v>
      </c>
      <c r="X3510">
        <v>0</v>
      </c>
      <c r="Y3510">
        <v>0</v>
      </c>
      <c r="Z3510">
        <v>0</v>
      </c>
      <c r="AA3510">
        <v>9</v>
      </c>
      <c r="AB3510">
        <v>9</v>
      </c>
      <c r="AC3510" t="s">
        <v>310</v>
      </c>
      <c r="AD3510">
        <v>9</v>
      </c>
      <c r="AE3510" t="s">
        <v>1388</v>
      </c>
      <c r="AF3510">
        <v>10001000</v>
      </c>
      <c r="AG3510" t="s">
        <v>310</v>
      </c>
      <c r="AH3510">
        <f>SUM((MID(Dyno_Data[[#This Row],[Team]],4,5))+(Dyno_Data[[#This Row],[Match]]/100))</f>
        <v>1591.64</v>
      </c>
      <c r="AI3510" s="76">
        <f>ROUND(SUM(IF(Dyno_Data[[#This Row],[AcqCenter]]&gt;0,Dyno_Data[[#This Row],[Time]]-SUMIFS(Dyno_Data[Time],Dyno_Data[Team],Dyno_Data[[#This Row],[Team]],Dyno_Data[RecordType],"StartMatch",Dyno_Data[Match],Dyno_Data[[#This Row],[Match]]),0)*86400),0)</f>
        <v>0</v>
      </c>
    </row>
    <row r="3511" spans="1:35" x14ac:dyDescent="0.3">
      <c r="A3511">
        <v>3505</v>
      </c>
      <c r="B3511" t="s">
        <v>1314</v>
      </c>
      <c r="C3511">
        <v>64</v>
      </c>
      <c r="D3511" s="105">
        <v>45374.412930555554</v>
      </c>
      <c r="E3511" t="s">
        <v>312</v>
      </c>
      <c r="F3511" t="s">
        <v>309</v>
      </c>
      <c r="G3511">
        <v>0</v>
      </c>
      <c r="H3511" t="s">
        <v>143</v>
      </c>
      <c r="I3511">
        <v>0</v>
      </c>
      <c r="J3511">
        <v>0</v>
      </c>
      <c r="K3511">
        <v>0</v>
      </c>
      <c r="L3511" t="s">
        <v>240</v>
      </c>
      <c r="M3511" t="s">
        <v>1398</v>
      </c>
      <c r="N3511">
        <v>0</v>
      </c>
      <c r="O3511" t="s">
        <v>319</v>
      </c>
      <c r="P3511" t="s">
        <v>310</v>
      </c>
      <c r="Q3511" t="s">
        <v>310</v>
      </c>
      <c r="R3511" t="s">
        <v>310</v>
      </c>
      <c r="S3511">
        <v>9</v>
      </c>
      <c r="T3511" t="s">
        <v>310</v>
      </c>
      <c r="U3511">
        <v>9</v>
      </c>
      <c r="V3511">
        <v>9</v>
      </c>
      <c r="W3511">
        <v>0</v>
      </c>
      <c r="X3511">
        <v>0</v>
      </c>
      <c r="Y3511">
        <v>0</v>
      </c>
      <c r="Z3511">
        <v>0</v>
      </c>
      <c r="AA3511">
        <v>9</v>
      </c>
      <c r="AB3511">
        <v>9</v>
      </c>
      <c r="AC3511" t="s">
        <v>310</v>
      </c>
      <c r="AD3511">
        <v>9</v>
      </c>
      <c r="AE3511" t="s">
        <v>1396</v>
      </c>
      <c r="AF3511">
        <v>10001000</v>
      </c>
      <c r="AG3511" t="s">
        <v>310</v>
      </c>
      <c r="AH3511">
        <f>SUM((MID(Dyno_Data[[#This Row],[Team]],4,5))+(Dyno_Data[[#This Row],[Match]]/100))</f>
        <v>3419.64</v>
      </c>
      <c r="AI3511" s="76">
        <f>ROUND(SUM(IF(Dyno_Data[[#This Row],[AcqCenter]]&gt;0,Dyno_Data[[#This Row],[Time]]-SUMIFS(Dyno_Data[Time],Dyno_Data[Team],Dyno_Data[[#This Row],[Team]],Dyno_Data[RecordType],"StartMatch",Dyno_Data[Match],Dyno_Data[[#This Row],[Match]]),0)*86400),0)</f>
        <v>0</v>
      </c>
    </row>
    <row r="3512" spans="1:35" x14ac:dyDescent="0.3">
      <c r="A3512">
        <v>3519</v>
      </c>
      <c r="B3512" t="s">
        <v>372</v>
      </c>
      <c r="C3512">
        <v>64</v>
      </c>
      <c r="D3512" s="105">
        <v>45374.412940011571</v>
      </c>
      <c r="E3512" t="s">
        <v>308</v>
      </c>
      <c r="F3512" t="s">
        <v>309</v>
      </c>
      <c r="G3512">
        <v>0</v>
      </c>
      <c r="H3512" t="s">
        <v>310</v>
      </c>
      <c r="I3512">
        <v>0</v>
      </c>
      <c r="J3512">
        <v>0</v>
      </c>
      <c r="K3512">
        <v>0</v>
      </c>
      <c r="L3512" t="s">
        <v>310</v>
      </c>
      <c r="M3512" t="s">
        <v>310</v>
      </c>
      <c r="N3512">
        <v>0</v>
      </c>
      <c r="O3512" t="s">
        <v>1389</v>
      </c>
      <c r="P3512" t="s">
        <v>310</v>
      </c>
      <c r="Q3512" t="s">
        <v>310</v>
      </c>
      <c r="R3512" t="s">
        <v>310</v>
      </c>
      <c r="S3512">
        <v>9</v>
      </c>
      <c r="T3512" t="s">
        <v>310</v>
      </c>
      <c r="U3512">
        <v>9</v>
      </c>
      <c r="V3512">
        <v>9</v>
      </c>
      <c r="W3512">
        <v>0</v>
      </c>
      <c r="X3512">
        <v>0</v>
      </c>
      <c r="Y3512">
        <v>0</v>
      </c>
      <c r="Z3512">
        <v>0</v>
      </c>
      <c r="AA3512">
        <v>9</v>
      </c>
      <c r="AB3512">
        <v>9</v>
      </c>
      <c r="AC3512" t="s">
        <v>310</v>
      </c>
      <c r="AD3512">
        <v>9</v>
      </c>
      <c r="AE3512" t="s">
        <v>1413</v>
      </c>
      <c r="AF3512">
        <v>0</v>
      </c>
      <c r="AG3512" t="s">
        <v>310</v>
      </c>
      <c r="AH3512">
        <f>SUM((MID(Dyno_Data[[#This Row],[Team]],4,5))+(Dyno_Data[[#This Row],[Match]]/100))</f>
        <v>7504.64</v>
      </c>
      <c r="AI3512" s="76">
        <f>ROUND(SUM(IF(Dyno_Data[[#This Row],[AcqCenter]]&gt;0,Dyno_Data[[#This Row],[Time]]-SUMIFS(Dyno_Data[Time],Dyno_Data[Team],Dyno_Data[[#This Row],[Team]],Dyno_Data[RecordType],"StartMatch",Dyno_Data[Match],Dyno_Data[[#This Row],[Match]]),0)*86400),0)</f>
        <v>0</v>
      </c>
    </row>
    <row r="3513" spans="1:35" x14ac:dyDescent="0.3">
      <c r="A3513">
        <v>3507</v>
      </c>
      <c r="B3513" t="s">
        <v>1303</v>
      </c>
      <c r="C3513">
        <v>64</v>
      </c>
      <c r="D3513" s="105">
        <v>45374.412976736108</v>
      </c>
      <c r="E3513" t="s">
        <v>314</v>
      </c>
      <c r="F3513" t="s">
        <v>309</v>
      </c>
      <c r="G3513">
        <v>0</v>
      </c>
      <c r="H3513" t="s">
        <v>310</v>
      </c>
      <c r="I3513">
        <v>0</v>
      </c>
      <c r="J3513">
        <v>0</v>
      </c>
      <c r="K3513">
        <v>0</v>
      </c>
      <c r="L3513" t="s">
        <v>310</v>
      </c>
      <c r="M3513" t="s">
        <v>310</v>
      </c>
      <c r="N3513">
        <v>0</v>
      </c>
      <c r="O3513" t="s">
        <v>1393</v>
      </c>
      <c r="P3513" t="s">
        <v>240</v>
      </c>
      <c r="Q3513" t="s">
        <v>1400</v>
      </c>
      <c r="R3513" t="s">
        <v>310</v>
      </c>
      <c r="S3513">
        <v>9</v>
      </c>
      <c r="T3513" t="s">
        <v>310</v>
      </c>
      <c r="U3513">
        <v>9</v>
      </c>
      <c r="V3513">
        <v>9</v>
      </c>
      <c r="W3513">
        <v>0</v>
      </c>
      <c r="X3513">
        <v>0</v>
      </c>
      <c r="Y3513">
        <v>0</v>
      </c>
      <c r="Z3513">
        <v>0</v>
      </c>
      <c r="AA3513">
        <v>9</v>
      </c>
      <c r="AB3513">
        <v>9</v>
      </c>
      <c r="AC3513" t="s">
        <v>310</v>
      </c>
      <c r="AD3513">
        <v>9</v>
      </c>
      <c r="AE3513" t="s">
        <v>1412</v>
      </c>
      <c r="AF3513">
        <v>0</v>
      </c>
      <c r="AG3513" t="s">
        <v>310</v>
      </c>
      <c r="AH3513">
        <f>SUM((MID(Dyno_Data[[#This Row],[Team]],4,5))+(Dyno_Data[[#This Row],[Match]]/100))</f>
        <v>7605.64</v>
      </c>
      <c r="AI3513" s="76">
        <f>ROUND(SUM(IF(Dyno_Data[[#This Row],[AcqCenter]]&gt;0,Dyno_Data[[#This Row],[Time]]-SUMIFS(Dyno_Data[Time],Dyno_Data[Team],Dyno_Data[[#This Row],[Team]],Dyno_Data[RecordType],"StartMatch",Dyno_Data[Match],Dyno_Data[[#This Row],[Match]]),0)*86400),0)</f>
        <v>0</v>
      </c>
    </row>
    <row r="3514" spans="1:35" x14ac:dyDescent="0.3">
      <c r="A3514">
        <v>3509</v>
      </c>
      <c r="B3514" t="s">
        <v>1314</v>
      </c>
      <c r="C3514">
        <v>64</v>
      </c>
      <c r="D3514" s="105">
        <v>45374.412978159722</v>
      </c>
      <c r="E3514" t="s">
        <v>314</v>
      </c>
      <c r="F3514" t="s">
        <v>309</v>
      </c>
      <c r="G3514">
        <v>1</v>
      </c>
      <c r="H3514" t="s">
        <v>310</v>
      </c>
      <c r="I3514">
        <v>0</v>
      </c>
      <c r="J3514">
        <v>0</v>
      </c>
      <c r="K3514">
        <v>0</v>
      </c>
      <c r="L3514" t="s">
        <v>310</v>
      </c>
      <c r="M3514" t="s">
        <v>310</v>
      </c>
      <c r="N3514">
        <v>0</v>
      </c>
      <c r="O3514" t="s">
        <v>319</v>
      </c>
      <c r="P3514" t="s">
        <v>101</v>
      </c>
      <c r="Q3514" t="s">
        <v>1399</v>
      </c>
      <c r="R3514" t="s">
        <v>310</v>
      </c>
      <c r="S3514">
        <v>9</v>
      </c>
      <c r="T3514" t="s">
        <v>310</v>
      </c>
      <c r="U3514">
        <v>9</v>
      </c>
      <c r="V3514">
        <v>9</v>
      </c>
      <c r="W3514">
        <v>0</v>
      </c>
      <c r="X3514">
        <v>0</v>
      </c>
      <c r="Y3514">
        <v>0</v>
      </c>
      <c r="Z3514">
        <v>0</v>
      </c>
      <c r="AA3514">
        <v>9</v>
      </c>
      <c r="AB3514">
        <v>9</v>
      </c>
      <c r="AC3514" t="s">
        <v>310</v>
      </c>
      <c r="AD3514">
        <v>9</v>
      </c>
      <c r="AE3514" t="s">
        <v>1396</v>
      </c>
      <c r="AF3514">
        <v>10001000</v>
      </c>
      <c r="AG3514" t="s">
        <v>310</v>
      </c>
      <c r="AH3514">
        <f>SUM((MID(Dyno_Data[[#This Row],[Team]],4,5))+(Dyno_Data[[#This Row],[Match]]/100))</f>
        <v>3419.64</v>
      </c>
      <c r="AI3514" s="76">
        <f>ROUND(SUM(IF(Dyno_Data[[#This Row],[AcqCenter]]&gt;0,Dyno_Data[[#This Row],[Time]]-SUMIFS(Dyno_Data[Time],Dyno_Data[Team],Dyno_Data[[#This Row],[Team]],Dyno_Data[RecordType],"StartMatch",Dyno_Data[Match],Dyno_Data[[#This Row],[Match]]),0)*86400),0)</f>
        <v>0</v>
      </c>
    </row>
    <row r="3515" spans="1:35" x14ac:dyDescent="0.3">
      <c r="A3515">
        <v>3511</v>
      </c>
      <c r="B3515" t="s">
        <v>1315</v>
      </c>
      <c r="C3515">
        <v>64</v>
      </c>
      <c r="D3515" s="105">
        <v>45374.412981053239</v>
      </c>
      <c r="E3515" t="s">
        <v>314</v>
      </c>
      <c r="F3515" t="s">
        <v>309</v>
      </c>
      <c r="G3515">
        <v>1</v>
      </c>
      <c r="H3515" t="s">
        <v>310</v>
      </c>
      <c r="I3515">
        <v>0</v>
      </c>
      <c r="J3515">
        <v>0</v>
      </c>
      <c r="K3515">
        <v>0</v>
      </c>
      <c r="L3515" t="s">
        <v>310</v>
      </c>
      <c r="M3515" t="s">
        <v>310</v>
      </c>
      <c r="N3515">
        <v>0</v>
      </c>
      <c r="O3515" t="s">
        <v>311</v>
      </c>
      <c r="P3515" t="s">
        <v>240</v>
      </c>
      <c r="Q3515" t="s">
        <v>1400</v>
      </c>
      <c r="R3515" t="s">
        <v>310</v>
      </c>
      <c r="S3515">
        <v>9</v>
      </c>
      <c r="T3515" t="s">
        <v>310</v>
      </c>
      <c r="U3515">
        <v>9</v>
      </c>
      <c r="V3515">
        <v>9</v>
      </c>
      <c r="W3515">
        <v>0</v>
      </c>
      <c r="X3515">
        <v>0</v>
      </c>
      <c r="Y3515">
        <v>0</v>
      </c>
      <c r="Z3515">
        <v>0</v>
      </c>
      <c r="AA3515">
        <v>9</v>
      </c>
      <c r="AB3515">
        <v>9</v>
      </c>
      <c r="AC3515" t="s">
        <v>310</v>
      </c>
      <c r="AD3515">
        <v>9</v>
      </c>
      <c r="AE3515" t="s">
        <v>1390</v>
      </c>
      <c r="AF3515">
        <v>0</v>
      </c>
      <c r="AG3515" t="s">
        <v>310</v>
      </c>
      <c r="AH3515">
        <f>SUM((MID(Dyno_Data[[#This Row],[Team]],4,5))+(Dyno_Data[[#This Row],[Match]]/100))</f>
        <v>1511.64</v>
      </c>
      <c r="AI3515" s="76">
        <f>ROUND(SUM(IF(Dyno_Data[[#This Row],[AcqCenter]]&gt;0,Dyno_Data[[#This Row],[Time]]-SUMIFS(Dyno_Data[Time],Dyno_Data[Team],Dyno_Data[[#This Row],[Team]],Dyno_Data[RecordType],"StartMatch",Dyno_Data[Match],Dyno_Data[[#This Row],[Match]]),0)*86400),0)</f>
        <v>0</v>
      </c>
    </row>
    <row r="3516" spans="1:35" x14ac:dyDescent="0.3">
      <c r="A3516">
        <v>3513</v>
      </c>
      <c r="B3516" t="s">
        <v>1297</v>
      </c>
      <c r="C3516">
        <v>64</v>
      </c>
      <c r="D3516" s="105">
        <v>45374.412989930555</v>
      </c>
      <c r="E3516" t="s">
        <v>314</v>
      </c>
      <c r="F3516" t="s">
        <v>309</v>
      </c>
      <c r="G3516">
        <v>1</v>
      </c>
      <c r="H3516" t="s">
        <v>310</v>
      </c>
      <c r="I3516">
        <v>0</v>
      </c>
      <c r="J3516">
        <v>0</v>
      </c>
      <c r="K3516">
        <v>0</v>
      </c>
      <c r="L3516" t="s">
        <v>310</v>
      </c>
      <c r="M3516" t="s">
        <v>310</v>
      </c>
      <c r="N3516">
        <v>0</v>
      </c>
      <c r="O3516" t="s">
        <v>1395</v>
      </c>
      <c r="P3516" t="s">
        <v>320</v>
      </c>
      <c r="Q3516" t="s">
        <v>1399</v>
      </c>
      <c r="R3516" t="s">
        <v>310</v>
      </c>
      <c r="S3516">
        <v>9</v>
      </c>
      <c r="T3516" t="s">
        <v>310</v>
      </c>
      <c r="U3516">
        <v>9</v>
      </c>
      <c r="V3516">
        <v>9</v>
      </c>
      <c r="W3516">
        <v>0</v>
      </c>
      <c r="X3516">
        <v>0</v>
      </c>
      <c r="Y3516">
        <v>0</v>
      </c>
      <c r="Z3516">
        <v>0</v>
      </c>
      <c r="AA3516">
        <v>9</v>
      </c>
      <c r="AB3516">
        <v>9</v>
      </c>
      <c r="AC3516" t="s">
        <v>310</v>
      </c>
      <c r="AD3516">
        <v>9</v>
      </c>
      <c r="AE3516" t="s">
        <v>1414</v>
      </c>
      <c r="AF3516">
        <v>0</v>
      </c>
      <c r="AG3516" t="s">
        <v>310</v>
      </c>
      <c r="AH3516">
        <f>SUM((MID(Dyno_Data[[#This Row],[Team]],4,5))+(Dyno_Data[[#This Row],[Match]]/100))</f>
        <v>9750.64</v>
      </c>
      <c r="AI3516" s="76">
        <f>ROUND(SUM(IF(Dyno_Data[[#This Row],[AcqCenter]]&gt;0,Dyno_Data[[#This Row],[Time]]-SUMIFS(Dyno_Data[Time],Dyno_Data[Team],Dyno_Data[[#This Row],[Team]],Dyno_Data[RecordType],"StartMatch",Dyno_Data[Match],Dyno_Data[[#This Row],[Match]]),0)*86400),0)</f>
        <v>0</v>
      </c>
    </row>
    <row r="3517" spans="1:35" x14ac:dyDescent="0.3">
      <c r="A3517">
        <v>3514</v>
      </c>
      <c r="B3517" t="s">
        <v>1286</v>
      </c>
      <c r="C3517">
        <v>64</v>
      </c>
      <c r="D3517" s="105">
        <v>45374.413028437499</v>
      </c>
      <c r="E3517" t="s">
        <v>312</v>
      </c>
      <c r="F3517" t="s">
        <v>309</v>
      </c>
      <c r="G3517">
        <v>0</v>
      </c>
      <c r="H3517" t="s">
        <v>315</v>
      </c>
      <c r="I3517">
        <v>0</v>
      </c>
      <c r="J3517">
        <v>0</v>
      </c>
      <c r="K3517">
        <v>0</v>
      </c>
      <c r="L3517" t="s">
        <v>241</v>
      </c>
      <c r="M3517" t="s">
        <v>1398</v>
      </c>
      <c r="N3517">
        <v>0</v>
      </c>
      <c r="O3517" t="s">
        <v>1391</v>
      </c>
      <c r="P3517" t="s">
        <v>310</v>
      </c>
      <c r="Q3517" t="s">
        <v>310</v>
      </c>
      <c r="R3517" t="s">
        <v>310</v>
      </c>
      <c r="S3517">
        <v>9</v>
      </c>
      <c r="T3517" t="s">
        <v>310</v>
      </c>
      <c r="U3517">
        <v>9</v>
      </c>
      <c r="V3517">
        <v>9</v>
      </c>
      <c r="W3517">
        <v>0</v>
      </c>
      <c r="X3517">
        <v>0</v>
      </c>
      <c r="Y3517">
        <v>0</v>
      </c>
      <c r="Z3517">
        <v>0</v>
      </c>
      <c r="AA3517">
        <v>9</v>
      </c>
      <c r="AB3517">
        <v>9</v>
      </c>
      <c r="AC3517" t="s">
        <v>310</v>
      </c>
      <c r="AD3517">
        <v>9</v>
      </c>
      <c r="AE3517" t="s">
        <v>1388</v>
      </c>
      <c r="AF3517">
        <v>20001000</v>
      </c>
      <c r="AG3517" t="s">
        <v>310</v>
      </c>
      <c r="AH3517">
        <f>SUM((MID(Dyno_Data[[#This Row],[Team]],4,5))+(Dyno_Data[[#This Row],[Match]]/100))</f>
        <v>1591.64</v>
      </c>
      <c r="AI3517" s="76">
        <f>ROUND(SUM(IF(Dyno_Data[[#This Row],[AcqCenter]]&gt;0,Dyno_Data[[#This Row],[Time]]-SUMIFS(Dyno_Data[Time],Dyno_Data[Team],Dyno_Data[[#This Row],[Team]],Dyno_Data[RecordType],"StartMatch",Dyno_Data[Match],Dyno_Data[[#This Row],[Match]]),0)*86400),0)</f>
        <v>0</v>
      </c>
    </row>
    <row r="3518" spans="1:35" x14ac:dyDescent="0.3">
      <c r="A3518">
        <v>3515</v>
      </c>
      <c r="B3518" t="s">
        <v>1315</v>
      </c>
      <c r="C3518">
        <v>64</v>
      </c>
      <c r="D3518" s="105">
        <v>45374.413043831017</v>
      </c>
      <c r="E3518" t="s">
        <v>312</v>
      </c>
      <c r="F3518" t="s">
        <v>1402</v>
      </c>
      <c r="G3518">
        <v>0</v>
      </c>
      <c r="H3518" t="s">
        <v>315</v>
      </c>
      <c r="I3518">
        <v>0</v>
      </c>
      <c r="J3518">
        <v>0</v>
      </c>
      <c r="K3518">
        <v>0</v>
      </c>
      <c r="L3518" t="s">
        <v>241</v>
      </c>
      <c r="M3518" t="s">
        <v>101</v>
      </c>
      <c r="N3518">
        <v>0</v>
      </c>
      <c r="O3518" t="s">
        <v>311</v>
      </c>
      <c r="P3518" t="s">
        <v>310</v>
      </c>
      <c r="Q3518" t="s">
        <v>310</v>
      </c>
      <c r="R3518" t="s">
        <v>310</v>
      </c>
      <c r="S3518">
        <v>9</v>
      </c>
      <c r="T3518" t="s">
        <v>310</v>
      </c>
      <c r="U3518">
        <v>9</v>
      </c>
      <c r="V3518">
        <v>9</v>
      </c>
      <c r="W3518">
        <v>0</v>
      </c>
      <c r="X3518">
        <v>0</v>
      </c>
      <c r="Y3518">
        <v>0</v>
      </c>
      <c r="Z3518">
        <v>0</v>
      </c>
      <c r="AA3518">
        <v>9</v>
      </c>
      <c r="AB3518">
        <v>9</v>
      </c>
      <c r="AC3518" t="s">
        <v>310</v>
      </c>
      <c r="AD3518">
        <v>9</v>
      </c>
      <c r="AE3518" t="s">
        <v>1390</v>
      </c>
      <c r="AF3518">
        <v>10000000</v>
      </c>
      <c r="AG3518" t="s">
        <v>310</v>
      </c>
      <c r="AH3518">
        <f>SUM((MID(Dyno_Data[[#This Row],[Team]],4,5))+(Dyno_Data[[#This Row],[Match]]/100))</f>
        <v>1511.64</v>
      </c>
      <c r="AI3518" s="76">
        <f>ROUND(SUM(IF(Dyno_Data[[#This Row],[AcqCenter]]&gt;0,Dyno_Data[[#This Row],[Time]]-SUMIFS(Dyno_Data[Time],Dyno_Data[Team],Dyno_Data[[#This Row],[Team]],Dyno_Data[RecordType],"StartMatch",Dyno_Data[Match],Dyno_Data[[#This Row],[Match]]),0)*86400),0)</f>
        <v>0</v>
      </c>
    </row>
    <row r="3519" spans="1:35" x14ac:dyDescent="0.3">
      <c r="A3519">
        <v>3517</v>
      </c>
      <c r="B3519" t="s">
        <v>1286</v>
      </c>
      <c r="C3519">
        <v>64</v>
      </c>
      <c r="D3519" s="105">
        <v>45374.413053854165</v>
      </c>
      <c r="E3519" t="s">
        <v>314</v>
      </c>
      <c r="F3519" t="s">
        <v>309</v>
      </c>
      <c r="G3519">
        <v>1</v>
      </c>
      <c r="H3519" t="s">
        <v>310</v>
      </c>
      <c r="I3519">
        <v>0</v>
      </c>
      <c r="J3519">
        <v>0</v>
      </c>
      <c r="K3519">
        <v>0</v>
      </c>
      <c r="L3519" t="s">
        <v>310</v>
      </c>
      <c r="M3519" t="s">
        <v>310</v>
      </c>
      <c r="N3519">
        <v>0</v>
      </c>
      <c r="O3519" t="s">
        <v>1391</v>
      </c>
      <c r="P3519" t="s">
        <v>1401</v>
      </c>
      <c r="Q3519" t="s">
        <v>1400</v>
      </c>
      <c r="R3519" t="s">
        <v>310</v>
      </c>
      <c r="S3519">
        <v>9</v>
      </c>
      <c r="T3519" t="s">
        <v>310</v>
      </c>
      <c r="U3519">
        <v>9</v>
      </c>
      <c r="V3519">
        <v>9</v>
      </c>
      <c r="W3519">
        <v>0</v>
      </c>
      <c r="X3519">
        <v>0</v>
      </c>
      <c r="Y3519">
        <v>0</v>
      </c>
      <c r="Z3519">
        <v>0</v>
      </c>
      <c r="AA3519">
        <v>9</v>
      </c>
      <c r="AB3519">
        <v>9</v>
      </c>
      <c r="AC3519" t="s">
        <v>310</v>
      </c>
      <c r="AD3519">
        <v>9</v>
      </c>
      <c r="AE3519" t="s">
        <v>1388</v>
      </c>
      <c r="AF3519">
        <v>20001000</v>
      </c>
      <c r="AG3519" t="s">
        <v>310</v>
      </c>
      <c r="AH3519">
        <f>SUM((MID(Dyno_Data[[#This Row],[Team]],4,5))+(Dyno_Data[[#This Row],[Match]]/100))</f>
        <v>1591.64</v>
      </c>
      <c r="AI3519" s="76">
        <f>ROUND(SUM(IF(Dyno_Data[[#This Row],[AcqCenter]]&gt;0,Dyno_Data[[#This Row],[Time]]-SUMIFS(Dyno_Data[Time],Dyno_Data[Team],Dyno_Data[[#This Row],[Team]],Dyno_Data[RecordType],"StartMatch",Dyno_Data[Match],Dyno_Data[[#This Row],[Match]]),0)*86400),0)</f>
        <v>0</v>
      </c>
    </row>
    <row r="3520" spans="1:35" x14ac:dyDescent="0.3">
      <c r="A3520">
        <v>3518</v>
      </c>
      <c r="B3520" t="s">
        <v>1314</v>
      </c>
      <c r="C3520">
        <v>64</v>
      </c>
      <c r="D3520" s="105">
        <v>45374.413058530095</v>
      </c>
      <c r="E3520" t="s">
        <v>312</v>
      </c>
      <c r="F3520" t="s">
        <v>1402</v>
      </c>
      <c r="G3520">
        <v>0</v>
      </c>
      <c r="H3520" t="s">
        <v>315</v>
      </c>
      <c r="I3520">
        <v>0</v>
      </c>
      <c r="J3520">
        <v>0</v>
      </c>
      <c r="K3520">
        <v>0</v>
      </c>
      <c r="L3520" t="s">
        <v>241</v>
      </c>
      <c r="M3520" t="s">
        <v>1398</v>
      </c>
      <c r="N3520">
        <v>0</v>
      </c>
      <c r="O3520" t="s">
        <v>319</v>
      </c>
      <c r="P3520" t="s">
        <v>310</v>
      </c>
      <c r="Q3520" t="s">
        <v>310</v>
      </c>
      <c r="R3520" t="s">
        <v>310</v>
      </c>
      <c r="S3520">
        <v>9</v>
      </c>
      <c r="T3520" t="s">
        <v>310</v>
      </c>
      <c r="U3520">
        <v>9</v>
      </c>
      <c r="V3520">
        <v>9</v>
      </c>
      <c r="W3520">
        <v>0</v>
      </c>
      <c r="X3520">
        <v>0</v>
      </c>
      <c r="Y3520">
        <v>0</v>
      </c>
      <c r="Z3520">
        <v>0</v>
      </c>
      <c r="AA3520">
        <v>9</v>
      </c>
      <c r="AB3520">
        <v>9</v>
      </c>
      <c r="AC3520" t="s">
        <v>310</v>
      </c>
      <c r="AD3520">
        <v>9</v>
      </c>
      <c r="AE3520" t="s">
        <v>1396</v>
      </c>
      <c r="AF3520">
        <v>20001000</v>
      </c>
      <c r="AG3520" t="s">
        <v>310</v>
      </c>
      <c r="AH3520">
        <f>SUM((MID(Dyno_Data[[#This Row],[Team]],4,5))+(Dyno_Data[[#This Row],[Match]]/100))</f>
        <v>3419.64</v>
      </c>
      <c r="AI3520" s="76">
        <f>ROUND(SUM(IF(Dyno_Data[[#This Row],[AcqCenter]]&gt;0,Dyno_Data[[#This Row],[Time]]-SUMIFS(Dyno_Data[Time],Dyno_Data[Team],Dyno_Data[[#This Row],[Team]],Dyno_Data[RecordType],"StartMatch",Dyno_Data[Match],Dyno_Data[[#This Row],[Match]]),0)*86400),0)</f>
        <v>0</v>
      </c>
    </row>
    <row r="3521" spans="1:35" x14ac:dyDescent="0.3">
      <c r="A3521">
        <v>3520</v>
      </c>
      <c r="B3521" t="s">
        <v>372</v>
      </c>
      <c r="C3521">
        <v>64</v>
      </c>
      <c r="D3521" s="105">
        <v>45374.413148344909</v>
      </c>
      <c r="E3521" t="s">
        <v>314</v>
      </c>
      <c r="F3521" t="s">
        <v>309</v>
      </c>
      <c r="G3521">
        <v>0</v>
      </c>
      <c r="H3521" t="s">
        <v>310</v>
      </c>
      <c r="I3521">
        <v>0</v>
      </c>
      <c r="J3521">
        <v>0</v>
      </c>
      <c r="K3521">
        <v>0</v>
      </c>
      <c r="L3521" t="s">
        <v>310</v>
      </c>
      <c r="M3521" t="s">
        <v>310</v>
      </c>
      <c r="N3521">
        <v>0</v>
      </c>
      <c r="O3521" t="s">
        <v>1389</v>
      </c>
      <c r="P3521" t="s">
        <v>1401</v>
      </c>
      <c r="Q3521" t="s">
        <v>1400</v>
      </c>
      <c r="R3521" t="s">
        <v>310</v>
      </c>
      <c r="S3521">
        <v>9</v>
      </c>
      <c r="T3521" t="s">
        <v>310</v>
      </c>
      <c r="U3521">
        <v>9</v>
      </c>
      <c r="V3521">
        <v>9</v>
      </c>
      <c r="W3521">
        <v>0</v>
      </c>
      <c r="X3521">
        <v>0</v>
      </c>
      <c r="Y3521">
        <v>0</v>
      </c>
      <c r="Z3521">
        <v>0</v>
      </c>
      <c r="AA3521">
        <v>9</v>
      </c>
      <c r="AB3521">
        <v>9</v>
      </c>
      <c r="AC3521" t="s">
        <v>310</v>
      </c>
      <c r="AD3521">
        <v>9</v>
      </c>
      <c r="AE3521" t="s">
        <v>1413</v>
      </c>
      <c r="AF3521">
        <v>0</v>
      </c>
      <c r="AG3521" t="s">
        <v>310</v>
      </c>
      <c r="AH3521">
        <f>SUM((MID(Dyno_Data[[#This Row],[Team]],4,5))+(Dyno_Data[[#This Row],[Match]]/100))</f>
        <v>7504.64</v>
      </c>
      <c r="AI3521" s="76">
        <f>ROUND(SUM(IF(Dyno_Data[[#This Row],[AcqCenter]]&gt;0,Dyno_Data[[#This Row],[Time]]-SUMIFS(Dyno_Data[Time],Dyno_Data[Team],Dyno_Data[[#This Row],[Team]],Dyno_Data[RecordType],"StartMatch",Dyno_Data[Match],Dyno_Data[[#This Row],[Match]]),0)*86400),0)</f>
        <v>0</v>
      </c>
    </row>
    <row r="3522" spans="1:35" x14ac:dyDescent="0.3">
      <c r="A3522">
        <v>3521</v>
      </c>
      <c r="B3522" t="s">
        <v>1286</v>
      </c>
      <c r="C3522">
        <v>64</v>
      </c>
      <c r="D3522" s="105">
        <v>45374.413170138891</v>
      </c>
      <c r="E3522" t="s">
        <v>312</v>
      </c>
      <c r="F3522" t="s">
        <v>1402</v>
      </c>
      <c r="G3522">
        <v>0</v>
      </c>
      <c r="H3522" t="s">
        <v>315</v>
      </c>
      <c r="I3522">
        <v>0</v>
      </c>
      <c r="J3522">
        <v>0</v>
      </c>
      <c r="K3522">
        <v>0</v>
      </c>
      <c r="L3522" t="s">
        <v>241</v>
      </c>
      <c r="M3522" t="s">
        <v>1398</v>
      </c>
      <c r="N3522">
        <v>1</v>
      </c>
      <c r="O3522" t="s">
        <v>1391</v>
      </c>
      <c r="P3522" t="s">
        <v>310</v>
      </c>
      <c r="Q3522" t="s">
        <v>310</v>
      </c>
      <c r="R3522" t="s">
        <v>310</v>
      </c>
      <c r="S3522">
        <v>9</v>
      </c>
      <c r="T3522" t="s">
        <v>310</v>
      </c>
      <c r="U3522">
        <v>9</v>
      </c>
      <c r="V3522">
        <v>9</v>
      </c>
      <c r="W3522">
        <v>0</v>
      </c>
      <c r="X3522">
        <v>0</v>
      </c>
      <c r="Y3522">
        <v>0</v>
      </c>
      <c r="Z3522">
        <v>0</v>
      </c>
      <c r="AA3522">
        <v>9</v>
      </c>
      <c r="AB3522">
        <v>9</v>
      </c>
      <c r="AC3522" t="s">
        <v>310</v>
      </c>
      <c r="AD3522">
        <v>9</v>
      </c>
      <c r="AE3522" t="s">
        <v>1388</v>
      </c>
      <c r="AF3522">
        <v>30001000</v>
      </c>
      <c r="AG3522" t="s">
        <v>310</v>
      </c>
      <c r="AH3522">
        <f>SUM((MID(Dyno_Data[[#This Row],[Team]],4,5))+(Dyno_Data[[#This Row],[Match]]/100))</f>
        <v>1591.64</v>
      </c>
      <c r="AI3522" s="76">
        <f>ROUND(SUM(IF(Dyno_Data[[#This Row],[AcqCenter]]&gt;0,Dyno_Data[[#This Row],[Time]]-SUMIFS(Dyno_Data[Time],Dyno_Data[Team],Dyno_Data[[#This Row],[Team]],Dyno_Data[RecordType],"StartMatch",Dyno_Data[Match],Dyno_Data[[#This Row],[Match]]),0)*86400),0)</f>
        <v>0</v>
      </c>
    </row>
    <row r="3523" spans="1:35" x14ac:dyDescent="0.3">
      <c r="A3523">
        <v>3522</v>
      </c>
      <c r="B3523" t="s">
        <v>1314</v>
      </c>
      <c r="C3523">
        <v>64</v>
      </c>
      <c r="D3523" s="105">
        <v>45374.413208645834</v>
      </c>
      <c r="E3523" t="s">
        <v>312</v>
      </c>
      <c r="F3523" t="s">
        <v>1402</v>
      </c>
      <c r="G3523">
        <v>0</v>
      </c>
      <c r="H3523" t="s">
        <v>315</v>
      </c>
      <c r="I3523">
        <v>0</v>
      </c>
      <c r="J3523">
        <v>0</v>
      </c>
      <c r="K3523">
        <v>0</v>
      </c>
      <c r="L3523" t="s">
        <v>241</v>
      </c>
      <c r="M3523" t="s">
        <v>1398</v>
      </c>
      <c r="N3523">
        <v>0</v>
      </c>
      <c r="O3523" t="s">
        <v>319</v>
      </c>
      <c r="P3523" t="s">
        <v>310</v>
      </c>
      <c r="Q3523" t="s">
        <v>310</v>
      </c>
      <c r="R3523" t="s">
        <v>310</v>
      </c>
      <c r="S3523">
        <v>9</v>
      </c>
      <c r="T3523" t="s">
        <v>310</v>
      </c>
      <c r="U3523">
        <v>9</v>
      </c>
      <c r="V3523">
        <v>9</v>
      </c>
      <c r="W3523">
        <v>0</v>
      </c>
      <c r="X3523">
        <v>0</v>
      </c>
      <c r="Y3523">
        <v>0</v>
      </c>
      <c r="Z3523">
        <v>0</v>
      </c>
      <c r="AA3523">
        <v>9</v>
      </c>
      <c r="AB3523">
        <v>9</v>
      </c>
      <c r="AC3523" t="s">
        <v>310</v>
      </c>
      <c r="AD3523">
        <v>9</v>
      </c>
      <c r="AE3523" t="s">
        <v>1396</v>
      </c>
      <c r="AF3523">
        <v>30001000</v>
      </c>
      <c r="AG3523" t="s">
        <v>310</v>
      </c>
      <c r="AH3523">
        <f>SUM((MID(Dyno_Data[[#This Row],[Team]],4,5))+(Dyno_Data[[#This Row],[Match]]/100))</f>
        <v>3419.64</v>
      </c>
      <c r="AI3523" s="76">
        <f>ROUND(SUM(IF(Dyno_Data[[#This Row],[AcqCenter]]&gt;0,Dyno_Data[[#This Row],[Time]]-SUMIFS(Dyno_Data[Time],Dyno_Data[Team],Dyno_Data[[#This Row],[Team]],Dyno_Data[RecordType],"StartMatch",Dyno_Data[Match],Dyno_Data[[#This Row],[Match]]),0)*86400),0)</f>
        <v>0</v>
      </c>
    </row>
    <row r="3524" spans="1:35" x14ac:dyDescent="0.3">
      <c r="A3524">
        <v>3523</v>
      </c>
      <c r="B3524" t="s">
        <v>1315</v>
      </c>
      <c r="C3524">
        <v>64</v>
      </c>
      <c r="D3524" s="105">
        <v>45374.41327341435</v>
      </c>
      <c r="E3524" t="s">
        <v>312</v>
      </c>
      <c r="F3524" t="s">
        <v>1402</v>
      </c>
      <c r="G3524">
        <v>0</v>
      </c>
      <c r="H3524" t="s">
        <v>315</v>
      </c>
      <c r="I3524">
        <v>0</v>
      </c>
      <c r="J3524">
        <v>0</v>
      </c>
      <c r="K3524">
        <v>0</v>
      </c>
      <c r="L3524" t="s">
        <v>241</v>
      </c>
      <c r="M3524" t="s">
        <v>101</v>
      </c>
      <c r="N3524">
        <v>0</v>
      </c>
      <c r="O3524" t="s">
        <v>311</v>
      </c>
      <c r="P3524" t="s">
        <v>310</v>
      </c>
      <c r="Q3524" t="s">
        <v>310</v>
      </c>
      <c r="R3524" t="s">
        <v>310</v>
      </c>
      <c r="S3524">
        <v>9</v>
      </c>
      <c r="T3524" t="s">
        <v>310</v>
      </c>
      <c r="U3524">
        <v>9</v>
      </c>
      <c r="V3524">
        <v>9</v>
      </c>
      <c r="W3524">
        <v>0</v>
      </c>
      <c r="X3524">
        <v>0</v>
      </c>
      <c r="Y3524">
        <v>0</v>
      </c>
      <c r="Z3524">
        <v>0</v>
      </c>
      <c r="AA3524">
        <v>9</v>
      </c>
      <c r="AB3524">
        <v>9</v>
      </c>
      <c r="AC3524" t="s">
        <v>310</v>
      </c>
      <c r="AD3524">
        <v>9</v>
      </c>
      <c r="AE3524" t="s">
        <v>1390</v>
      </c>
      <c r="AF3524">
        <v>20000000</v>
      </c>
      <c r="AG3524" t="s">
        <v>310</v>
      </c>
      <c r="AH3524">
        <f>SUM((MID(Dyno_Data[[#This Row],[Team]],4,5))+(Dyno_Data[[#This Row],[Match]]/100))</f>
        <v>1511.64</v>
      </c>
      <c r="AI3524" s="76">
        <f>ROUND(SUM(IF(Dyno_Data[[#This Row],[AcqCenter]]&gt;0,Dyno_Data[[#This Row],[Time]]-SUMIFS(Dyno_Data[Time],Dyno_Data[Team],Dyno_Data[[#This Row],[Team]],Dyno_Data[RecordType],"StartMatch",Dyno_Data[Match],Dyno_Data[[#This Row],[Match]]),0)*86400),0)</f>
        <v>0</v>
      </c>
    </row>
    <row r="3525" spans="1:35" x14ac:dyDescent="0.3">
      <c r="A3525">
        <v>3524</v>
      </c>
      <c r="B3525" t="s">
        <v>1297</v>
      </c>
      <c r="C3525">
        <v>64</v>
      </c>
      <c r="D3525" s="105">
        <v>45374.413277002313</v>
      </c>
      <c r="E3525" t="s">
        <v>312</v>
      </c>
      <c r="F3525" t="s">
        <v>1402</v>
      </c>
      <c r="G3525">
        <v>0</v>
      </c>
      <c r="H3525" t="s">
        <v>1397</v>
      </c>
      <c r="I3525">
        <v>0</v>
      </c>
      <c r="J3525">
        <v>0</v>
      </c>
      <c r="K3525">
        <v>0</v>
      </c>
      <c r="L3525" t="s">
        <v>241</v>
      </c>
      <c r="M3525" t="s">
        <v>101</v>
      </c>
      <c r="N3525">
        <v>0</v>
      </c>
      <c r="O3525" t="s">
        <v>1395</v>
      </c>
      <c r="P3525" t="s">
        <v>310</v>
      </c>
      <c r="Q3525" t="s">
        <v>310</v>
      </c>
      <c r="R3525" t="s">
        <v>310</v>
      </c>
      <c r="S3525">
        <v>9</v>
      </c>
      <c r="T3525" t="s">
        <v>310</v>
      </c>
      <c r="U3525">
        <v>9</v>
      </c>
      <c r="V3525">
        <v>9</v>
      </c>
      <c r="W3525">
        <v>0</v>
      </c>
      <c r="X3525">
        <v>0</v>
      </c>
      <c r="Y3525">
        <v>0</v>
      </c>
      <c r="Z3525">
        <v>0</v>
      </c>
      <c r="AA3525">
        <v>9</v>
      </c>
      <c r="AB3525">
        <v>9</v>
      </c>
      <c r="AC3525" t="s">
        <v>310</v>
      </c>
      <c r="AD3525">
        <v>9</v>
      </c>
      <c r="AE3525" t="s">
        <v>1414</v>
      </c>
      <c r="AF3525">
        <v>0</v>
      </c>
      <c r="AG3525" t="s">
        <v>310</v>
      </c>
      <c r="AH3525">
        <f>SUM((MID(Dyno_Data[[#This Row],[Team]],4,5))+(Dyno_Data[[#This Row],[Match]]/100))</f>
        <v>9750.64</v>
      </c>
      <c r="AI3525" s="76">
        <f>ROUND(SUM(IF(Dyno_Data[[#This Row],[AcqCenter]]&gt;0,Dyno_Data[[#This Row],[Time]]-SUMIFS(Dyno_Data[Time],Dyno_Data[Team],Dyno_Data[[#This Row],[Team]],Dyno_Data[RecordType],"StartMatch",Dyno_Data[Match],Dyno_Data[[#This Row],[Match]]),0)*86400),0)</f>
        <v>0</v>
      </c>
    </row>
    <row r="3526" spans="1:35" x14ac:dyDescent="0.3">
      <c r="A3526">
        <v>3525</v>
      </c>
      <c r="B3526" t="s">
        <v>1286</v>
      </c>
      <c r="C3526">
        <v>64</v>
      </c>
      <c r="D3526" s="105">
        <v>45374.413299849541</v>
      </c>
      <c r="E3526" t="s">
        <v>312</v>
      </c>
      <c r="F3526" t="s">
        <v>1402</v>
      </c>
      <c r="G3526">
        <v>0</v>
      </c>
      <c r="H3526" t="s">
        <v>315</v>
      </c>
      <c r="I3526">
        <v>0</v>
      </c>
      <c r="J3526">
        <v>0</v>
      </c>
      <c r="K3526">
        <v>0</v>
      </c>
      <c r="L3526" t="s">
        <v>241</v>
      </c>
      <c r="M3526" t="s">
        <v>1398</v>
      </c>
      <c r="N3526">
        <v>0</v>
      </c>
      <c r="O3526" t="s">
        <v>1391</v>
      </c>
      <c r="P3526" t="s">
        <v>310</v>
      </c>
      <c r="Q3526" t="s">
        <v>310</v>
      </c>
      <c r="R3526" t="s">
        <v>310</v>
      </c>
      <c r="S3526">
        <v>9</v>
      </c>
      <c r="T3526" t="s">
        <v>310</v>
      </c>
      <c r="U3526">
        <v>9</v>
      </c>
      <c r="V3526">
        <v>9</v>
      </c>
      <c r="W3526">
        <v>0</v>
      </c>
      <c r="X3526">
        <v>0</v>
      </c>
      <c r="Y3526">
        <v>0</v>
      </c>
      <c r="Z3526">
        <v>0</v>
      </c>
      <c r="AA3526">
        <v>9</v>
      </c>
      <c r="AB3526">
        <v>9</v>
      </c>
      <c r="AC3526" t="s">
        <v>310</v>
      </c>
      <c r="AD3526">
        <v>9</v>
      </c>
      <c r="AE3526" t="s">
        <v>1388</v>
      </c>
      <c r="AF3526">
        <v>40001000</v>
      </c>
      <c r="AG3526" t="s">
        <v>310</v>
      </c>
      <c r="AH3526">
        <f>SUM((MID(Dyno_Data[[#This Row],[Team]],4,5))+(Dyno_Data[[#This Row],[Match]]/100))</f>
        <v>1591.64</v>
      </c>
      <c r="AI3526" s="76">
        <f>ROUND(SUM(IF(Dyno_Data[[#This Row],[AcqCenter]]&gt;0,Dyno_Data[[#This Row],[Time]]-SUMIFS(Dyno_Data[Time],Dyno_Data[Team],Dyno_Data[[#This Row],[Team]],Dyno_Data[RecordType],"StartMatch",Dyno_Data[Match],Dyno_Data[[#This Row],[Match]]),0)*86400),0)</f>
        <v>0</v>
      </c>
    </row>
    <row r="3527" spans="1:35" x14ac:dyDescent="0.3">
      <c r="A3527">
        <v>3526</v>
      </c>
      <c r="B3527" t="s">
        <v>372</v>
      </c>
      <c r="C3527">
        <v>64</v>
      </c>
      <c r="D3527" s="105">
        <v>45374.413337418984</v>
      </c>
      <c r="E3527" t="s">
        <v>312</v>
      </c>
      <c r="F3527" t="s">
        <v>1402</v>
      </c>
      <c r="G3527">
        <v>0</v>
      </c>
      <c r="H3527" t="s">
        <v>315</v>
      </c>
      <c r="I3527">
        <v>0</v>
      </c>
      <c r="J3527">
        <v>0</v>
      </c>
      <c r="K3527">
        <v>0</v>
      </c>
      <c r="L3527" t="s">
        <v>241</v>
      </c>
      <c r="M3527" t="s">
        <v>1398</v>
      </c>
      <c r="N3527">
        <v>0</v>
      </c>
      <c r="O3527" t="s">
        <v>1389</v>
      </c>
      <c r="P3527" t="s">
        <v>310</v>
      </c>
      <c r="Q3527" t="s">
        <v>310</v>
      </c>
      <c r="R3527" t="s">
        <v>310</v>
      </c>
      <c r="S3527">
        <v>9</v>
      </c>
      <c r="T3527" t="s">
        <v>310</v>
      </c>
      <c r="U3527">
        <v>9</v>
      </c>
      <c r="V3527">
        <v>9</v>
      </c>
      <c r="W3527">
        <v>0</v>
      </c>
      <c r="X3527">
        <v>0</v>
      </c>
      <c r="Y3527">
        <v>0</v>
      </c>
      <c r="Z3527">
        <v>0</v>
      </c>
      <c r="AA3527">
        <v>9</v>
      </c>
      <c r="AB3527">
        <v>9</v>
      </c>
      <c r="AC3527" t="s">
        <v>310</v>
      </c>
      <c r="AD3527">
        <v>9</v>
      </c>
      <c r="AE3527" t="s">
        <v>1413</v>
      </c>
      <c r="AF3527">
        <v>10000000</v>
      </c>
      <c r="AG3527" t="s">
        <v>310</v>
      </c>
      <c r="AH3527">
        <f>SUM((MID(Dyno_Data[[#This Row],[Team]],4,5))+(Dyno_Data[[#This Row],[Match]]/100))</f>
        <v>7504.64</v>
      </c>
      <c r="AI3527" s="76">
        <f>ROUND(SUM(IF(Dyno_Data[[#This Row],[AcqCenter]]&gt;0,Dyno_Data[[#This Row],[Time]]-SUMIFS(Dyno_Data[Time],Dyno_Data[Team],Dyno_Data[[#This Row],[Team]],Dyno_Data[RecordType],"StartMatch",Dyno_Data[Match],Dyno_Data[[#This Row],[Match]]),0)*86400),0)</f>
        <v>0</v>
      </c>
    </row>
    <row r="3528" spans="1:35" x14ac:dyDescent="0.3">
      <c r="A3528">
        <v>3527</v>
      </c>
      <c r="B3528" t="s">
        <v>1314</v>
      </c>
      <c r="C3528">
        <v>64</v>
      </c>
      <c r="D3528" s="105">
        <v>45374.41336056713</v>
      </c>
      <c r="E3528" t="s">
        <v>312</v>
      </c>
      <c r="F3528" t="s">
        <v>1402</v>
      </c>
      <c r="G3528">
        <v>0</v>
      </c>
      <c r="H3528" t="s">
        <v>315</v>
      </c>
      <c r="I3528">
        <v>0</v>
      </c>
      <c r="J3528">
        <v>0</v>
      </c>
      <c r="K3528">
        <v>0</v>
      </c>
      <c r="L3528" t="s">
        <v>241</v>
      </c>
      <c r="M3528" t="s">
        <v>1398</v>
      </c>
      <c r="N3528">
        <v>0</v>
      </c>
      <c r="O3528" t="s">
        <v>319</v>
      </c>
      <c r="P3528" t="s">
        <v>310</v>
      </c>
      <c r="Q3528" t="s">
        <v>310</v>
      </c>
      <c r="R3528" t="s">
        <v>310</v>
      </c>
      <c r="S3528">
        <v>9</v>
      </c>
      <c r="T3528" t="s">
        <v>310</v>
      </c>
      <c r="U3528">
        <v>9</v>
      </c>
      <c r="V3528">
        <v>9</v>
      </c>
      <c r="W3528">
        <v>0</v>
      </c>
      <c r="X3528">
        <v>0</v>
      </c>
      <c r="Y3528">
        <v>0</v>
      </c>
      <c r="Z3528">
        <v>0</v>
      </c>
      <c r="AA3528">
        <v>9</v>
      </c>
      <c r="AB3528">
        <v>9</v>
      </c>
      <c r="AC3528" t="s">
        <v>310</v>
      </c>
      <c r="AD3528">
        <v>9</v>
      </c>
      <c r="AE3528" t="s">
        <v>1396</v>
      </c>
      <c r="AF3528">
        <v>40001000</v>
      </c>
      <c r="AG3528" t="s">
        <v>310</v>
      </c>
      <c r="AH3528">
        <f>SUM((MID(Dyno_Data[[#This Row],[Team]],4,5))+(Dyno_Data[[#This Row],[Match]]/100))</f>
        <v>3419.64</v>
      </c>
      <c r="AI3528" s="76">
        <f>ROUND(SUM(IF(Dyno_Data[[#This Row],[AcqCenter]]&gt;0,Dyno_Data[[#This Row],[Time]]-SUMIFS(Dyno_Data[Time],Dyno_Data[Team],Dyno_Data[[#This Row],[Team]],Dyno_Data[RecordType],"StartMatch",Dyno_Data[Match],Dyno_Data[[#This Row],[Match]]),0)*86400),0)</f>
        <v>0</v>
      </c>
    </row>
    <row r="3529" spans="1:35" x14ac:dyDescent="0.3">
      <c r="A3529">
        <v>3528</v>
      </c>
      <c r="B3529" t="s">
        <v>1286</v>
      </c>
      <c r="C3529">
        <v>64</v>
      </c>
      <c r="D3529" s="105">
        <v>45374.413403506944</v>
      </c>
      <c r="E3529" t="s">
        <v>312</v>
      </c>
      <c r="F3529" t="s">
        <v>1402</v>
      </c>
      <c r="G3529">
        <v>0</v>
      </c>
      <c r="H3529" t="s">
        <v>315</v>
      </c>
      <c r="I3529">
        <v>0</v>
      </c>
      <c r="J3529">
        <v>0</v>
      </c>
      <c r="K3529">
        <v>0</v>
      </c>
      <c r="L3529" t="s">
        <v>241</v>
      </c>
      <c r="M3529" t="s">
        <v>1398</v>
      </c>
      <c r="N3529">
        <v>0</v>
      </c>
      <c r="O3529" t="s">
        <v>1391</v>
      </c>
      <c r="P3529" t="s">
        <v>310</v>
      </c>
      <c r="Q3529" t="s">
        <v>310</v>
      </c>
      <c r="R3529" t="s">
        <v>310</v>
      </c>
      <c r="S3529">
        <v>9</v>
      </c>
      <c r="T3529" t="s">
        <v>310</v>
      </c>
      <c r="U3529">
        <v>9</v>
      </c>
      <c r="V3529">
        <v>9</v>
      </c>
      <c r="W3529">
        <v>0</v>
      </c>
      <c r="X3529">
        <v>0</v>
      </c>
      <c r="Y3529">
        <v>0</v>
      </c>
      <c r="Z3529">
        <v>0</v>
      </c>
      <c r="AA3529">
        <v>9</v>
      </c>
      <c r="AB3529">
        <v>9</v>
      </c>
      <c r="AC3529" t="s">
        <v>310</v>
      </c>
      <c r="AD3529">
        <v>9</v>
      </c>
      <c r="AE3529" t="s">
        <v>1388</v>
      </c>
      <c r="AF3529">
        <v>50001000</v>
      </c>
      <c r="AG3529" t="s">
        <v>310</v>
      </c>
      <c r="AH3529">
        <f>SUM((MID(Dyno_Data[[#This Row],[Team]],4,5))+(Dyno_Data[[#This Row],[Match]]/100))</f>
        <v>1591.64</v>
      </c>
      <c r="AI3529" s="76">
        <f>ROUND(SUM(IF(Dyno_Data[[#This Row],[AcqCenter]]&gt;0,Dyno_Data[[#This Row],[Time]]-SUMIFS(Dyno_Data[Time],Dyno_Data[Team],Dyno_Data[[#This Row],[Team]],Dyno_Data[RecordType],"StartMatch",Dyno_Data[Match],Dyno_Data[[#This Row],[Match]]),0)*86400),0)</f>
        <v>0</v>
      </c>
    </row>
    <row r="3530" spans="1:35" x14ac:dyDescent="0.3">
      <c r="A3530">
        <v>3529</v>
      </c>
      <c r="B3530" t="s">
        <v>1286</v>
      </c>
      <c r="C3530">
        <v>64</v>
      </c>
      <c r="D3530" s="105">
        <v>45374.413458993055</v>
      </c>
      <c r="E3530" t="s">
        <v>312</v>
      </c>
      <c r="F3530" t="s">
        <v>1402</v>
      </c>
      <c r="G3530">
        <v>0</v>
      </c>
      <c r="H3530" t="s">
        <v>315</v>
      </c>
      <c r="I3530">
        <v>0</v>
      </c>
      <c r="J3530">
        <v>0</v>
      </c>
      <c r="K3530">
        <v>0</v>
      </c>
      <c r="L3530" t="s">
        <v>241</v>
      </c>
      <c r="M3530" t="s">
        <v>1398</v>
      </c>
      <c r="N3530">
        <v>0</v>
      </c>
      <c r="O3530" t="s">
        <v>1391</v>
      </c>
      <c r="P3530" t="s">
        <v>310</v>
      </c>
      <c r="Q3530" t="s">
        <v>310</v>
      </c>
      <c r="R3530" t="s">
        <v>310</v>
      </c>
      <c r="S3530">
        <v>9</v>
      </c>
      <c r="T3530" t="s">
        <v>310</v>
      </c>
      <c r="U3530">
        <v>9</v>
      </c>
      <c r="V3530">
        <v>9</v>
      </c>
      <c r="W3530">
        <v>0</v>
      </c>
      <c r="X3530">
        <v>0</v>
      </c>
      <c r="Y3530">
        <v>0</v>
      </c>
      <c r="Z3530">
        <v>0</v>
      </c>
      <c r="AA3530">
        <v>9</v>
      </c>
      <c r="AB3530">
        <v>9</v>
      </c>
      <c r="AC3530" t="s">
        <v>310</v>
      </c>
      <c r="AD3530">
        <v>9</v>
      </c>
      <c r="AE3530" t="s">
        <v>1388</v>
      </c>
      <c r="AF3530">
        <v>60001000</v>
      </c>
      <c r="AG3530" t="s">
        <v>310</v>
      </c>
      <c r="AH3530">
        <f>SUM((MID(Dyno_Data[[#This Row],[Team]],4,5))+(Dyno_Data[[#This Row],[Match]]/100))</f>
        <v>1591.64</v>
      </c>
      <c r="AI3530" s="76">
        <f>ROUND(SUM(IF(Dyno_Data[[#This Row],[AcqCenter]]&gt;0,Dyno_Data[[#This Row],[Time]]-SUMIFS(Dyno_Data[Time],Dyno_Data[Team],Dyno_Data[[#This Row],[Team]],Dyno_Data[RecordType],"StartMatch",Dyno_Data[Match],Dyno_Data[[#This Row],[Match]]),0)*86400),0)</f>
        <v>0</v>
      </c>
    </row>
    <row r="3531" spans="1:35" x14ac:dyDescent="0.3">
      <c r="A3531">
        <v>3530</v>
      </c>
      <c r="B3531" t="s">
        <v>372</v>
      </c>
      <c r="C3531">
        <v>64</v>
      </c>
      <c r="D3531" s="105">
        <v>45374.413474189816</v>
      </c>
      <c r="E3531" t="s">
        <v>312</v>
      </c>
      <c r="F3531" t="s">
        <v>1402</v>
      </c>
      <c r="G3531">
        <v>0</v>
      </c>
      <c r="H3531" t="s">
        <v>315</v>
      </c>
      <c r="I3531">
        <v>0</v>
      </c>
      <c r="J3531">
        <v>0</v>
      </c>
      <c r="K3531">
        <v>0</v>
      </c>
      <c r="L3531" t="s">
        <v>241</v>
      </c>
      <c r="M3531" t="s">
        <v>1398</v>
      </c>
      <c r="N3531">
        <v>1</v>
      </c>
      <c r="O3531" t="s">
        <v>1389</v>
      </c>
      <c r="P3531" t="s">
        <v>310</v>
      </c>
      <c r="Q3531" t="s">
        <v>310</v>
      </c>
      <c r="R3531" t="s">
        <v>310</v>
      </c>
      <c r="S3531">
        <v>9</v>
      </c>
      <c r="T3531" t="s">
        <v>310</v>
      </c>
      <c r="U3531">
        <v>9</v>
      </c>
      <c r="V3531">
        <v>9</v>
      </c>
      <c r="W3531">
        <v>0</v>
      </c>
      <c r="X3531">
        <v>0</v>
      </c>
      <c r="Y3531">
        <v>0</v>
      </c>
      <c r="Z3531">
        <v>0</v>
      </c>
      <c r="AA3531">
        <v>9</v>
      </c>
      <c r="AB3531">
        <v>9</v>
      </c>
      <c r="AC3531" t="s">
        <v>310</v>
      </c>
      <c r="AD3531">
        <v>9</v>
      </c>
      <c r="AE3531" t="s">
        <v>1413</v>
      </c>
      <c r="AF3531">
        <v>20100000</v>
      </c>
      <c r="AG3531" t="s">
        <v>310</v>
      </c>
      <c r="AH3531">
        <f>SUM((MID(Dyno_Data[[#This Row],[Team]],4,5))+(Dyno_Data[[#This Row],[Match]]/100))</f>
        <v>7504.64</v>
      </c>
      <c r="AI3531" s="76">
        <f>ROUND(SUM(IF(Dyno_Data[[#This Row],[AcqCenter]]&gt;0,Dyno_Data[[#This Row],[Time]]-SUMIFS(Dyno_Data[Time],Dyno_Data[Team],Dyno_Data[[#This Row],[Team]],Dyno_Data[RecordType],"StartMatch",Dyno_Data[Match],Dyno_Data[[#This Row],[Match]]),0)*86400),0)</f>
        <v>0</v>
      </c>
    </row>
    <row r="3532" spans="1:35" x14ac:dyDescent="0.3">
      <c r="A3532">
        <v>3531</v>
      </c>
      <c r="B3532" t="s">
        <v>1297</v>
      </c>
      <c r="C3532">
        <v>64</v>
      </c>
      <c r="D3532" s="105">
        <v>45374.413479201387</v>
      </c>
      <c r="E3532" t="s">
        <v>312</v>
      </c>
      <c r="F3532" t="s">
        <v>1402</v>
      </c>
      <c r="G3532">
        <v>0</v>
      </c>
      <c r="H3532" t="s">
        <v>315</v>
      </c>
      <c r="I3532">
        <v>0</v>
      </c>
      <c r="J3532">
        <v>0</v>
      </c>
      <c r="K3532">
        <v>0</v>
      </c>
      <c r="L3532" t="s">
        <v>241</v>
      </c>
      <c r="M3532" t="s">
        <v>101</v>
      </c>
      <c r="N3532">
        <v>0</v>
      </c>
      <c r="O3532" t="s">
        <v>1395</v>
      </c>
      <c r="P3532" t="s">
        <v>310</v>
      </c>
      <c r="Q3532" t="s">
        <v>310</v>
      </c>
      <c r="R3532" t="s">
        <v>310</v>
      </c>
      <c r="S3532">
        <v>9</v>
      </c>
      <c r="T3532" t="s">
        <v>310</v>
      </c>
      <c r="U3532">
        <v>9</v>
      </c>
      <c r="V3532">
        <v>9</v>
      </c>
      <c r="W3532">
        <v>0</v>
      </c>
      <c r="X3532">
        <v>0</v>
      </c>
      <c r="Y3532">
        <v>0</v>
      </c>
      <c r="Z3532">
        <v>0</v>
      </c>
      <c r="AA3532">
        <v>9</v>
      </c>
      <c r="AB3532">
        <v>9</v>
      </c>
      <c r="AC3532" t="s">
        <v>310</v>
      </c>
      <c r="AD3532">
        <v>9</v>
      </c>
      <c r="AE3532" t="s">
        <v>1414</v>
      </c>
      <c r="AF3532">
        <v>10000000</v>
      </c>
      <c r="AG3532" t="s">
        <v>310</v>
      </c>
      <c r="AH3532">
        <f>SUM((MID(Dyno_Data[[#This Row],[Team]],4,5))+(Dyno_Data[[#This Row],[Match]]/100))</f>
        <v>9750.64</v>
      </c>
      <c r="AI3532" s="76">
        <f>ROUND(SUM(IF(Dyno_Data[[#This Row],[AcqCenter]]&gt;0,Dyno_Data[[#This Row],[Time]]-SUMIFS(Dyno_Data[Time],Dyno_Data[Team],Dyno_Data[[#This Row],[Team]],Dyno_Data[RecordType],"StartMatch",Dyno_Data[Match],Dyno_Data[[#This Row],[Match]]),0)*86400),0)</f>
        <v>0</v>
      </c>
    </row>
    <row r="3533" spans="1:35" x14ac:dyDescent="0.3">
      <c r="A3533">
        <v>3532</v>
      </c>
      <c r="B3533" t="s">
        <v>1314</v>
      </c>
      <c r="C3533">
        <v>64</v>
      </c>
      <c r="D3533" s="105">
        <v>45374.413494756947</v>
      </c>
      <c r="E3533" t="s">
        <v>312</v>
      </c>
      <c r="F3533" t="s">
        <v>1402</v>
      </c>
      <c r="G3533">
        <v>0</v>
      </c>
      <c r="H3533" t="s">
        <v>315</v>
      </c>
      <c r="I3533">
        <v>0</v>
      </c>
      <c r="J3533">
        <v>0</v>
      </c>
      <c r="K3533">
        <v>0</v>
      </c>
      <c r="L3533" t="s">
        <v>241</v>
      </c>
      <c r="M3533" t="s">
        <v>1398</v>
      </c>
      <c r="N3533">
        <v>0</v>
      </c>
      <c r="O3533" t="s">
        <v>319</v>
      </c>
      <c r="P3533" t="s">
        <v>310</v>
      </c>
      <c r="Q3533" t="s">
        <v>310</v>
      </c>
      <c r="R3533" t="s">
        <v>310</v>
      </c>
      <c r="S3533">
        <v>9</v>
      </c>
      <c r="T3533" t="s">
        <v>310</v>
      </c>
      <c r="U3533">
        <v>9</v>
      </c>
      <c r="V3533">
        <v>9</v>
      </c>
      <c r="W3533">
        <v>0</v>
      </c>
      <c r="X3533">
        <v>0</v>
      </c>
      <c r="Y3533">
        <v>0</v>
      </c>
      <c r="Z3533">
        <v>0</v>
      </c>
      <c r="AA3533">
        <v>9</v>
      </c>
      <c r="AB3533">
        <v>9</v>
      </c>
      <c r="AC3533" t="s">
        <v>310</v>
      </c>
      <c r="AD3533">
        <v>9</v>
      </c>
      <c r="AE3533" t="s">
        <v>1396</v>
      </c>
      <c r="AF3533">
        <v>50001000</v>
      </c>
      <c r="AG3533" t="s">
        <v>310</v>
      </c>
      <c r="AH3533">
        <f>SUM((MID(Dyno_Data[[#This Row],[Team]],4,5))+(Dyno_Data[[#This Row],[Match]]/100))</f>
        <v>3419.64</v>
      </c>
      <c r="AI3533" s="76">
        <f>ROUND(SUM(IF(Dyno_Data[[#This Row],[AcqCenter]]&gt;0,Dyno_Data[[#This Row],[Time]]-SUMIFS(Dyno_Data[Time],Dyno_Data[Team],Dyno_Data[[#This Row],[Team]],Dyno_Data[RecordType],"StartMatch",Dyno_Data[Match],Dyno_Data[[#This Row],[Match]]),0)*86400),0)</f>
        <v>0</v>
      </c>
    </row>
    <row r="3534" spans="1:35" x14ac:dyDescent="0.3">
      <c r="A3534">
        <v>3533</v>
      </c>
      <c r="B3534" t="s">
        <v>1315</v>
      </c>
      <c r="C3534">
        <v>64</v>
      </c>
      <c r="D3534" s="105">
        <v>45374.41352746528</v>
      </c>
      <c r="E3534" t="s">
        <v>312</v>
      </c>
      <c r="F3534" t="s">
        <v>1402</v>
      </c>
      <c r="G3534">
        <v>0</v>
      </c>
      <c r="H3534" t="s">
        <v>315</v>
      </c>
      <c r="I3534">
        <v>0</v>
      </c>
      <c r="J3534">
        <v>0</v>
      </c>
      <c r="K3534">
        <v>0</v>
      </c>
      <c r="L3534" t="s">
        <v>241</v>
      </c>
      <c r="M3534" t="s">
        <v>101</v>
      </c>
      <c r="N3534">
        <v>1</v>
      </c>
      <c r="O3534" t="s">
        <v>311</v>
      </c>
      <c r="P3534" t="s">
        <v>310</v>
      </c>
      <c r="Q3534" t="s">
        <v>310</v>
      </c>
      <c r="R3534" t="s">
        <v>310</v>
      </c>
      <c r="S3534">
        <v>9</v>
      </c>
      <c r="T3534" t="s">
        <v>310</v>
      </c>
      <c r="U3534">
        <v>9</v>
      </c>
      <c r="V3534">
        <v>9</v>
      </c>
      <c r="W3534">
        <v>0</v>
      </c>
      <c r="X3534">
        <v>0</v>
      </c>
      <c r="Y3534">
        <v>0</v>
      </c>
      <c r="Z3534">
        <v>0</v>
      </c>
      <c r="AA3534">
        <v>9</v>
      </c>
      <c r="AB3534">
        <v>9</v>
      </c>
      <c r="AC3534" t="s">
        <v>310</v>
      </c>
      <c r="AD3534">
        <v>9</v>
      </c>
      <c r="AE3534" t="s">
        <v>1390</v>
      </c>
      <c r="AF3534">
        <v>30000000</v>
      </c>
      <c r="AG3534" t="s">
        <v>310</v>
      </c>
      <c r="AH3534">
        <f>SUM((MID(Dyno_Data[[#This Row],[Team]],4,5))+(Dyno_Data[[#This Row],[Match]]/100))</f>
        <v>1511.64</v>
      </c>
      <c r="AI3534" s="76">
        <f>ROUND(SUM(IF(Dyno_Data[[#This Row],[AcqCenter]]&gt;0,Dyno_Data[[#This Row],[Time]]-SUMIFS(Dyno_Data[Time],Dyno_Data[Team],Dyno_Data[[#This Row],[Team]],Dyno_Data[RecordType],"StartMatch",Dyno_Data[Match],Dyno_Data[[#This Row],[Match]]),0)*86400),0)</f>
        <v>0</v>
      </c>
    </row>
    <row r="3535" spans="1:35" x14ac:dyDescent="0.3">
      <c r="A3535">
        <v>3534</v>
      </c>
      <c r="B3535" t="s">
        <v>372</v>
      </c>
      <c r="C3535">
        <v>64</v>
      </c>
      <c r="D3535" s="105">
        <v>45374.413558993052</v>
      </c>
      <c r="E3535" t="s">
        <v>312</v>
      </c>
      <c r="F3535" t="s">
        <v>1402</v>
      </c>
      <c r="G3535">
        <v>0</v>
      </c>
      <c r="H3535" t="s">
        <v>315</v>
      </c>
      <c r="I3535">
        <v>0</v>
      </c>
      <c r="J3535">
        <v>0</v>
      </c>
      <c r="K3535">
        <v>0</v>
      </c>
      <c r="L3535" t="s">
        <v>241</v>
      </c>
      <c r="M3535" t="s">
        <v>1398</v>
      </c>
      <c r="N3535">
        <v>0</v>
      </c>
      <c r="O3535" t="s">
        <v>1389</v>
      </c>
      <c r="P3535" t="s">
        <v>310</v>
      </c>
      <c r="Q3535" t="s">
        <v>310</v>
      </c>
      <c r="R3535" t="s">
        <v>310</v>
      </c>
      <c r="S3535">
        <v>9</v>
      </c>
      <c r="T3535" t="s">
        <v>310</v>
      </c>
      <c r="U3535">
        <v>9</v>
      </c>
      <c r="V3535">
        <v>9</v>
      </c>
      <c r="W3535">
        <v>0</v>
      </c>
      <c r="X3535">
        <v>0</v>
      </c>
      <c r="Y3535">
        <v>0</v>
      </c>
      <c r="Z3535">
        <v>0</v>
      </c>
      <c r="AA3535">
        <v>9</v>
      </c>
      <c r="AB3535">
        <v>9</v>
      </c>
      <c r="AC3535" t="s">
        <v>310</v>
      </c>
      <c r="AD3535">
        <v>9</v>
      </c>
      <c r="AE3535" t="s">
        <v>1413</v>
      </c>
      <c r="AF3535">
        <v>30100000</v>
      </c>
      <c r="AG3535" t="s">
        <v>310</v>
      </c>
      <c r="AH3535">
        <f>SUM((MID(Dyno_Data[[#This Row],[Team]],4,5))+(Dyno_Data[[#This Row],[Match]]/100))</f>
        <v>7504.64</v>
      </c>
      <c r="AI3535" s="76">
        <f>ROUND(SUM(IF(Dyno_Data[[#This Row],[AcqCenter]]&gt;0,Dyno_Data[[#This Row],[Time]]-SUMIFS(Dyno_Data[Time],Dyno_Data[Team],Dyno_Data[[#This Row],[Team]],Dyno_Data[RecordType],"StartMatch",Dyno_Data[Match],Dyno_Data[[#This Row],[Match]]),0)*86400),0)</f>
        <v>0</v>
      </c>
    </row>
    <row r="3536" spans="1:35" x14ac:dyDescent="0.3">
      <c r="A3536">
        <v>3535</v>
      </c>
      <c r="B3536" t="s">
        <v>1286</v>
      </c>
      <c r="C3536">
        <v>64</v>
      </c>
      <c r="D3536" s="105">
        <v>45374.413568321761</v>
      </c>
      <c r="E3536" t="s">
        <v>312</v>
      </c>
      <c r="F3536" t="s">
        <v>1402</v>
      </c>
      <c r="G3536">
        <v>0</v>
      </c>
      <c r="H3536" t="s">
        <v>315</v>
      </c>
      <c r="I3536">
        <v>0</v>
      </c>
      <c r="J3536">
        <v>0</v>
      </c>
      <c r="K3536">
        <v>0</v>
      </c>
      <c r="L3536" t="s">
        <v>241</v>
      </c>
      <c r="M3536" t="s">
        <v>1398</v>
      </c>
      <c r="N3536">
        <v>0</v>
      </c>
      <c r="O3536" t="s">
        <v>1391</v>
      </c>
      <c r="P3536" t="s">
        <v>310</v>
      </c>
      <c r="Q3536" t="s">
        <v>310</v>
      </c>
      <c r="R3536" t="s">
        <v>310</v>
      </c>
      <c r="S3536">
        <v>9</v>
      </c>
      <c r="T3536" t="s">
        <v>310</v>
      </c>
      <c r="U3536">
        <v>9</v>
      </c>
      <c r="V3536">
        <v>9</v>
      </c>
      <c r="W3536">
        <v>0</v>
      </c>
      <c r="X3536">
        <v>0</v>
      </c>
      <c r="Y3536">
        <v>0</v>
      </c>
      <c r="Z3536">
        <v>0</v>
      </c>
      <c r="AA3536">
        <v>9</v>
      </c>
      <c r="AB3536">
        <v>9</v>
      </c>
      <c r="AC3536" t="s">
        <v>310</v>
      </c>
      <c r="AD3536">
        <v>9</v>
      </c>
      <c r="AE3536" t="s">
        <v>1388</v>
      </c>
      <c r="AF3536">
        <v>70001000</v>
      </c>
      <c r="AG3536" t="s">
        <v>310</v>
      </c>
      <c r="AH3536">
        <f>SUM((MID(Dyno_Data[[#This Row],[Team]],4,5))+(Dyno_Data[[#This Row],[Match]]/100))</f>
        <v>1591.64</v>
      </c>
      <c r="AI3536" s="76">
        <f>ROUND(SUM(IF(Dyno_Data[[#This Row],[AcqCenter]]&gt;0,Dyno_Data[[#This Row],[Time]]-SUMIFS(Dyno_Data[Time],Dyno_Data[Team],Dyno_Data[[#This Row],[Team]],Dyno_Data[RecordType],"StartMatch",Dyno_Data[Match],Dyno_Data[[#This Row],[Match]]),0)*86400),0)</f>
        <v>0</v>
      </c>
    </row>
    <row r="3537" spans="1:35" x14ac:dyDescent="0.3">
      <c r="A3537">
        <v>3536</v>
      </c>
      <c r="B3537" t="s">
        <v>1286</v>
      </c>
      <c r="C3537">
        <v>64</v>
      </c>
      <c r="D3537" s="105">
        <v>45374.413608564813</v>
      </c>
      <c r="E3537" t="s">
        <v>312</v>
      </c>
      <c r="F3537" t="s">
        <v>1402</v>
      </c>
      <c r="G3537">
        <v>0</v>
      </c>
      <c r="H3537" t="s">
        <v>315</v>
      </c>
      <c r="I3537">
        <v>0</v>
      </c>
      <c r="J3537">
        <v>0</v>
      </c>
      <c r="K3537">
        <v>0</v>
      </c>
      <c r="L3537" t="s">
        <v>240</v>
      </c>
      <c r="M3537" t="s">
        <v>1398</v>
      </c>
      <c r="N3537">
        <v>0</v>
      </c>
      <c r="O3537" t="s">
        <v>1391</v>
      </c>
      <c r="P3537" t="s">
        <v>310</v>
      </c>
      <c r="Q3537" t="s">
        <v>310</v>
      </c>
      <c r="R3537" t="s">
        <v>310</v>
      </c>
      <c r="S3537">
        <v>9</v>
      </c>
      <c r="T3537" t="s">
        <v>310</v>
      </c>
      <c r="U3537">
        <v>9</v>
      </c>
      <c r="V3537">
        <v>9</v>
      </c>
      <c r="W3537">
        <v>0</v>
      </c>
      <c r="X3537">
        <v>0</v>
      </c>
      <c r="Y3537">
        <v>0</v>
      </c>
      <c r="Z3537">
        <v>0</v>
      </c>
      <c r="AA3537">
        <v>9</v>
      </c>
      <c r="AB3537">
        <v>9</v>
      </c>
      <c r="AC3537" t="s">
        <v>310</v>
      </c>
      <c r="AD3537">
        <v>9</v>
      </c>
      <c r="AE3537" t="s">
        <v>1388</v>
      </c>
      <c r="AF3537">
        <v>80001000</v>
      </c>
      <c r="AG3537" t="s">
        <v>310</v>
      </c>
      <c r="AH3537">
        <f>SUM((MID(Dyno_Data[[#This Row],[Team]],4,5))+(Dyno_Data[[#This Row],[Match]]/100))</f>
        <v>1591.64</v>
      </c>
      <c r="AI3537" s="76">
        <f>ROUND(SUM(IF(Dyno_Data[[#This Row],[AcqCenter]]&gt;0,Dyno_Data[[#This Row],[Time]]-SUMIFS(Dyno_Data[Time],Dyno_Data[Team],Dyno_Data[[#This Row],[Team]],Dyno_Data[RecordType],"StartMatch",Dyno_Data[Match],Dyno_Data[[#This Row],[Match]]),0)*86400),0)</f>
        <v>0</v>
      </c>
    </row>
    <row r="3538" spans="1:35" x14ac:dyDescent="0.3">
      <c r="A3538">
        <v>3537</v>
      </c>
      <c r="B3538" t="s">
        <v>1314</v>
      </c>
      <c r="C3538">
        <v>64</v>
      </c>
      <c r="D3538" s="105">
        <v>45374.413609953706</v>
      </c>
      <c r="E3538" t="s">
        <v>312</v>
      </c>
      <c r="F3538" t="s">
        <v>1402</v>
      </c>
      <c r="G3538">
        <v>0</v>
      </c>
      <c r="H3538" t="s">
        <v>315</v>
      </c>
      <c r="I3538">
        <v>0</v>
      </c>
      <c r="J3538">
        <v>0</v>
      </c>
      <c r="K3538">
        <v>0</v>
      </c>
      <c r="L3538" t="s">
        <v>241</v>
      </c>
      <c r="M3538" t="s">
        <v>1398</v>
      </c>
      <c r="N3538">
        <v>0</v>
      </c>
      <c r="O3538" t="s">
        <v>319</v>
      </c>
      <c r="P3538" t="s">
        <v>310</v>
      </c>
      <c r="Q3538" t="s">
        <v>310</v>
      </c>
      <c r="R3538" t="s">
        <v>310</v>
      </c>
      <c r="S3538">
        <v>9</v>
      </c>
      <c r="T3538" t="s">
        <v>310</v>
      </c>
      <c r="U3538">
        <v>9</v>
      </c>
      <c r="V3538">
        <v>9</v>
      </c>
      <c r="W3538">
        <v>0</v>
      </c>
      <c r="X3538">
        <v>0</v>
      </c>
      <c r="Y3538">
        <v>0</v>
      </c>
      <c r="Z3538">
        <v>0</v>
      </c>
      <c r="AA3538">
        <v>9</v>
      </c>
      <c r="AB3538">
        <v>9</v>
      </c>
      <c r="AC3538" t="s">
        <v>310</v>
      </c>
      <c r="AD3538">
        <v>9</v>
      </c>
      <c r="AE3538" t="s">
        <v>1396</v>
      </c>
      <c r="AF3538">
        <v>60001000</v>
      </c>
      <c r="AG3538" t="s">
        <v>310</v>
      </c>
      <c r="AH3538">
        <f>SUM((MID(Dyno_Data[[#This Row],[Team]],4,5))+(Dyno_Data[[#This Row],[Match]]/100))</f>
        <v>3419.64</v>
      </c>
      <c r="AI3538" s="76">
        <f>ROUND(SUM(IF(Dyno_Data[[#This Row],[AcqCenter]]&gt;0,Dyno_Data[[#This Row],[Time]]-SUMIFS(Dyno_Data[Time],Dyno_Data[Team],Dyno_Data[[#This Row],[Team]],Dyno_Data[RecordType],"StartMatch",Dyno_Data[Match],Dyno_Data[[#This Row],[Match]]),0)*86400),0)</f>
        <v>0</v>
      </c>
    </row>
    <row r="3539" spans="1:35" x14ac:dyDescent="0.3">
      <c r="A3539">
        <v>3538</v>
      </c>
      <c r="B3539" t="s">
        <v>1315</v>
      </c>
      <c r="C3539">
        <v>64</v>
      </c>
      <c r="D3539" s="105">
        <v>45374.413617129627</v>
      </c>
      <c r="E3539" t="s">
        <v>312</v>
      </c>
      <c r="F3539" t="s">
        <v>1402</v>
      </c>
      <c r="G3539">
        <v>0</v>
      </c>
      <c r="H3539" t="s">
        <v>315</v>
      </c>
      <c r="I3539">
        <v>0</v>
      </c>
      <c r="J3539">
        <v>0</v>
      </c>
      <c r="K3539">
        <v>0</v>
      </c>
      <c r="L3539" t="s">
        <v>241</v>
      </c>
      <c r="M3539" t="s">
        <v>101</v>
      </c>
      <c r="N3539">
        <v>0</v>
      </c>
      <c r="O3539" t="s">
        <v>311</v>
      </c>
      <c r="P3539" t="s">
        <v>310</v>
      </c>
      <c r="Q3539" t="s">
        <v>310</v>
      </c>
      <c r="R3539" t="s">
        <v>310</v>
      </c>
      <c r="S3539">
        <v>9</v>
      </c>
      <c r="T3539" t="s">
        <v>310</v>
      </c>
      <c r="U3539">
        <v>9</v>
      </c>
      <c r="V3539">
        <v>9</v>
      </c>
      <c r="W3539">
        <v>0</v>
      </c>
      <c r="X3539">
        <v>0</v>
      </c>
      <c r="Y3539">
        <v>0</v>
      </c>
      <c r="Z3539">
        <v>0</v>
      </c>
      <c r="AA3539">
        <v>9</v>
      </c>
      <c r="AB3539">
        <v>9</v>
      </c>
      <c r="AC3539" t="s">
        <v>310</v>
      </c>
      <c r="AD3539">
        <v>9</v>
      </c>
      <c r="AE3539" t="s">
        <v>1390</v>
      </c>
      <c r="AF3539">
        <v>40000000</v>
      </c>
      <c r="AG3539" t="s">
        <v>310</v>
      </c>
      <c r="AH3539">
        <f>SUM((MID(Dyno_Data[[#This Row],[Team]],4,5))+(Dyno_Data[[#This Row],[Match]]/100))</f>
        <v>1511.64</v>
      </c>
      <c r="AI3539" s="76">
        <f>ROUND(SUM(IF(Dyno_Data[[#This Row],[AcqCenter]]&gt;0,Dyno_Data[[#This Row],[Time]]-SUMIFS(Dyno_Data[Time],Dyno_Data[Team],Dyno_Data[[#This Row],[Team]],Dyno_Data[RecordType],"StartMatch",Dyno_Data[Match],Dyno_Data[[#This Row],[Match]]),0)*86400),0)</f>
        <v>0</v>
      </c>
    </row>
    <row r="3540" spans="1:35" x14ac:dyDescent="0.3">
      <c r="A3540">
        <v>3539</v>
      </c>
      <c r="B3540" t="s">
        <v>1286</v>
      </c>
      <c r="C3540">
        <v>64</v>
      </c>
      <c r="D3540" s="105">
        <v>45374.413733252317</v>
      </c>
      <c r="E3540" t="s">
        <v>312</v>
      </c>
      <c r="F3540" t="s">
        <v>1402</v>
      </c>
      <c r="G3540">
        <v>0</v>
      </c>
      <c r="H3540" t="s">
        <v>315</v>
      </c>
      <c r="I3540">
        <v>0</v>
      </c>
      <c r="J3540">
        <v>0</v>
      </c>
      <c r="K3540">
        <v>0</v>
      </c>
      <c r="L3540" t="s">
        <v>241</v>
      </c>
      <c r="M3540" t="s">
        <v>1398</v>
      </c>
      <c r="N3540">
        <v>0</v>
      </c>
      <c r="O3540" t="s">
        <v>1391</v>
      </c>
      <c r="P3540" t="s">
        <v>310</v>
      </c>
      <c r="Q3540" t="s">
        <v>310</v>
      </c>
      <c r="R3540" t="s">
        <v>310</v>
      </c>
      <c r="S3540">
        <v>9</v>
      </c>
      <c r="T3540" t="s">
        <v>310</v>
      </c>
      <c r="U3540">
        <v>9</v>
      </c>
      <c r="V3540">
        <v>9</v>
      </c>
      <c r="W3540">
        <v>0</v>
      </c>
      <c r="X3540">
        <v>0</v>
      </c>
      <c r="Y3540">
        <v>0</v>
      </c>
      <c r="Z3540">
        <v>0</v>
      </c>
      <c r="AA3540">
        <v>9</v>
      </c>
      <c r="AB3540">
        <v>9</v>
      </c>
      <c r="AC3540" t="s">
        <v>310</v>
      </c>
      <c r="AD3540">
        <v>9</v>
      </c>
      <c r="AE3540" t="s">
        <v>1388</v>
      </c>
      <c r="AF3540">
        <v>90001000</v>
      </c>
      <c r="AG3540" t="s">
        <v>310</v>
      </c>
      <c r="AH3540">
        <f>SUM((MID(Dyno_Data[[#This Row],[Team]],4,5))+(Dyno_Data[[#This Row],[Match]]/100))</f>
        <v>1591.64</v>
      </c>
      <c r="AI3540" s="76">
        <f>ROUND(SUM(IF(Dyno_Data[[#This Row],[AcqCenter]]&gt;0,Dyno_Data[[#This Row],[Time]]-SUMIFS(Dyno_Data[Time],Dyno_Data[Team],Dyno_Data[[#This Row],[Team]],Dyno_Data[RecordType],"StartMatch",Dyno_Data[Match],Dyno_Data[[#This Row],[Match]]),0)*86400),0)</f>
        <v>0</v>
      </c>
    </row>
    <row r="3541" spans="1:35" x14ac:dyDescent="0.3">
      <c r="A3541">
        <v>3540</v>
      </c>
      <c r="B3541" t="s">
        <v>1314</v>
      </c>
      <c r="C3541">
        <v>64</v>
      </c>
      <c r="D3541" s="105">
        <v>45374.413754398149</v>
      </c>
      <c r="E3541" t="s">
        <v>312</v>
      </c>
      <c r="F3541" t="s">
        <v>1402</v>
      </c>
      <c r="G3541">
        <v>0</v>
      </c>
      <c r="H3541" t="s">
        <v>315</v>
      </c>
      <c r="I3541">
        <v>0</v>
      </c>
      <c r="J3541">
        <v>0</v>
      </c>
      <c r="K3541">
        <v>0</v>
      </c>
      <c r="L3541" t="s">
        <v>241</v>
      </c>
      <c r="M3541" t="s">
        <v>1398</v>
      </c>
      <c r="N3541">
        <v>0</v>
      </c>
      <c r="O3541" t="s">
        <v>319</v>
      </c>
      <c r="P3541" t="s">
        <v>310</v>
      </c>
      <c r="Q3541" t="s">
        <v>310</v>
      </c>
      <c r="R3541" t="s">
        <v>310</v>
      </c>
      <c r="S3541">
        <v>9</v>
      </c>
      <c r="T3541" t="s">
        <v>310</v>
      </c>
      <c r="U3541">
        <v>9</v>
      </c>
      <c r="V3541">
        <v>9</v>
      </c>
      <c r="W3541">
        <v>0</v>
      </c>
      <c r="X3541">
        <v>0</v>
      </c>
      <c r="Y3541">
        <v>0</v>
      </c>
      <c r="Z3541">
        <v>0</v>
      </c>
      <c r="AA3541">
        <v>9</v>
      </c>
      <c r="AB3541">
        <v>9</v>
      </c>
      <c r="AC3541" t="s">
        <v>310</v>
      </c>
      <c r="AD3541">
        <v>9</v>
      </c>
      <c r="AE3541" t="s">
        <v>1396</v>
      </c>
      <c r="AF3541">
        <v>70001000</v>
      </c>
      <c r="AG3541" t="s">
        <v>310</v>
      </c>
      <c r="AH3541">
        <f>SUM((MID(Dyno_Data[[#This Row],[Team]],4,5))+(Dyno_Data[[#This Row],[Match]]/100))</f>
        <v>3419.64</v>
      </c>
      <c r="AI3541" s="76">
        <f>ROUND(SUM(IF(Dyno_Data[[#This Row],[AcqCenter]]&gt;0,Dyno_Data[[#This Row],[Time]]-SUMIFS(Dyno_Data[Time],Dyno_Data[Team],Dyno_Data[[#This Row],[Team]],Dyno_Data[RecordType],"StartMatch",Dyno_Data[Match],Dyno_Data[[#This Row],[Match]]),0)*86400),0)</f>
        <v>0</v>
      </c>
    </row>
    <row r="3542" spans="1:35" x14ac:dyDescent="0.3">
      <c r="A3542">
        <v>3541</v>
      </c>
      <c r="B3542" t="s">
        <v>1315</v>
      </c>
      <c r="C3542">
        <v>64</v>
      </c>
      <c r="D3542" s="105">
        <v>45374.413792210646</v>
      </c>
      <c r="E3542" t="s">
        <v>312</v>
      </c>
      <c r="F3542" t="s">
        <v>1402</v>
      </c>
      <c r="G3542">
        <v>0</v>
      </c>
      <c r="H3542" t="s">
        <v>315</v>
      </c>
      <c r="I3542">
        <v>0</v>
      </c>
      <c r="J3542">
        <v>0</v>
      </c>
      <c r="K3542">
        <v>0</v>
      </c>
      <c r="L3542" t="s">
        <v>241</v>
      </c>
      <c r="M3542" t="s">
        <v>1398</v>
      </c>
      <c r="N3542">
        <v>1</v>
      </c>
      <c r="O3542" t="s">
        <v>311</v>
      </c>
      <c r="P3542" t="s">
        <v>310</v>
      </c>
      <c r="Q3542" t="s">
        <v>310</v>
      </c>
      <c r="R3542" t="s">
        <v>310</v>
      </c>
      <c r="S3542">
        <v>9</v>
      </c>
      <c r="T3542" t="s">
        <v>310</v>
      </c>
      <c r="U3542">
        <v>9</v>
      </c>
      <c r="V3542">
        <v>9</v>
      </c>
      <c r="W3542">
        <v>0</v>
      </c>
      <c r="X3542">
        <v>0</v>
      </c>
      <c r="Y3542">
        <v>0</v>
      </c>
      <c r="Z3542">
        <v>0</v>
      </c>
      <c r="AA3542">
        <v>9</v>
      </c>
      <c r="AB3542">
        <v>9</v>
      </c>
      <c r="AC3542" t="s">
        <v>310</v>
      </c>
      <c r="AD3542">
        <v>9</v>
      </c>
      <c r="AE3542" t="s">
        <v>1390</v>
      </c>
      <c r="AF3542">
        <v>50000000</v>
      </c>
      <c r="AG3542" t="s">
        <v>310</v>
      </c>
      <c r="AH3542">
        <f>SUM((MID(Dyno_Data[[#This Row],[Team]],4,5))+(Dyno_Data[[#This Row],[Match]]/100))</f>
        <v>1511.64</v>
      </c>
      <c r="AI3542" s="76">
        <f>ROUND(SUM(IF(Dyno_Data[[#This Row],[AcqCenter]]&gt;0,Dyno_Data[[#This Row],[Time]]-SUMIFS(Dyno_Data[Time],Dyno_Data[Team],Dyno_Data[[#This Row],[Team]],Dyno_Data[RecordType],"StartMatch",Dyno_Data[Match],Dyno_Data[[#This Row],[Match]]),0)*86400),0)</f>
        <v>0</v>
      </c>
    </row>
    <row r="3543" spans="1:35" x14ac:dyDescent="0.3">
      <c r="A3543">
        <v>3542</v>
      </c>
      <c r="B3543" t="s">
        <v>1286</v>
      </c>
      <c r="C3543">
        <v>64</v>
      </c>
      <c r="D3543" s="105">
        <v>45374.413847569442</v>
      </c>
      <c r="E3543" t="s">
        <v>312</v>
      </c>
      <c r="F3543" t="s">
        <v>1402</v>
      </c>
      <c r="G3543">
        <v>0</v>
      </c>
      <c r="H3543" t="s">
        <v>315</v>
      </c>
      <c r="I3543">
        <v>0</v>
      </c>
      <c r="J3543">
        <v>0</v>
      </c>
      <c r="K3543">
        <v>0</v>
      </c>
      <c r="L3543" t="s">
        <v>241</v>
      </c>
      <c r="M3543" t="s">
        <v>1398</v>
      </c>
      <c r="N3543">
        <v>0</v>
      </c>
      <c r="O3543" t="s">
        <v>1391</v>
      </c>
      <c r="P3543" t="s">
        <v>310</v>
      </c>
      <c r="Q3543" t="s">
        <v>310</v>
      </c>
      <c r="R3543" t="s">
        <v>310</v>
      </c>
      <c r="S3543">
        <v>9</v>
      </c>
      <c r="T3543" t="s">
        <v>310</v>
      </c>
      <c r="U3543">
        <v>9</v>
      </c>
      <c r="V3543">
        <v>9</v>
      </c>
      <c r="W3543">
        <v>0</v>
      </c>
      <c r="X3543">
        <v>0</v>
      </c>
      <c r="Y3543">
        <v>0</v>
      </c>
      <c r="Z3543">
        <v>0</v>
      </c>
      <c r="AA3543">
        <v>9</v>
      </c>
      <c r="AB3543">
        <v>9</v>
      </c>
      <c r="AC3543" t="s">
        <v>310</v>
      </c>
      <c r="AD3543">
        <v>9</v>
      </c>
      <c r="AE3543" t="s">
        <v>1388</v>
      </c>
      <c r="AF3543">
        <v>100001000</v>
      </c>
      <c r="AG3543" t="s">
        <v>310</v>
      </c>
      <c r="AH3543">
        <f>SUM((MID(Dyno_Data[[#This Row],[Team]],4,5))+(Dyno_Data[[#This Row],[Match]]/100))</f>
        <v>1591.64</v>
      </c>
      <c r="AI3543" s="76">
        <f>ROUND(SUM(IF(Dyno_Data[[#This Row],[AcqCenter]]&gt;0,Dyno_Data[[#This Row],[Time]]-SUMIFS(Dyno_Data[Time],Dyno_Data[Team],Dyno_Data[[#This Row],[Team]],Dyno_Data[RecordType],"StartMatch",Dyno_Data[Match],Dyno_Data[[#This Row],[Match]]),0)*86400),0)</f>
        <v>0</v>
      </c>
    </row>
    <row r="3544" spans="1:35" x14ac:dyDescent="0.3">
      <c r="A3544">
        <v>3543</v>
      </c>
      <c r="B3544" t="s">
        <v>1315</v>
      </c>
      <c r="C3544">
        <v>64</v>
      </c>
      <c r="D3544" s="105">
        <v>45374.413850659723</v>
      </c>
      <c r="E3544" t="s">
        <v>312</v>
      </c>
      <c r="F3544" t="s">
        <v>1402</v>
      </c>
      <c r="G3544">
        <v>0</v>
      </c>
      <c r="H3544" t="s">
        <v>315</v>
      </c>
      <c r="I3544">
        <v>0</v>
      </c>
      <c r="J3544">
        <v>0</v>
      </c>
      <c r="K3544">
        <v>0</v>
      </c>
      <c r="L3544" t="s">
        <v>241</v>
      </c>
      <c r="M3544" t="s">
        <v>1398</v>
      </c>
      <c r="N3544">
        <v>0</v>
      </c>
      <c r="O3544" t="s">
        <v>311</v>
      </c>
      <c r="P3544" t="s">
        <v>310</v>
      </c>
      <c r="Q3544" t="s">
        <v>310</v>
      </c>
      <c r="R3544" t="s">
        <v>310</v>
      </c>
      <c r="S3544">
        <v>9</v>
      </c>
      <c r="T3544" t="s">
        <v>310</v>
      </c>
      <c r="U3544">
        <v>9</v>
      </c>
      <c r="V3544">
        <v>9</v>
      </c>
      <c r="W3544">
        <v>0</v>
      </c>
      <c r="X3544">
        <v>0</v>
      </c>
      <c r="Y3544">
        <v>0</v>
      </c>
      <c r="Z3544">
        <v>0</v>
      </c>
      <c r="AA3544">
        <v>9</v>
      </c>
      <c r="AB3544">
        <v>9</v>
      </c>
      <c r="AC3544" t="s">
        <v>310</v>
      </c>
      <c r="AD3544">
        <v>9</v>
      </c>
      <c r="AE3544" t="s">
        <v>1390</v>
      </c>
      <c r="AF3544">
        <v>60000000</v>
      </c>
      <c r="AG3544" t="s">
        <v>310</v>
      </c>
      <c r="AH3544">
        <f>SUM((MID(Dyno_Data[[#This Row],[Team]],4,5))+(Dyno_Data[[#This Row],[Match]]/100))</f>
        <v>1511.64</v>
      </c>
      <c r="AI3544" s="76">
        <f>ROUND(SUM(IF(Dyno_Data[[#This Row],[AcqCenter]]&gt;0,Dyno_Data[[#This Row],[Time]]-SUMIFS(Dyno_Data[Time],Dyno_Data[Team],Dyno_Data[[#This Row],[Team]],Dyno_Data[RecordType],"StartMatch",Dyno_Data[Match],Dyno_Data[[#This Row],[Match]]),0)*86400),0)</f>
        <v>0</v>
      </c>
    </row>
    <row r="3545" spans="1:35" x14ac:dyDescent="0.3">
      <c r="A3545">
        <v>3544</v>
      </c>
      <c r="B3545" t="s">
        <v>1314</v>
      </c>
      <c r="C3545">
        <v>64</v>
      </c>
      <c r="D3545" s="105">
        <v>45374.413878356485</v>
      </c>
      <c r="E3545" t="s">
        <v>312</v>
      </c>
      <c r="F3545" t="s">
        <v>1402</v>
      </c>
      <c r="G3545">
        <v>0</v>
      </c>
      <c r="H3545" t="s">
        <v>315</v>
      </c>
      <c r="I3545">
        <v>0</v>
      </c>
      <c r="J3545">
        <v>0</v>
      </c>
      <c r="K3545">
        <v>0</v>
      </c>
      <c r="L3545" t="s">
        <v>241</v>
      </c>
      <c r="M3545" t="s">
        <v>1398</v>
      </c>
      <c r="N3545">
        <v>0</v>
      </c>
      <c r="O3545" t="s">
        <v>319</v>
      </c>
      <c r="P3545" t="s">
        <v>310</v>
      </c>
      <c r="Q3545" t="s">
        <v>310</v>
      </c>
      <c r="R3545" t="s">
        <v>310</v>
      </c>
      <c r="S3545">
        <v>9</v>
      </c>
      <c r="T3545" t="s">
        <v>310</v>
      </c>
      <c r="U3545">
        <v>9</v>
      </c>
      <c r="V3545">
        <v>9</v>
      </c>
      <c r="W3545">
        <v>0</v>
      </c>
      <c r="X3545">
        <v>0</v>
      </c>
      <c r="Y3545">
        <v>0</v>
      </c>
      <c r="Z3545">
        <v>0</v>
      </c>
      <c r="AA3545">
        <v>9</v>
      </c>
      <c r="AB3545">
        <v>9</v>
      </c>
      <c r="AC3545" t="s">
        <v>310</v>
      </c>
      <c r="AD3545">
        <v>9</v>
      </c>
      <c r="AE3545" t="s">
        <v>1396</v>
      </c>
      <c r="AF3545">
        <v>80001000</v>
      </c>
      <c r="AG3545" t="s">
        <v>310</v>
      </c>
      <c r="AH3545">
        <f>SUM((MID(Dyno_Data[[#This Row],[Team]],4,5))+(Dyno_Data[[#This Row],[Match]]/100))</f>
        <v>3419.64</v>
      </c>
      <c r="AI3545" s="76">
        <f>ROUND(SUM(IF(Dyno_Data[[#This Row],[AcqCenter]]&gt;0,Dyno_Data[[#This Row],[Time]]-SUMIFS(Dyno_Data[Time],Dyno_Data[Team],Dyno_Data[[#This Row],[Team]],Dyno_Data[RecordType],"StartMatch",Dyno_Data[Match],Dyno_Data[[#This Row],[Match]]),0)*86400),0)</f>
        <v>0</v>
      </c>
    </row>
    <row r="3546" spans="1:35" x14ac:dyDescent="0.3">
      <c r="A3546">
        <v>3545</v>
      </c>
      <c r="B3546" t="s">
        <v>372</v>
      </c>
      <c r="C3546">
        <v>64</v>
      </c>
      <c r="D3546" s="105">
        <v>45374.41390324074</v>
      </c>
      <c r="E3546" t="s">
        <v>312</v>
      </c>
      <c r="F3546" t="s">
        <v>1402</v>
      </c>
      <c r="G3546">
        <v>0</v>
      </c>
      <c r="H3546" t="s">
        <v>315</v>
      </c>
      <c r="I3546">
        <v>0</v>
      </c>
      <c r="J3546">
        <v>0</v>
      </c>
      <c r="K3546">
        <v>0</v>
      </c>
      <c r="L3546" t="s">
        <v>241</v>
      </c>
      <c r="M3546" t="s">
        <v>1398</v>
      </c>
      <c r="N3546">
        <v>0</v>
      </c>
      <c r="O3546" t="s">
        <v>1389</v>
      </c>
      <c r="P3546" t="s">
        <v>310</v>
      </c>
      <c r="Q3546" t="s">
        <v>310</v>
      </c>
      <c r="R3546" t="s">
        <v>310</v>
      </c>
      <c r="S3546">
        <v>9</v>
      </c>
      <c r="T3546" t="s">
        <v>310</v>
      </c>
      <c r="U3546">
        <v>9</v>
      </c>
      <c r="V3546">
        <v>9</v>
      </c>
      <c r="W3546">
        <v>0</v>
      </c>
      <c r="X3546">
        <v>0</v>
      </c>
      <c r="Y3546">
        <v>0</v>
      </c>
      <c r="Z3546">
        <v>0</v>
      </c>
      <c r="AA3546">
        <v>9</v>
      </c>
      <c r="AB3546">
        <v>9</v>
      </c>
      <c r="AC3546" t="s">
        <v>310</v>
      </c>
      <c r="AD3546">
        <v>9</v>
      </c>
      <c r="AE3546" t="s">
        <v>1413</v>
      </c>
      <c r="AF3546">
        <v>40100000</v>
      </c>
      <c r="AG3546" t="s">
        <v>310</v>
      </c>
      <c r="AH3546">
        <f>SUM((MID(Dyno_Data[[#This Row],[Team]],4,5))+(Dyno_Data[[#This Row],[Match]]/100))</f>
        <v>7504.64</v>
      </c>
      <c r="AI3546" s="76">
        <f>ROUND(SUM(IF(Dyno_Data[[#This Row],[AcqCenter]]&gt;0,Dyno_Data[[#This Row],[Time]]-SUMIFS(Dyno_Data[Time],Dyno_Data[Team],Dyno_Data[[#This Row],[Team]],Dyno_Data[RecordType],"StartMatch",Dyno_Data[Match],Dyno_Data[[#This Row],[Match]]),0)*86400),0)</f>
        <v>0</v>
      </c>
    </row>
    <row r="3547" spans="1:35" x14ac:dyDescent="0.3">
      <c r="A3547">
        <v>3546</v>
      </c>
      <c r="B3547" t="s">
        <v>1297</v>
      </c>
      <c r="C3547">
        <v>64</v>
      </c>
      <c r="D3547" s="105">
        <v>45374.413962812498</v>
      </c>
      <c r="E3547" t="s">
        <v>312</v>
      </c>
      <c r="F3547" t="s">
        <v>1402</v>
      </c>
      <c r="G3547">
        <v>0</v>
      </c>
      <c r="H3547" t="s">
        <v>315</v>
      </c>
      <c r="I3547">
        <v>0</v>
      </c>
      <c r="J3547">
        <v>0</v>
      </c>
      <c r="K3547">
        <v>0</v>
      </c>
      <c r="L3547" t="s">
        <v>241</v>
      </c>
      <c r="M3547" t="s">
        <v>101</v>
      </c>
      <c r="N3547">
        <v>0</v>
      </c>
      <c r="O3547" t="s">
        <v>1395</v>
      </c>
      <c r="P3547" t="s">
        <v>310</v>
      </c>
      <c r="Q3547" t="s">
        <v>310</v>
      </c>
      <c r="R3547" t="s">
        <v>310</v>
      </c>
      <c r="S3547">
        <v>9</v>
      </c>
      <c r="T3547" t="s">
        <v>310</v>
      </c>
      <c r="U3547">
        <v>9</v>
      </c>
      <c r="V3547">
        <v>9</v>
      </c>
      <c r="W3547">
        <v>0</v>
      </c>
      <c r="X3547">
        <v>0</v>
      </c>
      <c r="Y3547">
        <v>0</v>
      </c>
      <c r="Z3547">
        <v>0</v>
      </c>
      <c r="AA3547">
        <v>9</v>
      </c>
      <c r="AB3547">
        <v>9</v>
      </c>
      <c r="AC3547" t="s">
        <v>310</v>
      </c>
      <c r="AD3547">
        <v>9</v>
      </c>
      <c r="AE3547" t="s">
        <v>1414</v>
      </c>
      <c r="AF3547">
        <v>20000000</v>
      </c>
      <c r="AG3547" t="s">
        <v>310</v>
      </c>
      <c r="AH3547">
        <f>SUM((MID(Dyno_Data[[#This Row],[Team]],4,5))+(Dyno_Data[[#This Row],[Match]]/100))</f>
        <v>9750.64</v>
      </c>
      <c r="AI3547" s="76">
        <f>ROUND(SUM(IF(Dyno_Data[[#This Row],[AcqCenter]]&gt;0,Dyno_Data[[#This Row],[Time]]-SUMIFS(Dyno_Data[Time],Dyno_Data[Team],Dyno_Data[[#This Row],[Team]],Dyno_Data[RecordType],"StartMatch",Dyno_Data[Match],Dyno_Data[[#This Row],[Match]]),0)*86400),0)</f>
        <v>0</v>
      </c>
    </row>
    <row r="3548" spans="1:35" x14ac:dyDescent="0.3">
      <c r="A3548">
        <v>3547</v>
      </c>
      <c r="B3548" t="s">
        <v>1286</v>
      </c>
      <c r="C3548">
        <v>64</v>
      </c>
      <c r="D3548" s="105">
        <v>45374.413976620373</v>
      </c>
      <c r="E3548" t="s">
        <v>312</v>
      </c>
      <c r="F3548" t="s">
        <v>1402</v>
      </c>
      <c r="G3548">
        <v>0</v>
      </c>
      <c r="H3548" t="s">
        <v>315</v>
      </c>
      <c r="I3548">
        <v>0</v>
      </c>
      <c r="J3548">
        <v>0</v>
      </c>
      <c r="K3548">
        <v>0</v>
      </c>
      <c r="L3548" t="s">
        <v>241</v>
      </c>
      <c r="M3548" t="s">
        <v>1398</v>
      </c>
      <c r="N3548">
        <v>0</v>
      </c>
      <c r="O3548" t="s">
        <v>1391</v>
      </c>
      <c r="P3548" t="s">
        <v>310</v>
      </c>
      <c r="Q3548" t="s">
        <v>310</v>
      </c>
      <c r="R3548" t="s">
        <v>310</v>
      </c>
      <c r="S3548">
        <v>9</v>
      </c>
      <c r="T3548" t="s">
        <v>310</v>
      </c>
      <c r="U3548">
        <v>9</v>
      </c>
      <c r="V3548">
        <v>9</v>
      </c>
      <c r="W3548">
        <v>0</v>
      </c>
      <c r="X3548">
        <v>0</v>
      </c>
      <c r="Y3548">
        <v>0</v>
      </c>
      <c r="Z3548">
        <v>0</v>
      </c>
      <c r="AA3548">
        <v>9</v>
      </c>
      <c r="AB3548">
        <v>9</v>
      </c>
      <c r="AC3548" t="s">
        <v>310</v>
      </c>
      <c r="AD3548">
        <v>9</v>
      </c>
      <c r="AE3548" t="s">
        <v>1388</v>
      </c>
      <c r="AF3548">
        <v>110001000</v>
      </c>
      <c r="AG3548" t="s">
        <v>310</v>
      </c>
      <c r="AH3548">
        <f>SUM((MID(Dyno_Data[[#This Row],[Team]],4,5))+(Dyno_Data[[#This Row],[Match]]/100))</f>
        <v>1591.64</v>
      </c>
      <c r="AI3548" s="76">
        <f>ROUND(SUM(IF(Dyno_Data[[#This Row],[AcqCenter]]&gt;0,Dyno_Data[[#This Row],[Time]]-SUMIFS(Dyno_Data[Time],Dyno_Data[Team],Dyno_Data[[#This Row],[Team]],Dyno_Data[RecordType],"StartMatch",Dyno_Data[Match],Dyno_Data[[#This Row],[Match]]),0)*86400),0)</f>
        <v>0</v>
      </c>
    </row>
    <row r="3549" spans="1:35" x14ac:dyDescent="0.3">
      <c r="A3549">
        <v>3548</v>
      </c>
      <c r="B3549" t="s">
        <v>1314</v>
      </c>
      <c r="C3549">
        <v>64</v>
      </c>
      <c r="D3549" s="105">
        <v>45374.414025034719</v>
      </c>
      <c r="E3549" t="s">
        <v>312</v>
      </c>
      <c r="F3549" t="s">
        <v>1402</v>
      </c>
      <c r="G3549">
        <v>0</v>
      </c>
      <c r="H3549" t="s">
        <v>315</v>
      </c>
      <c r="I3549">
        <v>0</v>
      </c>
      <c r="J3549">
        <v>0</v>
      </c>
      <c r="K3549">
        <v>0</v>
      </c>
      <c r="L3549" t="s">
        <v>241</v>
      </c>
      <c r="M3549" t="s">
        <v>1398</v>
      </c>
      <c r="N3549">
        <v>1</v>
      </c>
      <c r="O3549" t="s">
        <v>319</v>
      </c>
      <c r="P3549" t="s">
        <v>310</v>
      </c>
      <c r="Q3549" t="s">
        <v>310</v>
      </c>
      <c r="R3549" t="s">
        <v>310</v>
      </c>
      <c r="S3549">
        <v>9</v>
      </c>
      <c r="T3549" t="s">
        <v>310</v>
      </c>
      <c r="U3549">
        <v>9</v>
      </c>
      <c r="V3549">
        <v>9</v>
      </c>
      <c r="W3549">
        <v>0</v>
      </c>
      <c r="X3549">
        <v>0</v>
      </c>
      <c r="Y3549">
        <v>0</v>
      </c>
      <c r="Z3549">
        <v>0</v>
      </c>
      <c r="AA3549">
        <v>9</v>
      </c>
      <c r="AB3549">
        <v>9</v>
      </c>
      <c r="AC3549" t="s">
        <v>310</v>
      </c>
      <c r="AD3549">
        <v>9</v>
      </c>
      <c r="AE3549" t="s">
        <v>1396</v>
      </c>
      <c r="AF3549">
        <v>90001000</v>
      </c>
      <c r="AG3549" t="s">
        <v>310</v>
      </c>
      <c r="AH3549">
        <f>SUM((MID(Dyno_Data[[#This Row],[Team]],4,5))+(Dyno_Data[[#This Row],[Match]]/100))</f>
        <v>3419.64</v>
      </c>
      <c r="AI3549" s="76">
        <f>ROUND(SUM(IF(Dyno_Data[[#This Row],[AcqCenter]]&gt;0,Dyno_Data[[#This Row],[Time]]-SUMIFS(Dyno_Data[Time],Dyno_Data[Team],Dyno_Data[[#This Row],[Team]],Dyno_Data[RecordType],"StartMatch",Dyno_Data[Match],Dyno_Data[[#This Row],[Match]]),0)*86400),0)</f>
        <v>0</v>
      </c>
    </row>
    <row r="3550" spans="1:35" x14ac:dyDescent="0.3">
      <c r="A3550">
        <v>3549</v>
      </c>
      <c r="B3550" t="s">
        <v>1286</v>
      </c>
      <c r="C3550">
        <v>64</v>
      </c>
      <c r="D3550" s="105">
        <v>45374.414123113427</v>
      </c>
      <c r="E3550" t="s">
        <v>312</v>
      </c>
      <c r="F3550" t="s">
        <v>1402</v>
      </c>
      <c r="G3550">
        <v>0</v>
      </c>
      <c r="H3550" t="s">
        <v>315</v>
      </c>
      <c r="I3550">
        <v>0</v>
      </c>
      <c r="J3550">
        <v>0</v>
      </c>
      <c r="K3550">
        <v>0</v>
      </c>
      <c r="L3550" t="s">
        <v>241</v>
      </c>
      <c r="M3550" t="s">
        <v>1398</v>
      </c>
      <c r="N3550">
        <v>0</v>
      </c>
      <c r="O3550" t="s">
        <v>1391</v>
      </c>
      <c r="P3550" t="s">
        <v>310</v>
      </c>
      <c r="Q3550" t="s">
        <v>310</v>
      </c>
      <c r="R3550" t="s">
        <v>310</v>
      </c>
      <c r="S3550">
        <v>9</v>
      </c>
      <c r="T3550" t="s">
        <v>310</v>
      </c>
      <c r="U3550">
        <v>9</v>
      </c>
      <c r="V3550">
        <v>9</v>
      </c>
      <c r="W3550">
        <v>0</v>
      </c>
      <c r="X3550">
        <v>0</v>
      </c>
      <c r="Y3550">
        <v>0</v>
      </c>
      <c r="Z3550">
        <v>0</v>
      </c>
      <c r="AA3550">
        <v>9</v>
      </c>
      <c r="AB3550">
        <v>9</v>
      </c>
      <c r="AC3550" t="s">
        <v>310</v>
      </c>
      <c r="AD3550">
        <v>9</v>
      </c>
      <c r="AE3550" t="s">
        <v>1388</v>
      </c>
      <c r="AF3550">
        <v>120001000</v>
      </c>
      <c r="AG3550" t="s">
        <v>310</v>
      </c>
      <c r="AH3550">
        <f>SUM((MID(Dyno_Data[[#This Row],[Team]],4,5))+(Dyno_Data[[#This Row],[Match]]/100))</f>
        <v>1591.64</v>
      </c>
      <c r="AI3550" s="76">
        <f>ROUND(SUM(IF(Dyno_Data[[#This Row],[AcqCenter]]&gt;0,Dyno_Data[[#This Row],[Time]]-SUMIFS(Dyno_Data[Time],Dyno_Data[Team],Dyno_Data[[#This Row],[Team]],Dyno_Data[RecordType],"StartMatch",Dyno_Data[Match],Dyno_Data[[#This Row],[Match]]),0)*86400),0)</f>
        <v>0</v>
      </c>
    </row>
    <row r="3551" spans="1:35" x14ac:dyDescent="0.3">
      <c r="A3551">
        <v>3550</v>
      </c>
      <c r="B3551" t="s">
        <v>372</v>
      </c>
      <c r="C3551">
        <v>64</v>
      </c>
      <c r="D3551" s="105">
        <v>45374.414127581018</v>
      </c>
      <c r="E3551" t="s">
        <v>312</v>
      </c>
      <c r="F3551" t="s">
        <v>1402</v>
      </c>
      <c r="G3551">
        <v>0</v>
      </c>
      <c r="H3551" t="s">
        <v>315</v>
      </c>
      <c r="I3551">
        <v>0</v>
      </c>
      <c r="J3551">
        <v>0</v>
      </c>
      <c r="K3551">
        <v>0</v>
      </c>
      <c r="L3551" t="s">
        <v>241</v>
      </c>
      <c r="M3551" t="s">
        <v>1398</v>
      </c>
      <c r="N3551">
        <v>0</v>
      </c>
      <c r="O3551" t="s">
        <v>1389</v>
      </c>
      <c r="P3551" t="s">
        <v>310</v>
      </c>
      <c r="Q3551" t="s">
        <v>310</v>
      </c>
      <c r="R3551" t="s">
        <v>310</v>
      </c>
      <c r="S3551">
        <v>9</v>
      </c>
      <c r="T3551" t="s">
        <v>310</v>
      </c>
      <c r="U3551">
        <v>9</v>
      </c>
      <c r="V3551">
        <v>9</v>
      </c>
      <c r="W3551">
        <v>0</v>
      </c>
      <c r="X3551">
        <v>0</v>
      </c>
      <c r="Y3551">
        <v>0</v>
      </c>
      <c r="Z3551">
        <v>0</v>
      </c>
      <c r="AA3551">
        <v>9</v>
      </c>
      <c r="AB3551">
        <v>9</v>
      </c>
      <c r="AC3551" t="s">
        <v>310</v>
      </c>
      <c r="AD3551">
        <v>9</v>
      </c>
      <c r="AE3551" t="s">
        <v>1413</v>
      </c>
      <c r="AF3551">
        <v>50100000</v>
      </c>
      <c r="AG3551" t="s">
        <v>310</v>
      </c>
      <c r="AH3551">
        <f>SUM((MID(Dyno_Data[[#This Row],[Team]],4,5))+(Dyno_Data[[#This Row],[Match]]/100))</f>
        <v>7504.64</v>
      </c>
      <c r="AI3551" s="76">
        <f>ROUND(SUM(IF(Dyno_Data[[#This Row],[AcqCenter]]&gt;0,Dyno_Data[[#This Row],[Time]]-SUMIFS(Dyno_Data[Time],Dyno_Data[Team],Dyno_Data[[#This Row],[Team]],Dyno_Data[RecordType],"StartMatch",Dyno_Data[Match],Dyno_Data[[#This Row],[Match]]),0)*86400),0)</f>
        <v>0</v>
      </c>
    </row>
    <row r="3552" spans="1:35" x14ac:dyDescent="0.3">
      <c r="A3552">
        <v>3551</v>
      </c>
      <c r="B3552" t="s">
        <v>1315</v>
      </c>
      <c r="C3552">
        <v>64</v>
      </c>
      <c r="D3552" s="105">
        <v>45374.414235648146</v>
      </c>
      <c r="E3552" t="s">
        <v>312</v>
      </c>
      <c r="F3552" t="s">
        <v>1402</v>
      </c>
      <c r="G3552">
        <v>0</v>
      </c>
      <c r="H3552" t="s">
        <v>315</v>
      </c>
      <c r="I3552">
        <v>0</v>
      </c>
      <c r="J3552">
        <v>0</v>
      </c>
      <c r="K3552">
        <v>0</v>
      </c>
      <c r="L3552" t="s">
        <v>241</v>
      </c>
      <c r="M3552" t="s">
        <v>101</v>
      </c>
      <c r="N3552">
        <v>1</v>
      </c>
      <c r="O3552" t="s">
        <v>311</v>
      </c>
      <c r="P3552" t="s">
        <v>310</v>
      </c>
      <c r="Q3552" t="s">
        <v>310</v>
      </c>
      <c r="R3552" t="s">
        <v>310</v>
      </c>
      <c r="S3552">
        <v>9</v>
      </c>
      <c r="T3552" t="s">
        <v>310</v>
      </c>
      <c r="U3552">
        <v>9</v>
      </c>
      <c r="V3552">
        <v>9</v>
      </c>
      <c r="W3552">
        <v>0</v>
      </c>
      <c r="X3552">
        <v>0</v>
      </c>
      <c r="Y3552">
        <v>0</v>
      </c>
      <c r="Z3552">
        <v>0</v>
      </c>
      <c r="AA3552">
        <v>9</v>
      </c>
      <c r="AB3552">
        <v>9</v>
      </c>
      <c r="AC3552" t="s">
        <v>310</v>
      </c>
      <c r="AD3552">
        <v>9</v>
      </c>
      <c r="AE3552" t="s">
        <v>1390</v>
      </c>
      <c r="AF3552">
        <v>70100000</v>
      </c>
      <c r="AG3552" t="s">
        <v>310</v>
      </c>
      <c r="AH3552">
        <f>SUM((MID(Dyno_Data[[#This Row],[Team]],4,5))+(Dyno_Data[[#This Row],[Match]]/100))</f>
        <v>1511.64</v>
      </c>
      <c r="AI3552" s="76">
        <f>ROUND(SUM(IF(Dyno_Data[[#This Row],[AcqCenter]]&gt;0,Dyno_Data[[#This Row],[Time]]-SUMIFS(Dyno_Data[Time],Dyno_Data[Team],Dyno_Data[[#This Row],[Team]],Dyno_Data[RecordType],"StartMatch",Dyno_Data[Match],Dyno_Data[[#This Row],[Match]]),0)*86400),0)</f>
        <v>0</v>
      </c>
    </row>
    <row r="3553" spans="1:35" x14ac:dyDescent="0.3">
      <c r="A3553">
        <v>3552</v>
      </c>
      <c r="B3553" t="s">
        <v>1286</v>
      </c>
      <c r="C3553">
        <v>64</v>
      </c>
      <c r="D3553" s="105">
        <v>45374.414259803241</v>
      </c>
      <c r="E3553" t="s">
        <v>312</v>
      </c>
      <c r="F3553" t="s">
        <v>1402</v>
      </c>
      <c r="G3553">
        <v>0</v>
      </c>
      <c r="H3553" t="s">
        <v>315</v>
      </c>
      <c r="I3553">
        <v>0</v>
      </c>
      <c r="J3553">
        <v>0</v>
      </c>
      <c r="K3553">
        <v>0</v>
      </c>
      <c r="L3553" t="s">
        <v>241</v>
      </c>
      <c r="M3553" t="s">
        <v>1398</v>
      </c>
      <c r="N3553">
        <v>0</v>
      </c>
      <c r="O3553" t="s">
        <v>1391</v>
      </c>
      <c r="P3553" t="s">
        <v>310</v>
      </c>
      <c r="Q3553" t="s">
        <v>310</v>
      </c>
      <c r="R3553" t="s">
        <v>310</v>
      </c>
      <c r="S3553">
        <v>9</v>
      </c>
      <c r="T3553" t="s">
        <v>310</v>
      </c>
      <c r="U3553">
        <v>9</v>
      </c>
      <c r="V3553">
        <v>9</v>
      </c>
      <c r="W3553">
        <v>0</v>
      </c>
      <c r="X3553">
        <v>0</v>
      </c>
      <c r="Y3553">
        <v>0</v>
      </c>
      <c r="Z3553">
        <v>0</v>
      </c>
      <c r="AA3553">
        <v>9</v>
      </c>
      <c r="AB3553">
        <v>9</v>
      </c>
      <c r="AC3553" t="s">
        <v>310</v>
      </c>
      <c r="AD3553">
        <v>9</v>
      </c>
      <c r="AE3553" t="s">
        <v>1388</v>
      </c>
      <c r="AF3553">
        <v>130001000</v>
      </c>
      <c r="AG3553" t="s">
        <v>310</v>
      </c>
      <c r="AH3553">
        <f>SUM((MID(Dyno_Data[[#This Row],[Team]],4,5))+(Dyno_Data[[#This Row],[Match]]/100))</f>
        <v>1591.64</v>
      </c>
      <c r="AI3553" s="76">
        <f>ROUND(SUM(IF(Dyno_Data[[#This Row],[AcqCenter]]&gt;0,Dyno_Data[[#This Row],[Time]]-SUMIFS(Dyno_Data[Time],Dyno_Data[Team],Dyno_Data[[#This Row],[Team]],Dyno_Data[RecordType],"StartMatch",Dyno_Data[Match],Dyno_Data[[#This Row],[Match]]),0)*86400),0)</f>
        <v>0</v>
      </c>
    </row>
    <row r="3554" spans="1:35" x14ac:dyDescent="0.3">
      <c r="A3554">
        <v>3553</v>
      </c>
      <c r="B3554" t="s">
        <v>1297</v>
      </c>
      <c r="C3554">
        <v>64</v>
      </c>
      <c r="D3554" s="105">
        <v>45374.414268402776</v>
      </c>
      <c r="E3554" t="s">
        <v>312</v>
      </c>
      <c r="F3554" t="s">
        <v>1402</v>
      </c>
      <c r="G3554">
        <v>0</v>
      </c>
      <c r="H3554" t="s">
        <v>315</v>
      </c>
      <c r="I3554">
        <v>0</v>
      </c>
      <c r="J3554">
        <v>0</v>
      </c>
      <c r="K3554">
        <v>0</v>
      </c>
      <c r="L3554" t="s">
        <v>241</v>
      </c>
      <c r="M3554" t="s">
        <v>101</v>
      </c>
      <c r="N3554">
        <v>0</v>
      </c>
      <c r="O3554" t="s">
        <v>1395</v>
      </c>
      <c r="P3554" t="s">
        <v>310</v>
      </c>
      <c r="Q3554" t="s">
        <v>310</v>
      </c>
      <c r="R3554" t="s">
        <v>310</v>
      </c>
      <c r="S3554">
        <v>9</v>
      </c>
      <c r="T3554" t="s">
        <v>310</v>
      </c>
      <c r="U3554">
        <v>9</v>
      </c>
      <c r="V3554">
        <v>9</v>
      </c>
      <c r="W3554">
        <v>0</v>
      </c>
      <c r="X3554">
        <v>0</v>
      </c>
      <c r="Y3554">
        <v>0</v>
      </c>
      <c r="Z3554">
        <v>0</v>
      </c>
      <c r="AA3554">
        <v>9</v>
      </c>
      <c r="AB3554">
        <v>9</v>
      </c>
      <c r="AC3554" t="s">
        <v>310</v>
      </c>
      <c r="AD3554">
        <v>9</v>
      </c>
      <c r="AE3554" t="s">
        <v>1414</v>
      </c>
      <c r="AF3554">
        <v>30000000</v>
      </c>
      <c r="AG3554" t="s">
        <v>310</v>
      </c>
      <c r="AH3554">
        <f>SUM((MID(Dyno_Data[[#This Row],[Team]],4,5))+(Dyno_Data[[#This Row],[Match]]/100))</f>
        <v>9750.64</v>
      </c>
      <c r="AI3554" s="76">
        <f>ROUND(SUM(IF(Dyno_Data[[#This Row],[AcqCenter]]&gt;0,Dyno_Data[[#This Row],[Time]]-SUMIFS(Dyno_Data[Time],Dyno_Data[Team],Dyno_Data[[#This Row],[Team]],Dyno_Data[RecordType],"StartMatch",Dyno_Data[Match],Dyno_Data[[#This Row],[Match]]),0)*86400),0)</f>
        <v>0</v>
      </c>
    </row>
    <row r="3555" spans="1:35" x14ac:dyDescent="0.3">
      <c r="A3555">
        <v>3554</v>
      </c>
      <c r="B3555" t="s">
        <v>372</v>
      </c>
      <c r="C3555">
        <v>64</v>
      </c>
      <c r="D3555" s="105">
        <v>45374.41436466435</v>
      </c>
      <c r="E3555" t="s">
        <v>312</v>
      </c>
      <c r="F3555" t="s">
        <v>1402</v>
      </c>
      <c r="G3555">
        <v>0</v>
      </c>
      <c r="H3555" t="s">
        <v>315</v>
      </c>
      <c r="I3555">
        <v>0</v>
      </c>
      <c r="J3555">
        <v>0</v>
      </c>
      <c r="K3555">
        <v>0</v>
      </c>
      <c r="L3555" t="s">
        <v>241</v>
      </c>
      <c r="M3555" t="s">
        <v>1398</v>
      </c>
      <c r="N3555">
        <v>0</v>
      </c>
      <c r="O3555" t="s">
        <v>1389</v>
      </c>
      <c r="P3555" t="s">
        <v>310</v>
      </c>
      <c r="Q3555" t="s">
        <v>310</v>
      </c>
      <c r="R3555" t="s">
        <v>310</v>
      </c>
      <c r="S3555">
        <v>9</v>
      </c>
      <c r="T3555" t="s">
        <v>310</v>
      </c>
      <c r="U3555">
        <v>9</v>
      </c>
      <c r="V3555">
        <v>9</v>
      </c>
      <c r="W3555">
        <v>0</v>
      </c>
      <c r="X3555">
        <v>0</v>
      </c>
      <c r="Y3555">
        <v>0</v>
      </c>
      <c r="Z3555">
        <v>0</v>
      </c>
      <c r="AA3555">
        <v>9</v>
      </c>
      <c r="AB3555">
        <v>9</v>
      </c>
      <c r="AC3555" t="s">
        <v>310</v>
      </c>
      <c r="AD3555">
        <v>9</v>
      </c>
      <c r="AE3555" t="s">
        <v>1413</v>
      </c>
      <c r="AF3555">
        <v>60100000</v>
      </c>
      <c r="AG3555" t="s">
        <v>310</v>
      </c>
      <c r="AH3555">
        <f>SUM((MID(Dyno_Data[[#This Row],[Team]],4,5))+(Dyno_Data[[#This Row],[Match]]/100))</f>
        <v>7504.64</v>
      </c>
      <c r="AI3555" s="76">
        <f>ROUND(SUM(IF(Dyno_Data[[#This Row],[AcqCenter]]&gt;0,Dyno_Data[[#This Row],[Time]]-SUMIFS(Dyno_Data[Time],Dyno_Data[Team],Dyno_Data[[#This Row],[Team]],Dyno_Data[RecordType],"StartMatch",Dyno_Data[Match],Dyno_Data[[#This Row],[Match]]),0)*86400),0)</f>
        <v>0</v>
      </c>
    </row>
    <row r="3556" spans="1:35" x14ac:dyDescent="0.3">
      <c r="A3556">
        <v>3555</v>
      </c>
      <c r="B3556" t="s">
        <v>1297</v>
      </c>
      <c r="C3556">
        <v>64</v>
      </c>
      <c r="D3556" s="105">
        <v>45374.414516701392</v>
      </c>
      <c r="E3556" t="s">
        <v>312</v>
      </c>
      <c r="F3556" t="s">
        <v>1402</v>
      </c>
      <c r="G3556">
        <v>0</v>
      </c>
      <c r="H3556" t="s">
        <v>315</v>
      </c>
      <c r="I3556">
        <v>0</v>
      </c>
      <c r="J3556">
        <v>0</v>
      </c>
      <c r="K3556">
        <v>0</v>
      </c>
      <c r="L3556" t="s">
        <v>241</v>
      </c>
      <c r="M3556" t="s">
        <v>101</v>
      </c>
      <c r="N3556">
        <v>0</v>
      </c>
      <c r="O3556" t="s">
        <v>1395</v>
      </c>
      <c r="P3556" t="s">
        <v>310</v>
      </c>
      <c r="Q3556" t="s">
        <v>310</v>
      </c>
      <c r="R3556" t="s">
        <v>310</v>
      </c>
      <c r="S3556">
        <v>9</v>
      </c>
      <c r="T3556" t="s">
        <v>310</v>
      </c>
      <c r="U3556">
        <v>9</v>
      </c>
      <c r="V3556">
        <v>9</v>
      </c>
      <c r="W3556">
        <v>0</v>
      </c>
      <c r="X3556">
        <v>0</v>
      </c>
      <c r="Y3556">
        <v>0</v>
      </c>
      <c r="Z3556">
        <v>0</v>
      </c>
      <c r="AA3556">
        <v>9</v>
      </c>
      <c r="AB3556">
        <v>9</v>
      </c>
      <c r="AC3556" t="s">
        <v>310</v>
      </c>
      <c r="AD3556">
        <v>9</v>
      </c>
      <c r="AE3556" t="s">
        <v>1414</v>
      </c>
      <c r="AF3556">
        <v>40000000</v>
      </c>
      <c r="AG3556" t="s">
        <v>310</v>
      </c>
      <c r="AH3556">
        <f>SUM((MID(Dyno_Data[[#This Row],[Team]],4,5))+(Dyno_Data[[#This Row],[Match]]/100))</f>
        <v>9750.64</v>
      </c>
      <c r="AI3556" s="76">
        <f>ROUND(SUM(IF(Dyno_Data[[#This Row],[AcqCenter]]&gt;0,Dyno_Data[[#This Row],[Time]]-SUMIFS(Dyno_Data[Time],Dyno_Data[Team],Dyno_Data[[#This Row],[Team]],Dyno_Data[RecordType],"StartMatch",Dyno_Data[Match],Dyno_Data[[#This Row],[Match]]),0)*86400),0)</f>
        <v>0</v>
      </c>
    </row>
    <row r="3557" spans="1:35" x14ac:dyDescent="0.3">
      <c r="A3557">
        <v>3556</v>
      </c>
      <c r="B3557" t="s">
        <v>1297</v>
      </c>
      <c r="C3557">
        <v>64</v>
      </c>
      <c r="D3557" s="105">
        <v>45374.415355358797</v>
      </c>
      <c r="E3557" t="s">
        <v>1403</v>
      </c>
      <c r="F3557" t="s">
        <v>317</v>
      </c>
      <c r="G3557">
        <v>0</v>
      </c>
      <c r="H3557" t="s">
        <v>310</v>
      </c>
      <c r="I3557">
        <v>0</v>
      </c>
      <c r="J3557">
        <v>0</v>
      </c>
      <c r="K3557">
        <v>0</v>
      </c>
      <c r="L3557" t="s">
        <v>310</v>
      </c>
      <c r="M3557" t="s">
        <v>310</v>
      </c>
      <c r="N3557">
        <v>0</v>
      </c>
      <c r="O3557" t="s">
        <v>1395</v>
      </c>
      <c r="P3557" t="s">
        <v>310</v>
      </c>
      <c r="Q3557" t="s">
        <v>310</v>
      </c>
      <c r="R3557" t="s">
        <v>310</v>
      </c>
      <c r="S3557">
        <v>9</v>
      </c>
      <c r="T3557" t="s">
        <v>310</v>
      </c>
      <c r="U3557">
        <v>9</v>
      </c>
      <c r="V3557">
        <v>9</v>
      </c>
      <c r="W3557">
        <v>0</v>
      </c>
      <c r="X3557">
        <v>0</v>
      </c>
      <c r="Y3557">
        <v>0</v>
      </c>
      <c r="Z3557">
        <v>0</v>
      </c>
      <c r="AA3557">
        <v>9</v>
      </c>
      <c r="AB3557">
        <v>9</v>
      </c>
      <c r="AC3557" t="s">
        <v>310</v>
      </c>
      <c r="AD3557">
        <v>9</v>
      </c>
      <c r="AE3557" t="s">
        <v>1414</v>
      </c>
      <c r="AF3557">
        <v>40000000</v>
      </c>
      <c r="AG3557" t="s">
        <v>251</v>
      </c>
      <c r="AH3557">
        <f>SUM((MID(Dyno_Data[[#This Row],[Team]],4,5))+(Dyno_Data[[#This Row],[Match]]/100))</f>
        <v>9750.64</v>
      </c>
      <c r="AI3557" s="76">
        <f>ROUND(SUM(IF(Dyno_Data[[#This Row],[AcqCenter]]&gt;0,Dyno_Data[[#This Row],[Time]]-SUMIFS(Dyno_Data[Time],Dyno_Data[Team],Dyno_Data[[#This Row],[Team]],Dyno_Data[RecordType],"StartMatch",Dyno_Data[Match],Dyno_Data[[#This Row],[Match]]),0)*86400),0)</f>
        <v>0</v>
      </c>
    </row>
    <row r="3558" spans="1:35" x14ac:dyDescent="0.3">
      <c r="A3558">
        <v>3557</v>
      </c>
      <c r="B3558" t="s">
        <v>1315</v>
      </c>
      <c r="C3558">
        <v>64</v>
      </c>
      <c r="D3558" s="105">
        <v>45374.416528090274</v>
      </c>
      <c r="E3558" t="s">
        <v>316</v>
      </c>
      <c r="F3558" t="s">
        <v>317</v>
      </c>
      <c r="G3558">
        <v>1</v>
      </c>
      <c r="H3558" t="s">
        <v>310</v>
      </c>
      <c r="I3558">
        <v>0</v>
      </c>
      <c r="J3558">
        <v>0</v>
      </c>
      <c r="K3558">
        <v>0</v>
      </c>
      <c r="L3558" t="s">
        <v>310</v>
      </c>
      <c r="M3558" t="s">
        <v>310</v>
      </c>
      <c r="N3558">
        <v>0</v>
      </c>
      <c r="O3558" t="s">
        <v>311</v>
      </c>
      <c r="P3558" t="s">
        <v>240</v>
      </c>
      <c r="Q3558" t="s">
        <v>1400</v>
      </c>
      <c r="R3558" t="s">
        <v>1405</v>
      </c>
      <c r="S3558">
        <v>1</v>
      </c>
      <c r="T3558" t="s">
        <v>1406</v>
      </c>
      <c r="U3558">
        <v>1</v>
      </c>
      <c r="V3558">
        <v>0</v>
      </c>
      <c r="W3558">
        <v>8.4748289000000003</v>
      </c>
      <c r="X3558">
        <v>28.0744553</v>
      </c>
      <c r="Y3558">
        <v>18.9578904</v>
      </c>
      <c r="Z3558">
        <v>71.202267399999997</v>
      </c>
      <c r="AA3558">
        <v>0</v>
      </c>
      <c r="AB3558">
        <v>0</v>
      </c>
      <c r="AC3558" t="s">
        <v>174</v>
      </c>
      <c r="AD3558">
        <v>9</v>
      </c>
      <c r="AE3558" t="s">
        <v>1390</v>
      </c>
      <c r="AF3558">
        <v>70100000</v>
      </c>
      <c r="AG3558" t="s">
        <v>310</v>
      </c>
      <c r="AH3558">
        <f>SUM((MID(Dyno_Data[[#This Row],[Team]],4,5))+(Dyno_Data[[#This Row],[Match]]/100))</f>
        <v>1511.64</v>
      </c>
      <c r="AI3558" s="76">
        <f>ROUND(SUM(IF(Dyno_Data[[#This Row],[AcqCenter]]&gt;0,Dyno_Data[[#This Row],[Time]]-SUMIFS(Dyno_Data[Time],Dyno_Data[Team],Dyno_Data[[#This Row],[Team]],Dyno_Data[RecordType],"StartMatch",Dyno_Data[Match],Dyno_Data[[#This Row],[Match]]),0)*86400),0)</f>
        <v>0</v>
      </c>
    </row>
    <row r="3559" spans="1:35" x14ac:dyDescent="0.3">
      <c r="A3559">
        <v>3558</v>
      </c>
      <c r="B3559" t="s">
        <v>1286</v>
      </c>
      <c r="C3559">
        <v>64</v>
      </c>
      <c r="D3559" s="105">
        <v>45374.416528159723</v>
      </c>
      <c r="E3559" t="s">
        <v>316</v>
      </c>
      <c r="F3559" t="s">
        <v>317</v>
      </c>
      <c r="G3559">
        <v>1</v>
      </c>
      <c r="H3559" t="s">
        <v>310</v>
      </c>
      <c r="I3559">
        <v>0</v>
      </c>
      <c r="J3559">
        <v>0</v>
      </c>
      <c r="K3559">
        <v>0</v>
      </c>
      <c r="L3559" t="s">
        <v>310</v>
      </c>
      <c r="M3559" t="s">
        <v>310</v>
      </c>
      <c r="N3559">
        <v>0</v>
      </c>
      <c r="O3559" t="s">
        <v>1391</v>
      </c>
      <c r="P3559" t="s">
        <v>1401</v>
      </c>
      <c r="Q3559" t="s">
        <v>1400</v>
      </c>
      <c r="R3559" t="s">
        <v>1405</v>
      </c>
      <c r="S3559">
        <v>1</v>
      </c>
      <c r="T3559" t="s">
        <v>1407</v>
      </c>
      <c r="U3559">
        <v>0</v>
      </c>
      <c r="V3559">
        <v>0</v>
      </c>
      <c r="W3559">
        <v>7.6329423999999992</v>
      </c>
      <c r="X3559">
        <v>39.383007200000002</v>
      </c>
      <c r="Y3559">
        <v>22.739495299999998</v>
      </c>
      <c r="Z3559">
        <v>46.082457999999995</v>
      </c>
      <c r="AA3559">
        <v>0</v>
      </c>
      <c r="AB3559">
        <v>0</v>
      </c>
      <c r="AC3559" t="s">
        <v>174</v>
      </c>
      <c r="AD3559">
        <v>9</v>
      </c>
      <c r="AE3559" t="s">
        <v>1388</v>
      </c>
      <c r="AF3559">
        <v>130001000</v>
      </c>
      <c r="AG3559" t="s">
        <v>310</v>
      </c>
      <c r="AH3559">
        <f>SUM((MID(Dyno_Data[[#This Row],[Team]],4,5))+(Dyno_Data[[#This Row],[Match]]/100))</f>
        <v>1591.64</v>
      </c>
      <c r="AI3559" s="76">
        <f>ROUND(SUM(IF(Dyno_Data[[#This Row],[AcqCenter]]&gt;0,Dyno_Data[[#This Row],[Time]]-SUMIFS(Dyno_Data[Time],Dyno_Data[Team],Dyno_Data[[#This Row],[Team]],Dyno_Data[RecordType],"StartMatch",Dyno_Data[Match],Dyno_Data[[#This Row],[Match]]),0)*86400),0)</f>
        <v>0</v>
      </c>
    </row>
    <row r="3560" spans="1:35" x14ac:dyDescent="0.3">
      <c r="A3560">
        <v>3559</v>
      </c>
      <c r="B3560" t="s">
        <v>1314</v>
      </c>
      <c r="C3560">
        <v>64</v>
      </c>
      <c r="D3560" s="105">
        <v>45374.416528159723</v>
      </c>
      <c r="E3560" t="s">
        <v>316</v>
      </c>
      <c r="F3560" t="s">
        <v>317</v>
      </c>
      <c r="G3560">
        <v>1</v>
      </c>
      <c r="H3560" t="s">
        <v>310</v>
      </c>
      <c r="I3560">
        <v>0</v>
      </c>
      <c r="J3560">
        <v>0</v>
      </c>
      <c r="K3560">
        <v>0</v>
      </c>
      <c r="L3560" t="s">
        <v>310</v>
      </c>
      <c r="M3560" t="s">
        <v>310</v>
      </c>
      <c r="N3560">
        <v>0</v>
      </c>
      <c r="O3560" t="s">
        <v>319</v>
      </c>
      <c r="P3560" t="s">
        <v>101</v>
      </c>
      <c r="Q3560" t="s">
        <v>1399</v>
      </c>
      <c r="R3560" t="s">
        <v>1405</v>
      </c>
      <c r="S3560">
        <v>1</v>
      </c>
      <c r="T3560" t="s">
        <v>1406</v>
      </c>
      <c r="U3560">
        <v>1</v>
      </c>
      <c r="V3560">
        <v>0</v>
      </c>
      <c r="W3560">
        <v>30.791149399999998</v>
      </c>
      <c r="X3560">
        <v>35.496314499999997</v>
      </c>
      <c r="Y3560">
        <v>16.276857199999998</v>
      </c>
      <c r="Z3560">
        <v>45.376485299999999</v>
      </c>
      <c r="AA3560">
        <v>0</v>
      </c>
      <c r="AB3560">
        <v>0</v>
      </c>
      <c r="AC3560" t="s">
        <v>174</v>
      </c>
      <c r="AD3560">
        <v>0</v>
      </c>
      <c r="AE3560" t="s">
        <v>1396</v>
      </c>
      <c r="AF3560">
        <v>90001000</v>
      </c>
      <c r="AG3560" t="s">
        <v>310</v>
      </c>
      <c r="AH3560">
        <f>SUM((MID(Dyno_Data[[#This Row],[Team]],4,5))+(Dyno_Data[[#This Row],[Match]]/100))</f>
        <v>3419.64</v>
      </c>
      <c r="AI3560" s="76">
        <f>ROUND(SUM(IF(Dyno_Data[[#This Row],[AcqCenter]]&gt;0,Dyno_Data[[#This Row],[Time]]-SUMIFS(Dyno_Data[Time],Dyno_Data[Team],Dyno_Data[[#This Row],[Team]],Dyno_Data[RecordType],"StartMatch",Dyno_Data[Match],Dyno_Data[[#This Row],[Match]]),0)*86400),0)</f>
        <v>0</v>
      </c>
    </row>
    <row r="3561" spans="1:35" x14ac:dyDescent="0.3">
      <c r="A3561">
        <v>3560</v>
      </c>
      <c r="B3561" t="s">
        <v>1303</v>
      </c>
      <c r="C3561">
        <v>64</v>
      </c>
      <c r="D3561" s="105">
        <v>45374.41652835648</v>
      </c>
      <c r="E3561" t="s">
        <v>316</v>
      </c>
      <c r="F3561" t="s">
        <v>317</v>
      </c>
      <c r="G3561">
        <v>0</v>
      </c>
      <c r="H3561" t="s">
        <v>310</v>
      </c>
      <c r="I3561">
        <v>0</v>
      </c>
      <c r="J3561">
        <v>0</v>
      </c>
      <c r="K3561">
        <v>0</v>
      </c>
      <c r="L3561" t="s">
        <v>310</v>
      </c>
      <c r="M3561" t="s">
        <v>310</v>
      </c>
      <c r="N3561">
        <v>0</v>
      </c>
      <c r="O3561" t="s">
        <v>1393</v>
      </c>
      <c r="P3561" t="s">
        <v>240</v>
      </c>
      <c r="Q3561" t="s">
        <v>1400</v>
      </c>
      <c r="R3561" t="s">
        <v>321</v>
      </c>
      <c r="S3561">
        <v>0</v>
      </c>
      <c r="T3561" t="s">
        <v>105</v>
      </c>
      <c r="U3561">
        <v>9</v>
      </c>
      <c r="V3561">
        <v>9</v>
      </c>
      <c r="W3561">
        <v>0</v>
      </c>
      <c r="X3561">
        <v>90.419969299999991</v>
      </c>
      <c r="Y3561">
        <v>9.5209253999999994</v>
      </c>
      <c r="Z3561">
        <v>35.747746599999999</v>
      </c>
      <c r="AA3561">
        <v>0</v>
      </c>
      <c r="AB3561">
        <v>0</v>
      </c>
      <c r="AC3561" t="s">
        <v>167</v>
      </c>
      <c r="AD3561">
        <v>9</v>
      </c>
      <c r="AE3561" t="s">
        <v>1412</v>
      </c>
      <c r="AF3561">
        <v>0</v>
      </c>
      <c r="AG3561" t="s">
        <v>310</v>
      </c>
      <c r="AH3561">
        <f>SUM((MID(Dyno_Data[[#This Row],[Team]],4,5))+(Dyno_Data[[#This Row],[Match]]/100))</f>
        <v>7605.64</v>
      </c>
      <c r="AI3561" s="76">
        <f>ROUND(SUM(IF(Dyno_Data[[#This Row],[AcqCenter]]&gt;0,Dyno_Data[[#This Row],[Time]]-SUMIFS(Dyno_Data[Time],Dyno_Data[Team],Dyno_Data[[#This Row],[Team]],Dyno_Data[RecordType],"StartMatch",Dyno_Data[Match],Dyno_Data[[#This Row],[Match]]),0)*86400),0)</f>
        <v>0</v>
      </c>
    </row>
    <row r="3562" spans="1:35" x14ac:dyDescent="0.3">
      <c r="A3562">
        <v>3561</v>
      </c>
      <c r="B3562" t="s">
        <v>372</v>
      </c>
      <c r="C3562">
        <v>64</v>
      </c>
      <c r="D3562" s="105">
        <v>45374.41652835648</v>
      </c>
      <c r="E3562" t="s">
        <v>316</v>
      </c>
      <c r="F3562" t="s">
        <v>317</v>
      </c>
      <c r="G3562">
        <v>0</v>
      </c>
      <c r="H3562" t="s">
        <v>310</v>
      </c>
      <c r="I3562">
        <v>0</v>
      </c>
      <c r="J3562">
        <v>0</v>
      </c>
      <c r="K3562">
        <v>0</v>
      </c>
      <c r="L3562" t="s">
        <v>310</v>
      </c>
      <c r="M3562" t="s">
        <v>310</v>
      </c>
      <c r="N3562">
        <v>0</v>
      </c>
      <c r="O3562" t="s">
        <v>1389</v>
      </c>
      <c r="P3562" t="s">
        <v>1401</v>
      </c>
      <c r="Q3562" t="s">
        <v>1400</v>
      </c>
      <c r="R3562" t="s">
        <v>321</v>
      </c>
      <c r="S3562">
        <v>0</v>
      </c>
      <c r="T3562" t="s">
        <v>105</v>
      </c>
      <c r="U3562">
        <v>9</v>
      </c>
      <c r="V3562">
        <v>9</v>
      </c>
      <c r="W3562">
        <v>0</v>
      </c>
      <c r="X3562">
        <v>20.346125000000001</v>
      </c>
      <c r="Y3562">
        <v>17.083783499999999</v>
      </c>
      <c r="Z3562">
        <v>85.179817</v>
      </c>
      <c r="AA3562">
        <v>0</v>
      </c>
      <c r="AB3562">
        <v>0</v>
      </c>
      <c r="AC3562" t="s">
        <v>174</v>
      </c>
      <c r="AD3562">
        <v>9</v>
      </c>
      <c r="AE3562" t="s">
        <v>1413</v>
      </c>
      <c r="AF3562">
        <v>60100000</v>
      </c>
      <c r="AG3562" t="s">
        <v>310</v>
      </c>
      <c r="AH3562">
        <f>SUM((MID(Dyno_Data[[#This Row],[Team]],4,5))+(Dyno_Data[[#This Row],[Match]]/100))</f>
        <v>7504.64</v>
      </c>
      <c r="AI3562" s="76">
        <f>ROUND(SUM(IF(Dyno_Data[[#This Row],[AcqCenter]]&gt;0,Dyno_Data[[#This Row],[Time]]-SUMIFS(Dyno_Data[Time],Dyno_Data[Team],Dyno_Data[[#This Row],[Team]],Dyno_Data[RecordType],"StartMatch",Dyno_Data[Match],Dyno_Data[[#This Row],[Match]]),0)*86400),0)</f>
        <v>0</v>
      </c>
    </row>
    <row r="3563" spans="1:35" x14ac:dyDescent="0.3">
      <c r="A3563">
        <v>3562</v>
      </c>
      <c r="B3563" t="s">
        <v>1297</v>
      </c>
      <c r="C3563">
        <v>64</v>
      </c>
      <c r="D3563" s="105">
        <v>45374.416528553244</v>
      </c>
      <c r="E3563" t="s">
        <v>316</v>
      </c>
      <c r="F3563" t="s">
        <v>317</v>
      </c>
      <c r="G3563">
        <v>1</v>
      </c>
      <c r="H3563" t="s">
        <v>310</v>
      </c>
      <c r="I3563">
        <v>0</v>
      </c>
      <c r="J3563">
        <v>0</v>
      </c>
      <c r="K3563">
        <v>0</v>
      </c>
      <c r="L3563" t="s">
        <v>310</v>
      </c>
      <c r="M3563" t="s">
        <v>310</v>
      </c>
      <c r="N3563">
        <v>0</v>
      </c>
      <c r="O3563" t="s">
        <v>1395</v>
      </c>
      <c r="P3563" t="s">
        <v>320</v>
      </c>
      <c r="Q3563" t="s">
        <v>1399</v>
      </c>
      <c r="R3563" t="s">
        <v>321</v>
      </c>
      <c r="S3563">
        <v>0</v>
      </c>
      <c r="T3563" t="s">
        <v>105</v>
      </c>
      <c r="U3563">
        <v>9</v>
      </c>
      <c r="V3563">
        <v>9</v>
      </c>
      <c r="W3563">
        <v>0</v>
      </c>
      <c r="X3563">
        <v>16.841213499999999</v>
      </c>
      <c r="Y3563">
        <v>22.7227389</v>
      </c>
      <c r="Z3563">
        <v>95.662641899999997</v>
      </c>
      <c r="AA3563">
        <v>0</v>
      </c>
      <c r="AB3563">
        <v>2</v>
      </c>
      <c r="AC3563" t="s">
        <v>174</v>
      </c>
      <c r="AD3563">
        <v>0</v>
      </c>
      <c r="AE3563" t="s">
        <v>1414</v>
      </c>
      <c r="AF3563">
        <v>40000000</v>
      </c>
      <c r="AG3563" t="s">
        <v>310</v>
      </c>
      <c r="AH3563">
        <f>SUM((MID(Dyno_Data[[#This Row],[Team]],4,5))+(Dyno_Data[[#This Row],[Match]]/100))</f>
        <v>9750.64</v>
      </c>
      <c r="AI3563" s="76">
        <f>ROUND(SUM(IF(Dyno_Data[[#This Row],[AcqCenter]]&gt;0,Dyno_Data[[#This Row],[Time]]-SUMIFS(Dyno_Data[Time],Dyno_Data[Team],Dyno_Data[[#This Row],[Team]],Dyno_Data[RecordType],"StartMatch",Dyno_Data[Match],Dyno_Data[[#This Row],[Match]]),0)*86400),0)</f>
        <v>0</v>
      </c>
    </row>
    <row r="3564" spans="1:35" x14ac:dyDescent="0.3">
      <c r="A3564">
        <v>3573</v>
      </c>
      <c r="B3564" t="s">
        <v>318</v>
      </c>
      <c r="C3564">
        <v>65</v>
      </c>
      <c r="D3564" s="105">
        <v>45374.417616631945</v>
      </c>
      <c r="E3564" t="s">
        <v>308</v>
      </c>
      <c r="F3564" t="s">
        <v>309</v>
      </c>
      <c r="G3564">
        <v>0</v>
      </c>
      <c r="H3564" t="s">
        <v>310</v>
      </c>
      <c r="I3564">
        <v>0</v>
      </c>
      <c r="J3564">
        <v>0</v>
      </c>
      <c r="K3564">
        <v>0</v>
      </c>
      <c r="L3564" t="s">
        <v>310</v>
      </c>
      <c r="M3564" t="s">
        <v>310</v>
      </c>
      <c r="N3564">
        <v>0</v>
      </c>
      <c r="O3564" t="s">
        <v>1391</v>
      </c>
      <c r="P3564" t="s">
        <v>310</v>
      </c>
      <c r="Q3564" t="s">
        <v>310</v>
      </c>
      <c r="R3564" t="s">
        <v>310</v>
      </c>
      <c r="S3564">
        <v>9</v>
      </c>
      <c r="T3564" t="s">
        <v>310</v>
      </c>
      <c r="U3564">
        <v>9</v>
      </c>
      <c r="V3564">
        <v>9</v>
      </c>
      <c r="W3564">
        <v>0</v>
      </c>
      <c r="X3564">
        <v>0</v>
      </c>
      <c r="Y3564">
        <v>0</v>
      </c>
      <c r="Z3564">
        <v>0</v>
      </c>
      <c r="AA3564">
        <v>9</v>
      </c>
      <c r="AB3564">
        <v>9</v>
      </c>
      <c r="AC3564" t="s">
        <v>310</v>
      </c>
      <c r="AD3564">
        <v>9</v>
      </c>
      <c r="AE3564" t="s">
        <v>1388</v>
      </c>
      <c r="AF3564">
        <v>0</v>
      </c>
      <c r="AG3564" t="s">
        <v>310</v>
      </c>
      <c r="AH3564">
        <f>SUM((MID(Dyno_Data[[#This Row],[Team]],4,5))+(Dyno_Data[[#This Row],[Match]]/100))</f>
        <v>639.65</v>
      </c>
      <c r="AI3564" s="76">
        <f>ROUND(SUM(IF(Dyno_Data[[#This Row],[AcqCenter]]&gt;0,Dyno_Data[[#This Row],[Time]]-SUMIFS(Dyno_Data[Time],Dyno_Data[Team],Dyno_Data[[#This Row],[Team]],Dyno_Data[RecordType],"StartMatch",Dyno_Data[Match],Dyno_Data[[#This Row],[Match]]),0)*86400),0)</f>
        <v>0</v>
      </c>
    </row>
    <row r="3565" spans="1:35" x14ac:dyDescent="0.3">
      <c r="A3565">
        <v>3575</v>
      </c>
      <c r="B3565" t="s">
        <v>362</v>
      </c>
      <c r="C3565">
        <v>65</v>
      </c>
      <c r="D3565" s="105">
        <v>45374.417619479165</v>
      </c>
      <c r="E3565" t="s">
        <v>308</v>
      </c>
      <c r="F3565" t="s">
        <v>309</v>
      </c>
      <c r="G3565">
        <v>0</v>
      </c>
      <c r="H3565" t="s">
        <v>310</v>
      </c>
      <c r="I3565">
        <v>0</v>
      </c>
      <c r="J3565">
        <v>0</v>
      </c>
      <c r="K3565">
        <v>0</v>
      </c>
      <c r="L3565" t="s">
        <v>310</v>
      </c>
      <c r="M3565" t="s">
        <v>310</v>
      </c>
      <c r="N3565">
        <v>0</v>
      </c>
      <c r="O3565" t="s">
        <v>1393</v>
      </c>
      <c r="P3565" t="s">
        <v>310</v>
      </c>
      <c r="Q3565" t="s">
        <v>310</v>
      </c>
      <c r="R3565" t="s">
        <v>310</v>
      </c>
      <c r="S3565">
        <v>9</v>
      </c>
      <c r="T3565" t="s">
        <v>310</v>
      </c>
      <c r="U3565">
        <v>9</v>
      </c>
      <c r="V3565">
        <v>9</v>
      </c>
      <c r="W3565">
        <v>0</v>
      </c>
      <c r="X3565">
        <v>0</v>
      </c>
      <c r="Y3565">
        <v>0</v>
      </c>
      <c r="Z3565">
        <v>0</v>
      </c>
      <c r="AA3565">
        <v>9</v>
      </c>
      <c r="AB3565">
        <v>9</v>
      </c>
      <c r="AC3565" t="s">
        <v>310</v>
      </c>
      <c r="AD3565">
        <v>9</v>
      </c>
      <c r="AE3565" t="s">
        <v>1412</v>
      </c>
      <c r="AF3565">
        <v>0</v>
      </c>
      <c r="AG3565" t="s">
        <v>310</v>
      </c>
      <c r="AH3565">
        <f>SUM((MID(Dyno_Data[[#This Row],[Team]],4,5))+(Dyno_Data[[#This Row],[Match]]/100))</f>
        <v>250.65</v>
      </c>
      <c r="AI3565" s="76">
        <f>ROUND(SUM(IF(Dyno_Data[[#This Row],[AcqCenter]]&gt;0,Dyno_Data[[#This Row],[Time]]-SUMIFS(Dyno_Data[Time],Dyno_Data[Team],Dyno_Data[[#This Row],[Team]],Dyno_Data[RecordType],"StartMatch",Dyno_Data[Match],Dyno_Data[[#This Row],[Match]]),0)*86400),0)</f>
        <v>0</v>
      </c>
    </row>
    <row r="3566" spans="1:35" x14ac:dyDescent="0.3">
      <c r="A3566">
        <v>3577</v>
      </c>
      <c r="B3566" t="s">
        <v>365</v>
      </c>
      <c r="C3566">
        <v>65</v>
      </c>
      <c r="D3566" s="105">
        <v>45374.41762241898</v>
      </c>
      <c r="E3566" t="s">
        <v>308</v>
      </c>
      <c r="F3566" t="s">
        <v>309</v>
      </c>
      <c r="G3566">
        <v>0</v>
      </c>
      <c r="H3566" t="s">
        <v>310</v>
      </c>
      <c r="I3566">
        <v>0</v>
      </c>
      <c r="J3566">
        <v>0</v>
      </c>
      <c r="K3566">
        <v>0</v>
      </c>
      <c r="L3566" t="s">
        <v>310</v>
      </c>
      <c r="M3566" t="s">
        <v>310</v>
      </c>
      <c r="N3566">
        <v>0</v>
      </c>
      <c r="O3566" t="s">
        <v>319</v>
      </c>
      <c r="P3566" t="s">
        <v>310</v>
      </c>
      <c r="Q3566" t="s">
        <v>310</v>
      </c>
      <c r="R3566" t="s">
        <v>310</v>
      </c>
      <c r="S3566">
        <v>9</v>
      </c>
      <c r="T3566" t="s">
        <v>310</v>
      </c>
      <c r="U3566">
        <v>9</v>
      </c>
      <c r="V3566">
        <v>9</v>
      </c>
      <c r="W3566">
        <v>0</v>
      </c>
      <c r="X3566">
        <v>0</v>
      </c>
      <c r="Y3566">
        <v>0</v>
      </c>
      <c r="Z3566">
        <v>0</v>
      </c>
      <c r="AA3566">
        <v>9</v>
      </c>
      <c r="AB3566">
        <v>9</v>
      </c>
      <c r="AC3566" t="s">
        <v>310</v>
      </c>
      <c r="AD3566">
        <v>9</v>
      </c>
      <c r="AE3566" t="s">
        <v>1396</v>
      </c>
      <c r="AF3566">
        <v>20000000</v>
      </c>
      <c r="AG3566" t="s">
        <v>310</v>
      </c>
      <c r="AH3566">
        <f>SUM((MID(Dyno_Data[[#This Row],[Team]],4,5))+(Dyno_Data[[#This Row],[Match]]/100))</f>
        <v>3171.65</v>
      </c>
      <c r="AI3566" s="76">
        <f>ROUND(SUM(IF(Dyno_Data[[#This Row],[AcqCenter]]&gt;0,Dyno_Data[[#This Row],[Time]]-SUMIFS(Dyno_Data[Time],Dyno_Data[Team],Dyno_Data[[#This Row],[Team]],Dyno_Data[RecordType],"StartMatch",Dyno_Data[Match],Dyno_Data[[#This Row],[Match]]),0)*86400),0)</f>
        <v>0</v>
      </c>
    </row>
    <row r="3567" spans="1:35" x14ac:dyDescent="0.3">
      <c r="A3567">
        <v>3579</v>
      </c>
      <c r="B3567" t="s">
        <v>1282</v>
      </c>
      <c r="C3567">
        <v>65</v>
      </c>
      <c r="D3567" s="105">
        <v>45374.417625266207</v>
      </c>
      <c r="E3567" t="s">
        <v>308</v>
      </c>
      <c r="F3567" t="s">
        <v>309</v>
      </c>
      <c r="G3567">
        <v>0</v>
      </c>
      <c r="H3567" t="s">
        <v>310</v>
      </c>
      <c r="I3567">
        <v>0</v>
      </c>
      <c r="J3567">
        <v>0</v>
      </c>
      <c r="K3567">
        <v>0</v>
      </c>
      <c r="L3567" t="s">
        <v>310</v>
      </c>
      <c r="M3567" t="s">
        <v>310</v>
      </c>
      <c r="N3567">
        <v>0</v>
      </c>
      <c r="O3567" t="s">
        <v>311</v>
      </c>
      <c r="P3567" t="s">
        <v>310</v>
      </c>
      <c r="Q3567" t="s">
        <v>310</v>
      </c>
      <c r="R3567" t="s">
        <v>310</v>
      </c>
      <c r="S3567">
        <v>9</v>
      </c>
      <c r="T3567" t="s">
        <v>310</v>
      </c>
      <c r="U3567">
        <v>9</v>
      </c>
      <c r="V3567">
        <v>9</v>
      </c>
      <c r="W3567">
        <v>0</v>
      </c>
      <c r="X3567">
        <v>0</v>
      </c>
      <c r="Y3567">
        <v>0</v>
      </c>
      <c r="Z3567">
        <v>0</v>
      </c>
      <c r="AA3567">
        <v>9</v>
      </c>
      <c r="AB3567">
        <v>9</v>
      </c>
      <c r="AC3567" t="s">
        <v>310</v>
      </c>
      <c r="AD3567">
        <v>9</v>
      </c>
      <c r="AE3567" t="s">
        <v>1390</v>
      </c>
      <c r="AF3567">
        <v>0</v>
      </c>
      <c r="AG3567" t="s">
        <v>310</v>
      </c>
      <c r="AH3567">
        <f>SUM((MID(Dyno_Data[[#This Row],[Team]],4,5))+(Dyno_Data[[#This Row],[Match]]/100))</f>
        <v>333.65</v>
      </c>
      <c r="AI3567" s="76">
        <f>ROUND(SUM(IF(Dyno_Data[[#This Row],[AcqCenter]]&gt;0,Dyno_Data[[#This Row],[Time]]-SUMIFS(Dyno_Data[Time],Dyno_Data[Team],Dyno_Data[[#This Row],[Team]],Dyno_Data[RecordType],"StartMatch",Dyno_Data[Match],Dyno_Data[[#This Row],[Match]]),0)*86400),0)</f>
        <v>0</v>
      </c>
    </row>
    <row r="3568" spans="1:35" x14ac:dyDescent="0.3">
      <c r="A3568">
        <v>3581</v>
      </c>
      <c r="B3568" t="s">
        <v>1292</v>
      </c>
      <c r="C3568">
        <v>65</v>
      </c>
      <c r="D3568" s="105">
        <v>45374.417627430557</v>
      </c>
      <c r="E3568" t="s">
        <v>308</v>
      </c>
      <c r="F3568" t="s">
        <v>309</v>
      </c>
      <c r="G3568">
        <v>0</v>
      </c>
      <c r="H3568" t="s">
        <v>310</v>
      </c>
      <c r="I3568">
        <v>0</v>
      </c>
      <c r="J3568">
        <v>0</v>
      </c>
      <c r="K3568">
        <v>0</v>
      </c>
      <c r="L3568" t="s">
        <v>310</v>
      </c>
      <c r="M3568" t="s">
        <v>310</v>
      </c>
      <c r="N3568">
        <v>0</v>
      </c>
      <c r="O3568" t="s">
        <v>1389</v>
      </c>
      <c r="P3568" t="s">
        <v>310</v>
      </c>
      <c r="Q3568" t="s">
        <v>310</v>
      </c>
      <c r="R3568" t="s">
        <v>310</v>
      </c>
      <c r="S3568">
        <v>9</v>
      </c>
      <c r="T3568" t="s">
        <v>310</v>
      </c>
      <c r="U3568">
        <v>9</v>
      </c>
      <c r="V3568">
        <v>9</v>
      </c>
      <c r="W3568">
        <v>0</v>
      </c>
      <c r="X3568">
        <v>0</v>
      </c>
      <c r="Y3568">
        <v>0</v>
      </c>
      <c r="Z3568">
        <v>0</v>
      </c>
      <c r="AA3568">
        <v>9</v>
      </c>
      <c r="AB3568">
        <v>9</v>
      </c>
      <c r="AC3568" t="s">
        <v>310</v>
      </c>
      <c r="AD3568">
        <v>9</v>
      </c>
      <c r="AE3568" t="s">
        <v>1413</v>
      </c>
      <c r="AF3568">
        <v>0</v>
      </c>
      <c r="AG3568" t="s">
        <v>310</v>
      </c>
      <c r="AH3568">
        <f>SUM((MID(Dyno_Data[[#This Row],[Team]],4,5))+(Dyno_Data[[#This Row],[Match]]/100))</f>
        <v>7030.65</v>
      </c>
      <c r="AI3568" s="76">
        <f>ROUND(SUM(IF(Dyno_Data[[#This Row],[AcqCenter]]&gt;0,Dyno_Data[[#This Row],[Time]]-SUMIFS(Dyno_Data[Time],Dyno_Data[Team],Dyno_Data[[#This Row],[Team]],Dyno_Data[RecordType],"StartMatch",Dyno_Data[Match],Dyno_Data[[#This Row],[Match]]),0)*86400),0)</f>
        <v>0</v>
      </c>
    </row>
    <row r="3569" spans="1:35" x14ac:dyDescent="0.3">
      <c r="A3569">
        <v>3583</v>
      </c>
      <c r="B3569" t="s">
        <v>1310</v>
      </c>
      <c r="C3569">
        <v>65</v>
      </c>
      <c r="D3569" s="105">
        <v>45374.417627581017</v>
      </c>
      <c r="E3569" t="s">
        <v>308</v>
      </c>
      <c r="F3569" t="s">
        <v>309</v>
      </c>
      <c r="G3569">
        <v>0</v>
      </c>
      <c r="H3569" t="s">
        <v>310</v>
      </c>
      <c r="I3569">
        <v>0</v>
      </c>
      <c r="J3569">
        <v>0</v>
      </c>
      <c r="K3569">
        <v>0</v>
      </c>
      <c r="L3569" t="s">
        <v>310</v>
      </c>
      <c r="M3569" t="s">
        <v>310</v>
      </c>
      <c r="N3569">
        <v>0</v>
      </c>
      <c r="O3569" t="s">
        <v>1395</v>
      </c>
      <c r="P3569" t="s">
        <v>310</v>
      </c>
      <c r="Q3569" t="s">
        <v>310</v>
      </c>
      <c r="R3569" t="s">
        <v>310</v>
      </c>
      <c r="S3569">
        <v>9</v>
      </c>
      <c r="T3569" t="s">
        <v>310</v>
      </c>
      <c r="U3569">
        <v>9</v>
      </c>
      <c r="V3569">
        <v>9</v>
      </c>
      <c r="W3569">
        <v>0</v>
      </c>
      <c r="X3569">
        <v>0</v>
      </c>
      <c r="Y3569">
        <v>0</v>
      </c>
      <c r="Z3569">
        <v>0</v>
      </c>
      <c r="AA3569">
        <v>9</v>
      </c>
      <c r="AB3569">
        <v>9</v>
      </c>
      <c r="AC3569" t="s">
        <v>310</v>
      </c>
      <c r="AD3569">
        <v>9</v>
      </c>
      <c r="AE3569" t="s">
        <v>1414</v>
      </c>
      <c r="AF3569">
        <v>10000000</v>
      </c>
      <c r="AG3569" t="s">
        <v>310</v>
      </c>
      <c r="AH3569">
        <f>SUM((MID(Dyno_Data[[#This Row],[Team]],4,5))+(Dyno_Data[[#This Row],[Match]]/100))</f>
        <v>6621.65</v>
      </c>
      <c r="AI3569" s="76">
        <f>ROUND(SUM(IF(Dyno_Data[[#This Row],[AcqCenter]]&gt;0,Dyno_Data[[#This Row],[Time]]-SUMIFS(Dyno_Data[Time],Dyno_Data[Team],Dyno_Data[[#This Row],[Team]],Dyno_Data[RecordType],"StartMatch",Dyno_Data[Match],Dyno_Data[[#This Row],[Match]]),0)*86400),0)</f>
        <v>0</v>
      </c>
    </row>
    <row r="3570" spans="1:35" x14ac:dyDescent="0.3">
      <c r="A3570">
        <v>3563</v>
      </c>
      <c r="B3570" t="s">
        <v>318</v>
      </c>
      <c r="C3570">
        <v>65</v>
      </c>
      <c r="D3570" s="105">
        <v>45374.417636030092</v>
      </c>
      <c r="E3570" t="s">
        <v>312</v>
      </c>
      <c r="F3570" t="s">
        <v>309</v>
      </c>
      <c r="G3570">
        <v>0</v>
      </c>
      <c r="H3570" t="s">
        <v>1397</v>
      </c>
      <c r="I3570">
        <v>0</v>
      </c>
      <c r="J3570">
        <v>0</v>
      </c>
      <c r="K3570">
        <v>0</v>
      </c>
      <c r="L3570" t="s">
        <v>240</v>
      </c>
      <c r="M3570" t="s">
        <v>1398</v>
      </c>
      <c r="N3570">
        <v>0</v>
      </c>
      <c r="O3570" t="s">
        <v>1391</v>
      </c>
      <c r="P3570" t="s">
        <v>310</v>
      </c>
      <c r="Q3570" t="s">
        <v>310</v>
      </c>
      <c r="R3570" t="s">
        <v>310</v>
      </c>
      <c r="S3570">
        <v>9</v>
      </c>
      <c r="T3570" t="s">
        <v>310</v>
      </c>
      <c r="U3570">
        <v>9</v>
      </c>
      <c r="V3570">
        <v>9</v>
      </c>
      <c r="W3570">
        <v>0</v>
      </c>
      <c r="X3570">
        <v>0</v>
      </c>
      <c r="Y3570">
        <v>0</v>
      </c>
      <c r="Z3570">
        <v>0</v>
      </c>
      <c r="AA3570">
        <v>9</v>
      </c>
      <c r="AB3570">
        <v>9</v>
      </c>
      <c r="AC3570" t="s">
        <v>310</v>
      </c>
      <c r="AD3570">
        <v>9</v>
      </c>
      <c r="AE3570" t="s">
        <v>1388</v>
      </c>
      <c r="AF3570">
        <v>0</v>
      </c>
      <c r="AG3570" t="s">
        <v>310</v>
      </c>
      <c r="AH3570">
        <f>SUM((MID(Dyno_Data[[#This Row],[Team]],4,5))+(Dyno_Data[[#This Row],[Match]]/100))</f>
        <v>639.65</v>
      </c>
      <c r="AI3570" s="76">
        <f>ROUND(SUM(IF(Dyno_Data[[#This Row],[AcqCenter]]&gt;0,Dyno_Data[[#This Row],[Time]]-SUMIFS(Dyno_Data[Time],Dyno_Data[Team],Dyno_Data[[#This Row],[Team]],Dyno_Data[RecordType],"StartMatch",Dyno_Data[Match],Dyno_Data[[#This Row],[Match]]),0)*86400),0)</f>
        <v>0</v>
      </c>
    </row>
    <row r="3571" spans="1:35" x14ac:dyDescent="0.3">
      <c r="A3571">
        <v>3564</v>
      </c>
      <c r="B3571" t="s">
        <v>1310</v>
      </c>
      <c r="C3571">
        <v>65</v>
      </c>
      <c r="D3571" s="105">
        <v>45374.417652118056</v>
      </c>
      <c r="E3571" t="s">
        <v>312</v>
      </c>
      <c r="F3571" t="s">
        <v>309</v>
      </c>
      <c r="G3571">
        <v>0</v>
      </c>
      <c r="H3571" t="s">
        <v>1397</v>
      </c>
      <c r="I3571">
        <v>0</v>
      </c>
      <c r="J3571">
        <v>0</v>
      </c>
      <c r="K3571">
        <v>0</v>
      </c>
      <c r="L3571" t="s">
        <v>241</v>
      </c>
      <c r="M3571" t="s">
        <v>1398</v>
      </c>
      <c r="N3571">
        <v>1</v>
      </c>
      <c r="O3571" t="s">
        <v>1395</v>
      </c>
      <c r="P3571" t="s">
        <v>310</v>
      </c>
      <c r="Q3571" t="s">
        <v>310</v>
      </c>
      <c r="R3571" t="s">
        <v>310</v>
      </c>
      <c r="S3571">
        <v>9</v>
      </c>
      <c r="T3571" t="s">
        <v>310</v>
      </c>
      <c r="U3571">
        <v>9</v>
      </c>
      <c r="V3571">
        <v>9</v>
      </c>
      <c r="W3571">
        <v>0</v>
      </c>
      <c r="X3571">
        <v>0</v>
      </c>
      <c r="Y3571">
        <v>0</v>
      </c>
      <c r="Z3571">
        <v>0</v>
      </c>
      <c r="AA3571">
        <v>9</v>
      </c>
      <c r="AB3571">
        <v>9</v>
      </c>
      <c r="AC3571" t="s">
        <v>310</v>
      </c>
      <c r="AD3571">
        <v>9</v>
      </c>
      <c r="AE3571" t="s">
        <v>1414</v>
      </c>
      <c r="AF3571">
        <v>0</v>
      </c>
      <c r="AG3571" t="s">
        <v>310</v>
      </c>
      <c r="AH3571">
        <f>SUM((MID(Dyno_Data[[#This Row],[Team]],4,5))+(Dyno_Data[[#This Row],[Match]]/100))</f>
        <v>6621.65</v>
      </c>
      <c r="AI3571" s="76">
        <f>ROUND(SUM(IF(Dyno_Data[[#This Row],[AcqCenter]]&gt;0,Dyno_Data[[#This Row],[Time]]-SUMIFS(Dyno_Data[Time],Dyno_Data[Team],Dyno_Data[[#This Row],[Team]],Dyno_Data[RecordType],"StartMatch",Dyno_Data[Match],Dyno_Data[[#This Row],[Match]]),0)*86400),0)</f>
        <v>0</v>
      </c>
    </row>
    <row r="3572" spans="1:35" x14ac:dyDescent="0.3">
      <c r="A3572">
        <v>3565</v>
      </c>
      <c r="B3572" t="s">
        <v>365</v>
      </c>
      <c r="C3572">
        <v>65</v>
      </c>
      <c r="D3572" s="105">
        <v>45374.417666469904</v>
      </c>
      <c r="E3572" t="s">
        <v>312</v>
      </c>
      <c r="F3572" t="s">
        <v>309</v>
      </c>
      <c r="G3572">
        <v>0</v>
      </c>
      <c r="H3572" t="s">
        <v>1397</v>
      </c>
      <c r="I3572">
        <v>0</v>
      </c>
      <c r="J3572">
        <v>0</v>
      </c>
      <c r="K3572">
        <v>0</v>
      </c>
      <c r="L3572" t="s">
        <v>240</v>
      </c>
      <c r="M3572" t="s">
        <v>1398</v>
      </c>
      <c r="N3572">
        <v>0</v>
      </c>
      <c r="O3572" t="s">
        <v>319</v>
      </c>
      <c r="P3572" t="s">
        <v>310</v>
      </c>
      <c r="Q3572" t="s">
        <v>310</v>
      </c>
      <c r="R3572" t="s">
        <v>310</v>
      </c>
      <c r="S3572">
        <v>9</v>
      </c>
      <c r="T3572" t="s">
        <v>310</v>
      </c>
      <c r="U3572">
        <v>9</v>
      </c>
      <c r="V3572">
        <v>9</v>
      </c>
      <c r="W3572">
        <v>0</v>
      </c>
      <c r="X3572">
        <v>0</v>
      </c>
      <c r="Y3572">
        <v>0</v>
      </c>
      <c r="Z3572">
        <v>0</v>
      </c>
      <c r="AA3572">
        <v>9</v>
      </c>
      <c r="AB3572">
        <v>9</v>
      </c>
      <c r="AC3572" t="s">
        <v>310</v>
      </c>
      <c r="AD3572">
        <v>9</v>
      </c>
      <c r="AE3572" t="s">
        <v>1396</v>
      </c>
      <c r="AF3572">
        <v>0</v>
      </c>
      <c r="AG3572" t="s">
        <v>310</v>
      </c>
      <c r="AH3572">
        <f>SUM((MID(Dyno_Data[[#This Row],[Team]],4,5))+(Dyno_Data[[#This Row],[Match]]/100))</f>
        <v>3171.65</v>
      </c>
      <c r="AI3572" s="76">
        <f>ROUND(SUM(IF(Dyno_Data[[#This Row],[AcqCenter]]&gt;0,Dyno_Data[[#This Row],[Time]]-SUMIFS(Dyno_Data[Time],Dyno_Data[Team],Dyno_Data[[#This Row],[Team]],Dyno_Data[RecordType],"StartMatch",Dyno_Data[Match],Dyno_Data[[#This Row],[Match]]),0)*86400),0)</f>
        <v>0</v>
      </c>
    </row>
    <row r="3573" spans="1:35" x14ac:dyDescent="0.3">
      <c r="A3573">
        <v>3568</v>
      </c>
      <c r="B3573" t="s">
        <v>362</v>
      </c>
      <c r="C3573">
        <v>65</v>
      </c>
      <c r="D3573" s="105">
        <v>45374.417697418983</v>
      </c>
      <c r="E3573" t="s">
        <v>312</v>
      </c>
      <c r="F3573" t="s">
        <v>309</v>
      </c>
      <c r="G3573">
        <v>0</v>
      </c>
      <c r="H3573" t="s">
        <v>143</v>
      </c>
      <c r="I3573">
        <v>1</v>
      </c>
      <c r="J3573">
        <v>1</v>
      </c>
      <c r="K3573">
        <v>0</v>
      </c>
      <c r="L3573" t="s">
        <v>310</v>
      </c>
      <c r="M3573" t="s">
        <v>310</v>
      </c>
      <c r="N3573">
        <v>0</v>
      </c>
      <c r="O3573" t="s">
        <v>1393</v>
      </c>
      <c r="P3573" t="s">
        <v>310</v>
      </c>
      <c r="Q3573" t="s">
        <v>310</v>
      </c>
      <c r="R3573" t="s">
        <v>310</v>
      </c>
      <c r="S3573">
        <v>9</v>
      </c>
      <c r="T3573" t="s">
        <v>310</v>
      </c>
      <c r="U3573">
        <v>9</v>
      </c>
      <c r="V3573">
        <v>9</v>
      </c>
      <c r="W3573">
        <v>0</v>
      </c>
      <c r="X3573">
        <v>0</v>
      </c>
      <c r="Y3573">
        <v>0</v>
      </c>
      <c r="Z3573">
        <v>0</v>
      </c>
      <c r="AA3573">
        <v>9</v>
      </c>
      <c r="AB3573">
        <v>9</v>
      </c>
      <c r="AC3573" t="s">
        <v>310</v>
      </c>
      <c r="AD3573">
        <v>9</v>
      </c>
      <c r="AE3573" t="s">
        <v>1412</v>
      </c>
      <c r="AF3573">
        <v>0</v>
      </c>
      <c r="AG3573" t="s">
        <v>310</v>
      </c>
      <c r="AH3573">
        <f>SUM((MID(Dyno_Data[[#This Row],[Team]],4,5))+(Dyno_Data[[#This Row],[Match]]/100))</f>
        <v>250.65</v>
      </c>
      <c r="AI3573" s="76">
        <f>ROUND(SUM(IF(Dyno_Data[[#This Row],[AcqCenter]]&gt;0,Dyno_Data[[#This Row],[Time]]-SUMIFS(Dyno_Data[Time],Dyno_Data[Team],Dyno_Data[[#This Row],[Team]],Dyno_Data[RecordType],"StartMatch",Dyno_Data[Match],Dyno_Data[[#This Row],[Match]]),0)*86400),0)</f>
        <v>7</v>
      </c>
    </row>
    <row r="3574" spans="1:35" x14ac:dyDescent="0.3">
      <c r="A3574">
        <v>3566</v>
      </c>
      <c r="B3574" t="s">
        <v>1282</v>
      </c>
      <c r="C3574">
        <v>65</v>
      </c>
      <c r="D3574" s="105">
        <v>45374.41770474537</v>
      </c>
      <c r="E3574" t="s">
        <v>312</v>
      </c>
      <c r="F3574" t="s">
        <v>309</v>
      </c>
      <c r="G3574">
        <v>0</v>
      </c>
      <c r="H3574" t="s">
        <v>1397</v>
      </c>
      <c r="I3574">
        <v>0</v>
      </c>
      <c r="J3574">
        <v>0</v>
      </c>
      <c r="K3574">
        <v>0</v>
      </c>
      <c r="L3574" t="s">
        <v>240</v>
      </c>
      <c r="M3574" t="s">
        <v>1398</v>
      </c>
      <c r="N3574">
        <v>0</v>
      </c>
      <c r="O3574" t="s">
        <v>311</v>
      </c>
      <c r="P3574" t="s">
        <v>310</v>
      </c>
      <c r="Q3574" t="s">
        <v>310</v>
      </c>
      <c r="R3574" t="s">
        <v>310</v>
      </c>
      <c r="S3574">
        <v>9</v>
      </c>
      <c r="T3574" t="s">
        <v>310</v>
      </c>
      <c r="U3574">
        <v>9</v>
      </c>
      <c r="V3574">
        <v>9</v>
      </c>
      <c r="W3574">
        <v>0</v>
      </c>
      <c r="X3574">
        <v>0</v>
      </c>
      <c r="Y3574">
        <v>0</v>
      </c>
      <c r="Z3574">
        <v>0</v>
      </c>
      <c r="AA3574">
        <v>9</v>
      </c>
      <c r="AB3574">
        <v>9</v>
      </c>
      <c r="AC3574" t="s">
        <v>310</v>
      </c>
      <c r="AD3574">
        <v>9</v>
      </c>
      <c r="AE3574" t="s">
        <v>1390</v>
      </c>
      <c r="AF3574">
        <v>0</v>
      </c>
      <c r="AG3574" t="s">
        <v>310</v>
      </c>
      <c r="AH3574">
        <f>SUM((MID(Dyno_Data[[#This Row],[Team]],4,5))+(Dyno_Data[[#This Row],[Match]]/100))</f>
        <v>333.65</v>
      </c>
      <c r="AI3574" s="76">
        <f>ROUND(SUM(IF(Dyno_Data[[#This Row],[AcqCenter]]&gt;0,Dyno_Data[[#This Row],[Time]]-SUMIFS(Dyno_Data[Time],Dyno_Data[Team],Dyno_Data[[#This Row],[Team]],Dyno_Data[RecordType],"StartMatch",Dyno_Data[Match],Dyno_Data[[#This Row],[Match]]),0)*86400),0)</f>
        <v>0</v>
      </c>
    </row>
    <row r="3575" spans="1:35" x14ac:dyDescent="0.3">
      <c r="A3575">
        <v>3567</v>
      </c>
      <c r="B3575" t="s">
        <v>365</v>
      </c>
      <c r="C3575">
        <v>65</v>
      </c>
      <c r="D3575" s="105">
        <v>45374.417710682872</v>
      </c>
      <c r="E3575" t="s">
        <v>312</v>
      </c>
      <c r="F3575" t="s">
        <v>309</v>
      </c>
      <c r="G3575">
        <v>0</v>
      </c>
      <c r="H3575" t="s">
        <v>315</v>
      </c>
      <c r="I3575">
        <v>0</v>
      </c>
      <c r="J3575">
        <v>0</v>
      </c>
      <c r="K3575">
        <v>0</v>
      </c>
      <c r="L3575" t="s">
        <v>240</v>
      </c>
      <c r="M3575" t="s">
        <v>1398</v>
      </c>
      <c r="N3575">
        <v>0</v>
      </c>
      <c r="O3575" t="s">
        <v>319</v>
      </c>
      <c r="P3575" t="s">
        <v>310</v>
      </c>
      <c r="Q3575" t="s">
        <v>310</v>
      </c>
      <c r="R3575" t="s">
        <v>310</v>
      </c>
      <c r="S3575">
        <v>9</v>
      </c>
      <c r="T3575" t="s">
        <v>310</v>
      </c>
      <c r="U3575">
        <v>9</v>
      </c>
      <c r="V3575">
        <v>9</v>
      </c>
      <c r="W3575">
        <v>0</v>
      </c>
      <c r="X3575">
        <v>0</v>
      </c>
      <c r="Y3575">
        <v>0</v>
      </c>
      <c r="Z3575">
        <v>0</v>
      </c>
      <c r="AA3575">
        <v>9</v>
      </c>
      <c r="AB3575">
        <v>9</v>
      </c>
      <c r="AC3575" t="s">
        <v>310</v>
      </c>
      <c r="AD3575">
        <v>9</v>
      </c>
      <c r="AE3575" t="s">
        <v>1396</v>
      </c>
      <c r="AF3575">
        <v>10000000</v>
      </c>
      <c r="AG3575" t="s">
        <v>310</v>
      </c>
      <c r="AH3575">
        <f>SUM((MID(Dyno_Data[[#This Row],[Team]],4,5))+(Dyno_Data[[#This Row],[Match]]/100))</f>
        <v>3171.65</v>
      </c>
      <c r="AI3575" s="76">
        <f>ROUND(SUM(IF(Dyno_Data[[#This Row],[AcqCenter]]&gt;0,Dyno_Data[[#This Row],[Time]]-SUMIFS(Dyno_Data[Time],Dyno_Data[Team],Dyno_Data[[#This Row],[Team]],Dyno_Data[RecordType],"StartMatch",Dyno_Data[Match],Dyno_Data[[#This Row],[Match]]),0)*86400),0)</f>
        <v>0</v>
      </c>
    </row>
    <row r="3576" spans="1:35" x14ac:dyDescent="0.3">
      <c r="A3576">
        <v>3570</v>
      </c>
      <c r="B3576" t="s">
        <v>362</v>
      </c>
      <c r="C3576">
        <v>65</v>
      </c>
      <c r="D3576" s="105">
        <v>45374.417734409719</v>
      </c>
      <c r="E3576" t="s">
        <v>312</v>
      </c>
      <c r="F3576" t="s">
        <v>309</v>
      </c>
      <c r="G3576">
        <v>0</v>
      </c>
      <c r="H3576" t="s">
        <v>143</v>
      </c>
      <c r="I3576">
        <v>2</v>
      </c>
      <c r="J3576">
        <v>1</v>
      </c>
      <c r="K3576">
        <v>0</v>
      </c>
      <c r="L3576" t="s">
        <v>310</v>
      </c>
      <c r="M3576" t="s">
        <v>310</v>
      </c>
      <c r="N3576">
        <v>0</v>
      </c>
      <c r="O3576" t="s">
        <v>1393</v>
      </c>
      <c r="P3576" t="s">
        <v>310</v>
      </c>
      <c r="Q3576" t="s">
        <v>310</v>
      </c>
      <c r="R3576" t="s">
        <v>310</v>
      </c>
      <c r="S3576">
        <v>9</v>
      </c>
      <c r="T3576" t="s">
        <v>310</v>
      </c>
      <c r="U3576">
        <v>9</v>
      </c>
      <c r="V3576">
        <v>9</v>
      </c>
      <c r="W3576">
        <v>0</v>
      </c>
      <c r="X3576">
        <v>0</v>
      </c>
      <c r="Y3576">
        <v>0</v>
      </c>
      <c r="Z3576">
        <v>0</v>
      </c>
      <c r="AA3576">
        <v>9</v>
      </c>
      <c r="AB3576">
        <v>9</v>
      </c>
      <c r="AC3576" t="s">
        <v>310</v>
      </c>
      <c r="AD3576">
        <v>9</v>
      </c>
      <c r="AE3576" t="s">
        <v>1412</v>
      </c>
      <c r="AF3576">
        <v>0</v>
      </c>
      <c r="AG3576" t="s">
        <v>310</v>
      </c>
      <c r="AH3576">
        <f>SUM((MID(Dyno_Data[[#This Row],[Team]],4,5))+(Dyno_Data[[#This Row],[Match]]/100))</f>
        <v>250.65</v>
      </c>
      <c r="AI3576" s="76">
        <f>ROUND(SUM(IF(Dyno_Data[[#This Row],[AcqCenter]]&gt;0,Dyno_Data[[#This Row],[Time]]-SUMIFS(Dyno_Data[Time],Dyno_Data[Team],Dyno_Data[[#This Row],[Team]],Dyno_Data[RecordType],"StartMatch",Dyno_Data[Match],Dyno_Data[[#This Row],[Match]]),0)*86400),0)</f>
        <v>10</v>
      </c>
    </row>
    <row r="3577" spans="1:35" x14ac:dyDescent="0.3">
      <c r="A3577">
        <v>3569</v>
      </c>
      <c r="B3577" t="s">
        <v>1310</v>
      </c>
      <c r="C3577">
        <v>65</v>
      </c>
      <c r="D3577" s="105">
        <v>45374.41773587963</v>
      </c>
      <c r="E3577" t="s">
        <v>312</v>
      </c>
      <c r="F3577" t="s">
        <v>309</v>
      </c>
      <c r="G3577">
        <v>0</v>
      </c>
      <c r="H3577" t="s">
        <v>315</v>
      </c>
      <c r="I3577">
        <v>0</v>
      </c>
      <c r="J3577">
        <v>0</v>
      </c>
      <c r="K3577">
        <v>0</v>
      </c>
      <c r="L3577" t="s">
        <v>241</v>
      </c>
      <c r="M3577" t="s">
        <v>1398</v>
      </c>
      <c r="N3577">
        <v>1</v>
      </c>
      <c r="O3577" t="s">
        <v>1395</v>
      </c>
      <c r="P3577" t="s">
        <v>310</v>
      </c>
      <c r="Q3577" t="s">
        <v>310</v>
      </c>
      <c r="R3577" t="s">
        <v>310</v>
      </c>
      <c r="S3577">
        <v>9</v>
      </c>
      <c r="T3577" t="s">
        <v>310</v>
      </c>
      <c r="U3577">
        <v>9</v>
      </c>
      <c r="V3577">
        <v>9</v>
      </c>
      <c r="W3577">
        <v>0</v>
      </c>
      <c r="X3577">
        <v>0</v>
      </c>
      <c r="Y3577">
        <v>0</v>
      </c>
      <c r="Z3577">
        <v>0</v>
      </c>
      <c r="AA3577">
        <v>9</v>
      </c>
      <c r="AB3577">
        <v>9</v>
      </c>
      <c r="AC3577" t="s">
        <v>310</v>
      </c>
      <c r="AD3577">
        <v>9</v>
      </c>
      <c r="AE3577" t="s">
        <v>1414</v>
      </c>
      <c r="AF3577">
        <v>10000000</v>
      </c>
      <c r="AG3577" t="s">
        <v>310</v>
      </c>
      <c r="AH3577">
        <f>SUM((MID(Dyno_Data[[#This Row],[Team]],4,5))+(Dyno_Data[[#This Row],[Match]]/100))</f>
        <v>6621.65</v>
      </c>
      <c r="AI3577" s="76">
        <f>ROUND(SUM(IF(Dyno_Data[[#This Row],[AcqCenter]]&gt;0,Dyno_Data[[#This Row],[Time]]-SUMIFS(Dyno_Data[Time],Dyno_Data[Team],Dyno_Data[[#This Row],[Team]],Dyno_Data[RecordType],"StartMatch",Dyno_Data[Match],Dyno_Data[[#This Row],[Match]]),0)*86400),0)</f>
        <v>0</v>
      </c>
    </row>
    <row r="3578" spans="1:35" x14ac:dyDescent="0.3">
      <c r="A3578">
        <v>3571</v>
      </c>
      <c r="B3578" t="s">
        <v>362</v>
      </c>
      <c r="C3578">
        <v>65</v>
      </c>
      <c r="D3578" s="105">
        <v>45374.417776122682</v>
      </c>
      <c r="E3578" t="s">
        <v>312</v>
      </c>
      <c r="F3578" t="s">
        <v>309</v>
      </c>
      <c r="G3578">
        <v>0</v>
      </c>
      <c r="H3578" t="s">
        <v>143</v>
      </c>
      <c r="I3578">
        <v>3</v>
      </c>
      <c r="J3578">
        <v>1</v>
      </c>
      <c r="K3578">
        <v>0</v>
      </c>
      <c r="L3578" t="s">
        <v>310</v>
      </c>
      <c r="M3578" t="s">
        <v>310</v>
      </c>
      <c r="N3578">
        <v>0</v>
      </c>
      <c r="O3578" t="s">
        <v>1393</v>
      </c>
      <c r="P3578" t="s">
        <v>310</v>
      </c>
      <c r="Q3578" t="s">
        <v>310</v>
      </c>
      <c r="R3578" t="s">
        <v>310</v>
      </c>
      <c r="S3578">
        <v>9</v>
      </c>
      <c r="T3578" t="s">
        <v>310</v>
      </c>
      <c r="U3578">
        <v>9</v>
      </c>
      <c r="V3578">
        <v>9</v>
      </c>
      <c r="W3578">
        <v>0</v>
      </c>
      <c r="X3578">
        <v>0</v>
      </c>
      <c r="Y3578">
        <v>0</v>
      </c>
      <c r="Z3578">
        <v>0</v>
      </c>
      <c r="AA3578">
        <v>9</v>
      </c>
      <c r="AB3578">
        <v>9</v>
      </c>
      <c r="AC3578" t="s">
        <v>310</v>
      </c>
      <c r="AD3578">
        <v>9</v>
      </c>
      <c r="AE3578" t="s">
        <v>1412</v>
      </c>
      <c r="AF3578">
        <v>0</v>
      </c>
      <c r="AG3578" t="s">
        <v>310</v>
      </c>
      <c r="AH3578">
        <f>SUM((MID(Dyno_Data[[#This Row],[Team]],4,5))+(Dyno_Data[[#This Row],[Match]]/100))</f>
        <v>250.65</v>
      </c>
      <c r="AI3578" s="76">
        <f>ROUND(SUM(IF(Dyno_Data[[#This Row],[AcqCenter]]&gt;0,Dyno_Data[[#This Row],[Time]]-SUMIFS(Dyno_Data[Time],Dyno_Data[Team],Dyno_Data[[#This Row],[Team]],Dyno_Data[RecordType],"StartMatch",Dyno_Data[Match],Dyno_Data[[#This Row],[Match]]),0)*86400),0)</f>
        <v>14</v>
      </c>
    </row>
    <row r="3579" spans="1:35" x14ac:dyDescent="0.3">
      <c r="A3579">
        <v>3572</v>
      </c>
      <c r="B3579" t="s">
        <v>365</v>
      </c>
      <c r="C3579">
        <v>65</v>
      </c>
      <c r="D3579" s="105">
        <v>45374.417803124998</v>
      </c>
      <c r="E3579" t="s">
        <v>312</v>
      </c>
      <c r="F3579" t="s">
        <v>309</v>
      </c>
      <c r="G3579">
        <v>0</v>
      </c>
      <c r="H3579" t="s">
        <v>315</v>
      </c>
      <c r="I3579">
        <v>0</v>
      </c>
      <c r="J3579">
        <v>0</v>
      </c>
      <c r="K3579">
        <v>0</v>
      </c>
      <c r="L3579" t="s">
        <v>240</v>
      </c>
      <c r="M3579" t="s">
        <v>1398</v>
      </c>
      <c r="N3579">
        <v>1</v>
      </c>
      <c r="O3579" t="s">
        <v>319</v>
      </c>
      <c r="P3579" t="s">
        <v>310</v>
      </c>
      <c r="Q3579" t="s">
        <v>310</v>
      </c>
      <c r="R3579" t="s">
        <v>310</v>
      </c>
      <c r="S3579">
        <v>9</v>
      </c>
      <c r="T3579" t="s">
        <v>310</v>
      </c>
      <c r="U3579">
        <v>9</v>
      </c>
      <c r="V3579">
        <v>9</v>
      </c>
      <c r="W3579">
        <v>0</v>
      </c>
      <c r="X3579">
        <v>0</v>
      </c>
      <c r="Y3579">
        <v>0</v>
      </c>
      <c r="Z3579">
        <v>0</v>
      </c>
      <c r="AA3579">
        <v>9</v>
      </c>
      <c r="AB3579">
        <v>9</v>
      </c>
      <c r="AC3579" t="s">
        <v>310</v>
      </c>
      <c r="AD3579">
        <v>9</v>
      </c>
      <c r="AE3579" t="s">
        <v>1396</v>
      </c>
      <c r="AF3579">
        <v>20000000</v>
      </c>
      <c r="AG3579" t="s">
        <v>310</v>
      </c>
      <c r="AH3579">
        <f>SUM((MID(Dyno_Data[[#This Row],[Team]],4,5))+(Dyno_Data[[#This Row],[Match]]/100))</f>
        <v>3171.65</v>
      </c>
      <c r="AI3579" s="76">
        <f>ROUND(SUM(IF(Dyno_Data[[#This Row],[AcqCenter]]&gt;0,Dyno_Data[[#This Row],[Time]]-SUMIFS(Dyno_Data[Time],Dyno_Data[Team],Dyno_Data[[#This Row],[Team]],Dyno_Data[RecordType],"StartMatch",Dyno_Data[Match],Dyno_Data[[#This Row],[Match]]),0)*86400),0)</f>
        <v>0</v>
      </c>
    </row>
    <row r="3580" spans="1:35" x14ac:dyDescent="0.3">
      <c r="A3580">
        <v>3574</v>
      </c>
      <c r="B3580" t="s">
        <v>318</v>
      </c>
      <c r="C3580">
        <v>65</v>
      </c>
      <c r="D3580" s="105">
        <v>45374.417824965276</v>
      </c>
      <c r="E3580" t="s">
        <v>314</v>
      </c>
      <c r="F3580" t="s">
        <v>309</v>
      </c>
      <c r="G3580">
        <v>1</v>
      </c>
      <c r="H3580" t="s">
        <v>310</v>
      </c>
      <c r="I3580">
        <v>0</v>
      </c>
      <c r="J3580">
        <v>0</v>
      </c>
      <c r="K3580">
        <v>0</v>
      </c>
      <c r="L3580" t="s">
        <v>310</v>
      </c>
      <c r="M3580" t="s">
        <v>310</v>
      </c>
      <c r="N3580">
        <v>0</v>
      </c>
      <c r="O3580" t="s">
        <v>1391</v>
      </c>
      <c r="P3580" t="s">
        <v>101</v>
      </c>
      <c r="Q3580" t="s">
        <v>1400</v>
      </c>
      <c r="R3580" t="s">
        <v>310</v>
      </c>
      <c r="S3580">
        <v>9</v>
      </c>
      <c r="T3580" t="s">
        <v>310</v>
      </c>
      <c r="U3580">
        <v>9</v>
      </c>
      <c r="V3580">
        <v>9</v>
      </c>
      <c r="W3580">
        <v>0</v>
      </c>
      <c r="X3580">
        <v>0</v>
      </c>
      <c r="Y3580">
        <v>0</v>
      </c>
      <c r="Z3580">
        <v>0</v>
      </c>
      <c r="AA3580">
        <v>9</v>
      </c>
      <c r="AB3580">
        <v>9</v>
      </c>
      <c r="AC3580" t="s">
        <v>310</v>
      </c>
      <c r="AD3580">
        <v>9</v>
      </c>
      <c r="AE3580" t="s">
        <v>1388</v>
      </c>
      <c r="AF3580">
        <v>0</v>
      </c>
      <c r="AG3580" t="s">
        <v>310</v>
      </c>
      <c r="AH3580">
        <f>SUM((MID(Dyno_Data[[#This Row],[Team]],4,5))+(Dyno_Data[[#This Row],[Match]]/100))</f>
        <v>639.65</v>
      </c>
      <c r="AI3580" s="76">
        <f>ROUND(SUM(IF(Dyno_Data[[#This Row],[AcqCenter]]&gt;0,Dyno_Data[[#This Row],[Time]]-SUMIFS(Dyno_Data[Time],Dyno_Data[Team],Dyno_Data[[#This Row],[Team]],Dyno_Data[RecordType],"StartMatch",Dyno_Data[Match],Dyno_Data[[#This Row],[Match]]),0)*86400),0)</f>
        <v>0</v>
      </c>
    </row>
    <row r="3581" spans="1:35" x14ac:dyDescent="0.3">
      <c r="A3581">
        <v>3576</v>
      </c>
      <c r="B3581" t="s">
        <v>362</v>
      </c>
      <c r="C3581">
        <v>65</v>
      </c>
      <c r="D3581" s="105">
        <v>45374.417827812496</v>
      </c>
      <c r="E3581" t="s">
        <v>314</v>
      </c>
      <c r="F3581" t="s">
        <v>309</v>
      </c>
      <c r="G3581">
        <v>1</v>
      </c>
      <c r="H3581" t="s">
        <v>310</v>
      </c>
      <c r="I3581">
        <v>0</v>
      </c>
      <c r="J3581">
        <v>0</v>
      </c>
      <c r="K3581">
        <v>0</v>
      </c>
      <c r="L3581" t="s">
        <v>310</v>
      </c>
      <c r="M3581" t="s">
        <v>310</v>
      </c>
      <c r="N3581">
        <v>0</v>
      </c>
      <c r="O3581" t="s">
        <v>1393</v>
      </c>
      <c r="P3581" t="s">
        <v>320</v>
      </c>
      <c r="Q3581" t="s">
        <v>1400</v>
      </c>
      <c r="R3581" t="s">
        <v>310</v>
      </c>
      <c r="S3581">
        <v>9</v>
      </c>
      <c r="T3581" t="s">
        <v>310</v>
      </c>
      <c r="U3581">
        <v>9</v>
      </c>
      <c r="V3581">
        <v>9</v>
      </c>
      <c r="W3581">
        <v>0</v>
      </c>
      <c r="X3581">
        <v>0</v>
      </c>
      <c r="Y3581">
        <v>0</v>
      </c>
      <c r="Z3581">
        <v>0</v>
      </c>
      <c r="AA3581">
        <v>9</v>
      </c>
      <c r="AB3581">
        <v>9</v>
      </c>
      <c r="AC3581" t="s">
        <v>310</v>
      </c>
      <c r="AD3581">
        <v>9</v>
      </c>
      <c r="AE3581" t="s">
        <v>1412</v>
      </c>
      <c r="AF3581">
        <v>0</v>
      </c>
      <c r="AG3581" t="s">
        <v>310</v>
      </c>
      <c r="AH3581">
        <f>SUM((MID(Dyno_Data[[#This Row],[Team]],4,5))+(Dyno_Data[[#This Row],[Match]]/100))</f>
        <v>250.65</v>
      </c>
      <c r="AI3581" s="76">
        <f>ROUND(SUM(IF(Dyno_Data[[#This Row],[AcqCenter]]&gt;0,Dyno_Data[[#This Row],[Time]]-SUMIFS(Dyno_Data[Time],Dyno_Data[Team],Dyno_Data[[#This Row],[Team]],Dyno_Data[RecordType],"StartMatch",Dyno_Data[Match],Dyno_Data[[#This Row],[Match]]),0)*86400),0)</f>
        <v>0</v>
      </c>
    </row>
    <row r="3582" spans="1:35" x14ac:dyDescent="0.3">
      <c r="A3582">
        <v>3578</v>
      </c>
      <c r="B3582" t="s">
        <v>365</v>
      </c>
      <c r="C3582">
        <v>65</v>
      </c>
      <c r="D3582" s="105">
        <v>45374.417830752318</v>
      </c>
      <c r="E3582" t="s">
        <v>314</v>
      </c>
      <c r="F3582" t="s">
        <v>309</v>
      </c>
      <c r="G3582">
        <v>1</v>
      </c>
      <c r="H3582" t="s">
        <v>310</v>
      </c>
      <c r="I3582">
        <v>0</v>
      </c>
      <c r="J3582">
        <v>0</v>
      </c>
      <c r="K3582">
        <v>0</v>
      </c>
      <c r="L3582" t="s">
        <v>310</v>
      </c>
      <c r="M3582" t="s">
        <v>310</v>
      </c>
      <c r="N3582">
        <v>0</v>
      </c>
      <c r="O3582" t="s">
        <v>319</v>
      </c>
      <c r="P3582" t="s">
        <v>240</v>
      </c>
      <c r="Q3582" t="s">
        <v>1399</v>
      </c>
      <c r="R3582" t="s">
        <v>310</v>
      </c>
      <c r="S3582">
        <v>9</v>
      </c>
      <c r="T3582" t="s">
        <v>310</v>
      </c>
      <c r="U3582">
        <v>9</v>
      </c>
      <c r="V3582">
        <v>9</v>
      </c>
      <c r="W3582">
        <v>0</v>
      </c>
      <c r="X3582">
        <v>0</v>
      </c>
      <c r="Y3582">
        <v>0</v>
      </c>
      <c r="Z3582">
        <v>0</v>
      </c>
      <c r="AA3582">
        <v>9</v>
      </c>
      <c r="AB3582">
        <v>9</v>
      </c>
      <c r="AC3582" t="s">
        <v>310</v>
      </c>
      <c r="AD3582">
        <v>9</v>
      </c>
      <c r="AE3582" t="s">
        <v>1396</v>
      </c>
      <c r="AF3582">
        <v>20000000</v>
      </c>
      <c r="AG3582" t="s">
        <v>310</v>
      </c>
      <c r="AH3582">
        <f>SUM((MID(Dyno_Data[[#This Row],[Team]],4,5))+(Dyno_Data[[#This Row],[Match]]/100))</f>
        <v>3171.65</v>
      </c>
      <c r="AI3582" s="76">
        <f>ROUND(SUM(IF(Dyno_Data[[#This Row],[AcqCenter]]&gt;0,Dyno_Data[[#This Row],[Time]]-SUMIFS(Dyno_Data[Time],Dyno_Data[Team],Dyno_Data[[#This Row],[Team]],Dyno_Data[RecordType],"StartMatch",Dyno_Data[Match],Dyno_Data[[#This Row],[Match]]),0)*86400),0)</f>
        <v>0</v>
      </c>
    </row>
    <row r="3583" spans="1:35" x14ac:dyDescent="0.3">
      <c r="A3583">
        <v>3580</v>
      </c>
      <c r="B3583" t="s">
        <v>1282</v>
      </c>
      <c r="C3583">
        <v>65</v>
      </c>
      <c r="D3583" s="105">
        <v>45374.417833599538</v>
      </c>
      <c r="E3583" t="s">
        <v>314</v>
      </c>
      <c r="F3583" t="s">
        <v>309</v>
      </c>
      <c r="G3583">
        <v>1</v>
      </c>
      <c r="H3583" t="s">
        <v>310</v>
      </c>
      <c r="I3583">
        <v>0</v>
      </c>
      <c r="J3583">
        <v>0</v>
      </c>
      <c r="K3583">
        <v>0</v>
      </c>
      <c r="L3583" t="s">
        <v>310</v>
      </c>
      <c r="M3583" t="s">
        <v>310</v>
      </c>
      <c r="N3583">
        <v>0</v>
      </c>
      <c r="O3583" t="s">
        <v>311</v>
      </c>
      <c r="P3583" t="s">
        <v>1401</v>
      </c>
      <c r="Q3583" t="s">
        <v>1400</v>
      </c>
      <c r="R3583" t="s">
        <v>310</v>
      </c>
      <c r="S3583">
        <v>9</v>
      </c>
      <c r="T3583" t="s">
        <v>310</v>
      </c>
      <c r="U3583">
        <v>9</v>
      </c>
      <c r="V3583">
        <v>9</v>
      </c>
      <c r="W3583">
        <v>0</v>
      </c>
      <c r="X3583">
        <v>0</v>
      </c>
      <c r="Y3583">
        <v>0</v>
      </c>
      <c r="Z3583">
        <v>0</v>
      </c>
      <c r="AA3583">
        <v>9</v>
      </c>
      <c r="AB3583">
        <v>9</v>
      </c>
      <c r="AC3583" t="s">
        <v>310</v>
      </c>
      <c r="AD3583">
        <v>9</v>
      </c>
      <c r="AE3583" t="s">
        <v>1390</v>
      </c>
      <c r="AF3583">
        <v>0</v>
      </c>
      <c r="AG3583" t="s">
        <v>310</v>
      </c>
      <c r="AH3583">
        <f>SUM((MID(Dyno_Data[[#This Row],[Team]],4,5))+(Dyno_Data[[#This Row],[Match]]/100))</f>
        <v>333.65</v>
      </c>
      <c r="AI3583" s="76">
        <f>ROUND(SUM(IF(Dyno_Data[[#This Row],[AcqCenter]]&gt;0,Dyno_Data[[#This Row],[Time]]-SUMIFS(Dyno_Data[Time],Dyno_Data[Team],Dyno_Data[[#This Row],[Team]],Dyno_Data[RecordType],"StartMatch",Dyno_Data[Match],Dyno_Data[[#This Row],[Match]]),0)*86400),0)</f>
        <v>0</v>
      </c>
    </row>
    <row r="3584" spans="1:35" x14ac:dyDescent="0.3">
      <c r="A3584">
        <v>3582</v>
      </c>
      <c r="B3584" t="s">
        <v>1292</v>
      </c>
      <c r="C3584">
        <v>65</v>
      </c>
      <c r="D3584" s="105">
        <v>45374.417835763888</v>
      </c>
      <c r="E3584" t="s">
        <v>314</v>
      </c>
      <c r="F3584" t="s">
        <v>309</v>
      </c>
      <c r="G3584">
        <v>0</v>
      </c>
      <c r="H3584" t="s">
        <v>310</v>
      </c>
      <c r="I3584">
        <v>0</v>
      </c>
      <c r="J3584">
        <v>0</v>
      </c>
      <c r="K3584">
        <v>0</v>
      </c>
      <c r="L3584" t="s">
        <v>310</v>
      </c>
      <c r="M3584" t="s">
        <v>310</v>
      </c>
      <c r="N3584">
        <v>0</v>
      </c>
      <c r="O3584" t="s">
        <v>1389</v>
      </c>
      <c r="P3584" t="s">
        <v>1401</v>
      </c>
      <c r="Q3584" t="s">
        <v>1400</v>
      </c>
      <c r="R3584" t="s">
        <v>310</v>
      </c>
      <c r="S3584">
        <v>9</v>
      </c>
      <c r="T3584" t="s">
        <v>310</v>
      </c>
      <c r="U3584">
        <v>9</v>
      </c>
      <c r="V3584">
        <v>9</v>
      </c>
      <c r="W3584">
        <v>0</v>
      </c>
      <c r="X3584">
        <v>0</v>
      </c>
      <c r="Y3584">
        <v>0</v>
      </c>
      <c r="Z3584">
        <v>0</v>
      </c>
      <c r="AA3584">
        <v>9</v>
      </c>
      <c r="AB3584">
        <v>9</v>
      </c>
      <c r="AC3584" t="s">
        <v>310</v>
      </c>
      <c r="AD3584">
        <v>9</v>
      </c>
      <c r="AE3584" t="s">
        <v>1413</v>
      </c>
      <c r="AF3584">
        <v>0</v>
      </c>
      <c r="AG3584" t="s">
        <v>310</v>
      </c>
      <c r="AH3584">
        <f>SUM((MID(Dyno_Data[[#This Row],[Team]],4,5))+(Dyno_Data[[#This Row],[Match]]/100))</f>
        <v>7030.65</v>
      </c>
      <c r="AI3584" s="76">
        <f>ROUND(SUM(IF(Dyno_Data[[#This Row],[AcqCenter]]&gt;0,Dyno_Data[[#This Row],[Time]]-SUMIFS(Dyno_Data[Time],Dyno_Data[Team],Dyno_Data[[#This Row],[Team]],Dyno_Data[RecordType],"StartMatch",Dyno_Data[Match],Dyno_Data[[#This Row],[Match]]),0)*86400),0)</f>
        <v>0</v>
      </c>
    </row>
    <row r="3585" spans="1:35" x14ac:dyDescent="0.3">
      <c r="A3585">
        <v>3584</v>
      </c>
      <c r="B3585" t="s">
        <v>1310</v>
      </c>
      <c r="C3585">
        <v>65</v>
      </c>
      <c r="D3585" s="105">
        <v>45374.417835914355</v>
      </c>
      <c r="E3585" t="s">
        <v>314</v>
      </c>
      <c r="F3585" t="s">
        <v>309</v>
      </c>
      <c r="G3585">
        <v>1</v>
      </c>
      <c r="H3585" t="s">
        <v>310</v>
      </c>
      <c r="I3585">
        <v>0</v>
      </c>
      <c r="J3585">
        <v>0</v>
      </c>
      <c r="K3585">
        <v>0</v>
      </c>
      <c r="L3585" t="s">
        <v>310</v>
      </c>
      <c r="M3585" t="s">
        <v>310</v>
      </c>
      <c r="N3585">
        <v>0</v>
      </c>
      <c r="O3585" t="s">
        <v>1395</v>
      </c>
      <c r="P3585" t="s">
        <v>101</v>
      </c>
      <c r="Q3585" t="s">
        <v>1399</v>
      </c>
      <c r="R3585" t="s">
        <v>310</v>
      </c>
      <c r="S3585">
        <v>9</v>
      </c>
      <c r="T3585" t="s">
        <v>310</v>
      </c>
      <c r="U3585">
        <v>9</v>
      </c>
      <c r="V3585">
        <v>9</v>
      </c>
      <c r="W3585">
        <v>0</v>
      </c>
      <c r="X3585">
        <v>0</v>
      </c>
      <c r="Y3585">
        <v>0</v>
      </c>
      <c r="Z3585">
        <v>0</v>
      </c>
      <c r="AA3585">
        <v>9</v>
      </c>
      <c r="AB3585">
        <v>9</v>
      </c>
      <c r="AC3585" t="s">
        <v>310</v>
      </c>
      <c r="AD3585">
        <v>9</v>
      </c>
      <c r="AE3585" t="s">
        <v>1414</v>
      </c>
      <c r="AF3585">
        <v>10000000</v>
      </c>
      <c r="AG3585" t="s">
        <v>310</v>
      </c>
      <c r="AH3585">
        <f>SUM((MID(Dyno_Data[[#This Row],[Team]],4,5))+(Dyno_Data[[#This Row],[Match]]/100))</f>
        <v>6621.65</v>
      </c>
      <c r="AI3585" s="76">
        <f>ROUND(SUM(IF(Dyno_Data[[#This Row],[AcqCenter]]&gt;0,Dyno_Data[[#This Row],[Time]]-SUMIFS(Dyno_Data[Time],Dyno_Data[Team],Dyno_Data[[#This Row],[Team]],Dyno_Data[RecordType],"StartMatch",Dyno_Data[Match],Dyno_Data[[#This Row],[Match]]),0)*86400),0)</f>
        <v>0</v>
      </c>
    </row>
    <row r="3586" spans="1:35" x14ac:dyDescent="0.3">
      <c r="A3586">
        <v>3585</v>
      </c>
      <c r="B3586" t="s">
        <v>318</v>
      </c>
      <c r="C3586">
        <v>65</v>
      </c>
      <c r="D3586" s="105">
        <v>45374.41790497685</v>
      </c>
      <c r="E3586" t="s">
        <v>312</v>
      </c>
      <c r="F3586" t="s">
        <v>1402</v>
      </c>
      <c r="G3586">
        <v>0</v>
      </c>
      <c r="H3586" t="s">
        <v>315</v>
      </c>
      <c r="I3586">
        <v>0</v>
      </c>
      <c r="J3586">
        <v>0</v>
      </c>
      <c r="K3586">
        <v>0</v>
      </c>
      <c r="L3586" t="s">
        <v>240</v>
      </c>
      <c r="M3586" t="s">
        <v>1398</v>
      </c>
      <c r="N3586">
        <v>0</v>
      </c>
      <c r="O3586" t="s">
        <v>1391</v>
      </c>
      <c r="P3586" t="s">
        <v>310</v>
      </c>
      <c r="Q3586" t="s">
        <v>310</v>
      </c>
      <c r="R3586" t="s">
        <v>310</v>
      </c>
      <c r="S3586">
        <v>9</v>
      </c>
      <c r="T3586" t="s">
        <v>310</v>
      </c>
      <c r="U3586">
        <v>9</v>
      </c>
      <c r="V3586">
        <v>9</v>
      </c>
      <c r="W3586">
        <v>0</v>
      </c>
      <c r="X3586">
        <v>0</v>
      </c>
      <c r="Y3586">
        <v>0</v>
      </c>
      <c r="Z3586">
        <v>0</v>
      </c>
      <c r="AA3586">
        <v>9</v>
      </c>
      <c r="AB3586">
        <v>9</v>
      </c>
      <c r="AC3586" t="s">
        <v>310</v>
      </c>
      <c r="AD3586">
        <v>9</v>
      </c>
      <c r="AE3586" t="s">
        <v>1388</v>
      </c>
      <c r="AF3586">
        <v>10000000</v>
      </c>
      <c r="AG3586" t="s">
        <v>310</v>
      </c>
      <c r="AH3586">
        <f>SUM((MID(Dyno_Data[[#This Row],[Team]],4,5))+(Dyno_Data[[#This Row],[Match]]/100))</f>
        <v>639.65</v>
      </c>
      <c r="AI3586" s="76">
        <f>ROUND(SUM(IF(Dyno_Data[[#This Row],[AcqCenter]]&gt;0,Dyno_Data[[#This Row],[Time]]-SUMIFS(Dyno_Data[Time],Dyno_Data[Team],Dyno_Data[[#This Row],[Team]],Dyno_Data[RecordType],"StartMatch",Dyno_Data[Match],Dyno_Data[[#This Row],[Match]]),0)*86400),0)</f>
        <v>0</v>
      </c>
    </row>
    <row r="3587" spans="1:35" x14ac:dyDescent="0.3">
      <c r="A3587">
        <v>3586</v>
      </c>
      <c r="B3587" t="s">
        <v>365</v>
      </c>
      <c r="C3587">
        <v>65</v>
      </c>
      <c r="D3587" s="105">
        <v>45374.417926851849</v>
      </c>
      <c r="E3587" t="s">
        <v>312</v>
      </c>
      <c r="F3587" t="s">
        <v>1402</v>
      </c>
      <c r="G3587">
        <v>0</v>
      </c>
      <c r="H3587" t="s">
        <v>315</v>
      </c>
      <c r="I3587">
        <v>0</v>
      </c>
      <c r="J3587">
        <v>0</v>
      </c>
      <c r="K3587">
        <v>0</v>
      </c>
      <c r="L3587" t="s">
        <v>241</v>
      </c>
      <c r="M3587" t="s">
        <v>101</v>
      </c>
      <c r="N3587">
        <v>0</v>
      </c>
      <c r="O3587" t="s">
        <v>319</v>
      </c>
      <c r="P3587" t="s">
        <v>310</v>
      </c>
      <c r="Q3587" t="s">
        <v>310</v>
      </c>
      <c r="R3587" t="s">
        <v>310</v>
      </c>
      <c r="S3587">
        <v>9</v>
      </c>
      <c r="T3587" t="s">
        <v>310</v>
      </c>
      <c r="U3587">
        <v>9</v>
      </c>
      <c r="V3587">
        <v>9</v>
      </c>
      <c r="W3587">
        <v>0</v>
      </c>
      <c r="X3587">
        <v>0</v>
      </c>
      <c r="Y3587">
        <v>0</v>
      </c>
      <c r="Z3587">
        <v>0</v>
      </c>
      <c r="AA3587">
        <v>9</v>
      </c>
      <c r="AB3587">
        <v>9</v>
      </c>
      <c r="AC3587" t="s">
        <v>310</v>
      </c>
      <c r="AD3587">
        <v>9</v>
      </c>
      <c r="AE3587" t="s">
        <v>1396</v>
      </c>
      <c r="AF3587">
        <v>30000000</v>
      </c>
      <c r="AG3587" t="s">
        <v>310</v>
      </c>
      <c r="AH3587">
        <f>SUM((MID(Dyno_Data[[#This Row],[Team]],4,5))+(Dyno_Data[[#This Row],[Match]]/100))</f>
        <v>3171.65</v>
      </c>
      <c r="AI3587" s="76">
        <f>ROUND(SUM(IF(Dyno_Data[[#This Row],[AcqCenter]]&gt;0,Dyno_Data[[#This Row],[Time]]-SUMIFS(Dyno_Data[Time],Dyno_Data[Team],Dyno_Data[[#This Row],[Team]],Dyno_Data[RecordType],"StartMatch",Dyno_Data[Match],Dyno_Data[[#This Row],[Match]]),0)*86400),0)</f>
        <v>0</v>
      </c>
    </row>
    <row r="3588" spans="1:35" x14ac:dyDescent="0.3">
      <c r="A3588">
        <v>3587</v>
      </c>
      <c r="B3588" t="s">
        <v>1310</v>
      </c>
      <c r="C3588">
        <v>65</v>
      </c>
      <c r="D3588" s="105">
        <v>45374.417952199074</v>
      </c>
      <c r="E3588" t="s">
        <v>312</v>
      </c>
      <c r="F3588" t="s">
        <v>1402</v>
      </c>
      <c r="G3588">
        <v>0</v>
      </c>
      <c r="H3588" t="s">
        <v>315</v>
      </c>
      <c r="I3588">
        <v>0</v>
      </c>
      <c r="J3588">
        <v>0</v>
      </c>
      <c r="K3588">
        <v>0</v>
      </c>
      <c r="L3588" t="s">
        <v>241</v>
      </c>
      <c r="M3588" t="s">
        <v>1398</v>
      </c>
      <c r="N3588">
        <v>0</v>
      </c>
      <c r="O3588" t="s">
        <v>1395</v>
      </c>
      <c r="P3588" t="s">
        <v>310</v>
      </c>
      <c r="Q3588" t="s">
        <v>310</v>
      </c>
      <c r="R3588" t="s">
        <v>310</v>
      </c>
      <c r="S3588">
        <v>9</v>
      </c>
      <c r="T3588" t="s">
        <v>310</v>
      </c>
      <c r="U3588">
        <v>9</v>
      </c>
      <c r="V3588">
        <v>9</v>
      </c>
      <c r="W3588">
        <v>0</v>
      </c>
      <c r="X3588">
        <v>0</v>
      </c>
      <c r="Y3588">
        <v>0</v>
      </c>
      <c r="Z3588">
        <v>0</v>
      </c>
      <c r="AA3588">
        <v>9</v>
      </c>
      <c r="AB3588">
        <v>9</v>
      </c>
      <c r="AC3588" t="s">
        <v>310</v>
      </c>
      <c r="AD3588">
        <v>9</v>
      </c>
      <c r="AE3588" t="s">
        <v>1414</v>
      </c>
      <c r="AF3588">
        <v>20000000</v>
      </c>
      <c r="AG3588" t="s">
        <v>310</v>
      </c>
      <c r="AH3588">
        <f>SUM((MID(Dyno_Data[[#This Row],[Team]],4,5))+(Dyno_Data[[#This Row],[Match]]/100))</f>
        <v>6621.65</v>
      </c>
      <c r="AI3588" s="76">
        <f>ROUND(SUM(IF(Dyno_Data[[#This Row],[AcqCenter]]&gt;0,Dyno_Data[[#This Row],[Time]]-SUMIFS(Dyno_Data[Time],Dyno_Data[Team],Dyno_Data[[#This Row],[Team]],Dyno_Data[RecordType],"StartMatch",Dyno_Data[Match],Dyno_Data[[#This Row],[Match]]),0)*86400),0)</f>
        <v>0</v>
      </c>
    </row>
    <row r="3589" spans="1:35" x14ac:dyDescent="0.3">
      <c r="A3589">
        <v>3588</v>
      </c>
      <c r="B3589" t="s">
        <v>362</v>
      </c>
      <c r="C3589">
        <v>65</v>
      </c>
      <c r="D3589" s="105">
        <v>45374.417973148149</v>
      </c>
      <c r="E3589" t="s">
        <v>312</v>
      </c>
      <c r="F3589" t="s">
        <v>1402</v>
      </c>
      <c r="G3589">
        <v>0</v>
      </c>
      <c r="H3589" t="s">
        <v>143</v>
      </c>
      <c r="I3589">
        <v>0</v>
      </c>
      <c r="J3589">
        <v>0</v>
      </c>
      <c r="K3589">
        <v>0</v>
      </c>
      <c r="L3589" t="s">
        <v>242</v>
      </c>
      <c r="M3589" t="s">
        <v>241</v>
      </c>
      <c r="N3589">
        <v>0</v>
      </c>
      <c r="O3589" t="s">
        <v>1393</v>
      </c>
      <c r="P3589" t="s">
        <v>310</v>
      </c>
      <c r="Q3589" t="s">
        <v>310</v>
      </c>
      <c r="R3589" t="s">
        <v>310</v>
      </c>
      <c r="S3589">
        <v>9</v>
      </c>
      <c r="T3589" t="s">
        <v>310</v>
      </c>
      <c r="U3589">
        <v>9</v>
      </c>
      <c r="V3589">
        <v>9</v>
      </c>
      <c r="W3589">
        <v>0</v>
      </c>
      <c r="X3589">
        <v>0</v>
      </c>
      <c r="Y3589">
        <v>0</v>
      </c>
      <c r="Z3589">
        <v>0</v>
      </c>
      <c r="AA3589">
        <v>9</v>
      </c>
      <c r="AB3589">
        <v>9</v>
      </c>
      <c r="AC3589" t="s">
        <v>310</v>
      </c>
      <c r="AD3589">
        <v>9</v>
      </c>
      <c r="AE3589" t="s">
        <v>1412</v>
      </c>
      <c r="AF3589">
        <v>0</v>
      </c>
      <c r="AG3589" t="s">
        <v>310</v>
      </c>
      <c r="AH3589">
        <f>SUM((MID(Dyno_Data[[#This Row],[Team]],4,5))+(Dyno_Data[[#This Row],[Match]]/100))</f>
        <v>250.65</v>
      </c>
      <c r="AI3589" s="76">
        <f>ROUND(SUM(IF(Dyno_Data[[#This Row],[AcqCenter]]&gt;0,Dyno_Data[[#This Row],[Time]]-SUMIFS(Dyno_Data[Time],Dyno_Data[Team],Dyno_Data[[#This Row],[Team]],Dyno_Data[RecordType],"StartMatch",Dyno_Data[Match],Dyno_Data[[#This Row],[Match]]),0)*86400),0)</f>
        <v>0</v>
      </c>
    </row>
    <row r="3590" spans="1:35" x14ac:dyDescent="0.3">
      <c r="A3590">
        <v>3589</v>
      </c>
      <c r="B3590" t="s">
        <v>1282</v>
      </c>
      <c r="C3590">
        <v>65</v>
      </c>
      <c r="D3590" s="105">
        <v>45374.417985729167</v>
      </c>
      <c r="E3590" t="s">
        <v>312</v>
      </c>
      <c r="F3590" t="s">
        <v>1402</v>
      </c>
      <c r="G3590">
        <v>0</v>
      </c>
      <c r="H3590" t="s">
        <v>315</v>
      </c>
      <c r="I3590">
        <v>0</v>
      </c>
      <c r="J3590">
        <v>0</v>
      </c>
      <c r="K3590">
        <v>0</v>
      </c>
      <c r="L3590" t="s">
        <v>240</v>
      </c>
      <c r="M3590" t="s">
        <v>1398</v>
      </c>
      <c r="N3590">
        <v>0</v>
      </c>
      <c r="O3590" t="s">
        <v>311</v>
      </c>
      <c r="P3590" t="s">
        <v>310</v>
      </c>
      <c r="Q3590" t="s">
        <v>310</v>
      </c>
      <c r="R3590" t="s">
        <v>310</v>
      </c>
      <c r="S3590">
        <v>9</v>
      </c>
      <c r="T3590" t="s">
        <v>310</v>
      </c>
      <c r="U3590">
        <v>9</v>
      </c>
      <c r="V3590">
        <v>9</v>
      </c>
      <c r="W3590">
        <v>0</v>
      </c>
      <c r="X3590">
        <v>0</v>
      </c>
      <c r="Y3590">
        <v>0</v>
      </c>
      <c r="Z3590">
        <v>0</v>
      </c>
      <c r="AA3590">
        <v>9</v>
      </c>
      <c r="AB3590">
        <v>9</v>
      </c>
      <c r="AC3590" t="s">
        <v>310</v>
      </c>
      <c r="AD3590">
        <v>9</v>
      </c>
      <c r="AE3590" t="s">
        <v>1390</v>
      </c>
      <c r="AF3590">
        <v>10000000</v>
      </c>
      <c r="AG3590" t="s">
        <v>310</v>
      </c>
      <c r="AH3590">
        <f>SUM((MID(Dyno_Data[[#This Row],[Team]],4,5))+(Dyno_Data[[#This Row],[Match]]/100))</f>
        <v>333.65</v>
      </c>
      <c r="AI3590" s="76">
        <f>ROUND(SUM(IF(Dyno_Data[[#This Row],[AcqCenter]]&gt;0,Dyno_Data[[#This Row],[Time]]-SUMIFS(Dyno_Data[Time],Dyno_Data[Team],Dyno_Data[[#This Row],[Team]],Dyno_Data[RecordType],"StartMatch",Dyno_Data[Match],Dyno_Data[[#This Row],[Match]]),0)*86400),0)</f>
        <v>0</v>
      </c>
    </row>
    <row r="3591" spans="1:35" x14ac:dyDescent="0.3">
      <c r="A3591">
        <v>3590</v>
      </c>
      <c r="B3591" t="s">
        <v>318</v>
      </c>
      <c r="C3591">
        <v>65</v>
      </c>
      <c r="D3591" s="105">
        <v>45374.418020405094</v>
      </c>
      <c r="E3591" t="s">
        <v>312</v>
      </c>
      <c r="F3591" t="s">
        <v>1402</v>
      </c>
      <c r="G3591">
        <v>0</v>
      </c>
      <c r="H3591" t="s">
        <v>315</v>
      </c>
      <c r="I3591">
        <v>0</v>
      </c>
      <c r="J3591">
        <v>0</v>
      </c>
      <c r="K3591">
        <v>0</v>
      </c>
      <c r="L3591" t="s">
        <v>240</v>
      </c>
      <c r="M3591" t="s">
        <v>1398</v>
      </c>
      <c r="N3591">
        <v>0</v>
      </c>
      <c r="O3591" t="s">
        <v>1391</v>
      </c>
      <c r="P3591" t="s">
        <v>310</v>
      </c>
      <c r="Q3591" t="s">
        <v>310</v>
      </c>
      <c r="R3591" t="s">
        <v>310</v>
      </c>
      <c r="S3591">
        <v>9</v>
      </c>
      <c r="T3591" t="s">
        <v>310</v>
      </c>
      <c r="U3591">
        <v>9</v>
      </c>
      <c r="V3591">
        <v>9</v>
      </c>
      <c r="W3591">
        <v>0</v>
      </c>
      <c r="X3591">
        <v>0</v>
      </c>
      <c r="Y3591">
        <v>0</v>
      </c>
      <c r="Z3591">
        <v>0</v>
      </c>
      <c r="AA3591">
        <v>9</v>
      </c>
      <c r="AB3591">
        <v>9</v>
      </c>
      <c r="AC3591" t="s">
        <v>310</v>
      </c>
      <c r="AD3591">
        <v>9</v>
      </c>
      <c r="AE3591" t="s">
        <v>1388</v>
      </c>
      <c r="AF3591">
        <v>20000000</v>
      </c>
      <c r="AG3591" t="s">
        <v>310</v>
      </c>
      <c r="AH3591">
        <f>SUM((MID(Dyno_Data[[#This Row],[Team]],4,5))+(Dyno_Data[[#This Row],[Match]]/100))</f>
        <v>639.65</v>
      </c>
      <c r="AI3591" s="76">
        <f>ROUND(SUM(IF(Dyno_Data[[#This Row],[AcqCenter]]&gt;0,Dyno_Data[[#This Row],[Time]]-SUMIFS(Dyno_Data[Time],Dyno_Data[Team],Dyno_Data[[#This Row],[Team]],Dyno_Data[RecordType],"StartMatch",Dyno_Data[Match],Dyno_Data[[#This Row],[Match]]),0)*86400),0)</f>
        <v>0</v>
      </c>
    </row>
    <row r="3592" spans="1:35" x14ac:dyDescent="0.3">
      <c r="A3592">
        <v>3591</v>
      </c>
      <c r="B3592" t="s">
        <v>362</v>
      </c>
      <c r="C3592">
        <v>65</v>
      </c>
      <c r="D3592" s="105">
        <v>45374.418039849537</v>
      </c>
      <c r="E3592" t="s">
        <v>312</v>
      </c>
      <c r="F3592" t="s">
        <v>1402</v>
      </c>
      <c r="G3592">
        <v>0</v>
      </c>
      <c r="H3592" t="s">
        <v>315</v>
      </c>
      <c r="I3592">
        <v>0</v>
      </c>
      <c r="J3592">
        <v>0</v>
      </c>
      <c r="K3592">
        <v>0</v>
      </c>
      <c r="L3592" t="s">
        <v>242</v>
      </c>
      <c r="M3592" t="s">
        <v>241</v>
      </c>
      <c r="N3592">
        <v>0</v>
      </c>
      <c r="O3592" t="s">
        <v>1393</v>
      </c>
      <c r="P3592" t="s">
        <v>310</v>
      </c>
      <c r="Q3592" t="s">
        <v>310</v>
      </c>
      <c r="R3592" t="s">
        <v>310</v>
      </c>
      <c r="S3592">
        <v>9</v>
      </c>
      <c r="T3592" t="s">
        <v>310</v>
      </c>
      <c r="U3592">
        <v>9</v>
      </c>
      <c r="V3592">
        <v>9</v>
      </c>
      <c r="W3592">
        <v>0</v>
      </c>
      <c r="X3592">
        <v>0</v>
      </c>
      <c r="Y3592">
        <v>0</v>
      </c>
      <c r="Z3592">
        <v>0</v>
      </c>
      <c r="AA3592">
        <v>9</v>
      </c>
      <c r="AB3592">
        <v>9</v>
      </c>
      <c r="AC3592" t="s">
        <v>310</v>
      </c>
      <c r="AD3592">
        <v>9</v>
      </c>
      <c r="AE3592" t="s">
        <v>1412</v>
      </c>
      <c r="AF3592">
        <v>10000000</v>
      </c>
      <c r="AG3592" t="s">
        <v>310</v>
      </c>
      <c r="AH3592">
        <f>SUM((MID(Dyno_Data[[#This Row],[Team]],4,5))+(Dyno_Data[[#This Row],[Match]]/100))</f>
        <v>250.65</v>
      </c>
      <c r="AI3592" s="76">
        <f>ROUND(SUM(IF(Dyno_Data[[#This Row],[AcqCenter]]&gt;0,Dyno_Data[[#This Row],[Time]]-SUMIFS(Dyno_Data[Time],Dyno_Data[Team],Dyno_Data[[#This Row],[Team]],Dyno_Data[RecordType],"StartMatch",Dyno_Data[Match],Dyno_Data[[#This Row],[Match]]),0)*86400),0)</f>
        <v>0</v>
      </c>
    </row>
    <row r="3593" spans="1:35" x14ac:dyDescent="0.3">
      <c r="A3593">
        <v>3592</v>
      </c>
      <c r="B3593" t="s">
        <v>365</v>
      </c>
      <c r="C3593">
        <v>65</v>
      </c>
      <c r="D3593" s="105">
        <v>45374.418040625002</v>
      </c>
      <c r="E3593" t="s">
        <v>312</v>
      </c>
      <c r="F3593" t="s">
        <v>1402</v>
      </c>
      <c r="G3593">
        <v>0</v>
      </c>
      <c r="H3593" t="s">
        <v>315</v>
      </c>
      <c r="I3593">
        <v>0</v>
      </c>
      <c r="J3593">
        <v>0</v>
      </c>
      <c r="K3593">
        <v>0</v>
      </c>
      <c r="L3593" t="s">
        <v>241</v>
      </c>
      <c r="M3593" t="s">
        <v>101</v>
      </c>
      <c r="N3593">
        <v>0</v>
      </c>
      <c r="O3593" t="s">
        <v>319</v>
      </c>
      <c r="P3593" t="s">
        <v>310</v>
      </c>
      <c r="Q3593" t="s">
        <v>310</v>
      </c>
      <c r="R3593" t="s">
        <v>310</v>
      </c>
      <c r="S3593">
        <v>9</v>
      </c>
      <c r="T3593" t="s">
        <v>310</v>
      </c>
      <c r="U3593">
        <v>9</v>
      </c>
      <c r="V3593">
        <v>9</v>
      </c>
      <c r="W3593">
        <v>0</v>
      </c>
      <c r="X3593">
        <v>0</v>
      </c>
      <c r="Y3593">
        <v>0</v>
      </c>
      <c r="Z3593">
        <v>0</v>
      </c>
      <c r="AA3593">
        <v>9</v>
      </c>
      <c r="AB3593">
        <v>9</v>
      </c>
      <c r="AC3593" t="s">
        <v>310</v>
      </c>
      <c r="AD3593">
        <v>9</v>
      </c>
      <c r="AE3593" t="s">
        <v>1396</v>
      </c>
      <c r="AF3593">
        <v>40000000</v>
      </c>
      <c r="AG3593" t="s">
        <v>310</v>
      </c>
      <c r="AH3593">
        <f>SUM((MID(Dyno_Data[[#This Row],[Team]],4,5))+(Dyno_Data[[#This Row],[Match]]/100))</f>
        <v>3171.65</v>
      </c>
      <c r="AI3593" s="76">
        <f>ROUND(SUM(IF(Dyno_Data[[#This Row],[AcqCenter]]&gt;0,Dyno_Data[[#This Row],[Time]]-SUMIFS(Dyno_Data[Time],Dyno_Data[Team],Dyno_Data[[#This Row],[Team]],Dyno_Data[RecordType],"StartMatch",Dyno_Data[Match],Dyno_Data[[#This Row],[Match]]),0)*86400),0)</f>
        <v>0</v>
      </c>
    </row>
    <row r="3594" spans="1:35" x14ac:dyDescent="0.3">
      <c r="A3594">
        <v>3593</v>
      </c>
      <c r="B3594" t="s">
        <v>1310</v>
      </c>
      <c r="C3594">
        <v>65</v>
      </c>
      <c r="D3594" s="105">
        <v>45374.418049305554</v>
      </c>
      <c r="E3594" t="s">
        <v>312</v>
      </c>
      <c r="F3594" t="s">
        <v>1402</v>
      </c>
      <c r="G3594">
        <v>0</v>
      </c>
      <c r="H3594" t="s">
        <v>315</v>
      </c>
      <c r="I3594">
        <v>0</v>
      </c>
      <c r="J3594">
        <v>0</v>
      </c>
      <c r="K3594">
        <v>0</v>
      </c>
      <c r="L3594" t="s">
        <v>241</v>
      </c>
      <c r="M3594" t="s">
        <v>1398</v>
      </c>
      <c r="N3594">
        <v>0</v>
      </c>
      <c r="O3594" t="s">
        <v>1395</v>
      </c>
      <c r="P3594" t="s">
        <v>310</v>
      </c>
      <c r="Q3594" t="s">
        <v>310</v>
      </c>
      <c r="R3594" t="s">
        <v>310</v>
      </c>
      <c r="S3594">
        <v>9</v>
      </c>
      <c r="T3594" t="s">
        <v>310</v>
      </c>
      <c r="U3594">
        <v>9</v>
      </c>
      <c r="V3594">
        <v>9</v>
      </c>
      <c r="W3594">
        <v>0</v>
      </c>
      <c r="X3594">
        <v>0</v>
      </c>
      <c r="Y3594">
        <v>0</v>
      </c>
      <c r="Z3594">
        <v>0</v>
      </c>
      <c r="AA3594">
        <v>9</v>
      </c>
      <c r="AB3594">
        <v>9</v>
      </c>
      <c r="AC3594" t="s">
        <v>310</v>
      </c>
      <c r="AD3594">
        <v>9</v>
      </c>
      <c r="AE3594" t="s">
        <v>1414</v>
      </c>
      <c r="AF3594">
        <v>30000000</v>
      </c>
      <c r="AG3594" t="s">
        <v>310</v>
      </c>
      <c r="AH3594">
        <f>SUM((MID(Dyno_Data[[#This Row],[Team]],4,5))+(Dyno_Data[[#This Row],[Match]]/100))</f>
        <v>6621.65</v>
      </c>
      <c r="AI3594" s="76">
        <f>ROUND(SUM(IF(Dyno_Data[[#This Row],[AcqCenter]]&gt;0,Dyno_Data[[#This Row],[Time]]-SUMIFS(Dyno_Data[Time],Dyno_Data[Team],Dyno_Data[[#This Row],[Team]],Dyno_Data[RecordType],"StartMatch",Dyno_Data[Match],Dyno_Data[[#This Row],[Match]]),0)*86400),0)</f>
        <v>0</v>
      </c>
    </row>
    <row r="3595" spans="1:35" x14ac:dyDescent="0.3">
      <c r="A3595">
        <v>3594</v>
      </c>
      <c r="B3595" t="s">
        <v>1282</v>
      </c>
      <c r="C3595">
        <v>65</v>
      </c>
      <c r="D3595" s="105">
        <v>45374.41814603009</v>
      </c>
      <c r="E3595" t="s">
        <v>312</v>
      </c>
      <c r="F3595" t="s">
        <v>1402</v>
      </c>
      <c r="G3595">
        <v>0</v>
      </c>
      <c r="H3595" t="s">
        <v>315</v>
      </c>
      <c r="I3595">
        <v>0</v>
      </c>
      <c r="J3595">
        <v>0</v>
      </c>
      <c r="K3595">
        <v>0</v>
      </c>
      <c r="L3595" t="s">
        <v>241</v>
      </c>
      <c r="M3595" t="s">
        <v>1398</v>
      </c>
      <c r="N3595">
        <v>0</v>
      </c>
      <c r="O3595" t="s">
        <v>311</v>
      </c>
      <c r="P3595" t="s">
        <v>310</v>
      </c>
      <c r="Q3595" t="s">
        <v>310</v>
      </c>
      <c r="R3595" t="s">
        <v>310</v>
      </c>
      <c r="S3595">
        <v>9</v>
      </c>
      <c r="T3595" t="s">
        <v>310</v>
      </c>
      <c r="U3595">
        <v>9</v>
      </c>
      <c r="V3595">
        <v>9</v>
      </c>
      <c r="W3595">
        <v>0</v>
      </c>
      <c r="X3595">
        <v>0</v>
      </c>
      <c r="Y3595">
        <v>0</v>
      </c>
      <c r="Z3595">
        <v>0</v>
      </c>
      <c r="AA3595">
        <v>9</v>
      </c>
      <c r="AB3595">
        <v>9</v>
      </c>
      <c r="AC3595" t="s">
        <v>310</v>
      </c>
      <c r="AD3595">
        <v>9</v>
      </c>
      <c r="AE3595" t="s">
        <v>1390</v>
      </c>
      <c r="AF3595">
        <v>20000000</v>
      </c>
      <c r="AG3595" t="s">
        <v>310</v>
      </c>
      <c r="AH3595">
        <f>SUM((MID(Dyno_Data[[#This Row],[Team]],4,5))+(Dyno_Data[[#This Row],[Match]]/100))</f>
        <v>333.65</v>
      </c>
      <c r="AI3595" s="76">
        <f>ROUND(SUM(IF(Dyno_Data[[#This Row],[AcqCenter]]&gt;0,Dyno_Data[[#This Row],[Time]]-SUMIFS(Dyno_Data[Time],Dyno_Data[Team],Dyno_Data[[#This Row],[Team]],Dyno_Data[RecordType],"StartMatch",Dyno_Data[Match],Dyno_Data[[#This Row],[Match]]),0)*86400),0)</f>
        <v>0</v>
      </c>
    </row>
    <row r="3596" spans="1:35" x14ac:dyDescent="0.3">
      <c r="A3596">
        <v>3595</v>
      </c>
      <c r="B3596" t="s">
        <v>318</v>
      </c>
      <c r="C3596">
        <v>65</v>
      </c>
      <c r="D3596" s="105">
        <v>45374.418233715274</v>
      </c>
      <c r="E3596" t="s">
        <v>312</v>
      </c>
      <c r="F3596" t="s">
        <v>1402</v>
      </c>
      <c r="G3596">
        <v>0</v>
      </c>
      <c r="H3596" t="s">
        <v>315</v>
      </c>
      <c r="I3596">
        <v>0</v>
      </c>
      <c r="J3596">
        <v>0</v>
      </c>
      <c r="K3596">
        <v>0</v>
      </c>
      <c r="L3596" t="s">
        <v>240</v>
      </c>
      <c r="M3596" t="s">
        <v>1398</v>
      </c>
      <c r="N3596">
        <v>0</v>
      </c>
      <c r="O3596" t="s">
        <v>1391</v>
      </c>
      <c r="P3596" t="s">
        <v>310</v>
      </c>
      <c r="Q3596" t="s">
        <v>310</v>
      </c>
      <c r="R3596" t="s">
        <v>310</v>
      </c>
      <c r="S3596">
        <v>9</v>
      </c>
      <c r="T3596" t="s">
        <v>310</v>
      </c>
      <c r="U3596">
        <v>9</v>
      </c>
      <c r="V3596">
        <v>9</v>
      </c>
      <c r="W3596">
        <v>0</v>
      </c>
      <c r="X3596">
        <v>0</v>
      </c>
      <c r="Y3596">
        <v>0</v>
      </c>
      <c r="Z3596">
        <v>0</v>
      </c>
      <c r="AA3596">
        <v>9</v>
      </c>
      <c r="AB3596">
        <v>9</v>
      </c>
      <c r="AC3596" t="s">
        <v>310</v>
      </c>
      <c r="AD3596">
        <v>9</v>
      </c>
      <c r="AE3596" t="s">
        <v>1388</v>
      </c>
      <c r="AF3596">
        <v>30000000</v>
      </c>
      <c r="AG3596" t="s">
        <v>310</v>
      </c>
      <c r="AH3596">
        <f>SUM((MID(Dyno_Data[[#This Row],[Team]],4,5))+(Dyno_Data[[#This Row],[Match]]/100))</f>
        <v>639.65</v>
      </c>
      <c r="AI3596" s="76">
        <f>ROUND(SUM(IF(Dyno_Data[[#This Row],[AcqCenter]]&gt;0,Dyno_Data[[#This Row],[Time]]-SUMIFS(Dyno_Data[Time],Dyno_Data[Team],Dyno_Data[[#This Row],[Team]],Dyno_Data[RecordType],"StartMatch",Dyno_Data[Match],Dyno_Data[[#This Row],[Match]]),0)*86400),0)</f>
        <v>0</v>
      </c>
    </row>
    <row r="3597" spans="1:35" x14ac:dyDescent="0.3">
      <c r="A3597">
        <v>3596</v>
      </c>
      <c r="B3597" t="s">
        <v>1310</v>
      </c>
      <c r="C3597">
        <v>65</v>
      </c>
      <c r="D3597" s="105">
        <v>45374.418252627314</v>
      </c>
      <c r="E3597" t="s">
        <v>312</v>
      </c>
      <c r="F3597" t="s">
        <v>1402</v>
      </c>
      <c r="G3597">
        <v>0</v>
      </c>
      <c r="H3597" t="s">
        <v>315</v>
      </c>
      <c r="I3597">
        <v>0</v>
      </c>
      <c r="J3597">
        <v>0</v>
      </c>
      <c r="K3597">
        <v>0</v>
      </c>
      <c r="L3597" t="s">
        <v>241</v>
      </c>
      <c r="M3597" t="s">
        <v>1398</v>
      </c>
      <c r="N3597">
        <v>1</v>
      </c>
      <c r="O3597" t="s">
        <v>1395</v>
      </c>
      <c r="P3597" t="s">
        <v>310</v>
      </c>
      <c r="Q3597" t="s">
        <v>310</v>
      </c>
      <c r="R3597" t="s">
        <v>310</v>
      </c>
      <c r="S3597">
        <v>9</v>
      </c>
      <c r="T3597" t="s">
        <v>310</v>
      </c>
      <c r="U3597">
        <v>9</v>
      </c>
      <c r="V3597">
        <v>9</v>
      </c>
      <c r="W3597">
        <v>0</v>
      </c>
      <c r="X3597">
        <v>0</v>
      </c>
      <c r="Y3597">
        <v>0</v>
      </c>
      <c r="Z3597">
        <v>0</v>
      </c>
      <c r="AA3597">
        <v>9</v>
      </c>
      <c r="AB3597">
        <v>9</v>
      </c>
      <c r="AC3597" t="s">
        <v>310</v>
      </c>
      <c r="AD3597">
        <v>9</v>
      </c>
      <c r="AE3597" t="s">
        <v>1414</v>
      </c>
      <c r="AF3597">
        <v>40000000</v>
      </c>
      <c r="AG3597" t="s">
        <v>310</v>
      </c>
      <c r="AH3597">
        <f>SUM((MID(Dyno_Data[[#This Row],[Team]],4,5))+(Dyno_Data[[#This Row],[Match]]/100))</f>
        <v>6621.65</v>
      </c>
      <c r="AI3597" s="76">
        <f>ROUND(SUM(IF(Dyno_Data[[#This Row],[AcqCenter]]&gt;0,Dyno_Data[[#This Row],[Time]]-SUMIFS(Dyno_Data[Time],Dyno_Data[Team],Dyno_Data[[#This Row],[Team]],Dyno_Data[RecordType],"StartMatch",Dyno_Data[Match],Dyno_Data[[#This Row],[Match]]),0)*86400),0)</f>
        <v>0</v>
      </c>
    </row>
    <row r="3598" spans="1:35" x14ac:dyDescent="0.3">
      <c r="A3598">
        <v>3597</v>
      </c>
      <c r="B3598" t="s">
        <v>365</v>
      </c>
      <c r="C3598">
        <v>65</v>
      </c>
      <c r="D3598" s="105">
        <v>45374.418316898147</v>
      </c>
      <c r="E3598" t="s">
        <v>312</v>
      </c>
      <c r="F3598" t="s">
        <v>1402</v>
      </c>
      <c r="G3598">
        <v>0</v>
      </c>
      <c r="H3598" t="s">
        <v>315</v>
      </c>
      <c r="I3598">
        <v>0</v>
      </c>
      <c r="J3598">
        <v>0</v>
      </c>
      <c r="K3598">
        <v>0</v>
      </c>
      <c r="L3598" t="s">
        <v>241</v>
      </c>
      <c r="M3598" t="s">
        <v>1398</v>
      </c>
      <c r="N3598">
        <v>1</v>
      </c>
      <c r="O3598" t="s">
        <v>319</v>
      </c>
      <c r="P3598" t="s">
        <v>310</v>
      </c>
      <c r="Q3598" t="s">
        <v>310</v>
      </c>
      <c r="R3598" t="s">
        <v>310</v>
      </c>
      <c r="S3598">
        <v>9</v>
      </c>
      <c r="T3598" t="s">
        <v>310</v>
      </c>
      <c r="U3598">
        <v>9</v>
      </c>
      <c r="V3598">
        <v>9</v>
      </c>
      <c r="W3598">
        <v>0</v>
      </c>
      <c r="X3598">
        <v>0</v>
      </c>
      <c r="Y3598">
        <v>0</v>
      </c>
      <c r="Z3598">
        <v>0</v>
      </c>
      <c r="AA3598">
        <v>9</v>
      </c>
      <c r="AB3598">
        <v>9</v>
      </c>
      <c r="AC3598" t="s">
        <v>310</v>
      </c>
      <c r="AD3598">
        <v>9</v>
      </c>
      <c r="AE3598" t="s">
        <v>1396</v>
      </c>
      <c r="AF3598">
        <v>50000000</v>
      </c>
      <c r="AG3598" t="s">
        <v>310</v>
      </c>
      <c r="AH3598">
        <f>SUM((MID(Dyno_Data[[#This Row],[Team]],4,5))+(Dyno_Data[[#This Row],[Match]]/100))</f>
        <v>3171.65</v>
      </c>
      <c r="AI3598" s="76">
        <f>ROUND(SUM(IF(Dyno_Data[[#This Row],[AcqCenter]]&gt;0,Dyno_Data[[#This Row],[Time]]-SUMIFS(Dyno_Data[Time],Dyno_Data[Team],Dyno_Data[[#This Row],[Team]],Dyno_Data[RecordType],"StartMatch",Dyno_Data[Match],Dyno_Data[[#This Row],[Match]]),0)*86400),0)</f>
        <v>0</v>
      </c>
    </row>
    <row r="3599" spans="1:35" x14ac:dyDescent="0.3">
      <c r="A3599">
        <v>3598</v>
      </c>
      <c r="B3599" t="s">
        <v>1310</v>
      </c>
      <c r="C3599">
        <v>65</v>
      </c>
      <c r="D3599" s="105">
        <v>45374.418404201388</v>
      </c>
      <c r="E3599" t="s">
        <v>312</v>
      </c>
      <c r="F3599" t="s">
        <v>1402</v>
      </c>
      <c r="G3599">
        <v>0</v>
      </c>
      <c r="H3599" t="s">
        <v>315</v>
      </c>
      <c r="I3599">
        <v>0</v>
      </c>
      <c r="J3599">
        <v>0</v>
      </c>
      <c r="K3599">
        <v>0</v>
      </c>
      <c r="L3599" t="s">
        <v>241</v>
      </c>
      <c r="M3599" t="s">
        <v>1398</v>
      </c>
      <c r="N3599">
        <v>0</v>
      </c>
      <c r="O3599" t="s">
        <v>1395</v>
      </c>
      <c r="P3599" t="s">
        <v>310</v>
      </c>
      <c r="Q3599" t="s">
        <v>310</v>
      </c>
      <c r="R3599" t="s">
        <v>310</v>
      </c>
      <c r="S3599">
        <v>9</v>
      </c>
      <c r="T3599" t="s">
        <v>310</v>
      </c>
      <c r="U3599">
        <v>9</v>
      </c>
      <c r="V3599">
        <v>9</v>
      </c>
      <c r="W3599">
        <v>0</v>
      </c>
      <c r="X3599">
        <v>0</v>
      </c>
      <c r="Y3599">
        <v>0</v>
      </c>
      <c r="Z3599">
        <v>0</v>
      </c>
      <c r="AA3599">
        <v>9</v>
      </c>
      <c r="AB3599">
        <v>9</v>
      </c>
      <c r="AC3599" t="s">
        <v>310</v>
      </c>
      <c r="AD3599">
        <v>9</v>
      </c>
      <c r="AE3599" t="s">
        <v>1414</v>
      </c>
      <c r="AF3599">
        <v>50000000</v>
      </c>
      <c r="AG3599" t="s">
        <v>310</v>
      </c>
      <c r="AH3599">
        <f>SUM((MID(Dyno_Data[[#This Row],[Team]],4,5))+(Dyno_Data[[#This Row],[Match]]/100))</f>
        <v>6621.65</v>
      </c>
      <c r="AI3599" s="76">
        <f>ROUND(SUM(IF(Dyno_Data[[#This Row],[AcqCenter]]&gt;0,Dyno_Data[[#This Row],[Time]]-SUMIFS(Dyno_Data[Time],Dyno_Data[Team],Dyno_Data[[#This Row],[Team]],Dyno_Data[RecordType],"StartMatch",Dyno_Data[Match],Dyno_Data[[#This Row],[Match]]),0)*86400),0)</f>
        <v>0</v>
      </c>
    </row>
    <row r="3600" spans="1:35" x14ac:dyDescent="0.3">
      <c r="A3600">
        <v>3599</v>
      </c>
      <c r="B3600" t="s">
        <v>1282</v>
      </c>
      <c r="C3600">
        <v>65</v>
      </c>
      <c r="D3600" s="105">
        <v>45374.418440856483</v>
      </c>
      <c r="E3600" t="s">
        <v>312</v>
      </c>
      <c r="F3600" t="s">
        <v>1402</v>
      </c>
      <c r="G3600">
        <v>0</v>
      </c>
      <c r="H3600" t="s">
        <v>315</v>
      </c>
      <c r="I3600">
        <v>0</v>
      </c>
      <c r="J3600">
        <v>0</v>
      </c>
      <c r="K3600">
        <v>0</v>
      </c>
      <c r="L3600" t="s">
        <v>240</v>
      </c>
      <c r="M3600" t="s">
        <v>1398</v>
      </c>
      <c r="N3600">
        <v>0</v>
      </c>
      <c r="O3600" t="s">
        <v>311</v>
      </c>
      <c r="P3600" t="s">
        <v>310</v>
      </c>
      <c r="Q3600" t="s">
        <v>310</v>
      </c>
      <c r="R3600" t="s">
        <v>310</v>
      </c>
      <c r="S3600">
        <v>9</v>
      </c>
      <c r="T3600" t="s">
        <v>310</v>
      </c>
      <c r="U3600">
        <v>9</v>
      </c>
      <c r="V3600">
        <v>9</v>
      </c>
      <c r="W3600">
        <v>0</v>
      </c>
      <c r="X3600">
        <v>0</v>
      </c>
      <c r="Y3600">
        <v>0</v>
      </c>
      <c r="Z3600">
        <v>0</v>
      </c>
      <c r="AA3600">
        <v>9</v>
      </c>
      <c r="AB3600">
        <v>9</v>
      </c>
      <c r="AC3600" t="s">
        <v>310</v>
      </c>
      <c r="AD3600">
        <v>9</v>
      </c>
      <c r="AE3600" t="s">
        <v>1390</v>
      </c>
      <c r="AF3600">
        <v>30000000</v>
      </c>
      <c r="AG3600" t="s">
        <v>310</v>
      </c>
      <c r="AH3600">
        <f>SUM((MID(Dyno_Data[[#This Row],[Team]],4,5))+(Dyno_Data[[#This Row],[Match]]/100))</f>
        <v>333.65</v>
      </c>
      <c r="AI3600" s="76">
        <f>ROUND(SUM(IF(Dyno_Data[[#This Row],[AcqCenter]]&gt;0,Dyno_Data[[#This Row],[Time]]-SUMIFS(Dyno_Data[Time],Dyno_Data[Team],Dyno_Data[[#This Row],[Team]],Dyno_Data[RecordType],"StartMatch",Dyno_Data[Match],Dyno_Data[[#This Row],[Match]]),0)*86400),0)</f>
        <v>0</v>
      </c>
    </row>
    <row r="3601" spans="1:35" x14ac:dyDescent="0.3">
      <c r="A3601">
        <v>3600</v>
      </c>
      <c r="B3601" t="s">
        <v>318</v>
      </c>
      <c r="C3601">
        <v>65</v>
      </c>
      <c r="D3601" s="105">
        <v>45374.418445868054</v>
      </c>
      <c r="E3601" t="s">
        <v>312</v>
      </c>
      <c r="F3601" t="s">
        <v>1402</v>
      </c>
      <c r="G3601">
        <v>0</v>
      </c>
      <c r="H3601" t="s">
        <v>315</v>
      </c>
      <c r="I3601">
        <v>0</v>
      </c>
      <c r="J3601">
        <v>0</v>
      </c>
      <c r="K3601">
        <v>0</v>
      </c>
      <c r="L3601" t="s">
        <v>240</v>
      </c>
      <c r="M3601" t="s">
        <v>1398</v>
      </c>
      <c r="N3601">
        <v>1</v>
      </c>
      <c r="O3601" t="s">
        <v>1391</v>
      </c>
      <c r="P3601" t="s">
        <v>310</v>
      </c>
      <c r="Q3601" t="s">
        <v>310</v>
      </c>
      <c r="R3601" t="s">
        <v>310</v>
      </c>
      <c r="S3601">
        <v>9</v>
      </c>
      <c r="T3601" t="s">
        <v>310</v>
      </c>
      <c r="U3601">
        <v>9</v>
      </c>
      <c r="V3601">
        <v>9</v>
      </c>
      <c r="W3601">
        <v>0</v>
      </c>
      <c r="X3601">
        <v>0</v>
      </c>
      <c r="Y3601">
        <v>0</v>
      </c>
      <c r="Z3601">
        <v>0</v>
      </c>
      <c r="AA3601">
        <v>9</v>
      </c>
      <c r="AB3601">
        <v>9</v>
      </c>
      <c r="AC3601" t="s">
        <v>310</v>
      </c>
      <c r="AD3601">
        <v>9</v>
      </c>
      <c r="AE3601" t="s">
        <v>1388</v>
      </c>
      <c r="AF3601">
        <v>40000000</v>
      </c>
      <c r="AG3601" t="s">
        <v>310</v>
      </c>
      <c r="AH3601">
        <f>SUM((MID(Dyno_Data[[#This Row],[Team]],4,5))+(Dyno_Data[[#This Row],[Match]]/100))</f>
        <v>639.65</v>
      </c>
      <c r="AI3601" s="76">
        <f>ROUND(SUM(IF(Dyno_Data[[#This Row],[AcqCenter]]&gt;0,Dyno_Data[[#This Row],[Time]]-SUMIFS(Dyno_Data[Time],Dyno_Data[Team],Dyno_Data[[#This Row],[Team]],Dyno_Data[RecordType],"StartMatch",Dyno_Data[Match],Dyno_Data[[#This Row],[Match]]),0)*86400),0)</f>
        <v>0</v>
      </c>
    </row>
    <row r="3602" spans="1:35" x14ac:dyDescent="0.3">
      <c r="A3602">
        <v>3601</v>
      </c>
      <c r="B3602" t="s">
        <v>1310</v>
      </c>
      <c r="C3602">
        <v>65</v>
      </c>
      <c r="D3602" s="105">
        <v>45374.418534606484</v>
      </c>
      <c r="E3602" t="s">
        <v>312</v>
      </c>
      <c r="F3602" t="s">
        <v>1402</v>
      </c>
      <c r="G3602">
        <v>0</v>
      </c>
      <c r="H3602" t="s">
        <v>315</v>
      </c>
      <c r="I3602">
        <v>0</v>
      </c>
      <c r="J3602">
        <v>0</v>
      </c>
      <c r="K3602">
        <v>0</v>
      </c>
      <c r="L3602" t="s">
        <v>241</v>
      </c>
      <c r="M3602" t="s">
        <v>1398</v>
      </c>
      <c r="N3602">
        <v>0</v>
      </c>
      <c r="O3602" t="s">
        <v>1395</v>
      </c>
      <c r="P3602" t="s">
        <v>310</v>
      </c>
      <c r="Q3602" t="s">
        <v>310</v>
      </c>
      <c r="R3602" t="s">
        <v>310</v>
      </c>
      <c r="S3602">
        <v>9</v>
      </c>
      <c r="T3602" t="s">
        <v>310</v>
      </c>
      <c r="U3602">
        <v>9</v>
      </c>
      <c r="V3602">
        <v>9</v>
      </c>
      <c r="W3602">
        <v>0</v>
      </c>
      <c r="X3602">
        <v>0</v>
      </c>
      <c r="Y3602">
        <v>0</v>
      </c>
      <c r="Z3602">
        <v>0</v>
      </c>
      <c r="AA3602">
        <v>9</v>
      </c>
      <c r="AB3602">
        <v>9</v>
      </c>
      <c r="AC3602" t="s">
        <v>310</v>
      </c>
      <c r="AD3602">
        <v>9</v>
      </c>
      <c r="AE3602" t="s">
        <v>1414</v>
      </c>
      <c r="AF3602">
        <v>60000000</v>
      </c>
      <c r="AG3602" t="s">
        <v>310</v>
      </c>
      <c r="AH3602">
        <f>SUM((MID(Dyno_Data[[#This Row],[Team]],4,5))+(Dyno_Data[[#This Row],[Match]]/100))</f>
        <v>6621.65</v>
      </c>
      <c r="AI3602" s="76">
        <f>ROUND(SUM(IF(Dyno_Data[[#This Row],[AcqCenter]]&gt;0,Dyno_Data[[#This Row],[Time]]-SUMIFS(Dyno_Data[Time],Dyno_Data[Team],Dyno_Data[[#This Row],[Team]],Dyno_Data[RecordType],"StartMatch",Dyno_Data[Match],Dyno_Data[[#This Row],[Match]]),0)*86400),0)</f>
        <v>0</v>
      </c>
    </row>
    <row r="3603" spans="1:35" x14ac:dyDescent="0.3">
      <c r="A3603">
        <v>3602</v>
      </c>
      <c r="B3603" t="s">
        <v>365</v>
      </c>
      <c r="C3603">
        <v>65</v>
      </c>
      <c r="D3603" s="105">
        <v>45374.41856327546</v>
      </c>
      <c r="E3603" t="s">
        <v>312</v>
      </c>
      <c r="F3603" t="s">
        <v>1402</v>
      </c>
      <c r="G3603">
        <v>0</v>
      </c>
      <c r="H3603" t="s">
        <v>315</v>
      </c>
      <c r="I3603">
        <v>0</v>
      </c>
      <c r="J3603">
        <v>0</v>
      </c>
      <c r="K3603">
        <v>0</v>
      </c>
      <c r="L3603" t="s">
        <v>241</v>
      </c>
      <c r="M3603" t="s">
        <v>1398</v>
      </c>
      <c r="N3603">
        <v>0</v>
      </c>
      <c r="O3603" t="s">
        <v>319</v>
      </c>
      <c r="P3603" t="s">
        <v>310</v>
      </c>
      <c r="Q3603" t="s">
        <v>310</v>
      </c>
      <c r="R3603" t="s">
        <v>310</v>
      </c>
      <c r="S3603">
        <v>9</v>
      </c>
      <c r="T3603" t="s">
        <v>310</v>
      </c>
      <c r="U3603">
        <v>9</v>
      </c>
      <c r="V3603">
        <v>9</v>
      </c>
      <c r="W3603">
        <v>0</v>
      </c>
      <c r="X3603">
        <v>0</v>
      </c>
      <c r="Y3603">
        <v>0</v>
      </c>
      <c r="Z3603">
        <v>0</v>
      </c>
      <c r="AA3603">
        <v>9</v>
      </c>
      <c r="AB3603">
        <v>9</v>
      </c>
      <c r="AC3603" t="s">
        <v>310</v>
      </c>
      <c r="AD3603">
        <v>9</v>
      </c>
      <c r="AE3603" t="s">
        <v>1396</v>
      </c>
      <c r="AF3603">
        <v>60000000</v>
      </c>
      <c r="AG3603" t="s">
        <v>310</v>
      </c>
      <c r="AH3603">
        <f>SUM((MID(Dyno_Data[[#This Row],[Team]],4,5))+(Dyno_Data[[#This Row],[Match]]/100))</f>
        <v>3171.65</v>
      </c>
      <c r="AI3603" s="76">
        <f>ROUND(SUM(IF(Dyno_Data[[#This Row],[AcqCenter]]&gt;0,Dyno_Data[[#This Row],[Time]]-SUMIFS(Dyno_Data[Time],Dyno_Data[Team],Dyno_Data[[#This Row],[Team]],Dyno_Data[RecordType],"StartMatch",Dyno_Data[Match],Dyno_Data[[#This Row],[Match]]),0)*86400),0)</f>
        <v>0</v>
      </c>
    </row>
    <row r="3604" spans="1:35" x14ac:dyDescent="0.3">
      <c r="A3604">
        <v>3603</v>
      </c>
      <c r="B3604" t="s">
        <v>318</v>
      </c>
      <c r="C3604">
        <v>65</v>
      </c>
      <c r="D3604" s="105">
        <v>45374.418621643519</v>
      </c>
      <c r="E3604" t="s">
        <v>1403</v>
      </c>
      <c r="F3604" t="s">
        <v>1402</v>
      </c>
      <c r="G3604">
        <v>0</v>
      </c>
      <c r="H3604" t="s">
        <v>310</v>
      </c>
      <c r="I3604">
        <v>0</v>
      </c>
      <c r="J3604">
        <v>0</v>
      </c>
      <c r="K3604">
        <v>0</v>
      </c>
      <c r="L3604" t="s">
        <v>310</v>
      </c>
      <c r="M3604" t="s">
        <v>310</v>
      </c>
      <c r="N3604">
        <v>0</v>
      </c>
      <c r="O3604" t="s">
        <v>1391</v>
      </c>
      <c r="P3604" t="s">
        <v>310</v>
      </c>
      <c r="Q3604" t="s">
        <v>310</v>
      </c>
      <c r="R3604" t="s">
        <v>310</v>
      </c>
      <c r="S3604">
        <v>9</v>
      </c>
      <c r="T3604" t="s">
        <v>310</v>
      </c>
      <c r="U3604">
        <v>9</v>
      </c>
      <c r="V3604">
        <v>9</v>
      </c>
      <c r="W3604">
        <v>0</v>
      </c>
      <c r="X3604">
        <v>0</v>
      </c>
      <c r="Y3604">
        <v>0</v>
      </c>
      <c r="Z3604">
        <v>0</v>
      </c>
      <c r="AA3604">
        <v>9</v>
      </c>
      <c r="AB3604">
        <v>9</v>
      </c>
      <c r="AC3604" t="s">
        <v>310</v>
      </c>
      <c r="AD3604">
        <v>9</v>
      </c>
      <c r="AE3604" t="s">
        <v>1388</v>
      </c>
      <c r="AF3604">
        <v>60000000</v>
      </c>
      <c r="AG3604" t="s">
        <v>249</v>
      </c>
      <c r="AH3604">
        <f>SUM((MID(Dyno_Data[[#This Row],[Team]],4,5))+(Dyno_Data[[#This Row],[Match]]/100))</f>
        <v>639.65</v>
      </c>
      <c r="AI3604" s="76">
        <f>ROUND(SUM(IF(Dyno_Data[[#This Row],[AcqCenter]]&gt;0,Dyno_Data[[#This Row],[Time]]-SUMIFS(Dyno_Data[Time],Dyno_Data[Team],Dyno_Data[[#This Row],[Team]],Dyno_Data[RecordType],"StartMatch",Dyno_Data[Match],Dyno_Data[[#This Row],[Match]]),0)*86400),0)</f>
        <v>0</v>
      </c>
    </row>
    <row r="3605" spans="1:35" x14ac:dyDescent="0.3">
      <c r="A3605">
        <v>3604</v>
      </c>
      <c r="B3605" t="s">
        <v>1310</v>
      </c>
      <c r="C3605">
        <v>65</v>
      </c>
      <c r="D3605" s="105">
        <v>45374.418656863425</v>
      </c>
      <c r="E3605" t="s">
        <v>312</v>
      </c>
      <c r="F3605" t="s">
        <v>1402</v>
      </c>
      <c r="G3605">
        <v>0</v>
      </c>
      <c r="H3605" t="s">
        <v>315</v>
      </c>
      <c r="I3605">
        <v>0</v>
      </c>
      <c r="J3605">
        <v>0</v>
      </c>
      <c r="K3605">
        <v>0</v>
      </c>
      <c r="L3605" t="s">
        <v>241</v>
      </c>
      <c r="M3605" t="s">
        <v>1398</v>
      </c>
      <c r="N3605">
        <v>0</v>
      </c>
      <c r="O3605" t="s">
        <v>1395</v>
      </c>
      <c r="P3605" t="s">
        <v>310</v>
      </c>
      <c r="Q3605" t="s">
        <v>310</v>
      </c>
      <c r="R3605" t="s">
        <v>310</v>
      </c>
      <c r="S3605">
        <v>9</v>
      </c>
      <c r="T3605" t="s">
        <v>310</v>
      </c>
      <c r="U3605">
        <v>9</v>
      </c>
      <c r="V3605">
        <v>9</v>
      </c>
      <c r="W3605">
        <v>0</v>
      </c>
      <c r="X3605">
        <v>0</v>
      </c>
      <c r="Y3605">
        <v>0</v>
      </c>
      <c r="Z3605">
        <v>0</v>
      </c>
      <c r="AA3605">
        <v>9</v>
      </c>
      <c r="AB3605">
        <v>9</v>
      </c>
      <c r="AC3605" t="s">
        <v>310</v>
      </c>
      <c r="AD3605">
        <v>9</v>
      </c>
      <c r="AE3605" t="s">
        <v>1414</v>
      </c>
      <c r="AF3605">
        <v>70000000</v>
      </c>
      <c r="AG3605" t="s">
        <v>310</v>
      </c>
      <c r="AH3605">
        <f>SUM((MID(Dyno_Data[[#This Row],[Team]],4,5))+(Dyno_Data[[#This Row],[Match]]/100))</f>
        <v>6621.65</v>
      </c>
      <c r="AI3605" s="76">
        <f>ROUND(SUM(IF(Dyno_Data[[#This Row],[AcqCenter]]&gt;0,Dyno_Data[[#This Row],[Time]]-SUMIFS(Dyno_Data[Time],Dyno_Data[Team],Dyno_Data[[#This Row],[Team]],Dyno_Data[RecordType],"StartMatch",Dyno_Data[Match],Dyno_Data[[#This Row],[Match]]),0)*86400),0)</f>
        <v>0</v>
      </c>
    </row>
    <row r="3606" spans="1:35" x14ac:dyDescent="0.3">
      <c r="A3606">
        <v>3605</v>
      </c>
      <c r="B3606" t="s">
        <v>318</v>
      </c>
      <c r="C3606">
        <v>65</v>
      </c>
      <c r="D3606" s="105">
        <v>45374.418760613429</v>
      </c>
      <c r="E3606" t="s">
        <v>1403</v>
      </c>
      <c r="F3606" t="s">
        <v>1402</v>
      </c>
      <c r="G3606">
        <v>0</v>
      </c>
      <c r="H3606" t="s">
        <v>310</v>
      </c>
      <c r="I3606">
        <v>0</v>
      </c>
      <c r="J3606">
        <v>0</v>
      </c>
      <c r="K3606">
        <v>0</v>
      </c>
      <c r="L3606" t="s">
        <v>310</v>
      </c>
      <c r="M3606" t="s">
        <v>310</v>
      </c>
      <c r="N3606">
        <v>0</v>
      </c>
      <c r="O3606" t="s">
        <v>1391</v>
      </c>
      <c r="P3606" t="s">
        <v>310</v>
      </c>
      <c r="Q3606" t="s">
        <v>310</v>
      </c>
      <c r="R3606" t="s">
        <v>310</v>
      </c>
      <c r="S3606">
        <v>9</v>
      </c>
      <c r="T3606" t="s">
        <v>310</v>
      </c>
      <c r="U3606">
        <v>9</v>
      </c>
      <c r="V3606">
        <v>9</v>
      </c>
      <c r="W3606">
        <v>0</v>
      </c>
      <c r="X3606">
        <v>0</v>
      </c>
      <c r="Y3606">
        <v>0</v>
      </c>
      <c r="Z3606">
        <v>0</v>
      </c>
      <c r="AA3606">
        <v>9</v>
      </c>
      <c r="AB3606">
        <v>9</v>
      </c>
      <c r="AC3606" t="s">
        <v>310</v>
      </c>
      <c r="AD3606">
        <v>9</v>
      </c>
      <c r="AE3606" t="s">
        <v>1388</v>
      </c>
      <c r="AF3606">
        <v>70000000</v>
      </c>
      <c r="AG3606" t="s">
        <v>249</v>
      </c>
      <c r="AH3606">
        <f>SUM((MID(Dyno_Data[[#This Row],[Team]],4,5))+(Dyno_Data[[#This Row],[Match]]/100))</f>
        <v>639.65</v>
      </c>
      <c r="AI3606" s="76">
        <f>ROUND(SUM(IF(Dyno_Data[[#This Row],[AcqCenter]]&gt;0,Dyno_Data[[#This Row],[Time]]-SUMIFS(Dyno_Data[Time],Dyno_Data[Team],Dyno_Data[[#This Row],[Team]],Dyno_Data[RecordType],"StartMatch",Dyno_Data[Match],Dyno_Data[[#This Row],[Match]]),0)*86400),0)</f>
        <v>0</v>
      </c>
    </row>
    <row r="3607" spans="1:35" x14ac:dyDescent="0.3">
      <c r="A3607">
        <v>3606</v>
      </c>
      <c r="B3607" t="s">
        <v>1310</v>
      </c>
      <c r="C3607">
        <v>65</v>
      </c>
      <c r="D3607" s="105">
        <v>45374.418762002315</v>
      </c>
      <c r="E3607" t="s">
        <v>312</v>
      </c>
      <c r="F3607" t="s">
        <v>1402</v>
      </c>
      <c r="G3607">
        <v>0</v>
      </c>
      <c r="H3607" t="s">
        <v>315</v>
      </c>
      <c r="I3607">
        <v>0</v>
      </c>
      <c r="J3607">
        <v>0</v>
      </c>
      <c r="K3607">
        <v>0</v>
      </c>
      <c r="L3607" t="s">
        <v>241</v>
      </c>
      <c r="M3607" t="s">
        <v>1398</v>
      </c>
      <c r="N3607">
        <v>0</v>
      </c>
      <c r="O3607" t="s">
        <v>1395</v>
      </c>
      <c r="P3607" t="s">
        <v>310</v>
      </c>
      <c r="Q3607" t="s">
        <v>310</v>
      </c>
      <c r="R3607" t="s">
        <v>310</v>
      </c>
      <c r="S3607">
        <v>9</v>
      </c>
      <c r="T3607" t="s">
        <v>310</v>
      </c>
      <c r="U3607">
        <v>9</v>
      </c>
      <c r="V3607">
        <v>9</v>
      </c>
      <c r="W3607">
        <v>0</v>
      </c>
      <c r="X3607">
        <v>0</v>
      </c>
      <c r="Y3607">
        <v>0</v>
      </c>
      <c r="Z3607">
        <v>0</v>
      </c>
      <c r="AA3607">
        <v>9</v>
      </c>
      <c r="AB3607">
        <v>9</v>
      </c>
      <c r="AC3607" t="s">
        <v>310</v>
      </c>
      <c r="AD3607">
        <v>9</v>
      </c>
      <c r="AE3607" t="s">
        <v>1414</v>
      </c>
      <c r="AF3607">
        <v>80000000</v>
      </c>
      <c r="AG3607" t="s">
        <v>310</v>
      </c>
      <c r="AH3607">
        <f>SUM((MID(Dyno_Data[[#This Row],[Team]],4,5))+(Dyno_Data[[#This Row],[Match]]/100))</f>
        <v>6621.65</v>
      </c>
      <c r="AI3607" s="76">
        <f>ROUND(SUM(IF(Dyno_Data[[#This Row],[AcqCenter]]&gt;0,Dyno_Data[[#This Row],[Time]]-SUMIFS(Dyno_Data[Time],Dyno_Data[Team],Dyno_Data[[#This Row],[Team]],Dyno_Data[RecordType],"StartMatch",Dyno_Data[Match],Dyno_Data[[#This Row],[Match]]),0)*86400),0)</f>
        <v>0</v>
      </c>
    </row>
    <row r="3608" spans="1:35" x14ac:dyDescent="0.3">
      <c r="A3608">
        <v>3607</v>
      </c>
      <c r="B3608" t="s">
        <v>318</v>
      </c>
      <c r="C3608">
        <v>65</v>
      </c>
      <c r="D3608" s="105">
        <v>45374.418790474534</v>
      </c>
      <c r="E3608" t="s">
        <v>312</v>
      </c>
      <c r="F3608" t="s">
        <v>1402</v>
      </c>
      <c r="G3608">
        <v>0</v>
      </c>
      <c r="H3608" t="s">
        <v>315</v>
      </c>
      <c r="I3608">
        <v>0</v>
      </c>
      <c r="J3608">
        <v>0</v>
      </c>
      <c r="K3608">
        <v>0</v>
      </c>
      <c r="L3608" t="s">
        <v>240</v>
      </c>
      <c r="M3608" t="s">
        <v>1398</v>
      </c>
      <c r="N3608">
        <v>0</v>
      </c>
      <c r="O3608" t="s">
        <v>1391</v>
      </c>
      <c r="P3608" t="s">
        <v>310</v>
      </c>
      <c r="Q3608" t="s">
        <v>310</v>
      </c>
      <c r="R3608" t="s">
        <v>310</v>
      </c>
      <c r="S3608">
        <v>9</v>
      </c>
      <c r="T3608" t="s">
        <v>310</v>
      </c>
      <c r="U3608">
        <v>9</v>
      </c>
      <c r="V3608">
        <v>9</v>
      </c>
      <c r="W3608">
        <v>0</v>
      </c>
      <c r="X3608">
        <v>0</v>
      </c>
      <c r="Y3608">
        <v>0</v>
      </c>
      <c r="Z3608">
        <v>0</v>
      </c>
      <c r="AA3608">
        <v>9</v>
      </c>
      <c r="AB3608">
        <v>9</v>
      </c>
      <c r="AC3608" t="s">
        <v>310</v>
      </c>
      <c r="AD3608">
        <v>9</v>
      </c>
      <c r="AE3608" t="s">
        <v>1388</v>
      </c>
      <c r="AF3608">
        <v>50000000</v>
      </c>
      <c r="AG3608" t="s">
        <v>310</v>
      </c>
      <c r="AH3608">
        <f>SUM((MID(Dyno_Data[[#This Row],[Team]],4,5))+(Dyno_Data[[#This Row],[Match]]/100))</f>
        <v>639.65</v>
      </c>
      <c r="AI3608" s="76">
        <f>ROUND(SUM(IF(Dyno_Data[[#This Row],[AcqCenter]]&gt;0,Dyno_Data[[#This Row],[Time]]-SUMIFS(Dyno_Data[Time],Dyno_Data[Team],Dyno_Data[[#This Row],[Team]],Dyno_Data[RecordType],"StartMatch",Dyno_Data[Match],Dyno_Data[[#This Row],[Match]]),0)*86400),0)</f>
        <v>0</v>
      </c>
    </row>
    <row r="3609" spans="1:35" x14ac:dyDescent="0.3">
      <c r="A3609">
        <v>3608</v>
      </c>
      <c r="B3609" t="s">
        <v>365</v>
      </c>
      <c r="C3609">
        <v>65</v>
      </c>
      <c r="D3609" s="105">
        <v>45374.418829479167</v>
      </c>
      <c r="E3609" t="s">
        <v>312</v>
      </c>
      <c r="F3609" t="s">
        <v>1402</v>
      </c>
      <c r="G3609">
        <v>0</v>
      </c>
      <c r="H3609" t="s">
        <v>315</v>
      </c>
      <c r="I3609">
        <v>0</v>
      </c>
      <c r="J3609">
        <v>0</v>
      </c>
      <c r="K3609">
        <v>0</v>
      </c>
      <c r="L3609" t="s">
        <v>241</v>
      </c>
      <c r="M3609" t="s">
        <v>1398</v>
      </c>
      <c r="N3609">
        <v>0</v>
      </c>
      <c r="O3609" t="s">
        <v>319</v>
      </c>
      <c r="P3609" t="s">
        <v>310</v>
      </c>
      <c r="Q3609" t="s">
        <v>310</v>
      </c>
      <c r="R3609" t="s">
        <v>310</v>
      </c>
      <c r="S3609">
        <v>9</v>
      </c>
      <c r="T3609" t="s">
        <v>310</v>
      </c>
      <c r="U3609">
        <v>9</v>
      </c>
      <c r="V3609">
        <v>9</v>
      </c>
      <c r="W3609">
        <v>0</v>
      </c>
      <c r="X3609">
        <v>0</v>
      </c>
      <c r="Y3609">
        <v>0</v>
      </c>
      <c r="Z3609">
        <v>0</v>
      </c>
      <c r="AA3609">
        <v>9</v>
      </c>
      <c r="AB3609">
        <v>9</v>
      </c>
      <c r="AC3609" t="s">
        <v>310</v>
      </c>
      <c r="AD3609">
        <v>9</v>
      </c>
      <c r="AE3609" t="s">
        <v>1396</v>
      </c>
      <c r="AF3609">
        <v>70000000</v>
      </c>
      <c r="AG3609" t="s">
        <v>310</v>
      </c>
      <c r="AH3609">
        <f>SUM((MID(Dyno_Data[[#This Row],[Team]],4,5))+(Dyno_Data[[#This Row],[Match]]/100))</f>
        <v>3171.65</v>
      </c>
      <c r="AI3609" s="76">
        <f>ROUND(SUM(IF(Dyno_Data[[#This Row],[AcqCenter]]&gt;0,Dyno_Data[[#This Row],[Time]]-SUMIFS(Dyno_Data[Time],Dyno_Data[Team],Dyno_Data[[#This Row],[Team]],Dyno_Data[RecordType],"StartMatch",Dyno_Data[Match],Dyno_Data[[#This Row],[Match]]),0)*86400),0)</f>
        <v>0</v>
      </c>
    </row>
    <row r="3610" spans="1:35" x14ac:dyDescent="0.3">
      <c r="A3610">
        <v>3609</v>
      </c>
      <c r="B3610" t="s">
        <v>1310</v>
      </c>
      <c r="C3610">
        <v>65</v>
      </c>
      <c r="D3610" s="105">
        <v>45374.418963692129</v>
      </c>
      <c r="E3610" t="s">
        <v>312</v>
      </c>
      <c r="F3610" t="s">
        <v>1402</v>
      </c>
      <c r="G3610">
        <v>0</v>
      </c>
      <c r="H3610" t="s">
        <v>315</v>
      </c>
      <c r="I3610">
        <v>0</v>
      </c>
      <c r="J3610">
        <v>0</v>
      </c>
      <c r="K3610">
        <v>0</v>
      </c>
      <c r="L3610" t="s">
        <v>241</v>
      </c>
      <c r="M3610" t="s">
        <v>1398</v>
      </c>
      <c r="N3610">
        <v>0</v>
      </c>
      <c r="O3610" t="s">
        <v>1395</v>
      </c>
      <c r="P3610" t="s">
        <v>310</v>
      </c>
      <c r="Q3610" t="s">
        <v>310</v>
      </c>
      <c r="R3610" t="s">
        <v>310</v>
      </c>
      <c r="S3610">
        <v>9</v>
      </c>
      <c r="T3610" t="s">
        <v>310</v>
      </c>
      <c r="U3610">
        <v>9</v>
      </c>
      <c r="V3610">
        <v>9</v>
      </c>
      <c r="W3610">
        <v>0</v>
      </c>
      <c r="X3610">
        <v>0</v>
      </c>
      <c r="Y3610">
        <v>0</v>
      </c>
      <c r="Z3610">
        <v>0</v>
      </c>
      <c r="AA3610">
        <v>9</v>
      </c>
      <c r="AB3610">
        <v>9</v>
      </c>
      <c r="AC3610" t="s">
        <v>310</v>
      </c>
      <c r="AD3610">
        <v>9</v>
      </c>
      <c r="AE3610" t="s">
        <v>1414</v>
      </c>
      <c r="AF3610">
        <v>90000000</v>
      </c>
      <c r="AG3610" t="s">
        <v>310</v>
      </c>
      <c r="AH3610">
        <f>SUM((MID(Dyno_Data[[#This Row],[Team]],4,5))+(Dyno_Data[[#This Row],[Match]]/100))</f>
        <v>6621.65</v>
      </c>
      <c r="AI3610" s="76">
        <f>ROUND(SUM(IF(Dyno_Data[[#This Row],[AcqCenter]]&gt;0,Dyno_Data[[#This Row],[Time]]-SUMIFS(Dyno_Data[Time],Dyno_Data[Team],Dyno_Data[[#This Row],[Team]],Dyno_Data[RecordType],"StartMatch",Dyno_Data[Match],Dyno_Data[[#This Row],[Match]]),0)*86400),0)</f>
        <v>0</v>
      </c>
    </row>
    <row r="3611" spans="1:35" x14ac:dyDescent="0.3">
      <c r="A3611">
        <v>3610</v>
      </c>
      <c r="B3611" t="s">
        <v>365</v>
      </c>
      <c r="C3611">
        <v>65</v>
      </c>
      <c r="D3611" s="105">
        <v>45374.419045451388</v>
      </c>
      <c r="E3611" t="s">
        <v>312</v>
      </c>
      <c r="F3611" t="s">
        <v>1402</v>
      </c>
      <c r="G3611">
        <v>0</v>
      </c>
      <c r="H3611" t="s">
        <v>315</v>
      </c>
      <c r="I3611">
        <v>0</v>
      </c>
      <c r="J3611">
        <v>0</v>
      </c>
      <c r="K3611">
        <v>0</v>
      </c>
      <c r="L3611" t="s">
        <v>241</v>
      </c>
      <c r="M3611" t="s">
        <v>1398</v>
      </c>
      <c r="N3611">
        <v>1</v>
      </c>
      <c r="O3611" t="s">
        <v>319</v>
      </c>
      <c r="P3611" t="s">
        <v>310</v>
      </c>
      <c r="Q3611" t="s">
        <v>310</v>
      </c>
      <c r="R3611" t="s">
        <v>310</v>
      </c>
      <c r="S3611">
        <v>9</v>
      </c>
      <c r="T3611" t="s">
        <v>310</v>
      </c>
      <c r="U3611">
        <v>9</v>
      </c>
      <c r="V3611">
        <v>9</v>
      </c>
      <c r="W3611">
        <v>0</v>
      </c>
      <c r="X3611">
        <v>0</v>
      </c>
      <c r="Y3611">
        <v>0</v>
      </c>
      <c r="Z3611">
        <v>0</v>
      </c>
      <c r="AA3611">
        <v>9</v>
      </c>
      <c r="AB3611">
        <v>9</v>
      </c>
      <c r="AC3611" t="s">
        <v>310</v>
      </c>
      <c r="AD3611">
        <v>9</v>
      </c>
      <c r="AE3611" t="s">
        <v>1396</v>
      </c>
      <c r="AF3611">
        <v>80000000</v>
      </c>
      <c r="AG3611" t="s">
        <v>310</v>
      </c>
      <c r="AH3611">
        <f>SUM((MID(Dyno_Data[[#This Row],[Team]],4,5))+(Dyno_Data[[#This Row],[Match]]/100))</f>
        <v>3171.65</v>
      </c>
      <c r="AI3611" s="76">
        <f>ROUND(SUM(IF(Dyno_Data[[#This Row],[AcqCenter]]&gt;0,Dyno_Data[[#This Row],[Time]]-SUMIFS(Dyno_Data[Time],Dyno_Data[Team],Dyno_Data[[#This Row],[Team]],Dyno_Data[RecordType],"StartMatch",Dyno_Data[Match],Dyno_Data[[#This Row],[Match]]),0)*86400),0)</f>
        <v>0</v>
      </c>
    </row>
    <row r="3612" spans="1:35" x14ac:dyDescent="0.3">
      <c r="A3612">
        <v>3611</v>
      </c>
      <c r="B3612" t="s">
        <v>318</v>
      </c>
      <c r="C3612">
        <v>65</v>
      </c>
      <c r="D3612" s="105">
        <v>45374.419063159723</v>
      </c>
      <c r="E3612" t="s">
        <v>312</v>
      </c>
      <c r="F3612" t="s">
        <v>1402</v>
      </c>
      <c r="G3612">
        <v>0</v>
      </c>
      <c r="H3612" t="s">
        <v>315</v>
      </c>
      <c r="I3612">
        <v>0</v>
      </c>
      <c r="J3612">
        <v>0</v>
      </c>
      <c r="K3612">
        <v>0</v>
      </c>
      <c r="L3612" t="s">
        <v>240</v>
      </c>
      <c r="M3612" t="s">
        <v>1398</v>
      </c>
      <c r="N3612">
        <v>0</v>
      </c>
      <c r="O3612" t="s">
        <v>1391</v>
      </c>
      <c r="P3612" t="s">
        <v>310</v>
      </c>
      <c r="Q3612" t="s">
        <v>310</v>
      </c>
      <c r="R3612" t="s">
        <v>310</v>
      </c>
      <c r="S3612">
        <v>9</v>
      </c>
      <c r="T3612" t="s">
        <v>310</v>
      </c>
      <c r="U3612">
        <v>9</v>
      </c>
      <c r="V3612">
        <v>9</v>
      </c>
      <c r="W3612">
        <v>0</v>
      </c>
      <c r="X3612">
        <v>0</v>
      </c>
      <c r="Y3612">
        <v>0</v>
      </c>
      <c r="Z3612">
        <v>0</v>
      </c>
      <c r="AA3612">
        <v>9</v>
      </c>
      <c r="AB3612">
        <v>9</v>
      </c>
      <c r="AC3612" t="s">
        <v>310</v>
      </c>
      <c r="AD3612">
        <v>9</v>
      </c>
      <c r="AE3612" t="s">
        <v>1388</v>
      </c>
      <c r="AF3612">
        <v>60000000</v>
      </c>
      <c r="AG3612" t="s">
        <v>310</v>
      </c>
      <c r="AH3612">
        <f>SUM((MID(Dyno_Data[[#This Row],[Team]],4,5))+(Dyno_Data[[#This Row],[Match]]/100))</f>
        <v>639.65</v>
      </c>
      <c r="AI3612" s="76">
        <f>ROUND(SUM(IF(Dyno_Data[[#This Row],[AcqCenter]]&gt;0,Dyno_Data[[#This Row],[Time]]-SUMIFS(Dyno_Data[Time],Dyno_Data[Team],Dyno_Data[[#This Row],[Team]],Dyno_Data[RecordType],"StartMatch",Dyno_Data[Match],Dyno_Data[[#This Row],[Match]]),0)*86400),0)</f>
        <v>0</v>
      </c>
    </row>
    <row r="3613" spans="1:35" x14ac:dyDescent="0.3">
      <c r="A3613">
        <v>3612</v>
      </c>
      <c r="B3613" t="s">
        <v>1310</v>
      </c>
      <c r="C3613">
        <v>65</v>
      </c>
      <c r="D3613" s="105">
        <v>45374.419115937497</v>
      </c>
      <c r="E3613" t="s">
        <v>312</v>
      </c>
      <c r="F3613" t="s">
        <v>1402</v>
      </c>
      <c r="G3613">
        <v>0</v>
      </c>
      <c r="H3613" t="s">
        <v>315</v>
      </c>
      <c r="I3613">
        <v>0</v>
      </c>
      <c r="J3613">
        <v>0</v>
      </c>
      <c r="K3613">
        <v>0</v>
      </c>
      <c r="L3613" t="s">
        <v>241</v>
      </c>
      <c r="M3613" t="s">
        <v>1398</v>
      </c>
      <c r="N3613">
        <v>0</v>
      </c>
      <c r="O3613" t="s">
        <v>1395</v>
      </c>
      <c r="P3613" t="s">
        <v>310</v>
      </c>
      <c r="Q3613" t="s">
        <v>310</v>
      </c>
      <c r="R3613" t="s">
        <v>310</v>
      </c>
      <c r="S3613">
        <v>9</v>
      </c>
      <c r="T3613" t="s">
        <v>310</v>
      </c>
      <c r="U3613">
        <v>9</v>
      </c>
      <c r="V3613">
        <v>9</v>
      </c>
      <c r="W3613">
        <v>0</v>
      </c>
      <c r="X3613">
        <v>0</v>
      </c>
      <c r="Y3613">
        <v>0</v>
      </c>
      <c r="Z3613">
        <v>0</v>
      </c>
      <c r="AA3613">
        <v>9</v>
      </c>
      <c r="AB3613">
        <v>9</v>
      </c>
      <c r="AC3613" t="s">
        <v>310</v>
      </c>
      <c r="AD3613">
        <v>9</v>
      </c>
      <c r="AE3613" t="s">
        <v>1414</v>
      </c>
      <c r="AF3613">
        <v>100000000</v>
      </c>
      <c r="AG3613" t="s">
        <v>310</v>
      </c>
      <c r="AH3613">
        <f>SUM((MID(Dyno_Data[[#This Row],[Team]],4,5))+(Dyno_Data[[#This Row],[Match]]/100))</f>
        <v>6621.65</v>
      </c>
      <c r="AI3613" s="76">
        <f>ROUND(SUM(IF(Dyno_Data[[#This Row],[AcqCenter]]&gt;0,Dyno_Data[[#This Row],[Time]]-SUMIFS(Dyno_Data[Time],Dyno_Data[Team],Dyno_Data[[#This Row],[Team]],Dyno_Data[RecordType],"StartMatch",Dyno_Data[Match],Dyno_Data[[#This Row],[Match]]),0)*86400),0)</f>
        <v>0</v>
      </c>
    </row>
    <row r="3614" spans="1:35" x14ac:dyDescent="0.3">
      <c r="A3614">
        <v>3613</v>
      </c>
      <c r="B3614" t="s">
        <v>1282</v>
      </c>
      <c r="C3614">
        <v>65</v>
      </c>
      <c r="D3614" s="105">
        <v>45374.419157986114</v>
      </c>
      <c r="E3614" t="s">
        <v>312</v>
      </c>
      <c r="F3614" t="s">
        <v>1402</v>
      </c>
      <c r="G3614">
        <v>0</v>
      </c>
      <c r="H3614" t="s">
        <v>315</v>
      </c>
      <c r="I3614">
        <v>0</v>
      </c>
      <c r="J3614">
        <v>0</v>
      </c>
      <c r="K3614">
        <v>0</v>
      </c>
      <c r="L3614" t="s">
        <v>241</v>
      </c>
      <c r="M3614" t="s">
        <v>1398</v>
      </c>
      <c r="N3614">
        <v>0</v>
      </c>
      <c r="O3614" t="s">
        <v>311</v>
      </c>
      <c r="P3614" t="s">
        <v>310</v>
      </c>
      <c r="Q3614" t="s">
        <v>310</v>
      </c>
      <c r="R3614" t="s">
        <v>310</v>
      </c>
      <c r="S3614">
        <v>9</v>
      </c>
      <c r="T3614" t="s">
        <v>310</v>
      </c>
      <c r="U3614">
        <v>9</v>
      </c>
      <c r="V3614">
        <v>9</v>
      </c>
      <c r="W3614">
        <v>0</v>
      </c>
      <c r="X3614">
        <v>0</v>
      </c>
      <c r="Y3614">
        <v>0</v>
      </c>
      <c r="Z3614">
        <v>0</v>
      </c>
      <c r="AA3614">
        <v>9</v>
      </c>
      <c r="AB3614">
        <v>9</v>
      </c>
      <c r="AC3614" t="s">
        <v>310</v>
      </c>
      <c r="AD3614">
        <v>9</v>
      </c>
      <c r="AE3614" t="s">
        <v>1390</v>
      </c>
      <c r="AF3614">
        <v>40000000</v>
      </c>
      <c r="AG3614" t="s">
        <v>310</v>
      </c>
      <c r="AH3614">
        <f>SUM((MID(Dyno_Data[[#This Row],[Team]],4,5))+(Dyno_Data[[#This Row],[Match]]/100))</f>
        <v>333.65</v>
      </c>
      <c r="AI3614" s="76">
        <f>ROUND(SUM(IF(Dyno_Data[[#This Row],[AcqCenter]]&gt;0,Dyno_Data[[#This Row],[Time]]-SUMIFS(Dyno_Data[Time],Dyno_Data[Team],Dyno_Data[[#This Row],[Team]],Dyno_Data[RecordType],"StartMatch",Dyno_Data[Match],Dyno_Data[[#This Row],[Match]]),0)*86400),0)</f>
        <v>0</v>
      </c>
    </row>
    <row r="3615" spans="1:35" x14ac:dyDescent="0.3">
      <c r="A3615">
        <v>3614</v>
      </c>
      <c r="B3615" t="s">
        <v>318</v>
      </c>
      <c r="C3615">
        <v>65</v>
      </c>
      <c r="D3615" s="105">
        <v>45374.419173182869</v>
      </c>
      <c r="E3615" t="s">
        <v>312</v>
      </c>
      <c r="F3615" t="s">
        <v>1402</v>
      </c>
      <c r="G3615">
        <v>0</v>
      </c>
      <c r="H3615" t="s">
        <v>315</v>
      </c>
      <c r="I3615">
        <v>0</v>
      </c>
      <c r="J3615">
        <v>0</v>
      </c>
      <c r="K3615">
        <v>0</v>
      </c>
      <c r="L3615" t="s">
        <v>240</v>
      </c>
      <c r="M3615" t="s">
        <v>1398</v>
      </c>
      <c r="N3615">
        <v>1</v>
      </c>
      <c r="O3615" t="s">
        <v>1391</v>
      </c>
      <c r="P3615" t="s">
        <v>310</v>
      </c>
      <c r="Q3615" t="s">
        <v>310</v>
      </c>
      <c r="R3615" t="s">
        <v>310</v>
      </c>
      <c r="S3615">
        <v>9</v>
      </c>
      <c r="T3615" t="s">
        <v>310</v>
      </c>
      <c r="U3615">
        <v>9</v>
      </c>
      <c r="V3615">
        <v>9</v>
      </c>
      <c r="W3615">
        <v>0</v>
      </c>
      <c r="X3615">
        <v>0</v>
      </c>
      <c r="Y3615">
        <v>0</v>
      </c>
      <c r="Z3615">
        <v>0</v>
      </c>
      <c r="AA3615">
        <v>9</v>
      </c>
      <c r="AB3615">
        <v>9</v>
      </c>
      <c r="AC3615" t="s">
        <v>310</v>
      </c>
      <c r="AD3615">
        <v>9</v>
      </c>
      <c r="AE3615" t="s">
        <v>1388</v>
      </c>
      <c r="AF3615">
        <v>70000000</v>
      </c>
      <c r="AG3615" t="s">
        <v>310</v>
      </c>
      <c r="AH3615">
        <f>SUM((MID(Dyno_Data[[#This Row],[Team]],4,5))+(Dyno_Data[[#This Row],[Match]]/100))</f>
        <v>639.65</v>
      </c>
      <c r="AI3615" s="76">
        <f>ROUND(SUM(IF(Dyno_Data[[#This Row],[AcqCenter]]&gt;0,Dyno_Data[[#This Row],[Time]]-SUMIFS(Dyno_Data[Time],Dyno_Data[Team],Dyno_Data[[#This Row],[Team]],Dyno_Data[RecordType],"StartMatch",Dyno_Data[Match],Dyno_Data[[#This Row],[Match]]),0)*86400),0)</f>
        <v>0</v>
      </c>
    </row>
    <row r="3616" spans="1:35" x14ac:dyDescent="0.3">
      <c r="A3616">
        <v>3615</v>
      </c>
      <c r="B3616" t="s">
        <v>1292</v>
      </c>
      <c r="C3616">
        <v>65</v>
      </c>
      <c r="D3616" s="105">
        <v>45374.419251307867</v>
      </c>
      <c r="E3616" t="s">
        <v>1403</v>
      </c>
      <c r="F3616" t="s">
        <v>1402</v>
      </c>
      <c r="G3616">
        <v>0</v>
      </c>
      <c r="H3616" t="s">
        <v>310</v>
      </c>
      <c r="I3616">
        <v>0</v>
      </c>
      <c r="J3616">
        <v>0</v>
      </c>
      <c r="K3616">
        <v>0</v>
      </c>
      <c r="L3616" t="s">
        <v>310</v>
      </c>
      <c r="M3616" t="s">
        <v>310</v>
      </c>
      <c r="N3616">
        <v>0</v>
      </c>
      <c r="O3616" t="s">
        <v>1389</v>
      </c>
      <c r="P3616" t="s">
        <v>310</v>
      </c>
      <c r="Q3616" t="s">
        <v>310</v>
      </c>
      <c r="R3616" t="s">
        <v>310</v>
      </c>
      <c r="S3616">
        <v>9</v>
      </c>
      <c r="T3616" t="s">
        <v>310</v>
      </c>
      <c r="U3616">
        <v>9</v>
      </c>
      <c r="V3616">
        <v>9</v>
      </c>
      <c r="W3616">
        <v>0</v>
      </c>
      <c r="X3616">
        <v>0</v>
      </c>
      <c r="Y3616">
        <v>0</v>
      </c>
      <c r="Z3616">
        <v>0</v>
      </c>
      <c r="AA3616">
        <v>9</v>
      </c>
      <c r="AB3616">
        <v>9</v>
      </c>
      <c r="AC3616" t="s">
        <v>310</v>
      </c>
      <c r="AD3616">
        <v>9</v>
      </c>
      <c r="AE3616" t="s">
        <v>1413</v>
      </c>
      <c r="AF3616">
        <v>70000000</v>
      </c>
      <c r="AG3616" t="s">
        <v>249</v>
      </c>
      <c r="AH3616">
        <f>SUM((MID(Dyno_Data[[#This Row],[Team]],4,5))+(Dyno_Data[[#This Row],[Match]]/100))</f>
        <v>7030.65</v>
      </c>
      <c r="AI3616" s="76">
        <f>ROUND(SUM(IF(Dyno_Data[[#This Row],[AcqCenter]]&gt;0,Dyno_Data[[#This Row],[Time]]-SUMIFS(Dyno_Data[Time],Dyno_Data[Team],Dyno_Data[[#This Row],[Team]],Dyno_Data[RecordType],"StartMatch",Dyno_Data[Match],Dyno_Data[[#This Row],[Match]]),0)*86400),0)</f>
        <v>0</v>
      </c>
    </row>
    <row r="3617" spans="1:35" x14ac:dyDescent="0.3">
      <c r="A3617">
        <v>3616</v>
      </c>
      <c r="B3617" t="s">
        <v>365</v>
      </c>
      <c r="C3617">
        <v>65</v>
      </c>
      <c r="D3617" s="105">
        <v>45374.41930991898</v>
      </c>
      <c r="E3617" t="s">
        <v>312</v>
      </c>
      <c r="F3617" t="s">
        <v>1402</v>
      </c>
      <c r="G3617">
        <v>0</v>
      </c>
      <c r="H3617" t="s">
        <v>315</v>
      </c>
      <c r="I3617">
        <v>0</v>
      </c>
      <c r="J3617">
        <v>0</v>
      </c>
      <c r="K3617">
        <v>0</v>
      </c>
      <c r="L3617" t="s">
        <v>241</v>
      </c>
      <c r="M3617" t="s">
        <v>1398</v>
      </c>
      <c r="N3617">
        <v>0</v>
      </c>
      <c r="O3617" t="s">
        <v>319</v>
      </c>
      <c r="P3617" t="s">
        <v>310</v>
      </c>
      <c r="Q3617" t="s">
        <v>310</v>
      </c>
      <c r="R3617" t="s">
        <v>310</v>
      </c>
      <c r="S3617">
        <v>9</v>
      </c>
      <c r="T3617" t="s">
        <v>310</v>
      </c>
      <c r="U3617">
        <v>9</v>
      </c>
      <c r="V3617">
        <v>9</v>
      </c>
      <c r="W3617">
        <v>0</v>
      </c>
      <c r="X3617">
        <v>0</v>
      </c>
      <c r="Y3617">
        <v>0</v>
      </c>
      <c r="Z3617">
        <v>0</v>
      </c>
      <c r="AA3617">
        <v>9</v>
      </c>
      <c r="AB3617">
        <v>9</v>
      </c>
      <c r="AC3617" t="s">
        <v>310</v>
      </c>
      <c r="AD3617">
        <v>9</v>
      </c>
      <c r="AE3617" t="s">
        <v>1396</v>
      </c>
      <c r="AF3617">
        <v>90000000</v>
      </c>
      <c r="AG3617" t="s">
        <v>310</v>
      </c>
      <c r="AH3617">
        <f>SUM((MID(Dyno_Data[[#This Row],[Team]],4,5))+(Dyno_Data[[#This Row],[Match]]/100))</f>
        <v>3171.65</v>
      </c>
      <c r="AI3617" s="76">
        <f>ROUND(SUM(IF(Dyno_Data[[#This Row],[AcqCenter]]&gt;0,Dyno_Data[[#This Row],[Time]]-SUMIFS(Dyno_Data[Time],Dyno_Data[Team],Dyno_Data[[#This Row],[Team]],Dyno_Data[RecordType],"StartMatch",Dyno_Data[Match],Dyno_Data[[#This Row],[Match]]),0)*86400),0)</f>
        <v>0</v>
      </c>
    </row>
    <row r="3618" spans="1:35" x14ac:dyDescent="0.3">
      <c r="A3618">
        <v>3617</v>
      </c>
      <c r="B3618" t="s">
        <v>318</v>
      </c>
      <c r="C3618">
        <v>65</v>
      </c>
      <c r="D3618" s="105">
        <v>45374.419317395834</v>
      </c>
      <c r="E3618" t="s">
        <v>312</v>
      </c>
      <c r="F3618" t="s">
        <v>1402</v>
      </c>
      <c r="G3618">
        <v>0</v>
      </c>
      <c r="H3618" t="s">
        <v>315</v>
      </c>
      <c r="I3618">
        <v>0</v>
      </c>
      <c r="J3618">
        <v>0</v>
      </c>
      <c r="K3618">
        <v>0</v>
      </c>
      <c r="L3618" t="s">
        <v>240</v>
      </c>
      <c r="M3618" t="s">
        <v>1398</v>
      </c>
      <c r="N3618">
        <v>0</v>
      </c>
      <c r="O3618" t="s">
        <v>1391</v>
      </c>
      <c r="P3618" t="s">
        <v>310</v>
      </c>
      <c r="Q3618" t="s">
        <v>310</v>
      </c>
      <c r="R3618" t="s">
        <v>310</v>
      </c>
      <c r="S3618">
        <v>9</v>
      </c>
      <c r="T3618" t="s">
        <v>310</v>
      </c>
      <c r="U3618">
        <v>9</v>
      </c>
      <c r="V3618">
        <v>9</v>
      </c>
      <c r="W3618">
        <v>0</v>
      </c>
      <c r="X3618">
        <v>0</v>
      </c>
      <c r="Y3618">
        <v>0</v>
      </c>
      <c r="Z3618">
        <v>0</v>
      </c>
      <c r="AA3618">
        <v>9</v>
      </c>
      <c r="AB3618">
        <v>9</v>
      </c>
      <c r="AC3618" t="s">
        <v>310</v>
      </c>
      <c r="AD3618">
        <v>9</v>
      </c>
      <c r="AE3618" t="s">
        <v>1388</v>
      </c>
      <c r="AF3618">
        <v>80000000</v>
      </c>
      <c r="AG3618" t="s">
        <v>310</v>
      </c>
      <c r="AH3618">
        <f>SUM((MID(Dyno_Data[[#This Row],[Team]],4,5))+(Dyno_Data[[#This Row],[Match]]/100))</f>
        <v>639.65</v>
      </c>
      <c r="AI3618" s="76">
        <f>ROUND(SUM(IF(Dyno_Data[[#This Row],[AcqCenter]]&gt;0,Dyno_Data[[#This Row],[Time]]-SUMIFS(Dyno_Data[Time],Dyno_Data[Team],Dyno_Data[[#This Row],[Team]],Dyno_Data[RecordType],"StartMatch",Dyno_Data[Match],Dyno_Data[[#This Row],[Match]]),0)*86400),0)</f>
        <v>0</v>
      </c>
    </row>
    <row r="3619" spans="1:35" x14ac:dyDescent="0.3">
      <c r="A3619">
        <v>3618</v>
      </c>
      <c r="B3619" t="s">
        <v>1310</v>
      </c>
      <c r="C3619">
        <v>65</v>
      </c>
      <c r="D3619" s="105">
        <v>45374.41932685185</v>
      </c>
      <c r="E3619" t="s">
        <v>312</v>
      </c>
      <c r="F3619" t="s">
        <v>1402</v>
      </c>
      <c r="G3619">
        <v>0</v>
      </c>
      <c r="H3619" t="s">
        <v>315</v>
      </c>
      <c r="I3619">
        <v>0</v>
      </c>
      <c r="J3619">
        <v>0</v>
      </c>
      <c r="K3619">
        <v>0</v>
      </c>
      <c r="L3619" t="s">
        <v>241</v>
      </c>
      <c r="M3619" t="s">
        <v>1398</v>
      </c>
      <c r="N3619">
        <v>0</v>
      </c>
      <c r="O3619" t="s">
        <v>1395</v>
      </c>
      <c r="P3619" t="s">
        <v>310</v>
      </c>
      <c r="Q3619" t="s">
        <v>310</v>
      </c>
      <c r="R3619" t="s">
        <v>310</v>
      </c>
      <c r="S3619">
        <v>9</v>
      </c>
      <c r="T3619" t="s">
        <v>310</v>
      </c>
      <c r="U3619">
        <v>9</v>
      </c>
      <c r="V3619">
        <v>9</v>
      </c>
      <c r="W3619">
        <v>0</v>
      </c>
      <c r="X3619">
        <v>0</v>
      </c>
      <c r="Y3619">
        <v>0</v>
      </c>
      <c r="Z3619">
        <v>0</v>
      </c>
      <c r="AA3619">
        <v>9</v>
      </c>
      <c r="AB3619">
        <v>9</v>
      </c>
      <c r="AC3619" t="s">
        <v>310</v>
      </c>
      <c r="AD3619">
        <v>9</v>
      </c>
      <c r="AE3619" t="s">
        <v>1414</v>
      </c>
      <c r="AF3619">
        <v>110000000</v>
      </c>
      <c r="AG3619" t="s">
        <v>310</v>
      </c>
      <c r="AH3619">
        <f>SUM((MID(Dyno_Data[[#This Row],[Team]],4,5))+(Dyno_Data[[#This Row],[Match]]/100))</f>
        <v>6621.65</v>
      </c>
      <c r="AI3619" s="76">
        <f>ROUND(SUM(IF(Dyno_Data[[#This Row],[AcqCenter]]&gt;0,Dyno_Data[[#This Row],[Time]]-SUMIFS(Dyno_Data[Time],Dyno_Data[Team],Dyno_Data[[#This Row],[Team]],Dyno_Data[RecordType],"StartMatch",Dyno_Data[Match],Dyno_Data[[#This Row],[Match]]),0)*86400),0)</f>
        <v>0</v>
      </c>
    </row>
    <row r="3620" spans="1:35" x14ac:dyDescent="0.3">
      <c r="A3620">
        <v>3619</v>
      </c>
      <c r="B3620" t="s">
        <v>1282</v>
      </c>
      <c r="C3620">
        <v>65</v>
      </c>
      <c r="D3620" s="105">
        <v>45374.419373032404</v>
      </c>
      <c r="E3620" t="s">
        <v>312</v>
      </c>
      <c r="F3620" t="s">
        <v>1402</v>
      </c>
      <c r="G3620">
        <v>0</v>
      </c>
      <c r="H3620" t="s">
        <v>315</v>
      </c>
      <c r="I3620">
        <v>0</v>
      </c>
      <c r="J3620">
        <v>0</v>
      </c>
      <c r="K3620">
        <v>0</v>
      </c>
      <c r="L3620" t="s">
        <v>241</v>
      </c>
      <c r="M3620" t="s">
        <v>1398</v>
      </c>
      <c r="N3620">
        <v>0</v>
      </c>
      <c r="O3620" t="s">
        <v>311</v>
      </c>
      <c r="P3620" t="s">
        <v>310</v>
      </c>
      <c r="Q3620" t="s">
        <v>310</v>
      </c>
      <c r="R3620" t="s">
        <v>310</v>
      </c>
      <c r="S3620">
        <v>9</v>
      </c>
      <c r="T3620" t="s">
        <v>310</v>
      </c>
      <c r="U3620">
        <v>9</v>
      </c>
      <c r="V3620">
        <v>9</v>
      </c>
      <c r="W3620">
        <v>0</v>
      </c>
      <c r="X3620">
        <v>0</v>
      </c>
      <c r="Y3620">
        <v>0</v>
      </c>
      <c r="Z3620">
        <v>0</v>
      </c>
      <c r="AA3620">
        <v>9</v>
      </c>
      <c r="AB3620">
        <v>9</v>
      </c>
      <c r="AC3620" t="s">
        <v>310</v>
      </c>
      <c r="AD3620">
        <v>9</v>
      </c>
      <c r="AE3620" t="s">
        <v>1390</v>
      </c>
      <c r="AF3620">
        <v>50000000</v>
      </c>
      <c r="AG3620" t="s">
        <v>310</v>
      </c>
      <c r="AH3620">
        <f>SUM((MID(Dyno_Data[[#This Row],[Team]],4,5))+(Dyno_Data[[#This Row],[Match]]/100))</f>
        <v>333.65</v>
      </c>
      <c r="AI3620" s="76">
        <f>ROUND(SUM(IF(Dyno_Data[[#This Row],[AcqCenter]]&gt;0,Dyno_Data[[#This Row],[Time]]-SUMIFS(Dyno_Data[Time],Dyno_Data[Team],Dyno_Data[[#This Row],[Team]],Dyno_Data[RecordType],"StartMatch",Dyno_Data[Match],Dyno_Data[[#This Row],[Match]]),0)*86400),0)</f>
        <v>0</v>
      </c>
    </row>
    <row r="3621" spans="1:35" x14ac:dyDescent="0.3">
      <c r="A3621">
        <v>3620</v>
      </c>
      <c r="B3621" t="s">
        <v>1282</v>
      </c>
      <c r="C3621">
        <v>65</v>
      </c>
      <c r="D3621" s="105">
        <v>45374.41990601852</v>
      </c>
      <c r="E3621" t="s">
        <v>316</v>
      </c>
      <c r="F3621" t="s">
        <v>317</v>
      </c>
      <c r="G3621">
        <v>1</v>
      </c>
      <c r="H3621" t="s">
        <v>310</v>
      </c>
      <c r="I3621">
        <v>0</v>
      </c>
      <c r="J3621">
        <v>0</v>
      </c>
      <c r="K3621">
        <v>0</v>
      </c>
      <c r="L3621" t="s">
        <v>310</v>
      </c>
      <c r="M3621" t="s">
        <v>310</v>
      </c>
      <c r="N3621">
        <v>0</v>
      </c>
      <c r="O3621" t="s">
        <v>311</v>
      </c>
      <c r="P3621" t="s">
        <v>1401</v>
      </c>
      <c r="Q3621" t="s">
        <v>1400</v>
      </c>
      <c r="R3621" t="s">
        <v>1404</v>
      </c>
      <c r="S3621">
        <v>0</v>
      </c>
      <c r="T3621" t="s">
        <v>105</v>
      </c>
      <c r="U3621">
        <v>9</v>
      </c>
      <c r="V3621">
        <v>9</v>
      </c>
      <c r="W3621">
        <v>0</v>
      </c>
      <c r="X3621">
        <v>28.9619556</v>
      </c>
      <c r="Y3621">
        <v>22.2393465</v>
      </c>
      <c r="Z3621">
        <v>105.2396778</v>
      </c>
      <c r="AA3621">
        <v>0</v>
      </c>
      <c r="AB3621">
        <v>3</v>
      </c>
      <c r="AC3621" t="s">
        <v>174</v>
      </c>
      <c r="AD3621">
        <v>9</v>
      </c>
      <c r="AE3621" t="s">
        <v>1390</v>
      </c>
      <c r="AF3621">
        <v>50000000</v>
      </c>
      <c r="AG3621" t="s">
        <v>310</v>
      </c>
      <c r="AH3621">
        <f>SUM((MID(Dyno_Data[[#This Row],[Team]],4,5))+(Dyno_Data[[#This Row],[Match]]/100))</f>
        <v>333.65</v>
      </c>
      <c r="AI3621" s="76">
        <f>ROUND(SUM(IF(Dyno_Data[[#This Row],[AcqCenter]]&gt;0,Dyno_Data[[#This Row],[Time]]-SUMIFS(Dyno_Data[Time],Dyno_Data[Team],Dyno_Data[[#This Row],[Team]],Dyno_Data[RecordType],"StartMatch",Dyno_Data[Match],Dyno_Data[[#This Row],[Match]]),0)*86400),0)</f>
        <v>0</v>
      </c>
    </row>
    <row r="3622" spans="1:35" x14ac:dyDescent="0.3">
      <c r="A3622">
        <v>3621</v>
      </c>
      <c r="B3622" t="s">
        <v>318</v>
      </c>
      <c r="C3622">
        <v>65</v>
      </c>
      <c r="D3622" s="105">
        <v>45374.41990601852</v>
      </c>
      <c r="E3622" t="s">
        <v>316</v>
      </c>
      <c r="F3622" t="s">
        <v>317</v>
      </c>
      <c r="G3622">
        <v>1</v>
      </c>
      <c r="H3622" t="s">
        <v>310</v>
      </c>
      <c r="I3622">
        <v>0</v>
      </c>
      <c r="J3622">
        <v>0</v>
      </c>
      <c r="K3622">
        <v>0</v>
      </c>
      <c r="L3622" t="s">
        <v>310</v>
      </c>
      <c r="M3622" t="s">
        <v>310</v>
      </c>
      <c r="N3622">
        <v>0</v>
      </c>
      <c r="O3622" t="s">
        <v>1391</v>
      </c>
      <c r="P3622" t="s">
        <v>101</v>
      </c>
      <c r="Q3622" t="s">
        <v>1400</v>
      </c>
      <c r="R3622" t="s">
        <v>1404</v>
      </c>
      <c r="S3622">
        <v>0</v>
      </c>
      <c r="T3622" t="s">
        <v>105</v>
      </c>
      <c r="U3622">
        <v>9</v>
      </c>
      <c r="V3622">
        <v>9</v>
      </c>
      <c r="W3622">
        <v>0</v>
      </c>
      <c r="X3622">
        <v>21.467318299999999</v>
      </c>
      <c r="Y3622">
        <v>16.0560823</v>
      </c>
      <c r="Z3622">
        <v>97.1929126</v>
      </c>
      <c r="AA3622">
        <v>0</v>
      </c>
      <c r="AB3622">
        <v>2</v>
      </c>
      <c r="AC3622" t="s">
        <v>174</v>
      </c>
      <c r="AD3622">
        <v>9</v>
      </c>
      <c r="AE3622" t="s">
        <v>1388</v>
      </c>
      <c r="AF3622">
        <v>80000000</v>
      </c>
      <c r="AG3622" t="s">
        <v>310</v>
      </c>
      <c r="AH3622">
        <f>SUM((MID(Dyno_Data[[#This Row],[Team]],4,5))+(Dyno_Data[[#This Row],[Match]]/100))</f>
        <v>639.65</v>
      </c>
      <c r="AI3622" s="76">
        <f>ROUND(SUM(IF(Dyno_Data[[#This Row],[AcqCenter]]&gt;0,Dyno_Data[[#This Row],[Time]]-SUMIFS(Dyno_Data[Time],Dyno_Data[Team],Dyno_Data[[#This Row],[Team]],Dyno_Data[RecordType],"StartMatch",Dyno_Data[Match],Dyno_Data[[#This Row],[Match]]),0)*86400),0)</f>
        <v>0</v>
      </c>
    </row>
    <row r="3623" spans="1:35" x14ac:dyDescent="0.3">
      <c r="A3623">
        <v>3622</v>
      </c>
      <c r="B3623" t="s">
        <v>365</v>
      </c>
      <c r="C3623">
        <v>65</v>
      </c>
      <c r="D3623" s="105">
        <v>45374.419906215277</v>
      </c>
      <c r="E3623" t="s">
        <v>316</v>
      </c>
      <c r="F3623" t="s">
        <v>317</v>
      </c>
      <c r="G3623">
        <v>1</v>
      </c>
      <c r="H3623" t="s">
        <v>310</v>
      </c>
      <c r="I3623">
        <v>0</v>
      </c>
      <c r="J3623">
        <v>0</v>
      </c>
      <c r="K3623">
        <v>0</v>
      </c>
      <c r="L3623" t="s">
        <v>310</v>
      </c>
      <c r="M3623" t="s">
        <v>310</v>
      </c>
      <c r="N3623">
        <v>0</v>
      </c>
      <c r="O3623" t="s">
        <v>319</v>
      </c>
      <c r="P3623" t="s">
        <v>240</v>
      </c>
      <c r="Q3623" t="s">
        <v>1399</v>
      </c>
      <c r="R3623" t="s">
        <v>1404</v>
      </c>
      <c r="S3623">
        <v>-1</v>
      </c>
      <c r="T3623" t="s">
        <v>105</v>
      </c>
      <c r="U3623">
        <v>9</v>
      </c>
      <c r="V3623">
        <v>9</v>
      </c>
      <c r="W3623">
        <v>3.0302259</v>
      </c>
      <c r="X3623">
        <v>43.4885886</v>
      </c>
      <c r="Y3623">
        <v>19.4301545</v>
      </c>
      <c r="Z3623">
        <v>69.638155699999999</v>
      </c>
      <c r="AA3623">
        <v>0</v>
      </c>
      <c r="AB3623">
        <v>1</v>
      </c>
      <c r="AC3623" t="s">
        <v>174</v>
      </c>
      <c r="AD3623">
        <v>0</v>
      </c>
      <c r="AE3623" t="s">
        <v>1396</v>
      </c>
      <c r="AF3623">
        <v>90000000</v>
      </c>
      <c r="AG3623" t="s">
        <v>310</v>
      </c>
      <c r="AH3623">
        <f>SUM((MID(Dyno_Data[[#This Row],[Team]],4,5))+(Dyno_Data[[#This Row],[Match]]/100))</f>
        <v>3171.65</v>
      </c>
      <c r="AI3623" s="76">
        <f>ROUND(SUM(IF(Dyno_Data[[#This Row],[AcqCenter]]&gt;0,Dyno_Data[[#This Row],[Time]]-SUMIFS(Dyno_Data[Time],Dyno_Data[Team],Dyno_Data[[#This Row],[Team]],Dyno_Data[RecordType],"StartMatch",Dyno_Data[Match],Dyno_Data[[#This Row],[Match]]),0)*86400),0)</f>
        <v>0</v>
      </c>
    </row>
    <row r="3624" spans="1:35" x14ac:dyDescent="0.3">
      <c r="A3624">
        <v>3623</v>
      </c>
      <c r="B3624" t="s">
        <v>362</v>
      </c>
      <c r="C3624">
        <v>65</v>
      </c>
      <c r="D3624" s="105">
        <v>45374.419906215277</v>
      </c>
      <c r="E3624" t="s">
        <v>316</v>
      </c>
      <c r="F3624" t="s">
        <v>317</v>
      </c>
      <c r="G3624">
        <v>1</v>
      </c>
      <c r="H3624" t="s">
        <v>310</v>
      </c>
      <c r="I3624">
        <v>0</v>
      </c>
      <c r="J3624">
        <v>0</v>
      </c>
      <c r="K3624">
        <v>0</v>
      </c>
      <c r="L3624" t="s">
        <v>310</v>
      </c>
      <c r="M3624" t="s">
        <v>310</v>
      </c>
      <c r="N3624">
        <v>0</v>
      </c>
      <c r="O3624" t="s">
        <v>1393</v>
      </c>
      <c r="P3624" t="s">
        <v>320</v>
      </c>
      <c r="Q3624" t="s">
        <v>1400</v>
      </c>
      <c r="R3624" t="s">
        <v>1404</v>
      </c>
      <c r="S3624">
        <v>0</v>
      </c>
      <c r="T3624" t="s">
        <v>105</v>
      </c>
      <c r="U3624">
        <v>9</v>
      </c>
      <c r="V3624">
        <v>9</v>
      </c>
      <c r="W3624">
        <v>0</v>
      </c>
      <c r="X3624">
        <v>56.355662199999998</v>
      </c>
      <c r="Y3624">
        <v>61.560040199999996</v>
      </c>
      <c r="Z3624">
        <v>17.173154499999999</v>
      </c>
      <c r="AA3624">
        <v>2</v>
      </c>
      <c r="AB3624">
        <v>0</v>
      </c>
      <c r="AC3624" t="s">
        <v>170</v>
      </c>
      <c r="AD3624">
        <v>9</v>
      </c>
      <c r="AE3624" t="s">
        <v>1412</v>
      </c>
      <c r="AF3624">
        <v>10000000</v>
      </c>
      <c r="AG3624" t="s">
        <v>310</v>
      </c>
      <c r="AH3624">
        <f>SUM((MID(Dyno_Data[[#This Row],[Team]],4,5))+(Dyno_Data[[#This Row],[Match]]/100))</f>
        <v>250.65</v>
      </c>
      <c r="AI3624" s="76">
        <f>ROUND(SUM(IF(Dyno_Data[[#This Row],[AcqCenter]]&gt;0,Dyno_Data[[#This Row],[Time]]-SUMIFS(Dyno_Data[Time],Dyno_Data[Team],Dyno_Data[[#This Row],[Team]],Dyno_Data[RecordType],"StartMatch",Dyno_Data[Match],Dyno_Data[[#This Row],[Match]]),0)*86400),0)</f>
        <v>0</v>
      </c>
    </row>
    <row r="3625" spans="1:35" x14ac:dyDescent="0.3">
      <c r="A3625">
        <v>3624</v>
      </c>
      <c r="B3625" t="s">
        <v>1292</v>
      </c>
      <c r="C3625">
        <v>65</v>
      </c>
      <c r="D3625" s="105">
        <v>45374.419906365743</v>
      </c>
      <c r="E3625" t="s">
        <v>316</v>
      </c>
      <c r="F3625" t="s">
        <v>317</v>
      </c>
      <c r="G3625">
        <v>0</v>
      </c>
      <c r="H3625" t="s">
        <v>310</v>
      </c>
      <c r="I3625">
        <v>0</v>
      </c>
      <c r="J3625">
        <v>0</v>
      </c>
      <c r="K3625">
        <v>0</v>
      </c>
      <c r="L3625" t="s">
        <v>310</v>
      </c>
      <c r="M3625" t="s">
        <v>310</v>
      </c>
      <c r="N3625">
        <v>0</v>
      </c>
      <c r="O3625" t="s">
        <v>1389</v>
      </c>
      <c r="P3625" t="s">
        <v>1401</v>
      </c>
      <c r="Q3625" t="s">
        <v>1400</v>
      </c>
      <c r="R3625" t="s">
        <v>1404</v>
      </c>
      <c r="S3625">
        <v>0</v>
      </c>
      <c r="T3625" t="s">
        <v>105</v>
      </c>
      <c r="U3625">
        <v>9</v>
      </c>
      <c r="V3625">
        <v>9</v>
      </c>
      <c r="W3625">
        <v>0</v>
      </c>
      <c r="X3625">
        <v>0</v>
      </c>
      <c r="Y3625">
        <v>3.9095844</v>
      </c>
      <c r="Z3625">
        <v>132.3052879</v>
      </c>
      <c r="AA3625">
        <v>3</v>
      </c>
      <c r="AB3625">
        <v>0</v>
      </c>
      <c r="AC3625" t="s">
        <v>170</v>
      </c>
      <c r="AD3625">
        <v>9</v>
      </c>
      <c r="AE3625" t="s">
        <v>1413</v>
      </c>
      <c r="AF3625">
        <v>0</v>
      </c>
      <c r="AG3625" t="s">
        <v>310</v>
      </c>
      <c r="AH3625">
        <f>SUM((MID(Dyno_Data[[#This Row],[Team]],4,5))+(Dyno_Data[[#This Row],[Match]]/100))</f>
        <v>7030.65</v>
      </c>
      <c r="AI3625" s="76">
        <f>ROUND(SUM(IF(Dyno_Data[[#This Row],[AcqCenter]]&gt;0,Dyno_Data[[#This Row],[Time]]-SUMIFS(Dyno_Data[Time],Dyno_Data[Team],Dyno_Data[[#This Row],[Team]],Dyno_Data[RecordType],"StartMatch",Dyno_Data[Match],Dyno_Data[[#This Row],[Match]]),0)*86400),0)</f>
        <v>0</v>
      </c>
    </row>
    <row r="3626" spans="1:35" x14ac:dyDescent="0.3">
      <c r="A3626">
        <v>3625</v>
      </c>
      <c r="B3626" t="s">
        <v>1310</v>
      </c>
      <c r="C3626">
        <v>65</v>
      </c>
      <c r="D3626" s="105">
        <v>45374.4199065625</v>
      </c>
      <c r="E3626" t="s">
        <v>316</v>
      </c>
      <c r="F3626" t="s">
        <v>317</v>
      </c>
      <c r="G3626">
        <v>1</v>
      </c>
      <c r="H3626" t="s">
        <v>310</v>
      </c>
      <c r="I3626">
        <v>0</v>
      </c>
      <c r="J3626">
        <v>0</v>
      </c>
      <c r="K3626">
        <v>0</v>
      </c>
      <c r="L3626" t="s">
        <v>310</v>
      </c>
      <c r="M3626" t="s">
        <v>310</v>
      </c>
      <c r="N3626">
        <v>0</v>
      </c>
      <c r="O3626" t="s">
        <v>1395</v>
      </c>
      <c r="P3626" t="s">
        <v>101</v>
      </c>
      <c r="Q3626" t="s">
        <v>1399</v>
      </c>
      <c r="R3626" t="s">
        <v>1404</v>
      </c>
      <c r="S3626">
        <v>-1</v>
      </c>
      <c r="T3626" t="s">
        <v>105</v>
      </c>
      <c r="U3626">
        <v>9</v>
      </c>
      <c r="V3626">
        <v>9</v>
      </c>
      <c r="W3626">
        <v>0.17262819999999998</v>
      </c>
      <c r="X3626">
        <v>34.529524599999995</v>
      </c>
      <c r="Y3626">
        <v>22.4331827</v>
      </c>
      <c r="Z3626">
        <v>77.889682199999996</v>
      </c>
      <c r="AA3626">
        <v>0</v>
      </c>
      <c r="AB3626">
        <v>1</v>
      </c>
      <c r="AC3626" t="s">
        <v>174</v>
      </c>
      <c r="AD3626">
        <v>0</v>
      </c>
      <c r="AE3626" t="s">
        <v>1414</v>
      </c>
      <c r="AF3626">
        <v>110000000</v>
      </c>
      <c r="AG3626" t="s">
        <v>310</v>
      </c>
      <c r="AH3626">
        <f>SUM((MID(Dyno_Data[[#This Row],[Team]],4,5))+(Dyno_Data[[#This Row],[Match]]/100))</f>
        <v>6621.65</v>
      </c>
      <c r="AI3626" s="76">
        <f>ROUND(SUM(IF(Dyno_Data[[#This Row],[AcqCenter]]&gt;0,Dyno_Data[[#This Row],[Time]]-SUMIFS(Dyno_Data[Time],Dyno_Data[Team],Dyno_Data[[#This Row],[Team]],Dyno_Data[RecordType],"StartMatch",Dyno_Data[Match],Dyno_Data[[#This Row],[Match]]),0)*86400),0)</f>
        <v>0</v>
      </c>
    </row>
    <row r="3627" spans="1:35" x14ac:dyDescent="0.3">
      <c r="A3627">
        <v>3630</v>
      </c>
      <c r="B3627" t="s">
        <v>1311</v>
      </c>
      <c r="C3627">
        <v>66</v>
      </c>
      <c r="D3627" s="105">
        <v>45374.422742476854</v>
      </c>
      <c r="E3627" t="s">
        <v>308</v>
      </c>
      <c r="F3627" t="s">
        <v>309</v>
      </c>
      <c r="G3627">
        <v>0</v>
      </c>
      <c r="H3627" t="s">
        <v>310</v>
      </c>
      <c r="I3627">
        <v>0</v>
      </c>
      <c r="J3627">
        <v>0</v>
      </c>
      <c r="K3627">
        <v>0</v>
      </c>
      <c r="L3627" t="s">
        <v>310</v>
      </c>
      <c r="M3627" t="s">
        <v>310</v>
      </c>
      <c r="N3627">
        <v>0</v>
      </c>
      <c r="O3627" t="s">
        <v>1389</v>
      </c>
      <c r="P3627" t="s">
        <v>310</v>
      </c>
      <c r="Q3627" t="s">
        <v>310</v>
      </c>
      <c r="R3627" t="s">
        <v>310</v>
      </c>
      <c r="S3627">
        <v>9</v>
      </c>
      <c r="T3627" t="s">
        <v>310</v>
      </c>
      <c r="U3627">
        <v>9</v>
      </c>
      <c r="V3627">
        <v>9</v>
      </c>
      <c r="W3627">
        <v>0</v>
      </c>
      <c r="X3627">
        <v>0</v>
      </c>
      <c r="Y3627">
        <v>0</v>
      </c>
      <c r="Z3627">
        <v>0</v>
      </c>
      <c r="AA3627">
        <v>9</v>
      </c>
      <c r="AB3627">
        <v>9</v>
      </c>
      <c r="AC3627" t="s">
        <v>310</v>
      </c>
      <c r="AD3627">
        <v>9</v>
      </c>
      <c r="AE3627" t="s">
        <v>1413</v>
      </c>
      <c r="AF3627">
        <v>0</v>
      </c>
      <c r="AG3627" t="s">
        <v>310</v>
      </c>
      <c r="AH3627">
        <f>SUM((MID(Dyno_Data[[#This Row],[Team]],4,5))+(Dyno_Data[[#This Row],[Match]]/100))</f>
        <v>2234.66</v>
      </c>
      <c r="AI3627" s="76">
        <f>ROUND(SUM(IF(Dyno_Data[[#This Row],[AcqCenter]]&gt;0,Dyno_Data[[#This Row],[Time]]-SUMIFS(Dyno_Data[Time],Dyno_Data[Team],Dyno_Data[[#This Row],[Team]],Dyno_Data[RecordType],"StartMatch",Dyno_Data[Match],Dyno_Data[[#This Row],[Match]]),0)*86400),0)</f>
        <v>0</v>
      </c>
    </row>
    <row r="3628" spans="1:35" x14ac:dyDescent="0.3">
      <c r="A3628">
        <v>3633</v>
      </c>
      <c r="B3628" t="s">
        <v>1301</v>
      </c>
      <c r="C3628">
        <v>66</v>
      </c>
      <c r="D3628" s="105">
        <v>45374.422781828704</v>
      </c>
      <c r="E3628" t="s">
        <v>308</v>
      </c>
      <c r="F3628" t="s">
        <v>309</v>
      </c>
      <c r="G3628">
        <v>0</v>
      </c>
      <c r="H3628" t="s">
        <v>310</v>
      </c>
      <c r="I3628">
        <v>0</v>
      </c>
      <c r="J3628">
        <v>0</v>
      </c>
      <c r="K3628">
        <v>0</v>
      </c>
      <c r="L3628" t="s">
        <v>310</v>
      </c>
      <c r="M3628" t="s">
        <v>310</v>
      </c>
      <c r="N3628">
        <v>0</v>
      </c>
      <c r="O3628" t="s">
        <v>311</v>
      </c>
      <c r="P3628" t="s">
        <v>310</v>
      </c>
      <c r="Q3628" t="s">
        <v>310</v>
      </c>
      <c r="R3628" t="s">
        <v>310</v>
      </c>
      <c r="S3628">
        <v>9</v>
      </c>
      <c r="T3628" t="s">
        <v>310</v>
      </c>
      <c r="U3628">
        <v>9</v>
      </c>
      <c r="V3628">
        <v>9</v>
      </c>
      <c r="W3628">
        <v>0</v>
      </c>
      <c r="X3628">
        <v>0</v>
      </c>
      <c r="Y3628">
        <v>0</v>
      </c>
      <c r="Z3628">
        <v>0</v>
      </c>
      <c r="AA3628">
        <v>9</v>
      </c>
      <c r="AB3628">
        <v>9</v>
      </c>
      <c r="AC3628" t="s">
        <v>310</v>
      </c>
      <c r="AD3628">
        <v>9</v>
      </c>
      <c r="AE3628" t="s">
        <v>1388</v>
      </c>
      <c r="AF3628">
        <v>0</v>
      </c>
      <c r="AG3628" t="s">
        <v>310</v>
      </c>
      <c r="AH3628">
        <f>SUM((MID(Dyno_Data[[#This Row],[Team]],4,5))+(Dyno_Data[[#This Row],[Match]]/100))</f>
        <v>7031.66</v>
      </c>
      <c r="AI3628" s="76">
        <f>ROUND(SUM(IF(Dyno_Data[[#This Row],[AcqCenter]]&gt;0,Dyno_Data[[#This Row],[Time]]-SUMIFS(Dyno_Data[Time],Dyno_Data[Team],Dyno_Data[[#This Row],[Team]],Dyno_Data[RecordType],"StartMatch",Dyno_Data[Match],Dyno_Data[[#This Row],[Match]]),0)*86400),0)</f>
        <v>0</v>
      </c>
    </row>
    <row r="3629" spans="1:35" x14ac:dyDescent="0.3">
      <c r="A3629">
        <v>3635</v>
      </c>
      <c r="B3629" t="s">
        <v>1288</v>
      </c>
      <c r="C3629">
        <v>66</v>
      </c>
      <c r="D3629" s="105">
        <v>45374.422783298614</v>
      </c>
      <c r="E3629" t="s">
        <v>308</v>
      </c>
      <c r="F3629" t="s">
        <v>309</v>
      </c>
      <c r="G3629">
        <v>0</v>
      </c>
      <c r="H3629" t="s">
        <v>310</v>
      </c>
      <c r="I3629">
        <v>0</v>
      </c>
      <c r="J3629">
        <v>0</v>
      </c>
      <c r="K3629">
        <v>0</v>
      </c>
      <c r="L3629" t="s">
        <v>310</v>
      </c>
      <c r="M3629" t="s">
        <v>310</v>
      </c>
      <c r="N3629">
        <v>0</v>
      </c>
      <c r="O3629" t="s">
        <v>1393</v>
      </c>
      <c r="P3629" t="s">
        <v>310</v>
      </c>
      <c r="Q3629" t="s">
        <v>310</v>
      </c>
      <c r="R3629" t="s">
        <v>310</v>
      </c>
      <c r="S3629">
        <v>9</v>
      </c>
      <c r="T3629" t="s">
        <v>310</v>
      </c>
      <c r="U3629">
        <v>9</v>
      </c>
      <c r="V3629">
        <v>9</v>
      </c>
      <c r="W3629">
        <v>0</v>
      </c>
      <c r="X3629">
        <v>0</v>
      </c>
      <c r="Y3629">
        <v>0</v>
      </c>
      <c r="Z3629">
        <v>0</v>
      </c>
      <c r="AA3629">
        <v>9</v>
      </c>
      <c r="AB3629">
        <v>9</v>
      </c>
      <c r="AC3629" t="s">
        <v>310</v>
      </c>
      <c r="AD3629">
        <v>9</v>
      </c>
      <c r="AE3629" t="s">
        <v>1412</v>
      </c>
      <c r="AF3629">
        <v>0</v>
      </c>
      <c r="AG3629" t="s">
        <v>310</v>
      </c>
      <c r="AH3629">
        <f>SUM((MID(Dyno_Data[[#This Row],[Team]],4,5))+(Dyno_Data[[#This Row],[Match]]/100))</f>
        <v>3181.66</v>
      </c>
      <c r="AI3629" s="76">
        <f>ROUND(SUM(IF(Dyno_Data[[#This Row],[AcqCenter]]&gt;0,Dyno_Data[[#This Row],[Time]]-SUMIFS(Dyno_Data[Time],Dyno_Data[Team],Dyno_Data[[#This Row],[Team]],Dyno_Data[RecordType],"StartMatch",Dyno_Data[Match],Dyno_Data[[#This Row],[Match]]),0)*86400),0)</f>
        <v>0</v>
      </c>
    </row>
    <row r="3630" spans="1:35" x14ac:dyDescent="0.3">
      <c r="A3630">
        <v>3637</v>
      </c>
      <c r="B3630" t="s">
        <v>1294</v>
      </c>
      <c r="C3630">
        <v>66</v>
      </c>
      <c r="D3630" s="105">
        <v>45374.422794178237</v>
      </c>
      <c r="E3630" t="s">
        <v>308</v>
      </c>
      <c r="F3630" t="s">
        <v>309</v>
      </c>
      <c r="G3630">
        <v>0</v>
      </c>
      <c r="H3630" t="s">
        <v>310</v>
      </c>
      <c r="I3630">
        <v>0</v>
      </c>
      <c r="J3630">
        <v>0</v>
      </c>
      <c r="K3630">
        <v>0</v>
      </c>
      <c r="L3630" t="s">
        <v>310</v>
      </c>
      <c r="M3630" t="s">
        <v>310</v>
      </c>
      <c r="N3630">
        <v>0</v>
      </c>
      <c r="O3630" t="s">
        <v>1395</v>
      </c>
      <c r="P3630" t="s">
        <v>310</v>
      </c>
      <c r="Q3630" t="s">
        <v>310</v>
      </c>
      <c r="R3630" t="s">
        <v>310</v>
      </c>
      <c r="S3630">
        <v>9</v>
      </c>
      <c r="T3630" t="s">
        <v>310</v>
      </c>
      <c r="U3630">
        <v>9</v>
      </c>
      <c r="V3630">
        <v>9</v>
      </c>
      <c r="W3630">
        <v>0</v>
      </c>
      <c r="X3630">
        <v>0</v>
      </c>
      <c r="Y3630">
        <v>0</v>
      </c>
      <c r="Z3630">
        <v>0</v>
      </c>
      <c r="AA3630">
        <v>9</v>
      </c>
      <c r="AB3630">
        <v>9</v>
      </c>
      <c r="AC3630" t="s">
        <v>310</v>
      </c>
      <c r="AD3630">
        <v>9</v>
      </c>
      <c r="AE3630" t="s">
        <v>1414</v>
      </c>
      <c r="AF3630">
        <v>0</v>
      </c>
      <c r="AG3630" t="s">
        <v>310</v>
      </c>
      <c r="AH3630">
        <f>SUM((MID(Dyno_Data[[#This Row],[Team]],4,5))+(Dyno_Data[[#This Row],[Match]]/100))</f>
        <v>9076.66</v>
      </c>
      <c r="AI3630" s="76">
        <f>ROUND(SUM(IF(Dyno_Data[[#This Row],[AcqCenter]]&gt;0,Dyno_Data[[#This Row],[Time]]-SUMIFS(Dyno_Data[Time],Dyno_Data[Team],Dyno_Data[[#This Row],[Team]],Dyno_Data[RecordType],"StartMatch",Dyno_Data[Match],Dyno_Data[[#This Row],[Match]]),0)*86400),0)</f>
        <v>0</v>
      </c>
    </row>
    <row r="3631" spans="1:35" x14ac:dyDescent="0.3">
      <c r="A3631">
        <v>3639</v>
      </c>
      <c r="B3631" t="s">
        <v>368</v>
      </c>
      <c r="C3631">
        <v>66</v>
      </c>
      <c r="D3631" s="105">
        <v>45374.422800115739</v>
      </c>
      <c r="E3631" t="s">
        <v>308</v>
      </c>
      <c r="F3631" t="s">
        <v>309</v>
      </c>
      <c r="G3631">
        <v>0</v>
      </c>
      <c r="H3631" t="s">
        <v>310</v>
      </c>
      <c r="I3631">
        <v>0</v>
      </c>
      <c r="J3631">
        <v>0</v>
      </c>
      <c r="K3631">
        <v>0</v>
      </c>
      <c r="L3631" t="s">
        <v>310</v>
      </c>
      <c r="M3631" t="s">
        <v>310</v>
      </c>
      <c r="N3631">
        <v>0</v>
      </c>
      <c r="O3631" t="s">
        <v>1391</v>
      </c>
      <c r="P3631" t="s">
        <v>310</v>
      </c>
      <c r="Q3631" t="s">
        <v>310</v>
      </c>
      <c r="R3631" t="s">
        <v>310</v>
      </c>
      <c r="S3631">
        <v>9</v>
      </c>
      <c r="T3631" t="s">
        <v>310</v>
      </c>
      <c r="U3631">
        <v>9</v>
      </c>
      <c r="V3631">
        <v>9</v>
      </c>
      <c r="W3631">
        <v>0</v>
      </c>
      <c r="X3631">
        <v>0</v>
      </c>
      <c r="Y3631">
        <v>0</v>
      </c>
      <c r="Z3631">
        <v>0</v>
      </c>
      <c r="AA3631">
        <v>9</v>
      </c>
      <c r="AB3631">
        <v>9</v>
      </c>
      <c r="AC3631" t="s">
        <v>310</v>
      </c>
      <c r="AD3631">
        <v>9</v>
      </c>
      <c r="AE3631" t="s">
        <v>1390</v>
      </c>
      <c r="AF3631">
        <v>0</v>
      </c>
      <c r="AG3631" t="s">
        <v>310</v>
      </c>
      <c r="AH3631">
        <f>SUM((MID(Dyno_Data[[#This Row],[Team]],4,5))+(Dyno_Data[[#This Row],[Match]]/100))</f>
        <v>6401.66</v>
      </c>
      <c r="AI3631" s="76">
        <f>ROUND(SUM(IF(Dyno_Data[[#This Row],[AcqCenter]]&gt;0,Dyno_Data[[#This Row],[Time]]-SUMIFS(Dyno_Data[Time],Dyno_Data[Team],Dyno_Data[[#This Row],[Team]],Dyno_Data[RecordType],"StartMatch",Dyno_Data[Match],Dyno_Data[[#This Row],[Match]]),0)*86400),0)</f>
        <v>0</v>
      </c>
    </row>
    <row r="3632" spans="1:35" x14ac:dyDescent="0.3">
      <c r="A3632">
        <v>3626</v>
      </c>
      <c r="B3632" t="s">
        <v>1288</v>
      </c>
      <c r="C3632">
        <v>66</v>
      </c>
      <c r="D3632" s="105">
        <v>45374.422810335651</v>
      </c>
      <c r="E3632" t="s">
        <v>312</v>
      </c>
      <c r="F3632" t="s">
        <v>309</v>
      </c>
      <c r="G3632">
        <v>0</v>
      </c>
      <c r="H3632" t="s">
        <v>1397</v>
      </c>
      <c r="I3632">
        <v>0</v>
      </c>
      <c r="J3632">
        <v>0</v>
      </c>
      <c r="K3632">
        <v>0</v>
      </c>
      <c r="L3632" t="s">
        <v>240</v>
      </c>
      <c r="M3632" t="s">
        <v>1398</v>
      </c>
      <c r="N3632">
        <v>0</v>
      </c>
      <c r="O3632" t="s">
        <v>1393</v>
      </c>
      <c r="P3632" t="s">
        <v>310</v>
      </c>
      <c r="Q3632" t="s">
        <v>310</v>
      </c>
      <c r="R3632" t="s">
        <v>310</v>
      </c>
      <c r="S3632">
        <v>9</v>
      </c>
      <c r="T3632" t="s">
        <v>310</v>
      </c>
      <c r="U3632">
        <v>9</v>
      </c>
      <c r="V3632">
        <v>9</v>
      </c>
      <c r="W3632">
        <v>0</v>
      </c>
      <c r="X3632">
        <v>0</v>
      </c>
      <c r="Y3632">
        <v>0</v>
      </c>
      <c r="Z3632">
        <v>0</v>
      </c>
      <c r="AA3632">
        <v>9</v>
      </c>
      <c r="AB3632">
        <v>9</v>
      </c>
      <c r="AC3632" t="s">
        <v>310</v>
      </c>
      <c r="AD3632">
        <v>9</v>
      </c>
      <c r="AE3632" t="s">
        <v>1412</v>
      </c>
      <c r="AF3632">
        <v>0</v>
      </c>
      <c r="AG3632" t="s">
        <v>310</v>
      </c>
      <c r="AH3632">
        <f>SUM((MID(Dyno_Data[[#This Row],[Team]],4,5))+(Dyno_Data[[#This Row],[Match]]/100))</f>
        <v>3181.66</v>
      </c>
      <c r="AI3632" s="76">
        <f>ROUND(SUM(IF(Dyno_Data[[#This Row],[AcqCenter]]&gt;0,Dyno_Data[[#This Row],[Time]]-SUMIFS(Dyno_Data[Time],Dyno_Data[Team],Dyno_Data[[#This Row],[Team]],Dyno_Data[RecordType],"StartMatch",Dyno_Data[Match],Dyno_Data[[#This Row],[Match]]),0)*86400),0)</f>
        <v>0</v>
      </c>
    </row>
    <row r="3633" spans="1:35" x14ac:dyDescent="0.3">
      <c r="A3633">
        <v>3627</v>
      </c>
      <c r="B3633" t="s">
        <v>368</v>
      </c>
      <c r="C3633">
        <v>66</v>
      </c>
      <c r="D3633" s="105">
        <v>45374.42281246528</v>
      </c>
      <c r="E3633" t="s">
        <v>312</v>
      </c>
      <c r="F3633" t="s">
        <v>309</v>
      </c>
      <c r="G3633">
        <v>0</v>
      </c>
      <c r="H3633" t="s">
        <v>1397</v>
      </c>
      <c r="I3633">
        <v>0</v>
      </c>
      <c r="J3633">
        <v>0</v>
      </c>
      <c r="K3633">
        <v>0</v>
      </c>
      <c r="L3633" t="s">
        <v>240</v>
      </c>
      <c r="M3633" t="s">
        <v>1398</v>
      </c>
      <c r="N3633">
        <v>0</v>
      </c>
      <c r="O3633" t="s">
        <v>1391</v>
      </c>
      <c r="P3633" t="s">
        <v>310</v>
      </c>
      <c r="Q3633" t="s">
        <v>310</v>
      </c>
      <c r="R3633" t="s">
        <v>310</v>
      </c>
      <c r="S3633">
        <v>9</v>
      </c>
      <c r="T3633" t="s">
        <v>310</v>
      </c>
      <c r="U3633">
        <v>9</v>
      </c>
      <c r="V3633">
        <v>9</v>
      </c>
      <c r="W3633">
        <v>0</v>
      </c>
      <c r="X3633">
        <v>0</v>
      </c>
      <c r="Y3633">
        <v>0</v>
      </c>
      <c r="Z3633">
        <v>0</v>
      </c>
      <c r="AA3633">
        <v>9</v>
      </c>
      <c r="AB3633">
        <v>9</v>
      </c>
      <c r="AC3633" t="s">
        <v>310</v>
      </c>
      <c r="AD3633">
        <v>9</v>
      </c>
      <c r="AE3633" t="s">
        <v>1390</v>
      </c>
      <c r="AF3633">
        <v>0</v>
      </c>
      <c r="AG3633" t="s">
        <v>310</v>
      </c>
      <c r="AH3633">
        <f>SUM((MID(Dyno_Data[[#This Row],[Team]],4,5))+(Dyno_Data[[#This Row],[Match]]/100))</f>
        <v>6401.66</v>
      </c>
      <c r="AI3633" s="76">
        <f>ROUND(SUM(IF(Dyno_Data[[#This Row],[AcqCenter]]&gt;0,Dyno_Data[[#This Row],[Time]]-SUMIFS(Dyno_Data[Time],Dyno_Data[Team],Dyno_Data[[#This Row],[Team]],Dyno_Data[RecordType],"StartMatch",Dyno_Data[Match],Dyno_Data[[#This Row],[Match]]),0)*86400),0)</f>
        <v>0</v>
      </c>
    </row>
    <row r="3634" spans="1:35" x14ac:dyDescent="0.3">
      <c r="A3634">
        <v>3628</v>
      </c>
      <c r="B3634" t="s">
        <v>1278</v>
      </c>
      <c r="C3634">
        <v>66</v>
      </c>
      <c r="D3634" s="105">
        <v>45374.422826469905</v>
      </c>
      <c r="E3634" t="s">
        <v>312</v>
      </c>
      <c r="F3634" t="s">
        <v>309</v>
      </c>
      <c r="G3634">
        <v>0</v>
      </c>
      <c r="H3634" t="s">
        <v>1397</v>
      </c>
      <c r="I3634">
        <v>0</v>
      </c>
      <c r="J3634">
        <v>0</v>
      </c>
      <c r="K3634">
        <v>0</v>
      </c>
      <c r="L3634" t="s">
        <v>240</v>
      </c>
      <c r="M3634" t="s">
        <v>1398</v>
      </c>
      <c r="N3634">
        <v>1</v>
      </c>
      <c r="O3634" t="s">
        <v>319</v>
      </c>
      <c r="P3634" t="s">
        <v>310</v>
      </c>
      <c r="Q3634" t="s">
        <v>310</v>
      </c>
      <c r="R3634" t="s">
        <v>310</v>
      </c>
      <c r="S3634">
        <v>9</v>
      </c>
      <c r="T3634" t="s">
        <v>310</v>
      </c>
      <c r="U3634">
        <v>9</v>
      </c>
      <c r="V3634">
        <v>9</v>
      </c>
      <c r="W3634">
        <v>0</v>
      </c>
      <c r="X3634">
        <v>0</v>
      </c>
      <c r="Y3634">
        <v>0</v>
      </c>
      <c r="Z3634">
        <v>0</v>
      </c>
      <c r="AA3634">
        <v>9</v>
      </c>
      <c r="AB3634">
        <v>9</v>
      </c>
      <c r="AC3634" t="s">
        <v>310</v>
      </c>
      <c r="AD3634">
        <v>9</v>
      </c>
      <c r="AE3634" t="s">
        <v>1396</v>
      </c>
      <c r="AF3634">
        <v>0</v>
      </c>
      <c r="AG3634" t="s">
        <v>310</v>
      </c>
      <c r="AH3634">
        <f>SUM((MID(Dyno_Data[[#This Row],[Team]],4,5))+(Dyno_Data[[#This Row],[Match]]/100))</f>
        <v>3951.66</v>
      </c>
      <c r="AI3634" s="76">
        <f>ROUND(SUM(IF(Dyno_Data[[#This Row],[AcqCenter]]&gt;0,Dyno_Data[[#This Row],[Time]]-SUMIFS(Dyno_Data[Time],Dyno_Data[Team],Dyno_Data[[#This Row],[Team]],Dyno_Data[RecordType],"StartMatch",Dyno_Data[Match],Dyno_Data[[#This Row],[Match]]),0)*86400),0)</f>
        <v>0</v>
      </c>
    </row>
    <row r="3635" spans="1:35" x14ac:dyDescent="0.3">
      <c r="A3635">
        <v>3641</v>
      </c>
      <c r="B3635" t="s">
        <v>1278</v>
      </c>
      <c r="C3635">
        <v>66</v>
      </c>
      <c r="D3635" s="105">
        <v>45374.42284644676</v>
      </c>
      <c r="E3635" t="s">
        <v>308</v>
      </c>
      <c r="F3635" t="s">
        <v>309</v>
      </c>
      <c r="G3635">
        <v>0</v>
      </c>
      <c r="H3635" t="s">
        <v>310</v>
      </c>
      <c r="I3635">
        <v>0</v>
      </c>
      <c r="J3635">
        <v>0</v>
      </c>
      <c r="K3635">
        <v>0</v>
      </c>
      <c r="L3635" t="s">
        <v>310</v>
      </c>
      <c r="M3635" t="s">
        <v>310</v>
      </c>
      <c r="N3635">
        <v>0</v>
      </c>
      <c r="O3635" t="s">
        <v>319</v>
      </c>
      <c r="P3635" t="s">
        <v>310</v>
      </c>
      <c r="Q3635" t="s">
        <v>310</v>
      </c>
      <c r="R3635" t="s">
        <v>310</v>
      </c>
      <c r="S3635">
        <v>9</v>
      </c>
      <c r="T3635" t="s">
        <v>310</v>
      </c>
      <c r="U3635">
        <v>9</v>
      </c>
      <c r="V3635">
        <v>9</v>
      </c>
      <c r="W3635">
        <v>0</v>
      </c>
      <c r="X3635">
        <v>0</v>
      </c>
      <c r="Y3635">
        <v>0</v>
      </c>
      <c r="Z3635">
        <v>0</v>
      </c>
      <c r="AA3635">
        <v>9</v>
      </c>
      <c r="AB3635">
        <v>9</v>
      </c>
      <c r="AC3635" t="s">
        <v>310</v>
      </c>
      <c r="AD3635">
        <v>9</v>
      </c>
      <c r="AE3635" t="s">
        <v>1396</v>
      </c>
      <c r="AF3635">
        <v>10000000</v>
      </c>
      <c r="AG3635" t="s">
        <v>310</v>
      </c>
      <c r="AH3635">
        <f>SUM((MID(Dyno_Data[[#This Row],[Team]],4,5))+(Dyno_Data[[#This Row],[Match]]/100))</f>
        <v>3951.66</v>
      </c>
      <c r="AI3635" s="76">
        <f>ROUND(SUM(IF(Dyno_Data[[#This Row],[AcqCenter]]&gt;0,Dyno_Data[[#This Row],[Time]]-SUMIFS(Dyno_Data[Time],Dyno_Data[Team],Dyno_Data[[#This Row],[Team]],Dyno_Data[RecordType],"StartMatch",Dyno_Data[Match],Dyno_Data[[#This Row],[Match]]),0)*86400),0)</f>
        <v>0</v>
      </c>
    </row>
    <row r="3636" spans="1:35" x14ac:dyDescent="0.3">
      <c r="A3636">
        <v>3629</v>
      </c>
      <c r="B3636" t="s">
        <v>1288</v>
      </c>
      <c r="C3636">
        <v>66</v>
      </c>
      <c r="D3636" s="105">
        <v>45374.422906631946</v>
      </c>
      <c r="E3636" t="s">
        <v>312</v>
      </c>
      <c r="F3636" t="s">
        <v>309</v>
      </c>
      <c r="G3636">
        <v>0</v>
      </c>
      <c r="H3636" t="s">
        <v>143</v>
      </c>
      <c r="I3636">
        <v>2</v>
      </c>
      <c r="J3636">
        <v>1</v>
      </c>
      <c r="K3636">
        <v>0</v>
      </c>
      <c r="L3636" t="s">
        <v>310</v>
      </c>
      <c r="M3636" t="s">
        <v>310</v>
      </c>
      <c r="N3636">
        <v>0</v>
      </c>
      <c r="O3636" t="s">
        <v>1393</v>
      </c>
      <c r="P3636" t="s">
        <v>310</v>
      </c>
      <c r="Q3636" t="s">
        <v>310</v>
      </c>
      <c r="R3636" t="s">
        <v>310</v>
      </c>
      <c r="S3636">
        <v>9</v>
      </c>
      <c r="T3636" t="s">
        <v>310</v>
      </c>
      <c r="U3636">
        <v>9</v>
      </c>
      <c r="V3636">
        <v>9</v>
      </c>
      <c r="W3636">
        <v>0</v>
      </c>
      <c r="X3636">
        <v>0</v>
      </c>
      <c r="Y3636">
        <v>0</v>
      </c>
      <c r="Z3636">
        <v>0</v>
      </c>
      <c r="AA3636">
        <v>9</v>
      </c>
      <c r="AB3636">
        <v>9</v>
      </c>
      <c r="AC3636" t="s">
        <v>310</v>
      </c>
      <c r="AD3636">
        <v>9</v>
      </c>
      <c r="AE3636" t="s">
        <v>1412</v>
      </c>
      <c r="AF3636">
        <v>0</v>
      </c>
      <c r="AG3636" t="s">
        <v>310</v>
      </c>
      <c r="AH3636">
        <f>SUM((MID(Dyno_Data[[#This Row],[Team]],4,5))+(Dyno_Data[[#This Row],[Match]]/100))</f>
        <v>3181.66</v>
      </c>
      <c r="AI3636" s="76">
        <f>ROUND(SUM(IF(Dyno_Data[[#This Row],[AcqCenter]]&gt;0,Dyno_Data[[#This Row],[Time]]-SUMIFS(Dyno_Data[Time],Dyno_Data[Team],Dyno_Data[[#This Row],[Team]],Dyno_Data[RecordType],"StartMatch",Dyno_Data[Match],Dyno_Data[[#This Row],[Match]]),0)*86400),0)</f>
        <v>11</v>
      </c>
    </row>
    <row r="3637" spans="1:35" x14ac:dyDescent="0.3">
      <c r="A3637">
        <v>3631</v>
      </c>
      <c r="B3637" t="s">
        <v>1311</v>
      </c>
      <c r="C3637">
        <v>66</v>
      </c>
      <c r="D3637" s="105">
        <v>45374.422950810185</v>
      </c>
      <c r="E3637" t="s">
        <v>314</v>
      </c>
      <c r="F3637" t="s">
        <v>309</v>
      </c>
      <c r="G3637">
        <v>1</v>
      </c>
      <c r="H3637" t="s">
        <v>310</v>
      </c>
      <c r="I3637">
        <v>0</v>
      </c>
      <c r="J3637">
        <v>0</v>
      </c>
      <c r="K3637">
        <v>0</v>
      </c>
      <c r="L3637" t="s">
        <v>310</v>
      </c>
      <c r="M3637" t="s">
        <v>310</v>
      </c>
      <c r="N3637">
        <v>0</v>
      </c>
      <c r="O3637" t="s">
        <v>1389</v>
      </c>
      <c r="P3637" t="s">
        <v>320</v>
      </c>
      <c r="Q3637" t="s">
        <v>1400</v>
      </c>
      <c r="R3637" t="s">
        <v>310</v>
      </c>
      <c r="S3637">
        <v>9</v>
      </c>
      <c r="T3637" t="s">
        <v>310</v>
      </c>
      <c r="U3637">
        <v>9</v>
      </c>
      <c r="V3637">
        <v>9</v>
      </c>
      <c r="W3637">
        <v>0</v>
      </c>
      <c r="X3637">
        <v>0</v>
      </c>
      <c r="Y3637">
        <v>0</v>
      </c>
      <c r="Z3637">
        <v>0</v>
      </c>
      <c r="AA3637">
        <v>9</v>
      </c>
      <c r="AB3637">
        <v>9</v>
      </c>
      <c r="AC3637" t="s">
        <v>310</v>
      </c>
      <c r="AD3637">
        <v>9</v>
      </c>
      <c r="AE3637" t="s">
        <v>1413</v>
      </c>
      <c r="AF3637">
        <v>0</v>
      </c>
      <c r="AG3637" t="s">
        <v>310</v>
      </c>
      <c r="AH3637">
        <f>SUM((MID(Dyno_Data[[#This Row],[Team]],4,5))+(Dyno_Data[[#This Row],[Match]]/100))</f>
        <v>2234.66</v>
      </c>
      <c r="AI3637" s="76">
        <f>ROUND(SUM(IF(Dyno_Data[[#This Row],[AcqCenter]]&gt;0,Dyno_Data[[#This Row],[Time]]-SUMIFS(Dyno_Data[Time],Dyno_Data[Team],Dyno_Data[[#This Row],[Team]],Dyno_Data[RecordType],"StartMatch",Dyno_Data[Match],Dyno_Data[[#This Row],[Match]]),0)*86400),0)</f>
        <v>0</v>
      </c>
    </row>
    <row r="3638" spans="1:35" x14ac:dyDescent="0.3">
      <c r="A3638">
        <v>3632</v>
      </c>
      <c r="B3638" t="s">
        <v>1278</v>
      </c>
      <c r="C3638">
        <v>66</v>
      </c>
      <c r="D3638" s="105">
        <v>45374.422977083334</v>
      </c>
      <c r="E3638" t="s">
        <v>312</v>
      </c>
      <c r="F3638" t="s">
        <v>309</v>
      </c>
      <c r="G3638">
        <v>0</v>
      </c>
      <c r="H3638" t="s">
        <v>315</v>
      </c>
      <c r="I3638">
        <v>0</v>
      </c>
      <c r="J3638">
        <v>0</v>
      </c>
      <c r="K3638">
        <v>0</v>
      </c>
      <c r="L3638" t="s">
        <v>240</v>
      </c>
      <c r="M3638" t="s">
        <v>1398</v>
      </c>
      <c r="N3638">
        <v>1</v>
      </c>
      <c r="O3638" t="s">
        <v>319</v>
      </c>
      <c r="P3638" t="s">
        <v>310</v>
      </c>
      <c r="Q3638" t="s">
        <v>310</v>
      </c>
      <c r="R3638" t="s">
        <v>310</v>
      </c>
      <c r="S3638">
        <v>9</v>
      </c>
      <c r="T3638" t="s">
        <v>310</v>
      </c>
      <c r="U3638">
        <v>9</v>
      </c>
      <c r="V3638">
        <v>9</v>
      </c>
      <c r="W3638">
        <v>0</v>
      </c>
      <c r="X3638">
        <v>0</v>
      </c>
      <c r="Y3638">
        <v>0</v>
      </c>
      <c r="Z3638">
        <v>0</v>
      </c>
      <c r="AA3638">
        <v>9</v>
      </c>
      <c r="AB3638">
        <v>9</v>
      </c>
      <c r="AC3638" t="s">
        <v>310</v>
      </c>
      <c r="AD3638">
        <v>9</v>
      </c>
      <c r="AE3638" t="s">
        <v>1396</v>
      </c>
      <c r="AF3638">
        <v>10000000</v>
      </c>
      <c r="AG3638" t="s">
        <v>310</v>
      </c>
      <c r="AH3638">
        <f>SUM((MID(Dyno_Data[[#This Row],[Team]],4,5))+(Dyno_Data[[#This Row],[Match]]/100))</f>
        <v>3951.66</v>
      </c>
      <c r="AI3638" s="76">
        <f>ROUND(SUM(IF(Dyno_Data[[#This Row],[AcqCenter]]&gt;0,Dyno_Data[[#This Row],[Time]]-SUMIFS(Dyno_Data[Time],Dyno_Data[Team],Dyno_Data[[#This Row],[Team]],Dyno_Data[RecordType],"StartMatch",Dyno_Data[Match],Dyno_Data[[#This Row],[Match]]),0)*86400),0)</f>
        <v>0</v>
      </c>
    </row>
    <row r="3639" spans="1:35" x14ac:dyDescent="0.3">
      <c r="A3639">
        <v>3634</v>
      </c>
      <c r="B3639" t="s">
        <v>1301</v>
      </c>
      <c r="C3639">
        <v>66</v>
      </c>
      <c r="D3639" s="105">
        <v>45374.422990162035</v>
      </c>
      <c r="E3639" t="s">
        <v>314</v>
      </c>
      <c r="F3639" t="s">
        <v>309</v>
      </c>
      <c r="G3639">
        <v>0</v>
      </c>
      <c r="H3639" t="s">
        <v>310</v>
      </c>
      <c r="I3639">
        <v>0</v>
      </c>
      <c r="J3639">
        <v>0</v>
      </c>
      <c r="K3639">
        <v>0</v>
      </c>
      <c r="L3639" t="s">
        <v>310</v>
      </c>
      <c r="M3639" t="s">
        <v>310</v>
      </c>
      <c r="N3639">
        <v>0</v>
      </c>
      <c r="O3639" t="s">
        <v>311</v>
      </c>
      <c r="P3639" t="s">
        <v>320</v>
      </c>
      <c r="Q3639" t="s">
        <v>1400</v>
      </c>
      <c r="R3639" t="s">
        <v>310</v>
      </c>
      <c r="S3639">
        <v>9</v>
      </c>
      <c r="T3639" t="s">
        <v>310</v>
      </c>
      <c r="U3639">
        <v>9</v>
      </c>
      <c r="V3639">
        <v>9</v>
      </c>
      <c r="W3639">
        <v>0</v>
      </c>
      <c r="X3639">
        <v>0</v>
      </c>
      <c r="Y3639">
        <v>0</v>
      </c>
      <c r="Z3639">
        <v>0</v>
      </c>
      <c r="AA3639">
        <v>9</v>
      </c>
      <c r="AB3639">
        <v>9</v>
      </c>
      <c r="AC3639" t="s">
        <v>310</v>
      </c>
      <c r="AD3639">
        <v>9</v>
      </c>
      <c r="AE3639" t="s">
        <v>1388</v>
      </c>
      <c r="AF3639">
        <v>0</v>
      </c>
      <c r="AG3639" t="s">
        <v>310</v>
      </c>
      <c r="AH3639">
        <f>SUM((MID(Dyno_Data[[#This Row],[Team]],4,5))+(Dyno_Data[[#This Row],[Match]]/100))</f>
        <v>7031.66</v>
      </c>
      <c r="AI3639" s="76">
        <f>ROUND(SUM(IF(Dyno_Data[[#This Row],[AcqCenter]]&gt;0,Dyno_Data[[#This Row],[Time]]-SUMIFS(Dyno_Data[Time],Dyno_Data[Team],Dyno_Data[[#This Row],[Team]],Dyno_Data[RecordType],"StartMatch",Dyno_Data[Match],Dyno_Data[[#This Row],[Match]]),0)*86400),0)</f>
        <v>0</v>
      </c>
    </row>
    <row r="3640" spans="1:35" x14ac:dyDescent="0.3">
      <c r="A3640">
        <v>3636</v>
      </c>
      <c r="B3640" t="s">
        <v>1288</v>
      </c>
      <c r="C3640">
        <v>66</v>
      </c>
      <c r="D3640" s="105">
        <v>45374.422991631945</v>
      </c>
      <c r="E3640" t="s">
        <v>314</v>
      </c>
      <c r="F3640" t="s">
        <v>309</v>
      </c>
      <c r="G3640">
        <v>1</v>
      </c>
      <c r="H3640" t="s">
        <v>310</v>
      </c>
      <c r="I3640">
        <v>0</v>
      </c>
      <c r="J3640">
        <v>0</v>
      </c>
      <c r="K3640">
        <v>0</v>
      </c>
      <c r="L3640" t="s">
        <v>310</v>
      </c>
      <c r="M3640" t="s">
        <v>310</v>
      </c>
      <c r="N3640">
        <v>0</v>
      </c>
      <c r="O3640" t="s">
        <v>1393</v>
      </c>
      <c r="P3640" t="s">
        <v>1401</v>
      </c>
      <c r="Q3640" t="s">
        <v>1399</v>
      </c>
      <c r="R3640" t="s">
        <v>310</v>
      </c>
      <c r="S3640">
        <v>9</v>
      </c>
      <c r="T3640" t="s">
        <v>310</v>
      </c>
      <c r="U3640">
        <v>9</v>
      </c>
      <c r="V3640">
        <v>9</v>
      </c>
      <c r="W3640">
        <v>0</v>
      </c>
      <c r="X3640">
        <v>0</v>
      </c>
      <c r="Y3640">
        <v>0</v>
      </c>
      <c r="Z3640">
        <v>0</v>
      </c>
      <c r="AA3640">
        <v>9</v>
      </c>
      <c r="AB3640">
        <v>9</v>
      </c>
      <c r="AC3640" t="s">
        <v>310</v>
      </c>
      <c r="AD3640">
        <v>9</v>
      </c>
      <c r="AE3640" t="s">
        <v>1412</v>
      </c>
      <c r="AF3640">
        <v>0</v>
      </c>
      <c r="AG3640" t="s">
        <v>310</v>
      </c>
      <c r="AH3640">
        <f>SUM((MID(Dyno_Data[[#This Row],[Team]],4,5))+(Dyno_Data[[#This Row],[Match]]/100))</f>
        <v>3181.66</v>
      </c>
      <c r="AI3640" s="76">
        <f>ROUND(SUM(IF(Dyno_Data[[#This Row],[AcqCenter]]&gt;0,Dyno_Data[[#This Row],[Time]]-SUMIFS(Dyno_Data[Time],Dyno_Data[Team],Dyno_Data[[#This Row],[Team]],Dyno_Data[RecordType],"StartMatch",Dyno_Data[Match],Dyno_Data[[#This Row],[Match]]),0)*86400),0)</f>
        <v>0</v>
      </c>
    </row>
    <row r="3641" spans="1:35" x14ac:dyDescent="0.3">
      <c r="A3641">
        <v>3638</v>
      </c>
      <c r="B3641" t="s">
        <v>1294</v>
      </c>
      <c r="C3641">
        <v>66</v>
      </c>
      <c r="D3641" s="105">
        <v>45374.423002511576</v>
      </c>
      <c r="E3641" t="s">
        <v>314</v>
      </c>
      <c r="F3641" t="s">
        <v>309</v>
      </c>
      <c r="G3641">
        <v>1</v>
      </c>
      <c r="H3641" t="s">
        <v>310</v>
      </c>
      <c r="I3641">
        <v>0</v>
      </c>
      <c r="J3641">
        <v>0</v>
      </c>
      <c r="K3641">
        <v>0</v>
      </c>
      <c r="L3641" t="s">
        <v>310</v>
      </c>
      <c r="M3641" t="s">
        <v>310</v>
      </c>
      <c r="N3641">
        <v>0</v>
      </c>
      <c r="O3641" t="s">
        <v>1395</v>
      </c>
      <c r="P3641" t="s">
        <v>101</v>
      </c>
      <c r="Q3641" t="s">
        <v>1400</v>
      </c>
      <c r="R3641" t="s">
        <v>310</v>
      </c>
      <c r="S3641">
        <v>9</v>
      </c>
      <c r="T3641" t="s">
        <v>310</v>
      </c>
      <c r="U3641">
        <v>9</v>
      </c>
      <c r="V3641">
        <v>9</v>
      </c>
      <c r="W3641">
        <v>0</v>
      </c>
      <c r="X3641">
        <v>0</v>
      </c>
      <c r="Y3641">
        <v>0</v>
      </c>
      <c r="Z3641">
        <v>0</v>
      </c>
      <c r="AA3641">
        <v>9</v>
      </c>
      <c r="AB3641">
        <v>9</v>
      </c>
      <c r="AC3641" t="s">
        <v>310</v>
      </c>
      <c r="AD3641">
        <v>9</v>
      </c>
      <c r="AE3641" t="s">
        <v>1414</v>
      </c>
      <c r="AF3641">
        <v>0</v>
      </c>
      <c r="AG3641" t="s">
        <v>310</v>
      </c>
      <c r="AH3641">
        <f>SUM((MID(Dyno_Data[[#This Row],[Team]],4,5))+(Dyno_Data[[#This Row],[Match]]/100))</f>
        <v>9076.66</v>
      </c>
      <c r="AI3641" s="76">
        <f>ROUND(SUM(IF(Dyno_Data[[#This Row],[AcqCenter]]&gt;0,Dyno_Data[[#This Row],[Time]]-SUMIFS(Dyno_Data[Time],Dyno_Data[Team],Dyno_Data[[#This Row],[Team]],Dyno_Data[RecordType],"StartMatch",Dyno_Data[Match],Dyno_Data[[#This Row],[Match]]),0)*86400),0)</f>
        <v>0</v>
      </c>
    </row>
    <row r="3642" spans="1:35" x14ac:dyDescent="0.3">
      <c r="A3642">
        <v>3640</v>
      </c>
      <c r="B3642" t="s">
        <v>368</v>
      </c>
      <c r="C3642">
        <v>66</v>
      </c>
      <c r="D3642" s="105">
        <v>45374.423008449077</v>
      </c>
      <c r="E3642" t="s">
        <v>314</v>
      </c>
      <c r="F3642" t="s">
        <v>309</v>
      </c>
      <c r="G3642">
        <v>0</v>
      </c>
      <c r="H3642" t="s">
        <v>310</v>
      </c>
      <c r="I3642">
        <v>0</v>
      </c>
      <c r="J3642">
        <v>0</v>
      </c>
      <c r="K3642">
        <v>0</v>
      </c>
      <c r="L3642" t="s">
        <v>310</v>
      </c>
      <c r="M3642" t="s">
        <v>310</v>
      </c>
      <c r="N3642">
        <v>0</v>
      </c>
      <c r="O3642" t="s">
        <v>1391</v>
      </c>
      <c r="P3642" t="s">
        <v>1401</v>
      </c>
      <c r="Q3642" t="s">
        <v>1399</v>
      </c>
      <c r="R3642" t="s">
        <v>310</v>
      </c>
      <c r="S3642">
        <v>9</v>
      </c>
      <c r="T3642" t="s">
        <v>310</v>
      </c>
      <c r="U3642">
        <v>9</v>
      </c>
      <c r="V3642">
        <v>9</v>
      </c>
      <c r="W3642">
        <v>0</v>
      </c>
      <c r="X3642">
        <v>0</v>
      </c>
      <c r="Y3642">
        <v>0</v>
      </c>
      <c r="Z3642">
        <v>0</v>
      </c>
      <c r="AA3642">
        <v>9</v>
      </c>
      <c r="AB3642">
        <v>9</v>
      </c>
      <c r="AC3642" t="s">
        <v>310</v>
      </c>
      <c r="AD3642">
        <v>9</v>
      </c>
      <c r="AE3642" t="s">
        <v>1390</v>
      </c>
      <c r="AF3642">
        <v>0</v>
      </c>
      <c r="AG3642" t="s">
        <v>310</v>
      </c>
      <c r="AH3642">
        <f>SUM((MID(Dyno_Data[[#This Row],[Team]],4,5))+(Dyno_Data[[#This Row],[Match]]/100))</f>
        <v>6401.66</v>
      </c>
      <c r="AI3642" s="76">
        <f>ROUND(SUM(IF(Dyno_Data[[#This Row],[AcqCenter]]&gt;0,Dyno_Data[[#This Row],[Time]]-SUMIFS(Dyno_Data[Time],Dyno_Data[Team],Dyno_Data[[#This Row],[Team]],Dyno_Data[RecordType],"StartMatch",Dyno_Data[Match],Dyno_Data[[#This Row],[Match]]),0)*86400),0)</f>
        <v>0</v>
      </c>
    </row>
    <row r="3643" spans="1:35" x14ac:dyDescent="0.3">
      <c r="A3643">
        <v>3642</v>
      </c>
      <c r="B3643" t="s">
        <v>1278</v>
      </c>
      <c r="C3643">
        <v>66</v>
      </c>
      <c r="D3643" s="105">
        <v>45374.423054780091</v>
      </c>
      <c r="E3643" t="s">
        <v>314</v>
      </c>
      <c r="F3643" t="s">
        <v>309</v>
      </c>
      <c r="G3643">
        <v>1</v>
      </c>
      <c r="H3643" t="s">
        <v>310</v>
      </c>
      <c r="I3643">
        <v>0</v>
      </c>
      <c r="J3643">
        <v>0</v>
      </c>
      <c r="K3643">
        <v>0</v>
      </c>
      <c r="L3643" t="s">
        <v>310</v>
      </c>
      <c r="M3643" t="s">
        <v>310</v>
      </c>
      <c r="N3643">
        <v>0</v>
      </c>
      <c r="O3643" t="s">
        <v>319</v>
      </c>
      <c r="P3643" t="s">
        <v>240</v>
      </c>
      <c r="Q3643" t="s">
        <v>1400</v>
      </c>
      <c r="R3643" t="s">
        <v>310</v>
      </c>
      <c r="S3643">
        <v>9</v>
      </c>
      <c r="T3643" t="s">
        <v>310</v>
      </c>
      <c r="U3643">
        <v>9</v>
      </c>
      <c r="V3643">
        <v>9</v>
      </c>
      <c r="W3643">
        <v>0</v>
      </c>
      <c r="X3643">
        <v>0</v>
      </c>
      <c r="Y3643">
        <v>0</v>
      </c>
      <c r="Z3643">
        <v>0</v>
      </c>
      <c r="AA3643">
        <v>9</v>
      </c>
      <c r="AB3643">
        <v>9</v>
      </c>
      <c r="AC3643" t="s">
        <v>310</v>
      </c>
      <c r="AD3643">
        <v>9</v>
      </c>
      <c r="AE3643" t="s">
        <v>1396</v>
      </c>
      <c r="AF3643">
        <v>10000000</v>
      </c>
      <c r="AG3643" t="s">
        <v>310</v>
      </c>
      <c r="AH3643">
        <f>SUM((MID(Dyno_Data[[#This Row],[Team]],4,5))+(Dyno_Data[[#This Row],[Match]]/100))</f>
        <v>3951.66</v>
      </c>
      <c r="AI3643" s="76">
        <f>ROUND(SUM(IF(Dyno_Data[[#This Row],[AcqCenter]]&gt;0,Dyno_Data[[#This Row],[Time]]-SUMIFS(Dyno_Data[Time],Dyno_Data[Team],Dyno_Data[[#This Row],[Team]],Dyno_Data[RecordType],"StartMatch",Dyno_Data[Match],Dyno_Data[[#This Row],[Match]]),0)*86400),0)</f>
        <v>0</v>
      </c>
    </row>
    <row r="3644" spans="1:35" x14ac:dyDescent="0.3">
      <c r="A3644">
        <v>3643</v>
      </c>
      <c r="B3644" t="s">
        <v>1294</v>
      </c>
      <c r="C3644">
        <v>66</v>
      </c>
      <c r="D3644" s="105">
        <v>45374.423124386572</v>
      </c>
      <c r="E3644" t="s">
        <v>312</v>
      </c>
      <c r="F3644" t="s">
        <v>1402</v>
      </c>
      <c r="G3644">
        <v>0</v>
      </c>
      <c r="H3644" t="s">
        <v>1397</v>
      </c>
      <c r="I3644">
        <v>0</v>
      </c>
      <c r="J3644">
        <v>0</v>
      </c>
      <c r="K3644">
        <v>0</v>
      </c>
      <c r="L3644" t="s">
        <v>240</v>
      </c>
      <c r="M3644" t="s">
        <v>1398</v>
      </c>
      <c r="N3644">
        <v>0</v>
      </c>
      <c r="O3644" t="s">
        <v>1395</v>
      </c>
      <c r="P3644" t="s">
        <v>310</v>
      </c>
      <c r="Q3644" t="s">
        <v>310</v>
      </c>
      <c r="R3644" t="s">
        <v>310</v>
      </c>
      <c r="S3644">
        <v>9</v>
      </c>
      <c r="T3644" t="s">
        <v>310</v>
      </c>
      <c r="U3644">
        <v>9</v>
      </c>
      <c r="V3644">
        <v>9</v>
      </c>
      <c r="W3644">
        <v>0</v>
      </c>
      <c r="X3644">
        <v>0</v>
      </c>
      <c r="Y3644">
        <v>0</v>
      </c>
      <c r="Z3644">
        <v>0</v>
      </c>
      <c r="AA3644">
        <v>9</v>
      </c>
      <c r="AB3644">
        <v>9</v>
      </c>
      <c r="AC3644" t="s">
        <v>310</v>
      </c>
      <c r="AD3644">
        <v>9</v>
      </c>
      <c r="AE3644" t="s">
        <v>1414</v>
      </c>
      <c r="AF3644">
        <v>0</v>
      </c>
      <c r="AG3644" t="s">
        <v>310</v>
      </c>
      <c r="AH3644">
        <f>SUM((MID(Dyno_Data[[#This Row],[Team]],4,5))+(Dyno_Data[[#This Row],[Match]]/100))</f>
        <v>9076.66</v>
      </c>
      <c r="AI3644" s="76">
        <f>ROUND(SUM(IF(Dyno_Data[[#This Row],[AcqCenter]]&gt;0,Dyno_Data[[#This Row],[Time]]-SUMIFS(Dyno_Data[Time],Dyno_Data[Team],Dyno_Data[[#This Row],[Team]],Dyno_Data[RecordType],"StartMatch",Dyno_Data[Match],Dyno_Data[[#This Row],[Match]]),0)*86400),0)</f>
        <v>0</v>
      </c>
    </row>
    <row r="3645" spans="1:35" x14ac:dyDescent="0.3">
      <c r="A3645">
        <v>3644</v>
      </c>
      <c r="B3645" t="s">
        <v>368</v>
      </c>
      <c r="C3645">
        <v>66</v>
      </c>
      <c r="D3645" s="105">
        <v>45374.42312939815</v>
      </c>
      <c r="E3645" t="s">
        <v>312</v>
      </c>
      <c r="F3645" t="s">
        <v>1402</v>
      </c>
      <c r="G3645">
        <v>0</v>
      </c>
      <c r="H3645" t="s">
        <v>315</v>
      </c>
      <c r="I3645">
        <v>0</v>
      </c>
      <c r="J3645">
        <v>0</v>
      </c>
      <c r="K3645">
        <v>0</v>
      </c>
      <c r="L3645" t="s">
        <v>241</v>
      </c>
      <c r="M3645" t="s">
        <v>1398</v>
      </c>
      <c r="N3645">
        <v>1</v>
      </c>
      <c r="O3645" t="s">
        <v>1391</v>
      </c>
      <c r="P3645" t="s">
        <v>310</v>
      </c>
      <c r="Q3645" t="s">
        <v>310</v>
      </c>
      <c r="R3645" t="s">
        <v>310</v>
      </c>
      <c r="S3645">
        <v>9</v>
      </c>
      <c r="T3645" t="s">
        <v>310</v>
      </c>
      <c r="U3645">
        <v>9</v>
      </c>
      <c r="V3645">
        <v>9</v>
      </c>
      <c r="W3645">
        <v>0</v>
      </c>
      <c r="X3645">
        <v>0</v>
      </c>
      <c r="Y3645">
        <v>0</v>
      </c>
      <c r="Z3645">
        <v>0</v>
      </c>
      <c r="AA3645">
        <v>9</v>
      </c>
      <c r="AB3645">
        <v>9</v>
      </c>
      <c r="AC3645" t="s">
        <v>310</v>
      </c>
      <c r="AD3645">
        <v>9</v>
      </c>
      <c r="AE3645" t="s">
        <v>1390</v>
      </c>
      <c r="AF3645">
        <v>10000000</v>
      </c>
      <c r="AG3645" t="s">
        <v>310</v>
      </c>
      <c r="AH3645">
        <f>SUM((MID(Dyno_Data[[#This Row],[Team]],4,5))+(Dyno_Data[[#This Row],[Match]]/100))</f>
        <v>6401.66</v>
      </c>
      <c r="AI3645" s="76">
        <f>ROUND(SUM(IF(Dyno_Data[[#This Row],[AcqCenter]]&gt;0,Dyno_Data[[#This Row],[Time]]-SUMIFS(Dyno_Data[Time],Dyno_Data[Team],Dyno_Data[[#This Row],[Team]],Dyno_Data[RecordType],"StartMatch",Dyno_Data[Match],Dyno_Data[[#This Row],[Match]]),0)*86400),0)</f>
        <v>0</v>
      </c>
    </row>
    <row r="3646" spans="1:35" x14ac:dyDescent="0.3">
      <c r="A3646">
        <v>3645</v>
      </c>
      <c r="B3646" t="s">
        <v>1288</v>
      </c>
      <c r="C3646">
        <v>66</v>
      </c>
      <c r="D3646" s="105">
        <v>45374.423175775461</v>
      </c>
      <c r="E3646" t="s">
        <v>312</v>
      </c>
      <c r="F3646" t="s">
        <v>1402</v>
      </c>
      <c r="G3646">
        <v>0</v>
      </c>
      <c r="H3646" t="s">
        <v>143</v>
      </c>
      <c r="I3646">
        <v>0</v>
      </c>
      <c r="J3646">
        <v>0</v>
      </c>
      <c r="K3646">
        <v>0</v>
      </c>
      <c r="L3646" t="s">
        <v>241</v>
      </c>
      <c r="M3646" t="s">
        <v>1398</v>
      </c>
      <c r="N3646">
        <v>0</v>
      </c>
      <c r="O3646" t="s">
        <v>1393</v>
      </c>
      <c r="P3646" t="s">
        <v>310</v>
      </c>
      <c r="Q3646" t="s">
        <v>310</v>
      </c>
      <c r="R3646" t="s">
        <v>310</v>
      </c>
      <c r="S3646">
        <v>9</v>
      </c>
      <c r="T3646" t="s">
        <v>310</v>
      </c>
      <c r="U3646">
        <v>9</v>
      </c>
      <c r="V3646">
        <v>9</v>
      </c>
      <c r="W3646">
        <v>0</v>
      </c>
      <c r="X3646">
        <v>0</v>
      </c>
      <c r="Y3646">
        <v>0</v>
      </c>
      <c r="Z3646">
        <v>0</v>
      </c>
      <c r="AA3646">
        <v>9</v>
      </c>
      <c r="AB3646">
        <v>9</v>
      </c>
      <c r="AC3646" t="s">
        <v>310</v>
      </c>
      <c r="AD3646">
        <v>9</v>
      </c>
      <c r="AE3646" t="s">
        <v>1412</v>
      </c>
      <c r="AF3646">
        <v>0</v>
      </c>
      <c r="AG3646" t="s">
        <v>310</v>
      </c>
      <c r="AH3646">
        <f>SUM((MID(Dyno_Data[[#This Row],[Team]],4,5))+(Dyno_Data[[#This Row],[Match]]/100))</f>
        <v>3181.66</v>
      </c>
      <c r="AI3646" s="76">
        <f>ROUND(SUM(IF(Dyno_Data[[#This Row],[AcqCenter]]&gt;0,Dyno_Data[[#This Row],[Time]]-SUMIFS(Dyno_Data[Time],Dyno_Data[Team],Dyno_Data[[#This Row],[Team]],Dyno_Data[RecordType],"StartMatch",Dyno_Data[Match],Dyno_Data[[#This Row],[Match]]),0)*86400),0)</f>
        <v>0</v>
      </c>
    </row>
    <row r="3647" spans="1:35" x14ac:dyDescent="0.3">
      <c r="A3647">
        <v>3646</v>
      </c>
      <c r="B3647" t="s">
        <v>1311</v>
      </c>
      <c r="C3647">
        <v>66</v>
      </c>
      <c r="D3647" s="105">
        <v>45374.423182326391</v>
      </c>
      <c r="E3647" t="s">
        <v>312</v>
      </c>
      <c r="F3647" t="s">
        <v>1402</v>
      </c>
      <c r="G3647">
        <v>0</v>
      </c>
      <c r="H3647" t="s">
        <v>1397</v>
      </c>
      <c r="I3647">
        <v>0</v>
      </c>
      <c r="J3647">
        <v>0</v>
      </c>
      <c r="K3647">
        <v>0</v>
      </c>
      <c r="L3647" t="s">
        <v>241</v>
      </c>
      <c r="M3647" t="s">
        <v>101</v>
      </c>
      <c r="N3647">
        <v>1</v>
      </c>
      <c r="O3647" t="s">
        <v>1389</v>
      </c>
      <c r="P3647" t="s">
        <v>310</v>
      </c>
      <c r="Q3647" t="s">
        <v>310</v>
      </c>
      <c r="R3647" t="s">
        <v>310</v>
      </c>
      <c r="S3647">
        <v>9</v>
      </c>
      <c r="T3647" t="s">
        <v>310</v>
      </c>
      <c r="U3647">
        <v>9</v>
      </c>
      <c r="V3647">
        <v>9</v>
      </c>
      <c r="W3647">
        <v>0</v>
      </c>
      <c r="X3647">
        <v>0</v>
      </c>
      <c r="Y3647">
        <v>0</v>
      </c>
      <c r="Z3647">
        <v>0</v>
      </c>
      <c r="AA3647">
        <v>9</v>
      </c>
      <c r="AB3647">
        <v>9</v>
      </c>
      <c r="AC3647" t="s">
        <v>310</v>
      </c>
      <c r="AD3647">
        <v>9</v>
      </c>
      <c r="AE3647" t="s">
        <v>1413</v>
      </c>
      <c r="AF3647">
        <v>0</v>
      </c>
      <c r="AG3647" t="s">
        <v>310</v>
      </c>
      <c r="AH3647">
        <f>SUM((MID(Dyno_Data[[#This Row],[Team]],4,5))+(Dyno_Data[[#This Row],[Match]]/100))</f>
        <v>2234.66</v>
      </c>
      <c r="AI3647" s="76">
        <f>ROUND(SUM(IF(Dyno_Data[[#This Row],[AcqCenter]]&gt;0,Dyno_Data[[#This Row],[Time]]-SUMIFS(Dyno_Data[Time],Dyno_Data[Team],Dyno_Data[[#This Row],[Team]],Dyno_Data[RecordType],"StartMatch",Dyno_Data[Match],Dyno_Data[[#This Row],[Match]]),0)*86400),0)</f>
        <v>0</v>
      </c>
    </row>
    <row r="3648" spans="1:35" x14ac:dyDescent="0.3">
      <c r="A3648">
        <v>3647</v>
      </c>
      <c r="B3648" t="s">
        <v>1278</v>
      </c>
      <c r="C3648">
        <v>66</v>
      </c>
      <c r="D3648" s="105">
        <v>45374.423193981478</v>
      </c>
      <c r="E3648" t="s">
        <v>312</v>
      </c>
      <c r="F3648" t="s">
        <v>1402</v>
      </c>
      <c r="G3648">
        <v>0</v>
      </c>
      <c r="H3648" t="s">
        <v>315</v>
      </c>
      <c r="I3648">
        <v>0</v>
      </c>
      <c r="J3648">
        <v>0</v>
      </c>
      <c r="K3648">
        <v>0</v>
      </c>
      <c r="L3648" t="s">
        <v>241</v>
      </c>
      <c r="M3648" t="s">
        <v>101</v>
      </c>
      <c r="N3648">
        <v>0</v>
      </c>
      <c r="O3648" t="s">
        <v>319</v>
      </c>
      <c r="P3648" t="s">
        <v>310</v>
      </c>
      <c r="Q3648" t="s">
        <v>310</v>
      </c>
      <c r="R3648" t="s">
        <v>310</v>
      </c>
      <c r="S3648">
        <v>9</v>
      </c>
      <c r="T3648" t="s">
        <v>310</v>
      </c>
      <c r="U3648">
        <v>9</v>
      </c>
      <c r="V3648">
        <v>9</v>
      </c>
      <c r="W3648">
        <v>0</v>
      </c>
      <c r="X3648">
        <v>0</v>
      </c>
      <c r="Y3648">
        <v>0</v>
      </c>
      <c r="Z3648">
        <v>0</v>
      </c>
      <c r="AA3648">
        <v>9</v>
      </c>
      <c r="AB3648">
        <v>9</v>
      </c>
      <c r="AC3648" t="s">
        <v>310</v>
      </c>
      <c r="AD3648">
        <v>9</v>
      </c>
      <c r="AE3648" t="s">
        <v>1396</v>
      </c>
      <c r="AF3648">
        <v>20000000</v>
      </c>
      <c r="AG3648" t="s">
        <v>310</v>
      </c>
      <c r="AH3648">
        <f>SUM((MID(Dyno_Data[[#This Row],[Team]],4,5))+(Dyno_Data[[#This Row],[Match]]/100))</f>
        <v>3951.66</v>
      </c>
      <c r="AI3648" s="76">
        <f>ROUND(SUM(IF(Dyno_Data[[#This Row],[AcqCenter]]&gt;0,Dyno_Data[[#This Row],[Time]]-SUMIFS(Dyno_Data[Time],Dyno_Data[Team],Dyno_Data[[#This Row],[Team]],Dyno_Data[RecordType],"StartMatch",Dyno_Data[Match],Dyno_Data[[#This Row],[Match]]),0)*86400),0)</f>
        <v>0</v>
      </c>
    </row>
    <row r="3649" spans="1:35" x14ac:dyDescent="0.3">
      <c r="A3649">
        <v>3648</v>
      </c>
      <c r="B3649" t="s">
        <v>1288</v>
      </c>
      <c r="C3649">
        <v>66</v>
      </c>
      <c r="D3649" s="105">
        <v>45374.423244756945</v>
      </c>
      <c r="E3649" t="s">
        <v>312</v>
      </c>
      <c r="F3649" t="s">
        <v>1402</v>
      </c>
      <c r="G3649">
        <v>0</v>
      </c>
      <c r="H3649" t="s">
        <v>315</v>
      </c>
      <c r="I3649">
        <v>0</v>
      </c>
      <c r="J3649">
        <v>0</v>
      </c>
      <c r="K3649">
        <v>0</v>
      </c>
      <c r="L3649" t="s">
        <v>241</v>
      </c>
      <c r="M3649" t="s">
        <v>1398</v>
      </c>
      <c r="N3649">
        <v>0</v>
      </c>
      <c r="O3649" t="s">
        <v>1393</v>
      </c>
      <c r="P3649" t="s">
        <v>310</v>
      </c>
      <c r="Q3649" t="s">
        <v>310</v>
      </c>
      <c r="R3649" t="s">
        <v>310</v>
      </c>
      <c r="S3649">
        <v>9</v>
      </c>
      <c r="T3649" t="s">
        <v>310</v>
      </c>
      <c r="U3649">
        <v>9</v>
      </c>
      <c r="V3649">
        <v>9</v>
      </c>
      <c r="W3649">
        <v>0</v>
      </c>
      <c r="X3649">
        <v>0</v>
      </c>
      <c r="Y3649">
        <v>0</v>
      </c>
      <c r="Z3649">
        <v>0</v>
      </c>
      <c r="AA3649">
        <v>9</v>
      </c>
      <c r="AB3649">
        <v>9</v>
      </c>
      <c r="AC3649" t="s">
        <v>310</v>
      </c>
      <c r="AD3649">
        <v>9</v>
      </c>
      <c r="AE3649" t="s">
        <v>1412</v>
      </c>
      <c r="AF3649">
        <v>10000000</v>
      </c>
      <c r="AG3649" t="s">
        <v>310</v>
      </c>
      <c r="AH3649">
        <f>SUM((MID(Dyno_Data[[#This Row],[Team]],4,5))+(Dyno_Data[[#This Row],[Match]]/100))</f>
        <v>3181.66</v>
      </c>
      <c r="AI3649" s="76">
        <f>ROUND(SUM(IF(Dyno_Data[[#This Row],[AcqCenter]]&gt;0,Dyno_Data[[#This Row],[Time]]-SUMIFS(Dyno_Data[Time],Dyno_Data[Team],Dyno_Data[[#This Row],[Team]],Dyno_Data[RecordType],"StartMatch",Dyno_Data[Match],Dyno_Data[[#This Row],[Match]]),0)*86400),0)</f>
        <v>0</v>
      </c>
    </row>
    <row r="3650" spans="1:35" x14ac:dyDescent="0.3">
      <c r="A3650">
        <v>3649</v>
      </c>
      <c r="B3650" t="s">
        <v>368</v>
      </c>
      <c r="C3650">
        <v>66</v>
      </c>
      <c r="D3650" s="105">
        <v>45374.423270949075</v>
      </c>
      <c r="E3650" t="s">
        <v>312</v>
      </c>
      <c r="F3650" t="s">
        <v>1402</v>
      </c>
      <c r="G3650">
        <v>0</v>
      </c>
      <c r="H3650" t="s">
        <v>315</v>
      </c>
      <c r="I3650">
        <v>0</v>
      </c>
      <c r="J3650">
        <v>0</v>
      </c>
      <c r="K3650">
        <v>0</v>
      </c>
      <c r="L3650" t="s">
        <v>241</v>
      </c>
      <c r="M3650" t="s">
        <v>1398</v>
      </c>
      <c r="N3650">
        <v>0</v>
      </c>
      <c r="O3650" t="s">
        <v>1391</v>
      </c>
      <c r="P3650" t="s">
        <v>310</v>
      </c>
      <c r="Q3650" t="s">
        <v>310</v>
      </c>
      <c r="R3650" t="s">
        <v>310</v>
      </c>
      <c r="S3650">
        <v>9</v>
      </c>
      <c r="T3650" t="s">
        <v>310</v>
      </c>
      <c r="U3650">
        <v>9</v>
      </c>
      <c r="V3650">
        <v>9</v>
      </c>
      <c r="W3650">
        <v>0</v>
      </c>
      <c r="X3650">
        <v>0</v>
      </c>
      <c r="Y3650">
        <v>0</v>
      </c>
      <c r="Z3650">
        <v>0</v>
      </c>
      <c r="AA3650">
        <v>9</v>
      </c>
      <c r="AB3650">
        <v>9</v>
      </c>
      <c r="AC3650" t="s">
        <v>310</v>
      </c>
      <c r="AD3650">
        <v>9</v>
      </c>
      <c r="AE3650" t="s">
        <v>1390</v>
      </c>
      <c r="AF3650">
        <v>20000000</v>
      </c>
      <c r="AG3650" t="s">
        <v>310</v>
      </c>
      <c r="AH3650">
        <f>SUM((MID(Dyno_Data[[#This Row],[Team]],4,5))+(Dyno_Data[[#This Row],[Match]]/100))</f>
        <v>6401.66</v>
      </c>
      <c r="AI3650" s="76">
        <f>ROUND(SUM(IF(Dyno_Data[[#This Row],[AcqCenter]]&gt;0,Dyno_Data[[#This Row],[Time]]-SUMIFS(Dyno_Data[Time],Dyno_Data[Team],Dyno_Data[[#This Row],[Team]],Dyno_Data[RecordType],"StartMatch",Dyno_Data[Match],Dyno_Data[[#This Row],[Match]]),0)*86400),0)</f>
        <v>0</v>
      </c>
    </row>
    <row r="3651" spans="1:35" x14ac:dyDescent="0.3">
      <c r="A3651">
        <v>3650</v>
      </c>
      <c r="B3651" t="s">
        <v>1278</v>
      </c>
      <c r="C3651">
        <v>66</v>
      </c>
      <c r="D3651" s="105">
        <v>45374.42332357639</v>
      </c>
      <c r="E3651" t="s">
        <v>312</v>
      </c>
      <c r="F3651" t="s">
        <v>1402</v>
      </c>
      <c r="G3651">
        <v>0</v>
      </c>
      <c r="H3651" t="s">
        <v>315</v>
      </c>
      <c r="I3651">
        <v>0</v>
      </c>
      <c r="J3651">
        <v>0</v>
      </c>
      <c r="K3651">
        <v>0</v>
      </c>
      <c r="L3651" t="s">
        <v>240</v>
      </c>
      <c r="M3651" t="s">
        <v>1398</v>
      </c>
      <c r="N3651">
        <v>1</v>
      </c>
      <c r="O3651" t="s">
        <v>319</v>
      </c>
      <c r="P3651" t="s">
        <v>310</v>
      </c>
      <c r="Q3651" t="s">
        <v>310</v>
      </c>
      <c r="R3651" t="s">
        <v>310</v>
      </c>
      <c r="S3651">
        <v>9</v>
      </c>
      <c r="T3651" t="s">
        <v>310</v>
      </c>
      <c r="U3651">
        <v>9</v>
      </c>
      <c r="V3651">
        <v>9</v>
      </c>
      <c r="W3651">
        <v>0</v>
      </c>
      <c r="X3651">
        <v>0</v>
      </c>
      <c r="Y3651">
        <v>0</v>
      </c>
      <c r="Z3651">
        <v>0</v>
      </c>
      <c r="AA3651">
        <v>9</v>
      </c>
      <c r="AB3651">
        <v>9</v>
      </c>
      <c r="AC3651" t="s">
        <v>310</v>
      </c>
      <c r="AD3651">
        <v>9</v>
      </c>
      <c r="AE3651" t="s">
        <v>1396</v>
      </c>
      <c r="AF3651">
        <v>30000000</v>
      </c>
      <c r="AG3651" t="s">
        <v>310</v>
      </c>
      <c r="AH3651">
        <f>SUM((MID(Dyno_Data[[#This Row],[Team]],4,5))+(Dyno_Data[[#This Row],[Match]]/100))</f>
        <v>3951.66</v>
      </c>
      <c r="AI3651" s="76">
        <f>ROUND(SUM(IF(Dyno_Data[[#This Row],[AcqCenter]]&gt;0,Dyno_Data[[#This Row],[Time]]-SUMIFS(Dyno_Data[Time],Dyno_Data[Team],Dyno_Data[[#This Row],[Team]],Dyno_Data[RecordType],"StartMatch",Dyno_Data[Match],Dyno_Data[[#This Row],[Match]]),0)*86400),0)</f>
        <v>0</v>
      </c>
    </row>
    <row r="3652" spans="1:35" x14ac:dyDescent="0.3">
      <c r="A3652">
        <v>3651</v>
      </c>
      <c r="B3652" t="s">
        <v>1294</v>
      </c>
      <c r="C3652">
        <v>66</v>
      </c>
      <c r="D3652" s="105">
        <v>45374.423415277779</v>
      </c>
      <c r="E3652" t="s">
        <v>312</v>
      </c>
      <c r="F3652" t="s">
        <v>1402</v>
      </c>
      <c r="G3652">
        <v>0</v>
      </c>
      <c r="H3652" t="s">
        <v>315</v>
      </c>
      <c r="I3652">
        <v>0</v>
      </c>
      <c r="J3652">
        <v>0</v>
      </c>
      <c r="K3652">
        <v>0</v>
      </c>
      <c r="L3652" t="s">
        <v>240</v>
      </c>
      <c r="M3652" t="s">
        <v>1398</v>
      </c>
      <c r="N3652">
        <v>0</v>
      </c>
      <c r="O3652" t="s">
        <v>1395</v>
      </c>
      <c r="P3652" t="s">
        <v>310</v>
      </c>
      <c r="Q3652" t="s">
        <v>310</v>
      </c>
      <c r="R3652" t="s">
        <v>310</v>
      </c>
      <c r="S3652">
        <v>9</v>
      </c>
      <c r="T3652" t="s">
        <v>310</v>
      </c>
      <c r="U3652">
        <v>9</v>
      </c>
      <c r="V3652">
        <v>9</v>
      </c>
      <c r="W3652">
        <v>0</v>
      </c>
      <c r="X3652">
        <v>0</v>
      </c>
      <c r="Y3652">
        <v>0</v>
      </c>
      <c r="Z3652">
        <v>0</v>
      </c>
      <c r="AA3652">
        <v>9</v>
      </c>
      <c r="AB3652">
        <v>9</v>
      </c>
      <c r="AC3652" t="s">
        <v>310</v>
      </c>
      <c r="AD3652">
        <v>9</v>
      </c>
      <c r="AE3652" t="s">
        <v>1414</v>
      </c>
      <c r="AF3652">
        <v>10000000</v>
      </c>
      <c r="AG3652" t="s">
        <v>310</v>
      </c>
      <c r="AH3652">
        <f>SUM((MID(Dyno_Data[[#This Row],[Team]],4,5))+(Dyno_Data[[#This Row],[Match]]/100))</f>
        <v>9076.66</v>
      </c>
      <c r="AI3652" s="76">
        <f>ROUND(SUM(IF(Dyno_Data[[#This Row],[AcqCenter]]&gt;0,Dyno_Data[[#This Row],[Time]]-SUMIFS(Dyno_Data[Time],Dyno_Data[Team],Dyno_Data[[#This Row],[Team]],Dyno_Data[RecordType],"StartMatch",Dyno_Data[Match],Dyno_Data[[#This Row],[Match]]),0)*86400),0)</f>
        <v>0</v>
      </c>
    </row>
    <row r="3653" spans="1:35" x14ac:dyDescent="0.3">
      <c r="A3653">
        <v>3652</v>
      </c>
      <c r="B3653" t="s">
        <v>1288</v>
      </c>
      <c r="C3653">
        <v>66</v>
      </c>
      <c r="D3653" s="105">
        <v>45374.423418946761</v>
      </c>
      <c r="E3653" t="s">
        <v>312</v>
      </c>
      <c r="F3653" t="s">
        <v>1402</v>
      </c>
      <c r="G3653">
        <v>0</v>
      </c>
      <c r="H3653" t="s">
        <v>315</v>
      </c>
      <c r="I3653">
        <v>0</v>
      </c>
      <c r="J3653">
        <v>0</v>
      </c>
      <c r="K3653">
        <v>0</v>
      </c>
      <c r="L3653" t="s">
        <v>241</v>
      </c>
      <c r="M3653" t="s">
        <v>101</v>
      </c>
      <c r="N3653">
        <v>0</v>
      </c>
      <c r="O3653" t="s">
        <v>1393</v>
      </c>
      <c r="P3653" t="s">
        <v>310</v>
      </c>
      <c r="Q3653" t="s">
        <v>310</v>
      </c>
      <c r="R3653" t="s">
        <v>310</v>
      </c>
      <c r="S3653">
        <v>9</v>
      </c>
      <c r="T3653" t="s">
        <v>310</v>
      </c>
      <c r="U3653">
        <v>9</v>
      </c>
      <c r="V3653">
        <v>9</v>
      </c>
      <c r="W3653">
        <v>0</v>
      </c>
      <c r="X3653">
        <v>0</v>
      </c>
      <c r="Y3653">
        <v>0</v>
      </c>
      <c r="Z3653">
        <v>0</v>
      </c>
      <c r="AA3653">
        <v>9</v>
      </c>
      <c r="AB3653">
        <v>9</v>
      </c>
      <c r="AC3653" t="s">
        <v>310</v>
      </c>
      <c r="AD3653">
        <v>9</v>
      </c>
      <c r="AE3653" t="s">
        <v>1412</v>
      </c>
      <c r="AF3653">
        <v>20000000</v>
      </c>
      <c r="AG3653" t="s">
        <v>310</v>
      </c>
      <c r="AH3653">
        <f>SUM((MID(Dyno_Data[[#This Row],[Team]],4,5))+(Dyno_Data[[#This Row],[Match]]/100))</f>
        <v>3181.66</v>
      </c>
      <c r="AI3653" s="76">
        <f>ROUND(SUM(IF(Dyno_Data[[#This Row],[AcqCenter]]&gt;0,Dyno_Data[[#This Row],[Time]]-SUMIFS(Dyno_Data[Time],Dyno_Data[Team],Dyno_Data[[#This Row],[Team]],Dyno_Data[RecordType],"StartMatch",Dyno_Data[Match],Dyno_Data[[#This Row],[Match]]),0)*86400),0)</f>
        <v>0</v>
      </c>
    </row>
    <row r="3654" spans="1:35" x14ac:dyDescent="0.3">
      <c r="A3654">
        <v>3653</v>
      </c>
      <c r="B3654" t="s">
        <v>1278</v>
      </c>
      <c r="C3654">
        <v>66</v>
      </c>
      <c r="D3654" s="105">
        <v>45374.423434293982</v>
      </c>
      <c r="E3654" t="s">
        <v>312</v>
      </c>
      <c r="F3654" t="s">
        <v>1402</v>
      </c>
      <c r="G3654">
        <v>0</v>
      </c>
      <c r="H3654" t="s">
        <v>315</v>
      </c>
      <c r="I3654">
        <v>0</v>
      </c>
      <c r="J3654">
        <v>0</v>
      </c>
      <c r="K3654">
        <v>0</v>
      </c>
      <c r="L3654" t="s">
        <v>240</v>
      </c>
      <c r="M3654" t="s">
        <v>1398</v>
      </c>
      <c r="N3654">
        <v>1</v>
      </c>
      <c r="O3654" t="s">
        <v>319</v>
      </c>
      <c r="P3654" t="s">
        <v>310</v>
      </c>
      <c r="Q3654" t="s">
        <v>310</v>
      </c>
      <c r="R3654" t="s">
        <v>310</v>
      </c>
      <c r="S3654">
        <v>9</v>
      </c>
      <c r="T3654" t="s">
        <v>310</v>
      </c>
      <c r="U3654">
        <v>9</v>
      </c>
      <c r="V3654">
        <v>9</v>
      </c>
      <c r="W3654">
        <v>0</v>
      </c>
      <c r="X3654">
        <v>0</v>
      </c>
      <c r="Y3654">
        <v>0</v>
      </c>
      <c r="Z3654">
        <v>0</v>
      </c>
      <c r="AA3654">
        <v>9</v>
      </c>
      <c r="AB3654">
        <v>9</v>
      </c>
      <c r="AC3654" t="s">
        <v>310</v>
      </c>
      <c r="AD3654">
        <v>9</v>
      </c>
      <c r="AE3654" t="s">
        <v>1396</v>
      </c>
      <c r="AF3654">
        <v>40000000</v>
      </c>
      <c r="AG3654" t="s">
        <v>310</v>
      </c>
      <c r="AH3654">
        <f>SUM((MID(Dyno_Data[[#This Row],[Team]],4,5))+(Dyno_Data[[#This Row],[Match]]/100))</f>
        <v>3951.66</v>
      </c>
      <c r="AI3654" s="76">
        <f>ROUND(SUM(IF(Dyno_Data[[#This Row],[AcqCenter]]&gt;0,Dyno_Data[[#This Row],[Time]]-SUMIFS(Dyno_Data[Time],Dyno_Data[Team],Dyno_Data[[#This Row],[Team]],Dyno_Data[RecordType],"StartMatch",Dyno_Data[Match],Dyno_Data[[#This Row],[Match]]),0)*86400),0)</f>
        <v>0</v>
      </c>
    </row>
    <row r="3655" spans="1:35" x14ac:dyDescent="0.3">
      <c r="A3655">
        <v>3654</v>
      </c>
      <c r="B3655" t="s">
        <v>1288</v>
      </c>
      <c r="C3655">
        <v>66</v>
      </c>
      <c r="D3655" s="105">
        <v>45374.42353414352</v>
      </c>
      <c r="E3655" t="s">
        <v>312</v>
      </c>
      <c r="F3655" t="s">
        <v>1402</v>
      </c>
      <c r="G3655">
        <v>0</v>
      </c>
      <c r="H3655" t="s">
        <v>315</v>
      </c>
      <c r="I3655">
        <v>0</v>
      </c>
      <c r="J3655">
        <v>0</v>
      </c>
      <c r="K3655">
        <v>0</v>
      </c>
      <c r="L3655" t="s">
        <v>241</v>
      </c>
      <c r="M3655" t="s">
        <v>101</v>
      </c>
      <c r="N3655">
        <v>0</v>
      </c>
      <c r="O3655" t="s">
        <v>1393</v>
      </c>
      <c r="P3655" t="s">
        <v>310</v>
      </c>
      <c r="Q3655" t="s">
        <v>310</v>
      </c>
      <c r="R3655" t="s">
        <v>310</v>
      </c>
      <c r="S3655">
        <v>9</v>
      </c>
      <c r="T3655" t="s">
        <v>310</v>
      </c>
      <c r="U3655">
        <v>9</v>
      </c>
      <c r="V3655">
        <v>9</v>
      </c>
      <c r="W3655">
        <v>0</v>
      </c>
      <c r="X3655">
        <v>0</v>
      </c>
      <c r="Y3655">
        <v>0</v>
      </c>
      <c r="Z3655">
        <v>0</v>
      </c>
      <c r="AA3655">
        <v>9</v>
      </c>
      <c r="AB3655">
        <v>9</v>
      </c>
      <c r="AC3655" t="s">
        <v>310</v>
      </c>
      <c r="AD3655">
        <v>9</v>
      </c>
      <c r="AE3655" t="s">
        <v>1412</v>
      </c>
      <c r="AF3655">
        <v>30000000</v>
      </c>
      <c r="AG3655" t="s">
        <v>310</v>
      </c>
      <c r="AH3655">
        <f>SUM((MID(Dyno_Data[[#This Row],[Team]],4,5))+(Dyno_Data[[#This Row],[Match]]/100))</f>
        <v>3181.66</v>
      </c>
      <c r="AI3655" s="76">
        <f>ROUND(SUM(IF(Dyno_Data[[#This Row],[AcqCenter]]&gt;0,Dyno_Data[[#This Row],[Time]]-SUMIFS(Dyno_Data[Time],Dyno_Data[Team],Dyno_Data[[#This Row],[Team]],Dyno_Data[RecordType],"StartMatch",Dyno_Data[Match],Dyno_Data[[#This Row],[Match]]),0)*86400),0)</f>
        <v>0</v>
      </c>
    </row>
    <row r="3656" spans="1:35" x14ac:dyDescent="0.3">
      <c r="A3656">
        <v>3655</v>
      </c>
      <c r="B3656" t="s">
        <v>1288</v>
      </c>
      <c r="C3656">
        <v>66</v>
      </c>
      <c r="D3656" s="105">
        <v>45374.42367103009</v>
      </c>
      <c r="E3656" t="s">
        <v>312</v>
      </c>
      <c r="F3656" t="s">
        <v>1402</v>
      </c>
      <c r="G3656">
        <v>0</v>
      </c>
      <c r="H3656" t="s">
        <v>315</v>
      </c>
      <c r="I3656">
        <v>0</v>
      </c>
      <c r="J3656">
        <v>0</v>
      </c>
      <c r="K3656">
        <v>0</v>
      </c>
      <c r="L3656" t="s">
        <v>241</v>
      </c>
      <c r="M3656" t="s">
        <v>101</v>
      </c>
      <c r="N3656">
        <v>0</v>
      </c>
      <c r="O3656" t="s">
        <v>1393</v>
      </c>
      <c r="P3656" t="s">
        <v>310</v>
      </c>
      <c r="Q3656" t="s">
        <v>310</v>
      </c>
      <c r="R3656" t="s">
        <v>310</v>
      </c>
      <c r="S3656">
        <v>9</v>
      </c>
      <c r="T3656" t="s">
        <v>310</v>
      </c>
      <c r="U3656">
        <v>9</v>
      </c>
      <c r="V3656">
        <v>9</v>
      </c>
      <c r="W3656">
        <v>0</v>
      </c>
      <c r="X3656">
        <v>0</v>
      </c>
      <c r="Y3656">
        <v>0</v>
      </c>
      <c r="Z3656">
        <v>0</v>
      </c>
      <c r="AA3656">
        <v>9</v>
      </c>
      <c r="AB3656">
        <v>9</v>
      </c>
      <c r="AC3656" t="s">
        <v>310</v>
      </c>
      <c r="AD3656">
        <v>9</v>
      </c>
      <c r="AE3656" t="s">
        <v>1412</v>
      </c>
      <c r="AF3656">
        <v>40000000</v>
      </c>
      <c r="AG3656" t="s">
        <v>310</v>
      </c>
      <c r="AH3656">
        <f>SUM((MID(Dyno_Data[[#This Row],[Team]],4,5))+(Dyno_Data[[#This Row],[Match]]/100))</f>
        <v>3181.66</v>
      </c>
      <c r="AI3656" s="76">
        <f>ROUND(SUM(IF(Dyno_Data[[#This Row],[AcqCenter]]&gt;0,Dyno_Data[[#This Row],[Time]]-SUMIFS(Dyno_Data[Time],Dyno_Data[Team],Dyno_Data[[#This Row],[Team]],Dyno_Data[RecordType],"StartMatch",Dyno_Data[Match],Dyno_Data[[#This Row],[Match]]),0)*86400),0)</f>
        <v>0</v>
      </c>
    </row>
    <row r="3657" spans="1:35" x14ac:dyDescent="0.3">
      <c r="A3657">
        <v>3656</v>
      </c>
      <c r="B3657" t="s">
        <v>368</v>
      </c>
      <c r="C3657">
        <v>66</v>
      </c>
      <c r="D3657" s="105">
        <v>45374.423708599534</v>
      </c>
      <c r="E3657" t="s">
        <v>312</v>
      </c>
      <c r="F3657" t="s">
        <v>1402</v>
      </c>
      <c r="G3657">
        <v>0</v>
      </c>
      <c r="H3657" t="s">
        <v>315</v>
      </c>
      <c r="I3657">
        <v>0</v>
      </c>
      <c r="J3657">
        <v>0</v>
      </c>
      <c r="K3657">
        <v>0</v>
      </c>
      <c r="L3657" t="s">
        <v>241</v>
      </c>
      <c r="M3657" t="s">
        <v>1398</v>
      </c>
      <c r="N3657">
        <v>1</v>
      </c>
      <c r="O3657" t="s">
        <v>1391</v>
      </c>
      <c r="P3657" t="s">
        <v>310</v>
      </c>
      <c r="Q3657" t="s">
        <v>310</v>
      </c>
      <c r="R3657" t="s">
        <v>310</v>
      </c>
      <c r="S3657">
        <v>9</v>
      </c>
      <c r="T3657" t="s">
        <v>310</v>
      </c>
      <c r="U3657">
        <v>9</v>
      </c>
      <c r="V3657">
        <v>9</v>
      </c>
      <c r="W3657">
        <v>0</v>
      </c>
      <c r="X3657">
        <v>0</v>
      </c>
      <c r="Y3657">
        <v>0</v>
      </c>
      <c r="Z3657">
        <v>0</v>
      </c>
      <c r="AA3657">
        <v>9</v>
      </c>
      <c r="AB3657">
        <v>9</v>
      </c>
      <c r="AC3657" t="s">
        <v>310</v>
      </c>
      <c r="AD3657">
        <v>9</v>
      </c>
      <c r="AE3657" t="s">
        <v>1390</v>
      </c>
      <c r="AF3657">
        <v>30000000</v>
      </c>
      <c r="AG3657" t="s">
        <v>310</v>
      </c>
      <c r="AH3657">
        <f>SUM((MID(Dyno_Data[[#This Row],[Team]],4,5))+(Dyno_Data[[#This Row],[Match]]/100))</f>
        <v>6401.66</v>
      </c>
      <c r="AI3657" s="76">
        <f>ROUND(SUM(IF(Dyno_Data[[#This Row],[AcqCenter]]&gt;0,Dyno_Data[[#This Row],[Time]]-SUMIFS(Dyno_Data[Time],Dyno_Data[Team],Dyno_Data[[#This Row],[Team]],Dyno_Data[RecordType],"StartMatch",Dyno_Data[Match],Dyno_Data[[#This Row],[Match]]),0)*86400),0)</f>
        <v>0</v>
      </c>
    </row>
    <row r="3658" spans="1:35" x14ac:dyDescent="0.3">
      <c r="A3658">
        <v>3657</v>
      </c>
      <c r="B3658" t="s">
        <v>1288</v>
      </c>
      <c r="C3658">
        <v>66</v>
      </c>
      <c r="D3658" s="105">
        <v>45374.423793599541</v>
      </c>
      <c r="E3658" t="s">
        <v>312</v>
      </c>
      <c r="F3658" t="s">
        <v>1402</v>
      </c>
      <c r="G3658">
        <v>0</v>
      </c>
      <c r="H3658" t="s">
        <v>315</v>
      </c>
      <c r="I3658">
        <v>0</v>
      </c>
      <c r="J3658">
        <v>0</v>
      </c>
      <c r="K3658">
        <v>0</v>
      </c>
      <c r="L3658" t="s">
        <v>241</v>
      </c>
      <c r="M3658" t="s">
        <v>1398</v>
      </c>
      <c r="N3658">
        <v>0</v>
      </c>
      <c r="O3658" t="s">
        <v>1393</v>
      </c>
      <c r="P3658" t="s">
        <v>310</v>
      </c>
      <c r="Q3658" t="s">
        <v>310</v>
      </c>
      <c r="R3658" t="s">
        <v>310</v>
      </c>
      <c r="S3658">
        <v>9</v>
      </c>
      <c r="T3658" t="s">
        <v>310</v>
      </c>
      <c r="U3658">
        <v>9</v>
      </c>
      <c r="V3658">
        <v>9</v>
      </c>
      <c r="W3658">
        <v>0</v>
      </c>
      <c r="X3658">
        <v>0</v>
      </c>
      <c r="Y3658">
        <v>0</v>
      </c>
      <c r="Z3658">
        <v>0</v>
      </c>
      <c r="AA3658">
        <v>9</v>
      </c>
      <c r="AB3658">
        <v>9</v>
      </c>
      <c r="AC3658" t="s">
        <v>310</v>
      </c>
      <c r="AD3658">
        <v>9</v>
      </c>
      <c r="AE3658" t="s">
        <v>1412</v>
      </c>
      <c r="AF3658">
        <v>50000000</v>
      </c>
      <c r="AG3658" t="s">
        <v>310</v>
      </c>
      <c r="AH3658">
        <f>SUM((MID(Dyno_Data[[#This Row],[Team]],4,5))+(Dyno_Data[[#This Row],[Match]]/100))</f>
        <v>3181.66</v>
      </c>
      <c r="AI3658" s="76">
        <f>ROUND(SUM(IF(Dyno_Data[[#This Row],[AcqCenter]]&gt;0,Dyno_Data[[#This Row],[Time]]-SUMIFS(Dyno_Data[Time],Dyno_Data[Team],Dyno_Data[[#This Row],[Team]],Dyno_Data[RecordType],"StartMatch",Dyno_Data[Match],Dyno_Data[[#This Row],[Match]]),0)*86400),0)</f>
        <v>0</v>
      </c>
    </row>
    <row r="3659" spans="1:35" x14ac:dyDescent="0.3">
      <c r="A3659">
        <v>3658</v>
      </c>
      <c r="B3659" t="s">
        <v>1278</v>
      </c>
      <c r="C3659">
        <v>66</v>
      </c>
      <c r="D3659" s="105">
        <v>45374.423810995373</v>
      </c>
      <c r="E3659" t="s">
        <v>312</v>
      </c>
      <c r="F3659" t="s">
        <v>1402</v>
      </c>
      <c r="G3659">
        <v>0</v>
      </c>
      <c r="H3659" t="s">
        <v>315</v>
      </c>
      <c r="I3659">
        <v>0</v>
      </c>
      <c r="J3659">
        <v>0</v>
      </c>
      <c r="K3659">
        <v>0</v>
      </c>
      <c r="L3659" t="s">
        <v>241</v>
      </c>
      <c r="M3659" t="s">
        <v>101</v>
      </c>
      <c r="N3659">
        <v>0</v>
      </c>
      <c r="O3659" t="s">
        <v>319</v>
      </c>
      <c r="P3659" t="s">
        <v>310</v>
      </c>
      <c r="Q3659" t="s">
        <v>310</v>
      </c>
      <c r="R3659" t="s">
        <v>310</v>
      </c>
      <c r="S3659">
        <v>9</v>
      </c>
      <c r="T3659" t="s">
        <v>310</v>
      </c>
      <c r="U3659">
        <v>9</v>
      </c>
      <c r="V3659">
        <v>9</v>
      </c>
      <c r="W3659">
        <v>0</v>
      </c>
      <c r="X3659">
        <v>0</v>
      </c>
      <c r="Y3659">
        <v>0</v>
      </c>
      <c r="Z3659">
        <v>0</v>
      </c>
      <c r="AA3659">
        <v>9</v>
      </c>
      <c r="AB3659">
        <v>9</v>
      </c>
      <c r="AC3659" t="s">
        <v>310</v>
      </c>
      <c r="AD3659">
        <v>9</v>
      </c>
      <c r="AE3659" t="s">
        <v>1396</v>
      </c>
      <c r="AF3659">
        <v>50000000</v>
      </c>
      <c r="AG3659" t="s">
        <v>310</v>
      </c>
      <c r="AH3659">
        <f>SUM((MID(Dyno_Data[[#This Row],[Team]],4,5))+(Dyno_Data[[#This Row],[Match]]/100))</f>
        <v>3951.66</v>
      </c>
      <c r="AI3659" s="76">
        <f>ROUND(SUM(IF(Dyno_Data[[#This Row],[AcqCenter]]&gt;0,Dyno_Data[[#This Row],[Time]]-SUMIFS(Dyno_Data[Time],Dyno_Data[Team],Dyno_Data[[#This Row],[Team]],Dyno_Data[RecordType],"StartMatch",Dyno_Data[Match],Dyno_Data[[#This Row],[Match]]),0)*86400),0)</f>
        <v>0</v>
      </c>
    </row>
    <row r="3660" spans="1:35" x14ac:dyDescent="0.3">
      <c r="A3660">
        <v>3659</v>
      </c>
      <c r="B3660" t="s">
        <v>1294</v>
      </c>
      <c r="C3660">
        <v>66</v>
      </c>
      <c r="D3660" s="105">
        <v>45374.423818287039</v>
      </c>
      <c r="E3660" t="s">
        <v>312</v>
      </c>
      <c r="F3660" t="s">
        <v>1402</v>
      </c>
      <c r="G3660">
        <v>0</v>
      </c>
      <c r="H3660" t="s">
        <v>315</v>
      </c>
      <c r="I3660">
        <v>0</v>
      </c>
      <c r="J3660">
        <v>0</v>
      </c>
      <c r="K3660">
        <v>0</v>
      </c>
      <c r="L3660" t="s">
        <v>240</v>
      </c>
      <c r="M3660" t="s">
        <v>1398</v>
      </c>
      <c r="N3660">
        <v>0</v>
      </c>
      <c r="O3660" t="s">
        <v>1395</v>
      </c>
      <c r="P3660" t="s">
        <v>310</v>
      </c>
      <c r="Q3660" t="s">
        <v>310</v>
      </c>
      <c r="R3660" t="s">
        <v>310</v>
      </c>
      <c r="S3660">
        <v>9</v>
      </c>
      <c r="T3660" t="s">
        <v>310</v>
      </c>
      <c r="U3660">
        <v>9</v>
      </c>
      <c r="V3660">
        <v>9</v>
      </c>
      <c r="W3660">
        <v>0</v>
      </c>
      <c r="X3660">
        <v>0</v>
      </c>
      <c r="Y3660">
        <v>0</v>
      </c>
      <c r="Z3660">
        <v>0</v>
      </c>
      <c r="AA3660">
        <v>9</v>
      </c>
      <c r="AB3660">
        <v>9</v>
      </c>
      <c r="AC3660" t="s">
        <v>310</v>
      </c>
      <c r="AD3660">
        <v>9</v>
      </c>
      <c r="AE3660" t="s">
        <v>1414</v>
      </c>
      <c r="AF3660">
        <v>20000000</v>
      </c>
      <c r="AG3660" t="s">
        <v>310</v>
      </c>
      <c r="AH3660">
        <f>SUM((MID(Dyno_Data[[#This Row],[Team]],4,5))+(Dyno_Data[[#This Row],[Match]]/100))</f>
        <v>9076.66</v>
      </c>
      <c r="AI3660" s="76">
        <f>ROUND(SUM(IF(Dyno_Data[[#This Row],[AcqCenter]]&gt;0,Dyno_Data[[#This Row],[Time]]-SUMIFS(Dyno_Data[Time],Dyno_Data[Team],Dyno_Data[[#This Row],[Team]],Dyno_Data[RecordType],"StartMatch",Dyno_Data[Match],Dyno_Data[[#This Row],[Match]]),0)*86400),0)</f>
        <v>0</v>
      </c>
    </row>
    <row r="3661" spans="1:35" x14ac:dyDescent="0.3">
      <c r="A3661">
        <v>3660</v>
      </c>
      <c r="B3661" t="s">
        <v>1288</v>
      </c>
      <c r="C3661">
        <v>66</v>
      </c>
      <c r="D3661" s="105">
        <v>45374.423900428243</v>
      </c>
      <c r="E3661" t="s">
        <v>312</v>
      </c>
      <c r="F3661" t="s">
        <v>1402</v>
      </c>
      <c r="G3661">
        <v>0</v>
      </c>
      <c r="H3661" t="s">
        <v>315</v>
      </c>
      <c r="I3661">
        <v>0</v>
      </c>
      <c r="J3661">
        <v>0</v>
      </c>
      <c r="K3661">
        <v>0</v>
      </c>
      <c r="L3661" t="s">
        <v>241</v>
      </c>
      <c r="M3661" t="s">
        <v>1398</v>
      </c>
      <c r="N3661">
        <v>0</v>
      </c>
      <c r="O3661" t="s">
        <v>1393</v>
      </c>
      <c r="P3661" t="s">
        <v>310</v>
      </c>
      <c r="Q3661" t="s">
        <v>310</v>
      </c>
      <c r="R3661" t="s">
        <v>310</v>
      </c>
      <c r="S3661">
        <v>9</v>
      </c>
      <c r="T3661" t="s">
        <v>310</v>
      </c>
      <c r="U3661">
        <v>9</v>
      </c>
      <c r="V3661">
        <v>9</v>
      </c>
      <c r="W3661">
        <v>0</v>
      </c>
      <c r="X3661">
        <v>0</v>
      </c>
      <c r="Y3661">
        <v>0</v>
      </c>
      <c r="Z3661">
        <v>0</v>
      </c>
      <c r="AA3661">
        <v>9</v>
      </c>
      <c r="AB3661">
        <v>9</v>
      </c>
      <c r="AC3661" t="s">
        <v>310</v>
      </c>
      <c r="AD3661">
        <v>9</v>
      </c>
      <c r="AE3661" t="s">
        <v>1412</v>
      </c>
      <c r="AF3661">
        <v>60000000</v>
      </c>
      <c r="AG3661" t="s">
        <v>310</v>
      </c>
      <c r="AH3661">
        <f>SUM((MID(Dyno_Data[[#This Row],[Team]],4,5))+(Dyno_Data[[#This Row],[Match]]/100))</f>
        <v>3181.66</v>
      </c>
      <c r="AI3661" s="76">
        <f>ROUND(SUM(IF(Dyno_Data[[#This Row],[AcqCenter]]&gt;0,Dyno_Data[[#This Row],[Time]]-SUMIFS(Dyno_Data[Time],Dyno_Data[Team],Dyno_Data[[#This Row],[Team]],Dyno_Data[RecordType],"StartMatch",Dyno_Data[Match],Dyno_Data[[#This Row],[Match]]),0)*86400),0)</f>
        <v>0</v>
      </c>
    </row>
    <row r="3662" spans="1:35" x14ac:dyDescent="0.3">
      <c r="A3662">
        <v>3661</v>
      </c>
      <c r="B3662" t="s">
        <v>1278</v>
      </c>
      <c r="C3662">
        <v>66</v>
      </c>
      <c r="D3662" s="105">
        <v>45374.423915821761</v>
      </c>
      <c r="E3662" t="s">
        <v>312</v>
      </c>
      <c r="F3662" t="s">
        <v>1402</v>
      </c>
      <c r="G3662">
        <v>0</v>
      </c>
      <c r="H3662" t="s">
        <v>315</v>
      </c>
      <c r="I3662">
        <v>0</v>
      </c>
      <c r="J3662">
        <v>0</v>
      </c>
      <c r="K3662">
        <v>0</v>
      </c>
      <c r="L3662" t="s">
        <v>241</v>
      </c>
      <c r="M3662" t="s">
        <v>101</v>
      </c>
      <c r="N3662">
        <v>0</v>
      </c>
      <c r="O3662" t="s">
        <v>319</v>
      </c>
      <c r="P3662" t="s">
        <v>310</v>
      </c>
      <c r="Q3662" t="s">
        <v>310</v>
      </c>
      <c r="R3662" t="s">
        <v>310</v>
      </c>
      <c r="S3662">
        <v>9</v>
      </c>
      <c r="T3662" t="s">
        <v>310</v>
      </c>
      <c r="U3662">
        <v>9</v>
      </c>
      <c r="V3662">
        <v>9</v>
      </c>
      <c r="W3662">
        <v>0</v>
      </c>
      <c r="X3662">
        <v>0</v>
      </c>
      <c r="Y3662">
        <v>0</v>
      </c>
      <c r="Z3662">
        <v>0</v>
      </c>
      <c r="AA3662">
        <v>9</v>
      </c>
      <c r="AB3662">
        <v>9</v>
      </c>
      <c r="AC3662" t="s">
        <v>310</v>
      </c>
      <c r="AD3662">
        <v>9</v>
      </c>
      <c r="AE3662" t="s">
        <v>1396</v>
      </c>
      <c r="AF3662">
        <v>60000000</v>
      </c>
      <c r="AG3662" t="s">
        <v>310</v>
      </c>
      <c r="AH3662">
        <f>SUM((MID(Dyno_Data[[#This Row],[Team]],4,5))+(Dyno_Data[[#This Row],[Match]]/100))</f>
        <v>3951.66</v>
      </c>
      <c r="AI3662" s="76">
        <f>ROUND(SUM(IF(Dyno_Data[[#This Row],[AcqCenter]]&gt;0,Dyno_Data[[#This Row],[Time]]-SUMIFS(Dyno_Data[Time],Dyno_Data[Team],Dyno_Data[[#This Row],[Team]],Dyno_Data[RecordType],"StartMatch",Dyno_Data[Match],Dyno_Data[[#This Row],[Match]]),0)*86400),0)</f>
        <v>0</v>
      </c>
    </row>
    <row r="3663" spans="1:35" x14ac:dyDescent="0.3">
      <c r="A3663">
        <v>3662</v>
      </c>
      <c r="B3663" t="s">
        <v>368</v>
      </c>
      <c r="C3663">
        <v>66</v>
      </c>
      <c r="D3663" s="105">
        <v>45374.423960532411</v>
      </c>
      <c r="E3663" t="s">
        <v>312</v>
      </c>
      <c r="F3663" t="s">
        <v>1402</v>
      </c>
      <c r="G3663">
        <v>0</v>
      </c>
      <c r="H3663" t="s">
        <v>315</v>
      </c>
      <c r="I3663">
        <v>0</v>
      </c>
      <c r="J3663">
        <v>0</v>
      </c>
      <c r="K3663">
        <v>0</v>
      </c>
      <c r="L3663" t="s">
        <v>241</v>
      </c>
      <c r="M3663" t="s">
        <v>1398</v>
      </c>
      <c r="N3663">
        <v>0</v>
      </c>
      <c r="O3663" t="s">
        <v>1391</v>
      </c>
      <c r="P3663" t="s">
        <v>310</v>
      </c>
      <c r="Q3663" t="s">
        <v>310</v>
      </c>
      <c r="R3663" t="s">
        <v>310</v>
      </c>
      <c r="S3663">
        <v>9</v>
      </c>
      <c r="T3663" t="s">
        <v>310</v>
      </c>
      <c r="U3663">
        <v>9</v>
      </c>
      <c r="V3663">
        <v>9</v>
      </c>
      <c r="W3663">
        <v>0</v>
      </c>
      <c r="X3663">
        <v>0</v>
      </c>
      <c r="Y3663">
        <v>0</v>
      </c>
      <c r="Z3663">
        <v>0</v>
      </c>
      <c r="AA3663">
        <v>9</v>
      </c>
      <c r="AB3663">
        <v>9</v>
      </c>
      <c r="AC3663" t="s">
        <v>310</v>
      </c>
      <c r="AD3663">
        <v>9</v>
      </c>
      <c r="AE3663" t="s">
        <v>1390</v>
      </c>
      <c r="AF3663">
        <v>40000000</v>
      </c>
      <c r="AG3663" t="s">
        <v>310</v>
      </c>
      <c r="AH3663">
        <f>SUM((MID(Dyno_Data[[#This Row],[Team]],4,5))+(Dyno_Data[[#This Row],[Match]]/100))</f>
        <v>6401.66</v>
      </c>
      <c r="AI3663" s="76">
        <f>ROUND(SUM(IF(Dyno_Data[[#This Row],[AcqCenter]]&gt;0,Dyno_Data[[#This Row],[Time]]-SUMIFS(Dyno_Data[Time],Dyno_Data[Team],Dyno_Data[[#This Row],[Team]],Dyno_Data[RecordType],"StartMatch",Dyno_Data[Match],Dyno_Data[[#This Row],[Match]]),0)*86400),0)</f>
        <v>0</v>
      </c>
    </row>
    <row r="3664" spans="1:35" x14ac:dyDescent="0.3">
      <c r="A3664">
        <v>3663</v>
      </c>
      <c r="B3664" t="s">
        <v>1288</v>
      </c>
      <c r="C3664">
        <v>66</v>
      </c>
      <c r="D3664" s="105">
        <v>45374.42403908565</v>
      </c>
      <c r="E3664" t="s">
        <v>312</v>
      </c>
      <c r="F3664" t="s">
        <v>1402</v>
      </c>
      <c r="G3664">
        <v>0</v>
      </c>
      <c r="H3664" t="s">
        <v>315</v>
      </c>
      <c r="I3664">
        <v>0</v>
      </c>
      <c r="J3664">
        <v>0</v>
      </c>
      <c r="K3664">
        <v>0</v>
      </c>
      <c r="L3664" t="s">
        <v>241</v>
      </c>
      <c r="M3664" t="s">
        <v>1398</v>
      </c>
      <c r="N3664">
        <v>0</v>
      </c>
      <c r="O3664" t="s">
        <v>1393</v>
      </c>
      <c r="P3664" t="s">
        <v>310</v>
      </c>
      <c r="Q3664" t="s">
        <v>310</v>
      </c>
      <c r="R3664" t="s">
        <v>310</v>
      </c>
      <c r="S3664">
        <v>9</v>
      </c>
      <c r="T3664" t="s">
        <v>310</v>
      </c>
      <c r="U3664">
        <v>9</v>
      </c>
      <c r="V3664">
        <v>9</v>
      </c>
      <c r="W3664">
        <v>0</v>
      </c>
      <c r="X3664">
        <v>0</v>
      </c>
      <c r="Y3664">
        <v>0</v>
      </c>
      <c r="Z3664">
        <v>0</v>
      </c>
      <c r="AA3664">
        <v>9</v>
      </c>
      <c r="AB3664">
        <v>9</v>
      </c>
      <c r="AC3664" t="s">
        <v>310</v>
      </c>
      <c r="AD3664">
        <v>9</v>
      </c>
      <c r="AE3664" t="s">
        <v>1412</v>
      </c>
      <c r="AF3664">
        <v>70000000</v>
      </c>
      <c r="AG3664" t="s">
        <v>310</v>
      </c>
      <c r="AH3664">
        <f>SUM((MID(Dyno_Data[[#This Row],[Team]],4,5))+(Dyno_Data[[#This Row],[Match]]/100))</f>
        <v>3181.66</v>
      </c>
      <c r="AI3664" s="76">
        <f>ROUND(SUM(IF(Dyno_Data[[#This Row],[AcqCenter]]&gt;0,Dyno_Data[[#This Row],[Time]]-SUMIFS(Dyno_Data[Time],Dyno_Data[Team],Dyno_Data[[#This Row],[Team]],Dyno_Data[RecordType],"StartMatch",Dyno_Data[Match],Dyno_Data[[#This Row],[Match]]),0)*86400),0)</f>
        <v>0</v>
      </c>
    </row>
    <row r="3665" spans="1:35" x14ac:dyDescent="0.3">
      <c r="A3665">
        <v>3664</v>
      </c>
      <c r="B3665" t="s">
        <v>1294</v>
      </c>
      <c r="C3665">
        <v>66</v>
      </c>
      <c r="D3665" s="105">
        <v>45374.424144097226</v>
      </c>
      <c r="E3665" t="s">
        <v>312</v>
      </c>
      <c r="F3665" t="s">
        <v>1402</v>
      </c>
      <c r="G3665">
        <v>0</v>
      </c>
      <c r="H3665" t="s">
        <v>315</v>
      </c>
      <c r="I3665">
        <v>0</v>
      </c>
      <c r="J3665">
        <v>0</v>
      </c>
      <c r="K3665">
        <v>0</v>
      </c>
      <c r="L3665" t="s">
        <v>240</v>
      </c>
      <c r="M3665" t="s">
        <v>1398</v>
      </c>
      <c r="N3665">
        <v>0</v>
      </c>
      <c r="O3665" t="s">
        <v>1395</v>
      </c>
      <c r="P3665" t="s">
        <v>310</v>
      </c>
      <c r="Q3665" t="s">
        <v>310</v>
      </c>
      <c r="R3665" t="s">
        <v>310</v>
      </c>
      <c r="S3665">
        <v>9</v>
      </c>
      <c r="T3665" t="s">
        <v>310</v>
      </c>
      <c r="U3665">
        <v>9</v>
      </c>
      <c r="V3665">
        <v>9</v>
      </c>
      <c r="W3665">
        <v>0</v>
      </c>
      <c r="X3665">
        <v>0</v>
      </c>
      <c r="Y3665">
        <v>0</v>
      </c>
      <c r="Z3665">
        <v>0</v>
      </c>
      <c r="AA3665">
        <v>9</v>
      </c>
      <c r="AB3665">
        <v>9</v>
      </c>
      <c r="AC3665" t="s">
        <v>310</v>
      </c>
      <c r="AD3665">
        <v>9</v>
      </c>
      <c r="AE3665" t="s">
        <v>1414</v>
      </c>
      <c r="AF3665">
        <v>30100000</v>
      </c>
      <c r="AG3665" t="s">
        <v>310</v>
      </c>
      <c r="AH3665">
        <f>SUM((MID(Dyno_Data[[#This Row],[Team]],4,5))+(Dyno_Data[[#This Row],[Match]]/100))</f>
        <v>9076.66</v>
      </c>
      <c r="AI3665" s="76">
        <f>ROUND(SUM(IF(Dyno_Data[[#This Row],[AcqCenter]]&gt;0,Dyno_Data[[#This Row],[Time]]-SUMIFS(Dyno_Data[Time],Dyno_Data[Team],Dyno_Data[[#This Row],[Team]],Dyno_Data[RecordType],"StartMatch",Dyno_Data[Match],Dyno_Data[[#This Row],[Match]]),0)*86400),0)</f>
        <v>0</v>
      </c>
    </row>
    <row r="3666" spans="1:35" x14ac:dyDescent="0.3">
      <c r="A3666">
        <v>3665</v>
      </c>
      <c r="B3666" t="s">
        <v>1278</v>
      </c>
      <c r="C3666">
        <v>66</v>
      </c>
      <c r="D3666" s="105">
        <v>45374.424232256948</v>
      </c>
      <c r="E3666" t="s">
        <v>312</v>
      </c>
      <c r="F3666" t="s">
        <v>1402</v>
      </c>
      <c r="G3666">
        <v>0</v>
      </c>
      <c r="H3666" t="s">
        <v>315</v>
      </c>
      <c r="I3666">
        <v>0</v>
      </c>
      <c r="J3666">
        <v>0</v>
      </c>
      <c r="K3666">
        <v>0</v>
      </c>
      <c r="L3666" t="s">
        <v>241</v>
      </c>
      <c r="M3666" t="s">
        <v>101</v>
      </c>
      <c r="N3666">
        <v>0</v>
      </c>
      <c r="O3666" t="s">
        <v>319</v>
      </c>
      <c r="P3666" t="s">
        <v>310</v>
      </c>
      <c r="Q3666" t="s">
        <v>310</v>
      </c>
      <c r="R3666" t="s">
        <v>310</v>
      </c>
      <c r="S3666">
        <v>9</v>
      </c>
      <c r="T3666" t="s">
        <v>310</v>
      </c>
      <c r="U3666">
        <v>9</v>
      </c>
      <c r="V3666">
        <v>9</v>
      </c>
      <c r="W3666">
        <v>0</v>
      </c>
      <c r="X3666">
        <v>0</v>
      </c>
      <c r="Y3666">
        <v>0</v>
      </c>
      <c r="Z3666">
        <v>0</v>
      </c>
      <c r="AA3666">
        <v>9</v>
      </c>
      <c r="AB3666">
        <v>9</v>
      </c>
      <c r="AC3666" t="s">
        <v>310</v>
      </c>
      <c r="AD3666">
        <v>9</v>
      </c>
      <c r="AE3666" t="s">
        <v>1396</v>
      </c>
      <c r="AF3666">
        <v>70000000</v>
      </c>
      <c r="AG3666" t="s">
        <v>310</v>
      </c>
      <c r="AH3666">
        <f>SUM((MID(Dyno_Data[[#This Row],[Team]],4,5))+(Dyno_Data[[#This Row],[Match]]/100))</f>
        <v>3951.66</v>
      </c>
      <c r="AI3666" s="76">
        <f>ROUND(SUM(IF(Dyno_Data[[#This Row],[AcqCenter]]&gt;0,Dyno_Data[[#This Row],[Time]]-SUMIFS(Dyno_Data[Time],Dyno_Data[Team],Dyno_Data[[#This Row],[Team]],Dyno_Data[RecordType],"StartMatch",Dyno_Data[Match],Dyno_Data[[#This Row],[Match]]),0)*86400),0)</f>
        <v>0</v>
      </c>
    </row>
    <row r="3667" spans="1:35" x14ac:dyDescent="0.3">
      <c r="A3667">
        <v>3666</v>
      </c>
      <c r="B3667" t="s">
        <v>1294</v>
      </c>
      <c r="C3667">
        <v>66</v>
      </c>
      <c r="D3667" s="105">
        <v>45374.42438827546</v>
      </c>
      <c r="E3667" t="s">
        <v>312</v>
      </c>
      <c r="F3667" t="s">
        <v>1402</v>
      </c>
      <c r="G3667">
        <v>0</v>
      </c>
      <c r="H3667" t="s">
        <v>315</v>
      </c>
      <c r="I3667">
        <v>0</v>
      </c>
      <c r="J3667">
        <v>0</v>
      </c>
      <c r="K3667">
        <v>0</v>
      </c>
      <c r="L3667" t="s">
        <v>241</v>
      </c>
      <c r="M3667" t="s">
        <v>1398</v>
      </c>
      <c r="N3667">
        <v>0</v>
      </c>
      <c r="O3667" t="s">
        <v>1395</v>
      </c>
      <c r="P3667" t="s">
        <v>310</v>
      </c>
      <c r="Q3667" t="s">
        <v>310</v>
      </c>
      <c r="R3667" t="s">
        <v>310</v>
      </c>
      <c r="S3667">
        <v>9</v>
      </c>
      <c r="T3667" t="s">
        <v>310</v>
      </c>
      <c r="U3667">
        <v>9</v>
      </c>
      <c r="V3667">
        <v>9</v>
      </c>
      <c r="W3667">
        <v>0</v>
      </c>
      <c r="X3667">
        <v>0</v>
      </c>
      <c r="Y3667">
        <v>0</v>
      </c>
      <c r="Z3667">
        <v>0</v>
      </c>
      <c r="AA3667">
        <v>9</v>
      </c>
      <c r="AB3667">
        <v>9</v>
      </c>
      <c r="AC3667" t="s">
        <v>310</v>
      </c>
      <c r="AD3667">
        <v>9</v>
      </c>
      <c r="AE3667" t="s">
        <v>1414</v>
      </c>
      <c r="AF3667">
        <v>40100000</v>
      </c>
      <c r="AG3667" t="s">
        <v>310</v>
      </c>
      <c r="AH3667">
        <f>SUM((MID(Dyno_Data[[#This Row],[Team]],4,5))+(Dyno_Data[[#This Row],[Match]]/100))</f>
        <v>9076.66</v>
      </c>
      <c r="AI3667" s="76">
        <f>ROUND(SUM(IF(Dyno_Data[[#This Row],[AcqCenter]]&gt;0,Dyno_Data[[#This Row],[Time]]-SUMIFS(Dyno_Data[Time],Dyno_Data[Team],Dyno_Data[[#This Row],[Team]],Dyno_Data[RecordType],"StartMatch",Dyno_Data[Match],Dyno_Data[[#This Row],[Match]]),0)*86400),0)</f>
        <v>0</v>
      </c>
    </row>
    <row r="3668" spans="1:35" x14ac:dyDescent="0.3">
      <c r="A3668">
        <v>3667</v>
      </c>
      <c r="B3668" t="s">
        <v>1288</v>
      </c>
      <c r="C3668">
        <v>66</v>
      </c>
      <c r="D3668" s="105">
        <v>45374.424420289353</v>
      </c>
      <c r="E3668" t="s">
        <v>312</v>
      </c>
      <c r="F3668" t="s">
        <v>1402</v>
      </c>
      <c r="G3668">
        <v>0</v>
      </c>
      <c r="H3668" t="s">
        <v>315</v>
      </c>
      <c r="I3668">
        <v>0</v>
      </c>
      <c r="J3668">
        <v>0</v>
      </c>
      <c r="K3668">
        <v>0</v>
      </c>
      <c r="L3668" t="s">
        <v>241</v>
      </c>
      <c r="M3668" t="s">
        <v>1398</v>
      </c>
      <c r="N3668">
        <v>0</v>
      </c>
      <c r="O3668" t="s">
        <v>1393</v>
      </c>
      <c r="P3668" t="s">
        <v>310</v>
      </c>
      <c r="Q3668" t="s">
        <v>310</v>
      </c>
      <c r="R3668" t="s">
        <v>310</v>
      </c>
      <c r="S3668">
        <v>9</v>
      </c>
      <c r="T3668" t="s">
        <v>310</v>
      </c>
      <c r="U3668">
        <v>9</v>
      </c>
      <c r="V3668">
        <v>9</v>
      </c>
      <c r="W3668">
        <v>0</v>
      </c>
      <c r="X3668">
        <v>0</v>
      </c>
      <c r="Y3668">
        <v>0</v>
      </c>
      <c r="Z3668">
        <v>0</v>
      </c>
      <c r="AA3668">
        <v>9</v>
      </c>
      <c r="AB3668">
        <v>9</v>
      </c>
      <c r="AC3668" t="s">
        <v>310</v>
      </c>
      <c r="AD3668">
        <v>9</v>
      </c>
      <c r="AE3668" t="s">
        <v>1412</v>
      </c>
      <c r="AF3668">
        <v>80000000</v>
      </c>
      <c r="AG3668" t="s">
        <v>310</v>
      </c>
      <c r="AH3668">
        <f>SUM((MID(Dyno_Data[[#This Row],[Team]],4,5))+(Dyno_Data[[#This Row],[Match]]/100))</f>
        <v>3181.66</v>
      </c>
      <c r="AI3668" s="76">
        <f>ROUND(SUM(IF(Dyno_Data[[#This Row],[AcqCenter]]&gt;0,Dyno_Data[[#This Row],[Time]]-SUMIFS(Dyno_Data[Time],Dyno_Data[Team],Dyno_Data[[#This Row],[Team]],Dyno_Data[RecordType],"StartMatch",Dyno_Data[Match],Dyno_Data[[#This Row],[Match]]),0)*86400),0)</f>
        <v>0</v>
      </c>
    </row>
    <row r="3669" spans="1:35" x14ac:dyDescent="0.3">
      <c r="A3669">
        <v>3668</v>
      </c>
      <c r="B3669" t="s">
        <v>1288</v>
      </c>
      <c r="C3669">
        <v>66</v>
      </c>
      <c r="D3669" s="105">
        <v>45374.424560104169</v>
      </c>
      <c r="E3669" t="s">
        <v>1403</v>
      </c>
      <c r="F3669" t="s">
        <v>317</v>
      </c>
      <c r="G3669">
        <v>0</v>
      </c>
      <c r="H3669" t="s">
        <v>310</v>
      </c>
      <c r="I3669">
        <v>0</v>
      </c>
      <c r="J3669">
        <v>0</v>
      </c>
      <c r="K3669">
        <v>0</v>
      </c>
      <c r="L3669" t="s">
        <v>310</v>
      </c>
      <c r="M3669" t="s">
        <v>310</v>
      </c>
      <c r="N3669">
        <v>0</v>
      </c>
      <c r="O3669" t="s">
        <v>1393</v>
      </c>
      <c r="P3669" t="s">
        <v>310</v>
      </c>
      <c r="Q3669" t="s">
        <v>310</v>
      </c>
      <c r="R3669" t="s">
        <v>310</v>
      </c>
      <c r="S3669">
        <v>9</v>
      </c>
      <c r="T3669" t="s">
        <v>310</v>
      </c>
      <c r="U3669">
        <v>9</v>
      </c>
      <c r="V3669">
        <v>9</v>
      </c>
      <c r="W3669">
        <v>0</v>
      </c>
      <c r="X3669">
        <v>0</v>
      </c>
      <c r="Y3669">
        <v>0</v>
      </c>
      <c r="Z3669">
        <v>0</v>
      </c>
      <c r="AA3669">
        <v>9</v>
      </c>
      <c r="AB3669">
        <v>9</v>
      </c>
      <c r="AC3669" t="s">
        <v>310</v>
      </c>
      <c r="AD3669">
        <v>9</v>
      </c>
      <c r="AE3669" t="s">
        <v>1412</v>
      </c>
      <c r="AF3669">
        <v>80000000</v>
      </c>
      <c r="AG3669" t="s">
        <v>248</v>
      </c>
      <c r="AH3669">
        <f>SUM((MID(Dyno_Data[[#This Row],[Team]],4,5))+(Dyno_Data[[#This Row],[Match]]/100))</f>
        <v>3181.66</v>
      </c>
      <c r="AI3669" s="76">
        <f>ROUND(SUM(IF(Dyno_Data[[#This Row],[AcqCenter]]&gt;0,Dyno_Data[[#This Row],[Time]]-SUMIFS(Dyno_Data[Time],Dyno_Data[Team],Dyno_Data[[#This Row],[Team]],Dyno_Data[RecordType],"StartMatch",Dyno_Data[Match],Dyno_Data[[#This Row],[Match]]),0)*86400),0)</f>
        <v>0</v>
      </c>
    </row>
    <row r="3670" spans="1:35" x14ac:dyDescent="0.3">
      <c r="A3670">
        <v>3669</v>
      </c>
      <c r="B3670" t="s">
        <v>1301</v>
      </c>
      <c r="C3670">
        <v>66</v>
      </c>
      <c r="D3670" s="105">
        <v>45374.426114467591</v>
      </c>
      <c r="E3670" t="s">
        <v>316</v>
      </c>
      <c r="F3670" t="s">
        <v>317</v>
      </c>
      <c r="G3670">
        <v>0</v>
      </c>
      <c r="H3670" t="s">
        <v>310</v>
      </c>
      <c r="I3670">
        <v>0</v>
      </c>
      <c r="J3670">
        <v>0</v>
      </c>
      <c r="K3670">
        <v>0</v>
      </c>
      <c r="L3670" t="s">
        <v>310</v>
      </c>
      <c r="M3670" t="s">
        <v>310</v>
      </c>
      <c r="N3670">
        <v>0</v>
      </c>
      <c r="O3670" t="s">
        <v>311</v>
      </c>
      <c r="P3670" t="s">
        <v>320</v>
      </c>
      <c r="Q3670" t="s">
        <v>1400</v>
      </c>
      <c r="R3670" t="s">
        <v>1404</v>
      </c>
      <c r="S3670">
        <v>0</v>
      </c>
      <c r="T3670" t="s">
        <v>105</v>
      </c>
      <c r="U3670">
        <v>9</v>
      </c>
      <c r="V3670">
        <v>9</v>
      </c>
      <c r="W3670">
        <v>0</v>
      </c>
      <c r="X3670">
        <v>0</v>
      </c>
      <c r="Y3670">
        <v>26.192103899999999</v>
      </c>
      <c r="Z3670">
        <v>107.71223169999999</v>
      </c>
      <c r="AA3670">
        <v>3</v>
      </c>
      <c r="AB3670">
        <v>0</v>
      </c>
      <c r="AC3670" t="s">
        <v>170</v>
      </c>
      <c r="AD3670">
        <v>9</v>
      </c>
      <c r="AE3670" t="s">
        <v>1388</v>
      </c>
      <c r="AF3670">
        <v>0</v>
      </c>
      <c r="AG3670" t="s">
        <v>310</v>
      </c>
      <c r="AH3670">
        <f>SUM((MID(Dyno_Data[[#This Row],[Team]],4,5))+(Dyno_Data[[#This Row],[Match]]/100))</f>
        <v>7031.66</v>
      </c>
      <c r="AI3670" s="76">
        <f>ROUND(SUM(IF(Dyno_Data[[#This Row],[AcqCenter]]&gt;0,Dyno_Data[[#This Row],[Time]]-SUMIFS(Dyno_Data[Time],Dyno_Data[Team],Dyno_Data[[#This Row],[Team]],Dyno_Data[RecordType],"StartMatch",Dyno_Data[Match],Dyno_Data[[#This Row],[Match]]),0)*86400),0)</f>
        <v>0</v>
      </c>
    </row>
    <row r="3671" spans="1:35" x14ac:dyDescent="0.3">
      <c r="A3671">
        <v>3670</v>
      </c>
      <c r="B3671" t="s">
        <v>368</v>
      </c>
      <c r="C3671">
        <v>66</v>
      </c>
      <c r="D3671" s="105">
        <v>45374.426114467591</v>
      </c>
      <c r="E3671" t="s">
        <v>316</v>
      </c>
      <c r="F3671" t="s">
        <v>317</v>
      </c>
      <c r="G3671">
        <v>0</v>
      </c>
      <c r="H3671" t="s">
        <v>310</v>
      </c>
      <c r="I3671">
        <v>0</v>
      </c>
      <c r="J3671">
        <v>0</v>
      </c>
      <c r="K3671">
        <v>0</v>
      </c>
      <c r="L3671" t="s">
        <v>310</v>
      </c>
      <c r="M3671" t="s">
        <v>310</v>
      </c>
      <c r="N3671">
        <v>0</v>
      </c>
      <c r="O3671" t="s">
        <v>1391</v>
      </c>
      <c r="P3671" t="s">
        <v>1401</v>
      </c>
      <c r="Q3671" t="s">
        <v>1399</v>
      </c>
      <c r="R3671" t="s">
        <v>1405</v>
      </c>
      <c r="S3671">
        <v>1</v>
      </c>
      <c r="T3671" t="s">
        <v>1406</v>
      </c>
      <c r="U3671">
        <v>0</v>
      </c>
      <c r="V3671">
        <v>0</v>
      </c>
      <c r="W3671">
        <v>12.5484589</v>
      </c>
      <c r="X3671">
        <v>0</v>
      </c>
      <c r="Y3671">
        <v>21.924125799999999</v>
      </c>
      <c r="Z3671">
        <v>94.4726699</v>
      </c>
      <c r="AA3671">
        <v>0</v>
      </c>
      <c r="AB3671">
        <v>2</v>
      </c>
      <c r="AC3671" t="s">
        <v>174</v>
      </c>
      <c r="AD3671">
        <v>0</v>
      </c>
      <c r="AE3671" t="s">
        <v>1390</v>
      </c>
      <c r="AF3671">
        <v>40000000</v>
      </c>
      <c r="AG3671" t="s">
        <v>310</v>
      </c>
      <c r="AH3671">
        <f>SUM((MID(Dyno_Data[[#This Row],[Team]],4,5))+(Dyno_Data[[#This Row],[Match]]/100))</f>
        <v>6401.66</v>
      </c>
      <c r="AI3671" s="76">
        <f>ROUND(SUM(IF(Dyno_Data[[#This Row],[AcqCenter]]&gt;0,Dyno_Data[[#This Row],[Time]]-SUMIFS(Dyno_Data[Time],Dyno_Data[Team],Dyno_Data[[#This Row],[Team]],Dyno_Data[RecordType],"StartMatch",Dyno_Data[Match],Dyno_Data[[#This Row],[Match]]),0)*86400),0)</f>
        <v>0</v>
      </c>
    </row>
    <row r="3672" spans="1:35" x14ac:dyDescent="0.3">
      <c r="A3672">
        <v>3671</v>
      </c>
      <c r="B3672" t="s">
        <v>1278</v>
      </c>
      <c r="C3672">
        <v>66</v>
      </c>
      <c r="D3672" s="105">
        <v>45374.426114618058</v>
      </c>
      <c r="E3672" t="s">
        <v>316</v>
      </c>
      <c r="F3672" t="s">
        <v>317</v>
      </c>
      <c r="G3672">
        <v>1</v>
      </c>
      <c r="H3672" t="s">
        <v>310</v>
      </c>
      <c r="I3672">
        <v>0</v>
      </c>
      <c r="J3672">
        <v>0</v>
      </c>
      <c r="K3672">
        <v>0</v>
      </c>
      <c r="L3672" t="s">
        <v>310</v>
      </c>
      <c r="M3672" t="s">
        <v>310</v>
      </c>
      <c r="N3672">
        <v>0</v>
      </c>
      <c r="O3672" t="s">
        <v>319</v>
      </c>
      <c r="P3672" t="s">
        <v>240</v>
      </c>
      <c r="Q3672" t="s">
        <v>1400</v>
      </c>
      <c r="R3672" t="s">
        <v>1404</v>
      </c>
      <c r="S3672">
        <v>-1</v>
      </c>
      <c r="T3672" t="s">
        <v>105</v>
      </c>
      <c r="U3672">
        <v>9</v>
      </c>
      <c r="V3672">
        <v>9</v>
      </c>
      <c r="W3672">
        <v>9.6098976</v>
      </c>
      <c r="X3672">
        <v>0.37623429999999997</v>
      </c>
      <c r="Y3672">
        <v>36.755859699999995</v>
      </c>
      <c r="Z3672">
        <v>76.510609299999999</v>
      </c>
      <c r="AA3672">
        <v>0</v>
      </c>
      <c r="AB3672">
        <v>0</v>
      </c>
      <c r="AC3672" t="s">
        <v>173</v>
      </c>
      <c r="AD3672">
        <v>9</v>
      </c>
      <c r="AE3672" t="s">
        <v>1396</v>
      </c>
      <c r="AF3672">
        <v>70000000</v>
      </c>
      <c r="AG3672" t="s">
        <v>310</v>
      </c>
      <c r="AH3672">
        <f>SUM((MID(Dyno_Data[[#This Row],[Team]],4,5))+(Dyno_Data[[#This Row],[Match]]/100))</f>
        <v>3951.66</v>
      </c>
      <c r="AI3672" s="76">
        <f>ROUND(SUM(IF(Dyno_Data[[#This Row],[AcqCenter]]&gt;0,Dyno_Data[[#This Row],[Time]]-SUMIFS(Dyno_Data[Time],Dyno_Data[Team],Dyno_Data[[#This Row],[Team]],Dyno_Data[RecordType],"StartMatch",Dyno_Data[Match],Dyno_Data[[#This Row],[Match]]),0)*86400),0)</f>
        <v>0</v>
      </c>
    </row>
    <row r="3673" spans="1:35" x14ac:dyDescent="0.3">
      <c r="A3673">
        <v>3672</v>
      </c>
      <c r="B3673" t="s">
        <v>1288</v>
      </c>
      <c r="C3673">
        <v>66</v>
      </c>
      <c r="D3673" s="105">
        <v>45374.426114814814</v>
      </c>
      <c r="E3673" t="s">
        <v>316</v>
      </c>
      <c r="F3673" t="s">
        <v>317</v>
      </c>
      <c r="G3673">
        <v>1</v>
      </c>
      <c r="H3673" t="s">
        <v>310</v>
      </c>
      <c r="I3673">
        <v>0</v>
      </c>
      <c r="J3673">
        <v>0</v>
      </c>
      <c r="K3673">
        <v>0</v>
      </c>
      <c r="L3673" t="s">
        <v>310</v>
      </c>
      <c r="M3673" t="s">
        <v>310</v>
      </c>
      <c r="N3673">
        <v>0</v>
      </c>
      <c r="O3673" t="s">
        <v>1393</v>
      </c>
      <c r="P3673" t="s">
        <v>1401</v>
      </c>
      <c r="Q3673" t="s">
        <v>1399</v>
      </c>
      <c r="R3673" t="s">
        <v>1404</v>
      </c>
      <c r="S3673">
        <v>-1</v>
      </c>
      <c r="T3673" t="s">
        <v>105</v>
      </c>
      <c r="U3673">
        <v>9</v>
      </c>
      <c r="V3673">
        <v>9</v>
      </c>
      <c r="W3673">
        <v>8.6130166999999993</v>
      </c>
      <c r="X3673">
        <v>15.5193023</v>
      </c>
      <c r="Y3673">
        <v>12.2315434</v>
      </c>
      <c r="Z3673">
        <v>101.03613249999999</v>
      </c>
      <c r="AA3673">
        <v>0</v>
      </c>
      <c r="AB3673">
        <v>1</v>
      </c>
      <c r="AC3673" t="s">
        <v>173</v>
      </c>
      <c r="AD3673">
        <v>0</v>
      </c>
      <c r="AE3673" t="s">
        <v>1412</v>
      </c>
      <c r="AF3673">
        <v>80000000</v>
      </c>
      <c r="AG3673" t="s">
        <v>310</v>
      </c>
      <c r="AH3673">
        <f>SUM((MID(Dyno_Data[[#This Row],[Team]],4,5))+(Dyno_Data[[#This Row],[Match]]/100))</f>
        <v>3181.66</v>
      </c>
      <c r="AI3673" s="76">
        <f>ROUND(SUM(IF(Dyno_Data[[#This Row],[AcqCenter]]&gt;0,Dyno_Data[[#This Row],[Time]]-SUMIFS(Dyno_Data[Time],Dyno_Data[Team],Dyno_Data[[#This Row],[Team]],Dyno_Data[RecordType],"StartMatch",Dyno_Data[Match],Dyno_Data[[#This Row],[Match]]),0)*86400),0)</f>
        <v>0</v>
      </c>
    </row>
    <row r="3674" spans="1:35" x14ac:dyDescent="0.3">
      <c r="A3674">
        <v>3673</v>
      </c>
      <c r="B3674" t="s">
        <v>1311</v>
      </c>
      <c r="C3674">
        <v>66</v>
      </c>
      <c r="D3674" s="105">
        <v>45374.426114814814</v>
      </c>
      <c r="E3674" t="s">
        <v>316</v>
      </c>
      <c r="F3674" t="s">
        <v>317</v>
      </c>
      <c r="G3674">
        <v>1</v>
      </c>
      <c r="H3674" t="s">
        <v>310</v>
      </c>
      <c r="I3674">
        <v>0</v>
      </c>
      <c r="J3674">
        <v>0</v>
      </c>
      <c r="K3674">
        <v>0</v>
      </c>
      <c r="L3674" t="s">
        <v>310</v>
      </c>
      <c r="M3674" t="s">
        <v>310</v>
      </c>
      <c r="N3674">
        <v>0</v>
      </c>
      <c r="O3674" t="s">
        <v>1389</v>
      </c>
      <c r="P3674" t="s">
        <v>320</v>
      </c>
      <c r="Q3674" t="s">
        <v>1400</v>
      </c>
      <c r="R3674" t="s">
        <v>1404</v>
      </c>
      <c r="S3674">
        <v>0</v>
      </c>
      <c r="T3674" t="s">
        <v>105</v>
      </c>
      <c r="U3674">
        <v>9</v>
      </c>
      <c r="V3674">
        <v>9</v>
      </c>
      <c r="W3674">
        <v>0</v>
      </c>
      <c r="X3674">
        <v>72.9605806</v>
      </c>
      <c r="Y3674">
        <v>38.157578600000001</v>
      </c>
      <c r="Z3674">
        <v>29.047408999999998</v>
      </c>
      <c r="AA3674">
        <v>3</v>
      </c>
      <c r="AB3674">
        <v>0</v>
      </c>
      <c r="AC3674" t="s">
        <v>170</v>
      </c>
      <c r="AD3674">
        <v>9</v>
      </c>
      <c r="AE3674" t="s">
        <v>1413</v>
      </c>
      <c r="AF3674">
        <v>0</v>
      </c>
      <c r="AG3674" t="s">
        <v>310</v>
      </c>
      <c r="AH3674">
        <f>SUM((MID(Dyno_Data[[#This Row],[Team]],4,5))+(Dyno_Data[[#This Row],[Match]]/100))</f>
        <v>2234.66</v>
      </c>
      <c r="AI3674" s="76">
        <f>ROUND(SUM(IF(Dyno_Data[[#This Row],[AcqCenter]]&gt;0,Dyno_Data[[#This Row],[Time]]-SUMIFS(Dyno_Data[Time],Dyno_Data[Team],Dyno_Data[[#This Row],[Team]],Dyno_Data[RecordType],"StartMatch",Dyno_Data[Match],Dyno_Data[[#This Row],[Match]]),0)*86400),0)</f>
        <v>0</v>
      </c>
    </row>
    <row r="3675" spans="1:35" x14ac:dyDescent="0.3">
      <c r="A3675">
        <v>3674</v>
      </c>
      <c r="B3675" t="s">
        <v>1294</v>
      </c>
      <c r="C3675">
        <v>66</v>
      </c>
      <c r="D3675" s="105">
        <v>45374.426115011571</v>
      </c>
      <c r="E3675" t="s">
        <v>316</v>
      </c>
      <c r="F3675" t="s">
        <v>317</v>
      </c>
      <c r="G3675">
        <v>1</v>
      </c>
      <c r="H3675" t="s">
        <v>310</v>
      </c>
      <c r="I3675">
        <v>0</v>
      </c>
      <c r="J3675">
        <v>0</v>
      </c>
      <c r="K3675">
        <v>0</v>
      </c>
      <c r="L3675" t="s">
        <v>310</v>
      </c>
      <c r="M3675" t="s">
        <v>310</v>
      </c>
      <c r="N3675">
        <v>0</v>
      </c>
      <c r="O3675" t="s">
        <v>1395</v>
      </c>
      <c r="P3675" t="s">
        <v>101</v>
      </c>
      <c r="Q3675" t="s">
        <v>1400</v>
      </c>
      <c r="R3675" t="s">
        <v>1404</v>
      </c>
      <c r="S3675">
        <v>0</v>
      </c>
      <c r="T3675" t="s">
        <v>105</v>
      </c>
      <c r="U3675">
        <v>9</v>
      </c>
      <c r="V3675">
        <v>9</v>
      </c>
      <c r="W3675">
        <v>0</v>
      </c>
      <c r="X3675">
        <v>27.314828499999997</v>
      </c>
      <c r="Y3675">
        <v>46.050087900000001</v>
      </c>
      <c r="Z3675">
        <v>60.973220399999995</v>
      </c>
      <c r="AA3675">
        <v>0</v>
      </c>
      <c r="AB3675">
        <v>2</v>
      </c>
      <c r="AC3675" t="s">
        <v>174</v>
      </c>
      <c r="AD3675">
        <v>9</v>
      </c>
      <c r="AE3675" t="s">
        <v>1414</v>
      </c>
      <c r="AF3675">
        <v>40100000</v>
      </c>
      <c r="AG3675" t="s">
        <v>310</v>
      </c>
      <c r="AH3675">
        <f>SUM((MID(Dyno_Data[[#This Row],[Team]],4,5))+(Dyno_Data[[#This Row],[Match]]/100))</f>
        <v>9076.66</v>
      </c>
      <c r="AI3675" s="76">
        <f>ROUND(SUM(IF(Dyno_Data[[#This Row],[AcqCenter]]&gt;0,Dyno_Data[[#This Row],[Time]]-SUMIFS(Dyno_Data[Time],Dyno_Data[Team],Dyno_Data[[#This Row],[Team]],Dyno_Data[RecordType],"StartMatch",Dyno_Data[Match],Dyno_Data[[#This Row],[Match]]),0)*86400),0)</f>
        <v>0</v>
      </c>
    </row>
    <row r="3676" spans="1:35" x14ac:dyDescent="0.3">
      <c r="A3676">
        <v>3675</v>
      </c>
      <c r="B3676" t="s">
        <v>1283</v>
      </c>
      <c r="C3676">
        <v>67</v>
      </c>
      <c r="D3676" s="105">
        <v>45374.426192511572</v>
      </c>
      <c r="E3676" t="s">
        <v>308</v>
      </c>
      <c r="F3676" t="s">
        <v>309</v>
      </c>
      <c r="G3676">
        <v>0</v>
      </c>
      <c r="H3676" t="s">
        <v>310</v>
      </c>
      <c r="I3676">
        <v>0</v>
      </c>
      <c r="J3676">
        <v>0</v>
      </c>
      <c r="K3676">
        <v>0</v>
      </c>
      <c r="L3676" t="s">
        <v>310</v>
      </c>
      <c r="M3676" t="s">
        <v>310</v>
      </c>
      <c r="N3676">
        <v>0</v>
      </c>
      <c r="O3676" t="s">
        <v>311</v>
      </c>
      <c r="P3676" t="s">
        <v>310</v>
      </c>
      <c r="Q3676" t="s">
        <v>310</v>
      </c>
      <c r="R3676" t="s">
        <v>310</v>
      </c>
      <c r="S3676">
        <v>9</v>
      </c>
      <c r="T3676" t="s">
        <v>310</v>
      </c>
      <c r="U3676">
        <v>9</v>
      </c>
      <c r="V3676">
        <v>9</v>
      </c>
      <c r="W3676">
        <v>0</v>
      </c>
      <c r="X3676">
        <v>0</v>
      </c>
      <c r="Y3676">
        <v>0</v>
      </c>
      <c r="Z3676">
        <v>0</v>
      </c>
      <c r="AA3676">
        <v>9</v>
      </c>
      <c r="AB3676">
        <v>9</v>
      </c>
      <c r="AC3676" t="s">
        <v>310</v>
      </c>
      <c r="AD3676">
        <v>9</v>
      </c>
      <c r="AE3676" t="s">
        <v>1413</v>
      </c>
      <c r="AF3676">
        <v>0</v>
      </c>
      <c r="AG3676" t="s">
        <v>310</v>
      </c>
      <c r="AH3676">
        <f>SUM((MID(Dyno_Data[[#This Row],[Team]],4,5))+(Dyno_Data[[#This Row],[Match]]/100))</f>
        <v>1601.67</v>
      </c>
      <c r="AI3676" s="76">
        <f>ROUND(SUM(IF(Dyno_Data[[#This Row],[AcqCenter]]&gt;0,Dyno_Data[[#This Row],[Time]]-SUMIFS(Dyno_Data[Time],Dyno_Data[Team],Dyno_Data[[#This Row],[Team]],Dyno_Data[RecordType],"StartMatch",Dyno_Data[Match],Dyno_Data[[#This Row],[Match]]),0)*86400),0)</f>
        <v>0</v>
      </c>
    </row>
    <row r="3677" spans="1:35" x14ac:dyDescent="0.3">
      <c r="A3677">
        <v>3676</v>
      </c>
      <c r="B3677" t="s">
        <v>1283</v>
      </c>
      <c r="C3677">
        <v>67</v>
      </c>
      <c r="D3677" s="105">
        <v>45374.42640084491</v>
      </c>
      <c r="E3677" t="s">
        <v>314</v>
      </c>
      <c r="F3677" t="s">
        <v>309</v>
      </c>
      <c r="G3677">
        <v>0</v>
      </c>
      <c r="H3677" t="s">
        <v>310</v>
      </c>
      <c r="I3677">
        <v>0</v>
      </c>
      <c r="J3677">
        <v>0</v>
      </c>
      <c r="K3677">
        <v>0</v>
      </c>
      <c r="L3677" t="s">
        <v>310</v>
      </c>
      <c r="M3677" t="s">
        <v>310</v>
      </c>
      <c r="N3677">
        <v>0</v>
      </c>
      <c r="O3677" t="s">
        <v>311</v>
      </c>
      <c r="P3677" t="s">
        <v>315</v>
      </c>
      <c r="Q3677" t="s">
        <v>1400</v>
      </c>
      <c r="R3677" t="s">
        <v>310</v>
      </c>
      <c r="S3677">
        <v>9</v>
      </c>
      <c r="T3677" t="s">
        <v>310</v>
      </c>
      <c r="U3677">
        <v>9</v>
      </c>
      <c r="V3677">
        <v>9</v>
      </c>
      <c r="W3677">
        <v>0</v>
      </c>
      <c r="X3677">
        <v>0</v>
      </c>
      <c r="Y3677">
        <v>0</v>
      </c>
      <c r="Z3677">
        <v>0</v>
      </c>
      <c r="AA3677">
        <v>9</v>
      </c>
      <c r="AB3677">
        <v>9</v>
      </c>
      <c r="AC3677" t="s">
        <v>310</v>
      </c>
      <c r="AD3677">
        <v>9</v>
      </c>
      <c r="AE3677" t="s">
        <v>1413</v>
      </c>
      <c r="AF3677">
        <v>1</v>
      </c>
      <c r="AG3677" t="s">
        <v>310</v>
      </c>
      <c r="AH3677">
        <f>SUM((MID(Dyno_Data[[#This Row],[Team]],4,5))+(Dyno_Data[[#This Row],[Match]]/100))</f>
        <v>1601.67</v>
      </c>
      <c r="AI3677" s="76">
        <f>ROUND(SUM(IF(Dyno_Data[[#This Row],[AcqCenter]]&gt;0,Dyno_Data[[#This Row],[Time]]-SUMIFS(Dyno_Data[Time],Dyno_Data[Team],Dyno_Data[[#This Row],[Team]],Dyno_Data[RecordType],"StartMatch",Dyno_Data[Match],Dyno_Data[[#This Row],[Match]]),0)*86400),0)</f>
        <v>0</v>
      </c>
    </row>
    <row r="3678" spans="1:35" x14ac:dyDescent="0.3">
      <c r="A3678">
        <v>3681</v>
      </c>
      <c r="B3678" t="s">
        <v>361</v>
      </c>
      <c r="C3678">
        <v>67</v>
      </c>
      <c r="D3678" s="105">
        <v>45374.42805613426</v>
      </c>
      <c r="E3678" t="s">
        <v>308</v>
      </c>
      <c r="F3678" t="s">
        <v>309</v>
      </c>
      <c r="G3678">
        <v>0</v>
      </c>
      <c r="H3678" t="s">
        <v>310</v>
      </c>
      <c r="I3678">
        <v>0</v>
      </c>
      <c r="J3678">
        <v>0</v>
      </c>
      <c r="K3678">
        <v>0</v>
      </c>
      <c r="L3678" t="s">
        <v>310</v>
      </c>
      <c r="M3678" t="s">
        <v>310</v>
      </c>
      <c r="N3678">
        <v>0</v>
      </c>
      <c r="O3678" t="s">
        <v>1389</v>
      </c>
      <c r="P3678" t="s">
        <v>310</v>
      </c>
      <c r="Q3678" t="s">
        <v>310</v>
      </c>
      <c r="R3678" t="s">
        <v>310</v>
      </c>
      <c r="S3678">
        <v>9</v>
      </c>
      <c r="T3678" t="s">
        <v>310</v>
      </c>
      <c r="U3678">
        <v>9</v>
      </c>
      <c r="V3678">
        <v>9</v>
      </c>
      <c r="W3678">
        <v>0</v>
      </c>
      <c r="X3678">
        <v>0</v>
      </c>
      <c r="Y3678">
        <v>0</v>
      </c>
      <c r="Z3678">
        <v>0</v>
      </c>
      <c r="AA3678">
        <v>9</v>
      </c>
      <c r="AB3678">
        <v>9</v>
      </c>
      <c r="AC3678" t="s">
        <v>310</v>
      </c>
      <c r="AD3678">
        <v>9</v>
      </c>
      <c r="AE3678" t="s">
        <v>1388</v>
      </c>
      <c r="AF3678">
        <v>1000</v>
      </c>
      <c r="AG3678" t="s">
        <v>310</v>
      </c>
      <c r="AH3678">
        <f>SUM((MID(Dyno_Data[[#This Row],[Team]],4,5))+(Dyno_Data[[#This Row],[Match]]/100))</f>
        <v>20.67</v>
      </c>
      <c r="AI3678" s="76">
        <f>ROUND(SUM(IF(Dyno_Data[[#This Row],[AcqCenter]]&gt;0,Dyno_Data[[#This Row],[Time]]-SUMIFS(Dyno_Data[Time],Dyno_Data[Team],Dyno_Data[[#This Row],[Team]],Dyno_Data[RecordType],"StartMatch",Dyno_Data[Match],Dyno_Data[[#This Row],[Match]]),0)*86400),0)</f>
        <v>0</v>
      </c>
    </row>
    <row r="3679" spans="1:35" x14ac:dyDescent="0.3">
      <c r="A3679">
        <v>3683</v>
      </c>
      <c r="B3679" t="s">
        <v>1318</v>
      </c>
      <c r="C3679">
        <v>67</v>
      </c>
      <c r="D3679" s="105">
        <v>45374.428059027778</v>
      </c>
      <c r="E3679" t="s">
        <v>308</v>
      </c>
      <c r="F3679" t="s">
        <v>309</v>
      </c>
      <c r="G3679">
        <v>0</v>
      </c>
      <c r="H3679" t="s">
        <v>310</v>
      </c>
      <c r="I3679">
        <v>0</v>
      </c>
      <c r="J3679">
        <v>0</v>
      </c>
      <c r="K3679">
        <v>0</v>
      </c>
      <c r="L3679" t="s">
        <v>310</v>
      </c>
      <c r="M3679" t="s">
        <v>310</v>
      </c>
      <c r="N3679">
        <v>0</v>
      </c>
      <c r="O3679" t="s">
        <v>1393</v>
      </c>
      <c r="P3679" t="s">
        <v>310</v>
      </c>
      <c r="Q3679" t="s">
        <v>310</v>
      </c>
      <c r="R3679" t="s">
        <v>310</v>
      </c>
      <c r="S3679">
        <v>9</v>
      </c>
      <c r="T3679" t="s">
        <v>310</v>
      </c>
      <c r="U3679">
        <v>9</v>
      </c>
      <c r="V3679">
        <v>9</v>
      </c>
      <c r="W3679">
        <v>0</v>
      </c>
      <c r="X3679">
        <v>0</v>
      </c>
      <c r="Y3679">
        <v>0</v>
      </c>
      <c r="Z3679">
        <v>0</v>
      </c>
      <c r="AA3679">
        <v>9</v>
      </c>
      <c r="AB3679">
        <v>9</v>
      </c>
      <c r="AC3679" t="s">
        <v>310</v>
      </c>
      <c r="AD3679">
        <v>9</v>
      </c>
      <c r="AE3679" t="s">
        <v>1412</v>
      </c>
      <c r="AF3679">
        <v>0</v>
      </c>
      <c r="AG3679" t="s">
        <v>310</v>
      </c>
      <c r="AH3679">
        <f>SUM((MID(Dyno_Data[[#This Row],[Team]],4,5))+(Dyno_Data[[#This Row],[Match]]/100))</f>
        <v>7709.67</v>
      </c>
      <c r="AI3679" s="76">
        <f>ROUND(SUM(IF(Dyno_Data[[#This Row],[AcqCenter]]&gt;0,Dyno_Data[[#This Row],[Time]]-SUMIFS(Dyno_Data[Time],Dyno_Data[Team],Dyno_Data[[#This Row],[Team]],Dyno_Data[RecordType],"StartMatch",Dyno_Data[Match],Dyno_Data[[#This Row],[Match]]),0)*86400),0)</f>
        <v>0</v>
      </c>
    </row>
    <row r="3680" spans="1:35" x14ac:dyDescent="0.3">
      <c r="A3680">
        <v>3685</v>
      </c>
      <c r="B3680" t="s">
        <v>1308</v>
      </c>
      <c r="C3680">
        <v>67</v>
      </c>
      <c r="D3680" s="105">
        <v>45374.428059756945</v>
      </c>
      <c r="E3680" t="s">
        <v>308</v>
      </c>
      <c r="F3680" t="s">
        <v>309</v>
      </c>
      <c r="G3680">
        <v>0</v>
      </c>
      <c r="H3680" t="s">
        <v>310</v>
      </c>
      <c r="I3680">
        <v>0</v>
      </c>
      <c r="J3680">
        <v>0</v>
      </c>
      <c r="K3680">
        <v>0</v>
      </c>
      <c r="L3680" t="s">
        <v>310</v>
      </c>
      <c r="M3680" t="s">
        <v>310</v>
      </c>
      <c r="N3680">
        <v>0</v>
      </c>
      <c r="O3680" t="s">
        <v>319</v>
      </c>
      <c r="P3680" t="s">
        <v>310</v>
      </c>
      <c r="Q3680" t="s">
        <v>310</v>
      </c>
      <c r="R3680" t="s">
        <v>310</v>
      </c>
      <c r="S3680">
        <v>9</v>
      </c>
      <c r="T3680" t="s">
        <v>310</v>
      </c>
      <c r="U3680">
        <v>9</v>
      </c>
      <c r="V3680">
        <v>9</v>
      </c>
      <c r="W3680">
        <v>0</v>
      </c>
      <c r="X3680">
        <v>0</v>
      </c>
      <c r="Y3680">
        <v>0</v>
      </c>
      <c r="Z3680">
        <v>0</v>
      </c>
      <c r="AA3680">
        <v>9</v>
      </c>
      <c r="AB3680">
        <v>9</v>
      </c>
      <c r="AC3680" t="s">
        <v>310</v>
      </c>
      <c r="AD3680">
        <v>9</v>
      </c>
      <c r="AE3680" t="s">
        <v>1396</v>
      </c>
      <c r="AF3680">
        <v>0</v>
      </c>
      <c r="AG3680" t="s">
        <v>310</v>
      </c>
      <c r="AH3680">
        <f>SUM((MID(Dyno_Data[[#This Row],[Team]],4,5))+(Dyno_Data[[#This Row],[Match]]/100))</f>
        <v>3799.67</v>
      </c>
      <c r="AI3680" s="76">
        <f>ROUND(SUM(IF(Dyno_Data[[#This Row],[AcqCenter]]&gt;0,Dyno_Data[[#This Row],[Time]]-SUMIFS(Dyno_Data[Time],Dyno_Data[Team],Dyno_Data[[#This Row],[Team]],Dyno_Data[RecordType],"StartMatch",Dyno_Data[Match],Dyno_Data[[#This Row],[Match]]),0)*86400),0)</f>
        <v>0</v>
      </c>
    </row>
    <row r="3681" spans="1:35" x14ac:dyDescent="0.3">
      <c r="A3681">
        <v>3688</v>
      </c>
      <c r="B3681" t="s">
        <v>1289</v>
      </c>
      <c r="C3681">
        <v>67</v>
      </c>
      <c r="D3681" s="105">
        <v>45374.428072835646</v>
      </c>
      <c r="E3681" t="s">
        <v>308</v>
      </c>
      <c r="F3681" t="s">
        <v>309</v>
      </c>
      <c r="G3681">
        <v>0</v>
      </c>
      <c r="H3681" t="s">
        <v>310</v>
      </c>
      <c r="I3681">
        <v>0</v>
      </c>
      <c r="J3681">
        <v>0</v>
      </c>
      <c r="K3681">
        <v>0</v>
      </c>
      <c r="L3681" t="s">
        <v>310</v>
      </c>
      <c r="M3681" t="s">
        <v>310</v>
      </c>
      <c r="N3681">
        <v>0</v>
      </c>
      <c r="O3681" t="s">
        <v>1391</v>
      </c>
      <c r="P3681" t="s">
        <v>310</v>
      </c>
      <c r="Q3681" t="s">
        <v>310</v>
      </c>
      <c r="R3681" t="s">
        <v>310</v>
      </c>
      <c r="S3681">
        <v>9</v>
      </c>
      <c r="T3681" t="s">
        <v>310</v>
      </c>
      <c r="U3681">
        <v>9</v>
      </c>
      <c r="V3681">
        <v>9</v>
      </c>
      <c r="W3681">
        <v>0</v>
      </c>
      <c r="X3681">
        <v>0</v>
      </c>
      <c r="Y3681">
        <v>0</v>
      </c>
      <c r="Z3681">
        <v>0</v>
      </c>
      <c r="AA3681">
        <v>9</v>
      </c>
      <c r="AB3681">
        <v>9</v>
      </c>
      <c r="AC3681" t="s">
        <v>310</v>
      </c>
      <c r="AD3681">
        <v>9</v>
      </c>
      <c r="AE3681" t="s">
        <v>1390</v>
      </c>
      <c r="AF3681">
        <v>0</v>
      </c>
      <c r="AG3681" t="s">
        <v>310</v>
      </c>
      <c r="AH3681">
        <f>SUM((MID(Dyno_Data[[#This Row],[Team]],4,5))+(Dyno_Data[[#This Row],[Match]]/100))</f>
        <v>6648.67</v>
      </c>
      <c r="AI3681" s="76">
        <f>ROUND(SUM(IF(Dyno_Data[[#This Row],[AcqCenter]]&gt;0,Dyno_Data[[#This Row],[Time]]-SUMIFS(Dyno_Data[Time],Dyno_Data[Team],Dyno_Data[[#This Row],[Team]],Dyno_Data[RecordType],"StartMatch",Dyno_Data[Match],Dyno_Data[[#This Row],[Match]]),0)*86400),0)</f>
        <v>0</v>
      </c>
    </row>
    <row r="3682" spans="1:35" x14ac:dyDescent="0.3">
      <c r="A3682">
        <v>3677</v>
      </c>
      <c r="B3682" t="s">
        <v>361</v>
      </c>
      <c r="C3682">
        <v>67</v>
      </c>
      <c r="D3682" s="105">
        <v>45374.428075578704</v>
      </c>
      <c r="E3682" t="s">
        <v>312</v>
      </c>
      <c r="F3682" t="s">
        <v>309</v>
      </c>
      <c r="G3682">
        <v>0</v>
      </c>
      <c r="H3682" t="s">
        <v>1397</v>
      </c>
      <c r="I3682">
        <v>0</v>
      </c>
      <c r="J3682">
        <v>0</v>
      </c>
      <c r="K3682">
        <v>0</v>
      </c>
      <c r="L3682" t="s">
        <v>241</v>
      </c>
      <c r="M3682" t="s">
        <v>1398</v>
      </c>
      <c r="N3682">
        <v>0</v>
      </c>
      <c r="O3682" t="s">
        <v>1389</v>
      </c>
      <c r="P3682" t="s">
        <v>310</v>
      </c>
      <c r="Q3682" t="s">
        <v>310</v>
      </c>
      <c r="R3682" t="s">
        <v>310</v>
      </c>
      <c r="S3682">
        <v>9</v>
      </c>
      <c r="T3682" t="s">
        <v>310</v>
      </c>
      <c r="U3682">
        <v>9</v>
      </c>
      <c r="V3682">
        <v>9</v>
      </c>
      <c r="W3682">
        <v>0</v>
      </c>
      <c r="X3682">
        <v>0</v>
      </c>
      <c r="Y3682">
        <v>0</v>
      </c>
      <c r="Z3682">
        <v>0</v>
      </c>
      <c r="AA3682">
        <v>9</v>
      </c>
      <c r="AB3682">
        <v>9</v>
      </c>
      <c r="AC3682" t="s">
        <v>310</v>
      </c>
      <c r="AD3682">
        <v>9</v>
      </c>
      <c r="AE3682" t="s">
        <v>1388</v>
      </c>
      <c r="AF3682">
        <v>0</v>
      </c>
      <c r="AG3682" t="s">
        <v>310</v>
      </c>
      <c r="AH3682">
        <f>SUM((MID(Dyno_Data[[#This Row],[Team]],4,5))+(Dyno_Data[[#This Row],[Match]]/100))</f>
        <v>20.67</v>
      </c>
      <c r="AI3682" s="76">
        <f>ROUND(SUM(IF(Dyno_Data[[#This Row],[AcqCenter]]&gt;0,Dyno_Data[[#This Row],[Time]]-SUMIFS(Dyno_Data[Time],Dyno_Data[Team],Dyno_Data[[#This Row],[Team]],Dyno_Data[RecordType],"StartMatch",Dyno_Data[Match],Dyno_Data[[#This Row],[Match]]),0)*86400),0)</f>
        <v>0</v>
      </c>
    </row>
    <row r="3683" spans="1:35" x14ac:dyDescent="0.3">
      <c r="A3683">
        <v>3678</v>
      </c>
      <c r="B3683" t="s">
        <v>1308</v>
      </c>
      <c r="C3683">
        <v>67</v>
      </c>
      <c r="D3683" s="105">
        <v>45374.428078437501</v>
      </c>
      <c r="E3683" t="s">
        <v>312</v>
      </c>
      <c r="F3683" t="s">
        <v>309</v>
      </c>
      <c r="G3683">
        <v>0</v>
      </c>
      <c r="H3683" t="s">
        <v>1397</v>
      </c>
      <c r="I3683">
        <v>0</v>
      </c>
      <c r="J3683">
        <v>0</v>
      </c>
      <c r="K3683">
        <v>0</v>
      </c>
      <c r="L3683" t="s">
        <v>240</v>
      </c>
      <c r="M3683" t="s">
        <v>1398</v>
      </c>
      <c r="N3683">
        <v>0</v>
      </c>
      <c r="O3683" t="s">
        <v>319</v>
      </c>
      <c r="P3683" t="s">
        <v>310</v>
      </c>
      <c r="Q3683" t="s">
        <v>310</v>
      </c>
      <c r="R3683" t="s">
        <v>310</v>
      </c>
      <c r="S3683">
        <v>9</v>
      </c>
      <c r="T3683" t="s">
        <v>310</v>
      </c>
      <c r="U3683">
        <v>9</v>
      </c>
      <c r="V3683">
        <v>9</v>
      </c>
      <c r="W3683">
        <v>0</v>
      </c>
      <c r="X3683">
        <v>0</v>
      </c>
      <c r="Y3683">
        <v>0</v>
      </c>
      <c r="Z3683">
        <v>0</v>
      </c>
      <c r="AA3683">
        <v>9</v>
      </c>
      <c r="AB3683">
        <v>9</v>
      </c>
      <c r="AC3683" t="s">
        <v>310</v>
      </c>
      <c r="AD3683">
        <v>9</v>
      </c>
      <c r="AE3683" t="s">
        <v>1396</v>
      </c>
      <c r="AF3683">
        <v>0</v>
      </c>
      <c r="AG3683" t="s">
        <v>310</v>
      </c>
      <c r="AH3683">
        <f>SUM((MID(Dyno_Data[[#This Row],[Team]],4,5))+(Dyno_Data[[#This Row],[Match]]/100))</f>
        <v>3799.67</v>
      </c>
      <c r="AI3683" s="76">
        <f>ROUND(SUM(IF(Dyno_Data[[#This Row],[AcqCenter]]&gt;0,Dyno_Data[[#This Row],[Time]]-SUMIFS(Dyno_Data[Time],Dyno_Data[Team],Dyno_Data[[#This Row],[Team]],Dyno_Data[RecordType],"StartMatch",Dyno_Data[Match],Dyno_Data[[#This Row],[Match]]),0)*86400),0)</f>
        <v>0</v>
      </c>
    </row>
    <row r="3684" spans="1:35" x14ac:dyDescent="0.3">
      <c r="A3684">
        <v>3690</v>
      </c>
      <c r="B3684" t="s">
        <v>1296</v>
      </c>
      <c r="C3684">
        <v>67</v>
      </c>
      <c r="D3684" s="105">
        <v>45374.428090937501</v>
      </c>
      <c r="E3684" t="s">
        <v>308</v>
      </c>
      <c r="F3684" t="s">
        <v>309</v>
      </c>
      <c r="G3684">
        <v>0</v>
      </c>
      <c r="H3684" t="s">
        <v>310</v>
      </c>
      <c r="I3684">
        <v>0</v>
      </c>
      <c r="J3684">
        <v>0</v>
      </c>
      <c r="K3684">
        <v>0</v>
      </c>
      <c r="L3684" t="s">
        <v>310</v>
      </c>
      <c r="M3684" t="s">
        <v>310</v>
      </c>
      <c r="N3684">
        <v>0</v>
      </c>
      <c r="O3684" t="s">
        <v>1395</v>
      </c>
      <c r="P3684" t="s">
        <v>310</v>
      </c>
      <c r="Q3684" t="s">
        <v>310</v>
      </c>
      <c r="R3684" t="s">
        <v>310</v>
      </c>
      <c r="S3684">
        <v>9</v>
      </c>
      <c r="T3684" t="s">
        <v>310</v>
      </c>
      <c r="U3684">
        <v>9</v>
      </c>
      <c r="V3684">
        <v>9</v>
      </c>
      <c r="W3684">
        <v>0</v>
      </c>
      <c r="X3684">
        <v>0</v>
      </c>
      <c r="Y3684">
        <v>0</v>
      </c>
      <c r="Z3684">
        <v>0</v>
      </c>
      <c r="AA3684">
        <v>9</v>
      </c>
      <c r="AB3684">
        <v>9</v>
      </c>
      <c r="AC3684" t="s">
        <v>310</v>
      </c>
      <c r="AD3684">
        <v>9</v>
      </c>
      <c r="AE3684" t="s">
        <v>1414</v>
      </c>
      <c r="AF3684">
        <v>0</v>
      </c>
      <c r="AG3684" t="s">
        <v>310</v>
      </c>
      <c r="AH3684">
        <f>SUM((MID(Dyno_Data[[#This Row],[Team]],4,5))+(Dyno_Data[[#This Row],[Match]]/100))</f>
        <v>3003.67</v>
      </c>
      <c r="AI3684" s="76">
        <f>ROUND(SUM(IF(Dyno_Data[[#This Row],[AcqCenter]]&gt;0,Dyno_Data[[#This Row],[Time]]-SUMIFS(Dyno_Data[Time],Dyno_Data[Team],Dyno_Data[[#This Row],[Team]],Dyno_Data[RecordType],"StartMatch",Dyno_Data[Match],Dyno_Data[[#This Row],[Match]]),0)*86400),0)</f>
        <v>0</v>
      </c>
    </row>
    <row r="3685" spans="1:35" x14ac:dyDescent="0.3">
      <c r="A3685">
        <v>3679</v>
      </c>
      <c r="B3685" t="s">
        <v>1318</v>
      </c>
      <c r="C3685">
        <v>67</v>
      </c>
      <c r="D3685" s="105">
        <v>45374.42809760417</v>
      </c>
      <c r="E3685" t="s">
        <v>312</v>
      </c>
      <c r="F3685" t="s">
        <v>309</v>
      </c>
      <c r="G3685">
        <v>0</v>
      </c>
      <c r="H3685" t="s">
        <v>1397</v>
      </c>
      <c r="I3685">
        <v>0</v>
      </c>
      <c r="J3685">
        <v>0</v>
      </c>
      <c r="K3685">
        <v>0</v>
      </c>
      <c r="L3685" t="s">
        <v>240</v>
      </c>
      <c r="M3685" t="s">
        <v>1398</v>
      </c>
      <c r="N3685">
        <v>0</v>
      </c>
      <c r="O3685" t="s">
        <v>1393</v>
      </c>
      <c r="P3685" t="s">
        <v>310</v>
      </c>
      <c r="Q3685" t="s">
        <v>310</v>
      </c>
      <c r="R3685" t="s">
        <v>310</v>
      </c>
      <c r="S3685">
        <v>9</v>
      </c>
      <c r="T3685" t="s">
        <v>310</v>
      </c>
      <c r="U3685">
        <v>9</v>
      </c>
      <c r="V3685">
        <v>9</v>
      </c>
      <c r="W3685">
        <v>0</v>
      </c>
      <c r="X3685">
        <v>0</v>
      </c>
      <c r="Y3685">
        <v>0</v>
      </c>
      <c r="Z3685">
        <v>0</v>
      </c>
      <c r="AA3685">
        <v>9</v>
      </c>
      <c r="AB3685">
        <v>9</v>
      </c>
      <c r="AC3685" t="s">
        <v>310</v>
      </c>
      <c r="AD3685">
        <v>9</v>
      </c>
      <c r="AE3685" t="s">
        <v>1412</v>
      </c>
      <c r="AF3685">
        <v>0</v>
      </c>
      <c r="AG3685" t="s">
        <v>310</v>
      </c>
      <c r="AH3685">
        <f>SUM((MID(Dyno_Data[[#This Row],[Team]],4,5))+(Dyno_Data[[#This Row],[Match]]/100))</f>
        <v>7709.67</v>
      </c>
      <c r="AI3685" s="76">
        <f>ROUND(SUM(IF(Dyno_Data[[#This Row],[AcqCenter]]&gt;0,Dyno_Data[[#This Row],[Time]]-SUMIFS(Dyno_Data[Time],Dyno_Data[Team],Dyno_Data[[#This Row],[Team]],Dyno_Data[RecordType],"StartMatch",Dyno_Data[Match],Dyno_Data[[#This Row],[Match]]),0)*86400),0)</f>
        <v>0</v>
      </c>
    </row>
    <row r="3686" spans="1:35" x14ac:dyDescent="0.3">
      <c r="A3686">
        <v>3680</v>
      </c>
      <c r="B3686" t="s">
        <v>361</v>
      </c>
      <c r="C3686">
        <v>67</v>
      </c>
      <c r="D3686" s="105">
        <v>45374.428109918983</v>
      </c>
      <c r="E3686" t="s">
        <v>312</v>
      </c>
      <c r="F3686" t="s">
        <v>309</v>
      </c>
      <c r="G3686">
        <v>0</v>
      </c>
      <c r="H3686" t="s">
        <v>143</v>
      </c>
      <c r="I3686">
        <v>2</v>
      </c>
      <c r="J3686">
        <v>-1</v>
      </c>
      <c r="K3686">
        <v>0</v>
      </c>
      <c r="L3686" t="s">
        <v>310</v>
      </c>
      <c r="M3686" t="s">
        <v>310</v>
      </c>
      <c r="N3686">
        <v>0</v>
      </c>
      <c r="O3686" t="s">
        <v>1389</v>
      </c>
      <c r="P3686" t="s">
        <v>310</v>
      </c>
      <c r="Q3686" t="s">
        <v>310</v>
      </c>
      <c r="R3686" t="s">
        <v>310</v>
      </c>
      <c r="S3686">
        <v>9</v>
      </c>
      <c r="T3686" t="s">
        <v>310</v>
      </c>
      <c r="U3686">
        <v>9</v>
      </c>
      <c r="V3686">
        <v>9</v>
      </c>
      <c r="W3686">
        <v>0</v>
      </c>
      <c r="X3686">
        <v>0</v>
      </c>
      <c r="Y3686">
        <v>0</v>
      </c>
      <c r="Z3686">
        <v>0</v>
      </c>
      <c r="AA3686">
        <v>9</v>
      </c>
      <c r="AB3686">
        <v>9</v>
      </c>
      <c r="AC3686" t="s">
        <v>310</v>
      </c>
      <c r="AD3686">
        <v>9</v>
      </c>
      <c r="AE3686" t="s">
        <v>1388</v>
      </c>
      <c r="AF3686">
        <v>1000</v>
      </c>
      <c r="AG3686" t="s">
        <v>310</v>
      </c>
      <c r="AH3686">
        <f>SUM((MID(Dyno_Data[[#This Row],[Team]],4,5))+(Dyno_Data[[#This Row],[Match]]/100))</f>
        <v>20.67</v>
      </c>
      <c r="AI3686" s="76">
        <f>ROUND(SUM(IF(Dyno_Data[[#This Row],[AcqCenter]]&gt;0,Dyno_Data[[#This Row],[Time]]-SUMIFS(Dyno_Data[Time],Dyno_Data[Team],Dyno_Data[[#This Row],[Team]],Dyno_Data[RecordType],"StartMatch",Dyno_Data[Match],Dyno_Data[[#This Row],[Match]]),0)*86400),0)</f>
        <v>5</v>
      </c>
    </row>
    <row r="3687" spans="1:35" x14ac:dyDescent="0.3">
      <c r="A3687">
        <v>3692</v>
      </c>
      <c r="B3687" t="s">
        <v>1283</v>
      </c>
      <c r="C3687">
        <v>67</v>
      </c>
      <c r="D3687" s="105">
        <v>45374.428112731483</v>
      </c>
      <c r="E3687" t="s">
        <v>308</v>
      </c>
      <c r="F3687" t="s">
        <v>309</v>
      </c>
      <c r="G3687">
        <v>0</v>
      </c>
      <c r="H3687" t="s">
        <v>310</v>
      </c>
      <c r="I3687">
        <v>0</v>
      </c>
      <c r="J3687">
        <v>0</v>
      </c>
      <c r="K3687">
        <v>0</v>
      </c>
      <c r="L3687" t="s">
        <v>310</v>
      </c>
      <c r="M3687" t="s">
        <v>310</v>
      </c>
      <c r="N3687">
        <v>0</v>
      </c>
      <c r="O3687" t="s">
        <v>311</v>
      </c>
      <c r="P3687" t="s">
        <v>310</v>
      </c>
      <c r="Q3687" t="s">
        <v>310</v>
      </c>
      <c r="R3687" t="s">
        <v>310</v>
      </c>
      <c r="S3687">
        <v>9</v>
      </c>
      <c r="T3687" t="s">
        <v>310</v>
      </c>
      <c r="U3687">
        <v>9</v>
      </c>
      <c r="V3687">
        <v>9</v>
      </c>
      <c r="W3687">
        <v>0</v>
      </c>
      <c r="X3687">
        <v>0</v>
      </c>
      <c r="Y3687">
        <v>0</v>
      </c>
      <c r="Z3687">
        <v>0</v>
      </c>
      <c r="AA3687">
        <v>9</v>
      </c>
      <c r="AB3687">
        <v>9</v>
      </c>
      <c r="AC3687" t="s">
        <v>310</v>
      </c>
      <c r="AD3687">
        <v>9</v>
      </c>
      <c r="AE3687" t="s">
        <v>1413</v>
      </c>
      <c r="AF3687">
        <v>0</v>
      </c>
      <c r="AG3687" t="s">
        <v>310</v>
      </c>
      <c r="AH3687">
        <f>SUM((MID(Dyno_Data[[#This Row],[Team]],4,5))+(Dyno_Data[[#This Row],[Match]]/100))</f>
        <v>1601.67</v>
      </c>
      <c r="AI3687" s="76">
        <f>ROUND(SUM(IF(Dyno_Data[[#This Row],[AcqCenter]]&gt;0,Dyno_Data[[#This Row],[Time]]-SUMIFS(Dyno_Data[Time],Dyno_Data[Team],Dyno_Data[[#This Row],[Team]],Dyno_Data[RecordType],"StartMatch",Dyno_Data[Match],Dyno_Data[[#This Row],[Match]]),0)*86400),0)</f>
        <v>0</v>
      </c>
    </row>
    <row r="3688" spans="1:35" x14ac:dyDescent="0.3">
      <c r="A3688">
        <v>3682</v>
      </c>
      <c r="B3688" t="s">
        <v>361</v>
      </c>
      <c r="C3688">
        <v>67</v>
      </c>
      <c r="D3688" s="105">
        <v>45374.428264467591</v>
      </c>
      <c r="E3688" t="s">
        <v>314</v>
      </c>
      <c r="F3688" t="s">
        <v>309</v>
      </c>
      <c r="G3688">
        <v>1</v>
      </c>
      <c r="H3688" t="s">
        <v>310</v>
      </c>
      <c r="I3688">
        <v>0</v>
      </c>
      <c r="J3688">
        <v>0</v>
      </c>
      <c r="K3688">
        <v>0</v>
      </c>
      <c r="L3688" t="s">
        <v>310</v>
      </c>
      <c r="M3688" t="s">
        <v>310</v>
      </c>
      <c r="N3688">
        <v>0</v>
      </c>
      <c r="O3688" t="s">
        <v>1389</v>
      </c>
      <c r="P3688" t="s">
        <v>1401</v>
      </c>
      <c r="Q3688" t="s">
        <v>1399</v>
      </c>
      <c r="R3688" t="s">
        <v>310</v>
      </c>
      <c r="S3688">
        <v>9</v>
      </c>
      <c r="T3688" t="s">
        <v>310</v>
      </c>
      <c r="U3688">
        <v>9</v>
      </c>
      <c r="V3688">
        <v>9</v>
      </c>
      <c r="W3688">
        <v>0</v>
      </c>
      <c r="X3688">
        <v>0</v>
      </c>
      <c r="Y3688">
        <v>0</v>
      </c>
      <c r="Z3688">
        <v>0</v>
      </c>
      <c r="AA3688">
        <v>9</v>
      </c>
      <c r="AB3688">
        <v>9</v>
      </c>
      <c r="AC3688" t="s">
        <v>310</v>
      </c>
      <c r="AD3688">
        <v>9</v>
      </c>
      <c r="AE3688" t="s">
        <v>1388</v>
      </c>
      <c r="AF3688">
        <v>1000</v>
      </c>
      <c r="AG3688" t="s">
        <v>310</v>
      </c>
      <c r="AH3688">
        <f>SUM((MID(Dyno_Data[[#This Row],[Team]],4,5))+(Dyno_Data[[#This Row],[Match]]/100))</f>
        <v>20.67</v>
      </c>
      <c r="AI3688" s="76">
        <f>ROUND(SUM(IF(Dyno_Data[[#This Row],[AcqCenter]]&gt;0,Dyno_Data[[#This Row],[Time]]-SUMIFS(Dyno_Data[Time],Dyno_Data[Team],Dyno_Data[[#This Row],[Team]],Dyno_Data[RecordType],"StartMatch",Dyno_Data[Match],Dyno_Data[[#This Row],[Match]]),0)*86400),0)</f>
        <v>0</v>
      </c>
    </row>
    <row r="3689" spans="1:35" x14ac:dyDescent="0.3">
      <c r="A3689">
        <v>3684</v>
      </c>
      <c r="B3689" t="s">
        <v>1318</v>
      </c>
      <c r="C3689">
        <v>67</v>
      </c>
      <c r="D3689" s="105">
        <v>45374.428267361109</v>
      </c>
      <c r="E3689" t="s">
        <v>314</v>
      </c>
      <c r="F3689" t="s">
        <v>309</v>
      </c>
      <c r="G3689">
        <v>0</v>
      </c>
      <c r="H3689" t="s">
        <v>310</v>
      </c>
      <c r="I3689">
        <v>0</v>
      </c>
      <c r="J3689">
        <v>0</v>
      </c>
      <c r="K3689">
        <v>0</v>
      </c>
      <c r="L3689" t="s">
        <v>310</v>
      </c>
      <c r="M3689" t="s">
        <v>310</v>
      </c>
      <c r="N3689">
        <v>0</v>
      </c>
      <c r="O3689" t="s">
        <v>1393</v>
      </c>
      <c r="P3689" t="s">
        <v>101</v>
      </c>
      <c r="Q3689" t="s">
        <v>1400</v>
      </c>
      <c r="R3689" t="s">
        <v>310</v>
      </c>
      <c r="S3689">
        <v>9</v>
      </c>
      <c r="T3689" t="s">
        <v>310</v>
      </c>
      <c r="U3689">
        <v>9</v>
      </c>
      <c r="V3689">
        <v>9</v>
      </c>
      <c r="W3689">
        <v>0</v>
      </c>
      <c r="X3689">
        <v>0</v>
      </c>
      <c r="Y3689">
        <v>0</v>
      </c>
      <c r="Z3689">
        <v>0</v>
      </c>
      <c r="AA3689">
        <v>9</v>
      </c>
      <c r="AB3689">
        <v>9</v>
      </c>
      <c r="AC3689" t="s">
        <v>310</v>
      </c>
      <c r="AD3689">
        <v>9</v>
      </c>
      <c r="AE3689" t="s">
        <v>1412</v>
      </c>
      <c r="AF3689">
        <v>0</v>
      </c>
      <c r="AG3689" t="s">
        <v>310</v>
      </c>
      <c r="AH3689">
        <f>SUM((MID(Dyno_Data[[#This Row],[Team]],4,5))+(Dyno_Data[[#This Row],[Match]]/100))</f>
        <v>7709.67</v>
      </c>
      <c r="AI3689" s="76">
        <f>ROUND(SUM(IF(Dyno_Data[[#This Row],[AcqCenter]]&gt;0,Dyno_Data[[#This Row],[Time]]-SUMIFS(Dyno_Data[Time],Dyno_Data[Team],Dyno_Data[[#This Row],[Team]],Dyno_Data[RecordType],"StartMatch",Dyno_Data[Match],Dyno_Data[[#This Row],[Match]]),0)*86400),0)</f>
        <v>0</v>
      </c>
    </row>
    <row r="3690" spans="1:35" x14ac:dyDescent="0.3">
      <c r="A3690">
        <v>3686</v>
      </c>
      <c r="B3690" t="s">
        <v>1308</v>
      </c>
      <c r="C3690">
        <v>67</v>
      </c>
      <c r="D3690" s="105">
        <v>45374.428268090276</v>
      </c>
      <c r="E3690" t="s">
        <v>314</v>
      </c>
      <c r="F3690" t="s">
        <v>309</v>
      </c>
      <c r="G3690">
        <v>1</v>
      </c>
      <c r="H3690" t="s">
        <v>310</v>
      </c>
      <c r="I3690">
        <v>0</v>
      </c>
      <c r="J3690">
        <v>0</v>
      </c>
      <c r="K3690">
        <v>0</v>
      </c>
      <c r="L3690" t="s">
        <v>310</v>
      </c>
      <c r="M3690" t="s">
        <v>310</v>
      </c>
      <c r="N3690">
        <v>0</v>
      </c>
      <c r="O3690" t="s">
        <v>319</v>
      </c>
      <c r="P3690" t="s">
        <v>1401</v>
      </c>
      <c r="Q3690" t="s">
        <v>1400</v>
      </c>
      <c r="R3690" t="s">
        <v>310</v>
      </c>
      <c r="S3690">
        <v>9</v>
      </c>
      <c r="T3690" t="s">
        <v>310</v>
      </c>
      <c r="U3690">
        <v>9</v>
      </c>
      <c r="V3690">
        <v>9</v>
      </c>
      <c r="W3690">
        <v>0</v>
      </c>
      <c r="X3690">
        <v>0</v>
      </c>
      <c r="Y3690">
        <v>0</v>
      </c>
      <c r="Z3690">
        <v>0</v>
      </c>
      <c r="AA3690">
        <v>9</v>
      </c>
      <c r="AB3690">
        <v>9</v>
      </c>
      <c r="AC3690" t="s">
        <v>310</v>
      </c>
      <c r="AD3690">
        <v>9</v>
      </c>
      <c r="AE3690" t="s">
        <v>1396</v>
      </c>
      <c r="AF3690">
        <v>0</v>
      </c>
      <c r="AG3690" t="s">
        <v>310</v>
      </c>
      <c r="AH3690">
        <f>SUM((MID(Dyno_Data[[#This Row],[Team]],4,5))+(Dyno_Data[[#This Row],[Match]]/100))</f>
        <v>3799.67</v>
      </c>
      <c r="AI3690" s="76">
        <f>ROUND(SUM(IF(Dyno_Data[[#This Row],[AcqCenter]]&gt;0,Dyno_Data[[#This Row],[Time]]-SUMIFS(Dyno_Data[Time],Dyno_Data[Team],Dyno_Data[[#This Row],[Team]],Dyno_Data[RecordType],"StartMatch",Dyno_Data[Match],Dyno_Data[[#This Row],[Match]]),0)*86400),0)</f>
        <v>0</v>
      </c>
    </row>
    <row r="3691" spans="1:35" x14ac:dyDescent="0.3">
      <c r="A3691">
        <v>3687</v>
      </c>
      <c r="B3691" t="s">
        <v>1296</v>
      </c>
      <c r="C3691">
        <v>67</v>
      </c>
      <c r="D3691" s="105">
        <v>45374.428277581021</v>
      </c>
      <c r="E3691" t="s">
        <v>312</v>
      </c>
      <c r="F3691" t="s">
        <v>309</v>
      </c>
      <c r="G3691">
        <v>0</v>
      </c>
      <c r="H3691" t="s">
        <v>1397</v>
      </c>
      <c r="I3691">
        <v>0</v>
      </c>
      <c r="J3691">
        <v>0</v>
      </c>
      <c r="K3691">
        <v>0</v>
      </c>
      <c r="L3691" t="s">
        <v>241</v>
      </c>
      <c r="M3691" t="s">
        <v>1398</v>
      </c>
      <c r="N3691">
        <v>0</v>
      </c>
      <c r="O3691" t="s">
        <v>1395</v>
      </c>
      <c r="P3691" t="s">
        <v>310</v>
      </c>
      <c r="Q3691" t="s">
        <v>310</v>
      </c>
      <c r="R3691" t="s">
        <v>310</v>
      </c>
      <c r="S3691">
        <v>9</v>
      </c>
      <c r="T3691" t="s">
        <v>310</v>
      </c>
      <c r="U3691">
        <v>9</v>
      </c>
      <c r="V3691">
        <v>9</v>
      </c>
      <c r="W3691">
        <v>0</v>
      </c>
      <c r="X3691">
        <v>0</v>
      </c>
      <c r="Y3691">
        <v>0</v>
      </c>
      <c r="Z3691">
        <v>0</v>
      </c>
      <c r="AA3691">
        <v>9</v>
      </c>
      <c r="AB3691">
        <v>9</v>
      </c>
      <c r="AC3691" t="s">
        <v>310</v>
      </c>
      <c r="AD3691">
        <v>9</v>
      </c>
      <c r="AE3691" t="s">
        <v>1414</v>
      </c>
      <c r="AF3691">
        <v>0</v>
      </c>
      <c r="AG3691" t="s">
        <v>310</v>
      </c>
      <c r="AH3691">
        <f>SUM((MID(Dyno_Data[[#This Row],[Team]],4,5))+(Dyno_Data[[#This Row],[Match]]/100))</f>
        <v>3003.67</v>
      </c>
      <c r="AI3691" s="76">
        <f>ROUND(SUM(IF(Dyno_Data[[#This Row],[AcqCenter]]&gt;0,Dyno_Data[[#This Row],[Time]]-SUMIFS(Dyno_Data[Time],Dyno_Data[Team],Dyno_Data[[#This Row],[Team]],Dyno_Data[RecordType],"StartMatch",Dyno_Data[Match],Dyno_Data[[#This Row],[Match]]),0)*86400),0)</f>
        <v>0</v>
      </c>
    </row>
    <row r="3692" spans="1:35" x14ac:dyDescent="0.3">
      <c r="A3692">
        <v>3689</v>
      </c>
      <c r="B3692" t="s">
        <v>1289</v>
      </c>
      <c r="C3692">
        <v>67</v>
      </c>
      <c r="D3692" s="105">
        <v>45374.428281168985</v>
      </c>
      <c r="E3692" t="s">
        <v>314</v>
      </c>
      <c r="F3692" t="s">
        <v>309</v>
      </c>
      <c r="G3692">
        <v>0</v>
      </c>
      <c r="H3692" t="s">
        <v>310</v>
      </c>
      <c r="I3692">
        <v>0</v>
      </c>
      <c r="J3692">
        <v>0</v>
      </c>
      <c r="K3692">
        <v>0</v>
      </c>
      <c r="L3692" t="s">
        <v>310</v>
      </c>
      <c r="M3692" t="s">
        <v>310</v>
      </c>
      <c r="N3692">
        <v>0</v>
      </c>
      <c r="O3692" t="s">
        <v>1391</v>
      </c>
      <c r="P3692" t="s">
        <v>101</v>
      </c>
      <c r="Q3692" t="s">
        <v>1399</v>
      </c>
      <c r="R3692" t="s">
        <v>310</v>
      </c>
      <c r="S3692">
        <v>9</v>
      </c>
      <c r="T3692" t="s">
        <v>310</v>
      </c>
      <c r="U3692">
        <v>9</v>
      </c>
      <c r="V3692">
        <v>9</v>
      </c>
      <c r="W3692">
        <v>0</v>
      </c>
      <c r="X3692">
        <v>0</v>
      </c>
      <c r="Y3692">
        <v>0</v>
      </c>
      <c r="Z3692">
        <v>0</v>
      </c>
      <c r="AA3692">
        <v>9</v>
      </c>
      <c r="AB3692">
        <v>9</v>
      </c>
      <c r="AC3692" t="s">
        <v>310</v>
      </c>
      <c r="AD3692">
        <v>9</v>
      </c>
      <c r="AE3692" t="s">
        <v>1390</v>
      </c>
      <c r="AF3692">
        <v>0</v>
      </c>
      <c r="AG3692" t="s">
        <v>310</v>
      </c>
      <c r="AH3692">
        <f>SUM((MID(Dyno_Data[[#This Row],[Team]],4,5))+(Dyno_Data[[#This Row],[Match]]/100))</f>
        <v>6648.67</v>
      </c>
      <c r="AI3692" s="76">
        <f>ROUND(SUM(IF(Dyno_Data[[#This Row],[AcqCenter]]&gt;0,Dyno_Data[[#This Row],[Time]]-SUMIFS(Dyno_Data[Time],Dyno_Data[Team],Dyno_Data[[#This Row],[Team]],Dyno_Data[RecordType],"StartMatch",Dyno_Data[Match],Dyno_Data[[#This Row],[Match]]),0)*86400),0)</f>
        <v>0</v>
      </c>
    </row>
    <row r="3693" spans="1:35" x14ac:dyDescent="0.3">
      <c r="A3693">
        <v>3691</v>
      </c>
      <c r="B3693" t="s">
        <v>1296</v>
      </c>
      <c r="C3693">
        <v>67</v>
      </c>
      <c r="D3693" s="105">
        <v>45374.428299270832</v>
      </c>
      <c r="E3693" t="s">
        <v>314</v>
      </c>
      <c r="F3693" t="s">
        <v>309</v>
      </c>
      <c r="G3693">
        <v>1</v>
      </c>
      <c r="H3693" t="s">
        <v>310</v>
      </c>
      <c r="I3693">
        <v>0</v>
      </c>
      <c r="J3693">
        <v>0</v>
      </c>
      <c r="K3693">
        <v>0</v>
      </c>
      <c r="L3693" t="s">
        <v>310</v>
      </c>
      <c r="M3693" t="s">
        <v>310</v>
      </c>
      <c r="N3693">
        <v>0</v>
      </c>
      <c r="O3693" t="s">
        <v>1395</v>
      </c>
      <c r="P3693" t="s">
        <v>240</v>
      </c>
      <c r="Q3693" t="s">
        <v>1400</v>
      </c>
      <c r="R3693" t="s">
        <v>310</v>
      </c>
      <c r="S3693">
        <v>9</v>
      </c>
      <c r="T3693" t="s">
        <v>310</v>
      </c>
      <c r="U3693">
        <v>9</v>
      </c>
      <c r="V3693">
        <v>9</v>
      </c>
      <c r="W3693">
        <v>0</v>
      </c>
      <c r="X3693">
        <v>0</v>
      </c>
      <c r="Y3693">
        <v>0</v>
      </c>
      <c r="Z3693">
        <v>0</v>
      </c>
      <c r="AA3693">
        <v>9</v>
      </c>
      <c r="AB3693">
        <v>9</v>
      </c>
      <c r="AC3693" t="s">
        <v>310</v>
      </c>
      <c r="AD3693">
        <v>9</v>
      </c>
      <c r="AE3693" t="s">
        <v>1414</v>
      </c>
      <c r="AF3693">
        <v>0</v>
      </c>
      <c r="AG3693" t="s">
        <v>310</v>
      </c>
      <c r="AH3693">
        <f>SUM((MID(Dyno_Data[[#This Row],[Team]],4,5))+(Dyno_Data[[#This Row],[Match]]/100))</f>
        <v>3003.67</v>
      </c>
      <c r="AI3693" s="76">
        <f>ROUND(SUM(IF(Dyno_Data[[#This Row],[AcqCenter]]&gt;0,Dyno_Data[[#This Row],[Time]]-SUMIFS(Dyno_Data[Time],Dyno_Data[Team],Dyno_Data[[#This Row],[Team]],Dyno_Data[RecordType],"StartMatch",Dyno_Data[Match],Dyno_Data[[#This Row],[Match]]),0)*86400),0)</f>
        <v>0</v>
      </c>
    </row>
    <row r="3694" spans="1:35" x14ac:dyDescent="0.3">
      <c r="A3694">
        <v>3693</v>
      </c>
      <c r="B3694" t="s">
        <v>1283</v>
      </c>
      <c r="C3694">
        <v>67</v>
      </c>
      <c r="D3694" s="105">
        <v>45374.428321064814</v>
      </c>
      <c r="E3694" t="s">
        <v>314</v>
      </c>
      <c r="F3694" t="s">
        <v>309</v>
      </c>
      <c r="G3694">
        <v>0</v>
      </c>
      <c r="H3694" t="s">
        <v>310</v>
      </c>
      <c r="I3694">
        <v>0</v>
      </c>
      <c r="J3694">
        <v>0</v>
      </c>
      <c r="K3694">
        <v>0</v>
      </c>
      <c r="L3694" t="s">
        <v>310</v>
      </c>
      <c r="M3694" t="s">
        <v>310</v>
      </c>
      <c r="N3694">
        <v>0</v>
      </c>
      <c r="O3694" t="s">
        <v>311</v>
      </c>
      <c r="P3694" t="s">
        <v>320</v>
      </c>
      <c r="Q3694" t="s">
        <v>1400</v>
      </c>
      <c r="R3694" t="s">
        <v>310</v>
      </c>
      <c r="S3694">
        <v>9</v>
      </c>
      <c r="T3694" t="s">
        <v>310</v>
      </c>
      <c r="U3694">
        <v>9</v>
      </c>
      <c r="V3694">
        <v>9</v>
      </c>
      <c r="W3694">
        <v>0</v>
      </c>
      <c r="X3694">
        <v>0</v>
      </c>
      <c r="Y3694">
        <v>0</v>
      </c>
      <c r="Z3694">
        <v>0</v>
      </c>
      <c r="AA3694">
        <v>9</v>
      </c>
      <c r="AB3694">
        <v>9</v>
      </c>
      <c r="AC3694" t="s">
        <v>310</v>
      </c>
      <c r="AD3694">
        <v>9</v>
      </c>
      <c r="AE3694" t="s">
        <v>1413</v>
      </c>
      <c r="AF3694">
        <v>0</v>
      </c>
      <c r="AG3694" t="s">
        <v>310</v>
      </c>
      <c r="AH3694">
        <f>SUM((MID(Dyno_Data[[#This Row],[Team]],4,5))+(Dyno_Data[[#This Row],[Match]]/100))</f>
        <v>1601.67</v>
      </c>
      <c r="AI3694" s="76">
        <f>ROUND(SUM(IF(Dyno_Data[[#This Row],[AcqCenter]]&gt;0,Dyno_Data[[#This Row],[Time]]-SUMIFS(Dyno_Data[Time],Dyno_Data[Team],Dyno_Data[[#This Row],[Team]],Dyno_Data[RecordType],"StartMatch",Dyno_Data[Match],Dyno_Data[[#This Row],[Match]]),0)*86400),0)</f>
        <v>0</v>
      </c>
    </row>
    <row r="3695" spans="1:35" x14ac:dyDescent="0.3">
      <c r="A3695">
        <v>3694</v>
      </c>
      <c r="B3695" t="s">
        <v>1318</v>
      </c>
      <c r="C3695">
        <v>67</v>
      </c>
      <c r="D3695" s="105">
        <v>45374.428379363424</v>
      </c>
      <c r="E3695" t="s">
        <v>312</v>
      </c>
      <c r="F3695" t="s">
        <v>1402</v>
      </c>
      <c r="G3695">
        <v>0</v>
      </c>
      <c r="H3695" t="s">
        <v>315</v>
      </c>
      <c r="I3695">
        <v>0</v>
      </c>
      <c r="J3695">
        <v>0</v>
      </c>
      <c r="K3695">
        <v>0</v>
      </c>
      <c r="L3695" t="s">
        <v>242</v>
      </c>
      <c r="M3695" t="s">
        <v>241</v>
      </c>
      <c r="N3695">
        <v>0</v>
      </c>
      <c r="O3695" t="s">
        <v>1393</v>
      </c>
      <c r="P3695" t="s">
        <v>310</v>
      </c>
      <c r="Q3695" t="s">
        <v>310</v>
      </c>
      <c r="R3695" t="s">
        <v>310</v>
      </c>
      <c r="S3695">
        <v>9</v>
      </c>
      <c r="T3695" t="s">
        <v>310</v>
      </c>
      <c r="U3695">
        <v>9</v>
      </c>
      <c r="V3695">
        <v>9</v>
      </c>
      <c r="W3695">
        <v>0</v>
      </c>
      <c r="X3695">
        <v>0</v>
      </c>
      <c r="Y3695">
        <v>0</v>
      </c>
      <c r="Z3695">
        <v>0</v>
      </c>
      <c r="AA3695">
        <v>9</v>
      </c>
      <c r="AB3695">
        <v>9</v>
      </c>
      <c r="AC3695" t="s">
        <v>310</v>
      </c>
      <c r="AD3695">
        <v>9</v>
      </c>
      <c r="AE3695" t="s">
        <v>1412</v>
      </c>
      <c r="AF3695">
        <v>10000000</v>
      </c>
      <c r="AG3695" t="s">
        <v>310</v>
      </c>
      <c r="AH3695">
        <f>SUM((MID(Dyno_Data[[#This Row],[Team]],4,5))+(Dyno_Data[[#This Row],[Match]]/100))</f>
        <v>7709.67</v>
      </c>
      <c r="AI3695" s="76">
        <f>ROUND(SUM(IF(Dyno_Data[[#This Row],[AcqCenter]]&gt;0,Dyno_Data[[#This Row],[Time]]-SUMIFS(Dyno_Data[Time],Dyno_Data[Team],Dyno_Data[[#This Row],[Team]],Dyno_Data[RecordType],"StartMatch",Dyno_Data[Match],Dyno_Data[[#This Row],[Match]]),0)*86400),0)</f>
        <v>0</v>
      </c>
    </row>
    <row r="3696" spans="1:35" x14ac:dyDescent="0.3">
      <c r="A3696">
        <v>3695</v>
      </c>
      <c r="B3696" t="s">
        <v>1308</v>
      </c>
      <c r="C3696">
        <v>67</v>
      </c>
      <c r="D3696" s="105">
        <v>45374.428387418979</v>
      </c>
      <c r="E3696" t="s">
        <v>312</v>
      </c>
      <c r="F3696" t="s">
        <v>1402</v>
      </c>
      <c r="G3696">
        <v>0</v>
      </c>
      <c r="H3696" t="s">
        <v>315</v>
      </c>
      <c r="I3696">
        <v>0</v>
      </c>
      <c r="J3696">
        <v>0</v>
      </c>
      <c r="K3696">
        <v>0</v>
      </c>
      <c r="L3696" t="s">
        <v>240</v>
      </c>
      <c r="M3696" t="s">
        <v>1398</v>
      </c>
      <c r="N3696">
        <v>0</v>
      </c>
      <c r="O3696" t="s">
        <v>319</v>
      </c>
      <c r="P3696" t="s">
        <v>310</v>
      </c>
      <c r="Q3696" t="s">
        <v>310</v>
      </c>
      <c r="R3696" t="s">
        <v>310</v>
      </c>
      <c r="S3696">
        <v>9</v>
      </c>
      <c r="T3696" t="s">
        <v>310</v>
      </c>
      <c r="U3696">
        <v>9</v>
      </c>
      <c r="V3696">
        <v>9</v>
      </c>
      <c r="W3696">
        <v>0</v>
      </c>
      <c r="X3696">
        <v>0</v>
      </c>
      <c r="Y3696">
        <v>0</v>
      </c>
      <c r="Z3696">
        <v>0</v>
      </c>
      <c r="AA3696">
        <v>9</v>
      </c>
      <c r="AB3696">
        <v>9</v>
      </c>
      <c r="AC3696" t="s">
        <v>310</v>
      </c>
      <c r="AD3696">
        <v>9</v>
      </c>
      <c r="AE3696" t="s">
        <v>1396</v>
      </c>
      <c r="AF3696">
        <v>10000000</v>
      </c>
      <c r="AG3696" t="s">
        <v>310</v>
      </c>
      <c r="AH3696">
        <f>SUM((MID(Dyno_Data[[#This Row],[Team]],4,5))+(Dyno_Data[[#This Row],[Match]]/100))</f>
        <v>3799.67</v>
      </c>
      <c r="AI3696" s="76">
        <f>ROUND(SUM(IF(Dyno_Data[[#This Row],[AcqCenter]]&gt;0,Dyno_Data[[#This Row],[Time]]-SUMIFS(Dyno_Data[Time],Dyno_Data[Team],Dyno_Data[[#This Row],[Team]],Dyno_Data[RecordType],"StartMatch",Dyno_Data[Match],Dyno_Data[[#This Row],[Match]]),0)*86400),0)</f>
        <v>0</v>
      </c>
    </row>
    <row r="3697" spans="1:35" x14ac:dyDescent="0.3">
      <c r="A3697">
        <v>3696</v>
      </c>
      <c r="B3697" t="s">
        <v>1289</v>
      </c>
      <c r="C3697">
        <v>67</v>
      </c>
      <c r="D3697" s="105">
        <v>45374.4283931713</v>
      </c>
      <c r="E3697" t="s">
        <v>312</v>
      </c>
      <c r="F3697" t="s">
        <v>1402</v>
      </c>
      <c r="G3697">
        <v>0</v>
      </c>
      <c r="H3697" t="s">
        <v>1397</v>
      </c>
      <c r="I3697">
        <v>0</v>
      </c>
      <c r="J3697">
        <v>0</v>
      </c>
      <c r="K3697">
        <v>0</v>
      </c>
      <c r="L3697" t="s">
        <v>241</v>
      </c>
      <c r="M3697" t="s">
        <v>101</v>
      </c>
      <c r="N3697">
        <v>0</v>
      </c>
      <c r="O3697" t="s">
        <v>1391</v>
      </c>
      <c r="P3697" t="s">
        <v>310</v>
      </c>
      <c r="Q3697" t="s">
        <v>310</v>
      </c>
      <c r="R3697" t="s">
        <v>310</v>
      </c>
      <c r="S3697">
        <v>9</v>
      </c>
      <c r="T3697" t="s">
        <v>310</v>
      </c>
      <c r="U3697">
        <v>9</v>
      </c>
      <c r="V3697">
        <v>9</v>
      </c>
      <c r="W3697">
        <v>0</v>
      </c>
      <c r="X3697">
        <v>0</v>
      </c>
      <c r="Y3697">
        <v>0</v>
      </c>
      <c r="Z3697">
        <v>0</v>
      </c>
      <c r="AA3697">
        <v>9</v>
      </c>
      <c r="AB3697">
        <v>9</v>
      </c>
      <c r="AC3697" t="s">
        <v>310</v>
      </c>
      <c r="AD3697">
        <v>9</v>
      </c>
      <c r="AE3697" t="s">
        <v>1390</v>
      </c>
      <c r="AF3697">
        <v>0</v>
      </c>
      <c r="AG3697" t="s">
        <v>310</v>
      </c>
      <c r="AH3697">
        <f>SUM((MID(Dyno_Data[[#This Row],[Team]],4,5))+(Dyno_Data[[#This Row],[Match]]/100))</f>
        <v>6648.67</v>
      </c>
      <c r="AI3697" s="76">
        <f>ROUND(SUM(IF(Dyno_Data[[#This Row],[AcqCenter]]&gt;0,Dyno_Data[[#This Row],[Time]]-SUMIFS(Dyno_Data[Time],Dyno_Data[Team],Dyno_Data[[#This Row],[Team]],Dyno_Data[RecordType],"StartMatch",Dyno_Data[Match],Dyno_Data[[#This Row],[Match]]),0)*86400),0)</f>
        <v>0</v>
      </c>
    </row>
    <row r="3698" spans="1:35" x14ac:dyDescent="0.3">
      <c r="A3698">
        <v>3697</v>
      </c>
      <c r="B3698" t="s">
        <v>1308</v>
      </c>
      <c r="C3698">
        <v>67</v>
      </c>
      <c r="D3698" s="105">
        <v>45374.428429479165</v>
      </c>
      <c r="E3698" t="s">
        <v>312</v>
      </c>
      <c r="F3698" t="s">
        <v>1402</v>
      </c>
      <c r="G3698">
        <v>0</v>
      </c>
      <c r="H3698" t="s">
        <v>315</v>
      </c>
      <c r="I3698">
        <v>0</v>
      </c>
      <c r="J3698">
        <v>0</v>
      </c>
      <c r="K3698">
        <v>0</v>
      </c>
      <c r="L3698" t="s">
        <v>240</v>
      </c>
      <c r="M3698" t="s">
        <v>1398</v>
      </c>
      <c r="N3698">
        <v>0</v>
      </c>
      <c r="O3698" t="s">
        <v>319</v>
      </c>
      <c r="P3698" t="s">
        <v>310</v>
      </c>
      <c r="Q3698" t="s">
        <v>310</v>
      </c>
      <c r="R3698" t="s">
        <v>310</v>
      </c>
      <c r="S3698">
        <v>9</v>
      </c>
      <c r="T3698" t="s">
        <v>310</v>
      </c>
      <c r="U3698">
        <v>9</v>
      </c>
      <c r="V3698">
        <v>9</v>
      </c>
      <c r="W3698">
        <v>0</v>
      </c>
      <c r="X3698">
        <v>0</v>
      </c>
      <c r="Y3698">
        <v>0</v>
      </c>
      <c r="Z3698">
        <v>0</v>
      </c>
      <c r="AA3698">
        <v>9</v>
      </c>
      <c r="AB3698">
        <v>9</v>
      </c>
      <c r="AC3698" t="s">
        <v>310</v>
      </c>
      <c r="AD3698">
        <v>9</v>
      </c>
      <c r="AE3698" t="s">
        <v>1396</v>
      </c>
      <c r="AF3698">
        <v>20000000</v>
      </c>
      <c r="AG3698" t="s">
        <v>310</v>
      </c>
      <c r="AH3698">
        <f>SUM((MID(Dyno_Data[[#This Row],[Team]],4,5))+(Dyno_Data[[#This Row],[Match]]/100))</f>
        <v>3799.67</v>
      </c>
      <c r="AI3698" s="76">
        <f>ROUND(SUM(IF(Dyno_Data[[#This Row],[AcqCenter]]&gt;0,Dyno_Data[[#This Row],[Time]]-SUMIFS(Dyno_Data[Time],Dyno_Data[Team],Dyno_Data[[#This Row],[Team]],Dyno_Data[RecordType],"StartMatch",Dyno_Data[Match],Dyno_Data[[#This Row],[Match]]),0)*86400),0)</f>
        <v>0</v>
      </c>
    </row>
    <row r="3699" spans="1:35" x14ac:dyDescent="0.3">
      <c r="A3699">
        <v>3698</v>
      </c>
      <c r="B3699" t="s">
        <v>1308</v>
      </c>
      <c r="C3699">
        <v>67</v>
      </c>
      <c r="D3699" s="105">
        <v>45374.428471180552</v>
      </c>
      <c r="E3699" t="s">
        <v>312</v>
      </c>
      <c r="F3699" t="s">
        <v>1402</v>
      </c>
      <c r="G3699">
        <v>0</v>
      </c>
      <c r="H3699" t="s">
        <v>315</v>
      </c>
      <c r="I3699">
        <v>0</v>
      </c>
      <c r="J3699">
        <v>0</v>
      </c>
      <c r="K3699">
        <v>0</v>
      </c>
      <c r="L3699" t="s">
        <v>240</v>
      </c>
      <c r="M3699" t="s">
        <v>1398</v>
      </c>
      <c r="N3699">
        <v>0</v>
      </c>
      <c r="O3699" t="s">
        <v>319</v>
      </c>
      <c r="P3699" t="s">
        <v>310</v>
      </c>
      <c r="Q3699" t="s">
        <v>310</v>
      </c>
      <c r="R3699" t="s">
        <v>310</v>
      </c>
      <c r="S3699">
        <v>9</v>
      </c>
      <c r="T3699" t="s">
        <v>310</v>
      </c>
      <c r="U3699">
        <v>9</v>
      </c>
      <c r="V3699">
        <v>9</v>
      </c>
      <c r="W3699">
        <v>0</v>
      </c>
      <c r="X3699">
        <v>0</v>
      </c>
      <c r="Y3699">
        <v>0</v>
      </c>
      <c r="Z3699">
        <v>0</v>
      </c>
      <c r="AA3699">
        <v>9</v>
      </c>
      <c r="AB3699">
        <v>9</v>
      </c>
      <c r="AC3699" t="s">
        <v>310</v>
      </c>
      <c r="AD3699">
        <v>9</v>
      </c>
      <c r="AE3699" t="s">
        <v>1396</v>
      </c>
      <c r="AF3699">
        <v>30000000</v>
      </c>
      <c r="AG3699" t="s">
        <v>310</v>
      </c>
      <c r="AH3699">
        <f>SUM((MID(Dyno_Data[[#This Row],[Team]],4,5))+(Dyno_Data[[#This Row],[Match]]/100))</f>
        <v>3799.67</v>
      </c>
      <c r="AI3699" s="76">
        <f>ROUND(SUM(IF(Dyno_Data[[#This Row],[AcqCenter]]&gt;0,Dyno_Data[[#This Row],[Time]]-SUMIFS(Dyno_Data[Time],Dyno_Data[Team],Dyno_Data[[#This Row],[Team]],Dyno_Data[RecordType],"StartMatch",Dyno_Data[Match],Dyno_Data[[#This Row],[Match]]),0)*86400),0)</f>
        <v>0</v>
      </c>
    </row>
    <row r="3700" spans="1:35" x14ac:dyDescent="0.3">
      <c r="A3700">
        <v>3699</v>
      </c>
      <c r="B3700" t="s">
        <v>1318</v>
      </c>
      <c r="C3700">
        <v>67</v>
      </c>
      <c r="D3700" s="105">
        <v>45374.428505324075</v>
      </c>
      <c r="E3700" t="s">
        <v>312</v>
      </c>
      <c r="F3700" t="s">
        <v>1402</v>
      </c>
      <c r="G3700">
        <v>0</v>
      </c>
      <c r="H3700" t="s">
        <v>315</v>
      </c>
      <c r="I3700">
        <v>0</v>
      </c>
      <c r="J3700">
        <v>0</v>
      </c>
      <c r="K3700">
        <v>0</v>
      </c>
      <c r="L3700" t="s">
        <v>242</v>
      </c>
      <c r="M3700" t="s">
        <v>241</v>
      </c>
      <c r="N3700">
        <v>0</v>
      </c>
      <c r="O3700" t="s">
        <v>1393</v>
      </c>
      <c r="P3700" t="s">
        <v>310</v>
      </c>
      <c r="Q3700" t="s">
        <v>310</v>
      </c>
      <c r="R3700" t="s">
        <v>310</v>
      </c>
      <c r="S3700">
        <v>9</v>
      </c>
      <c r="T3700" t="s">
        <v>310</v>
      </c>
      <c r="U3700">
        <v>9</v>
      </c>
      <c r="V3700">
        <v>9</v>
      </c>
      <c r="W3700">
        <v>0</v>
      </c>
      <c r="X3700">
        <v>0</v>
      </c>
      <c r="Y3700">
        <v>0</v>
      </c>
      <c r="Z3700">
        <v>0</v>
      </c>
      <c r="AA3700">
        <v>9</v>
      </c>
      <c r="AB3700">
        <v>9</v>
      </c>
      <c r="AC3700" t="s">
        <v>310</v>
      </c>
      <c r="AD3700">
        <v>9</v>
      </c>
      <c r="AE3700" t="s">
        <v>1412</v>
      </c>
      <c r="AF3700">
        <v>20000000</v>
      </c>
      <c r="AG3700" t="s">
        <v>310</v>
      </c>
      <c r="AH3700">
        <f>SUM((MID(Dyno_Data[[#This Row],[Team]],4,5))+(Dyno_Data[[#This Row],[Match]]/100))</f>
        <v>7709.67</v>
      </c>
      <c r="AI3700" s="76">
        <f>ROUND(SUM(IF(Dyno_Data[[#This Row],[AcqCenter]]&gt;0,Dyno_Data[[#This Row],[Time]]-SUMIFS(Dyno_Data[Time],Dyno_Data[Team],Dyno_Data[[#This Row],[Team]],Dyno_Data[RecordType],"StartMatch",Dyno_Data[Match],Dyno_Data[[#This Row],[Match]]),0)*86400),0)</f>
        <v>0</v>
      </c>
    </row>
    <row r="3701" spans="1:35" x14ac:dyDescent="0.3">
      <c r="A3701">
        <v>3700</v>
      </c>
      <c r="B3701" t="s">
        <v>361</v>
      </c>
      <c r="C3701">
        <v>67</v>
      </c>
      <c r="D3701" s="105">
        <v>45374.428534293984</v>
      </c>
      <c r="E3701" t="s">
        <v>312</v>
      </c>
      <c r="F3701" t="s">
        <v>1402</v>
      </c>
      <c r="G3701">
        <v>0</v>
      </c>
      <c r="H3701" t="s">
        <v>315</v>
      </c>
      <c r="I3701">
        <v>0</v>
      </c>
      <c r="J3701">
        <v>0</v>
      </c>
      <c r="K3701">
        <v>0</v>
      </c>
      <c r="L3701" t="s">
        <v>240</v>
      </c>
      <c r="M3701" t="s">
        <v>1398</v>
      </c>
      <c r="N3701">
        <v>0</v>
      </c>
      <c r="O3701" t="s">
        <v>1389</v>
      </c>
      <c r="P3701" t="s">
        <v>310</v>
      </c>
      <c r="Q3701" t="s">
        <v>310</v>
      </c>
      <c r="R3701" t="s">
        <v>310</v>
      </c>
      <c r="S3701">
        <v>9</v>
      </c>
      <c r="T3701" t="s">
        <v>310</v>
      </c>
      <c r="U3701">
        <v>9</v>
      </c>
      <c r="V3701">
        <v>9</v>
      </c>
      <c r="W3701">
        <v>0</v>
      </c>
      <c r="X3701">
        <v>0</v>
      </c>
      <c r="Y3701">
        <v>0</v>
      </c>
      <c r="Z3701">
        <v>0</v>
      </c>
      <c r="AA3701">
        <v>9</v>
      </c>
      <c r="AB3701">
        <v>9</v>
      </c>
      <c r="AC3701" t="s">
        <v>310</v>
      </c>
      <c r="AD3701">
        <v>9</v>
      </c>
      <c r="AE3701" t="s">
        <v>1388</v>
      </c>
      <c r="AF3701">
        <v>10001000</v>
      </c>
      <c r="AG3701" t="s">
        <v>310</v>
      </c>
      <c r="AH3701">
        <f>SUM((MID(Dyno_Data[[#This Row],[Team]],4,5))+(Dyno_Data[[#This Row],[Match]]/100))</f>
        <v>20.67</v>
      </c>
      <c r="AI3701" s="76">
        <f>ROUND(SUM(IF(Dyno_Data[[#This Row],[AcqCenter]]&gt;0,Dyno_Data[[#This Row],[Time]]-SUMIFS(Dyno_Data[Time],Dyno_Data[Team],Dyno_Data[[#This Row],[Team]],Dyno_Data[RecordType],"StartMatch",Dyno_Data[Match],Dyno_Data[[#This Row],[Match]]),0)*86400),0)</f>
        <v>0</v>
      </c>
    </row>
    <row r="3702" spans="1:35" x14ac:dyDescent="0.3">
      <c r="A3702">
        <v>3701</v>
      </c>
      <c r="B3702" t="s">
        <v>1318</v>
      </c>
      <c r="C3702">
        <v>67</v>
      </c>
      <c r="D3702" s="105">
        <v>45374.428591516204</v>
      </c>
      <c r="E3702" t="s">
        <v>312</v>
      </c>
      <c r="F3702" t="s">
        <v>1402</v>
      </c>
      <c r="G3702">
        <v>0</v>
      </c>
      <c r="H3702" t="s">
        <v>315</v>
      </c>
      <c r="I3702">
        <v>0</v>
      </c>
      <c r="J3702">
        <v>0</v>
      </c>
      <c r="K3702">
        <v>0</v>
      </c>
      <c r="L3702" t="s">
        <v>241</v>
      </c>
      <c r="M3702" t="s">
        <v>101</v>
      </c>
      <c r="N3702">
        <v>0</v>
      </c>
      <c r="O3702" t="s">
        <v>1393</v>
      </c>
      <c r="P3702" t="s">
        <v>310</v>
      </c>
      <c r="Q3702" t="s">
        <v>310</v>
      </c>
      <c r="R3702" t="s">
        <v>310</v>
      </c>
      <c r="S3702">
        <v>9</v>
      </c>
      <c r="T3702" t="s">
        <v>310</v>
      </c>
      <c r="U3702">
        <v>9</v>
      </c>
      <c r="V3702">
        <v>9</v>
      </c>
      <c r="W3702">
        <v>0</v>
      </c>
      <c r="X3702">
        <v>0</v>
      </c>
      <c r="Y3702">
        <v>0</v>
      </c>
      <c r="Z3702">
        <v>0</v>
      </c>
      <c r="AA3702">
        <v>9</v>
      </c>
      <c r="AB3702">
        <v>9</v>
      </c>
      <c r="AC3702" t="s">
        <v>310</v>
      </c>
      <c r="AD3702">
        <v>9</v>
      </c>
      <c r="AE3702" t="s">
        <v>1412</v>
      </c>
      <c r="AF3702">
        <v>30000000</v>
      </c>
      <c r="AG3702" t="s">
        <v>310</v>
      </c>
      <c r="AH3702">
        <f>SUM((MID(Dyno_Data[[#This Row],[Team]],4,5))+(Dyno_Data[[#This Row],[Match]]/100))</f>
        <v>7709.67</v>
      </c>
      <c r="AI3702" s="76">
        <f>ROUND(SUM(IF(Dyno_Data[[#This Row],[AcqCenter]]&gt;0,Dyno_Data[[#This Row],[Time]]-SUMIFS(Dyno_Data[Time],Dyno_Data[Team],Dyno_Data[[#This Row],[Team]],Dyno_Data[RecordType],"StartMatch",Dyno_Data[Match],Dyno_Data[[#This Row],[Match]]),0)*86400),0)</f>
        <v>0</v>
      </c>
    </row>
    <row r="3703" spans="1:35" x14ac:dyDescent="0.3">
      <c r="A3703">
        <v>3702</v>
      </c>
      <c r="B3703" t="s">
        <v>1308</v>
      </c>
      <c r="C3703">
        <v>67</v>
      </c>
      <c r="D3703" s="105">
        <v>45374.428597997685</v>
      </c>
      <c r="E3703" t="s">
        <v>312</v>
      </c>
      <c r="F3703" t="s">
        <v>1402</v>
      </c>
      <c r="G3703">
        <v>0</v>
      </c>
      <c r="H3703" t="s">
        <v>315</v>
      </c>
      <c r="I3703">
        <v>0</v>
      </c>
      <c r="J3703">
        <v>0</v>
      </c>
      <c r="K3703">
        <v>0</v>
      </c>
      <c r="L3703" t="s">
        <v>240</v>
      </c>
      <c r="M3703" t="s">
        <v>1398</v>
      </c>
      <c r="N3703">
        <v>0</v>
      </c>
      <c r="O3703" t="s">
        <v>319</v>
      </c>
      <c r="P3703" t="s">
        <v>310</v>
      </c>
      <c r="Q3703" t="s">
        <v>310</v>
      </c>
      <c r="R3703" t="s">
        <v>310</v>
      </c>
      <c r="S3703">
        <v>9</v>
      </c>
      <c r="T3703" t="s">
        <v>310</v>
      </c>
      <c r="U3703">
        <v>9</v>
      </c>
      <c r="V3703">
        <v>9</v>
      </c>
      <c r="W3703">
        <v>0</v>
      </c>
      <c r="X3703">
        <v>0</v>
      </c>
      <c r="Y3703">
        <v>0</v>
      </c>
      <c r="Z3703">
        <v>0</v>
      </c>
      <c r="AA3703">
        <v>9</v>
      </c>
      <c r="AB3703">
        <v>9</v>
      </c>
      <c r="AC3703" t="s">
        <v>310</v>
      </c>
      <c r="AD3703">
        <v>9</v>
      </c>
      <c r="AE3703" t="s">
        <v>1396</v>
      </c>
      <c r="AF3703">
        <v>40000000</v>
      </c>
      <c r="AG3703" t="s">
        <v>310</v>
      </c>
      <c r="AH3703">
        <f>SUM((MID(Dyno_Data[[#This Row],[Team]],4,5))+(Dyno_Data[[#This Row],[Match]]/100))</f>
        <v>3799.67</v>
      </c>
      <c r="AI3703" s="76">
        <f>ROUND(SUM(IF(Dyno_Data[[#This Row],[AcqCenter]]&gt;0,Dyno_Data[[#This Row],[Time]]-SUMIFS(Dyno_Data[Time],Dyno_Data[Team],Dyno_Data[[#This Row],[Team]],Dyno_Data[RecordType],"StartMatch",Dyno_Data[Match],Dyno_Data[[#This Row],[Match]]),0)*86400),0)</f>
        <v>0</v>
      </c>
    </row>
    <row r="3704" spans="1:35" x14ac:dyDescent="0.3">
      <c r="A3704">
        <v>3703</v>
      </c>
      <c r="B3704" t="s">
        <v>1318</v>
      </c>
      <c r="C3704">
        <v>67</v>
      </c>
      <c r="D3704" s="105">
        <v>45374.428648993053</v>
      </c>
      <c r="E3704" t="s">
        <v>312</v>
      </c>
      <c r="F3704" t="s">
        <v>1402</v>
      </c>
      <c r="G3704">
        <v>0</v>
      </c>
      <c r="H3704" t="s">
        <v>315</v>
      </c>
      <c r="I3704">
        <v>0</v>
      </c>
      <c r="J3704">
        <v>0</v>
      </c>
      <c r="K3704">
        <v>0</v>
      </c>
      <c r="L3704" t="s">
        <v>241</v>
      </c>
      <c r="M3704" t="s">
        <v>101</v>
      </c>
      <c r="N3704">
        <v>0</v>
      </c>
      <c r="O3704" t="s">
        <v>1393</v>
      </c>
      <c r="P3704" t="s">
        <v>310</v>
      </c>
      <c r="Q3704" t="s">
        <v>310</v>
      </c>
      <c r="R3704" t="s">
        <v>310</v>
      </c>
      <c r="S3704">
        <v>9</v>
      </c>
      <c r="T3704" t="s">
        <v>310</v>
      </c>
      <c r="U3704">
        <v>9</v>
      </c>
      <c r="V3704">
        <v>9</v>
      </c>
      <c r="W3704">
        <v>0</v>
      </c>
      <c r="X3704">
        <v>0</v>
      </c>
      <c r="Y3704">
        <v>0</v>
      </c>
      <c r="Z3704">
        <v>0</v>
      </c>
      <c r="AA3704">
        <v>9</v>
      </c>
      <c r="AB3704">
        <v>9</v>
      </c>
      <c r="AC3704" t="s">
        <v>310</v>
      </c>
      <c r="AD3704">
        <v>9</v>
      </c>
      <c r="AE3704" t="s">
        <v>1412</v>
      </c>
      <c r="AF3704">
        <v>40000000</v>
      </c>
      <c r="AG3704" t="s">
        <v>310</v>
      </c>
      <c r="AH3704">
        <f>SUM((MID(Dyno_Data[[#This Row],[Team]],4,5))+(Dyno_Data[[#This Row],[Match]]/100))</f>
        <v>7709.67</v>
      </c>
      <c r="AI3704" s="76">
        <f>ROUND(SUM(IF(Dyno_Data[[#This Row],[AcqCenter]]&gt;0,Dyno_Data[[#This Row],[Time]]-SUMIFS(Dyno_Data[Time],Dyno_Data[Team],Dyno_Data[[#This Row],[Team]],Dyno_Data[RecordType],"StartMatch",Dyno_Data[Match],Dyno_Data[[#This Row],[Match]]),0)*86400),0)</f>
        <v>0</v>
      </c>
    </row>
    <row r="3705" spans="1:35" x14ac:dyDescent="0.3">
      <c r="A3705">
        <v>3704</v>
      </c>
      <c r="B3705" t="s">
        <v>361</v>
      </c>
      <c r="C3705">
        <v>67</v>
      </c>
      <c r="D3705" s="105">
        <v>45374.428725578706</v>
      </c>
      <c r="E3705" t="s">
        <v>312</v>
      </c>
      <c r="F3705" t="s">
        <v>1402</v>
      </c>
      <c r="G3705">
        <v>0</v>
      </c>
      <c r="H3705" t="s">
        <v>315</v>
      </c>
      <c r="I3705">
        <v>0</v>
      </c>
      <c r="J3705">
        <v>0</v>
      </c>
      <c r="K3705">
        <v>0</v>
      </c>
      <c r="L3705" t="s">
        <v>240</v>
      </c>
      <c r="M3705" t="s">
        <v>1398</v>
      </c>
      <c r="N3705">
        <v>0</v>
      </c>
      <c r="O3705" t="s">
        <v>1389</v>
      </c>
      <c r="P3705" t="s">
        <v>310</v>
      </c>
      <c r="Q3705" t="s">
        <v>310</v>
      </c>
      <c r="R3705" t="s">
        <v>310</v>
      </c>
      <c r="S3705">
        <v>9</v>
      </c>
      <c r="T3705" t="s">
        <v>310</v>
      </c>
      <c r="U3705">
        <v>9</v>
      </c>
      <c r="V3705">
        <v>9</v>
      </c>
      <c r="W3705">
        <v>0</v>
      </c>
      <c r="X3705">
        <v>0</v>
      </c>
      <c r="Y3705">
        <v>0</v>
      </c>
      <c r="Z3705">
        <v>0</v>
      </c>
      <c r="AA3705">
        <v>9</v>
      </c>
      <c r="AB3705">
        <v>9</v>
      </c>
      <c r="AC3705" t="s">
        <v>310</v>
      </c>
      <c r="AD3705">
        <v>9</v>
      </c>
      <c r="AE3705" t="s">
        <v>1388</v>
      </c>
      <c r="AF3705">
        <v>20001000</v>
      </c>
      <c r="AG3705" t="s">
        <v>310</v>
      </c>
      <c r="AH3705">
        <f>SUM((MID(Dyno_Data[[#This Row],[Team]],4,5))+(Dyno_Data[[#This Row],[Match]]/100))</f>
        <v>20.67</v>
      </c>
      <c r="AI3705" s="76">
        <f>ROUND(SUM(IF(Dyno_Data[[#This Row],[AcqCenter]]&gt;0,Dyno_Data[[#This Row],[Time]]-SUMIFS(Dyno_Data[Time],Dyno_Data[Team],Dyno_Data[[#This Row],[Team]],Dyno_Data[RecordType],"StartMatch",Dyno_Data[Match],Dyno_Data[[#This Row],[Match]]),0)*86400),0)</f>
        <v>0</v>
      </c>
    </row>
    <row r="3706" spans="1:35" x14ac:dyDescent="0.3">
      <c r="A3706">
        <v>3705</v>
      </c>
      <c r="B3706" t="s">
        <v>1308</v>
      </c>
      <c r="C3706">
        <v>67</v>
      </c>
      <c r="D3706" s="105">
        <v>45374.428745752317</v>
      </c>
      <c r="E3706" t="s">
        <v>312</v>
      </c>
      <c r="F3706" t="s">
        <v>1402</v>
      </c>
      <c r="G3706">
        <v>0</v>
      </c>
      <c r="H3706" t="s">
        <v>315</v>
      </c>
      <c r="I3706">
        <v>0</v>
      </c>
      <c r="J3706">
        <v>0</v>
      </c>
      <c r="K3706">
        <v>0</v>
      </c>
      <c r="L3706" t="s">
        <v>240</v>
      </c>
      <c r="M3706" t="s">
        <v>1398</v>
      </c>
      <c r="N3706">
        <v>0</v>
      </c>
      <c r="O3706" t="s">
        <v>319</v>
      </c>
      <c r="P3706" t="s">
        <v>310</v>
      </c>
      <c r="Q3706" t="s">
        <v>310</v>
      </c>
      <c r="R3706" t="s">
        <v>310</v>
      </c>
      <c r="S3706">
        <v>9</v>
      </c>
      <c r="T3706" t="s">
        <v>310</v>
      </c>
      <c r="U3706">
        <v>9</v>
      </c>
      <c r="V3706">
        <v>9</v>
      </c>
      <c r="W3706">
        <v>0</v>
      </c>
      <c r="X3706">
        <v>0</v>
      </c>
      <c r="Y3706">
        <v>0</v>
      </c>
      <c r="Z3706">
        <v>0</v>
      </c>
      <c r="AA3706">
        <v>9</v>
      </c>
      <c r="AB3706">
        <v>9</v>
      </c>
      <c r="AC3706" t="s">
        <v>310</v>
      </c>
      <c r="AD3706">
        <v>9</v>
      </c>
      <c r="AE3706" t="s">
        <v>1396</v>
      </c>
      <c r="AF3706">
        <v>50000000</v>
      </c>
      <c r="AG3706" t="s">
        <v>310</v>
      </c>
      <c r="AH3706">
        <f>SUM((MID(Dyno_Data[[#This Row],[Team]],4,5))+(Dyno_Data[[#This Row],[Match]]/100))</f>
        <v>3799.67</v>
      </c>
      <c r="AI3706" s="76">
        <f>ROUND(SUM(IF(Dyno_Data[[#This Row],[AcqCenter]]&gt;0,Dyno_Data[[#This Row],[Time]]-SUMIFS(Dyno_Data[Time],Dyno_Data[Team],Dyno_Data[[#This Row],[Team]],Dyno_Data[RecordType],"StartMatch",Dyno_Data[Match],Dyno_Data[[#This Row],[Match]]),0)*86400),0)</f>
        <v>0</v>
      </c>
    </row>
    <row r="3707" spans="1:35" x14ac:dyDescent="0.3">
      <c r="A3707">
        <v>3706</v>
      </c>
      <c r="B3707" t="s">
        <v>1308</v>
      </c>
      <c r="C3707">
        <v>67</v>
      </c>
      <c r="D3707" s="105">
        <v>45374.428797488428</v>
      </c>
      <c r="E3707" t="s">
        <v>312</v>
      </c>
      <c r="F3707" t="s">
        <v>1402</v>
      </c>
      <c r="G3707">
        <v>0</v>
      </c>
      <c r="H3707" t="s">
        <v>315</v>
      </c>
      <c r="I3707">
        <v>0</v>
      </c>
      <c r="J3707">
        <v>0</v>
      </c>
      <c r="K3707">
        <v>0</v>
      </c>
      <c r="L3707" t="s">
        <v>240</v>
      </c>
      <c r="M3707" t="s">
        <v>1398</v>
      </c>
      <c r="N3707">
        <v>0</v>
      </c>
      <c r="O3707" t="s">
        <v>319</v>
      </c>
      <c r="P3707" t="s">
        <v>310</v>
      </c>
      <c r="Q3707" t="s">
        <v>310</v>
      </c>
      <c r="R3707" t="s">
        <v>310</v>
      </c>
      <c r="S3707">
        <v>9</v>
      </c>
      <c r="T3707" t="s">
        <v>310</v>
      </c>
      <c r="U3707">
        <v>9</v>
      </c>
      <c r="V3707">
        <v>9</v>
      </c>
      <c r="W3707">
        <v>0</v>
      </c>
      <c r="X3707">
        <v>0</v>
      </c>
      <c r="Y3707">
        <v>0</v>
      </c>
      <c r="Z3707">
        <v>0</v>
      </c>
      <c r="AA3707">
        <v>9</v>
      </c>
      <c r="AB3707">
        <v>9</v>
      </c>
      <c r="AC3707" t="s">
        <v>310</v>
      </c>
      <c r="AD3707">
        <v>9</v>
      </c>
      <c r="AE3707" t="s">
        <v>1396</v>
      </c>
      <c r="AF3707">
        <v>60000000</v>
      </c>
      <c r="AG3707" t="s">
        <v>310</v>
      </c>
      <c r="AH3707">
        <f>SUM((MID(Dyno_Data[[#This Row],[Team]],4,5))+(Dyno_Data[[#This Row],[Match]]/100))</f>
        <v>3799.67</v>
      </c>
      <c r="AI3707" s="76">
        <f>ROUND(SUM(IF(Dyno_Data[[#This Row],[AcqCenter]]&gt;0,Dyno_Data[[#This Row],[Time]]-SUMIFS(Dyno_Data[Time],Dyno_Data[Team],Dyno_Data[[#This Row],[Team]],Dyno_Data[RecordType],"StartMatch",Dyno_Data[Match],Dyno_Data[[#This Row],[Match]]),0)*86400),0)</f>
        <v>0</v>
      </c>
    </row>
    <row r="3708" spans="1:35" x14ac:dyDescent="0.3">
      <c r="A3708">
        <v>3707</v>
      </c>
      <c r="B3708" t="s">
        <v>1318</v>
      </c>
      <c r="C3708">
        <v>67</v>
      </c>
      <c r="D3708" s="105">
        <v>45374.428928622685</v>
      </c>
      <c r="E3708" t="s">
        <v>312</v>
      </c>
      <c r="F3708" t="s">
        <v>1402</v>
      </c>
      <c r="G3708">
        <v>0</v>
      </c>
      <c r="H3708" t="s">
        <v>315</v>
      </c>
      <c r="I3708">
        <v>0</v>
      </c>
      <c r="J3708">
        <v>0</v>
      </c>
      <c r="K3708">
        <v>0</v>
      </c>
      <c r="L3708" t="s">
        <v>241</v>
      </c>
      <c r="M3708" t="s">
        <v>101</v>
      </c>
      <c r="N3708">
        <v>0</v>
      </c>
      <c r="O3708" t="s">
        <v>1393</v>
      </c>
      <c r="P3708" t="s">
        <v>310</v>
      </c>
      <c r="Q3708" t="s">
        <v>310</v>
      </c>
      <c r="R3708" t="s">
        <v>310</v>
      </c>
      <c r="S3708">
        <v>9</v>
      </c>
      <c r="T3708" t="s">
        <v>310</v>
      </c>
      <c r="U3708">
        <v>9</v>
      </c>
      <c r="V3708">
        <v>9</v>
      </c>
      <c r="W3708">
        <v>0</v>
      </c>
      <c r="X3708">
        <v>0</v>
      </c>
      <c r="Y3708">
        <v>0</v>
      </c>
      <c r="Z3708">
        <v>0</v>
      </c>
      <c r="AA3708">
        <v>9</v>
      </c>
      <c r="AB3708">
        <v>9</v>
      </c>
      <c r="AC3708" t="s">
        <v>310</v>
      </c>
      <c r="AD3708">
        <v>9</v>
      </c>
      <c r="AE3708" t="s">
        <v>1412</v>
      </c>
      <c r="AF3708">
        <v>50000000</v>
      </c>
      <c r="AG3708" t="s">
        <v>310</v>
      </c>
      <c r="AH3708">
        <f>SUM((MID(Dyno_Data[[#This Row],[Team]],4,5))+(Dyno_Data[[#This Row],[Match]]/100))</f>
        <v>7709.67</v>
      </c>
      <c r="AI3708" s="76">
        <f>ROUND(SUM(IF(Dyno_Data[[#This Row],[AcqCenter]]&gt;0,Dyno_Data[[#This Row],[Time]]-SUMIFS(Dyno_Data[Time],Dyno_Data[Team],Dyno_Data[[#This Row],[Team]],Dyno_Data[RecordType],"StartMatch",Dyno_Data[Match],Dyno_Data[[#This Row],[Match]]),0)*86400),0)</f>
        <v>0</v>
      </c>
    </row>
    <row r="3709" spans="1:35" x14ac:dyDescent="0.3">
      <c r="A3709">
        <v>3708</v>
      </c>
      <c r="B3709" t="s">
        <v>1308</v>
      </c>
      <c r="C3709">
        <v>67</v>
      </c>
      <c r="D3709" s="105">
        <v>45374.428931481481</v>
      </c>
      <c r="E3709" t="s">
        <v>312</v>
      </c>
      <c r="F3709" t="s">
        <v>1402</v>
      </c>
      <c r="G3709">
        <v>0</v>
      </c>
      <c r="H3709" t="s">
        <v>315</v>
      </c>
      <c r="I3709">
        <v>0</v>
      </c>
      <c r="J3709">
        <v>0</v>
      </c>
      <c r="K3709">
        <v>0</v>
      </c>
      <c r="L3709" t="s">
        <v>240</v>
      </c>
      <c r="M3709" t="s">
        <v>1398</v>
      </c>
      <c r="N3709">
        <v>0</v>
      </c>
      <c r="O3709" t="s">
        <v>319</v>
      </c>
      <c r="P3709" t="s">
        <v>310</v>
      </c>
      <c r="Q3709" t="s">
        <v>310</v>
      </c>
      <c r="R3709" t="s">
        <v>310</v>
      </c>
      <c r="S3709">
        <v>9</v>
      </c>
      <c r="T3709" t="s">
        <v>310</v>
      </c>
      <c r="U3709">
        <v>9</v>
      </c>
      <c r="V3709">
        <v>9</v>
      </c>
      <c r="W3709">
        <v>0</v>
      </c>
      <c r="X3709">
        <v>0</v>
      </c>
      <c r="Y3709">
        <v>0</v>
      </c>
      <c r="Z3709">
        <v>0</v>
      </c>
      <c r="AA3709">
        <v>9</v>
      </c>
      <c r="AB3709">
        <v>9</v>
      </c>
      <c r="AC3709" t="s">
        <v>310</v>
      </c>
      <c r="AD3709">
        <v>9</v>
      </c>
      <c r="AE3709" t="s">
        <v>1396</v>
      </c>
      <c r="AF3709">
        <v>70000000</v>
      </c>
      <c r="AG3709" t="s">
        <v>310</v>
      </c>
      <c r="AH3709">
        <f>SUM((MID(Dyno_Data[[#This Row],[Team]],4,5))+(Dyno_Data[[#This Row],[Match]]/100))</f>
        <v>3799.67</v>
      </c>
      <c r="AI3709" s="76">
        <f>ROUND(SUM(IF(Dyno_Data[[#This Row],[AcqCenter]]&gt;0,Dyno_Data[[#This Row],[Time]]-SUMIFS(Dyno_Data[Time],Dyno_Data[Team],Dyno_Data[[#This Row],[Team]],Dyno_Data[RecordType],"StartMatch",Dyno_Data[Match],Dyno_Data[[#This Row],[Match]]),0)*86400),0)</f>
        <v>0</v>
      </c>
    </row>
    <row r="3710" spans="1:35" x14ac:dyDescent="0.3">
      <c r="A3710">
        <v>3709</v>
      </c>
      <c r="B3710" t="s">
        <v>361</v>
      </c>
      <c r="C3710">
        <v>67</v>
      </c>
      <c r="D3710" s="105">
        <v>45374.429003935184</v>
      </c>
      <c r="E3710" t="s">
        <v>312</v>
      </c>
      <c r="F3710" t="s">
        <v>1402</v>
      </c>
      <c r="G3710">
        <v>0</v>
      </c>
      <c r="H3710" t="s">
        <v>315</v>
      </c>
      <c r="I3710">
        <v>0</v>
      </c>
      <c r="J3710">
        <v>0</v>
      </c>
      <c r="K3710">
        <v>0</v>
      </c>
      <c r="L3710" t="s">
        <v>240</v>
      </c>
      <c r="M3710" t="s">
        <v>1398</v>
      </c>
      <c r="N3710">
        <v>0</v>
      </c>
      <c r="O3710" t="s">
        <v>1389</v>
      </c>
      <c r="P3710" t="s">
        <v>310</v>
      </c>
      <c r="Q3710" t="s">
        <v>310</v>
      </c>
      <c r="R3710" t="s">
        <v>310</v>
      </c>
      <c r="S3710">
        <v>9</v>
      </c>
      <c r="T3710" t="s">
        <v>310</v>
      </c>
      <c r="U3710">
        <v>9</v>
      </c>
      <c r="V3710">
        <v>9</v>
      </c>
      <c r="W3710">
        <v>0</v>
      </c>
      <c r="X3710">
        <v>0</v>
      </c>
      <c r="Y3710">
        <v>0</v>
      </c>
      <c r="Z3710">
        <v>0</v>
      </c>
      <c r="AA3710">
        <v>9</v>
      </c>
      <c r="AB3710">
        <v>9</v>
      </c>
      <c r="AC3710" t="s">
        <v>310</v>
      </c>
      <c r="AD3710">
        <v>9</v>
      </c>
      <c r="AE3710" t="s">
        <v>1388</v>
      </c>
      <c r="AF3710">
        <v>30001000</v>
      </c>
      <c r="AG3710" t="s">
        <v>310</v>
      </c>
      <c r="AH3710">
        <f>SUM((MID(Dyno_Data[[#This Row],[Team]],4,5))+(Dyno_Data[[#This Row],[Match]]/100))</f>
        <v>20.67</v>
      </c>
      <c r="AI3710" s="76">
        <f>ROUND(SUM(IF(Dyno_Data[[#This Row],[AcqCenter]]&gt;0,Dyno_Data[[#This Row],[Time]]-SUMIFS(Dyno_Data[Time],Dyno_Data[Team],Dyno_Data[[#This Row],[Team]],Dyno_Data[RecordType],"StartMatch",Dyno_Data[Match],Dyno_Data[[#This Row],[Match]]),0)*86400),0)</f>
        <v>0</v>
      </c>
    </row>
    <row r="3711" spans="1:35" x14ac:dyDescent="0.3">
      <c r="A3711">
        <v>3710</v>
      </c>
      <c r="B3711" t="s">
        <v>1308</v>
      </c>
      <c r="C3711">
        <v>67</v>
      </c>
      <c r="D3711" s="105">
        <v>45374.429023460645</v>
      </c>
      <c r="E3711" t="s">
        <v>312</v>
      </c>
      <c r="F3711" t="s">
        <v>1402</v>
      </c>
      <c r="G3711">
        <v>0</v>
      </c>
      <c r="H3711" t="s">
        <v>315</v>
      </c>
      <c r="I3711">
        <v>0</v>
      </c>
      <c r="J3711">
        <v>0</v>
      </c>
      <c r="K3711">
        <v>0</v>
      </c>
      <c r="L3711" t="s">
        <v>240</v>
      </c>
      <c r="M3711" t="s">
        <v>1398</v>
      </c>
      <c r="N3711">
        <v>0</v>
      </c>
      <c r="O3711" t="s">
        <v>319</v>
      </c>
      <c r="P3711" t="s">
        <v>310</v>
      </c>
      <c r="Q3711" t="s">
        <v>310</v>
      </c>
      <c r="R3711" t="s">
        <v>310</v>
      </c>
      <c r="S3711">
        <v>9</v>
      </c>
      <c r="T3711" t="s">
        <v>310</v>
      </c>
      <c r="U3711">
        <v>9</v>
      </c>
      <c r="V3711">
        <v>9</v>
      </c>
      <c r="W3711">
        <v>0</v>
      </c>
      <c r="X3711">
        <v>0</v>
      </c>
      <c r="Y3711">
        <v>0</v>
      </c>
      <c r="Z3711">
        <v>0</v>
      </c>
      <c r="AA3711">
        <v>9</v>
      </c>
      <c r="AB3711">
        <v>9</v>
      </c>
      <c r="AC3711" t="s">
        <v>310</v>
      </c>
      <c r="AD3711">
        <v>9</v>
      </c>
      <c r="AE3711" t="s">
        <v>1396</v>
      </c>
      <c r="AF3711">
        <v>80000000</v>
      </c>
      <c r="AG3711" t="s">
        <v>310</v>
      </c>
      <c r="AH3711">
        <f>SUM((MID(Dyno_Data[[#This Row],[Team]],4,5))+(Dyno_Data[[#This Row],[Match]]/100))</f>
        <v>3799.67</v>
      </c>
      <c r="AI3711" s="76">
        <f>ROUND(SUM(IF(Dyno_Data[[#This Row],[AcqCenter]]&gt;0,Dyno_Data[[#This Row],[Time]]-SUMIFS(Dyno_Data[Time],Dyno_Data[Team],Dyno_Data[[#This Row],[Team]],Dyno_Data[RecordType],"StartMatch",Dyno_Data[Match],Dyno_Data[[#This Row],[Match]]),0)*86400),0)</f>
        <v>0</v>
      </c>
    </row>
    <row r="3712" spans="1:35" x14ac:dyDescent="0.3">
      <c r="A3712">
        <v>3711</v>
      </c>
      <c r="B3712" t="s">
        <v>1318</v>
      </c>
      <c r="C3712">
        <v>67</v>
      </c>
      <c r="D3712" s="105">
        <v>45374.429045104167</v>
      </c>
      <c r="E3712" t="s">
        <v>312</v>
      </c>
      <c r="F3712" t="s">
        <v>1402</v>
      </c>
      <c r="G3712">
        <v>0</v>
      </c>
      <c r="H3712" t="s">
        <v>315</v>
      </c>
      <c r="I3712">
        <v>0</v>
      </c>
      <c r="J3712">
        <v>0</v>
      </c>
      <c r="K3712">
        <v>0</v>
      </c>
      <c r="L3712" t="s">
        <v>241</v>
      </c>
      <c r="M3712" t="s">
        <v>101</v>
      </c>
      <c r="N3712">
        <v>0</v>
      </c>
      <c r="O3712" t="s">
        <v>1393</v>
      </c>
      <c r="P3712" t="s">
        <v>310</v>
      </c>
      <c r="Q3712" t="s">
        <v>310</v>
      </c>
      <c r="R3712" t="s">
        <v>310</v>
      </c>
      <c r="S3712">
        <v>9</v>
      </c>
      <c r="T3712" t="s">
        <v>310</v>
      </c>
      <c r="U3712">
        <v>9</v>
      </c>
      <c r="V3712">
        <v>9</v>
      </c>
      <c r="W3712">
        <v>0</v>
      </c>
      <c r="X3712">
        <v>0</v>
      </c>
      <c r="Y3712">
        <v>0</v>
      </c>
      <c r="Z3712">
        <v>0</v>
      </c>
      <c r="AA3712">
        <v>9</v>
      </c>
      <c r="AB3712">
        <v>9</v>
      </c>
      <c r="AC3712" t="s">
        <v>310</v>
      </c>
      <c r="AD3712">
        <v>9</v>
      </c>
      <c r="AE3712" t="s">
        <v>1412</v>
      </c>
      <c r="AF3712">
        <v>60100000</v>
      </c>
      <c r="AG3712" t="s">
        <v>310</v>
      </c>
      <c r="AH3712">
        <f>SUM((MID(Dyno_Data[[#This Row],[Team]],4,5))+(Dyno_Data[[#This Row],[Match]]/100))</f>
        <v>7709.67</v>
      </c>
      <c r="AI3712" s="76">
        <f>ROUND(SUM(IF(Dyno_Data[[#This Row],[AcqCenter]]&gt;0,Dyno_Data[[#This Row],[Time]]-SUMIFS(Dyno_Data[Time],Dyno_Data[Team],Dyno_Data[[#This Row],[Team]],Dyno_Data[RecordType],"StartMatch",Dyno_Data[Match],Dyno_Data[[#This Row],[Match]]),0)*86400),0)</f>
        <v>0</v>
      </c>
    </row>
    <row r="3713" spans="1:35" x14ac:dyDescent="0.3">
      <c r="A3713">
        <v>3712</v>
      </c>
      <c r="B3713" t="s">
        <v>1308</v>
      </c>
      <c r="C3713">
        <v>67</v>
      </c>
      <c r="D3713" s="105">
        <v>45374.429156018516</v>
      </c>
      <c r="E3713" t="s">
        <v>312</v>
      </c>
      <c r="F3713" t="s">
        <v>1402</v>
      </c>
      <c r="G3713">
        <v>0</v>
      </c>
      <c r="H3713" t="s">
        <v>315</v>
      </c>
      <c r="I3713">
        <v>0</v>
      </c>
      <c r="J3713">
        <v>0</v>
      </c>
      <c r="K3713">
        <v>0</v>
      </c>
      <c r="L3713" t="s">
        <v>240</v>
      </c>
      <c r="M3713" t="s">
        <v>1398</v>
      </c>
      <c r="N3713">
        <v>0</v>
      </c>
      <c r="O3713" t="s">
        <v>319</v>
      </c>
      <c r="P3713" t="s">
        <v>310</v>
      </c>
      <c r="Q3713" t="s">
        <v>310</v>
      </c>
      <c r="R3713" t="s">
        <v>310</v>
      </c>
      <c r="S3713">
        <v>9</v>
      </c>
      <c r="T3713" t="s">
        <v>310</v>
      </c>
      <c r="U3713">
        <v>9</v>
      </c>
      <c r="V3713">
        <v>9</v>
      </c>
      <c r="W3713">
        <v>0</v>
      </c>
      <c r="X3713">
        <v>0</v>
      </c>
      <c r="Y3713">
        <v>0</v>
      </c>
      <c r="Z3713">
        <v>0</v>
      </c>
      <c r="AA3713">
        <v>9</v>
      </c>
      <c r="AB3713">
        <v>9</v>
      </c>
      <c r="AC3713" t="s">
        <v>310</v>
      </c>
      <c r="AD3713">
        <v>9</v>
      </c>
      <c r="AE3713" t="s">
        <v>1396</v>
      </c>
      <c r="AF3713">
        <v>90000000</v>
      </c>
      <c r="AG3713" t="s">
        <v>310</v>
      </c>
      <c r="AH3713">
        <f>SUM((MID(Dyno_Data[[#This Row],[Team]],4,5))+(Dyno_Data[[#This Row],[Match]]/100))</f>
        <v>3799.67</v>
      </c>
      <c r="AI3713" s="76">
        <f>ROUND(SUM(IF(Dyno_Data[[#This Row],[AcqCenter]]&gt;0,Dyno_Data[[#This Row],[Time]]-SUMIFS(Dyno_Data[Time],Dyno_Data[Team],Dyno_Data[[#This Row],[Team]],Dyno_Data[RecordType],"StartMatch",Dyno_Data[Match],Dyno_Data[[#This Row],[Match]]),0)*86400),0)</f>
        <v>0</v>
      </c>
    </row>
    <row r="3714" spans="1:35" x14ac:dyDescent="0.3">
      <c r="A3714">
        <v>3713</v>
      </c>
      <c r="B3714" t="s">
        <v>361</v>
      </c>
      <c r="C3714">
        <v>67</v>
      </c>
      <c r="D3714" s="105">
        <v>45374.429200266204</v>
      </c>
      <c r="E3714" t="s">
        <v>312</v>
      </c>
      <c r="F3714" t="s">
        <v>1402</v>
      </c>
      <c r="G3714">
        <v>0</v>
      </c>
      <c r="H3714" t="s">
        <v>315</v>
      </c>
      <c r="I3714">
        <v>0</v>
      </c>
      <c r="J3714">
        <v>0</v>
      </c>
      <c r="K3714">
        <v>0</v>
      </c>
      <c r="L3714" t="s">
        <v>240</v>
      </c>
      <c r="M3714" t="s">
        <v>1398</v>
      </c>
      <c r="N3714">
        <v>0</v>
      </c>
      <c r="O3714" t="s">
        <v>1389</v>
      </c>
      <c r="P3714" t="s">
        <v>310</v>
      </c>
      <c r="Q3714" t="s">
        <v>310</v>
      </c>
      <c r="R3714" t="s">
        <v>310</v>
      </c>
      <c r="S3714">
        <v>9</v>
      </c>
      <c r="T3714" t="s">
        <v>310</v>
      </c>
      <c r="U3714">
        <v>9</v>
      </c>
      <c r="V3714">
        <v>9</v>
      </c>
      <c r="W3714">
        <v>0</v>
      </c>
      <c r="X3714">
        <v>0</v>
      </c>
      <c r="Y3714">
        <v>0</v>
      </c>
      <c r="Z3714">
        <v>0</v>
      </c>
      <c r="AA3714">
        <v>9</v>
      </c>
      <c r="AB3714">
        <v>9</v>
      </c>
      <c r="AC3714" t="s">
        <v>310</v>
      </c>
      <c r="AD3714">
        <v>9</v>
      </c>
      <c r="AE3714" t="s">
        <v>1388</v>
      </c>
      <c r="AF3714">
        <v>40001000</v>
      </c>
      <c r="AG3714" t="s">
        <v>310</v>
      </c>
      <c r="AH3714">
        <f>SUM((MID(Dyno_Data[[#This Row],[Team]],4,5))+(Dyno_Data[[#This Row],[Match]]/100))</f>
        <v>20.67</v>
      </c>
      <c r="AI3714" s="76">
        <f>ROUND(SUM(IF(Dyno_Data[[#This Row],[AcqCenter]]&gt;0,Dyno_Data[[#This Row],[Time]]-SUMIFS(Dyno_Data[Time],Dyno_Data[Team],Dyno_Data[[#This Row],[Team]],Dyno_Data[RecordType],"StartMatch",Dyno_Data[Match],Dyno_Data[[#This Row],[Match]]),0)*86400),0)</f>
        <v>0</v>
      </c>
    </row>
    <row r="3715" spans="1:35" x14ac:dyDescent="0.3">
      <c r="A3715">
        <v>3714</v>
      </c>
      <c r="B3715" t="s">
        <v>1318</v>
      </c>
      <c r="C3715">
        <v>67</v>
      </c>
      <c r="D3715" s="105">
        <v>45374.429238506942</v>
      </c>
      <c r="E3715" t="s">
        <v>312</v>
      </c>
      <c r="F3715" t="s">
        <v>1402</v>
      </c>
      <c r="G3715">
        <v>0</v>
      </c>
      <c r="H3715" t="s">
        <v>315</v>
      </c>
      <c r="I3715">
        <v>0</v>
      </c>
      <c r="J3715">
        <v>0</v>
      </c>
      <c r="K3715">
        <v>0</v>
      </c>
      <c r="L3715" t="s">
        <v>241</v>
      </c>
      <c r="M3715" t="s">
        <v>1398</v>
      </c>
      <c r="N3715">
        <v>0</v>
      </c>
      <c r="O3715" t="s">
        <v>1393</v>
      </c>
      <c r="P3715" t="s">
        <v>310</v>
      </c>
      <c r="Q3715" t="s">
        <v>310</v>
      </c>
      <c r="R3715" t="s">
        <v>310</v>
      </c>
      <c r="S3715">
        <v>9</v>
      </c>
      <c r="T3715" t="s">
        <v>310</v>
      </c>
      <c r="U3715">
        <v>9</v>
      </c>
      <c r="V3715">
        <v>9</v>
      </c>
      <c r="W3715">
        <v>0</v>
      </c>
      <c r="X3715">
        <v>0</v>
      </c>
      <c r="Y3715">
        <v>0</v>
      </c>
      <c r="Z3715">
        <v>0</v>
      </c>
      <c r="AA3715">
        <v>9</v>
      </c>
      <c r="AB3715">
        <v>9</v>
      </c>
      <c r="AC3715" t="s">
        <v>310</v>
      </c>
      <c r="AD3715">
        <v>9</v>
      </c>
      <c r="AE3715" t="s">
        <v>1412</v>
      </c>
      <c r="AF3715">
        <v>70100000</v>
      </c>
      <c r="AG3715" t="s">
        <v>310</v>
      </c>
      <c r="AH3715">
        <f>SUM((MID(Dyno_Data[[#This Row],[Team]],4,5))+(Dyno_Data[[#This Row],[Match]]/100))</f>
        <v>7709.67</v>
      </c>
      <c r="AI3715" s="76">
        <f>ROUND(SUM(IF(Dyno_Data[[#This Row],[AcqCenter]]&gt;0,Dyno_Data[[#This Row],[Time]]-SUMIFS(Dyno_Data[Time],Dyno_Data[Team],Dyno_Data[[#This Row],[Team]],Dyno_Data[RecordType],"StartMatch",Dyno_Data[Match],Dyno_Data[[#This Row],[Match]]),0)*86400),0)</f>
        <v>0</v>
      </c>
    </row>
    <row r="3716" spans="1:35" x14ac:dyDescent="0.3">
      <c r="A3716">
        <v>3715</v>
      </c>
      <c r="B3716" t="s">
        <v>1308</v>
      </c>
      <c r="C3716">
        <v>67</v>
      </c>
      <c r="D3716" s="105">
        <v>45374.429317442133</v>
      </c>
      <c r="E3716" t="s">
        <v>312</v>
      </c>
      <c r="F3716" t="s">
        <v>1402</v>
      </c>
      <c r="G3716">
        <v>0</v>
      </c>
      <c r="H3716" t="s">
        <v>315</v>
      </c>
      <c r="I3716">
        <v>0</v>
      </c>
      <c r="J3716">
        <v>0</v>
      </c>
      <c r="K3716">
        <v>0</v>
      </c>
      <c r="L3716" t="s">
        <v>240</v>
      </c>
      <c r="M3716" t="s">
        <v>1398</v>
      </c>
      <c r="N3716">
        <v>0</v>
      </c>
      <c r="O3716" t="s">
        <v>319</v>
      </c>
      <c r="P3716" t="s">
        <v>310</v>
      </c>
      <c r="Q3716" t="s">
        <v>310</v>
      </c>
      <c r="R3716" t="s">
        <v>310</v>
      </c>
      <c r="S3716">
        <v>9</v>
      </c>
      <c r="T3716" t="s">
        <v>310</v>
      </c>
      <c r="U3716">
        <v>9</v>
      </c>
      <c r="V3716">
        <v>9</v>
      </c>
      <c r="W3716">
        <v>0</v>
      </c>
      <c r="X3716">
        <v>0</v>
      </c>
      <c r="Y3716">
        <v>0</v>
      </c>
      <c r="Z3716">
        <v>0</v>
      </c>
      <c r="AA3716">
        <v>9</v>
      </c>
      <c r="AB3716">
        <v>9</v>
      </c>
      <c r="AC3716" t="s">
        <v>310</v>
      </c>
      <c r="AD3716">
        <v>9</v>
      </c>
      <c r="AE3716" t="s">
        <v>1396</v>
      </c>
      <c r="AF3716">
        <v>100000000</v>
      </c>
      <c r="AG3716" t="s">
        <v>310</v>
      </c>
      <c r="AH3716">
        <f>SUM((MID(Dyno_Data[[#This Row],[Team]],4,5))+(Dyno_Data[[#This Row],[Match]]/100))</f>
        <v>3799.67</v>
      </c>
      <c r="AI3716" s="76">
        <f>ROUND(SUM(IF(Dyno_Data[[#This Row],[AcqCenter]]&gt;0,Dyno_Data[[#This Row],[Time]]-SUMIFS(Dyno_Data[Time],Dyno_Data[Team],Dyno_Data[[#This Row],[Team]],Dyno_Data[RecordType],"StartMatch",Dyno_Data[Match],Dyno_Data[[#This Row],[Match]]),0)*86400),0)</f>
        <v>0</v>
      </c>
    </row>
    <row r="3717" spans="1:35" x14ac:dyDescent="0.3">
      <c r="A3717">
        <v>3716</v>
      </c>
      <c r="B3717" t="s">
        <v>361</v>
      </c>
      <c r="C3717">
        <v>67</v>
      </c>
      <c r="D3717" s="105">
        <v>45374.429450312498</v>
      </c>
      <c r="E3717" t="s">
        <v>312</v>
      </c>
      <c r="F3717" t="s">
        <v>1402</v>
      </c>
      <c r="G3717">
        <v>0</v>
      </c>
      <c r="H3717" t="s">
        <v>315</v>
      </c>
      <c r="I3717">
        <v>0</v>
      </c>
      <c r="J3717">
        <v>0</v>
      </c>
      <c r="K3717">
        <v>0</v>
      </c>
      <c r="L3717" t="s">
        <v>240</v>
      </c>
      <c r="M3717" t="s">
        <v>1398</v>
      </c>
      <c r="N3717">
        <v>0</v>
      </c>
      <c r="O3717" t="s">
        <v>1389</v>
      </c>
      <c r="P3717" t="s">
        <v>310</v>
      </c>
      <c r="Q3717" t="s">
        <v>310</v>
      </c>
      <c r="R3717" t="s">
        <v>310</v>
      </c>
      <c r="S3717">
        <v>9</v>
      </c>
      <c r="T3717" t="s">
        <v>310</v>
      </c>
      <c r="U3717">
        <v>9</v>
      </c>
      <c r="V3717">
        <v>9</v>
      </c>
      <c r="W3717">
        <v>0</v>
      </c>
      <c r="X3717">
        <v>0</v>
      </c>
      <c r="Y3717">
        <v>0</v>
      </c>
      <c r="Z3717">
        <v>0</v>
      </c>
      <c r="AA3717">
        <v>9</v>
      </c>
      <c r="AB3717">
        <v>9</v>
      </c>
      <c r="AC3717" t="s">
        <v>310</v>
      </c>
      <c r="AD3717">
        <v>9</v>
      </c>
      <c r="AE3717" t="s">
        <v>1388</v>
      </c>
      <c r="AF3717">
        <v>50001000</v>
      </c>
      <c r="AG3717" t="s">
        <v>310</v>
      </c>
      <c r="AH3717">
        <f>SUM((MID(Dyno_Data[[#This Row],[Team]],4,5))+(Dyno_Data[[#This Row],[Match]]/100))</f>
        <v>20.67</v>
      </c>
      <c r="AI3717" s="76">
        <f>ROUND(SUM(IF(Dyno_Data[[#This Row],[AcqCenter]]&gt;0,Dyno_Data[[#This Row],[Time]]-SUMIFS(Dyno_Data[Time],Dyno_Data[Team],Dyno_Data[[#This Row],[Team]],Dyno_Data[RecordType],"StartMatch",Dyno_Data[Match],Dyno_Data[[#This Row],[Match]]),0)*86400),0)</f>
        <v>0</v>
      </c>
    </row>
    <row r="3718" spans="1:35" x14ac:dyDescent="0.3">
      <c r="A3718">
        <v>3717</v>
      </c>
      <c r="B3718" t="s">
        <v>1318</v>
      </c>
      <c r="C3718">
        <v>67</v>
      </c>
      <c r="D3718" s="105">
        <v>45374.429545798608</v>
      </c>
      <c r="E3718" t="s">
        <v>312</v>
      </c>
      <c r="F3718" t="s">
        <v>1402</v>
      </c>
      <c r="G3718">
        <v>0</v>
      </c>
      <c r="H3718" t="s">
        <v>315</v>
      </c>
      <c r="I3718">
        <v>0</v>
      </c>
      <c r="J3718">
        <v>0</v>
      </c>
      <c r="K3718">
        <v>0</v>
      </c>
      <c r="L3718" t="s">
        <v>241</v>
      </c>
      <c r="M3718" t="s">
        <v>101</v>
      </c>
      <c r="N3718">
        <v>0</v>
      </c>
      <c r="O3718" t="s">
        <v>1393</v>
      </c>
      <c r="P3718" t="s">
        <v>310</v>
      </c>
      <c r="Q3718" t="s">
        <v>310</v>
      </c>
      <c r="R3718" t="s">
        <v>310</v>
      </c>
      <c r="S3718">
        <v>9</v>
      </c>
      <c r="T3718" t="s">
        <v>310</v>
      </c>
      <c r="U3718">
        <v>9</v>
      </c>
      <c r="V3718">
        <v>9</v>
      </c>
      <c r="W3718">
        <v>0</v>
      </c>
      <c r="X3718">
        <v>0</v>
      </c>
      <c r="Y3718">
        <v>0</v>
      </c>
      <c r="Z3718">
        <v>0</v>
      </c>
      <c r="AA3718">
        <v>9</v>
      </c>
      <c r="AB3718">
        <v>9</v>
      </c>
      <c r="AC3718" t="s">
        <v>310</v>
      </c>
      <c r="AD3718">
        <v>9</v>
      </c>
      <c r="AE3718" t="s">
        <v>1412</v>
      </c>
      <c r="AF3718">
        <v>80100000</v>
      </c>
      <c r="AG3718" t="s">
        <v>310</v>
      </c>
      <c r="AH3718">
        <f>SUM((MID(Dyno_Data[[#This Row],[Team]],4,5))+(Dyno_Data[[#This Row],[Match]]/100))</f>
        <v>7709.67</v>
      </c>
      <c r="AI3718" s="76">
        <f>ROUND(SUM(IF(Dyno_Data[[#This Row],[AcqCenter]]&gt;0,Dyno_Data[[#This Row],[Time]]-SUMIFS(Dyno_Data[Time],Dyno_Data[Team],Dyno_Data[[#This Row],[Team]],Dyno_Data[RecordType],"StartMatch",Dyno_Data[Match],Dyno_Data[[#This Row],[Match]]),0)*86400),0)</f>
        <v>0</v>
      </c>
    </row>
    <row r="3719" spans="1:35" x14ac:dyDescent="0.3">
      <c r="A3719">
        <v>3718</v>
      </c>
      <c r="B3719" t="s">
        <v>1308</v>
      </c>
      <c r="C3719">
        <v>67</v>
      </c>
      <c r="D3719" s="105">
        <v>45374.429594791669</v>
      </c>
      <c r="E3719" t="s">
        <v>312</v>
      </c>
      <c r="F3719" t="s">
        <v>1402</v>
      </c>
      <c r="G3719">
        <v>0</v>
      </c>
      <c r="H3719" t="s">
        <v>315</v>
      </c>
      <c r="I3719">
        <v>0</v>
      </c>
      <c r="J3719">
        <v>0</v>
      </c>
      <c r="K3719">
        <v>0</v>
      </c>
      <c r="L3719" t="s">
        <v>240</v>
      </c>
      <c r="M3719" t="s">
        <v>1398</v>
      </c>
      <c r="N3719">
        <v>0</v>
      </c>
      <c r="O3719" t="s">
        <v>319</v>
      </c>
      <c r="P3719" t="s">
        <v>310</v>
      </c>
      <c r="Q3719" t="s">
        <v>310</v>
      </c>
      <c r="R3719" t="s">
        <v>310</v>
      </c>
      <c r="S3719">
        <v>9</v>
      </c>
      <c r="T3719" t="s">
        <v>310</v>
      </c>
      <c r="U3719">
        <v>9</v>
      </c>
      <c r="V3719">
        <v>9</v>
      </c>
      <c r="W3719">
        <v>0</v>
      </c>
      <c r="X3719">
        <v>0</v>
      </c>
      <c r="Y3719">
        <v>0</v>
      </c>
      <c r="Z3719">
        <v>0</v>
      </c>
      <c r="AA3719">
        <v>9</v>
      </c>
      <c r="AB3719">
        <v>9</v>
      </c>
      <c r="AC3719" t="s">
        <v>310</v>
      </c>
      <c r="AD3719">
        <v>9</v>
      </c>
      <c r="AE3719" t="s">
        <v>1396</v>
      </c>
      <c r="AF3719">
        <v>110000000</v>
      </c>
      <c r="AG3719" t="s">
        <v>310</v>
      </c>
      <c r="AH3719">
        <f>SUM((MID(Dyno_Data[[#This Row],[Team]],4,5))+(Dyno_Data[[#This Row],[Match]]/100))</f>
        <v>3799.67</v>
      </c>
      <c r="AI3719" s="76">
        <f>ROUND(SUM(IF(Dyno_Data[[#This Row],[AcqCenter]]&gt;0,Dyno_Data[[#This Row],[Time]]-SUMIFS(Dyno_Data[Time],Dyno_Data[Team],Dyno_Data[[#This Row],[Team]],Dyno_Data[RecordType],"StartMatch",Dyno_Data[Match],Dyno_Data[[#This Row],[Match]]),0)*86400),0)</f>
        <v>0</v>
      </c>
    </row>
    <row r="3720" spans="1:35" x14ac:dyDescent="0.3">
      <c r="A3720">
        <v>3719</v>
      </c>
      <c r="B3720" t="s">
        <v>361</v>
      </c>
      <c r="C3720">
        <v>67</v>
      </c>
      <c r="D3720" s="105">
        <v>45374.429628391204</v>
      </c>
      <c r="E3720" t="s">
        <v>312</v>
      </c>
      <c r="F3720" t="s">
        <v>1402</v>
      </c>
      <c r="G3720">
        <v>0</v>
      </c>
      <c r="H3720" t="s">
        <v>315</v>
      </c>
      <c r="I3720">
        <v>0</v>
      </c>
      <c r="J3720">
        <v>0</v>
      </c>
      <c r="K3720">
        <v>0</v>
      </c>
      <c r="L3720" t="s">
        <v>240</v>
      </c>
      <c r="M3720" t="s">
        <v>1398</v>
      </c>
      <c r="N3720">
        <v>0</v>
      </c>
      <c r="O3720" t="s">
        <v>1389</v>
      </c>
      <c r="P3720" t="s">
        <v>310</v>
      </c>
      <c r="Q3720" t="s">
        <v>310</v>
      </c>
      <c r="R3720" t="s">
        <v>310</v>
      </c>
      <c r="S3720">
        <v>9</v>
      </c>
      <c r="T3720" t="s">
        <v>310</v>
      </c>
      <c r="U3720">
        <v>9</v>
      </c>
      <c r="V3720">
        <v>9</v>
      </c>
      <c r="W3720">
        <v>0</v>
      </c>
      <c r="X3720">
        <v>0</v>
      </c>
      <c r="Y3720">
        <v>0</v>
      </c>
      <c r="Z3720">
        <v>0</v>
      </c>
      <c r="AA3720">
        <v>9</v>
      </c>
      <c r="AB3720">
        <v>9</v>
      </c>
      <c r="AC3720" t="s">
        <v>310</v>
      </c>
      <c r="AD3720">
        <v>9</v>
      </c>
      <c r="AE3720" t="s">
        <v>1388</v>
      </c>
      <c r="AF3720">
        <v>60001000</v>
      </c>
      <c r="AG3720" t="s">
        <v>310</v>
      </c>
      <c r="AH3720">
        <f>SUM((MID(Dyno_Data[[#This Row],[Team]],4,5))+(Dyno_Data[[#This Row],[Match]]/100))</f>
        <v>20.67</v>
      </c>
      <c r="AI3720" s="76">
        <f>ROUND(SUM(IF(Dyno_Data[[#This Row],[AcqCenter]]&gt;0,Dyno_Data[[#This Row],[Time]]-SUMIFS(Dyno_Data[Time],Dyno_Data[Team],Dyno_Data[[#This Row],[Team]],Dyno_Data[RecordType],"StartMatch",Dyno_Data[Match],Dyno_Data[[#This Row],[Match]]),0)*86400),0)</f>
        <v>0</v>
      </c>
    </row>
    <row r="3721" spans="1:35" x14ac:dyDescent="0.3">
      <c r="A3721">
        <v>3720</v>
      </c>
      <c r="B3721" t="s">
        <v>1308</v>
      </c>
      <c r="C3721">
        <v>67</v>
      </c>
      <c r="D3721" s="105">
        <v>45374.42973920139</v>
      </c>
      <c r="E3721" t="s">
        <v>312</v>
      </c>
      <c r="F3721" t="s">
        <v>1402</v>
      </c>
      <c r="G3721">
        <v>0</v>
      </c>
      <c r="H3721" t="s">
        <v>315</v>
      </c>
      <c r="I3721">
        <v>0</v>
      </c>
      <c r="J3721">
        <v>0</v>
      </c>
      <c r="K3721">
        <v>0</v>
      </c>
      <c r="L3721" t="s">
        <v>241</v>
      </c>
      <c r="M3721" t="s">
        <v>1398</v>
      </c>
      <c r="N3721">
        <v>0</v>
      </c>
      <c r="O3721" t="s">
        <v>319</v>
      </c>
      <c r="P3721" t="s">
        <v>310</v>
      </c>
      <c r="Q3721" t="s">
        <v>310</v>
      </c>
      <c r="R3721" t="s">
        <v>310</v>
      </c>
      <c r="S3721">
        <v>9</v>
      </c>
      <c r="T3721" t="s">
        <v>310</v>
      </c>
      <c r="U3721">
        <v>9</v>
      </c>
      <c r="V3721">
        <v>9</v>
      </c>
      <c r="W3721">
        <v>0</v>
      </c>
      <c r="X3721">
        <v>0</v>
      </c>
      <c r="Y3721">
        <v>0</v>
      </c>
      <c r="Z3721">
        <v>0</v>
      </c>
      <c r="AA3721">
        <v>9</v>
      </c>
      <c r="AB3721">
        <v>9</v>
      </c>
      <c r="AC3721" t="s">
        <v>310</v>
      </c>
      <c r="AD3721">
        <v>9</v>
      </c>
      <c r="AE3721" t="s">
        <v>1396</v>
      </c>
      <c r="AF3721">
        <v>120000000</v>
      </c>
      <c r="AG3721" t="s">
        <v>310</v>
      </c>
      <c r="AH3721">
        <f>SUM((MID(Dyno_Data[[#This Row],[Team]],4,5))+(Dyno_Data[[#This Row],[Match]]/100))</f>
        <v>3799.67</v>
      </c>
      <c r="AI3721" s="76">
        <f>ROUND(SUM(IF(Dyno_Data[[#This Row],[AcqCenter]]&gt;0,Dyno_Data[[#This Row],[Time]]-SUMIFS(Dyno_Data[Time],Dyno_Data[Team],Dyno_Data[[#This Row],[Team]],Dyno_Data[RecordType],"StartMatch",Dyno_Data[Match],Dyno_Data[[#This Row],[Match]]),0)*86400),0)</f>
        <v>0</v>
      </c>
    </row>
    <row r="3722" spans="1:35" x14ac:dyDescent="0.3">
      <c r="A3722">
        <v>3721</v>
      </c>
      <c r="B3722" t="s">
        <v>1318</v>
      </c>
      <c r="C3722">
        <v>67</v>
      </c>
      <c r="D3722" s="105">
        <v>45374.429744212961</v>
      </c>
      <c r="E3722" t="s">
        <v>312</v>
      </c>
      <c r="F3722" t="s">
        <v>1402</v>
      </c>
      <c r="G3722">
        <v>0</v>
      </c>
      <c r="H3722" t="s">
        <v>315</v>
      </c>
      <c r="I3722">
        <v>0</v>
      </c>
      <c r="J3722">
        <v>0</v>
      </c>
      <c r="K3722">
        <v>0</v>
      </c>
      <c r="L3722" t="s">
        <v>241</v>
      </c>
      <c r="M3722" t="s">
        <v>101</v>
      </c>
      <c r="N3722">
        <v>0</v>
      </c>
      <c r="O3722" t="s">
        <v>1393</v>
      </c>
      <c r="P3722" t="s">
        <v>310</v>
      </c>
      <c r="Q3722" t="s">
        <v>310</v>
      </c>
      <c r="R3722" t="s">
        <v>310</v>
      </c>
      <c r="S3722">
        <v>9</v>
      </c>
      <c r="T3722" t="s">
        <v>310</v>
      </c>
      <c r="U3722">
        <v>9</v>
      </c>
      <c r="V3722">
        <v>9</v>
      </c>
      <c r="W3722">
        <v>0</v>
      </c>
      <c r="X3722">
        <v>0</v>
      </c>
      <c r="Y3722">
        <v>0</v>
      </c>
      <c r="Z3722">
        <v>0</v>
      </c>
      <c r="AA3722">
        <v>9</v>
      </c>
      <c r="AB3722">
        <v>9</v>
      </c>
      <c r="AC3722" t="s">
        <v>310</v>
      </c>
      <c r="AD3722">
        <v>9</v>
      </c>
      <c r="AE3722" t="s">
        <v>1412</v>
      </c>
      <c r="AF3722">
        <v>90100000</v>
      </c>
      <c r="AG3722" t="s">
        <v>310</v>
      </c>
      <c r="AH3722">
        <f>SUM((MID(Dyno_Data[[#This Row],[Team]],4,5))+(Dyno_Data[[#This Row],[Match]]/100))</f>
        <v>7709.67</v>
      </c>
      <c r="AI3722" s="76">
        <f>ROUND(SUM(IF(Dyno_Data[[#This Row],[AcqCenter]]&gt;0,Dyno_Data[[#This Row],[Time]]-SUMIFS(Dyno_Data[Time],Dyno_Data[Team],Dyno_Data[[#This Row],[Team]],Dyno_Data[RecordType],"StartMatch",Dyno_Data[Match],Dyno_Data[[#This Row],[Match]]),0)*86400),0)</f>
        <v>0</v>
      </c>
    </row>
    <row r="3723" spans="1:35" x14ac:dyDescent="0.3">
      <c r="A3723">
        <v>3722</v>
      </c>
      <c r="B3723" t="s">
        <v>1283</v>
      </c>
      <c r="C3723">
        <v>67</v>
      </c>
      <c r="D3723" s="105">
        <v>45374.431231863426</v>
      </c>
      <c r="E3723" t="s">
        <v>316</v>
      </c>
      <c r="F3723" t="s">
        <v>317</v>
      </c>
      <c r="G3723">
        <v>0</v>
      </c>
      <c r="H3723" t="s">
        <v>310</v>
      </c>
      <c r="I3723">
        <v>0</v>
      </c>
      <c r="J3723">
        <v>0</v>
      </c>
      <c r="K3723">
        <v>0</v>
      </c>
      <c r="L3723" t="s">
        <v>310</v>
      </c>
      <c r="M3723" t="s">
        <v>310</v>
      </c>
      <c r="N3723">
        <v>0</v>
      </c>
      <c r="O3723" t="s">
        <v>311</v>
      </c>
      <c r="P3723" t="s">
        <v>320</v>
      </c>
      <c r="Q3723" t="s">
        <v>1400</v>
      </c>
      <c r="R3723" t="s">
        <v>1404</v>
      </c>
      <c r="S3723">
        <v>-1</v>
      </c>
      <c r="T3723" t="s">
        <v>105</v>
      </c>
      <c r="U3723">
        <v>9</v>
      </c>
      <c r="V3723">
        <v>9</v>
      </c>
      <c r="W3723">
        <v>2.7698651000000001</v>
      </c>
      <c r="X3723">
        <v>67.459558399999992</v>
      </c>
      <c r="Y3723">
        <v>14.6231215</v>
      </c>
      <c r="Z3723">
        <v>46.449013699999995</v>
      </c>
      <c r="AA3723">
        <v>3</v>
      </c>
      <c r="AB3723">
        <v>0</v>
      </c>
      <c r="AC3723" t="s">
        <v>170</v>
      </c>
      <c r="AD3723">
        <v>9</v>
      </c>
      <c r="AE3723" t="s">
        <v>1413</v>
      </c>
      <c r="AF3723">
        <v>0</v>
      </c>
      <c r="AG3723" t="s">
        <v>310</v>
      </c>
      <c r="AH3723">
        <f>SUM((MID(Dyno_Data[[#This Row],[Team]],4,5))+(Dyno_Data[[#This Row],[Match]]/100))</f>
        <v>1601.67</v>
      </c>
      <c r="AI3723" s="76">
        <f>ROUND(SUM(IF(Dyno_Data[[#This Row],[AcqCenter]]&gt;0,Dyno_Data[[#This Row],[Time]]-SUMIFS(Dyno_Data[Time],Dyno_Data[Team],Dyno_Data[[#This Row],[Team]],Dyno_Data[RecordType],"StartMatch",Dyno_Data[Match],Dyno_Data[[#This Row],[Match]]),0)*86400),0)</f>
        <v>0</v>
      </c>
    </row>
    <row r="3724" spans="1:35" x14ac:dyDescent="0.3">
      <c r="A3724">
        <v>3723</v>
      </c>
      <c r="B3724" t="s">
        <v>1289</v>
      </c>
      <c r="C3724">
        <v>67</v>
      </c>
      <c r="D3724" s="105">
        <v>45374.431232060182</v>
      </c>
      <c r="E3724" t="s">
        <v>316</v>
      </c>
      <c r="F3724" t="s">
        <v>317</v>
      </c>
      <c r="G3724">
        <v>0</v>
      </c>
      <c r="H3724" t="s">
        <v>310</v>
      </c>
      <c r="I3724">
        <v>0</v>
      </c>
      <c r="J3724">
        <v>0</v>
      </c>
      <c r="K3724">
        <v>0</v>
      </c>
      <c r="L3724" t="s">
        <v>310</v>
      </c>
      <c r="M3724" t="s">
        <v>310</v>
      </c>
      <c r="N3724">
        <v>0</v>
      </c>
      <c r="O3724" t="s">
        <v>1391</v>
      </c>
      <c r="P3724" t="s">
        <v>101</v>
      </c>
      <c r="Q3724" t="s">
        <v>1399</v>
      </c>
      <c r="R3724" t="s">
        <v>1404</v>
      </c>
      <c r="S3724">
        <v>-1</v>
      </c>
      <c r="T3724" t="s">
        <v>105</v>
      </c>
      <c r="U3724">
        <v>9</v>
      </c>
      <c r="V3724">
        <v>9</v>
      </c>
      <c r="W3724">
        <v>8.8266134999999988</v>
      </c>
      <c r="X3724">
        <v>0</v>
      </c>
      <c r="Y3724">
        <v>39.759867899999996</v>
      </c>
      <c r="Z3724">
        <v>87.838827699999996</v>
      </c>
      <c r="AA3724">
        <v>3</v>
      </c>
      <c r="AB3724">
        <v>0</v>
      </c>
      <c r="AC3724" t="s">
        <v>170</v>
      </c>
      <c r="AD3724">
        <v>0</v>
      </c>
      <c r="AE3724" t="s">
        <v>1390</v>
      </c>
      <c r="AF3724">
        <v>0</v>
      </c>
      <c r="AG3724" t="s">
        <v>310</v>
      </c>
      <c r="AH3724">
        <f>SUM((MID(Dyno_Data[[#This Row],[Team]],4,5))+(Dyno_Data[[#This Row],[Match]]/100))</f>
        <v>6648.67</v>
      </c>
      <c r="AI3724" s="76">
        <f>ROUND(SUM(IF(Dyno_Data[[#This Row],[AcqCenter]]&gt;0,Dyno_Data[[#This Row],[Time]]-SUMIFS(Dyno_Data[Time],Dyno_Data[Team],Dyno_Data[[#This Row],[Team]],Dyno_Data[RecordType],"StartMatch",Dyno_Data[Match],Dyno_Data[[#This Row],[Match]]),0)*86400),0)</f>
        <v>0</v>
      </c>
    </row>
    <row r="3725" spans="1:35" x14ac:dyDescent="0.3">
      <c r="A3725">
        <v>3724</v>
      </c>
      <c r="B3725" t="s">
        <v>1308</v>
      </c>
      <c r="C3725">
        <v>67</v>
      </c>
      <c r="D3725" s="105">
        <v>45374.431232256946</v>
      </c>
      <c r="E3725" t="s">
        <v>316</v>
      </c>
      <c r="F3725" t="s">
        <v>317</v>
      </c>
      <c r="G3725">
        <v>1</v>
      </c>
      <c r="H3725" t="s">
        <v>310</v>
      </c>
      <c r="I3725">
        <v>0</v>
      </c>
      <c r="J3725">
        <v>0</v>
      </c>
      <c r="K3725">
        <v>0</v>
      </c>
      <c r="L3725" t="s">
        <v>310</v>
      </c>
      <c r="M3725" t="s">
        <v>310</v>
      </c>
      <c r="N3725">
        <v>0</v>
      </c>
      <c r="O3725" t="s">
        <v>319</v>
      </c>
      <c r="P3725" t="s">
        <v>1401</v>
      </c>
      <c r="Q3725" t="s">
        <v>1400</v>
      </c>
      <c r="R3725" t="s">
        <v>1404</v>
      </c>
      <c r="S3725">
        <v>-1</v>
      </c>
      <c r="T3725" t="s">
        <v>105</v>
      </c>
      <c r="U3725">
        <v>9</v>
      </c>
      <c r="V3725">
        <v>9</v>
      </c>
      <c r="W3725">
        <v>5.7224497999999997</v>
      </c>
      <c r="X3725">
        <v>29.412867599999998</v>
      </c>
      <c r="Y3725">
        <v>30.949431699999998</v>
      </c>
      <c r="Z3725">
        <v>69.417230799999999</v>
      </c>
      <c r="AA3725">
        <v>0</v>
      </c>
      <c r="AB3725">
        <v>2</v>
      </c>
      <c r="AC3725" t="s">
        <v>174</v>
      </c>
      <c r="AD3725">
        <v>9</v>
      </c>
      <c r="AE3725" t="s">
        <v>1396</v>
      </c>
      <c r="AF3725">
        <v>120000000</v>
      </c>
      <c r="AG3725" t="s">
        <v>310</v>
      </c>
      <c r="AH3725">
        <f>SUM((MID(Dyno_Data[[#This Row],[Team]],4,5))+(Dyno_Data[[#This Row],[Match]]/100))</f>
        <v>3799.67</v>
      </c>
      <c r="AI3725" s="76">
        <f>ROUND(SUM(IF(Dyno_Data[[#This Row],[AcqCenter]]&gt;0,Dyno_Data[[#This Row],[Time]]-SUMIFS(Dyno_Data[Time],Dyno_Data[Team],Dyno_Data[[#This Row],[Team]],Dyno_Data[RecordType],"StartMatch",Dyno_Data[Match],Dyno_Data[[#This Row],[Match]]),0)*86400),0)</f>
        <v>0</v>
      </c>
    </row>
    <row r="3726" spans="1:35" x14ac:dyDescent="0.3">
      <c r="A3726">
        <v>3725</v>
      </c>
      <c r="B3726" t="s">
        <v>1318</v>
      </c>
      <c r="C3726">
        <v>67</v>
      </c>
      <c r="D3726" s="105">
        <v>45374.431232256946</v>
      </c>
      <c r="E3726" t="s">
        <v>316</v>
      </c>
      <c r="F3726" t="s">
        <v>317</v>
      </c>
      <c r="G3726">
        <v>0</v>
      </c>
      <c r="H3726" t="s">
        <v>310</v>
      </c>
      <c r="I3726">
        <v>0</v>
      </c>
      <c r="J3726">
        <v>0</v>
      </c>
      <c r="K3726">
        <v>0</v>
      </c>
      <c r="L3726" t="s">
        <v>310</v>
      </c>
      <c r="M3726" t="s">
        <v>310</v>
      </c>
      <c r="N3726">
        <v>0</v>
      </c>
      <c r="O3726" t="s">
        <v>1393</v>
      </c>
      <c r="P3726" t="s">
        <v>101</v>
      </c>
      <c r="Q3726" t="s">
        <v>1400</v>
      </c>
      <c r="R3726" t="s">
        <v>1404</v>
      </c>
      <c r="S3726">
        <v>-1</v>
      </c>
      <c r="T3726" t="s">
        <v>105</v>
      </c>
      <c r="U3726">
        <v>9</v>
      </c>
      <c r="V3726">
        <v>9</v>
      </c>
      <c r="W3726">
        <v>6.3567428000000001</v>
      </c>
      <c r="X3726">
        <v>25.631568999999999</v>
      </c>
      <c r="Y3726">
        <v>23.817588199999999</v>
      </c>
      <c r="Z3726">
        <v>79.619253999999998</v>
      </c>
      <c r="AA3726">
        <v>0</v>
      </c>
      <c r="AB3726">
        <v>0</v>
      </c>
      <c r="AC3726" t="s">
        <v>173</v>
      </c>
      <c r="AD3726">
        <v>9</v>
      </c>
      <c r="AE3726" t="s">
        <v>1412</v>
      </c>
      <c r="AF3726">
        <v>90100000</v>
      </c>
      <c r="AG3726" t="s">
        <v>310</v>
      </c>
      <c r="AH3726">
        <f>SUM((MID(Dyno_Data[[#This Row],[Team]],4,5))+(Dyno_Data[[#This Row],[Match]]/100))</f>
        <v>7709.67</v>
      </c>
      <c r="AI3726" s="76">
        <f>ROUND(SUM(IF(Dyno_Data[[#This Row],[AcqCenter]]&gt;0,Dyno_Data[[#This Row],[Time]]-SUMIFS(Dyno_Data[Time],Dyno_Data[Team],Dyno_Data[[#This Row],[Team]],Dyno_Data[RecordType],"StartMatch",Dyno_Data[Match],Dyno_Data[[#This Row],[Match]]),0)*86400),0)</f>
        <v>0</v>
      </c>
    </row>
    <row r="3727" spans="1:35" x14ac:dyDescent="0.3">
      <c r="A3727">
        <v>3726</v>
      </c>
      <c r="B3727" t="s">
        <v>361</v>
      </c>
      <c r="C3727">
        <v>67</v>
      </c>
      <c r="D3727" s="105">
        <v>45374.431232407405</v>
      </c>
      <c r="E3727" t="s">
        <v>316</v>
      </c>
      <c r="F3727" t="s">
        <v>317</v>
      </c>
      <c r="G3727">
        <v>1</v>
      </c>
      <c r="H3727" t="s">
        <v>310</v>
      </c>
      <c r="I3727">
        <v>0</v>
      </c>
      <c r="J3727">
        <v>0</v>
      </c>
      <c r="K3727">
        <v>0</v>
      </c>
      <c r="L3727" t="s">
        <v>310</v>
      </c>
      <c r="M3727" t="s">
        <v>310</v>
      </c>
      <c r="N3727">
        <v>0</v>
      </c>
      <c r="O3727" t="s">
        <v>1389</v>
      </c>
      <c r="P3727" t="s">
        <v>1401</v>
      </c>
      <c r="Q3727" t="s">
        <v>1399</v>
      </c>
      <c r="R3727" t="s">
        <v>321</v>
      </c>
      <c r="S3727">
        <v>0</v>
      </c>
      <c r="T3727" t="s">
        <v>105</v>
      </c>
      <c r="U3727">
        <v>9</v>
      </c>
      <c r="V3727">
        <v>9</v>
      </c>
      <c r="W3727">
        <v>0</v>
      </c>
      <c r="X3727">
        <v>63.900251599999997</v>
      </c>
      <c r="Y3727">
        <v>32.199458999999997</v>
      </c>
      <c r="Z3727">
        <v>39.400950199999997</v>
      </c>
      <c r="AA3727">
        <v>0</v>
      </c>
      <c r="AB3727">
        <v>3</v>
      </c>
      <c r="AC3727" t="s">
        <v>174</v>
      </c>
      <c r="AD3727">
        <v>0</v>
      </c>
      <c r="AE3727" t="s">
        <v>1388</v>
      </c>
      <c r="AF3727">
        <v>60001000</v>
      </c>
      <c r="AG3727" t="s">
        <v>310</v>
      </c>
      <c r="AH3727">
        <f>SUM((MID(Dyno_Data[[#This Row],[Team]],4,5))+(Dyno_Data[[#This Row],[Match]]/100))</f>
        <v>20.67</v>
      </c>
      <c r="AI3727" s="76">
        <f>ROUND(SUM(IF(Dyno_Data[[#This Row],[AcqCenter]]&gt;0,Dyno_Data[[#This Row],[Time]]-SUMIFS(Dyno_Data[Time],Dyno_Data[Team],Dyno_Data[[#This Row],[Team]],Dyno_Data[RecordType],"StartMatch",Dyno_Data[Match],Dyno_Data[[#This Row],[Match]]),0)*86400),0)</f>
        <v>0</v>
      </c>
    </row>
    <row r="3728" spans="1:35" x14ac:dyDescent="0.3">
      <c r="A3728">
        <v>3727</v>
      </c>
      <c r="B3728" t="s">
        <v>1296</v>
      </c>
      <c r="C3728">
        <v>67</v>
      </c>
      <c r="D3728" s="105">
        <v>45374.431232407405</v>
      </c>
      <c r="E3728" t="s">
        <v>316</v>
      </c>
      <c r="F3728" t="s">
        <v>317</v>
      </c>
      <c r="G3728">
        <v>1</v>
      </c>
      <c r="H3728" t="s">
        <v>310</v>
      </c>
      <c r="I3728">
        <v>0</v>
      </c>
      <c r="J3728">
        <v>0</v>
      </c>
      <c r="K3728">
        <v>0</v>
      </c>
      <c r="L3728" t="s">
        <v>310</v>
      </c>
      <c r="M3728" t="s">
        <v>310</v>
      </c>
      <c r="N3728">
        <v>0</v>
      </c>
      <c r="O3728" t="s">
        <v>1395</v>
      </c>
      <c r="P3728" t="s">
        <v>240</v>
      </c>
      <c r="Q3728" t="s">
        <v>1400</v>
      </c>
      <c r="R3728" t="s">
        <v>1404</v>
      </c>
      <c r="S3728">
        <v>0</v>
      </c>
      <c r="T3728" t="s">
        <v>105</v>
      </c>
      <c r="U3728">
        <v>9</v>
      </c>
      <c r="V3728">
        <v>9</v>
      </c>
      <c r="W3728">
        <v>0</v>
      </c>
      <c r="X3728">
        <v>2.1509719999999999</v>
      </c>
      <c r="Y3728">
        <v>52.105562499999998</v>
      </c>
      <c r="Z3728">
        <v>78.114127600000003</v>
      </c>
      <c r="AA3728">
        <v>2</v>
      </c>
      <c r="AB3728">
        <v>1</v>
      </c>
      <c r="AC3728" t="s">
        <v>170</v>
      </c>
      <c r="AD3728">
        <v>9</v>
      </c>
      <c r="AE3728" t="s">
        <v>1414</v>
      </c>
      <c r="AF3728">
        <v>0</v>
      </c>
      <c r="AG3728" t="s">
        <v>310</v>
      </c>
      <c r="AH3728">
        <f>SUM((MID(Dyno_Data[[#This Row],[Team]],4,5))+(Dyno_Data[[#This Row],[Match]]/100))</f>
        <v>3003.67</v>
      </c>
      <c r="AI3728" s="76">
        <f>ROUND(SUM(IF(Dyno_Data[[#This Row],[AcqCenter]]&gt;0,Dyno_Data[[#This Row],[Time]]-SUMIFS(Dyno_Data[Time],Dyno_Data[Team],Dyno_Data[[#This Row],[Team]],Dyno_Data[RecordType],"StartMatch",Dyno_Data[Match],Dyno_Data[[#This Row],[Match]]),0)*86400),0)</f>
        <v>0</v>
      </c>
    </row>
    <row r="3729" spans="1:35" x14ac:dyDescent="0.3">
      <c r="A3729">
        <v>3743</v>
      </c>
      <c r="B3729" t="s">
        <v>364</v>
      </c>
      <c r="C3729">
        <v>68</v>
      </c>
      <c r="D3729" s="105">
        <v>45374.434468865744</v>
      </c>
      <c r="E3729" t="s">
        <v>308</v>
      </c>
      <c r="F3729" t="s">
        <v>309</v>
      </c>
      <c r="G3729">
        <v>0</v>
      </c>
      <c r="H3729" t="s">
        <v>310</v>
      </c>
      <c r="I3729">
        <v>0</v>
      </c>
      <c r="J3729">
        <v>0</v>
      </c>
      <c r="K3729">
        <v>0</v>
      </c>
      <c r="L3729" t="s">
        <v>310</v>
      </c>
      <c r="M3729" t="s">
        <v>310</v>
      </c>
      <c r="N3729">
        <v>0</v>
      </c>
      <c r="O3729" t="s">
        <v>311</v>
      </c>
      <c r="P3729" t="s">
        <v>310</v>
      </c>
      <c r="Q3729" t="s">
        <v>310</v>
      </c>
      <c r="R3729" t="s">
        <v>310</v>
      </c>
      <c r="S3729">
        <v>9</v>
      </c>
      <c r="T3729" t="s">
        <v>310</v>
      </c>
      <c r="U3729">
        <v>9</v>
      </c>
      <c r="V3729">
        <v>9</v>
      </c>
      <c r="W3729">
        <v>0</v>
      </c>
      <c r="X3729">
        <v>0</v>
      </c>
      <c r="Y3729">
        <v>0</v>
      </c>
      <c r="Z3729">
        <v>0</v>
      </c>
      <c r="AA3729">
        <v>9</v>
      </c>
      <c r="AB3729">
        <v>9</v>
      </c>
      <c r="AC3729" t="s">
        <v>310</v>
      </c>
      <c r="AD3729">
        <v>9</v>
      </c>
      <c r="AE3729" t="s">
        <v>1412</v>
      </c>
      <c r="AF3729">
        <v>0</v>
      </c>
      <c r="AG3729" t="s">
        <v>310</v>
      </c>
      <c r="AH3729">
        <f>SUM((MID(Dyno_Data[[#This Row],[Team]],4,5))+(Dyno_Data[[#This Row],[Match]]/100))</f>
        <v>2791.68</v>
      </c>
      <c r="AI3729" s="76">
        <f>ROUND(SUM(IF(Dyno_Data[[#This Row],[AcqCenter]]&gt;0,Dyno_Data[[#This Row],[Time]]-SUMIFS(Dyno_Data[Time],Dyno_Data[Team],Dyno_Data[[#This Row],[Team]],Dyno_Data[RecordType],"StartMatch",Dyno_Data[Match],Dyno_Data[[#This Row],[Match]]),0)*86400),0)</f>
        <v>0</v>
      </c>
    </row>
    <row r="3730" spans="1:35" x14ac:dyDescent="0.3">
      <c r="A3730">
        <v>3745</v>
      </c>
      <c r="B3730" t="s">
        <v>1275</v>
      </c>
      <c r="C3730">
        <v>68</v>
      </c>
      <c r="D3730" s="105">
        <v>45374.434468865744</v>
      </c>
      <c r="E3730" t="s">
        <v>308</v>
      </c>
      <c r="F3730" t="s">
        <v>309</v>
      </c>
      <c r="G3730">
        <v>0</v>
      </c>
      <c r="H3730" t="s">
        <v>310</v>
      </c>
      <c r="I3730">
        <v>0</v>
      </c>
      <c r="J3730">
        <v>0</v>
      </c>
      <c r="K3730">
        <v>0</v>
      </c>
      <c r="L3730" t="s">
        <v>310</v>
      </c>
      <c r="M3730" t="s">
        <v>310</v>
      </c>
      <c r="N3730">
        <v>0</v>
      </c>
      <c r="O3730" t="s">
        <v>1391</v>
      </c>
      <c r="P3730" t="s">
        <v>310</v>
      </c>
      <c r="Q3730" t="s">
        <v>310</v>
      </c>
      <c r="R3730" t="s">
        <v>310</v>
      </c>
      <c r="S3730">
        <v>9</v>
      </c>
      <c r="T3730" t="s">
        <v>310</v>
      </c>
      <c r="U3730">
        <v>9</v>
      </c>
      <c r="V3730">
        <v>9</v>
      </c>
      <c r="W3730">
        <v>0</v>
      </c>
      <c r="X3730">
        <v>0</v>
      </c>
      <c r="Y3730">
        <v>0</v>
      </c>
      <c r="Z3730">
        <v>0</v>
      </c>
      <c r="AA3730">
        <v>9</v>
      </c>
      <c r="AB3730">
        <v>9</v>
      </c>
      <c r="AC3730" t="s">
        <v>310</v>
      </c>
      <c r="AD3730">
        <v>9</v>
      </c>
      <c r="AE3730" t="s">
        <v>1390</v>
      </c>
      <c r="AF3730">
        <v>10000000</v>
      </c>
      <c r="AG3730" t="s">
        <v>310</v>
      </c>
      <c r="AH3730">
        <f>SUM((MID(Dyno_Data[[#This Row],[Team]],4,5))+(Dyno_Data[[#This Row],[Match]]/100))</f>
        <v>1880.68</v>
      </c>
      <c r="AI3730" s="76">
        <f>ROUND(SUM(IF(Dyno_Data[[#This Row],[AcqCenter]]&gt;0,Dyno_Data[[#This Row],[Time]]-SUMIFS(Dyno_Data[Time],Dyno_Data[Team],Dyno_Data[[#This Row],[Team]],Dyno_Data[RecordType],"StartMatch",Dyno_Data[Match],Dyno_Data[[#This Row],[Match]]),0)*86400),0)</f>
        <v>0</v>
      </c>
    </row>
    <row r="3731" spans="1:35" x14ac:dyDescent="0.3">
      <c r="A3731">
        <v>3747</v>
      </c>
      <c r="B3731" t="s">
        <v>1306</v>
      </c>
      <c r="C3731">
        <v>68</v>
      </c>
      <c r="D3731" s="105">
        <v>45374.4344690625</v>
      </c>
      <c r="E3731" t="s">
        <v>308</v>
      </c>
      <c r="F3731" t="s">
        <v>309</v>
      </c>
      <c r="G3731">
        <v>0</v>
      </c>
      <c r="H3731" t="s">
        <v>310</v>
      </c>
      <c r="I3731">
        <v>0</v>
      </c>
      <c r="J3731">
        <v>0</v>
      </c>
      <c r="K3731">
        <v>0</v>
      </c>
      <c r="L3731" t="s">
        <v>310</v>
      </c>
      <c r="M3731" t="s">
        <v>310</v>
      </c>
      <c r="N3731">
        <v>0</v>
      </c>
      <c r="O3731" t="s">
        <v>1389</v>
      </c>
      <c r="P3731" t="s">
        <v>310</v>
      </c>
      <c r="Q3731" t="s">
        <v>310</v>
      </c>
      <c r="R3731" t="s">
        <v>310</v>
      </c>
      <c r="S3731">
        <v>9</v>
      </c>
      <c r="T3731" t="s">
        <v>310</v>
      </c>
      <c r="U3731">
        <v>9</v>
      </c>
      <c r="V3731">
        <v>9</v>
      </c>
      <c r="W3731">
        <v>0</v>
      </c>
      <c r="X3731">
        <v>0</v>
      </c>
      <c r="Y3731">
        <v>0</v>
      </c>
      <c r="Z3731">
        <v>0</v>
      </c>
      <c r="AA3731">
        <v>9</v>
      </c>
      <c r="AB3731">
        <v>9</v>
      </c>
      <c r="AC3731" t="s">
        <v>310</v>
      </c>
      <c r="AD3731">
        <v>9</v>
      </c>
      <c r="AE3731" t="s">
        <v>1388</v>
      </c>
      <c r="AF3731">
        <v>0</v>
      </c>
      <c r="AG3731" t="s">
        <v>310</v>
      </c>
      <c r="AH3731">
        <f>SUM((MID(Dyno_Data[[#This Row],[Team]],4,5))+(Dyno_Data[[#This Row],[Match]]/100))</f>
        <v>3986.68</v>
      </c>
      <c r="AI3731" s="76">
        <f>ROUND(SUM(IF(Dyno_Data[[#This Row],[AcqCenter]]&gt;0,Dyno_Data[[#This Row],[Time]]-SUMIFS(Dyno_Data[Time],Dyno_Data[Team],Dyno_Data[[#This Row],[Team]],Dyno_Data[RecordType],"StartMatch",Dyno_Data[Match],Dyno_Data[[#This Row],[Match]]),0)*86400),0)</f>
        <v>0</v>
      </c>
    </row>
    <row r="3732" spans="1:35" x14ac:dyDescent="0.3">
      <c r="A3732">
        <v>3749</v>
      </c>
      <c r="B3732" t="s">
        <v>367</v>
      </c>
      <c r="C3732">
        <v>68</v>
      </c>
      <c r="D3732" s="105">
        <v>45374.434475312497</v>
      </c>
      <c r="E3732" t="s">
        <v>308</v>
      </c>
      <c r="F3732" t="s">
        <v>309</v>
      </c>
      <c r="G3732">
        <v>0</v>
      </c>
      <c r="H3732" t="s">
        <v>310</v>
      </c>
      <c r="I3732">
        <v>0</v>
      </c>
      <c r="J3732">
        <v>0</v>
      </c>
      <c r="K3732">
        <v>0</v>
      </c>
      <c r="L3732" t="s">
        <v>310</v>
      </c>
      <c r="M3732" t="s">
        <v>310</v>
      </c>
      <c r="N3732">
        <v>0</v>
      </c>
      <c r="O3732" t="s">
        <v>1393</v>
      </c>
      <c r="P3732" t="s">
        <v>310</v>
      </c>
      <c r="Q3732" t="s">
        <v>310</v>
      </c>
      <c r="R3732" t="s">
        <v>310</v>
      </c>
      <c r="S3732">
        <v>9</v>
      </c>
      <c r="T3732" t="s">
        <v>310</v>
      </c>
      <c r="U3732">
        <v>9</v>
      </c>
      <c r="V3732">
        <v>9</v>
      </c>
      <c r="W3732">
        <v>0</v>
      </c>
      <c r="X3732">
        <v>0</v>
      </c>
      <c r="Y3732">
        <v>0</v>
      </c>
      <c r="Z3732">
        <v>0</v>
      </c>
      <c r="AA3732">
        <v>9</v>
      </c>
      <c r="AB3732">
        <v>9</v>
      </c>
      <c r="AC3732" t="s">
        <v>310</v>
      </c>
      <c r="AD3732">
        <v>9</v>
      </c>
      <c r="AE3732" t="s">
        <v>1413</v>
      </c>
      <c r="AF3732">
        <v>1000</v>
      </c>
      <c r="AG3732" t="s">
        <v>310</v>
      </c>
      <c r="AH3732">
        <f>SUM((MID(Dyno_Data[[#This Row],[Team]],4,5))+(Dyno_Data[[#This Row],[Match]]/100))</f>
        <v>5016.68</v>
      </c>
      <c r="AI3732" s="76">
        <f>ROUND(SUM(IF(Dyno_Data[[#This Row],[AcqCenter]]&gt;0,Dyno_Data[[#This Row],[Time]]-SUMIFS(Dyno_Data[Time],Dyno_Data[Team],Dyno_Data[[#This Row],[Team]],Dyno_Data[RecordType],"StartMatch",Dyno_Data[Match],Dyno_Data[[#This Row],[Match]]),0)*86400),0)</f>
        <v>0</v>
      </c>
    </row>
    <row r="3733" spans="1:35" x14ac:dyDescent="0.3">
      <c r="A3733">
        <v>3751</v>
      </c>
      <c r="B3733" t="s">
        <v>363</v>
      </c>
      <c r="C3733">
        <v>68</v>
      </c>
      <c r="D3733" s="105">
        <v>45374.434478935182</v>
      </c>
      <c r="E3733" t="s">
        <v>308</v>
      </c>
      <c r="F3733" t="s">
        <v>309</v>
      </c>
      <c r="G3733">
        <v>0</v>
      </c>
      <c r="H3733" t="s">
        <v>310</v>
      </c>
      <c r="I3733">
        <v>0</v>
      </c>
      <c r="J3733">
        <v>0</v>
      </c>
      <c r="K3733">
        <v>0</v>
      </c>
      <c r="L3733" t="s">
        <v>310</v>
      </c>
      <c r="M3733" t="s">
        <v>310</v>
      </c>
      <c r="N3733">
        <v>0</v>
      </c>
      <c r="O3733" t="s">
        <v>1395</v>
      </c>
      <c r="P3733" t="s">
        <v>310</v>
      </c>
      <c r="Q3733" t="s">
        <v>310</v>
      </c>
      <c r="R3733" t="s">
        <v>310</v>
      </c>
      <c r="S3733">
        <v>9</v>
      </c>
      <c r="T3733" t="s">
        <v>310</v>
      </c>
      <c r="U3733">
        <v>9</v>
      </c>
      <c r="V3733">
        <v>9</v>
      </c>
      <c r="W3733">
        <v>0</v>
      </c>
      <c r="X3733">
        <v>0</v>
      </c>
      <c r="Y3733">
        <v>0</v>
      </c>
      <c r="Z3733">
        <v>0</v>
      </c>
      <c r="AA3733">
        <v>9</v>
      </c>
      <c r="AB3733">
        <v>9</v>
      </c>
      <c r="AC3733" t="s">
        <v>310</v>
      </c>
      <c r="AD3733">
        <v>9</v>
      </c>
      <c r="AE3733" t="s">
        <v>1414</v>
      </c>
      <c r="AF3733">
        <v>20000000</v>
      </c>
      <c r="AG3733" t="s">
        <v>310</v>
      </c>
      <c r="AH3733">
        <f>SUM((MID(Dyno_Data[[#This Row],[Team]],4,5))+(Dyno_Data[[#This Row],[Match]]/100))</f>
        <v>2601.6799999999998</v>
      </c>
      <c r="AI3733" s="76">
        <f>ROUND(SUM(IF(Dyno_Data[[#This Row],[AcqCenter]]&gt;0,Dyno_Data[[#This Row],[Time]]-SUMIFS(Dyno_Data[Time],Dyno_Data[Team],Dyno_Data[[#This Row],[Team]],Dyno_Data[RecordType],"StartMatch",Dyno_Data[Match],Dyno_Data[[#This Row],[Match]]),0)*86400),0)</f>
        <v>0</v>
      </c>
    </row>
    <row r="3734" spans="1:35" x14ac:dyDescent="0.3">
      <c r="A3734">
        <v>3728</v>
      </c>
      <c r="B3734" t="s">
        <v>360</v>
      </c>
      <c r="C3734">
        <v>68</v>
      </c>
      <c r="D3734" s="105">
        <v>45374.434479861113</v>
      </c>
      <c r="E3734" t="s">
        <v>312</v>
      </c>
      <c r="F3734" t="s">
        <v>309</v>
      </c>
      <c r="G3734">
        <v>0</v>
      </c>
      <c r="H3734" t="s">
        <v>1397</v>
      </c>
      <c r="I3734">
        <v>0</v>
      </c>
      <c r="J3734">
        <v>0</v>
      </c>
      <c r="K3734">
        <v>0</v>
      </c>
      <c r="L3734" t="s">
        <v>240</v>
      </c>
      <c r="M3734" t="s">
        <v>1398</v>
      </c>
      <c r="N3734">
        <v>0</v>
      </c>
      <c r="O3734" t="s">
        <v>319</v>
      </c>
      <c r="P3734" t="s">
        <v>310</v>
      </c>
      <c r="Q3734" t="s">
        <v>310</v>
      </c>
      <c r="R3734" t="s">
        <v>310</v>
      </c>
      <c r="S3734">
        <v>9</v>
      </c>
      <c r="T3734" t="s">
        <v>310</v>
      </c>
      <c r="U3734">
        <v>9</v>
      </c>
      <c r="V3734">
        <v>9</v>
      </c>
      <c r="W3734">
        <v>0</v>
      </c>
      <c r="X3734">
        <v>0</v>
      </c>
      <c r="Y3734">
        <v>0</v>
      </c>
      <c r="Z3734">
        <v>0</v>
      </c>
      <c r="AA3734">
        <v>9</v>
      </c>
      <c r="AB3734">
        <v>9</v>
      </c>
      <c r="AC3734" t="s">
        <v>310</v>
      </c>
      <c r="AD3734">
        <v>9</v>
      </c>
      <c r="AE3734" t="s">
        <v>1396</v>
      </c>
      <c r="AF3734">
        <v>0</v>
      </c>
      <c r="AG3734" t="s">
        <v>310</v>
      </c>
      <c r="AH3734">
        <f>SUM((MID(Dyno_Data[[#This Row],[Team]],4,5))+(Dyno_Data[[#This Row],[Match]]/100))</f>
        <v>1796.68</v>
      </c>
      <c r="AI3734" s="76">
        <f>ROUND(SUM(IF(Dyno_Data[[#This Row],[AcqCenter]]&gt;0,Dyno_Data[[#This Row],[Time]]-SUMIFS(Dyno_Data[Time],Dyno_Data[Team],Dyno_Data[[#This Row],[Team]],Dyno_Data[RecordType],"StartMatch",Dyno_Data[Match],Dyno_Data[[#This Row],[Match]]),0)*86400),0)</f>
        <v>0</v>
      </c>
    </row>
    <row r="3735" spans="1:35" x14ac:dyDescent="0.3">
      <c r="A3735">
        <v>3753</v>
      </c>
      <c r="B3735" t="s">
        <v>360</v>
      </c>
      <c r="C3735">
        <v>68</v>
      </c>
      <c r="D3735" s="105">
        <v>45374.434483182871</v>
      </c>
      <c r="E3735" t="s">
        <v>308</v>
      </c>
      <c r="F3735" t="s">
        <v>309</v>
      </c>
      <c r="G3735">
        <v>0</v>
      </c>
      <c r="H3735" t="s">
        <v>310</v>
      </c>
      <c r="I3735">
        <v>0</v>
      </c>
      <c r="J3735">
        <v>0</v>
      </c>
      <c r="K3735">
        <v>0</v>
      </c>
      <c r="L3735" t="s">
        <v>310</v>
      </c>
      <c r="M3735" t="s">
        <v>310</v>
      </c>
      <c r="N3735">
        <v>0</v>
      </c>
      <c r="O3735" t="s">
        <v>319</v>
      </c>
      <c r="P3735" t="s">
        <v>310</v>
      </c>
      <c r="Q3735" t="s">
        <v>310</v>
      </c>
      <c r="R3735" t="s">
        <v>310</v>
      </c>
      <c r="S3735">
        <v>9</v>
      </c>
      <c r="T3735" t="s">
        <v>310</v>
      </c>
      <c r="U3735">
        <v>9</v>
      </c>
      <c r="V3735">
        <v>9</v>
      </c>
      <c r="W3735">
        <v>0</v>
      </c>
      <c r="X3735">
        <v>0</v>
      </c>
      <c r="Y3735">
        <v>0</v>
      </c>
      <c r="Z3735">
        <v>0</v>
      </c>
      <c r="AA3735">
        <v>9</v>
      </c>
      <c r="AB3735">
        <v>9</v>
      </c>
      <c r="AC3735" t="s">
        <v>310</v>
      </c>
      <c r="AD3735">
        <v>9</v>
      </c>
      <c r="AE3735" t="s">
        <v>1396</v>
      </c>
      <c r="AF3735">
        <v>30003000</v>
      </c>
      <c r="AG3735" t="s">
        <v>310</v>
      </c>
      <c r="AH3735">
        <f>SUM((MID(Dyno_Data[[#This Row],[Team]],4,5))+(Dyno_Data[[#This Row],[Match]]/100))</f>
        <v>1796.68</v>
      </c>
      <c r="AI3735" s="76">
        <f>ROUND(SUM(IF(Dyno_Data[[#This Row],[AcqCenter]]&gt;0,Dyno_Data[[#This Row],[Time]]-SUMIFS(Dyno_Data[Time],Dyno_Data[Team],Dyno_Data[[#This Row],[Team]],Dyno_Data[RecordType],"StartMatch",Dyno_Data[Match],Dyno_Data[[#This Row],[Match]]),0)*86400),0)</f>
        <v>0</v>
      </c>
    </row>
    <row r="3736" spans="1:35" x14ac:dyDescent="0.3">
      <c r="A3736">
        <v>3729</v>
      </c>
      <c r="B3736" t="s">
        <v>364</v>
      </c>
      <c r="C3736">
        <v>68</v>
      </c>
      <c r="D3736" s="105">
        <v>45374.434483449077</v>
      </c>
      <c r="E3736" t="s">
        <v>312</v>
      </c>
      <c r="F3736" t="s">
        <v>309</v>
      </c>
      <c r="G3736">
        <v>0</v>
      </c>
      <c r="H3736" t="s">
        <v>1397</v>
      </c>
      <c r="I3736">
        <v>0</v>
      </c>
      <c r="J3736">
        <v>0</v>
      </c>
      <c r="K3736">
        <v>0</v>
      </c>
      <c r="L3736" t="s">
        <v>240</v>
      </c>
      <c r="M3736" t="s">
        <v>1398</v>
      </c>
      <c r="N3736">
        <v>0</v>
      </c>
      <c r="O3736" t="s">
        <v>311</v>
      </c>
      <c r="P3736" t="s">
        <v>310</v>
      </c>
      <c r="Q3736" t="s">
        <v>310</v>
      </c>
      <c r="R3736" t="s">
        <v>310</v>
      </c>
      <c r="S3736">
        <v>9</v>
      </c>
      <c r="T3736" t="s">
        <v>310</v>
      </c>
      <c r="U3736">
        <v>9</v>
      </c>
      <c r="V3736">
        <v>9</v>
      </c>
      <c r="W3736">
        <v>0</v>
      </c>
      <c r="X3736">
        <v>0</v>
      </c>
      <c r="Y3736">
        <v>0</v>
      </c>
      <c r="Z3736">
        <v>0</v>
      </c>
      <c r="AA3736">
        <v>9</v>
      </c>
      <c r="AB3736">
        <v>9</v>
      </c>
      <c r="AC3736" t="s">
        <v>310</v>
      </c>
      <c r="AD3736">
        <v>9</v>
      </c>
      <c r="AE3736" t="s">
        <v>1412</v>
      </c>
      <c r="AF3736">
        <v>0</v>
      </c>
      <c r="AG3736" t="s">
        <v>310</v>
      </c>
      <c r="AH3736">
        <f>SUM((MID(Dyno_Data[[#This Row],[Team]],4,5))+(Dyno_Data[[#This Row],[Match]]/100))</f>
        <v>2791.68</v>
      </c>
      <c r="AI3736" s="76">
        <f>ROUND(SUM(IF(Dyno_Data[[#This Row],[AcqCenter]]&gt;0,Dyno_Data[[#This Row],[Time]]-SUMIFS(Dyno_Data[Time],Dyno_Data[Team],Dyno_Data[[#This Row],[Team]],Dyno_Data[RecordType],"StartMatch",Dyno_Data[Match],Dyno_Data[[#This Row],[Match]]),0)*86400),0)</f>
        <v>0</v>
      </c>
    </row>
    <row r="3737" spans="1:35" x14ac:dyDescent="0.3">
      <c r="A3737">
        <v>3730</v>
      </c>
      <c r="B3737" t="s">
        <v>1275</v>
      </c>
      <c r="C3737">
        <v>68</v>
      </c>
      <c r="D3737" s="105">
        <v>45374.43448989583</v>
      </c>
      <c r="E3737" t="s">
        <v>312</v>
      </c>
      <c r="F3737" t="s">
        <v>309</v>
      </c>
      <c r="G3737">
        <v>0</v>
      </c>
      <c r="H3737" t="s">
        <v>1397</v>
      </c>
      <c r="I3737">
        <v>0</v>
      </c>
      <c r="J3737">
        <v>0</v>
      </c>
      <c r="K3737">
        <v>0</v>
      </c>
      <c r="L3737" t="s">
        <v>240</v>
      </c>
      <c r="M3737" t="s">
        <v>1398</v>
      </c>
      <c r="N3737">
        <v>0</v>
      </c>
      <c r="O3737" t="s">
        <v>1391</v>
      </c>
      <c r="P3737" t="s">
        <v>310</v>
      </c>
      <c r="Q3737" t="s">
        <v>310</v>
      </c>
      <c r="R3737" t="s">
        <v>310</v>
      </c>
      <c r="S3737">
        <v>9</v>
      </c>
      <c r="T3737" t="s">
        <v>310</v>
      </c>
      <c r="U3737">
        <v>9</v>
      </c>
      <c r="V3737">
        <v>9</v>
      </c>
      <c r="W3737">
        <v>0</v>
      </c>
      <c r="X3737">
        <v>0</v>
      </c>
      <c r="Y3737">
        <v>0</v>
      </c>
      <c r="Z3737">
        <v>0</v>
      </c>
      <c r="AA3737">
        <v>9</v>
      </c>
      <c r="AB3737">
        <v>9</v>
      </c>
      <c r="AC3737" t="s">
        <v>310</v>
      </c>
      <c r="AD3737">
        <v>9</v>
      </c>
      <c r="AE3737" t="s">
        <v>1390</v>
      </c>
      <c r="AF3737">
        <v>0</v>
      </c>
      <c r="AG3737" t="s">
        <v>310</v>
      </c>
      <c r="AH3737">
        <f>SUM((MID(Dyno_Data[[#This Row],[Team]],4,5))+(Dyno_Data[[#This Row],[Match]]/100))</f>
        <v>1880.68</v>
      </c>
      <c r="AI3737" s="76">
        <f>ROUND(SUM(IF(Dyno_Data[[#This Row],[AcqCenter]]&gt;0,Dyno_Data[[#This Row],[Time]]-SUMIFS(Dyno_Data[Time],Dyno_Data[Team],Dyno_Data[[#This Row],[Team]],Dyno_Data[RecordType],"StartMatch",Dyno_Data[Match],Dyno_Data[[#This Row],[Match]]),0)*86400),0)</f>
        <v>0</v>
      </c>
    </row>
    <row r="3738" spans="1:35" x14ac:dyDescent="0.3">
      <c r="A3738">
        <v>3731</v>
      </c>
      <c r="B3738" t="s">
        <v>1275</v>
      </c>
      <c r="C3738">
        <v>68</v>
      </c>
      <c r="D3738" s="105">
        <v>45374.434501504627</v>
      </c>
      <c r="E3738" t="s">
        <v>312</v>
      </c>
      <c r="F3738" t="s">
        <v>309</v>
      </c>
      <c r="G3738">
        <v>0</v>
      </c>
      <c r="H3738" t="s">
        <v>315</v>
      </c>
      <c r="I3738">
        <v>0</v>
      </c>
      <c r="J3738">
        <v>0</v>
      </c>
      <c r="K3738">
        <v>0</v>
      </c>
      <c r="L3738" t="s">
        <v>240</v>
      </c>
      <c r="M3738" t="s">
        <v>1398</v>
      </c>
      <c r="N3738">
        <v>0</v>
      </c>
      <c r="O3738" t="s">
        <v>1391</v>
      </c>
      <c r="P3738" t="s">
        <v>310</v>
      </c>
      <c r="Q3738" t="s">
        <v>310</v>
      </c>
      <c r="R3738" t="s">
        <v>310</v>
      </c>
      <c r="S3738">
        <v>9</v>
      </c>
      <c r="T3738" t="s">
        <v>310</v>
      </c>
      <c r="U3738">
        <v>9</v>
      </c>
      <c r="V3738">
        <v>9</v>
      </c>
      <c r="W3738">
        <v>0</v>
      </c>
      <c r="X3738">
        <v>0</v>
      </c>
      <c r="Y3738">
        <v>0</v>
      </c>
      <c r="Z3738">
        <v>0</v>
      </c>
      <c r="AA3738">
        <v>9</v>
      </c>
      <c r="AB3738">
        <v>9</v>
      </c>
      <c r="AC3738" t="s">
        <v>310</v>
      </c>
      <c r="AD3738">
        <v>9</v>
      </c>
      <c r="AE3738" t="s">
        <v>1390</v>
      </c>
      <c r="AF3738">
        <v>10000000</v>
      </c>
      <c r="AG3738" t="s">
        <v>310</v>
      </c>
      <c r="AH3738">
        <f>SUM((MID(Dyno_Data[[#This Row],[Team]],4,5))+(Dyno_Data[[#This Row],[Match]]/100))</f>
        <v>1880.68</v>
      </c>
      <c r="AI3738" s="76">
        <f>ROUND(SUM(IF(Dyno_Data[[#This Row],[AcqCenter]]&gt;0,Dyno_Data[[#This Row],[Time]]-SUMIFS(Dyno_Data[Time],Dyno_Data[Team],Dyno_Data[[#This Row],[Team]],Dyno_Data[RecordType],"StartMatch",Dyno_Data[Match],Dyno_Data[[#This Row],[Match]]),0)*86400),0)</f>
        <v>0</v>
      </c>
    </row>
    <row r="3739" spans="1:35" x14ac:dyDescent="0.3">
      <c r="A3739">
        <v>3732</v>
      </c>
      <c r="B3739" t="s">
        <v>360</v>
      </c>
      <c r="C3739">
        <v>68</v>
      </c>
      <c r="D3739" s="105">
        <v>45374.434501504627</v>
      </c>
      <c r="E3739" t="s">
        <v>312</v>
      </c>
      <c r="F3739" t="s">
        <v>309</v>
      </c>
      <c r="G3739">
        <v>0</v>
      </c>
      <c r="H3739" t="s">
        <v>315</v>
      </c>
      <c r="I3739">
        <v>0</v>
      </c>
      <c r="J3739">
        <v>0</v>
      </c>
      <c r="K3739">
        <v>0</v>
      </c>
      <c r="L3739" t="s">
        <v>240</v>
      </c>
      <c r="M3739" t="s">
        <v>1398</v>
      </c>
      <c r="N3739">
        <v>0</v>
      </c>
      <c r="O3739" t="s">
        <v>319</v>
      </c>
      <c r="P3739" t="s">
        <v>310</v>
      </c>
      <c r="Q3739" t="s">
        <v>310</v>
      </c>
      <c r="R3739" t="s">
        <v>310</v>
      </c>
      <c r="S3739">
        <v>9</v>
      </c>
      <c r="T3739" t="s">
        <v>310</v>
      </c>
      <c r="U3739">
        <v>9</v>
      </c>
      <c r="V3739">
        <v>9</v>
      </c>
      <c r="W3739">
        <v>0</v>
      </c>
      <c r="X3739">
        <v>0</v>
      </c>
      <c r="Y3739">
        <v>0</v>
      </c>
      <c r="Z3739">
        <v>0</v>
      </c>
      <c r="AA3739">
        <v>9</v>
      </c>
      <c r="AB3739">
        <v>9</v>
      </c>
      <c r="AC3739" t="s">
        <v>310</v>
      </c>
      <c r="AD3739">
        <v>9</v>
      </c>
      <c r="AE3739" t="s">
        <v>1396</v>
      </c>
      <c r="AF3739">
        <v>10000000</v>
      </c>
      <c r="AG3739" t="s">
        <v>310</v>
      </c>
      <c r="AH3739">
        <f>SUM((MID(Dyno_Data[[#This Row],[Team]],4,5))+(Dyno_Data[[#This Row],[Match]]/100))</f>
        <v>1796.68</v>
      </c>
      <c r="AI3739" s="76">
        <f>ROUND(SUM(IF(Dyno_Data[[#This Row],[AcqCenter]]&gt;0,Dyno_Data[[#This Row],[Time]]-SUMIFS(Dyno_Data[Time],Dyno_Data[Team],Dyno_Data[[#This Row],[Team]],Dyno_Data[RecordType],"StartMatch",Dyno_Data[Match],Dyno_Data[[#This Row],[Match]]),0)*86400),0)</f>
        <v>0</v>
      </c>
    </row>
    <row r="3740" spans="1:35" x14ac:dyDescent="0.3">
      <c r="A3740">
        <v>3734</v>
      </c>
      <c r="B3740" t="s">
        <v>1306</v>
      </c>
      <c r="C3740">
        <v>68</v>
      </c>
      <c r="D3740" s="105">
        <v>45374.434515474539</v>
      </c>
      <c r="E3740" t="s">
        <v>312</v>
      </c>
      <c r="F3740" t="s">
        <v>309</v>
      </c>
      <c r="G3740">
        <v>0</v>
      </c>
      <c r="H3740" t="s">
        <v>143</v>
      </c>
      <c r="I3740">
        <v>2</v>
      </c>
      <c r="J3740">
        <v>1</v>
      </c>
      <c r="K3740">
        <v>0</v>
      </c>
      <c r="L3740" t="s">
        <v>310</v>
      </c>
      <c r="M3740" t="s">
        <v>310</v>
      </c>
      <c r="N3740">
        <v>0</v>
      </c>
      <c r="O3740" t="s">
        <v>1389</v>
      </c>
      <c r="P3740" t="s">
        <v>310</v>
      </c>
      <c r="Q3740" t="s">
        <v>310</v>
      </c>
      <c r="R3740" t="s">
        <v>310</v>
      </c>
      <c r="S3740">
        <v>9</v>
      </c>
      <c r="T3740" t="s">
        <v>310</v>
      </c>
      <c r="U3740">
        <v>9</v>
      </c>
      <c r="V3740">
        <v>9</v>
      </c>
      <c r="W3740">
        <v>0</v>
      </c>
      <c r="X3740">
        <v>0</v>
      </c>
      <c r="Y3740">
        <v>0</v>
      </c>
      <c r="Z3740">
        <v>0</v>
      </c>
      <c r="AA3740">
        <v>9</v>
      </c>
      <c r="AB3740">
        <v>9</v>
      </c>
      <c r="AC3740" t="s">
        <v>310</v>
      </c>
      <c r="AD3740">
        <v>9</v>
      </c>
      <c r="AE3740" t="s">
        <v>1388</v>
      </c>
      <c r="AF3740">
        <v>0</v>
      </c>
      <c r="AG3740" t="s">
        <v>310</v>
      </c>
      <c r="AH3740">
        <f>SUM((MID(Dyno_Data[[#This Row],[Team]],4,5))+(Dyno_Data[[#This Row],[Match]]/100))</f>
        <v>3986.68</v>
      </c>
      <c r="AI3740" s="76">
        <f>ROUND(SUM(IF(Dyno_Data[[#This Row],[AcqCenter]]&gt;0,Dyno_Data[[#This Row],[Time]]-SUMIFS(Dyno_Data[Time],Dyno_Data[Team],Dyno_Data[[#This Row],[Team]],Dyno_Data[RecordType],"StartMatch",Dyno_Data[Match],Dyno_Data[[#This Row],[Match]]),0)*86400),0)</f>
        <v>4</v>
      </c>
    </row>
    <row r="3741" spans="1:35" x14ac:dyDescent="0.3">
      <c r="A3741">
        <v>3733</v>
      </c>
      <c r="B3741" t="s">
        <v>360</v>
      </c>
      <c r="C3741">
        <v>68</v>
      </c>
      <c r="D3741" s="105">
        <v>45374.434519756942</v>
      </c>
      <c r="E3741" t="s">
        <v>312</v>
      </c>
      <c r="F3741" t="s">
        <v>309</v>
      </c>
      <c r="G3741">
        <v>0</v>
      </c>
      <c r="H3741" t="s">
        <v>315</v>
      </c>
      <c r="I3741">
        <v>0</v>
      </c>
      <c r="J3741">
        <v>0</v>
      </c>
      <c r="K3741">
        <v>0</v>
      </c>
      <c r="L3741" t="s">
        <v>240</v>
      </c>
      <c r="M3741" t="s">
        <v>1398</v>
      </c>
      <c r="N3741">
        <v>0</v>
      </c>
      <c r="O3741" t="s">
        <v>319</v>
      </c>
      <c r="P3741" t="s">
        <v>310</v>
      </c>
      <c r="Q3741" t="s">
        <v>310</v>
      </c>
      <c r="R3741" t="s">
        <v>310</v>
      </c>
      <c r="S3741">
        <v>9</v>
      </c>
      <c r="T3741" t="s">
        <v>310</v>
      </c>
      <c r="U3741">
        <v>9</v>
      </c>
      <c r="V3741">
        <v>9</v>
      </c>
      <c r="W3741">
        <v>0</v>
      </c>
      <c r="X3741">
        <v>0</v>
      </c>
      <c r="Y3741">
        <v>0</v>
      </c>
      <c r="Z3741">
        <v>0</v>
      </c>
      <c r="AA3741">
        <v>9</v>
      </c>
      <c r="AB3741">
        <v>9</v>
      </c>
      <c r="AC3741" t="s">
        <v>310</v>
      </c>
      <c r="AD3741">
        <v>9</v>
      </c>
      <c r="AE3741" t="s">
        <v>1396</v>
      </c>
      <c r="AF3741">
        <v>20000000</v>
      </c>
      <c r="AG3741" t="s">
        <v>310</v>
      </c>
      <c r="AH3741">
        <f>SUM((MID(Dyno_Data[[#This Row],[Team]],4,5))+(Dyno_Data[[#This Row],[Match]]/100))</f>
        <v>1796.68</v>
      </c>
      <c r="AI3741" s="76">
        <f>ROUND(SUM(IF(Dyno_Data[[#This Row],[AcqCenter]]&gt;0,Dyno_Data[[#This Row],[Time]]-SUMIFS(Dyno_Data[Time],Dyno_Data[Team],Dyno_Data[[#This Row],[Team]],Dyno_Data[RecordType],"StartMatch",Dyno_Data[Match],Dyno_Data[[#This Row],[Match]]),0)*86400),0)</f>
        <v>0</v>
      </c>
    </row>
    <row r="3742" spans="1:35" x14ac:dyDescent="0.3">
      <c r="A3742">
        <v>3735</v>
      </c>
      <c r="B3742" t="s">
        <v>360</v>
      </c>
      <c r="C3742">
        <v>68</v>
      </c>
      <c r="D3742" s="105">
        <v>45374.434547488425</v>
      </c>
      <c r="E3742" t="s">
        <v>312</v>
      </c>
      <c r="F3742" t="s">
        <v>309</v>
      </c>
      <c r="G3742">
        <v>0</v>
      </c>
      <c r="H3742" t="s">
        <v>315</v>
      </c>
      <c r="I3742">
        <v>0</v>
      </c>
      <c r="J3742">
        <v>0</v>
      </c>
      <c r="K3742">
        <v>0</v>
      </c>
      <c r="L3742" t="s">
        <v>240</v>
      </c>
      <c r="M3742" t="s">
        <v>1398</v>
      </c>
      <c r="N3742">
        <v>0</v>
      </c>
      <c r="O3742" t="s">
        <v>319</v>
      </c>
      <c r="P3742" t="s">
        <v>310</v>
      </c>
      <c r="Q3742" t="s">
        <v>310</v>
      </c>
      <c r="R3742" t="s">
        <v>310</v>
      </c>
      <c r="S3742">
        <v>9</v>
      </c>
      <c r="T3742" t="s">
        <v>310</v>
      </c>
      <c r="U3742">
        <v>9</v>
      </c>
      <c r="V3742">
        <v>9</v>
      </c>
      <c r="W3742">
        <v>0</v>
      </c>
      <c r="X3742">
        <v>0</v>
      </c>
      <c r="Y3742">
        <v>0</v>
      </c>
      <c r="Z3742">
        <v>0</v>
      </c>
      <c r="AA3742">
        <v>9</v>
      </c>
      <c r="AB3742">
        <v>9</v>
      </c>
      <c r="AC3742" t="s">
        <v>310</v>
      </c>
      <c r="AD3742">
        <v>9</v>
      </c>
      <c r="AE3742" t="s">
        <v>1396</v>
      </c>
      <c r="AF3742">
        <v>30000000</v>
      </c>
      <c r="AG3742" t="s">
        <v>310</v>
      </c>
      <c r="AH3742">
        <f>SUM((MID(Dyno_Data[[#This Row],[Team]],4,5))+(Dyno_Data[[#This Row],[Match]]/100))</f>
        <v>1796.68</v>
      </c>
      <c r="AI3742" s="76">
        <f>ROUND(SUM(IF(Dyno_Data[[#This Row],[AcqCenter]]&gt;0,Dyno_Data[[#This Row],[Time]]-SUMIFS(Dyno_Data[Time],Dyno_Data[Team],Dyno_Data[[#This Row],[Team]],Dyno_Data[RecordType],"StartMatch",Dyno_Data[Match],Dyno_Data[[#This Row],[Match]]),0)*86400),0)</f>
        <v>0</v>
      </c>
    </row>
    <row r="3743" spans="1:35" x14ac:dyDescent="0.3">
      <c r="A3743">
        <v>3738</v>
      </c>
      <c r="B3743" t="s">
        <v>367</v>
      </c>
      <c r="C3743">
        <v>68</v>
      </c>
      <c r="D3743" s="105">
        <v>45374.434551770835</v>
      </c>
      <c r="E3743" t="s">
        <v>312</v>
      </c>
      <c r="F3743" t="s">
        <v>309</v>
      </c>
      <c r="G3743">
        <v>0</v>
      </c>
      <c r="H3743" t="s">
        <v>143</v>
      </c>
      <c r="I3743">
        <v>2</v>
      </c>
      <c r="J3743">
        <v>1</v>
      </c>
      <c r="K3743">
        <v>0</v>
      </c>
      <c r="L3743" t="s">
        <v>310</v>
      </c>
      <c r="M3743" t="s">
        <v>310</v>
      </c>
      <c r="N3743">
        <v>0</v>
      </c>
      <c r="O3743" t="s">
        <v>1393</v>
      </c>
      <c r="P3743" t="s">
        <v>310</v>
      </c>
      <c r="Q3743" t="s">
        <v>310</v>
      </c>
      <c r="R3743" t="s">
        <v>310</v>
      </c>
      <c r="S3743">
        <v>9</v>
      </c>
      <c r="T3743" t="s">
        <v>310</v>
      </c>
      <c r="U3743">
        <v>9</v>
      </c>
      <c r="V3743">
        <v>9</v>
      </c>
      <c r="W3743">
        <v>0</v>
      </c>
      <c r="X3743">
        <v>0</v>
      </c>
      <c r="Y3743">
        <v>0</v>
      </c>
      <c r="Z3743">
        <v>0</v>
      </c>
      <c r="AA3743">
        <v>9</v>
      </c>
      <c r="AB3743">
        <v>9</v>
      </c>
      <c r="AC3743" t="s">
        <v>310</v>
      </c>
      <c r="AD3743">
        <v>9</v>
      </c>
      <c r="AE3743" t="s">
        <v>1413</v>
      </c>
      <c r="AF3743">
        <v>1000</v>
      </c>
      <c r="AG3743" t="s">
        <v>310</v>
      </c>
      <c r="AH3743">
        <f>SUM((MID(Dyno_Data[[#This Row],[Team]],4,5))+(Dyno_Data[[#This Row],[Match]]/100))</f>
        <v>5016.68</v>
      </c>
      <c r="AI3743" s="76">
        <f>ROUND(SUM(IF(Dyno_Data[[#This Row],[AcqCenter]]&gt;0,Dyno_Data[[#This Row],[Time]]-SUMIFS(Dyno_Data[Time],Dyno_Data[Team],Dyno_Data[[#This Row],[Team]],Dyno_Data[RecordType],"StartMatch",Dyno_Data[Match],Dyno_Data[[#This Row],[Match]]),0)*86400),0)</f>
        <v>7</v>
      </c>
    </row>
    <row r="3744" spans="1:35" x14ac:dyDescent="0.3">
      <c r="A3744">
        <v>3736</v>
      </c>
      <c r="B3744" t="s">
        <v>363</v>
      </c>
      <c r="C3744">
        <v>68</v>
      </c>
      <c r="D3744" s="105">
        <v>45374.434570057871</v>
      </c>
      <c r="E3744" t="s">
        <v>312</v>
      </c>
      <c r="F3744" t="s">
        <v>309</v>
      </c>
      <c r="G3744">
        <v>0</v>
      </c>
      <c r="H3744" t="s">
        <v>1397</v>
      </c>
      <c r="I3744">
        <v>0</v>
      </c>
      <c r="J3744">
        <v>0</v>
      </c>
      <c r="K3744">
        <v>0</v>
      </c>
      <c r="L3744" t="s">
        <v>240</v>
      </c>
      <c r="M3744" t="s">
        <v>1398</v>
      </c>
      <c r="N3744">
        <v>0</v>
      </c>
      <c r="O3744" t="s">
        <v>1395</v>
      </c>
      <c r="P3744" t="s">
        <v>310</v>
      </c>
      <c r="Q3744" t="s">
        <v>310</v>
      </c>
      <c r="R3744" t="s">
        <v>310</v>
      </c>
      <c r="S3744">
        <v>9</v>
      </c>
      <c r="T3744" t="s">
        <v>310</v>
      </c>
      <c r="U3744">
        <v>9</v>
      </c>
      <c r="V3744">
        <v>9</v>
      </c>
      <c r="W3744">
        <v>0</v>
      </c>
      <c r="X3744">
        <v>0</v>
      </c>
      <c r="Y3744">
        <v>0</v>
      </c>
      <c r="Z3744">
        <v>0</v>
      </c>
      <c r="AA3744">
        <v>9</v>
      </c>
      <c r="AB3744">
        <v>9</v>
      </c>
      <c r="AC3744" t="s">
        <v>310</v>
      </c>
      <c r="AD3744">
        <v>9</v>
      </c>
      <c r="AE3744" t="s">
        <v>1414</v>
      </c>
      <c r="AF3744">
        <v>0</v>
      </c>
      <c r="AG3744" t="s">
        <v>310</v>
      </c>
      <c r="AH3744">
        <f>SUM((MID(Dyno_Data[[#This Row],[Team]],4,5))+(Dyno_Data[[#This Row],[Match]]/100))</f>
        <v>2601.6799999999998</v>
      </c>
      <c r="AI3744" s="76">
        <f>ROUND(SUM(IF(Dyno_Data[[#This Row],[AcqCenter]]&gt;0,Dyno_Data[[#This Row],[Time]]-SUMIFS(Dyno_Data[Time],Dyno_Data[Team],Dyno_Data[[#This Row],[Team]],Dyno_Data[RecordType],"StartMatch",Dyno_Data[Match],Dyno_Data[[#This Row],[Match]]),0)*86400),0)</f>
        <v>0</v>
      </c>
    </row>
    <row r="3745" spans="1:35" x14ac:dyDescent="0.3">
      <c r="A3745">
        <v>3737</v>
      </c>
      <c r="B3745" t="s">
        <v>360</v>
      </c>
      <c r="C3745">
        <v>68</v>
      </c>
      <c r="D3745" s="105">
        <v>45374.434580983798</v>
      </c>
      <c r="E3745" t="s">
        <v>312</v>
      </c>
      <c r="F3745" t="s">
        <v>309</v>
      </c>
      <c r="G3745">
        <v>0</v>
      </c>
      <c r="H3745" t="s">
        <v>143</v>
      </c>
      <c r="I3745">
        <v>5</v>
      </c>
      <c r="J3745">
        <v>1</v>
      </c>
      <c r="K3745">
        <v>0</v>
      </c>
      <c r="L3745" t="s">
        <v>310</v>
      </c>
      <c r="M3745" t="s">
        <v>310</v>
      </c>
      <c r="N3745">
        <v>0</v>
      </c>
      <c r="O3745" t="s">
        <v>319</v>
      </c>
      <c r="P3745" t="s">
        <v>310</v>
      </c>
      <c r="Q3745" t="s">
        <v>310</v>
      </c>
      <c r="R3745" t="s">
        <v>310</v>
      </c>
      <c r="S3745">
        <v>9</v>
      </c>
      <c r="T3745" t="s">
        <v>310</v>
      </c>
      <c r="U3745">
        <v>9</v>
      </c>
      <c r="V3745">
        <v>9</v>
      </c>
      <c r="W3745">
        <v>0</v>
      </c>
      <c r="X3745">
        <v>0</v>
      </c>
      <c r="Y3745">
        <v>0</v>
      </c>
      <c r="Z3745">
        <v>0</v>
      </c>
      <c r="AA3745">
        <v>9</v>
      </c>
      <c r="AB3745">
        <v>9</v>
      </c>
      <c r="AC3745" t="s">
        <v>310</v>
      </c>
      <c r="AD3745">
        <v>9</v>
      </c>
      <c r="AE3745" t="s">
        <v>1396</v>
      </c>
      <c r="AF3745">
        <v>30001000</v>
      </c>
      <c r="AG3745" t="s">
        <v>310</v>
      </c>
      <c r="AH3745">
        <f>SUM((MID(Dyno_Data[[#This Row],[Team]],4,5))+(Dyno_Data[[#This Row],[Match]]/100))</f>
        <v>1796.68</v>
      </c>
      <c r="AI3745" s="76">
        <f>ROUND(SUM(IF(Dyno_Data[[#This Row],[AcqCenter]]&gt;0,Dyno_Data[[#This Row],[Time]]-SUMIFS(Dyno_Data[Time],Dyno_Data[Team],Dyno_Data[[#This Row],[Team]],Dyno_Data[RecordType],"StartMatch",Dyno_Data[Match],Dyno_Data[[#This Row],[Match]]),0)*86400),0)</f>
        <v>8</v>
      </c>
    </row>
    <row r="3746" spans="1:35" x14ac:dyDescent="0.3">
      <c r="A3746">
        <v>3739</v>
      </c>
      <c r="B3746" t="s">
        <v>363</v>
      </c>
      <c r="C3746">
        <v>68</v>
      </c>
      <c r="D3746" s="105">
        <v>45374.434600462962</v>
      </c>
      <c r="E3746" t="s">
        <v>312</v>
      </c>
      <c r="F3746" t="s">
        <v>309</v>
      </c>
      <c r="G3746">
        <v>0</v>
      </c>
      <c r="H3746" t="s">
        <v>315</v>
      </c>
      <c r="I3746">
        <v>0</v>
      </c>
      <c r="J3746">
        <v>0</v>
      </c>
      <c r="K3746">
        <v>0</v>
      </c>
      <c r="L3746" t="s">
        <v>240</v>
      </c>
      <c r="M3746" t="s">
        <v>1398</v>
      </c>
      <c r="N3746">
        <v>0</v>
      </c>
      <c r="O3746" t="s">
        <v>1395</v>
      </c>
      <c r="P3746" t="s">
        <v>310</v>
      </c>
      <c r="Q3746" t="s">
        <v>310</v>
      </c>
      <c r="R3746" t="s">
        <v>310</v>
      </c>
      <c r="S3746">
        <v>9</v>
      </c>
      <c r="T3746" t="s">
        <v>310</v>
      </c>
      <c r="U3746">
        <v>9</v>
      </c>
      <c r="V3746">
        <v>9</v>
      </c>
      <c r="W3746">
        <v>0</v>
      </c>
      <c r="X3746">
        <v>0</v>
      </c>
      <c r="Y3746">
        <v>0</v>
      </c>
      <c r="Z3746">
        <v>0</v>
      </c>
      <c r="AA3746">
        <v>9</v>
      </c>
      <c r="AB3746">
        <v>9</v>
      </c>
      <c r="AC3746" t="s">
        <v>310</v>
      </c>
      <c r="AD3746">
        <v>9</v>
      </c>
      <c r="AE3746" t="s">
        <v>1414</v>
      </c>
      <c r="AF3746">
        <v>10000000</v>
      </c>
      <c r="AG3746" t="s">
        <v>310</v>
      </c>
      <c r="AH3746">
        <f>SUM((MID(Dyno_Data[[#This Row],[Team]],4,5))+(Dyno_Data[[#This Row],[Match]]/100))</f>
        <v>2601.6799999999998</v>
      </c>
      <c r="AI3746" s="76">
        <f>ROUND(SUM(IF(Dyno_Data[[#This Row],[AcqCenter]]&gt;0,Dyno_Data[[#This Row],[Time]]-SUMIFS(Dyno_Data[Time],Dyno_Data[Team],Dyno_Data[[#This Row],[Team]],Dyno_Data[RecordType],"StartMatch",Dyno_Data[Match],Dyno_Data[[#This Row],[Match]]),0)*86400),0)</f>
        <v>0</v>
      </c>
    </row>
    <row r="3747" spans="1:35" x14ac:dyDescent="0.3">
      <c r="A3747">
        <v>3740</v>
      </c>
      <c r="B3747" t="s">
        <v>360</v>
      </c>
      <c r="C3747">
        <v>68</v>
      </c>
      <c r="D3747" s="105">
        <v>45374.434614965277</v>
      </c>
      <c r="E3747" t="s">
        <v>312</v>
      </c>
      <c r="F3747" t="s">
        <v>309</v>
      </c>
      <c r="G3747">
        <v>0</v>
      </c>
      <c r="H3747" t="s">
        <v>143</v>
      </c>
      <c r="I3747">
        <v>4</v>
      </c>
      <c r="J3747">
        <v>1</v>
      </c>
      <c r="K3747">
        <v>0</v>
      </c>
      <c r="L3747" t="s">
        <v>310</v>
      </c>
      <c r="M3747" t="s">
        <v>310</v>
      </c>
      <c r="N3747">
        <v>0</v>
      </c>
      <c r="O3747" t="s">
        <v>319</v>
      </c>
      <c r="P3747" t="s">
        <v>310</v>
      </c>
      <c r="Q3747" t="s">
        <v>310</v>
      </c>
      <c r="R3747" t="s">
        <v>310</v>
      </c>
      <c r="S3747">
        <v>9</v>
      </c>
      <c r="T3747" t="s">
        <v>310</v>
      </c>
      <c r="U3747">
        <v>9</v>
      </c>
      <c r="V3747">
        <v>9</v>
      </c>
      <c r="W3747">
        <v>0</v>
      </c>
      <c r="X3747">
        <v>0</v>
      </c>
      <c r="Y3747">
        <v>0</v>
      </c>
      <c r="Z3747">
        <v>0</v>
      </c>
      <c r="AA3747">
        <v>9</v>
      </c>
      <c r="AB3747">
        <v>9</v>
      </c>
      <c r="AC3747" t="s">
        <v>310</v>
      </c>
      <c r="AD3747">
        <v>9</v>
      </c>
      <c r="AE3747" t="s">
        <v>1396</v>
      </c>
      <c r="AF3747">
        <v>30002000</v>
      </c>
      <c r="AG3747" t="s">
        <v>310</v>
      </c>
      <c r="AH3747">
        <f>SUM((MID(Dyno_Data[[#This Row],[Team]],4,5))+(Dyno_Data[[#This Row],[Match]]/100))</f>
        <v>1796.68</v>
      </c>
      <c r="AI3747" s="76">
        <f>ROUND(SUM(IF(Dyno_Data[[#This Row],[AcqCenter]]&gt;0,Dyno_Data[[#This Row],[Time]]-SUMIFS(Dyno_Data[Time],Dyno_Data[Team],Dyno_Data[[#This Row],[Team]],Dyno_Data[RecordType],"StartMatch",Dyno_Data[Match],Dyno_Data[[#This Row],[Match]]),0)*86400),0)</f>
        <v>11</v>
      </c>
    </row>
    <row r="3748" spans="1:35" x14ac:dyDescent="0.3">
      <c r="A3748">
        <v>3741</v>
      </c>
      <c r="B3748" t="s">
        <v>363</v>
      </c>
      <c r="C3748">
        <v>68</v>
      </c>
      <c r="D3748" s="105">
        <v>45374.434628703704</v>
      </c>
      <c r="E3748" t="s">
        <v>312</v>
      </c>
      <c r="F3748" t="s">
        <v>309</v>
      </c>
      <c r="G3748">
        <v>0</v>
      </c>
      <c r="H3748" t="s">
        <v>315</v>
      </c>
      <c r="I3748">
        <v>0</v>
      </c>
      <c r="J3748">
        <v>0</v>
      </c>
      <c r="K3748">
        <v>0</v>
      </c>
      <c r="L3748" t="s">
        <v>240</v>
      </c>
      <c r="M3748" t="s">
        <v>1398</v>
      </c>
      <c r="N3748">
        <v>0</v>
      </c>
      <c r="O3748" t="s">
        <v>1395</v>
      </c>
      <c r="P3748" t="s">
        <v>310</v>
      </c>
      <c r="Q3748" t="s">
        <v>310</v>
      </c>
      <c r="R3748" t="s">
        <v>310</v>
      </c>
      <c r="S3748">
        <v>9</v>
      </c>
      <c r="T3748" t="s">
        <v>310</v>
      </c>
      <c r="U3748">
        <v>9</v>
      </c>
      <c r="V3748">
        <v>9</v>
      </c>
      <c r="W3748">
        <v>0</v>
      </c>
      <c r="X3748">
        <v>0</v>
      </c>
      <c r="Y3748">
        <v>0</v>
      </c>
      <c r="Z3748">
        <v>0</v>
      </c>
      <c r="AA3748">
        <v>9</v>
      </c>
      <c r="AB3748">
        <v>9</v>
      </c>
      <c r="AC3748" t="s">
        <v>310</v>
      </c>
      <c r="AD3748">
        <v>9</v>
      </c>
      <c r="AE3748" t="s">
        <v>1414</v>
      </c>
      <c r="AF3748">
        <v>20000000</v>
      </c>
      <c r="AG3748" t="s">
        <v>310</v>
      </c>
      <c r="AH3748">
        <f>SUM((MID(Dyno_Data[[#This Row],[Team]],4,5))+(Dyno_Data[[#This Row],[Match]]/100))</f>
        <v>2601.6799999999998</v>
      </c>
      <c r="AI3748" s="76">
        <f>ROUND(SUM(IF(Dyno_Data[[#This Row],[AcqCenter]]&gt;0,Dyno_Data[[#This Row],[Time]]-SUMIFS(Dyno_Data[Time],Dyno_Data[Team],Dyno_Data[[#This Row],[Team]],Dyno_Data[RecordType],"StartMatch",Dyno_Data[Match],Dyno_Data[[#This Row],[Match]]),0)*86400),0)</f>
        <v>0</v>
      </c>
    </row>
    <row r="3749" spans="1:35" x14ac:dyDescent="0.3">
      <c r="A3749">
        <v>3742</v>
      </c>
      <c r="B3749" t="s">
        <v>360</v>
      </c>
      <c r="C3749">
        <v>68</v>
      </c>
      <c r="D3749" s="105">
        <v>45374.434630787036</v>
      </c>
      <c r="E3749" t="s">
        <v>312</v>
      </c>
      <c r="F3749" t="s">
        <v>309</v>
      </c>
      <c r="G3749">
        <v>0</v>
      </c>
      <c r="H3749" t="s">
        <v>143</v>
      </c>
      <c r="I3749">
        <v>3</v>
      </c>
      <c r="J3749">
        <v>1</v>
      </c>
      <c r="K3749">
        <v>0</v>
      </c>
      <c r="L3749" t="s">
        <v>310</v>
      </c>
      <c r="M3749" t="s">
        <v>310</v>
      </c>
      <c r="N3749">
        <v>0</v>
      </c>
      <c r="O3749" t="s">
        <v>319</v>
      </c>
      <c r="P3749" t="s">
        <v>310</v>
      </c>
      <c r="Q3749" t="s">
        <v>310</v>
      </c>
      <c r="R3749" t="s">
        <v>310</v>
      </c>
      <c r="S3749">
        <v>9</v>
      </c>
      <c r="T3749" t="s">
        <v>310</v>
      </c>
      <c r="U3749">
        <v>9</v>
      </c>
      <c r="V3749">
        <v>9</v>
      </c>
      <c r="W3749">
        <v>0</v>
      </c>
      <c r="X3749">
        <v>0</v>
      </c>
      <c r="Y3749">
        <v>0</v>
      </c>
      <c r="Z3749">
        <v>0</v>
      </c>
      <c r="AA3749">
        <v>9</v>
      </c>
      <c r="AB3749">
        <v>9</v>
      </c>
      <c r="AC3749" t="s">
        <v>310</v>
      </c>
      <c r="AD3749">
        <v>9</v>
      </c>
      <c r="AE3749" t="s">
        <v>1396</v>
      </c>
      <c r="AF3749">
        <v>30003000</v>
      </c>
      <c r="AG3749" t="s">
        <v>310</v>
      </c>
      <c r="AH3749">
        <f>SUM((MID(Dyno_Data[[#This Row],[Team]],4,5))+(Dyno_Data[[#This Row],[Match]]/100))</f>
        <v>1796.68</v>
      </c>
      <c r="AI3749" s="76">
        <f>ROUND(SUM(IF(Dyno_Data[[#This Row],[AcqCenter]]&gt;0,Dyno_Data[[#This Row],[Time]]-SUMIFS(Dyno_Data[Time],Dyno_Data[Team],Dyno_Data[[#This Row],[Team]],Dyno_Data[RecordType],"StartMatch",Dyno_Data[Match],Dyno_Data[[#This Row],[Match]]),0)*86400),0)</f>
        <v>13</v>
      </c>
    </row>
    <row r="3750" spans="1:35" x14ac:dyDescent="0.3">
      <c r="A3750">
        <v>3746</v>
      </c>
      <c r="B3750" t="s">
        <v>1275</v>
      </c>
      <c r="C3750">
        <v>68</v>
      </c>
      <c r="D3750" s="105">
        <v>45374.434677199075</v>
      </c>
      <c r="E3750" t="s">
        <v>314</v>
      </c>
      <c r="F3750" t="s">
        <v>309</v>
      </c>
      <c r="G3750">
        <v>0</v>
      </c>
      <c r="H3750" t="s">
        <v>310</v>
      </c>
      <c r="I3750">
        <v>0</v>
      </c>
      <c r="J3750">
        <v>0</v>
      </c>
      <c r="K3750">
        <v>0</v>
      </c>
      <c r="L3750" t="s">
        <v>310</v>
      </c>
      <c r="M3750" t="s">
        <v>310</v>
      </c>
      <c r="N3750">
        <v>0</v>
      </c>
      <c r="O3750" t="s">
        <v>1391</v>
      </c>
      <c r="P3750" t="s">
        <v>101</v>
      </c>
      <c r="Q3750" t="s">
        <v>1400</v>
      </c>
      <c r="R3750" t="s">
        <v>310</v>
      </c>
      <c r="S3750">
        <v>9</v>
      </c>
      <c r="T3750" t="s">
        <v>310</v>
      </c>
      <c r="U3750">
        <v>9</v>
      </c>
      <c r="V3750">
        <v>9</v>
      </c>
      <c r="W3750">
        <v>0</v>
      </c>
      <c r="X3750">
        <v>0</v>
      </c>
      <c r="Y3750">
        <v>0</v>
      </c>
      <c r="Z3750">
        <v>0</v>
      </c>
      <c r="AA3750">
        <v>9</v>
      </c>
      <c r="AB3750">
        <v>9</v>
      </c>
      <c r="AC3750" t="s">
        <v>310</v>
      </c>
      <c r="AD3750">
        <v>9</v>
      </c>
      <c r="AE3750" t="s">
        <v>1390</v>
      </c>
      <c r="AF3750">
        <v>10000000</v>
      </c>
      <c r="AG3750" t="s">
        <v>310</v>
      </c>
      <c r="AH3750">
        <f>SUM((MID(Dyno_Data[[#This Row],[Team]],4,5))+(Dyno_Data[[#This Row],[Match]]/100))</f>
        <v>1880.68</v>
      </c>
      <c r="AI3750" s="76">
        <f>ROUND(SUM(IF(Dyno_Data[[#This Row],[AcqCenter]]&gt;0,Dyno_Data[[#This Row],[Time]]-SUMIFS(Dyno_Data[Time],Dyno_Data[Team],Dyno_Data[[#This Row],[Team]],Dyno_Data[RecordType],"StartMatch",Dyno_Data[Match],Dyno_Data[[#This Row],[Match]]),0)*86400),0)</f>
        <v>0</v>
      </c>
    </row>
    <row r="3751" spans="1:35" x14ac:dyDescent="0.3">
      <c r="A3751">
        <v>3744</v>
      </c>
      <c r="B3751" t="s">
        <v>364</v>
      </c>
      <c r="C3751">
        <v>68</v>
      </c>
      <c r="D3751" s="105">
        <v>45374.434677199075</v>
      </c>
      <c r="E3751" t="s">
        <v>314</v>
      </c>
      <c r="F3751" t="s">
        <v>309</v>
      </c>
      <c r="G3751">
        <v>1</v>
      </c>
      <c r="H3751" t="s">
        <v>310</v>
      </c>
      <c r="I3751">
        <v>0</v>
      </c>
      <c r="J3751">
        <v>0</v>
      </c>
      <c r="K3751">
        <v>0</v>
      </c>
      <c r="L3751" t="s">
        <v>310</v>
      </c>
      <c r="M3751" t="s">
        <v>310</v>
      </c>
      <c r="N3751">
        <v>0</v>
      </c>
      <c r="O3751" t="s">
        <v>311</v>
      </c>
      <c r="P3751" t="s">
        <v>1401</v>
      </c>
      <c r="Q3751" t="s">
        <v>1400</v>
      </c>
      <c r="R3751" t="s">
        <v>310</v>
      </c>
      <c r="S3751">
        <v>9</v>
      </c>
      <c r="T3751" t="s">
        <v>310</v>
      </c>
      <c r="U3751">
        <v>9</v>
      </c>
      <c r="V3751">
        <v>9</v>
      </c>
      <c r="W3751">
        <v>0</v>
      </c>
      <c r="X3751">
        <v>0</v>
      </c>
      <c r="Y3751">
        <v>0</v>
      </c>
      <c r="Z3751">
        <v>0</v>
      </c>
      <c r="AA3751">
        <v>9</v>
      </c>
      <c r="AB3751">
        <v>9</v>
      </c>
      <c r="AC3751" t="s">
        <v>310</v>
      </c>
      <c r="AD3751">
        <v>9</v>
      </c>
      <c r="AE3751" t="s">
        <v>1412</v>
      </c>
      <c r="AF3751">
        <v>0</v>
      </c>
      <c r="AG3751" t="s">
        <v>310</v>
      </c>
      <c r="AH3751">
        <f>SUM((MID(Dyno_Data[[#This Row],[Team]],4,5))+(Dyno_Data[[#This Row],[Match]]/100))</f>
        <v>2791.68</v>
      </c>
      <c r="AI3751" s="76">
        <f>ROUND(SUM(IF(Dyno_Data[[#This Row],[AcqCenter]]&gt;0,Dyno_Data[[#This Row],[Time]]-SUMIFS(Dyno_Data[Time],Dyno_Data[Team],Dyno_Data[[#This Row],[Team]],Dyno_Data[RecordType],"StartMatch",Dyno_Data[Match],Dyno_Data[[#This Row],[Match]]),0)*86400),0)</f>
        <v>0</v>
      </c>
    </row>
    <row r="3752" spans="1:35" x14ac:dyDescent="0.3">
      <c r="A3752">
        <v>3748</v>
      </c>
      <c r="B3752" t="s">
        <v>1306</v>
      </c>
      <c r="C3752">
        <v>68</v>
      </c>
      <c r="D3752" s="105">
        <v>45374.434677395831</v>
      </c>
      <c r="E3752" t="s">
        <v>314</v>
      </c>
      <c r="F3752" t="s">
        <v>309</v>
      </c>
      <c r="G3752">
        <v>1</v>
      </c>
      <c r="H3752" t="s">
        <v>310</v>
      </c>
      <c r="I3752">
        <v>0</v>
      </c>
      <c r="J3752">
        <v>0</v>
      </c>
      <c r="K3752">
        <v>0</v>
      </c>
      <c r="L3752" t="s">
        <v>310</v>
      </c>
      <c r="M3752" t="s">
        <v>310</v>
      </c>
      <c r="N3752">
        <v>0</v>
      </c>
      <c r="O3752" t="s">
        <v>1389</v>
      </c>
      <c r="P3752" t="s">
        <v>320</v>
      </c>
      <c r="Q3752" t="s">
        <v>1400</v>
      </c>
      <c r="R3752" t="s">
        <v>310</v>
      </c>
      <c r="S3752">
        <v>9</v>
      </c>
      <c r="T3752" t="s">
        <v>310</v>
      </c>
      <c r="U3752">
        <v>9</v>
      </c>
      <c r="V3752">
        <v>9</v>
      </c>
      <c r="W3752">
        <v>0</v>
      </c>
      <c r="X3752">
        <v>0</v>
      </c>
      <c r="Y3752">
        <v>0</v>
      </c>
      <c r="Z3752">
        <v>0</v>
      </c>
      <c r="AA3752">
        <v>9</v>
      </c>
      <c r="AB3752">
        <v>9</v>
      </c>
      <c r="AC3752" t="s">
        <v>310</v>
      </c>
      <c r="AD3752">
        <v>9</v>
      </c>
      <c r="AE3752" t="s">
        <v>1388</v>
      </c>
      <c r="AF3752">
        <v>0</v>
      </c>
      <c r="AG3752" t="s">
        <v>310</v>
      </c>
      <c r="AH3752">
        <f>SUM((MID(Dyno_Data[[#This Row],[Team]],4,5))+(Dyno_Data[[#This Row],[Match]]/100))</f>
        <v>3986.68</v>
      </c>
      <c r="AI3752" s="76">
        <f>ROUND(SUM(IF(Dyno_Data[[#This Row],[AcqCenter]]&gt;0,Dyno_Data[[#This Row],[Time]]-SUMIFS(Dyno_Data[Time],Dyno_Data[Team],Dyno_Data[[#This Row],[Team]],Dyno_Data[RecordType],"StartMatch",Dyno_Data[Match],Dyno_Data[[#This Row],[Match]]),0)*86400),0)</f>
        <v>0</v>
      </c>
    </row>
    <row r="3753" spans="1:35" x14ac:dyDescent="0.3">
      <c r="A3753">
        <v>3750</v>
      </c>
      <c r="B3753" t="s">
        <v>367</v>
      </c>
      <c r="C3753">
        <v>68</v>
      </c>
      <c r="D3753" s="105">
        <v>45374.434683645835</v>
      </c>
      <c r="E3753" t="s">
        <v>314</v>
      </c>
      <c r="F3753" t="s">
        <v>309</v>
      </c>
      <c r="G3753">
        <v>0</v>
      </c>
      <c r="H3753" t="s">
        <v>310</v>
      </c>
      <c r="I3753">
        <v>0</v>
      </c>
      <c r="J3753">
        <v>0</v>
      </c>
      <c r="K3753">
        <v>0</v>
      </c>
      <c r="L3753" t="s">
        <v>310</v>
      </c>
      <c r="M3753" t="s">
        <v>310</v>
      </c>
      <c r="N3753">
        <v>0</v>
      </c>
      <c r="O3753" t="s">
        <v>1393</v>
      </c>
      <c r="P3753" t="s">
        <v>101</v>
      </c>
      <c r="Q3753" t="s">
        <v>1400</v>
      </c>
      <c r="R3753" t="s">
        <v>310</v>
      </c>
      <c r="S3753">
        <v>9</v>
      </c>
      <c r="T3753" t="s">
        <v>310</v>
      </c>
      <c r="U3753">
        <v>9</v>
      </c>
      <c r="V3753">
        <v>9</v>
      </c>
      <c r="W3753">
        <v>0</v>
      </c>
      <c r="X3753">
        <v>0</v>
      </c>
      <c r="Y3753">
        <v>0</v>
      </c>
      <c r="Z3753">
        <v>0</v>
      </c>
      <c r="AA3753">
        <v>9</v>
      </c>
      <c r="AB3753">
        <v>9</v>
      </c>
      <c r="AC3753" t="s">
        <v>310</v>
      </c>
      <c r="AD3753">
        <v>9</v>
      </c>
      <c r="AE3753" t="s">
        <v>1413</v>
      </c>
      <c r="AF3753">
        <v>1000</v>
      </c>
      <c r="AG3753" t="s">
        <v>310</v>
      </c>
      <c r="AH3753">
        <f>SUM((MID(Dyno_Data[[#This Row],[Team]],4,5))+(Dyno_Data[[#This Row],[Match]]/100))</f>
        <v>5016.68</v>
      </c>
      <c r="AI3753" s="76">
        <f>ROUND(SUM(IF(Dyno_Data[[#This Row],[AcqCenter]]&gt;0,Dyno_Data[[#This Row],[Time]]-SUMIFS(Dyno_Data[Time],Dyno_Data[Team],Dyno_Data[[#This Row],[Team]],Dyno_Data[RecordType],"StartMatch",Dyno_Data[Match],Dyno_Data[[#This Row],[Match]]),0)*86400),0)</f>
        <v>0</v>
      </c>
    </row>
    <row r="3754" spans="1:35" x14ac:dyDescent="0.3">
      <c r="A3754">
        <v>3752</v>
      </c>
      <c r="B3754" t="s">
        <v>363</v>
      </c>
      <c r="C3754">
        <v>68</v>
      </c>
      <c r="D3754" s="105">
        <v>45374.43468726852</v>
      </c>
      <c r="E3754" t="s">
        <v>314</v>
      </c>
      <c r="F3754" t="s">
        <v>309</v>
      </c>
      <c r="G3754">
        <v>1</v>
      </c>
      <c r="H3754" t="s">
        <v>310</v>
      </c>
      <c r="I3754">
        <v>0</v>
      </c>
      <c r="J3754">
        <v>0</v>
      </c>
      <c r="K3754">
        <v>0</v>
      </c>
      <c r="L3754" t="s">
        <v>310</v>
      </c>
      <c r="M3754" t="s">
        <v>310</v>
      </c>
      <c r="N3754">
        <v>0</v>
      </c>
      <c r="O3754" t="s">
        <v>1395</v>
      </c>
      <c r="P3754" t="s">
        <v>240</v>
      </c>
      <c r="Q3754" t="s">
        <v>1399</v>
      </c>
      <c r="R3754" t="s">
        <v>310</v>
      </c>
      <c r="S3754">
        <v>9</v>
      </c>
      <c r="T3754" t="s">
        <v>310</v>
      </c>
      <c r="U3754">
        <v>9</v>
      </c>
      <c r="V3754">
        <v>9</v>
      </c>
      <c r="W3754">
        <v>0</v>
      </c>
      <c r="X3754">
        <v>0</v>
      </c>
      <c r="Y3754">
        <v>0</v>
      </c>
      <c r="Z3754">
        <v>0</v>
      </c>
      <c r="AA3754">
        <v>9</v>
      </c>
      <c r="AB3754">
        <v>9</v>
      </c>
      <c r="AC3754" t="s">
        <v>310</v>
      </c>
      <c r="AD3754">
        <v>9</v>
      </c>
      <c r="AE3754" t="s">
        <v>1414</v>
      </c>
      <c r="AF3754">
        <v>20000000</v>
      </c>
      <c r="AG3754" t="s">
        <v>310</v>
      </c>
      <c r="AH3754">
        <f>SUM((MID(Dyno_Data[[#This Row],[Team]],4,5))+(Dyno_Data[[#This Row],[Match]]/100))</f>
        <v>2601.6799999999998</v>
      </c>
      <c r="AI3754" s="76">
        <f>ROUND(SUM(IF(Dyno_Data[[#This Row],[AcqCenter]]&gt;0,Dyno_Data[[#This Row],[Time]]-SUMIFS(Dyno_Data[Time],Dyno_Data[Team],Dyno_Data[[#This Row],[Team]],Dyno_Data[RecordType],"StartMatch",Dyno_Data[Match],Dyno_Data[[#This Row],[Match]]),0)*86400),0)</f>
        <v>0</v>
      </c>
    </row>
    <row r="3755" spans="1:35" x14ac:dyDescent="0.3">
      <c r="A3755">
        <v>3754</v>
      </c>
      <c r="B3755" t="s">
        <v>360</v>
      </c>
      <c r="C3755">
        <v>68</v>
      </c>
      <c r="D3755" s="105">
        <v>45374.434691516202</v>
      </c>
      <c r="E3755" t="s">
        <v>314</v>
      </c>
      <c r="F3755" t="s">
        <v>309</v>
      </c>
      <c r="G3755">
        <v>1</v>
      </c>
      <c r="H3755" t="s">
        <v>310</v>
      </c>
      <c r="I3755">
        <v>0</v>
      </c>
      <c r="J3755">
        <v>0</v>
      </c>
      <c r="K3755">
        <v>0</v>
      </c>
      <c r="L3755" t="s">
        <v>310</v>
      </c>
      <c r="M3755" t="s">
        <v>310</v>
      </c>
      <c r="N3755">
        <v>0</v>
      </c>
      <c r="O3755" t="s">
        <v>319</v>
      </c>
      <c r="P3755" t="s">
        <v>240</v>
      </c>
      <c r="Q3755" t="s">
        <v>1399</v>
      </c>
      <c r="R3755" t="s">
        <v>310</v>
      </c>
      <c r="S3755">
        <v>9</v>
      </c>
      <c r="T3755" t="s">
        <v>310</v>
      </c>
      <c r="U3755">
        <v>9</v>
      </c>
      <c r="V3755">
        <v>9</v>
      </c>
      <c r="W3755">
        <v>0</v>
      </c>
      <c r="X3755">
        <v>0</v>
      </c>
      <c r="Y3755">
        <v>0</v>
      </c>
      <c r="Z3755">
        <v>0</v>
      </c>
      <c r="AA3755">
        <v>9</v>
      </c>
      <c r="AB3755">
        <v>9</v>
      </c>
      <c r="AC3755" t="s">
        <v>310</v>
      </c>
      <c r="AD3755">
        <v>9</v>
      </c>
      <c r="AE3755" t="s">
        <v>1396</v>
      </c>
      <c r="AF3755">
        <v>30003000</v>
      </c>
      <c r="AG3755" t="s">
        <v>310</v>
      </c>
      <c r="AH3755">
        <f>SUM((MID(Dyno_Data[[#This Row],[Team]],4,5))+(Dyno_Data[[#This Row],[Match]]/100))</f>
        <v>1796.68</v>
      </c>
      <c r="AI3755" s="76">
        <f>ROUND(SUM(IF(Dyno_Data[[#This Row],[AcqCenter]]&gt;0,Dyno_Data[[#This Row],[Time]]-SUMIFS(Dyno_Data[Time],Dyno_Data[Team],Dyno_Data[[#This Row],[Team]],Dyno_Data[RecordType],"StartMatch",Dyno_Data[Match],Dyno_Data[[#This Row],[Match]]),0)*86400),0)</f>
        <v>0</v>
      </c>
    </row>
    <row r="3756" spans="1:35" x14ac:dyDescent="0.3">
      <c r="A3756">
        <v>3755</v>
      </c>
      <c r="B3756" t="s">
        <v>360</v>
      </c>
      <c r="C3756">
        <v>68</v>
      </c>
      <c r="D3756" s="105">
        <v>45374.434731215275</v>
      </c>
      <c r="E3756" t="s">
        <v>312</v>
      </c>
      <c r="F3756" t="s">
        <v>1402</v>
      </c>
      <c r="G3756">
        <v>0</v>
      </c>
      <c r="H3756" t="s">
        <v>143</v>
      </c>
      <c r="I3756">
        <v>0</v>
      </c>
      <c r="J3756">
        <v>0</v>
      </c>
      <c r="K3756">
        <v>0</v>
      </c>
      <c r="L3756" t="s">
        <v>241</v>
      </c>
      <c r="M3756" t="s">
        <v>101</v>
      </c>
      <c r="N3756">
        <v>0</v>
      </c>
      <c r="O3756" t="s">
        <v>319</v>
      </c>
      <c r="P3756" t="s">
        <v>310</v>
      </c>
      <c r="Q3756" t="s">
        <v>310</v>
      </c>
      <c r="R3756" t="s">
        <v>310</v>
      </c>
      <c r="S3756">
        <v>9</v>
      </c>
      <c r="T3756" t="s">
        <v>310</v>
      </c>
      <c r="U3756">
        <v>9</v>
      </c>
      <c r="V3756">
        <v>9</v>
      </c>
      <c r="W3756">
        <v>0</v>
      </c>
      <c r="X3756">
        <v>0</v>
      </c>
      <c r="Y3756">
        <v>0</v>
      </c>
      <c r="Z3756">
        <v>0</v>
      </c>
      <c r="AA3756">
        <v>9</v>
      </c>
      <c r="AB3756">
        <v>9</v>
      </c>
      <c r="AC3756" t="s">
        <v>310</v>
      </c>
      <c r="AD3756">
        <v>9</v>
      </c>
      <c r="AE3756" t="s">
        <v>1396</v>
      </c>
      <c r="AF3756">
        <v>30003000</v>
      </c>
      <c r="AG3756" t="s">
        <v>310</v>
      </c>
      <c r="AH3756">
        <f>SUM((MID(Dyno_Data[[#This Row],[Team]],4,5))+(Dyno_Data[[#This Row],[Match]]/100))</f>
        <v>1796.68</v>
      </c>
      <c r="AI3756" s="76">
        <f>ROUND(SUM(IF(Dyno_Data[[#This Row],[AcqCenter]]&gt;0,Dyno_Data[[#This Row],[Time]]-SUMIFS(Dyno_Data[Time],Dyno_Data[Team],Dyno_Data[[#This Row],[Team]],Dyno_Data[RecordType],"StartMatch",Dyno_Data[Match],Dyno_Data[[#This Row],[Match]]),0)*86400),0)</f>
        <v>0</v>
      </c>
    </row>
    <row r="3757" spans="1:35" x14ac:dyDescent="0.3">
      <c r="A3757">
        <v>3756</v>
      </c>
      <c r="B3757" t="s">
        <v>363</v>
      </c>
      <c r="C3757">
        <v>68</v>
      </c>
      <c r="D3757" s="105">
        <v>45374.434745868057</v>
      </c>
      <c r="E3757" t="s">
        <v>312</v>
      </c>
      <c r="F3757" t="s">
        <v>1402</v>
      </c>
      <c r="G3757">
        <v>0</v>
      </c>
      <c r="H3757" t="s">
        <v>315</v>
      </c>
      <c r="I3757">
        <v>0</v>
      </c>
      <c r="J3757">
        <v>0</v>
      </c>
      <c r="K3757">
        <v>0</v>
      </c>
      <c r="L3757" t="s">
        <v>240</v>
      </c>
      <c r="M3757" t="s">
        <v>1398</v>
      </c>
      <c r="N3757">
        <v>0</v>
      </c>
      <c r="O3757" t="s">
        <v>1395</v>
      </c>
      <c r="P3757" t="s">
        <v>310</v>
      </c>
      <c r="Q3757" t="s">
        <v>310</v>
      </c>
      <c r="R3757" t="s">
        <v>310</v>
      </c>
      <c r="S3757">
        <v>9</v>
      </c>
      <c r="T3757" t="s">
        <v>310</v>
      </c>
      <c r="U3757">
        <v>9</v>
      </c>
      <c r="V3757">
        <v>9</v>
      </c>
      <c r="W3757">
        <v>0</v>
      </c>
      <c r="X3757">
        <v>0</v>
      </c>
      <c r="Y3757">
        <v>0</v>
      </c>
      <c r="Z3757">
        <v>0</v>
      </c>
      <c r="AA3757">
        <v>9</v>
      </c>
      <c r="AB3757">
        <v>9</v>
      </c>
      <c r="AC3757" t="s">
        <v>310</v>
      </c>
      <c r="AD3757">
        <v>9</v>
      </c>
      <c r="AE3757" t="s">
        <v>1414</v>
      </c>
      <c r="AF3757">
        <v>30000000</v>
      </c>
      <c r="AG3757" t="s">
        <v>310</v>
      </c>
      <c r="AH3757">
        <f>SUM((MID(Dyno_Data[[#This Row],[Team]],4,5))+(Dyno_Data[[#This Row],[Match]]/100))</f>
        <v>2601.6799999999998</v>
      </c>
      <c r="AI3757" s="76">
        <f>ROUND(SUM(IF(Dyno_Data[[#This Row],[AcqCenter]]&gt;0,Dyno_Data[[#This Row],[Time]]-SUMIFS(Dyno_Data[Time],Dyno_Data[Team],Dyno_Data[[#This Row],[Team]],Dyno_Data[RecordType],"StartMatch",Dyno_Data[Match],Dyno_Data[[#This Row],[Match]]),0)*86400),0)</f>
        <v>0</v>
      </c>
    </row>
    <row r="3758" spans="1:35" x14ac:dyDescent="0.3">
      <c r="A3758">
        <v>3757</v>
      </c>
      <c r="B3758" t="s">
        <v>1306</v>
      </c>
      <c r="C3758">
        <v>68</v>
      </c>
      <c r="D3758" s="105">
        <v>45374.434825543984</v>
      </c>
      <c r="E3758" t="s">
        <v>312</v>
      </c>
      <c r="F3758" t="s">
        <v>1402</v>
      </c>
      <c r="G3758">
        <v>0</v>
      </c>
      <c r="H3758" t="s">
        <v>143</v>
      </c>
      <c r="I3758">
        <v>0</v>
      </c>
      <c r="J3758">
        <v>0</v>
      </c>
      <c r="K3758">
        <v>0</v>
      </c>
      <c r="L3758" t="s">
        <v>241</v>
      </c>
      <c r="M3758" t="s">
        <v>101</v>
      </c>
      <c r="N3758">
        <v>1</v>
      </c>
      <c r="O3758" t="s">
        <v>1389</v>
      </c>
      <c r="P3758" t="s">
        <v>310</v>
      </c>
      <c r="Q3758" t="s">
        <v>310</v>
      </c>
      <c r="R3758" t="s">
        <v>310</v>
      </c>
      <c r="S3758">
        <v>9</v>
      </c>
      <c r="T3758" t="s">
        <v>310</v>
      </c>
      <c r="U3758">
        <v>9</v>
      </c>
      <c r="V3758">
        <v>9</v>
      </c>
      <c r="W3758">
        <v>0</v>
      </c>
      <c r="X3758">
        <v>0</v>
      </c>
      <c r="Y3758">
        <v>0</v>
      </c>
      <c r="Z3758">
        <v>0</v>
      </c>
      <c r="AA3758">
        <v>9</v>
      </c>
      <c r="AB3758">
        <v>9</v>
      </c>
      <c r="AC3758" t="s">
        <v>310</v>
      </c>
      <c r="AD3758">
        <v>9</v>
      </c>
      <c r="AE3758" t="s">
        <v>1388</v>
      </c>
      <c r="AF3758">
        <v>0</v>
      </c>
      <c r="AG3758" t="s">
        <v>310</v>
      </c>
      <c r="AH3758">
        <f>SUM((MID(Dyno_Data[[#This Row],[Team]],4,5))+(Dyno_Data[[#This Row],[Match]]/100))</f>
        <v>3986.68</v>
      </c>
      <c r="AI3758" s="76">
        <f>ROUND(SUM(IF(Dyno_Data[[#This Row],[AcqCenter]]&gt;0,Dyno_Data[[#This Row],[Time]]-SUMIFS(Dyno_Data[Time],Dyno_Data[Team],Dyno_Data[[#This Row],[Team]],Dyno_Data[RecordType],"StartMatch",Dyno_Data[Match],Dyno_Data[[#This Row],[Match]]),0)*86400),0)</f>
        <v>0</v>
      </c>
    </row>
    <row r="3759" spans="1:35" x14ac:dyDescent="0.3">
      <c r="A3759">
        <v>3758</v>
      </c>
      <c r="B3759" t="s">
        <v>360</v>
      </c>
      <c r="C3759">
        <v>68</v>
      </c>
      <c r="D3759" s="105">
        <v>45374.434835034721</v>
      </c>
      <c r="E3759" t="s">
        <v>312</v>
      </c>
      <c r="F3759" t="s">
        <v>1402</v>
      </c>
      <c r="G3759">
        <v>0</v>
      </c>
      <c r="H3759" t="s">
        <v>315</v>
      </c>
      <c r="I3759">
        <v>0</v>
      </c>
      <c r="J3759">
        <v>0</v>
      </c>
      <c r="K3759">
        <v>0</v>
      </c>
      <c r="L3759" t="s">
        <v>241</v>
      </c>
      <c r="M3759" t="s">
        <v>101</v>
      </c>
      <c r="N3759">
        <v>0</v>
      </c>
      <c r="O3759" t="s">
        <v>319</v>
      </c>
      <c r="P3759" t="s">
        <v>310</v>
      </c>
      <c r="Q3759" t="s">
        <v>310</v>
      </c>
      <c r="R3759" t="s">
        <v>310</v>
      </c>
      <c r="S3759">
        <v>9</v>
      </c>
      <c r="T3759" t="s">
        <v>310</v>
      </c>
      <c r="U3759">
        <v>9</v>
      </c>
      <c r="V3759">
        <v>9</v>
      </c>
      <c r="W3759">
        <v>0</v>
      </c>
      <c r="X3759">
        <v>0</v>
      </c>
      <c r="Y3759">
        <v>0</v>
      </c>
      <c r="Z3759">
        <v>0</v>
      </c>
      <c r="AA3759">
        <v>9</v>
      </c>
      <c r="AB3759">
        <v>9</v>
      </c>
      <c r="AC3759" t="s">
        <v>310</v>
      </c>
      <c r="AD3759">
        <v>9</v>
      </c>
      <c r="AE3759" t="s">
        <v>1396</v>
      </c>
      <c r="AF3759">
        <v>40003000</v>
      </c>
      <c r="AG3759" t="s">
        <v>310</v>
      </c>
      <c r="AH3759">
        <f>SUM((MID(Dyno_Data[[#This Row],[Team]],4,5))+(Dyno_Data[[#This Row],[Match]]/100))</f>
        <v>1796.68</v>
      </c>
      <c r="AI3759" s="76">
        <f>ROUND(SUM(IF(Dyno_Data[[#This Row],[AcqCenter]]&gt;0,Dyno_Data[[#This Row],[Time]]-SUMIFS(Dyno_Data[Time],Dyno_Data[Team],Dyno_Data[[#This Row],[Team]],Dyno_Data[RecordType],"StartMatch",Dyno_Data[Match],Dyno_Data[[#This Row],[Match]]),0)*86400),0)</f>
        <v>0</v>
      </c>
    </row>
    <row r="3760" spans="1:35" x14ac:dyDescent="0.3">
      <c r="A3760">
        <v>3759</v>
      </c>
      <c r="B3760" t="s">
        <v>367</v>
      </c>
      <c r="C3760">
        <v>68</v>
      </c>
      <c r="D3760" s="105">
        <v>45374.434847222219</v>
      </c>
      <c r="E3760" t="s">
        <v>312</v>
      </c>
      <c r="F3760" t="s">
        <v>1402</v>
      </c>
      <c r="G3760">
        <v>0</v>
      </c>
      <c r="H3760" t="s">
        <v>143</v>
      </c>
      <c r="I3760">
        <v>0</v>
      </c>
      <c r="J3760">
        <v>0</v>
      </c>
      <c r="K3760">
        <v>0</v>
      </c>
      <c r="L3760" t="s">
        <v>241</v>
      </c>
      <c r="M3760" t="s">
        <v>101</v>
      </c>
      <c r="N3760">
        <v>1</v>
      </c>
      <c r="O3760" t="s">
        <v>1393</v>
      </c>
      <c r="P3760" t="s">
        <v>310</v>
      </c>
      <c r="Q3760" t="s">
        <v>310</v>
      </c>
      <c r="R3760" t="s">
        <v>310</v>
      </c>
      <c r="S3760">
        <v>9</v>
      </c>
      <c r="T3760" t="s">
        <v>310</v>
      </c>
      <c r="U3760">
        <v>9</v>
      </c>
      <c r="V3760">
        <v>9</v>
      </c>
      <c r="W3760">
        <v>0</v>
      </c>
      <c r="X3760">
        <v>0</v>
      </c>
      <c r="Y3760">
        <v>0</v>
      </c>
      <c r="Z3760">
        <v>0</v>
      </c>
      <c r="AA3760">
        <v>9</v>
      </c>
      <c r="AB3760">
        <v>9</v>
      </c>
      <c r="AC3760" t="s">
        <v>310</v>
      </c>
      <c r="AD3760">
        <v>9</v>
      </c>
      <c r="AE3760" t="s">
        <v>1413</v>
      </c>
      <c r="AF3760">
        <v>1000</v>
      </c>
      <c r="AG3760" t="s">
        <v>310</v>
      </c>
      <c r="AH3760">
        <f>SUM((MID(Dyno_Data[[#This Row],[Team]],4,5))+(Dyno_Data[[#This Row],[Match]]/100))</f>
        <v>5016.68</v>
      </c>
      <c r="AI3760" s="76">
        <f>ROUND(SUM(IF(Dyno_Data[[#This Row],[AcqCenter]]&gt;0,Dyno_Data[[#This Row],[Time]]-SUMIFS(Dyno_Data[Time],Dyno_Data[Team],Dyno_Data[[#This Row],[Team]],Dyno_Data[RecordType],"StartMatch",Dyno_Data[Match],Dyno_Data[[#This Row],[Match]]),0)*86400),0)</f>
        <v>0</v>
      </c>
    </row>
    <row r="3761" spans="1:35" x14ac:dyDescent="0.3">
      <c r="A3761">
        <v>3760</v>
      </c>
      <c r="B3761" t="s">
        <v>364</v>
      </c>
      <c r="C3761">
        <v>68</v>
      </c>
      <c r="D3761" s="105">
        <v>45374.434874803243</v>
      </c>
      <c r="E3761" t="s">
        <v>312</v>
      </c>
      <c r="F3761" t="s">
        <v>1402</v>
      </c>
      <c r="G3761">
        <v>0</v>
      </c>
      <c r="H3761" t="s">
        <v>315</v>
      </c>
      <c r="I3761">
        <v>0</v>
      </c>
      <c r="J3761">
        <v>0</v>
      </c>
      <c r="K3761">
        <v>0</v>
      </c>
      <c r="L3761" t="s">
        <v>241</v>
      </c>
      <c r="M3761" t="s">
        <v>1398</v>
      </c>
      <c r="N3761">
        <v>0</v>
      </c>
      <c r="O3761" t="s">
        <v>311</v>
      </c>
      <c r="P3761" t="s">
        <v>310</v>
      </c>
      <c r="Q3761" t="s">
        <v>310</v>
      </c>
      <c r="R3761" t="s">
        <v>310</v>
      </c>
      <c r="S3761">
        <v>9</v>
      </c>
      <c r="T3761" t="s">
        <v>310</v>
      </c>
      <c r="U3761">
        <v>9</v>
      </c>
      <c r="V3761">
        <v>9</v>
      </c>
      <c r="W3761">
        <v>0</v>
      </c>
      <c r="X3761">
        <v>0</v>
      </c>
      <c r="Y3761">
        <v>0</v>
      </c>
      <c r="Z3761">
        <v>0</v>
      </c>
      <c r="AA3761">
        <v>9</v>
      </c>
      <c r="AB3761">
        <v>9</v>
      </c>
      <c r="AC3761" t="s">
        <v>310</v>
      </c>
      <c r="AD3761">
        <v>9</v>
      </c>
      <c r="AE3761" t="s">
        <v>1412</v>
      </c>
      <c r="AF3761">
        <v>10000000</v>
      </c>
      <c r="AG3761" t="s">
        <v>310</v>
      </c>
      <c r="AH3761">
        <f>SUM((MID(Dyno_Data[[#This Row],[Team]],4,5))+(Dyno_Data[[#This Row],[Match]]/100))</f>
        <v>2791.68</v>
      </c>
      <c r="AI3761" s="76">
        <f>ROUND(SUM(IF(Dyno_Data[[#This Row],[AcqCenter]]&gt;0,Dyno_Data[[#This Row],[Time]]-SUMIFS(Dyno_Data[Time],Dyno_Data[Team],Dyno_Data[[#This Row],[Team]],Dyno_Data[RecordType],"StartMatch",Dyno_Data[Match],Dyno_Data[[#This Row],[Match]]),0)*86400),0)</f>
        <v>0</v>
      </c>
    </row>
    <row r="3762" spans="1:35" x14ac:dyDescent="0.3">
      <c r="A3762">
        <v>3761</v>
      </c>
      <c r="B3762" t="s">
        <v>363</v>
      </c>
      <c r="C3762">
        <v>68</v>
      </c>
      <c r="D3762" s="105">
        <v>45374.434929050927</v>
      </c>
      <c r="E3762" t="s">
        <v>312</v>
      </c>
      <c r="F3762" t="s">
        <v>1402</v>
      </c>
      <c r="G3762">
        <v>0</v>
      </c>
      <c r="H3762" t="s">
        <v>315</v>
      </c>
      <c r="I3762">
        <v>0</v>
      </c>
      <c r="J3762">
        <v>0</v>
      </c>
      <c r="K3762">
        <v>0</v>
      </c>
      <c r="L3762" t="s">
        <v>240</v>
      </c>
      <c r="M3762" t="s">
        <v>1398</v>
      </c>
      <c r="N3762">
        <v>0</v>
      </c>
      <c r="O3762" t="s">
        <v>1395</v>
      </c>
      <c r="P3762" t="s">
        <v>310</v>
      </c>
      <c r="Q3762" t="s">
        <v>310</v>
      </c>
      <c r="R3762" t="s">
        <v>310</v>
      </c>
      <c r="S3762">
        <v>9</v>
      </c>
      <c r="T3762" t="s">
        <v>310</v>
      </c>
      <c r="U3762">
        <v>9</v>
      </c>
      <c r="V3762">
        <v>9</v>
      </c>
      <c r="W3762">
        <v>0</v>
      </c>
      <c r="X3762">
        <v>0</v>
      </c>
      <c r="Y3762">
        <v>0</v>
      </c>
      <c r="Z3762">
        <v>0</v>
      </c>
      <c r="AA3762">
        <v>9</v>
      </c>
      <c r="AB3762">
        <v>9</v>
      </c>
      <c r="AC3762" t="s">
        <v>310</v>
      </c>
      <c r="AD3762">
        <v>9</v>
      </c>
      <c r="AE3762" t="s">
        <v>1414</v>
      </c>
      <c r="AF3762">
        <v>40000000</v>
      </c>
      <c r="AG3762" t="s">
        <v>310</v>
      </c>
      <c r="AH3762">
        <f>SUM((MID(Dyno_Data[[#This Row],[Team]],4,5))+(Dyno_Data[[#This Row],[Match]]/100))</f>
        <v>2601.6799999999998</v>
      </c>
      <c r="AI3762" s="76">
        <f>ROUND(SUM(IF(Dyno_Data[[#This Row],[AcqCenter]]&gt;0,Dyno_Data[[#This Row],[Time]]-SUMIFS(Dyno_Data[Time],Dyno_Data[Team],Dyno_Data[[#This Row],[Team]],Dyno_Data[RecordType],"StartMatch",Dyno_Data[Match],Dyno_Data[[#This Row],[Match]]),0)*86400),0)</f>
        <v>0</v>
      </c>
    </row>
    <row r="3763" spans="1:35" x14ac:dyDescent="0.3">
      <c r="A3763">
        <v>3762</v>
      </c>
      <c r="B3763" t="s">
        <v>364</v>
      </c>
      <c r="C3763">
        <v>68</v>
      </c>
      <c r="D3763" s="105">
        <v>45374.434967395835</v>
      </c>
      <c r="E3763" t="s">
        <v>312</v>
      </c>
      <c r="F3763" t="s">
        <v>1402</v>
      </c>
      <c r="G3763">
        <v>0</v>
      </c>
      <c r="H3763" t="s">
        <v>315</v>
      </c>
      <c r="I3763">
        <v>0</v>
      </c>
      <c r="J3763">
        <v>0</v>
      </c>
      <c r="K3763">
        <v>0</v>
      </c>
      <c r="L3763" t="s">
        <v>241</v>
      </c>
      <c r="M3763" t="s">
        <v>1398</v>
      </c>
      <c r="N3763">
        <v>0</v>
      </c>
      <c r="O3763" t="s">
        <v>311</v>
      </c>
      <c r="P3763" t="s">
        <v>310</v>
      </c>
      <c r="Q3763" t="s">
        <v>310</v>
      </c>
      <c r="R3763" t="s">
        <v>310</v>
      </c>
      <c r="S3763">
        <v>9</v>
      </c>
      <c r="T3763" t="s">
        <v>310</v>
      </c>
      <c r="U3763">
        <v>9</v>
      </c>
      <c r="V3763">
        <v>9</v>
      </c>
      <c r="W3763">
        <v>0</v>
      </c>
      <c r="X3763">
        <v>0</v>
      </c>
      <c r="Y3763">
        <v>0</v>
      </c>
      <c r="Z3763">
        <v>0</v>
      </c>
      <c r="AA3763">
        <v>9</v>
      </c>
      <c r="AB3763">
        <v>9</v>
      </c>
      <c r="AC3763" t="s">
        <v>310</v>
      </c>
      <c r="AD3763">
        <v>9</v>
      </c>
      <c r="AE3763" t="s">
        <v>1412</v>
      </c>
      <c r="AF3763">
        <v>20000000</v>
      </c>
      <c r="AG3763" t="s">
        <v>310</v>
      </c>
      <c r="AH3763">
        <f>SUM((MID(Dyno_Data[[#This Row],[Team]],4,5))+(Dyno_Data[[#This Row],[Match]]/100))</f>
        <v>2791.68</v>
      </c>
      <c r="AI3763" s="76">
        <f>ROUND(SUM(IF(Dyno_Data[[#This Row],[AcqCenter]]&gt;0,Dyno_Data[[#This Row],[Time]]-SUMIFS(Dyno_Data[Time],Dyno_Data[Team],Dyno_Data[[#This Row],[Team]],Dyno_Data[RecordType],"StartMatch",Dyno_Data[Match],Dyno_Data[[#This Row],[Match]]),0)*86400),0)</f>
        <v>0</v>
      </c>
    </row>
    <row r="3764" spans="1:35" x14ac:dyDescent="0.3">
      <c r="A3764">
        <v>3763</v>
      </c>
      <c r="B3764" t="s">
        <v>360</v>
      </c>
      <c r="C3764">
        <v>68</v>
      </c>
      <c r="D3764" s="105">
        <v>45374.434968090274</v>
      </c>
      <c r="E3764" t="s">
        <v>312</v>
      </c>
      <c r="F3764" t="s">
        <v>1402</v>
      </c>
      <c r="G3764">
        <v>0</v>
      </c>
      <c r="H3764" t="s">
        <v>315</v>
      </c>
      <c r="I3764">
        <v>0</v>
      </c>
      <c r="J3764">
        <v>0</v>
      </c>
      <c r="K3764">
        <v>0</v>
      </c>
      <c r="L3764" t="s">
        <v>241</v>
      </c>
      <c r="M3764" t="s">
        <v>101</v>
      </c>
      <c r="N3764">
        <v>0</v>
      </c>
      <c r="O3764" t="s">
        <v>319</v>
      </c>
      <c r="P3764" t="s">
        <v>310</v>
      </c>
      <c r="Q3764" t="s">
        <v>310</v>
      </c>
      <c r="R3764" t="s">
        <v>310</v>
      </c>
      <c r="S3764">
        <v>9</v>
      </c>
      <c r="T3764" t="s">
        <v>310</v>
      </c>
      <c r="U3764">
        <v>9</v>
      </c>
      <c r="V3764">
        <v>9</v>
      </c>
      <c r="W3764">
        <v>0</v>
      </c>
      <c r="X3764">
        <v>0</v>
      </c>
      <c r="Y3764">
        <v>0</v>
      </c>
      <c r="Z3764">
        <v>0</v>
      </c>
      <c r="AA3764">
        <v>9</v>
      </c>
      <c r="AB3764">
        <v>9</v>
      </c>
      <c r="AC3764" t="s">
        <v>310</v>
      </c>
      <c r="AD3764">
        <v>9</v>
      </c>
      <c r="AE3764" t="s">
        <v>1396</v>
      </c>
      <c r="AF3764">
        <v>50003000</v>
      </c>
      <c r="AG3764" t="s">
        <v>310</v>
      </c>
      <c r="AH3764">
        <f>SUM((MID(Dyno_Data[[#This Row],[Team]],4,5))+(Dyno_Data[[#This Row],[Match]]/100))</f>
        <v>1796.68</v>
      </c>
      <c r="AI3764" s="76">
        <f>ROUND(SUM(IF(Dyno_Data[[#This Row],[AcqCenter]]&gt;0,Dyno_Data[[#This Row],[Time]]-SUMIFS(Dyno_Data[Time],Dyno_Data[Team],Dyno_Data[[#This Row],[Team]],Dyno_Data[RecordType],"StartMatch",Dyno_Data[Match],Dyno_Data[[#This Row],[Match]]),0)*86400),0)</f>
        <v>0</v>
      </c>
    </row>
    <row r="3765" spans="1:35" x14ac:dyDescent="0.3">
      <c r="A3765">
        <v>3764</v>
      </c>
      <c r="B3765" t="s">
        <v>363</v>
      </c>
      <c r="C3765">
        <v>68</v>
      </c>
      <c r="D3765" s="105">
        <v>45374.43506635417</v>
      </c>
      <c r="E3765" t="s">
        <v>312</v>
      </c>
      <c r="F3765" t="s">
        <v>1402</v>
      </c>
      <c r="G3765">
        <v>0</v>
      </c>
      <c r="H3765" t="s">
        <v>315</v>
      </c>
      <c r="I3765">
        <v>0</v>
      </c>
      <c r="J3765">
        <v>0</v>
      </c>
      <c r="K3765">
        <v>0</v>
      </c>
      <c r="L3765" t="s">
        <v>240</v>
      </c>
      <c r="M3765" t="s">
        <v>1398</v>
      </c>
      <c r="N3765">
        <v>0</v>
      </c>
      <c r="O3765" t="s">
        <v>1395</v>
      </c>
      <c r="P3765" t="s">
        <v>310</v>
      </c>
      <c r="Q3765" t="s">
        <v>310</v>
      </c>
      <c r="R3765" t="s">
        <v>310</v>
      </c>
      <c r="S3765">
        <v>9</v>
      </c>
      <c r="T3765" t="s">
        <v>310</v>
      </c>
      <c r="U3765">
        <v>9</v>
      </c>
      <c r="V3765">
        <v>9</v>
      </c>
      <c r="W3765">
        <v>0</v>
      </c>
      <c r="X3765">
        <v>0</v>
      </c>
      <c r="Y3765">
        <v>0</v>
      </c>
      <c r="Z3765">
        <v>0</v>
      </c>
      <c r="AA3765">
        <v>9</v>
      </c>
      <c r="AB3765">
        <v>9</v>
      </c>
      <c r="AC3765" t="s">
        <v>310</v>
      </c>
      <c r="AD3765">
        <v>9</v>
      </c>
      <c r="AE3765" t="s">
        <v>1414</v>
      </c>
      <c r="AF3765">
        <v>50000000</v>
      </c>
      <c r="AG3765" t="s">
        <v>310</v>
      </c>
      <c r="AH3765">
        <f>SUM((MID(Dyno_Data[[#This Row],[Team]],4,5))+(Dyno_Data[[#This Row],[Match]]/100))</f>
        <v>2601.6799999999998</v>
      </c>
      <c r="AI3765" s="76">
        <f>ROUND(SUM(IF(Dyno_Data[[#This Row],[AcqCenter]]&gt;0,Dyno_Data[[#This Row],[Time]]-SUMIFS(Dyno_Data[Time],Dyno_Data[Team],Dyno_Data[[#This Row],[Team]],Dyno_Data[RecordType],"StartMatch",Dyno_Data[Match],Dyno_Data[[#This Row],[Match]]),0)*86400),0)</f>
        <v>0</v>
      </c>
    </row>
    <row r="3766" spans="1:35" x14ac:dyDescent="0.3">
      <c r="A3766">
        <v>3765</v>
      </c>
      <c r="B3766" t="s">
        <v>360</v>
      </c>
      <c r="C3766">
        <v>68</v>
      </c>
      <c r="D3766" s="105">
        <v>45374.435088692131</v>
      </c>
      <c r="E3766" t="s">
        <v>312</v>
      </c>
      <c r="F3766" t="s">
        <v>1402</v>
      </c>
      <c r="G3766">
        <v>0</v>
      </c>
      <c r="H3766" t="s">
        <v>315</v>
      </c>
      <c r="I3766">
        <v>0</v>
      </c>
      <c r="J3766">
        <v>0</v>
      </c>
      <c r="K3766">
        <v>0</v>
      </c>
      <c r="L3766" t="s">
        <v>241</v>
      </c>
      <c r="M3766" t="s">
        <v>1398</v>
      </c>
      <c r="N3766">
        <v>1</v>
      </c>
      <c r="O3766" t="s">
        <v>319</v>
      </c>
      <c r="P3766" t="s">
        <v>310</v>
      </c>
      <c r="Q3766" t="s">
        <v>310</v>
      </c>
      <c r="R3766" t="s">
        <v>310</v>
      </c>
      <c r="S3766">
        <v>9</v>
      </c>
      <c r="T3766" t="s">
        <v>310</v>
      </c>
      <c r="U3766">
        <v>9</v>
      </c>
      <c r="V3766">
        <v>9</v>
      </c>
      <c r="W3766">
        <v>0</v>
      </c>
      <c r="X3766">
        <v>0</v>
      </c>
      <c r="Y3766">
        <v>0</v>
      </c>
      <c r="Z3766">
        <v>0</v>
      </c>
      <c r="AA3766">
        <v>9</v>
      </c>
      <c r="AB3766">
        <v>9</v>
      </c>
      <c r="AC3766" t="s">
        <v>310</v>
      </c>
      <c r="AD3766">
        <v>9</v>
      </c>
      <c r="AE3766" t="s">
        <v>1396</v>
      </c>
      <c r="AF3766">
        <v>60003000</v>
      </c>
      <c r="AG3766" t="s">
        <v>310</v>
      </c>
      <c r="AH3766">
        <f>SUM((MID(Dyno_Data[[#This Row],[Team]],4,5))+(Dyno_Data[[#This Row],[Match]]/100))</f>
        <v>1796.68</v>
      </c>
      <c r="AI3766" s="76">
        <f>ROUND(SUM(IF(Dyno_Data[[#This Row],[AcqCenter]]&gt;0,Dyno_Data[[#This Row],[Time]]-SUMIFS(Dyno_Data[Time],Dyno_Data[Team],Dyno_Data[[#This Row],[Team]],Dyno_Data[RecordType],"StartMatch",Dyno_Data[Match],Dyno_Data[[#This Row],[Match]]),0)*86400),0)</f>
        <v>0</v>
      </c>
    </row>
    <row r="3767" spans="1:35" x14ac:dyDescent="0.3">
      <c r="A3767">
        <v>3766</v>
      </c>
      <c r="B3767" t="s">
        <v>1306</v>
      </c>
      <c r="C3767">
        <v>68</v>
      </c>
      <c r="D3767" s="105">
        <v>45374.435115706015</v>
      </c>
      <c r="E3767" t="s">
        <v>312</v>
      </c>
      <c r="F3767" t="s">
        <v>1402</v>
      </c>
      <c r="G3767">
        <v>0</v>
      </c>
      <c r="H3767" t="s">
        <v>315</v>
      </c>
      <c r="I3767">
        <v>0</v>
      </c>
      <c r="J3767">
        <v>0</v>
      </c>
      <c r="K3767">
        <v>0</v>
      </c>
      <c r="L3767" t="s">
        <v>241</v>
      </c>
      <c r="M3767" t="s">
        <v>101</v>
      </c>
      <c r="N3767">
        <v>1</v>
      </c>
      <c r="O3767" t="s">
        <v>1389</v>
      </c>
      <c r="P3767" t="s">
        <v>310</v>
      </c>
      <c r="Q3767" t="s">
        <v>310</v>
      </c>
      <c r="R3767" t="s">
        <v>310</v>
      </c>
      <c r="S3767">
        <v>9</v>
      </c>
      <c r="T3767" t="s">
        <v>310</v>
      </c>
      <c r="U3767">
        <v>9</v>
      </c>
      <c r="V3767">
        <v>9</v>
      </c>
      <c r="W3767">
        <v>0</v>
      </c>
      <c r="X3767">
        <v>0</v>
      </c>
      <c r="Y3767">
        <v>0</v>
      </c>
      <c r="Z3767">
        <v>0</v>
      </c>
      <c r="AA3767">
        <v>9</v>
      </c>
      <c r="AB3767">
        <v>9</v>
      </c>
      <c r="AC3767" t="s">
        <v>310</v>
      </c>
      <c r="AD3767">
        <v>9</v>
      </c>
      <c r="AE3767" t="s">
        <v>1388</v>
      </c>
      <c r="AF3767">
        <v>10000000</v>
      </c>
      <c r="AG3767" t="s">
        <v>310</v>
      </c>
      <c r="AH3767">
        <f>SUM((MID(Dyno_Data[[#This Row],[Team]],4,5))+(Dyno_Data[[#This Row],[Match]]/100))</f>
        <v>3986.68</v>
      </c>
      <c r="AI3767" s="76">
        <f>ROUND(SUM(IF(Dyno_Data[[#This Row],[AcqCenter]]&gt;0,Dyno_Data[[#This Row],[Time]]-SUMIFS(Dyno_Data[Time],Dyno_Data[Team],Dyno_Data[[#This Row],[Team]],Dyno_Data[RecordType],"StartMatch",Dyno_Data[Match],Dyno_Data[[#This Row],[Match]]),0)*86400),0)</f>
        <v>0</v>
      </c>
    </row>
    <row r="3768" spans="1:35" x14ac:dyDescent="0.3">
      <c r="A3768">
        <v>3767</v>
      </c>
      <c r="B3768" t="s">
        <v>364</v>
      </c>
      <c r="C3768">
        <v>68</v>
      </c>
      <c r="D3768" s="105">
        <v>45374.435132986109</v>
      </c>
      <c r="E3768" t="s">
        <v>312</v>
      </c>
      <c r="F3768" t="s">
        <v>1402</v>
      </c>
      <c r="G3768">
        <v>0</v>
      </c>
      <c r="H3768" t="s">
        <v>315</v>
      </c>
      <c r="I3768">
        <v>0</v>
      </c>
      <c r="J3768">
        <v>0</v>
      </c>
      <c r="K3768">
        <v>0</v>
      </c>
      <c r="L3768" t="s">
        <v>241</v>
      </c>
      <c r="M3768" t="s">
        <v>1398</v>
      </c>
      <c r="N3768">
        <v>0</v>
      </c>
      <c r="O3768" t="s">
        <v>311</v>
      </c>
      <c r="P3768" t="s">
        <v>310</v>
      </c>
      <c r="Q3768" t="s">
        <v>310</v>
      </c>
      <c r="R3768" t="s">
        <v>310</v>
      </c>
      <c r="S3768">
        <v>9</v>
      </c>
      <c r="T3768" t="s">
        <v>310</v>
      </c>
      <c r="U3768">
        <v>9</v>
      </c>
      <c r="V3768">
        <v>9</v>
      </c>
      <c r="W3768">
        <v>0</v>
      </c>
      <c r="X3768">
        <v>0</v>
      </c>
      <c r="Y3768">
        <v>0</v>
      </c>
      <c r="Z3768">
        <v>0</v>
      </c>
      <c r="AA3768">
        <v>9</v>
      </c>
      <c r="AB3768">
        <v>9</v>
      </c>
      <c r="AC3768" t="s">
        <v>310</v>
      </c>
      <c r="AD3768">
        <v>9</v>
      </c>
      <c r="AE3768" t="s">
        <v>1412</v>
      </c>
      <c r="AF3768">
        <v>30000000</v>
      </c>
      <c r="AG3768" t="s">
        <v>310</v>
      </c>
      <c r="AH3768">
        <f>SUM((MID(Dyno_Data[[#This Row],[Team]],4,5))+(Dyno_Data[[#This Row],[Match]]/100))</f>
        <v>2791.68</v>
      </c>
      <c r="AI3768" s="76">
        <f>ROUND(SUM(IF(Dyno_Data[[#This Row],[AcqCenter]]&gt;0,Dyno_Data[[#This Row],[Time]]-SUMIFS(Dyno_Data[Time],Dyno_Data[Team],Dyno_Data[[#This Row],[Team]],Dyno_Data[RecordType],"StartMatch",Dyno_Data[Match],Dyno_Data[[#This Row],[Match]]),0)*86400),0)</f>
        <v>0</v>
      </c>
    </row>
    <row r="3769" spans="1:35" x14ac:dyDescent="0.3">
      <c r="A3769">
        <v>3768</v>
      </c>
      <c r="B3769" t="s">
        <v>363</v>
      </c>
      <c r="C3769">
        <v>68</v>
      </c>
      <c r="D3769" s="105">
        <v>45374.435144525465</v>
      </c>
      <c r="E3769" t="s">
        <v>312</v>
      </c>
      <c r="F3769" t="s">
        <v>1402</v>
      </c>
      <c r="G3769">
        <v>0</v>
      </c>
      <c r="H3769" t="s">
        <v>315</v>
      </c>
      <c r="I3769">
        <v>0</v>
      </c>
      <c r="J3769">
        <v>0</v>
      </c>
      <c r="K3769">
        <v>0</v>
      </c>
      <c r="L3769" t="s">
        <v>241</v>
      </c>
      <c r="M3769" t="s">
        <v>1398</v>
      </c>
      <c r="N3769">
        <v>1</v>
      </c>
      <c r="O3769" t="s">
        <v>1395</v>
      </c>
      <c r="P3769" t="s">
        <v>310</v>
      </c>
      <c r="Q3769" t="s">
        <v>310</v>
      </c>
      <c r="R3769" t="s">
        <v>310</v>
      </c>
      <c r="S3769">
        <v>9</v>
      </c>
      <c r="T3769" t="s">
        <v>310</v>
      </c>
      <c r="U3769">
        <v>9</v>
      </c>
      <c r="V3769">
        <v>9</v>
      </c>
      <c r="W3769">
        <v>0</v>
      </c>
      <c r="X3769">
        <v>0</v>
      </c>
      <c r="Y3769">
        <v>0</v>
      </c>
      <c r="Z3769">
        <v>0</v>
      </c>
      <c r="AA3769">
        <v>9</v>
      </c>
      <c r="AB3769">
        <v>9</v>
      </c>
      <c r="AC3769" t="s">
        <v>310</v>
      </c>
      <c r="AD3769">
        <v>9</v>
      </c>
      <c r="AE3769" t="s">
        <v>1414</v>
      </c>
      <c r="AF3769">
        <v>60000000</v>
      </c>
      <c r="AG3769" t="s">
        <v>310</v>
      </c>
      <c r="AH3769">
        <f>SUM((MID(Dyno_Data[[#This Row],[Team]],4,5))+(Dyno_Data[[#This Row],[Match]]/100))</f>
        <v>2601.6799999999998</v>
      </c>
      <c r="AI3769" s="76">
        <f>ROUND(SUM(IF(Dyno_Data[[#This Row],[AcqCenter]]&gt;0,Dyno_Data[[#This Row],[Time]]-SUMIFS(Dyno_Data[Time],Dyno_Data[Team],Dyno_Data[[#This Row],[Team]],Dyno_Data[RecordType],"StartMatch",Dyno_Data[Match],Dyno_Data[[#This Row],[Match]]),0)*86400),0)</f>
        <v>0</v>
      </c>
    </row>
    <row r="3770" spans="1:35" x14ac:dyDescent="0.3">
      <c r="A3770">
        <v>3769</v>
      </c>
      <c r="B3770" t="s">
        <v>1306</v>
      </c>
      <c r="C3770">
        <v>68</v>
      </c>
      <c r="D3770" s="105">
        <v>45374.435177118059</v>
      </c>
      <c r="E3770" t="s">
        <v>1403</v>
      </c>
      <c r="F3770" t="s">
        <v>1402</v>
      </c>
      <c r="G3770">
        <v>0</v>
      </c>
      <c r="H3770" t="s">
        <v>310</v>
      </c>
      <c r="I3770">
        <v>0</v>
      </c>
      <c r="J3770">
        <v>0</v>
      </c>
      <c r="K3770">
        <v>0</v>
      </c>
      <c r="L3770" t="s">
        <v>310</v>
      </c>
      <c r="M3770" t="s">
        <v>310</v>
      </c>
      <c r="N3770">
        <v>0</v>
      </c>
      <c r="O3770" t="s">
        <v>1389</v>
      </c>
      <c r="P3770" t="s">
        <v>310</v>
      </c>
      <c r="Q3770" t="s">
        <v>310</v>
      </c>
      <c r="R3770" t="s">
        <v>310</v>
      </c>
      <c r="S3770">
        <v>9</v>
      </c>
      <c r="T3770" t="s">
        <v>310</v>
      </c>
      <c r="U3770">
        <v>9</v>
      </c>
      <c r="V3770">
        <v>9</v>
      </c>
      <c r="W3770">
        <v>0</v>
      </c>
      <c r="X3770">
        <v>0</v>
      </c>
      <c r="Y3770">
        <v>0</v>
      </c>
      <c r="Z3770">
        <v>0</v>
      </c>
      <c r="AA3770">
        <v>9</v>
      </c>
      <c r="AB3770">
        <v>9</v>
      </c>
      <c r="AC3770" t="s">
        <v>310</v>
      </c>
      <c r="AD3770">
        <v>9</v>
      </c>
      <c r="AE3770" t="s">
        <v>1388</v>
      </c>
      <c r="AF3770">
        <v>60000000</v>
      </c>
      <c r="AG3770" t="s">
        <v>248</v>
      </c>
      <c r="AH3770">
        <f>SUM((MID(Dyno_Data[[#This Row],[Team]],4,5))+(Dyno_Data[[#This Row],[Match]]/100))</f>
        <v>3986.68</v>
      </c>
      <c r="AI3770" s="76">
        <f>ROUND(SUM(IF(Dyno_Data[[#This Row],[AcqCenter]]&gt;0,Dyno_Data[[#This Row],[Time]]-SUMIFS(Dyno_Data[Time],Dyno_Data[Team],Dyno_Data[[#This Row],[Team]],Dyno_Data[RecordType],"StartMatch",Dyno_Data[Match],Dyno_Data[[#This Row],[Match]]),0)*86400),0)</f>
        <v>0</v>
      </c>
    </row>
    <row r="3771" spans="1:35" x14ac:dyDescent="0.3">
      <c r="A3771">
        <v>3770</v>
      </c>
      <c r="B3771" t="s">
        <v>360</v>
      </c>
      <c r="C3771">
        <v>68</v>
      </c>
      <c r="D3771" s="105">
        <v>45374.435185844908</v>
      </c>
      <c r="E3771" t="s">
        <v>312</v>
      </c>
      <c r="F3771" t="s">
        <v>1402</v>
      </c>
      <c r="G3771">
        <v>0</v>
      </c>
      <c r="H3771" t="s">
        <v>315</v>
      </c>
      <c r="I3771">
        <v>0</v>
      </c>
      <c r="J3771">
        <v>0</v>
      </c>
      <c r="K3771">
        <v>0</v>
      </c>
      <c r="L3771" t="s">
        <v>241</v>
      </c>
      <c r="M3771" t="s">
        <v>101</v>
      </c>
      <c r="N3771">
        <v>0</v>
      </c>
      <c r="O3771" t="s">
        <v>319</v>
      </c>
      <c r="P3771" t="s">
        <v>310</v>
      </c>
      <c r="Q3771" t="s">
        <v>310</v>
      </c>
      <c r="R3771" t="s">
        <v>310</v>
      </c>
      <c r="S3771">
        <v>9</v>
      </c>
      <c r="T3771" t="s">
        <v>310</v>
      </c>
      <c r="U3771">
        <v>9</v>
      </c>
      <c r="V3771">
        <v>9</v>
      </c>
      <c r="W3771">
        <v>0</v>
      </c>
      <c r="X3771">
        <v>0</v>
      </c>
      <c r="Y3771">
        <v>0</v>
      </c>
      <c r="Z3771">
        <v>0</v>
      </c>
      <c r="AA3771">
        <v>9</v>
      </c>
      <c r="AB3771">
        <v>9</v>
      </c>
      <c r="AC3771" t="s">
        <v>310</v>
      </c>
      <c r="AD3771">
        <v>9</v>
      </c>
      <c r="AE3771" t="s">
        <v>1396</v>
      </c>
      <c r="AF3771">
        <v>70003000</v>
      </c>
      <c r="AG3771" t="s">
        <v>310</v>
      </c>
      <c r="AH3771">
        <f>SUM((MID(Dyno_Data[[#This Row],[Team]],4,5))+(Dyno_Data[[#This Row],[Match]]/100))</f>
        <v>1796.68</v>
      </c>
      <c r="AI3771" s="76">
        <f>ROUND(SUM(IF(Dyno_Data[[#This Row],[AcqCenter]]&gt;0,Dyno_Data[[#This Row],[Time]]-SUMIFS(Dyno_Data[Time],Dyno_Data[Team],Dyno_Data[[#This Row],[Team]],Dyno_Data[RecordType],"StartMatch",Dyno_Data[Match],Dyno_Data[[#This Row],[Match]]),0)*86400),0)</f>
        <v>0</v>
      </c>
    </row>
    <row r="3772" spans="1:35" x14ac:dyDescent="0.3">
      <c r="A3772">
        <v>3771</v>
      </c>
      <c r="B3772" t="s">
        <v>364</v>
      </c>
      <c r="C3772">
        <v>68</v>
      </c>
      <c r="D3772" s="105">
        <v>45374.43519733796</v>
      </c>
      <c r="E3772" t="s">
        <v>312</v>
      </c>
      <c r="F3772" t="s">
        <v>1402</v>
      </c>
      <c r="G3772">
        <v>0</v>
      </c>
      <c r="H3772" t="s">
        <v>315</v>
      </c>
      <c r="I3772">
        <v>0</v>
      </c>
      <c r="J3772">
        <v>0</v>
      </c>
      <c r="K3772">
        <v>0</v>
      </c>
      <c r="L3772" t="s">
        <v>241</v>
      </c>
      <c r="M3772" t="s">
        <v>1398</v>
      </c>
      <c r="N3772">
        <v>0</v>
      </c>
      <c r="O3772" t="s">
        <v>311</v>
      </c>
      <c r="P3772" t="s">
        <v>310</v>
      </c>
      <c r="Q3772" t="s">
        <v>310</v>
      </c>
      <c r="R3772" t="s">
        <v>310</v>
      </c>
      <c r="S3772">
        <v>9</v>
      </c>
      <c r="T3772" t="s">
        <v>310</v>
      </c>
      <c r="U3772">
        <v>9</v>
      </c>
      <c r="V3772">
        <v>9</v>
      </c>
      <c r="W3772">
        <v>0</v>
      </c>
      <c r="X3772">
        <v>0</v>
      </c>
      <c r="Y3772">
        <v>0</v>
      </c>
      <c r="Z3772">
        <v>0</v>
      </c>
      <c r="AA3772">
        <v>9</v>
      </c>
      <c r="AB3772">
        <v>9</v>
      </c>
      <c r="AC3772" t="s">
        <v>310</v>
      </c>
      <c r="AD3772">
        <v>9</v>
      </c>
      <c r="AE3772" t="s">
        <v>1412</v>
      </c>
      <c r="AF3772">
        <v>40000000</v>
      </c>
      <c r="AG3772" t="s">
        <v>310</v>
      </c>
      <c r="AH3772">
        <f>SUM((MID(Dyno_Data[[#This Row],[Team]],4,5))+(Dyno_Data[[#This Row],[Match]]/100))</f>
        <v>2791.68</v>
      </c>
      <c r="AI3772" s="76">
        <f>ROUND(SUM(IF(Dyno_Data[[#This Row],[AcqCenter]]&gt;0,Dyno_Data[[#This Row],[Time]]-SUMIFS(Dyno_Data[Time],Dyno_Data[Team],Dyno_Data[[#This Row],[Team]],Dyno_Data[RecordType],"StartMatch",Dyno_Data[Match],Dyno_Data[[#This Row],[Match]]),0)*86400),0)</f>
        <v>0</v>
      </c>
    </row>
    <row r="3773" spans="1:35" x14ac:dyDescent="0.3">
      <c r="A3773">
        <v>3772</v>
      </c>
      <c r="B3773" t="s">
        <v>1275</v>
      </c>
      <c r="C3773">
        <v>68</v>
      </c>
      <c r="D3773" s="105">
        <v>45374.435227233793</v>
      </c>
      <c r="E3773" t="s">
        <v>1403</v>
      </c>
      <c r="F3773" t="s">
        <v>1402</v>
      </c>
      <c r="G3773">
        <v>0</v>
      </c>
      <c r="H3773" t="s">
        <v>310</v>
      </c>
      <c r="I3773">
        <v>0</v>
      </c>
      <c r="J3773">
        <v>0</v>
      </c>
      <c r="K3773">
        <v>0</v>
      </c>
      <c r="L3773" t="s">
        <v>310</v>
      </c>
      <c r="M3773" t="s">
        <v>310</v>
      </c>
      <c r="N3773">
        <v>0</v>
      </c>
      <c r="O3773" t="s">
        <v>1391</v>
      </c>
      <c r="P3773" t="s">
        <v>310</v>
      </c>
      <c r="Q3773" t="s">
        <v>310</v>
      </c>
      <c r="R3773" t="s">
        <v>310</v>
      </c>
      <c r="S3773">
        <v>9</v>
      </c>
      <c r="T3773" t="s">
        <v>310</v>
      </c>
      <c r="U3773">
        <v>9</v>
      </c>
      <c r="V3773">
        <v>9</v>
      </c>
      <c r="W3773">
        <v>0</v>
      </c>
      <c r="X3773">
        <v>0</v>
      </c>
      <c r="Y3773">
        <v>0</v>
      </c>
      <c r="Z3773">
        <v>0</v>
      </c>
      <c r="AA3773">
        <v>9</v>
      </c>
      <c r="AB3773">
        <v>9</v>
      </c>
      <c r="AC3773" t="s">
        <v>310</v>
      </c>
      <c r="AD3773">
        <v>9</v>
      </c>
      <c r="AE3773" t="s">
        <v>1390</v>
      </c>
      <c r="AF3773">
        <v>40000000</v>
      </c>
      <c r="AG3773" t="s">
        <v>249</v>
      </c>
      <c r="AH3773">
        <f>SUM((MID(Dyno_Data[[#This Row],[Team]],4,5))+(Dyno_Data[[#This Row],[Match]]/100))</f>
        <v>1880.68</v>
      </c>
      <c r="AI3773" s="76">
        <f>ROUND(SUM(IF(Dyno_Data[[#This Row],[AcqCenter]]&gt;0,Dyno_Data[[#This Row],[Time]]-SUMIFS(Dyno_Data[Time],Dyno_Data[Team],Dyno_Data[[#This Row],[Team]],Dyno_Data[RecordType],"StartMatch",Dyno_Data[Match],Dyno_Data[[#This Row],[Match]]),0)*86400),0)</f>
        <v>0</v>
      </c>
    </row>
    <row r="3774" spans="1:35" x14ac:dyDescent="0.3">
      <c r="A3774">
        <v>3773</v>
      </c>
      <c r="B3774" t="s">
        <v>363</v>
      </c>
      <c r="C3774">
        <v>68</v>
      </c>
      <c r="D3774" s="105">
        <v>45374.435276238422</v>
      </c>
      <c r="E3774" t="s">
        <v>312</v>
      </c>
      <c r="F3774" t="s">
        <v>1402</v>
      </c>
      <c r="G3774">
        <v>0</v>
      </c>
      <c r="H3774" t="s">
        <v>315</v>
      </c>
      <c r="I3774">
        <v>0</v>
      </c>
      <c r="J3774">
        <v>0</v>
      </c>
      <c r="K3774">
        <v>0</v>
      </c>
      <c r="L3774" t="s">
        <v>240</v>
      </c>
      <c r="M3774" t="s">
        <v>1398</v>
      </c>
      <c r="N3774">
        <v>0</v>
      </c>
      <c r="O3774" t="s">
        <v>1395</v>
      </c>
      <c r="P3774" t="s">
        <v>310</v>
      </c>
      <c r="Q3774" t="s">
        <v>310</v>
      </c>
      <c r="R3774" t="s">
        <v>310</v>
      </c>
      <c r="S3774">
        <v>9</v>
      </c>
      <c r="T3774" t="s">
        <v>310</v>
      </c>
      <c r="U3774">
        <v>9</v>
      </c>
      <c r="V3774">
        <v>9</v>
      </c>
      <c r="W3774">
        <v>0</v>
      </c>
      <c r="X3774">
        <v>0</v>
      </c>
      <c r="Y3774">
        <v>0</v>
      </c>
      <c r="Z3774">
        <v>0</v>
      </c>
      <c r="AA3774">
        <v>9</v>
      </c>
      <c r="AB3774">
        <v>9</v>
      </c>
      <c r="AC3774" t="s">
        <v>310</v>
      </c>
      <c r="AD3774">
        <v>9</v>
      </c>
      <c r="AE3774" t="s">
        <v>1414</v>
      </c>
      <c r="AF3774">
        <v>70000000</v>
      </c>
      <c r="AG3774" t="s">
        <v>310</v>
      </c>
      <c r="AH3774">
        <f>SUM((MID(Dyno_Data[[#This Row],[Team]],4,5))+(Dyno_Data[[#This Row],[Match]]/100))</f>
        <v>2601.6799999999998</v>
      </c>
      <c r="AI3774" s="76">
        <f>ROUND(SUM(IF(Dyno_Data[[#This Row],[AcqCenter]]&gt;0,Dyno_Data[[#This Row],[Time]]-SUMIFS(Dyno_Data[Time],Dyno_Data[Team],Dyno_Data[[#This Row],[Team]],Dyno_Data[RecordType],"StartMatch",Dyno_Data[Match],Dyno_Data[[#This Row],[Match]]),0)*86400),0)</f>
        <v>0</v>
      </c>
    </row>
    <row r="3775" spans="1:35" x14ac:dyDescent="0.3">
      <c r="A3775">
        <v>3774</v>
      </c>
      <c r="B3775" t="s">
        <v>367</v>
      </c>
      <c r="C3775">
        <v>68</v>
      </c>
      <c r="D3775" s="105">
        <v>45374.435287349537</v>
      </c>
      <c r="E3775" t="s">
        <v>312</v>
      </c>
      <c r="F3775" t="s">
        <v>1402</v>
      </c>
      <c r="G3775">
        <v>0</v>
      </c>
      <c r="H3775" t="s">
        <v>315</v>
      </c>
      <c r="I3775">
        <v>0</v>
      </c>
      <c r="J3775">
        <v>0</v>
      </c>
      <c r="K3775">
        <v>0</v>
      </c>
      <c r="L3775" t="s">
        <v>241</v>
      </c>
      <c r="M3775" t="s">
        <v>101</v>
      </c>
      <c r="N3775">
        <v>1</v>
      </c>
      <c r="O3775" t="s">
        <v>1393</v>
      </c>
      <c r="P3775" t="s">
        <v>310</v>
      </c>
      <c r="Q3775" t="s">
        <v>310</v>
      </c>
      <c r="R3775" t="s">
        <v>310</v>
      </c>
      <c r="S3775">
        <v>9</v>
      </c>
      <c r="T3775" t="s">
        <v>310</v>
      </c>
      <c r="U3775">
        <v>9</v>
      </c>
      <c r="V3775">
        <v>9</v>
      </c>
      <c r="W3775">
        <v>0</v>
      </c>
      <c r="X3775">
        <v>0</v>
      </c>
      <c r="Y3775">
        <v>0</v>
      </c>
      <c r="Z3775">
        <v>0</v>
      </c>
      <c r="AA3775">
        <v>9</v>
      </c>
      <c r="AB3775">
        <v>9</v>
      </c>
      <c r="AC3775" t="s">
        <v>310</v>
      </c>
      <c r="AD3775">
        <v>9</v>
      </c>
      <c r="AE3775" t="s">
        <v>1413</v>
      </c>
      <c r="AF3775">
        <v>10001000</v>
      </c>
      <c r="AG3775" t="s">
        <v>310</v>
      </c>
      <c r="AH3775">
        <f>SUM((MID(Dyno_Data[[#This Row],[Team]],4,5))+(Dyno_Data[[#This Row],[Match]]/100))</f>
        <v>5016.68</v>
      </c>
      <c r="AI3775" s="76">
        <f>ROUND(SUM(IF(Dyno_Data[[#This Row],[AcqCenter]]&gt;0,Dyno_Data[[#This Row],[Time]]-SUMIFS(Dyno_Data[Time],Dyno_Data[Team],Dyno_Data[[#This Row],[Team]],Dyno_Data[RecordType],"StartMatch",Dyno_Data[Match],Dyno_Data[[#This Row],[Match]]),0)*86400),0)</f>
        <v>0</v>
      </c>
    </row>
    <row r="3776" spans="1:35" x14ac:dyDescent="0.3">
      <c r="A3776">
        <v>3775</v>
      </c>
      <c r="B3776" t="s">
        <v>360</v>
      </c>
      <c r="C3776">
        <v>68</v>
      </c>
      <c r="D3776" s="105">
        <v>45374.435330787041</v>
      </c>
      <c r="E3776" t="s">
        <v>312</v>
      </c>
      <c r="F3776" t="s">
        <v>1402</v>
      </c>
      <c r="G3776">
        <v>0</v>
      </c>
      <c r="H3776" t="s">
        <v>315</v>
      </c>
      <c r="I3776">
        <v>0</v>
      </c>
      <c r="J3776">
        <v>0</v>
      </c>
      <c r="K3776">
        <v>0</v>
      </c>
      <c r="L3776" t="s">
        <v>241</v>
      </c>
      <c r="M3776" t="s">
        <v>101</v>
      </c>
      <c r="N3776">
        <v>0</v>
      </c>
      <c r="O3776" t="s">
        <v>319</v>
      </c>
      <c r="P3776" t="s">
        <v>310</v>
      </c>
      <c r="Q3776" t="s">
        <v>310</v>
      </c>
      <c r="R3776" t="s">
        <v>310</v>
      </c>
      <c r="S3776">
        <v>9</v>
      </c>
      <c r="T3776" t="s">
        <v>310</v>
      </c>
      <c r="U3776">
        <v>9</v>
      </c>
      <c r="V3776">
        <v>9</v>
      </c>
      <c r="W3776">
        <v>0</v>
      </c>
      <c r="X3776">
        <v>0</v>
      </c>
      <c r="Y3776">
        <v>0</v>
      </c>
      <c r="Z3776">
        <v>0</v>
      </c>
      <c r="AA3776">
        <v>9</v>
      </c>
      <c r="AB3776">
        <v>9</v>
      </c>
      <c r="AC3776" t="s">
        <v>310</v>
      </c>
      <c r="AD3776">
        <v>9</v>
      </c>
      <c r="AE3776" t="s">
        <v>1396</v>
      </c>
      <c r="AF3776">
        <v>80003000</v>
      </c>
      <c r="AG3776" t="s">
        <v>310</v>
      </c>
      <c r="AH3776">
        <f>SUM((MID(Dyno_Data[[#This Row],[Team]],4,5))+(Dyno_Data[[#This Row],[Match]]/100))</f>
        <v>1796.68</v>
      </c>
      <c r="AI3776" s="76">
        <f>ROUND(SUM(IF(Dyno_Data[[#This Row],[AcqCenter]]&gt;0,Dyno_Data[[#This Row],[Time]]-SUMIFS(Dyno_Data[Time],Dyno_Data[Team],Dyno_Data[[#This Row],[Team]],Dyno_Data[RecordType],"StartMatch",Dyno_Data[Match],Dyno_Data[[#This Row],[Match]]),0)*86400),0)</f>
        <v>0</v>
      </c>
    </row>
    <row r="3777" spans="1:35" x14ac:dyDescent="0.3">
      <c r="A3777">
        <v>3776</v>
      </c>
      <c r="B3777" t="s">
        <v>364</v>
      </c>
      <c r="C3777">
        <v>68</v>
      </c>
      <c r="D3777" s="105">
        <v>45374.435380057868</v>
      </c>
      <c r="E3777" t="s">
        <v>312</v>
      </c>
      <c r="F3777" t="s">
        <v>1402</v>
      </c>
      <c r="G3777">
        <v>0</v>
      </c>
      <c r="H3777" t="s">
        <v>315</v>
      </c>
      <c r="I3777">
        <v>0</v>
      </c>
      <c r="J3777">
        <v>0</v>
      </c>
      <c r="K3777">
        <v>0</v>
      </c>
      <c r="L3777" t="s">
        <v>241</v>
      </c>
      <c r="M3777" t="s">
        <v>1398</v>
      </c>
      <c r="N3777">
        <v>0</v>
      </c>
      <c r="O3777" t="s">
        <v>311</v>
      </c>
      <c r="P3777" t="s">
        <v>310</v>
      </c>
      <c r="Q3777" t="s">
        <v>310</v>
      </c>
      <c r="R3777" t="s">
        <v>310</v>
      </c>
      <c r="S3777">
        <v>9</v>
      </c>
      <c r="T3777" t="s">
        <v>310</v>
      </c>
      <c r="U3777">
        <v>9</v>
      </c>
      <c r="V3777">
        <v>9</v>
      </c>
      <c r="W3777">
        <v>0</v>
      </c>
      <c r="X3777">
        <v>0</v>
      </c>
      <c r="Y3777">
        <v>0</v>
      </c>
      <c r="Z3777">
        <v>0</v>
      </c>
      <c r="AA3777">
        <v>9</v>
      </c>
      <c r="AB3777">
        <v>9</v>
      </c>
      <c r="AC3777" t="s">
        <v>310</v>
      </c>
      <c r="AD3777">
        <v>9</v>
      </c>
      <c r="AE3777" t="s">
        <v>1412</v>
      </c>
      <c r="AF3777">
        <v>50000000</v>
      </c>
      <c r="AG3777" t="s">
        <v>310</v>
      </c>
      <c r="AH3777">
        <f>SUM((MID(Dyno_Data[[#This Row],[Team]],4,5))+(Dyno_Data[[#This Row],[Match]]/100))</f>
        <v>2791.68</v>
      </c>
      <c r="AI3777" s="76">
        <f>ROUND(SUM(IF(Dyno_Data[[#This Row],[AcqCenter]]&gt;0,Dyno_Data[[#This Row],[Time]]-SUMIFS(Dyno_Data[Time],Dyno_Data[Team],Dyno_Data[[#This Row],[Team]],Dyno_Data[RecordType],"StartMatch",Dyno_Data[Match],Dyno_Data[[#This Row],[Match]]),0)*86400),0)</f>
        <v>0</v>
      </c>
    </row>
    <row r="3778" spans="1:35" x14ac:dyDescent="0.3">
      <c r="A3778">
        <v>3777</v>
      </c>
      <c r="B3778" t="s">
        <v>363</v>
      </c>
      <c r="C3778">
        <v>68</v>
      </c>
      <c r="D3778" s="105">
        <v>45374.435380057868</v>
      </c>
      <c r="E3778" t="s">
        <v>312</v>
      </c>
      <c r="F3778" t="s">
        <v>1402</v>
      </c>
      <c r="G3778">
        <v>0</v>
      </c>
      <c r="H3778" t="s">
        <v>315</v>
      </c>
      <c r="I3778">
        <v>0</v>
      </c>
      <c r="J3778">
        <v>0</v>
      </c>
      <c r="K3778">
        <v>0</v>
      </c>
      <c r="L3778" t="s">
        <v>240</v>
      </c>
      <c r="M3778" t="s">
        <v>1398</v>
      </c>
      <c r="N3778">
        <v>0</v>
      </c>
      <c r="O3778" t="s">
        <v>1395</v>
      </c>
      <c r="P3778" t="s">
        <v>310</v>
      </c>
      <c r="Q3778" t="s">
        <v>310</v>
      </c>
      <c r="R3778" t="s">
        <v>310</v>
      </c>
      <c r="S3778">
        <v>9</v>
      </c>
      <c r="T3778" t="s">
        <v>310</v>
      </c>
      <c r="U3778">
        <v>9</v>
      </c>
      <c r="V3778">
        <v>9</v>
      </c>
      <c r="W3778">
        <v>0</v>
      </c>
      <c r="X3778">
        <v>0</v>
      </c>
      <c r="Y3778">
        <v>0</v>
      </c>
      <c r="Z3778">
        <v>0</v>
      </c>
      <c r="AA3778">
        <v>9</v>
      </c>
      <c r="AB3778">
        <v>9</v>
      </c>
      <c r="AC3778" t="s">
        <v>310</v>
      </c>
      <c r="AD3778">
        <v>9</v>
      </c>
      <c r="AE3778" t="s">
        <v>1414</v>
      </c>
      <c r="AF3778">
        <v>80000000</v>
      </c>
      <c r="AG3778" t="s">
        <v>310</v>
      </c>
      <c r="AH3778">
        <f>SUM((MID(Dyno_Data[[#This Row],[Team]],4,5))+(Dyno_Data[[#This Row],[Match]]/100))</f>
        <v>2601.6799999999998</v>
      </c>
      <c r="AI3778" s="76">
        <f>ROUND(SUM(IF(Dyno_Data[[#This Row],[AcqCenter]]&gt;0,Dyno_Data[[#This Row],[Time]]-SUMIFS(Dyno_Data[Time],Dyno_Data[Team],Dyno_Data[[#This Row],[Team]],Dyno_Data[RecordType],"StartMatch",Dyno_Data[Match],Dyno_Data[[#This Row],[Match]]),0)*86400),0)</f>
        <v>0</v>
      </c>
    </row>
    <row r="3779" spans="1:35" x14ac:dyDescent="0.3">
      <c r="A3779">
        <v>3778</v>
      </c>
      <c r="B3779" t="s">
        <v>360</v>
      </c>
      <c r="C3779">
        <v>68</v>
      </c>
      <c r="D3779" s="105">
        <v>45374.435457141204</v>
      </c>
      <c r="E3779" t="s">
        <v>312</v>
      </c>
      <c r="F3779" t="s">
        <v>1402</v>
      </c>
      <c r="G3779">
        <v>0</v>
      </c>
      <c r="H3779" t="s">
        <v>315</v>
      </c>
      <c r="I3779">
        <v>0</v>
      </c>
      <c r="J3779">
        <v>0</v>
      </c>
      <c r="K3779">
        <v>0</v>
      </c>
      <c r="L3779" t="s">
        <v>241</v>
      </c>
      <c r="M3779" t="s">
        <v>1398</v>
      </c>
      <c r="N3779">
        <v>0</v>
      </c>
      <c r="O3779" t="s">
        <v>319</v>
      </c>
      <c r="P3779" t="s">
        <v>310</v>
      </c>
      <c r="Q3779" t="s">
        <v>310</v>
      </c>
      <c r="R3779" t="s">
        <v>310</v>
      </c>
      <c r="S3779">
        <v>9</v>
      </c>
      <c r="T3779" t="s">
        <v>310</v>
      </c>
      <c r="U3779">
        <v>9</v>
      </c>
      <c r="V3779">
        <v>9</v>
      </c>
      <c r="W3779">
        <v>0</v>
      </c>
      <c r="X3779">
        <v>0</v>
      </c>
      <c r="Y3779">
        <v>0</v>
      </c>
      <c r="Z3779">
        <v>0</v>
      </c>
      <c r="AA3779">
        <v>9</v>
      </c>
      <c r="AB3779">
        <v>9</v>
      </c>
      <c r="AC3779" t="s">
        <v>310</v>
      </c>
      <c r="AD3779">
        <v>9</v>
      </c>
      <c r="AE3779" t="s">
        <v>1396</v>
      </c>
      <c r="AF3779">
        <v>90003000</v>
      </c>
      <c r="AG3779" t="s">
        <v>310</v>
      </c>
      <c r="AH3779">
        <f>SUM((MID(Dyno_Data[[#This Row],[Team]],4,5))+(Dyno_Data[[#This Row],[Match]]/100))</f>
        <v>1796.68</v>
      </c>
      <c r="AI3779" s="76">
        <f>ROUND(SUM(IF(Dyno_Data[[#This Row],[AcqCenter]]&gt;0,Dyno_Data[[#This Row],[Time]]-SUMIFS(Dyno_Data[Time],Dyno_Data[Team],Dyno_Data[[#This Row],[Team]],Dyno_Data[RecordType],"StartMatch",Dyno_Data[Match],Dyno_Data[[#This Row],[Match]]),0)*86400),0)</f>
        <v>0</v>
      </c>
    </row>
    <row r="3780" spans="1:35" x14ac:dyDescent="0.3">
      <c r="A3780">
        <v>3779</v>
      </c>
      <c r="B3780" t="s">
        <v>1275</v>
      </c>
      <c r="C3780">
        <v>68</v>
      </c>
      <c r="D3780" s="105">
        <v>45374.435466435185</v>
      </c>
      <c r="E3780" t="s">
        <v>312</v>
      </c>
      <c r="F3780" t="s">
        <v>1402</v>
      </c>
      <c r="G3780">
        <v>0</v>
      </c>
      <c r="H3780" t="s">
        <v>315</v>
      </c>
      <c r="I3780">
        <v>0</v>
      </c>
      <c r="J3780">
        <v>0</v>
      </c>
      <c r="K3780">
        <v>0</v>
      </c>
      <c r="L3780" t="s">
        <v>241</v>
      </c>
      <c r="M3780" t="s">
        <v>1398</v>
      </c>
      <c r="N3780">
        <v>0</v>
      </c>
      <c r="O3780" t="s">
        <v>1391</v>
      </c>
      <c r="P3780" t="s">
        <v>310</v>
      </c>
      <c r="Q3780" t="s">
        <v>310</v>
      </c>
      <c r="R3780" t="s">
        <v>310</v>
      </c>
      <c r="S3780">
        <v>9</v>
      </c>
      <c r="T3780" t="s">
        <v>310</v>
      </c>
      <c r="U3780">
        <v>9</v>
      </c>
      <c r="V3780">
        <v>9</v>
      </c>
      <c r="W3780">
        <v>0</v>
      </c>
      <c r="X3780">
        <v>0</v>
      </c>
      <c r="Y3780">
        <v>0</v>
      </c>
      <c r="Z3780">
        <v>0</v>
      </c>
      <c r="AA3780">
        <v>9</v>
      </c>
      <c r="AB3780">
        <v>9</v>
      </c>
      <c r="AC3780" t="s">
        <v>310</v>
      </c>
      <c r="AD3780">
        <v>9</v>
      </c>
      <c r="AE3780" t="s">
        <v>1390</v>
      </c>
      <c r="AF3780">
        <v>20000000</v>
      </c>
      <c r="AG3780" t="s">
        <v>310</v>
      </c>
      <c r="AH3780">
        <f>SUM((MID(Dyno_Data[[#This Row],[Team]],4,5))+(Dyno_Data[[#This Row],[Match]]/100))</f>
        <v>1880.68</v>
      </c>
      <c r="AI3780" s="76">
        <f>ROUND(SUM(IF(Dyno_Data[[#This Row],[AcqCenter]]&gt;0,Dyno_Data[[#This Row],[Time]]-SUMIFS(Dyno_Data[Time],Dyno_Data[Team],Dyno_Data[[#This Row],[Team]],Dyno_Data[RecordType],"StartMatch",Dyno_Data[Match],Dyno_Data[[#This Row],[Match]]),0)*86400),0)</f>
        <v>0</v>
      </c>
    </row>
    <row r="3781" spans="1:35" x14ac:dyDescent="0.3">
      <c r="A3781">
        <v>3780</v>
      </c>
      <c r="B3781" t="s">
        <v>363</v>
      </c>
      <c r="C3781">
        <v>68</v>
      </c>
      <c r="D3781" s="105">
        <v>45374.435483761576</v>
      </c>
      <c r="E3781" t="s">
        <v>312</v>
      </c>
      <c r="F3781" t="s">
        <v>1402</v>
      </c>
      <c r="G3781">
        <v>0</v>
      </c>
      <c r="H3781" t="s">
        <v>315</v>
      </c>
      <c r="I3781">
        <v>0</v>
      </c>
      <c r="J3781">
        <v>0</v>
      </c>
      <c r="K3781">
        <v>0</v>
      </c>
      <c r="L3781" t="s">
        <v>240</v>
      </c>
      <c r="M3781" t="s">
        <v>1398</v>
      </c>
      <c r="N3781">
        <v>1</v>
      </c>
      <c r="O3781" t="s">
        <v>1395</v>
      </c>
      <c r="P3781" t="s">
        <v>310</v>
      </c>
      <c r="Q3781" t="s">
        <v>310</v>
      </c>
      <c r="R3781" t="s">
        <v>310</v>
      </c>
      <c r="S3781">
        <v>9</v>
      </c>
      <c r="T3781" t="s">
        <v>310</v>
      </c>
      <c r="U3781">
        <v>9</v>
      </c>
      <c r="V3781">
        <v>9</v>
      </c>
      <c r="W3781">
        <v>0</v>
      </c>
      <c r="X3781">
        <v>0</v>
      </c>
      <c r="Y3781">
        <v>0</v>
      </c>
      <c r="Z3781">
        <v>0</v>
      </c>
      <c r="AA3781">
        <v>9</v>
      </c>
      <c r="AB3781">
        <v>9</v>
      </c>
      <c r="AC3781" t="s">
        <v>310</v>
      </c>
      <c r="AD3781">
        <v>9</v>
      </c>
      <c r="AE3781" t="s">
        <v>1414</v>
      </c>
      <c r="AF3781">
        <v>90000000</v>
      </c>
      <c r="AG3781" t="s">
        <v>310</v>
      </c>
      <c r="AH3781">
        <f>SUM((MID(Dyno_Data[[#This Row],[Team]],4,5))+(Dyno_Data[[#This Row],[Match]]/100))</f>
        <v>2601.6799999999998</v>
      </c>
      <c r="AI3781" s="76">
        <f>ROUND(SUM(IF(Dyno_Data[[#This Row],[AcqCenter]]&gt;0,Dyno_Data[[#This Row],[Time]]-SUMIFS(Dyno_Data[Time],Dyno_Data[Team],Dyno_Data[[#This Row],[Team]],Dyno_Data[RecordType],"StartMatch",Dyno_Data[Match],Dyno_Data[[#This Row],[Match]]),0)*86400),0)</f>
        <v>0</v>
      </c>
    </row>
    <row r="3782" spans="1:35" x14ac:dyDescent="0.3">
      <c r="A3782">
        <v>3781</v>
      </c>
      <c r="B3782" t="s">
        <v>1306</v>
      </c>
      <c r="C3782">
        <v>68</v>
      </c>
      <c r="D3782" s="105">
        <v>45374.435486805553</v>
      </c>
      <c r="E3782" t="s">
        <v>312</v>
      </c>
      <c r="F3782" t="s">
        <v>1402</v>
      </c>
      <c r="G3782">
        <v>0</v>
      </c>
      <c r="H3782" t="s">
        <v>315</v>
      </c>
      <c r="I3782">
        <v>0</v>
      </c>
      <c r="J3782">
        <v>0</v>
      </c>
      <c r="K3782">
        <v>0</v>
      </c>
      <c r="L3782" t="s">
        <v>241</v>
      </c>
      <c r="M3782" t="s">
        <v>101</v>
      </c>
      <c r="N3782">
        <v>0</v>
      </c>
      <c r="O3782" t="s">
        <v>1389</v>
      </c>
      <c r="P3782" t="s">
        <v>310</v>
      </c>
      <c r="Q3782" t="s">
        <v>310</v>
      </c>
      <c r="R3782" t="s">
        <v>310</v>
      </c>
      <c r="S3782">
        <v>9</v>
      </c>
      <c r="T3782" t="s">
        <v>310</v>
      </c>
      <c r="U3782">
        <v>9</v>
      </c>
      <c r="V3782">
        <v>9</v>
      </c>
      <c r="W3782">
        <v>0</v>
      </c>
      <c r="X3782">
        <v>0</v>
      </c>
      <c r="Y3782">
        <v>0</v>
      </c>
      <c r="Z3782">
        <v>0</v>
      </c>
      <c r="AA3782">
        <v>9</v>
      </c>
      <c r="AB3782">
        <v>9</v>
      </c>
      <c r="AC3782" t="s">
        <v>310</v>
      </c>
      <c r="AD3782">
        <v>9</v>
      </c>
      <c r="AE3782" t="s">
        <v>1388</v>
      </c>
      <c r="AF3782">
        <v>20000000</v>
      </c>
      <c r="AG3782" t="s">
        <v>310</v>
      </c>
      <c r="AH3782">
        <f>SUM((MID(Dyno_Data[[#This Row],[Team]],4,5))+(Dyno_Data[[#This Row],[Match]]/100))</f>
        <v>3986.68</v>
      </c>
      <c r="AI3782" s="76">
        <f>ROUND(SUM(IF(Dyno_Data[[#This Row],[AcqCenter]]&gt;0,Dyno_Data[[#This Row],[Time]]-SUMIFS(Dyno_Data[Time],Dyno_Data[Team],Dyno_Data[[#This Row],[Team]],Dyno_Data[RecordType],"StartMatch",Dyno_Data[Match],Dyno_Data[[#This Row],[Match]]),0)*86400),0)</f>
        <v>0</v>
      </c>
    </row>
    <row r="3783" spans="1:35" x14ac:dyDescent="0.3">
      <c r="A3783">
        <v>3782</v>
      </c>
      <c r="B3783" t="s">
        <v>367</v>
      </c>
      <c r="C3783">
        <v>68</v>
      </c>
      <c r="D3783" s="105">
        <v>45374.435517245372</v>
      </c>
      <c r="E3783" t="s">
        <v>312</v>
      </c>
      <c r="F3783" t="s">
        <v>1402</v>
      </c>
      <c r="G3783">
        <v>0</v>
      </c>
      <c r="H3783" t="s">
        <v>315</v>
      </c>
      <c r="I3783">
        <v>0</v>
      </c>
      <c r="J3783">
        <v>0</v>
      </c>
      <c r="K3783">
        <v>0</v>
      </c>
      <c r="L3783" t="s">
        <v>241</v>
      </c>
      <c r="M3783" t="s">
        <v>101</v>
      </c>
      <c r="N3783">
        <v>0</v>
      </c>
      <c r="O3783" t="s">
        <v>1393</v>
      </c>
      <c r="P3783" t="s">
        <v>310</v>
      </c>
      <c r="Q3783" t="s">
        <v>310</v>
      </c>
      <c r="R3783" t="s">
        <v>310</v>
      </c>
      <c r="S3783">
        <v>9</v>
      </c>
      <c r="T3783" t="s">
        <v>310</v>
      </c>
      <c r="U3783">
        <v>9</v>
      </c>
      <c r="V3783">
        <v>9</v>
      </c>
      <c r="W3783">
        <v>0</v>
      </c>
      <c r="X3783">
        <v>0</v>
      </c>
      <c r="Y3783">
        <v>0</v>
      </c>
      <c r="Z3783">
        <v>0</v>
      </c>
      <c r="AA3783">
        <v>9</v>
      </c>
      <c r="AB3783">
        <v>9</v>
      </c>
      <c r="AC3783" t="s">
        <v>310</v>
      </c>
      <c r="AD3783">
        <v>9</v>
      </c>
      <c r="AE3783" t="s">
        <v>1413</v>
      </c>
      <c r="AF3783">
        <v>20001000</v>
      </c>
      <c r="AG3783" t="s">
        <v>310</v>
      </c>
      <c r="AH3783">
        <f>SUM((MID(Dyno_Data[[#This Row],[Team]],4,5))+(Dyno_Data[[#This Row],[Match]]/100))</f>
        <v>5016.68</v>
      </c>
      <c r="AI3783" s="76">
        <f>ROUND(SUM(IF(Dyno_Data[[#This Row],[AcqCenter]]&gt;0,Dyno_Data[[#This Row],[Time]]-SUMIFS(Dyno_Data[Time],Dyno_Data[Team],Dyno_Data[[#This Row],[Team]],Dyno_Data[RecordType],"StartMatch",Dyno_Data[Match],Dyno_Data[[#This Row],[Match]]),0)*86400),0)</f>
        <v>0</v>
      </c>
    </row>
    <row r="3784" spans="1:35" x14ac:dyDescent="0.3">
      <c r="A3784">
        <v>3783</v>
      </c>
      <c r="B3784" t="s">
        <v>363</v>
      </c>
      <c r="C3784">
        <v>68</v>
      </c>
      <c r="D3784" s="105">
        <v>45374.435552314812</v>
      </c>
      <c r="E3784" t="s">
        <v>312</v>
      </c>
      <c r="F3784" t="s">
        <v>1402</v>
      </c>
      <c r="G3784">
        <v>0</v>
      </c>
      <c r="H3784" t="s">
        <v>315</v>
      </c>
      <c r="I3784">
        <v>0</v>
      </c>
      <c r="J3784">
        <v>0</v>
      </c>
      <c r="K3784">
        <v>0</v>
      </c>
      <c r="L3784" t="s">
        <v>240</v>
      </c>
      <c r="M3784" t="s">
        <v>1398</v>
      </c>
      <c r="N3784">
        <v>0</v>
      </c>
      <c r="O3784" t="s">
        <v>1395</v>
      </c>
      <c r="P3784" t="s">
        <v>310</v>
      </c>
      <c r="Q3784" t="s">
        <v>310</v>
      </c>
      <c r="R3784" t="s">
        <v>310</v>
      </c>
      <c r="S3784">
        <v>9</v>
      </c>
      <c r="T3784" t="s">
        <v>310</v>
      </c>
      <c r="U3784">
        <v>9</v>
      </c>
      <c r="V3784">
        <v>9</v>
      </c>
      <c r="W3784">
        <v>0</v>
      </c>
      <c r="X3784">
        <v>0</v>
      </c>
      <c r="Y3784">
        <v>0</v>
      </c>
      <c r="Z3784">
        <v>0</v>
      </c>
      <c r="AA3784">
        <v>9</v>
      </c>
      <c r="AB3784">
        <v>9</v>
      </c>
      <c r="AC3784" t="s">
        <v>310</v>
      </c>
      <c r="AD3784">
        <v>9</v>
      </c>
      <c r="AE3784" t="s">
        <v>1414</v>
      </c>
      <c r="AF3784">
        <v>100000000</v>
      </c>
      <c r="AG3784" t="s">
        <v>310</v>
      </c>
      <c r="AH3784">
        <f>SUM((MID(Dyno_Data[[#This Row],[Team]],4,5))+(Dyno_Data[[#This Row],[Match]]/100))</f>
        <v>2601.6799999999998</v>
      </c>
      <c r="AI3784" s="76">
        <f>ROUND(SUM(IF(Dyno_Data[[#This Row],[AcqCenter]]&gt;0,Dyno_Data[[#This Row],[Time]]-SUMIFS(Dyno_Data[Time],Dyno_Data[Team],Dyno_Data[[#This Row],[Team]],Dyno_Data[RecordType],"StartMatch",Dyno_Data[Match],Dyno_Data[[#This Row],[Match]]),0)*86400),0)</f>
        <v>0</v>
      </c>
    </row>
    <row r="3785" spans="1:35" x14ac:dyDescent="0.3">
      <c r="A3785">
        <v>3784</v>
      </c>
      <c r="B3785" t="s">
        <v>360</v>
      </c>
      <c r="C3785">
        <v>68</v>
      </c>
      <c r="D3785" s="105">
        <v>45374.43560193287</v>
      </c>
      <c r="E3785" t="s">
        <v>312</v>
      </c>
      <c r="F3785" t="s">
        <v>1402</v>
      </c>
      <c r="G3785">
        <v>0</v>
      </c>
      <c r="H3785" t="s">
        <v>315</v>
      </c>
      <c r="I3785">
        <v>0</v>
      </c>
      <c r="J3785">
        <v>0</v>
      </c>
      <c r="K3785">
        <v>0</v>
      </c>
      <c r="L3785" t="s">
        <v>241</v>
      </c>
      <c r="M3785" t="s">
        <v>1398</v>
      </c>
      <c r="N3785">
        <v>0</v>
      </c>
      <c r="O3785" t="s">
        <v>319</v>
      </c>
      <c r="P3785" t="s">
        <v>310</v>
      </c>
      <c r="Q3785" t="s">
        <v>310</v>
      </c>
      <c r="R3785" t="s">
        <v>310</v>
      </c>
      <c r="S3785">
        <v>9</v>
      </c>
      <c r="T3785" t="s">
        <v>310</v>
      </c>
      <c r="U3785">
        <v>9</v>
      </c>
      <c r="V3785">
        <v>9</v>
      </c>
      <c r="W3785">
        <v>0</v>
      </c>
      <c r="X3785">
        <v>0</v>
      </c>
      <c r="Y3785">
        <v>0</v>
      </c>
      <c r="Z3785">
        <v>0</v>
      </c>
      <c r="AA3785">
        <v>9</v>
      </c>
      <c r="AB3785">
        <v>9</v>
      </c>
      <c r="AC3785" t="s">
        <v>310</v>
      </c>
      <c r="AD3785">
        <v>9</v>
      </c>
      <c r="AE3785" t="s">
        <v>1396</v>
      </c>
      <c r="AF3785">
        <v>100003000</v>
      </c>
      <c r="AG3785" t="s">
        <v>310</v>
      </c>
      <c r="AH3785">
        <f>SUM((MID(Dyno_Data[[#This Row],[Team]],4,5))+(Dyno_Data[[#This Row],[Match]]/100))</f>
        <v>1796.68</v>
      </c>
      <c r="AI3785" s="76">
        <f>ROUND(SUM(IF(Dyno_Data[[#This Row],[AcqCenter]]&gt;0,Dyno_Data[[#This Row],[Time]]-SUMIFS(Dyno_Data[Time],Dyno_Data[Team],Dyno_Data[[#This Row],[Team]],Dyno_Data[RecordType],"StartMatch",Dyno_Data[Match],Dyno_Data[[#This Row],[Match]]),0)*86400),0)</f>
        <v>0</v>
      </c>
    </row>
    <row r="3786" spans="1:35" x14ac:dyDescent="0.3">
      <c r="A3786">
        <v>3785</v>
      </c>
      <c r="B3786" t="s">
        <v>367</v>
      </c>
      <c r="C3786">
        <v>68</v>
      </c>
      <c r="D3786" s="105">
        <v>45374.435626967592</v>
      </c>
      <c r="E3786" t="s">
        <v>312</v>
      </c>
      <c r="F3786" t="s">
        <v>1402</v>
      </c>
      <c r="G3786">
        <v>0</v>
      </c>
      <c r="H3786" t="s">
        <v>315</v>
      </c>
      <c r="I3786">
        <v>0</v>
      </c>
      <c r="J3786">
        <v>0</v>
      </c>
      <c r="K3786">
        <v>0</v>
      </c>
      <c r="L3786" t="s">
        <v>242</v>
      </c>
      <c r="M3786" t="s">
        <v>1398</v>
      </c>
      <c r="N3786">
        <v>0</v>
      </c>
      <c r="O3786" t="s">
        <v>1393</v>
      </c>
      <c r="P3786" t="s">
        <v>310</v>
      </c>
      <c r="Q3786" t="s">
        <v>310</v>
      </c>
      <c r="R3786" t="s">
        <v>310</v>
      </c>
      <c r="S3786">
        <v>9</v>
      </c>
      <c r="T3786" t="s">
        <v>310</v>
      </c>
      <c r="U3786">
        <v>9</v>
      </c>
      <c r="V3786">
        <v>9</v>
      </c>
      <c r="W3786">
        <v>0</v>
      </c>
      <c r="X3786">
        <v>0</v>
      </c>
      <c r="Y3786">
        <v>0</v>
      </c>
      <c r="Z3786">
        <v>0</v>
      </c>
      <c r="AA3786">
        <v>9</v>
      </c>
      <c r="AB3786">
        <v>9</v>
      </c>
      <c r="AC3786" t="s">
        <v>310</v>
      </c>
      <c r="AD3786">
        <v>9</v>
      </c>
      <c r="AE3786" t="s">
        <v>1413</v>
      </c>
      <c r="AF3786">
        <v>30001000</v>
      </c>
      <c r="AG3786" t="s">
        <v>310</v>
      </c>
      <c r="AH3786">
        <f>SUM((MID(Dyno_Data[[#This Row],[Team]],4,5))+(Dyno_Data[[#This Row],[Match]]/100))</f>
        <v>5016.68</v>
      </c>
      <c r="AI3786" s="76">
        <f>ROUND(SUM(IF(Dyno_Data[[#This Row],[AcqCenter]]&gt;0,Dyno_Data[[#This Row],[Time]]-SUMIFS(Dyno_Data[Time],Dyno_Data[Team],Dyno_Data[[#This Row],[Team]],Dyno_Data[RecordType],"StartMatch",Dyno_Data[Match],Dyno_Data[[#This Row],[Match]]),0)*86400),0)</f>
        <v>0</v>
      </c>
    </row>
    <row r="3787" spans="1:35" x14ac:dyDescent="0.3">
      <c r="A3787">
        <v>3786</v>
      </c>
      <c r="B3787" t="s">
        <v>364</v>
      </c>
      <c r="C3787">
        <v>68</v>
      </c>
      <c r="D3787" s="105">
        <v>45374.435637696763</v>
      </c>
      <c r="E3787" t="s">
        <v>312</v>
      </c>
      <c r="F3787" t="s">
        <v>1402</v>
      </c>
      <c r="G3787">
        <v>0</v>
      </c>
      <c r="H3787" t="s">
        <v>315</v>
      </c>
      <c r="I3787">
        <v>0</v>
      </c>
      <c r="J3787">
        <v>0</v>
      </c>
      <c r="K3787">
        <v>0</v>
      </c>
      <c r="L3787" t="s">
        <v>241</v>
      </c>
      <c r="M3787" t="s">
        <v>1398</v>
      </c>
      <c r="N3787">
        <v>0</v>
      </c>
      <c r="O3787" t="s">
        <v>311</v>
      </c>
      <c r="P3787" t="s">
        <v>310</v>
      </c>
      <c r="Q3787" t="s">
        <v>310</v>
      </c>
      <c r="R3787" t="s">
        <v>310</v>
      </c>
      <c r="S3787">
        <v>9</v>
      </c>
      <c r="T3787" t="s">
        <v>310</v>
      </c>
      <c r="U3787">
        <v>9</v>
      </c>
      <c r="V3787">
        <v>9</v>
      </c>
      <c r="W3787">
        <v>0</v>
      </c>
      <c r="X3787">
        <v>0</v>
      </c>
      <c r="Y3787">
        <v>0</v>
      </c>
      <c r="Z3787">
        <v>0</v>
      </c>
      <c r="AA3787">
        <v>9</v>
      </c>
      <c r="AB3787">
        <v>9</v>
      </c>
      <c r="AC3787" t="s">
        <v>310</v>
      </c>
      <c r="AD3787">
        <v>9</v>
      </c>
      <c r="AE3787" t="s">
        <v>1412</v>
      </c>
      <c r="AF3787">
        <v>60000000</v>
      </c>
      <c r="AG3787" t="s">
        <v>310</v>
      </c>
      <c r="AH3787">
        <f>SUM((MID(Dyno_Data[[#This Row],[Team]],4,5))+(Dyno_Data[[#This Row],[Match]]/100))</f>
        <v>2791.68</v>
      </c>
      <c r="AI3787" s="76">
        <f>ROUND(SUM(IF(Dyno_Data[[#This Row],[AcqCenter]]&gt;0,Dyno_Data[[#This Row],[Time]]-SUMIFS(Dyno_Data[Time],Dyno_Data[Team],Dyno_Data[[#This Row],[Team]],Dyno_Data[RecordType],"StartMatch",Dyno_Data[Match],Dyno_Data[[#This Row],[Match]]),0)*86400),0)</f>
        <v>0</v>
      </c>
    </row>
    <row r="3788" spans="1:35" x14ac:dyDescent="0.3">
      <c r="A3788">
        <v>3787</v>
      </c>
      <c r="B3788" t="s">
        <v>1306</v>
      </c>
      <c r="C3788">
        <v>68</v>
      </c>
      <c r="D3788" s="105">
        <v>45374.435639120369</v>
      </c>
      <c r="E3788" t="s">
        <v>312</v>
      </c>
      <c r="F3788" t="s">
        <v>1402</v>
      </c>
      <c r="G3788">
        <v>0</v>
      </c>
      <c r="H3788" t="s">
        <v>315</v>
      </c>
      <c r="I3788">
        <v>0</v>
      </c>
      <c r="J3788">
        <v>0</v>
      </c>
      <c r="K3788">
        <v>0</v>
      </c>
      <c r="L3788" t="s">
        <v>241</v>
      </c>
      <c r="M3788" t="s">
        <v>1398</v>
      </c>
      <c r="N3788">
        <v>1</v>
      </c>
      <c r="O3788" t="s">
        <v>1389</v>
      </c>
      <c r="P3788" t="s">
        <v>310</v>
      </c>
      <c r="Q3788" t="s">
        <v>310</v>
      </c>
      <c r="R3788" t="s">
        <v>310</v>
      </c>
      <c r="S3788">
        <v>9</v>
      </c>
      <c r="T3788" t="s">
        <v>310</v>
      </c>
      <c r="U3788">
        <v>9</v>
      </c>
      <c r="V3788">
        <v>9</v>
      </c>
      <c r="W3788">
        <v>0</v>
      </c>
      <c r="X3788">
        <v>0</v>
      </c>
      <c r="Y3788">
        <v>0</v>
      </c>
      <c r="Z3788">
        <v>0</v>
      </c>
      <c r="AA3788">
        <v>9</v>
      </c>
      <c r="AB3788">
        <v>9</v>
      </c>
      <c r="AC3788" t="s">
        <v>310</v>
      </c>
      <c r="AD3788">
        <v>9</v>
      </c>
      <c r="AE3788" t="s">
        <v>1388</v>
      </c>
      <c r="AF3788">
        <v>30000000</v>
      </c>
      <c r="AG3788" t="s">
        <v>310</v>
      </c>
      <c r="AH3788">
        <f>SUM((MID(Dyno_Data[[#This Row],[Team]],4,5))+(Dyno_Data[[#This Row],[Match]]/100))</f>
        <v>3986.68</v>
      </c>
      <c r="AI3788" s="76">
        <f>ROUND(SUM(IF(Dyno_Data[[#This Row],[AcqCenter]]&gt;0,Dyno_Data[[#This Row],[Time]]-SUMIFS(Dyno_Data[Time],Dyno_Data[Team],Dyno_Data[[#This Row],[Team]],Dyno_Data[RecordType],"StartMatch",Dyno_Data[Match],Dyno_Data[[#This Row],[Match]]),0)*86400),0)</f>
        <v>0</v>
      </c>
    </row>
    <row r="3789" spans="1:35" x14ac:dyDescent="0.3">
      <c r="A3789">
        <v>3788</v>
      </c>
      <c r="B3789" t="s">
        <v>363</v>
      </c>
      <c r="C3789">
        <v>68</v>
      </c>
      <c r="D3789" s="105">
        <v>45374.435691550927</v>
      </c>
      <c r="E3789" t="s">
        <v>312</v>
      </c>
      <c r="F3789" t="s">
        <v>1402</v>
      </c>
      <c r="G3789">
        <v>0</v>
      </c>
      <c r="H3789" t="s">
        <v>315</v>
      </c>
      <c r="I3789">
        <v>0</v>
      </c>
      <c r="J3789">
        <v>0</v>
      </c>
      <c r="K3789">
        <v>0</v>
      </c>
      <c r="L3789" t="s">
        <v>240</v>
      </c>
      <c r="M3789" t="s">
        <v>1398</v>
      </c>
      <c r="N3789">
        <v>0</v>
      </c>
      <c r="O3789" t="s">
        <v>1395</v>
      </c>
      <c r="P3789" t="s">
        <v>310</v>
      </c>
      <c r="Q3789" t="s">
        <v>310</v>
      </c>
      <c r="R3789" t="s">
        <v>310</v>
      </c>
      <c r="S3789">
        <v>9</v>
      </c>
      <c r="T3789" t="s">
        <v>310</v>
      </c>
      <c r="U3789">
        <v>9</v>
      </c>
      <c r="V3789">
        <v>9</v>
      </c>
      <c r="W3789">
        <v>0</v>
      </c>
      <c r="X3789">
        <v>0</v>
      </c>
      <c r="Y3789">
        <v>0</v>
      </c>
      <c r="Z3789">
        <v>0</v>
      </c>
      <c r="AA3789">
        <v>9</v>
      </c>
      <c r="AB3789">
        <v>9</v>
      </c>
      <c r="AC3789" t="s">
        <v>310</v>
      </c>
      <c r="AD3789">
        <v>9</v>
      </c>
      <c r="AE3789" t="s">
        <v>1414</v>
      </c>
      <c r="AF3789">
        <v>110000000</v>
      </c>
      <c r="AG3789" t="s">
        <v>310</v>
      </c>
      <c r="AH3789">
        <f>SUM((MID(Dyno_Data[[#This Row],[Team]],4,5))+(Dyno_Data[[#This Row],[Match]]/100))</f>
        <v>2601.6799999999998</v>
      </c>
      <c r="AI3789" s="76">
        <f>ROUND(SUM(IF(Dyno_Data[[#This Row],[AcqCenter]]&gt;0,Dyno_Data[[#This Row],[Time]]-SUMIFS(Dyno_Data[Time],Dyno_Data[Team],Dyno_Data[[#This Row],[Team]],Dyno_Data[RecordType],"StartMatch",Dyno_Data[Match],Dyno_Data[[#This Row],[Match]]),0)*86400),0)</f>
        <v>0</v>
      </c>
    </row>
    <row r="3790" spans="1:35" x14ac:dyDescent="0.3">
      <c r="A3790">
        <v>3789</v>
      </c>
      <c r="B3790" t="s">
        <v>360</v>
      </c>
      <c r="C3790">
        <v>68</v>
      </c>
      <c r="D3790" s="105">
        <v>45374.435706053242</v>
      </c>
      <c r="E3790" t="s">
        <v>312</v>
      </c>
      <c r="F3790" t="s">
        <v>1402</v>
      </c>
      <c r="G3790">
        <v>0</v>
      </c>
      <c r="H3790" t="s">
        <v>315</v>
      </c>
      <c r="I3790">
        <v>0</v>
      </c>
      <c r="J3790">
        <v>0</v>
      </c>
      <c r="K3790">
        <v>0</v>
      </c>
      <c r="L3790" t="s">
        <v>241</v>
      </c>
      <c r="M3790" t="s">
        <v>1398</v>
      </c>
      <c r="N3790">
        <v>0</v>
      </c>
      <c r="O3790" t="s">
        <v>319</v>
      </c>
      <c r="P3790" t="s">
        <v>310</v>
      </c>
      <c r="Q3790" t="s">
        <v>310</v>
      </c>
      <c r="R3790" t="s">
        <v>310</v>
      </c>
      <c r="S3790">
        <v>9</v>
      </c>
      <c r="T3790" t="s">
        <v>310</v>
      </c>
      <c r="U3790">
        <v>9</v>
      </c>
      <c r="V3790">
        <v>9</v>
      </c>
      <c r="W3790">
        <v>0</v>
      </c>
      <c r="X3790">
        <v>0</v>
      </c>
      <c r="Y3790">
        <v>0</v>
      </c>
      <c r="Z3790">
        <v>0</v>
      </c>
      <c r="AA3790">
        <v>9</v>
      </c>
      <c r="AB3790">
        <v>9</v>
      </c>
      <c r="AC3790" t="s">
        <v>310</v>
      </c>
      <c r="AD3790">
        <v>9</v>
      </c>
      <c r="AE3790" t="s">
        <v>1396</v>
      </c>
      <c r="AF3790">
        <v>110003000</v>
      </c>
      <c r="AG3790" t="s">
        <v>310</v>
      </c>
      <c r="AH3790">
        <f>SUM((MID(Dyno_Data[[#This Row],[Team]],4,5))+(Dyno_Data[[#This Row],[Match]]/100))</f>
        <v>1796.68</v>
      </c>
      <c r="AI3790" s="76">
        <f>ROUND(SUM(IF(Dyno_Data[[#This Row],[AcqCenter]]&gt;0,Dyno_Data[[#This Row],[Time]]-SUMIFS(Dyno_Data[Time],Dyno_Data[Team],Dyno_Data[[#This Row],[Team]],Dyno_Data[RecordType],"StartMatch",Dyno_Data[Match],Dyno_Data[[#This Row],[Match]]),0)*86400),0)</f>
        <v>0</v>
      </c>
    </row>
    <row r="3791" spans="1:35" x14ac:dyDescent="0.3">
      <c r="A3791">
        <v>3790</v>
      </c>
      <c r="B3791" t="s">
        <v>1306</v>
      </c>
      <c r="C3791">
        <v>68</v>
      </c>
      <c r="D3791" s="105">
        <v>45374.43570829861</v>
      </c>
      <c r="E3791" t="s">
        <v>1403</v>
      </c>
      <c r="F3791" t="s">
        <v>1402</v>
      </c>
      <c r="G3791">
        <v>0</v>
      </c>
      <c r="H3791" t="s">
        <v>310</v>
      </c>
      <c r="I3791">
        <v>0</v>
      </c>
      <c r="J3791">
        <v>0</v>
      </c>
      <c r="K3791">
        <v>0</v>
      </c>
      <c r="L3791" t="s">
        <v>310</v>
      </c>
      <c r="M3791" t="s">
        <v>310</v>
      </c>
      <c r="N3791">
        <v>0</v>
      </c>
      <c r="O3791" t="s">
        <v>1389</v>
      </c>
      <c r="P3791" t="s">
        <v>310</v>
      </c>
      <c r="Q3791" t="s">
        <v>310</v>
      </c>
      <c r="R3791" t="s">
        <v>310</v>
      </c>
      <c r="S3791">
        <v>9</v>
      </c>
      <c r="T3791" t="s">
        <v>310</v>
      </c>
      <c r="U3791">
        <v>9</v>
      </c>
      <c r="V3791">
        <v>9</v>
      </c>
      <c r="W3791">
        <v>0</v>
      </c>
      <c r="X3791">
        <v>0</v>
      </c>
      <c r="Y3791">
        <v>0</v>
      </c>
      <c r="Z3791">
        <v>0</v>
      </c>
      <c r="AA3791">
        <v>9</v>
      </c>
      <c r="AB3791">
        <v>9</v>
      </c>
      <c r="AC3791" t="s">
        <v>310</v>
      </c>
      <c r="AD3791">
        <v>9</v>
      </c>
      <c r="AE3791" t="s">
        <v>1388</v>
      </c>
      <c r="AF3791">
        <v>110003000</v>
      </c>
      <c r="AG3791" t="s">
        <v>249</v>
      </c>
      <c r="AH3791">
        <f>SUM((MID(Dyno_Data[[#This Row],[Team]],4,5))+(Dyno_Data[[#This Row],[Match]]/100))</f>
        <v>3986.68</v>
      </c>
      <c r="AI3791" s="76">
        <f>ROUND(SUM(IF(Dyno_Data[[#This Row],[AcqCenter]]&gt;0,Dyno_Data[[#This Row],[Time]]-SUMIFS(Dyno_Data[Time],Dyno_Data[Team],Dyno_Data[[#This Row],[Team]],Dyno_Data[RecordType],"StartMatch",Dyno_Data[Match],Dyno_Data[[#This Row],[Match]]),0)*86400),0)</f>
        <v>0</v>
      </c>
    </row>
    <row r="3792" spans="1:35" x14ac:dyDescent="0.3">
      <c r="A3792">
        <v>3791</v>
      </c>
      <c r="B3792" t="s">
        <v>1275</v>
      </c>
      <c r="C3792">
        <v>68</v>
      </c>
      <c r="D3792" s="105">
        <v>45374.435722997689</v>
      </c>
      <c r="E3792" t="s">
        <v>312</v>
      </c>
      <c r="F3792" t="s">
        <v>1402</v>
      </c>
      <c r="G3792">
        <v>0</v>
      </c>
      <c r="H3792" t="s">
        <v>315</v>
      </c>
      <c r="I3792">
        <v>0</v>
      </c>
      <c r="J3792">
        <v>0</v>
      </c>
      <c r="K3792">
        <v>0</v>
      </c>
      <c r="L3792" t="s">
        <v>241</v>
      </c>
      <c r="M3792" t="s">
        <v>1398</v>
      </c>
      <c r="N3792">
        <v>0</v>
      </c>
      <c r="O3792" t="s">
        <v>1391</v>
      </c>
      <c r="P3792" t="s">
        <v>310</v>
      </c>
      <c r="Q3792" t="s">
        <v>310</v>
      </c>
      <c r="R3792" t="s">
        <v>310</v>
      </c>
      <c r="S3792">
        <v>9</v>
      </c>
      <c r="T3792" t="s">
        <v>310</v>
      </c>
      <c r="U3792">
        <v>9</v>
      </c>
      <c r="V3792">
        <v>9</v>
      </c>
      <c r="W3792">
        <v>0</v>
      </c>
      <c r="X3792">
        <v>0</v>
      </c>
      <c r="Y3792">
        <v>0</v>
      </c>
      <c r="Z3792">
        <v>0</v>
      </c>
      <c r="AA3792">
        <v>9</v>
      </c>
      <c r="AB3792">
        <v>9</v>
      </c>
      <c r="AC3792" t="s">
        <v>310</v>
      </c>
      <c r="AD3792">
        <v>9</v>
      </c>
      <c r="AE3792" t="s">
        <v>1390</v>
      </c>
      <c r="AF3792">
        <v>30000000</v>
      </c>
      <c r="AG3792" t="s">
        <v>310</v>
      </c>
      <c r="AH3792">
        <f>SUM((MID(Dyno_Data[[#This Row],[Team]],4,5))+(Dyno_Data[[#This Row],[Match]]/100))</f>
        <v>1880.68</v>
      </c>
      <c r="AI3792" s="76">
        <f>ROUND(SUM(IF(Dyno_Data[[#This Row],[AcqCenter]]&gt;0,Dyno_Data[[#This Row],[Time]]-SUMIFS(Dyno_Data[Time],Dyno_Data[Team],Dyno_Data[[#This Row],[Team]],Dyno_Data[RecordType],"StartMatch",Dyno_Data[Match],Dyno_Data[[#This Row],[Match]]),0)*86400),0)</f>
        <v>0</v>
      </c>
    </row>
    <row r="3793" spans="1:35" x14ac:dyDescent="0.3">
      <c r="A3793">
        <v>3792</v>
      </c>
      <c r="B3793" t="s">
        <v>363</v>
      </c>
      <c r="C3793">
        <v>68</v>
      </c>
      <c r="D3793" s="105">
        <v>45374.435797685182</v>
      </c>
      <c r="E3793" t="s">
        <v>312</v>
      </c>
      <c r="F3793" t="s">
        <v>1402</v>
      </c>
      <c r="G3793">
        <v>0</v>
      </c>
      <c r="H3793" t="s">
        <v>315</v>
      </c>
      <c r="I3793">
        <v>0</v>
      </c>
      <c r="J3793">
        <v>0</v>
      </c>
      <c r="K3793">
        <v>0</v>
      </c>
      <c r="L3793" t="s">
        <v>240</v>
      </c>
      <c r="M3793" t="s">
        <v>1398</v>
      </c>
      <c r="N3793">
        <v>1</v>
      </c>
      <c r="O3793" t="s">
        <v>1395</v>
      </c>
      <c r="P3793" t="s">
        <v>310</v>
      </c>
      <c r="Q3793" t="s">
        <v>310</v>
      </c>
      <c r="R3793" t="s">
        <v>310</v>
      </c>
      <c r="S3793">
        <v>9</v>
      </c>
      <c r="T3793" t="s">
        <v>310</v>
      </c>
      <c r="U3793">
        <v>9</v>
      </c>
      <c r="V3793">
        <v>9</v>
      </c>
      <c r="W3793">
        <v>0</v>
      </c>
      <c r="X3793">
        <v>0</v>
      </c>
      <c r="Y3793">
        <v>0</v>
      </c>
      <c r="Z3793">
        <v>0</v>
      </c>
      <c r="AA3793">
        <v>9</v>
      </c>
      <c r="AB3793">
        <v>9</v>
      </c>
      <c r="AC3793" t="s">
        <v>310</v>
      </c>
      <c r="AD3793">
        <v>9</v>
      </c>
      <c r="AE3793" t="s">
        <v>1414</v>
      </c>
      <c r="AF3793">
        <v>120000000</v>
      </c>
      <c r="AG3793" t="s">
        <v>310</v>
      </c>
      <c r="AH3793">
        <f>SUM((MID(Dyno_Data[[#This Row],[Team]],4,5))+(Dyno_Data[[#This Row],[Match]]/100))</f>
        <v>2601.6799999999998</v>
      </c>
      <c r="AI3793" s="76">
        <f>ROUND(SUM(IF(Dyno_Data[[#This Row],[AcqCenter]]&gt;0,Dyno_Data[[#This Row],[Time]]-SUMIFS(Dyno_Data[Time],Dyno_Data[Team],Dyno_Data[[#This Row],[Team]],Dyno_Data[RecordType],"StartMatch",Dyno_Data[Match],Dyno_Data[[#This Row],[Match]]),0)*86400),0)</f>
        <v>0</v>
      </c>
    </row>
    <row r="3794" spans="1:35" x14ac:dyDescent="0.3">
      <c r="A3794">
        <v>3793</v>
      </c>
      <c r="B3794" t="s">
        <v>364</v>
      </c>
      <c r="C3794">
        <v>68</v>
      </c>
      <c r="D3794" s="105">
        <v>45374.435869062501</v>
      </c>
      <c r="E3794" t="s">
        <v>312</v>
      </c>
      <c r="F3794" t="s">
        <v>1402</v>
      </c>
      <c r="G3794">
        <v>0</v>
      </c>
      <c r="H3794" t="s">
        <v>315</v>
      </c>
      <c r="I3794">
        <v>0</v>
      </c>
      <c r="J3794">
        <v>0</v>
      </c>
      <c r="K3794">
        <v>0</v>
      </c>
      <c r="L3794" t="s">
        <v>241</v>
      </c>
      <c r="M3794" t="s">
        <v>1398</v>
      </c>
      <c r="N3794">
        <v>0</v>
      </c>
      <c r="O3794" t="s">
        <v>311</v>
      </c>
      <c r="P3794" t="s">
        <v>310</v>
      </c>
      <c r="Q3794" t="s">
        <v>310</v>
      </c>
      <c r="R3794" t="s">
        <v>310</v>
      </c>
      <c r="S3794">
        <v>9</v>
      </c>
      <c r="T3794" t="s">
        <v>310</v>
      </c>
      <c r="U3794">
        <v>9</v>
      </c>
      <c r="V3794">
        <v>9</v>
      </c>
      <c r="W3794">
        <v>0</v>
      </c>
      <c r="X3794">
        <v>0</v>
      </c>
      <c r="Y3794">
        <v>0</v>
      </c>
      <c r="Z3794">
        <v>0</v>
      </c>
      <c r="AA3794">
        <v>9</v>
      </c>
      <c r="AB3794">
        <v>9</v>
      </c>
      <c r="AC3794" t="s">
        <v>310</v>
      </c>
      <c r="AD3794">
        <v>9</v>
      </c>
      <c r="AE3794" t="s">
        <v>1412</v>
      </c>
      <c r="AF3794">
        <v>70000000</v>
      </c>
      <c r="AG3794" t="s">
        <v>310</v>
      </c>
      <c r="AH3794">
        <f>SUM((MID(Dyno_Data[[#This Row],[Team]],4,5))+(Dyno_Data[[#This Row],[Match]]/100))</f>
        <v>2791.68</v>
      </c>
      <c r="AI3794" s="76">
        <f>ROUND(SUM(IF(Dyno_Data[[#This Row],[AcqCenter]]&gt;0,Dyno_Data[[#This Row],[Time]]-SUMIFS(Dyno_Data[Time],Dyno_Data[Team],Dyno_Data[[#This Row],[Team]],Dyno_Data[RecordType],"StartMatch",Dyno_Data[Match],Dyno_Data[[#This Row],[Match]]),0)*86400),0)</f>
        <v>0</v>
      </c>
    </row>
    <row r="3795" spans="1:35" x14ac:dyDescent="0.3">
      <c r="A3795">
        <v>3794</v>
      </c>
      <c r="B3795" t="s">
        <v>363</v>
      </c>
      <c r="C3795">
        <v>68</v>
      </c>
      <c r="D3795" s="105">
        <v>45374.435920057869</v>
      </c>
      <c r="E3795" t="s">
        <v>312</v>
      </c>
      <c r="F3795" t="s">
        <v>1402</v>
      </c>
      <c r="G3795">
        <v>0</v>
      </c>
      <c r="H3795" t="s">
        <v>315</v>
      </c>
      <c r="I3795">
        <v>0</v>
      </c>
      <c r="J3795">
        <v>0</v>
      </c>
      <c r="K3795">
        <v>0</v>
      </c>
      <c r="L3795" t="s">
        <v>240</v>
      </c>
      <c r="M3795" t="s">
        <v>1398</v>
      </c>
      <c r="N3795">
        <v>0</v>
      </c>
      <c r="O3795" t="s">
        <v>1395</v>
      </c>
      <c r="P3795" t="s">
        <v>310</v>
      </c>
      <c r="Q3795" t="s">
        <v>310</v>
      </c>
      <c r="R3795" t="s">
        <v>310</v>
      </c>
      <c r="S3795">
        <v>9</v>
      </c>
      <c r="T3795" t="s">
        <v>310</v>
      </c>
      <c r="U3795">
        <v>9</v>
      </c>
      <c r="V3795">
        <v>9</v>
      </c>
      <c r="W3795">
        <v>0</v>
      </c>
      <c r="X3795">
        <v>0</v>
      </c>
      <c r="Y3795">
        <v>0</v>
      </c>
      <c r="Z3795">
        <v>0</v>
      </c>
      <c r="AA3795">
        <v>9</v>
      </c>
      <c r="AB3795">
        <v>9</v>
      </c>
      <c r="AC3795" t="s">
        <v>310</v>
      </c>
      <c r="AD3795">
        <v>9</v>
      </c>
      <c r="AE3795" t="s">
        <v>1414</v>
      </c>
      <c r="AF3795">
        <v>130000000</v>
      </c>
      <c r="AG3795" t="s">
        <v>310</v>
      </c>
      <c r="AH3795">
        <f>SUM((MID(Dyno_Data[[#This Row],[Team]],4,5))+(Dyno_Data[[#This Row],[Match]]/100))</f>
        <v>2601.6799999999998</v>
      </c>
      <c r="AI3795" s="76">
        <f>ROUND(SUM(IF(Dyno_Data[[#This Row],[AcqCenter]]&gt;0,Dyno_Data[[#This Row],[Time]]-SUMIFS(Dyno_Data[Time],Dyno_Data[Team],Dyno_Data[[#This Row],[Team]],Dyno_Data[RecordType],"StartMatch",Dyno_Data[Match],Dyno_Data[[#This Row],[Match]]),0)*86400),0)</f>
        <v>0</v>
      </c>
    </row>
    <row r="3796" spans="1:35" x14ac:dyDescent="0.3">
      <c r="A3796">
        <v>3795</v>
      </c>
      <c r="B3796" t="s">
        <v>1275</v>
      </c>
      <c r="C3796">
        <v>68</v>
      </c>
      <c r="D3796" s="105">
        <v>45374.435922835648</v>
      </c>
      <c r="E3796" t="s">
        <v>312</v>
      </c>
      <c r="F3796" t="s">
        <v>1402</v>
      </c>
      <c r="G3796">
        <v>0</v>
      </c>
      <c r="H3796" t="s">
        <v>315</v>
      </c>
      <c r="I3796">
        <v>0</v>
      </c>
      <c r="J3796">
        <v>0</v>
      </c>
      <c r="K3796">
        <v>0</v>
      </c>
      <c r="L3796" t="s">
        <v>241</v>
      </c>
      <c r="M3796" t="s">
        <v>1398</v>
      </c>
      <c r="N3796">
        <v>0</v>
      </c>
      <c r="O3796" t="s">
        <v>1391</v>
      </c>
      <c r="P3796" t="s">
        <v>310</v>
      </c>
      <c r="Q3796" t="s">
        <v>310</v>
      </c>
      <c r="R3796" t="s">
        <v>310</v>
      </c>
      <c r="S3796">
        <v>9</v>
      </c>
      <c r="T3796" t="s">
        <v>310</v>
      </c>
      <c r="U3796">
        <v>9</v>
      </c>
      <c r="V3796">
        <v>9</v>
      </c>
      <c r="W3796">
        <v>0</v>
      </c>
      <c r="X3796">
        <v>0</v>
      </c>
      <c r="Y3796">
        <v>0</v>
      </c>
      <c r="Z3796">
        <v>0</v>
      </c>
      <c r="AA3796">
        <v>9</v>
      </c>
      <c r="AB3796">
        <v>9</v>
      </c>
      <c r="AC3796" t="s">
        <v>310</v>
      </c>
      <c r="AD3796">
        <v>9</v>
      </c>
      <c r="AE3796" t="s">
        <v>1390</v>
      </c>
      <c r="AF3796">
        <v>40000000</v>
      </c>
      <c r="AG3796" t="s">
        <v>310</v>
      </c>
      <c r="AH3796">
        <f>SUM((MID(Dyno_Data[[#This Row],[Team]],4,5))+(Dyno_Data[[#This Row],[Match]]/100))</f>
        <v>1880.68</v>
      </c>
      <c r="AI3796" s="76">
        <f>ROUND(SUM(IF(Dyno_Data[[#This Row],[AcqCenter]]&gt;0,Dyno_Data[[#This Row],[Time]]-SUMIFS(Dyno_Data[Time],Dyno_Data[Team],Dyno_Data[[#This Row],[Team]],Dyno_Data[RecordType],"StartMatch",Dyno_Data[Match],Dyno_Data[[#This Row],[Match]]),0)*86400),0)</f>
        <v>0</v>
      </c>
    </row>
    <row r="3797" spans="1:35" x14ac:dyDescent="0.3">
      <c r="A3797">
        <v>3796</v>
      </c>
      <c r="B3797" t="s">
        <v>367</v>
      </c>
      <c r="C3797">
        <v>68</v>
      </c>
      <c r="D3797" s="105">
        <v>45374.435964780096</v>
      </c>
      <c r="E3797" t="s">
        <v>312</v>
      </c>
      <c r="F3797" t="s">
        <v>1402</v>
      </c>
      <c r="G3797">
        <v>0</v>
      </c>
      <c r="H3797" t="s">
        <v>315</v>
      </c>
      <c r="I3797">
        <v>0</v>
      </c>
      <c r="J3797">
        <v>0</v>
      </c>
      <c r="K3797">
        <v>0</v>
      </c>
      <c r="L3797" t="s">
        <v>242</v>
      </c>
      <c r="M3797" t="s">
        <v>1398</v>
      </c>
      <c r="N3797">
        <v>0</v>
      </c>
      <c r="O3797" t="s">
        <v>1393</v>
      </c>
      <c r="P3797" t="s">
        <v>310</v>
      </c>
      <c r="Q3797" t="s">
        <v>310</v>
      </c>
      <c r="R3797" t="s">
        <v>310</v>
      </c>
      <c r="S3797">
        <v>9</v>
      </c>
      <c r="T3797" t="s">
        <v>310</v>
      </c>
      <c r="U3797">
        <v>9</v>
      </c>
      <c r="V3797">
        <v>9</v>
      </c>
      <c r="W3797">
        <v>0</v>
      </c>
      <c r="X3797">
        <v>0</v>
      </c>
      <c r="Y3797">
        <v>0</v>
      </c>
      <c r="Z3797">
        <v>0</v>
      </c>
      <c r="AA3797">
        <v>9</v>
      </c>
      <c r="AB3797">
        <v>9</v>
      </c>
      <c r="AC3797" t="s">
        <v>310</v>
      </c>
      <c r="AD3797">
        <v>9</v>
      </c>
      <c r="AE3797" t="s">
        <v>1413</v>
      </c>
      <c r="AF3797">
        <v>40001000</v>
      </c>
      <c r="AG3797" t="s">
        <v>310</v>
      </c>
      <c r="AH3797">
        <f>SUM((MID(Dyno_Data[[#This Row],[Team]],4,5))+(Dyno_Data[[#This Row],[Match]]/100))</f>
        <v>5016.68</v>
      </c>
      <c r="AI3797" s="76">
        <f>ROUND(SUM(IF(Dyno_Data[[#This Row],[AcqCenter]]&gt;0,Dyno_Data[[#This Row],[Time]]-SUMIFS(Dyno_Data[Time],Dyno_Data[Team],Dyno_Data[[#This Row],[Team]],Dyno_Data[RecordType],"StartMatch",Dyno_Data[Match],Dyno_Data[[#This Row],[Match]]),0)*86400),0)</f>
        <v>0</v>
      </c>
    </row>
    <row r="3798" spans="1:35" x14ac:dyDescent="0.3">
      <c r="A3798">
        <v>3797</v>
      </c>
      <c r="B3798" t="s">
        <v>1306</v>
      </c>
      <c r="C3798">
        <v>68</v>
      </c>
      <c r="D3798" s="105">
        <v>45374.435969062499</v>
      </c>
      <c r="E3798" t="s">
        <v>312</v>
      </c>
      <c r="F3798" t="s">
        <v>1402</v>
      </c>
      <c r="G3798">
        <v>0</v>
      </c>
      <c r="H3798" t="s">
        <v>315</v>
      </c>
      <c r="I3798">
        <v>0</v>
      </c>
      <c r="J3798">
        <v>0</v>
      </c>
      <c r="K3798">
        <v>0</v>
      </c>
      <c r="L3798" t="s">
        <v>241</v>
      </c>
      <c r="M3798" t="s">
        <v>1398</v>
      </c>
      <c r="N3798">
        <v>1</v>
      </c>
      <c r="O3798" t="s">
        <v>1389</v>
      </c>
      <c r="P3798" t="s">
        <v>310</v>
      </c>
      <c r="Q3798" t="s">
        <v>310</v>
      </c>
      <c r="R3798" t="s">
        <v>310</v>
      </c>
      <c r="S3798">
        <v>9</v>
      </c>
      <c r="T3798" t="s">
        <v>310</v>
      </c>
      <c r="U3798">
        <v>9</v>
      </c>
      <c r="V3798">
        <v>9</v>
      </c>
      <c r="W3798">
        <v>0</v>
      </c>
      <c r="X3798">
        <v>0</v>
      </c>
      <c r="Y3798">
        <v>0</v>
      </c>
      <c r="Z3798">
        <v>0</v>
      </c>
      <c r="AA3798">
        <v>9</v>
      </c>
      <c r="AB3798">
        <v>9</v>
      </c>
      <c r="AC3798" t="s">
        <v>310</v>
      </c>
      <c r="AD3798">
        <v>9</v>
      </c>
      <c r="AE3798" t="s">
        <v>1388</v>
      </c>
      <c r="AF3798">
        <v>40000000</v>
      </c>
      <c r="AG3798" t="s">
        <v>310</v>
      </c>
      <c r="AH3798">
        <f>SUM((MID(Dyno_Data[[#This Row],[Team]],4,5))+(Dyno_Data[[#This Row],[Match]]/100))</f>
        <v>3986.68</v>
      </c>
      <c r="AI3798" s="76">
        <f>ROUND(SUM(IF(Dyno_Data[[#This Row],[AcqCenter]]&gt;0,Dyno_Data[[#This Row],[Time]]-SUMIFS(Dyno_Data[Time],Dyno_Data[Team],Dyno_Data[[#This Row],[Team]],Dyno_Data[RecordType],"StartMatch",Dyno_Data[Match],Dyno_Data[[#This Row],[Match]]),0)*86400),0)</f>
        <v>0</v>
      </c>
    </row>
    <row r="3799" spans="1:35" x14ac:dyDescent="0.3">
      <c r="A3799">
        <v>3798</v>
      </c>
      <c r="B3799" t="s">
        <v>363</v>
      </c>
      <c r="C3799">
        <v>68</v>
      </c>
      <c r="D3799" s="105">
        <v>45374.436080902778</v>
      </c>
      <c r="E3799" t="s">
        <v>312</v>
      </c>
      <c r="F3799" t="s">
        <v>1402</v>
      </c>
      <c r="G3799">
        <v>0</v>
      </c>
      <c r="H3799" t="s">
        <v>315</v>
      </c>
      <c r="I3799">
        <v>0</v>
      </c>
      <c r="J3799">
        <v>0</v>
      </c>
      <c r="K3799">
        <v>0</v>
      </c>
      <c r="L3799" t="s">
        <v>240</v>
      </c>
      <c r="M3799" t="s">
        <v>1398</v>
      </c>
      <c r="N3799">
        <v>0</v>
      </c>
      <c r="O3799" t="s">
        <v>1395</v>
      </c>
      <c r="P3799" t="s">
        <v>310</v>
      </c>
      <c r="Q3799" t="s">
        <v>310</v>
      </c>
      <c r="R3799" t="s">
        <v>310</v>
      </c>
      <c r="S3799">
        <v>9</v>
      </c>
      <c r="T3799" t="s">
        <v>310</v>
      </c>
      <c r="U3799">
        <v>9</v>
      </c>
      <c r="V3799">
        <v>9</v>
      </c>
      <c r="W3799">
        <v>0</v>
      </c>
      <c r="X3799">
        <v>0</v>
      </c>
      <c r="Y3799">
        <v>0</v>
      </c>
      <c r="Z3799">
        <v>0</v>
      </c>
      <c r="AA3799">
        <v>9</v>
      </c>
      <c r="AB3799">
        <v>9</v>
      </c>
      <c r="AC3799" t="s">
        <v>310</v>
      </c>
      <c r="AD3799">
        <v>9</v>
      </c>
      <c r="AE3799" t="s">
        <v>1414</v>
      </c>
      <c r="AF3799">
        <v>140200000</v>
      </c>
      <c r="AG3799" t="s">
        <v>310</v>
      </c>
      <c r="AH3799">
        <f>SUM((MID(Dyno_Data[[#This Row],[Team]],4,5))+(Dyno_Data[[#This Row],[Match]]/100))</f>
        <v>2601.6799999999998</v>
      </c>
      <c r="AI3799" s="76">
        <f>ROUND(SUM(IF(Dyno_Data[[#This Row],[AcqCenter]]&gt;0,Dyno_Data[[#This Row],[Time]]-SUMIFS(Dyno_Data[Time],Dyno_Data[Team],Dyno_Data[[#This Row],[Team]],Dyno_Data[RecordType],"StartMatch",Dyno_Data[Match],Dyno_Data[[#This Row],[Match]]),0)*86400),0)</f>
        <v>0</v>
      </c>
    </row>
    <row r="3800" spans="1:35" x14ac:dyDescent="0.3">
      <c r="A3800">
        <v>3799</v>
      </c>
      <c r="B3800" t="s">
        <v>360</v>
      </c>
      <c r="C3800">
        <v>68</v>
      </c>
      <c r="D3800" s="105">
        <v>45374.436179479169</v>
      </c>
      <c r="E3800" t="s">
        <v>312</v>
      </c>
      <c r="F3800" t="s">
        <v>317</v>
      </c>
      <c r="G3800">
        <v>0</v>
      </c>
      <c r="H3800" t="s">
        <v>315</v>
      </c>
      <c r="I3800">
        <v>0</v>
      </c>
      <c r="J3800">
        <v>0</v>
      </c>
      <c r="K3800">
        <v>0</v>
      </c>
      <c r="L3800" t="s">
        <v>1410</v>
      </c>
      <c r="M3800" t="s">
        <v>153</v>
      </c>
      <c r="N3800">
        <v>0</v>
      </c>
      <c r="O3800" t="s">
        <v>319</v>
      </c>
      <c r="P3800" t="s">
        <v>310</v>
      </c>
      <c r="Q3800" t="s">
        <v>310</v>
      </c>
      <c r="R3800" t="s">
        <v>310</v>
      </c>
      <c r="S3800">
        <v>9</v>
      </c>
      <c r="T3800" t="s">
        <v>310</v>
      </c>
      <c r="U3800">
        <v>9</v>
      </c>
      <c r="V3800">
        <v>9</v>
      </c>
      <c r="W3800">
        <v>0</v>
      </c>
      <c r="X3800">
        <v>0</v>
      </c>
      <c r="Y3800">
        <v>0</v>
      </c>
      <c r="Z3800">
        <v>0</v>
      </c>
      <c r="AA3800">
        <v>9</v>
      </c>
      <c r="AB3800">
        <v>9</v>
      </c>
      <c r="AC3800" t="s">
        <v>310</v>
      </c>
      <c r="AD3800">
        <v>9</v>
      </c>
      <c r="AE3800" t="s">
        <v>1396</v>
      </c>
      <c r="AF3800">
        <v>120003000</v>
      </c>
      <c r="AG3800" t="s">
        <v>310</v>
      </c>
      <c r="AH3800">
        <f>SUM((MID(Dyno_Data[[#This Row],[Team]],4,5))+(Dyno_Data[[#This Row],[Match]]/100))</f>
        <v>1796.68</v>
      </c>
      <c r="AI3800" s="76">
        <f>ROUND(SUM(IF(Dyno_Data[[#This Row],[AcqCenter]]&gt;0,Dyno_Data[[#This Row],[Time]]-SUMIFS(Dyno_Data[Time],Dyno_Data[Team],Dyno_Data[[#This Row],[Team]],Dyno_Data[RecordType],"StartMatch",Dyno_Data[Match],Dyno_Data[[#This Row],[Match]]),0)*86400),0)</f>
        <v>0</v>
      </c>
    </row>
    <row r="3801" spans="1:35" x14ac:dyDescent="0.3">
      <c r="A3801">
        <v>3800</v>
      </c>
      <c r="B3801" t="s">
        <v>364</v>
      </c>
      <c r="C3801">
        <v>68</v>
      </c>
      <c r="D3801" s="105">
        <v>45374.439488310185</v>
      </c>
      <c r="E3801" t="s">
        <v>316</v>
      </c>
      <c r="F3801" t="s">
        <v>317</v>
      </c>
      <c r="G3801">
        <v>1</v>
      </c>
      <c r="H3801" t="s">
        <v>310</v>
      </c>
      <c r="I3801">
        <v>0</v>
      </c>
      <c r="J3801">
        <v>0</v>
      </c>
      <c r="K3801">
        <v>0</v>
      </c>
      <c r="L3801" t="s">
        <v>310</v>
      </c>
      <c r="M3801" t="s">
        <v>310</v>
      </c>
      <c r="N3801">
        <v>0</v>
      </c>
      <c r="O3801" t="s">
        <v>311</v>
      </c>
      <c r="P3801" t="s">
        <v>1401</v>
      </c>
      <c r="Q3801" t="s">
        <v>1400</v>
      </c>
      <c r="R3801" t="s">
        <v>1405</v>
      </c>
      <c r="S3801">
        <v>1</v>
      </c>
      <c r="T3801" t="s">
        <v>1407</v>
      </c>
      <c r="U3801">
        <v>0</v>
      </c>
      <c r="V3801">
        <v>0</v>
      </c>
      <c r="W3801">
        <v>15.362407599999999</v>
      </c>
      <c r="X3801">
        <v>34.174449799999998</v>
      </c>
      <c r="Y3801">
        <v>18.4261731</v>
      </c>
      <c r="Z3801">
        <v>62.813494499999997</v>
      </c>
      <c r="AA3801">
        <v>0</v>
      </c>
      <c r="AB3801">
        <v>1</v>
      </c>
      <c r="AC3801" t="s">
        <v>174</v>
      </c>
      <c r="AD3801">
        <v>9</v>
      </c>
      <c r="AE3801" t="s">
        <v>1412</v>
      </c>
      <c r="AF3801">
        <v>70000000</v>
      </c>
      <c r="AG3801" t="s">
        <v>310</v>
      </c>
      <c r="AH3801">
        <f>SUM((MID(Dyno_Data[[#This Row],[Team]],4,5))+(Dyno_Data[[#This Row],[Match]]/100))</f>
        <v>2791.68</v>
      </c>
      <c r="AI3801" s="76">
        <f>ROUND(SUM(IF(Dyno_Data[[#This Row],[AcqCenter]]&gt;0,Dyno_Data[[#This Row],[Time]]-SUMIFS(Dyno_Data[Time],Dyno_Data[Team],Dyno_Data[[#This Row],[Team]],Dyno_Data[RecordType],"StartMatch",Dyno_Data[Match],Dyno_Data[[#This Row],[Match]]),0)*86400),0)</f>
        <v>0</v>
      </c>
    </row>
    <row r="3802" spans="1:35" x14ac:dyDescent="0.3">
      <c r="A3802">
        <v>3801</v>
      </c>
      <c r="B3802" t="s">
        <v>1275</v>
      </c>
      <c r="C3802">
        <v>68</v>
      </c>
      <c r="D3802" s="105">
        <v>45374.439488460652</v>
      </c>
      <c r="E3802" t="s">
        <v>316</v>
      </c>
      <c r="F3802" t="s">
        <v>317</v>
      </c>
      <c r="G3802">
        <v>0</v>
      </c>
      <c r="H3802" t="s">
        <v>310</v>
      </c>
      <c r="I3802">
        <v>0</v>
      </c>
      <c r="J3802">
        <v>0</v>
      </c>
      <c r="K3802">
        <v>0</v>
      </c>
      <c r="L3802" t="s">
        <v>310</v>
      </c>
      <c r="M3802" t="s">
        <v>310</v>
      </c>
      <c r="N3802">
        <v>0</v>
      </c>
      <c r="O3802" t="s">
        <v>1391</v>
      </c>
      <c r="P3802" t="s">
        <v>101</v>
      </c>
      <c r="Q3802" t="s">
        <v>1400</v>
      </c>
      <c r="R3802" t="s">
        <v>1404</v>
      </c>
      <c r="S3802">
        <v>-1</v>
      </c>
      <c r="T3802" t="s">
        <v>105</v>
      </c>
      <c r="U3802">
        <v>9</v>
      </c>
      <c r="V3802">
        <v>9</v>
      </c>
      <c r="W3802">
        <v>12.4381249</v>
      </c>
      <c r="X3802">
        <v>29.948388299999998</v>
      </c>
      <c r="Y3802">
        <v>19.7867991</v>
      </c>
      <c r="Z3802">
        <v>73.288763799999998</v>
      </c>
      <c r="AA3802">
        <v>1</v>
      </c>
      <c r="AB3802">
        <v>0</v>
      </c>
      <c r="AC3802" t="s">
        <v>174</v>
      </c>
      <c r="AD3802">
        <v>9</v>
      </c>
      <c r="AE3802" t="s">
        <v>1390</v>
      </c>
      <c r="AF3802">
        <v>40000000</v>
      </c>
      <c r="AG3802" t="s">
        <v>310</v>
      </c>
      <c r="AH3802">
        <f>SUM((MID(Dyno_Data[[#This Row],[Team]],4,5))+(Dyno_Data[[#This Row],[Match]]/100))</f>
        <v>1880.68</v>
      </c>
      <c r="AI3802" s="76">
        <f>ROUND(SUM(IF(Dyno_Data[[#This Row],[AcqCenter]]&gt;0,Dyno_Data[[#This Row],[Time]]-SUMIFS(Dyno_Data[Time],Dyno_Data[Team],Dyno_Data[[#This Row],[Team]],Dyno_Data[RecordType],"StartMatch",Dyno_Data[Match],Dyno_Data[[#This Row],[Match]]),0)*86400),0)</f>
        <v>0</v>
      </c>
    </row>
    <row r="3803" spans="1:35" x14ac:dyDescent="0.3">
      <c r="A3803">
        <v>3802</v>
      </c>
      <c r="B3803" t="s">
        <v>360</v>
      </c>
      <c r="C3803">
        <v>68</v>
      </c>
      <c r="D3803" s="105">
        <v>45374.439488657408</v>
      </c>
      <c r="E3803" t="s">
        <v>316</v>
      </c>
      <c r="F3803" t="s">
        <v>317</v>
      </c>
      <c r="G3803">
        <v>1</v>
      </c>
      <c r="H3803" t="s">
        <v>310</v>
      </c>
      <c r="I3803">
        <v>0</v>
      </c>
      <c r="J3803">
        <v>0</v>
      </c>
      <c r="K3803">
        <v>0</v>
      </c>
      <c r="L3803" t="s">
        <v>310</v>
      </c>
      <c r="M3803" t="s">
        <v>310</v>
      </c>
      <c r="N3803">
        <v>0</v>
      </c>
      <c r="O3803" t="s">
        <v>319</v>
      </c>
      <c r="P3803" t="s">
        <v>240</v>
      </c>
      <c r="Q3803" t="s">
        <v>1399</v>
      </c>
      <c r="R3803" t="s">
        <v>1405</v>
      </c>
      <c r="S3803">
        <v>1</v>
      </c>
      <c r="T3803" t="s">
        <v>1406</v>
      </c>
      <c r="U3803">
        <v>0</v>
      </c>
      <c r="V3803">
        <v>0</v>
      </c>
      <c r="W3803">
        <v>16.1838379</v>
      </c>
      <c r="X3803">
        <v>29.919134499999998</v>
      </c>
      <c r="Y3803">
        <v>22.786539099999999</v>
      </c>
      <c r="Z3803">
        <v>44.194136999999998</v>
      </c>
      <c r="AA3803">
        <v>0</v>
      </c>
      <c r="AB3803">
        <v>0</v>
      </c>
      <c r="AC3803" t="s">
        <v>174</v>
      </c>
      <c r="AD3803">
        <v>0</v>
      </c>
      <c r="AE3803" t="s">
        <v>1396</v>
      </c>
      <c r="AF3803">
        <v>120003000</v>
      </c>
      <c r="AG3803" t="s">
        <v>310</v>
      </c>
      <c r="AH3803">
        <f>SUM((MID(Dyno_Data[[#This Row],[Team]],4,5))+(Dyno_Data[[#This Row],[Match]]/100))</f>
        <v>1796.68</v>
      </c>
      <c r="AI3803" s="76">
        <f>ROUND(SUM(IF(Dyno_Data[[#This Row],[AcqCenter]]&gt;0,Dyno_Data[[#This Row],[Time]]-SUMIFS(Dyno_Data[Time],Dyno_Data[Team],Dyno_Data[[#This Row],[Team]],Dyno_Data[RecordType],"StartMatch",Dyno_Data[Match],Dyno_Data[[#This Row],[Match]]),0)*86400),0)</f>
        <v>0</v>
      </c>
    </row>
    <row r="3804" spans="1:35" x14ac:dyDescent="0.3">
      <c r="A3804">
        <v>3803</v>
      </c>
      <c r="B3804" t="s">
        <v>367</v>
      </c>
      <c r="C3804">
        <v>68</v>
      </c>
      <c r="D3804" s="105">
        <v>45374.439488657408</v>
      </c>
      <c r="E3804" t="s">
        <v>316</v>
      </c>
      <c r="F3804" t="s">
        <v>317</v>
      </c>
      <c r="G3804">
        <v>0</v>
      </c>
      <c r="H3804" t="s">
        <v>310</v>
      </c>
      <c r="I3804">
        <v>0</v>
      </c>
      <c r="J3804">
        <v>0</v>
      </c>
      <c r="K3804">
        <v>0</v>
      </c>
      <c r="L3804" t="s">
        <v>310</v>
      </c>
      <c r="M3804" t="s">
        <v>310</v>
      </c>
      <c r="N3804">
        <v>0</v>
      </c>
      <c r="O3804" t="s">
        <v>1393</v>
      </c>
      <c r="P3804" t="s">
        <v>101</v>
      </c>
      <c r="Q3804" t="s">
        <v>1400</v>
      </c>
      <c r="R3804" t="s">
        <v>1405</v>
      </c>
      <c r="S3804">
        <v>1</v>
      </c>
      <c r="T3804" t="s">
        <v>1409</v>
      </c>
      <c r="U3804">
        <v>0</v>
      </c>
      <c r="V3804">
        <v>1</v>
      </c>
      <c r="W3804">
        <v>1.7018078999999999</v>
      </c>
      <c r="X3804">
        <v>0</v>
      </c>
      <c r="Y3804">
        <v>66.386357500000003</v>
      </c>
      <c r="Z3804">
        <v>66.505557600000003</v>
      </c>
      <c r="AA3804">
        <v>0</v>
      </c>
      <c r="AB3804">
        <v>0</v>
      </c>
      <c r="AC3804" t="s">
        <v>174</v>
      </c>
      <c r="AD3804">
        <v>9</v>
      </c>
      <c r="AE3804" t="s">
        <v>1413</v>
      </c>
      <c r="AF3804">
        <v>40001000</v>
      </c>
      <c r="AG3804" t="s">
        <v>310</v>
      </c>
      <c r="AH3804">
        <f>SUM((MID(Dyno_Data[[#This Row],[Team]],4,5))+(Dyno_Data[[#This Row],[Match]]/100))</f>
        <v>5016.68</v>
      </c>
      <c r="AI3804" s="76">
        <f>ROUND(SUM(IF(Dyno_Data[[#This Row],[AcqCenter]]&gt;0,Dyno_Data[[#This Row],[Time]]-SUMIFS(Dyno_Data[Time],Dyno_Data[Team],Dyno_Data[[#This Row],[Team]],Dyno_Data[RecordType],"StartMatch",Dyno_Data[Match],Dyno_Data[[#This Row],[Match]]),0)*86400),0)</f>
        <v>0</v>
      </c>
    </row>
    <row r="3805" spans="1:35" x14ac:dyDescent="0.3">
      <c r="A3805">
        <v>3804</v>
      </c>
      <c r="B3805" t="s">
        <v>1306</v>
      </c>
      <c r="C3805">
        <v>68</v>
      </c>
      <c r="D3805" s="105">
        <v>45374.439488854165</v>
      </c>
      <c r="E3805" t="s">
        <v>316</v>
      </c>
      <c r="F3805" t="s">
        <v>317</v>
      </c>
      <c r="G3805">
        <v>1</v>
      </c>
      <c r="H3805" t="s">
        <v>310</v>
      </c>
      <c r="I3805">
        <v>0</v>
      </c>
      <c r="J3805">
        <v>0</v>
      </c>
      <c r="K3805">
        <v>0</v>
      </c>
      <c r="L3805" t="s">
        <v>310</v>
      </c>
      <c r="M3805" t="s">
        <v>310</v>
      </c>
      <c r="N3805">
        <v>0</v>
      </c>
      <c r="O3805" t="s">
        <v>1389</v>
      </c>
      <c r="P3805" t="s">
        <v>320</v>
      </c>
      <c r="Q3805" t="s">
        <v>1400</v>
      </c>
      <c r="R3805" t="s">
        <v>1405</v>
      </c>
      <c r="S3805">
        <v>1</v>
      </c>
      <c r="T3805" t="s">
        <v>1407</v>
      </c>
      <c r="U3805">
        <v>0</v>
      </c>
      <c r="V3805">
        <v>0</v>
      </c>
      <c r="W3805">
        <v>8.3597731</v>
      </c>
      <c r="X3805">
        <v>33.160255599999999</v>
      </c>
      <c r="Y3805">
        <v>24.433704599999999</v>
      </c>
      <c r="Z3805">
        <v>69.433065799999994</v>
      </c>
      <c r="AA3805">
        <v>2</v>
      </c>
      <c r="AB3805">
        <v>0</v>
      </c>
      <c r="AC3805" t="s">
        <v>174</v>
      </c>
      <c r="AD3805">
        <v>9</v>
      </c>
      <c r="AE3805" t="s">
        <v>1388</v>
      </c>
      <c r="AF3805">
        <v>40000000</v>
      </c>
      <c r="AG3805" t="s">
        <v>310</v>
      </c>
      <c r="AH3805">
        <f>SUM((MID(Dyno_Data[[#This Row],[Team]],4,5))+(Dyno_Data[[#This Row],[Match]]/100))</f>
        <v>3986.68</v>
      </c>
      <c r="AI3805" s="76">
        <f>ROUND(SUM(IF(Dyno_Data[[#This Row],[AcqCenter]]&gt;0,Dyno_Data[[#This Row],[Time]]-SUMIFS(Dyno_Data[Time],Dyno_Data[Team],Dyno_Data[[#This Row],[Team]],Dyno_Data[RecordType],"StartMatch",Dyno_Data[Match],Dyno_Data[[#This Row],[Match]]),0)*86400),0)</f>
        <v>0</v>
      </c>
    </row>
    <row r="3806" spans="1:35" x14ac:dyDescent="0.3">
      <c r="A3806">
        <v>3805</v>
      </c>
      <c r="B3806" t="s">
        <v>363</v>
      </c>
      <c r="C3806">
        <v>68</v>
      </c>
      <c r="D3806" s="105">
        <v>45374.439488854165</v>
      </c>
      <c r="E3806" t="s">
        <v>316</v>
      </c>
      <c r="F3806" t="s">
        <v>317</v>
      </c>
      <c r="G3806">
        <v>1</v>
      </c>
      <c r="H3806" t="s">
        <v>310</v>
      </c>
      <c r="I3806">
        <v>0</v>
      </c>
      <c r="J3806">
        <v>0</v>
      </c>
      <c r="K3806">
        <v>0</v>
      </c>
      <c r="L3806" t="s">
        <v>310</v>
      </c>
      <c r="M3806" t="s">
        <v>310</v>
      </c>
      <c r="N3806">
        <v>0</v>
      </c>
      <c r="O3806" t="s">
        <v>1395</v>
      </c>
      <c r="P3806" t="s">
        <v>240</v>
      </c>
      <c r="Q3806" t="s">
        <v>1399</v>
      </c>
      <c r="R3806" t="s">
        <v>1405</v>
      </c>
      <c r="S3806">
        <v>1</v>
      </c>
      <c r="T3806" t="s">
        <v>1406</v>
      </c>
      <c r="U3806">
        <v>0</v>
      </c>
      <c r="V3806">
        <v>1</v>
      </c>
      <c r="W3806">
        <v>1.7633478</v>
      </c>
      <c r="X3806">
        <v>17.532693200000001</v>
      </c>
      <c r="Y3806">
        <v>18.161575899999999</v>
      </c>
      <c r="Z3806">
        <v>96.005044400000003</v>
      </c>
      <c r="AA3806">
        <v>0</v>
      </c>
      <c r="AB3806">
        <v>1</v>
      </c>
      <c r="AC3806" t="s">
        <v>174</v>
      </c>
      <c r="AD3806">
        <v>2</v>
      </c>
      <c r="AE3806" t="s">
        <v>1414</v>
      </c>
      <c r="AF3806">
        <v>140200000</v>
      </c>
      <c r="AG3806" t="s">
        <v>310</v>
      </c>
      <c r="AH3806">
        <f>SUM((MID(Dyno_Data[[#This Row],[Team]],4,5))+(Dyno_Data[[#This Row],[Match]]/100))</f>
        <v>2601.6799999999998</v>
      </c>
      <c r="AI3806" s="76">
        <f>ROUND(SUM(IF(Dyno_Data[[#This Row],[AcqCenter]]&gt;0,Dyno_Data[[#This Row],[Time]]-SUMIFS(Dyno_Data[Time],Dyno_Data[Team],Dyno_Data[[#This Row],[Team]],Dyno_Data[RecordType],"StartMatch",Dyno_Data[Match],Dyno_Data[[#This Row],[Match]]),0)*86400),0)</f>
        <v>0</v>
      </c>
    </row>
    <row r="3807" spans="1:35" x14ac:dyDescent="0.3">
      <c r="A3807">
        <v>3820</v>
      </c>
      <c r="B3807" t="s">
        <v>1314</v>
      </c>
      <c r="C3807">
        <v>69</v>
      </c>
      <c r="D3807" s="105">
        <v>45374.441988043982</v>
      </c>
      <c r="E3807" t="s">
        <v>308</v>
      </c>
      <c r="F3807" t="s">
        <v>309</v>
      </c>
      <c r="G3807">
        <v>0</v>
      </c>
      <c r="H3807" t="s">
        <v>310</v>
      </c>
      <c r="I3807">
        <v>0</v>
      </c>
      <c r="J3807">
        <v>0</v>
      </c>
      <c r="K3807">
        <v>0</v>
      </c>
      <c r="L3807" t="s">
        <v>310</v>
      </c>
      <c r="M3807" t="s">
        <v>310</v>
      </c>
      <c r="N3807">
        <v>0</v>
      </c>
      <c r="O3807" t="s">
        <v>1389</v>
      </c>
      <c r="P3807" t="s">
        <v>310</v>
      </c>
      <c r="Q3807" t="s">
        <v>310</v>
      </c>
      <c r="R3807" t="s">
        <v>310</v>
      </c>
      <c r="S3807">
        <v>9</v>
      </c>
      <c r="T3807" t="s">
        <v>310</v>
      </c>
      <c r="U3807">
        <v>9</v>
      </c>
      <c r="V3807">
        <v>9</v>
      </c>
      <c r="W3807">
        <v>0</v>
      </c>
      <c r="X3807">
        <v>0</v>
      </c>
      <c r="Y3807">
        <v>0</v>
      </c>
      <c r="Z3807">
        <v>0</v>
      </c>
      <c r="AA3807">
        <v>9</v>
      </c>
      <c r="AB3807">
        <v>9</v>
      </c>
      <c r="AC3807" t="s">
        <v>310</v>
      </c>
      <c r="AD3807">
        <v>9</v>
      </c>
      <c r="AE3807" t="s">
        <v>1388</v>
      </c>
      <c r="AF3807">
        <v>10001000</v>
      </c>
      <c r="AG3807" t="s">
        <v>310</v>
      </c>
      <c r="AH3807">
        <f>SUM((MID(Dyno_Data[[#This Row],[Team]],4,5))+(Dyno_Data[[#This Row],[Match]]/100))</f>
        <v>3419.69</v>
      </c>
      <c r="AI3807" s="76">
        <f>ROUND(SUM(IF(Dyno_Data[[#This Row],[AcqCenter]]&gt;0,Dyno_Data[[#This Row],[Time]]-SUMIFS(Dyno_Data[Time],Dyno_Data[Team],Dyno_Data[[#This Row],[Team]],Dyno_Data[RecordType],"StartMatch",Dyno_Data[Match],Dyno_Data[[#This Row],[Match]]),0)*86400),0)</f>
        <v>0</v>
      </c>
    </row>
    <row r="3808" spans="1:35" x14ac:dyDescent="0.3">
      <c r="A3808">
        <v>3822</v>
      </c>
      <c r="B3808" t="s">
        <v>1291</v>
      </c>
      <c r="C3808">
        <v>69</v>
      </c>
      <c r="D3808" s="105">
        <v>45374.441988773149</v>
      </c>
      <c r="E3808" t="s">
        <v>308</v>
      </c>
      <c r="F3808" t="s">
        <v>309</v>
      </c>
      <c r="G3808">
        <v>0</v>
      </c>
      <c r="H3808" t="s">
        <v>310</v>
      </c>
      <c r="I3808">
        <v>0</v>
      </c>
      <c r="J3808">
        <v>0</v>
      </c>
      <c r="K3808">
        <v>0</v>
      </c>
      <c r="L3808" t="s">
        <v>310</v>
      </c>
      <c r="M3808" t="s">
        <v>310</v>
      </c>
      <c r="N3808">
        <v>0</v>
      </c>
      <c r="O3808" t="s">
        <v>319</v>
      </c>
      <c r="P3808" t="s">
        <v>310</v>
      </c>
      <c r="Q3808" t="s">
        <v>310</v>
      </c>
      <c r="R3808" t="s">
        <v>310</v>
      </c>
      <c r="S3808">
        <v>9</v>
      </c>
      <c r="T3808" t="s">
        <v>310</v>
      </c>
      <c r="U3808">
        <v>9</v>
      </c>
      <c r="V3808">
        <v>9</v>
      </c>
      <c r="W3808">
        <v>0</v>
      </c>
      <c r="X3808">
        <v>0</v>
      </c>
      <c r="Y3808">
        <v>0</v>
      </c>
      <c r="Z3808">
        <v>0</v>
      </c>
      <c r="AA3808">
        <v>9</v>
      </c>
      <c r="AB3808">
        <v>9</v>
      </c>
      <c r="AC3808" t="s">
        <v>310</v>
      </c>
      <c r="AD3808">
        <v>9</v>
      </c>
      <c r="AE3808" t="s">
        <v>1396</v>
      </c>
      <c r="AF3808">
        <v>20000000</v>
      </c>
      <c r="AG3808" t="s">
        <v>310</v>
      </c>
      <c r="AH3808">
        <f>SUM((MID(Dyno_Data[[#This Row],[Team]],4,5))+(Dyno_Data[[#This Row],[Match]]/100))</f>
        <v>1493.69</v>
      </c>
      <c r="AI3808" s="76">
        <f>ROUND(SUM(IF(Dyno_Data[[#This Row],[AcqCenter]]&gt;0,Dyno_Data[[#This Row],[Time]]-SUMIFS(Dyno_Data[Time],Dyno_Data[Team],Dyno_Data[[#This Row],[Team]],Dyno_Data[RecordType],"StartMatch",Dyno_Data[Match],Dyno_Data[[#This Row],[Match]]),0)*86400),0)</f>
        <v>0</v>
      </c>
    </row>
    <row r="3809" spans="1:35" x14ac:dyDescent="0.3">
      <c r="A3809">
        <v>3824</v>
      </c>
      <c r="B3809" t="s">
        <v>370</v>
      </c>
      <c r="C3809">
        <v>69</v>
      </c>
      <c r="D3809" s="105">
        <v>45374.441990243053</v>
      </c>
      <c r="E3809" t="s">
        <v>308</v>
      </c>
      <c r="F3809" t="s">
        <v>309</v>
      </c>
      <c r="G3809">
        <v>0</v>
      </c>
      <c r="H3809" t="s">
        <v>310</v>
      </c>
      <c r="I3809">
        <v>0</v>
      </c>
      <c r="J3809">
        <v>0</v>
      </c>
      <c r="K3809">
        <v>0</v>
      </c>
      <c r="L3809" t="s">
        <v>310</v>
      </c>
      <c r="M3809" t="s">
        <v>310</v>
      </c>
      <c r="N3809">
        <v>0</v>
      </c>
      <c r="O3809" t="s">
        <v>311</v>
      </c>
      <c r="P3809" t="s">
        <v>310</v>
      </c>
      <c r="Q3809" t="s">
        <v>310</v>
      </c>
      <c r="R3809" t="s">
        <v>310</v>
      </c>
      <c r="S3809">
        <v>9</v>
      </c>
      <c r="T3809" t="s">
        <v>310</v>
      </c>
      <c r="U3809">
        <v>9</v>
      </c>
      <c r="V3809">
        <v>9</v>
      </c>
      <c r="W3809">
        <v>0</v>
      </c>
      <c r="X3809">
        <v>0</v>
      </c>
      <c r="Y3809">
        <v>0</v>
      </c>
      <c r="Z3809">
        <v>0</v>
      </c>
      <c r="AA3809">
        <v>9</v>
      </c>
      <c r="AB3809">
        <v>9</v>
      </c>
      <c r="AC3809" t="s">
        <v>310</v>
      </c>
      <c r="AD3809">
        <v>9</v>
      </c>
      <c r="AE3809" t="s">
        <v>1412</v>
      </c>
      <c r="AF3809">
        <v>10000000</v>
      </c>
      <c r="AG3809" t="s">
        <v>310</v>
      </c>
      <c r="AH3809">
        <f>SUM((MID(Dyno_Data[[#This Row],[Team]],4,5))+(Dyno_Data[[#This Row],[Match]]/100))</f>
        <v>6911.69</v>
      </c>
      <c r="AI3809" s="76">
        <f>ROUND(SUM(IF(Dyno_Data[[#This Row],[AcqCenter]]&gt;0,Dyno_Data[[#This Row],[Time]]-SUMIFS(Dyno_Data[Time],Dyno_Data[Team],Dyno_Data[[#This Row],[Team]],Dyno_Data[RecordType],"StartMatch",Dyno_Data[Match],Dyno_Data[[#This Row],[Match]]),0)*86400),0)</f>
        <v>0</v>
      </c>
    </row>
    <row r="3810" spans="1:35" x14ac:dyDescent="0.3">
      <c r="A3810">
        <v>3826</v>
      </c>
      <c r="B3810" t="s">
        <v>1300</v>
      </c>
      <c r="C3810">
        <v>69</v>
      </c>
      <c r="D3810" s="105">
        <v>45374.442000462965</v>
      </c>
      <c r="E3810" t="s">
        <v>308</v>
      </c>
      <c r="F3810" t="s">
        <v>309</v>
      </c>
      <c r="G3810">
        <v>0</v>
      </c>
      <c r="H3810" t="s">
        <v>310</v>
      </c>
      <c r="I3810">
        <v>0</v>
      </c>
      <c r="J3810">
        <v>0</v>
      </c>
      <c r="K3810">
        <v>0</v>
      </c>
      <c r="L3810" t="s">
        <v>310</v>
      </c>
      <c r="M3810" t="s">
        <v>310</v>
      </c>
      <c r="N3810">
        <v>0</v>
      </c>
      <c r="O3810" t="s">
        <v>1391</v>
      </c>
      <c r="P3810" t="s">
        <v>310</v>
      </c>
      <c r="Q3810" t="s">
        <v>310</v>
      </c>
      <c r="R3810" t="s">
        <v>310</v>
      </c>
      <c r="S3810">
        <v>9</v>
      </c>
      <c r="T3810" t="s">
        <v>310</v>
      </c>
      <c r="U3810">
        <v>9</v>
      </c>
      <c r="V3810">
        <v>9</v>
      </c>
      <c r="W3810">
        <v>0</v>
      </c>
      <c r="X3810">
        <v>0</v>
      </c>
      <c r="Y3810">
        <v>0</v>
      </c>
      <c r="Z3810">
        <v>0</v>
      </c>
      <c r="AA3810">
        <v>9</v>
      </c>
      <c r="AB3810">
        <v>9</v>
      </c>
      <c r="AC3810" t="s">
        <v>310</v>
      </c>
      <c r="AD3810">
        <v>9</v>
      </c>
      <c r="AE3810" t="s">
        <v>1390</v>
      </c>
      <c r="AF3810">
        <v>0</v>
      </c>
      <c r="AG3810" t="s">
        <v>310</v>
      </c>
      <c r="AH3810">
        <f>SUM((MID(Dyno_Data[[#This Row],[Team]],4,5))+(Dyno_Data[[#This Row],[Match]]/100))</f>
        <v>3044.69</v>
      </c>
      <c r="AI3810" s="76">
        <f>ROUND(SUM(IF(Dyno_Data[[#This Row],[AcqCenter]]&gt;0,Dyno_Data[[#This Row],[Time]]-SUMIFS(Dyno_Data[Time],Dyno_Data[Team],Dyno_Data[[#This Row],[Team]],Dyno_Data[RecordType],"StartMatch",Dyno_Data[Match],Dyno_Data[[#This Row],[Match]]),0)*86400),0)</f>
        <v>0</v>
      </c>
    </row>
    <row r="3811" spans="1:35" x14ac:dyDescent="0.3">
      <c r="A3811">
        <v>3828</v>
      </c>
      <c r="B3811" t="s">
        <v>372</v>
      </c>
      <c r="C3811">
        <v>69</v>
      </c>
      <c r="D3811" s="105">
        <v>45374.442000462965</v>
      </c>
      <c r="E3811" t="s">
        <v>308</v>
      </c>
      <c r="F3811" t="s">
        <v>309</v>
      </c>
      <c r="G3811">
        <v>0</v>
      </c>
      <c r="H3811" t="s">
        <v>310</v>
      </c>
      <c r="I3811">
        <v>0</v>
      </c>
      <c r="J3811">
        <v>0</v>
      </c>
      <c r="K3811">
        <v>0</v>
      </c>
      <c r="L3811" t="s">
        <v>310</v>
      </c>
      <c r="M3811" t="s">
        <v>310</v>
      </c>
      <c r="N3811">
        <v>0</v>
      </c>
      <c r="O3811" t="s">
        <v>1395</v>
      </c>
      <c r="P3811" t="s">
        <v>310</v>
      </c>
      <c r="Q3811" t="s">
        <v>310</v>
      </c>
      <c r="R3811" t="s">
        <v>310</v>
      </c>
      <c r="S3811">
        <v>9</v>
      </c>
      <c r="T3811" t="s">
        <v>310</v>
      </c>
      <c r="U3811">
        <v>9</v>
      </c>
      <c r="V3811">
        <v>9</v>
      </c>
      <c r="W3811">
        <v>0</v>
      </c>
      <c r="X3811">
        <v>0</v>
      </c>
      <c r="Y3811">
        <v>0</v>
      </c>
      <c r="Z3811">
        <v>0</v>
      </c>
      <c r="AA3811">
        <v>9</v>
      </c>
      <c r="AB3811">
        <v>9</v>
      </c>
      <c r="AC3811" t="s">
        <v>310</v>
      </c>
      <c r="AD3811">
        <v>9</v>
      </c>
      <c r="AE3811" t="s">
        <v>1414</v>
      </c>
      <c r="AF3811">
        <v>10000000</v>
      </c>
      <c r="AG3811" t="s">
        <v>310</v>
      </c>
      <c r="AH3811">
        <f>SUM((MID(Dyno_Data[[#This Row],[Team]],4,5))+(Dyno_Data[[#This Row],[Match]]/100))</f>
        <v>7504.69</v>
      </c>
      <c r="AI3811" s="76">
        <f>ROUND(SUM(IF(Dyno_Data[[#This Row],[AcqCenter]]&gt;0,Dyno_Data[[#This Row],[Time]]-SUMIFS(Dyno_Data[Time],Dyno_Data[Team],Dyno_Data[[#This Row],[Team]],Dyno_Data[RecordType],"StartMatch",Dyno_Data[Match],Dyno_Data[[#This Row],[Match]]),0)*86400),0)</f>
        <v>0</v>
      </c>
    </row>
    <row r="3812" spans="1:35" x14ac:dyDescent="0.3">
      <c r="A3812">
        <v>3806</v>
      </c>
      <c r="B3812" t="s">
        <v>372</v>
      </c>
      <c r="C3812">
        <v>69</v>
      </c>
      <c r="D3812" s="105">
        <v>45374.44201373843</v>
      </c>
      <c r="E3812" t="s">
        <v>312</v>
      </c>
      <c r="F3812" t="s">
        <v>309</v>
      </c>
      <c r="G3812">
        <v>0</v>
      </c>
      <c r="H3812" t="s">
        <v>1397</v>
      </c>
      <c r="I3812">
        <v>0</v>
      </c>
      <c r="J3812">
        <v>0</v>
      </c>
      <c r="K3812">
        <v>0</v>
      </c>
      <c r="L3812" t="s">
        <v>240</v>
      </c>
      <c r="M3812" t="s">
        <v>1398</v>
      </c>
      <c r="N3812">
        <v>0</v>
      </c>
      <c r="O3812" t="s">
        <v>1395</v>
      </c>
      <c r="P3812" t="s">
        <v>310</v>
      </c>
      <c r="Q3812" t="s">
        <v>310</v>
      </c>
      <c r="R3812" t="s">
        <v>310</v>
      </c>
      <c r="S3812">
        <v>9</v>
      </c>
      <c r="T3812" t="s">
        <v>310</v>
      </c>
      <c r="U3812">
        <v>9</v>
      </c>
      <c r="V3812">
        <v>9</v>
      </c>
      <c r="W3812">
        <v>0</v>
      </c>
      <c r="X3812">
        <v>0</v>
      </c>
      <c r="Y3812">
        <v>0</v>
      </c>
      <c r="Z3812">
        <v>0</v>
      </c>
      <c r="AA3812">
        <v>9</v>
      </c>
      <c r="AB3812">
        <v>9</v>
      </c>
      <c r="AC3812" t="s">
        <v>310</v>
      </c>
      <c r="AD3812">
        <v>9</v>
      </c>
      <c r="AE3812" t="s">
        <v>1414</v>
      </c>
      <c r="AF3812">
        <v>0</v>
      </c>
      <c r="AG3812" t="s">
        <v>310</v>
      </c>
      <c r="AH3812">
        <f>SUM((MID(Dyno_Data[[#This Row],[Team]],4,5))+(Dyno_Data[[#This Row],[Match]]/100))</f>
        <v>7504.69</v>
      </c>
      <c r="AI3812" s="76">
        <f>ROUND(SUM(IF(Dyno_Data[[#This Row],[AcqCenter]]&gt;0,Dyno_Data[[#This Row],[Time]]-SUMIFS(Dyno_Data[Time],Dyno_Data[Team],Dyno_Data[[#This Row],[Team]],Dyno_Data[RecordType],"StartMatch",Dyno_Data[Match],Dyno_Data[[#This Row],[Match]]),0)*86400),0)</f>
        <v>0</v>
      </c>
    </row>
    <row r="3813" spans="1:35" x14ac:dyDescent="0.3">
      <c r="A3813">
        <v>3807</v>
      </c>
      <c r="B3813" t="s">
        <v>1291</v>
      </c>
      <c r="C3813">
        <v>69</v>
      </c>
      <c r="D3813" s="105">
        <v>45374.442014583336</v>
      </c>
      <c r="E3813" t="s">
        <v>312</v>
      </c>
      <c r="F3813" t="s">
        <v>309</v>
      </c>
      <c r="G3813">
        <v>0</v>
      </c>
      <c r="H3813" t="s">
        <v>1397</v>
      </c>
      <c r="I3813">
        <v>0</v>
      </c>
      <c r="J3813">
        <v>0</v>
      </c>
      <c r="K3813">
        <v>0</v>
      </c>
      <c r="L3813" t="s">
        <v>240</v>
      </c>
      <c r="M3813" t="s">
        <v>1398</v>
      </c>
      <c r="N3813">
        <v>0</v>
      </c>
      <c r="O3813" t="s">
        <v>319</v>
      </c>
      <c r="P3813" t="s">
        <v>310</v>
      </c>
      <c r="Q3813" t="s">
        <v>310</v>
      </c>
      <c r="R3813" t="s">
        <v>310</v>
      </c>
      <c r="S3813">
        <v>9</v>
      </c>
      <c r="T3813" t="s">
        <v>310</v>
      </c>
      <c r="U3813">
        <v>9</v>
      </c>
      <c r="V3813">
        <v>9</v>
      </c>
      <c r="W3813">
        <v>0</v>
      </c>
      <c r="X3813">
        <v>0</v>
      </c>
      <c r="Y3813">
        <v>0</v>
      </c>
      <c r="Z3813">
        <v>0</v>
      </c>
      <c r="AA3813">
        <v>9</v>
      </c>
      <c r="AB3813">
        <v>9</v>
      </c>
      <c r="AC3813" t="s">
        <v>310</v>
      </c>
      <c r="AD3813">
        <v>9</v>
      </c>
      <c r="AE3813" t="s">
        <v>1396</v>
      </c>
      <c r="AF3813">
        <v>0</v>
      </c>
      <c r="AG3813" t="s">
        <v>310</v>
      </c>
      <c r="AH3813">
        <f>SUM((MID(Dyno_Data[[#This Row],[Team]],4,5))+(Dyno_Data[[#This Row],[Match]]/100))</f>
        <v>1493.69</v>
      </c>
      <c r="AI3813" s="76">
        <f>ROUND(SUM(IF(Dyno_Data[[#This Row],[AcqCenter]]&gt;0,Dyno_Data[[#This Row],[Time]]-SUMIFS(Dyno_Data[Time],Dyno_Data[Team],Dyno_Data[[#This Row],[Team]],Dyno_Data[RecordType],"StartMatch",Dyno_Data[Match],Dyno_Data[[#This Row],[Match]]),0)*86400),0)</f>
        <v>0</v>
      </c>
    </row>
    <row r="3814" spans="1:35" x14ac:dyDescent="0.3">
      <c r="A3814">
        <v>3808</v>
      </c>
      <c r="B3814" t="s">
        <v>1300</v>
      </c>
      <c r="C3814">
        <v>69</v>
      </c>
      <c r="D3814" s="105">
        <v>45374.442016053239</v>
      </c>
      <c r="E3814" t="s">
        <v>312</v>
      </c>
      <c r="F3814" t="s">
        <v>309</v>
      </c>
      <c r="G3814">
        <v>0</v>
      </c>
      <c r="H3814" t="s">
        <v>1397</v>
      </c>
      <c r="I3814">
        <v>0</v>
      </c>
      <c r="J3814">
        <v>0</v>
      </c>
      <c r="K3814">
        <v>0</v>
      </c>
      <c r="L3814" t="s">
        <v>241</v>
      </c>
      <c r="M3814" t="s">
        <v>1398</v>
      </c>
      <c r="N3814">
        <v>0</v>
      </c>
      <c r="O3814" t="s">
        <v>1391</v>
      </c>
      <c r="P3814" t="s">
        <v>310</v>
      </c>
      <c r="Q3814" t="s">
        <v>310</v>
      </c>
      <c r="R3814" t="s">
        <v>310</v>
      </c>
      <c r="S3814">
        <v>9</v>
      </c>
      <c r="T3814" t="s">
        <v>310</v>
      </c>
      <c r="U3814">
        <v>9</v>
      </c>
      <c r="V3814">
        <v>9</v>
      </c>
      <c r="W3814">
        <v>0</v>
      </c>
      <c r="X3814">
        <v>0</v>
      </c>
      <c r="Y3814">
        <v>0</v>
      </c>
      <c r="Z3814">
        <v>0</v>
      </c>
      <c r="AA3814">
        <v>9</v>
      </c>
      <c r="AB3814">
        <v>9</v>
      </c>
      <c r="AC3814" t="s">
        <v>310</v>
      </c>
      <c r="AD3814">
        <v>9</v>
      </c>
      <c r="AE3814" t="s">
        <v>1390</v>
      </c>
      <c r="AF3814">
        <v>0</v>
      </c>
      <c r="AG3814" t="s">
        <v>310</v>
      </c>
      <c r="AH3814">
        <f>SUM((MID(Dyno_Data[[#This Row],[Team]],4,5))+(Dyno_Data[[#This Row],[Match]]/100))</f>
        <v>3044.69</v>
      </c>
      <c r="AI3814" s="76">
        <f>ROUND(SUM(IF(Dyno_Data[[#This Row],[AcqCenter]]&gt;0,Dyno_Data[[#This Row],[Time]]-SUMIFS(Dyno_Data[Time],Dyno_Data[Team],Dyno_Data[[#This Row],[Team]],Dyno_Data[RecordType],"StartMatch",Dyno_Data[Match],Dyno_Data[[#This Row],[Match]]),0)*86400),0)</f>
        <v>0</v>
      </c>
    </row>
    <row r="3815" spans="1:35" x14ac:dyDescent="0.3">
      <c r="A3815">
        <v>3809</v>
      </c>
      <c r="B3815" t="s">
        <v>370</v>
      </c>
      <c r="C3815">
        <v>69</v>
      </c>
      <c r="D3815" s="105">
        <v>45374.442018865739</v>
      </c>
      <c r="E3815" t="s">
        <v>312</v>
      </c>
      <c r="F3815" t="s">
        <v>309</v>
      </c>
      <c r="G3815">
        <v>0</v>
      </c>
      <c r="H3815" t="s">
        <v>1397</v>
      </c>
      <c r="I3815">
        <v>0</v>
      </c>
      <c r="J3815">
        <v>0</v>
      </c>
      <c r="K3815">
        <v>0</v>
      </c>
      <c r="L3815" t="s">
        <v>241</v>
      </c>
      <c r="M3815" t="s">
        <v>1398</v>
      </c>
      <c r="N3815">
        <v>0</v>
      </c>
      <c r="O3815" t="s">
        <v>311</v>
      </c>
      <c r="P3815" t="s">
        <v>310</v>
      </c>
      <c r="Q3815" t="s">
        <v>310</v>
      </c>
      <c r="R3815" t="s">
        <v>310</v>
      </c>
      <c r="S3815">
        <v>9</v>
      </c>
      <c r="T3815" t="s">
        <v>310</v>
      </c>
      <c r="U3815">
        <v>9</v>
      </c>
      <c r="V3815">
        <v>9</v>
      </c>
      <c r="W3815">
        <v>0</v>
      </c>
      <c r="X3815">
        <v>0</v>
      </c>
      <c r="Y3815">
        <v>0</v>
      </c>
      <c r="Z3815">
        <v>0</v>
      </c>
      <c r="AA3815">
        <v>9</v>
      </c>
      <c r="AB3815">
        <v>9</v>
      </c>
      <c r="AC3815" t="s">
        <v>310</v>
      </c>
      <c r="AD3815">
        <v>9</v>
      </c>
      <c r="AE3815" t="s">
        <v>1412</v>
      </c>
      <c r="AF3815">
        <v>0</v>
      </c>
      <c r="AG3815" t="s">
        <v>310</v>
      </c>
      <c r="AH3815">
        <f>SUM((MID(Dyno_Data[[#This Row],[Team]],4,5))+(Dyno_Data[[#This Row],[Match]]/100))</f>
        <v>6911.69</v>
      </c>
      <c r="AI3815" s="76">
        <f>ROUND(SUM(IF(Dyno_Data[[#This Row],[AcqCenter]]&gt;0,Dyno_Data[[#This Row],[Time]]-SUMIFS(Dyno_Data[Time],Dyno_Data[Team],Dyno_Data[[#This Row],[Team]],Dyno_Data[RecordType],"StartMatch",Dyno_Data[Match],Dyno_Data[[#This Row],[Match]]),0)*86400),0)</f>
        <v>0</v>
      </c>
    </row>
    <row r="3816" spans="1:35" x14ac:dyDescent="0.3">
      <c r="A3816">
        <v>3810</v>
      </c>
      <c r="B3816" t="s">
        <v>1314</v>
      </c>
      <c r="C3816">
        <v>69</v>
      </c>
      <c r="D3816" s="105">
        <v>45374.442018946756</v>
      </c>
      <c r="E3816" t="s">
        <v>312</v>
      </c>
      <c r="F3816" t="s">
        <v>309</v>
      </c>
      <c r="G3816">
        <v>0</v>
      </c>
      <c r="H3816" t="s">
        <v>1397</v>
      </c>
      <c r="I3816">
        <v>0</v>
      </c>
      <c r="J3816">
        <v>0</v>
      </c>
      <c r="K3816">
        <v>0</v>
      </c>
      <c r="L3816" t="s">
        <v>241</v>
      </c>
      <c r="M3816" t="s">
        <v>1398</v>
      </c>
      <c r="N3816">
        <v>0</v>
      </c>
      <c r="O3816" t="s">
        <v>1389</v>
      </c>
      <c r="P3816" t="s">
        <v>310</v>
      </c>
      <c r="Q3816" t="s">
        <v>310</v>
      </c>
      <c r="R3816" t="s">
        <v>310</v>
      </c>
      <c r="S3816">
        <v>9</v>
      </c>
      <c r="T3816" t="s">
        <v>310</v>
      </c>
      <c r="U3816">
        <v>9</v>
      </c>
      <c r="V3816">
        <v>9</v>
      </c>
      <c r="W3816">
        <v>0</v>
      </c>
      <c r="X3816">
        <v>0</v>
      </c>
      <c r="Y3816">
        <v>0</v>
      </c>
      <c r="Z3816">
        <v>0</v>
      </c>
      <c r="AA3816">
        <v>9</v>
      </c>
      <c r="AB3816">
        <v>9</v>
      </c>
      <c r="AC3816" t="s">
        <v>310</v>
      </c>
      <c r="AD3816">
        <v>9</v>
      </c>
      <c r="AE3816" t="s">
        <v>1388</v>
      </c>
      <c r="AF3816">
        <v>0</v>
      </c>
      <c r="AG3816" t="s">
        <v>310</v>
      </c>
      <c r="AH3816">
        <f>SUM((MID(Dyno_Data[[#This Row],[Team]],4,5))+(Dyno_Data[[#This Row],[Match]]/100))</f>
        <v>3419.69</v>
      </c>
      <c r="AI3816" s="76">
        <f>ROUND(SUM(IF(Dyno_Data[[#This Row],[AcqCenter]]&gt;0,Dyno_Data[[#This Row],[Time]]-SUMIFS(Dyno_Data[Time],Dyno_Data[Team],Dyno_Data[[#This Row],[Team]],Dyno_Data[RecordType],"StartMatch",Dyno_Data[Match],Dyno_Data[[#This Row],[Match]]),0)*86400),0)</f>
        <v>0</v>
      </c>
    </row>
    <row r="3817" spans="1:35" x14ac:dyDescent="0.3">
      <c r="A3817">
        <v>3811</v>
      </c>
      <c r="B3817" t="s">
        <v>1291</v>
      </c>
      <c r="C3817">
        <v>69</v>
      </c>
      <c r="D3817" s="105">
        <v>45374.442051122685</v>
      </c>
      <c r="E3817" t="s">
        <v>312</v>
      </c>
      <c r="F3817" t="s">
        <v>309</v>
      </c>
      <c r="G3817">
        <v>0</v>
      </c>
      <c r="H3817" t="s">
        <v>315</v>
      </c>
      <c r="I3817">
        <v>0</v>
      </c>
      <c r="J3817">
        <v>0</v>
      </c>
      <c r="K3817">
        <v>0</v>
      </c>
      <c r="L3817" t="s">
        <v>240</v>
      </c>
      <c r="M3817" t="s">
        <v>1398</v>
      </c>
      <c r="N3817">
        <v>0</v>
      </c>
      <c r="O3817" t="s">
        <v>319</v>
      </c>
      <c r="P3817" t="s">
        <v>310</v>
      </c>
      <c r="Q3817" t="s">
        <v>310</v>
      </c>
      <c r="R3817" t="s">
        <v>310</v>
      </c>
      <c r="S3817">
        <v>9</v>
      </c>
      <c r="T3817" t="s">
        <v>310</v>
      </c>
      <c r="U3817">
        <v>9</v>
      </c>
      <c r="V3817">
        <v>9</v>
      </c>
      <c r="W3817">
        <v>0</v>
      </c>
      <c r="X3817">
        <v>0</v>
      </c>
      <c r="Y3817">
        <v>0</v>
      </c>
      <c r="Z3817">
        <v>0</v>
      </c>
      <c r="AA3817">
        <v>9</v>
      </c>
      <c r="AB3817">
        <v>9</v>
      </c>
      <c r="AC3817" t="s">
        <v>310</v>
      </c>
      <c r="AD3817">
        <v>9</v>
      </c>
      <c r="AE3817" t="s">
        <v>1396</v>
      </c>
      <c r="AF3817">
        <v>10000000</v>
      </c>
      <c r="AG3817" t="s">
        <v>310</v>
      </c>
      <c r="AH3817">
        <f>SUM((MID(Dyno_Data[[#This Row],[Team]],4,5))+(Dyno_Data[[#This Row],[Match]]/100))</f>
        <v>1493.69</v>
      </c>
      <c r="AI3817" s="76">
        <f>ROUND(SUM(IF(Dyno_Data[[#This Row],[AcqCenter]]&gt;0,Dyno_Data[[#This Row],[Time]]-SUMIFS(Dyno_Data[Time],Dyno_Data[Team],Dyno_Data[[#This Row],[Team]],Dyno_Data[RecordType],"StartMatch",Dyno_Data[Match],Dyno_Data[[#This Row],[Match]]),0)*86400),0)</f>
        <v>0</v>
      </c>
    </row>
    <row r="3818" spans="1:35" x14ac:dyDescent="0.3">
      <c r="A3818">
        <v>3812</v>
      </c>
      <c r="B3818" t="s">
        <v>1314</v>
      </c>
      <c r="C3818">
        <v>69</v>
      </c>
      <c r="D3818" s="105">
        <v>45374.442052546299</v>
      </c>
      <c r="E3818" t="s">
        <v>312</v>
      </c>
      <c r="F3818" t="s">
        <v>309</v>
      </c>
      <c r="G3818">
        <v>0</v>
      </c>
      <c r="H3818" t="s">
        <v>315</v>
      </c>
      <c r="I3818">
        <v>0</v>
      </c>
      <c r="J3818">
        <v>0</v>
      </c>
      <c r="K3818">
        <v>0</v>
      </c>
      <c r="L3818" t="s">
        <v>241</v>
      </c>
      <c r="M3818" t="s">
        <v>1398</v>
      </c>
      <c r="N3818">
        <v>0</v>
      </c>
      <c r="O3818" t="s">
        <v>1389</v>
      </c>
      <c r="P3818" t="s">
        <v>310</v>
      </c>
      <c r="Q3818" t="s">
        <v>310</v>
      </c>
      <c r="R3818" t="s">
        <v>310</v>
      </c>
      <c r="S3818">
        <v>9</v>
      </c>
      <c r="T3818" t="s">
        <v>310</v>
      </c>
      <c r="U3818">
        <v>9</v>
      </c>
      <c r="V3818">
        <v>9</v>
      </c>
      <c r="W3818">
        <v>0</v>
      </c>
      <c r="X3818">
        <v>0</v>
      </c>
      <c r="Y3818">
        <v>0</v>
      </c>
      <c r="Z3818">
        <v>0</v>
      </c>
      <c r="AA3818">
        <v>9</v>
      </c>
      <c r="AB3818">
        <v>9</v>
      </c>
      <c r="AC3818" t="s">
        <v>310</v>
      </c>
      <c r="AD3818">
        <v>9</v>
      </c>
      <c r="AE3818" t="s">
        <v>1388</v>
      </c>
      <c r="AF3818">
        <v>10000000</v>
      </c>
      <c r="AG3818" t="s">
        <v>310</v>
      </c>
      <c r="AH3818">
        <f>SUM((MID(Dyno_Data[[#This Row],[Team]],4,5))+(Dyno_Data[[#This Row],[Match]]/100))</f>
        <v>3419.69</v>
      </c>
      <c r="AI3818" s="76">
        <f>ROUND(SUM(IF(Dyno_Data[[#This Row],[AcqCenter]]&gt;0,Dyno_Data[[#This Row],[Time]]-SUMIFS(Dyno_Data[Time],Dyno_Data[Team],Dyno_Data[[#This Row],[Team]],Dyno_Data[RecordType],"StartMatch",Dyno_Data[Match],Dyno_Data[[#This Row],[Match]]),0)*86400),0)</f>
        <v>0</v>
      </c>
    </row>
    <row r="3819" spans="1:35" x14ac:dyDescent="0.3">
      <c r="A3819">
        <v>3830</v>
      </c>
      <c r="B3819" t="s">
        <v>1280</v>
      </c>
      <c r="C3819">
        <v>69</v>
      </c>
      <c r="D3819" s="105">
        <v>45374.442055868058</v>
      </c>
      <c r="E3819" t="s">
        <v>308</v>
      </c>
      <c r="F3819" t="s">
        <v>309</v>
      </c>
      <c r="G3819">
        <v>0</v>
      </c>
      <c r="H3819" t="s">
        <v>310</v>
      </c>
      <c r="I3819">
        <v>0</v>
      </c>
      <c r="J3819">
        <v>0</v>
      </c>
      <c r="K3819">
        <v>0</v>
      </c>
      <c r="L3819" t="s">
        <v>310</v>
      </c>
      <c r="M3819" t="s">
        <v>310</v>
      </c>
      <c r="N3819">
        <v>0</v>
      </c>
      <c r="O3819" t="s">
        <v>1393</v>
      </c>
      <c r="P3819" t="s">
        <v>310</v>
      </c>
      <c r="Q3819" t="s">
        <v>310</v>
      </c>
      <c r="R3819" t="s">
        <v>310</v>
      </c>
      <c r="S3819">
        <v>9</v>
      </c>
      <c r="T3819" t="s">
        <v>310</v>
      </c>
      <c r="U3819">
        <v>9</v>
      </c>
      <c r="V3819">
        <v>9</v>
      </c>
      <c r="W3819">
        <v>0</v>
      </c>
      <c r="X3819">
        <v>0</v>
      </c>
      <c r="Y3819">
        <v>0</v>
      </c>
      <c r="Z3819">
        <v>0</v>
      </c>
      <c r="AA3819">
        <v>9</v>
      </c>
      <c r="AB3819">
        <v>9</v>
      </c>
      <c r="AC3819" t="s">
        <v>310</v>
      </c>
      <c r="AD3819">
        <v>9</v>
      </c>
      <c r="AE3819" t="s">
        <v>1413</v>
      </c>
      <c r="AF3819">
        <v>0</v>
      </c>
      <c r="AG3819" t="s">
        <v>310</v>
      </c>
      <c r="AH3819">
        <f>SUM((MID(Dyno_Data[[#This Row],[Team]],4,5))+(Dyno_Data[[#This Row],[Match]]/100))</f>
        <v>1559.69</v>
      </c>
      <c r="AI3819" s="76">
        <f>ROUND(SUM(IF(Dyno_Data[[#This Row],[AcqCenter]]&gt;0,Dyno_Data[[#This Row],[Time]]-SUMIFS(Dyno_Data[Time],Dyno_Data[Team],Dyno_Data[[#This Row],[Team]],Dyno_Data[RecordType],"StartMatch",Dyno_Data[Match],Dyno_Data[[#This Row],[Match]]),0)*86400),0)</f>
        <v>0</v>
      </c>
    </row>
    <row r="3820" spans="1:35" x14ac:dyDescent="0.3">
      <c r="A3820">
        <v>3813</v>
      </c>
      <c r="B3820" t="s">
        <v>372</v>
      </c>
      <c r="C3820">
        <v>69</v>
      </c>
      <c r="D3820" s="105">
        <v>45374.442064895833</v>
      </c>
      <c r="E3820" t="s">
        <v>312</v>
      </c>
      <c r="F3820" t="s">
        <v>309</v>
      </c>
      <c r="G3820">
        <v>0</v>
      </c>
      <c r="H3820" t="s">
        <v>315</v>
      </c>
      <c r="I3820">
        <v>0</v>
      </c>
      <c r="J3820">
        <v>0</v>
      </c>
      <c r="K3820">
        <v>0</v>
      </c>
      <c r="L3820" t="s">
        <v>240</v>
      </c>
      <c r="M3820" t="s">
        <v>1398</v>
      </c>
      <c r="N3820">
        <v>0</v>
      </c>
      <c r="O3820" t="s">
        <v>1395</v>
      </c>
      <c r="P3820" t="s">
        <v>310</v>
      </c>
      <c r="Q3820" t="s">
        <v>310</v>
      </c>
      <c r="R3820" t="s">
        <v>310</v>
      </c>
      <c r="S3820">
        <v>9</v>
      </c>
      <c r="T3820" t="s">
        <v>310</v>
      </c>
      <c r="U3820">
        <v>9</v>
      </c>
      <c r="V3820">
        <v>9</v>
      </c>
      <c r="W3820">
        <v>0</v>
      </c>
      <c r="X3820">
        <v>0</v>
      </c>
      <c r="Y3820">
        <v>0</v>
      </c>
      <c r="Z3820">
        <v>0</v>
      </c>
      <c r="AA3820">
        <v>9</v>
      </c>
      <c r="AB3820">
        <v>9</v>
      </c>
      <c r="AC3820" t="s">
        <v>310</v>
      </c>
      <c r="AD3820">
        <v>9</v>
      </c>
      <c r="AE3820" t="s">
        <v>1414</v>
      </c>
      <c r="AF3820">
        <v>10000000</v>
      </c>
      <c r="AG3820" t="s">
        <v>310</v>
      </c>
      <c r="AH3820">
        <f>SUM((MID(Dyno_Data[[#This Row],[Team]],4,5))+(Dyno_Data[[#This Row],[Match]]/100))</f>
        <v>7504.69</v>
      </c>
      <c r="AI3820" s="76">
        <f>ROUND(SUM(IF(Dyno_Data[[#This Row],[AcqCenter]]&gt;0,Dyno_Data[[#This Row],[Time]]-SUMIFS(Dyno_Data[Time],Dyno_Data[Team],Dyno_Data[[#This Row],[Team]],Dyno_Data[RecordType],"StartMatch",Dyno_Data[Match],Dyno_Data[[#This Row],[Match]]),0)*86400),0)</f>
        <v>0</v>
      </c>
    </row>
    <row r="3821" spans="1:35" x14ac:dyDescent="0.3">
      <c r="A3821">
        <v>3814</v>
      </c>
      <c r="B3821" t="s">
        <v>1314</v>
      </c>
      <c r="C3821">
        <v>69</v>
      </c>
      <c r="D3821" s="105">
        <v>45374.442091516205</v>
      </c>
      <c r="E3821" t="s">
        <v>312</v>
      </c>
      <c r="F3821" t="s">
        <v>309</v>
      </c>
      <c r="G3821">
        <v>0</v>
      </c>
      <c r="H3821" t="s">
        <v>143</v>
      </c>
      <c r="I3821">
        <v>2</v>
      </c>
      <c r="J3821">
        <v>1</v>
      </c>
      <c r="K3821">
        <v>0</v>
      </c>
      <c r="L3821" t="s">
        <v>310</v>
      </c>
      <c r="M3821" t="s">
        <v>310</v>
      </c>
      <c r="N3821">
        <v>0</v>
      </c>
      <c r="O3821" t="s">
        <v>1389</v>
      </c>
      <c r="P3821" t="s">
        <v>310</v>
      </c>
      <c r="Q3821" t="s">
        <v>310</v>
      </c>
      <c r="R3821" t="s">
        <v>310</v>
      </c>
      <c r="S3821">
        <v>9</v>
      </c>
      <c r="T3821" t="s">
        <v>310</v>
      </c>
      <c r="U3821">
        <v>9</v>
      </c>
      <c r="V3821">
        <v>9</v>
      </c>
      <c r="W3821">
        <v>0</v>
      </c>
      <c r="X3821">
        <v>0</v>
      </c>
      <c r="Y3821">
        <v>0</v>
      </c>
      <c r="Z3821">
        <v>0</v>
      </c>
      <c r="AA3821">
        <v>9</v>
      </c>
      <c r="AB3821">
        <v>9</v>
      </c>
      <c r="AC3821" t="s">
        <v>310</v>
      </c>
      <c r="AD3821">
        <v>9</v>
      </c>
      <c r="AE3821" t="s">
        <v>1388</v>
      </c>
      <c r="AF3821">
        <v>10001000</v>
      </c>
      <c r="AG3821" t="s">
        <v>310</v>
      </c>
      <c r="AH3821">
        <f>SUM((MID(Dyno_Data[[#This Row],[Team]],4,5))+(Dyno_Data[[#This Row],[Match]]/100))</f>
        <v>3419.69</v>
      </c>
      <c r="AI3821" s="76">
        <f>ROUND(SUM(IF(Dyno_Data[[#This Row],[AcqCenter]]&gt;0,Dyno_Data[[#This Row],[Time]]-SUMIFS(Dyno_Data[Time],Dyno_Data[Team],Dyno_Data[[#This Row],[Team]],Dyno_Data[RecordType],"StartMatch",Dyno_Data[Match],Dyno_Data[[#This Row],[Match]]),0)*86400),0)</f>
        <v>9</v>
      </c>
    </row>
    <row r="3822" spans="1:35" x14ac:dyDescent="0.3">
      <c r="A3822">
        <v>3816</v>
      </c>
      <c r="B3822" t="s">
        <v>1300</v>
      </c>
      <c r="C3822">
        <v>69</v>
      </c>
      <c r="D3822" s="105">
        <v>45374.442108831019</v>
      </c>
      <c r="E3822" t="s">
        <v>312</v>
      </c>
      <c r="F3822" t="s">
        <v>309</v>
      </c>
      <c r="G3822">
        <v>0</v>
      </c>
      <c r="H3822" t="s">
        <v>143</v>
      </c>
      <c r="I3822">
        <v>1</v>
      </c>
      <c r="J3822">
        <v>1</v>
      </c>
      <c r="K3822">
        <v>0</v>
      </c>
      <c r="L3822" t="s">
        <v>310</v>
      </c>
      <c r="M3822" t="s">
        <v>310</v>
      </c>
      <c r="N3822">
        <v>0</v>
      </c>
      <c r="O3822" t="s">
        <v>1391</v>
      </c>
      <c r="P3822" t="s">
        <v>310</v>
      </c>
      <c r="Q3822" t="s">
        <v>310</v>
      </c>
      <c r="R3822" t="s">
        <v>310</v>
      </c>
      <c r="S3822">
        <v>9</v>
      </c>
      <c r="T3822" t="s">
        <v>310</v>
      </c>
      <c r="U3822">
        <v>9</v>
      </c>
      <c r="V3822">
        <v>9</v>
      </c>
      <c r="W3822">
        <v>0</v>
      </c>
      <c r="X3822">
        <v>0</v>
      </c>
      <c r="Y3822">
        <v>0</v>
      </c>
      <c r="Z3822">
        <v>0</v>
      </c>
      <c r="AA3822">
        <v>9</v>
      </c>
      <c r="AB3822">
        <v>9</v>
      </c>
      <c r="AC3822" t="s">
        <v>310</v>
      </c>
      <c r="AD3822">
        <v>9</v>
      </c>
      <c r="AE3822" t="s">
        <v>1390</v>
      </c>
      <c r="AF3822">
        <v>0</v>
      </c>
      <c r="AG3822" t="s">
        <v>310</v>
      </c>
      <c r="AH3822">
        <f>SUM((MID(Dyno_Data[[#This Row],[Team]],4,5))+(Dyno_Data[[#This Row],[Match]]/100))</f>
        <v>3044.69</v>
      </c>
      <c r="AI3822" s="76">
        <f>ROUND(SUM(IF(Dyno_Data[[#This Row],[AcqCenter]]&gt;0,Dyno_Data[[#This Row],[Time]]-SUMIFS(Dyno_Data[Time],Dyno_Data[Team],Dyno_Data[[#This Row],[Team]],Dyno_Data[RecordType],"StartMatch",Dyno_Data[Match],Dyno_Data[[#This Row],[Match]]),0)*86400),0)</f>
        <v>9</v>
      </c>
    </row>
    <row r="3823" spans="1:35" x14ac:dyDescent="0.3">
      <c r="A3823">
        <v>3815</v>
      </c>
      <c r="B3823" t="s">
        <v>1291</v>
      </c>
      <c r="C3823">
        <v>69</v>
      </c>
      <c r="D3823" s="105">
        <v>45374.442118402774</v>
      </c>
      <c r="E3823" t="s">
        <v>312</v>
      </c>
      <c r="F3823" t="s">
        <v>309</v>
      </c>
      <c r="G3823">
        <v>0</v>
      </c>
      <c r="H3823" t="s">
        <v>315</v>
      </c>
      <c r="I3823">
        <v>0</v>
      </c>
      <c r="J3823">
        <v>0</v>
      </c>
      <c r="K3823">
        <v>0</v>
      </c>
      <c r="L3823" t="s">
        <v>240</v>
      </c>
      <c r="M3823" t="s">
        <v>1398</v>
      </c>
      <c r="N3823">
        <v>1</v>
      </c>
      <c r="O3823" t="s">
        <v>319</v>
      </c>
      <c r="P3823" t="s">
        <v>310</v>
      </c>
      <c r="Q3823" t="s">
        <v>310</v>
      </c>
      <c r="R3823" t="s">
        <v>310</v>
      </c>
      <c r="S3823">
        <v>9</v>
      </c>
      <c r="T3823" t="s">
        <v>310</v>
      </c>
      <c r="U3823">
        <v>9</v>
      </c>
      <c r="V3823">
        <v>9</v>
      </c>
      <c r="W3823">
        <v>0</v>
      </c>
      <c r="X3823">
        <v>0</v>
      </c>
      <c r="Y3823">
        <v>0</v>
      </c>
      <c r="Z3823">
        <v>0</v>
      </c>
      <c r="AA3823">
        <v>9</v>
      </c>
      <c r="AB3823">
        <v>9</v>
      </c>
      <c r="AC3823" t="s">
        <v>310</v>
      </c>
      <c r="AD3823">
        <v>9</v>
      </c>
      <c r="AE3823" t="s">
        <v>1396</v>
      </c>
      <c r="AF3823">
        <v>20000000</v>
      </c>
      <c r="AG3823" t="s">
        <v>310</v>
      </c>
      <c r="AH3823">
        <f>SUM((MID(Dyno_Data[[#This Row],[Team]],4,5))+(Dyno_Data[[#This Row],[Match]]/100))</f>
        <v>1493.69</v>
      </c>
      <c r="AI3823" s="76">
        <f>ROUND(SUM(IF(Dyno_Data[[#This Row],[AcqCenter]]&gt;0,Dyno_Data[[#This Row],[Time]]-SUMIFS(Dyno_Data[Time],Dyno_Data[Team],Dyno_Data[[#This Row],[Team]],Dyno_Data[RecordType],"StartMatch",Dyno_Data[Match],Dyno_Data[[#This Row],[Match]]),0)*86400),0)</f>
        <v>0</v>
      </c>
    </row>
    <row r="3824" spans="1:35" x14ac:dyDescent="0.3">
      <c r="A3824">
        <v>3817</v>
      </c>
      <c r="B3824" t="s">
        <v>1300</v>
      </c>
      <c r="C3824">
        <v>69</v>
      </c>
      <c r="D3824" s="105">
        <v>45374.442141400461</v>
      </c>
      <c r="E3824" t="s">
        <v>312</v>
      </c>
      <c r="F3824" t="s">
        <v>309</v>
      </c>
      <c r="G3824">
        <v>0</v>
      </c>
      <c r="H3824" t="s">
        <v>143</v>
      </c>
      <c r="I3824">
        <v>0</v>
      </c>
      <c r="J3824">
        <v>0</v>
      </c>
      <c r="K3824">
        <v>0</v>
      </c>
      <c r="L3824" t="s">
        <v>241</v>
      </c>
      <c r="M3824" t="s">
        <v>1398</v>
      </c>
      <c r="N3824">
        <v>0</v>
      </c>
      <c r="O3824" t="s">
        <v>1391</v>
      </c>
      <c r="P3824" t="s">
        <v>310</v>
      </c>
      <c r="Q3824" t="s">
        <v>310</v>
      </c>
      <c r="R3824" t="s">
        <v>310</v>
      </c>
      <c r="S3824">
        <v>9</v>
      </c>
      <c r="T3824" t="s">
        <v>310</v>
      </c>
      <c r="U3824">
        <v>9</v>
      </c>
      <c r="V3824">
        <v>9</v>
      </c>
      <c r="W3824">
        <v>0</v>
      </c>
      <c r="X3824">
        <v>0</v>
      </c>
      <c r="Y3824">
        <v>0</v>
      </c>
      <c r="Z3824">
        <v>0</v>
      </c>
      <c r="AA3824">
        <v>9</v>
      </c>
      <c r="AB3824">
        <v>9</v>
      </c>
      <c r="AC3824" t="s">
        <v>310</v>
      </c>
      <c r="AD3824">
        <v>9</v>
      </c>
      <c r="AE3824" t="s">
        <v>1390</v>
      </c>
      <c r="AF3824">
        <v>0</v>
      </c>
      <c r="AG3824" t="s">
        <v>310</v>
      </c>
      <c r="AH3824">
        <f>SUM((MID(Dyno_Data[[#This Row],[Team]],4,5))+(Dyno_Data[[#This Row],[Match]]/100))</f>
        <v>3044.69</v>
      </c>
      <c r="AI3824" s="76">
        <f>ROUND(SUM(IF(Dyno_Data[[#This Row],[AcqCenter]]&gt;0,Dyno_Data[[#This Row],[Time]]-SUMIFS(Dyno_Data[Time],Dyno_Data[Team],Dyno_Data[[#This Row],[Team]],Dyno_Data[RecordType],"StartMatch",Dyno_Data[Match],Dyno_Data[[#This Row],[Match]]),0)*86400),0)</f>
        <v>0</v>
      </c>
    </row>
    <row r="3825" spans="1:35" x14ac:dyDescent="0.3">
      <c r="A3825">
        <v>3818</v>
      </c>
      <c r="B3825" t="s">
        <v>1314</v>
      </c>
      <c r="C3825">
        <v>69</v>
      </c>
      <c r="D3825" s="105">
        <v>45374.442166006942</v>
      </c>
      <c r="E3825" t="s">
        <v>312</v>
      </c>
      <c r="F3825" t="s">
        <v>309</v>
      </c>
      <c r="G3825">
        <v>0</v>
      </c>
      <c r="H3825" t="s">
        <v>143</v>
      </c>
      <c r="I3825">
        <v>0</v>
      </c>
      <c r="J3825">
        <v>0</v>
      </c>
      <c r="K3825">
        <v>0</v>
      </c>
      <c r="L3825" t="s">
        <v>241</v>
      </c>
      <c r="M3825" t="s">
        <v>1398</v>
      </c>
      <c r="N3825">
        <v>0</v>
      </c>
      <c r="O3825" t="s">
        <v>1389</v>
      </c>
      <c r="P3825" t="s">
        <v>310</v>
      </c>
      <c r="Q3825" t="s">
        <v>310</v>
      </c>
      <c r="R3825" t="s">
        <v>310</v>
      </c>
      <c r="S3825">
        <v>9</v>
      </c>
      <c r="T3825" t="s">
        <v>310</v>
      </c>
      <c r="U3825">
        <v>9</v>
      </c>
      <c r="V3825">
        <v>9</v>
      </c>
      <c r="W3825">
        <v>0</v>
      </c>
      <c r="X3825">
        <v>0</v>
      </c>
      <c r="Y3825">
        <v>0</v>
      </c>
      <c r="Z3825">
        <v>0</v>
      </c>
      <c r="AA3825">
        <v>9</v>
      </c>
      <c r="AB3825">
        <v>9</v>
      </c>
      <c r="AC3825" t="s">
        <v>310</v>
      </c>
      <c r="AD3825">
        <v>9</v>
      </c>
      <c r="AE3825" t="s">
        <v>1388</v>
      </c>
      <c r="AF3825">
        <v>10001000</v>
      </c>
      <c r="AG3825" t="s">
        <v>310</v>
      </c>
      <c r="AH3825">
        <f>SUM((MID(Dyno_Data[[#This Row],[Team]],4,5))+(Dyno_Data[[#This Row],[Match]]/100))</f>
        <v>3419.69</v>
      </c>
      <c r="AI3825" s="76">
        <f>ROUND(SUM(IF(Dyno_Data[[#This Row],[AcqCenter]]&gt;0,Dyno_Data[[#This Row],[Time]]-SUMIFS(Dyno_Data[Time],Dyno_Data[Team],Dyno_Data[[#This Row],[Team]],Dyno_Data[RecordType],"StartMatch",Dyno_Data[Match],Dyno_Data[[#This Row],[Match]]),0)*86400),0)</f>
        <v>0</v>
      </c>
    </row>
    <row r="3826" spans="1:35" x14ac:dyDescent="0.3">
      <c r="A3826">
        <v>3819</v>
      </c>
      <c r="B3826" t="s">
        <v>370</v>
      </c>
      <c r="C3826">
        <v>69</v>
      </c>
      <c r="D3826" s="105">
        <v>45374.442184953703</v>
      </c>
      <c r="E3826" t="s">
        <v>312</v>
      </c>
      <c r="F3826" t="s">
        <v>309</v>
      </c>
      <c r="G3826">
        <v>0</v>
      </c>
      <c r="H3826" t="s">
        <v>315</v>
      </c>
      <c r="I3826">
        <v>0</v>
      </c>
      <c r="J3826">
        <v>0</v>
      </c>
      <c r="K3826">
        <v>0</v>
      </c>
      <c r="L3826" t="s">
        <v>241</v>
      </c>
      <c r="M3826" t="s">
        <v>1398</v>
      </c>
      <c r="N3826">
        <v>0</v>
      </c>
      <c r="O3826" t="s">
        <v>311</v>
      </c>
      <c r="P3826" t="s">
        <v>310</v>
      </c>
      <c r="Q3826" t="s">
        <v>310</v>
      </c>
      <c r="R3826" t="s">
        <v>310</v>
      </c>
      <c r="S3826">
        <v>9</v>
      </c>
      <c r="T3826" t="s">
        <v>310</v>
      </c>
      <c r="U3826">
        <v>9</v>
      </c>
      <c r="V3826">
        <v>9</v>
      </c>
      <c r="W3826">
        <v>0</v>
      </c>
      <c r="X3826">
        <v>0</v>
      </c>
      <c r="Y3826">
        <v>0</v>
      </c>
      <c r="Z3826">
        <v>0</v>
      </c>
      <c r="AA3826">
        <v>9</v>
      </c>
      <c r="AB3826">
        <v>9</v>
      </c>
      <c r="AC3826" t="s">
        <v>310</v>
      </c>
      <c r="AD3826">
        <v>9</v>
      </c>
      <c r="AE3826" t="s">
        <v>1412</v>
      </c>
      <c r="AF3826">
        <v>10000000</v>
      </c>
      <c r="AG3826" t="s">
        <v>310</v>
      </c>
      <c r="AH3826">
        <f>SUM((MID(Dyno_Data[[#This Row],[Team]],4,5))+(Dyno_Data[[#This Row],[Match]]/100))</f>
        <v>6911.69</v>
      </c>
      <c r="AI3826" s="76">
        <f>ROUND(SUM(IF(Dyno_Data[[#This Row],[AcqCenter]]&gt;0,Dyno_Data[[#This Row],[Time]]-SUMIFS(Dyno_Data[Time],Dyno_Data[Team],Dyno_Data[[#This Row],[Team]],Dyno_Data[RecordType],"StartMatch",Dyno_Data[Match],Dyno_Data[[#This Row],[Match]]),0)*86400),0)</f>
        <v>0</v>
      </c>
    </row>
    <row r="3827" spans="1:35" x14ac:dyDescent="0.3">
      <c r="A3827">
        <v>3821</v>
      </c>
      <c r="B3827" t="s">
        <v>1314</v>
      </c>
      <c r="C3827">
        <v>69</v>
      </c>
      <c r="D3827" s="105">
        <v>45374.442196377313</v>
      </c>
      <c r="E3827" t="s">
        <v>314</v>
      </c>
      <c r="F3827" t="s">
        <v>309</v>
      </c>
      <c r="G3827">
        <v>1</v>
      </c>
      <c r="H3827" t="s">
        <v>310</v>
      </c>
      <c r="I3827">
        <v>0</v>
      </c>
      <c r="J3827">
        <v>0</v>
      </c>
      <c r="K3827">
        <v>0</v>
      </c>
      <c r="L3827" t="s">
        <v>310</v>
      </c>
      <c r="M3827" t="s">
        <v>310</v>
      </c>
      <c r="N3827">
        <v>0</v>
      </c>
      <c r="O3827" t="s">
        <v>1389</v>
      </c>
      <c r="P3827" t="s">
        <v>1401</v>
      </c>
      <c r="Q3827" t="s">
        <v>1400</v>
      </c>
      <c r="R3827" t="s">
        <v>310</v>
      </c>
      <c r="S3827">
        <v>9</v>
      </c>
      <c r="T3827" t="s">
        <v>310</v>
      </c>
      <c r="U3827">
        <v>9</v>
      </c>
      <c r="V3827">
        <v>9</v>
      </c>
      <c r="W3827">
        <v>0</v>
      </c>
      <c r="X3827">
        <v>0</v>
      </c>
      <c r="Y3827">
        <v>0</v>
      </c>
      <c r="Z3827">
        <v>0</v>
      </c>
      <c r="AA3827">
        <v>9</v>
      </c>
      <c r="AB3827">
        <v>9</v>
      </c>
      <c r="AC3827" t="s">
        <v>310</v>
      </c>
      <c r="AD3827">
        <v>9</v>
      </c>
      <c r="AE3827" t="s">
        <v>1388</v>
      </c>
      <c r="AF3827">
        <v>10001000</v>
      </c>
      <c r="AG3827" t="s">
        <v>310</v>
      </c>
      <c r="AH3827">
        <f>SUM((MID(Dyno_Data[[#This Row],[Team]],4,5))+(Dyno_Data[[#This Row],[Match]]/100))</f>
        <v>3419.69</v>
      </c>
      <c r="AI3827" s="76">
        <f>ROUND(SUM(IF(Dyno_Data[[#This Row],[AcqCenter]]&gt;0,Dyno_Data[[#This Row],[Time]]-SUMIFS(Dyno_Data[Time],Dyno_Data[Team],Dyno_Data[[#This Row],[Team]],Dyno_Data[RecordType],"StartMatch",Dyno_Data[Match],Dyno_Data[[#This Row],[Match]]),0)*86400),0)</f>
        <v>0</v>
      </c>
    </row>
    <row r="3828" spans="1:35" x14ac:dyDescent="0.3">
      <c r="A3828">
        <v>3823</v>
      </c>
      <c r="B3828" t="s">
        <v>1291</v>
      </c>
      <c r="C3828">
        <v>69</v>
      </c>
      <c r="D3828" s="105">
        <v>45374.44219710648</v>
      </c>
      <c r="E3828" t="s">
        <v>314</v>
      </c>
      <c r="F3828" t="s">
        <v>309</v>
      </c>
      <c r="G3828">
        <v>0</v>
      </c>
      <c r="H3828" t="s">
        <v>310</v>
      </c>
      <c r="I3828">
        <v>0</v>
      </c>
      <c r="J3828">
        <v>0</v>
      </c>
      <c r="K3828">
        <v>0</v>
      </c>
      <c r="L3828" t="s">
        <v>310</v>
      </c>
      <c r="M3828" t="s">
        <v>310</v>
      </c>
      <c r="N3828">
        <v>0</v>
      </c>
      <c r="O3828" t="s">
        <v>319</v>
      </c>
      <c r="P3828" t="s">
        <v>240</v>
      </c>
      <c r="Q3828" t="s">
        <v>1400</v>
      </c>
      <c r="R3828" t="s">
        <v>310</v>
      </c>
      <c r="S3828">
        <v>9</v>
      </c>
      <c r="T3828" t="s">
        <v>310</v>
      </c>
      <c r="U3828">
        <v>9</v>
      </c>
      <c r="V3828">
        <v>9</v>
      </c>
      <c r="W3828">
        <v>0</v>
      </c>
      <c r="X3828">
        <v>0</v>
      </c>
      <c r="Y3828">
        <v>0</v>
      </c>
      <c r="Z3828">
        <v>0</v>
      </c>
      <c r="AA3828">
        <v>9</v>
      </c>
      <c r="AB3828">
        <v>9</v>
      </c>
      <c r="AC3828" t="s">
        <v>310</v>
      </c>
      <c r="AD3828">
        <v>9</v>
      </c>
      <c r="AE3828" t="s">
        <v>1396</v>
      </c>
      <c r="AF3828">
        <v>20000000</v>
      </c>
      <c r="AG3828" t="s">
        <v>310</v>
      </c>
      <c r="AH3828">
        <f>SUM((MID(Dyno_Data[[#This Row],[Team]],4,5))+(Dyno_Data[[#This Row],[Match]]/100))</f>
        <v>1493.69</v>
      </c>
      <c r="AI3828" s="76">
        <f>ROUND(SUM(IF(Dyno_Data[[#This Row],[AcqCenter]]&gt;0,Dyno_Data[[#This Row],[Time]]-SUMIFS(Dyno_Data[Time],Dyno_Data[Team],Dyno_Data[[#This Row],[Team]],Dyno_Data[RecordType],"StartMatch",Dyno_Data[Match],Dyno_Data[[#This Row],[Match]]),0)*86400),0)</f>
        <v>0</v>
      </c>
    </row>
    <row r="3829" spans="1:35" x14ac:dyDescent="0.3">
      <c r="A3829">
        <v>3825</v>
      </c>
      <c r="B3829" t="s">
        <v>370</v>
      </c>
      <c r="C3829">
        <v>69</v>
      </c>
      <c r="D3829" s="105">
        <v>45374.442198576391</v>
      </c>
      <c r="E3829" t="s">
        <v>314</v>
      </c>
      <c r="F3829" t="s">
        <v>309</v>
      </c>
      <c r="G3829">
        <v>1</v>
      </c>
      <c r="H3829" t="s">
        <v>310</v>
      </c>
      <c r="I3829">
        <v>0</v>
      </c>
      <c r="J3829">
        <v>0</v>
      </c>
      <c r="K3829">
        <v>0</v>
      </c>
      <c r="L3829" t="s">
        <v>310</v>
      </c>
      <c r="M3829" t="s">
        <v>310</v>
      </c>
      <c r="N3829">
        <v>0</v>
      </c>
      <c r="O3829" t="s">
        <v>311</v>
      </c>
      <c r="P3829" t="s">
        <v>101</v>
      </c>
      <c r="Q3829" t="s">
        <v>1399</v>
      </c>
      <c r="R3829" t="s">
        <v>310</v>
      </c>
      <c r="S3829">
        <v>9</v>
      </c>
      <c r="T3829" t="s">
        <v>310</v>
      </c>
      <c r="U3829">
        <v>9</v>
      </c>
      <c r="V3829">
        <v>9</v>
      </c>
      <c r="W3829">
        <v>0</v>
      </c>
      <c r="X3829">
        <v>0</v>
      </c>
      <c r="Y3829">
        <v>0</v>
      </c>
      <c r="Z3829">
        <v>0</v>
      </c>
      <c r="AA3829">
        <v>9</v>
      </c>
      <c r="AB3829">
        <v>9</v>
      </c>
      <c r="AC3829" t="s">
        <v>310</v>
      </c>
      <c r="AD3829">
        <v>9</v>
      </c>
      <c r="AE3829" t="s">
        <v>1412</v>
      </c>
      <c r="AF3829">
        <v>10000000</v>
      </c>
      <c r="AG3829" t="s">
        <v>310</v>
      </c>
      <c r="AH3829">
        <f>SUM((MID(Dyno_Data[[#This Row],[Team]],4,5))+(Dyno_Data[[#This Row],[Match]]/100))</f>
        <v>6911.69</v>
      </c>
      <c r="AI3829" s="76">
        <f>ROUND(SUM(IF(Dyno_Data[[#This Row],[AcqCenter]]&gt;0,Dyno_Data[[#This Row],[Time]]-SUMIFS(Dyno_Data[Time],Dyno_Data[Team],Dyno_Data[[#This Row],[Team]],Dyno_Data[RecordType],"StartMatch",Dyno_Data[Match],Dyno_Data[[#This Row],[Match]]),0)*86400),0)</f>
        <v>0</v>
      </c>
    </row>
    <row r="3830" spans="1:35" x14ac:dyDescent="0.3">
      <c r="A3830">
        <v>3829</v>
      </c>
      <c r="B3830" t="s">
        <v>372</v>
      </c>
      <c r="C3830">
        <v>69</v>
      </c>
      <c r="D3830" s="105">
        <v>45374.442208796296</v>
      </c>
      <c r="E3830" t="s">
        <v>314</v>
      </c>
      <c r="F3830" t="s">
        <v>309</v>
      </c>
      <c r="G3830">
        <v>1</v>
      </c>
      <c r="H3830" t="s">
        <v>310</v>
      </c>
      <c r="I3830">
        <v>0</v>
      </c>
      <c r="J3830">
        <v>0</v>
      </c>
      <c r="K3830">
        <v>0</v>
      </c>
      <c r="L3830" t="s">
        <v>310</v>
      </c>
      <c r="M3830" t="s">
        <v>310</v>
      </c>
      <c r="N3830">
        <v>0</v>
      </c>
      <c r="O3830" t="s">
        <v>1395</v>
      </c>
      <c r="P3830" t="s">
        <v>240</v>
      </c>
      <c r="Q3830" t="s">
        <v>1399</v>
      </c>
      <c r="R3830" t="s">
        <v>310</v>
      </c>
      <c r="S3830">
        <v>9</v>
      </c>
      <c r="T3830" t="s">
        <v>310</v>
      </c>
      <c r="U3830">
        <v>9</v>
      </c>
      <c r="V3830">
        <v>9</v>
      </c>
      <c r="W3830">
        <v>0</v>
      </c>
      <c r="X3830">
        <v>0</v>
      </c>
      <c r="Y3830">
        <v>0</v>
      </c>
      <c r="Z3830">
        <v>0</v>
      </c>
      <c r="AA3830">
        <v>9</v>
      </c>
      <c r="AB3830">
        <v>9</v>
      </c>
      <c r="AC3830" t="s">
        <v>310</v>
      </c>
      <c r="AD3830">
        <v>9</v>
      </c>
      <c r="AE3830" t="s">
        <v>1414</v>
      </c>
      <c r="AF3830">
        <v>10000000</v>
      </c>
      <c r="AG3830" t="s">
        <v>310</v>
      </c>
      <c r="AH3830">
        <f>SUM((MID(Dyno_Data[[#This Row],[Team]],4,5))+(Dyno_Data[[#This Row],[Match]]/100))</f>
        <v>7504.69</v>
      </c>
      <c r="AI3830" s="76">
        <f>ROUND(SUM(IF(Dyno_Data[[#This Row],[AcqCenter]]&gt;0,Dyno_Data[[#This Row],[Time]]-SUMIFS(Dyno_Data[Time],Dyno_Data[Team],Dyno_Data[[#This Row],[Team]],Dyno_Data[RecordType],"StartMatch",Dyno_Data[Match],Dyno_Data[[#This Row],[Match]]),0)*86400),0)</f>
        <v>0</v>
      </c>
    </row>
    <row r="3831" spans="1:35" x14ac:dyDescent="0.3">
      <c r="A3831">
        <v>3827</v>
      </c>
      <c r="B3831" t="s">
        <v>1300</v>
      </c>
      <c r="C3831">
        <v>69</v>
      </c>
      <c r="D3831" s="105">
        <v>45374.442208796296</v>
      </c>
      <c r="E3831" t="s">
        <v>314</v>
      </c>
      <c r="F3831" t="s">
        <v>309</v>
      </c>
      <c r="G3831">
        <v>1</v>
      </c>
      <c r="H3831" t="s">
        <v>310</v>
      </c>
      <c r="I3831">
        <v>0</v>
      </c>
      <c r="J3831">
        <v>0</v>
      </c>
      <c r="K3831">
        <v>0</v>
      </c>
      <c r="L3831" t="s">
        <v>310</v>
      </c>
      <c r="M3831" t="s">
        <v>310</v>
      </c>
      <c r="N3831">
        <v>0</v>
      </c>
      <c r="O3831" t="s">
        <v>1391</v>
      </c>
      <c r="P3831" t="s">
        <v>1401</v>
      </c>
      <c r="Q3831" t="s">
        <v>1400</v>
      </c>
      <c r="R3831" t="s">
        <v>310</v>
      </c>
      <c r="S3831">
        <v>9</v>
      </c>
      <c r="T3831" t="s">
        <v>310</v>
      </c>
      <c r="U3831">
        <v>9</v>
      </c>
      <c r="V3831">
        <v>9</v>
      </c>
      <c r="W3831">
        <v>0</v>
      </c>
      <c r="X3831">
        <v>0</v>
      </c>
      <c r="Y3831">
        <v>0</v>
      </c>
      <c r="Z3831">
        <v>0</v>
      </c>
      <c r="AA3831">
        <v>9</v>
      </c>
      <c r="AB3831">
        <v>9</v>
      </c>
      <c r="AC3831" t="s">
        <v>310</v>
      </c>
      <c r="AD3831">
        <v>9</v>
      </c>
      <c r="AE3831" t="s">
        <v>1390</v>
      </c>
      <c r="AF3831">
        <v>0</v>
      </c>
      <c r="AG3831" t="s">
        <v>310</v>
      </c>
      <c r="AH3831">
        <f>SUM((MID(Dyno_Data[[#This Row],[Team]],4,5))+(Dyno_Data[[#This Row],[Match]]/100))</f>
        <v>3044.69</v>
      </c>
      <c r="AI3831" s="76">
        <f>ROUND(SUM(IF(Dyno_Data[[#This Row],[AcqCenter]]&gt;0,Dyno_Data[[#This Row],[Time]]-SUMIFS(Dyno_Data[Time],Dyno_Data[Team],Dyno_Data[[#This Row],[Team]],Dyno_Data[RecordType],"StartMatch",Dyno_Data[Match],Dyno_Data[[#This Row],[Match]]),0)*86400),0)</f>
        <v>0</v>
      </c>
    </row>
    <row r="3832" spans="1:35" x14ac:dyDescent="0.3">
      <c r="A3832">
        <v>3831</v>
      </c>
      <c r="B3832" t="s">
        <v>1280</v>
      </c>
      <c r="C3832">
        <v>69</v>
      </c>
      <c r="D3832" s="105">
        <v>45374.442264201389</v>
      </c>
      <c r="E3832" t="s">
        <v>314</v>
      </c>
      <c r="F3832" t="s">
        <v>309</v>
      </c>
      <c r="G3832">
        <v>0</v>
      </c>
      <c r="H3832" t="s">
        <v>310</v>
      </c>
      <c r="I3832">
        <v>0</v>
      </c>
      <c r="J3832">
        <v>0</v>
      </c>
      <c r="K3832">
        <v>0</v>
      </c>
      <c r="L3832" t="s">
        <v>310</v>
      </c>
      <c r="M3832" t="s">
        <v>310</v>
      </c>
      <c r="N3832">
        <v>0</v>
      </c>
      <c r="O3832" t="s">
        <v>1393</v>
      </c>
      <c r="P3832" t="s">
        <v>101</v>
      </c>
      <c r="Q3832" t="s">
        <v>1400</v>
      </c>
      <c r="R3832" t="s">
        <v>310</v>
      </c>
      <c r="S3832">
        <v>9</v>
      </c>
      <c r="T3832" t="s">
        <v>310</v>
      </c>
      <c r="U3832">
        <v>9</v>
      </c>
      <c r="V3832">
        <v>9</v>
      </c>
      <c r="W3832">
        <v>0</v>
      </c>
      <c r="X3832">
        <v>0</v>
      </c>
      <c r="Y3832">
        <v>0</v>
      </c>
      <c r="Z3832">
        <v>0</v>
      </c>
      <c r="AA3832">
        <v>9</v>
      </c>
      <c r="AB3832">
        <v>9</v>
      </c>
      <c r="AC3832" t="s">
        <v>310</v>
      </c>
      <c r="AD3832">
        <v>9</v>
      </c>
      <c r="AE3832" t="s">
        <v>1413</v>
      </c>
      <c r="AF3832">
        <v>0</v>
      </c>
      <c r="AG3832" t="s">
        <v>310</v>
      </c>
      <c r="AH3832">
        <f>SUM((MID(Dyno_Data[[#This Row],[Team]],4,5))+(Dyno_Data[[#This Row],[Match]]/100))</f>
        <v>1559.69</v>
      </c>
      <c r="AI3832" s="76">
        <f>ROUND(SUM(IF(Dyno_Data[[#This Row],[AcqCenter]]&gt;0,Dyno_Data[[#This Row],[Time]]-SUMIFS(Dyno_Data[Time],Dyno_Data[Team],Dyno_Data[[#This Row],[Team]],Dyno_Data[RecordType],"StartMatch",Dyno_Data[Match],Dyno_Data[[#This Row],[Match]]),0)*86400),0)</f>
        <v>0</v>
      </c>
    </row>
    <row r="3833" spans="1:35" x14ac:dyDescent="0.3">
      <c r="A3833">
        <v>3832</v>
      </c>
      <c r="B3833" t="s">
        <v>1314</v>
      </c>
      <c r="C3833">
        <v>69</v>
      </c>
      <c r="D3833" s="105">
        <v>45374.442305358796</v>
      </c>
      <c r="E3833" t="s">
        <v>312</v>
      </c>
      <c r="F3833" t="s">
        <v>1402</v>
      </c>
      <c r="G3833">
        <v>0</v>
      </c>
      <c r="H3833" t="s">
        <v>315</v>
      </c>
      <c r="I3833">
        <v>0</v>
      </c>
      <c r="J3833">
        <v>0</v>
      </c>
      <c r="K3833">
        <v>0</v>
      </c>
      <c r="L3833" t="s">
        <v>241</v>
      </c>
      <c r="M3833" t="s">
        <v>1398</v>
      </c>
      <c r="N3833">
        <v>0</v>
      </c>
      <c r="O3833" t="s">
        <v>1389</v>
      </c>
      <c r="P3833" t="s">
        <v>310</v>
      </c>
      <c r="Q3833" t="s">
        <v>310</v>
      </c>
      <c r="R3833" t="s">
        <v>310</v>
      </c>
      <c r="S3833">
        <v>9</v>
      </c>
      <c r="T3833" t="s">
        <v>310</v>
      </c>
      <c r="U3833">
        <v>9</v>
      </c>
      <c r="V3833">
        <v>9</v>
      </c>
      <c r="W3833">
        <v>0</v>
      </c>
      <c r="X3833">
        <v>0</v>
      </c>
      <c r="Y3833">
        <v>0</v>
      </c>
      <c r="Z3833">
        <v>0</v>
      </c>
      <c r="AA3833">
        <v>9</v>
      </c>
      <c r="AB3833">
        <v>9</v>
      </c>
      <c r="AC3833" t="s">
        <v>310</v>
      </c>
      <c r="AD3833">
        <v>9</v>
      </c>
      <c r="AE3833" t="s">
        <v>1388</v>
      </c>
      <c r="AF3833">
        <v>20001000</v>
      </c>
      <c r="AG3833" t="s">
        <v>310</v>
      </c>
      <c r="AH3833">
        <f>SUM((MID(Dyno_Data[[#This Row],[Team]],4,5))+(Dyno_Data[[#This Row],[Match]]/100))</f>
        <v>3419.69</v>
      </c>
      <c r="AI3833" s="76">
        <f>ROUND(SUM(IF(Dyno_Data[[#This Row],[AcqCenter]]&gt;0,Dyno_Data[[#This Row],[Time]]-SUMIFS(Dyno_Data[Time],Dyno_Data[Team],Dyno_Data[[#This Row],[Team]],Dyno_Data[RecordType],"StartMatch",Dyno_Data[Match],Dyno_Data[[#This Row],[Match]]),0)*86400),0)</f>
        <v>0</v>
      </c>
    </row>
    <row r="3834" spans="1:35" x14ac:dyDescent="0.3">
      <c r="A3834">
        <v>3833</v>
      </c>
      <c r="B3834" t="s">
        <v>370</v>
      </c>
      <c r="C3834">
        <v>69</v>
      </c>
      <c r="D3834" s="105">
        <v>45374.442343518516</v>
      </c>
      <c r="E3834" t="s">
        <v>312</v>
      </c>
      <c r="F3834" t="s">
        <v>1402</v>
      </c>
      <c r="G3834">
        <v>0</v>
      </c>
      <c r="H3834" t="s">
        <v>315</v>
      </c>
      <c r="I3834">
        <v>0</v>
      </c>
      <c r="J3834">
        <v>0</v>
      </c>
      <c r="K3834">
        <v>0</v>
      </c>
      <c r="L3834" t="s">
        <v>241</v>
      </c>
      <c r="M3834" t="s">
        <v>101</v>
      </c>
      <c r="N3834">
        <v>0</v>
      </c>
      <c r="O3834" t="s">
        <v>311</v>
      </c>
      <c r="P3834" t="s">
        <v>310</v>
      </c>
      <c r="Q3834" t="s">
        <v>310</v>
      </c>
      <c r="R3834" t="s">
        <v>310</v>
      </c>
      <c r="S3834">
        <v>9</v>
      </c>
      <c r="T3834" t="s">
        <v>310</v>
      </c>
      <c r="U3834">
        <v>9</v>
      </c>
      <c r="V3834">
        <v>9</v>
      </c>
      <c r="W3834">
        <v>0</v>
      </c>
      <c r="X3834">
        <v>0</v>
      </c>
      <c r="Y3834">
        <v>0</v>
      </c>
      <c r="Z3834">
        <v>0</v>
      </c>
      <c r="AA3834">
        <v>9</v>
      </c>
      <c r="AB3834">
        <v>9</v>
      </c>
      <c r="AC3834" t="s">
        <v>310</v>
      </c>
      <c r="AD3834">
        <v>9</v>
      </c>
      <c r="AE3834" t="s">
        <v>1412</v>
      </c>
      <c r="AF3834">
        <v>20000000</v>
      </c>
      <c r="AG3834" t="s">
        <v>310</v>
      </c>
      <c r="AH3834">
        <f>SUM((MID(Dyno_Data[[#This Row],[Team]],4,5))+(Dyno_Data[[#This Row],[Match]]/100))</f>
        <v>6911.69</v>
      </c>
      <c r="AI3834" s="76">
        <f>ROUND(SUM(IF(Dyno_Data[[#This Row],[AcqCenter]]&gt;0,Dyno_Data[[#This Row],[Time]]-SUMIFS(Dyno_Data[Time],Dyno_Data[Team],Dyno_Data[[#This Row],[Team]],Dyno_Data[RecordType],"StartMatch",Dyno_Data[Match],Dyno_Data[[#This Row],[Match]]),0)*86400),0)</f>
        <v>0</v>
      </c>
    </row>
    <row r="3835" spans="1:35" x14ac:dyDescent="0.3">
      <c r="A3835">
        <v>3834</v>
      </c>
      <c r="B3835" t="s">
        <v>372</v>
      </c>
      <c r="C3835">
        <v>69</v>
      </c>
      <c r="D3835" s="105">
        <v>45374.442408298608</v>
      </c>
      <c r="E3835" t="s">
        <v>312</v>
      </c>
      <c r="F3835" t="s">
        <v>1402</v>
      </c>
      <c r="G3835">
        <v>0</v>
      </c>
      <c r="H3835" t="s">
        <v>315</v>
      </c>
      <c r="I3835">
        <v>0</v>
      </c>
      <c r="J3835">
        <v>0</v>
      </c>
      <c r="K3835">
        <v>0</v>
      </c>
      <c r="L3835" t="s">
        <v>241</v>
      </c>
      <c r="M3835" t="s">
        <v>101</v>
      </c>
      <c r="N3835">
        <v>0</v>
      </c>
      <c r="O3835" t="s">
        <v>1395</v>
      </c>
      <c r="P3835" t="s">
        <v>310</v>
      </c>
      <c r="Q3835" t="s">
        <v>310</v>
      </c>
      <c r="R3835" t="s">
        <v>310</v>
      </c>
      <c r="S3835">
        <v>9</v>
      </c>
      <c r="T3835" t="s">
        <v>310</v>
      </c>
      <c r="U3835">
        <v>9</v>
      </c>
      <c r="V3835">
        <v>9</v>
      </c>
      <c r="W3835">
        <v>0</v>
      </c>
      <c r="X3835">
        <v>0</v>
      </c>
      <c r="Y3835">
        <v>0</v>
      </c>
      <c r="Z3835">
        <v>0</v>
      </c>
      <c r="AA3835">
        <v>9</v>
      </c>
      <c r="AB3835">
        <v>9</v>
      </c>
      <c r="AC3835" t="s">
        <v>310</v>
      </c>
      <c r="AD3835">
        <v>9</v>
      </c>
      <c r="AE3835" t="s">
        <v>1414</v>
      </c>
      <c r="AF3835">
        <v>20000000</v>
      </c>
      <c r="AG3835" t="s">
        <v>310</v>
      </c>
      <c r="AH3835">
        <f>SUM((MID(Dyno_Data[[#This Row],[Team]],4,5))+(Dyno_Data[[#This Row],[Match]]/100))</f>
        <v>7504.69</v>
      </c>
      <c r="AI3835" s="76">
        <f>ROUND(SUM(IF(Dyno_Data[[#This Row],[AcqCenter]]&gt;0,Dyno_Data[[#This Row],[Time]]-SUMIFS(Dyno_Data[Time],Dyno_Data[Team],Dyno_Data[[#This Row],[Team]],Dyno_Data[RecordType],"StartMatch",Dyno_Data[Match],Dyno_Data[[#This Row],[Match]]),0)*86400),0)</f>
        <v>0</v>
      </c>
    </row>
    <row r="3836" spans="1:35" x14ac:dyDescent="0.3">
      <c r="A3836">
        <v>3835</v>
      </c>
      <c r="B3836" t="s">
        <v>1291</v>
      </c>
      <c r="C3836">
        <v>69</v>
      </c>
      <c r="D3836" s="105">
        <v>45374.442417013888</v>
      </c>
      <c r="E3836" t="s">
        <v>312</v>
      </c>
      <c r="F3836" t="s">
        <v>1402</v>
      </c>
      <c r="G3836">
        <v>0</v>
      </c>
      <c r="H3836" t="s">
        <v>315</v>
      </c>
      <c r="I3836">
        <v>0</v>
      </c>
      <c r="J3836">
        <v>0</v>
      </c>
      <c r="K3836">
        <v>0</v>
      </c>
      <c r="L3836" t="s">
        <v>241</v>
      </c>
      <c r="M3836" t="s">
        <v>101</v>
      </c>
      <c r="N3836">
        <v>0</v>
      </c>
      <c r="O3836" t="s">
        <v>319</v>
      </c>
      <c r="P3836" t="s">
        <v>310</v>
      </c>
      <c r="Q3836" t="s">
        <v>310</v>
      </c>
      <c r="R3836" t="s">
        <v>310</v>
      </c>
      <c r="S3836">
        <v>9</v>
      </c>
      <c r="T3836" t="s">
        <v>310</v>
      </c>
      <c r="U3836">
        <v>9</v>
      </c>
      <c r="V3836">
        <v>9</v>
      </c>
      <c r="W3836">
        <v>0</v>
      </c>
      <c r="X3836">
        <v>0</v>
      </c>
      <c r="Y3836">
        <v>0</v>
      </c>
      <c r="Z3836">
        <v>0</v>
      </c>
      <c r="AA3836">
        <v>9</v>
      </c>
      <c r="AB3836">
        <v>9</v>
      </c>
      <c r="AC3836" t="s">
        <v>310</v>
      </c>
      <c r="AD3836">
        <v>9</v>
      </c>
      <c r="AE3836" t="s">
        <v>1396</v>
      </c>
      <c r="AF3836">
        <v>30000000</v>
      </c>
      <c r="AG3836" t="s">
        <v>310</v>
      </c>
      <c r="AH3836">
        <f>SUM((MID(Dyno_Data[[#This Row],[Team]],4,5))+(Dyno_Data[[#This Row],[Match]]/100))</f>
        <v>1493.69</v>
      </c>
      <c r="AI3836" s="76">
        <f>ROUND(SUM(IF(Dyno_Data[[#This Row],[AcqCenter]]&gt;0,Dyno_Data[[#This Row],[Time]]-SUMIFS(Dyno_Data[Time],Dyno_Data[Team],Dyno_Data[[#This Row],[Team]],Dyno_Data[RecordType],"StartMatch",Dyno_Data[Match],Dyno_Data[[#This Row],[Match]]),0)*86400),0)</f>
        <v>0</v>
      </c>
    </row>
    <row r="3837" spans="1:35" x14ac:dyDescent="0.3">
      <c r="A3837">
        <v>3836</v>
      </c>
      <c r="B3837" t="s">
        <v>370</v>
      </c>
      <c r="C3837">
        <v>69</v>
      </c>
      <c r="D3837" s="105">
        <v>45374.442458530095</v>
      </c>
      <c r="E3837" t="s">
        <v>312</v>
      </c>
      <c r="F3837" t="s">
        <v>1402</v>
      </c>
      <c r="G3837">
        <v>0</v>
      </c>
      <c r="H3837" t="s">
        <v>315</v>
      </c>
      <c r="I3837">
        <v>0</v>
      </c>
      <c r="J3837">
        <v>0</v>
      </c>
      <c r="K3837">
        <v>0</v>
      </c>
      <c r="L3837" t="s">
        <v>241</v>
      </c>
      <c r="M3837" t="s">
        <v>1398</v>
      </c>
      <c r="N3837">
        <v>0</v>
      </c>
      <c r="O3837" t="s">
        <v>311</v>
      </c>
      <c r="P3837" t="s">
        <v>310</v>
      </c>
      <c r="Q3837" t="s">
        <v>310</v>
      </c>
      <c r="R3837" t="s">
        <v>310</v>
      </c>
      <c r="S3837">
        <v>9</v>
      </c>
      <c r="T3837" t="s">
        <v>310</v>
      </c>
      <c r="U3837">
        <v>9</v>
      </c>
      <c r="V3837">
        <v>9</v>
      </c>
      <c r="W3837">
        <v>0</v>
      </c>
      <c r="X3837">
        <v>0</v>
      </c>
      <c r="Y3837">
        <v>0</v>
      </c>
      <c r="Z3837">
        <v>0</v>
      </c>
      <c r="AA3837">
        <v>9</v>
      </c>
      <c r="AB3837">
        <v>9</v>
      </c>
      <c r="AC3837" t="s">
        <v>310</v>
      </c>
      <c r="AD3837">
        <v>9</v>
      </c>
      <c r="AE3837" t="s">
        <v>1412</v>
      </c>
      <c r="AF3837">
        <v>30000000</v>
      </c>
      <c r="AG3837" t="s">
        <v>310</v>
      </c>
      <c r="AH3837">
        <f>SUM((MID(Dyno_Data[[#This Row],[Team]],4,5))+(Dyno_Data[[#This Row],[Match]]/100))</f>
        <v>6911.69</v>
      </c>
      <c r="AI3837" s="76">
        <f>ROUND(SUM(IF(Dyno_Data[[#This Row],[AcqCenter]]&gt;0,Dyno_Data[[#This Row],[Time]]-SUMIFS(Dyno_Data[Time],Dyno_Data[Team],Dyno_Data[[#This Row],[Team]],Dyno_Data[RecordType],"StartMatch",Dyno_Data[Match],Dyno_Data[[#This Row],[Match]]),0)*86400),0)</f>
        <v>0</v>
      </c>
    </row>
    <row r="3838" spans="1:35" x14ac:dyDescent="0.3">
      <c r="A3838">
        <v>3837</v>
      </c>
      <c r="B3838" t="s">
        <v>1291</v>
      </c>
      <c r="C3838">
        <v>69</v>
      </c>
      <c r="D3838" s="105">
        <v>45374.442482326391</v>
      </c>
      <c r="E3838" t="s">
        <v>312</v>
      </c>
      <c r="F3838" t="s">
        <v>1402</v>
      </c>
      <c r="G3838">
        <v>0</v>
      </c>
      <c r="H3838" t="s">
        <v>315</v>
      </c>
      <c r="I3838">
        <v>0</v>
      </c>
      <c r="J3838">
        <v>0</v>
      </c>
      <c r="K3838">
        <v>0</v>
      </c>
      <c r="L3838" t="s">
        <v>241</v>
      </c>
      <c r="M3838" t="s">
        <v>101</v>
      </c>
      <c r="N3838">
        <v>0</v>
      </c>
      <c r="O3838" t="s">
        <v>319</v>
      </c>
      <c r="P3838" t="s">
        <v>310</v>
      </c>
      <c r="Q3838" t="s">
        <v>310</v>
      </c>
      <c r="R3838" t="s">
        <v>310</v>
      </c>
      <c r="S3838">
        <v>9</v>
      </c>
      <c r="T3838" t="s">
        <v>310</v>
      </c>
      <c r="U3838">
        <v>9</v>
      </c>
      <c r="V3838">
        <v>9</v>
      </c>
      <c r="W3838">
        <v>0</v>
      </c>
      <c r="X3838">
        <v>0</v>
      </c>
      <c r="Y3838">
        <v>0</v>
      </c>
      <c r="Z3838">
        <v>0</v>
      </c>
      <c r="AA3838">
        <v>9</v>
      </c>
      <c r="AB3838">
        <v>9</v>
      </c>
      <c r="AC3838" t="s">
        <v>310</v>
      </c>
      <c r="AD3838">
        <v>9</v>
      </c>
      <c r="AE3838" t="s">
        <v>1396</v>
      </c>
      <c r="AF3838">
        <v>40000000</v>
      </c>
      <c r="AG3838" t="s">
        <v>310</v>
      </c>
      <c r="AH3838">
        <f>SUM((MID(Dyno_Data[[#This Row],[Team]],4,5))+(Dyno_Data[[#This Row],[Match]]/100))</f>
        <v>1493.69</v>
      </c>
      <c r="AI3838" s="76">
        <f>ROUND(SUM(IF(Dyno_Data[[#This Row],[AcqCenter]]&gt;0,Dyno_Data[[#This Row],[Time]]-SUMIFS(Dyno_Data[Time],Dyno_Data[Team],Dyno_Data[[#This Row],[Team]],Dyno_Data[RecordType],"StartMatch",Dyno_Data[Match],Dyno_Data[[#This Row],[Match]]),0)*86400),0)</f>
        <v>0</v>
      </c>
    </row>
    <row r="3839" spans="1:35" x14ac:dyDescent="0.3">
      <c r="A3839">
        <v>3838</v>
      </c>
      <c r="B3839" t="s">
        <v>1314</v>
      </c>
      <c r="C3839">
        <v>69</v>
      </c>
      <c r="D3839" s="105">
        <v>45374.442502743055</v>
      </c>
      <c r="E3839" t="s">
        <v>312</v>
      </c>
      <c r="F3839" t="s">
        <v>1402</v>
      </c>
      <c r="G3839">
        <v>0</v>
      </c>
      <c r="H3839" t="s">
        <v>315</v>
      </c>
      <c r="I3839">
        <v>0</v>
      </c>
      <c r="J3839">
        <v>0</v>
      </c>
      <c r="K3839">
        <v>0</v>
      </c>
      <c r="L3839" t="s">
        <v>241</v>
      </c>
      <c r="M3839" t="s">
        <v>1398</v>
      </c>
      <c r="N3839">
        <v>0</v>
      </c>
      <c r="O3839" t="s">
        <v>1389</v>
      </c>
      <c r="P3839" t="s">
        <v>310</v>
      </c>
      <c r="Q3839" t="s">
        <v>310</v>
      </c>
      <c r="R3839" t="s">
        <v>310</v>
      </c>
      <c r="S3839">
        <v>9</v>
      </c>
      <c r="T3839" t="s">
        <v>310</v>
      </c>
      <c r="U3839">
        <v>9</v>
      </c>
      <c r="V3839">
        <v>9</v>
      </c>
      <c r="W3839">
        <v>0</v>
      </c>
      <c r="X3839">
        <v>0</v>
      </c>
      <c r="Y3839">
        <v>0</v>
      </c>
      <c r="Z3839">
        <v>0</v>
      </c>
      <c r="AA3839">
        <v>9</v>
      </c>
      <c r="AB3839">
        <v>9</v>
      </c>
      <c r="AC3839" t="s">
        <v>310</v>
      </c>
      <c r="AD3839">
        <v>9</v>
      </c>
      <c r="AE3839" t="s">
        <v>1388</v>
      </c>
      <c r="AF3839">
        <v>30001000</v>
      </c>
      <c r="AG3839" t="s">
        <v>310</v>
      </c>
      <c r="AH3839">
        <f>SUM((MID(Dyno_Data[[#This Row],[Team]],4,5))+(Dyno_Data[[#This Row],[Match]]/100))</f>
        <v>3419.69</v>
      </c>
      <c r="AI3839" s="76">
        <f>ROUND(SUM(IF(Dyno_Data[[#This Row],[AcqCenter]]&gt;0,Dyno_Data[[#This Row],[Time]]-SUMIFS(Dyno_Data[Time],Dyno_Data[Team],Dyno_Data[[#This Row],[Team]],Dyno_Data[RecordType],"StartMatch",Dyno_Data[Match],Dyno_Data[[#This Row],[Match]]),0)*86400),0)</f>
        <v>0</v>
      </c>
    </row>
    <row r="3840" spans="1:35" x14ac:dyDescent="0.3">
      <c r="A3840">
        <v>3839</v>
      </c>
      <c r="B3840" t="s">
        <v>1300</v>
      </c>
      <c r="C3840">
        <v>69</v>
      </c>
      <c r="D3840" s="105">
        <v>45374.442598067129</v>
      </c>
      <c r="E3840" t="s">
        <v>312</v>
      </c>
      <c r="F3840" t="s">
        <v>1402</v>
      </c>
      <c r="G3840">
        <v>0</v>
      </c>
      <c r="H3840" t="s">
        <v>315</v>
      </c>
      <c r="I3840">
        <v>0</v>
      </c>
      <c r="J3840">
        <v>0</v>
      </c>
      <c r="K3840">
        <v>0</v>
      </c>
      <c r="L3840" t="s">
        <v>241</v>
      </c>
      <c r="M3840" t="s">
        <v>1398</v>
      </c>
      <c r="N3840">
        <v>1</v>
      </c>
      <c r="O3840" t="s">
        <v>1391</v>
      </c>
      <c r="P3840" t="s">
        <v>310</v>
      </c>
      <c r="Q3840" t="s">
        <v>310</v>
      </c>
      <c r="R3840" t="s">
        <v>310</v>
      </c>
      <c r="S3840">
        <v>9</v>
      </c>
      <c r="T3840" t="s">
        <v>310</v>
      </c>
      <c r="U3840">
        <v>9</v>
      </c>
      <c r="V3840">
        <v>9</v>
      </c>
      <c r="W3840">
        <v>0</v>
      </c>
      <c r="X3840">
        <v>0</v>
      </c>
      <c r="Y3840">
        <v>0</v>
      </c>
      <c r="Z3840">
        <v>0</v>
      </c>
      <c r="AA3840">
        <v>9</v>
      </c>
      <c r="AB3840">
        <v>9</v>
      </c>
      <c r="AC3840" t="s">
        <v>310</v>
      </c>
      <c r="AD3840">
        <v>9</v>
      </c>
      <c r="AE3840" t="s">
        <v>1390</v>
      </c>
      <c r="AF3840">
        <v>10000000</v>
      </c>
      <c r="AG3840" t="s">
        <v>310</v>
      </c>
      <c r="AH3840">
        <f>SUM((MID(Dyno_Data[[#This Row],[Team]],4,5))+(Dyno_Data[[#This Row],[Match]]/100))</f>
        <v>3044.69</v>
      </c>
      <c r="AI3840" s="76">
        <f>ROUND(SUM(IF(Dyno_Data[[#This Row],[AcqCenter]]&gt;0,Dyno_Data[[#This Row],[Time]]-SUMIFS(Dyno_Data[Time],Dyno_Data[Team],Dyno_Data[[#This Row],[Team]],Dyno_Data[RecordType],"StartMatch",Dyno_Data[Match],Dyno_Data[[#This Row],[Match]]),0)*86400),0)</f>
        <v>0</v>
      </c>
    </row>
    <row r="3841" spans="1:35" x14ac:dyDescent="0.3">
      <c r="A3841">
        <v>3840</v>
      </c>
      <c r="B3841" t="s">
        <v>1280</v>
      </c>
      <c r="C3841">
        <v>69</v>
      </c>
      <c r="D3841" s="105">
        <v>45374.442598761576</v>
      </c>
      <c r="E3841" t="s">
        <v>312</v>
      </c>
      <c r="F3841" t="s">
        <v>1402</v>
      </c>
      <c r="G3841">
        <v>0</v>
      </c>
      <c r="H3841" t="s">
        <v>1397</v>
      </c>
      <c r="I3841">
        <v>0</v>
      </c>
      <c r="J3841">
        <v>0</v>
      </c>
      <c r="K3841">
        <v>0</v>
      </c>
      <c r="L3841" t="s">
        <v>240</v>
      </c>
      <c r="M3841" t="s">
        <v>1398</v>
      </c>
      <c r="N3841">
        <v>1</v>
      </c>
      <c r="O3841" t="s">
        <v>1393</v>
      </c>
      <c r="P3841" t="s">
        <v>310</v>
      </c>
      <c r="Q3841" t="s">
        <v>310</v>
      </c>
      <c r="R3841" t="s">
        <v>310</v>
      </c>
      <c r="S3841">
        <v>9</v>
      </c>
      <c r="T3841" t="s">
        <v>310</v>
      </c>
      <c r="U3841">
        <v>9</v>
      </c>
      <c r="V3841">
        <v>9</v>
      </c>
      <c r="W3841">
        <v>0</v>
      </c>
      <c r="X3841">
        <v>0</v>
      </c>
      <c r="Y3841">
        <v>0</v>
      </c>
      <c r="Z3841">
        <v>0</v>
      </c>
      <c r="AA3841">
        <v>9</v>
      </c>
      <c r="AB3841">
        <v>9</v>
      </c>
      <c r="AC3841" t="s">
        <v>310</v>
      </c>
      <c r="AD3841">
        <v>9</v>
      </c>
      <c r="AE3841" t="s">
        <v>1413</v>
      </c>
      <c r="AF3841">
        <v>0</v>
      </c>
      <c r="AG3841" t="s">
        <v>310</v>
      </c>
      <c r="AH3841">
        <f>SUM((MID(Dyno_Data[[#This Row],[Team]],4,5))+(Dyno_Data[[#This Row],[Match]]/100))</f>
        <v>1559.69</v>
      </c>
      <c r="AI3841" s="76">
        <f>ROUND(SUM(IF(Dyno_Data[[#This Row],[AcqCenter]]&gt;0,Dyno_Data[[#This Row],[Time]]-SUMIFS(Dyno_Data[Time],Dyno_Data[Team],Dyno_Data[[#This Row],[Team]],Dyno_Data[RecordType],"StartMatch",Dyno_Data[Match],Dyno_Data[[#This Row],[Match]]),0)*86400),0)</f>
        <v>0</v>
      </c>
    </row>
    <row r="3842" spans="1:35" x14ac:dyDescent="0.3">
      <c r="A3842">
        <v>3841</v>
      </c>
      <c r="B3842" t="s">
        <v>1314</v>
      </c>
      <c r="C3842">
        <v>69</v>
      </c>
      <c r="D3842" s="105">
        <v>45374.442631331018</v>
      </c>
      <c r="E3842" t="s">
        <v>312</v>
      </c>
      <c r="F3842" t="s">
        <v>1402</v>
      </c>
      <c r="G3842">
        <v>0</v>
      </c>
      <c r="H3842" t="s">
        <v>315</v>
      </c>
      <c r="I3842">
        <v>0</v>
      </c>
      <c r="J3842">
        <v>0</v>
      </c>
      <c r="K3842">
        <v>0</v>
      </c>
      <c r="L3842" t="s">
        <v>241</v>
      </c>
      <c r="M3842" t="s">
        <v>1398</v>
      </c>
      <c r="N3842">
        <v>1</v>
      </c>
      <c r="O3842" t="s">
        <v>1389</v>
      </c>
      <c r="P3842" t="s">
        <v>310</v>
      </c>
      <c r="Q3842" t="s">
        <v>310</v>
      </c>
      <c r="R3842" t="s">
        <v>310</v>
      </c>
      <c r="S3842">
        <v>9</v>
      </c>
      <c r="T3842" t="s">
        <v>310</v>
      </c>
      <c r="U3842">
        <v>9</v>
      </c>
      <c r="V3842">
        <v>9</v>
      </c>
      <c r="W3842">
        <v>0</v>
      </c>
      <c r="X3842">
        <v>0</v>
      </c>
      <c r="Y3842">
        <v>0</v>
      </c>
      <c r="Z3842">
        <v>0</v>
      </c>
      <c r="AA3842">
        <v>9</v>
      </c>
      <c r="AB3842">
        <v>9</v>
      </c>
      <c r="AC3842" t="s">
        <v>310</v>
      </c>
      <c r="AD3842">
        <v>9</v>
      </c>
      <c r="AE3842" t="s">
        <v>1388</v>
      </c>
      <c r="AF3842">
        <v>40001000</v>
      </c>
      <c r="AG3842" t="s">
        <v>310</v>
      </c>
      <c r="AH3842">
        <f>SUM((MID(Dyno_Data[[#This Row],[Team]],4,5))+(Dyno_Data[[#This Row],[Match]]/100))</f>
        <v>3419.69</v>
      </c>
      <c r="AI3842" s="76">
        <f>ROUND(SUM(IF(Dyno_Data[[#This Row],[AcqCenter]]&gt;0,Dyno_Data[[#This Row],[Time]]-SUMIFS(Dyno_Data[Time],Dyno_Data[Team],Dyno_Data[[#This Row],[Team]],Dyno_Data[RecordType],"StartMatch",Dyno_Data[Match],Dyno_Data[[#This Row],[Match]]),0)*86400),0)</f>
        <v>0</v>
      </c>
    </row>
    <row r="3843" spans="1:35" x14ac:dyDescent="0.3">
      <c r="A3843">
        <v>3842</v>
      </c>
      <c r="B3843" t="s">
        <v>1300</v>
      </c>
      <c r="C3843">
        <v>69</v>
      </c>
      <c r="D3843" s="105">
        <v>45374.44267592593</v>
      </c>
      <c r="E3843" t="s">
        <v>312</v>
      </c>
      <c r="F3843" t="s">
        <v>1402</v>
      </c>
      <c r="G3843">
        <v>0</v>
      </c>
      <c r="H3843" t="s">
        <v>315</v>
      </c>
      <c r="I3843">
        <v>0</v>
      </c>
      <c r="J3843">
        <v>0</v>
      </c>
      <c r="K3843">
        <v>0</v>
      </c>
      <c r="L3843" t="s">
        <v>241</v>
      </c>
      <c r="M3843" t="s">
        <v>1398</v>
      </c>
      <c r="N3843">
        <v>0</v>
      </c>
      <c r="O3843" t="s">
        <v>1391</v>
      </c>
      <c r="P3843" t="s">
        <v>310</v>
      </c>
      <c r="Q3843" t="s">
        <v>310</v>
      </c>
      <c r="R3843" t="s">
        <v>310</v>
      </c>
      <c r="S3843">
        <v>9</v>
      </c>
      <c r="T3843" t="s">
        <v>310</v>
      </c>
      <c r="U3843">
        <v>9</v>
      </c>
      <c r="V3843">
        <v>9</v>
      </c>
      <c r="W3843">
        <v>0</v>
      </c>
      <c r="X3843">
        <v>0</v>
      </c>
      <c r="Y3843">
        <v>0</v>
      </c>
      <c r="Z3843">
        <v>0</v>
      </c>
      <c r="AA3843">
        <v>9</v>
      </c>
      <c r="AB3843">
        <v>9</v>
      </c>
      <c r="AC3843" t="s">
        <v>310</v>
      </c>
      <c r="AD3843">
        <v>9</v>
      </c>
      <c r="AE3843" t="s">
        <v>1390</v>
      </c>
      <c r="AF3843">
        <v>20000000</v>
      </c>
      <c r="AG3843" t="s">
        <v>310</v>
      </c>
      <c r="AH3843">
        <f>SUM((MID(Dyno_Data[[#This Row],[Team]],4,5))+(Dyno_Data[[#This Row],[Match]]/100))</f>
        <v>3044.69</v>
      </c>
      <c r="AI3843" s="76">
        <f>ROUND(SUM(IF(Dyno_Data[[#This Row],[AcqCenter]]&gt;0,Dyno_Data[[#This Row],[Time]]-SUMIFS(Dyno_Data[Time],Dyno_Data[Team],Dyno_Data[[#This Row],[Team]],Dyno_Data[RecordType],"StartMatch",Dyno_Data[Match],Dyno_Data[[#This Row],[Match]]),0)*86400),0)</f>
        <v>0</v>
      </c>
    </row>
    <row r="3844" spans="1:35" x14ac:dyDescent="0.3">
      <c r="A3844">
        <v>3843</v>
      </c>
      <c r="B3844" t="s">
        <v>370</v>
      </c>
      <c r="C3844">
        <v>69</v>
      </c>
      <c r="D3844" s="105">
        <v>45374.442688078707</v>
      </c>
      <c r="E3844" t="s">
        <v>312</v>
      </c>
      <c r="F3844" t="s">
        <v>1402</v>
      </c>
      <c r="G3844">
        <v>0</v>
      </c>
      <c r="H3844" t="s">
        <v>315</v>
      </c>
      <c r="I3844">
        <v>0</v>
      </c>
      <c r="J3844">
        <v>0</v>
      </c>
      <c r="K3844">
        <v>0</v>
      </c>
      <c r="L3844" t="s">
        <v>241</v>
      </c>
      <c r="M3844" t="s">
        <v>1398</v>
      </c>
      <c r="N3844">
        <v>0</v>
      </c>
      <c r="O3844" t="s">
        <v>311</v>
      </c>
      <c r="P3844" t="s">
        <v>310</v>
      </c>
      <c r="Q3844" t="s">
        <v>310</v>
      </c>
      <c r="R3844" t="s">
        <v>310</v>
      </c>
      <c r="S3844">
        <v>9</v>
      </c>
      <c r="T3844" t="s">
        <v>310</v>
      </c>
      <c r="U3844">
        <v>9</v>
      </c>
      <c r="V3844">
        <v>9</v>
      </c>
      <c r="W3844">
        <v>0</v>
      </c>
      <c r="X3844">
        <v>0</v>
      </c>
      <c r="Y3844">
        <v>0</v>
      </c>
      <c r="Z3844">
        <v>0</v>
      </c>
      <c r="AA3844">
        <v>9</v>
      </c>
      <c r="AB3844">
        <v>9</v>
      </c>
      <c r="AC3844" t="s">
        <v>310</v>
      </c>
      <c r="AD3844">
        <v>9</v>
      </c>
      <c r="AE3844" t="s">
        <v>1412</v>
      </c>
      <c r="AF3844">
        <v>40000000</v>
      </c>
      <c r="AG3844" t="s">
        <v>310</v>
      </c>
      <c r="AH3844">
        <f>SUM((MID(Dyno_Data[[#This Row],[Team]],4,5))+(Dyno_Data[[#This Row],[Match]]/100))</f>
        <v>6911.69</v>
      </c>
      <c r="AI3844" s="76">
        <f>ROUND(SUM(IF(Dyno_Data[[#This Row],[AcqCenter]]&gt;0,Dyno_Data[[#This Row],[Time]]-SUMIFS(Dyno_Data[Time],Dyno_Data[Team],Dyno_Data[[#This Row],[Team]],Dyno_Data[RecordType],"StartMatch",Dyno_Data[Match],Dyno_Data[[#This Row],[Match]]),0)*86400),0)</f>
        <v>0</v>
      </c>
    </row>
    <row r="3845" spans="1:35" x14ac:dyDescent="0.3">
      <c r="A3845">
        <v>3844</v>
      </c>
      <c r="B3845" t="s">
        <v>1314</v>
      </c>
      <c r="C3845">
        <v>69</v>
      </c>
      <c r="D3845" s="105">
        <v>45374.442691087963</v>
      </c>
      <c r="E3845" t="s">
        <v>312</v>
      </c>
      <c r="F3845" t="s">
        <v>1402</v>
      </c>
      <c r="G3845">
        <v>0</v>
      </c>
      <c r="H3845" t="s">
        <v>315</v>
      </c>
      <c r="I3845">
        <v>0</v>
      </c>
      <c r="J3845">
        <v>0</v>
      </c>
      <c r="K3845">
        <v>0</v>
      </c>
      <c r="L3845" t="s">
        <v>241</v>
      </c>
      <c r="M3845" t="s">
        <v>1398</v>
      </c>
      <c r="N3845">
        <v>0</v>
      </c>
      <c r="O3845" t="s">
        <v>1389</v>
      </c>
      <c r="P3845" t="s">
        <v>310</v>
      </c>
      <c r="Q3845" t="s">
        <v>310</v>
      </c>
      <c r="R3845" t="s">
        <v>310</v>
      </c>
      <c r="S3845">
        <v>9</v>
      </c>
      <c r="T3845" t="s">
        <v>310</v>
      </c>
      <c r="U3845">
        <v>9</v>
      </c>
      <c r="V3845">
        <v>9</v>
      </c>
      <c r="W3845">
        <v>0</v>
      </c>
      <c r="X3845">
        <v>0</v>
      </c>
      <c r="Y3845">
        <v>0</v>
      </c>
      <c r="Z3845">
        <v>0</v>
      </c>
      <c r="AA3845">
        <v>9</v>
      </c>
      <c r="AB3845">
        <v>9</v>
      </c>
      <c r="AC3845" t="s">
        <v>310</v>
      </c>
      <c r="AD3845">
        <v>9</v>
      </c>
      <c r="AE3845" t="s">
        <v>1388</v>
      </c>
      <c r="AF3845">
        <v>50001000</v>
      </c>
      <c r="AG3845" t="s">
        <v>310</v>
      </c>
      <c r="AH3845">
        <f>SUM((MID(Dyno_Data[[#This Row],[Team]],4,5))+(Dyno_Data[[#This Row],[Match]]/100))</f>
        <v>3419.69</v>
      </c>
      <c r="AI3845" s="76">
        <f>ROUND(SUM(IF(Dyno_Data[[#This Row],[AcqCenter]]&gt;0,Dyno_Data[[#This Row],[Time]]-SUMIFS(Dyno_Data[Time],Dyno_Data[Team],Dyno_Data[[#This Row],[Team]],Dyno_Data[RecordType],"StartMatch",Dyno_Data[Match],Dyno_Data[[#This Row],[Match]]),0)*86400),0)</f>
        <v>0</v>
      </c>
    </row>
    <row r="3846" spans="1:35" x14ac:dyDescent="0.3">
      <c r="A3846">
        <v>3845</v>
      </c>
      <c r="B3846" t="s">
        <v>1291</v>
      </c>
      <c r="C3846">
        <v>69</v>
      </c>
      <c r="D3846" s="105">
        <v>45374.442704745372</v>
      </c>
      <c r="E3846" t="s">
        <v>312</v>
      </c>
      <c r="F3846" t="s">
        <v>1402</v>
      </c>
      <c r="G3846">
        <v>0</v>
      </c>
      <c r="H3846" t="s">
        <v>315</v>
      </c>
      <c r="I3846">
        <v>0</v>
      </c>
      <c r="J3846">
        <v>0</v>
      </c>
      <c r="K3846">
        <v>0</v>
      </c>
      <c r="L3846" t="s">
        <v>242</v>
      </c>
      <c r="M3846" t="s">
        <v>241</v>
      </c>
      <c r="N3846">
        <v>0</v>
      </c>
      <c r="O3846" t="s">
        <v>319</v>
      </c>
      <c r="P3846" t="s">
        <v>310</v>
      </c>
      <c r="Q3846" t="s">
        <v>310</v>
      </c>
      <c r="R3846" t="s">
        <v>310</v>
      </c>
      <c r="S3846">
        <v>9</v>
      </c>
      <c r="T3846" t="s">
        <v>310</v>
      </c>
      <c r="U3846">
        <v>9</v>
      </c>
      <c r="V3846">
        <v>9</v>
      </c>
      <c r="W3846">
        <v>0</v>
      </c>
      <c r="X3846">
        <v>0</v>
      </c>
      <c r="Y3846">
        <v>0</v>
      </c>
      <c r="Z3846">
        <v>0</v>
      </c>
      <c r="AA3846">
        <v>9</v>
      </c>
      <c r="AB3846">
        <v>9</v>
      </c>
      <c r="AC3846" t="s">
        <v>310</v>
      </c>
      <c r="AD3846">
        <v>9</v>
      </c>
      <c r="AE3846" t="s">
        <v>1396</v>
      </c>
      <c r="AF3846">
        <v>50000000</v>
      </c>
      <c r="AG3846" t="s">
        <v>310</v>
      </c>
      <c r="AH3846">
        <f>SUM((MID(Dyno_Data[[#This Row],[Team]],4,5))+(Dyno_Data[[#This Row],[Match]]/100))</f>
        <v>1493.69</v>
      </c>
      <c r="AI3846" s="76">
        <f>ROUND(SUM(IF(Dyno_Data[[#This Row],[AcqCenter]]&gt;0,Dyno_Data[[#This Row],[Time]]-SUMIFS(Dyno_Data[Time],Dyno_Data[Team],Dyno_Data[[#This Row],[Team]],Dyno_Data[RecordType],"StartMatch",Dyno_Data[Match],Dyno_Data[[#This Row],[Match]]),0)*86400),0)</f>
        <v>0</v>
      </c>
    </row>
    <row r="3847" spans="1:35" x14ac:dyDescent="0.3">
      <c r="A3847">
        <v>3846</v>
      </c>
      <c r="B3847" t="s">
        <v>1291</v>
      </c>
      <c r="C3847">
        <v>69</v>
      </c>
      <c r="D3847" s="105">
        <v>45374.442770023146</v>
      </c>
      <c r="E3847" t="s">
        <v>312</v>
      </c>
      <c r="F3847" t="s">
        <v>1402</v>
      </c>
      <c r="G3847">
        <v>0</v>
      </c>
      <c r="H3847" t="s">
        <v>315</v>
      </c>
      <c r="I3847">
        <v>0</v>
      </c>
      <c r="J3847">
        <v>0</v>
      </c>
      <c r="K3847">
        <v>0</v>
      </c>
      <c r="L3847" t="s">
        <v>242</v>
      </c>
      <c r="M3847" t="s">
        <v>241</v>
      </c>
      <c r="N3847">
        <v>0</v>
      </c>
      <c r="O3847" t="s">
        <v>319</v>
      </c>
      <c r="P3847" t="s">
        <v>310</v>
      </c>
      <c r="Q3847" t="s">
        <v>310</v>
      </c>
      <c r="R3847" t="s">
        <v>310</v>
      </c>
      <c r="S3847">
        <v>9</v>
      </c>
      <c r="T3847" t="s">
        <v>310</v>
      </c>
      <c r="U3847">
        <v>9</v>
      </c>
      <c r="V3847">
        <v>9</v>
      </c>
      <c r="W3847">
        <v>0</v>
      </c>
      <c r="X3847">
        <v>0</v>
      </c>
      <c r="Y3847">
        <v>0</v>
      </c>
      <c r="Z3847">
        <v>0</v>
      </c>
      <c r="AA3847">
        <v>9</v>
      </c>
      <c r="AB3847">
        <v>9</v>
      </c>
      <c r="AC3847" t="s">
        <v>310</v>
      </c>
      <c r="AD3847">
        <v>9</v>
      </c>
      <c r="AE3847" t="s">
        <v>1396</v>
      </c>
      <c r="AF3847">
        <v>60000000</v>
      </c>
      <c r="AG3847" t="s">
        <v>310</v>
      </c>
      <c r="AH3847">
        <f>SUM((MID(Dyno_Data[[#This Row],[Team]],4,5))+(Dyno_Data[[#This Row],[Match]]/100))</f>
        <v>1493.69</v>
      </c>
      <c r="AI3847" s="76">
        <f>ROUND(SUM(IF(Dyno_Data[[#This Row],[AcqCenter]]&gt;0,Dyno_Data[[#This Row],[Time]]-SUMIFS(Dyno_Data[Time],Dyno_Data[Team],Dyno_Data[[#This Row],[Team]],Dyno_Data[RecordType],"StartMatch",Dyno_Data[Match],Dyno_Data[[#This Row],[Match]]),0)*86400),0)</f>
        <v>0</v>
      </c>
    </row>
    <row r="3848" spans="1:35" x14ac:dyDescent="0.3">
      <c r="A3848">
        <v>3847</v>
      </c>
      <c r="B3848" t="s">
        <v>372</v>
      </c>
      <c r="C3848">
        <v>69</v>
      </c>
      <c r="D3848" s="105">
        <v>45374.442770752314</v>
      </c>
      <c r="E3848" t="s">
        <v>312</v>
      </c>
      <c r="F3848" t="s">
        <v>1402</v>
      </c>
      <c r="G3848">
        <v>0</v>
      </c>
      <c r="H3848" t="s">
        <v>315</v>
      </c>
      <c r="I3848">
        <v>0</v>
      </c>
      <c r="J3848">
        <v>0</v>
      </c>
      <c r="K3848">
        <v>0</v>
      </c>
      <c r="L3848" t="s">
        <v>241</v>
      </c>
      <c r="M3848" t="s">
        <v>101</v>
      </c>
      <c r="N3848">
        <v>0</v>
      </c>
      <c r="O3848" t="s">
        <v>1395</v>
      </c>
      <c r="P3848" t="s">
        <v>310</v>
      </c>
      <c r="Q3848" t="s">
        <v>310</v>
      </c>
      <c r="R3848" t="s">
        <v>310</v>
      </c>
      <c r="S3848">
        <v>9</v>
      </c>
      <c r="T3848" t="s">
        <v>310</v>
      </c>
      <c r="U3848">
        <v>9</v>
      </c>
      <c r="V3848">
        <v>9</v>
      </c>
      <c r="W3848">
        <v>0</v>
      </c>
      <c r="X3848">
        <v>0</v>
      </c>
      <c r="Y3848">
        <v>0</v>
      </c>
      <c r="Z3848">
        <v>0</v>
      </c>
      <c r="AA3848">
        <v>9</v>
      </c>
      <c r="AB3848">
        <v>9</v>
      </c>
      <c r="AC3848" t="s">
        <v>310</v>
      </c>
      <c r="AD3848">
        <v>9</v>
      </c>
      <c r="AE3848" t="s">
        <v>1414</v>
      </c>
      <c r="AF3848">
        <v>30000000</v>
      </c>
      <c r="AG3848" t="s">
        <v>310</v>
      </c>
      <c r="AH3848">
        <f>SUM((MID(Dyno_Data[[#This Row],[Team]],4,5))+(Dyno_Data[[#This Row],[Match]]/100))</f>
        <v>7504.69</v>
      </c>
      <c r="AI3848" s="76">
        <f>ROUND(SUM(IF(Dyno_Data[[#This Row],[AcqCenter]]&gt;0,Dyno_Data[[#This Row],[Time]]-SUMIFS(Dyno_Data[Time],Dyno_Data[Team],Dyno_Data[[#This Row],[Team]],Dyno_Data[RecordType],"StartMatch",Dyno_Data[Match],Dyno_Data[[#This Row],[Match]]),0)*86400),0)</f>
        <v>0</v>
      </c>
    </row>
    <row r="3849" spans="1:35" x14ac:dyDescent="0.3">
      <c r="A3849">
        <v>3848</v>
      </c>
      <c r="B3849" t="s">
        <v>1300</v>
      </c>
      <c r="C3849">
        <v>69</v>
      </c>
      <c r="D3849" s="105">
        <v>45374.442814236114</v>
      </c>
      <c r="E3849" t="s">
        <v>312</v>
      </c>
      <c r="F3849" t="s">
        <v>1402</v>
      </c>
      <c r="G3849">
        <v>0</v>
      </c>
      <c r="H3849" t="s">
        <v>315</v>
      </c>
      <c r="I3849">
        <v>0</v>
      </c>
      <c r="J3849">
        <v>0</v>
      </c>
      <c r="K3849">
        <v>0</v>
      </c>
      <c r="L3849" t="s">
        <v>241</v>
      </c>
      <c r="M3849" t="s">
        <v>1398</v>
      </c>
      <c r="N3849">
        <v>0</v>
      </c>
      <c r="O3849" t="s">
        <v>1391</v>
      </c>
      <c r="P3849" t="s">
        <v>310</v>
      </c>
      <c r="Q3849" t="s">
        <v>310</v>
      </c>
      <c r="R3849" t="s">
        <v>310</v>
      </c>
      <c r="S3849">
        <v>9</v>
      </c>
      <c r="T3849" t="s">
        <v>310</v>
      </c>
      <c r="U3849">
        <v>9</v>
      </c>
      <c r="V3849">
        <v>9</v>
      </c>
      <c r="W3849">
        <v>0</v>
      </c>
      <c r="X3849">
        <v>0</v>
      </c>
      <c r="Y3849">
        <v>0</v>
      </c>
      <c r="Z3849">
        <v>0</v>
      </c>
      <c r="AA3849">
        <v>9</v>
      </c>
      <c r="AB3849">
        <v>9</v>
      </c>
      <c r="AC3849" t="s">
        <v>310</v>
      </c>
      <c r="AD3849">
        <v>9</v>
      </c>
      <c r="AE3849" t="s">
        <v>1390</v>
      </c>
      <c r="AF3849">
        <v>30000000</v>
      </c>
      <c r="AG3849" t="s">
        <v>310</v>
      </c>
      <c r="AH3849">
        <f>SUM((MID(Dyno_Data[[#This Row],[Team]],4,5))+(Dyno_Data[[#This Row],[Match]]/100))</f>
        <v>3044.69</v>
      </c>
      <c r="AI3849" s="76">
        <f>ROUND(SUM(IF(Dyno_Data[[#This Row],[AcqCenter]]&gt;0,Dyno_Data[[#This Row],[Time]]-SUMIFS(Dyno_Data[Time],Dyno_Data[Team],Dyno_Data[[#This Row],[Team]],Dyno_Data[RecordType],"StartMatch",Dyno_Data[Match],Dyno_Data[[#This Row],[Match]]),0)*86400),0)</f>
        <v>0</v>
      </c>
    </row>
    <row r="3850" spans="1:35" x14ac:dyDescent="0.3">
      <c r="A3850">
        <v>3849</v>
      </c>
      <c r="B3850" t="s">
        <v>370</v>
      </c>
      <c r="C3850">
        <v>69</v>
      </c>
      <c r="D3850" s="105">
        <v>45374.442883414355</v>
      </c>
      <c r="E3850" t="s">
        <v>312</v>
      </c>
      <c r="F3850" t="s">
        <v>1402</v>
      </c>
      <c r="G3850">
        <v>0</v>
      </c>
      <c r="H3850" t="s">
        <v>315</v>
      </c>
      <c r="I3850">
        <v>0</v>
      </c>
      <c r="J3850">
        <v>0</v>
      </c>
      <c r="K3850">
        <v>0</v>
      </c>
      <c r="L3850" t="s">
        <v>241</v>
      </c>
      <c r="M3850" t="s">
        <v>1398</v>
      </c>
      <c r="N3850">
        <v>0</v>
      </c>
      <c r="O3850" t="s">
        <v>311</v>
      </c>
      <c r="P3850" t="s">
        <v>310</v>
      </c>
      <c r="Q3850" t="s">
        <v>310</v>
      </c>
      <c r="R3850" t="s">
        <v>310</v>
      </c>
      <c r="S3850">
        <v>9</v>
      </c>
      <c r="T3850" t="s">
        <v>310</v>
      </c>
      <c r="U3850">
        <v>9</v>
      </c>
      <c r="V3850">
        <v>9</v>
      </c>
      <c r="W3850">
        <v>0</v>
      </c>
      <c r="X3850">
        <v>0</v>
      </c>
      <c r="Y3850">
        <v>0</v>
      </c>
      <c r="Z3850">
        <v>0</v>
      </c>
      <c r="AA3850">
        <v>9</v>
      </c>
      <c r="AB3850">
        <v>9</v>
      </c>
      <c r="AC3850" t="s">
        <v>310</v>
      </c>
      <c r="AD3850">
        <v>9</v>
      </c>
      <c r="AE3850" t="s">
        <v>1412</v>
      </c>
      <c r="AF3850">
        <v>50000000</v>
      </c>
      <c r="AG3850" t="s">
        <v>310</v>
      </c>
      <c r="AH3850">
        <f>SUM((MID(Dyno_Data[[#This Row],[Team]],4,5))+(Dyno_Data[[#This Row],[Match]]/100))</f>
        <v>6911.69</v>
      </c>
      <c r="AI3850" s="76">
        <f>ROUND(SUM(IF(Dyno_Data[[#This Row],[AcqCenter]]&gt;0,Dyno_Data[[#This Row],[Time]]-SUMIFS(Dyno_Data[Time],Dyno_Data[Team],Dyno_Data[[#This Row],[Team]],Dyno_Data[RecordType],"StartMatch",Dyno_Data[Match],Dyno_Data[[#This Row],[Match]]),0)*86400),0)</f>
        <v>0</v>
      </c>
    </row>
    <row r="3851" spans="1:35" x14ac:dyDescent="0.3">
      <c r="A3851">
        <v>3850</v>
      </c>
      <c r="B3851" t="s">
        <v>1300</v>
      </c>
      <c r="C3851">
        <v>69</v>
      </c>
      <c r="D3851" s="105">
        <v>45374.442888506943</v>
      </c>
      <c r="E3851" t="s">
        <v>312</v>
      </c>
      <c r="F3851" t="s">
        <v>1402</v>
      </c>
      <c r="G3851">
        <v>0</v>
      </c>
      <c r="H3851" t="s">
        <v>315</v>
      </c>
      <c r="I3851">
        <v>0</v>
      </c>
      <c r="J3851">
        <v>0</v>
      </c>
      <c r="K3851">
        <v>0</v>
      </c>
      <c r="L3851" t="s">
        <v>241</v>
      </c>
      <c r="M3851" t="s">
        <v>1398</v>
      </c>
      <c r="N3851">
        <v>0</v>
      </c>
      <c r="O3851" t="s">
        <v>1391</v>
      </c>
      <c r="P3851" t="s">
        <v>310</v>
      </c>
      <c r="Q3851" t="s">
        <v>310</v>
      </c>
      <c r="R3851" t="s">
        <v>310</v>
      </c>
      <c r="S3851">
        <v>9</v>
      </c>
      <c r="T3851" t="s">
        <v>310</v>
      </c>
      <c r="U3851">
        <v>9</v>
      </c>
      <c r="V3851">
        <v>9</v>
      </c>
      <c r="W3851">
        <v>0</v>
      </c>
      <c r="X3851">
        <v>0</v>
      </c>
      <c r="Y3851">
        <v>0</v>
      </c>
      <c r="Z3851">
        <v>0</v>
      </c>
      <c r="AA3851">
        <v>9</v>
      </c>
      <c r="AB3851">
        <v>9</v>
      </c>
      <c r="AC3851" t="s">
        <v>310</v>
      </c>
      <c r="AD3851">
        <v>9</v>
      </c>
      <c r="AE3851" t="s">
        <v>1390</v>
      </c>
      <c r="AF3851">
        <v>40000000</v>
      </c>
      <c r="AG3851" t="s">
        <v>310</v>
      </c>
      <c r="AH3851">
        <f>SUM((MID(Dyno_Data[[#This Row],[Team]],4,5))+(Dyno_Data[[#This Row],[Match]]/100))</f>
        <v>3044.69</v>
      </c>
      <c r="AI3851" s="76">
        <f>ROUND(SUM(IF(Dyno_Data[[#This Row],[AcqCenter]]&gt;0,Dyno_Data[[#This Row],[Time]]-SUMIFS(Dyno_Data[Time],Dyno_Data[Team],Dyno_Data[[#This Row],[Team]],Dyno_Data[RecordType],"StartMatch",Dyno_Data[Match],Dyno_Data[[#This Row],[Match]]),0)*86400),0)</f>
        <v>0</v>
      </c>
    </row>
    <row r="3852" spans="1:35" x14ac:dyDescent="0.3">
      <c r="A3852">
        <v>3851</v>
      </c>
      <c r="B3852" t="s">
        <v>1291</v>
      </c>
      <c r="C3852">
        <v>69</v>
      </c>
      <c r="D3852" s="105">
        <v>45374.442921030095</v>
      </c>
      <c r="E3852" t="s">
        <v>312</v>
      </c>
      <c r="F3852" t="s">
        <v>1402</v>
      </c>
      <c r="G3852">
        <v>0</v>
      </c>
      <c r="H3852" t="s">
        <v>315</v>
      </c>
      <c r="I3852">
        <v>0</v>
      </c>
      <c r="J3852">
        <v>0</v>
      </c>
      <c r="K3852">
        <v>0</v>
      </c>
      <c r="L3852" t="s">
        <v>241</v>
      </c>
      <c r="M3852" t="s">
        <v>1398</v>
      </c>
      <c r="N3852">
        <v>0</v>
      </c>
      <c r="O3852" t="s">
        <v>319</v>
      </c>
      <c r="P3852" t="s">
        <v>310</v>
      </c>
      <c r="Q3852" t="s">
        <v>310</v>
      </c>
      <c r="R3852" t="s">
        <v>310</v>
      </c>
      <c r="S3852">
        <v>9</v>
      </c>
      <c r="T3852" t="s">
        <v>310</v>
      </c>
      <c r="U3852">
        <v>9</v>
      </c>
      <c r="V3852">
        <v>9</v>
      </c>
      <c r="W3852">
        <v>0</v>
      </c>
      <c r="X3852">
        <v>0</v>
      </c>
      <c r="Y3852">
        <v>0</v>
      </c>
      <c r="Z3852">
        <v>0</v>
      </c>
      <c r="AA3852">
        <v>9</v>
      </c>
      <c r="AB3852">
        <v>9</v>
      </c>
      <c r="AC3852" t="s">
        <v>310</v>
      </c>
      <c r="AD3852">
        <v>9</v>
      </c>
      <c r="AE3852" t="s">
        <v>1396</v>
      </c>
      <c r="AF3852">
        <v>70000000</v>
      </c>
      <c r="AG3852" t="s">
        <v>310</v>
      </c>
      <c r="AH3852">
        <f>SUM((MID(Dyno_Data[[#This Row],[Team]],4,5))+(Dyno_Data[[#This Row],[Match]]/100))</f>
        <v>1493.69</v>
      </c>
      <c r="AI3852" s="76">
        <f>ROUND(SUM(IF(Dyno_Data[[#This Row],[AcqCenter]]&gt;0,Dyno_Data[[#This Row],[Time]]-SUMIFS(Dyno_Data[Time],Dyno_Data[Team],Dyno_Data[[#This Row],[Team]],Dyno_Data[RecordType],"StartMatch",Dyno_Data[Match],Dyno_Data[[#This Row],[Match]]),0)*86400),0)</f>
        <v>0</v>
      </c>
    </row>
    <row r="3853" spans="1:35" x14ac:dyDescent="0.3">
      <c r="A3853">
        <v>3852</v>
      </c>
      <c r="B3853" t="s">
        <v>1314</v>
      </c>
      <c r="C3853">
        <v>69</v>
      </c>
      <c r="D3853" s="105">
        <v>45374.442924618059</v>
      </c>
      <c r="E3853" t="s">
        <v>312</v>
      </c>
      <c r="F3853" t="s">
        <v>1402</v>
      </c>
      <c r="G3853">
        <v>0</v>
      </c>
      <c r="H3853" t="s">
        <v>315</v>
      </c>
      <c r="I3853">
        <v>0</v>
      </c>
      <c r="J3853">
        <v>0</v>
      </c>
      <c r="K3853">
        <v>0</v>
      </c>
      <c r="L3853" t="s">
        <v>241</v>
      </c>
      <c r="M3853" t="s">
        <v>1398</v>
      </c>
      <c r="N3853">
        <v>0</v>
      </c>
      <c r="O3853" t="s">
        <v>1389</v>
      </c>
      <c r="P3853" t="s">
        <v>310</v>
      </c>
      <c r="Q3853" t="s">
        <v>310</v>
      </c>
      <c r="R3853" t="s">
        <v>310</v>
      </c>
      <c r="S3853">
        <v>9</v>
      </c>
      <c r="T3853" t="s">
        <v>310</v>
      </c>
      <c r="U3853">
        <v>9</v>
      </c>
      <c r="V3853">
        <v>9</v>
      </c>
      <c r="W3853">
        <v>0</v>
      </c>
      <c r="X3853">
        <v>0</v>
      </c>
      <c r="Y3853">
        <v>0</v>
      </c>
      <c r="Z3853">
        <v>0</v>
      </c>
      <c r="AA3853">
        <v>9</v>
      </c>
      <c r="AB3853">
        <v>9</v>
      </c>
      <c r="AC3853" t="s">
        <v>310</v>
      </c>
      <c r="AD3853">
        <v>9</v>
      </c>
      <c r="AE3853" t="s">
        <v>1388</v>
      </c>
      <c r="AF3853">
        <v>60001000</v>
      </c>
      <c r="AG3853" t="s">
        <v>310</v>
      </c>
      <c r="AH3853">
        <f>SUM((MID(Dyno_Data[[#This Row],[Team]],4,5))+(Dyno_Data[[#This Row],[Match]]/100))</f>
        <v>3419.69</v>
      </c>
      <c r="AI3853" s="76">
        <f>ROUND(SUM(IF(Dyno_Data[[#This Row],[AcqCenter]]&gt;0,Dyno_Data[[#This Row],[Time]]-SUMIFS(Dyno_Data[Time],Dyno_Data[Team],Dyno_Data[[#This Row],[Team]],Dyno_Data[RecordType],"StartMatch",Dyno_Data[Match],Dyno_Data[[#This Row],[Match]]),0)*86400),0)</f>
        <v>0</v>
      </c>
    </row>
    <row r="3854" spans="1:35" x14ac:dyDescent="0.3">
      <c r="A3854">
        <v>3853</v>
      </c>
      <c r="B3854" t="s">
        <v>1291</v>
      </c>
      <c r="C3854">
        <v>69</v>
      </c>
      <c r="D3854" s="105">
        <v>45374.442985613423</v>
      </c>
      <c r="E3854" t="s">
        <v>312</v>
      </c>
      <c r="F3854" t="s">
        <v>1402</v>
      </c>
      <c r="G3854">
        <v>0</v>
      </c>
      <c r="H3854" t="s">
        <v>315</v>
      </c>
      <c r="I3854">
        <v>0</v>
      </c>
      <c r="J3854">
        <v>0</v>
      </c>
      <c r="K3854">
        <v>0</v>
      </c>
      <c r="L3854" t="s">
        <v>241</v>
      </c>
      <c r="M3854" t="s">
        <v>1398</v>
      </c>
      <c r="N3854">
        <v>0</v>
      </c>
      <c r="O3854" t="s">
        <v>319</v>
      </c>
      <c r="P3854" t="s">
        <v>310</v>
      </c>
      <c r="Q3854" t="s">
        <v>310</v>
      </c>
      <c r="R3854" t="s">
        <v>310</v>
      </c>
      <c r="S3854">
        <v>9</v>
      </c>
      <c r="T3854" t="s">
        <v>310</v>
      </c>
      <c r="U3854">
        <v>9</v>
      </c>
      <c r="V3854">
        <v>9</v>
      </c>
      <c r="W3854">
        <v>0</v>
      </c>
      <c r="X3854">
        <v>0</v>
      </c>
      <c r="Y3854">
        <v>0</v>
      </c>
      <c r="Z3854">
        <v>0</v>
      </c>
      <c r="AA3854">
        <v>9</v>
      </c>
      <c r="AB3854">
        <v>9</v>
      </c>
      <c r="AC3854" t="s">
        <v>310</v>
      </c>
      <c r="AD3854">
        <v>9</v>
      </c>
      <c r="AE3854" t="s">
        <v>1396</v>
      </c>
      <c r="AF3854">
        <v>80000000</v>
      </c>
      <c r="AG3854" t="s">
        <v>310</v>
      </c>
      <c r="AH3854">
        <f>SUM((MID(Dyno_Data[[#This Row],[Team]],4,5))+(Dyno_Data[[#This Row],[Match]]/100))</f>
        <v>1493.69</v>
      </c>
      <c r="AI3854" s="76">
        <f>ROUND(SUM(IF(Dyno_Data[[#This Row],[AcqCenter]]&gt;0,Dyno_Data[[#This Row],[Time]]-SUMIFS(Dyno_Data[Time],Dyno_Data[Team],Dyno_Data[[#This Row],[Team]],Dyno_Data[RecordType],"StartMatch",Dyno_Data[Match],Dyno_Data[[#This Row],[Match]]),0)*86400),0)</f>
        <v>0</v>
      </c>
    </row>
    <row r="3855" spans="1:35" x14ac:dyDescent="0.3">
      <c r="A3855">
        <v>3854</v>
      </c>
      <c r="B3855" t="s">
        <v>1280</v>
      </c>
      <c r="C3855">
        <v>69</v>
      </c>
      <c r="D3855" s="105">
        <v>45374.443005358793</v>
      </c>
      <c r="E3855" t="s">
        <v>1403</v>
      </c>
      <c r="F3855" t="s">
        <v>1402</v>
      </c>
      <c r="G3855">
        <v>0</v>
      </c>
      <c r="H3855" t="s">
        <v>310</v>
      </c>
      <c r="I3855">
        <v>0</v>
      </c>
      <c r="J3855">
        <v>0</v>
      </c>
      <c r="K3855">
        <v>0</v>
      </c>
      <c r="L3855" t="s">
        <v>310</v>
      </c>
      <c r="M3855" t="s">
        <v>310</v>
      </c>
      <c r="N3855">
        <v>0</v>
      </c>
      <c r="O3855" t="s">
        <v>1393</v>
      </c>
      <c r="P3855" t="s">
        <v>310</v>
      </c>
      <c r="Q3855" t="s">
        <v>310</v>
      </c>
      <c r="R3855" t="s">
        <v>310</v>
      </c>
      <c r="S3855">
        <v>9</v>
      </c>
      <c r="T3855" t="s">
        <v>310</v>
      </c>
      <c r="U3855">
        <v>9</v>
      </c>
      <c r="V3855">
        <v>9</v>
      </c>
      <c r="W3855">
        <v>0</v>
      </c>
      <c r="X3855">
        <v>0</v>
      </c>
      <c r="Y3855">
        <v>0</v>
      </c>
      <c r="Z3855">
        <v>0</v>
      </c>
      <c r="AA3855">
        <v>9</v>
      </c>
      <c r="AB3855">
        <v>9</v>
      </c>
      <c r="AC3855" t="s">
        <v>310</v>
      </c>
      <c r="AD3855">
        <v>9</v>
      </c>
      <c r="AE3855" t="s">
        <v>1413</v>
      </c>
      <c r="AF3855">
        <v>80000000</v>
      </c>
      <c r="AG3855" t="s">
        <v>249</v>
      </c>
      <c r="AH3855">
        <f>SUM((MID(Dyno_Data[[#This Row],[Team]],4,5))+(Dyno_Data[[#This Row],[Match]]/100))</f>
        <v>1559.69</v>
      </c>
      <c r="AI3855" s="76">
        <f>ROUND(SUM(IF(Dyno_Data[[#This Row],[AcqCenter]]&gt;0,Dyno_Data[[#This Row],[Time]]-SUMIFS(Dyno_Data[Time],Dyno_Data[Team],Dyno_Data[[#This Row],[Team]],Dyno_Data[RecordType],"StartMatch",Dyno_Data[Match],Dyno_Data[[#This Row],[Match]]),0)*86400),0)</f>
        <v>0</v>
      </c>
    </row>
    <row r="3856" spans="1:35" x14ac:dyDescent="0.3">
      <c r="A3856">
        <v>3855</v>
      </c>
      <c r="B3856" t="s">
        <v>370</v>
      </c>
      <c r="C3856">
        <v>69</v>
      </c>
      <c r="D3856" s="105">
        <v>45374.443013969911</v>
      </c>
      <c r="E3856" t="s">
        <v>312</v>
      </c>
      <c r="F3856" t="s">
        <v>1402</v>
      </c>
      <c r="G3856">
        <v>0</v>
      </c>
      <c r="H3856" t="s">
        <v>315</v>
      </c>
      <c r="I3856">
        <v>0</v>
      </c>
      <c r="J3856">
        <v>0</v>
      </c>
      <c r="K3856">
        <v>0</v>
      </c>
      <c r="L3856" t="s">
        <v>241</v>
      </c>
      <c r="M3856" t="s">
        <v>1398</v>
      </c>
      <c r="N3856">
        <v>0</v>
      </c>
      <c r="O3856" t="s">
        <v>311</v>
      </c>
      <c r="P3856" t="s">
        <v>310</v>
      </c>
      <c r="Q3856" t="s">
        <v>310</v>
      </c>
      <c r="R3856" t="s">
        <v>310</v>
      </c>
      <c r="S3856">
        <v>9</v>
      </c>
      <c r="T3856" t="s">
        <v>310</v>
      </c>
      <c r="U3856">
        <v>9</v>
      </c>
      <c r="V3856">
        <v>9</v>
      </c>
      <c r="W3856">
        <v>0</v>
      </c>
      <c r="X3856">
        <v>0</v>
      </c>
      <c r="Y3856">
        <v>0</v>
      </c>
      <c r="Z3856">
        <v>0</v>
      </c>
      <c r="AA3856">
        <v>9</v>
      </c>
      <c r="AB3856">
        <v>9</v>
      </c>
      <c r="AC3856" t="s">
        <v>310</v>
      </c>
      <c r="AD3856">
        <v>9</v>
      </c>
      <c r="AE3856" t="s">
        <v>1412</v>
      </c>
      <c r="AF3856">
        <v>60000000</v>
      </c>
      <c r="AG3856" t="s">
        <v>310</v>
      </c>
      <c r="AH3856">
        <f>SUM((MID(Dyno_Data[[#This Row],[Team]],4,5))+(Dyno_Data[[#This Row],[Match]]/100))</f>
        <v>6911.69</v>
      </c>
      <c r="AI3856" s="76">
        <f>ROUND(SUM(IF(Dyno_Data[[#This Row],[AcqCenter]]&gt;0,Dyno_Data[[#This Row],[Time]]-SUMIFS(Dyno_Data[Time],Dyno_Data[Team],Dyno_Data[[#This Row],[Team]],Dyno_Data[RecordType],"StartMatch",Dyno_Data[Match],Dyno_Data[[#This Row],[Match]]),0)*86400),0)</f>
        <v>0</v>
      </c>
    </row>
    <row r="3857" spans="1:35" x14ac:dyDescent="0.3">
      <c r="A3857">
        <v>3856</v>
      </c>
      <c r="B3857" t="s">
        <v>1300</v>
      </c>
      <c r="C3857">
        <v>69</v>
      </c>
      <c r="D3857" s="105">
        <v>45374.443049733796</v>
      </c>
      <c r="E3857" t="s">
        <v>312</v>
      </c>
      <c r="F3857" t="s">
        <v>1402</v>
      </c>
      <c r="G3857">
        <v>0</v>
      </c>
      <c r="H3857" t="s">
        <v>315</v>
      </c>
      <c r="I3857">
        <v>0</v>
      </c>
      <c r="J3857">
        <v>0</v>
      </c>
      <c r="K3857">
        <v>0</v>
      </c>
      <c r="L3857" t="s">
        <v>241</v>
      </c>
      <c r="M3857" t="s">
        <v>1398</v>
      </c>
      <c r="N3857">
        <v>1</v>
      </c>
      <c r="O3857" t="s">
        <v>1391</v>
      </c>
      <c r="P3857" t="s">
        <v>310</v>
      </c>
      <c r="Q3857" t="s">
        <v>310</v>
      </c>
      <c r="R3857" t="s">
        <v>310</v>
      </c>
      <c r="S3857">
        <v>9</v>
      </c>
      <c r="T3857" t="s">
        <v>310</v>
      </c>
      <c r="U3857">
        <v>9</v>
      </c>
      <c r="V3857">
        <v>9</v>
      </c>
      <c r="W3857">
        <v>0</v>
      </c>
      <c r="X3857">
        <v>0</v>
      </c>
      <c r="Y3857">
        <v>0</v>
      </c>
      <c r="Z3857">
        <v>0</v>
      </c>
      <c r="AA3857">
        <v>9</v>
      </c>
      <c r="AB3857">
        <v>9</v>
      </c>
      <c r="AC3857" t="s">
        <v>310</v>
      </c>
      <c r="AD3857">
        <v>9</v>
      </c>
      <c r="AE3857" t="s">
        <v>1390</v>
      </c>
      <c r="AF3857">
        <v>50000000</v>
      </c>
      <c r="AG3857" t="s">
        <v>310</v>
      </c>
      <c r="AH3857">
        <f>SUM((MID(Dyno_Data[[#This Row],[Team]],4,5))+(Dyno_Data[[#This Row],[Match]]/100))</f>
        <v>3044.69</v>
      </c>
      <c r="AI3857" s="76">
        <f>ROUND(SUM(IF(Dyno_Data[[#This Row],[AcqCenter]]&gt;0,Dyno_Data[[#This Row],[Time]]-SUMIFS(Dyno_Data[Time],Dyno_Data[Team],Dyno_Data[[#This Row],[Team]],Dyno_Data[RecordType],"StartMatch",Dyno_Data[Match],Dyno_Data[[#This Row],[Match]]),0)*86400),0)</f>
        <v>0</v>
      </c>
    </row>
    <row r="3858" spans="1:35" x14ac:dyDescent="0.3">
      <c r="A3858">
        <v>3857</v>
      </c>
      <c r="B3858" t="s">
        <v>1314</v>
      </c>
      <c r="C3858">
        <v>69</v>
      </c>
      <c r="D3858" s="105">
        <v>45374.443055520831</v>
      </c>
      <c r="E3858" t="s">
        <v>312</v>
      </c>
      <c r="F3858" t="s">
        <v>1402</v>
      </c>
      <c r="G3858">
        <v>0</v>
      </c>
      <c r="H3858" t="s">
        <v>315</v>
      </c>
      <c r="I3858">
        <v>0</v>
      </c>
      <c r="J3858">
        <v>0</v>
      </c>
      <c r="K3858">
        <v>0</v>
      </c>
      <c r="L3858" t="s">
        <v>241</v>
      </c>
      <c r="M3858" t="s">
        <v>1398</v>
      </c>
      <c r="N3858">
        <v>0</v>
      </c>
      <c r="O3858" t="s">
        <v>1389</v>
      </c>
      <c r="P3858" t="s">
        <v>310</v>
      </c>
      <c r="Q3858" t="s">
        <v>310</v>
      </c>
      <c r="R3858" t="s">
        <v>310</v>
      </c>
      <c r="S3858">
        <v>9</v>
      </c>
      <c r="T3858" t="s">
        <v>310</v>
      </c>
      <c r="U3858">
        <v>9</v>
      </c>
      <c r="V3858">
        <v>9</v>
      </c>
      <c r="W3858">
        <v>0</v>
      </c>
      <c r="X3858">
        <v>0</v>
      </c>
      <c r="Y3858">
        <v>0</v>
      </c>
      <c r="Z3858">
        <v>0</v>
      </c>
      <c r="AA3858">
        <v>9</v>
      </c>
      <c r="AB3858">
        <v>9</v>
      </c>
      <c r="AC3858" t="s">
        <v>310</v>
      </c>
      <c r="AD3858">
        <v>9</v>
      </c>
      <c r="AE3858" t="s">
        <v>1388</v>
      </c>
      <c r="AF3858">
        <v>70001000</v>
      </c>
      <c r="AG3858" t="s">
        <v>310</v>
      </c>
      <c r="AH3858">
        <f>SUM((MID(Dyno_Data[[#This Row],[Team]],4,5))+(Dyno_Data[[#This Row],[Match]]/100))</f>
        <v>3419.69</v>
      </c>
      <c r="AI3858" s="76">
        <f>ROUND(SUM(IF(Dyno_Data[[#This Row],[AcqCenter]]&gt;0,Dyno_Data[[#This Row],[Time]]-SUMIFS(Dyno_Data[Time],Dyno_Data[Team],Dyno_Data[[#This Row],[Team]],Dyno_Data[RecordType],"StartMatch",Dyno_Data[Match],Dyno_Data[[#This Row],[Match]]),0)*86400),0)</f>
        <v>0</v>
      </c>
    </row>
    <row r="3859" spans="1:35" x14ac:dyDescent="0.3">
      <c r="A3859">
        <v>3858</v>
      </c>
      <c r="B3859" t="s">
        <v>372</v>
      </c>
      <c r="C3859">
        <v>69</v>
      </c>
      <c r="D3859" s="105">
        <v>45374.443084027778</v>
      </c>
      <c r="E3859" t="s">
        <v>312</v>
      </c>
      <c r="F3859" t="s">
        <v>1402</v>
      </c>
      <c r="G3859">
        <v>0</v>
      </c>
      <c r="H3859" t="s">
        <v>315</v>
      </c>
      <c r="I3859">
        <v>0</v>
      </c>
      <c r="J3859">
        <v>0</v>
      </c>
      <c r="K3859">
        <v>0</v>
      </c>
      <c r="L3859" t="s">
        <v>241</v>
      </c>
      <c r="M3859" t="s">
        <v>101</v>
      </c>
      <c r="N3859">
        <v>0</v>
      </c>
      <c r="O3859" t="s">
        <v>1395</v>
      </c>
      <c r="P3859" t="s">
        <v>310</v>
      </c>
      <c r="Q3859" t="s">
        <v>310</v>
      </c>
      <c r="R3859" t="s">
        <v>310</v>
      </c>
      <c r="S3859">
        <v>9</v>
      </c>
      <c r="T3859" t="s">
        <v>310</v>
      </c>
      <c r="U3859">
        <v>9</v>
      </c>
      <c r="V3859">
        <v>9</v>
      </c>
      <c r="W3859">
        <v>0</v>
      </c>
      <c r="X3859">
        <v>0</v>
      </c>
      <c r="Y3859">
        <v>0</v>
      </c>
      <c r="Z3859">
        <v>0</v>
      </c>
      <c r="AA3859">
        <v>9</v>
      </c>
      <c r="AB3859">
        <v>9</v>
      </c>
      <c r="AC3859" t="s">
        <v>310</v>
      </c>
      <c r="AD3859">
        <v>9</v>
      </c>
      <c r="AE3859" t="s">
        <v>1414</v>
      </c>
      <c r="AF3859">
        <v>40000000</v>
      </c>
      <c r="AG3859" t="s">
        <v>310</v>
      </c>
      <c r="AH3859">
        <f>SUM((MID(Dyno_Data[[#This Row],[Team]],4,5))+(Dyno_Data[[#This Row],[Match]]/100))</f>
        <v>7504.69</v>
      </c>
      <c r="AI3859" s="76">
        <f>ROUND(SUM(IF(Dyno_Data[[#This Row],[AcqCenter]]&gt;0,Dyno_Data[[#This Row],[Time]]-SUMIFS(Dyno_Data[Time],Dyno_Data[Team],Dyno_Data[[#This Row],[Team]],Dyno_Data[RecordType],"StartMatch",Dyno_Data[Match],Dyno_Data[[#This Row],[Match]]),0)*86400),0)</f>
        <v>0</v>
      </c>
    </row>
    <row r="3860" spans="1:35" x14ac:dyDescent="0.3">
      <c r="A3860">
        <v>3859</v>
      </c>
      <c r="B3860" t="s">
        <v>1291</v>
      </c>
      <c r="C3860">
        <v>69</v>
      </c>
      <c r="D3860" s="105">
        <v>45374.443173958331</v>
      </c>
      <c r="E3860" t="s">
        <v>312</v>
      </c>
      <c r="F3860" t="s">
        <v>1402</v>
      </c>
      <c r="G3860">
        <v>0</v>
      </c>
      <c r="H3860" t="s">
        <v>315</v>
      </c>
      <c r="I3860">
        <v>0</v>
      </c>
      <c r="J3860">
        <v>0</v>
      </c>
      <c r="K3860">
        <v>0</v>
      </c>
      <c r="L3860" t="s">
        <v>241</v>
      </c>
      <c r="M3860" t="s">
        <v>1398</v>
      </c>
      <c r="N3860">
        <v>0</v>
      </c>
      <c r="O3860" t="s">
        <v>319</v>
      </c>
      <c r="P3860" t="s">
        <v>310</v>
      </c>
      <c r="Q3860" t="s">
        <v>310</v>
      </c>
      <c r="R3860" t="s">
        <v>310</v>
      </c>
      <c r="S3860">
        <v>9</v>
      </c>
      <c r="T3860" t="s">
        <v>310</v>
      </c>
      <c r="U3860">
        <v>9</v>
      </c>
      <c r="V3860">
        <v>9</v>
      </c>
      <c r="W3860">
        <v>0</v>
      </c>
      <c r="X3860">
        <v>0</v>
      </c>
      <c r="Y3860">
        <v>0</v>
      </c>
      <c r="Z3860">
        <v>0</v>
      </c>
      <c r="AA3860">
        <v>9</v>
      </c>
      <c r="AB3860">
        <v>9</v>
      </c>
      <c r="AC3860" t="s">
        <v>310</v>
      </c>
      <c r="AD3860">
        <v>9</v>
      </c>
      <c r="AE3860" t="s">
        <v>1396</v>
      </c>
      <c r="AF3860">
        <v>90000000</v>
      </c>
      <c r="AG3860" t="s">
        <v>310</v>
      </c>
      <c r="AH3860">
        <f>SUM((MID(Dyno_Data[[#This Row],[Team]],4,5))+(Dyno_Data[[#This Row],[Match]]/100))</f>
        <v>1493.69</v>
      </c>
      <c r="AI3860" s="76">
        <f>ROUND(SUM(IF(Dyno_Data[[#This Row],[AcqCenter]]&gt;0,Dyno_Data[[#This Row],[Time]]-SUMIFS(Dyno_Data[Time],Dyno_Data[Team],Dyno_Data[[#This Row],[Team]],Dyno_Data[RecordType],"StartMatch",Dyno_Data[Match],Dyno_Data[[#This Row],[Match]]),0)*86400),0)</f>
        <v>0</v>
      </c>
    </row>
    <row r="3861" spans="1:35" x14ac:dyDescent="0.3">
      <c r="A3861">
        <v>3860</v>
      </c>
      <c r="B3861" t="s">
        <v>1291</v>
      </c>
      <c r="C3861">
        <v>69</v>
      </c>
      <c r="D3861" s="105">
        <v>45374.443217939814</v>
      </c>
      <c r="E3861" t="s">
        <v>312</v>
      </c>
      <c r="F3861" t="s">
        <v>1402</v>
      </c>
      <c r="G3861">
        <v>0</v>
      </c>
      <c r="H3861" t="s">
        <v>315</v>
      </c>
      <c r="I3861">
        <v>0</v>
      </c>
      <c r="J3861">
        <v>0</v>
      </c>
      <c r="K3861">
        <v>0</v>
      </c>
      <c r="L3861" t="s">
        <v>241</v>
      </c>
      <c r="M3861" t="s">
        <v>1398</v>
      </c>
      <c r="N3861">
        <v>0</v>
      </c>
      <c r="O3861" t="s">
        <v>319</v>
      </c>
      <c r="P3861" t="s">
        <v>310</v>
      </c>
      <c r="Q3861" t="s">
        <v>310</v>
      </c>
      <c r="R3861" t="s">
        <v>310</v>
      </c>
      <c r="S3861">
        <v>9</v>
      </c>
      <c r="T3861" t="s">
        <v>310</v>
      </c>
      <c r="U3861">
        <v>9</v>
      </c>
      <c r="V3861">
        <v>9</v>
      </c>
      <c r="W3861">
        <v>0</v>
      </c>
      <c r="X3861">
        <v>0</v>
      </c>
      <c r="Y3861">
        <v>0</v>
      </c>
      <c r="Z3861">
        <v>0</v>
      </c>
      <c r="AA3861">
        <v>9</v>
      </c>
      <c r="AB3861">
        <v>9</v>
      </c>
      <c r="AC3861" t="s">
        <v>310</v>
      </c>
      <c r="AD3861">
        <v>9</v>
      </c>
      <c r="AE3861" t="s">
        <v>1396</v>
      </c>
      <c r="AF3861">
        <v>100000000</v>
      </c>
      <c r="AG3861" t="s">
        <v>310</v>
      </c>
      <c r="AH3861">
        <f>SUM((MID(Dyno_Data[[#This Row],[Team]],4,5))+(Dyno_Data[[#This Row],[Match]]/100))</f>
        <v>1493.69</v>
      </c>
      <c r="AI3861" s="76">
        <f>ROUND(SUM(IF(Dyno_Data[[#This Row],[AcqCenter]]&gt;0,Dyno_Data[[#This Row],[Time]]-SUMIFS(Dyno_Data[Time],Dyno_Data[Team],Dyno_Data[[#This Row],[Team]],Dyno_Data[RecordType],"StartMatch",Dyno_Data[Match],Dyno_Data[[#This Row],[Match]]),0)*86400),0)</f>
        <v>0</v>
      </c>
    </row>
    <row r="3862" spans="1:35" x14ac:dyDescent="0.3">
      <c r="A3862">
        <v>3861</v>
      </c>
      <c r="B3862" t="s">
        <v>1314</v>
      </c>
      <c r="C3862">
        <v>69</v>
      </c>
      <c r="D3862" s="105">
        <v>45374.443275578706</v>
      </c>
      <c r="E3862" t="s">
        <v>312</v>
      </c>
      <c r="F3862" t="s">
        <v>1402</v>
      </c>
      <c r="G3862">
        <v>0</v>
      </c>
      <c r="H3862" t="s">
        <v>315</v>
      </c>
      <c r="I3862">
        <v>0</v>
      </c>
      <c r="J3862">
        <v>0</v>
      </c>
      <c r="K3862">
        <v>0</v>
      </c>
      <c r="L3862" t="s">
        <v>241</v>
      </c>
      <c r="M3862" t="s">
        <v>1398</v>
      </c>
      <c r="N3862">
        <v>1</v>
      </c>
      <c r="O3862" t="s">
        <v>1389</v>
      </c>
      <c r="P3862" t="s">
        <v>310</v>
      </c>
      <c r="Q3862" t="s">
        <v>310</v>
      </c>
      <c r="R3862" t="s">
        <v>310</v>
      </c>
      <c r="S3862">
        <v>9</v>
      </c>
      <c r="T3862" t="s">
        <v>310</v>
      </c>
      <c r="U3862">
        <v>9</v>
      </c>
      <c r="V3862">
        <v>9</v>
      </c>
      <c r="W3862">
        <v>0</v>
      </c>
      <c r="X3862">
        <v>0</v>
      </c>
      <c r="Y3862">
        <v>0</v>
      </c>
      <c r="Z3862">
        <v>0</v>
      </c>
      <c r="AA3862">
        <v>9</v>
      </c>
      <c r="AB3862">
        <v>9</v>
      </c>
      <c r="AC3862" t="s">
        <v>310</v>
      </c>
      <c r="AD3862">
        <v>9</v>
      </c>
      <c r="AE3862" t="s">
        <v>1388</v>
      </c>
      <c r="AF3862">
        <v>80001000</v>
      </c>
      <c r="AG3862" t="s">
        <v>310</v>
      </c>
      <c r="AH3862">
        <f>SUM((MID(Dyno_Data[[#This Row],[Team]],4,5))+(Dyno_Data[[#This Row],[Match]]/100))</f>
        <v>3419.69</v>
      </c>
      <c r="AI3862" s="76">
        <f>ROUND(SUM(IF(Dyno_Data[[#This Row],[AcqCenter]]&gt;0,Dyno_Data[[#This Row],[Time]]-SUMIFS(Dyno_Data[Time],Dyno_Data[Team],Dyno_Data[[#This Row],[Team]],Dyno_Data[RecordType],"StartMatch",Dyno_Data[Match],Dyno_Data[[#This Row],[Match]]),0)*86400),0)</f>
        <v>0</v>
      </c>
    </row>
    <row r="3863" spans="1:35" x14ac:dyDescent="0.3">
      <c r="A3863">
        <v>3862</v>
      </c>
      <c r="B3863" t="s">
        <v>372</v>
      </c>
      <c r="C3863">
        <v>69</v>
      </c>
      <c r="D3863" s="105">
        <v>45374.44327916667</v>
      </c>
      <c r="E3863" t="s">
        <v>312</v>
      </c>
      <c r="F3863" t="s">
        <v>1402</v>
      </c>
      <c r="G3863">
        <v>0</v>
      </c>
      <c r="H3863" t="s">
        <v>315</v>
      </c>
      <c r="I3863">
        <v>0</v>
      </c>
      <c r="J3863">
        <v>0</v>
      </c>
      <c r="K3863">
        <v>0</v>
      </c>
      <c r="L3863" t="s">
        <v>240</v>
      </c>
      <c r="M3863" t="s">
        <v>1398</v>
      </c>
      <c r="N3863">
        <v>0</v>
      </c>
      <c r="O3863" t="s">
        <v>1395</v>
      </c>
      <c r="P3863" t="s">
        <v>310</v>
      </c>
      <c r="Q3863" t="s">
        <v>310</v>
      </c>
      <c r="R3863" t="s">
        <v>310</v>
      </c>
      <c r="S3863">
        <v>9</v>
      </c>
      <c r="T3863" t="s">
        <v>310</v>
      </c>
      <c r="U3863">
        <v>9</v>
      </c>
      <c r="V3863">
        <v>9</v>
      </c>
      <c r="W3863">
        <v>0</v>
      </c>
      <c r="X3863">
        <v>0</v>
      </c>
      <c r="Y3863">
        <v>0</v>
      </c>
      <c r="Z3863">
        <v>0</v>
      </c>
      <c r="AA3863">
        <v>9</v>
      </c>
      <c r="AB3863">
        <v>9</v>
      </c>
      <c r="AC3863" t="s">
        <v>310</v>
      </c>
      <c r="AD3863">
        <v>9</v>
      </c>
      <c r="AE3863" t="s">
        <v>1414</v>
      </c>
      <c r="AF3863">
        <v>50000000</v>
      </c>
      <c r="AG3863" t="s">
        <v>310</v>
      </c>
      <c r="AH3863">
        <f>SUM((MID(Dyno_Data[[#This Row],[Team]],4,5))+(Dyno_Data[[#This Row],[Match]]/100))</f>
        <v>7504.69</v>
      </c>
      <c r="AI3863" s="76">
        <f>ROUND(SUM(IF(Dyno_Data[[#This Row],[AcqCenter]]&gt;0,Dyno_Data[[#This Row],[Time]]-SUMIFS(Dyno_Data[Time],Dyno_Data[Team],Dyno_Data[[#This Row],[Team]],Dyno_Data[RecordType],"StartMatch",Dyno_Data[Match],Dyno_Data[[#This Row],[Match]]),0)*86400),0)</f>
        <v>0</v>
      </c>
    </row>
    <row r="3864" spans="1:35" x14ac:dyDescent="0.3">
      <c r="A3864">
        <v>3863</v>
      </c>
      <c r="B3864" t="s">
        <v>1291</v>
      </c>
      <c r="C3864">
        <v>69</v>
      </c>
      <c r="D3864" s="105">
        <v>45374.443281979169</v>
      </c>
      <c r="E3864" t="s">
        <v>312</v>
      </c>
      <c r="F3864" t="s">
        <v>1402</v>
      </c>
      <c r="G3864">
        <v>0</v>
      </c>
      <c r="H3864" t="s">
        <v>315</v>
      </c>
      <c r="I3864">
        <v>0</v>
      </c>
      <c r="J3864">
        <v>0</v>
      </c>
      <c r="K3864">
        <v>0</v>
      </c>
      <c r="L3864" t="s">
        <v>241</v>
      </c>
      <c r="M3864" t="s">
        <v>1398</v>
      </c>
      <c r="N3864">
        <v>0</v>
      </c>
      <c r="O3864" t="s">
        <v>319</v>
      </c>
      <c r="P3864" t="s">
        <v>310</v>
      </c>
      <c r="Q3864" t="s">
        <v>310</v>
      </c>
      <c r="R3864" t="s">
        <v>310</v>
      </c>
      <c r="S3864">
        <v>9</v>
      </c>
      <c r="T3864" t="s">
        <v>310</v>
      </c>
      <c r="U3864">
        <v>9</v>
      </c>
      <c r="V3864">
        <v>9</v>
      </c>
      <c r="W3864">
        <v>0</v>
      </c>
      <c r="X3864">
        <v>0</v>
      </c>
      <c r="Y3864">
        <v>0</v>
      </c>
      <c r="Z3864">
        <v>0</v>
      </c>
      <c r="AA3864">
        <v>9</v>
      </c>
      <c r="AB3864">
        <v>9</v>
      </c>
      <c r="AC3864" t="s">
        <v>310</v>
      </c>
      <c r="AD3864">
        <v>9</v>
      </c>
      <c r="AE3864" t="s">
        <v>1396</v>
      </c>
      <c r="AF3864">
        <v>110000000</v>
      </c>
      <c r="AG3864" t="s">
        <v>310</v>
      </c>
      <c r="AH3864">
        <f>SUM((MID(Dyno_Data[[#This Row],[Team]],4,5))+(Dyno_Data[[#This Row],[Match]]/100))</f>
        <v>1493.69</v>
      </c>
      <c r="AI3864" s="76">
        <f>ROUND(SUM(IF(Dyno_Data[[#This Row],[AcqCenter]]&gt;0,Dyno_Data[[#This Row],[Time]]-SUMIFS(Dyno_Data[Time],Dyno_Data[Team],Dyno_Data[[#This Row],[Team]],Dyno_Data[RecordType],"StartMatch",Dyno_Data[Match],Dyno_Data[[#This Row],[Match]]),0)*86400),0)</f>
        <v>0</v>
      </c>
    </row>
    <row r="3865" spans="1:35" x14ac:dyDescent="0.3">
      <c r="A3865">
        <v>3864</v>
      </c>
      <c r="B3865" t="s">
        <v>370</v>
      </c>
      <c r="C3865">
        <v>69</v>
      </c>
      <c r="D3865" s="105">
        <v>45374.44332515046</v>
      </c>
      <c r="E3865" t="s">
        <v>312</v>
      </c>
      <c r="F3865" t="s">
        <v>1402</v>
      </c>
      <c r="G3865">
        <v>0</v>
      </c>
      <c r="H3865" t="s">
        <v>315</v>
      </c>
      <c r="I3865">
        <v>0</v>
      </c>
      <c r="J3865">
        <v>0</v>
      </c>
      <c r="K3865">
        <v>0</v>
      </c>
      <c r="L3865" t="s">
        <v>241</v>
      </c>
      <c r="M3865" t="s">
        <v>1398</v>
      </c>
      <c r="N3865">
        <v>0</v>
      </c>
      <c r="O3865" t="s">
        <v>311</v>
      </c>
      <c r="P3865" t="s">
        <v>310</v>
      </c>
      <c r="Q3865" t="s">
        <v>310</v>
      </c>
      <c r="R3865" t="s">
        <v>310</v>
      </c>
      <c r="S3865">
        <v>9</v>
      </c>
      <c r="T3865" t="s">
        <v>310</v>
      </c>
      <c r="U3865">
        <v>9</v>
      </c>
      <c r="V3865">
        <v>9</v>
      </c>
      <c r="W3865">
        <v>0</v>
      </c>
      <c r="X3865">
        <v>0</v>
      </c>
      <c r="Y3865">
        <v>0</v>
      </c>
      <c r="Z3865">
        <v>0</v>
      </c>
      <c r="AA3865">
        <v>9</v>
      </c>
      <c r="AB3865">
        <v>9</v>
      </c>
      <c r="AC3865" t="s">
        <v>310</v>
      </c>
      <c r="AD3865">
        <v>9</v>
      </c>
      <c r="AE3865" t="s">
        <v>1412</v>
      </c>
      <c r="AF3865">
        <v>70000000</v>
      </c>
      <c r="AG3865" t="s">
        <v>310</v>
      </c>
      <c r="AH3865">
        <f>SUM((MID(Dyno_Data[[#This Row],[Team]],4,5))+(Dyno_Data[[#This Row],[Match]]/100))</f>
        <v>6911.69</v>
      </c>
      <c r="AI3865" s="76">
        <f>ROUND(SUM(IF(Dyno_Data[[#This Row],[AcqCenter]]&gt;0,Dyno_Data[[#This Row],[Time]]-SUMIFS(Dyno_Data[Time],Dyno_Data[Team],Dyno_Data[[#This Row],[Team]],Dyno_Data[RecordType],"StartMatch",Dyno_Data[Match],Dyno_Data[[#This Row],[Match]]),0)*86400),0)</f>
        <v>0</v>
      </c>
    </row>
    <row r="3866" spans="1:35" x14ac:dyDescent="0.3">
      <c r="A3866">
        <v>3865</v>
      </c>
      <c r="B3866" t="s">
        <v>372</v>
      </c>
      <c r="C3866">
        <v>69</v>
      </c>
      <c r="D3866" s="105">
        <v>45374.443352118054</v>
      </c>
      <c r="E3866" t="s">
        <v>312</v>
      </c>
      <c r="F3866" t="s">
        <v>1402</v>
      </c>
      <c r="G3866">
        <v>0</v>
      </c>
      <c r="H3866" t="s">
        <v>315</v>
      </c>
      <c r="I3866">
        <v>0</v>
      </c>
      <c r="J3866">
        <v>0</v>
      </c>
      <c r="K3866">
        <v>0</v>
      </c>
      <c r="L3866" t="s">
        <v>240</v>
      </c>
      <c r="M3866" t="s">
        <v>1398</v>
      </c>
      <c r="N3866">
        <v>1</v>
      </c>
      <c r="O3866" t="s">
        <v>1395</v>
      </c>
      <c r="P3866" t="s">
        <v>310</v>
      </c>
      <c r="Q3866" t="s">
        <v>310</v>
      </c>
      <c r="R3866" t="s">
        <v>310</v>
      </c>
      <c r="S3866">
        <v>9</v>
      </c>
      <c r="T3866" t="s">
        <v>310</v>
      </c>
      <c r="U3866">
        <v>9</v>
      </c>
      <c r="V3866">
        <v>9</v>
      </c>
      <c r="W3866">
        <v>0</v>
      </c>
      <c r="X3866">
        <v>0</v>
      </c>
      <c r="Y3866">
        <v>0</v>
      </c>
      <c r="Z3866">
        <v>0</v>
      </c>
      <c r="AA3866">
        <v>9</v>
      </c>
      <c r="AB3866">
        <v>9</v>
      </c>
      <c r="AC3866" t="s">
        <v>310</v>
      </c>
      <c r="AD3866">
        <v>9</v>
      </c>
      <c r="AE3866" t="s">
        <v>1414</v>
      </c>
      <c r="AF3866">
        <v>60000000</v>
      </c>
      <c r="AG3866" t="s">
        <v>310</v>
      </c>
      <c r="AH3866">
        <f>SUM((MID(Dyno_Data[[#This Row],[Team]],4,5))+(Dyno_Data[[#This Row],[Match]]/100))</f>
        <v>7504.69</v>
      </c>
      <c r="AI3866" s="76">
        <f>ROUND(SUM(IF(Dyno_Data[[#This Row],[AcqCenter]]&gt;0,Dyno_Data[[#This Row],[Time]]-SUMIFS(Dyno_Data[Time],Dyno_Data[Team],Dyno_Data[[#This Row],[Team]],Dyno_Data[RecordType],"StartMatch",Dyno_Data[Match],Dyno_Data[[#This Row],[Match]]),0)*86400),0)</f>
        <v>0</v>
      </c>
    </row>
    <row r="3867" spans="1:35" x14ac:dyDescent="0.3">
      <c r="A3867">
        <v>3866</v>
      </c>
      <c r="B3867" t="s">
        <v>1300</v>
      </c>
      <c r="C3867">
        <v>69</v>
      </c>
      <c r="D3867" s="105">
        <v>45374.443398344905</v>
      </c>
      <c r="E3867" t="s">
        <v>312</v>
      </c>
      <c r="F3867" t="s">
        <v>1402</v>
      </c>
      <c r="G3867">
        <v>0</v>
      </c>
      <c r="H3867" t="s">
        <v>315</v>
      </c>
      <c r="I3867">
        <v>0</v>
      </c>
      <c r="J3867">
        <v>0</v>
      </c>
      <c r="K3867">
        <v>0</v>
      </c>
      <c r="L3867" t="s">
        <v>241</v>
      </c>
      <c r="M3867" t="s">
        <v>1398</v>
      </c>
      <c r="N3867">
        <v>0</v>
      </c>
      <c r="O3867" t="s">
        <v>1391</v>
      </c>
      <c r="P3867" t="s">
        <v>310</v>
      </c>
      <c r="Q3867" t="s">
        <v>310</v>
      </c>
      <c r="R3867" t="s">
        <v>310</v>
      </c>
      <c r="S3867">
        <v>9</v>
      </c>
      <c r="T3867" t="s">
        <v>310</v>
      </c>
      <c r="U3867">
        <v>9</v>
      </c>
      <c r="V3867">
        <v>9</v>
      </c>
      <c r="W3867">
        <v>0</v>
      </c>
      <c r="X3867">
        <v>0</v>
      </c>
      <c r="Y3867">
        <v>0</v>
      </c>
      <c r="Z3867">
        <v>0</v>
      </c>
      <c r="AA3867">
        <v>9</v>
      </c>
      <c r="AB3867">
        <v>9</v>
      </c>
      <c r="AC3867" t="s">
        <v>310</v>
      </c>
      <c r="AD3867">
        <v>9</v>
      </c>
      <c r="AE3867" t="s">
        <v>1390</v>
      </c>
      <c r="AF3867">
        <v>60000000</v>
      </c>
      <c r="AG3867" t="s">
        <v>310</v>
      </c>
      <c r="AH3867">
        <f>SUM((MID(Dyno_Data[[#This Row],[Team]],4,5))+(Dyno_Data[[#This Row],[Match]]/100))</f>
        <v>3044.69</v>
      </c>
      <c r="AI3867" s="76">
        <f>ROUND(SUM(IF(Dyno_Data[[#This Row],[AcqCenter]]&gt;0,Dyno_Data[[#This Row],[Time]]-SUMIFS(Dyno_Data[Time],Dyno_Data[Team],Dyno_Data[[#This Row],[Team]],Dyno_Data[RecordType],"StartMatch",Dyno_Data[Match],Dyno_Data[[#This Row],[Match]]),0)*86400),0)</f>
        <v>0</v>
      </c>
    </row>
    <row r="3868" spans="1:35" x14ac:dyDescent="0.3">
      <c r="A3868">
        <v>3867</v>
      </c>
      <c r="B3868" t="s">
        <v>372</v>
      </c>
      <c r="C3868">
        <v>69</v>
      </c>
      <c r="D3868" s="105">
        <v>45374.443407060186</v>
      </c>
      <c r="E3868" t="s">
        <v>312</v>
      </c>
      <c r="F3868" t="s">
        <v>1402</v>
      </c>
      <c r="G3868">
        <v>0</v>
      </c>
      <c r="H3868" t="s">
        <v>315</v>
      </c>
      <c r="I3868">
        <v>0</v>
      </c>
      <c r="J3868">
        <v>0</v>
      </c>
      <c r="K3868">
        <v>0</v>
      </c>
      <c r="L3868" t="s">
        <v>240</v>
      </c>
      <c r="M3868" t="s">
        <v>1398</v>
      </c>
      <c r="N3868">
        <v>0</v>
      </c>
      <c r="O3868" t="s">
        <v>1395</v>
      </c>
      <c r="P3868" t="s">
        <v>310</v>
      </c>
      <c r="Q3868" t="s">
        <v>310</v>
      </c>
      <c r="R3868" t="s">
        <v>310</v>
      </c>
      <c r="S3868">
        <v>9</v>
      </c>
      <c r="T3868" t="s">
        <v>310</v>
      </c>
      <c r="U3868">
        <v>9</v>
      </c>
      <c r="V3868">
        <v>9</v>
      </c>
      <c r="W3868">
        <v>0</v>
      </c>
      <c r="X3868">
        <v>0</v>
      </c>
      <c r="Y3868">
        <v>0</v>
      </c>
      <c r="Z3868">
        <v>0</v>
      </c>
      <c r="AA3868">
        <v>9</v>
      </c>
      <c r="AB3868">
        <v>9</v>
      </c>
      <c r="AC3868" t="s">
        <v>310</v>
      </c>
      <c r="AD3868">
        <v>9</v>
      </c>
      <c r="AE3868" t="s">
        <v>1414</v>
      </c>
      <c r="AF3868">
        <v>70000000</v>
      </c>
      <c r="AG3868" t="s">
        <v>310</v>
      </c>
      <c r="AH3868">
        <f>SUM((MID(Dyno_Data[[#This Row],[Team]],4,5))+(Dyno_Data[[#This Row],[Match]]/100))</f>
        <v>7504.69</v>
      </c>
      <c r="AI3868" s="76">
        <f>ROUND(SUM(IF(Dyno_Data[[#This Row],[AcqCenter]]&gt;0,Dyno_Data[[#This Row],[Time]]-SUMIFS(Dyno_Data[Time],Dyno_Data[Team],Dyno_Data[[#This Row],[Team]],Dyno_Data[RecordType],"StartMatch",Dyno_Data[Match],Dyno_Data[[#This Row],[Match]]),0)*86400),0)</f>
        <v>0</v>
      </c>
    </row>
    <row r="3869" spans="1:35" x14ac:dyDescent="0.3">
      <c r="A3869">
        <v>3868</v>
      </c>
      <c r="B3869" t="s">
        <v>1314</v>
      </c>
      <c r="C3869">
        <v>69</v>
      </c>
      <c r="D3869" s="105">
        <v>45374.443447141202</v>
      </c>
      <c r="E3869" t="s">
        <v>312</v>
      </c>
      <c r="F3869" t="s">
        <v>1402</v>
      </c>
      <c r="G3869">
        <v>0</v>
      </c>
      <c r="H3869" t="s">
        <v>315</v>
      </c>
      <c r="I3869">
        <v>0</v>
      </c>
      <c r="J3869">
        <v>0</v>
      </c>
      <c r="K3869">
        <v>0</v>
      </c>
      <c r="L3869" t="s">
        <v>241</v>
      </c>
      <c r="M3869" t="s">
        <v>1398</v>
      </c>
      <c r="N3869">
        <v>0</v>
      </c>
      <c r="O3869" t="s">
        <v>1389</v>
      </c>
      <c r="P3869" t="s">
        <v>310</v>
      </c>
      <c r="Q3869" t="s">
        <v>310</v>
      </c>
      <c r="R3869" t="s">
        <v>310</v>
      </c>
      <c r="S3869">
        <v>9</v>
      </c>
      <c r="T3869" t="s">
        <v>310</v>
      </c>
      <c r="U3869">
        <v>9</v>
      </c>
      <c r="V3869">
        <v>9</v>
      </c>
      <c r="W3869">
        <v>0</v>
      </c>
      <c r="X3869">
        <v>0</v>
      </c>
      <c r="Y3869">
        <v>0</v>
      </c>
      <c r="Z3869">
        <v>0</v>
      </c>
      <c r="AA3869">
        <v>9</v>
      </c>
      <c r="AB3869">
        <v>9</v>
      </c>
      <c r="AC3869" t="s">
        <v>310</v>
      </c>
      <c r="AD3869">
        <v>9</v>
      </c>
      <c r="AE3869" t="s">
        <v>1388</v>
      </c>
      <c r="AF3869">
        <v>90001000</v>
      </c>
      <c r="AG3869" t="s">
        <v>310</v>
      </c>
      <c r="AH3869">
        <f>SUM((MID(Dyno_Data[[#This Row],[Team]],4,5))+(Dyno_Data[[#This Row],[Match]]/100))</f>
        <v>3419.69</v>
      </c>
      <c r="AI3869" s="76">
        <f>ROUND(SUM(IF(Dyno_Data[[#This Row],[AcqCenter]]&gt;0,Dyno_Data[[#This Row],[Time]]-SUMIFS(Dyno_Data[Time],Dyno_Data[Team],Dyno_Data[[#This Row],[Team]],Dyno_Data[RecordType],"StartMatch",Dyno_Data[Match],Dyno_Data[[#This Row],[Match]]),0)*86400),0)</f>
        <v>0</v>
      </c>
    </row>
    <row r="3870" spans="1:35" x14ac:dyDescent="0.3">
      <c r="A3870">
        <v>3869</v>
      </c>
      <c r="B3870" t="s">
        <v>370</v>
      </c>
      <c r="C3870">
        <v>69</v>
      </c>
      <c r="D3870" s="105">
        <v>45374.443491203703</v>
      </c>
      <c r="E3870" t="s">
        <v>312</v>
      </c>
      <c r="F3870" t="s">
        <v>1402</v>
      </c>
      <c r="G3870">
        <v>0</v>
      </c>
      <c r="H3870" t="s">
        <v>315</v>
      </c>
      <c r="I3870">
        <v>0</v>
      </c>
      <c r="J3870">
        <v>0</v>
      </c>
      <c r="K3870">
        <v>0</v>
      </c>
      <c r="L3870" t="s">
        <v>241</v>
      </c>
      <c r="M3870" t="s">
        <v>1398</v>
      </c>
      <c r="N3870">
        <v>0</v>
      </c>
      <c r="O3870" t="s">
        <v>311</v>
      </c>
      <c r="P3870" t="s">
        <v>310</v>
      </c>
      <c r="Q3870" t="s">
        <v>310</v>
      </c>
      <c r="R3870" t="s">
        <v>310</v>
      </c>
      <c r="S3870">
        <v>9</v>
      </c>
      <c r="T3870" t="s">
        <v>310</v>
      </c>
      <c r="U3870">
        <v>9</v>
      </c>
      <c r="V3870">
        <v>9</v>
      </c>
      <c r="W3870">
        <v>0</v>
      </c>
      <c r="X3870">
        <v>0</v>
      </c>
      <c r="Y3870">
        <v>0</v>
      </c>
      <c r="Z3870">
        <v>0</v>
      </c>
      <c r="AA3870">
        <v>9</v>
      </c>
      <c r="AB3870">
        <v>9</v>
      </c>
      <c r="AC3870" t="s">
        <v>310</v>
      </c>
      <c r="AD3870">
        <v>9</v>
      </c>
      <c r="AE3870" t="s">
        <v>1412</v>
      </c>
      <c r="AF3870">
        <v>80000000</v>
      </c>
      <c r="AG3870" t="s">
        <v>310</v>
      </c>
      <c r="AH3870">
        <f>SUM((MID(Dyno_Data[[#This Row],[Team]],4,5))+(Dyno_Data[[#This Row],[Match]]/100))</f>
        <v>6911.69</v>
      </c>
      <c r="AI3870" s="76">
        <f>ROUND(SUM(IF(Dyno_Data[[#This Row],[AcqCenter]]&gt;0,Dyno_Data[[#This Row],[Time]]-SUMIFS(Dyno_Data[Time],Dyno_Data[Team],Dyno_Data[[#This Row],[Team]],Dyno_Data[RecordType],"StartMatch",Dyno_Data[Match],Dyno_Data[[#This Row],[Match]]),0)*86400),0)</f>
        <v>0</v>
      </c>
    </row>
    <row r="3871" spans="1:35" x14ac:dyDescent="0.3">
      <c r="A3871">
        <v>3870</v>
      </c>
      <c r="B3871" t="s">
        <v>1291</v>
      </c>
      <c r="C3871">
        <v>69</v>
      </c>
      <c r="D3871" s="105">
        <v>45374.443513773149</v>
      </c>
      <c r="E3871" t="s">
        <v>312</v>
      </c>
      <c r="F3871" t="s">
        <v>1402</v>
      </c>
      <c r="G3871">
        <v>0</v>
      </c>
      <c r="H3871" t="s">
        <v>315</v>
      </c>
      <c r="I3871">
        <v>0</v>
      </c>
      <c r="J3871">
        <v>0</v>
      </c>
      <c r="K3871">
        <v>0</v>
      </c>
      <c r="L3871" t="s">
        <v>241</v>
      </c>
      <c r="M3871" t="s">
        <v>1398</v>
      </c>
      <c r="N3871">
        <v>0</v>
      </c>
      <c r="O3871" t="s">
        <v>319</v>
      </c>
      <c r="P3871" t="s">
        <v>310</v>
      </c>
      <c r="Q3871" t="s">
        <v>310</v>
      </c>
      <c r="R3871" t="s">
        <v>310</v>
      </c>
      <c r="S3871">
        <v>9</v>
      </c>
      <c r="T3871" t="s">
        <v>310</v>
      </c>
      <c r="U3871">
        <v>9</v>
      </c>
      <c r="V3871">
        <v>9</v>
      </c>
      <c r="W3871">
        <v>0</v>
      </c>
      <c r="X3871">
        <v>0</v>
      </c>
      <c r="Y3871">
        <v>0</v>
      </c>
      <c r="Z3871">
        <v>0</v>
      </c>
      <c r="AA3871">
        <v>9</v>
      </c>
      <c r="AB3871">
        <v>9</v>
      </c>
      <c r="AC3871" t="s">
        <v>310</v>
      </c>
      <c r="AD3871">
        <v>9</v>
      </c>
      <c r="AE3871" t="s">
        <v>1396</v>
      </c>
      <c r="AF3871">
        <v>120000000</v>
      </c>
      <c r="AG3871" t="s">
        <v>310</v>
      </c>
      <c r="AH3871">
        <f>SUM((MID(Dyno_Data[[#This Row],[Team]],4,5))+(Dyno_Data[[#This Row],[Match]]/100))</f>
        <v>1493.69</v>
      </c>
      <c r="AI3871" s="76">
        <f>ROUND(SUM(IF(Dyno_Data[[#This Row],[AcqCenter]]&gt;0,Dyno_Data[[#This Row],[Time]]-SUMIFS(Dyno_Data[Time],Dyno_Data[Team],Dyno_Data[[#This Row],[Team]],Dyno_Data[RecordType],"StartMatch",Dyno_Data[Match],Dyno_Data[[#This Row],[Match]]),0)*86400),0)</f>
        <v>0</v>
      </c>
    </row>
    <row r="3872" spans="1:35" x14ac:dyDescent="0.3">
      <c r="A3872">
        <v>3871</v>
      </c>
      <c r="B3872" t="s">
        <v>1314</v>
      </c>
      <c r="C3872">
        <v>69</v>
      </c>
      <c r="D3872" s="105">
        <v>45374.443582060187</v>
      </c>
      <c r="E3872" t="s">
        <v>312</v>
      </c>
      <c r="F3872" t="s">
        <v>1402</v>
      </c>
      <c r="G3872">
        <v>0</v>
      </c>
      <c r="H3872" t="s">
        <v>315</v>
      </c>
      <c r="I3872">
        <v>0</v>
      </c>
      <c r="J3872">
        <v>0</v>
      </c>
      <c r="K3872">
        <v>0</v>
      </c>
      <c r="L3872" t="s">
        <v>241</v>
      </c>
      <c r="M3872" t="s">
        <v>1398</v>
      </c>
      <c r="N3872">
        <v>0</v>
      </c>
      <c r="O3872" t="s">
        <v>1389</v>
      </c>
      <c r="P3872" t="s">
        <v>310</v>
      </c>
      <c r="Q3872" t="s">
        <v>310</v>
      </c>
      <c r="R3872" t="s">
        <v>310</v>
      </c>
      <c r="S3872">
        <v>9</v>
      </c>
      <c r="T3872" t="s">
        <v>310</v>
      </c>
      <c r="U3872">
        <v>9</v>
      </c>
      <c r="V3872">
        <v>9</v>
      </c>
      <c r="W3872">
        <v>0</v>
      </c>
      <c r="X3872">
        <v>0</v>
      </c>
      <c r="Y3872">
        <v>0</v>
      </c>
      <c r="Z3872">
        <v>0</v>
      </c>
      <c r="AA3872">
        <v>9</v>
      </c>
      <c r="AB3872">
        <v>9</v>
      </c>
      <c r="AC3872" t="s">
        <v>310</v>
      </c>
      <c r="AD3872">
        <v>9</v>
      </c>
      <c r="AE3872" t="s">
        <v>1388</v>
      </c>
      <c r="AF3872">
        <v>100001000</v>
      </c>
      <c r="AG3872" t="s">
        <v>310</v>
      </c>
      <c r="AH3872">
        <f>SUM((MID(Dyno_Data[[#This Row],[Team]],4,5))+(Dyno_Data[[#This Row],[Match]]/100))</f>
        <v>3419.69</v>
      </c>
      <c r="AI3872" s="76">
        <f>ROUND(SUM(IF(Dyno_Data[[#This Row],[AcqCenter]]&gt;0,Dyno_Data[[#This Row],[Time]]-SUMIFS(Dyno_Data[Time],Dyno_Data[Team],Dyno_Data[[#This Row],[Team]],Dyno_Data[RecordType],"StartMatch",Dyno_Data[Match],Dyno_Data[[#This Row],[Match]]),0)*86400),0)</f>
        <v>0</v>
      </c>
    </row>
    <row r="3873" spans="1:35" x14ac:dyDescent="0.3">
      <c r="A3873">
        <v>3872</v>
      </c>
      <c r="B3873" t="s">
        <v>370</v>
      </c>
      <c r="C3873">
        <v>69</v>
      </c>
      <c r="D3873" s="105">
        <v>45374.443642361111</v>
      </c>
      <c r="E3873" t="s">
        <v>312</v>
      </c>
      <c r="F3873" t="s">
        <v>1402</v>
      </c>
      <c r="G3873">
        <v>0</v>
      </c>
      <c r="H3873" t="s">
        <v>315</v>
      </c>
      <c r="I3873">
        <v>0</v>
      </c>
      <c r="J3873">
        <v>0</v>
      </c>
      <c r="K3873">
        <v>0</v>
      </c>
      <c r="L3873" t="s">
        <v>241</v>
      </c>
      <c r="M3873" t="s">
        <v>1398</v>
      </c>
      <c r="N3873">
        <v>0</v>
      </c>
      <c r="O3873" t="s">
        <v>311</v>
      </c>
      <c r="P3873" t="s">
        <v>310</v>
      </c>
      <c r="Q3873" t="s">
        <v>310</v>
      </c>
      <c r="R3873" t="s">
        <v>310</v>
      </c>
      <c r="S3873">
        <v>9</v>
      </c>
      <c r="T3873" t="s">
        <v>310</v>
      </c>
      <c r="U3873">
        <v>9</v>
      </c>
      <c r="V3873">
        <v>9</v>
      </c>
      <c r="W3873">
        <v>0</v>
      </c>
      <c r="X3873">
        <v>0</v>
      </c>
      <c r="Y3873">
        <v>0</v>
      </c>
      <c r="Z3873">
        <v>0</v>
      </c>
      <c r="AA3873">
        <v>9</v>
      </c>
      <c r="AB3873">
        <v>9</v>
      </c>
      <c r="AC3873" t="s">
        <v>310</v>
      </c>
      <c r="AD3873">
        <v>9</v>
      </c>
      <c r="AE3873" t="s">
        <v>1412</v>
      </c>
      <c r="AF3873">
        <v>90000000</v>
      </c>
      <c r="AG3873" t="s">
        <v>310</v>
      </c>
      <c r="AH3873">
        <f>SUM((MID(Dyno_Data[[#This Row],[Team]],4,5))+(Dyno_Data[[#This Row],[Match]]/100))</f>
        <v>6911.69</v>
      </c>
      <c r="AI3873" s="76">
        <f>ROUND(SUM(IF(Dyno_Data[[#This Row],[AcqCenter]]&gt;0,Dyno_Data[[#This Row],[Time]]-SUMIFS(Dyno_Data[Time],Dyno_Data[Team],Dyno_Data[[#This Row],[Team]],Dyno_Data[RecordType],"StartMatch",Dyno_Data[Match],Dyno_Data[[#This Row],[Match]]),0)*86400),0)</f>
        <v>0</v>
      </c>
    </row>
    <row r="3874" spans="1:35" x14ac:dyDescent="0.3">
      <c r="A3874">
        <v>3873</v>
      </c>
      <c r="B3874" t="s">
        <v>1291</v>
      </c>
      <c r="C3874">
        <v>69</v>
      </c>
      <c r="D3874" s="105">
        <v>45374.443673032409</v>
      </c>
      <c r="E3874" t="s">
        <v>312</v>
      </c>
      <c r="F3874" t="s">
        <v>1402</v>
      </c>
      <c r="G3874">
        <v>0</v>
      </c>
      <c r="H3874" t="s">
        <v>315</v>
      </c>
      <c r="I3874">
        <v>0</v>
      </c>
      <c r="J3874">
        <v>0</v>
      </c>
      <c r="K3874">
        <v>0</v>
      </c>
      <c r="L3874" t="s">
        <v>241</v>
      </c>
      <c r="M3874" t="s">
        <v>1398</v>
      </c>
      <c r="N3874">
        <v>0</v>
      </c>
      <c r="O3874" t="s">
        <v>319</v>
      </c>
      <c r="P3874" t="s">
        <v>310</v>
      </c>
      <c r="Q3874" t="s">
        <v>310</v>
      </c>
      <c r="R3874" t="s">
        <v>310</v>
      </c>
      <c r="S3874">
        <v>9</v>
      </c>
      <c r="T3874" t="s">
        <v>310</v>
      </c>
      <c r="U3874">
        <v>9</v>
      </c>
      <c r="V3874">
        <v>9</v>
      </c>
      <c r="W3874">
        <v>0</v>
      </c>
      <c r="X3874">
        <v>0</v>
      </c>
      <c r="Y3874">
        <v>0</v>
      </c>
      <c r="Z3874">
        <v>0</v>
      </c>
      <c r="AA3874">
        <v>9</v>
      </c>
      <c r="AB3874">
        <v>9</v>
      </c>
      <c r="AC3874" t="s">
        <v>310</v>
      </c>
      <c r="AD3874">
        <v>9</v>
      </c>
      <c r="AE3874" t="s">
        <v>1396</v>
      </c>
      <c r="AF3874">
        <v>130000000</v>
      </c>
      <c r="AG3874" t="s">
        <v>310</v>
      </c>
      <c r="AH3874">
        <f>SUM((MID(Dyno_Data[[#This Row],[Team]],4,5))+(Dyno_Data[[#This Row],[Match]]/100))</f>
        <v>1493.69</v>
      </c>
      <c r="AI3874" s="76">
        <f>ROUND(SUM(IF(Dyno_Data[[#This Row],[AcqCenter]]&gt;0,Dyno_Data[[#This Row],[Time]]-SUMIFS(Dyno_Data[Time],Dyno_Data[Team],Dyno_Data[[#This Row],[Team]],Dyno_Data[RecordType],"StartMatch",Dyno_Data[Match],Dyno_Data[[#This Row],[Match]]),0)*86400),0)</f>
        <v>0</v>
      </c>
    </row>
    <row r="3875" spans="1:35" x14ac:dyDescent="0.3">
      <c r="A3875">
        <v>3874</v>
      </c>
      <c r="B3875" t="s">
        <v>370</v>
      </c>
      <c r="C3875">
        <v>69</v>
      </c>
      <c r="D3875" s="105">
        <v>45374.444611423613</v>
      </c>
      <c r="E3875" t="s">
        <v>316</v>
      </c>
      <c r="F3875" t="s">
        <v>317</v>
      </c>
      <c r="G3875">
        <v>1</v>
      </c>
      <c r="H3875" t="s">
        <v>310</v>
      </c>
      <c r="I3875">
        <v>0</v>
      </c>
      <c r="J3875">
        <v>0</v>
      </c>
      <c r="K3875">
        <v>0</v>
      </c>
      <c r="L3875" t="s">
        <v>310</v>
      </c>
      <c r="M3875" t="s">
        <v>310</v>
      </c>
      <c r="N3875">
        <v>0</v>
      </c>
      <c r="O3875" t="s">
        <v>311</v>
      </c>
      <c r="P3875" t="s">
        <v>101</v>
      </c>
      <c r="Q3875" t="s">
        <v>1399</v>
      </c>
      <c r="R3875" t="s">
        <v>1404</v>
      </c>
      <c r="S3875">
        <v>0</v>
      </c>
      <c r="T3875" t="s">
        <v>105</v>
      </c>
      <c r="U3875">
        <v>9</v>
      </c>
      <c r="V3875">
        <v>9</v>
      </c>
      <c r="W3875">
        <v>0</v>
      </c>
      <c r="X3875">
        <v>56.437924299999999</v>
      </c>
      <c r="Y3875">
        <v>20.938907499999999</v>
      </c>
      <c r="Z3875">
        <v>58.028312700000001</v>
      </c>
      <c r="AA3875">
        <v>0</v>
      </c>
      <c r="AB3875">
        <v>1</v>
      </c>
      <c r="AC3875" t="s">
        <v>174</v>
      </c>
      <c r="AD3875">
        <v>0</v>
      </c>
      <c r="AE3875" t="s">
        <v>1412</v>
      </c>
      <c r="AF3875">
        <v>90000000</v>
      </c>
      <c r="AG3875" t="s">
        <v>310</v>
      </c>
      <c r="AH3875">
        <f>SUM((MID(Dyno_Data[[#This Row],[Team]],4,5))+(Dyno_Data[[#This Row],[Match]]/100))</f>
        <v>6911.69</v>
      </c>
      <c r="AI3875" s="76">
        <f>ROUND(SUM(IF(Dyno_Data[[#This Row],[AcqCenter]]&gt;0,Dyno_Data[[#This Row],[Time]]-SUMIFS(Dyno_Data[Time],Dyno_Data[Team],Dyno_Data[[#This Row],[Team]],Dyno_Data[RecordType],"StartMatch",Dyno_Data[Match],Dyno_Data[[#This Row],[Match]]),0)*86400),0)</f>
        <v>0</v>
      </c>
    </row>
    <row r="3876" spans="1:35" x14ac:dyDescent="0.3">
      <c r="A3876">
        <v>3875</v>
      </c>
      <c r="B3876" t="s">
        <v>1300</v>
      </c>
      <c r="C3876">
        <v>69</v>
      </c>
      <c r="D3876" s="105">
        <v>45374.444611608793</v>
      </c>
      <c r="E3876" t="s">
        <v>316</v>
      </c>
      <c r="F3876" t="s">
        <v>317</v>
      </c>
      <c r="G3876">
        <v>1</v>
      </c>
      <c r="H3876" t="s">
        <v>310</v>
      </c>
      <c r="I3876">
        <v>0</v>
      </c>
      <c r="J3876">
        <v>0</v>
      </c>
      <c r="K3876">
        <v>0</v>
      </c>
      <c r="L3876" t="s">
        <v>310</v>
      </c>
      <c r="M3876" t="s">
        <v>310</v>
      </c>
      <c r="N3876">
        <v>0</v>
      </c>
      <c r="O3876" t="s">
        <v>1391</v>
      </c>
      <c r="P3876" t="s">
        <v>1401</v>
      </c>
      <c r="Q3876" t="s">
        <v>1400</v>
      </c>
      <c r="R3876" t="s">
        <v>1405</v>
      </c>
      <c r="S3876">
        <v>1</v>
      </c>
      <c r="T3876" t="s">
        <v>1407</v>
      </c>
      <c r="U3876">
        <v>0</v>
      </c>
      <c r="V3876">
        <v>0</v>
      </c>
      <c r="W3876">
        <v>11.131641199999999</v>
      </c>
      <c r="X3876">
        <v>19.344835099999997</v>
      </c>
      <c r="Y3876">
        <v>15.434882399999999</v>
      </c>
      <c r="Z3876">
        <v>78.162193000000002</v>
      </c>
      <c r="AA3876">
        <v>1</v>
      </c>
      <c r="AB3876">
        <v>0</v>
      </c>
      <c r="AC3876" t="s">
        <v>174</v>
      </c>
      <c r="AD3876">
        <v>9</v>
      </c>
      <c r="AE3876" t="s">
        <v>1390</v>
      </c>
      <c r="AF3876">
        <v>60000000</v>
      </c>
      <c r="AG3876" t="s">
        <v>310</v>
      </c>
      <c r="AH3876">
        <f>SUM((MID(Dyno_Data[[#This Row],[Team]],4,5))+(Dyno_Data[[#This Row],[Match]]/100))</f>
        <v>3044.69</v>
      </c>
      <c r="AI3876" s="76">
        <f>ROUND(SUM(IF(Dyno_Data[[#This Row],[AcqCenter]]&gt;0,Dyno_Data[[#This Row],[Time]]-SUMIFS(Dyno_Data[Time],Dyno_Data[Team],Dyno_Data[[#This Row],[Team]],Dyno_Data[RecordType],"StartMatch",Dyno_Data[Match],Dyno_Data[[#This Row],[Match]]),0)*86400),0)</f>
        <v>0</v>
      </c>
    </row>
    <row r="3877" spans="1:35" x14ac:dyDescent="0.3">
      <c r="A3877">
        <v>3876</v>
      </c>
      <c r="B3877" t="s">
        <v>1291</v>
      </c>
      <c r="C3877">
        <v>69</v>
      </c>
      <c r="D3877" s="105">
        <v>45374.444611608793</v>
      </c>
      <c r="E3877" t="s">
        <v>316</v>
      </c>
      <c r="F3877" t="s">
        <v>317</v>
      </c>
      <c r="G3877">
        <v>0</v>
      </c>
      <c r="H3877" t="s">
        <v>310</v>
      </c>
      <c r="I3877">
        <v>0</v>
      </c>
      <c r="J3877">
        <v>0</v>
      </c>
      <c r="K3877">
        <v>0</v>
      </c>
      <c r="L3877" t="s">
        <v>310</v>
      </c>
      <c r="M3877" t="s">
        <v>310</v>
      </c>
      <c r="N3877">
        <v>0</v>
      </c>
      <c r="O3877" t="s">
        <v>319</v>
      </c>
      <c r="P3877" t="s">
        <v>240</v>
      </c>
      <c r="Q3877" t="s">
        <v>1400</v>
      </c>
      <c r="R3877" t="s">
        <v>321</v>
      </c>
      <c r="S3877">
        <v>0</v>
      </c>
      <c r="T3877" t="s">
        <v>105</v>
      </c>
      <c r="U3877">
        <v>9</v>
      </c>
      <c r="V3877">
        <v>9</v>
      </c>
      <c r="W3877">
        <v>0</v>
      </c>
      <c r="X3877">
        <v>27.735351399999999</v>
      </c>
      <c r="Y3877">
        <v>36.2672113</v>
      </c>
      <c r="Z3877">
        <v>71.725360699999996</v>
      </c>
      <c r="AA3877">
        <v>0</v>
      </c>
      <c r="AB3877">
        <v>0</v>
      </c>
      <c r="AC3877" t="s">
        <v>174</v>
      </c>
      <c r="AD3877">
        <v>9</v>
      </c>
      <c r="AE3877" t="s">
        <v>1396</v>
      </c>
      <c r="AF3877">
        <v>130000000</v>
      </c>
      <c r="AG3877" t="s">
        <v>310</v>
      </c>
      <c r="AH3877">
        <f>SUM((MID(Dyno_Data[[#This Row],[Team]],4,5))+(Dyno_Data[[#This Row],[Match]]/100))</f>
        <v>1493.69</v>
      </c>
      <c r="AI3877" s="76">
        <f>ROUND(SUM(IF(Dyno_Data[[#This Row],[AcqCenter]]&gt;0,Dyno_Data[[#This Row],[Time]]-SUMIFS(Dyno_Data[Time],Dyno_Data[Team],Dyno_Data[[#This Row],[Team]],Dyno_Data[RecordType],"StartMatch",Dyno_Data[Match],Dyno_Data[[#This Row],[Match]]),0)*86400),0)</f>
        <v>0</v>
      </c>
    </row>
    <row r="3878" spans="1:35" x14ac:dyDescent="0.3">
      <c r="A3878">
        <v>3877</v>
      </c>
      <c r="B3878" t="s">
        <v>1280</v>
      </c>
      <c r="C3878">
        <v>69</v>
      </c>
      <c r="D3878" s="105">
        <v>45374.444611770836</v>
      </c>
      <c r="E3878" t="s">
        <v>316</v>
      </c>
      <c r="F3878" t="s">
        <v>317</v>
      </c>
      <c r="G3878">
        <v>0</v>
      </c>
      <c r="H3878" t="s">
        <v>310</v>
      </c>
      <c r="I3878">
        <v>0</v>
      </c>
      <c r="J3878">
        <v>0</v>
      </c>
      <c r="K3878">
        <v>0</v>
      </c>
      <c r="L3878" t="s">
        <v>310</v>
      </c>
      <c r="M3878" t="s">
        <v>310</v>
      </c>
      <c r="N3878">
        <v>0</v>
      </c>
      <c r="O3878" t="s">
        <v>1393</v>
      </c>
      <c r="P3878" t="s">
        <v>101</v>
      </c>
      <c r="Q3878" t="s">
        <v>1400</v>
      </c>
      <c r="R3878" t="s">
        <v>321</v>
      </c>
      <c r="S3878">
        <v>0</v>
      </c>
      <c r="T3878" t="s">
        <v>105</v>
      </c>
      <c r="U3878">
        <v>9</v>
      </c>
      <c r="V3878">
        <v>9</v>
      </c>
      <c r="W3878">
        <v>0</v>
      </c>
      <c r="X3878">
        <v>0</v>
      </c>
      <c r="Y3878">
        <v>98.856291399999989</v>
      </c>
      <c r="Z3878">
        <v>39.146832499999995</v>
      </c>
      <c r="AA3878">
        <v>0</v>
      </c>
      <c r="AB3878">
        <v>0</v>
      </c>
      <c r="AC3878" t="s">
        <v>167</v>
      </c>
      <c r="AD3878">
        <v>9</v>
      </c>
      <c r="AE3878" t="s">
        <v>1413</v>
      </c>
      <c r="AF3878">
        <v>0</v>
      </c>
      <c r="AG3878" t="s">
        <v>310</v>
      </c>
      <c r="AH3878">
        <f>SUM((MID(Dyno_Data[[#This Row],[Team]],4,5))+(Dyno_Data[[#This Row],[Match]]/100))</f>
        <v>1559.69</v>
      </c>
      <c r="AI3878" s="76">
        <f>ROUND(SUM(IF(Dyno_Data[[#This Row],[AcqCenter]]&gt;0,Dyno_Data[[#This Row],[Time]]-SUMIFS(Dyno_Data[Time],Dyno_Data[Team],Dyno_Data[[#This Row],[Team]],Dyno_Data[RecordType],"StartMatch",Dyno_Data[Match],Dyno_Data[[#This Row],[Match]]),0)*86400),0)</f>
        <v>0</v>
      </c>
    </row>
    <row r="3879" spans="1:35" x14ac:dyDescent="0.3">
      <c r="A3879">
        <v>3878</v>
      </c>
      <c r="B3879" t="s">
        <v>1314</v>
      </c>
      <c r="C3879">
        <v>69</v>
      </c>
      <c r="D3879" s="105">
        <v>45374.444611770836</v>
      </c>
      <c r="E3879" t="s">
        <v>316</v>
      </c>
      <c r="F3879" t="s">
        <v>317</v>
      </c>
      <c r="G3879">
        <v>1</v>
      </c>
      <c r="H3879" t="s">
        <v>310</v>
      </c>
      <c r="I3879">
        <v>0</v>
      </c>
      <c r="J3879">
        <v>0</v>
      </c>
      <c r="K3879">
        <v>0</v>
      </c>
      <c r="L3879" t="s">
        <v>310</v>
      </c>
      <c r="M3879" t="s">
        <v>310</v>
      </c>
      <c r="N3879">
        <v>0</v>
      </c>
      <c r="O3879" t="s">
        <v>1389</v>
      </c>
      <c r="P3879" t="s">
        <v>1401</v>
      </c>
      <c r="Q3879" t="s">
        <v>1400</v>
      </c>
      <c r="R3879" t="s">
        <v>1405</v>
      </c>
      <c r="S3879">
        <v>1</v>
      </c>
      <c r="T3879" t="s">
        <v>1406</v>
      </c>
      <c r="U3879">
        <v>0</v>
      </c>
      <c r="V3879">
        <v>1</v>
      </c>
      <c r="W3879">
        <v>8.5360893000000004</v>
      </c>
      <c r="X3879">
        <v>34.390270699999995</v>
      </c>
      <c r="Y3879">
        <v>29.8902745</v>
      </c>
      <c r="Z3879">
        <v>61.286323199999998</v>
      </c>
      <c r="AA3879">
        <v>0</v>
      </c>
      <c r="AB3879">
        <v>0</v>
      </c>
      <c r="AC3879" t="s">
        <v>174</v>
      </c>
      <c r="AD3879">
        <v>9</v>
      </c>
      <c r="AE3879" t="s">
        <v>1388</v>
      </c>
      <c r="AF3879">
        <v>100001000</v>
      </c>
      <c r="AG3879" t="s">
        <v>310</v>
      </c>
      <c r="AH3879">
        <f>SUM((MID(Dyno_Data[[#This Row],[Team]],4,5))+(Dyno_Data[[#This Row],[Match]]/100))</f>
        <v>3419.69</v>
      </c>
      <c r="AI3879" s="76">
        <f>ROUND(SUM(IF(Dyno_Data[[#This Row],[AcqCenter]]&gt;0,Dyno_Data[[#This Row],[Time]]-SUMIFS(Dyno_Data[Time],Dyno_Data[Team],Dyno_Data[[#This Row],[Team]],Dyno_Data[RecordType],"StartMatch",Dyno_Data[Match],Dyno_Data[[#This Row],[Match]]),0)*86400),0)</f>
        <v>0</v>
      </c>
    </row>
    <row r="3880" spans="1:35" x14ac:dyDescent="0.3">
      <c r="A3880">
        <v>3879</v>
      </c>
      <c r="B3880" t="s">
        <v>372</v>
      </c>
      <c r="C3880">
        <v>69</v>
      </c>
      <c r="D3880" s="105">
        <v>45374.444611956016</v>
      </c>
      <c r="E3880" t="s">
        <v>316</v>
      </c>
      <c r="F3880" t="s">
        <v>317</v>
      </c>
      <c r="G3880">
        <v>1</v>
      </c>
      <c r="H3880" t="s">
        <v>310</v>
      </c>
      <c r="I3880">
        <v>0</v>
      </c>
      <c r="J3880">
        <v>0</v>
      </c>
      <c r="K3880">
        <v>0</v>
      </c>
      <c r="L3880" t="s">
        <v>310</v>
      </c>
      <c r="M3880" t="s">
        <v>310</v>
      </c>
      <c r="N3880">
        <v>0</v>
      </c>
      <c r="O3880" t="s">
        <v>1395</v>
      </c>
      <c r="P3880" t="s">
        <v>240</v>
      </c>
      <c r="Q3880" t="s">
        <v>1399</v>
      </c>
      <c r="R3880" t="s">
        <v>1404</v>
      </c>
      <c r="S3880">
        <v>-1</v>
      </c>
      <c r="T3880" t="s">
        <v>105</v>
      </c>
      <c r="U3880">
        <v>9</v>
      </c>
      <c r="V3880">
        <v>9</v>
      </c>
      <c r="W3880">
        <v>0.4964113</v>
      </c>
      <c r="X3880">
        <v>23.0210653</v>
      </c>
      <c r="Y3880">
        <v>21.6397172</v>
      </c>
      <c r="Z3880">
        <v>90.189939199999998</v>
      </c>
      <c r="AA3880">
        <v>0</v>
      </c>
      <c r="AB3880">
        <v>1</v>
      </c>
      <c r="AC3880" t="s">
        <v>174</v>
      </c>
      <c r="AD3880">
        <v>1</v>
      </c>
      <c r="AE3880" t="s">
        <v>1414</v>
      </c>
      <c r="AF3880">
        <v>70000000</v>
      </c>
      <c r="AG3880" t="s">
        <v>310</v>
      </c>
      <c r="AH3880">
        <f>SUM((MID(Dyno_Data[[#This Row],[Team]],4,5))+(Dyno_Data[[#This Row],[Match]]/100))</f>
        <v>7504.69</v>
      </c>
      <c r="AI3880" s="76">
        <f>ROUND(SUM(IF(Dyno_Data[[#This Row],[AcqCenter]]&gt;0,Dyno_Data[[#This Row],[Time]]-SUMIFS(Dyno_Data[Time],Dyno_Data[Team],Dyno_Data[[#This Row],[Team]],Dyno_Data[RecordType],"StartMatch",Dyno_Data[Match],Dyno_Data[[#This Row],[Match]]),0)*86400),0)</f>
        <v>0</v>
      </c>
    </row>
    <row r="3881" spans="1:35" x14ac:dyDescent="0.3">
      <c r="A3881">
        <v>3889</v>
      </c>
      <c r="B3881" t="s">
        <v>1305</v>
      </c>
      <c r="C3881">
        <v>70</v>
      </c>
      <c r="D3881" s="105">
        <v>45374.447455983798</v>
      </c>
      <c r="E3881" t="s">
        <v>308</v>
      </c>
      <c r="F3881" t="s">
        <v>309</v>
      </c>
      <c r="G3881">
        <v>0</v>
      </c>
      <c r="H3881" t="s">
        <v>310</v>
      </c>
      <c r="I3881">
        <v>0</v>
      </c>
      <c r="J3881">
        <v>0</v>
      </c>
      <c r="K3881">
        <v>0</v>
      </c>
      <c r="L3881" t="s">
        <v>310</v>
      </c>
      <c r="M3881" t="s">
        <v>310</v>
      </c>
      <c r="N3881">
        <v>0</v>
      </c>
      <c r="O3881" t="s">
        <v>311</v>
      </c>
      <c r="P3881" t="s">
        <v>310</v>
      </c>
      <c r="Q3881" t="s">
        <v>310</v>
      </c>
      <c r="R3881" t="s">
        <v>310</v>
      </c>
      <c r="S3881">
        <v>9</v>
      </c>
      <c r="T3881" t="s">
        <v>310</v>
      </c>
      <c r="U3881">
        <v>9</v>
      </c>
      <c r="V3881">
        <v>9</v>
      </c>
      <c r="W3881">
        <v>0</v>
      </c>
      <c r="X3881">
        <v>0</v>
      </c>
      <c r="Y3881">
        <v>0</v>
      </c>
      <c r="Z3881">
        <v>0</v>
      </c>
      <c r="AA3881">
        <v>9</v>
      </c>
      <c r="AB3881">
        <v>9</v>
      </c>
      <c r="AC3881" t="s">
        <v>310</v>
      </c>
      <c r="AD3881">
        <v>9</v>
      </c>
      <c r="AE3881" t="s">
        <v>1412</v>
      </c>
      <c r="AF3881">
        <v>20000000</v>
      </c>
      <c r="AG3881" t="s">
        <v>310</v>
      </c>
      <c r="AH3881">
        <f>SUM((MID(Dyno_Data[[#This Row],[Team]],4,5))+(Dyno_Data[[#This Row],[Match]]/100))</f>
        <v>3173.7</v>
      </c>
      <c r="AI3881" s="76">
        <f>ROUND(SUM(IF(Dyno_Data[[#This Row],[AcqCenter]]&gt;0,Dyno_Data[[#This Row],[Time]]-SUMIFS(Dyno_Data[Time],Dyno_Data[Team],Dyno_Data[[#This Row],[Team]],Dyno_Data[RecordType],"StartMatch",Dyno_Data[Match],Dyno_Data[[#This Row],[Match]]),0)*86400),0)</f>
        <v>0</v>
      </c>
    </row>
    <row r="3882" spans="1:35" x14ac:dyDescent="0.3">
      <c r="A3882">
        <v>3891</v>
      </c>
      <c r="B3882" t="s">
        <v>1279</v>
      </c>
      <c r="C3882">
        <v>70</v>
      </c>
      <c r="D3882" s="105">
        <v>45374.447457407405</v>
      </c>
      <c r="E3882" t="s">
        <v>308</v>
      </c>
      <c r="F3882" t="s">
        <v>309</v>
      </c>
      <c r="G3882">
        <v>0</v>
      </c>
      <c r="H3882" t="s">
        <v>310</v>
      </c>
      <c r="I3882">
        <v>0</v>
      </c>
      <c r="J3882">
        <v>0</v>
      </c>
      <c r="K3882">
        <v>0</v>
      </c>
      <c r="L3882" t="s">
        <v>310</v>
      </c>
      <c r="M3882" t="s">
        <v>310</v>
      </c>
      <c r="N3882">
        <v>0</v>
      </c>
      <c r="O3882" t="s">
        <v>1391</v>
      </c>
      <c r="P3882" t="s">
        <v>310</v>
      </c>
      <c r="Q3882" t="s">
        <v>310</v>
      </c>
      <c r="R3882" t="s">
        <v>310</v>
      </c>
      <c r="S3882">
        <v>9</v>
      </c>
      <c r="T3882" t="s">
        <v>310</v>
      </c>
      <c r="U3882">
        <v>9</v>
      </c>
      <c r="V3882">
        <v>9</v>
      </c>
      <c r="W3882">
        <v>0</v>
      </c>
      <c r="X3882">
        <v>0</v>
      </c>
      <c r="Y3882">
        <v>0</v>
      </c>
      <c r="Z3882">
        <v>0</v>
      </c>
      <c r="AA3882">
        <v>9</v>
      </c>
      <c r="AB3882">
        <v>9</v>
      </c>
      <c r="AC3882" t="s">
        <v>310</v>
      </c>
      <c r="AD3882">
        <v>9</v>
      </c>
      <c r="AE3882" t="s">
        <v>1390</v>
      </c>
      <c r="AF3882">
        <v>0</v>
      </c>
      <c r="AG3882" t="s">
        <v>310</v>
      </c>
      <c r="AH3882">
        <f>SUM((MID(Dyno_Data[[#This Row],[Team]],4,5))+(Dyno_Data[[#This Row],[Match]]/100))</f>
        <v>5149.7</v>
      </c>
      <c r="AI3882" s="76">
        <f>ROUND(SUM(IF(Dyno_Data[[#This Row],[AcqCenter]]&gt;0,Dyno_Data[[#This Row],[Time]]-SUMIFS(Dyno_Data[Time],Dyno_Data[Team],Dyno_Data[[#This Row],[Team]],Dyno_Data[RecordType],"StartMatch",Dyno_Data[Match],Dyno_Data[[#This Row],[Match]]),0)*86400),0)</f>
        <v>0</v>
      </c>
    </row>
    <row r="3883" spans="1:35" x14ac:dyDescent="0.3">
      <c r="A3883">
        <v>3893</v>
      </c>
      <c r="B3883" t="s">
        <v>371</v>
      </c>
      <c r="C3883">
        <v>70</v>
      </c>
      <c r="D3883" s="105">
        <v>45374.447458136572</v>
      </c>
      <c r="E3883" t="s">
        <v>308</v>
      </c>
      <c r="F3883" t="s">
        <v>309</v>
      </c>
      <c r="G3883">
        <v>0</v>
      </c>
      <c r="H3883" t="s">
        <v>310</v>
      </c>
      <c r="I3883">
        <v>0</v>
      </c>
      <c r="J3883">
        <v>0</v>
      </c>
      <c r="K3883">
        <v>0</v>
      </c>
      <c r="L3883" t="s">
        <v>310</v>
      </c>
      <c r="M3883" t="s">
        <v>310</v>
      </c>
      <c r="N3883">
        <v>0</v>
      </c>
      <c r="O3883" t="s">
        <v>1389</v>
      </c>
      <c r="P3883" t="s">
        <v>310</v>
      </c>
      <c r="Q3883" t="s">
        <v>310</v>
      </c>
      <c r="R3883" t="s">
        <v>310</v>
      </c>
      <c r="S3883">
        <v>9</v>
      </c>
      <c r="T3883" t="s">
        <v>310</v>
      </c>
      <c r="U3883">
        <v>9</v>
      </c>
      <c r="V3883">
        <v>9</v>
      </c>
      <c r="W3883">
        <v>0</v>
      </c>
      <c r="X3883">
        <v>0</v>
      </c>
      <c r="Y3883">
        <v>0</v>
      </c>
      <c r="Z3883">
        <v>0</v>
      </c>
      <c r="AA3883">
        <v>9</v>
      </c>
      <c r="AB3883">
        <v>9</v>
      </c>
      <c r="AC3883" t="s">
        <v>310</v>
      </c>
      <c r="AD3883">
        <v>9</v>
      </c>
      <c r="AE3883" t="s">
        <v>1396</v>
      </c>
      <c r="AF3883">
        <v>0</v>
      </c>
      <c r="AG3883" t="s">
        <v>310</v>
      </c>
      <c r="AH3883">
        <f>SUM((MID(Dyno_Data[[#This Row],[Team]],4,5))+(Dyno_Data[[#This Row],[Match]]/100))</f>
        <v>6969.7</v>
      </c>
      <c r="AI3883" s="76">
        <f>ROUND(SUM(IF(Dyno_Data[[#This Row],[AcqCenter]]&gt;0,Dyno_Data[[#This Row],[Time]]-SUMIFS(Dyno_Data[Time],Dyno_Data[Team],Dyno_Data[[#This Row],[Team]],Dyno_Data[RecordType],"StartMatch",Dyno_Data[Match],Dyno_Data[[#This Row],[Match]]),0)*86400),0)</f>
        <v>0</v>
      </c>
    </row>
    <row r="3884" spans="1:35" x14ac:dyDescent="0.3">
      <c r="A3884">
        <v>3895</v>
      </c>
      <c r="B3884" t="s">
        <v>1317</v>
      </c>
      <c r="C3884">
        <v>70</v>
      </c>
      <c r="D3884" s="105">
        <v>45374.447460300929</v>
      </c>
      <c r="E3884" t="s">
        <v>308</v>
      </c>
      <c r="F3884" t="s">
        <v>309</v>
      </c>
      <c r="G3884">
        <v>0</v>
      </c>
      <c r="H3884" t="s">
        <v>310</v>
      </c>
      <c r="I3884">
        <v>0</v>
      </c>
      <c r="J3884">
        <v>0</v>
      </c>
      <c r="K3884">
        <v>0</v>
      </c>
      <c r="L3884" t="s">
        <v>310</v>
      </c>
      <c r="M3884" t="s">
        <v>310</v>
      </c>
      <c r="N3884">
        <v>0</v>
      </c>
      <c r="O3884" t="s">
        <v>319</v>
      </c>
      <c r="P3884" t="s">
        <v>310</v>
      </c>
      <c r="Q3884" t="s">
        <v>310</v>
      </c>
      <c r="R3884" t="s">
        <v>310</v>
      </c>
      <c r="S3884">
        <v>9</v>
      </c>
      <c r="T3884" t="s">
        <v>310</v>
      </c>
      <c r="U3884">
        <v>9</v>
      </c>
      <c r="V3884">
        <v>9</v>
      </c>
      <c r="W3884">
        <v>0</v>
      </c>
      <c r="X3884">
        <v>0</v>
      </c>
      <c r="Y3884">
        <v>0</v>
      </c>
      <c r="Z3884">
        <v>0</v>
      </c>
      <c r="AA3884">
        <v>9</v>
      </c>
      <c r="AB3884">
        <v>9</v>
      </c>
      <c r="AC3884" t="s">
        <v>310</v>
      </c>
      <c r="AD3884">
        <v>9</v>
      </c>
      <c r="AE3884" t="s">
        <v>1388</v>
      </c>
      <c r="AF3884">
        <v>0</v>
      </c>
      <c r="AG3884" t="s">
        <v>310</v>
      </c>
      <c r="AH3884">
        <f>SUM((MID(Dyno_Data[[#This Row],[Team]],4,5))+(Dyno_Data[[#This Row],[Match]]/100))</f>
        <v>296.7</v>
      </c>
      <c r="AI3884" s="76">
        <f>ROUND(SUM(IF(Dyno_Data[[#This Row],[AcqCenter]]&gt;0,Dyno_Data[[#This Row],[Time]]-SUMIFS(Dyno_Data[Time],Dyno_Data[Team],Dyno_Data[[#This Row],[Team]],Dyno_Data[RecordType],"StartMatch",Dyno_Data[Match],Dyno_Data[[#This Row],[Match]]),0)*86400),0)</f>
        <v>0</v>
      </c>
    </row>
    <row r="3885" spans="1:35" x14ac:dyDescent="0.3">
      <c r="A3885">
        <v>3897</v>
      </c>
      <c r="B3885" t="s">
        <v>1282</v>
      </c>
      <c r="C3885">
        <v>70</v>
      </c>
      <c r="D3885" s="105">
        <v>45374.447464780096</v>
      </c>
      <c r="E3885" t="s">
        <v>308</v>
      </c>
      <c r="F3885" t="s">
        <v>309</v>
      </c>
      <c r="G3885">
        <v>0</v>
      </c>
      <c r="H3885" t="s">
        <v>310</v>
      </c>
      <c r="I3885">
        <v>0</v>
      </c>
      <c r="J3885">
        <v>0</v>
      </c>
      <c r="K3885">
        <v>0</v>
      </c>
      <c r="L3885" t="s">
        <v>310</v>
      </c>
      <c r="M3885" t="s">
        <v>310</v>
      </c>
      <c r="N3885">
        <v>0</v>
      </c>
      <c r="O3885" t="s">
        <v>1393</v>
      </c>
      <c r="P3885" t="s">
        <v>310</v>
      </c>
      <c r="Q3885" t="s">
        <v>310</v>
      </c>
      <c r="R3885" t="s">
        <v>310</v>
      </c>
      <c r="S3885">
        <v>9</v>
      </c>
      <c r="T3885" t="s">
        <v>310</v>
      </c>
      <c r="U3885">
        <v>9</v>
      </c>
      <c r="V3885">
        <v>9</v>
      </c>
      <c r="W3885">
        <v>0</v>
      </c>
      <c r="X3885">
        <v>0</v>
      </c>
      <c r="Y3885">
        <v>0</v>
      </c>
      <c r="Z3885">
        <v>0</v>
      </c>
      <c r="AA3885">
        <v>9</v>
      </c>
      <c r="AB3885">
        <v>9</v>
      </c>
      <c r="AC3885" t="s">
        <v>310</v>
      </c>
      <c r="AD3885">
        <v>9</v>
      </c>
      <c r="AE3885" t="s">
        <v>1413</v>
      </c>
      <c r="AF3885">
        <v>0</v>
      </c>
      <c r="AG3885" t="s">
        <v>310</v>
      </c>
      <c r="AH3885">
        <f>SUM((MID(Dyno_Data[[#This Row],[Team]],4,5))+(Dyno_Data[[#This Row],[Match]]/100))</f>
        <v>333.7</v>
      </c>
      <c r="AI3885" s="76">
        <f>ROUND(SUM(IF(Dyno_Data[[#This Row],[AcqCenter]]&gt;0,Dyno_Data[[#This Row],[Time]]-SUMIFS(Dyno_Data[Time],Dyno_Data[Team],Dyno_Data[[#This Row],[Team]],Dyno_Data[RecordType],"StartMatch",Dyno_Data[Match],Dyno_Data[[#This Row],[Match]]),0)*86400),0)</f>
        <v>0</v>
      </c>
    </row>
    <row r="3886" spans="1:35" x14ac:dyDescent="0.3">
      <c r="A3886">
        <v>3899</v>
      </c>
      <c r="B3886" t="s">
        <v>1292</v>
      </c>
      <c r="C3886">
        <v>70</v>
      </c>
      <c r="D3886" s="105">
        <v>45374.447467627317</v>
      </c>
      <c r="E3886" t="s">
        <v>308</v>
      </c>
      <c r="F3886" t="s">
        <v>309</v>
      </c>
      <c r="G3886">
        <v>0</v>
      </c>
      <c r="H3886" t="s">
        <v>310</v>
      </c>
      <c r="I3886">
        <v>0</v>
      </c>
      <c r="J3886">
        <v>0</v>
      </c>
      <c r="K3886">
        <v>0</v>
      </c>
      <c r="L3886" t="s">
        <v>310</v>
      </c>
      <c r="M3886" t="s">
        <v>310</v>
      </c>
      <c r="N3886">
        <v>0</v>
      </c>
      <c r="O3886" t="s">
        <v>1395</v>
      </c>
      <c r="P3886" t="s">
        <v>310</v>
      </c>
      <c r="Q3886" t="s">
        <v>310</v>
      </c>
      <c r="R3886" t="s">
        <v>310</v>
      </c>
      <c r="S3886">
        <v>9</v>
      </c>
      <c r="T3886" t="s">
        <v>310</v>
      </c>
      <c r="U3886">
        <v>9</v>
      </c>
      <c r="V3886">
        <v>9</v>
      </c>
      <c r="W3886">
        <v>0</v>
      </c>
      <c r="X3886">
        <v>0</v>
      </c>
      <c r="Y3886">
        <v>0</v>
      </c>
      <c r="Z3886">
        <v>0</v>
      </c>
      <c r="AA3886">
        <v>9</v>
      </c>
      <c r="AB3886">
        <v>9</v>
      </c>
      <c r="AC3886" t="s">
        <v>310</v>
      </c>
      <c r="AD3886">
        <v>9</v>
      </c>
      <c r="AE3886" t="s">
        <v>1414</v>
      </c>
      <c r="AF3886">
        <v>0</v>
      </c>
      <c r="AG3886" t="s">
        <v>310</v>
      </c>
      <c r="AH3886">
        <f>SUM((MID(Dyno_Data[[#This Row],[Team]],4,5))+(Dyno_Data[[#This Row],[Match]]/100))</f>
        <v>7030.7</v>
      </c>
      <c r="AI3886" s="76">
        <f>ROUND(SUM(IF(Dyno_Data[[#This Row],[AcqCenter]]&gt;0,Dyno_Data[[#This Row],[Time]]-SUMIFS(Dyno_Data[Time],Dyno_Data[Team],Dyno_Data[[#This Row],[Team]],Dyno_Data[RecordType],"StartMatch",Dyno_Data[Match],Dyno_Data[[#This Row],[Match]]),0)*86400),0)</f>
        <v>0</v>
      </c>
    </row>
    <row r="3887" spans="1:35" x14ac:dyDescent="0.3">
      <c r="A3887">
        <v>3880</v>
      </c>
      <c r="B3887" t="s">
        <v>1305</v>
      </c>
      <c r="C3887">
        <v>70</v>
      </c>
      <c r="D3887" s="105">
        <v>45374.447488078702</v>
      </c>
      <c r="E3887" t="s">
        <v>312</v>
      </c>
      <c r="F3887" t="s">
        <v>309</v>
      </c>
      <c r="G3887">
        <v>0</v>
      </c>
      <c r="H3887" t="s">
        <v>1397</v>
      </c>
      <c r="I3887">
        <v>0</v>
      </c>
      <c r="J3887">
        <v>0</v>
      </c>
      <c r="K3887">
        <v>0</v>
      </c>
      <c r="L3887" t="s">
        <v>241</v>
      </c>
      <c r="M3887" t="s">
        <v>1398</v>
      </c>
      <c r="N3887">
        <v>0</v>
      </c>
      <c r="O3887" t="s">
        <v>311</v>
      </c>
      <c r="P3887" t="s">
        <v>310</v>
      </c>
      <c r="Q3887" t="s">
        <v>310</v>
      </c>
      <c r="R3887" t="s">
        <v>310</v>
      </c>
      <c r="S3887">
        <v>9</v>
      </c>
      <c r="T3887" t="s">
        <v>310</v>
      </c>
      <c r="U3887">
        <v>9</v>
      </c>
      <c r="V3887">
        <v>9</v>
      </c>
      <c r="W3887">
        <v>0</v>
      </c>
      <c r="X3887">
        <v>0</v>
      </c>
      <c r="Y3887">
        <v>0</v>
      </c>
      <c r="Z3887">
        <v>0</v>
      </c>
      <c r="AA3887">
        <v>9</v>
      </c>
      <c r="AB3887">
        <v>9</v>
      </c>
      <c r="AC3887" t="s">
        <v>310</v>
      </c>
      <c r="AD3887">
        <v>9</v>
      </c>
      <c r="AE3887" t="s">
        <v>1412</v>
      </c>
      <c r="AF3887">
        <v>0</v>
      </c>
      <c r="AG3887" t="s">
        <v>310</v>
      </c>
      <c r="AH3887">
        <f>SUM((MID(Dyno_Data[[#This Row],[Team]],4,5))+(Dyno_Data[[#This Row],[Match]]/100))</f>
        <v>3173.7</v>
      </c>
      <c r="AI3887" s="76">
        <f>ROUND(SUM(IF(Dyno_Data[[#This Row],[AcqCenter]]&gt;0,Dyno_Data[[#This Row],[Time]]-SUMIFS(Dyno_Data[Time],Dyno_Data[Team],Dyno_Data[[#This Row],[Team]],Dyno_Data[RecordType],"StartMatch",Dyno_Data[Match],Dyno_Data[[#This Row],[Match]]),0)*86400),0)</f>
        <v>0</v>
      </c>
    </row>
    <row r="3888" spans="1:35" x14ac:dyDescent="0.3">
      <c r="A3888">
        <v>3881</v>
      </c>
      <c r="B3888" t="s">
        <v>1317</v>
      </c>
      <c r="C3888">
        <v>70</v>
      </c>
      <c r="D3888" s="105">
        <v>45374.447495173612</v>
      </c>
      <c r="E3888" t="s">
        <v>312</v>
      </c>
      <c r="F3888" t="s">
        <v>309</v>
      </c>
      <c r="G3888">
        <v>0</v>
      </c>
      <c r="H3888" t="s">
        <v>1397</v>
      </c>
      <c r="I3888">
        <v>0</v>
      </c>
      <c r="J3888">
        <v>0</v>
      </c>
      <c r="K3888">
        <v>0</v>
      </c>
      <c r="L3888" t="s">
        <v>241</v>
      </c>
      <c r="M3888" t="s">
        <v>1398</v>
      </c>
      <c r="N3888">
        <v>0</v>
      </c>
      <c r="O3888" t="s">
        <v>319</v>
      </c>
      <c r="P3888" t="s">
        <v>310</v>
      </c>
      <c r="Q3888" t="s">
        <v>310</v>
      </c>
      <c r="R3888" t="s">
        <v>310</v>
      </c>
      <c r="S3888">
        <v>9</v>
      </c>
      <c r="T3888" t="s">
        <v>310</v>
      </c>
      <c r="U3888">
        <v>9</v>
      </c>
      <c r="V3888">
        <v>9</v>
      </c>
      <c r="W3888">
        <v>0</v>
      </c>
      <c r="X3888">
        <v>0</v>
      </c>
      <c r="Y3888">
        <v>0</v>
      </c>
      <c r="Z3888">
        <v>0</v>
      </c>
      <c r="AA3888">
        <v>9</v>
      </c>
      <c r="AB3888">
        <v>9</v>
      </c>
      <c r="AC3888" t="s">
        <v>310</v>
      </c>
      <c r="AD3888">
        <v>9</v>
      </c>
      <c r="AE3888" t="s">
        <v>1388</v>
      </c>
      <c r="AF3888">
        <v>0</v>
      </c>
      <c r="AG3888" t="s">
        <v>310</v>
      </c>
      <c r="AH3888">
        <f>SUM((MID(Dyno_Data[[#This Row],[Team]],4,5))+(Dyno_Data[[#This Row],[Match]]/100))</f>
        <v>296.7</v>
      </c>
      <c r="AI3888" s="76">
        <f>ROUND(SUM(IF(Dyno_Data[[#This Row],[AcqCenter]]&gt;0,Dyno_Data[[#This Row],[Time]]-SUMIFS(Dyno_Data[Time],Dyno_Data[Team],Dyno_Data[[#This Row],[Team]],Dyno_Data[RecordType],"StartMatch",Dyno_Data[Match],Dyno_Data[[#This Row],[Match]]),0)*86400),0)</f>
        <v>0</v>
      </c>
    </row>
    <row r="3889" spans="1:35" x14ac:dyDescent="0.3">
      <c r="A3889">
        <v>3882</v>
      </c>
      <c r="B3889" t="s">
        <v>371</v>
      </c>
      <c r="C3889">
        <v>70</v>
      </c>
      <c r="D3889" s="105">
        <v>45374.447504016207</v>
      </c>
      <c r="E3889" t="s">
        <v>312</v>
      </c>
      <c r="F3889" t="s">
        <v>309</v>
      </c>
      <c r="G3889">
        <v>0</v>
      </c>
      <c r="H3889" t="s">
        <v>1397</v>
      </c>
      <c r="I3889">
        <v>0</v>
      </c>
      <c r="J3889">
        <v>0</v>
      </c>
      <c r="K3889">
        <v>0</v>
      </c>
      <c r="L3889" t="s">
        <v>240</v>
      </c>
      <c r="M3889" t="s">
        <v>1398</v>
      </c>
      <c r="N3889">
        <v>0</v>
      </c>
      <c r="O3889" t="s">
        <v>1389</v>
      </c>
      <c r="P3889" t="s">
        <v>310</v>
      </c>
      <c r="Q3889" t="s">
        <v>310</v>
      </c>
      <c r="R3889" t="s">
        <v>310</v>
      </c>
      <c r="S3889">
        <v>9</v>
      </c>
      <c r="T3889" t="s">
        <v>310</v>
      </c>
      <c r="U3889">
        <v>9</v>
      </c>
      <c r="V3889">
        <v>9</v>
      </c>
      <c r="W3889">
        <v>0</v>
      </c>
      <c r="X3889">
        <v>0</v>
      </c>
      <c r="Y3889">
        <v>0</v>
      </c>
      <c r="Z3889">
        <v>0</v>
      </c>
      <c r="AA3889">
        <v>9</v>
      </c>
      <c r="AB3889">
        <v>9</v>
      </c>
      <c r="AC3889" t="s">
        <v>310</v>
      </c>
      <c r="AD3889">
        <v>9</v>
      </c>
      <c r="AE3889" t="s">
        <v>1396</v>
      </c>
      <c r="AF3889">
        <v>0</v>
      </c>
      <c r="AG3889" t="s">
        <v>310</v>
      </c>
      <c r="AH3889">
        <f>SUM((MID(Dyno_Data[[#This Row],[Team]],4,5))+(Dyno_Data[[#This Row],[Match]]/100))</f>
        <v>6969.7</v>
      </c>
      <c r="AI3889" s="76">
        <f>ROUND(SUM(IF(Dyno_Data[[#This Row],[AcqCenter]]&gt;0,Dyno_Data[[#This Row],[Time]]-SUMIFS(Dyno_Data[Time],Dyno_Data[Team],Dyno_Data[[#This Row],[Team]],Dyno_Data[RecordType],"StartMatch",Dyno_Data[Match],Dyno_Data[[#This Row],[Match]]),0)*86400),0)</f>
        <v>0</v>
      </c>
    </row>
    <row r="3890" spans="1:35" x14ac:dyDescent="0.3">
      <c r="A3890">
        <v>3883</v>
      </c>
      <c r="B3890" t="s">
        <v>1305</v>
      </c>
      <c r="C3890">
        <v>70</v>
      </c>
      <c r="D3890" s="105">
        <v>45374.447511145831</v>
      </c>
      <c r="E3890" t="s">
        <v>312</v>
      </c>
      <c r="F3890" t="s">
        <v>309</v>
      </c>
      <c r="G3890">
        <v>0</v>
      </c>
      <c r="H3890" t="s">
        <v>315</v>
      </c>
      <c r="I3890">
        <v>0</v>
      </c>
      <c r="J3890">
        <v>0</v>
      </c>
      <c r="K3890">
        <v>0</v>
      </c>
      <c r="L3890" t="s">
        <v>241</v>
      </c>
      <c r="M3890" t="s">
        <v>1398</v>
      </c>
      <c r="N3890">
        <v>0</v>
      </c>
      <c r="O3890" t="s">
        <v>311</v>
      </c>
      <c r="P3890" t="s">
        <v>310</v>
      </c>
      <c r="Q3890" t="s">
        <v>310</v>
      </c>
      <c r="R3890" t="s">
        <v>310</v>
      </c>
      <c r="S3890">
        <v>9</v>
      </c>
      <c r="T3890" t="s">
        <v>310</v>
      </c>
      <c r="U3890">
        <v>9</v>
      </c>
      <c r="V3890">
        <v>9</v>
      </c>
      <c r="W3890">
        <v>0</v>
      </c>
      <c r="X3890">
        <v>0</v>
      </c>
      <c r="Y3890">
        <v>0</v>
      </c>
      <c r="Z3890">
        <v>0</v>
      </c>
      <c r="AA3890">
        <v>9</v>
      </c>
      <c r="AB3890">
        <v>9</v>
      </c>
      <c r="AC3890" t="s">
        <v>310</v>
      </c>
      <c r="AD3890">
        <v>9</v>
      </c>
      <c r="AE3890" t="s">
        <v>1412</v>
      </c>
      <c r="AF3890">
        <v>10000000</v>
      </c>
      <c r="AG3890" t="s">
        <v>310</v>
      </c>
      <c r="AH3890">
        <f>SUM((MID(Dyno_Data[[#This Row],[Team]],4,5))+(Dyno_Data[[#This Row],[Match]]/100))</f>
        <v>3173.7</v>
      </c>
      <c r="AI3890" s="76">
        <f>ROUND(SUM(IF(Dyno_Data[[#This Row],[AcqCenter]]&gt;0,Dyno_Data[[#This Row],[Time]]-SUMIFS(Dyno_Data[Time],Dyno_Data[Team],Dyno_Data[[#This Row],[Team]],Dyno_Data[RecordType],"StartMatch",Dyno_Data[Match],Dyno_Data[[#This Row],[Match]]),0)*86400),0)</f>
        <v>0</v>
      </c>
    </row>
    <row r="3891" spans="1:35" x14ac:dyDescent="0.3">
      <c r="A3891">
        <v>3884</v>
      </c>
      <c r="B3891" t="s">
        <v>1282</v>
      </c>
      <c r="C3891">
        <v>70</v>
      </c>
      <c r="D3891" s="105">
        <v>45374.447538194443</v>
      </c>
      <c r="E3891" t="s">
        <v>312</v>
      </c>
      <c r="F3891" t="s">
        <v>309</v>
      </c>
      <c r="G3891">
        <v>0</v>
      </c>
      <c r="H3891" t="s">
        <v>1397</v>
      </c>
      <c r="I3891">
        <v>0</v>
      </c>
      <c r="J3891">
        <v>0</v>
      </c>
      <c r="K3891">
        <v>0</v>
      </c>
      <c r="L3891" t="s">
        <v>240</v>
      </c>
      <c r="M3891" t="s">
        <v>1398</v>
      </c>
      <c r="N3891">
        <v>0</v>
      </c>
      <c r="O3891" t="s">
        <v>1393</v>
      </c>
      <c r="P3891" t="s">
        <v>310</v>
      </c>
      <c r="Q3891" t="s">
        <v>310</v>
      </c>
      <c r="R3891" t="s">
        <v>310</v>
      </c>
      <c r="S3891">
        <v>9</v>
      </c>
      <c r="T3891" t="s">
        <v>310</v>
      </c>
      <c r="U3891">
        <v>9</v>
      </c>
      <c r="V3891">
        <v>9</v>
      </c>
      <c r="W3891">
        <v>0</v>
      </c>
      <c r="X3891">
        <v>0</v>
      </c>
      <c r="Y3891">
        <v>0</v>
      </c>
      <c r="Z3891">
        <v>0</v>
      </c>
      <c r="AA3891">
        <v>9</v>
      </c>
      <c r="AB3891">
        <v>9</v>
      </c>
      <c r="AC3891" t="s">
        <v>310</v>
      </c>
      <c r="AD3891">
        <v>9</v>
      </c>
      <c r="AE3891" t="s">
        <v>1413</v>
      </c>
      <c r="AF3891">
        <v>0</v>
      </c>
      <c r="AG3891" t="s">
        <v>310</v>
      </c>
      <c r="AH3891">
        <f>SUM((MID(Dyno_Data[[#This Row],[Team]],4,5))+(Dyno_Data[[#This Row],[Match]]/100))</f>
        <v>333.7</v>
      </c>
      <c r="AI3891" s="76">
        <f>ROUND(SUM(IF(Dyno_Data[[#This Row],[AcqCenter]]&gt;0,Dyno_Data[[#This Row],[Time]]-SUMIFS(Dyno_Data[Time],Dyno_Data[Team],Dyno_Data[[#This Row],[Team]],Dyno_Data[RecordType],"StartMatch",Dyno_Data[Match],Dyno_Data[[#This Row],[Match]]),0)*86400),0)</f>
        <v>0</v>
      </c>
    </row>
    <row r="3892" spans="1:35" x14ac:dyDescent="0.3">
      <c r="A3892">
        <v>3885</v>
      </c>
      <c r="B3892" t="s">
        <v>1305</v>
      </c>
      <c r="C3892">
        <v>70</v>
      </c>
      <c r="D3892" s="105">
        <v>45374.447546030089</v>
      </c>
      <c r="E3892" t="s">
        <v>312</v>
      </c>
      <c r="F3892" t="s">
        <v>309</v>
      </c>
      <c r="G3892">
        <v>0</v>
      </c>
      <c r="H3892" t="s">
        <v>143</v>
      </c>
      <c r="I3892">
        <v>5</v>
      </c>
      <c r="J3892">
        <v>1</v>
      </c>
      <c r="K3892">
        <v>0</v>
      </c>
      <c r="L3892" t="s">
        <v>310</v>
      </c>
      <c r="M3892" t="s">
        <v>310</v>
      </c>
      <c r="N3892">
        <v>0</v>
      </c>
      <c r="O3892" t="s">
        <v>311</v>
      </c>
      <c r="P3892" t="s">
        <v>310</v>
      </c>
      <c r="Q3892" t="s">
        <v>310</v>
      </c>
      <c r="R3892" t="s">
        <v>310</v>
      </c>
      <c r="S3892">
        <v>9</v>
      </c>
      <c r="T3892" t="s">
        <v>310</v>
      </c>
      <c r="U3892">
        <v>9</v>
      </c>
      <c r="V3892">
        <v>9</v>
      </c>
      <c r="W3892">
        <v>0</v>
      </c>
      <c r="X3892">
        <v>0</v>
      </c>
      <c r="Y3892">
        <v>0</v>
      </c>
      <c r="Z3892">
        <v>0</v>
      </c>
      <c r="AA3892">
        <v>9</v>
      </c>
      <c r="AB3892">
        <v>9</v>
      </c>
      <c r="AC3892" t="s">
        <v>310</v>
      </c>
      <c r="AD3892">
        <v>9</v>
      </c>
      <c r="AE3892" t="s">
        <v>1412</v>
      </c>
      <c r="AF3892">
        <v>10000000</v>
      </c>
      <c r="AG3892" t="s">
        <v>310</v>
      </c>
      <c r="AH3892">
        <f>SUM((MID(Dyno_Data[[#This Row],[Team]],4,5))+(Dyno_Data[[#This Row],[Match]]/100))</f>
        <v>3173.7</v>
      </c>
      <c r="AI3892" s="76">
        <f>ROUND(SUM(IF(Dyno_Data[[#This Row],[AcqCenter]]&gt;0,Dyno_Data[[#This Row],[Time]]-SUMIFS(Dyno_Data[Time],Dyno_Data[Team],Dyno_Data[[#This Row],[Team]],Dyno_Data[RecordType],"StartMatch",Dyno_Data[Match],Dyno_Data[[#This Row],[Match]]),0)*86400),0)</f>
        <v>8</v>
      </c>
    </row>
    <row r="3893" spans="1:35" x14ac:dyDescent="0.3">
      <c r="A3893">
        <v>3886</v>
      </c>
      <c r="B3893" t="s">
        <v>1305</v>
      </c>
      <c r="C3893">
        <v>70</v>
      </c>
      <c r="D3893" s="105">
        <v>45374.447581284723</v>
      </c>
      <c r="E3893" t="s">
        <v>312</v>
      </c>
      <c r="F3893" t="s">
        <v>309</v>
      </c>
      <c r="G3893">
        <v>0</v>
      </c>
      <c r="H3893" t="s">
        <v>143</v>
      </c>
      <c r="I3893">
        <v>0</v>
      </c>
      <c r="J3893">
        <v>0</v>
      </c>
      <c r="K3893">
        <v>0</v>
      </c>
      <c r="L3893" t="s">
        <v>241</v>
      </c>
      <c r="M3893" t="s">
        <v>1398</v>
      </c>
      <c r="N3893">
        <v>0</v>
      </c>
      <c r="O3893" t="s">
        <v>311</v>
      </c>
      <c r="P3893" t="s">
        <v>310</v>
      </c>
      <c r="Q3893" t="s">
        <v>310</v>
      </c>
      <c r="R3893" t="s">
        <v>310</v>
      </c>
      <c r="S3893">
        <v>9</v>
      </c>
      <c r="T3893" t="s">
        <v>310</v>
      </c>
      <c r="U3893">
        <v>9</v>
      </c>
      <c r="V3893">
        <v>9</v>
      </c>
      <c r="W3893">
        <v>0</v>
      </c>
      <c r="X3893">
        <v>0</v>
      </c>
      <c r="Y3893">
        <v>0</v>
      </c>
      <c r="Z3893">
        <v>0</v>
      </c>
      <c r="AA3893">
        <v>9</v>
      </c>
      <c r="AB3893">
        <v>9</v>
      </c>
      <c r="AC3893" t="s">
        <v>310</v>
      </c>
      <c r="AD3893">
        <v>9</v>
      </c>
      <c r="AE3893" t="s">
        <v>1412</v>
      </c>
      <c r="AF3893">
        <v>10000000</v>
      </c>
      <c r="AG3893" t="s">
        <v>310</v>
      </c>
      <c r="AH3893">
        <f>SUM((MID(Dyno_Data[[#This Row],[Team]],4,5))+(Dyno_Data[[#This Row],[Match]]/100))</f>
        <v>3173.7</v>
      </c>
      <c r="AI3893" s="76">
        <f>ROUND(SUM(IF(Dyno_Data[[#This Row],[AcqCenter]]&gt;0,Dyno_Data[[#This Row],[Time]]-SUMIFS(Dyno_Data[Time],Dyno_Data[Team],Dyno_Data[[#This Row],[Team]],Dyno_Data[RecordType],"StartMatch",Dyno_Data[Match],Dyno_Data[[#This Row],[Match]]),0)*86400),0)</f>
        <v>0</v>
      </c>
    </row>
    <row r="3894" spans="1:35" x14ac:dyDescent="0.3">
      <c r="A3894">
        <v>3887</v>
      </c>
      <c r="B3894" t="s">
        <v>1305</v>
      </c>
      <c r="C3894">
        <v>70</v>
      </c>
      <c r="D3894" s="105">
        <v>45374.447615474535</v>
      </c>
      <c r="E3894" t="s">
        <v>312</v>
      </c>
      <c r="F3894" t="s">
        <v>309</v>
      </c>
      <c r="G3894">
        <v>0</v>
      </c>
      <c r="H3894" t="s">
        <v>315</v>
      </c>
      <c r="I3894">
        <v>0</v>
      </c>
      <c r="J3894">
        <v>0</v>
      </c>
      <c r="K3894">
        <v>0</v>
      </c>
      <c r="L3894" t="s">
        <v>241</v>
      </c>
      <c r="M3894" t="s">
        <v>1398</v>
      </c>
      <c r="N3894">
        <v>0</v>
      </c>
      <c r="O3894" t="s">
        <v>311</v>
      </c>
      <c r="P3894" t="s">
        <v>310</v>
      </c>
      <c r="Q3894" t="s">
        <v>310</v>
      </c>
      <c r="R3894" t="s">
        <v>310</v>
      </c>
      <c r="S3894">
        <v>9</v>
      </c>
      <c r="T3894" t="s">
        <v>310</v>
      </c>
      <c r="U3894">
        <v>9</v>
      </c>
      <c r="V3894">
        <v>9</v>
      </c>
      <c r="W3894">
        <v>0</v>
      </c>
      <c r="X3894">
        <v>0</v>
      </c>
      <c r="Y3894">
        <v>0</v>
      </c>
      <c r="Z3894">
        <v>0</v>
      </c>
      <c r="AA3894">
        <v>9</v>
      </c>
      <c r="AB3894">
        <v>9</v>
      </c>
      <c r="AC3894" t="s">
        <v>310</v>
      </c>
      <c r="AD3894">
        <v>9</v>
      </c>
      <c r="AE3894" t="s">
        <v>1412</v>
      </c>
      <c r="AF3894">
        <v>20000000</v>
      </c>
      <c r="AG3894" t="s">
        <v>310</v>
      </c>
      <c r="AH3894">
        <f>SUM((MID(Dyno_Data[[#This Row],[Team]],4,5))+(Dyno_Data[[#This Row],[Match]]/100))</f>
        <v>3173.7</v>
      </c>
      <c r="AI3894" s="76">
        <f>ROUND(SUM(IF(Dyno_Data[[#This Row],[AcqCenter]]&gt;0,Dyno_Data[[#This Row],[Time]]-SUMIFS(Dyno_Data[Time],Dyno_Data[Team],Dyno_Data[[#This Row],[Team]],Dyno_Data[RecordType],"StartMatch",Dyno_Data[Match],Dyno_Data[[#This Row],[Match]]),0)*86400),0)</f>
        <v>0</v>
      </c>
    </row>
    <row r="3895" spans="1:35" x14ac:dyDescent="0.3">
      <c r="A3895">
        <v>3888</v>
      </c>
      <c r="B3895" t="s">
        <v>1317</v>
      </c>
      <c r="C3895">
        <v>70</v>
      </c>
      <c r="D3895" s="105">
        <v>45374.447632210649</v>
      </c>
      <c r="E3895" t="s">
        <v>1403</v>
      </c>
      <c r="F3895" t="s">
        <v>309</v>
      </c>
      <c r="G3895">
        <v>0</v>
      </c>
      <c r="H3895" t="s">
        <v>310</v>
      </c>
      <c r="I3895">
        <v>0</v>
      </c>
      <c r="J3895">
        <v>0</v>
      </c>
      <c r="K3895">
        <v>0</v>
      </c>
      <c r="L3895" t="s">
        <v>310</v>
      </c>
      <c r="M3895" t="s">
        <v>310</v>
      </c>
      <c r="N3895">
        <v>0</v>
      </c>
      <c r="O3895" t="s">
        <v>319</v>
      </c>
      <c r="P3895" t="s">
        <v>310</v>
      </c>
      <c r="Q3895" t="s">
        <v>310</v>
      </c>
      <c r="R3895" t="s">
        <v>310</v>
      </c>
      <c r="S3895">
        <v>9</v>
      </c>
      <c r="T3895" t="s">
        <v>310</v>
      </c>
      <c r="U3895">
        <v>9</v>
      </c>
      <c r="V3895">
        <v>9</v>
      </c>
      <c r="W3895">
        <v>0</v>
      </c>
      <c r="X3895">
        <v>0</v>
      </c>
      <c r="Y3895">
        <v>0</v>
      </c>
      <c r="Z3895">
        <v>0</v>
      </c>
      <c r="AA3895">
        <v>9</v>
      </c>
      <c r="AB3895">
        <v>9</v>
      </c>
      <c r="AC3895" t="s">
        <v>310</v>
      </c>
      <c r="AD3895">
        <v>9</v>
      </c>
      <c r="AE3895" t="s">
        <v>1388</v>
      </c>
      <c r="AF3895">
        <v>20000000</v>
      </c>
      <c r="AG3895" t="s">
        <v>249</v>
      </c>
      <c r="AH3895">
        <f>SUM((MID(Dyno_Data[[#This Row],[Team]],4,5))+(Dyno_Data[[#This Row],[Match]]/100))</f>
        <v>296.7</v>
      </c>
      <c r="AI3895" s="76">
        <f>ROUND(SUM(IF(Dyno_Data[[#This Row],[AcqCenter]]&gt;0,Dyno_Data[[#This Row],[Time]]-SUMIFS(Dyno_Data[Time],Dyno_Data[Team],Dyno_Data[[#This Row],[Team]],Dyno_Data[RecordType],"StartMatch",Dyno_Data[Match],Dyno_Data[[#This Row],[Match]]),0)*86400),0)</f>
        <v>0</v>
      </c>
    </row>
    <row r="3896" spans="1:35" x14ac:dyDescent="0.3">
      <c r="A3896">
        <v>3890</v>
      </c>
      <c r="B3896" t="s">
        <v>1305</v>
      </c>
      <c r="C3896">
        <v>70</v>
      </c>
      <c r="D3896" s="105">
        <v>45374.447664317129</v>
      </c>
      <c r="E3896" t="s">
        <v>314</v>
      </c>
      <c r="F3896" t="s">
        <v>309</v>
      </c>
      <c r="G3896">
        <v>1</v>
      </c>
      <c r="H3896" t="s">
        <v>310</v>
      </c>
      <c r="I3896">
        <v>0</v>
      </c>
      <c r="J3896">
        <v>0</v>
      </c>
      <c r="K3896">
        <v>0</v>
      </c>
      <c r="L3896" t="s">
        <v>310</v>
      </c>
      <c r="M3896" t="s">
        <v>310</v>
      </c>
      <c r="N3896">
        <v>0</v>
      </c>
      <c r="O3896" t="s">
        <v>311</v>
      </c>
      <c r="P3896" t="s">
        <v>101</v>
      </c>
      <c r="Q3896" t="s">
        <v>1399</v>
      </c>
      <c r="R3896" t="s">
        <v>310</v>
      </c>
      <c r="S3896">
        <v>9</v>
      </c>
      <c r="T3896" t="s">
        <v>310</v>
      </c>
      <c r="U3896">
        <v>9</v>
      </c>
      <c r="V3896">
        <v>9</v>
      </c>
      <c r="W3896">
        <v>0</v>
      </c>
      <c r="X3896">
        <v>0</v>
      </c>
      <c r="Y3896">
        <v>0</v>
      </c>
      <c r="Z3896">
        <v>0</v>
      </c>
      <c r="AA3896">
        <v>9</v>
      </c>
      <c r="AB3896">
        <v>9</v>
      </c>
      <c r="AC3896" t="s">
        <v>310</v>
      </c>
      <c r="AD3896">
        <v>9</v>
      </c>
      <c r="AE3896" t="s">
        <v>1412</v>
      </c>
      <c r="AF3896">
        <v>20000000</v>
      </c>
      <c r="AG3896" t="s">
        <v>310</v>
      </c>
      <c r="AH3896">
        <f>SUM((MID(Dyno_Data[[#This Row],[Team]],4,5))+(Dyno_Data[[#This Row],[Match]]/100))</f>
        <v>3173.7</v>
      </c>
      <c r="AI3896" s="76">
        <f>ROUND(SUM(IF(Dyno_Data[[#This Row],[AcqCenter]]&gt;0,Dyno_Data[[#This Row],[Time]]-SUMIFS(Dyno_Data[Time],Dyno_Data[Team],Dyno_Data[[#This Row],[Team]],Dyno_Data[RecordType],"StartMatch",Dyno_Data[Match],Dyno_Data[[#This Row],[Match]]),0)*86400),0)</f>
        <v>0</v>
      </c>
    </row>
    <row r="3897" spans="1:35" x14ac:dyDescent="0.3">
      <c r="A3897">
        <v>3892</v>
      </c>
      <c r="B3897" t="s">
        <v>1279</v>
      </c>
      <c r="C3897">
        <v>70</v>
      </c>
      <c r="D3897" s="105">
        <v>45374.447665740743</v>
      </c>
      <c r="E3897" t="s">
        <v>314</v>
      </c>
      <c r="F3897" t="s">
        <v>309</v>
      </c>
      <c r="G3897">
        <v>1</v>
      </c>
      <c r="H3897" t="s">
        <v>310</v>
      </c>
      <c r="I3897">
        <v>0</v>
      </c>
      <c r="J3897">
        <v>0</v>
      </c>
      <c r="K3897">
        <v>0</v>
      </c>
      <c r="L3897" t="s">
        <v>310</v>
      </c>
      <c r="M3897" t="s">
        <v>310</v>
      </c>
      <c r="N3897">
        <v>0</v>
      </c>
      <c r="O3897" t="s">
        <v>1391</v>
      </c>
      <c r="P3897" t="s">
        <v>320</v>
      </c>
      <c r="Q3897" t="s">
        <v>1400</v>
      </c>
      <c r="R3897" t="s">
        <v>310</v>
      </c>
      <c r="S3897">
        <v>9</v>
      </c>
      <c r="T3897" t="s">
        <v>310</v>
      </c>
      <c r="U3897">
        <v>9</v>
      </c>
      <c r="V3897">
        <v>9</v>
      </c>
      <c r="W3897">
        <v>0</v>
      </c>
      <c r="X3897">
        <v>0</v>
      </c>
      <c r="Y3897">
        <v>0</v>
      </c>
      <c r="Z3897">
        <v>0</v>
      </c>
      <c r="AA3897">
        <v>9</v>
      </c>
      <c r="AB3897">
        <v>9</v>
      </c>
      <c r="AC3897" t="s">
        <v>310</v>
      </c>
      <c r="AD3897">
        <v>9</v>
      </c>
      <c r="AE3897" t="s">
        <v>1390</v>
      </c>
      <c r="AF3897">
        <v>0</v>
      </c>
      <c r="AG3897" t="s">
        <v>310</v>
      </c>
      <c r="AH3897">
        <f>SUM((MID(Dyno_Data[[#This Row],[Team]],4,5))+(Dyno_Data[[#This Row],[Match]]/100))</f>
        <v>5149.7</v>
      </c>
      <c r="AI3897" s="76">
        <f>ROUND(SUM(IF(Dyno_Data[[#This Row],[AcqCenter]]&gt;0,Dyno_Data[[#This Row],[Time]]-SUMIFS(Dyno_Data[Time],Dyno_Data[Team],Dyno_Data[[#This Row],[Team]],Dyno_Data[RecordType],"StartMatch",Dyno_Data[Match],Dyno_Data[[#This Row],[Match]]),0)*86400),0)</f>
        <v>0</v>
      </c>
    </row>
    <row r="3898" spans="1:35" x14ac:dyDescent="0.3">
      <c r="A3898">
        <v>3894</v>
      </c>
      <c r="B3898" t="s">
        <v>371</v>
      </c>
      <c r="C3898">
        <v>70</v>
      </c>
      <c r="D3898" s="105">
        <v>45374.44766646991</v>
      </c>
      <c r="E3898" t="s">
        <v>314</v>
      </c>
      <c r="F3898" t="s">
        <v>309</v>
      </c>
      <c r="G3898">
        <v>0</v>
      </c>
      <c r="H3898" t="s">
        <v>310</v>
      </c>
      <c r="I3898">
        <v>0</v>
      </c>
      <c r="J3898">
        <v>0</v>
      </c>
      <c r="K3898">
        <v>0</v>
      </c>
      <c r="L3898" t="s">
        <v>310</v>
      </c>
      <c r="M3898" t="s">
        <v>310</v>
      </c>
      <c r="N3898">
        <v>0</v>
      </c>
      <c r="O3898" t="s">
        <v>1389</v>
      </c>
      <c r="P3898" t="s">
        <v>1401</v>
      </c>
      <c r="Q3898" t="s">
        <v>1399</v>
      </c>
      <c r="R3898" t="s">
        <v>310</v>
      </c>
      <c r="S3898">
        <v>9</v>
      </c>
      <c r="T3898" t="s">
        <v>310</v>
      </c>
      <c r="U3898">
        <v>9</v>
      </c>
      <c r="V3898">
        <v>9</v>
      </c>
      <c r="W3898">
        <v>0</v>
      </c>
      <c r="X3898">
        <v>0</v>
      </c>
      <c r="Y3898">
        <v>0</v>
      </c>
      <c r="Z3898">
        <v>0</v>
      </c>
      <c r="AA3898">
        <v>9</v>
      </c>
      <c r="AB3898">
        <v>9</v>
      </c>
      <c r="AC3898" t="s">
        <v>310</v>
      </c>
      <c r="AD3898">
        <v>9</v>
      </c>
      <c r="AE3898" t="s">
        <v>1396</v>
      </c>
      <c r="AF3898">
        <v>0</v>
      </c>
      <c r="AG3898" t="s">
        <v>310</v>
      </c>
      <c r="AH3898">
        <f>SUM((MID(Dyno_Data[[#This Row],[Team]],4,5))+(Dyno_Data[[#This Row],[Match]]/100))</f>
        <v>6969.7</v>
      </c>
      <c r="AI3898" s="76">
        <f>ROUND(SUM(IF(Dyno_Data[[#This Row],[AcqCenter]]&gt;0,Dyno_Data[[#This Row],[Time]]-SUMIFS(Dyno_Data[Time],Dyno_Data[Team],Dyno_Data[[#This Row],[Team]],Dyno_Data[RecordType],"StartMatch",Dyno_Data[Match],Dyno_Data[[#This Row],[Match]]),0)*86400),0)</f>
        <v>0</v>
      </c>
    </row>
    <row r="3899" spans="1:35" x14ac:dyDescent="0.3">
      <c r="A3899">
        <v>3896</v>
      </c>
      <c r="B3899" t="s">
        <v>1317</v>
      </c>
      <c r="C3899">
        <v>70</v>
      </c>
      <c r="D3899" s="105">
        <v>45374.44766863426</v>
      </c>
      <c r="E3899" t="s">
        <v>314</v>
      </c>
      <c r="F3899" t="s">
        <v>309</v>
      </c>
      <c r="G3899">
        <v>1</v>
      </c>
      <c r="H3899" t="s">
        <v>310</v>
      </c>
      <c r="I3899">
        <v>0</v>
      </c>
      <c r="J3899">
        <v>0</v>
      </c>
      <c r="K3899">
        <v>0</v>
      </c>
      <c r="L3899" t="s">
        <v>310</v>
      </c>
      <c r="M3899" t="s">
        <v>310</v>
      </c>
      <c r="N3899">
        <v>0</v>
      </c>
      <c r="O3899" t="s">
        <v>319</v>
      </c>
      <c r="P3899" t="s">
        <v>1401</v>
      </c>
      <c r="Q3899" t="s">
        <v>1400</v>
      </c>
      <c r="R3899" t="s">
        <v>310</v>
      </c>
      <c r="S3899">
        <v>9</v>
      </c>
      <c r="T3899" t="s">
        <v>310</v>
      </c>
      <c r="U3899">
        <v>9</v>
      </c>
      <c r="V3899">
        <v>9</v>
      </c>
      <c r="W3899">
        <v>0</v>
      </c>
      <c r="X3899">
        <v>0</v>
      </c>
      <c r="Y3899">
        <v>0</v>
      </c>
      <c r="Z3899">
        <v>0</v>
      </c>
      <c r="AA3899">
        <v>9</v>
      </c>
      <c r="AB3899">
        <v>9</v>
      </c>
      <c r="AC3899" t="s">
        <v>310</v>
      </c>
      <c r="AD3899">
        <v>9</v>
      </c>
      <c r="AE3899" t="s">
        <v>1388</v>
      </c>
      <c r="AF3899">
        <v>0</v>
      </c>
      <c r="AG3899" t="s">
        <v>310</v>
      </c>
      <c r="AH3899">
        <f>SUM((MID(Dyno_Data[[#This Row],[Team]],4,5))+(Dyno_Data[[#This Row],[Match]]/100))</f>
        <v>296.7</v>
      </c>
      <c r="AI3899" s="76">
        <f>ROUND(SUM(IF(Dyno_Data[[#This Row],[AcqCenter]]&gt;0,Dyno_Data[[#This Row],[Time]]-SUMIFS(Dyno_Data[Time],Dyno_Data[Team],Dyno_Data[[#This Row],[Team]],Dyno_Data[RecordType],"StartMatch",Dyno_Data[Match],Dyno_Data[[#This Row],[Match]]),0)*86400),0)</f>
        <v>0</v>
      </c>
    </row>
    <row r="3900" spans="1:35" x14ac:dyDescent="0.3">
      <c r="A3900">
        <v>3898</v>
      </c>
      <c r="B3900" t="s">
        <v>1282</v>
      </c>
      <c r="C3900">
        <v>70</v>
      </c>
      <c r="D3900" s="105">
        <v>45374.447673113427</v>
      </c>
      <c r="E3900" t="s">
        <v>314</v>
      </c>
      <c r="F3900" t="s">
        <v>309</v>
      </c>
      <c r="G3900">
        <v>0</v>
      </c>
      <c r="H3900" t="s">
        <v>310</v>
      </c>
      <c r="I3900">
        <v>0</v>
      </c>
      <c r="J3900">
        <v>0</v>
      </c>
      <c r="K3900">
        <v>0</v>
      </c>
      <c r="L3900" t="s">
        <v>310</v>
      </c>
      <c r="M3900" t="s">
        <v>310</v>
      </c>
      <c r="N3900">
        <v>0</v>
      </c>
      <c r="O3900" t="s">
        <v>1393</v>
      </c>
      <c r="P3900" t="s">
        <v>240</v>
      </c>
      <c r="Q3900" t="s">
        <v>1400</v>
      </c>
      <c r="R3900" t="s">
        <v>310</v>
      </c>
      <c r="S3900">
        <v>9</v>
      </c>
      <c r="T3900" t="s">
        <v>310</v>
      </c>
      <c r="U3900">
        <v>9</v>
      </c>
      <c r="V3900">
        <v>9</v>
      </c>
      <c r="W3900">
        <v>0</v>
      </c>
      <c r="X3900">
        <v>0</v>
      </c>
      <c r="Y3900">
        <v>0</v>
      </c>
      <c r="Z3900">
        <v>0</v>
      </c>
      <c r="AA3900">
        <v>9</v>
      </c>
      <c r="AB3900">
        <v>9</v>
      </c>
      <c r="AC3900" t="s">
        <v>310</v>
      </c>
      <c r="AD3900">
        <v>9</v>
      </c>
      <c r="AE3900" t="s">
        <v>1413</v>
      </c>
      <c r="AF3900">
        <v>0</v>
      </c>
      <c r="AG3900" t="s">
        <v>310</v>
      </c>
      <c r="AH3900">
        <f>SUM((MID(Dyno_Data[[#This Row],[Team]],4,5))+(Dyno_Data[[#This Row],[Match]]/100))</f>
        <v>333.7</v>
      </c>
      <c r="AI3900" s="76">
        <f>ROUND(SUM(IF(Dyno_Data[[#This Row],[AcqCenter]]&gt;0,Dyno_Data[[#This Row],[Time]]-SUMIFS(Dyno_Data[Time],Dyno_Data[Team],Dyno_Data[[#This Row],[Team]],Dyno_Data[RecordType],"StartMatch",Dyno_Data[Match],Dyno_Data[[#This Row],[Match]]),0)*86400),0)</f>
        <v>0</v>
      </c>
    </row>
    <row r="3901" spans="1:35" x14ac:dyDescent="0.3">
      <c r="A3901">
        <v>3900</v>
      </c>
      <c r="B3901" t="s">
        <v>1292</v>
      </c>
      <c r="C3901">
        <v>70</v>
      </c>
      <c r="D3901" s="105">
        <v>45374.447675960648</v>
      </c>
      <c r="E3901" t="s">
        <v>314</v>
      </c>
      <c r="F3901" t="s">
        <v>309</v>
      </c>
      <c r="G3901">
        <v>0</v>
      </c>
      <c r="H3901" t="s">
        <v>310</v>
      </c>
      <c r="I3901">
        <v>0</v>
      </c>
      <c r="J3901">
        <v>0</v>
      </c>
      <c r="K3901">
        <v>0</v>
      </c>
      <c r="L3901" t="s">
        <v>310</v>
      </c>
      <c r="M3901" t="s">
        <v>310</v>
      </c>
      <c r="N3901">
        <v>0</v>
      </c>
      <c r="O3901" t="s">
        <v>1395</v>
      </c>
      <c r="P3901" t="s">
        <v>320</v>
      </c>
      <c r="Q3901" t="s">
        <v>1400</v>
      </c>
      <c r="R3901" t="s">
        <v>310</v>
      </c>
      <c r="S3901">
        <v>9</v>
      </c>
      <c r="T3901" t="s">
        <v>310</v>
      </c>
      <c r="U3901">
        <v>9</v>
      </c>
      <c r="V3901">
        <v>9</v>
      </c>
      <c r="W3901">
        <v>0</v>
      </c>
      <c r="X3901">
        <v>0</v>
      </c>
      <c r="Y3901">
        <v>0</v>
      </c>
      <c r="Z3901">
        <v>0</v>
      </c>
      <c r="AA3901">
        <v>9</v>
      </c>
      <c r="AB3901">
        <v>9</v>
      </c>
      <c r="AC3901" t="s">
        <v>310</v>
      </c>
      <c r="AD3901">
        <v>9</v>
      </c>
      <c r="AE3901" t="s">
        <v>1414</v>
      </c>
      <c r="AF3901">
        <v>0</v>
      </c>
      <c r="AG3901" t="s">
        <v>310</v>
      </c>
      <c r="AH3901">
        <f>SUM((MID(Dyno_Data[[#This Row],[Team]],4,5))+(Dyno_Data[[#This Row],[Match]]/100))</f>
        <v>7030.7</v>
      </c>
      <c r="AI3901" s="76">
        <f>ROUND(SUM(IF(Dyno_Data[[#This Row],[AcqCenter]]&gt;0,Dyno_Data[[#This Row],[Time]]-SUMIFS(Dyno_Data[Time],Dyno_Data[Team],Dyno_Data[[#This Row],[Team]],Dyno_Data[RecordType],"StartMatch",Dyno_Data[Match],Dyno_Data[[#This Row],[Match]]),0)*86400),0)</f>
        <v>0</v>
      </c>
    </row>
    <row r="3902" spans="1:35" x14ac:dyDescent="0.3">
      <c r="A3902">
        <v>3901</v>
      </c>
      <c r="B3902" t="s">
        <v>1305</v>
      </c>
      <c r="C3902">
        <v>70</v>
      </c>
      <c r="D3902" s="105">
        <v>45374.447745335645</v>
      </c>
      <c r="E3902" t="s">
        <v>312</v>
      </c>
      <c r="F3902" t="s">
        <v>1402</v>
      </c>
      <c r="G3902">
        <v>0</v>
      </c>
      <c r="H3902" t="s">
        <v>315</v>
      </c>
      <c r="I3902">
        <v>0</v>
      </c>
      <c r="J3902">
        <v>0</v>
      </c>
      <c r="K3902">
        <v>0</v>
      </c>
      <c r="L3902" t="s">
        <v>241</v>
      </c>
      <c r="M3902" t="s">
        <v>101</v>
      </c>
      <c r="N3902">
        <v>0</v>
      </c>
      <c r="O3902" t="s">
        <v>311</v>
      </c>
      <c r="P3902" t="s">
        <v>310</v>
      </c>
      <c r="Q3902" t="s">
        <v>310</v>
      </c>
      <c r="R3902" t="s">
        <v>310</v>
      </c>
      <c r="S3902">
        <v>9</v>
      </c>
      <c r="T3902" t="s">
        <v>310</v>
      </c>
      <c r="U3902">
        <v>9</v>
      </c>
      <c r="V3902">
        <v>9</v>
      </c>
      <c r="W3902">
        <v>0</v>
      </c>
      <c r="X3902">
        <v>0</v>
      </c>
      <c r="Y3902">
        <v>0</v>
      </c>
      <c r="Z3902">
        <v>0</v>
      </c>
      <c r="AA3902">
        <v>9</v>
      </c>
      <c r="AB3902">
        <v>9</v>
      </c>
      <c r="AC3902" t="s">
        <v>310</v>
      </c>
      <c r="AD3902">
        <v>9</v>
      </c>
      <c r="AE3902" t="s">
        <v>1412</v>
      </c>
      <c r="AF3902">
        <v>30000000</v>
      </c>
      <c r="AG3902" t="s">
        <v>310</v>
      </c>
      <c r="AH3902">
        <f>SUM((MID(Dyno_Data[[#This Row],[Team]],4,5))+(Dyno_Data[[#This Row],[Match]]/100))</f>
        <v>3173.7</v>
      </c>
      <c r="AI3902" s="76">
        <f>ROUND(SUM(IF(Dyno_Data[[#This Row],[AcqCenter]]&gt;0,Dyno_Data[[#This Row],[Time]]-SUMIFS(Dyno_Data[Time],Dyno_Data[Team],Dyno_Data[[#This Row],[Team]],Dyno_Data[RecordType],"StartMatch",Dyno_Data[Match],Dyno_Data[[#This Row],[Match]]),0)*86400),0)</f>
        <v>0</v>
      </c>
    </row>
    <row r="3903" spans="1:35" x14ac:dyDescent="0.3">
      <c r="A3903">
        <v>3902</v>
      </c>
      <c r="B3903" t="s">
        <v>1282</v>
      </c>
      <c r="C3903">
        <v>70</v>
      </c>
      <c r="D3903" s="105">
        <v>45374.447823576389</v>
      </c>
      <c r="E3903" t="s">
        <v>312</v>
      </c>
      <c r="F3903" t="s">
        <v>1402</v>
      </c>
      <c r="G3903">
        <v>0</v>
      </c>
      <c r="H3903" t="s">
        <v>315</v>
      </c>
      <c r="I3903">
        <v>0</v>
      </c>
      <c r="J3903">
        <v>0</v>
      </c>
      <c r="K3903">
        <v>0</v>
      </c>
      <c r="L3903" t="s">
        <v>241</v>
      </c>
      <c r="M3903" t="s">
        <v>101</v>
      </c>
      <c r="N3903">
        <v>0</v>
      </c>
      <c r="O3903" t="s">
        <v>1393</v>
      </c>
      <c r="P3903" t="s">
        <v>310</v>
      </c>
      <c r="Q3903" t="s">
        <v>310</v>
      </c>
      <c r="R3903" t="s">
        <v>310</v>
      </c>
      <c r="S3903">
        <v>9</v>
      </c>
      <c r="T3903" t="s">
        <v>310</v>
      </c>
      <c r="U3903">
        <v>9</v>
      </c>
      <c r="V3903">
        <v>9</v>
      </c>
      <c r="W3903">
        <v>0</v>
      </c>
      <c r="X3903">
        <v>0</v>
      </c>
      <c r="Y3903">
        <v>0</v>
      </c>
      <c r="Z3903">
        <v>0</v>
      </c>
      <c r="AA3903">
        <v>9</v>
      </c>
      <c r="AB3903">
        <v>9</v>
      </c>
      <c r="AC3903" t="s">
        <v>310</v>
      </c>
      <c r="AD3903">
        <v>9</v>
      </c>
      <c r="AE3903" t="s">
        <v>1413</v>
      </c>
      <c r="AF3903">
        <v>10000000</v>
      </c>
      <c r="AG3903" t="s">
        <v>310</v>
      </c>
      <c r="AH3903">
        <f>SUM((MID(Dyno_Data[[#This Row],[Team]],4,5))+(Dyno_Data[[#This Row],[Match]]/100))</f>
        <v>333.7</v>
      </c>
      <c r="AI3903" s="76">
        <f>ROUND(SUM(IF(Dyno_Data[[#This Row],[AcqCenter]]&gt;0,Dyno_Data[[#This Row],[Time]]-SUMIFS(Dyno_Data[Time],Dyno_Data[Team],Dyno_Data[[#This Row],[Team]],Dyno_Data[RecordType],"StartMatch",Dyno_Data[Match],Dyno_Data[[#This Row],[Match]]),0)*86400),0)</f>
        <v>0</v>
      </c>
    </row>
    <row r="3904" spans="1:35" x14ac:dyDescent="0.3">
      <c r="A3904">
        <v>3903</v>
      </c>
      <c r="B3904" t="s">
        <v>1305</v>
      </c>
      <c r="C3904">
        <v>70</v>
      </c>
      <c r="D3904" s="105">
        <v>45374.447848993055</v>
      </c>
      <c r="E3904" t="s">
        <v>312</v>
      </c>
      <c r="F3904" t="s">
        <v>1402</v>
      </c>
      <c r="G3904">
        <v>0</v>
      </c>
      <c r="H3904" t="s">
        <v>315</v>
      </c>
      <c r="I3904">
        <v>0</v>
      </c>
      <c r="J3904">
        <v>0</v>
      </c>
      <c r="K3904">
        <v>0</v>
      </c>
      <c r="L3904" t="s">
        <v>241</v>
      </c>
      <c r="M3904" t="s">
        <v>101</v>
      </c>
      <c r="N3904">
        <v>0</v>
      </c>
      <c r="O3904" t="s">
        <v>311</v>
      </c>
      <c r="P3904" t="s">
        <v>310</v>
      </c>
      <c r="Q3904" t="s">
        <v>310</v>
      </c>
      <c r="R3904" t="s">
        <v>310</v>
      </c>
      <c r="S3904">
        <v>9</v>
      </c>
      <c r="T3904" t="s">
        <v>310</v>
      </c>
      <c r="U3904">
        <v>9</v>
      </c>
      <c r="V3904">
        <v>9</v>
      </c>
      <c r="W3904">
        <v>0</v>
      </c>
      <c r="X3904">
        <v>0</v>
      </c>
      <c r="Y3904">
        <v>0</v>
      </c>
      <c r="Z3904">
        <v>0</v>
      </c>
      <c r="AA3904">
        <v>9</v>
      </c>
      <c r="AB3904">
        <v>9</v>
      </c>
      <c r="AC3904" t="s">
        <v>310</v>
      </c>
      <c r="AD3904">
        <v>9</v>
      </c>
      <c r="AE3904" t="s">
        <v>1412</v>
      </c>
      <c r="AF3904">
        <v>40000000</v>
      </c>
      <c r="AG3904" t="s">
        <v>310</v>
      </c>
      <c r="AH3904">
        <f>SUM((MID(Dyno_Data[[#This Row],[Team]],4,5))+(Dyno_Data[[#This Row],[Match]]/100))</f>
        <v>3173.7</v>
      </c>
      <c r="AI3904" s="76">
        <f>ROUND(SUM(IF(Dyno_Data[[#This Row],[AcqCenter]]&gt;0,Dyno_Data[[#This Row],[Time]]-SUMIFS(Dyno_Data[Time],Dyno_Data[Team],Dyno_Data[[#This Row],[Team]],Dyno_Data[RecordType],"StartMatch",Dyno_Data[Match],Dyno_Data[[#This Row],[Match]]),0)*86400),0)</f>
        <v>0</v>
      </c>
    </row>
    <row r="3905" spans="1:35" x14ac:dyDescent="0.3">
      <c r="A3905">
        <v>3904</v>
      </c>
      <c r="B3905" t="s">
        <v>1317</v>
      </c>
      <c r="C3905">
        <v>70</v>
      </c>
      <c r="D3905" s="105">
        <v>45374.447905706016</v>
      </c>
      <c r="E3905" t="s">
        <v>312</v>
      </c>
      <c r="F3905" t="s">
        <v>1402</v>
      </c>
      <c r="G3905">
        <v>0</v>
      </c>
      <c r="H3905" t="s">
        <v>315</v>
      </c>
      <c r="I3905">
        <v>0</v>
      </c>
      <c r="J3905">
        <v>0</v>
      </c>
      <c r="K3905">
        <v>0</v>
      </c>
      <c r="L3905" t="s">
        <v>240</v>
      </c>
      <c r="M3905" t="s">
        <v>1398</v>
      </c>
      <c r="N3905">
        <v>0</v>
      </c>
      <c r="O3905" t="s">
        <v>319</v>
      </c>
      <c r="P3905" t="s">
        <v>310</v>
      </c>
      <c r="Q3905" t="s">
        <v>310</v>
      </c>
      <c r="R3905" t="s">
        <v>310</v>
      </c>
      <c r="S3905">
        <v>9</v>
      </c>
      <c r="T3905" t="s">
        <v>310</v>
      </c>
      <c r="U3905">
        <v>9</v>
      </c>
      <c r="V3905">
        <v>9</v>
      </c>
      <c r="W3905">
        <v>0</v>
      </c>
      <c r="X3905">
        <v>0</v>
      </c>
      <c r="Y3905">
        <v>0</v>
      </c>
      <c r="Z3905">
        <v>0</v>
      </c>
      <c r="AA3905">
        <v>9</v>
      </c>
      <c r="AB3905">
        <v>9</v>
      </c>
      <c r="AC3905" t="s">
        <v>310</v>
      </c>
      <c r="AD3905">
        <v>9</v>
      </c>
      <c r="AE3905" t="s">
        <v>1388</v>
      </c>
      <c r="AF3905">
        <v>10000000</v>
      </c>
      <c r="AG3905" t="s">
        <v>310</v>
      </c>
      <c r="AH3905">
        <f>SUM((MID(Dyno_Data[[#This Row],[Team]],4,5))+(Dyno_Data[[#This Row],[Match]]/100))</f>
        <v>296.7</v>
      </c>
      <c r="AI3905" s="76">
        <f>ROUND(SUM(IF(Dyno_Data[[#This Row],[AcqCenter]]&gt;0,Dyno_Data[[#This Row],[Time]]-SUMIFS(Dyno_Data[Time],Dyno_Data[Team],Dyno_Data[[#This Row],[Team]],Dyno_Data[RecordType],"StartMatch",Dyno_Data[Match],Dyno_Data[[#This Row],[Match]]),0)*86400),0)</f>
        <v>0</v>
      </c>
    </row>
    <row r="3906" spans="1:35" x14ac:dyDescent="0.3">
      <c r="A3906">
        <v>3905</v>
      </c>
      <c r="B3906" t="s">
        <v>1282</v>
      </c>
      <c r="C3906">
        <v>70</v>
      </c>
      <c r="D3906" s="105">
        <v>45374.447945752312</v>
      </c>
      <c r="E3906" t="s">
        <v>312</v>
      </c>
      <c r="F3906" t="s">
        <v>1402</v>
      </c>
      <c r="G3906">
        <v>0</v>
      </c>
      <c r="H3906" t="s">
        <v>315</v>
      </c>
      <c r="I3906">
        <v>0</v>
      </c>
      <c r="J3906">
        <v>0</v>
      </c>
      <c r="K3906">
        <v>0</v>
      </c>
      <c r="L3906" t="s">
        <v>241</v>
      </c>
      <c r="M3906" t="s">
        <v>101</v>
      </c>
      <c r="N3906">
        <v>0</v>
      </c>
      <c r="O3906" t="s">
        <v>1393</v>
      </c>
      <c r="P3906" t="s">
        <v>310</v>
      </c>
      <c r="Q3906" t="s">
        <v>310</v>
      </c>
      <c r="R3906" t="s">
        <v>310</v>
      </c>
      <c r="S3906">
        <v>9</v>
      </c>
      <c r="T3906" t="s">
        <v>310</v>
      </c>
      <c r="U3906">
        <v>9</v>
      </c>
      <c r="V3906">
        <v>9</v>
      </c>
      <c r="W3906">
        <v>0</v>
      </c>
      <c r="X3906">
        <v>0</v>
      </c>
      <c r="Y3906">
        <v>0</v>
      </c>
      <c r="Z3906">
        <v>0</v>
      </c>
      <c r="AA3906">
        <v>9</v>
      </c>
      <c r="AB3906">
        <v>9</v>
      </c>
      <c r="AC3906" t="s">
        <v>310</v>
      </c>
      <c r="AD3906">
        <v>9</v>
      </c>
      <c r="AE3906" t="s">
        <v>1413</v>
      </c>
      <c r="AF3906">
        <v>20000000</v>
      </c>
      <c r="AG3906" t="s">
        <v>310</v>
      </c>
      <c r="AH3906">
        <f>SUM((MID(Dyno_Data[[#This Row],[Team]],4,5))+(Dyno_Data[[#This Row],[Match]]/100))</f>
        <v>333.7</v>
      </c>
      <c r="AI3906" s="76">
        <f>ROUND(SUM(IF(Dyno_Data[[#This Row],[AcqCenter]]&gt;0,Dyno_Data[[#This Row],[Time]]-SUMIFS(Dyno_Data[Time],Dyno_Data[Team],Dyno_Data[[#This Row],[Team]],Dyno_Data[RecordType],"StartMatch",Dyno_Data[Match],Dyno_Data[[#This Row],[Match]]),0)*86400),0)</f>
        <v>0</v>
      </c>
    </row>
    <row r="3907" spans="1:35" x14ac:dyDescent="0.3">
      <c r="A3907">
        <v>3906</v>
      </c>
      <c r="B3907" t="s">
        <v>1305</v>
      </c>
      <c r="C3907">
        <v>70</v>
      </c>
      <c r="D3907" s="105">
        <v>45374.447982986108</v>
      </c>
      <c r="E3907" t="s">
        <v>312</v>
      </c>
      <c r="F3907" t="s">
        <v>1402</v>
      </c>
      <c r="G3907">
        <v>0</v>
      </c>
      <c r="H3907" t="s">
        <v>315</v>
      </c>
      <c r="I3907">
        <v>0</v>
      </c>
      <c r="J3907">
        <v>0</v>
      </c>
      <c r="K3907">
        <v>0</v>
      </c>
      <c r="L3907" t="s">
        <v>241</v>
      </c>
      <c r="M3907" t="s">
        <v>101</v>
      </c>
      <c r="N3907">
        <v>0</v>
      </c>
      <c r="O3907" t="s">
        <v>311</v>
      </c>
      <c r="P3907" t="s">
        <v>310</v>
      </c>
      <c r="Q3907" t="s">
        <v>310</v>
      </c>
      <c r="R3907" t="s">
        <v>310</v>
      </c>
      <c r="S3907">
        <v>9</v>
      </c>
      <c r="T3907" t="s">
        <v>310</v>
      </c>
      <c r="U3907">
        <v>9</v>
      </c>
      <c r="V3907">
        <v>9</v>
      </c>
      <c r="W3907">
        <v>0</v>
      </c>
      <c r="X3907">
        <v>0</v>
      </c>
      <c r="Y3907">
        <v>0</v>
      </c>
      <c r="Z3907">
        <v>0</v>
      </c>
      <c r="AA3907">
        <v>9</v>
      </c>
      <c r="AB3907">
        <v>9</v>
      </c>
      <c r="AC3907" t="s">
        <v>310</v>
      </c>
      <c r="AD3907">
        <v>9</v>
      </c>
      <c r="AE3907" t="s">
        <v>1412</v>
      </c>
      <c r="AF3907">
        <v>50000000</v>
      </c>
      <c r="AG3907" t="s">
        <v>310</v>
      </c>
      <c r="AH3907">
        <f>SUM((MID(Dyno_Data[[#This Row],[Team]],4,5))+(Dyno_Data[[#This Row],[Match]]/100))</f>
        <v>3173.7</v>
      </c>
      <c r="AI3907" s="76">
        <f>ROUND(SUM(IF(Dyno_Data[[#This Row],[AcqCenter]]&gt;0,Dyno_Data[[#This Row],[Time]]-SUMIFS(Dyno_Data[Time],Dyno_Data[Team],Dyno_Data[[#This Row],[Team]],Dyno_Data[RecordType],"StartMatch",Dyno_Data[Match],Dyno_Data[[#This Row],[Match]]),0)*86400),0)</f>
        <v>0</v>
      </c>
    </row>
    <row r="3908" spans="1:35" x14ac:dyDescent="0.3">
      <c r="A3908">
        <v>3907</v>
      </c>
      <c r="B3908" t="s">
        <v>1305</v>
      </c>
      <c r="C3908">
        <v>70</v>
      </c>
      <c r="D3908" s="105">
        <v>45374.448050613428</v>
      </c>
      <c r="E3908" t="s">
        <v>312</v>
      </c>
      <c r="F3908" t="s">
        <v>1402</v>
      </c>
      <c r="G3908">
        <v>0</v>
      </c>
      <c r="H3908" t="s">
        <v>315</v>
      </c>
      <c r="I3908">
        <v>0</v>
      </c>
      <c r="J3908">
        <v>0</v>
      </c>
      <c r="K3908">
        <v>0</v>
      </c>
      <c r="L3908" t="s">
        <v>241</v>
      </c>
      <c r="M3908" t="s">
        <v>1398</v>
      </c>
      <c r="N3908">
        <v>0</v>
      </c>
      <c r="O3908" t="s">
        <v>311</v>
      </c>
      <c r="P3908" t="s">
        <v>310</v>
      </c>
      <c r="Q3908" t="s">
        <v>310</v>
      </c>
      <c r="R3908" t="s">
        <v>310</v>
      </c>
      <c r="S3908">
        <v>9</v>
      </c>
      <c r="T3908" t="s">
        <v>310</v>
      </c>
      <c r="U3908">
        <v>9</v>
      </c>
      <c r="V3908">
        <v>9</v>
      </c>
      <c r="W3908">
        <v>0</v>
      </c>
      <c r="X3908">
        <v>0</v>
      </c>
      <c r="Y3908">
        <v>0</v>
      </c>
      <c r="Z3908">
        <v>0</v>
      </c>
      <c r="AA3908">
        <v>9</v>
      </c>
      <c r="AB3908">
        <v>9</v>
      </c>
      <c r="AC3908" t="s">
        <v>310</v>
      </c>
      <c r="AD3908">
        <v>9</v>
      </c>
      <c r="AE3908" t="s">
        <v>1412</v>
      </c>
      <c r="AF3908">
        <v>60000000</v>
      </c>
      <c r="AG3908" t="s">
        <v>310</v>
      </c>
      <c r="AH3908">
        <f>SUM((MID(Dyno_Data[[#This Row],[Team]],4,5))+(Dyno_Data[[#This Row],[Match]]/100))</f>
        <v>3173.7</v>
      </c>
      <c r="AI3908" s="76">
        <f>ROUND(SUM(IF(Dyno_Data[[#This Row],[AcqCenter]]&gt;0,Dyno_Data[[#This Row],[Time]]-SUMIFS(Dyno_Data[Time],Dyno_Data[Team],Dyno_Data[[#This Row],[Team]],Dyno_Data[RecordType],"StartMatch",Dyno_Data[Match],Dyno_Data[[#This Row],[Match]]),0)*86400),0)</f>
        <v>0</v>
      </c>
    </row>
    <row r="3909" spans="1:35" x14ac:dyDescent="0.3">
      <c r="A3909">
        <v>3908</v>
      </c>
      <c r="B3909" t="s">
        <v>1317</v>
      </c>
      <c r="C3909">
        <v>70</v>
      </c>
      <c r="D3909" s="105">
        <v>45374.448077627312</v>
      </c>
      <c r="E3909" t="s">
        <v>312</v>
      </c>
      <c r="F3909" t="s">
        <v>1402</v>
      </c>
      <c r="G3909">
        <v>0</v>
      </c>
      <c r="H3909" t="s">
        <v>315</v>
      </c>
      <c r="I3909">
        <v>0</v>
      </c>
      <c r="J3909">
        <v>0</v>
      </c>
      <c r="K3909">
        <v>0</v>
      </c>
      <c r="L3909" t="s">
        <v>240</v>
      </c>
      <c r="M3909" t="s">
        <v>1398</v>
      </c>
      <c r="N3909">
        <v>0</v>
      </c>
      <c r="O3909" t="s">
        <v>319</v>
      </c>
      <c r="P3909" t="s">
        <v>310</v>
      </c>
      <c r="Q3909" t="s">
        <v>310</v>
      </c>
      <c r="R3909" t="s">
        <v>310</v>
      </c>
      <c r="S3909">
        <v>9</v>
      </c>
      <c r="T3909" t="s">
        <v>310</v>
      </c>
      <c r="U3909">
        <v>9</v>
      </c>
      <c r="V3909">
        <v>9</v>
      </c>
      <c r="W3909">
        <v>0</v>
      </c>
      <c r="X3909">
        <v>0</v>
      </c>
      <c r="Y3909">
        <v>0</v>
      </c>
      <c r="Z3909">
        <v>0</v>
      </c>
      <c r="AA3909">
        <v>9</v>
      </c>
      <c r="AB3909">
        <v>9</v>
      </c>
      <c r="AC3909" t="s">
        <v>310</v>
      </c>
      <c r="AD3909">
        <v>9</v>
      </c>
      <c r="AE3909" t="s">
        <v>1388</v>
      </c>
      <c r="AF3909">
        <v>20000000</v>
      </c>
      <c r="AG3909" t="s">
        <v>310</v>
      </c>
      <c r="AH3909">
        <f>SUM((MID(Dyno_Data[[#This Row],[Team]],4,5))+(Dyno_Data[[#This Row],[Match]]/100))</f>
        <v>296.7</v>
      </c>
      <c r="AI3909" s="76">
        <f>ROUND(SUM(IF(Dyno_Data[[#This Row],[AcqCenter]]&gt;0,Dyno_Data[[#This Row],[Time]]-SUMIFS(Dyno_Data[Time],Dyno_Data[Team],Dyno_Data[[#This Row],[Team]],Dyno_Data[RecordType],"StartMatch",Dyno_Data[Match],Dyno_Data[[#This Row],[Match]]),0)*86400),0)</f>
        <v>0</v>
      </c>
    </row>
    <row r="3910" spans="1:35" x14ac:dyDescent="0.3">
      <c r="A3910">
        <v>3909</v>
      </c>
      <c r="B3910" t="s">
        <v>1282</v>
      </c>
      <c r="C3910">
        <v>70</v>
      </c>
      <c r="D3910" s="105">
        <v>45374.448151539349</v>
      </c>
      <c r="E3910" t="s">
        <v>312</v>
      </c>
      <c r="F3910" t="s">
        <v>1402</v>
      </c>
      <c r="G3910">
        <v>0</v>
      </c>
      <c r="H3910" t="s">
        <v>315</v>
      </c>
      <c r="I3910">
        <v>0</v>
      </c>
      <c r="J3910">
        <v>0</v>
      </c>
      <c r="K3910">
        <v>0</v>
      </c>
      <c r="L3910" t="s">
        <v>241</v>
      </c>
      <c r="M3910" t="s">
        <v>101</v>
      </c>
      <c r="N3910">
        <v>0</v>
      </c>
      <c r="O3910" t="s">
        <v>1393</v>
      </c>
      <c r="P3910" t="s">
        <v>310</v>
      </c>
      <c r="Q3910" t="s">
        <v>310</v>
      </c>
      <c r="R3910" t="s">
        <v>310</v>
      </c>
      <c r="S3910">
        <v>9</v>
      </c>
      <c r="T3910" t="s">
        <v>310</v>
      </c>
      <c r="U3910">
        <v>9</v>
      </c>
      <c r="V3910">
        <v>9</v>
      </c>
      <c r="W3910">
        <v>0</v>
      </c>
      <c r="X3910">
        <v>0</v>
      </c>
      <c r="Y3910">
        <v>0</v>
      </c>
      <c r="Z3910">
        <v>0</v>
      </c>
      <c r="AA3910">
        <v>9</v>
      </c>
      <c r="AB3910">
        <v>9</v>
      </c>
      <c r="AC3910" t="s">
        <v>310</v>
      </c>
      <c r="AD3910">
        <v>9</v>
      </c>
      <c r="AE3910" t="s">
        <v>1413</v>
      </c>
      <c r="AF3910">
        <v>30000000</v>
      </c>
      <c r="AG3910" t="s">
        <v>310</v>
      </c>
      <c r="AH3910">
        <f>SUM((MID(Dyno_Data[[#This Row],[Team]],4,5))+(Dyno_Data[[#This Row],[Match]]/100))</f>
        <v>333.7</v>
      </c>
      <c r="AI3910" s="76">
        <f>ROUND(SUM(IF(Dyno_Data[[#This Row],[AcqCenter]]&gt;0,Dyno_Data[[#This Row],[Time]]-SUMIFS(Dyno_Data[Time],Dyno_Data[Team],Dyno_Data[[#This Row],[Team]],Dyno_Data[RecordType],"StartMatch",Dyno_Data[Match],Dyno_Data[[#This Row],[Match]]),0)*86400),0)</f>
        <v>0</v>
      </c>
    </row>
    <row r="3911" spans="1:35" x14ac:dyDescent="0.3">
      <c r="A3911">
        <v>3910</v>
      </c>
      <c r="B3911" t="s">
        <v>1305</v>
      </c>
      <c r="C3911">
        <v>70</v>
      </c>
      <c r="D3911" s="105">
        <v>45374.448183020831</v>
      </c>
      <c r="E3911" t="s">
        <v>312</v>
      </c>
      <c r="F3911" t="s">
        <v>1402</v>
      </c>
      <c r="G3911">
        <v>0</v>
      </c>
      <c r="H3911" t="s">
        <v>315</v>
      </c>
      <c r="I3911">
        <v>0</v>
      </c>
      <c r="J3911">
        <v>0</v>
      </c>
      <c r="K3911">
        <v>0</v>
      </c>
      <c r="L3911" t="s">
        <v>241</v>
      </c>
      <c r="M3911" t="s">
        <v>1398</v>
      </c>
      <c r="N3911">
        <v>0</v>
      </c>
      <c r="O3911" t="s">
        <v>311</v>
      </c>
      <c r="P3911" t="s">
        <v>310</v>
      </c>
      <c r="Q3911" t="s">
        <v>310</v>
      </c>
      <c r="R3911" t="s">
        <v>310</v>
      </c>
      <c r="S3911">
        <v>9</v>
      </c>
      <c r="T3911" t="s">
        <v>310</v>
      </c>
      <c r="U3911">
        <v>9</v>
      </c>
      <c r="V3911">
        <v>9</v>
      </c>
      <c r="W3911">
        <v>0</v>
      </c>
      <c r="X3911">
        <v>0</v>
      </c>
      <c r="Y3911">
        <v>0</v>
      </c>
      <c r="Z3911">
        <v>0</v>
      </c>
      <c r="AA3911">
        <v>9</v>
      </c>
      <c r="AB3911">
        <v>9</v>
      </c>
      <c r="AC3911" t="s">
        <v>310</v>
      </c>
      <c r="AD3911">
        <v>9</v>
      </c>
      <c r="AE3911" t="s">
        <v>1412</v>
      </c>
      <c r="AF3911">
        <v>70000000</v>
      </c>
      <c r="AG3911" t="s">
        <v>310</v>
      </c>
      <c r="AH3911">
        <f>SUM((MID(Dyno_Data[[#This Row],[Team]],4,5))+(Dyno_Data[[#This Row],[Match]]/100))</f>
        <v>3173.7</v>
      </c>
      <c r="AI3911" s="76">
        <f>ROUND(SUM(IF(Dyno_Data[[#This Row],[AcqCenter]]&gt;0,Dyno_Data[[#This Row],[Time]]-SUMIFS(Dyno_Data[Time],Dyno_Data[Team],Dyno_Data[[#This Row],[Team]],Dyno_Data[RecordType],"StartMatch",Dyno_Data[Match],Dyno_Data[[#This Row],[Match]]),0)*86400),0)</f>
        <v>0</v>
      </c>
    </row>
    <row r="3912" spans="1:35" x14ac:dyDescent="0.3">
      <c r="A3912">
        <v>3911</v>
      </c>
      <c r="B3912" t="s">
        <v>371</v>
      </c>
      <c r="C3912">
        <v>70</v>
      </c>
      <c r="D3912" s="105">
        <v>45374.448209374998</v>
      </c>
      <c r="E3912" t="s">
        <v>1403</v>
      </c>
      <c r="F3912" t="s">
        <v>1402</v>
      </c>
      <c r="G3912">
        <v>0</v>
      </c>
      <c r="H3912" t="s">
        <v>310</v>
      </c>
      <c r="I3912">
        <v>0</v>
      </c>
      <c r="J3912">
        <v>0</v>
      </c>
      <c r="K3912">
        <v>0</v>
      </c>
      <c r="L3912" t="s">
        <v>310</v>
      </c>
      <c r="M3912" t="s">
        <v>310</v>
      </c>
      <c r="N3912">
        <v>0</v>
      </c>
      <c r="O3912" t="s">
        <v>1389</v>
      </c>
      <c r="P3912" t="s">
        <v>310</v>
      </c>
      <c r="Q3912" t="s">
        <v>310</v>
      </c>
      <c r="R3912" t="s">
        <v>310</v>
      </c>
      <c r="S3912">
        <v>9</v>
      </c>
      <c r="T3912" t="s">
        <v>310</v>
      </c>
      <c r="U3912">
        <v>9</v>
      </c>
      <c r="V3912">
        <v>9</v>
      </c>
      <c r="W3912">
        <v>0</v>
      </c>
      <c r="X3912">
        <v>0</v>
      </c>
      <c r="Y3912">
        <v>0</v>
      </c>
      <c r="Z3912">
        <v>0</v>
      </c>
      <c r="AA3912">
        <v>9</v>
      </c>
      <c r="AB3912">
        <v>9</v>
      </c>
      <c r="AC3912" t="s">
        <v>310</v>
      </c>
      <c r="AD3912">
        <v>9</v>
      </c>
      <c r="AE3912" t="s">
        <v>1396</v>
      </c>
      <c r="AF3912">
        <v>70000000</v>
      </c>
      <c r="AG3912" t="s">
        <v>249</v>
      </c>
      <c r="AH3912">
        <f>SUM((MID(Dyno_Data[[#This Row],[Team]],4,5))+(Dyno_Data[[#This Row],[Match]]/100))</f>
        <v>6969.7</v>
      </c>
      <c r="AI3912" s="76">
        <f>ROUND(SUM(IF(Dyno_Data[[#This Row],[AcqCenter]]&gt;0,Dyno_Data[[#This Row],[Time]]-SUMIFS(Dyno_Data[Time],Dyno_Data[Team],Dyno_Data[[#This Row],[Team]],Dyno_Data[RecordType],"StartMatch",Dyno_Data[Match],Dyno_Data[[#This Row],[Match]]),0)*86400),0)</f>
        <v>0</v>
      </c>
    </row>
    <row r="3913" spans="1:35" x14ac:dyDescent="0.3">
      <c r="A3913">
        <v>3912</v>
      </c>
      <c r="B3913" t="s">
        <v>1317</v>
      </c>
      <c r="C3913">
        <v>70</v>
      </c>
      <c r="D3913" s="105">
        <v>45374.448296493058</v>
      </c>
      <c r="E3913" t="s">
        <v>312</v>
      </c>
      <c r="F3913" t="s">
        <v>1402</v>
      </c>
      <c r="G3913">
        <v>0</v>
      </c>
      <c r="H3913" t="s">
        <v>315</v>
      </c>
      <c r="I3913">
        <v>0</v>
      </c>
      <c r="J3913">
        <v>0</v>
      </c>
      <c r="K3913">
        <v>0</v>
      </c>
      <c r="L3913" t="s">
        <v>240</v>
      </c>
      <c r="M3913" t="s">
        <v>1398</v>
      </c>
      <c r="N3913">
        <v>0</v>
      </c>
      <c r="O3913" t="s">
        <v>319</v>
      </c>
      <c r="P3913" t="s">
        <v>310</v>
      </c>
      <c r="Q3913" t="s">
        <v>310</v>
      </c>
      <c r="R3913" t="s">
        <v>310</v>
      </c>
      <c r="S3913">
        <v>9</v>
      </c>
      <c r="T3913" t="s">
        <v>310</v>
      </c>
      <c r="U3913">
        <v>9</v>
      </c>
      <c r="V3913">
        <v>9</v>
      </c>
      <c r="W3913">
        <v>0</v>
      </c>
      <c r="X3913">
        <v>0</v>
      </c>
      <c r="Y3913">
        <v>0</v>
      </c>
      <c r="Z3913">
        <v>0</v>
      </c>
      <c r="AA3913">
        <v>9</v>
      </c>
      <c r="AB3913">
        <v>9</v>
      </c>
      <c r="AC3913" t="s">
        <v>310</v>
      </c>
      <c r="AD3913">
        <v>9</v>
      </c>
      <c r="AE3913" t="s">
        <v>1388</v>
      </c>
      <c r="AF3913">
        <v>30000000</v>
      </c>
      <c r="AG3913" t="s">
        <v>310</v>
      </c>
      <c r="AH3913">
        <f>SUM((MID(Dyno_Data[[#This Row],[Team]],4,5))+(Dyno_Data[[#This Row],[Match]]/100))</f>
        <v>296.7</v>
      </c>
      <c r="AI3913" s="76">
        <f>ROUND(SUM(IF(Dyno_Data[[#This Row],[AcqCenter]]&gt;0,Dyno_Data[[#This Row],[Time]]-SUMIFS(Dyno_Data[Time],Dyno_Data[Team],Dyno_Data[[#This Row],[Team]],Dyno_Data[RecordType],"StartMatch",Dyno_Data[Match],Dyno_Data[[#This Row],[Match]]),0)*86400),0)</f>
        <v>0</v>
      </c>
    </row>
    <row r="3914" spans="1:35" x14ac:dyDescent="0.3">
      <c r="A3914">
        <v>3913</v>
      </c>
      <c r="B3914" t="s">
        <v>1305</v>
      </c>
      <c r="C3914">
        <v>70</v>
      </c>
      <c r="D3914" s="105">
        <v>45374.448367673613</v>
      </c>
      <c r="E3914" t="s">
        <v>312</v>
      </c>
      <c r="F3914" t="s">
        <v>1402</v>
      </c>
      <c r="G3914">
        <v>0</v>
      </c>
      <c r="H3914" t="s">
        <v>315</v>
      </c>
      <c r="I3914">
        <v>0</v>
      </c>
      <c r="J3914">
        <v>0</v>
      </c>
      <c r="K3914">
        <v>0</v>
      </c>
      <c r="L3914" t="s">
        <v>241</v>
      </c>
      <c r="M3914" t="s">
        <v>101</v>
      </c>
      <c r="N3914">
        <v>0</v>
      </c>
      <c r="O3914" t="s">
        <v>311</v>
      </c>
      <c r="P3914" t="s">
        <v>310</v>
      </c>
      <c r="Q3914" t="s">
        <v>310</v>
      </c>
      <c r="R3914" t="s">
        <v>310</v>
      </c>
      <c r="S3914">
        <v>9</v>
      </c>
      <c r="T3914" t="s">
        <v>310</v>
      </c>
      <c r="U3914">
        <v>9</v>
      </c>
      <c r="V3914">
        <v>9</v>
      </c>
      <c r="W3914">
        <v>0</v>
      </c>
      <c r="X3914">
        <v>0</v>
      </c>
      <c r="Y3914">
        <v>0</v>
      </c>
      <c r="Z3914">
        <v>0</v>
      </c>
      <c r="AA3914">
        <v>9</v>
      </c>
      <c r="AB3914">
        <v>9</v>
      </c>
      <c r="AC3914" t="s">
        <v>310</v>
      </c>
      <c r="AD3914">
        <v>9</v>
      </c>
      <c r="AE3914" t="s">
        <v>1412</v>
      </c>
      <c r="AF3914">
        <v>80000000</v>
      </c>
      <c r="AG3914" t="s">
        <v>310</v>
      </c>
      <c r="AH3914">
        <f>SUM((MID(Dyno_Data[[#This Row],[Team]],4,5))+(Dyno_Data[[#This Row],[Match]]/100))</f>
        <v>3173.7</v>
      </c>
      <c r="AI3914" s="76">
        <f>ROUND(SUM(IF(Dyno_Data[[#This Row],[AcqCenter]]&gt;0,Dyno_Data[[#This Row],[Time]]-SUMIFS(Dyno_Data[Time],Dyno_Data[Team],Dyno_Data[[#This Row],[Team]],Dyno_Data[RecordType],"StartMatch",Dyno_Data[Match],Dyno_Data[[#This Row],[Match]]),0)*86400),0)</f>
        <v>0</v>
      </c>
    </row>
    <row r="3915" spans="1:35" x14ac:dyDescent="0.3">
      <c r="A3915">
        <v>3914</v>
      </c>
      <c r="B3915" t="s">
        <v>1282</v>
      </c>
      <c r="C3915">
        <v>70</v>
      </c>
      <c r="D3915" s="105">
        <v>45374.44837056713</v>
      </c>
      <c r="E3915" t="s">
        <v>312</v>
      </c>
      <c r="F3915" t="s">
        <v>1402</v>
      </c>
      <c r="G3915">
        <v>0</v>
      </c>
      <c r="H3915" t="s">
        <v>315</v>
      </c>
      <c r="I3915">
        <v>0</v>
      </c>
      <c r="J3915">
        <v>0</v>
      </c>
      <c r="K3915">
        <v>0</v>
      </c>
      <c r="L3915" t="s">
        <v>241</v>
      </c>
      <c r="M3915" t="s">
        <v>1398</v>
      </c>
      <c r="N3915">
        <v>0</v>
      </c>
      <c r="O3915" t="s">
        <v>1393</v>
      </c>
      <c r="P3915" t="s">
        <v>310</v>
      </c>
      <c r="Q3915" t="s">
        <v>310</v>
      </c>
      <c r="R3915" t="s">
        <v>310</v>
      </c>
      <c r="S3915">
        <v>9</v>
      </c>
      <c r="T3915" t="s">
        <v>310</v>
      </c>
      <c r="U3915">
        <v>9</v>
      </c>
      <c r="V3915">
        <v>9</v>
      </c>
      <c r="W3915">
        <v>0</v>
      </c>
      <c r="X3915">
        <v>0</v>
      </c>
      <c r="Y3915">
        <v>0</v>
      </c>
      <c r="Z3915">
        <v>0</v>
      </c>
      <c r="AA3915">
        <v>9</v>
      </c>
      <c r="AB3915">
        <v>9</v>
      </c>
      <c r="AC3915" t="s">
        <v>310</v>
      </c>
      <c r="AD3915">
        <v>9</v>
      </c>
      <c r="AE3915" t="s">
        <v>1413</v>
      </c>
      <c r="AF3915">
        <v>40000000</v>
      </c>
      <c r="AG3915" t="s">
        <v>310</v>
      </c>
      <c r="AH3915">
        <f>SUM((MID(Dyno_Data[[#This Row],[Team]],4,5))+(Dyno_Data[[#This Row],[Match]]/100))</f>
        <v>333.7</v>
      </c>
      <c r="AI3915" s="76">
        <f>ROUND(SUM(IF(Dyno_Data[[#This Row],[AcqCenter]]&gt;0,Dyno_Data[[#This Row],[Time]]-SUMIFS(Dyno_Data[Time],Dyno_Data[Team],Dyno_Data[[#This Row],[Team]],Dyno_Data[RecordType],"StartMatch",Dyno_Data[Match],Dyno_Data[[#This Row],[Match]]),0)*86400),0)</f>
        <v>0</v>
      </c>
    </row>
    <row r="3916" spans="1:35" x14ac:dyDescent="0.3">
      <c r="A3916">
        <v>3915</v>
      </c>
      <c r="B3916" t="s">
        <v>1317</v>
      </c>
      <c r="C3916">
        <v>70</v>
      </c>
      <c r="D3916" s="105">
        <v>45374.448425844908</v>
      </c>
      <c r="E3916" t="s">
        <v>312</v>
      </c>
      <c r="F3916" t="s">
        <v>1402</v>
      </c>
      <c r="G3916">
        <v>0</v>
      </c>
      <c r="H3916" t="s">
        <v>315</v>
      </c>
      <c r="I3916">
        <v>0</v>
      </c>
      <c r="J3916">
        <v>0</v>
      </c>
      <c r="K3916">
        <v>0</v>
      </c>
      <c r="L3916" t="s">
        <v>240</v>
      </c>
      <c r="M3916" t="s">
        <v>1398</v>
      </c>
      <c r="N3916">
        <v>0</v>
      </c>
      <c r="O3916" t="s">
        <v>319</v>
      </c>
      <c r="P3916" t="s">
        <v>310</v>
      </c>
      <c r="Q3916" t="s">
        <v>310</v>
      </c>
      <c r="R3916" t="s">
        <v>310</v>
      </c>
      <c r="S3916">
        <v>9</v>
      </c>
      <c r="T3916" t="s">
        <v>310</v>
      </c>
      <c r="U3916">
        <v>9</v>
      </c>
      <c r="V3916">
        <v>9</v>
      </c>
      <c r="W3916">
        <v>0</v>
      </c>
      <c r="X3916">
        <v>0</v>
      </c>
      <c r="Y3916">
        <v>0</v>
      </c>
      <c r="Z3916">
        <v>0</v>
      </c>
      <c r="AA3916">
        <v>9</v>
      </c>
      <c r="AB3916">
        <v>9</v>
      </c>
      <c r="AC3916" t="s">
        <v>310</v>
      </c>
      <c r="AD3916">
        <v>9</v>
      </c>
      <c r="AE3916" t="s">
        <v>1388</v>
      </c>
      <c r="AF3916">
        <v>40000000</v>
      </c>
      <c r="AG3916" t="s">
        <v>310</v>
      </c>
      <c r="AH3916">
        <f>SUM((MID(Dyno_Data[[#This Row],[Team]],4,5))+(Dyno_Data[[#This Row],[Match]]/100))</f>
        <v>296.7</v>
      </c>
      <c r="AI3916" s="76">
        <f>ROUND(SUM(IF(Dyno_Data[[#This Row],[AcqCenter]]&gt;0,Dyno_Data[[#This Row],[Time]]-SUMIFS(Dyno_Data[Time],Dyno_Data[Team],Dyno_Data[[#This Row],[Team]],Dyno_Data[RecordType],"StartMatch",Dyno_Data[Match],Dyno_Data[[#This Row],[Match]]),0)*86400),0)</f>
        <v>0</v>
      </c>
    </row>
    <row r="3917" spans="1:35" x14ac:dyDescent="0.3">
      <c r="A3917">
        <v>3916</v>
      </c>
      <c r="B3917" t="s">
        <v>1305</v>
      </c>
      <c r="C3917">
        <v>70</v>
      </c>
      <c r="D3917" s="105">
        <v>45374.448521261576</v>
      </c>
      <c r="E3917" t="s">
        <v>312</v>
      </c>
      <c r="F3917" t="s">
        <v>1402</v>
      </c>
      <c r="G3917">
        <v>0</v>
      </c>
      <c r="H3917" t="s">
        <v>315</v>
      </c>
      <c r="I3917">
        <v>0</v>
      </c>
      <c r="J3917">
        <v>0</v>
      </c>
      <c r="K3917">
        <v>0</v>
      </c>
      <c r="L3917" t="s">
        <v>241</v>
      </c>
      <c r="M3917" t="s">
        <v>101</v>
      </c>
      <c r="N3917">
        <v>0</v>
      </c>
      <c r="O3917" t="s">
        <v>311</v>
      </c>
      <c r="P3917" t="s">
        <v>310</v>
      </c>
      <c r="Q3917" t="s">
        <v>310</v>
      </c>
      <c r="R3917" t="s">
        <v>310</v>
      </c>
      <c r="S3917">
        <v>9</v>
      </c>
      <c r="T3917" t="s">
        <v>310</v>
      </c>
      <c r="U3917">
        <v>9</v>
      </c>
      <c r="V3917">
        <v>9</v>
      </c>
      <c r="W3917">
        <v>0</v>
      </c>
      <c r="X3917">
        <v>0</v>
      </c>
      <c r="Y3917">
        <v>0</v>
      </c>
      <c r="Z3917">
        <v>0</v>
      </c>
      <c r="AA3917">
        <v>9</v>
      </c>
      <c r="AB3917">
        <v>9</v>
      </c>
      <c r="AC3917" t="s">
        <v>310</v>
      </c>
      <c r="AD3917">
        <v>9</v>
      </c>
      <c r="AE3917" t="s">
        <v>1412</v>
      </c>
      <c r="AF3917">
        <v>90000000</v>
      </c>
      <c r="AG3917" t="s">
        <v>310</v>
      </c>
      <c r="AH3917">
        <f>SUM((MID(Dyno_Data[[#This Row],[Team]],4,5))+(Dyno_Data[[#This Row],[Match]]/100))</f>
        <v>3173.7</v>
      </c>
      <c r="AI3917" s="76">
        <f>ROUND(SUM(IF(Dyno_Data[[#This Row],[AcqCenter]]&gt;0,Dyno_Data[[#This Row],[Time]]-SUMIFS(Dyno_Data[Time],Dyno_Data[Team],Dyno_Data[[#This Row],[Team]],Dyno_Data[RecordType],"StartMatch",Dyno_Data[Match],Dyno_Data[[#This Row],[Match]]),0)*86400),0)</f>
        <v>0</v>
      </c>
    </row>
    <row r="3918" spans="1:35" x14ac:dyDescent="0.3">
      <c r="A3918">
        <v>3917</v>
      </c>
      <c r="B3918" t="s">
        <v>1282</v>
      </c>
      <c r="C3918">
        <v>70</v>
      </c>
      <c r="D3918" s="105">
        <v>45374.44857025463</v>
      </c>
      <c r="E3918" t="s">
        <v>312</v>
      </c>
      <c r="F3918" t="s">
        <v>1402</v>
      </c>
      <c r="G3918">
        <v>0</v>
      </c>
      <c r="H3918" t="s">
        <v>315</v>
      </c>
      <c r="I3918">
        <v>0</v>
      </c>
      <c r="J3918">
        <v>0</v>
      </c>
      <c r="K3918">
        <v>0</v>
      </c>
      <c r="L3918" t="s">
        <v>313</v>
      </c>
      <c r="M3918" t="s">
        <v>1398</v>
      </c>
      <c r="N3918">
        <v>0</v>
      </c>
      <c r="O3918" t="s">
        <v>1393</v>
      </c>
      <c r="P3918" t="s">
        <v>310</v>
      </c>
      <c r="Q3918" t="s">
        <v>310</v>
      </c>
      <c r="R3918" t="s">
        <v>310</v>
      </c>
      <c r="S3918">
        <v>9</v>
      </c>
      <c r="T3918" t="s">
        <v>310</v>
      </c>
      <c r="U3918">
        <v>9</v>
      </c>
      <c r="V3918">
        <v>9</v>
      </c>
      <c r="W3918">
        <v>0</v>
      </c>
      <c r="X3918">
        <v>0</v>
      </c>
      <c r="Y3918">
        <v>0</v>
      </c>
      <c r="Z3918">
        <v>0</v>
      </c>
      <c r="AA3918">
        <v>9</v>
      </c>
      <c r="AB3918">
        <v>9</v>
      </c>
      <c r="AC3918" t="s">
        <v>310</v>
      </c>
      <c r="AD3918">
        <v>9</v>
      </c>
      <c r="AE3918" t="s">
        <v>1413</v>
      </c>
      <c r="AF3918">
        <v>50000000</v>
      </c>
      <c r="AG3918" t="s">
        <v>310</v>
      </c>
      <c r="AH3918">
        <f>SUM((MID(Dyno_Data[[#This Row],[Team]],4,5))+(Dyno_Data[[#This Row],[Match]]/100))</f>
        <v>333.7</v>
      </c>
      <c r="AI3918" s="76">
        <f>ROUND(SUM(IF(Dyno_Data[[#This Row],[AcqCenter]]&gt;0,Dyno_Data[[#This Row],[Time]]-SUMIFS(Dyno_Data[Time],Dyno_Data[Team],Dyno_Data[[#This Row],[Team]],Dyno_Data[RecordType],"StartMatch",Dyno_Data[Match],Dyno_Data[[#This Row],[Match]]),0)*86400),0)</f>
        <v>0</v>
      </c>
    </row>
    <row r="3919" spans="1:35" x14ac:dyDescent="0.3">
      <c r="A3919">
        <v>3918</v>
      </c>
      <c r="B3919" t="s">
        <v>1305</v>
      </c>
      <c r="C3919">
        <v>70</v>
      </c>
      <c r="D3919" s="105">
        <v>45374.44869085648</v>
      </c>
      <c r="E3919" t="s">
        <v>312</v>
      </c>
      <c r="F3919" t="s">
        <v>1402</v>
      </c>
      <c r="G3919">
        <v>0</v>
      </c>
      <c r="H3919" t="s">
        <v>315</v>
      </c>
      <c r="I3919">
        <v>0</v>
      </c>
      <c r="J3919">
        <v>0</v>
      </c>
      <c r="K3919">
        <v>0</v>
      </c>
      <c r="L3919" t="s">
        <v>241</v>
      </c>
      <c r="M3919" t="s">
        <v>1398</v>
      </c>
      <c r="N3919">
        <v>0</v>
      </c>
      <c r="O3919" t="s">
        <v>311</v>
      </c>
      <c r="P3919" t="s">
        <v>310</v>
      </c>
      <c r="Q3919" t="s">
        <v>310</v>
      </c>
      <c r="R3919" t="s">
        <v>310</v>
      </c>
      <c r="S3919">
        <v>9</v>
      </c>
      <c r="T3919" t="s">
        <v>310</v>
      </c>
      <c r="U3919">
        <v>9</v>
      </c>
      <c r="V3919">
        <v>9</v>
      </c>
      <c r="W3919">
        <v>0</v>
      </c>
      <c r="X3919">
        <v>0</v>
      </c>
      <c r="Y3919">
        <v>0</v>
      </c>
      <c r="Z3919">
        <v>0</v>
      </c>
      <c r="AA3919">
        <v>9</v>
      </c>
      <c r="AB3919">
        <v>9</v>
      </c>
      <c r="AC3919" t="s">
        <v>310</v>
      </c>
      <c r="AD3919">
        <v>9</v>
      </c>
      <c r="AE3919" t="s">
        <v>1412</v>
      </c>
      <c r="AF3919">
        <v>100000000</v>
      </c>
      <c r="AG3919" t="s">
        <v>310</v>
      </c>
      <c r="AH3919">
        <f>SUM((MID(Dyno_Data[[#This Row],[Team]],4,5))+(Dyno_Data[[#This Row],[Match]]/100))</f>
        <v>3173.7</v>
      </c>
      <c r="AI3919" s="76">
        <f>ROUND(SUM(IF(Dyno_Data[[#This Row],[AcqCenter]]&gt;0,Dyno_Data[[#This Row],[Time]]-SUMIFS(Dyno_Data[Time],Dyno_Data[Team],Dyno_Data[[#This Row],[Team]],Dyno_Data[RecordType],"StartMatch",Dyno_Data[Match],Dyno_Data[[#This Row],[Match]]),0)*86400),0)</f>
        <v>0</v>
      </c>
    </row>
    <row r="3920" spans="1:35" x14ac:dyDescent="0.3">
      <c r="A3920">
        <v>3919</v>
      </c>
      <c r="B3920" t="s">
        <v>1292</v>
      </c>
      <c r="C3920">
        <v>70</v>
      </c>
      <c r="D3920" s="105">
        <v>45374.448736307873</v>
      </c>
      <c r="E3920" t="s">
        <v>312</v>
      </c>
      <c r="F3920" t="s">
        <v>1402</v>
      </c>
      <c r="G3920">
        <v>0</v>
      </c>
      <c r="H3920" t="s">
        <v>1397</v>
      </c>
      <c r="I3920">
        <v>0</v>
      </c>
      <c r="J3920">
        <v>0</v>
      </c>
      <c r="K3920">
        <v>0</v>
      </c>
      <c r="L3920" t="s">
        <v>240</v>
      </c>
      <c r="M3920" t="s">
        <v>1398</v>
      </c>
      <c r="N3920">
        <v>1</v>
      </c>
      <c r="O3920" t="s">
        <v>1395</v>
      </c>
      <c r="P3920" t="s">
        <v>310</v>
      </c>
      <c r="Q3920" t="s">
        <v>310</v>
      </c>
      <c r="R3920" t="s">
        <v>310</v>
      </c>
      <c r="S3920">
        <v>9</v>
      </c>
      <c r="T3920" t="s">
        <v>310</v>
      </c>
      <c r="U3920">
        <v>9</v>
      </c>
      <c r="V3920">
        <v>9</v>
      </c>
      <c r="W3920">
        <v>0</v>
      </c>
      <c r="X3920">
        <v>0</v>
      </c>
      <c r="Y3920">
        <v>0</v>
      </c>
      <c r="Z3920">
        <v>0</v>
      </c>
      <c r="AA3920">
        <v>9</v>
      </c>
      <c r="AB3920">
        <v>9</v>
      </c>
      <c r="AC3920" t="s">
        <v>310</v>
      </c>
      <c r="AD3920">
        <v>9</v>
      </c>
      <c r="AE3920" t="s">
        <v>1414</v>
      </c>
      <c r="AF3920">
        <v>0</v>
      </c>
      <c r="AG3920" t="s">
        <v>310</v>
      </c>
      <c r="AH3920">
        <f>SUM((MID(Dyno_Data[[#This Row],[Team]],4,5))+(Dyno_Data[[#This Row],[Match]]/100))</f>
        <v>7030.7</v>
      </c>
      <c r="AI3920" s="76">
        <f>ROUND(SUM(IF(Dyno_Data[[#This Row],[AcqCenter]]&gt;0,Dyno_Data[[#This Row],[Time]]-SUMIFS(Dyno_Data[Time],Dyno_Data[Team],Dyno_Data[[#This Row],[Team]],Dyno_Data[RecordType],"StartMatch",Dyno_Data[Match],Dyno_Data[[#This Row],[Match]]),0)*86400),0)</f>
        <v>0</v>
      </c>
    </row>
    <row r="3921" spans="1:35" x14ac:dyDescent="0.3">
      <c r="A3921">
        <v>3920</v>
      </c>
      <c r="B3921" t="s">
        <v>1305</v>
      </c>
      <c r="C3921">
        <v>70</v>
      </c>
      <c r="D3921" s="105">
        <v>45374.448784456021</v>
      </c>
      <c r="E3921" t="s">
        <v>312</v>
      </c>
      <c r="F3921" t="s">
        <v>1402</v>
      </c>
      <c r="G3921">
        <v>0</v>
      </c>
      <c r="H3921" t="s">
        <v>315</v>
      </c>
      <c r="I3921">
        <v>0</v>
      </c>
      <c r="J3921">
        <v>0</v>
      </c>
      <c r="K3921">
        <v>0</v>
      </c>
      <c r="L3921" t="s">
        <v>241</v>
      </c>
      <c r="M3921" t="s">
        <v>1398</v>
      </c>
      <c r="N3921">
        <v>0</v>
      </c>
      <c r="O3921" t="s">
        <v>311</v>
      </c>
      <c r="P3921" t="s">
        <v>310</v>
      </c>
      <c r="Q3921" t="s">
        <v>310</v>
      </c>
      <c r="R3921" t="s">
        <v>310</v>
      </c>
      <c r="S3921">
        <v>9</v>
      </c>
      <c r="T3921" t="s">
        <v>310</v>
      </c>
      <c r="U3921">
        <v>9</v>
      </c>
      <c r="V3921">
        <v>9</v>
      </c>
      <c r="W3921">
        <v>0</v>
      </c>
      <c r="X3921">
        <v>0</v>
      </c>
      <c r="Y3921">
        <v>0</v>
      </c>
      <c r="Z3921">
        <v>0</v>
      </c>
      <c r="AA3921">
        <v>9</v>
      </c>
      <c r="AB3921">
        <v>9</v>
      </c>
      <c r="AC3921" t="s">
        <v>310</v>
      </c>
      <c r="AD3921">
        <v>9</v>
      </c>
      <c r="AE3921" t="s">
        <v>1412</v>
      </c>
      <c r="AF3921">
        <v>110000000</v>
      </c>
      <c r="AG3921" t="s">
        <v>310</v>
      </c>
      <c r="AH3921">
        <f>SUM((MID(Dyno_Data[[#This Row],[Team]],4,5))+(Dyno_Data[[#This Row],[Match]]/100))</f>
        <v>3173.7</v>
      </c>
      <c r="AI3921" s="76">
        <f>ROUND(SUM(IF(Dyno_Data[[#This Row],[AcqCenter]]&gt;0,Dyno_Data[[#This Row],[Time]]-SUMIFS(Dyno_Data[Time],Dyno_Data[Team],Dyno_Data[[#This Row],[Team]],Dyno_Data[RecordType],"StartMatch",Dyno_Data[Match],Dyno_Data[[#This Row],[Match]]),0)*86400),0)</f>
        <v>0</v>
      </c>
    </row>
    <row r="3922" spans="1:35" x14ac:dyDescent="0.3">
      <c r="A3922">
        <v>3921</v>
      </c>
      <c r="B3922" t="s">
        <v>1282</v>
      </c>
      <c r="C3922">
        <v>70</v>
      </c>
      <c r="D3922" s="105">
        <v>45374.448880127318</v>
      </c>
      <c r="E3922" t="s">
        <v>312</v>
      </c>
      <c r="F3922" t="s">
        <v>1402</v>
      </c>
      <c r="G3922">
        <v>0</v>
      </c>
      <c r="H3922" t="s">
        <v>315</v>
      </c>
      <c r="I3922">
        <v>0</v>
      </c>
      <c r="J3922">
        <v>0</v>
      </c>
      <c r="K3922">
        <v>0</v>
      </c>
      <c r="L3922" t="s">
        <v>241</v>
      </c>
      <c r="M3922" t="s">
        <v>1398</v>
      </c>
      <c r="N3922">
        <v>1</v>
      </c>
      <c r="O3922" t="s">
        <v>1393</v>
      </c>
      <c r="P3922" t="s">
        <v>310</v>
      </c>
      <c r="Q3922" t="s">
        <v>310</v>
      </c>
      <c r="R3922" t="s">
        <v>310</v>
      </c>
      <c r="S3922">
        <v>9</v>
      </c>
      <c r="T3922" t="s">
        <v>310</v>
      </c>
      <c r="U3922">
        <v>9</v>
      </c>
      <c r="V3922">
        <v>9</v>
      </c>
      <c r="W3922">
        <v>0</v>
      </c>
      <c r="X3922">
        <v>0</v>
      </c>
      <c r="Y3922">
        <v>0</v>
      </c>
      <c r="Z3922">
        <v>0</v>
      </c>
      <c r="AA3922">
        <v>9</v>
      </c>
      <c r="AB3922">
        <v>9</v>
      </c>
      <c r="AC3922" t="s">
        <v>310</v>
      </c>
      <c r="AD3922">
        <v>9</v>
      </c>
      <c r="AE3922" t="s">
        <v>1413</v>
      </c>
      <c r="AF3922">
        <v>60000000</v>
      </c>
      <c r="AG3922" t="s">
        <v>310</v>
      </c>
      <c r="AH3922">
        <f>SUM((MID(Dyno_Data[[#This Row],[Team]],4,5))+(Dyno_Data[[#This Row],[Match]]/100))</f>
        <v>333.7</v>
      </c>
      <c r="AI3922" s="76">
        <f>ROUND(SUM(IF(Dyno_Data[[#This Row],[AcqCenter]]&gt;0,Dyno_Data[[#This Row],[Time]]-SUMIFS(Dyno_Data[Time],Dyno_Data[Team],Dyno_Data[[#This Row],[Team]],Dyno_Data[RecordType],"StartMatch",Dyno_Data[Match],Dyno_Data[[#This Row],[Match]]),0)*86400),0)</f>
        <v>0</v>
      </c>
    </row>
    <row r="3923" spans="1:35" x14ac:dyDescent="0.3">
      <c r="A3923">
        <v>3922</v>
      </c>
      <c r="B3923" t="s">
        <v>1305</v>
      </c>
      <c r="C3923">
        <v>70</v>
      </c>
      <c r="D3923" s="105">
        <v>45374.448963923613</v>
      </c>
      <c r="E3923" t="s">
        <v>312</v>
      </c>
      <c r="F3923" t="s">
        <v>1402</v>
      </c>
      <c r="G3923">
        <v>0</v>
      </c>
      <c r="H3923" t="s">
        <v>315</v>
      </c>
      <c r="I3923">
        <v>0</v>
      </c>
      <c r="J3923">
        <v>0</v>
      </c>
      <c r="K3923">
        <v>0</v>
      </c>
      <c r="L3923" t="s">
        <v>241</v>
      </c>
      <c r="M3923" t="s">
        <v>1398</v>
      </c>
      <c r="N3923">
        <v>0</v>
      </c>
      <c r="O3923" t="s">
        <v>311</v>
      </c>
      <c r="P3923" t="s">
        <v>310</v>
      </c>
      <c r="Q3923" t="s">
        <v>310</v>
      </c>
      <c r="R3923" t="s">
        <v>310</v>
      </c>
      <c r="S3923">
        <v>9</v>
      </c>
      <c r="T3923" t="s">
        <v>310</v>
      </c>
      <c r="U3923">
        <v>9</v>
      </c>
      <c r="V3923">
        <v>9</v>
      </c>
      <c r="W3923">
        <v>0</v>
      </c>
      <c r="X3923">
        <v>0</v>
      </c>
      <c r="Y3923">
        <v>0</v>
      </c>
      <c r="Z3923">
        <v>0</v>
      </c>
      <c r="AA3923">
        <v>9</v>
      </c>
      <c r="AB3923">
        <v>9</v>
      </c>
      <c r="AC3923" t="s">
        <v>310</v>
      </c>
      <c r="AD3923">
        <v>9</v>
      </c>
      <c r="AE3923" t="s">
        <v>1412</v>
      </c>
      <c r="AF3923">
        <v>120000000</v>
      </c>
      <c r="AG3923" t="s">
        <v>310</v>
      </c>
      <c r="AH3923">
        <f>SUM((MID(Dyno_Data[[#This Row],[Team]],4,5))+(Dyno_Data[[#This Row],[Match]]/100))</f>
        <v>3173.7</v>
      </c>
      <c r="AI3923" s="76">
        <f>ROUND(SUM(IF(Dyno_Data[[#This Row],[AcqCenter]]&gt;0,Dyno_Data[[#This Row],[Time]]-SUMIFS(Dyno_Data[Time],Dyno_Data[Team],Dyno_Data[[#This Row],[Team]],Dyno_Data[RecordType],"StartMatch",Dyno_Data[Match],Dyno_Data[[#This Row],[Match]]),0)*86400),0)</f>
        <v>0</v>
      </c>
    </row>
    <row r="3924" spans="1:35" x14ac:dyDescent="0.3">
      <c r="A3924">
        <v>3923</v>
      </c>
      <c r="B3924" t="s">
        <v>1282</v>
      </c>
      <c r="C3924">
        <v>70</v>
      </c>
      <c r="D3924" s="105">
        <v>45374.449086493056</v>
      </c>
      <c r="E3924" t="s">
        <v>312</v>
      </c>
      <c r="F3924" t="s">
        <v>1402</v>
      </c>
      <c r="G3924">
        <v>0</v>
      </c>
      <c r="H3924" t="s">
        <v>315</v>
      </c>
      <c r="I3924">
        <v>0</v>
      </c>
      <c r="J3924">
        <v>0</v>
      </c>
      <c r="K3924">
        <v>0</v>
      </c>
      <c r="L3924" t="s">
        <v>241</v>
      </c>
      <c r="M3924" t="s">
        <v>1398</v>
      </c>
      <c r="N3924">
        <v>0</v>
      </c>
      <c r="O3924" t="s">
        <v>1393</v>
      </c>
      <c r="P3924" t="s">
        <v>310</v>
      </c>
      <c r="Q3924" t="s">
        <v>310</v>
      </c>
      <c r="R3924" t="s">
        <v>310</v>
      </c>
      <c r="S3924">
        <v>9</v>
      </c>
      <c r="T3924" t="s">
        <v>310</v>
      </c>
      <c r="U3924">
        <v>9</v>
      </c>
      <c r="V3924">
        <v>9</v>
      </c>
      <c r="W3924">
        <v>0</v>
      </c>
      <c r="X3924">
        <v>0</v>
      </c>
      <c r="Y3924">
        <v>0</v>
      </c>
      <c r="Z3924">
        <v>0</v>
      </c>
      <c r="AA3924">
        <v>9</v>
      </c>
      <c r="AB3924">
        <v>9</v>
      </c>
      <c r="AC3924" t="s">
        <v>310</v>
      </c>
      <c r="AD3924">
        <v>9</v>
      </c>
      <c r="AE3924" t="s">
        <v>1413</v>
      </c>
      <c r="AF3924">
        <v>70000000</v>
      </c>
      <c r="AG3924" t="s">
        <v>310</v>
      </c>
      <c r="AH3924">
        <f>SUM((MID(Dyno_Data[[#This Row],[Team]],4,5))+(Dyno_Data[[#This Row],[Match]]/100))</f>
        <v>333.7</v>
      </c>
      <c r="AI3924" s="76">
        <f>ROUND(SUM(IF(Dyno_Data[[#This Row],[AcqCenter]]&gt;0,Dyno_Data[[#This Row],[Time]]-SUMIFS(Dyno_Data[Time],Dyno_Data[Team],Dyno_Data[[#This Row],[Team]],Dyno_Data[RecordType],"StartMatch",Dyno_Data[Match],Dyno_Data[[#This Row],[Match]]),0)*86400),0)</f>
        <v>0</v>
      </c>
    </row>
    <row r="3925" spans="1:35" x14ac:dyDescent="0.3">
      <c r="A3925">
        <v>3924</v>
      </c>
      <c r="B3925" t="s">
        <v>1305</v>
      </c>
      <c r="C3925">
        <v>70</v>
      </c>
      <c r="D3925" s="105">
        <v>45374.44916921296</v>
      </c>
      <c r="E3925" t="s">
        <v>312</v>
      </c>
      <c r="F3925" t="s">
        <v>1402</v>
      </c>
      <c r="G3925">
        <v>0</v>
      </c>
      <c r="H3925" t="s">
        <v>315</v>
      </c>
      <c r="I3925">
        <v>0</v>
      </c>
      <c r="J3925">
        <v>0</v>
      </c>
      <c r="K3925">
        <v>0</v>
      </c>
      <c r="L3925" t="s">
        <v>241</v>
      </c>
      <c r="M3925" t="s">
        <v>1398</v>
      </c>
      <c r="N3925">
        <v>0</v>
      </c>
      <c r="O3925" t="s">
        <v>311</v>
      </c>
      <c r="P3925" t="s">
        <v>310</v>
      </c>
      <c r="Q3925" t="s">
        <v>310</v>
      </c>
      <c r="R3925" t="s">
        <v>310</v>
      </c>
      <c r="S3925">
        <v>9</v>
      </c>
      <c r="T3925" t="s">
        <v>310</v>
      </c>
      <c r="U3925">
        <v>9</v>
      </c>
      <c r="V3925">
        <v>9</v>
      </c>
      <c r="W3925">
        <v>0</v>
      </c>
      <c r="X3925">
        <v>0</v>
      </c>
      <c r="Y3925">
        <v>0</v>
      </c>
      <c r="Z3925">
        <v>0</v>
      </c>
      <c r="AA3925">
        <v>9</v>
      </c>
      <c r="AB3925">
        <v>9</v>
      </c>
      <c r="AC3925" t="s">
        <v>310</v>
      </c>
      <c r="AD3925">
        <v>9</v>
      </c>
      <c r="AE3925" t="s">
        <v>1412</v>
      </c>
      <c r="AF3925">
        <v>130000000</v>
      </c>
      <c r="AG3925" t="s">
        <v>310</v>
      </c>
      <c r="AH3925">
        <f>SUM((MID(Dyno_Data[[#This Row],[Team]],4,5))+(Dyno_Data[[#This Row],[Match]]/100))</f>
        <v>3173.7</v>
      </c>
      <c r="AI3925" s="76">
        <f>ROUND(SUM(IF(Dyno_Data[[#This Row],[AcqCenter]]&gt;0,Dyno_Data[[#This Row],[Time]]-SUMIFS(Dyno_Data[Time],Dyno_Data[Team],Dyno_Data[[#This Row],[Team]],Dyno_Data[RecordType],"StartMatch",Dyno_Data[Match],Dyno_Data[[#This Row],[Match]]),0)*86400),0)</f>
        <v>0</v>
      </c>
    </row>
    <row r="3926" spans="1:35" x14ac:dyDescent="0.3">
      <c r="A3926">
        <v>3925</v>
      </c>
      <c r="B3926" t="s">
        <v>1282</v>
      </c>
      <c r="C3926">
        <v>70</v>
      </c>
      <c r="D3926" s="105">
        <v>45374.449208483798</v>
      </c>
      <c r="E3926" t="s">
        <v>312</v>
      </c>
      <c r="F3926" t="s">
        <v>1402</v>
      </c>
      <c r="G3926">
        <v>0</v>
      </c>
      <c r="H3926" t="s">
        <v>315</v>
      </c>
      <c r="I3926">
        <v>0</v>
      </c>
      <c r="J3926">
        <v>0</v>
      </c>
      <c r="K3926">
        <v>0</v>
      </c>
      <c r="L3926" t="s">
        <v>241</v>
      </c>
      <c r="M3926" t="s">
        <v>1398</v>
      </c>
      <c r="N3926">
        <v>0</v>
      </c>
      <c r="O3926" t="s">
        <v>1393</v>
      </c>
      <c r="P3926" t="s">
        <v>310</v>
      </c>
      <c r="Q3926" t="s">
        <v>310</v>
      </c>
      <c r="R3926" t="s">
        <v>310</v>
      </c>
      <c r="S3926">
        <v>9</v>
      </c>
      <c r="T3926" t="s">
        <v>310</v>
      </c>
      <c r="U3926">
        <v>9</v>
      </c>
      <c r="V3926">
        <v>9</v>
      </c>
      <c r="W3926">
        <v>0</v>
      </c>
      <c r="X3926">
        <v>0</v>
      </c>
      <c r="Y3926">
        <v>0</v>
      </c>
      <c r="Z3926">
        <v>0</v>
      </c>
      <c r="AA3926">
        <v>9</v>
      </c>
      <c r="AB3926">
        <v>9</v>
      </c>
      <c r="AC3926" t="s">
        <v>310</v>
      </c>
      <c r="AD3926">
        <v>9</v>
      </c>
      <c r="AE3926" t="s">
        <v>1413</v>
      </c>
      <c r="AF3926">
        <v>80000000</v>
      </c>
      <c r="AG3926" t="s">
        <v>310</v>
      </c>
      <c r="AH3926">
        <f>SUM((MID(Dyno_Data[[#This Row],[Team]],4,5))+(Dyno_Data[[#This Row],[Match]]/100))</f>
        <v>333.7</v>
      </c>
      <c r="AI3926" s="76">
        <f>ROUND(SUM(IF(Dyno_Data[[#This Row],[AcqCenter]]&gt;0,Dyno_Data[[#This Row],[Time]]-SUMIFS(Dyno_Data[Time],Dyno_Data[Team],Dyno_Data[[#This Row],[Team]],Dyno_Data[RecordType],"StartMatch",Dyno_Data[Match],Dyno_Data[[#This Row],[Match]]),0)*86400),0)</f>
        <v>0</v>
      </c>
    </row>
    <row r="3927" spans="1:35" x14ac:dyDescent="0.3">
      <c r="A3927">
        <v>3926</v>
      </c>
      <c r="B3927" t="s">
        <v>1305</v>
      </c>
      <c r="C3927">
        <v>70</v>
      </c>
      <c r="D3927" s="105">
        <v>45374.449242627314</v>
      </c>
      <c r="E3927" t="s">
        <v>312</v>
      </c>
      <c r="F3927" t="s">
        <v>1402</v>
      </c>
      <c r="G3927">
        <v>0</v>
      </c>
      <c r="H3927" t="s">
        <v>315</v>
      </c>
      <c r="I3927">
        <v>0</v>
      </c>
      <c r="J3927">
        <v>0</v>
      </c>
      <c r="K3927">
        <v>0</v>
      </c>
      <c r="L3927" t="s">
        <v>241</v>
      </c>
      <c r="M3927" t="s">
        <v>1398</v>
      </c>
      <c r="N3927">
        <v>0</v>
      </c>
      <c r="O3927" t="s">
        <v>311</v>
      </c>
      <c r="P3927" t="s">
        <v>310</v>
      </c>
      <c r="Q3927" t="s">
        <v>310</v>
      </c>
      <c r="R3927" t="s">
        <v>310</v>
      </c>
      <c r="S3927">
        <v>9</v>
      </c>
      <c r="T3927" t="s">
        <v>310</v>
      </c>
      <c r="U3927">
        <v>9</v>
      </c>
      <c r="V3927">
        <v>9</v>
      </c>
      <c r="W3927">
        <v>0</v>
      </c>
      <c r="X3927">
        <v>0</v>
      </c>
      <c r="Y3927">
        <v>0</v>
      </c>
      <c r="Z3927">
        <v>0</v>
      </c>
      <c r="AA3927">
        <v>9</v>
      </c>
      <c r="AB3927">
        <v>9</v>
      </c>
      <c r="AC3927" t="s">
        <v>310</v>
      </c>
      <c r="AD3927">
        <v>9</v>
      </c>
      <c r="AE3927" t="s">
        <v>1412</v>
      </c>
      <c r="AF3927">
        <v>140000000</v>
      </c>
      <c r="AG3927" t="s">
        <v>310</v>
      </c>
      <c r="AH3927">
        <f>SUM((MID(Dyno_Data[[#This Row],[Team]],4,5))+(Dyno_Data[[#This Row],[Match]]/100))</f>
        <v>3173.7</v>
      </c>
      <c r="AI3927" s="76">
        <f>ROUND(SUM(IF(Dyno_Data[[#This Row],[AcqCenter]]&gt;0,Dyno_Data[[#This Row],[Time]]-SUMIFS(Dyno_Data[Time],Dyno_Data[Team],Dyno_Data[[#This Row],[Team]],Dyno_Data[RecordType],"StartMatch",Dyno_Data[Match],Dyno_Data[[#This Row],[Match]]),0)*86400),0)</f>
        <v>0</v>
      </c>
    </row>
    <row r="3928" spans="1:35" x14ac:dyDescent="0.3">
      <c r="A3928">
        <v>3927</v>
      </c>
      <c r="B3928" t="s">
        <v>1305</v>
      </c>
      <c r="C3928">
        <v>70</v>
      </c>
      <c r="D3928" s="105">
        <v>45374.449855671293</v>
      </c>
      <c r="E3928" t="s">
        <v>316</v>
      </c>
      <c r="F3928" t="s">
        <v>317</v>
      </c>
      <c r="G3928">
        <v>1</v>
      </c>
      <c r="H3928" t="s">
        <v>310</v>
      </c>
      <c r="I3928">
        <v>0</v>
      </c>
      <c r="J3928">
        <v>0</v>
      </c>
      <c r="K3928">
        <v>0</v>
      </c>
      <c r="L3928" t="s">
        <v>310</v>
      </c>
      <c r="M3928" t="s">
        <v>310</v>
      </c>
      <c r="N3928">
        <v>0</v>
      </c>
      <c r="O3928" t="s">
        <v>311</v>
      </c>
      <c r="P3928" t="s">
        <v>101</v>
      </c>
      <c r="Q3928" t="s">
        <v>1399</v>
      </c>
      <c r="R3928" t="s">
        <v>321</v>
      </c>
      <c r="S3928">
        <v>0</v>
      </c>
      <c r="T3928" t="s">
        <v>105</v>
      </c>
      <c r="U3928">
        <v>9</v>
      </c>
      <c r="V3928">
        <v>9</v>
      </c>
      <c r="W3928">
        <v>0</v>
      </c>
      <c r="X3928">
        <v>37.738016899999998</v>
      </c>
      <c r="Y3928">
        <v>37.477556299999996</v>
      </c>
      <c r="Z3928">
        <v>61.791904099999996</v>
      </c>
      <c r="AA3928">
        <v>0</v>
      </c>
      <c r="AB3928">
        <v>1</v>
      </c>
      <c r="AC3928" t="s">
        <v>174</v>
      </c>
      <c r="AD3928">
        <v>0</v>
      </c>
      <c r="AE3928" t="s">
        <v>1412</v>
      </c>
      <c r="AF3928">
        <v>140000000</v>
      </c>
      <c r="AG3928" t="s">
        <v>310</v>
      </c>
      <c r="AH3928">
        <f>SUM((MID(Dyno_Data[[#This Row],[Team]],4,5))+(Dyno_Data[[#This Row],[Match]]/100))</f>
        <v>3173.7</v>
      </c>
      <c r="AI3928" s="76">
        <f>ROUND(SUM(IF(Dyno_Data[[#This Row],[AcqCenter]]&gt;0,Dyno_Data[[#This Row],[Time]]-SUMIFS(Dyno_Data[Time],Dyno_Data[Team],Dyno_Data[[#This Row],[Team]],Dyno_Data[RecordType],"StartMatch",Dyno_Data[Match],Dyno_Data[[#This Row],[Match]]),0)*86400),0)</f>
        <v>0</v>
      </c>
    </row>
    <row r="3929" spans="1:35" x14ac:dyDescent="0.3">
      <c r="A3929">
        <v>3928</v>
      </c>
      <c r="B3929" t="s">
        <v>1279</v>
      </c>
      <c r="C3929">
        <v>70</v>
      </c>
      <c r="D3929" s="105">
        <v>45374.449855787039</v>
      </c>
      <c r="E3929" t="s">
        <v>316</v>
      </c>
      <c r="F3929" t="s">
        <v>317</v>
      </c>
      <c r="G3929">
        <v>1</v>
      </c>
      <c r="H3929" t="s">
        <v>310</v>
      </c>
      <c r="I3929">
        <v>0</v>
      </c>
      <c r="J3929">
        <v>0</v>
      </c>
      <c r="K3929">
        <v>0</v>
      </c>
      <c r="L3929" t="s">
        <v>310</v>
      </c>
      <c r="M3929" t="s">
        <v>310</v>
      </c>
      <c r="N3929">
        <v>0</v>
      </c>
      <c r="O3929" t="s">
        <v>1391</v>
      </c>
      <c r="P3929" t="s">
        <v>320</v>
      </c>
      <c r="Q3929" t="s">
        <v>1400</v>
      </c>
      <c r="R3929" t="s">
        <v>1404</v>
      </c>
      <c r="S3929">
        <v>0</v>
      </c>
      <c r="T3929" t="s">
        <v>105</v>
      </c>
      <c r="U3929">
        <v>9</v>
      </c>
      <c r="V3929">
        <v>9</v>
      </c>
      <c r="W3929">
        <v>0</v>
      </c>
      <c r="X3929">
        <v>0</v>
      </c>
      <c r="Y3929">
        <v>17.809543299999998</v>
      </c>
      <c r="Z3929">
        <v>108.94808669999999</v>
      </c>
      <c r="AA3929">
        <v>3</v>
      </c>
      <c r="AB3929">
        <v>0</v>
      </c>
      <c r="AC3929" t="s">
        <v>170</v>
      </c>
      <c r="AD3929">
        <v>9</v>
      </c>
      <c r="AE3929" t="s">
        <v>1390</v>
      </c>
      <c r="AF3929">
        <v>0</v>
      </c>
      <c r="AG3929" t="s">
        <v>310</v>
      </c>
      <c r="AH3929">
        <f>SUM((MID(Dyno_Data[[#This Row],[Team]],4,5))+(Dyno_Data[[#This Row],[Match]]/100))</f>
        <v>5149.7</v>
      </c>
      <c r="AI3929" s="76">
        <f>ROUND(SUM(IF(Dyno_Data[[#This Row],[AcqCenter]]&gt;0,Dyno_Data[[#This Row],[Time]]-SUMIFS(Dyno_Data[Time],Dyno_Data[Team],Dyno_Data[[#This Row],[Team]],Dyno_Data[RecordType],"StartMatch",Dyno_Data[Match],Dyno_Data[[#This Row],[Match]]),0)*86400),0)</f>
        <v>0</v>
      </c>
    </row>
    <row r="3930" spans="1:35" x14ac:dyDescent="0.3">
      <c r="A3930">
        <v>3929</v>
      </c>
      <c r="B3930" t="s">
        <v>1317</v>
      </c>
      <c r="C3930">
        <v>70</v>
      </c>
      <c r="D3930" s="105">
        <v>45374.449855787039</v>
      </c>
      <c r="E3930" t="s">
        <v>316</v>
      </c>
      <c r="F3930" t="s">
        <v>317</v>
      </c>
      <c r="G3930">
        <v>1</v>
      </c>
      <c r="H3930" t="s">
        <v>310</v>
      </c>
      <c r="I3930">
        <v>0</v>
      </c>
      <c r="J3930">
        <v>0</v>
      </c>
      <c r="K3930">
        <v>0</v>
      </c>
      <c r="L3930" t="s">
        <v>310</v>
      </c>
      <c r="M3930" t="s">
        <v>310</v>
      </c>
      <c r="N3930">
        <v>0</v>
      </c>
      <c r="O3930" t="s">
        <v>319</v>
      </c>
      <c r="P3930" t="s">
        <v>1401</v>
      </c>
      <c r="Q3930" t="s">
        <v>1400</v>
      </c>
      <c r="R3930" t="s">
        <v>1405</v>
      </c>
      <c r="S3930">
        <v>1</v>
      </c>
      <c r="T3930" t="s">
        <v>1406</v>
      </c>
      <c r="U3930">
        <v>0</v>
      </c>
      <c r="V3930">
        <v>0</v>
      </c>
      <c r="W3930">
        <v>8.9650616999999997</v>
      </c>
      <c r="X3930">
        <v>53.554953399999995</v>
      </c>
      <c r="Y3930">
        <v>31.791526099999999</v>
      </c>
      <c r="Z3930">
        <v>37.2803842</v>
      </c>
      <c r="AA3930">
        <v>0</v>
      </c>
      <c r="AB3930">
        <v>0</v>
      </c>
      <c r="AC3930" t="s">
        <v>174</v>
      </c>
      <c r="AD3930">
        <v>9</v>
      </c>
      <c r="AE3930" t="s">
        <v>1388</v>
      </c>
      <c r="AF3930">
        <v>40000000</v>
      </c>
      <c r="AG3930" t="s">
        <v>310</v>
      </c>
      <c r="AH3930">
        <f>SUM((MID(Dyno_Data[[#This Row],[Team]],4,5))+(Dyno_Data[[#This Row],[Match]]/100))</f>
        <v>296.7</v>
      </c>
      <c r="AI3930" s="76">
        <f>ROUND(SUM(IF(Dyno_Data[[#This Row],[AcqCenter]]&gt;0,Dyno_Data[[#This Row],[Time]]-SUMIFS(Dyno_Data[Time],Dyno_Data[Team],Dyno_Data[[#This Row],[Team]],Dyno_Data[RecordType],"StartMatch",Dyno_Data[Match],Dyno_Data[[#This Row],[Match]]),0)*86400),0)</f>
        <v>0</v>
      </c>
    </row>
    <row r="3931" spans="1:35" x14ac:dyDescent="0.3">
      <c r="A3931">
        <v>3930</v>
      </c>
      <c r="B3931" t="s">
        <v>1282</v>
      </c>
      <c r="C3931">
        <v>70</v>
      </c>
      <c r="D3931" s="105">
        <v>45374.449855937499</v>
      </c>
      <c r="E3931" t="s">
        <v>316</v>
      </c>
      <c r="F3931" t="s">
        <v>317</v>
      </c>
      <c r="G3931">
        <v>0</v>
      </c>
      <c r="H3931" t="s">
        <v>310</v>
      </c>
      <c r="I3931">
        <v>0</v>
      </c>
      <c r="J3931">
        <v>0</v>
      </c>
      <c r="K3931">
        <v>0</v>
      </c>
      <c r="L3931" t="s">
        <v>310</v>
      </c>
      <c r="M3931" t="s">
        <v>310</v>
      </c>
      <c r="N3931">
        <v>0</v>
      </c>
      <c r="O3931" t="s">
        <v>1393</v>
      </c>
      <c r="P3931" t="s">
        <v>240</v>
      </c>
      <c r="Q3931" t="s">
        <v>1400</v>
      </c>
      <c r="R3931" t="s">
        <v>1404</v>
      </c>
      <c r="S3931">
        <v>0</v>
      </c>
      <c r="T3931" t="s">
        <v>105</v>
      </c>
      <c r="U3931">
        <v>9</v>
      </c>
      <c r="V3931">
        <v>9</v>
      </c>
      <c r="W3931">
        <v>0</v>
      </c>
      <c r="X3931">
        <v>24.733522300000001</v>
      </c>
      <c r="Y3931">
        <v>3.3667499999999997</v>
      </c>
      <c r="Z3931">
        <v>110.0782438</v>
      </c>
      <c r="AA3931">
        <v>0</v>
      </c>
      <c r="AB3931">
        <v>0</v>
      </c>
      <c r="AC3931" t="s">
        <v>174</v>
      </c>
      <c r="AD3931">
        <v>9</v>
      </c>
      <c r="AE3931" t="s">
        <v>1413</v>
      </c>
      <c r="AF3931">
        <v>80000000</v>
      </c>
      <c r="AG3931" t="s">
        <v>310</v>
      </c>
      <c r="AH3931">
        <f>SUM((MID(Dyno_Data[[#This Row],[Team]],4,5))+(Dyno_Data[[#This Row],[Match]]/100))</f>
        <v>333.7</v>
      </c>
      <c r="AI3931" s="76">
        <f>ROUND(SUM(IF(Dyno_Data[[#This Row],[AcqCenter]]&gt;0,Dyno_Data[[#This Row],[Time]]-SUMIFS(Dyno_Data[Time],Dyno_Data[Team],Dyno_Data[[#This Row],[Team]],Dyno_Data[RecordType],"StartMatch",Dyno_Data[Match],Dyno_Data[[#This Row],[Match]]),0)*86400),0)</f>
        <v>0</v>
      </c>
    </row>
    <row r="3932" spans="1:35" x14ac:dyDescent="0.3">
      <c r="A3932">
        <v>3931</v>
      </c>
      <c r="B3932" t="s">
        <v>371</v>
      </c>
      <c r="C3932">
        <v>70</v>
      </c>
      <c r="D3932" s="105">
        <v>45374.449855937499</v>
      </c>
      <c r="E3932" t="s">
        <v>316</v>
      </c>
      <c r="F3932" t="s">
        <v>317</v>
      </c>
      <c r="G3932">
        <v>0</v>
      </c>
      <c r="H3932" t="s">
        <v>310</v>
      </c>
      <c r="I3932">
        <v>0</v>
      </c>
      <c r="J3932">
        <v>0</v>
      </c>
      <c r="K3932">
        <v>0</v>
      </c>
      <c r="L3932" t="s">
        <v>310</v>
      </c>
      <c r="M3932" t="s">
        <v>310</v>
      </c>
      <c r="N3932">
        <v>0</v>
      </c>
      <c r="O3932" t="s">
        <v>1389</v>
      </c>
      <c r="P3932" t="s">
        <v>1401</v>
      </c>
      <c r="Q3932" t="s">
        <v>1399</v>
      </c>
      <c r="R3932" t="s">
        <v>321</v>
      </c>
      <c r="S3932">
        <v>0</v>
      </c>
      <c r="T3932" t="s">
        <v>105</v>
      </c>
      <c r="U3932">
        <v>9</v>
      </c>
      <c r="V3932">
        <v>9</v>
      </c>
      <c r="W3932">
        <v>0</v>
      </c>
      <c r="X3932">
        <v>0</v>
      </c>
      <c r="Y3932">
        <v>0.3809439</v>
      </c>
      <c r="Z3932">
        <v>135.49078969999999</v>
      </c>
      <c r="AA3932">
        <v>0</v>
      </c>
      <c r="AB3932">
        <v>0</v>
      </c>
      <c r="AC3932" t="s">
        <v>167</v>
      </c>
      <c r="AD3932">
        <v>0</v>
      </c>
      <c r="AE3932" t="s">
        <v>1396</v>
      </c>
      <c r="AF3932">
        <v>0</v>
      </c>
      <c r="AG3932" t="s">
        <v>310</v>
      </c>
      <c r="AH3932">
        <f>SUM((MID(Dyno_Data[[#This Row],[Team]],4,5))+(Dyno_Data[[#This Row],[Match]]/100))</f>
        <v>6969.7</v>
      </c>
      <c r="AI3932" s="76">
        <f>ROUND(SUM(IF(Dyno_Data[[#This Row],[AcqCenter]]&gt;0,Dyno_Data[[#This Row],[Time]]-SUMIFS(Dyno_Data[Time],Dyno_Data[Team],Dyno_Data[[#This Row],[Team]],Dyno_Data[RecordType],"StartMatch",Dyno_Data[Match],Dyno_Data[[#This Row],[Match]]),0)*86400),0)</f>
        <v>0</v>
      </c>
    </row>
    <row r="3933" spans="1:35" x14ac:dyDescent="0.3">
      <c r="A3933">
        <v>3932</v>
      </c>
      <c r="B3933" t="s">
        <v>1292</v>
      </c>
      <c r="C3933">
        <v>70</v>
      </c>
      <c r="D3933" s="105">
        <v>45374.449856134263</v>
      </c>
      <c r="E3933" t="s">
        <v>316</v>
      </c>
      <c r="F3933" t="s">
        <v>317</v>
      </c>
      <c r="G3933">
        <v>0</v>
      </c>
      <c r="H3933" t="s">
        <v>310</v>
      </c>
      <c r="I3933">
        <v>0</v>
      </c>
      <c r="J3933">
        <v>0</v>
      </c>
      <c r="K3933">
        <v>0</v>
      </c>
      <c r="L3933" t="s">
        <v>310</v>
      </c>
      <c r="M3933" t="s">
        <v>310</v>
      </c>
      <c r="N3933">
        <v>0</v>
      </c>
      <c r="O3933" t="s">
        <v>1395</v>
      </c>
      <c r="P3933" t="s">
        <v>320</v>
      </c>
      <c r="Q3933" t="s">
        <v>1400</v>
      </c>
      <c r="R3933" t="s">
        <v>321</v>
      </c>
      <c r="S3933">
        <v>0</v>
      </c>
      <c r="T3933" t="s">
        <v>105</v>
      </c>
      <c r="U3933">
        <v>9</v>
      </c>
      <c r="V3933">
        <v>9</v>
      </c>
      <c r="W3933">
        <v>0</v>
      </c>
      <c r="X3933">
        <v>14.320271799999999</v>
      </c>
      <c r="Y3933">
        <v>38.5827393</v>
      </c>
      <c r="Z3933">
        <v>81.908984500000003</v>
      </c>
      <c r="AA3933">
        <v>1</v>
      </c>
      <c r="AB3933">
        <v>0</v>
      </c>
      <c r="AC3933" t="s">
        <v>170</v>
      </c>
      <c r="AD3933">
        <v>9</v>
      </c>
      <c r="AE3933" t="s">
        <v>1414</v>
      </c>
      <c r="AF3933">
        <v>0</v>
      </c>
      <c r="AG3933" t="s">
        <v>310</v>
      </c>
      <c r="AH3933">
        <f>SUM((MID(Dyno_Data[[#This Row],[Team]],4,5))+(Dyno_Data[[#This Row],[Match]]/100))</f>
        <v>7030.7</v>
      </c>
      <c r="AI3933" s="76">
        <f>ROUND(SUM(IF(Dyno_Data[[#This Row],[AcqCenter]]&gt;0,Dyno_Data[[#This Row],[Time]]-SUMIFS(Dyno_Data[Time],Dyno_Data[Team],Dyno_Data[[#This Row],[Team]],Dyno_Data[RecordType],"StartMatch",Dyno_Data[Match],Dyno_Data[[#This Row],[Match]]),0)*86400),0)</f>
        <v>0</v>
      </c>
    </row>
    <row r="3934" spans="1:35" x14ac:dyDescent="0.3">
      <c r="A3934">
        <v>3943</v>
      </c>
      <c r="B3934" t="s">
        <v>1277</v>
      </c>
      <c r="C3934">
        <v>71</v>
      </c>
      <c r="D3934" s="105">
        <v>45374.457736840275</v>
      </c>
      <c r="E3934" t="s">
        <v>308</v>
      </c>
      <c r="F3934" t="s">
        <v>309</v>
      </c>
      <c r="G3934">
        <v>0</v>
      </c>
      <c r="H3934" t="s">
        <v>310</v>
      </c>
      <c r="I3934">
        <v>0</v>
      </c>
      <c r="J3934">
        <v>0</v>
      </c>
      <c r="K3934">
        <v>0</v>
      </c>
      <c r="L3934" t="s">
        <v>310</v>
      </c>
      <c r="M3934" t="s">
        <v>310</v>
      </c>
      <c r="N3934">
        <v>0</v>
      </c>
      <c r="O3934" t="s">
        <v>311</v>
      </c>
      <c r="P3934" t="s">
        <v>310</v>
      </c>
      <c r="Q3934" t="s">
        <v>310</v>
      </c>
      <c r="R3934" t="s">
        <v>310</v>
      </c>
      <c r="S3934">
        <v>9</v>
      </c>
      <c r="T3934" t="s">
        <v>310</v>
      </c>
      <c r="U3934">
        <v>9</v>
      </c>
      <c r="V3934">
        <v>9</v>
      </c>
      <c r="W3934">
        <v>0</v>
      </c>
      <c r="X3934">
        <v>0</v>
      </c>
      <c r="Y3934">
        <v>0</v>
      </c>
      <c r="Z3934">
        <v>0</v>
      </c>
      <c r="AA3934">
        <v>9</v>
      </c>
      <c r="AB3934">
        <v>9</v>
      </c>
      <c r="AC3934" t="s">
        <v>310</v>
      </c>
      <c r="AD3934">
        <v>9</v>
      </c>
      <c r="AE3934" t="s">
        <v>1412</v>
      </c>
      <c r="AF3934">
        <v>30000000</v>
      </c>
      <c r="AG3934" t="s">
        <v>310</v>
      </c>
      <c r="AH3934">
        <f>SUM((MID(Dyno_Data[[#This Row],[Team]],4,5))+(Dyno_Data[[#This Row],[Match]]/100))</f>
        <v>3360.71</v>
      </c>
      <c r="AI3934" s="76">
        <f>ROUND(SUM(IF(Dyno_Data[[#This Row],[AcqCenter]]&gt;0,Dyno_Data[[#This Row],[Time]]-SUMIFS(Dyno_Data[Time],Dyno_Data[Team],Dyno_Data[[#This Row],[Team]],Dyno_Data[RecordType],"StartMatch",Dyno_Data[Match],Dyno_Data[[#This Row],[Match]]),0)*86400),0)</f>
        <v>0</v>
      </c>
    </row>
    <row r="3935" spans="1:35" x14ac:dyDescent="0.3">
      <c r="A3935">
        <v>3945</v>
      </c>
      <c r="B3935" t="s">
        <v>1285</v>
      </c>
      <c r="C3935">
        <v>71</v>
      </c>
      <c r="D3935" s="105">
        <v>45374.457738969904</v>
      </c>
      <c r="E3935" t="s">
        <v>308</v>
      </c>
      <c r="F3935" t="s">
        <v>309</v>
      </c>
      <c r="G3935">
        <v>0</v>
      </c>
      <c r="H3935" t="s">
        <v>310</v>
      </c>
      <c r="I3935">
        <v>0</v>
      </c>
      <c r="J3935">
        <v>0</v>
      </c>
      <c r="K3935">
        <v>0</v>
      </c>
      <c r="L3935" t="s">
        <v>310</v>
      </c>
      <c r="M3935" t="s">
        <v>310</v>
      </c>
      <c r="N3935">
        <v>0</v>
      </c>
      <c r="O3935" t="s">
        <v>1391</v>
      </c>
      <c r="P3935" t="s">
        <v>310</v>
      </c>
      <c r="Q3935" t="s">
        <v>310</v>
      </c>
      <c r="R3935" t="s">
        <v>310</v>
      </c>
      <c r="S3935">
        <v>9</v>
      </c>
      <c r="T3935" t="s">
        <v>310</v>
      </c>
      <c r="U3935">
        <v>9</v>
      </c>
      <c r="V3935">
        <v>9</v>
      </c>
      <c r="W3935">
        <v>0</v>
      </c>
      <c r="X3935">
        <v>0</v>
      </c>
      <c r="Y3935">
        <v>0</v>
      </c>
      <c r="Z3935">
        <v>0</v>
      </c>
      <c r="AA3935">
        <v>9</v>
      </c>
      <c r="AB3935">
        <v>9</v>
      </c>
      <c r="AC3935" t="s">
        <v>310</v>
      </c>
      <c r="AD3935">
        <v>9</v>
      </c>
      <c r="AE3935" t="s">
        <v>1417</v>
      </c>
      <c r="AF3935">
        <v>0</v>
      </c>
      <c r="AG3935" t="s">
        <v>310</v>
      </c>
      <c r="AH3935">
        <f>SUM((MID(Dyno_Data[[#This Row],[Team]],4,5))+(Dyno_Data[[#This Row],[Match]]/100))</f>
        <v>5993.71</v>
      </c>
      <c r="AI3935" s="76">
        <f>ROUND(SUM(IF(Dyno_Data[[#This Row],[AcqCenter]]&gt;0,Dyno_Data[[#This Row],[Time]]-SUMIFS(Dyno_Data[Time],Dyno_Data[Team],Dyno_Data[[#This Row],[Team]],Dyno_Data[RecordType],"StartMatch",Dyno_Data[Match],Dyno_Data[[#This Row],[Match]]),0)*86400),0)</f>
        <v>0</v>
      </c>
    </row>
    <row r="3936" spans="1:35" x14ac:dyDescent="0.3">
      <c r="A3936">
        <v>3947</v>
      </c>
      <c r="B3936" t="s">
        <v>318</v>
      </c>
      <c r="C3936">
        <v>71</v>
      </c>
      <c r="D3936" s="105">
        <v>45374.4577397338</v>
      </c>
      <c r="E3936" t="s">
        <v>308</v>
      </c>
      <c r="F3936" t="s">
        <v>309</v>
      </c>
      <c r="G3936">
        <v>0</v>
      </c>
      <c r="H3936" t="s">
        <v>310</v>
      </c>
      <c r="I3936">
        <v>0</v>
      </c>
      <c r="J3936">
        <v>0</v>
      </c>
      <c r="K3936">
        <v>0</v>
      </c>
      <c r="L3936" t="s">
        <v>310</v>
      </c>
      <c r="M3936" t="s">
        <v>310</v>
      </c>
      <c r="N3936">
        <v>0</v>
      </c>
      <c r="O3936" t="s">
        <v>1393</v>
      </c>
      <c r="P3936" t="s">
        <v>310</v>
      </c>
      <c r="Q3936" t="s">
        <v>310</v>
      </c>
      <c r="R3936" t="s">
        <v>310</v>
      </c>
      <c r="S3936">
        <v>9</v>
      </c>
      <c r="T3936" t="s">
        <v>310</v>
      </c>
      <c r="U3936">
        <v>9</v>
      </c>
      <c r="V3936">
        <v>9</v>
      </c>
      <c r="W3936">
        <v>0</v>
      </c>
      <c r="X3936">
        <v>0</v>
      </c>
      <c r="Y3936">
        <v>0</v>
      </c>
      <c r="Z3936">
        <v>0</v>
      </c>
      <c r="AA3936">
        <v>9</v>
      </c>
      <c r="AB3936">
        <v>9</v>
      </c>
      <c r="AC3936" t="s">
        <v>310</v>
      </c>
      <c r="AD3936">
        <v>9</v>
      </c>
      <c r="AE3936" t="s">
        <v>1413</v>
      </c>
      <c r="AF3936">
        <v>0</v>
      </c>
      <c r="AG3936" t="s">
        <v>310</v>
      </c>
      <c r="AH3936">
        <f>SUM((MID(Dyno_Data[[#This Row],[Team]],4,5))+(Dyno_Data[[#This Row],[Match]]/100))</f>
        <v>639.71</v>
      </c>
      <c r="AI3936" s="76">
        <f>ROUND(SUM(IF(Dyno_Data[[#This Row],[AcqCenter]]&gt;0,Dyno_Data[[#This Row],[Time]]-SUMIFS(Dyno_Data[Time],Dyno_Data[Team],Dyno_Data[[#This Row],[Team]],Dyno_Data[RecordType],"StartMatch",Dyno_Data[Match],Dyno_Data[[#This Row],[Match]]),0)*86400),0)</f>
        <v>0</v>
      </c>
    </row>
    <row r="3937" spans="1:35" x14ac:dyDescent="0.3">
      <c r="A3937">
        <v>3949</v>
      </c>
      <c r="B3937" t="s">
        <v>1288</v>
      </c>
      <c r="C3937">
        <v>71</v>
      </c>
      <c r="D3937" s="105">
        <v>45374.457741168982</v>
      </c>
      <c r="E3937" t="s">
        <v>308</v>
      </c>
      <c r="F3937" t="s">
        <v>309</v>
      </c>
      <c r="G3937">
        <v>0</v>
      </c>
      <c r="H3937" t="s">
        <v>310</v>
      </c>
      <c r="I3937">
        <v>0</v>
      </c>
      <c r="J3937">
        <v>0</v>
      </c>
      <c r="K3937">
        <v>0</v>
      </c>
      <c r="L3937" t="s">
        <v>310</v>
      </c>
      <c r="M3937" t="s">
        <v>310</v>
      </c>
      <c r="N3937">
        <v>0</v>
      </c>
      <c r="O3937" t="s">
        <v>319</v>
      </c>
      <c r="P3937" t="s">
        <v>310</v>
      </c>
      <c r="Q3937" t="s">
        <v>310</v>
      </c>
      <c r="R3937" t="s">
        <v>310</v>
      </c>
      <c r="S3937">
        <v>9</v>
      </c>
      <c r="T3937" t="s">
        <v>310</v>
      </c>
      <c r="U3937">
        <v>9</v>
      </c>
      <c r="V3937">
        <v>9</v>
      </c>
      <c r="W3937">
        <v>0</v>
      </c>
      <c r="X3937">
        <v>0</v>
      </c>
      <c r="Y3937">
        <v>0</v>
      </c>
      <c r="Z3937">
        <v>0</v>
      </c>
      <c r="AA3937">
        <v>9</v>
      </c>
      <c r="AB3937">
        <v>9</v>
      </c>
      <c r="AC3937" t="s">
        <v>310</v>
      </c>
      <c r="AD3937">
        <v>9</v>
      </c>
      <c r="AE3937" t="s">
        <v>1416</v>
      </c>
      <c r="AF3937">
        <v>0</v>
      </c>
      <c r="AG3937" t="s">
        <v>310</v>
      </c>
      <c r="AH3937">
        <f>SUM((MID(Dyno_Data[[#This Row],[Team]],4,5))+(Dyno_Data[[#This Row],[Match]]/100))</f>
        <v>3181.71</v>
      </c>
      <c r="AI3937" s="76">
        <f>ROUND(SUM(IF(Dyno_Data[[#This Row],[AcqCenter]]&gt;0,Dyno_Data[[#This Row],[Time]]-SUMIFS(Dyno_Data[Time],Dyno_Data[Team],Dyno_Data[[#This Row],[Team]],Dyno_Data[RecordType],"StartMatch",Dyno_Data[Match],Dyno_Data[[#This Row],[Match]]),0)*86400),0)</f>
        <v>0</v>
      </c>
    </row>
    <row r="3938" spans="1:35" x14ac:dyDescent="0.3">
      <c r="A3938">
        <v>3951</v>
      </c>
      <c r="B3938" t="s">
        <v>1298</v>
      </c>
      <c r="C3938">
        <v>71</v>
      </c>
      <c r="D3938" s="105">
        <v>45374.457750150461</v>
      </c>
      <c r="E3938" t="s">
        <v>308</v>
      </c>
      <c r="F3938" t="s">
        <v>309</v>
      </c>
      <c r="G3938">
        <v>0</v>
      </c>
      <c r="H3938" t="s">
        <v>310</v>
      </c>
      <c r="I3938">
        <v>0</v>
      </c>
      <c r="J3938">
        <v>0</v>
      </c>
      <c r="K3938">
        <v>0</v>
      </c>
      <c r="L3938" t="s">
        <v>310</v>
      </c>
      <c r="M3938" t="s">
        <v>310</v>
      </c>
      <c r="N3938">
        <v>0</v>
      </c>
      <c r="O3938" t="s">
        <v>1395</v>
      </c>
      <c r="P3938" t="s">
        <v>310</v>
      </c>
      <c r="Q3938" t="s">
        <v>310</v>
      </c>
      <c r="R3938" t="s">
        <v>310</v>
      </c>
      <c r="S3938">
        <v>9</v>
      </c>
      <c r="T3938" t="s">
        <v>310</v>
      </c>
      <c r="U3938">
        <v>9</v>
      </c>
      <c r="V3938">
        <v>9</v>
      </c>
      <c r="W3938">
        <v>0</v>
      </c>
      <c r="X3938">
        <v>0</v>
      </c>
      <c r="Y3938">
        <v>0</v>
      </c>
      <c r="Z3938">
        <v>0</v>
      </c>
      <c r="AA3938">
        <v>9</v>
      </c>
      <c r="AB3938">
        <v>9</v>
      </c>
      <c r="AC3938" t="s">
        <v>310</v>
      </c>
      <c r="AD3938">
        <v>9</v>
      </c>
      <c r="AE3938" t="s">
        <v>1414</v>
      </c>
      <c r="AF3938">
        <v>0</v>
      </c>
      <c r="AG3938" t="s">
        <v>310</v>
      </c>
      <c r="AH3938">
        <f>SUM((MID(Dyno_Data[[#This Row],[Team]],4,5))+(Dyno_Data[[#This Row],[Match]]/100))</f>
        <v>9624.7099999999991</v>
      </c>
      <c r="AI3938" s="76">
        <f>ROUND(SUM(IF(Dyno_Data[[#This Row],[AcqCenter]]&gt;0,Dyno_Data[[#This Row],[Time]]-SUMIFS(Dyno_Data[Time],Dyno_Data[Team],Dyno_Data[[#This Row],[Team]],Dyno_Data[RecordType],"StartMatch",Dyno_Data[Match],Dyno_Data[[#This Row],[Match]]),0)*86400),0)</f>
        <v>0</v>
      </c>
    </row>
    <row r="3939" spans="1:35" x14ac:dyDescent="0.3">
      <c r="A3939">
        <v>3953</v>
      </c>
      <c r="B3939" t="s">
        <v>1315</v>
      </c>
      <c r="C3939">
        <v>71</v>
      </c>
      <c r="D3939" s="105">
        <v>45374.457753043978</v>
      </c>
      <c r="E3939" t="s">
        <v>308</v>
      </c>
      <c r="F3939" t="s">
        <v>309</v>
      </c>
      <c r="G3939">
        <v>0</v>
      </c>
      <c r="H3939" t="s">
        <v>310</v>
      </c>
      <c r="I3939">
        <v>0</v>
      </c>
      <c r="J3939">
        <v>0</v>
      </c>
      <c r="K3939">
        <v>0</v>
      </c>
      <c r="L3939" t="s">
        <v>310</v>
      </c>
      <c r="M3939" t="s">
        <v>310</v>
      </c>
      <c r="N3939">
        <v>0</v>
      </c>
      <c r="O3939" t="s">
        <v>1389</v>
      </c>
      <c r="P3939" t="s">
        <v>310</v>
      </c>
      <c r="Q3939" t="s">
        <v>310</v>
      </c>
      <c r="R3939" t="s">
        <v>310</v>
      </c>
      <c r="S3939">
        <v>9</v>
      </c>
      <c r="T3939" t="s">
        <v>310</v>
      </c>
      <c r="U3939">
        <v>9</v>
      </c>
      <c r="V3939">
        <v>9</v>
      </c>
      <c r="W3939">
        <v>0</v>
      </c>
      <c r="X3939">
        <v>0</v>
      </c>
      <c r="Y3939">
        <v>0</v>
      </c>
      <c r="Z3939">
        <v>0</v>
      </c>
      <c r="AA3939">
        <v>9</v>
      </c>
      <c r="AB3939">
        <v>9</v>
      </c>
      <c r="AC3939" t="s">
        <v>310</v>
      </c>
      <c r="AD3939">
        <v>9</v>
      </c>
      <c r="AE3939" t="s">
        <v>1418</v>
      </c>
      <c r="AF3939">
        <v>10000000</v>
      </c>
      <c r="AG3939" t="s">
        <v>310</v>
      </c>
      <c r="AH3939">
        <f>SUM((MID(Dyno_Data[[#This Row],[Team]],4,5))+(Dyno_Data[[#This Row],[Match]]/100))</f>
        <v>1511.71</v>
      </c>
      <c r="AI3939" s="76">
        <f>ROUND(SUM(IF(Dyno_Data[[#This Row],[AcqCenter]]&gt;0,Dyno_Data[[#This Row],[Time]]-SUMIFS(Dyno_Data[Time],Dyno_Data[Team],Dyno_Data[[#This Row],[Team]],Dyno_Data[RecordType],"StartMatch",Dyno_Data[Match],Dyno_Data[[#This Row],[Match]]),0)*86400),0)</f>
        <v>0</v>
      </c>
    </row>
    <row r="3940" spans="1:35" x14ac:dyDescent="0.3">
      <c r="A3940">
        <v>3933</v>
      </c>
      <c r="B3940" t="s">
        <v>318</v>
      </c>
      <c r="C3940">
        <v>71</v>
      </c>
      <c r="D3940" s="105">
        <v>45374.45775454861</v>
      </c>
      <c r="E3940" t="s">
        <v>312</v>
      </c>
      <c r="F3940" t="s">
        <v>309</v>
      </c>
      <c r="G3940">
        <v>0</v>
      </c>
      <c r="H3940" t="s">
        <v>1397</v>
      </c>
      <c r="I3940">
        <v>0</v>
      </c>
      <c r="J3940">
        <v>0</v>
      </c>
      <c r="K3940">
        <v>0</v>
      </c>
      <c r="L3940" t="s">
        <v>240</v>
      </c>
      <c r="M3940" t="s">
        <v>1398</v>
      </c>
      <c r="N3940">
        <v>0</v>
      </c>
      <c r="O3940" t="s">
        <v>1393</v>
      </c>
      <c r="P3940" t="s">
        <v>310</v>
      </c>
      <c r="Q3940" t="s">
        <v>310</v>
      </c>
      <c r="R3940" t="s">
        <v>310</v>
      </c>
      <c r="S3940">
        <v>9</v>
      </c>
      <c r="T3940" t="s">
        <v>310</v>
      </c>
      <c r="U3940">
        <v>9</v>
      </c>
      <c r="V3940">
        <v>9</v>
      </c>
      <c r="W3940">
        <v>0</v>
      </c>
      <c r="X3940">
        <v>0</v>
      </c>
      <c r="Y3940">
        <v>0</v>
      </c>
      <c r="Z3940">
        <v>0</v>
      </c>
      <c r="AA3940">
        <v>9</v>
      </c>
      <c r="AB3940">
        <v>9</v>
      </c>
      <c r="AC3940" t="s">
        <v>310</v>
      </c>
      <c r="AD3940">
        <v>9</v>
      </c>
      <c r="AE3940" t="s">
        <v>1413</v>
      </c>
      <c r="AF3940">
        <v>0</v>
      </c>
      <c r="AG3940" t="s">
        <v>310</v>
      </c>
      <c r="AH3940">
        <f>SUM((MID(Dyno_Data[[#This Row],[Team]],4,5))+(Dyno_Data[[#This Row],[Match]]/100))</f>
        <v>639.71</v>
      </c>
      <c r="AI3940" s="76">
        <f>ROUND(SUM(IF(Dyno_Data[[#This Row],[AcqCenter]]&gt;0,Dyno_Data[[#This Row],[Time]]-SUMIFS(Dyno_Data[Time],Dyno_Data[Team],Dyno_Data[[#This Row],[Team]],Dyno_Data[RecordType],"StartMatch",Dyno_Data[Match],Dyno_Data[[#This Row],[Match]]),0)*86400),0)</f>
        <v>0</v>
      </c>
    </row>
    <row r="3941" spans="1:35" x14ac:dyDescent="0.3">
      <c r="A3941">
        <v>3934</v>
      </c>
      <c r="B3941" t="s">
        <v>1288</v>
      </c>
      <c r="C3941">
        <v>71</v>
      </c>
      <c r="D3941" s="105">
        <v>45374.457761030091</v>
      </c>
      <c r="E3941" t="s">
        <v>312</v>
      </c>
      <c r="F3941" t="s">
        <v>309</v>
      </c>
      <c r="G3941">
        <v>0</v>
      </c>
      <c r="H3941" t="s">
        <v>1397</v>
      </c>
      <c r="I3941">
        <v>0</v>
      </c>
      <c r="J3941">
        <v>0</v>
      </c>
      <c r="K3941">
        <v>0</v>
      </c>
      <c r="L3941" t="s">
        <v>240</v>
      </c>
      <c r="M3941" t="s">
        <v>1398</v>
      </c>
      <c r="N3941">
        <v>1</v>
      </c>
      <c r="O3941" t="s">
        <v>319</v>
      </c>
      <c r="P3941" t="s">
        <v>310</v>
      </c>
      <c r="Q3941" t="s">
        <v>310</v>
      </c>
      <c r="R3941" t="s">
        <v>310</v>
      </c>
      <c r="S3941">
        <v>9</v>
      </c>
      <c r="T3941" t="s">
        <v>310</v>
      </c>
      <c r="U3941">
        <v>9</v>
      </c>
      <c r="V3941">
        <v>9</v>
      </c>
      <c r="W3941">
        <v>0</v>
      </c>
      <c r="X3941">
        <v>0</v>
      </c>
      <c r="Y3941">
        <v>0</v>
      </c>
      <c r="Z3941">
        <v>0</v>
      </c>
      <c r="AA3941">
        <v>9</v>
      </c>
      <c r="AB3941">
        <v>9</v>
      </c>
      <c r="AC3941" t="s">
        <v>310</v>
      </c>
      <c r="AD3941">
        <v>9</v>
      </c>
      <c r="AE3941" t="s">
        <v>1416</v>
      </c>
      <c r="AF3941">
        <v>0</v>
      </c>
      <c r="AG3941" t="s">
        <v>310</v>
      </c>
      <c r="AH3941">
        <f>SUM((MID(Dyno_Data[[#This Row],[Team]],4,5))+(Dyno_Data[[#This Row],[Match]]/100))</f>
        <v>3181.71</v>
      </c>
      <c r="AI3941" s="76">
        <f>ROUND(SUM(IF(Dyno_Data[[#This Row],[AcqCenter]]&gt;0,Dyno_Data[[#This Row],[Time]]-SUMIFS(Dyno_Data[Time],Dyno_Data[Team],Dyno_Data[[#This Row],[Team]],Dyno_Data[RecordType],"StartMatch",Dyno_Data[Match],Dyno_Data[[#This Row],[Match]]),0)*86400),0)</f>
        <v>0</v>
      </c>
    </row>
    <row r="3942" spans="1:35" x14ac:dyDescent="0.3">
      <c r="A3942">
        <v>3935</v>
      </c>
      <c r="B3942" t="s">
        <v>1277</v>
      </c>
      <c r="C3942">
        <v>71</v>
      </c>
      <c r="D3942" s="105">
        <v>45374.457771956018</v>
      </c>
      <c r="E3942" t="s">
        <v>312</v>
      </c>
      <c r="F3942" t="s">
        <v>309</v>
      </c>
      <c r="G3942">
        <v>0</v>
      </c>
      <c r="H3942" t="s">
        <v>1397</v>
      </c>
      <c r="I3942">
        <v>0</v>
      </c>
      <c r="J3942">
        <v>0</v>
      </c>
      <c r="K3942">
        <v>0</v>
      </c>
      <c r="L3942" t="s">
        <v>240</v>
      </c>
      <c r="M3942" t="s">
        <v>1398</v>
      </c>
      <c r="N3942">
        <v>0</v>
      </c>
      <c r="O3942" t="s">
        <v>311</v>
      </c>
      <c r="P3942" t="s">
        <v>310</v>
      </c>
      <c r="Q3942" t="s">
        <v>310</v>
      </c>
      <c r="R3942" t="s">
        <v>310</v>
      </c>
      <c r="S3942">
        <v>9</v>
      </c>
      <c r="T3942" t="s">
        <v>310</v>
      </c>
      <c r="U3942">
        <v>9</v>
      </c>
      <c r="V3942">
        <v>9</v>
      </c>
      <c r="W3942">
        <v>0</v>
      </c>
      <c r="X3942">
        <v>0</v>
      </c>
      <c r="Y3942">
        <v>0</v>
      </c>
      <c r="Z3942">
        <v>0</v>
      </c>
      <c r="AA3942">
        <v>9</v>
      </c>
      <c r="AB3942">
        <v>9</v>
      </c>
      <c r="AC3942" t="s">
        <v>310</v>
      </c>
      <c r="AD3942">
        <v>9</v>
      </c>
      <c r="AE3942" t="s">
        <v>1412</v>
      </c>
      <c r="AF3942">
        <v>0</v>
      </c>
      <c r="AG3942" t="s">
        <v>310</v>
      </c>
      <c r="AH3942">
        <f>SUM((MID(Dyno_Data[[#This Row],[Team]],4,5))+(Dyno_Data[[#This Row],[Match]]/100))</f>
        <v>3360.71</v>
      </c>
      <c r="AI3942" s="76">
        <f>ROUND(SUM(IF(Dyno_Data[[#This Row],[AcqCenter]]&gt;0,Dyno_Data[[#This Row],[Time]]-SUMIFS(Dyno_Data[Time],Dyno_Data[Team],Dyno_Data[[#This Row],[Team]],Dyno_Data[RecordType],"StartMatch",Dyno_Data[Match],Dyno_Data[[#This Row],[Match]]),0)*86400),0)</f>
        <v>0</v>
      </c>
    </row>
    <row r="3943" spans="1:35" x14ac:dyDescent="0.3">
      <c r="A3943">
        <v>3936</v>
      </c>
      <c r="B3943" t="s">
        <v>1315</v>
      </c>
      <c r="C3943">
        <v>71</v>
      </c>
      <c r="D3943" s="105">
        <v>45374.457772650465</v>
      </c>
      <c r="E3943" t="s">
        <v>312</v>
      </c>
      <c r="F3943" t="s">
        <v>309</v>
      </c>
      <c r="G3943">
        <v>0</v>
      </c>
      <c r="H3943" t="s">
        <v>1397</v>
      </c>
      <c r="I3943">
        <v>0</v>
      </c>
      <c r="J3943">
        <v>0</v>
      </c>
      <c r="K3943">
        <v>0</v>
      </c>
      <c r="L3943" t="s">
        <v>240</v>
      </c>
      <c r="M3943" t="s">
        <v>1398</v>
      </c>
      <c r="N3943">
        <v>0</v>
      </c>
      <c r="O3943" t="s">
        <v>1389</v>
      </c>
      <c r="P3943" t="s">
        <v>310</v>
      </c>
      <c r="Q3943" t="s">
        <v>310</v>
      </c>
      <c r="R3943" t="s">
        <v>310</v>
      </c>
      <c r="S3943">
        <v>9</v>
      </c>
      <c r="T3943" t="s">
        <v>310</v>
      </c>
      <c r="U3943">
        <v>9</v>
      </c>
      <c r="V3943">
        <v>9</v>
      </c>
      <c r="W3943">
        <v>0</v>
      </c>
      <c r="X3943">
        <v>0</v>
      </c>
      <c r="Y3943">
        <v>0</v>
      </c>
      <c r="Z3943">
        <v>0</v>
      </c>
      <c r="AA3943">
        <v>9</v>
      </c>
      <c r="AB3943">
        <v>9</v>
      </c>
      <c r="AC3943" t="s">
        <v>310</v>
      </c>
      <c r="AD3943">
        <v>9</v>
      </c>
      <c r="AE3943" t="s">
        <v>1418</v>
      </c>
      <c r="AF3943">
        <v>0</v>
      </c>
      <c r="AG3943" t="s">
        <v>310</v>
      </c>
      <c r="AH3943">
        <f>SUM((MID(Dyno_Data[[#This Row],[Team]],4,5))+(Dyno_Data[[#This Row],[Match]]/100))</f>
        <v>1511.71</v>
      </c>
      <c r="AI3943" s="76">
        <f>ROUND(SUM(IF(Dyno_Data[[#This Row],[AcqCenter]]&gt;0,Dyno_Data[[#This Row],[Time]]-SUMIFS(Dyno_Data[Time],Dyno_Data[Team],Dyno_Data[[#This Row],[Team]],Dyno_Data[RecordType],"StartMatch",Dyno_Data[Match],Dyno_Data[[#This Row],[Match]]),0)*86400),0)</f>
        <v>0</v>
      </c>
    </row>
    <row r="3944" spans="1:35" x14ac:dyDescent="0.3">
      <c r="A3944">
        <v>3937</v>
      </c>
      <c r="B3944" t="s">
        <v>1285</v>
      </c>
      <c r="C3944">
        <v>71</v>
      </c>
      <c r="D3944" s="105">
        <v>45374.457778587966</v>
      </c>
      <c r="E3944" t="s">
        <v>312</v>
      </c>
      <c r="F3944" t="s">
        <v>309</v>
      </c>
      <c r="G3944">
        <v>0</v>
      </c>
      <c r="H3944" t="s">
        <v>1397</v>
      </c>
      <c r="I3944">
        <v>0</v>
      </c>
      <c r="J3944">
        <v>0</v>
      </c>
      <c r="K3944">
        <v>0</v>
      </c>
      <c r="L3944" t="s">
        <v>241</v>
      </c>
      <c r="M3944" t="s">
        <v>1398</v>
      </c>
      <c r="N3944">
        <v>1</v>
      </c>
      <c r="O3944" t="s">
        <v>1391</v>
      </c>
      <c r="P3944" t="s">
        <v>310</v>
      </c>
      <c r="Q3944" t="s">
        <v>310</v>
      </c>
      <c r="R3944" t="s">
        <v>310</v>
      </c>
      <c r="S3944">
        <v>9</v>
      </c>
      <c r="T3944" t="s">
        <v>310</v>
      </c>
      <c r="U3944">
        <v>9</v>
      </c>
      <c r="V3944">
        <v>9</v>
      </c>
      <c r="W3944">
        <v>0</v>
      </c>
      <c r="X3944">
        <v>0</v>
      </c>
      <c r="Y3944">
        <v>0</v>
      </c>
      <c r="Z3944">
        <v>0</v>
      </c>
      <c r="AA3944">
        <v>9</v>
      </c>
      <c r="AB3944">
        <v>9</v>
      </c>
      <c r="AC3944" t="s">
        <v>310</v>
      </c>
      <c r="AD3944">
        <v>9</v>
      </c>
      <c r="AE3944" t="s">
        <v>1417</v>
      </c>
      <c r="AF3944">
        <v>0</v>
      </c>
      <c r="AG3944" t="s">
        <v>310</v>
      </c>
      <c r="AH3944">
        <f>SUM((MID(Dyno_Data[[#This Row],[Team]],4,5))+(Dyno_Data[[#This Row],[Match]]/100))</f>
        <v>5993.71</v>
      </c>
      <c r="AI3944" s="76">
        <f>ROUND(SUM(IF(Dyno_Data[[#This Row],[AcqCenter]]&gt;0,Dyno_Data[[#This Row],[Time]]-SUMIFS(Dyno_Data[Time],Dyno_Data[Team],Dyno_Data[[#This Row],[Team]],Dyno_Data[RecordType],"StartMatch",Dyno_Data[Match],Dyno_Data[[#This Row],[Match]]),0)*86400),0)</f>
        <v>0</v>
      </c>
    </row>
    <row r="3945" spans="1:35" x14ac:dyDescent="0.3">
      <c r="A3945">
        <v>3938</v>
      </c>
      <c r="B3945" t="s">
        <v>1298</v>
      </c>
      <c r="C3945">
        <v>71</v>
      </c>
      <c r="D3945" s="105">
        <v>45374.457798923613</v>
      </c>
      <c r="E3945" t="s">
        <v>312</v>
      </c>
      <c r="F3945" t="s">
        <v>309</v>
      </c>
      <c r="G3945">
        <v>0</v>
      </c>
      <c r="H3945" t="s">
        <v>1397</v>
      </c>
      <c r="I3945">
        <v>0</v>
      </c>
      <c r="J3945">
        <v>0</v>
      </c>
      <c r="K3945">
        <v>0</v>
      </c>
      <c r="L3945" t="s">
        <v>240</v>
      </c>
      <c r="M3945" t="s">
        <v>1398</v>
      </c>
      <c r="N3945">
        <v>0</v>
      </c>
      <c r="O3945" t="s">
        <v>1395</v>
      </c>
      <c r="P3945" t="s">
        <v>310</v>
      </c>
      <c r="Q3945" t="s">
        <v>310</v>
      </c>
      <c r="R3945" t="s">
        <v>310</v>
      </c>
      <c r="S3945">
        <v>9</v>
      </c>
      <c r="T3945" t="s">
        <v>310</v>
      </c>
      <c r="U3945">
        <v>9</v>
      </c>
      <c r="V3945">
        <v>9</v>
      </c>
      <c r="W3945">
        <v>0</v>
      </c>
      <c r="X3945">
        <v>0</v>
      </c>
      <c r="Y3945">
        <v>0</v>
      </c>
      <c r="Z3945">
        <v>0</v>
      </c>
      <c r="AA3945">
        <v>9</v>
      </c>
      <c r="AB3945">
        <v>9</v>
      </c>
      <c r="AC3945" t="s">
        <v>310</v>
      </c>
      <c r="AD3945">
        <v>9</v>
      </c>
      <c r="AE3945" t="s">
        <v>1414</v>
      </c>
      <c r="AF3945">
        <v>0</v>
      </c>
      <c r="AG3945" t="s">
        <v>310</v>
      </c>
      <c r="AH3945">
        <f>SUM((MID(Dyno_Data[[#This Row],[Team]],4,5))+(Dyno_Data[[#This Row],[Match]]/100))</f>
        <v>9624.7099999999991</v>
      </c>
      <c r="AI3945" s="76">
        <f>ROUND(SUM(IF(Dyno_Data[[#This Row],[AcqCenter]]&gt;0,Dyno_Data[[#This Row],[Time]]-SUMIFS(Dyno_Data[Time],Dyno_Data[Team],Dyno_Data[[#This Row],[Team]],Dyno_Data[RecordType],"StartMatch",Dyno_Data[Match],Dyno_Data[[#This Row],[Match]]),0)*86400),0)</f>
        <v>0</v>
      </c>
    </row>
    <row r="3946" spans="1:35" x14ac:dyDescent="0.3">
      <c r="A3946">
        <v>3939</v>
      </c>
      <c r="B3946" t="s">
        <v>1277</v>
      </c>
      <c r="C3946">
        <v>71</v>
      </c>
      <c r="D3946" s="105">
        <v>45374.457822418983</v>
      </c>
      <c r="E3946" t="s">
        <v>312</v>
      </c>
      <c r="F3946" t="s">
        <v>309</v>
      </c>
      <c r="G3946">
        <v>0</v>
      </c>
      <c r="H3946" t="s">
        <v>315</v>
      </c>
      <c r="I3946">
        <v>0</v>
      </c>
      <c r="J3946">
        <v>0</v>
      </c>
      <c r="K3946">
        <v>0</v>
      </c>
      <c r="L3946" t="s">
        <v>240</v>
      </c>
      <c r="M3946" t="s">
        <v>1398</v>
      </c>
      <c r="N3946">
        <v>0</v>
      </c>
      <c r="O3946" t="s">
        <v>311</v>
      </c>
      <c r="P3946" t="s">
        <v>310</v>
      </c>
      <c r="Q3946" t="s">
        <v>310</v>
      </c>
      <c r="R3946" t="s">
        <v>310</v>
      </c>
      <c r="S3946">
        <v>9</v>
      </c>
      <c r="T3946" t="s">
        <v>310</v>
      </c>
      <c r="U3946">
        <v>9</v>
      </c>
      <c r="V3946">
        <v>9</v>
      </c>
      <c r="W3946">
        <v>0</v>
      </c>
      <c r="X3946">
        <v>0</v>
      </c>
      <c r="Y3946">
        <v>0</v>
      </c>
      <c r="Z3946">
        <v>0</v>
      </c>
      <c r="AA3946">
        <v>9</v>
      </c>
      <c r="AB3946">
        <v>9</v>
      </c>
      <c r="AC3946" t="s">
        <v>310</v>
      </c>
      <c r="AD3946">
        <v>9</v>
      </c>
      <c r="AE3946" t="s">
        <v>1412</v>
      </c>
      <c r="AF3946">
        <v>10000000</v>
      </c>
      <c r="AG3946" t="s">
        <v>310</v>
      </c>
      <c r="AH3946">
        <f>SUM((MID(Dyno_Data[[#This Row],[Team]],4,5))+(Dyno_Data[[#This Row],[Match]]/100))</f>
        <v>3360.71</v>
      </c>
      <c r="AI3946" s="76">
        <f>ROUND(SUM(IF(Dyno_Data[[#This Row],[AcqCenter]]&gt;0,Dyno_Data[[#This Row],[Time]]-SUMIFS(Dyno_Data[Time],Dyno_Data[Team],Dyno_Data[[#This Row],[Team]],Dyno_Data[RecordType],"StartMatch",Dyno_Data[Match],Dyno_Data[[#This Row],[Match]]),0)*86400),0)</f>
        <v>0</v>
      </c>
    </row>
    <row r="3947" spans="1:35" x14ac:dyDescent="0.3">
      <c r="A3947">
        <v>3940</v>
      </c>
      <c r="B3947" t="s">
        <v>1315</v>
      </c>
      <c r="C3947">
        <v>71</v>
      </c>
      <c r="D3947" s="105">
        <v>45374.457857488429</v>
      </c>
      <c r="E3947" t="s">
        <v>312</v>
      </c>
      <c r="F3947" t="s">
        <v>309</v>
      </c>
      <c r="G3947">
        <v>0</v>
      </c>
      <c r="H3947" t="s">
        <v>315</v>
      </c>
      <c r="I3947">
        <v>0</v>
      </c>
      <c r="J3947">
        <v>0</v>
      </c>
      <c r="K3947">
        <v>0</v>
      </c>
      <c r="L3947" t="s">
        <v>240</v>
      </c>
      <c r="M3947" t="s">
        <v>1398</v>
      </c>
      <c r="N3947">
        <v>0</v>
      </c>
      <c r="O3947" t="s">
        <v>1389</v>
      </c>
      <c r="P3947" t="s">
        <v>310</v>
      </c>
      <c r="Q3947" t="s">
        <v>310</v>
      </c>
      <c r="R3947" t="s">
        <v>310</v>
      </c>
      <c r="S3947">
        <v>9</v>
      </c>
      <c r="T3947" t="s">
        <v>310</v>
      </c>
      <c r="U3947">
        <v>9</v>
      </c>
      <c r="V3947">
        <v>9</v>
      </c>
      <c r="W3947">
        <v>0</v>
      </c>
      <c r="X3947">
        <v>0</v>
      </c>
      <c r="Y3947">
        <v>0</v>
      </c>
      <c r="Z3947">
        <v>0</v>
      </c>
      <c r="AA3947">
        <v>9</v>
      </c>
      <c r="AB3947">
        <v>9</v>
      </c>
      <c r="AC3947" t="s">
        <v>310</v>
      </c>
      <c r="AD3947">
        <v>9</v>
      </c>
      <c r="AE3947" t="s">
        <v>1418</v>
      </c>
      <c r="AF3947">
        <v>10000000</v>
      </c>
      <c r="AG3947" t="s">
        <v>310</v>
      </c>
      <c r="AH3947">
        <f>SUM((MID(Dyno_Data[[#This Row],[Team]],4,5))+(Dyno_Data[[#This Row],[Match]]/100))</f>
        <v>1511.71</v>
      </c>
      <c r="AI3947" s="76">
        <f>ROUND(SUM(IF(Dyno_Data[[#This Row],[AcqCenter]]&gt;0,Dyno_Data[[#This Row],[Time]]-SUMIFS(Dyno_Data[Time],Dyno_Data[Team],Dyno_Data[[#This Row],[Team]],Dyno_Data[RecordType],"StartMatch",Dyno_Data[Match],Dyno_Data[[#This Row],[Match]]),0)*86400),0)</f>
        <v>0</v>
      </c>
    </row>
    <row r="3948" spans="1:35" x14ac:dyDescent="0.3">
      <c r="A3948">
        <v>3941</v>
      </c>
      <c r="B3948" t="s">
        <v>1277</v>
      </c>
      <c r="C3948">
        <v>71</v>
      </c>
      <c r="D3948" s="105">
        <v>45374.45787056713</v>
      </c>
      <c r="E3948" t="s">
        <v>312</v>
      </c>
      <c r="F3948" t="s">
        <v>309</v>
      </c>
      <c r="G3948">
        <v>0</v>
      </c>
      <c r="H3948" t="s">
        <v>315</v>
      </c>
      <c r="I3948">
        <v>0</v>
      </c>
      <c r="J3948">
        <v>0</v>
      </c>
      <c r="K3948">
        <v>0</v>
      </c>
      <c r="L3948" t="s">
        <v>241</v>
      </c>
      <c r="M3948" t="s">
        <v>1398</v>
      </c>
      <c r="N3948">
        <v>0</v>
      </c>
      <c r="O3948" t="s">
        <v>311</v>
      </c>
      <c r="P3948" t="s">
        <v>310</v>
      </c>
      <c r="Q3948" t="s">
        <v>310</v>
      </c>
      <c r="R3948" t="s">
        <v>310</v>
      </c>
      <c r="S3948">
        <v>9</v>
      </c>
      <c r="T3948" t="s">
        <v>310</v>
      </c>
      <c r="U3948">
        <v>9</v>
      </c>
      <c r="V3948">
        <v>9</v>
      </c>
      <c r="W3948">
        <v>0</v>
      </c>
      <c r="X3948">
        <v>0</v>
      </c>
      <c r="Y3948">
        <v>0</v>
      </c>
      <c r="Z3948">
        <v>0</v>
      </c>
      <c r="AA3948">
        <v>9</v>
      </c>
      <c r="AB3948">
        <v>9</v>
      </c>
      <c r="AC3948" t="s">
        <v>310</v>
      </c>
      <c r="AD3948">
        <v>9</v>
      </c>
      <c r="AE3948" t="s">
        <v>1412</v>
      </c>
      <c r="AF3948">
        <v>20000000</v>
      </c>
      <c r="AG3948" t="s">
        <v>310</v>
      </c>
      <c r="AH3948">
        <f>SUM((MID(Dyno_Data[[#This Row],[Team]],4,5))+(Dyno_Data[[#This Row],[Match]]/100))</f>
        <v>3360.71</v>
      </c>
      <c r="AI3948" s="76">
        <f>ROUND(SUM(IF(Dyno_Data[[#This Row],[AcqCenter]]&gt;0,Dyno_Data[[#This Row],[Time]]-SUMIFS(Dyno_Data[Time],Dyno_Data[Team],Dyno_Data[[#This Row],[Team]],Dyno_Data[RecordType],"StartMatch",Dyno_Data[Match],Dyno_Data[[#This Row],[Match]]),0)*86400),0)</f>
        <v>0</v>
      </c>
    </row>
    <row r="3949" spans="1:35" x14ac:dyDescent="0.3">
      <c r="A3949">
        <v>3942</v>
      </c>
      <c r="B3949" t="s">
        <v>1277</v>
      </c>
      <c r="C3949">
        <v>71</v>
      </c>
      <c r="D3949" s="105">
        <v>45374.457914618055</v>
      </c>
      <c r="E3949" t="s">
        <v>312</v>
      </c>
      <c r="F3949" t="s">
        <v>309</v>
      </c>
      <c r="G3949">
        <v>0</v>
      </c>
      <c r="H3949" t="s">
        <v>315</v>
      </c>
      <c r="I3949">
        <v>0</v>
      </c>
      <c r="J3949">
        <v>0</v>
      </c>
      <c r="K3949">
        <v>0</v>
      </c>
      <c r="L3949" t="s">
        <v>241</v>
      </c>
      <c r="M3949" t="s">
        <v>1398</v>
      </c>
      <c r="N3949">
        <v>0</v>
      </c>
      <c r="O3949" t="s">
        <v>311</v>
      </c>
      <c r="P3949" t="s">
        <v>310</v>
      </c>
      <c r="Q3949" t="s">
        <v>310</v>
      </c>
      <c r="R3949" t="s">
        <v>310</v>
      </c>
      <c r="S3949">
        <v>9</v>
      </c>
      <c r="T3949" t="s">
        <v>310</v>
      </c>
      <c r="U3949">
        <v>9</v>
      </c>
      <c r="V3949">
        <v>9</v>
      </c>
      <c r="W3949">
        <v>0</v>
      </c>
      <c r="X3949">
        <v>0</v>
      </c>
      <c r="Y3949">
        <v>0</v>
      </c>
      <c r="Z3949">
        <v>0</v>
      </c>
      <c r="AA3949">
        <v>9</v>
      </c>
      <c r="AB3949">
        <v>9</v>
      </c>
      <c r="AC3949" t="s">
        <v>310</v>
      </c>
      <c r="AD3949">
        <v>9</v>
      </c>
      <c r="AE3949" t="s">
        <v>1412</v>
      </c>
      <c r="AF3949">
        <v>30000000</v>
      </c>
      <c r="AG3949" t="s">
        <v>310</v>
      </c>
      <c r="AH3949">
        <f>SUM((MID(Dyno_Data[[#This Row],[Team]],4,5))+(Dyno_Data[[#This Row],[Match]]/100))</f>
        <v>3360.71</v>
      </c>
      <c r="AI3949" s="76">
        <f>ROUND(SUM(IF(Dyno_Data[[#This Row],[AcqCenter]]&gt;0,Dyno_Data[[#This Row],[Time]]-SUMIFS(Dyno_Data[Time],Dyno_Data[Team],Dyno_Data[[#This Row],[Team]],Dyno_Data[RecordType],"StartMatch",Dyno_Data[Match],Dyno_Data[[#This Row],[Match]]),0)*86400),0)</f>
        <v>0</v>
      </c>
    </row>
    <row r="3950" spans="1:35" x14ac:dyDescent="0.3">
      <c r="A3950">
        <v>3944</v>
      </c>
      <c r="B3950" t="s">
        <v>1277</v>
      </c>
      <c r="C3950">
        <v>71</v>
      </c>
      <c r="D3950" s="105">
        <v>45374.457945173614</v>
      </c>
      <c r="E3950" t="s">
        <v>314</v>
      </c>
      <c r="F3950" t="s">
        <v>309</v>
      </c>
      <c r="G3950">
        <v>1</v>
      </c>
      <c r="H3950" t="s">
        <v>310</v>
      </c>
      <c r="I3950">
        <v>0</v>
      </c>
      <c r="J3950">
        <v>0</v>
      </c>
      <c r="K3950">
        <v>0</v>
      </c>
      <c r="L3950" t="s">
        <v>310</v>
      </c>
      <c r="M3950" t="s">
        <v>310</v>
      </c>
      <c r="N3950">
        <v>0</v>
      </c>
      <c r="O3950" t="s">
        <v>311</v>
      </c>
      <c r="P3950" t="s">
        <v>240</v>
      </c>
      <c r="Q3950" t="s">
        <v>1399</v>
      </c>
      <c r="R3950" t="s">
        <v>310</v>
      </c>
      <c r="S3950">
        <v>9</v>
      </c>
      <c r="T3950" t="s">
        <v>310</v>
      </c>
      <c r="U3950">
        <v>9</v>
      </c>
      <c r="V3950">
        <v>9</v>
      </c>
      <c r="W3950">
        <v>0</v>
      </c>
      <c r="X3950">
        <v>0</v>
      </c>
      <c r="Y3950">
        <v>0</v>
      </c>
      <c r="Z3950">
        <v>0</v>
      </c>
      <c r="AA3950">
        <v>9</v>
      </c>
      <c r="AB3950">
        <v>9</v>
      </c>
      <c r="AC3950" t="s">
        <v>310</v>
      </c>
      <c r="AD3950">
        <v>9</v>
      </c>
      <c r="AE3950" t="s">
        <v>1412</v>
      </c>
      <c r="AF3950">
        <v>30000000</v>
      </c>
      <c r="AG3950" t="s">
        <v>310</v>
      </c>
      <c r="AH3950">
        <f>SUM((MID(Dyno_Data[[#This Row],[Team]],4,5))+(Dyno_Data[[#This Row],[Match]]/100))</f>
        <v>3360.71</v>
      </c>
      <c r="AI3950" s="76">
        <f>ROUND(SUM(IF(Dyno_Data[[#This Row],[AcqCenter]]&gt;0,Dyno_Data[[#This Row],[Time]]-SUMIFS(Dyno_Data[Time],Dyno_Data[Team],Dyno_Data[[#This Row],[Team]],Dyno_Data[RecordType],"StartMatch",Dyno_Data[Match],Dyno_Data[[#This Row],[Match]]),0)*86400),0)</f>
        <v>0</v>
      </c>
    </row>
    <row r="3951" spans="1:35" x14ac:dyDescent="0.3">
      <c r="A3951">
        <v>3946</v>
      </c>
      <c r="B3951" t="s">
        <v>1285</v>
      </c>
      <c r="C3951">
        <v>71</v>
      </c>
      <c r="D3951" s="105">
        <v>45374.457947303243</v>
      </c>
      <c r="E3951" t="s">
        <v>314</v>
      </c>
      <c r="F3951" t="s">
        <v>309</v>
      </c>
      <c r="G3951">
        <v>0</v>
      </c>
      <c r="H3951" t="s">
        <v>310</v>
      </c>
      <c r="I3951">
        <v>0</v>
      </c>
      <c r="J3951">
        <v>0</v>
      </c>
      <c r="K3951">
        <v>0</v>
      </c>
      <c r="L3951" t="s">
        <v>310</v>
      </c>
      <c r="M3951" t="s">
        <v>310</v>
      </c>
      <c r="N3951">
        <v>0</v>
      </c>
      <c r="O3951" t="s">
        <v>1391</v>
      </c>
      <c r="P3951" t="s">
        <v>101</v>
      </c>
      <c r="Q3951" t="s">
        <v>1400</v>
      </c>
      <c r="R3951" t="s">
        <v>310</v>
      </c>
      <c r="S3951">
        <v>9</v>
      </c>
      <c r="T3951" t="s">
        <v>310</v>
      </c>
      <c r="U3951">
        <v>9</v>
      </c>
      <c r="V3951">
        <v>9</v>
      </c>
      <c r="W3951">
        <v>0</v>
      </c>
      <c r="X3951">
        <v>0</v>
      </c>
      <c r="Y3951">
        <v>0</v>
      </c>
      <c r="Z3951">
        <v>0</v>
      </c>
      <c r="AA3951">
        <v>9</v>
      </c>
      <c r="AB3951">
        <v>9</v>
      </c>
      <c r="AC3951" t="s">
        <v>310</v>
      </c>
      <c r="AD3951">
        <v>9</v>
      </c>
      <c r="AE3951" t="s">
        <v>1417</v>
      </c>
      <c r="AF3951">
        <v>0</v>
      </c>
      <c r="AG3951" t="s">
        <v>310</v>
      </c>
      <c r="AH3951">
        <f>SUM((MID(Dyno_Data[[#This Row],[Team]],4,5))+(Dyno_Data[[#This Row],[Match]]/100))</f>
        <v>5993.71</v>
      </c>
      <c r="AI3951" s="76">
        <f>ROUND(SUM(IF(Dyno_Data[[#This Row],[AcqCenter]]&gt;0,Dyno_Data[[#This Row],[Time]]-SUMIFS(Dyno_Data[Time],Dyno_Data[Team],Dyno_Data[[#This Row],[Team]],Dyno_Data[RecordType],"StartMatch",Dyno_Data[Match],Dyno_Data[[#This Row],[Match]]),0)*86400),0)</f>
        <v>0</v>
      </c>
    </row>
    <row r="3952" spans="1:35" x14ac:dyDescent="0.3">
      <c r="A3952">
        <v>3948</v>
      </c>
      <c r="B3952" t="s">
        <v>318</v>
      </c>
      <c r="C3952">
        <v>71</v>
      </c>
      <c r="D3952" s="105">
        <v>45374.457948067131</v>
      </c>
      <c r="E3952" t="s">
        <v>314</v>
      </c>
      <c r="F3952" t="s">
        <v>309</v>
      </c>
      <c r="G3952">
        <v>0</v>
      </c>
      <c r="H3952" t="s">
        <v>310</v>
      </c>
      <c r="I3952">
        <v>0</v>
      </c>
      <c r="J3952">
        <v>0</v>
      </c>
      <c r="K3952">
        <v>0</v>
      </c>
      <c r="L3952" t="s">
        <v>310</v>
      </c>
      <c r="M3952" t="s">
        <v>310</v>
      </c>
      <c r="N3952">
        <v>0</v>
      </c>
      <c r="O3952" t="s">
        <v>1393</v>
      </c>
      <c r="P3952" t="s">
        <v>1401</v>
      </c>
      <c r="Q3952" t="s">
        <v>1400</v>
      </c>
      <c r="R3952" t="s">
        <v>310</v>
      </c>
      <c r="S3952">
        <v>9</v>
      </c>
      <c r="T3952" t="s">
        <v>310</v>
      </c>
      <c r="U3952">
        <v>9</v>
      </c>
      <c r="V3952">
        <v>9</v>
      </c>
      <c r="W3952">
        <v>0</v>
      </c>
      <c r="X3952">
        <v>0</v>
      </c>
      <c r="Y3952">
        <v>0</v>
      </c>
      <c r="Z3952">
        <v>0</v>
      </c>
      <c r="AA3952">
        <v>9</v>
      </c>
      <c r="AB3952">
        <v>9</v>
      </c>
      <c r="AC3952" t="s">
        <v>310</v>
      </c>
      <c r="AD3952">
        <v>9</v>
      </c>
      <c r="AE3952" t="s">
        <v>1413</v>
      </c>
      <c r="AF3952">
        <v>0</v>
      </c>
      <c r="AG3952" t="s">
        <v>310</v>
      </c>
      <c r="AH3952">
        <f>SUM((MID(Dyno_Data[[#This Row],[Team]],4,5))+(Dyno_Data[[#This Row],[Match]]/100))</f>
        <v>639.71</v>
      </c>
      <c r="AI3952" s="76">
        <f>ROUND(SUM(IF(Dyno_Data[[#This Row],[AcqCenter]]&gt;0,Dyno_Data[[#This Row],[Time]]-SUMIFS(Dyno_Data[Time],Dyno_Data[Team],Dyno_Data[[#This Row],[Team]],Dyno_Data[RecordType],"StartMatch",Dyno_Data[Match],Dyno_Data[[#This Row],[Match]]),0)*86400),0)</f>
        <v>0</v>
      </c>
    </row>
    <row r="3953" spans="1:35" x14ac:dyDescent="0.3">
      <c r="A3953">
        <v>3950</v>
      </c>
      <c r="B3953" t="s">
        <v>1288</v>
      </c>
      <c r="C3953">
        <v>71</v>
      </c>
      <c r="D3953" s="105">
        <v>45374.457949502314</v>
      </c>
      <c r="E3953" t="s">
        <v>314</v>
      </c>
      <c r="F3953" t="s">
        <v>309</v>
      </c>
      <c r="G3953">
        <v>1</v>
      </c>
      <c r="H3953" t="s">
        <v>310</v>
      </c>
      <c r="I3953">
        <v>0</v>
      </c>
      <c r="J3953">
        <v>0</v>
      </c>
      <c r="K3953">
        <v>0</v>
      </c>
      <c r="L3953" t="s">
        <v>310</v>
      </c>
      <c r="M3953" t="s">
        <v>310</v>
      </c>
      <c r="N3953">
        <v>0</v>
      </c>
      <c r="O3953" t="s">
        <v>319</v>
      </c>
      <c r="P3953" t="s">
        <v>1401</v>
      </c>
      <c r="Q3953" t="s">
        <v>1400</v>
      </c>
      <c r="R3953" t="s">
        <v>310</v>
      </c>
      <c r="S3953">
        <v>9</v>
      </c>
      <c r="T3953" t="s">
        <v>310</v>
      </c>
      <c r="U3953">
        <v>9</v>
      </c>
      <c r="V3953">
        <v>9</v>
      </c>
      <c r="W3953">
        <v>0</v>
      </c>
      <c r="X3953">
        <v>0</v>
      </c>
      <c r="Y3953">
        <v>0</v>
      </c>
      <c r="Z3953">
        <v>0</v>
      </c>
      <c r="AA3953">
        <v>9</v>
      </c>
      <c r="AB3953">
        <v>9</v>
      </c>
      <c r="AC3953" t="s">
        <v>310</v>
      </c>
      <c r="AD3953">
        <v>9</v>
      </c>
      <c r="AE3953" t="s">
        <v>1416</v>
      </c>
      <c r="AF3953">
        <v>0</v>
      </c>
      <c r="AG3953" t="s">
        <v>310</v>
      </c>
      <c r="AH3953">
        <f>SUM((MID(Dyno_Data[[#This Row],[Team]],4,5))+(Dyno_Data[[#This Row],[Match]]/100))</f>
        <v>3181.71</v>
      </c>
      <c r="AI3953" s="76">
        <f>ROUND(SUM(IF(Dyno_Data[[#This Row],[AcqCenter]]&gt;0,Dyno_Data[[#This Row],[Time]]-SUMIFS(Dyno_Data[Time],Dyno_Data[Team],Dyno_Data[[#This Row],[Team]],Dyno_Data[RecordType],"StartMatch",Dyno_Data[Match],Dyno_Data[[#This Row],[Match]]),0)*86400),0)</f>
        <v>0</v>
      </c>
    </row>
    <row r="3954" spans="1:35" x14ac:dyDescent="0.3">
      <c r="A3954">
        <v>3952</v>
      </c>
      <c r="B3954" t="s">
        <v>1298</v>
      </c>
      <c r="C3954">
        <v>71</v>
      </c>
      <c r="D3954" s="105">
        <v>45374.457958483799</v>
      </c>
      <c r="E3954" t="s">
        <v>314</v>
      </c>
      <c r="F3954" t="s">
        <v>309</v>
      </c>
      <c r="G3954">
        <v>1</v>
      </c>
      <c r="H3954" t="s">
        <v>310</v>
      </c>
      <c r="I3954">
        <v>0</v>
      </c>
      <c r="J3954">
        <v>0</v>
      </c>
      <c r="K3954">
        <v>0</v>
      </c>
      <c r="L3954" t="s">
        <v>310</v>
      </c>
      <c r="M3954" t="s">
        <v>310</v>
      </c>
      <c r="N3954">
        <v>0</v>
      </c>
      <c r="O3954" t="s">
        <v>1395</v>
      </c>
      <c r="P3954" t="s">
        <v>240</v>
      </c>
      <c r="Q3954" t="s">
        <v>1400</v>
      </c>
      <c r="R3954" t="s">
        <v>310</v>
      </c>
      <c r="S3954">
        <v>9</v>
      </c>
      <c r="T3954" t="s">
        <v>310</v>
      </c>
      <c r="U3954">
        <v>9</v>
      </c>
      <c r="V3954">
        <v>9</v>
      </c>
      <c r="W3954">
        <v>0</v>
      </c>
      <c r="X3954">
        <v>0</v>
      </c>
      <c r="Y3954">
        <v>0</v>
      </c>
      <c r="Z3954">
        <v>0</v>
      </c>
      <c r="AA3954">
        <v>9</v>
      </c>
      <c r="AB3954">
        <v>9</v>
      </c>
      <c r="AC3954" t="s">
        <v>310</v>
      </c>
      <c r="AD3954">
        <v>9</v>
      </c>
      <c r="AE3954" t="s">
        <v>1414</v>
      </c>
      <c r="AF3954">
        <v>0</v>
      </c>
      <c r="AG3954" t="s">
        <v>310</v>
      </c>
      <c r="AH3954">
        <f>SUM((MID(Dyno_Data[[#This Row],[Team]],4,5))+(Dyno_Data[[#This Row],[Match]]/100))</f>
        <v>9624.7099999999991</v>
      </c>
      <c r="AI3954" s="76">
        <f>ROUND(SUM(IF(Dyno_Data[[#This Row],[AcqCenter]]&gt;0,Dyno_Data[[#This Row],[Time]]-SUMIFS(Dyno_Data[Time],Dyno_Data[Team],Dyno_Data[[#This Row],[Team]],Dyno_Data[RecordType],"StartMatch",Dyno_Data[Match],Dyno_Data[[#This Row],[Match]]),0)*86400),0)</f>
        <v>0</v>
      </c>
    </row>
    <row r="3955" spans="1:35" x14ac:dyDescent="0.3">
      <c r="A3955">
        <v>3954</v>
      </c>
      <c r="B3955" t="s">
        <v>1315</v>
      </c>
      <c r="C3955">
        <v>71</v>
      </c>
      <c r="D3955" s="105">
        <v>45374.457961377317</v>
      </c>
      <c r="E3955" t="s">
        <v>314</v>
      </c>
      <c r="F3955" t="s">
        <v>309</v>
      </c>
      <c r="G3955">
        <v>1</v>
      </c>
      <c r="H3955" t="s">
        <v>310</v>
      </c>
      <c r="I3955">
        <v>0</v>
      </c>
      <c r="J3955">
        <v>0</v>
      </c>
      <c r="K3955">
        <v>0</v>
      </c>
      <c r="L3955" t="s">
        <v>310</v>
      </c>
      <c r="M3955" t="s">
        <v>310</v>
      </c>
      <c r="N3955">
        <v>0</v>
      </c>
      <c r="O3955" t="s">
        <v>1389</v>
      </c>
      <c r="P3955" t="s">
        <v>101</v>
      </c>
      <c r="Q3955" t="s">
        <v>1399</v>
      </c>
      <c r="R3955" t="s">
        <v>310</v>
      </c>
      <c r="S3955">
        <v>9</v>
      </c>
      <c r="T3955" t="s">
        <v>310</v>
      </c>
      <c r="U3955">
        <v>9</v>
      </c>
      <c r="V3955">
        <v>9</v>
      </c>
      <c r="W3955">
        <v>0</v>
      </c>
      <c r="X3955">
        <v>0</v>
      </c>
      <c r="Y3955">
        <v>0</v>
      </c>
      <c r="Z3955">
        <v>0</v>
      </c>
      <c r="AA3955">
        <v>9</v>
      </c>
      <c r="AB3955">
        <v>9</v>
      </c>
      <c r="AC3955" t="s">
        <v>310</v>
      </c>
      <c r="AD3955">
        <v>9</v>
      </c>
      <c r="AE3955" t="s">
        <v>1418</v>
      </c>
      <c r="AF3955">
        <v>10000000</v>
      </c>
      <c r="AG3955" t="s">
        <v>310</v>
      </c>
      <c r="AH3955">
        <f>SUM((MID(Dyno_Data[[#This Row],[Team]],4,5))+(Dyno_Data[[#This Row],[Match]]/100))</f>
        <v>1511.71</v>
      </c>
      <c r="AI3955" s="76">
        <f>ROUND(SUM(IF(Dyno_Data[[#This Row],[AcqCenter]]&gt;0,Dyno_Data[[#This Row],[Time]]-SUMIFS(Dyno_Data[Time],Dyno_Data[Team],Dyno_Data[[#This Row],[Team]],Dyno_Data[RecordType],"StartMatch",Dyno_Data[Match],Dyno_Data[[#This Row],[Match]]),0)*86400),0)</f>
        <v>0</v>
      </c>
    </row>
    <row r="3956" spans="1:35" x14ac:dyDescent="0.3">
      <c r="A3956">
        <v>3955</v>
      </c>
      <c r="B3956" t="s">
        <v>318</v>
      </c>
      <c r="C3956">
        <v>71</v>
      </c>
      <c r="D3956" s="105">
        <v>45374.458007638888</v>
      </c>
      <c r="E3956" t="s">
        <v>312</v>
      </c>
      <c r="F3956" t="s">
        <v>1402</v>
      </c>
      <c r="G3956">
        <v>0</v>
      </c>
      <c r="H3956" t="s">
        <v>315</v>
      </c>
      <c r="I3956">
        <v>0</v>
      </c>
      <c r="J3956">
        <v>0</v>
      </c>
      <c r="K3956">
        <v>0</v>
      </c>
      <c r="L3956" t="s">
        <v>240</v>
      </c>
      <c r="M3956" t="s">
        <v>1398</v>
      </c>
      <c r="N3956">
        <v>1</v>
      </c>
      <c r="O3956" t="s">
        <v>1393</v>
      </c>
      <c r="P3956" t="s">
        <v>310</v>
      </c>
      <c r="Q3956" t="s">
        <v>310</v>
      </c>
      <c r="R3956" t="s">
        <v>310</v>
      </c>
      <c r="S3956">
        <v>9</v>
      </c>
      <c r="T3956" t="s">
        <v>310</v>
      </c>
      <c r="U3956">
        <v>9</v>
      </c>
      <c r="V3956">
        <v>9</v>
      </c>
      <c r="W3956">
        <v>0</v>
      </c>
      <c r="X3956">
        <v>0</v>
      </c>
      <c r="Y3956">
        <v>0</v>
      </c>
      <c r="Z3956">
        <v>0</v>
      </c>
      <c r="AA3956">
        <v>9</v>
      </c>
      <c r="AB3956">
        <v>9</v>
      </c>
      <c r="AC3956" t="s">
        <v>310</v>
      </c>
      <c r="AD3956">
        <v>9</v>
      </c>
      <c r="AE3956" t="s">
        <v>1413</v>
      </c>
      <c r="AF3956">
        <v>10000000</v>
      </c>
      <c r="AG3956" t="s">
        <v>310</v>
      </c>
      <c r="AH3956">
        <f>SUM((MID(Dyno_Data[[#This Row],[Team]],4,5))+(Dyno_Data[[#This Row],[Match]]/100))</f>
        <v>639.71</v>
      </c>
      <c r="AI3956" s="76">
        <f>ROUND(SUM(IF(Dyno_Data[[#This Row],[AcqCenter]]&gt;0,Dyno_Data[[#This Row],[Time]]-SUMIFS(Dyno_Data[Time],Dyno_Data[Team],Dyno_Data[[#This Row],[Team]],Dyno_Data[RecordType],"StartMatch",Dyno_Data[Match],Dyno_Data[[#This Row],[Match]]),0)*86400),0)</f>
        <v>0</v>
      </c>
    </row>
    <row r="3957" spans="1:35" x14ac:dyDescent="0.3">
      <c r="A3957">
        <v>3956</v>
      </c>
      <c r="B3957" t="s">
        <v>1298</v>
      </c>
      <c r="C3957">
        <v>71</v>
      </c>
      <c r="D3957" s="105">
        <v>45374.458052395836</v>
      </c>
      <c r="E3957" t="s">
        <v>312</v>
      </c>
      <c r="F3957" t="s">
        <v>1402</v>
      </c>
      <c r="G3957">
        <v>0</v>
      </c>
      <c r="H3957" t="s">
        <v>315</v>
      </c>
      <c r="I3957">
        <v>0</v>
      </c>
      <c r="J3957">
        <v>0</v>
      </c>
      <c r="K3957">
        <v>0</v>
      </c>
      <c r="L3957" t="s">
        <v>241</v>
      </c>
      <c r="M3957" t="s">
        <v>1398</v>
      </c>
      <c r="N3957">
        <v>0</v>
      </c>
      <c r="O3957" t="s">
        <v>1395</v>
      </c>
      <c r="P3957" t="s">
        <v>310</v>
      </c>
      <c r="Q3957" t="s">
        <v>310</v>
      </c>
      <c r="R3957" t="s">
        <v>310</v>
      </c>
      <c r="S3957">
        <v>9</v>
      </c>
      <c r="T3957" t="s">
        <v>310</v>
      </c>
      <c r="U3957">
        <v>9</v>
      </c>
      <c r="V3957">
        <v>9</v>
      </c>
      <c r="W3957">
        <v>0</v>
      </c>
      <c r="X3957">
        <v>0</v>
      </c>
      <c r="Y3957">
        <v>0</v>
      </c>
      <c r="Z3957">
        <v>0</v>
      </c>
      <c r="AA3957">
        <v>9</v>
      </c>
      <c r="AB3957">
        <v>9</v>
      </c>
      <c r="AC3957" t="s">
        <v>310</v>
      </c>
      <c r="AD3957">
        <v>9</v>
      </c>
      <c r="AE3957" t="s">
        <v>1414</v>
      </c>
      <c r="AF3957">
        <v>10000000</v>
      </c>
      <c r="AG3957" t="s">
        <v>310</v>
      </c>
      <c r="AH3957">
        <f>SUM((MID(Dyno_Data[[#This Row],[Team]],4,5))+(Dyno_Data[[#This Row],[Match]]/100))</f>
        <v>9624.7099999999991</v>
      </c>
      <c r="AI3957" s="76">
        <f>ROUND(SUM(IF(Dyno_Data[[#This Row],[AcqCenter]]&gt;0,Dyno_Data[[#This Row],[Time]]-SUMIFS(Dyno_Data[Time],Dyno_Data[Team],Dyno_Data[[#This Row],[Team]],Dyno_Data[RecordType],"StartMatch",Dyno_Data[Match],Dyno_Data[[#This Row],[Match]]),0)*86400),0)</f>
        <v>0</v>
      </c>
    </row>
    <row r="3958" spans="1:35" x14ac:dyDescent="0.3">
      <c r="A3958">
        <v>3957</v>
      </c>
      <c r="B3958" t="s">
        <v>318</v>
      </c>
      <c r="C3958">
        <v>71</v>
      </c>
      <c r="D3958" s="105">
        <v>45374.458111608794</v>
      </c>
      <c r="E3958" t="s">
        <v>312</v>
      </c>
      <c r="F3958" t="s">
        <v>1402</v>
      </c>
      <c r="G3958">
        <v>0</v>
      </c>
      <c r="H3958" t="s">
        <v>315</v>
      </c>
      <c r="I3958">
        <v>0</v>
      </c>
      <c r="J3958">
        <v>0</v>
      </c>
      <c r="K3958">
        <v>0</v>
      </c>
      <c r="L3958" t="s">
        <v>240</v>
      </c>
      <c r="M3958" t="s">
        <v>1398</v>
      </c>
      <c r="N3958">
        <v>0</v>
      </c>
      <c r="O3958" t="s">
        <v>1393</v>
      </c>
      <c r="P3958" t="s">
        <v>310</v>
      </c>
      <c r="Q3958" t="s">
        <v>310</v>
      </c>
      <c r="R3958" t="s">
        <v>310</v>
      </c>
      <c r="S3958">
        <v>9</v>
      </c>
      <c r="T3958" t="s">
        <v>310</v>
      </c>
      <c r="U3958">
        <v>9</v>
      </c>
      <c r="V3958">
        <v>9</v>
      </c>
      <c r="W3958">
        <v>0</v>
      </c>
      <c r="X3958">
        <v>0</v>
      </c>
      <c r="Y3958">
        <v>0</v>
      </c>
      <c r="Z3958">
        <v>0</v>
      </c>
      <c r="AA3958">
        <v>9</v>
      </c>
      <c r="AB3958">
        <v>9</v>
      </c>
      <c r="AC3958" t="s">
        <v>310</v>
      </c>
      <c r="AD3958">
        <v>9</v>
      </c>
      <c r="AE3958" t="s">
        <v>1413</v>
      </c>
      <c r="AF3958">
        <v>20000000</v>
      </c>
      <c r="AG3958" t="s">
        <v>310</v>
      </c>
      <c r="AH3958">
        <f>SUM((MID(Dyno_Data[[#This Row],[Team]],4,5))+(Dyno_Data[[#This Row],[Match]]/100))</f>
        <v>639.71</v>
      </c>
      <c r="AI3958" s="76">
        <f>ROUND(SUM(IF(Dyno_Data[[#This Row],[AcqCenter]]&gt;0,Dyno_Data[[#This Row],[Time]]-SUMIFS(Dyno_Data[Time],Dyno_Data[Team],Dyno_Data[[#This Row],[Team]],Dyno_Data[RecordType],"StartMatch",Dyno_Data[Match],Dyno_Data[[#This Row],[Match]]),0)*86400),0)</f>
        <v>0</v>
      </c>
    </row>
    <row r="3959" spans="1:35" x14ac:dyDescent="0.3">
      <c r="A3959">
        <v>3958</v>
      </c>
      <c r="B3959" t="s">
        <v>1298</v>
      </c>
      <c r="C3959">
        <v>71</v>
      </c>
      <c r="D3959" s="105">
        <v>45374.45814545139</v>
      </c>
      <c r="E3959" t="s">
        <v>312</v>
      </c>
      <c r="F3959" t="s">
        <v>1402</v>
      </c>
      <c r="G3959">
        <v>0</v>
      </c>
      <c r="H3959" t="s">
        <v>315</v>
      </c>
      <c r="I3959">
        <v>0</v>
      </c>
      <c r="J3959">
        <v>0</v>
      </c>
      <c r="K3959">
        <v>0</v>
      </c>
      <c r="L3959" t="s">
        <v>240</v>
      </c>
      <c r="M3959" t="s">
        <v>1398</v>
      </c>
      <c r="N3959">
        <v>0</v>
      </c>
      <c r="O3959" t="s">
        <v>1395</v>
      </c>
      <c r="P3959" t="s">
        <v>310</v>
      </c>
      <c r="Q3959" t="s">
        <v>310</v>
      </c>
      <c r="R3959" t="s">
        <v>310</v>
      </c>
      <c r="S3959">
        <v>9</v>
      </c>
      <c r="T3959" t="s">
        <v>310</v>
      </c>
      <c r="U3959">
        <v>9</v>
      </c>
      <c r="V3959">
        <v>9</v>
      </c>
      <c r="W3959">
        <v>0</v>
      </c>
      <c r="X3959">
        <v>0</v>
      </c>
      <c r="Y3959">
        <v>0</v>
      </c>
      <c r="Z3959">
        <v>0</v>
      </c>
      <c r="AA3959">
        <v>9</v>
      </c>
      <c r="AB3959">
        <v>9</v>
      </c>
      <c r="AC3959" t="s">
        <v>310</v>
      </c>
      <c r="AD3959">
        <v>9</v>
      </c>
      <c r="AE3959" t="s">
        <v>1414</v>
      </c>
      <c r="AF3959">
        <v>20000000</v>
      </c>
      <c r="AG3959" t="s">
        <v>310</v>
      </c>
      <c r="AH3959">
        <f>SUM((MID(Dyno_Data[[#This Row],[Team]],4,5))+(Dyno_Data[[#This Row],[Match]]/100))</f>
        <v>9624.7099999999991</v>
      </c>
      <c r="AI3959" s="76">
        <f>ROUND(SUM(IF(Dyno_Data[[#This Row],[AcqCenter]]&gt;0,Dyno_Data[[#This Row],[Time]]-SUMIFS(Dyno_Data[Time],Dyno_Data[Team],Dyno_Data[[#This Row],[Team]],Dyno_Data[RecordType],"StartMatch",Dyno_Data[Match],Dyno_Data[[#This Row],[Match]]),0)*86400),0)</f>
        <v>0</v>
      </c>
    </row>
    <row r="3960" spans="1:35" x14ac:dyDescent="0.3">
      <c r="A3960">
        <v>3959</v>
      </c>
      <c r="B3960" t="s">
        <v>1277</v>
      </c>
      <c r="C3960">
        <v>71</v>
      </c>
      <c r="D3960" s="105">
        <v>45374.458149652775</v>
      </c>
      <c r="E3960" t="s">
        <v>312</v>
      </c>
      <c r="F3960" t="s">
        <v>1402</v>
      </c>
      <c r="G3960">
        <v>0</v>
      </c>
      <c r="H3960" t="s">
        <v>315</v>
      </c>
      <c r="I3960">
        <v>0</v>
      </c>
      <c r="J3960">
        <v>0</v>
      </c>
      <c r="K3960">
        <v>0</v>
      </c>
      <c r="L3960" t="s">
        <v>241</v>
      </c>
      <c r="M3960" t="s">
        <v>101</v>
      </c>
      <c r="N3960">
        <v>0</v>
      </c>
      <c r="O3960" t="s">
        <v>311</v>
      </c>
      <c r="P3960" t="s">
        <v>310</v>
      </c>
      <c r="Q3960" t="s">
        <v>310</v>
      </c>
      <c r="R3960" t="s">
        <v>310</v>
      </c>
      <c r="S3960">
        <v>9</v>
      </c>
      <c r="T3960" t="s">
        <v>310</v>
      </c>
      <c r="U3960">
        <v>9</v>
      </c>
      <c r="V3960">
        <v>9</v>
      </c>
      <c r="W3960">
        <v>0</v>
      </c>
      <c r="X3960">
        <v>0</v>
      </c>
      <c r="Y3960">
        <v>0</v>
      </c>
      <c r="Z3960">
        <v>0</v>
      </c>
      <c r="AA3960">
        <v>9</v>
      </c>
      <c r="AB3960">
        <v>9</v>
      </c>
      <c r="AC3960" t="s">
        <v>310</v>
      </c>
      <c r="AD3960">
        <v>9</v>
      </c>
      <c r="AE3960" t="s">
        <v>1412</v>
      </c>
      <c r="AF3960">
        <v>40000000</v>
      </c>
      <c r="AG3960" t="s">
        <v>310</v>
      </c>
      <c r="AH3960">
        <f>SUM((MID(Dyno_Data[[#This Row],[Team]],4,5))+(Dyno_Data[[#This Row],[Match]]/100))</f>
        <v>3360.71</v>
      </c>
      <c r="AI3960" s="76">
        <f>ROUND(SUM(IF(Dyno_Data[[#This Row],[AcqCenter]]&gt;0,Dyno_Data[[#This Row],[Time]]-SUMIFS(Dyno_Data[Time],Dyno_Data[Team],Dyno_Data[[#This Row],[Team]],Dyno_Data[RecordType],"StartMatch",Dyno_Data[Match],Dyno_Data[[#This Row],[Match]]),0)*86400),0)</f>
        <v>0</v>
      </c>
    </row>
    <row r="3961" spans="1:35" x14ac:dyDescent="0.3">
      <c r="A3961">
        <v>3960</v>
      </c>
      <c r="B3961" t="s">
        <v>1315</v>
      </c>
      <c r="C3961">
        <v>71</v>
      </c>
      <c r="D3961" s="105">
        <v>45374.458165081021</v>
      </c>
      <c r="E3961" t="s">
        <v>312</v>
      </c>
      <c r="F3961" t="s">
        <v>1402</v>
      </c>
      <c r="G3961">
        <v>0</v>
      </c>
      <c r="H3961" t="s">
        <v>315</v>
      </c>
      <c r="I3961">
        <v>0</v>
      </c>
      <c r="J3961">
        <v>0</v>
      </c>
      <c r="K3961">
        <v>0</v>
      </c>
      <c r="L3961" t="s">
        <v>241</v>
      </c>
      <c r="M3961" t="s">
        <v>101</v>
      </c>
      <c r="N3961">
        <v>1</v>
      </c>
      <c r="O3961" t="s">
        <v>1389</v>
      </c>
      <c r="P3961" t="s">
        <v>310</v>
      </c>
      <c r="Q3961" t="s">
        <v>310</v>
      </c>
      <c r="R3961" t="s">
        <v>310</v>
      </c>
      <c r="S3961">
        <v>9</v>
      </c>
      <c r="T3961" t="s">
        <v>310</v>
      </c>
      <c r="U3961">
        <v>9</v>
      </c>
      <c r="V3961">
        <v>9</v>
      </c>
      <c r="W3961">
        <v>0</v>
      </c>
      <c r="X3961">
        <v>0</v>
      </c>
      <c r="Y3961">
        <v>0</v>
      </c>
      <c r="Z3961">
        <v>0</v>
      </c>
      <c r="AA3961">
        <v>9</v>
      </c>
      <c r="AB3961">
        <v>9</v>
      </c>
      <c r="AC3961" t="s">
        <v>310</v>
      </c>
      <c r="AD3961">
        <v>9</v>
      </c>
      <c r="AE3961" t="s">
        <v>1418</v>
      </c>
      <c r="AF3961">
        <v>20000000</v>
      </c>
      <c r="AG3961" t="s">
        <v>310</v>
      </c>
      <c r="AH3961">
        <f>SUM((MID(Dyno_Data[[#This Row],[Team]],4,5))+(Dyno_Data[[#This Row],[Match]]/100))</f>
        <v>1511.71</v>
      </c>
      <c r="AI3961" s="76">
        <f>ROUND(SUM(IF(Dyno_Data[[#This Row],[AcqCenter]]&gt;0,Dyno_Data[[#This Row],[Time]]-SUMIFS(Dyno_Data[Time],Dyno_Data[Team],Dyno_Data[[#This Row],[Team]],Dyno_Data[RecordType],"StartMatch",Dyno_Data[Match],Dyno_Data[[#This Row],[Match]]),0)*86400),0)</f>
        <v>0</v>
      </c>
    </row>
    <row r="3962" spans="1:35" x14ac:dyDescent="0.3">
      <c r="A3962">
        <v>3961</v>
      </c>
      <c r="B3962" t="s">
        <v>1315</v>
      </c>
      <c r="C3962">
        <v>71</v>
      </c>
      <c r="D3962" s="105">
        <v>45374.458212696758</v>
      </c>
      <c r="E3962" t="s">
        <v>312</v>
      </c>
      <c r="F3962" t="s">
        <v>1402</v>
      </c>
      <c r="G3962">
        <v>0</v>
      </c>
      <c r="H3962" t="s">
        <v>315</v>
      </c>
      <c r="I3962">
        <v>0</v>
      </c>
      <c r="J3962">
        <v>0</v>
      </c>
      <c r="K3962">
        <v>0</v>
      </c>
      <c r="L3962" t="s">
        <v>241</v>
      </c>
      <c r="M3962" t="s">
        <v>101</v>
      </c>
      <c r="N3962">
        <v>0</v>
      </c>
      <c r="O3962" t="s">
        <v>1389</v>
      </c>
      <c r="P3962" t="s">
        <v>310</v>
      </c>
      <c r="Q3962" t="s">
        <v>310</v>
      </c>
      <c r="R3962" t="s">
        <v>310</v>
      </c>
      <c r="S3962">
        <v>9</v>
      </c>
      <c r="T3962" t="s">
        <v>310</v>
      </c>
      <c r="U3962">
        <v>9</v>
      </c>
      <c r="V3962">
        <v>9</v>
      </c>
      <c r="W3962">
        <v>0</v>
      </c>
      <c r="X3962">
        <v>0</v>
      </c>
      <c r="Y3962">
        <v>0</v>
      </c>
      <c r="Z3962">
        <v>0</v>
      </c>
      <c r="AA3962">
        <v>9</v>
      </c>
      <c r="AB3962">
        <v>9</v>
      </c>
      <c r="AC3962" t="s">
        <v>310</v>
      </c>
      <c r="AD3962">
        <v>9</v>
      </c>
      <c r="AE3962" t="s">
        <v>1418</v>
      </c>
      <c r="AF3962">
        <v>30000000</v>
      </c>
      <c r="AG3962" t="s">
        <v>310</v>
      </c>
      <c r="AH3962">
        <f>SUM((MID(Dyno_Data[[#This Row],[Team]],4,5))+(Dyno_Data[[#This Row],[Match]]/100))</f>
        <v>1511.71</v>
      </c>
      <c r="AI3962" s="76">
        <f>ROUND(SUM(IF(Dyno_Data[[#This Row],[AcqCenter]]&gt;0,Dyno_Data[[#This Row],[Time]]-SUMIFS(Dyno_Data[Time],Dyno_Data[Team],Dyno_Data[[#This Row],[Team]],Dyno_Data[RecordType],"StartMatch",Dyno_Data[Match],Dyno_Data[[#This Row],[Match]]),0)*86400),0)</f>
        <v>0</v>
      </c>
    </row>
    <row r="3963" spans="1:35" x14ac:dyDescent="0.3">
      <c r="A3963">
        <v>3962</v>
      </c>
      <c r="B3963" t="s">
        <v>1288</v>
      </c>
      <c r="C3963">
        <v>71</v>
      </c>
      <c r="D3963" s="105">
        <v>45374.458228819443</v>
      </c>
      <c r="E3963" t="s">
        <v>1403</v>
      </c>
      <c r="F3963" t="s">
        <v>1402</v>
      </c>
      <c r="G3963">
        <v>0</v>
      </c>
      <c r="H3963" t="s">
        <v>310</v>
      </c>
      <c r="I3963">
        <v>0</v>
      </c>
      <c r="J3963">
        <v>0</v>
      </c>
      <c r="K3963">
        <v>0</v>
      </c>
      <c r="L3963" t="s">
        <v>310</v>
      </c>
      <c r="M3963" t="s">
        <v>310</v>
      </c>
      <c r="N3963">
        <v>0</v>
      </c>
      <c r="O3963" t="s">
        <v>319</v>
      </c>
      <c r="P3963" t="s">
        <v>310</v>
      </c>
      <c r="Q3963" t="s">
        <v>310</v>
      </c>
      <c r="R3963" t="s">
        <v>310</v>
      </c>
      <c r="S3963">
        <v>9</v>
      </c>
      <c r="T3963" t="s">
        <v>310</v>
      </c>
      <c r="U3963">
        <v>9</v>
      </c>
      <c r="V3963">
        <v>9</v>
      </c>
      <c r="W3963">
        <v>0</v>
      </c>
      <c r="X3963">
        <v>0</v>
      </c>
      <c r="Y3963">
        <v>0</v>
      </c>
      <c r="Z3963">
        <v>0</v>
      </c>
      <c r="AA3963">
        <v>9</v>
      </c>
      <c r="AB3963">
        <v>9</v>
      </c>
      <c r="AC3963" t="s">
        <v>310</v>
      </c>
      <c r="AD3963">
        <v>9</v>
      </c>
      <c r="AE3963" t="s">
        <v>1416</v>
      </c>
      <c r="AF3963">
        <v>30000000</v>
      </c>
      <c r="AG3963" t="s">
        <v>249</v>
      </c>
      <c r="AH3963">
        <f>SUM((MID(Dyno_Data[[#This Row],[Team]],4,5))+(Dyno_Data[[#This Row],[Match]]/100))</f>
        <v>3181.71</v>
      </c>
      <c r="AI3963" s="76">
        <f>ROUND(SUM(IF(Dyno_Data[[#This Row],[AcqCenter]]&gt;0,Dyno_Data[[#This Row],[Time]]-SUMIFS(Dyno_Data[Time],Dyno_Data[Team],Dyno_Data[[#This Row],[Team]],Dyno_Data[RecordType],"StartMatch",Dyno_Data[Match],Dyno_Data[[#This Row],[Match]]),0)*86400),0)</f>
        <v>0</v>
      </c>
    </row>
    <row r="3964" spans="1:35" x14ac:dyDescent="0.3">
      <c r="A3964">
        <v>3963</v>
      </c>
      <c r="B3964" t="s">
        <v>318</v>
      </c>
      <c r="C3964">
        <v>71</v>
      </c>
      <c r="D3964" s="105">
        <v>45374.458289467591</v>
      </c>
      <c r="E3964" t="s">
        <v>312</v>
      </c>
      <c r="F3964" t="s">
        <v>1402</v>
      </c>
      <c r="G3964">
        <v>0</v>
      </c>
      <c r="H3964" t="s">
        <v>315</v>
      </c>
      <c r="I3964">
        <v>0</v>
      </c>
      <c r="J3964">
        <v>0</v>
      </c>
      <c r="K3964">
        <v>0</v>
      </c>
      <c r="L3964" t="s">
        <v>241</v>
      </c>
      <c r="M3964" t="s">
        <v>1398</v>
      </c>
      <c r="N3964">
        <v>0</v>
      </c>
      <c r="O3964" t="s">
        <v>1393</v>
      </c>
      <c r="P3964" t="s">
        <v>310</v>
      </c>
      <c r="Q3964" t="s">
        <v>310</v>
      </c>
      <c r="R3964" t="s">
        <v>310</v>
      </c>
      <c r="S3964">
        <v>9</v>
      </c>
      <c r="T3964" t="s">
        <v>310</v>
      </c>
      <c r="U3964">
        <v>9</v>
      </c>
      <c r="V3964">
        <v>9</v>
      </c>
      <c r="W3964">
        <v>0</v>
      </c>
      <c r="X3964">
        <v>0</v>
      </c>
      <c r="Y3964">
        <v>0</v>
      </c>
      <c r="Z3964">
        <v>0</v>
      </c>
      <c r="AA3964">
        <v>9</v>
      </c>
      <c r="AB3964">
        <v>9</v>
      </c>
      <c r="AC3964" t="s">
        <v>310</v>
      </c>
      <c r="AD3964">
        <v>9</v>
      </c>
      <c r="AE3964" t="s">
        <v>1413</v>
      </c>
      <c r="AF3964">
        <v>30000000</v>
      </c>
      <c r="AG3964" t="s">
        <v>310</v>
      </c>
      <c r="AH3964">
        <f>SUM((MID(Dyno_Data[[#This Row],[Team]],4,5))+(Dyno_Data[[#This Row],[Match]]/100))</f>
        <v>639.71</v>
      </c>
      <c r="AI3964" s="76">
        <f>ROUND(SUM(IF(Dyno_Data[[#This Row],[AcqCenter]]&gt;0,Dyno_Data[[#This Row],[Time]]-SUMIFS(Dyno_Data[Time],Dyno_Data[Team],Dyno_Data[[#This Row],[Team]],Dyno_Data[RecordType],"StartMatch",Dyno_Data[Match],Dyno_Data[[#This Row],[Match]]),0)*86400),0)</f>
        <v>0</v>
      </c>
    </row>
    <row r="3965" spans="1:35" x14ac:dyDescent="0.3">
      <c r="A3965">
        <v>3964</v>
      </c>
      <c r="B3965" t="s">
        <v>1288</v>
      </c>
      <c r="C3965">
        <v>71</v>
      </c>
      <c r="D3965" s="105">
        <v>45374.458349270833</v>
      </c>
      <c r="E3965" t="s">
        <v>1403</v>
      </c>
      <c r="F3965" t="s">
        <v>1402</v>
      </c>
      <c r="G3965">
        <v>0</v>
      </c>
      <c r="H3965" t="s">
        <v>310</v>
      </c>
      <c r="I3965">
        <v>0</v>
      </c>
      <c r="J3965">
        <v>0</v>
      </c>
      <c r="K3965">
        <v>0</v>
      </c>
      <c r="L3965" t="s">
        <v>310</v>
      </c>
      <c r="M3965" t="s">
        <v>310</v>
      </c>
      <c r="N3965">
        <v>0</v>
      </c>
      <c r="O3965" t="s">
        <v>319</v>
      </c>
      <c r="P3965" t="s">
        <v>310</v>
      </c>
      <c r="Q3965" t="s">
        <v>310</v>
      </c>
      <c r="R3965" t="s">
        <v>310</v>
      </c>
      <c r="S3965">
        <v>9</v>
      </c>
      <c r="T3965" t="s">
        <v>310</v>
      </c>
      <c r="U3965">
        <v>9</v>
      </c>
      <c r="V3965">
        <v>9</v>
      </c>
      <c r="W3965">
        <v>0</v>
      </c>
      <c r="X3965">
        <v>0</v>
      </c>
      <c r="Y3965">
        <v>0</v>
      </c>
      <c r="Z3965">
        <v>0</v>
      </c>
      <c r="AA3965">
        <v>9</v>
      </c>
      <c r="AB3965">
        <v>9</v>
      </c>
      <c r="AC3965" t="s">
        <v>310</v>
      </c>
      <c r="AD3965">
        <v>9</v>
      </c>
      <c r="AE3965" t="s">
        <v>1416</v>
      </c>
      <c r="AF3965">
        <v>30000000</v>
      </c>
      <c r="AG3965" t="s">
        <v>249</v>
      </c>
      <c r="AH3965">
        <f>SUM((MID(Dyno_Data[[#This Row],[Team]],4,5))+(Dyno_Data[[#This Row],[Match]]/100))</f>
        <v>3181.71</v>
      </c>
      <c r="AI3965" s="76">
        <f>ROUND(SUM(IF(Dyno_Data[[#This Row],[AcqCenter]]&gt;0,Dyno_Data[[#This Row],[Time]]-SUMIFS(Dyno_Data[Time],Dyno_Data[Team],Dyno_Data[[#This Row],[Team]],Dyno_Data[RecordType],"StartMatch",Dyno_Data[Match],Dyno_Data[[#This Row],[Match]]),0)*86400),0)</f>
        <v>0</v>
      </c>
    </row>
    <row r="3966" spans="1:35" x14ac:dyDescent="0.3">
      <c r="A3966">
        <v>3965</v>
      </c>
      <c r="B3966" t="s">
        <v>1277</v>
      </c>
      <c r="C3966">
        <v>71</v>
      </c>
      <c r="D3966" s="105">
        <v>45374.458349884262</v>
      </c>
      <c r="E3966" t="s">
        <v>312</v>
      </c>
      <c r="F3966" t="s">
        <v>1402</v>
      </c>
      <c r="G3966">
        <v>0</v>
      </c>
      <c r="H3966" t="s">
        <v>315</v>
      </c>
      <c r="I3966">
        <v>0</v>
      </c>
      <c r="J3966">
        <v>0</v>
      </c>
      <c r="K3966">
        <v>0</v>
      </c>
      <c r="L3966" t="s">
        <v>241</v>
      </c>
      <c r="M3966" t="s">
        <v>1398</v>
      </c>
      <c r="N3966">
        <v>0</v>
      </c>
      <c r="O3966" t="s">
        <v>311</v>
      </c>
      <c r="P3966" t="s">
        <v>310</v>
      </c>
      <c r="Q3966" t="s">
        <v>310</v>
      </c>
      <c r="R3966" t="s">
        <v>310</v>
      </c>
      <c r="S3966">
        <v>9</v>
      </c>
      <c r="T3966" t="s">
        <v>310</v>
      </c>
      <c r="U3966">
        <v>9</v>
      </c>
      <c r="V3966">
        <v>9</v>
      </c>
      <c r="W3966">
        <v>0</v>
      </c>
      <c r="X3966">
        <v>0</v>
      </c>
      <c r="Y3966">
        <v>0</v>
      </c>
      <c r="Z3966">
        <v>0</v>
      </c>
      <c r="AA3966">
        <v>9</v>
      </c>
      <c r="AB3966">
        <v>9</v>
      </c>
      <c r="AC3966" t="s">
        <v>310</v>
      </c>
      <c r="AD3966">
        <v>9</v>
      </c>
      <c r="AE3966" t="s">
        <v>1412</v>
      </c>
      <c r="AF3966">
        <v>50000000</v>
      </c>
      <c r="AG3966" t="s">
        <v>310</v>
      </c>
      <c r="AH3966">
        <f>SUM((MID(Dyno_Data[[#This Row],[Team]],4,5))+(Dyno_Data[[#This Row],[Match]]/100))</f>
        <v>3360.71</v>
      </c>
      <c r="AI3966" s="76">
        <f>ROUND(SUM(IF(Dyno_Data[[#This Row],[AcqCenter]]&gt;0,Dyno_Data[[#This Row],[Time]]-SUMIFS(Dyno_Data[Time],Dyno_Data[Team],Dyno_Data[[#This Row],[Team]],Dyno_Data[RecordType],"StartMatch",Dyno_Data[Match],Dyno_Data[[#This Row],[Match]]),0)*86400),0)</f>
        <v>0</v>
      </c>
    </row>
    <row r="3967" spans="1:35" x14ac:dyDescent="0.3">
      <c r="A3967">
        <v>3966</v>
      </c>
      <c r="B3967" t="s">
        <v>1288</v>
      </c>
      <c r="C3967">
        <v>71</v>
      </c>
      <c r="D3967" s="105">
        <v>45374.458408298611</v>
      </c>
      <c r="E3967" t="s">
        <v>312</v>
      </c>
      <c r="F3967" t="s">
        <v>1402</v>
      </c>
      <c r="G3967">
        <v>0</v>
      </c>
      <c r="H3967" t="s">
        <v>315</v>
      </c>
      <c r="I3967">
        <v>0</v>
      </c>
      <c r="J3967">
        <v>0</v>
      </c>
      <c r="K3967">
        <v>0</v>
      </c>
      <c r="L3967" t="s">
        <v>241</v>
      </c>
      <c r="M3967" t="s">
        <v>241</v>
      </c>
      <c r="N3967">
        <v>0</v>
      </c>
      <c r="O3967" t="s">
        <v>319</v>
      </c>
      <c r="P3967" t="s">
        <v>310</v>
      </c>
      <c r="Q3967" t="s">
        <v>310</v>
      </c>
      <c r="R3967" t="s">
        <v>310</v>
      </c>
      <c r="S3967">
        <v>9</v>
      </c>
      <c r="T3967" t="s">
        <v>310</v>
      </c>
      <c r="U3967">
        <v>9</v>
      </c>
      <c r="V3967">
        <v>9</v>
      </c>
      <c r="W3967">
        <v>0</v>
      </c>
      <c r="X3967">
        <v>0</v>
      </c>
      <c r="Y3967">
        <v>0</v>
      </c>
      <c r="Z3967">
        <v>0</v>
      </c>
      <c r="AA3967">
        <v>9</v>
      </c>
      <c r="AB3967">
        <v>9</v>
      </c>
      <c r="AC3967" t="s">
        <v>310</v>
      </c>
      <c r="AD3967">
        <v>9</v>
      </c>
      <c r="AE3967" t="s">
        <v>1416</v>
      </c>
      <c r="AF3967">
        <v>10000000</v>
      </c>
      <c r="AG3967" t="s">
        <v>310</v>
      </c>
      <c r="AH3967">
        <f>SUM((MID(Dyno_Data[[#This Row],[Team]],4,5))+(Dyno_Data[[#This Row],[Match]]/100))</f>
        <v>3181.71</v>
      </c>
      <c r="AI3967" s="76">
        <f>ROUND(SUM(IF(Dyno_Data[[#This Row],[AcqCenter]]&gt;0,Dyno_Data[[#This Row],[Time]]-SUMIFS(Dyno_Data[Time],Dyno_Data[Team],Dyno_Data[[#This Row],[Team]],Dyno_Data[RecordType],"StartMatch",Dyno_Data[Match],Dyno_Data[[#This Row],[Match]]),0)*86400),0)</f>
        <v>0</v>
      </c>
    </row>
    <row r="3968" spans="1:35" x14ac:dyDescent="0.3">
      <c r="A3968">
        <v>3967</v>
      </c>
      <c r="B3968" t="s">
        <v>1315</v>
      </c>
      <c r="C3968">
        <v>71</v>
      </c>
      <c r="D3968" s="105">
        <v>45374.458412928238</v>
      </c>
      <c r="E3968" t="s">
        <v>312</v>
      </c>
      <c r="F3968" t="s">
        <v>1402</v>
      </c>
      <c r="G3968">
        <v>0</v>
      </c>
      <c r="H3968" t="s">
        <v>315</v>
      </c>
      <c r="I3968">
        <v>0</v>
      </c>
      <c r="J3968">
        <v>0</v>
      </c>
      <c r="K3968">
        <v>0</v>
      </c>
      <c r="L3968" t="s">
        <v>241</v>
      </c>
      <c r="M3968" t="s">
        <v>101</v>
      </c>
      <c r="N3968">
        <v>0</v>
      </c>
      <c r="O3968" t="s">
        <v>1389</v>
      </c>
      <c r="P3968" t="s">
        <v>310</v>
      </c>
      <c r="Q3968" t="s">
        <v>310</v>
      </c>
      <c r="R3968" t="s">
        <v>310</v>
      </c>
      <c r="S3968">
        <v>9</v>
      </c>
      <c r="T3968" t="s">
        <v>310</v>
      </c>
      <c r="U3968">
        <v>9</v>
      </c>
      <c r="V3968">
        <v>9</v>
      </c>
      <c r="W3968">
        <v>0</v>
      </c>
      <c r="X3968">
        <v>0</v>
      </c>
      <c r="Y3968">
        <v>0</v>
      </c>
      <c r="Z3968">
        <v>0</v>
      </c>
      <c r="AA3968">
        <v>9</v>
      </c>
      <c r="AB3968">
        <v>9</v>
      </c>
      <c r="AC3968" t="s">
        <v>310</v>
      </c>
      <c r="AD3968">
        <v>9</v>
      </c>
      <c r="AE3968" t="s">
        <v>1418</v>
      </c>
      <c r="AF3968">
        <v>40000000</v>
      </c>
      <c r="AG3968" t="s">
        <v>310</v>
      </c>
      <c r="AH3968">
        <f>SUM((MID(Dyno_Data[[#This Row],[Team]],4,5))+(Dyno_Data[[#This Row],[Match]]/100))</f>
        <v>1511.71</v>
      </c>
      <c r="AI3968" s="76">
        <f>ROUND(SUM(IF(Dyno_Data[[#This Row],[AcqCenter]]&gt;0,Dyno_Data[[#This Row],[Time]]-SUMIFS(Dyno_Data[Time],Dyno_Data[Team],Dyno_Data[[#This Row],[Team]],Dyno_Data[RecordType],"StartMatch",Dyno_Data[Match],Dyno_Data[[#This Row],[Match]]),0)*86400),0)</f>
        <v>0</v>
      </c>
    </row>
    <row r="3969" spans="1:35" x14ac:dyDescent="0.3">
      <c r="A3969">
        <v>3968</v>
      </c>
      <c r="B3969" t="s">
        <v>1288</v>
      </c>
      <c r="C3969">
        <v>71</v>
      </c>
      <c r="D3969" s="105">
        <v>45374.458461076392</v>
      </c>
      <c r="E3969" t="s">
        <v>1403</v>
      </c>
      <c r="F3969" t="s">
        <v>1402</v>
      </c>
      <c r="G3969">
        <v>0</v>
      </c>
      <c r="H3969" t="s">
        <v>310</v>
      </c>
      <c r="I3969">
        <v>0</v>
      </c>
      <c r="J3969">
        <v>0</v>
      </c>
      <c r="K3969">
        <v>0</v>
      </c>
      <c r="L3969" t="s">
        <v>310</v>
      </c>
      <c r="M3969" t="s">
        <v>310</v>
      </c>
      <c r="N3969">
        <v>0</v>
      </c>
      <c r="O3969" t="s">
        <v>319</v>
      </c>
      <c r="P3969" t="s">
        <v>310</v>
      </c>
      <c r="Q3969" t="s">
        <v>310</v>
      </c>
      <c r="R3969" t="s">
        <v>310</v>
      </c>
      <c r="S3969">
        <v>9</v>
      </c>
      <c r="T3969" t="s">
        <v>310</v>
      </c>
      <c r="U3969">
        <v>9</v>
      </c>
      <c r="V3969">
        <v>9</v>
      </c>
      <c r="W3969">
        <v>0</v>
      </c>
      <c r="X3969">
        <v>0</v>
      </c>
      <c r="Y3969">
        <v>0</v>
      </c>
      <c r="Z3969">
        <v>0</v>
      </c>
      <c r="AA3969">
        <v>9</v>
      </c>
      <c r="AB3969">
        <v>9</v>
      </c>
      <c r="AC3969" t="s">
        <v>310</v>
      </c>
      <c r="AD3969">
        <v>9</v>
      </c>
      <c r="AE3969" t="s">
        <v>1416</v>
      </c>
      <c r="AF3969">
        <v>40000000</v>
      </c>
      <c r="AG3969" t="s">
        <v>249</v>
      </c>
      <c r="AH3969">
        <f>SUM((MID(Dyno_Data[[#This Row],[Team]],4,5))+(Dyno_Data[[#This Row],[Match]]/100))</f>
        <v>3181.71</v>
      </c>
      <c r="AI3969" s="76">
        <f>ROUND(SUM(IF(Dyno_Data[[#This Row],[AcqCenter]]&gt;0,Dyno_Data[[#This Row],[Time]]-SUMIFS(Dyno_Data[Time],Dyno_Data[Team],Dyno_Data[[#This Row],[Team]],Dyno_Data[RecordType],"StartMatch",Dyno_Data[Match],Dyno_Data[[#This Row],[Match]]),0)*86400),0)</f>
        <v>0</v>
      </c>
    </row>
    <row r="3970" spans="1:35" x14ac:dyDescent="0.3">
      <c r="A3970">
        <v>3969</v>
      </c>
      <c r="B3970" t="s">
        <v>318</v>
      </c>
      <c r="C3970">
        <v>71</v>
      </c>
      <c r="D3970" s="105">
        <v>45374.458461805552</v>
      </c>
      <c r="E3970" t="s">
        <v>312</v>
      </c>
      <c r="F3970" t="s">
        <v>1402</v>
      </c>
      <c r="G3970">
        <v>0</v>
      </c>
      <c r="H3970" t="s">
        <v>315</v>
      </c>
      <c r="I3970">
        <v>0</v>
      </c>
      <c r="J3970">
        <v>0</v>
      </c>
      <c r="K3970">
        <v>0</v>
      </c>
      <c r="L3970" t="s">
        <v>240</v>
      </c>
      <c r="M3970" t="s">
        <v>1398</v>
      </c>
      <c r="N3970">
        <v>0</v>
      </c>
      <c r="O3970" t="s">
        <v>1393</v>
      </c>
      <c r="P3970" t="s">
        <v>310</v>
      </c>
      <c r="Q3970" t="s">
        <v>310</v>
      </c>
      <c r="R3970" t="s">
        <v>310</v>
      </c>
      <c r="S3970">
        <v>9</v>
      </c>
      <c r="T3970" t="s">
        <v>310</v>
      </c>
      <c r="U3970">
        <v>9</v>
      </c>
      <c r="V3970">
        <v>9</v>
      </c>
      <c r="W3970">
        <v>0</v>
      </c>
      <c r="X3970">
        <v>0</v>
      </c>
      <c r="Y3970">
        <v>0</v>
      </c>
      <c r="Z3970">
        <v>0</v>
      </c>
      <c r="AA3970">
        <v>9</v>
      </c>
      <c r="AB3970">
        <v>9</v>
      </c>
      <c r="AC3970" t="s">
        <v>310</v>
      </c>
      <c r="AD3970">
        <v>9</v>
      </c>
      <c r="AE3970" t="s">
        <v>1413</v>
      </c>
      <c r="AF3970">
        <v>40000000</v>
      </c>
      <c r="AG3970" t="s">
        <v>310</v>
      </c>
      <c r="AH3970">
        <f>SUM((MID(Dyno_Data[[#This Row],[Team]],4,5))+(Dyno_Data[[#This Row],[Match]]/100))</f>
        <v>639.71</v>
      </c>
      <c r="AI3970" s="76">
        <f>ROUND(SUM(IF(Dyno_Data[[#This Row],[AcqCenter]]&gt;0,Dyno_Data[[#This Row],[Time]]-SUMIFS(Dyno_Data[Time],Dyno_Data[Team],Dyno_Data[[#This Row],[Team]],Dyno_Data[RecordType],"StartMatch",Dyno_Data[Match],Dyno_Data[[#This Row],[Match]]),0)*86400),0)</f>
        <v>0</v>
      </c>
    </row>
    <row r="3971" spans="1:35" x14ac:dyDescent="0.3">
      <c r="A3971">
        <v>3970</v>
      </c>
      <c r="B3971" t="s">
        <v>1288</v>
      </c>
      <c r="C3971">
        <v>71</v>
      </c>
      <c r="D3971" s="105">
        <v>45374.458532141201</v>
      </c>
      <c r="E3971" t="s">
        <v>1403</v>
      </c>
      <c r="F3971" t="s">
        <v>1402</v>
      </c>
      <c r="G3971">
        <v>0</v>
      </c>
      <c r="H3971" t="s">
        <v>310</v>
      </c>
      <c r="I3971">
        <v>0</v>
      </c>
      <c r="J3971">
        <v>0</v>
      </c>
      <c r="K3971">
        <v>0</v>
      </c>
      <c r="L3971" t="s">
        <v>310</v>
      </c>
      <c r="M3971" t="s">
        <v>310</v>
      </c>
      <c r="N3971">
        <v>0</v>
      </c>
      <c r="O3971" t="s">
        <v>319</v>
      </c>
      <c r="P3971" t="s">
        <v>310</v>
      </c>
      <c r="Q3971" t="s">
        <v>310</v>
      </c>
      <c r="R3971" t="s">
        <v>310</v>
      </c>
      <c r="S3971">
        <v>9</v>
      </c>
      <c r="T3971" t="s">
        <v>310</v>
      </c>
      <c r="U3971">
        <v>9</v>
      </c>
      <c r="V3971">
        <v>9</v>
      </c>
      <c r="W3971">
        <v>0</v>
      </c>
      <c r="X3971">
        <v>0</v>
      </c>
      <c r="Y3971">
        <v>0</v>
      </c>
      <c r="Z3971">
        <v>0</v>
      </c>
      <c r="AA3971">
        <v>9</v>
      </c>
      <c r="AB3971">
        <v>9</v>
      </c>
      <c r="AC3971" t="s">
        <v>310</v>
      </c>
      <c r="AD3971">
        <v>9</v>
      </c>
      <c r="AE3971" t="s">
        <v>1416</v>
      </c>
      <c r="AF3971">
        <v>40000000</v>
      </c>
      <c r="AG3971" t="s">
        <v>249</v>
      </c>
      <c r="AH3971">
        <f>SUM((MID(Dyno_Data[[#This Row],[Team]],4,5))+(Dyno_Data[[#This Row],[Match]]/100))</f>
        <v>3181.71</v>
      </c>
      <c r="AI3971" s="76">
        <f>ROUND(SUM(IF(Dyno_Data[[#This Row],[AcqCenter]]&gt;0,Dyno_Data[[#This Row],[Time]]-SUMIFS(Dyno_Data[Time],Dyno_Data[Team],Dyno_Data[[#This Row],[Team]],Dyno_Data[RecordType],"StartMatch",Dyno_Data[Match],Dyno_Data[[#This Row],[Match]]),0)*86400),0)</f>
        <v>0</v>
      </c>
    </row>
    <row r="3972" spans="1:35" x14ac:dyDescent="0.3">
      <c r="A3972">
        <v>3971</v>
      </c>
      <c r="B3972" t="s">
        <v>1277</v>
      </c>
      <c r="C3972">
        <v>71</v>
      </c>
      <c r="D3972" s="105">
        <v>45374.458533564815</v>
      </c>
      <c r="E3972" t="s">
        <v>312</v>
      </c>
      <c r="F3972" t="s">
        <v>1402</v>
      </c>
      <c r="G3972">
        <v>0</v>
      </c>
      <c r="H3972" t="s">
        <v>315</v>
      </c>
      <c r="I3972">
        <v>0</v>
      </c>
      <c r="J3972">
        <v>0</v>
      </c>
      <c r="K3972">
        <v>0</v>
      </c>
      <c r="L3972" t="s">
        <v>241</v>
      </c>
      <c r="M3972" t="s">
        <v>1398</v>
      </c>
      <c r="N3972">
        <v>0</v>
      </c>
      <c r="O3972" t="s">
        <v>311</v>
      </c>
      <c r="P3972" t="s">
        <v>310</v>
      </c>
      <c r="Q3972" t="s">
        <v>310</v>
      </c>
      <c r="R3972" t="s">
        <v>310</v>
      </c>
      <c r="S3972">
        <v>9</v>
      </c>
      <c r="T3972" t="s">
        <v>310</v>
      </c>
      <c r="U3972">
        <v>9</v>
      </c>
      <c r="V3972">
        <v>9</v>
      </c>
      <c r="W3972">
        <v>0</v>
      </c>
      <c r="X3972">
        <v>0</v>
      </c>
      <c r="Y3972">
        <v>0</v>
      </c>
      <c r="Z3972">
        <v>0</v>
      </c>
      <c r="AA3972">
        <v>9</v>
      </c>
      <c r="AB3972">
        <v>9</v>
      </c>
      <c r="AC3972" t="s">
        <v>310</v>
      </c>
      <c r="AD3972">
        <v>9</v>
      </c>
      <c r="AE3972" t="s">
        <v>1412</v>
      </c>
      <c r="AF3972">
        <v>60000000</v>
      </c>
      <c r="AG3972" t="s">
        <v>310</v>
      </c>
      <c r="AH3972">
        <f>SUM((MID(Dyno_Data[[#This Row],[Team]],4,5))+(Dyno_Data[[#This Row],[Match]]/100))</f>
        <v>3360.71</v>
      </c>
      <c r="AI3972" s="76">
        <f>ROUND(SUM(IF(Dyno_Data[[#This Row],[AcqCenter]]&gt;0,Dyno_Data[[#This Row],[Time]]-SUMIFS(Dyno_Data[Time],Dyno_Data[Team],Dyno_Data[[#This Row],[Team]],Dyno_Data[RecordType],"StartMatch",Dyno_Data[Match],Dyno_Data[[#This Row],[Match]]),0)*86400),0)</f>
        <v>0</v>
      </c>
    </row>
    <row r="3973" spans="1:35" x14ac:dyDescent="0.3">
      <c r="A3973">
        <v>3972</v>
      </c>
      <c r="B3973" t="s">
        <v>1285</v>
      </c>
      <c r="C3973">
        <v>71</v>
      </c>
      <c r="D3973" s="105">
        <v>45374.458535034719</v>
      </c>
      <c r="E3973" t="s">
        <v>1403</v>
      </c>
      <c r="F3973" t="s">
        <v>1402</v>
      </c>
      <c r="G3973">
        <v>0</v>
      </c>
      <c r="H3973" t="s">
        <v>310</v>
      </c>
      <c r="I3973">
        <v>0</v>
      </c>
      <c r="J3973">
        <v>0</v>
      </c>
      <c r="K3973">
        <v>0</v>
      </c>
      <c r="L3973" t="s">
        <v>310</v>
      </c>
      <c r="M3973" t="s">
        <v>310</v>
      </c>
      <c r="N3973">
        <v>0</v>
      </c>
      <c r="O3973" t="s">
        <v>1391</v>
      </c>
      <c r="P3973" t="s">
        <v>310</v>
      </c>
      <c r="Q3973" t="s">
        <v>310</v>
      </c>
      <c r="R3973" t="s">
        <v>310</v>
      </c>
      <c r="S3973">
        <v>9</v>
      </c>
      <c r="T3973" t="s">
        <v>310</v>
      </c>
      <c r="U3973">
        <v>9</v>
      </c>
      <c r="V3973">
        <v>9</v>
      </c>
      <c r="W3973">
        <v>0</v>
      </c>
      <c r="X3973">
        <v>0</v>
      </c>
      <c r="Y3973">
        <v>0</v>
      </c>
      <c r="Z3973">
        <v>0</v>
      </c>
      <c r="AA3973">
        <v>9</v>
      </c>
      <c r="AB3973">
        <v>9</v>
      </c>
      <c r="AC3973" t="s">
        <v>310</v>
      </c>
      <c r="AD3973">
        <v>9</v>
      </c>
      <c r="AE3973" t="s">
        <v>1417</v>
      </c>
      <c r="AF3973">
        <v>60000000</v>
      </c>
      <c r="AG3973" t="s">
        <v>249</v>
      </c>
      <c r="AH3973">
        <f>SUM((MID(Dyno_Data[[#This Row],[Team]],4,5))+(Dyno_Data[[#This Row],[Match]]/100))</f>
        <v>5993.71</v>
      </c>
      <c r="AI3973" s="76">
        <f>ROUND(SUM(IF(Dyno_Data[[#This Row],[AcqCenter]]&gt;0,Dyno_Data[[#This Row],[Time]]-SUMIFS(Dyno_Data[Time],Dyno_Data[Team],Dyno_Data[[#This Row],[Team]],Dyno_Data[RecordType],"StartMatch",Dyno_Data[Match],Dyno_Data[[#This Row],[Match]]),0)*86400),0)</f>
        <v>0</v>
      </c>
    </row>
    <row r="3974" spans="1:35" x14ac:dyDescent="0.3">
      <c r="A3974">
        <v>3973</v>
      </c>
      <c r="B3974" t="s">
        <v>1288</v>
      </c>
      <c r="C3974">
        <v>71</v>
      </c>
      <c r="D3974" s="105">
        <v>45374.458591006944</v>
      </c>
      <c r="E3974" t="s">
        <v>312</v>
      </c>
      <c r="F3974" t="s">
        <v>1402</v>
      </c>
      <c r="G3974">
        <v>0</v>
      </c>
      <c r="H3974" t="s">
        <v>315</v>
      </c>
      <c r="I3974">
        <v>0</v>
      </c>
      <c r="J3974">
        <v>0</v>
      </c>
      <c r="K3974">
        <v>0</v>
      </c>
      <c r="L3974" t="s">
        <v>240</v>
      </c>
      <c r="M3974" t="s">
        <v>1398</v>
      </c>
      <c r="N3974">
        <v>0</v>
      </c>
      <c r="O3974" t="s">
        <v>319</v>
      </c>
      <c r="P3974" t="s">
        <v>310</v>
      </c>
      <c r="Q3974" t="s">
        <v>310</v>
      </c>
      <c r="R3974" t="s">
        <v>310</v>
      </c>
      <c r="S3974">
        <v>9</v>
      </c>
      <c r="T3974" t="s">
        <v>310</v>
      </c>
      <c r="U3974">
        <v>9</v>
      </c>
      <c r="V3974">
        <v>9</v>
      </c>
      <c r="W3974">
        <v>0</v>
      </c>
      <c r="X3974">
        <v>0</v>
      </c>
      <c r="Y3974">
        <v>0</v>
      </c>
      <c r="Z3974">
        <v>0</v>
      </c>
      <c r="AA3974">
        <v>9</v>
      </c>
      <c r="AB3974">
        <v>9</v>
      </c>
      <c r="AC3974" t="s">
        <v>310</v>
      </c>
      <c r="AD3974">
        <v>9</v>
      </c>
      <c r="AE3974" t="s">
        <v>1416</v>
      </c>
      <c r="AF3974">
        <v>20000000</v>
      </c>
      <c r="AG3974" t="s">
        <v>310</v>
      </c>
      <c r="AH3974">
        <f>SUM((MID(Dyno_Data[[#This Row],[Team]],4,5))+(Dyno_Data[[#This Row],[Match]]/100))</f>
        <v>3181.71</v>
      </c>
      <c r="AI3974" s="76">
        <f>ROUND(SUM(IF(Dyno_Data[[#This Row],[AcqCenter]]&gt;0,Dyno_Data[[#This Row],[Time]]-SUMIFS(Dyno_Data[Time],Dyno_Data[Team],Dyno_Data[[#This Row],[Team]],Dyno_Data[RecordType],"StartMatch",Dyno_Data[Match],Dyno_Data[[#This Row],[Match]]),0)*86400),0)</f>
        <v>0</v>
      </c>
    </row>
    <row r="3975" spans="1:35" x14ac:dyDescent="0.3">
      <c r="A3975">
        <v>3974</v>
      </c>
      <c r="B3975" t="s">
        <v>318</v>
      </c>
      <c r="C3975">
        <v>71</v>
      </c>
      <c r="D3975" s="105">
        <v>45374.458651307868</v>
      </c>
      <c r="E3975" t="s">
        <v>312</v>
      </c>
      <c r="F3975" t="s">
        <v>1402</v>
      </c>
      <c r="G3975">
        <v>0</v>
      </c>
      <c r="H3975" t="s">
        <v>315</v>
      </c>
      <c r="I3975">
        <v>0</v>
      </c>
      <c r="J3975">
        <v>0</v>
      </c>
      <c r="K3975">
        <v>0</v>
      </c>
      <c r="L3975" t="s">
        <v>240</v>
      </c>
      <c r="M3975" t="s">
        <v>1398</v>
      </c>
      <c r="N3975">
        <v>0</v>
      </c>
      <c r="O3975" t="s">
        <v>1393</v>
      </c>
      <c r="P3975" t="s">
        <v>310</v>
      </c>
      <c r="Q3975" t="s">
        <v>310</v>
      </c>
      <c r="R3975" t="s">
        <v>310</v>
      </c>
      <c r="S3975">
        <v>9</v>
      </c>
      <c r="T3975" t="s">
        <v>310</v>
      </c>
      <c r="U3975">
        <v>9</v>
      </c>
      <c r="V3975">
        <v>9</v>
      </c>
      <c r="W3975">
        <v>0</v>
      </c>
      <c r="X3975">
        <v>0</v>
      </c>
      <c r="Y3975">
        <v>0</v>
      </c>
      <c r="Z3975">
        <v>0</v>
      </c>
      <c r="AA3975">
        <v>9</v>
      </c>
      <c r="AB3975">
        <v>9</v>
      </c>
      <c r="AC3975" t="s">
        <v>310</v>
      </c>
      <c r="AD3975">
        <v>9</v>
      </c>
      <c r="AE3975" t="s">
        <v>1413</v>
      </c>
      <c r="AF3975">
        <v>50000000</v>
      </c>
      <c r="AG3975" t="s">
        <v>310</v>
      </c>
      <c r="AH3975">
        <f>SUM((MID(Dyno_Data[[#This Row],[Team]],4,5))+(Dyno_Data[[#This Row],[Match]]/100))</f>
        <v>639.71</v>
      </c>
      <c r="AI3975" s="76">
        <f>ROUND(SUM(IF(Dyno_Data[[#This Row],[AcqCenter]]&gt;0,Dyno_Data[[#This Row],[Time]]-SUMIFS(Dyno_Data[Time],Dyno_Data[Team],Dyno_Data[[#This Row],[Team]],Dyno_Data[RecordType],"StartMatch",Dyno_Data[Match],Dyno_Data[[#This Row],[Match]]),0)*86400),0)</f>
        <v>0</v>
      </c>
    </row>
    <row r="3976" spans="1:35" x14ac:dyDescent="0.3">
      <c r="A3976">
        <v>3975</v>
      </c>
      <c r="B3976" t="s">
        <v>1315</v>
      </c>
      <c r="C3976">
        <v>71</v>
      </c>
      <c r="D3976" s="105">
        <v>45374.45875208333</v>
      </c>
      <c r="E3976" t="s">
        <v>312</v>
      </c>
      <c r="F3976" t="s">
        <v>1402</v>
      </c>
      <c r="G3976">
        <v>0</v>
      </c>
      <c r="H3976" t="s">
        <v>315</v>
      </c>
      <c r="I3976">
        <v>0</v>
      </c>
      <c r="J3976">
        <v>0</v>
      </c>
      <c r="K3976">
        <v>0</v>
      </c>
      <c r="L3976" t="s">
        <v>241</v>
      </c>
      <c r="M3976" t="s">
        <v>101</v>
      </c>
      <c r="N3976">
        <v>1</v>
      </c>
      <c r="O3976" t="s">
        <v>1389</v>
      </c>
      <c r="P3976" t="s">
        <v>310</v>
      </c>
      <c r="Q3976" t="s">
        <v>310</v>
      </c>
      <c r="R3976" t="s">
        <v>310</v>
      </c>
      <c r="S3976">
        <v>9</v>
      </c>
      <c r="T3976" t="s">
        <v>310</v>
      </c>
      <c r="U3976">
        <v>9</v>
      </c>
      <c r="V3976">
        <v>9</v>
      </c>
      <c r="W3976">
        <v>0</v>
      </c>
      <c r="X3976">
        <v>0</v>
      </c>
      <c r="Y3976">
        <v>0</v>
      </c>
      <c r="Z3976">
        <v>0</v>
      </c>
      <c r="AA3976">
        <v>9</v>
      </c>
      <c r="AB3976">
        <v>9</v>
      </c>
      <c r="AC3976" t="s">
        <v>310</v>
      </c>
      <c r="AD3976">
        <v>9</v>
      </c>
      <c r="AE3976" t="s">
        <v>1418</v>
      </c>
      <c r="AF3976">
        <v>50000000</v>
      </c>
      <c r="AG3976" t="s">
        <v>310</v>
      </c>
      <c r="AH3976">
        <f>SUM((MID(Dyno_Data[[#This Row],[Team]],4,5))+(Dyno_Data[[#This Row],[Match]]/100))</f>
        <v>1511.71</v>
      </c>
      <c r="AI3976" s="76">
        <f>ROUND(SUM(IF(Dyno_Data[[#This Row],[AcqCenter]]&gt;0,Dyno_Data[[#This Row],[Time]]-SUMIFS(Dyno_Data[Time],Dyno_Data[Team],Dyno_Data[[#This Row],[Team]],Dyno_Data[RecordType],"StartMatch",Dyno_Data[Match],Dyno_Data[[#This Row],[Match]]),0)*86400),0)</f>
        <v>0</v>
      </c>
    </row>
    <row r="3977" spans="1:35" x14ac:dyDescent="0.3">
      <c r="A3977">
        <v>3976</v>
      </c>
      <c r="B3977" t="s">
        <v>1298</v>
      </c>
      <c r="C3977">
        <v>71</v>
      </c>
      <c r="D3977" s="105">
        <v>45374.458797916668</v>
      </c>
      <c r="E3977" t="s">
        <v>312</v>
      </c>
      <c r="F3977" t="s">
        <v>1402</v>
      </c>
      <c r="G3977">
        <v>0</v>
      </c>
      <c r="H3977" t="s">
        <v>315</v>
      </c>
      <c r="I3977">
        <v>0</v>
      </c>
      <c r="J3977">
        <v>0</v>
      </c>
      <c r="K3977">
        <v>0</v>
      </c>
      <c r="L3977" t="s">
        <v>240</v>
      </c>
      <c r="M3977" t="s">
        <v>1398</v>
      </c>
      <c r="N3977">
        <v>1</v>
      </c>
      <c r="O3977" t="s">
        <v>1395</v>
      </c>
      <c r="P3977" t="s">
        <v>310</v>
      </c>
      <c r="Q3977" t="s">
        <v>310</v>
      </c>
      <c r="R3977" t="s">
        <v>310</v>
      </c>
      <c r="S3977">
        <v>9</v>
      </c>
      <c r="T3977" t="s">
        <v>310</v>
      </c>
      <c r="U3977">
        <v>9</v>
      </c>
      <c r="V3977">
        <v>9</v>
      </c>
      <c r="W3977">
        <v>0</v>
      </c>
      <c r="X3977">
        <v>0</v>
      </c>
      <c r="Y3977">
        <v>0</v>
      </c>
      <c r="Z3977">
        <v>0</v>
      </c>
      <c r="AA3977">
        <v>9</v>
      </c>
      <c r="AB3977">
        <v>9</v>
      </c>
      <c r="AC3977" t="s">
        <v>310</v>
      </c>
      <c r="AD3977">
        <v>9</v>
      </c>
      <c r="AE3977" t="s">
        <v>1414</v>
      </c>
      <c r="AF3977">
        <v>30000000</v>
      </c>
      <c r="AG3977" t="s">
        <v>310</v>
      </c>
      <c r="AH3977">
        <f>SUM((MID(Dyno_Data[[#This Row],[Team]],4,5))+(Dyno_Data[[#This Row],[Match]]/100))</f>
        <v>9624.7099999999991</v>
      </c>
      <c r="AI3977" s="76">
        <f>ROUND(SUM(IF(Dyno_Data[[#This Row],[AcqCenter]]&gt;0,Dyno_Data[[#This Row],[Time]]-SUMIFS(Dyno_Data[Time],Dyno_Data[Team],Dyno_Data[[#This Row],[Team]],Dyno_Data[RecordType],"StartMatch",Dyno_Data[Match],Dyno_Data[[#This Row],[Match]]),0)*86400),0)</f>
        <v>0</v>
      </c>
    </row>
    <row r="3978" spans="1:35" x14ac:dyDescent="0.3">
      <c r="A3978">
        <v>3977</v>
      </c>
      <c r="B3978" t="s">
        <v>1288</v>
      </c>
      <c r="C3978">
        <v>71</v>
      </c>
      <c r="D3978" s="105">
        <v>45374.45886111111</v>
      </c>
      <c r="E3978" t="s">
        <v>312</v>
      </c>
      <c r="F3978" t="s">
        <v>1402</v>
      </c>
      <c r="G3978">
        <v>0</v>
      </c>
      <c r="H3978" t="s">
        <v>315</v>
      </c>
      <c r="I3978">
        <v>0</v>
      </c>
      <c r="J3978">
        <v>0</v>
      </c>
      <c r="K3978">
        <v>0</v>
      </c>
      <c r="L3978" t="s">
        <v>240</v>
      </c>
      <c r="M3978" t="s">
        <v>1398</v>
      </c>
      <c r="N3978">
        <v>0</v>
      </c>
      <c r="O3978" t="s">
        <v>319</v>
      </c>
      <c r="P3978" t="s">
        <v>310</v>
      </c>
      <c r="Q3978" t="s">
        <v>310</v>
      </c>
      <c r="R3978" t="s">
        <v>310</v>
      </c>
      <c r="S3978">
        <v>9</v>
      </c>
      <c r="T3978" t="s">
        <v>310</v>
      </c>
      <c r="U3978">
        <v>9</v>
      </c>
      <c r="V3978">
        <v>9</v>
      </c>
      <c r="W3978">
        <v>0</v>
      </c>
      <c r="X3978">
        <v>0</v>
      </c>
      <c r="Y3978">
        <v>0</v>
      </c>
      <c r="Z3978">
        <v>0</v>
      </c>
      <c r="AA3978">
        <v>9</v>
      </c>
      <c r="AB3978">
        <v>9</v>
      </c>
      <c r="AC3978" t="s">
        <v>310</v>
      </c>
      <c r="AD3978">
        <v>9</v>
      </c>
      <c r="AE3978" t="s">
        <v>1416</v>
      </c>
      <c r="AF3978">
        <v>30000000</v>
      </c>
      <c r="AG3978" t="s">
        <v>310</v>
      </c>
      <c r="AH3978">
        <f>SUM((MID(Dyno_Data[[#This Row],[Team]],4,5))+(Dyno_Data[[#This Row],[Match]]/100))</f>
        <v>3181.71</v>
      </c>
      <c r="AI3978" s="76">
        <f>ROUND(SUM(IF(Dyno_Data[[#This Row],[AcqCenter]]&gt;0,Dyno_Data[[#This Row],[Time]]-SUMIFS(Dyno_Data[Time],Dyno_Data[Team],Dyno_Data[[#This Row],[Team]],Dyno_Data[RecordType],"StartMatch",Dyno_Data[Match],Dyno_Data[[#This Row],[Match]]),0)*86400),0)</f>
        <v>0</v>
      </c>
    </row>
    <row r="3979" spans="1:35" x14ac:dyDescent="0.3">
      <c r="A3979">
        <v>3978</v>
      </c>
      <c r="B3979" t="s">
        <v>1277</v>
      </c>
      <c r="C3979">
        <v>71</v>
      </c>
      <c r="D3979" s="105">
        <v>45374.458864664353</v>
      </c>
      <c r="E3979" t="s">
        <v>312</v>
      </c>
      <c r="F3979" t="s">
        <v>1402</v>
      </c>
      <c r="G3979">
        <v>0</v>
      </c>
      <c r="H3979" t="s">
        <v>315</v>
      </c>
      <c r="I3979">
        <v>0</v>
      </c>
      <c r="J3979">
        <v>0</v>
      </c>
      <c r="K3979">
        <v>0</v>
      </c>
      <c r="L3979" t="s">
        <v>241</v>
      </c>
      <c r="M3979" t="s">
        <v>101</v>
      </c>
      <c r="N3979">
        <v>1</v>
      </c>
      <c r="O3979" t="s">
        <v>311</v>
      </c>
      <c r="P3979" t="s">
        <v>310</v>
      </c>
      <c r="Q3979" t="s">
        <v>310</v>
      </c>
      <c r="R3979" t="s">
        <v>310</v>
      </c>
      <c r="S3979">
        <v>9</v>
      </c>
      <c r="T3979" t="s">
        <v>310</v>
      </c>
      <c r="U3979">
        <v>9</v>
      </c>
      <c r="V3979">
        <v>9</v>
      </c>
      <c r="W3979">
        <v>0</v>
      </c>
      <c r="X3979">
        <v>0</v>
      </c>
      <c r="Y3979">
        <v>0</v>
      </c>
      <c r="Z3979">
        <v>0</v>
      </c>
      <c r="AA3979">
        <v>9</v>
      </c>
      <c r="AB3979">
        <v>9</v>
      </c>
      <c r="AC3979" t="s">
        <v>310</v>
      </c>
      <c r="AD3979">
        <v>9</v>
      </c>
      <c r="AE3979" t="s">
        <v>1412</v>
      </c>
      <c r="AF3979">
        <v>70000000</v>
      </c>
      <c r="AG3979" t="s">
        <v>310</v>
      </c>
      <c r="AH3979">
        <f>SUM((MID(Dyno_Data[[#This Row],[Team]],4,5))+(Dyno_Data[[#This Row],[Match]]/100))</f>
        <v>3360.71</v>
      </c>
      <c r="AI3979" s="76">
        <f>ROUND(SUM(IF(Dyno_Data[[#This Row],[AcqCenter]]&gt;0,Dyno_Data[[#This Row],[Time]]-SUMIFS(Dyno_Data[Time],Dyno_Data[Team],Dyno_Data[[#This Row],[Team]],Dyno_Data[RecordType],"StartMatch",Dyno_Data[Match],Dyno_Data[[#This Row],[Match]]),0)*86400),0)</f>
        <v>0</v>
      </c>
    </row>
    <row r="3980" spans="1:35" x14ac:dyDescent="0.3">
      <c r="A3980">
        <v>3979</v>
      </c>
      <c r="B3980" t="s">
        <v>1298</v>
      </c>
      <c r="C3980">
        <v>71</v>
      </c>
      <c r="D3980" s="105">
        <v>45374.458879166668</v>
      </c>
      <c r="E3980" t="s">
        <v>312</v>
      </c>
      <c r="F3980" t="s">
        <v>1402</v>
      </c>
      <c r="G3980">
        <v>0</v>
      </c>
      <c r="H3980" t="s">
        <v>315</v>
      </c>
      <c r="I3980">
        <v>0</v>
      </c>
      <c r="J3980">
        <v>0</v>
      </c>
      <c r="K3980">
        <v>0</v>
      </c>
      <c r="L3980" t="s">
        <v>240</v>
      </c>
      <c r="M3980" t="s">
        <v>1398</v>
      </c>
      <c r="N3980">
        <v>0</v>
      </c>
      <c r="O3980" t="s">
        <v>1395</v>
      </c>
      <c r="P3980" t="s">
        <v>310</v>
      </c>
      <c r="Q3980" t="s">
        <v>310</v>
      </c>
      <c r="R3980" t="s">
        <v>310</v>
      </c>
      <c r="S3980">
        <v>9</v>
      </c>
      <c r="T3980" t="s">
        <v>310</v>
      </c>
      <c r="U3980">
        <v>9</v>
      </c>
      <c r="V3980">
        <v>9</v>
      </c>
      <c r="W3980">
        <v>0</v>
      </c>
      <c r="X3980">
        <v>0</v>
      </c>
      <c r="Y3980">
        <v>0</v>
      </c>
      <c r="Z3980">
        <v>0</v>
      </c>
      <c r="AA3980">
        <v>9</v>
      </c>
      <c r="AB3980">
        <v>9</v>
      </c>
      <c r="AC3980" t="s">
        <v>310</v>
      </c>
      <c r="AD3980">
        <v>9</v>
      </c>
      <c r="AE3980" t="s">
        <v>1414</v>
      </c>
      <c r="AF3980">
        <v>40000000</v>
      </c>
      <c r="AG3980" t="s">
        <v>310</v>
      </c>
      <c r="AH3980">
        <f>SUM((MID(Dyno_Data[[#This Row],[Team]],4,5))+(Dyno_Data[[#This Row],[Match]]/100))</f>
        <v>9624.7099999999991</v>
      </c>
      <c r="AI3980" s="76">
        <f>ROUND(SUM(IF(Dyno_Data[[#This Row],[AcqCenter]]&gt;0,Dyno_Data[[#This Row],[Time]]-SUMIFS(Dyno_Data[Time],Dyno_Data[Team],Dyno_Data[[#This Row],[Team]],Dyno_Data[RecordType],"StartMatch",Dyno_Data[Match],Dyno_Data[[#This Row],[Match]]),0)*86400),0)</f>
        <v>0</v>
      </c>
    </row>
    <row r="3981" spans="1:35" x14ac:dyDescent="0.3">
      <c r="A3981">
        <v>3980</v>
      </c>
      <c r="B3981" t="s">
        <v>318</v>
      </c>
      <c r="C3981">
        <v>71</v>
      </c>
      <c r="D3981" s="105">
        <v>45374.45894892361</v>
      </c>
      <c r="E3981" t="s">
        <v>312</v>
      </c>
      <c r="F3981" t="s">
        <v>1402</v>
      </c>
      <c r="G3981">
        <v>0</v>
      </c>
      <c r="H3981" t="s">
        <v>315</v>
      </c>
      <c r="I3981">
        <v>0</v>
      </c>
      <c r="J3981">
        <v>0</v>
      </c>
      <c r="K3981">
        <v>0</v>
      </c>
      <c r="L3981" t="s">
        <v>242</v>
      </c>
      <c r="M3981" t="s">
        <v>1398</v>
      </c>
      <c r="N3981">
        <v>0</v>
      </c>
      <c r="O3981" t="s">
        <v>1393</v>
      </c>
      <c r="P3981" t="s">
        <v>310</v>
      </c>
      <c r="Q3981" t="s">
        <v>310</v>
      </c>
      <c r="R3981" t="s">
        <v>310</v>
      </c>
      <c r="S3981">
        <v>9</v>
      </c>
      <c r="T3981" t="s">
        <v>310</v>
      </c>
      <c r="U3981">
        <v>9</v>
      </c>
      <c r="V3981">
        <v>9</v>
      </c>
      <c r="W3981">
        <v>0</v>
      </c>
      <c r="X3981">
        <v>0</v>
      </c>
      <c r="Y3981">
        <v>0</v>
      </c>
      <c r="Z3981">
        <v>0</v>
      </c>
      <c r="AA3981">
        <v>9</v>
      </c>
      <c r="AB3981">
        <v>9</v>
      </c>
      <c r="AC3981" t="s">
        <v>310</v>
      </c>
      <c r="AD3981">
        <v>9</v>
      </c>
      <c r="AE3981" t="s">
        <v>1413</v>
      </c>
      <c r="AF3981">
        <v>60000000</v>
      </c>
      <c r="AG3981" t="s">
        <v>310</v>
      </c>
      <c r="AH3981">
        <f>SUM((MID(Dyno_Data[[#This Row],[Team]],4,5))+(Dyno_Data[[#This Row],[Match]]/100))</f>
        <v>639.71</v>
      </c>
      <c r="AI3981" s="76">
        <f>ROUND(SUM(IF(Dyno_Data[[#This Row],[AcqCenter]]&gt;0,Dyno_Data[[#This Row],[Time]]-SUMIFS(Dyno_Data[Time],Dyno_Data[Team],Dyno_Data[[#This Row],[Team]],Dyno_Data[RecordType],"StartMatch",Dyno_Data[Match],Dyno_Data[[#This Row],[Match]]),0)*86400),0)</f>
        <v>0</v>
      </c>
    </row>
    <row r="3982" spans="1:35" x14ac:dyDescent="0.3">
      <c r="A3982">
        <v>3981</v>
      </c>
      <c r="B3982" t="s">
        <v>1315</v>
      </c>
      <c r="C3982">
        <v>71</v>
      </c>
      <c r="D3982" s="105">
        <v>45374.45895320602</v>
      </c>
      <c r="E3982" t="s">
        <v>312</v>
      </c>
      <c r="F3982" t="s">
        <v>1402</v>
      </c>
      <c r="G3982">
        <v>0</v>
      </c>
      <c r="H3982" t="s">
        <v>315</v>
      </c>
      <c r="I3982">
        <v>0</v>
      </c>
      <c r="J3982">
        <v>0</v>
      </c>
      <c r="K3982">
        <v>0</v>
      </c>
      <c r="L3982" t="s">
        <v>241</v>
      </c>
      <c r="M3982" t="s">
        <v>1398</v>
      </c>
      <c r="N3982">
        <v>0</v>
      </c>
      <c r="O3982" t="s">
        <v>1389</v>
      </c>
      <c r="P3982" t="s">
        <v>310</v>
      </c>
      <c r="Q3982" t="s">
        <v>310</v>
      </c>
      <c r="R3982" t="s">
        <v>310</v>
      </c>
      <c r="S3982">
        <v>9</v>
      </c>
      <c r="T3982" t="s">
        <v>310</v>
      </c>
      <c r="U3982">
        <v>9</v>
      </c>
      <c r="V3982">
        <v>9</v>
      </c>
      <c r="W3982">
        <v>0</v>
      </c>
      <c r="X3982">
        <v>0</v>
      </c>
      <c r="Y3982">
        <v>0</v>
      </c>
      <c r="Z3982">
        <v>0</v>
      </c>
      <c r="AA3982">
        <v>9</v>
      </c>
      <c r="AB3982">
        <v>9</v>
      </c>
      <c r="AC3982" t="s">
        <v>310</v>
      </c>
      <c r="AD3982">
        <v>9</v>
      </c>
      <c r="AE3982" t="s">
        <v>1418</v>
      </c>
      <c r="AF3982">
        <v>60000000</v>
      </c>
      <c r="AG3982" t="s">
        <v>310</v>
      </c>
      <c r="AH3982">
        <f>SUM((MID(Dyno_Data[[#This Row],[Team]],4,5))+(Dyno_Data[[#This Row],[Match]]/100))</f>
        <v>1511.71</v>
      </c>
      <c r="AI3982" s="76">
        <f>ROUND(SUM(IF(Dyno_Data[[#This Row],[AcqCenter]]&gt;0,Dyno_Data[[#This Row],[Time]]-SUMIFS(Dyno_Data[Time],Dyno_Data[Team],Dyno_Data[[#This Row],[Team]],Dyno_Data[RecordType],"StartMatch",Dyno_Data[Match],Dyno_Data[[#This Row],[Match]]),0)*86400),0)</f>
        <v>0</v>
      </c>
    </row>
    <row r="3983" spans="1:35" x14ac:dyDescent="0.3">
      <c r="A3983">
        <v>3982</v>
      </c>
      <c r="B3983" t="s">
        <v>1315</v>
      </c>
      <c r="C3983">
        <v>71</v>
      </c>
      <c r="D3983" s="105">
        <v>45374.459023495372</v>
      </c>
      <c r="E3983" t="s">
        <v>312</v>
      </c>
      <c r="F3983" t="s">
        <v>1402</v>
      </c>
      <c r="G3983">
        <v>0</v>
      </c>
      <c r="H3983" t="s">
        <v>315</v>
      </c>
      <c r="I3983">
        <v>0</v>
      </c>
      <c r="J3983">
        <v>0</v>
      </c>
      <c r="K3983">
        <v>0</v>
      </c>
      <c r="L3983" t="s">
        <v>241</v>
      </c>
      <c r="M3983" t="s">
        <v>1398</v>
      </c>
      <c r="N3983">
        <v>1</v>
      </c>
      <c r="O3983" t="s">
        <v>1389</v>
      </c>
      <c r="P3983" t="s">
        <v>310</v>
      </c>
      <c r="Q3983" t="s">
        <v>310</v>
      </c>
      <c r="R3983" t="s">
        <v>310</v>
      </c>
      <c r="S3983">
        <v>9</v>
      </c>
      <c r="T3983" t="s">
        <v>310</v>
      </c>
      <c r="U3983">
        <v>9</v>
      </c>
      <c r="V3983">
        <v>9</v>
      </c>
      <c r="W3983">
        <v>0</v>
      </c>
      <c r="X3983">
        <v>0</v>
      </c>
      <c r="Y3983">
        <v>0</v>
      </c>
      <c r="Z3983">
        <v>0</v>
      </c>
      <c r="AA3983">
        <v>9</v>
      </c>
      <c r="AB3983">
        <v>9</v>
      </c>
      <c r="AC3983" t="s">
        <v>310</v>
      </c>
      <c r="AD3983">
        <v>9</v>
      </c>
      <c r="AE3983" t="s">
        <v>1418</v>
      </c>
      <c r="AF3983">
        <v>70000000</v>
      </c>
      <c r="AG3983" t="s">
        <v>310</v>
      </c>
      <c r="AH3983">
        <f>SUM((MID(Dyno_Data[[#This Row],[Team]],4,5))+(Dyno_Data[[#This Row],[Match]]/100))</f>
        <v>1511.71</v>
      </c>
      <c r="AI3983" s="76">
        <f>ROUND(SUM(IF(Dyno_Data[[#This Row],[AcqCenter]]&gt;0,Dyno_Data[[#This Row],[Time]]-SUMIFS(Dyno_Data[Time],Dyno_Data[Team],Dyno_Data[[#This Row],[Team]],Dyno_Data[RecordType],"StartMatch",Dyno_Data[Match],Dyno_Data[[#This Row],[Match]]),0)*86400),0)</f>
        <v>0</v>
      </c>
    </row>
    <row r="3984" spans="1:35" x14ac:dyDescent="0.3">
      <c r="A3984">
        <v>3983</v>
      </c>
      <c r="B3984" t="s">
        <v>1288</v>
      </c>
      <c r="C3984">
        <v>71</v>
      </c>
      <c r="D3984" s="105">
        <v>45374.459063310183</v>
      </c>
      <c r="E3984" t="s">
        <v>312</v>
      </c>
      <c r="F3984" t="s">
        <v>1402</v>
      </c>
      <c r="G3984">
        <v>0</v>
      </c>
      <c r="H3984" t="s">
        <v>315</v>
      </c>
      <c r="I3984">
        <v>0</v>
      </c>
      <c r="J3984">
        <v>0</v>
      </c>
      <c r="K3984">
        <v>0</v>
      </c>
      <c r="L3984" t="s">
        <v>240</v>
      </c>
      <c r="M3984" t="s">
        <v>1398</v>
      </c>
      <c r="N3984">
        <v>0</v>
      </c>
      <c r="O3984" t="s">
        <v>319</v>
      </c>
      <c r="P3984" t="s">
        <v>310</v>
      </c>
      <c r="Q3984" t="s">
        <v>310</v>
      </c>
      <c r="R3984" t="s">
        <v>310</v>
      </c>
      <c r="S3984">
        <v>9</v>
      </c>
      <c r="T3984" t="s">
        <v>310</v>
      </c>
      <c r="U3984">
        <v>9</v>
      </c>
      <c r="V3984">
        <v>9</v>
      </c>
      <c r="W3984">
        <v>0</v>
      </c>
      <c r="X3984">
        <v>0</v>
      </c>
      <c r="Y3984">
        <v>0</v>
      </c>
      <c r="Z3984">
        <v>0</v>
      </c>
      <c r="AA3984">
        <v>9</v>
      </c>
      <c r="AB3984">
        <v>9</v>
      </c>
      <c r="AC3984" t="s">
        <v>310</v>
      </c>
      <c r="AD3984">
        <v>9</v>
      </c>
      <c r="AE3984" t="s">
        <v>1416</v>
      </c>
      <c r="AF3984">
        <v>40000000</v>
      </c>
      <c r="AG3984" t="s">
        <v>310</v>
      </c>
      <c r="AH3984">
        <f>SUM((MID(Dyno_Data[[#This Row],[Team]],4,5))+(Dyno_Data[[#This Row],[Match]]/100))</f>
        <v>3181.71</v>
      </c>
      <c r="AI3984" s="76">
        <f>ROUND(SUM(IF(Dyno_Data[[#This Row],[AcqCenter]]&gt;0,Dyno_Data[[#This Row],[Time]]-SUMIFS(Dyno_Data[Time],Dyno_Data[Team],Dyno_Data[[#This Row],[Team]],Dyno_Data[RecordType],"StartMatch",Dyno_Data[Match],Dyno_Data[[#This Row],[Match]]),0)*86400),0)</f>
        <v>0</v>
      </c>
    </row>
    <row r="3985" spans="1:35" x14ac:dyDescent="0.3">
      <c r="A3985">
        <v>3984</v>
      </c>
      <c r="B3985" t="s">
        <v>1298</v>
      </c>
      <c r="C3985">
        <v>71</v>
      </c>
      <c r="D3985" s="105">
        <v>45374.459072800928</v>
      </c>
      <c r="E3985" t="s">
        <v>312</v>
      </c>
      <c r="F3985" t="s">
        <v>1402</v>
      </c>
      <c r="G3985">
        <v>0</v>
      </c>
      <c r="H3985" t="s">
        <v>315</v>
      </c>
      <c r="I3985">
        <v>0</v>
      </c>
      <c r="J3985">
        <v>0</v>
      </c>
      <c r="K3985">
        <v>0</v>
      </c>
      <c r="L3985" t="s">
        <v>240</v>
      </c>
      <c r="M3985" t="s">
        <v>1398</v>
      </c>
      <c r="N3985">
        <v>0</v>
      </c>
      <c r="O3985" t="s">
        <v>1395</v>
      </c>
      <c r="P3985" t="s">
        <v>310</v>
      </c>
      <c r="Q3985" t="s">
        <v>310</v>
      </c>
      <c r="R3985" t="s">
        <v>310</v>
      </c>
      <c r="S3985">
        <v>9</v>
      </c>
      <c r="T3985" t="s">
        <v>310</v>
      </c>
      <c r="U3985">
        <v>9</v>
      </c>
      <c r="V3985">
        <v>9</v>
      </c>
      <c r="W3985">
        <v>0</v>
      </c>
      <c r="X3985">
        <v>0</v>
      </c>
      <c r="Y3985">
        <v>0</v>
      </c>
      <c r="Z3985">
        <v>0</v>
      </c>
      <c r="AA3985">
        <v>9</v>
      </c>
      <c r="AB3985">
        <v>9</v>
      </c>
      <c r="AC3985" t="s">
        <v>310</v>
      </c>
      <c r="AD3985">
        <v>9</v>
      </c>
      <c r="AE3985" t="s">
        <v>1414</v>
      </c>
      <c r="AF3985">
        <v>50000000</v>
      </c>
      <c r="AG3985" t="s">
        <v>310</v>
      </c>
      <c r="AH3985">
        <f>SUM((MID(Dyno_Data[[#This Row],[Team]],4,5))+(Dyno_Data[[#This Row],[Match]]/100))</f>
        <v>9624.7099999999991</v>
      </c>
      <c r="AI3985" s="76">
        <f>ROUND(SUM(IF(Dyno_Data[[#This Row],[AcqCenter]]&gt;0,Dyno_Data[[#This Row],[Time]]-SUMIFS(Dyno_Data[Time],Dyno_Data[Team],Dyno_Data[[#This Row],[Team]],Dyno_Data[RecordType],"StartMatch",Dyno_Data[Match],Dyno_Data[[#This Row],[Match]]),0)*86400),0)</f>
        <v>0</v>
      </c>
    </row>
    <row r="3986" spans="1:35" x14ac:dyDescent="0.3">
      <c r="A3986">
        <v>3985</v>
      </c>
      <c r="B3986" t="s">
        <v>1277</v>
      </c>
      <c r="C3986">
        <v>71</v>
      </c>
      <c r="D3986" s="105">
        <v>45374.459105358794</v>
      </c>
      <c r="E3986" t="s">
        <v>312</v>
      </c>
      <c r="F3986" t="s">
        <v>1402</v>
      </c>
      <c r="G3986">
        <v>0</v>
      </c>
      <c r="H3986" t="s">
        <v>315</v>
      </c>
      <c r="I3986">
        <v>0</v>
      </c>
      <c r="J3986">
        <v>0</v>
      </c>
      <c r="K3986">
        <v>0</v>
      </c>
      <c r="L3986" t="s">
        <v>241</v>
      </c>
      <c r="M3986" t="s">
        <v>101</v>
      </c>
      <c r="N3986">
        <v>0</v>
      </c>
      <c r="O3986" t="s">
        <v>311</v>
      </c>
      <c r="P3986" t="s">
        <v>310</v>
      </c>
      <c r="Q3986" t="s">
        <v>310</v>
      </c>
      <c r="R3986" t="s">
        <v>310</v>
      </c>
      <c r="S3986">
        <v>9</v>
      </c>
      <c r="T3986" t="s">
        <v>310</v>
      </c>
      <c r="U3986">
        <v>9</v>
      </c>
      <c r="V3986">
        <v>9</v>
      </c>
      <c r="W3986">
        <v>0</v>
      </c>
      <c r="X3986">
        <v>0</v>
      </c>
      <c r="Y3986">
        <v>0</v>
      </c>
      <c r="Z3986">
        <v>0</v>
      </c>
      <c r="AA3986">
        <v>9</v>
      </c>
      <c r="AB3986">
        <v>9</v>
      </c>
      <c r="AC3986" t="s">
        <v>310</v>
      </c>
      <c r="AD3986">
        <v>9</v>
      </c>
      <c r="AE3986" t="s">
        <v>1412</v>
      </c>
      <c r="AF3986">
        <v>80000000</v>
      </c>
      <c r="AG3986" t="s">
        <v>310</v>
      </c>
      <c r="AH3986">
        <f>SUM((MID(Dyno_Data[[#This Row],[Team]],4,5))+(Dyno_Data[[#This Row],[Match]]/100))</f>
        <v>3360.71</v>
      </c>
      <c r="AI3986" s="76">
        <f>ROUND(SUM(IF(Dyno_Data[[#This Row],[AcqCenter]]&gt;0,Dyno_Data[[#This Row],[Time]]-SUMIFS(Dyno_Data[Time],Dyno_Data[Team],Dyno_Data[[#This Row],[Team]],Dyno_Data[RecordType],"StartMatch",Dyno_Data[Match],Dyno_Data[[#This Row],[Match]]),0)*86400),0)</f>
        <v>0</v>
      </c>
    </row>
    <row r="3987" spans="1:35" x14ac:dyDescent="0.3">
      <c r="A3987">
        <v>3986</v>
      </c>
      <c r="B3987" t="s">
        <v>318</v>
      </c>
      <c r="C3987">
        <v>71</v>
      </c>
      <c r="D3987" s="105">
        <v>45374.459136423611</v>
      </c>
      <c r="E3987" t="s">
        <v>312</v>
      </c>
      <c r="F3987" t="s">
        <v>1402</v>
      </c>
      <c r="G3987">
        <v>0</v>
      </c>
      <c r="H3987" t="s">
        <v>315</v>
      </c>
      <c r="I3987">
        <v>0</v>
      </c>
      <c r="J3987">
        <v>0</v>
      </c>
      <c r="K3987">
        <v>0</v>
      </c>
      <c r="L3987" t="s">
        <v>240</v>
      </c>
      <c r="M3987" t="s">
        <v>1398</v>
      </c>
      <c r="N3987">
        <v>0</v>
      </c>
      <c r="O3987" t="s">
        <v>1393</v>
      </c>
      <c r="P3987" t="s">
        <v>310</v>
      </c>
      <c r="Q3987" t="s">
        <v>310</v>
      </c>
      <c r="R3987" t="s">
        <v>310</v>
      </c>
      <c r="S3987">
        <v>9</v>
      </c>
      <c r="T3987" t="s">
        <v>310</v>
      </c>
      <c r="U3987">
        <v>9</v>
      </c>
      <c r="V3987">
        <v>9</v>
      </c>
      <c r="W3987">
        <v>0</v>
      </c>
      <c r="X3987">
        <v>0</v>
      </c>
      <c r="Y3987">
        <v>0</v>
      </c>
      <c r="Z3987">
        <v>0</v>
      </c>
      <c r="AA3987">
        <v>9</v>
      </c>
      <c r="AB3987">
        <v>9</v>
      </c>
      <c r="AC3987" t="s">
        <v>310</v>
      </c>
      <c r="AD3987">
        <v>9</v>
      </c>
      <c r="AE3987" t="s">
        <v>1413</v>
      </c>
      <c r="AF3987">
        <v>70000000</v>
      </c>
      <c r="AG3987" t="s">
        <v>310</v>
      </c>
      <c r="AH3987">
        <f>SUM((MID(Dyno_Data[[#This Row],[Team]],4,5))+(Dyno_Data[[#This Row],[Match]]/100))</f>
        <v>639.71</v>
      </c>
      <c r="AI3987" s="76">
        <f>ROUND(SUM(IF(Dyno_Data[[#This Row],[AcqCenter]]&gt;0,Dyno_Data[[#This Row],[Time]]-SUMIFS(Dyno_Data[Time],Dyno_Data[Team],Dyno_Data[[#This Row],[Team]],Dyno_Data[RecordType],"StartMatch",Dyno_Data[Match],Dyno_Data[[#This Row],[Match]]),0)*86400),0)</f>
        <v>0</v>
      </c>
    </row>
    <row r="3988" spans="1:35" x14ac:dyDescent="0.3">
      <c r="A3988">
        <v>3987</v>
      </c>
      <c r="B3988" t="s">
        <v>1277</v>
      </c>
      <c r="C3988">
        <v>71</v>
      </c>
      <c r="D3988" s="105">
        <v>45374.459241817131</v>
      </c>
      <c r="E3988" t="s">
        <v>312</v>
      </c>
      <c r="F3988" t="s">
        <v>1402</v>
      </c>
      <c r="G3988">
        <v>0</v>
      </c>
      <c r="H3988" t="s">
        <v>315</v>
      </c>
      <c r="I3988">
        <v>0</v>
      </c>
      <c r="J3988">
        <v>0</v>
      </c>
      <c r="K3988">
        <v>0</v>
      </c>
      <c r="L3988" t="s">
        <v>241</v>
      </c>
      <c r="M3988" t="s">
        <v>101</v>
      </c>
      <c r="N3988">
        <v>0</v>
      </c>
      <c r="O3988" t="s">
        <v>311</v>
      </c>
      <c r="P3988" t="s">
        <v>310</v>
      </c>
      <c r="Q3988" t="s">
        <v>310</v>
      </c>
      <c r="R3988" t="s">
        <v>310</v>
      </c>
      <c r="S3988">
        <v>9</v>
      </c>
      <c r="T3988" t="s">
        <v>310</v>
      </c>
      <c r="U3988">
        <v>9</v>
      </c>
      <c r="V3988">
        <v>9</v>
      </c>
      <c r="W3988">
        <v>0</v>
      </c>
      <c r="X3988">
        <v>0</v>
      </c>
      <c r="Y3988">
        <v>0</v>
      </c>
      <c r="Z3988">
        <v>0</v>
      </c>
      <c r="AA3988">
        <v>9</v>
      </c>
      <c r="AB3988">
        <v>9</v>
      </c>
      <c r="AC3988" t="s">
        <v>310</v>
      </c>
      <c r="AD3988">
        <v>9</v>
      </c>
      <c r="AE3988" t="s">
        <v>1412</v>
      </c>
      <c r="AF3988">
        <v>90000000</v>
      </c>
      <c r="AG3988" t="s">
        <v>310</v>
      </c>
      <c r="AH3988">
        <f>SUM((MID(Dyno_Data[[#This Row],[Team]],4,5))+(Dyno_Data[[#This Row],[Match]]/100))</f>
        <v>3360.71</v>
      </c>
      <c r="AI3988" s="76">
        <f>ROUND(SUM(IF(Dyno_Data[[#This Row],[AcqCenter]]&gt;0,Dyno_Data[[#This Row],[Time]]-SUMIFS(Dyno_Data[Time],Dyno_Data[Team],Dyno_Data[[#This Row],[Team]],Dyno_Data[RecordType],"StartMatch",Dyno_Data[Match],Dyno_Data[[#This Row],[Match]]),0)*86400),0)</f>
        <v>0</v>
      </c>
    </row>
    <row r="3989" spans="1:35" x14ac:dyDescent="0.3">
      <c r="A3989">
        <v>3988</v>
      </c>
      <c r="B3989" t="s">
        <v>1288</v>
      </c>
      <c r="C3989">
        <v>71</v>
      </c>
      <c r="D3989" s="105">
        <v>45374.459264386576</v>
      </c>
      <c r="E3989" t="s">
        <v>1403</v>
      </c>
      <c r="F3989" t="s">
        <v>1402</v>
      </c>
      <c r="G3989">
        <v>0</v>
      </c>
      <c r="H3989" t="s">
        <v>310</v>
      </c>
      <c r="I3989">
        <v>0</v>
      </c>
      <c r="J3989">
        <v>0</v>
      </c>
      <c r="K3989">
        <v>0</v>
      </c>
      <c r="L3989" t="s">
        <v>310</v>
      </c>
      <c r="M3989" t="s">
        <v>310</v>
      </c>
      <c r="N3989">
        <v>0</v>
      </c>
      <c r="O3989" t="s">
        <v>319</v>
      </c>
      <c r="P3989" t="s">
        <v>310</v>
      </c>
      <c r="Q3989" t="s">
        <v>310</v>
      </c>
      <c r="R3989" t="s">
        <v>310</v>
      </c>
      <c r="S3989">
        <v>9</v>
      </c>
      <c r="T3989" t="s">
        <v>310</v>
      </c>
      <c r="U3989">
        <v>9</v>
      </c>
      <c r="V3989">
        <v>9</v>
      </c>
      <c r="W3989">
        <v>0</v>
      </c>
      <c r="X3989">
        <v>0</v>
      </c>
      <c r="Y3989">
        <v>0</v>
      </c>
      <c r="Z3989">
        <v>0</v>
      </c>
      <c r="AA3989">
        <v>9</v>
      </c>
      <c r="AB3989">
        <v>9</v>
      </c>
      <c r="AC3989" t="s">
        <v>310</v>
      </c>
      <c r="AD3989">
        <v>9</v>
      </c>
      <c r="AE3989" t="s">
        <v>1416</v>
      </c>
      <c r="AF3989">
        <v>90000000</v>
      </c>
      <c r="AG3989" t="s">
        <v>249</v>
      </c>
      <c r="AH3989">
        <f>SUM((MID(Dyno_Data[[#This Row],[Team]],4,5))+(Dyno_Data[[#This Row],[Match]]/100))</f>
        <v>3181.71</v>
      </c>
      <c r="AI3989" s="76">
        <f>ROUND(SUM(IF(Dyno_Data[[#This Row],[AcqCenter]]&gt;0,Dyno_Data[[#This Row],[Time]]-SUMIFS(Dyno_Data[Time],Dyno_Data[Team],Dyno_Data[[#This Row],[Team]],Dyno_Data[RecordType],"StartMatch",Dyno_Data[Match],Dyno_Data[[#This Row],[Match]]),0)*86400),0)</f>
        <v>0</v>
      </c>
    </row>
    <row r="3990" spans="1:35" x14ac:dyDescent="0.3">
      <c r="A3990">
        <v>3989</v>
      </c>
      <c r="B3990" t="s">
        <v>1315</v>
      </c>
      <c r="C3990">
        <v>71</v>
      </c>
      <c r="D3990" s="105">
        <v>45374.45928653935</v>
      </c>
      <c r="E3990" t="s">
        <v>312</v>
      </c>
      <c r="F3990" t="s">
        <v>1402</v>
      </c>
      <c r="G3990">
        <v>0</v>
      </c>
      <c r="H3990" t="s">
        <v>315</v>
      </c>
      <c r="I3990">
        <v>0</v>
      </c>
      <c r="J3990">
        <v>0</v>
      </c>
      <c r="K3990">
        <v>0</v>
      </c>
      <c r="L3990" t="s">
        <v>240</v>
      </c>
      <c r="M3990" t="s">
        <v>1398</v>
      </c>
      <c r="N3990">
        <v>0</v>
      </c>
      <c r="O3990" t="s">
        <v>1389</v>
      </c>
      <c r="P3990" t="s">
        <v>310</v>
      </c>
      <c r="Q3990" t="s">
        <v>310</v>
      </c>
      <c r="R3990" t="s">
        <v>310</v>
      </c>
      <c r="S3990">
        <v>9</v>
      </c>
      <c r="T3990" t="s">
        <v>310</v>
      </c>
      <c r="U3990">
        <v>9</v>
      </c>
      <c r="V3990">
        <v>9</v>
      </c>
      <c r="W3990">
        <v>0</v>
      </c>
      <c r="X3990">
        <v>0</v>
      </c>
      <c r="Y3990">
        <v>0</v>
      </c>
      <c r="Z3990">
        <v>0</v>
      </c>
      <c r="AA3990">
        <v>9</v>
      </c>
      <c r="AB3990">
        <v>9</v>
      </c>
      <c r="AC3990" t="s">
        <v>310</v>
      </c>
      <c r="AD3990">
        <v>9</v>
      </c>
      <c r="AE3990" t="s">
        <v>1418</v>
      </c>
      <c r="AF3990">
        <v>80000000</v>
      </c>
      <c r="AG3990" t="s">
        <v>310</v>
      </c>
      <c r="AH3990">
        <f>SUM((MID(Dyno_Data[[#This Row],[Team]],4,5))+(Dyno_Data[[#This Row],[Match]]/100))</f>
        <v>1511.71</v>
      </c>
      <c r="AI3990" s="76">
        <f>ROUND(SUM(IF(Dyno_Data[[#This Row],[AcqCenter]]&gt;0,Dyno_Data[[#This Row],[Time]]-SUMIFS(Dyno_Data[Time],Dyno_Data[Team],Dyno_Data[[#This Row],[Team]],Dyno_Data[RecordType],"StartMatch",Dyno_Data[Match],Dyno_Data[[#This Row],[Match]]),0)*86400),0)</f>
        <v>0</v>
      </c>
    </row>
    <row r="3991" spans="1:35" x14ac:dyDescent="0.3">
      <c r="A3991">
        <v>3990</v>
      </c>
      <c r="B3991" t="s">
        <v>1277</v>
      </c>
      <c r="C3991">
        <v>71</v>
      </c>
      <c r="D3991" s="105">
        <v>45374.459320451388</v>
      </c>
      <c r="E3991" t="s">
        <v>312</v>
      </c>
      <c r="F3991" t="s">
        <v>1402</v>
      </c>
      <c r="G3991">
        <v>0</v>
      </c>
      <c r="H3991" t="s">
        <v>315</v>
      </c>
      <c r="I3991">
        <v>0</v>
      </c>
      <c r="J3991">
        <v>0</v>
      </c>
      <c r="K3991">
        <v>0</v>
      </c>
      <c r="L3991" t="s">
        <v>241</v>
      </c>
      <c r="M3991" t="s">
        <v>1398</v>
      </c>
      <c r="N3991">
        <v>0</v>
      </c>
      <c r="O3991" t="s">
        <v>311</v>
      </c>
      <c r="P3991" t="s">
        <v>310</v>
      </c>
      <c r="Q3991" t="s">
        <v>310</v>
      </c>
      <c r="R3991" t="s">
        <v>310</v>
      </c>
      <c r="S3991">
        <v>9</v>
      </c>
      <c r="T3991" t="s">
        <v>310</v>
      </c>
      <c r="U3991">
        <v>9</v>
      </c>
      <c r="V3991">
        <v>9</v>
      </c>
      <c r="W3991">
        <v>0</v>
      </c>
      <c r="X3991">
        <v>0</v>
      </c>
      <c r="Y3991">
        <v>0</v>
      </c>
      <c r="Z3991">
        <v>0</v>
      </c>
      <c r="AA3991">
        <v>9</v>
      </c>
      <c r="AB3991">
        <v>9</v>
      </c>
      <c r="AC3991" t="s">
        <v>310</v>
      </c>
      <c r="AD3991">
        <v>9</v>
      </c>
      <c r="AE3991" t="s">
        <v>1412</v>
      </c>
      <c r="AF3991">
        <v>100000000</v>
      </c>
      <c r="AG3991" t="s">
        <v>310</v>
      </c>
      <c r="AH3991">
        <f>SUM((MID(Dyno_Data[[#This Row],[Team]],4,5))+(Dyno_Data[[#This Row],[Match]]/100))</f>
        <v>3360.71</v>
      </c>
      <c r="AI3991" s="76">
        <f>ROUND(SUM(IF(Dyno_Data[[#This Row],[AcqCenter]]&gt;0,Dyno_Data[[#This Row],[Time]]-SUMIFS(Dyno_Data[Time],Dyno_Data[Team],Dyno_Data[[#This Row],[Team]],Dyno_Data[RecordType],"StartMatch",Dyno_Data[Match],Dyno_Data[[#This Row],[Match]]),0)*86400),0)</f>
        <v>0</v>
      </c>
    </row>
    <row r="3992" spans="1:35" x14ac:dyDescent="0.3">
      <c r="A3992">
        <v>3991</v>
      </c>
      <c r="B3992" t="s">
        <v>1298</v>
      </c>
      <c r="C3992">
        <v>71</v>
      </c>
      <c r="D3992" s="105">
        <v>45374.45933283565</v>
      </c>
      <c r="E3992" t="s">
        <v>312</v>
      </c>
      <c r="F3992" t="s">
        <v>1402</v>
      </c>
      <c r="G3992">
        <v>0</v>
      </c>
      <c r="H3992" t="s">
        <v>315</v>
      </c>
      <c r="I3992">
        <v>0</v>
      </c>
      <c r="J3992">
        <v>0</v>
      </c>
      <c r="K3992">
        <v>0</v>
      </c>
      <c r="L3992" t="s">
        <v>240</v>
      </c>
      <c r="M3992" t="s">
        <v>1398</v>
      </c>
      <c r="N3992">
        <v>0</v>
      </c>
      <c r="O3992" t="s">
        <v>1395</v>
      </c>
      <c r="P3992" t="s">
        <v>310</v>
      </c>
      <c r="Q3992" t="s">
        <v>310</v>
      </c>
      <c r="R3992" t="s">
        <v>310</v>
      </c>
      <c r="S3992">
        <v>9</v>
      </c>
      <c r="T3992" t="s">
        <v>310</v>
      </c>
      <c r="U3992">
        <v>9</v>
      </c>
      <c r="V3992">
        <v>9</v>
      </c>
      <c r="W3992">
        <v>0</v>
      </c>
      <c r="X3992">
        <v>0</v>
      </c>
      <c r="Y3992">
        <v>0</v>
      </c>
      <c r="Z3992">
        <v>0</v>
      </c>
      <c r="AA3992">
        <v>9</v>
      </c>
      <c r="AB3992">
        <v>9</v>
      </c>
      <c r="AC3992" t="s">
        <v>310</v>
      </c>
      <c r="AD3992">
        <v>9</v>
      </c>
      <c r="AE3992" t="s">
        <v>1414</v>
      </c>
      <c r="AF3992">
        <v>60000000</v>
      </c>
      <c r="AG3992" t="s">
        <v>310</v>
      </c>
      <c r="AH3992">
        <f>SUM((MID(Dyno_Data[[#This Row],[Team]],4,5))+(Dyno_Data[[#This Row],[Match]]/100))</f>
        <v>9624.7099999999991</v>
      </c>
      <c r="AI3992" s="76">
        <f>ROUND(SUM(IF(Dyno_Data[[#This Row],[AcqCenter]]&gt;0,Dyno_Data[[#This Row],[Time]]-SUMIFS(Dyno_Data[Time],Dyno_Data[Team],Dyno_Data[[#This Row],[Team]],Dyno_Data[RecordType],"StartMatch",Dyno_Data[Match],Dyno_Data[[#This Row],[Match]]),0)*86400),0)</f>
        <v>0</v>
      </c>
    </row>
    <row r="3993" spans="1:35" x14ac:dyDescent="0.3">
      <c r="A3993">
        <v>3992</v>
      </c>
      <c r="B3993" t="s">
        <v>1288</v>
      </c>
      <c r="C3993">
        <v>71</v>
      </c>
      <c r="D3993" s="105">
        <v>45374.459386192131</v>
      </c>
      <c r="E3993" t="s">
        <v>312</v>
      </c>
      <c r="F3993" t="s">
        <v>1402</v>
      </c>
      <c r="G3993">
        <v>0</v>
      </c>
      <c r="H3993" t="s">
        <v>315</v>
      </c>
      <c r="I3993">
        <v>0</v>
      </c>
      <c r="J3993">
        <v>0</v>
      </c>
      <c r="K3993">
        <v>0</v>
      </c>
      <c r="L3993" t="s">
        <v>240</v>
      </c>
      <c r="M3993" t="s">
        <v>1398</v>
      </c>
      <c r="N3993">
        <v>1</v>
      </c>
      <c r="O3993" t="s">
        <v>319</v>
      </c>
      <c r="P3993" t="s">
        <v>310</v>
      </c>
      <c r="Q3993" t="s">
        <v>310</v>
      </c>
      <c r="R3993" t="s">
        <v>310</v>
      </c>
      <c r="S3993">
        <v>9</v>
      </c>
      <c r="T3993" t="s">
        <v>310</v>
      </c>
      <c r="U3993">
        <v>9</v>
      </c>
      <c r="V3993">
        <v>9</v>
      </c>
      <c r="W3993">
        <v>0</v>
      </c>
      <c r="X3993">
        <v>0</v>
      </c>
      <c r="Y3993">
        <v>0</v>
      </c>
      <c r="Z3993">
        <v>0</v>
      </c>
      <c r="AA3993">
        <v>9</v>
      </c>
      <c r="AB3993">
        <v>9</v>
      </c>
      <c r="AC3993" t="s">
        <v>310</v>
      </c>
      <c r="AD3993">
        <v>9</v>
      </c>
      <c r="AE3993" t="s">
        <v>1416</v>
      </c>
      <c r="AF3993">
        <v>50000000</v>
      </c>
      <c r="AG3993" t="s">
        <v>310</v>
      </c>
      <c r="AH3993">
        <f>SUM((MID(Dyno_Data[[#This Row],[Team]],4,5))+(Dyno_Data[[#This Row],[Match]]/100))</f>
        <v>3181.71</v>
      </c>
      <c r="AI3993" s="76">
        <f>ROUND(SUM(IF(Dyno_Data[[#This Row],[AcqCenter]]&gt;0,Dyno_Data[[#This Row],[Time]]-SUMIFS(Dyno_Data[Time],Dyno_Data[Team],Dyno_Data[[#This Row],[Team]],Dyno_Data[RecordType],"StartMatch",Dyno_Data[Match],Dyno_Data[[#This Row],[Match]]),0)*86400),0)</f>
        <v>0</v>
      </c>
    </row>
    <row r="3994" spans="1:35" x14ac:dyDescent="0.3">
      <c r="A3994">
        <v>3993</v>
      </c>
      <c r="B3994" t="s">
        <v>318</v>
      </c>
      <c r="C3994">
        <v>71</v>
      </c>
      <c r="D3994" s="105">
        <v>45374.459433067132</v>
      </c>
      <c r="E3994" t="s">
        <v>1403</v>
      </c>
      <c r="F3994" t="s">
        <v>1402</v>
      </c>
      <c r="G3994">
        <v>0</v>
      </c>
      <c r="H3994" t="s">
        <v>310</v>
      </c>
      <c r="I3994">
        <v>0</v>
      </c>
      <c r="J3994">
        <v>0</v>
      </c>
      <c r="K3994">
        <v>0</v>
      </c>
      <c r="L3994" t="s">
        <v>310</v>
      </c>
      <c r="M3994" t="s">
        <v>310</v>
      </c>
      <c r="N3994">
        <v>0</v>
      </c>
      <c r="O3994" t="s">
        <v>1393</v>
      </c>
      <c r="P3994" t="s">
        <v>310</v>
      </c>
      <c r="Q3994" t="s">
        <v>310</v>
      </c>
      <c r="R3994" t="s">
        <v>310</v>
      </c>
      <c r="S3994">
        <v>9</v>
      </c>
      <c r="T3994" t="s">
        <v>310</v>
      </c>
      <c r="U3994">
        <v>9</v>
      </c>
      <c r="V3994">
        <v>9</v>
      </c>
      <c r="W3994">
        <v>0</v>
      </c>
      <c r="X3994">
        <v>0</v>
      </c>
      <c r="Y3994">
        <v>0</v>
      </c>
      <c r="Z3994">
        <v>0</v>
      </c>
      <c r="AA3994">
        <v>9</v>
      </c>
      <c r="AB3994">
        <v>9</v>
      </c>
      <c r="AC3994" t="s">
        <v>310</v>
      </c>
      <c r="AD3994">
        <v>9</v>
      </c>
      <c r="AE3994" t="s">
        <v>1413</v>
      </c>
      <c r="AF3994">
        <v>50000000</v>
      </c>
      <c r="AG3994" t="s">
        <v>249</v>
      </c>
      <c r="AH3994">
        <f>SUM((MID(Dyno_Data[[#This Row],[Team]],4,5))+(Dyno_Data[[#This Row],[Match]]/100))</f>
        <v>639.71</v>
      </c>
      <c r="AI3994" s="76">
        <f>ROUND(SUM(IF(Dyno_Data[[#This Row],[AcqCenter]]&gt;0,Dyno_Data[[#This Row],[Time]]-SUMIFS(Dyno_Data[Time],Dyno_Data[Team],Dyno_Data[[#This Row],[Team]],Dyno_Data[RecordType],"StartMatch",Dyno_Data[Match],Dyno_Data[[#This Row],[Match]]),0)*86400),0)</f>
        <v>0</v>
      </c>
    </row>
    <row r="3995" spans="1:35" x14ac:dyDescent="0.3">
      <c r="A3995">
        <v>3994</v>
      </c>
      <c r="B3995" t="s">
        <v>318</v>
      </c>
      <c r="C3995">
        <v>71</v>
      </c>
      <c r="D3995" s="105">
        <v>45374.459483368053</v>
      </c>
      <c r="E3995" t="s">
        <v>312</v>
      </c>
      <c r="F3995" t="s">
        <v>1402</v>
      </c>
      <c r="G3995">
        <v>0</v>
      </c>
      <c r="H3995" t="s">
        <v>315</v>
      </c>
      <c r="I3995">
        <v>0</v>
      </c>
      <c r="J3995">
        <v>0</v>
      </c>
      <c r="K3995">
        <v>0</v>
      </c>
      <c r="L3995" t="s">
        <v>313</v>
      </c>
      <c r="M3995" t="s">
        <v>1398</v>
      </c>
      <c r="N3995">
        <v>1</v>
      </c>
      <c r="O3995" t="s">
        <v>1393</v>
      </c>
      <c r="P3995" t="s">
        <v>310</v>
      </c>
      <c r="Q3995" t="s">
        <v>310</v>
      </c>
      <c r="R3995" t="s">
        <v>310</v>
      </c>
      <c r="S3995">
        <v>9</v>
      </c>
      <c r="T3995" t="s">
        <v>310</v>
      </c>
      <c r="U3995">
        <v>9</v>
      </c>
      <c r="V3995">
        <v>9</v>
      </c>
      <c r="W3995">
        <v>0</v>
      </c>
      <c r="X3995">
        <v>0</v>
      </c>
      <c r="Y3995">
        <v>0</v>
      </c>
      <c r="Z3995">
        <v>0</v>
      </c>
      <c r="AA3995">
        <v>9</v>
      </c>
      <c r="AB3995">
        <v>9</v>
      </c>
      <c r="AC3995" t="s">
        <v>310</v>
      </c>
      <c r="AD3995">
        <v>9</v>
      </c>
      <c r="AE3995" t="s">
        <v>1413</v>
      </c>
      <c r="AF3995">
        <v>80000000</v>
      </c>
      <c r="AG3995" t="s">
        <v>310</v>
      </c>
      <c r="AH3995">
        <f>SUM((MID(Dyno_Data[[#This Row],[Team]],4,5))+(Dyno_Data[[#This Row],[Match]]/100))</f>
        <v>639.71</v>
      </c>
      <c r="AI3995" s="76">
        <f>ROUND(SUM(IF(Dyno_Data[[#This Row],[AcqCenter]]&gt;0,Dyno_Data[[#This Row],[Time]]-SUMIFS(Dyno_Data[Time],Dyno_Data[Team],Dyno_Data[[#This Row],[Team]],Dyno_Data[RecordType],"StartMatch",Dyno_Data[Match],Dyno_Data[[#This Row],[Match]]),0)*86400),0)</f>
        <v>0</v>
      </c>
    </row>
    <row r="3996" spans="1:35" x14ac:dyDescent="0.3">
      <c r="A3996">
        <v>3995</v>
      </c>
      <c r="B3996" t="s">
        <v>1277</v>
      </c>
      <c r="C3996">
        <v>71</v>
      </c>
      <c r="D3996" s="105">
        <v>45374.461364733797</v>
      </c>
      <c r="E3996" t="s">
        <v>316</v>
      </c>
      <c r="F3996" t="s">
        <v>317</v>
      </c>
      <c r="G3996">
        <v>1</v>
      </c>
      <c r="H3996" t="s">
        <v>310</v>
      </c>
      <c r="I3996">
        <v>0</v>
      </c>
      <c r="J3996">
        <v>0</v>
      </c>
      <c r="K3996">
        <v>0</v>
      </c>
      <c r="L3996" t="s">
        <v>310</v>
      </c>
      <c r="M3996" t="s">
        <v>310</v>
      </c>
      <c r="N3996">
        <v>0</v>
      </c>
      <c r="O3996" t="s">
        <v>311</v>
      </c>
      <c r="P3996" t="s">
        <v>240</v>
      </c>
      <c r="Q3996" t="s">
        <v>1399</v>
      </c>
      <c r="R3996" t="s">
        <v>1405</v>
      </c>
      <c r="S3996">
        <v>1</v>
      </c>
      <c r="T3996" t="s">
        <v>1406</v>
      </c>
      <c r="U3996">
        <v>0</v>
      </c>
      <c r="V3996">
        <v>0</v>
      </c>
      <c r="W3996">
        <v>6.5879366999999993</v>
      </c>
      <c r="X3996">
        <v>18.938772099999998</v>
      </c>
      <c r="Y3996">
        <v>28.3133795</v>
      </c>
      <c r="Z3996">
        <v>74.590425400000001</v>
      </c>
      <c r="AA3996">
        <v>0</v>
      </c>
      <c r="AB3996">
        <v>1</v>
      </c>
      <c r="AC3996" t="s">
        <v>173</v>
      </c>
      <c r="AD3996">
        <v>0</v>
      </c>
      <c r="AE3996" t="s">
        <v>1412</v>
      </c>
      <c r="AF3996">
        <v>100000000</v>
      </c>
      <c r="AG3996" t="s">
        <v>310</v>
      </c>
      <c r="AH3996">
        <f>SUM((MID(Dyno_Data[[#This Row],[Team]],4,5))+(Dyno_Data[[#This Row],[Match]]/100))</f>
        <v>3360.71</v>
      </c>
      <c r="AI3996" s="76">
        <f>ROUND(SUM(IF(Dyno_Data[[#This Row],[AcqCenter]]&gt;0,Dyno_Data[[#This Row],[Time]]-SUMIFS(Dyno_Data[Time],Dyno_Data[Team],Dyno_Data[[#This Row],[Team]],Dyno_Data[RecordType],"StartMatch",Dyno_Data[Match],Dyno_Data[[#This Row],[Match]]),0)*86400),0)</f>
        <v>0</v>
      </c>
    </row>
    <row r="3997" spans="1:35" x14ac:dyDescent="0.3">
      <c r="A3997">
        <v>3996</v>
      </c>
      <c r="B3997" t="s">
        <v>1285</v>
      </c>
      <c r="C3997">
        <v>71</v>
      </c>
      <c r="D3997" s="105">
        <v>45374.461364733797</v>
      </c>
      <c r="E3997" t="s">
        <v>316</v>
      </c>
      <c r="F3997" t="s">
        <v>317</v>
      </c>
      <c r="G3997">
        <v>0</v>
      </c>
      <c r="H3997" t="s">
        <v>310</v>
      </c>
      <c r="I3997">
        <v>0</v>
      </c>
      <c r="J3997">
        <v>0</v>
      </c>
      <c r="K3997">
        <v>0</v>
      </c>
      <c r="L3997" t="s">
        <v>310</v>
      </c>
      <c r="M3997" t="s">
        <v>310</v>
      </c>
      <c r="N3997">
        <v>0</v>
      </c>
      <c r="O3997" t="s">
        <v>1391</v>
      </c>
      <c r="P3997" t="s">
        <v>101</v>
      </c>
      <c r="Q3997" t="s">
        <v>1400</v>
      </c>
      <c r="R3997" t="s">
        <v>321</v>
      </c>
      <c r="S3997">
        <v>0</v>
      </c>
      <c r="T3997" t="s">
        <v>105</v>
      </c>
      <c r="U3997">
        <v>9</v>
      </c>
      <c r="V3997">
        <v>9</v>
      </c>
      <c r="W3997">
        <v>0</v>
      </c>
      <c r="X3997">
        <v>0</v>
      </c>
      <c r="Y3997">
        <v>129.72510459999998</v>
      </c>
      <c r="Z3997">
        <v>6.2036072999999998</v>
      </c>
      <c r="AA3997">
        <v>0</v>
      </c>
      <c r="AB3997">
        <v>0</v>
      </c>
      <c r="AC3997" t="s">
        <v>167</v>
      </c>
      <c r="AD3997">
        <v>9</v>
      </c>
      <c r="AE3997" t="s">
        <v>1417</v>
      </c>
      <c r="AF3997">
        <v>0</v>
      </c>
      <c r="AG3997" t="s">
        <v>310</v>
      </c>
      <c r="AH3997">
        <f>SUM((MID(Dyno_Data[[#This Row],[Team]],4,5))+(Dyno_Data[[#This Row],[Match]]/100))</f>
        <v>5993.71</v>
      </c>
      <c r="AI3997" s="76">
        <f>ROUND(SUM(IF(Dyno_Data[[#This Row],[AcqCenter]]&gt;0,Dyno_Data[[#This Row],[Time]]-SUMIFS(Dyno_Data[Time],Dyno_Data[Team],Dyno_Data[[#This Row],[Team]],Dyno_Data[RecordType],"StartMatch",Dyno_Data[Match],Dyno_Data[[#This Row],[Match]]),0)*86400),0)</f>
        <v>0</v>
      </c>
    </row>
    <row r="3998" spans="1:35" x14ac:dyDescent="0.3">
      <c r="A3998">
        <v>3997</v>
      </c>
      <c r="B3998" t="s">
        <v>1288</v>
      </c>
      <c r="C3998">
        <v>71</v>
      </c>
      <c r="D3998" s="105">
        <v>45374.461364930554</v>
      </c>
      <c r="E3998" t="s">
        <v>316</v>
      </c>
      <c r="F3998" t="s">
        <v>317</v>
      </c>
      <c r="G3998">
        <v>1</v>
      </c>
      <c r="H3998" t="s">
        <v>310</v>
      </c>
      <c r="I3998">
        <v>0</v>
      </c>
      <c r="J3998">
        <v>0</v>
      </c>
      <c r="K3998">
        <v>0</v>
      </c>
      <c r="L3998" t="s">
        <v>310</v>
      </c>
      <c r="M3998" t="s">
        <v>310</v>
      </c>
      <c r="N3998">
        <v>0</v>
      </c>
      <c r="O3998" t="s">
        <v>319</v>
      </c>
      <c r="P3998" t="s">
        <v>1401</v>
      </c>
      <c r="Q3998" t="s">
        <v>1400</v>
      </c>
      <c r="R3998" t="s">
        <v>1405</v>
      </c>
      <c r="S3998">
        <v>1</v>
      </c>
      <c r="T3998" t="s">
        <v>1407</v>
      </c>
      <c r="U3998">
        <v>0</v>
      </c>
      <c r="V3998">
        <v>0</v>
      </c>
      <c r="W3998">
        <v>4.0348085999999999</v>
      </c>
      <c r="X3998">
        <v>31.112119699999997</v>
      </c>
      <c r="Y3998">
        <v>12.2938733</v>
      </c>
      <c r="Z3998">
        <v>87.42398949999999</v>
      </c>
      <c r="AA3998">
        <v>0</v>
      </c>
      <c r="AB3998">
        <v>1</v>
      </c>
      <c r="AC3998" t="s">
        <v>174</v>
      </c>
      <c r="AD3998">
        <v>9</v>
      </c>
      <c r="AE3998" t="s">
        <v>1416</v>
      </c>
      <c r="AF3998">
        <v>50000000</v>
      </c>
      <c r="AG3998" t="s">
        <v>310</v>
      </c>
      <c r="AH3998">
        <f>SUM((MID(Dyno_Data[[#This Row],[Team]],4,5))+(Dyno_Data[[#This Row],[Match]]/100))</f>
        <v>3181.71</v>
      </c>
      <c r="AI3998" s="76">
        <f>ROUND(SUM(IF(Dyno_Data[[#This Row],[AcqCenter]]&gt;0,Dyno_Data[[#This Row],[Time]]-SUMIFS(Dyno_Data[Time],Dyno_Data[Team],Dyno_Data[[#This Row],[Team]],Dyno_Data[RecordType],"StartMatch",Dyno_Data[Match],Dyno_Data[[#This Row],[Match]]),0)*86400),0)</f>
        <v>0</v>
      </c>
    </row>
    <row r="3999" spans="1:35" x14ac:dyDescent="0.3">
      <c r="A3999">
        <v>3998</v>
      </c>
      <c r="B3999" t="s">
        <v>318</v>
      </c>
      <c r="C3999">
        <v>71</v>
      </c>
      <c r="D3999" s="105">
        <v>45374.461364930554</v>
      </c>
      <c r="E3999" t="s">
        <v>316</v>
      </c>
      <c r="F3999" t="s">
        <v>317</v>
      </c>
      <c r="G3999">
        <v>0</v>
      </c>
      <c r="H3999" t="s">
        <v>310</v>
      </c>
      <c r="I3999">
        <v>0</v>
      </c>
      <c r="J3999">
        <v>0</v>
      </c>
      <c r="K3999">
        <v>0</v>
      </c>
      <c r="L3999" t="s">
        <v>310</v>
      </c>
      <c r="M3999" t="s">
        <v>310</v>
      </c>
      <c r="N3999">
        <v>0</v>
      </c>
      <c r="O3999" t="s">
        <v>1393</v>
      </c>
      <c r="P3999" t="s">
        <v>1401</v>
      </c>
      <c r="Q3999" t="s">
        <v>1400</v>
      </c>
      <c r="R3999" t="s">
        <v>1404</v>
      </c>
      <c r="S3999">
        <v>0</v>
      </c>
      <c r="T3999" t="s">
        <v>105</v>
      </c>
      <c r="U3999">
        <v>9</v>
      </c>
      <c r="V3999">
        <v>9</v>
      </c>
      <c r="W3999">
        <v>0</v>
      </c>
      <c r="X3999">
        <v>60.8862223</v>
      </c>
      <c r="Y3999">
        <v>37.669882099999995</v>
      </c>
      <c r="Z3999">
        <v>37.435241599999998</v>
      </c>
      <c r="AA3999">
        <v>0</v>
      </c>
      <c r="AB3999">
        <v>1</v>
      </c>
      <c r="AC3999" t="s">
        <v>174</v>
      </c>
      <c r="AD3999">
        <v>9</v>
      </c>
      <c r="AE3999" t="s">
        <v>1413</v>
      </c>
      <c r="AF3999">
        <v>80000000</v>
      </c>
      <c r="AG3999" t="s">
        <v>310</v>
      </c>
      <c r="AH3999">
        <f>SUM((MID(Dyno_Data[[#This Row],[Team]],4,5))+(Dyno_Data[[#This Row],[Match]]/100))</f>
        <v>639.71</v>
      </c>
      <c r="AI3999" s="76">
        <f>ROUND(SUM(IF(Dyno_Data[[#This Row],[AcqCenter]]&gt;0,Dyno_Data[[#This Row],[Time]]-SUMIFS(Dyno_Data[Time],Dyno_Data[Team],Dyno_Data[[#This Row],[Team]],Dyno_Data[RecordType],"StartMatch",Dyno_Data[Match],Dyno_Data[[#This Row],[Match]]),0)*86400),0)</f>
        <v>0</v>
      </c>
    </row>
    <row r="4000" spans="1:35" x14ac:dyDescent="0.3">
      <c r="A4000">
        <v>3999</v>
      </c>
      <c r="B4000" t="s">
        <v>1315</v>
      </c>
      <c r="C4000">
        <v>71</v>
      </c>
      <c r="D4000" s="105">
        <v>45374.461365127318</v>
      </c>
      <c r="E4000" t="s">
        <v>316</v>
      </c>
      <c r="F4000" t="s">
        <v>317</v>
      </c>
      <c r="G4000">
        <v>1</v>
      </c>
      <c r="H4000" t="s">
        <v>310</v>
      </c>
      <c r="I4000">
        <v>0</v>
      </c>
      <c r="J4000">
        <v>0</v>
      </c>
      <c r="K4000">
        <v>0</v>
      </c>
      <c r="L4000" t="s">
        <v>310</v>
      </c>
      <c r="M4000" t="s">
        <v>310</v>
      </c>
      <c r="N4000">
        <v>0</v>
      </c>
      <c r="O4000" t="s">
        <v>1389</v>
      </c>
      <c r="P4000" t="s">
        <v>101</v>
      </c>
      <c r="Q4000" t="s">
        <v>1399</v>
      </c>
      <c r="R4000" t="s">
        <v>321</v>
      </c>
      <c r="S4000">
        <v>0</v>
      </c>
      <c r="T4000" t="s">
        <v>105</v>
      </c>
      <c r="U4000">
        <v>9</v>
      </c>
      <c r="V4000">
        <v>9</v>
      </c>
      <c r="W4000">
        <v>0</v>
      </c>
      <c r="X4000">
        <v>31.921446999999997</v>
      </c>
      <c r="Y4000">
        <v>21.6678149</v>
      </c>
      <c r="Z4000">
        <v>81.686165899999992</v>
      </c>
      <c r="AA4000">
        <v>0</v>
      </c>
      <c r="AB4000">
        <v>0</v>
      </c>
      <c r="AC4000" t="s">
        <v>174</v>
      </c>
      <c r="AD4000">
        <v>0</v>
      </c>
      <c r="AE4000" t="s">
        <v>1418</v>
      </c>
      <c r="AF4000">
        <v>80000000</v>
      </c>
      <c r="AG4000" t="s">
        <v>310</v>
      </c>
      <c r="AH4000">
        <f>SUM((MID(Dyno_Data[[#This Row],[Team]],4,5))+(Dyno_Data[[#This Row],[Match]]/100))</f>
        <v>1511.71</v>
      </c>
      <c r="AI4000" s="76">
        <f>ROUND(SUM(IF(Dyno_Data[[#This Row],[AcqCenter]]&gt;0,Dyno_Data[[#This Row],[Time]]-SUMIFS(Dyno_Data[Time],Dyno_Data[Team],Dyno_Data[[#This Row],[Team]],Dyno_Data[RecordType],"StartMatch",Dyno_Data[Match],Dyno_Data[[#This Row],[Match]]),0)*86400),0)</f>
        <v>0</v>
      </c>
    </row>
    <row r="4001" spans="1:35" x14ac:dyDescent="0.3">
      <c r="A4001">
        <v>4000</v>
      </c>
      <c r="B4001" t="s">
        <v>1298</v>
      </c>
      <c r="C4001">
        <v>71</v>
      </c>
      <c r="D4001" s="105">
        <v>45374.461365127318</v>
      </c>
      <c r="E4001" t="s">
        <v>316</v>
      </c>
      <c r="F4001" t="s">
        <v>317</v>
      </c>
      <c r="G4001">
        <v>1</v>
      </c>
      <c r="H4001" t="s">
        <v>310</v>
      </c>
      <c r="I4001">
        <v>0</v>
      </c>
      <c r="J4001">
        <v>0</v>
      </c>
      <c r="K4001">
        <v>0</v>
      </c>
      <c r="L4001" t="s">
        <v>310</v>
      </c>
      <c r="M4001" t="s">
        <v>310</v>
      </c>
      <c r="N4001">
        <v>0</v>
      </c>
      <c r="O4001" t="s">
        <v>1395</v>
      </c>
      <c r="P4001" t="s">
        <v>240</v>
      </c>
      <c r="Q4001" t="s">
        <v>1400</v>
      </c>
      <c r="R4001" t="s">
        <v>321</v>
      </c>
      <c r="S4001">
        <v>0</v>
      </c>
      <c r="T4001" t="s">
        <v>105</v>
      </c>
      <c r="U4001">
        <v>9</v>
      </c>
      <c r="V4001">
        <v>9</v>
      </c>
      <c r="W4001">
        <v>0</v>
      </c>
      <c r="X4001">
        <v>35.198196500000002</v>
      </c>
      <c r="Y4001">
        <v>22.311861999999998</v>
      </c>
      <c r="Z4001">
        <v>79.338140699999997</v>
      </c>
      <c r="AA4001">
        <v>0</v>
      </c>
      <c r="AB4001">
        <v>0</v>
      </c>
      <c r="AC4001" t="s">
        <v>1408</v>
      </c>
      <c r="AD4001">
        <v>9</v>
      </c>
      <c r="AE4001" t="s">
        <v>1414</v>
      </c>
      <c r="AF4001">
        <v>60000000</v>
      </c>
      <c r="AG4001" t="s">
        <v>310</v>
      </c>
      <c r="AH4001">
        <f>SUM((MID(Dyno_Data[[#This Row],[Team]],4,5))+(Dyno_Data[[#This Row],[Match]]/100))</f>
        <v>9624.7099999999991</v>
      </c>
      <c r="AI4001" s="76">
        <f>ROUND(SUM(IF(Dyno_Data[[#This Row],[AcqCenter]]&gt;0,Dyno_Data[[#This Row],[Time]]-SUMIFS(Dyno_Data[Time],Dyno_Data[Team],Dyno_Data[[#This Row],[Team]],Dyno_Data[RecordType],"StartMatch",Dyno_Data[Match],Dyno_Data[[#This Row],[Match]]),0)*86400),0)</f>
        <v>0</v>
      </c>
    </row>
    <row r="4002" spans="1:35" x14ac:dyDescent="0.3">
      <c r="A4002">
        <v>4008</v>
      </c>
      <c r="B4002" t="s">
        <v>1311</v>
      </c>
      <c r="C4002">
        <v>72</v>
      </c>
      <c r="D4002" s="105">
        <v>45374.463641319446</v>
      </c>
      <c r="E4002" t="s">
        <v>308</v>
      </c>
      <c r="F4002" t="s">
        <v>309</v>
      </c>
      <c r="G4002">
        <v>0</v>
      </c>
      <c r="H4002" t="s">
        <v>310</v>
      </c>
      <c r="I4002">
        <v>0</v>
      </c>
      <c r="J4002">
        <v>0</v>
      </c>
      <c r="K4002">
        <v>0</v>
      </c>
      <c r="L4002" t="s">
        <v>310</v>
      </c>
      <c r="M4002" t="s">
        <v>310</v>
      </c>
      <c r="N4002">
        <v>0</v>
      </c>
      <c r="O4002" t="s">
        <v>311</v>
      </c>
      <c r="P4002" t="s">
        <v>310</v>
      </c>
      <c r="Q4002" t="s">
        <v>310</v>
      </c>
      <c r="R4002" t="s">
        <v>310</v>
      </c>
      <c r="S4002">
        <v>9</v>
      </c>
      <c r="T4002" t="s">
        <v>310</v>
      </c>
      <c r="U4002">
        <v>9</v>
      </c>
      <c r="V4002">
        <v>9</v>
      </c>
      <c r="W4002">
        <v>0</v>
      </c>
      <c r="X4002">
        <v>0</v>
      </c>
      <c r="Y4002">
        <v>0</v>
      </c>
      <c r="Z4002">
        <v>0</v>
      </c>
      <c r="AA4002">
        <v>9</v>
      </c>
      <c r="AB4002">
        <v>9</v>
      </c>
      <c r="AC4002" t="s">
        <v>310</v>
      </c>
      <c r="AD4002">
        <v>9</v>
      </c>
      <c r="AE4002" t="s">
        <v>1418</v>
      </c>
      <c r="AF4002">
        <v>0</v>
      </c>
      <c r="AG4002" t="s">
        <v>310</v>
      </c>
      <c r="AH4002">
        <f>SUM((MID(Dyno_Data[[#This Row],[Team]],4,5))+(Dyno_Data[[#This Row],[Match]]/100))</f>
        <v>2234.7199999999998</v>
      </c>
      <c r="AI4002" s="76">
        <f>ROUND(SUM(IF(Dyno_Data[[#This Row],[AcqCenter]]&gt;0,Dyno_Data[[#This Row],[Time]]-SUMIFS(Dyno_Data[Time],Dyno_Data[Team],Dyno_Data[[#This Row],[Team]],Dyno_Data[RecordType],"StartMatch",Dyno_Data[Match],Dyno_Data[[#This Row],[Match]]),0)*86400),0)</f>
        <v>0</v>
      </c>
    </row>
    <row r="4003" spans="1:35" x14ac:dyDescent="0.3">
      <c r="A4003">
        <v>4010</v>
      </c>
      <c r="B4003" t="s">
        <v>1284</v>
      </c>
      <c r="C4003">
        <v>72</v>
      </c>
      <c r="D4003" s="105">
        <v>45374.463673877312</v>
      </c>
      <c r="E4003" t="s">
        <v>308</v>
      </c>
      <c r="F4003" t="s">
        <v>309</v>
      </c>
      <c r="G4003">
        <v>0</v>
      </c>
      <c r="H4003" t="s">
        <v>310</v>
      </c>
      <c r="I4003">
        <v>0</v>
      </c>
      <c r="J4003">
        <v>0</v>
      </c>
      <c r="K4003">
        <v>0</v>
      </c>
      <c r="L4003" t="s">
        <v>310</v>
      </c>
      <c r="M4003" t="s">
        <v>310</v>
      </c>
      <c r="N4003">
        <v>0</v>
      </c>
      <c r="O4003" t="s">
        <v>1393</v>
      </c>
      <c r="P4003" t="s">
        <v>310</v>
      </c>
      <c r="Q4003" t="s">
        <v>310</v>
      </c>
      <c r="R4003" t="s">
        <v>310</v>
      </c>
      <c r="S4003">
        <v>9</v>
      </c>
      <c r="T4003" t="s">
        <v>310</v>
      </c>
      <c r="U4003">
        <v>9</v>
      </c>
      <c r="V4003">
        <v>9</v>
      </c>
      <c r="W4003">
        <v>0</v>
      </c>
      <c r="X4003">
        <v>0</v>
      </c>
      <c r="Y4003">
        <v>0</v>
      </c>
      <c r="Z4003">
        <v>0</v>
      </c>
      <c r="AA4003">
        <v>9</v>
      </c>
      <c r="AB4003">
        <v>9</v>
      </c>
      <c r="AC4003" t="s">
        <v>310</v>
      </c>
      <c r="AD4003">
        <v>9</v>
      </c>
      <c r="AE4003" t="s">
        <v>1413</v>
      </c>
      <c r="AF4003">
        <v>100000</v>
      </c>
      <c r="AG4003" t="s">
        <v>310</v>
      </c>
      <c r="AH4003">
        <f>SUM((MID(Dyno_Data[[#This Row],[Team]],4,5))+(Dyno_Data[[#This Row],[Match]]/100))</f>
        <v>5590.72</v>
      </c>
      <c r="AI4003" s="76">
        <f>ROUND(SUM(IF(Dyno_Data[[#This Row],[AcqCenter]]&gt;0,Dyno_Data[[#This Row],[Time]]-SUMIFS(Dyno_Data[Time],Dyno_Data[Team],Dyno_Data[[#This Row],[Team]],Dyno_Data[RecordType],"StartMatch",Dyno_Data[Match],Dyno_Data[[#This Row],[Match]]),0)*86400),0)</f>
        <v>0</v>
      </c>
    </row>
    <row r="4004" spans="1:35" x14ac:dyDescent="0.3">
      <c r="A4004">
        <v>4012</v>
      </c>
      <c r="B4004" t="s">
        <v>361</v>
      </c>
      <c r="C4004">
        <v>72</v>
      </c>
      <c r="D4004" s="105">
        <v>45374.463676192128</v>
      </c>
      <c r="E4004" t="s">
        <v>308</v>
      </c>
      <c r="F4004" t="s">
        <v>309</v>
      </c>
      <c r="G4004">
        <v>0</v>
      </c>
      <c r="H4004" t="s">
        <v>310</v>
      </c>
      <c r="I4004">
        <v>0</v>
      </c>
      <c r="J4004">
        <v>0</v>
      </c>
      <c r="K4004">
        <v>0</v>
      </c>
      <c r="L4004" t="s">
        <v>310</v>
      </c>
      <c r="M4004" t="s">
        <v>310</v>
      </c>
      <c r="N4004">
        <v>0</v>
      </c>
      <c r="O4004" t="s">
        <v>1391</v>
      </c>
      <c r="P4004" t="s">
        <v>310</v>
      </c>
      <c r="Q4004" t="s">
        <v>310</v>
      </c>
      <c r="R4004" t="s">
        <v>310</v>
      </c>
      <c r="S4004">
        <v>9</v>
      </c>
      <c r="T4004" t="s">
        <v>310</v>
      </c>
      <c r="U4004">
        <v>9</v>
      </c>
      <c r="V4004">
        <v>9</v>
      </c>
      <c r="W4004">
        <v>0</v>
      </c>
      <c r="X4004">
        <v>0</v>
      </c>
      <c r="Y4004">
        <v>0</v>
      </c>
      <c r="Z4004">
        <v>0</v>
      </c>
      <c r="AA4004">
        <v>9</v>
      </c>
      <c r="AB4004">
        <v>9</v>
      </c>
      <c r="AC4004" t="s">
        <v>310</v>
      </c>
      <c r="AD4004">
        <v>9</v>
      </c>
      <c r="AE4004" t="s">
        <v>1416</v>
      </c>
      <c r="AF4004">
        <v>1000</v>
      </c>
      <c r="AG4004" t="s">
        <v>310</v>
      </c>
      <c r="AH4004">
        <f>SUM((MID(Dyno_Data[[#This Row],[Team]],4,5))+(Dyno_Data[[#This Row],[Match]]/100))</f>
        <v>20.72</v>
      </c>
      <c r="AI4004" s="76">
        <f>ROUND(SUM(IF(Dyno_Data[[#This Row],[AcqCenter]]&gt;0,Dyno_Data[[#This Row],[Time]]-SUMIFS(Dyno_Data[Time],Dyno_Data[Team],Dyno_Data[[#This Row],[Team]],Dyno_Data[RecordType],"StartMatch",Dyno_Data[Match],Dyno_Data[[#This Row],[Match]]),0)*86400),0)</f>
        <v>0</v>
      </c>
    </row>
    <row r="4005" spans="1:35" x14ac:dyDescent="0.3">
      <c r="A4005">
        <v>4014</v>
      </c>
      <c r="B4005" t="s">
        <v>1296</v>
      </c>
      <c r="C4005">
        <v>72</v>
      </c>
      <c r="D4005" s="105">
        <v>45374.463676192128</v>
      </c>
      <c r="E4005" t="s">
        <v>308</v>
      </c>
      <c r="F4005" t="s">
        <v>309</v>
      </c>
      <c r="G4005">
        <v>0</v>
      </c>
      <c r="H4005" t="s">
        <v>310</v>
      </c>
      <c r="I4005">
        <v>0</v>
      </c>
      <c r="J4005">
        <v>0</v>
      </c>
      <c r="K4005">
        <v>0</v>
      </c>
      <c r="L4005" t="s">
        <v>310</v>
      </c>
      <c r="M4005" t="s">
        <v>310</v>
      </c>
      <c r="N4005">
        <v>0</v>
      </c>
      <c r="O4005" t="s">
        <v>1389</v>
      </c>
      <c r="P4005" t="s">
        <v>310</v>
      </c>
      <c r="Q4005" t="s">
        <v>310</v>
      </c>
      <c r="R4005" t="s">
        <v>310</v>
      </c>
      <c r="S4005">
        <v>9</v>
      </c>
      <c r="T4005" t="s">
        <v>310</v>
      </c>
      <c r="U4005">
        <v>9</v>
      </c>
      <c r="V4005">
        <v>9</v>
      </c>
      <c r="W4005">
        <v>0</v>
      </c>
      <c r="X4005">
        <v>0</v>
      </c>
      <c r="Y4005">
        <v>0</v>
      </c>
      <c r="Z4005">
        <v>0</v>
      </c>
      <c r="AA4005">
        <v>9</v>
      </c>
      <c r="AB4005">
        <v>9</v>
      </c>
      <c r="AC4005" t="s">
        <v>310</v>
      </c>
      <c r="AD4005">
        <v>9</v>
      </c>
      <c r="AE4005" t="s">
        <v>1412</v>
      </c>
      <c r="AF4005">
        <v>20000000</v>
      </c>
      <c r="AG4005" t="s">
        <v>310</v>
      </c>
      <c r="AH4005">
        <f>SUM((MID(Dyno_Data[[#This Row],[Team]],4,5))+(Dyno_Data[[#This Row],[Match]]/100))</f>
        <v>3003.72</v>
      </c>
      <c r="AI4005" s="76">
        <f>ROUND(SUM(IF(Dyno_Data[[#This Row],[AcqCenter]]&gt;0,Dyno_Data[[#This Row],[Time]]-SUMIFS(Dyno_Data[Time],Dyno_Data[Team],Dyno_Data[[#This Row],[Team]],Dyno_Data[RecordType],"StartMatch",Dyno_Data[Match],Dyno_Data[[#This Row],[Match]]),0)*86400),0)</f>
        <v>0</v>
      </c>
    </row>
    <row r="4006" spans="1:35" x14ac:dyDescent="0.3">
      <c r="A4006">
        <v>4016</v>
      </c>
      <c r="B4006" t="s">
        <v>365</v>
      </c>
      <c r="C4006">
        <v>72</v>
      </c>
      <c r="D4006" s="105">
        <v>45374.463681400463</v>
      </c>
      <c r="E4006" t="s">
        <v>308</v>
      </c>
      <c r="F4006" t="s">
        <v>309</v>
      </c>
      <c r="G4006">
        <v>0</v>
      </c>
      <c r="H4006" t="s">
        <v>310</v>
      </c>
      <c r="I4006">
        <v>0</v>
      </c>
      <c r="J4006">
        <v>0</v>
      </c>
      <c r="K4006">
        <v>0</v>
      </c>
      <c r="L4006" t="s">
        <v>310</v>
      </c>
      <c r="M4006" t="s">
        <v>310</v>
      </c>
      <c r="N4006">
        <v>0</v>
      </c>
      <c r="O4006" t="s">
        <v>319</v>
      </c>
      <c r="P4006" t="s">
        <v>310</v>
      </c>
      <c r="Q4006" t="s">
        <v>310</v>
      </c>
      <c r="R4006" t="s">
        <v>310</v>
      </c>
      <c r="S4006">
        <v>9</v>
      </c>
      <c r="T4006" t="s">
        <v>310</v>
      </c>
      <c r="U4006">
        <v>9</v>
      </c>
      <c r="V4006">
        <v>9</v>
      </c>
      <c r="W4006">
        <v>0</v>
      </c>
      <c r="X4006">
        <v>0</v>
      </c>
      <c r="Y4006">
        <v>0</v>
      </c>
      <c r="Z4006">
        <v>0</v>
      </c>
      <c r="AA4006">
        <v>9</v>
      </c>
      <c r="AB4006">
        <v>9</v>
      </c>
      <c r="AC4006" t="s">
        <v>310</v>
      </c>
      <c r="AD4006">
        <v>9</v>
      </c>
      <c r="AE4006" t="s">
        <v>1417</v>
      </c>
      <c r="AF4006">
        <v>0</v>
      </c>
      <c r="AG4006" t="s">
        <v>310</v>
      </c>
      <c r="AH4006">
        <f>SUM((MID(Dyno_Data[[#This Row],[Team]],4,5))+(Dyno_Data[[#This Row],[Match]]/100))</f>
        <v>3171.72</v>
      </c>
      <c r="AI4006" s="76">
        <f>ROUND(SUM(IF(Dyno_Data[[#This Row],[AcqCenter]]&gt;0,Dyno_Data[[#This Row],[Time]]-SUMIFS(Dyno_Data[Time],Dyno_Data[Team],Dyno_Data[[#This Row],[Team]],Dyno_Data[RecordType],"StartMatch",Dyno_Data[Match],Dyno_Data[[#This Row],[Match]]),0)*86400),0)</f>
        <v>0</v>
      </c>
    </row>
    <row r="4007" spans="1:35" x14ac:dyDescent="0.3">
      <c r="A4007">
        <v>4018</v>
      </c>
      <c r="B4007" t="s">
        <v>369</v>
      </c>
      <c r="C4007">
        <v>72</v>
      </c>
      <c r="D4007" s="105">
        <v>45374.463686423609</v>
      </c>
      <c r="E4007" t="s">
        <v>308</v>
      </c>
      <c r="F4007" t="s">
        <v>309</v>
      </c>
      <c r="G4007">
        <v>0</v>
      </c>
      <c r="H4007" t="s">
        <v>310</v>
      </c>
      <c r="I4007">
        <v>0</v>
      </c>
      <c r="J4007">
        <v>0</v>
      </c>
      <c r="K4007">
        <v>0</v>
      </c>
      <c r="L4007" t="s">
        <v>310</v>
      </c>
      <c r="M4007" t="s">
        <v>310</v>
      </c>
      <c r="N4007">
        <v>0</v>
      </c>
      <c r="O4007" t="s">
        <v>1395</v>
      </c>
      <c r="P4007" t="s">
        <v>310</v>
      </c>
      <c r="Q4007" t="s">
        <v>310</v>
      </c>
      <c r="R4007" t="s">
        <v>310</v>
      </c>
      <c r="S4007">
        <v>9</v>
      </c>
      <c r="T4007" t="s">
        <v>310</v>
      </c>
      <c r="U4007">
        <v>9</v>
      </c>
      <c r="V4007">
        <v>9</v>
      </c>
      <c r="W4007">
        <v>0</v>
      </c>
      <c r="X4007">
        <v>0</v>
      </c>
      <c r="Y4007">
        <v>0</v>
      </c>
      <c r="Z4007">
        <v>0</v>
      </c>
      <c r="AA4007">
        <v>9</v>
      </c>
      <c r="AB4007">
        <v>9</v>
      </c>
      <c r="AC4007" t="s">
        <v>310</v>
      </c>
      <c r="AD4007">
        <v>9</v>
      </c>
      <c r="AE4007" t="s">
        <v>1414</v>
      </c>
      <c r="AF4007">
        <v>0</v>
      </c>
      <c r="AG4007" t="s">
        <v>310</v>
      </c>
      <c r="AH4007">
        <f>SUM((MID(Dyno_Data[[#This Row],[Team]],4,5))+(Dyno_Data[[#This Row],[Match]]/100))</f>
        <v>6463.72</v>
      </c>
      <c r="AI4007" s="76">
        <f>ROUND(SUM(IF(Dyno_Data[[#This Row],[AcqCenter]]&gt;0,Dyno_Data[[#This Row],[Time]]-SUMIFS(Dyno_Data[Time],Dyno_Data[Team],Dyno_Data[[#This Row],[Team]],Dyno_Data[RecordType],"StartMatch",Dyno_Data[Match],Dyno_Data[[#This Row],[Match]]),0)*86400),0)</f>
        <v>0</v>
      </c>
    </row>
    <row r="4008" spans="1:35" x14ac:dyDescent="0.3">
      <c r="A4008">
        <v>4001</v>
      </c>
      <c r="B4008" t="s">
        <v>361</v>
      </c>
      <c r="C4008">
        <v>72</v>
      </c>
      <c r="D4008" s="105">
        <v>45374.463692361111</v>
      </c>
      <c r="E4008" t="s">
        <v>312</v>
      </c>
      <c r="F4008" t="s">
        <v>309</v>
      </c>
      <c r="G4008">
        <v>0</v>
      </c>
      <c r="H4008" t="s">
        <v>1397</v>
      </c>
      <c r="I4008">
        <v>0</v>
      </c>
      <c r="J4008">
        <v>0</v>
      </c>
      <c r="K4008">
        <v>0</v>
      </c>
      <c r="L4008" t="s">
        <v>241</v>
      </c>
      <c r="M4008" t="s">
        <v>1398</v>
      </c>
      <c r="N4008">
        <v>0</v>
      </c>
      <c r="O4008" t="s">
        <v>1391</v>
      </c>
      <c r="P4008" t="s">
        <v>310</v>
      </c>
      <c r="Q4008" t="s">
        <v>310</v>
      </c>
      <c r="R4008" t="s">
        <v>310</v>
      </c>
      <c r="S4008">
        <v>9</v>
      </c>
      <c r="T4008" t="s">
        <v>310</v>
      </c>
      <c r="U4008">
        <v>9</v>
      </c>
      <c r="V4008">
        <v>9</v>
      </c>
      <c r="W4008">
        <v>0</v>
      </c>
      <c r="X4008">
        <v>0</v>
      </c>
      <c r="Y4008">
        <v>0</v>
      </c>
      <c r="Z4008">
        <v>0</v>
      </c>
      <c r="AA4008">
        <v>9</v>
      </c>
      <c r="AB4008">
        <v>9</v>
      </c>
      <c r="AC4008" t="s">
        <v>310</v>
      </c>
      <c r="AD4008">
        <v>9</v>
      </c>
      <c r="AE4008" t="s">
        <v>1416</v>
      </c>
      <c r="AF4008">
        <v>0</v>
      </c>
      <c r="AG4008" t="s">
        <v>310</v>
      </c>
      <c r="AH4008">
        <f>SUM((MID(Dyno_Data[[#This Row],[Team]],4,5))+(Dyno_Data[[#This Row],[Match]]/100))</f>
        <v>20.72</v>
      </c>
      <c r="AI4008" s="76">
        <f>ROUND(SUM(IF(Dyno_Data[[#This Row],[AcqCenter]]&gt;0,Dyno_Data[[#This Row],[Time]]-SUMIFS(Dyno_Data[Time],Dyno_Data[Team],Dyno_Data[[#This Row],[Team]],Dyno_Data[RecordType],"StartMatch",Dyno_Data[Match],Dyno_Data[[#This Row],[Match]]),0)*86400),0)</f>
        <v>0</v>
      </c>
    </row>
    <row r="4009" spans="1:35" x14ac:dyDescent="0.3">
      <c r="A4009">
        <v>4002</v>
      </c>
      <c r="B4009" t="s">
        <v>365</v>
      </c>
      <c r="C4009">
        <v>72</v>
      </c>
      <c r="D4009" s="105">
        <v>45374.463699537038</v>
      </c>
      <c r="E4009" t="s">
        <v>312</v>
      </c>
      <c r="F4009" t="s">
        <v>309</v>
      </c>
      <c r="G4009">
        <v>0</v>
      </c>
      <c r="H4009" t="s">
        <v>1397</v>
      </c>
      <c r="I4009">
        <v>0</v>
      </c>
      <c r="J4009">
        <v>0</v>
      </c>
      <c r="K4009">
        <v>0</v>
      </c>
      <c r="L4009" t="s">
        <v>240</v>
      </c>
      <c r="M4009" t="s">
        <v>1398</v>
      </c>
      <c r="N4009">
        <v>0</v>
      </c>
      <c r="O4009" t="s">
        <v>319</v>
      </c>
      <c r="P4009" t="s">
        <v>310</v>
      </c>
      <c r="Q4009" t="s">
        <v>310</v>
      </c>
      <c r="R4009" t="s">
        <v>310</v>
      </c>
      <c r="S4009">
        <v>9</v>
      </c>
      <c r="T4009" t="s">
        <v>310</v>
      </c>
      <c r="U4009">
        <v>9</v>
      </c>
      <c r="V4009">
        <v>9</v>
      </c>
      <c r="W4009">
        <v>0</v>
      </c>
      <c r="X4009">
        <v>0</v>
      </c>
      <c r="Y4009">
        <v>0</v>
      </c>
      <c r="Z4009">
        <v>0</v>
      </c>
      <c r="AA4009">
        <v>9</v>
      </c>
      <c r="AB4009">
        <v>9</v>
      </c>
      <c r="AC4009" t="s">
        <v>310</v>
      </c>
      <c r="AD4009">
        <v>9</v>
      </c>
      <c r="AE4009" t="s">
        <v>1417</v>
      </c>
      <c r="AF4009">
        <v>0</v>
      </c>
      <c r="AG4009" t="s">
        <v>310</v>
      </c>
      <c r="AH4009">
        <f>SUM((MID(Dyno_Data[[#This Row],[Team]],4,5))+(Dyno_Data[[#This Row],[Match]]/100))</f>
        <v>3171.72</v>
      </c>
      <c r="AI4009" s="76">
        <f>ROUND(SUM(IF(Dyno_Data[[#This Row],[AcqCenter]]&gt;0,Dyno_Data[[#This Row],[Time]]-SUMIFS(Dyno_Data[Time],Dyno_Data[Team],Dyno_Data[[#This Row],[Team]],Dyno_Data[RecordType],"StartMatch",Dyno_Data[Match],Dyno_Data[[#This Row],[Match]]),0)*86400),0)</f>
        <v>0</v>
      </c>
    </row>
    <row r="4010" spans="1:35" x14ac:dyDescent="0.3">
      <c r="A4010">
        <v>4003</v>
      </c>
      <c r="B4010" t="s">
        <v>1284</v>
      </c>
      <c r="C4010">
        <v>72</v>
      </c>
      <c r="D4010" s="105">
        <v>45374.463701655091</v>
      </c>
      <c r="E4010" t="s">
        <v>312</v>
      </c>
      <c r="F4010" t="s">
        <v>309</v>
      </c>
      <c r="G4010">
        <v>0</v>
      </c>
      <c r="H4010" t="s">
        <v>1397</v>
      </c>
      <c r="I4010">
        <v>0</v>
      </c>
      <c r="J4010">
        <v>0</v>
      </c>
      <c r="K4010">
        <v>0</v>
      </c>
      <c r="L4010" t="s">
        <v>240</v>
      </c>
      <c r="M4010" t="s">
        <v>1398</v>
      </c>
      <c r="N4010">
        <v>0</v>
      </c>
      <c r="O4010" t="s">
        <v>1393</v>
      </c>
      <c r="P4010" t="s">
        <v>310</v>
      </c>
      <c r="Q4010" t="s">
        <v>310</v>
      </c>
      <c r="R4010" t="s">
        <v>310</v>
      </c>
      <c r="S4010">
        <v>9</v>
      </c>
      <c r="T4010" t="s">
        <v>310</v>
      </c>
      <c r="U4010">
        <v>9</v>
      </c>
      <c r="V4010">
        <v>9</v>
      </c>
      <c r="W4010">
        <v>0</v>
      </c>
      <c r="X4010">
        <v>0</v>
      </c>
      <c r="Y4010">
        <v>0</v>
      </c>
      <c r="Z4010">
        <v>0</v>
      </c>
      <c r="AA4010">
        <v>9</v>
      </c>
      <c r="AB4010">
        <v>9</v>
      </c>
      <c r="AC4010" t="s">
        <v>310</v>
      </c>
      <c r="AD4010">
        <v>9</v>
      </c>
      <c r="AE4010" t="s">
        <v>1413</v>
      </c>
      <c r="AF4010">
        <v>0</v>
      </c>
      <c r="AG4010" t="s">
        <v>310</v>
      </c>
      <c r="AH4010">
        <f>SUM((MID(Dyno_Data[[#This Row],[Team]],4,5))+(Dyno_Data[[#This Row],[Match]]/100))</f>
        <v>5590.72</v>
      </c>
      <c r="AI4010" s="76">
        <f>ROUND(SUM(IF(Dyno_Data[[#This Row],[AcqCenter]]&gt;0,Dyno_Data[[#This Row],[Time]]-SUMIFS(Dyno_Data[Time],Dyno_Data[Team],Dyno_Data[[#This Row],[Team]],Dyno_Data[RecordType],"StartMatch",Dyno_Data[Match],Dyno_Data[[#This Row],[Match]]),0)*86400),0)</f>
        <v>0</v>
      </c>
    </row>
    <row r="4011" spans="1:35" x14ac:dyDescent="0.3">
      <c r="A4011">
        <v>4004</v>
      </c>
      <c r="B4011" t="s">
        <v>1296</v>
      </c>
      <c r="C4011">
        <v>72</v>
      </c>
      <c r="D4011" s="105">
        <v>45374.463710451389</v>
      </c>
      <c r="E4011" t="s">
        <v>312</v>
      </c>
      <c r="F4011" t="s">
        <v>309</v>
      </c>
      <c r="G4011">
        <v>0</v>
      </c>
      <c r="H4011" t="s">
        <v>1397</v>
      </c>
      <c r="I4011">
        <v>0</v>
      </c>
      <c r="J4011">
        <v>0</v>
      </c>
      <c r="K4011">
        <v>0</v>
      </c>
      <c r="L4011" t="s">
        <v>240</v>
      </c>
      <c r="M4011" t="s">
        <v>1398</v>
      </c>
      <c r="N4011">
        <v>0</v>
      </c>
      <c r="O4011" t="s">
        <v>1389</v>
      </c>
      <c r="P4011" t="s">
        <v>310</v>
      </c>
      <c r="Q4011" t="s">
        <v>310</v>
      </c>
      <c r="R4011" t="s">
        <v>310</v>
      </c>
      <c r="S4011">
        <v>9</v>
      </c>
      <c r="T4011" t="s">
        <v>310</v>
      </c>
      <c r="U4011">
        <v>9</v>
      </c>
      <c r="V4011">
        <v>9</v>
      </c>
      <c r="W4011">
        <v>0</v>
      </c>
      <c r="X4011">
        <v>0</v>
      </c>
      <c r="Y4011">
        <v>0</v>
      </c>
      <c r="Z4011">
        <v>0</v>
      </c>
      <c r="AA4011">
        <v>9</v>
      </c>
      <c r="AB4011">
        <v>9</v>
      </c>
      <c r="AC4011" t="s">
        <v>310</v>
      </c>
      <c r="AD4011">
        <v>9</v>
      </c>
      <c r="AE4011" t="s">
        <v>1412</v>
      </c>
      <c r="AF4011">
        <v>0</v>
      </c>
      <c r="AG4011" t="s">
        <v>310</v>
      </c>
      <c r="AH4011">
        <f>SUM((MID(Dyno_Data[[#This Row],[Team]],4,5))+(Dyno_Data[[#This Row],[Match]]/100))</f>
        <v>3003.72</v>
      </c>
      <c r="AI4011" s="76">
        <f>ROUND(SUM(IF(Dyno_Data[[#This Row],[AcqCenter]]&gt;0,Dyno_Data[[#This Row],[Time]]-SUMIFS(Dyno_Data[Time],Dyno_Data[Team],Dyno_Data[[#This Row],[Team]],Dyno_Data[RecordType],"StartMatch",Dyno_Data[Match],Dyno_Data[[#This Row],[Match]]),0)*86400),0)</f>
        <v>0</v>
      </c>
    </row>
    <row r="4012" spans="1:35" x14ac:dyDescent="0.3">
      <c r="A4012">
        <v>4005</v>
      </c>
      <c r="B4012" t="s">
        <v>361</v>
      </c>
      <c r="C4012">
        <v>72</v>
      </c>
      <c r="D4012" s="105">
        <v>45374.463734409721</v>
      </c>
      <c r="E4012" t="s">
        <v>312</v>
      </c>
      <c r="F4012" t="s">
        <v>309</v>
      </c>
      <c r="G4012">
        <v>0</v>
      </c>
      <c r="H4012" t="s">
        <v>143</v>
      </c>
      <c r="I4012">
        <v>2</v>
      </c>
      <c r="J4012">
        <v>-1</v>
      </c>
      <c r="K4012">
        <v>0</v>
      </c>
      <c r="L4012" t="s">
        <v>310</v>
      </c>
      <c r="M4012" t="s">
        <v>310</v>
      </c>
      <c r="N4012">
        <v>0</v>
      </c>
      <c r="O4012" t="s">
        <v>1391</v>
      </c>
      <c r="P4012" t="s">
        <v>310</v>
      </c>
      <c r="Q4012" t="s">
        <v>310</v>
      </c>
      <c r="R4012" t="s">
        <v>310</v>
      </c>
      <c r="S4012">
        <v>9</v>
      </c>
      <c r="T4012" t="s">
        <v>310</v>
      </c>
      <c r="U4012">
        <v>9</v>
      </c>
      <c r="V4012">
        <v>9</v>
      </c>
      <c r="W4012">
        <v>0</v>
      </c>
      <c r="X4012">
        <v>0</v>
      </c>
      <c r="Y4012">
        <v>0</v>
      </c>
      <c r="Z4012">
        <v>0</v>
      </c>
      <c r="AA4012">
        <v>9</v>
      </c>
      <c r="AB4012">
        <v>9</v>
      </c>
      <c r="AC4012" t="s">
        <v>310</v>
      </c>
      <c r="AD4012">
        <v>9</v>
      </c>
      <c r="AE4012" t="s">
        <v>1416</v>
      </c>
      <c r="AF4012">
        <v>1000</v>
      </c>
      <c r="AG4012" t="s">
        <v>310</v>
      </c>
      <c r="AH4012">
        <f>SUM((MID(Dyno_Data[[#This Row],[Team]],4,5))+(Dyno_Data[[#This Row],[Match]]/100))</f>
        <v>20.72</v>
      </c>
      <c r="AI4012" s="76">
        <f>ROUND(SUM(IF(Dyno_Data[[#This Row],[AcqCenter]]&gt;0,Dyno_Data[[#This Row],[Time]]-SUMIFS(Dyno_Data[Time],Dyno_Data[Team],Dyno_Data[[#This Row],[Team]],Dyno_Data[RecordType],"StartMatch",Dyno_Data[Match],Dyno_Data[[#This Row],[Match]]),0)*86400),0)</f>
        <v>5</v>
      </c>
    </row>
    <row r="4013" spans="1:35" x14ac:dyDescent="0.3">
      <c r="A4013">
        <v>4006</v>
      </c>
      <c r="B4013" t="s">
        <v>1296</v>
      </c>
      <c r="C4013">
        <v>72</v>
      </c>
      <c r="D4013" s="105">
        <v>45374.463770798611</v>
      </c>
      <c r="E4013" t="s">
        <v>312</v>
      </c>
      <c r="F4013" t="s">
        <v>309</v>
      </c>
      <c r="G4013">
        <v>0</v>
      </c>
      <c r="H4013" t="s">
        <v>315</v>
      </c>
      <c r="I4013">
        <v>0</v>
      </c>
      <c r="J4013">
        <v>0</v>
      </c>
      <c r="K4013">
        <v>0</v>
      </c>
      <c r="L4013" t="s">
        <v>240</v>
      </c>
      <c r="M4013" t="s">
        <v>1398</v>
      </c>
      <c r="N4013">
        <v>0</v>
      </c>
      <c r="O4013" t="s">
        <v>1389</v>
      </c>
      <c r="P4013" t="s">
        <v>310</v>
      </c>
      <c r="Q4013" t="s">
        <v>310</v>
      </c>
      <c r="R4013" t="s">
        <v>310</v>
      </c>
      <c r="S4013">
        <v>9</v>
      </c>
      <c r="T4013" t="s">
        <v>310</v>
      </c>
      <c r="U4013">
        <v>9</v>
      </c>
      <c r="V4013">
        <v>9</v>
      </c>
      <c r="W4013">
        <v>0</v>
      </c>
      <c r="X4013">
        <v>0</v>
      </c>
      <c r="Y4013">
        <v>0</v>
      </c>
      <c r="Z4013">
        <v>0</v>
      </c>
      <c r="AA4013">
        <v>9</v>
      </c>
      <c r="AB4013">
        <v>9</v>
      </c>
      <c r="AC4013" t="s">
        <v>310</v>
      </c>
      <c r="AD4013">
        <v>9</v>
      </c>
      <c r="AE4013" t="s">
        <v>1412</v>
      </c>
      <c r="AF4013">
        <v>10000000</v>
      </c>
      <c r="AG4013" t="s">
        <v>310</v>
      </c>
      <c r="AH4013">
        <f>SUM((MID(Dyno_Data[[#This Row],[Team]],4,5))+(Dyno_Data[[#This Row],[Match]]/100))</f>
        <v>3003.72</v>
      </c>
      <c r="AI4013" s="76">
        <f>ROUND(SUM(IF(Dyno_Data[[#This Row],[AcqCenter]]&gt;0,Dyno_Data[[#This Row],[Time]]-SUMIFS(Dyno_Data[Time],Dyno_Data[Team],Dyno_Data[[#This Row],[Team]],Dyno_Data[RecordType],"StartMatch",Dyno_Data[Match],Dyno_Data[[#This Row],[Match]]),0)*86400),0)</f>
        <v>0</v>
      </c>
    </row>
    <row r="4014" spans="1:35" x14ac:dyDescent="0.3">
      <c r="A4014">
        <v>4007</v>
      </c>
      <c r="B4014" t="s">
        <v>1296</v>
      </c>
      <c r="C4014">
        <v>72</v>
      </c>
      <c r="D4014" s="105">
        <v>45374.463824270832</v>
      </c>
      <c r="E4014" t="s">
        <v>312</v>
      </c>
      <c r="F4014" t="s">
        <v>309</v>
      </c>
      <c r="G4014">
        <v>0</v>
      </c>
      <c r="H4014" t="s">
        <v>315</v>
      </c>
      <c r="I4014">
        <v>0</v>
      </c>
      <c r="J4014">
        <v>0</v>
      </c>
      <c r="K4014">
        <v>0</v>
      </c>
      <c r="L4014" t="s">
        <v>240</v>
      </c>
      <c r="M4014" t="s">
        <v>1398</v>
      </c>
      <c r="N4014">
        <v>0</v>
      </c>
      <c r="O4014" t="s">
        <v>1389</v>
      </c>
      <c r="P4014" t="s">
        <v>310</v>
      </c>
      <c r="Q4014" t="s">
        <v>310</v>
      </c>
      <c r="R4014" t="s">
        <v>310</v>
      </c>
      <c r="S4014">
        <v>9</v>
      </c>
      <c r="T4014" t="s">
        <v>310</v>
      </c>
      <c r="U4014">
        <v>9</v>
      </c>
      <c r="V4014">
        <v>9</v>
      </c>
      <c r="W4014">
        <v>0</v>
      </c>
      <c r="X4014">
        <v>0</v>
      </c>
      <c r="Y4014">
        <v>0</v>
      </c>
      <c r="Z4014">
        <v>0</v>
      </c>
      <c r="AA4014">
        <v>9</v>
      </c>
      <c r="AB4014">
        <v>9</v>
      </c>
      <c r="AC4014" t="s">
        <v>310</v>
      </c>
      <c r="AD4014">
        <v>9</v>
      </c>
      <c r="AE4014" t="s">
        <v>1412</v>
      </c>
      <c r="AF4014">
        <v>20000000</v>
      </c>
      <c r="AG4014" t="s">
        <v>310</v>
      </c>
      <c r="AH4014">
        <f>SUM((MID(Dyno_Data[[#This Row],[Team]],4,5))+(Dyno_Data[[#This Row],[Match]]/100))</f>
        <v>3003.72</v>
      </c>
      <c r="AI4014" s="76">
        <f>ROUND(SUM(IF(Dyno_Data[[#This Row],[AcqCenter]]&gt;0,Dyno_Data[[#This Row],[Time]]-SUMIFS(Dyno_Data[Time],Dyno_Data[Team],Dyno_Data[[#This Row],[Team]],Dyno_Data[RecordType],"StartMatch",Dyno_Data[Match],Dyno_Data[[#This Row],[Match]]),0)*86400),0)</f>
        <v>0</v>
      </c>
    </row>
    <row r="4015" spans="1:35" x14ac:dyDescent="0.3">
      <c r="A4015">
        <v>4009</v>
      </c>
      <c r="B4015" t="s">
        <v>1311</v>
      </c>
      <c r="C4015">
        <v>72</v>
      </c>
      <c r="D4015" s="105">
        <v>45374.463849652777</v>
      </c>
      <c r="E4015" t="s">
        <v>314</v>
      </c>
      <c r="F4015" t="s">
        <v>309</v>
      </c>
      <c r="G4015">
        <v>1</v>
      </c>
      <c r="H4015" t="s">
        <v>310</v>
      </c>
      <c r="I4015">
        <v>0</v>
      </c>
      <c r="J4015">
        <v>0</v>
      </c>
      <c r="K4015">
        <v>0</v>
      </c>
      <c r="L4015" t="s">
        <v>310</v>
      </c>
      <c r="M4015" t="s">
        <v>310</v>
      </c>
      <c r="N4015">
        <v>0</v>
      </c>
      <c r="O4015" t="s">
        <v>311</v>
      </c>
      <c r="P4015" t="s">
        <v>101</v>
      </c>
      <c r="Q4015" t="s">
        <v>1400</v>
      </c>
      <c r="R4015" t="s">
        <v>310</v>
      </c>
      <c r="S4015">
        <v>9</v>
      </c>
      <c r="T4015" t="s">
        <v>310</v>
      </c>
      <c r="U4015">
        <v>9</v>
      </c>
      <c r="V4015">
        <v>9</v>
      </c>
      <c r="W4015">
        <v>0</v>
      </c>
      <c r="X4015">
        <v>0</v>
      </c>
      <c r="Y4015">
        <v>0</v>
      </c>
      <c r="Z4015">
        <v>0</v>
      </c>
      <c r="AA4015">
        <v>9</v>
      </c>
      <c r="AB4015">
        <v>9</v>
      </c>
      <c r="AC4015" t="s">
        <v>310</v>
      </c>
      <c r="AD4015">
        <v>9</v>
      </c>
      <c r="AE4015" t="s">
        <v>1418</v>
      </c>
      <c r="AF4015">
        <v>0</v>
      </c>
      <c r="AG4015" t="s">
        <v>310</v>
      </c>
      <c r="AH4015">
        <f>SUM((MID(Dyno_Data[[#This Row],[Team]],4,5))+(Dyno_Data[[#This Row],[Match]]/100))</f>
        <v>2234.7199999999998</v>
      </c>
      <c r="AI4015" s="76">
        <f>ROUND(SUM(IF(Dyno_Data[[#This Row],[AcqCenter]]&gt;0,Dyno_Data[[#This Row],[Time]]-SUMIFS(Dyno_Data[Time],Dyno_Data[Team],Dyno_Data[[#This Row],[Team]],Dyno_Data[RecordType],"StartMatch",Dyno_Data[Match],Dyno_Data[[#This Row],[Match]]),0)*86400),0)</f>
        <v>0</v>
      </c>
    </row>
    <row r="4016" spans="1:35" x14ac:dyDescent="0.3">
      <c r="A4016">
        <v>4011</v>
      </c>
      <c r="B4016" t="s">
        <v>1284</v>
      </c>
      <c r="C4016">
        <v>72</v>
      </c>
      <c r="D4016" s="105">
        <v>45374.46388221065</v>
      </c>
      <c r="E4016" t="s">
        <v>314</v>
      </c>
      <c r="F4016" t="s">
        <v>309</v>
      </c>
      <c r="G4016">
        <v>1</v>
      </c>
      <c r="H4016" t="s">
        <v>310</v>
      </c>
      <c r="I4016">
        <v>0</v>
      </c>
      <c r="J4016">
        <v>0</v>
      </c>
      <c r="K4016">
        <v>0</v>
      </c>
      <c r="L4016" t="s">
        <v>310</v>
      </c>
      <c r="M4016" t="s">
        <v>310</v>
      </c>
      <c r="N4016">
        <v>0</v>
      </c>
      <c r="O4016" t="s">
        <v>1393</v>
      </c>
      <c r="P4016" t="s">
        <v>1401</v>
      </c>
      <c r="Q4016" t="s">
        <v>1399</v>
      </c>
      <c r="R4016" t="s">
        <v>310</v>
      </c>
      <c r="S4016">
        <v>9</v>
      </c>
      <c r="T4016" t="s">
        <v>310</v>
      </c>
      <c r="U4016">
        <v>9</v>
      </c>
      <c r="V4016">
        <v>9</v>
      </c>
      <c r="W4016">
        <v>0</v>
      </c>
      <c r="X4016">
        <v>0</v>
      </c>
      <c r="Y4016">
        <v>0</v>
      </c>
      <c r="Z4016">
        <v>0</v>
      </c>
      <c r="AA4016">
        <v>9</v>
      </c>
      <c r="AB4016">
        <v>9</v>
      </c>
      <c r="AC4016" t="s">
        <v>310</v>
      </c>
      <c r="AD4016">
        <v>9</v>
      </c>
      <c r="AE4016" t="s">
        <v>1413</v>
      </c>
      <c r="AF4016">
        <v>100000</v>
      </c>
      <c r="AG4016" t="s">
        <v>310</v>
      </c>
      <c r="AH4016">
        <f>SUM((MID(Dyno_Data[[#This Row],[Team]],4,5))+(Dyno_Data[[#This Row],[Match]]/100))</f>
        <v>5590.72</v>
      </c>
      <c r="AI4016" s="76">
        <f>ROUND(SUM(IF(Dyno_Data[[#This Row],[AcqCenter]]&gt;0,Dyno_Data[[#This Row],[Time]]-SUMIFS(Dyno_Data[Time],Dyno_Data[Team],Dyno_Data[[#This Row],[Team]],Dyno_Data[RecordType],"StartMatch",Dyno_Data[Match],Dyno_Data[[#This Row],[Match]]),0)*86400),0)</f>
        <v>0</v>
      </c>
    </row>
    <row r="4017" spans="1:35" x14ac:dyDescent="0.3">
      <c r="A4017">
        <v>4015</v>
      </c>
      <c r="B4017" t="s">
        <v>1296</v>
      </c>
      <c r="C4017">
        <v>72</v>
      </c>
      <c r="D4017" s="105">
        <v>45374.463884525459</v>
      </c>
      <c r="E4017" t="s">
        <v>314</v>
      </c>
      <c r="F4017" t="s">
        <v>309</v>
      </c>
      <c r="G4017">
        <v>1</v>
      </c>
      <c r="H4017" t="s">
        <v>310</v>
      </c>
      <c r="I4017">
        <v>0</v>
      </c>
      <c r="J4017">
        <v>0</v>
      </c>
      <c r="K4017">
        <v>0</v>
      </c>
      <c r="L4017" t="s">
        <v>310</v>
      </c>
      <c r="M4017" t="s">
        <v>310</v>
      </c>
      <c r="N4017">
        <v>0</v>
      </c>
      <c r="O4017" t="s">
        <v>1389</v>
      </c>
      <c r="P4017" t="s">
        <v>240</v>
      </c>
      <c r="Q4017" t="s">
        <v>1400</v>
      </c>
      <c r="R4017" t="s">
        <v>310</v>
      </c>
      <c r="S4017">
        <v>9</v>
      </c>
      <c r="T4017" t="s">
        <v>310</v>
      </c>
      <c r="U4017">
        <v>9</v>
      </c>
      <c r="V4017">
        <v>9</v>
      </c>
      <c r="W4017">
        <v>0</v>
      </c>
      <c r="X4017">
        <v>0</v>
      </c>
      <c r="Y4017">
        <v>0</v>
      </c>
      <c r="Z4017">
        <v>0</v>
      </c>
      <c r="AA4017">
        <v>9</v>
      </c>
      <c r="AB4017">
        <v>9</v>
      </c>
      <c r="AC4017" t="s">
        <v>310</v>
      </c>
      <c r="AD4017">
        <v>9</v>
      </c>
      <c r="AE4017" t="s">
        <v>1412</v>
      </c>
      <c r="AF4017">
        <v>20000000</v>
      </c>
      <c r="AG4017" t="s">
        <v>310</v>
      </c>
      <c r="AH4017">
        <f>SUM((MID(Dyno_Data[[#This Row],[Team]],4,5))+(Dyno_Data[[#This Row],[Match]]/100))</f>
        <v>3003.72</v>
      </c>
      <c r="AI4017" s="76">
        <f>ROUND(SUM(IF(Dyno_Data[[#This Row],[AcqCenter]]&gt;0,Dyno_Data[[#This Row],[Time]]-SUMIFS(Dyno_Data[Time],Dyno_Data[Team],Dyno_Data[[#This Row],[Team]],Dyno_Data[RecordType],"StartMatch",Dyno_Data[Match],Dyno_Data[[#This Row],[Match]]),0)*86400),0)</f>
        <v>0</v>
      </c>
    </row>
    <row r="4018" spans="1:35" x14ac:dyDescent="0.3">
      <c r="A4018">
        <v>4013</v>
      </c>
      <c r="B4018" t="s">
        <v>361</v>
      </c>
      <c r="C4018">
        <v>72</v>
      </c>
      <c r="D4018" s="105">
        <v>45374.463884525459</v>
      </c>
      <c r="E4018" t="s">
        <v>314</v>
      </c>
      <c r="F4018" t="s">
        <v>309</v>
      </c>
      <c r="G4018">
        <v>1</v>
      </c>
      <c r="H4018" t="s">
        <v>310</v>
      </c>
      <c r="I4018">
        <v>0</v>
      </c>
      <c r="J4018">
        <v>0</v>
      </c>
      <c r="K4018">
        <v>0</v>
      </c>
      <c r="L4018" t="s">
        <v>310</v>
      </c>
      <c r="M4018" t="s">
        <v>310</v>
      </c>
      <c r="N4018">
        <v>0</v>
      </c>
      <c r="O4018" t="s">
        <v>1391</v>
      </c>
      <c r="P4018" t="s">
        <v>1401</v>
      </c>
      <c r="Q4018" t="s">
        <v>1400</v>
      </c>
      <c r="R4018" t="s">
        <v>310</v>
      </c>
      <c r="S4018">
        <v>9</v>
      </c>
      <c r="T4018" t="s">
        <v>310</v>
      </c>
      <c r="U4018">
        <v>9</v>
      </c>
      <c r="V4018">
        <v>9</v>
      </c>
      <c r="W4018">
        <v>0</v>
      </c>
      <c r="X4018">
        <v>0</v>
      </c>
      <c r="Y4018">
        <v>0</v>
      </c>
      <c r="Z4018">
        <v>0</v>
      </c>
      <c r="AA4018">
        <v>9</v>
      </c>
      <c r="AB4018">
        <v>9</v>
      </c>
      <c r="AC4018" t="s">
        <v>310</v>
      </c>
      <c r="AD4018">
        <v>9</v>
      </c>
      <c r="AE4018" t="s">
        <v>1416</v>
      </c>
      <c r="AF4018">
        <v>1000</v>
      </c>
      <c r="AG4018" t="s">
        <v>310</v>
      </c>
      <c r="AH4018">
        <f>SUM((MID(Dyno_Data[[#This Row],[Team]],4,5))+(Dyno_Data[[#This Row],[Match]]/100))</f>
        <v>20.72</v>
      </c>
      <c r="AI4018" s="76">
        <f>ROUND(SUM(IF(Dyno_Data[[#This Row],[AcqCenter]]&gt;0,Dyno_Data[[#This Row],[Time]]-SUMIFS(Dyno_Data[Time],Dyno_Data[Team],Dyno_Data[[#This Row],[Team]],Dyno_Data[RecordType],"StartMatch",Dyno_Data[Match],Dyno_Data[[#This Row],[Match]]),0)*86400),0)</f>
        <v>0</v>
      </c>
    </row>
    <row r="4019" spans="1:35" x14ac:dyDescent="0.3">
      <c r="A4019">
        <v>4017</v>
      </c>
      <c r="B4019" t="s">
        <v>365</v>
      </c>
      <c r="C4019">
        <v>72</v>
      </c>
      <c r="D4019" s="105">
        <v>45374.463889733794</v>
      </c>
      <c r="E4019" t="s">
        <v>314</v>
      </c>
      <c r="F4019" t="s">
        <v>309</v>
      </c>
      <c r="G4019">
        <v>0</v>
      </c>
      <c r="H4019" t="s">
        <v>310</v>
      </c>
      <c r="I4019">
        <v>0</v>
      </c>
      <c r="J4019">
        <v>0</v>
      </c>
      <c r="K4019">
        <v>0</v>
      </c>
      <c r="L4019" t="s">
        <v>310</v>
      </c>
      <c r="M4019" t="s">
        <v>310</v>
      </c>
      <c r="N4019">
        <v>0</v>
      </c>
      <c r="O4019" t="s">
        <v>319</v>
      </c>
      <c r="P4019" t="s">
        <v>240</v>
      </c>
      <c r="Q4019" t="s">
        <v>1399</v>
      </c>
      <c r="R4019" t="s">
        <v>310</v>
      </c>
      <c r="S4019">
        <v>9</v>
      </c>
      <c r="T4019" t="s">
        <v>310</v>
      </c>
      <c r="U4019">
        <v>9</v>
      </c>
      <c r="V4019">
        <v>9</v>
      </c>
      <c r="W4019">
        <v>0</v>
      </c>
      <c r="X4019">
        <v>0</v>
      </c>
      <c r="Y4019">
        <v>0</v>
      </c>
      <c r="Z4019">
        <v>0</v>
      </c>
      <c r="AA4019">
        <v>9</v>
      </c>
      <c r="AB4019">
        <v>9</v>
      </c>
      <c r="AC4019" t="s">
        <v>310</v>
      </c>
      <c r="AD4019">
        <v>9</v>
      </c>
      <c r="AE4019" t="s">
        <v>1417</v>
      </c>
      <c r="AF4019">
        <v>0</v>
      </c>
      <c r="AG4019" t="s">
        <v>310</v>
      </c>
      <c r="AH4019">
        <f>SUM((MID(Dyno_Data[[#This Row],[Team]],4,5))+(Dyno_Data[[#This Row],[Match]]/100))</f>
        <v>3171.72</v>
      </c>
      <c r="AI4019" s="76">
        <f>ROUND(SUM(IF(Dyno_Data[[#This Row],[AcqCenter]]&gt;0,Dyno_Data[[#This Row],[Time]]-SUMIFS(Dyno_Data[Time],Dyno_Data[Team],Dyno_Data[[#This Row],[Team]],Dyno_Data[RecordType],"StartMatch",Dyno_Data[Match],Dyno_Data[[#This Row],[Match]]),0)*86400),0)</f>
        <v>0</v>
      </c>
    </row>
    <row r="4020" spans="1:35" x14ac:dyDescent="0.3">
      <c r="A4020">
        <v>4019</v>
      </c>
      <c r="B4020" t="s">
        <v>369</v>
      </c>
      <c r="C4020">
        <v>72</v>
      </c>
      <c r="D4020" s="105">
        <v>45374.463894756947</v>
      </c>
      <c r="E4020" t="s">
        <v>314</v>
      </c>
      <c r="F4020" t="s">
        <v>309</v>
      </c>
      <c r="G4020">
        <v>0</v>
      </c>
      <c r="H4020" t="s">
        <v>310</v>
      </c>
      <c r="I4020">
        <v>0</v>
      </c>
      <c r="J4020">
        <v>0</v>
      </c>
      <c r="K4020">
        <v>0</v>
      </c>
      <c r="L4020" t="s">
        <v>310</v>
      </c>
      <c r="M4020" t="s">
        <v>310</v>
      </c>
      <c r="N4020">
        <v>0</v>
      </c>
      <c r="O4020" t="s">
        <v>1395</v>
      </c>
      <c r="P4020" t="s">
        <v>320</v>
      </c>
      <c r="Q4020" t="s">
        <v>1399</v>
      </c>
      <c r="R4020" t="s">
        <v>310</v>
      </c>
      <c r="S4020">
        <v>9</v>
      </c>
      <c r="T4020" t="s">
        <v>310</v>
      </c>
      <c r="U4020">
        <v>9</v>
      </c>
      <c r="V4020">
        <v>9</v>
      </c>
      <c r="W4020">
        <v>0</v>
      </c>
      <c r="X4020">
        <v>0</v>
      </c>
      <c r="Y4020">
        <v>0</v>
      </c>
      <c r="Z4020">
        <v>0</v>
      </c>
      <c r="AA4020">
        <v>9</v>
      </c>
      <c r="AB4020">
        <v>9</v>
      </c>
      <c r="AC4020" t="s">
        <v>310</v>
      </c>
      <c r="AD4020">
        <v>9</v>
      </c>
      <c r="AE4020" t="s">
        <v>1414</v>
      </c>
      <c r="AF4020">
        <v>0</v>
      </c>
      <c r="AG4020" t="s">
        <v>310</v>
      </c>
      <c r="AH4020">
        <f>SUM((MID(Dyno_Data[[#This Row],[Team]],4,5))+(Dyno_Data[[#This Row],[Match]]/100))</f>
        <v>6463.72</v>
      </c>
      <c r="AI4020" s="76">
        <f>ROUND(SUM(IF(Dyno_Data[[#This Row],[AcqCenter]]&gt;0,Dyno_Data[[#This Row],[Time]]-SUMIFS(Dyno_Data[Time],Dyno_Data[Team],Dyno_Data[[#This Row],[Team]],Dyno_Data[RecordType],"StartMatch",Dyno_Data[Match],Dyno_Data[[#This Row],[Match]]),0)*86400),0)</f>
        <v>0</v>
      </c>
    </row>
    <row r="4021" spans="1:35" x14ac:dyDescent="0.3">
      <c r="A4021">
        <v>4020</v>
      </c>
      <c r="B4021" t="s">
        <v>361</v>
      </c>
      <c r="C4021">
        <v>72</v>
      </c>
      <c r="D4021" s="105">
        <v>45374.463967743053</v>
      </c>
      <c r="E4021" t="s">
        <v>312</v>
      </c>
      <c r="F4021" t="s">
        <v>1402</v>
      </c>
      <c r="G4021">
        <v>0</v>
      </c>
      <c r="H4021" t="s">
        <v>315</v>
      </c>
      <c r="I4021">
        <v>0</v>
      </c>
      <c r="J4021">
        <v>0</v>
      </c>
      <c r="K4021">
        <v>0</v>
      </c>
      <c r="L4021" t="s">
        <v>241</v>
      </c>
      <c r="M4021" t="s">
        <v>1398</v>
      </c>
      <c r="N4021">
        <v>0</v>
      </c>
      <c r="O4021" t="s">
        <v>1391</v>
      </c>
      <c r="P4021" t="s">
        <v>310</v>
      </c>
      <c r="Q4021" t="s">
        <v>310</v>
      </c>
      <c r="R4021" t="s">
        <v>310</v>
      </c>
      <c r="S4021">
        <v>9</v>
      </c>
      <c r="T4021" t="s">
        <v>310</v>
      </c>
      <c r="U4021">
        <v>9</v>
      </c>
      <c r="V4021">
        <v>9</v>
      </c>
      <c r="W4021">
        <v>0</v>
      </c>
      <c r="X4021">
        <v>0</v>
      </c>
      <c r="Y4021">
        <v>0</v>
      </c>
      <c r="Z4021">
        <v>0</v>
      </c>
      <c r="AA4021">
        <v>9</v>
      </c>
      <c r="AB4021">
        <v>9</v>
      </c>
      <c r="AC4021" t="s">
        <v>310</v>
      </c>
      <c r="AD4021">
        <v>9</v>
      </c>
      <c r="AE4021" t="s">
        <v>1416</v>
      </c>
      <c r="AF4021">
        <v>10001000</v>
      </c>
      <c r="AG4021" t="s">
        <v>310</v>
      </c>
      <c r="AH4021">
        <f>SUM((MID(Dyno_Data[[#This Row],[Team]],4,5))+(Dyno_Data[[#This Row],[Match]]/100))</f>
        <v>20.72</v>
      </c>
      <c r="AI4021" s="76">
        <f>ROUND(SUM(IF(Dyno_Data[[#This Row],[AcqCenter]]&gt;0,Dyno_Data[[#This Row],[Time]]-SUMIFS(Dyno_Data[Time],Dyno_Data[Team],Dyno_Data[[#This Row],[Team]],Dyno_Data[RecordType],"StartMatch",Dyno_Data[Match],Dyno_Data[[#This Row],[Match]]),0)*86400),0)</f>
        <v>0</v>
      </c>
    </row>
    <row r="4022" spans="1:35" x14ac:dyDescent="0.3">
      <c r="A4022">
        <v>4021</v>
      </c>
      <c r="B4022" t="s">
        <v>1296</v>
      </c>
      <c r="C4022">
        <v>72</v>
      </c>
      <c r="D4022" s="105">
        <v>45374.464039120372</v>
      </c>
      <c r="E4022" t="s">
        <v>312</v>
      </c>
      <c r="F4022" t="s">
        <v>1402</v>
      </c>
      <c r="G4022">
        <v>0</v>
      </c>
      <c r="H4022" t="s">
        <v>315</v>
      </c>
      <c r="I4022">
        <v>0</v>
      </c>
      <c r="J4022">
        <v>0</v>
      </c>
      <c r="K4022">
        <v>0</v>
      </c>
      <c r="L4022" t="s">
        <v>240</v>
      </c>
      <c r="M4022" t="s">
        <v>101</v>
      </c>
      <c r="N4022">
        <v>0</v>
      </c>
      <c r="O4022" t="s">
        <v>1389</v>
      </c>
      <c r="P4022" t="s">
        <v>310</v>
      </c>
      <c r="Q4022" t="s">
        <v>310</v>
      </c>
      <c r="R4022" t="s">
        <v>310</v>
      </c>
      <c r="S4022">
        <v>9</v>
      </c>
      <c r="T4022" t="s">
        <v>310</v>
      </c>
      <c r="U4022">
        <v>9</v>
      </c>
      <c r="V4022">
        <v>9</v>
      </c>
      <c r="W4022">
        <v>0</v>
      </c>
      <c r="X4022">
        <v>0</v>
      </c>
      <c r="Y4022">
        <v>0</v>
      </c>
      <c r="Z4022">
        <v>0</v>
      </c>
      <c r="AA4022">
        <v>9</v>
      </c>
      <c r="AB4022">
        <v>9</v>
      </c>
      <c r="AC4022" t="s">
        <v>310</v>
      </c>
      <c r="AD4022">
        <v>9</v>
      </c>
      <c r="AE4022" t="s">
        <v>1412</v>
      </c>
      <c r="AF4022">
        <v>30000000</v>
      </c>
      <c r="AG4022" t="s">
        <v>310</v>
      </c>
      <c r="AH4022">
        <f>SUM((MID(Dyno_Data[[#This Row],[Team]],4,5))+(Dyno_Data[[#This Row],[Match]]/100))</f>
        <v>3003.72</v>
      </c>
      <c r="AI4022" s="76">
        <f>ROUND(SUM(IF(Dyno_Data[[#This Row],[AcqCenter]]&gt;0,Dyno_Data[[#This Row],[Time]]-SUMIFS(Dyno_Data[Time],Dyno_Data[Team],Dyno_Data[[#This Row],[Team]],Dyno_Data[RecordType],"StartMatch",Dyno_Data[Match],Dyno_Data[[#This Row],[Match]]),0)*86400),0)</f>
        <v>0</v>
      </c>
    </row>
    <row r="4023" spans="1:35" x14ac:dyDescent="0.3">
      <c r="A4023">
        <v>4022</v>
      </c>
      <c r="B4023" t="s">
        <v>1284</v>
      </c>
      <c r="C4023">
        <v>72</v>
      </c>
      <c r="D4023" s="105">
        <v>45374.464081053244</v>
      </c>
      <c r="E4023" t="s">
        <v>312</v>
      </c>
      <c r="F4023" t="s">
        <v>1402</v>
      </c>
      <c r="G4023">
        <v>0</v>
      </c>
      <c r="H4023" t="s">
        <v>315</v>
      </c>
      <c r="I4023">
        <v>0</v>
      </c>
      <c r="J4023">
        <v>0</v>
      </c>
      <c r="K4023">
        <v>0</v>
      </c>
      <c r="L4023" t="s">
        <v>241</v>
      </c>
      <c r="M4023" t="s">
        <v>1398</v>
      </c>
      <c r="N4023">
        <v>0</v>
      </c>
      <c r="O4023" t="s">
        <v>1393</v>
      </c>
      <c r="P4023" t="s">
        <v>310</v>
      </c>
      <c r="Q4023" t="s">
        <v>310</v>
      </c>
      <c r="R4023" t="s">
        <v>310</v>
      </c>
      <c r="S4023">
        <v>9</v>
      </c>
      <c r="T4023" t="s">
        <v>310</v>
      </c>
      <c r="U4023">
        <v>9</v>
      </c>
      <c r="V4023">
        <v>9</v>
      </c>
      <c r="W4023">
        <v>0</v>
      </c>
      <c r="X4023">
        <v>0</v>
      </c>
      <c r="Y4023">
        <v>0</v>
      </c>
      <c r="Z4023">
        <v>0</v>
      </c>
      <c r="AA4023">
        <v>9</v>
      </c>
      <c r="AB4023">
        <v>9</v>
      </c>
      <c r="AC4023" t="s">
        <v>310</v>
      </c>
      <c r="AD4023">
        <v>9</v>
      </c>
      <c r="AE4023" t="s">
        <v>1413</v>
      </c>
      <c r="AF4023">
        <v>10100000</v>
      </c>
      <c r="AG4023" t="s">
        <v>310</v>
      </c>
      <c r="AH4023">
        <f>SUM((MID(Dyno_Data[[#This Row],[Team]],4,5))+(Dyno_Data[[#This Row],[Match]]/100))</f>
        <v>5590.72</v>
      </c>
      <c r="AI4023" s="76">
        <f>ROUND(SUM(IF(Dyno_Data[[#This Row],[AcqCenter]]&gt;0,Dyno_Data[[#This Row],[Time]]-SUMIFS(Dyno_Data[Time],Dyno_Data[Team],Dyno_Data[[#This Row],[Team]],Dyno_Data[RecordType],"StartMatch",Dyno_Data[Match],Dyno_Data[[#This Row],[Match]]),0)*86400),0)</f>
        <v>0</v>
      </c>
    </row>
    <row r="4024" spans="1:35" x14ac:dyDescent="0.3">
      <c r="A4024">
        <v>4023</v>
      </c>
      <c r="B4024" t="s">
        <v>361</v>
      </c>
      <c r="C4024">
        <v>72</v>
      </c>
      <c r="D4024" s="105">
        <v>45374.464097141201</v>
      </c>
      <c r="E4024" t="s">
        <v>312</v>
      </c>
      <c r="F4024" t="s">
        <v>1402</v>
      </c>
      <c r="G4024">
        <v>0</v>
      </c>
      <c r="H4024" t="s">
        <v>315</v>
      </c>
      <c r="I4024">
        <v>0</v>
      </c>
      <c r="J4024">
        <v>0</v>
      </c>
      <c r="K4024">
        <v>0</v>
      </c>
      <c r="L4024" t="s">
        <v>240</v>
      </c>
      <c r="M4024" t="s">
        <v>1398</v>
      </c>
      <c r="N4024">
        <v>0</v>
      </c>
      <c r="O4024" t="s">
        <v>1391</v>
      </c>
      <c r="P4024" t="s">
        <v>310</v>
      </c>
      <c r="Q4024" t="s">
        <v>310</v>
      </c>
      <c r="R4024" t="s">
        <v>310</v>
      </c>
      <c r="S4024">
        <v>9</v>
      </c>
      <c r="T4024" t="s">
        <v>310</v>
      </c>
      <c r="U4024">
        <v>9</v>
      </c>
      <c r="V4024">
        <v>9</v>
      </c>
      <c r="W4024">
        <v>0</v>
      </c>
      <c r="X4024">
        <v>0</v>
      </c>
      <c r="Y4024">
        <v>0</v>
      </c>
      <c r="Z4024">
        <v>0</v>
      </c>
      <c r="AA4024">
        <v>9</v>
      </c>
      <c r="AB4024">
        <v>9</v>
      </c>
      <c r="AC4024" t="s">
        <v>310</v>
      </c>
      <c r="AD4024">
        <v>9</v>
      </c>
      <c r="AE4024" t="s">
        <v>1416</v>
      </c>
      <c r="AF4024">
        <v>20001000</v>
      </c>
      <c r="AG4024" t="s">
        <v>310</v>
      </c>
      <c r="AH4024">
        <f>SUM((MID(Dyno_Data[[#This Row],[Team]],4,5))+(Dyno_Data[[#This Row],[Match]]/100))</f>
        <v>20.72</v>
      </c>
      <c r="AI4024" s="76">
        <f>ROUND(SUM(IF(Dyno_Data[[#This Row],[AcqCenter]]&gt;0,Dyno_Data[[#This Row],[Time]]-SUMIFS(Dyno_Data[Time],Dyno_Data[Team],Dyno_Data[[#This Row],[Team]],Dyno_Data[RecordType],"StartMatch",Dyno_Data[Match],Dyno_Data[[#This Row],[Match]]),0)*86400),0)</f>
        <v>0</v>
      </c>
    </row>
    <row r="4025" spans="1:35" x14ac:dyDescent="0.3">
      <c r="A4025">
        <v>4024</v>
      </c>
      <c r="B4025" t="s">
        <v>1296</v>
      </c>
      <c r="C4025">
        <v>72</v>
      </c>
      <c r="D4025" s="105">
        <v>45374.464137731484</v>
      </c>
      <c r="E4025" t="s">
        <v>312</v>
      </c>
      <c r="F4025" t="s">
        <v>1402</v>
      </c>
      <c r="G4025">
        <v>0</v>
      </c>
      <c r="H4025" t="s">
        <v>315</v>
      </c>
      <c r="I4025">
        <v>0</v>
      </c>
      <c r="J4025">
        <v>0</v>
      </c>
      <c r="K4025">
        <v>0</v>
      </c>
      <c r="L4025" t="s">
        <v>241</v>
      </c>
      <c r="M4025" t="s">
        <v>1398</v>
      </c>
      <c r="N4025">
        <v>0</v>
      </c>
      <c r="O4025" t="s">
        <v>1389</v>
      </c>
      <c r="P4025" t="s">
        <v>310</v>
      </c>
      <c r="Q4025" t="s">
        <v>310</v>
      </c>
      <c r="R4025" t="s">
        <v>310</v>
      </c>
      <c r="S4025">
        <v>9</v>
      </c>
      <c r="T4025" t="s">
        <v>310</v>
      </c>
      <c r="U4025">
        <v>9</v>
      </c>
      <c r="V4025">
        <v>9</v>
      </c>
      <c r="W4025">
        <v>0</v>
      </c>
      <c r="X4025">
        <v>0</v>
      </c>
      <c r="Y4025">
        <v>0</v>
      </c>
      <c r="Z4025">
        <v>0</v>
      </c>
      <c r="AA4025">
        <v>9</v>
      </c>
      <c r="AB4025">
        <v>9</v>
      </c>
      <c r="AC4025" t="s">
        <v>310</v>
      </c>
      <c r="AD4025">
        <v>9</v>
      </c>
      <c r="AE4025" t="s">
        <v>1412</v>
      </c>
      <c r="AF4025">
        <v>40000000</v>
      </c>
      <c r="AG4025" t="s">
        <v>310</v>
      </c>
      <c r="AH4025">
        <f>SUM((MID(Dyno_Data[[#This Row],[Team]],4,5))+(Dyno_Data[[#This Row],[Match]]/100))</f>
        <v>3003.72</v>
      </c>
      <c r="AI4025" s="76">
        <f>ROUND(SUM(IF(Dyno_Data[[#This Row],[AcqCenter]]&gt;0,Dyno_Data[[#This Row],[Time]]-SUMIFS(Dyno_Data[Time],Dyno_Data[Team],Dyno_Data[[#This Row],[Team]],Dyno_Data[RecordType],"StartMatch",Dyno_Data[Match],Dyno_Data[[#This Row],[Match]]),0)*86400),0)</f>
        <v>0</v>
      </c>
    </row>
    <row r="4026" spans="1:35" x14ac:dyDescent="0.3">
      <c r="A4026">
        <v>4025</v>
      </c>
      <c r="B4026" t="s">
        <v>361</v>
      </c>
      <c r="C4026">
        <v>72</v>
      </c>
      <c r="D4026" s="105">
        <v>45374.464209293983</v>
      </c>
      <c r="E4026" t="s">
        <v>312</v>
      </c>
      <c r="F4026" t="s">
        <v>1402</v>
      </c>
      <c r="G4026">
        <v>0</v>
      </c>
      <c r="H4026" t="s">
        <v>315</v>
      </c>
      <c r="I4026">
        <v>0</v>
      </c>
      <c r="J4026">
        <v>0</v>
      </c>
      <c r="K4026">
        <v>0</v>
      </c>
      <c r="L4026" t="s">
        <v>241</v>
      </c>
      <c r="M4026" t="s">
        <v>101</v>
      </c>
      <c r="N4026">
        <v>0</v>
      </c>
      <c r="O4026" t="s">
        <v>1391</v>
      </c>
      <c r="P4026" t="s">
        <v>310</v>
      </c>
      <c r="Q4026" t="s">
        <v>310</v>
      </c>
      <c r="R4026" t="s">
        <v>310</v>
      </c>
      <c r="S4026">
        <v>9</v>
      </c>
      <c r="T4026" t="s">
        <v>310</v>
      </c>
      <c r="U4026">
        <v>9</v>
      </c>
      <c r="V4026">
        <v>9</v>
      </c>
      <c r="W4026">
        <v>0</v>
      </c>
      <c r="X4026">
        <v>0</v>
      </c>
      <c r="Y4026">
        <v>0</v>
      </c>
      <c r="Z4026">
        <v>0</v>
      </c>
      <c r="AA4026">
        <v>9</v>
      </c>
      <c r="AB4026">
        <v>9</v>
      </c>
      <c r="AC4026" t="s">
        <v>310</v>
      </c>
      <c r="AD4026">
        <v>9</v>
      </c>
      <c r="AE4026" t="s">
        <v>1416</v>
      </c>
      <c r="AF4026">
        <v>30001000</v>
      </c>
      <c r="AG4026" t="s">
        <v>310</v>
      </c>
      <c r="AH4026">
        <f>SUM((MID(Dyno_Data[[#This Row],[Team]],4,5))+(Dyno_Data[[#This Row],[Match]]/100))</f>
        <v>20.72</v>
      </c>
      <c r="AI4026" s="76">
        <f>ROUND(SUM(IF(Dyno_Data[[#This Row],[AcqCenter]]&gt;0,Dyno_Data[[#This Row],[Time]]-SUMIFS(Dyno_Data[Time],Dyno_Data[Team],Dyno_Data[[#This Row],[Team]],Dyno_Data[RecordType],"StartMatch",Dyno_Data[Match],Dyno_Data[[#This Row],[Match]]),0)*86400),0)</f>
        <v>0</v>
      </c>
    </row>
    <row r="4027" spans="1:35" x14ac:dyDescent="0.3">
      <c r="A4027">
        <v>4026</v>
      </c>
      <c r="B4027" t="s">
        <v>365</v>
      </c>
      <c r="C4027">
        <v>72</v>
      </c>
      <c r="D4027" s="105">
        <v>45374.464229710647</v>
      </c>
      <c r="E4027" t="s">
        <v>312</v>
      </c>
      <c r="F4027" t="s">
        <v>1402</v>
      </c>
      <c r="G4027">
        <v>0</v>
      </c>
      <c r="H4027" t="s">
        <v>315</v>
      </c>
      <c r="I4027">
        <v>0</v>
      </c>
      <c r="J4027">
        <v>0</v>
      </c>
      <c r="K4027">
        <v>0</v>
      </c>
      <c r="L4027" t="s">
        <v>241</v>
      </c>
      <c r="M4027" t="s">
        <v>1398</v>
      </c>
      <c r="N4027">
        <v>0</v>
      </c>
      <c r="O4027" t="s">
        <v>319</v>
      </c>
      <c r="P4027" t="s">
        <v>310</v>
      </c>
      <c r="Q4027" t="s">
        <v>310</v>
      </c>
      <c r="R4027" t="s">
        <v>310</v>
      </c>
      <c r="S4027">
        <v>9</v>
      </c>
      <c r="T4027" t="s">
        <v>310</v>
      </c>
      <c r="U4027">
        <v>9</v>
      </c>
      <c r="V4027">
        <v>9</v>
      </c>
      <c r="W4027">
        <v>0</v>
      </c>
      <c r="X4027">
        <v>0</v>
      </c>
      <c r="Y4027">
        <v>0</v>
      </c>
      <c r="Z4027">
        <v>0</v>
      </c>
      <c r="AA4027">
        <v>9</v>
      </c>
      <c r="AB4027">
        <v>9</v>
      </c>
      <c r="AC4027" t="s">
        <v>310</v>
      </c>
      <c r="AD4027">
        <v>9</v>
      </c>
      <c r="AE4027" t="s">
        <v>1417</v>
      </c>
      <c r="AF4027">
        <v>10000000</v>
      </c>
      <c r="AG4027" t="s">
        <v>310</v>
      </c>
      <c r="AH4027">
        <f>SUM((MID(Dyno_Data[[#This Row],[Team]],4,5))+(Dyno_Data[[#This Row],[Match]]/100))</f>
        <v>3171.72</v>
      </c>
      <c r="AI4027" s="76">
        <f>ROUND(SUM(IF(Dyno_Data[[#This Row],[AcqCenter]]&gt;0,Dyno_Data[[#This Row],[Time]]-SUMIFS(Dyno_Data[Time],Dyno_Data[Team],Dyno_Data[[#This Row],[Team]],Dyno_Data[RecordType],"StartMatch",Dyno_Data[Match],Dyno_Data[[#This Row],[Match]]),0)*86400),0)</f>
        <v>0</v>
      </c>
    </row>
    <row r="4028" spans="1:35" x14ac:dyDescent="0.3">
      <c r="A4028">
        <v>4027</v>
      </c>
      <c r="B4028" t="s">
        <v>1296</v>
      </c>
      <c r="C4028">
        <v>72</v>
      </c>
      <c r="D4028" s="105">
        <v>45374.464266932868</v>
      </c>
      <c r="E4028" t="s">
        <v>312</v>
      </c>
      <c r="F4028" t="s">
        <v>1402</v>
      </c>
      <c r="G4028">
        <v>0</v>
      </c>
      <c r="H4028" t="s">
        <v>315</v>
      </c>
      <c r="I4028">
        <v>0</v>
      </c>
      <c r="J4028">
        <v>0</v>
      </c>
      <c r="K4028">
        <v>0</v>
      </c>
      <c r="L4028" t="s">
        <v>241</v>
      </c>
      <c r="M4028" t="s">
        <v>1398</v>
      </c>
      <c r="N4028">
        <v>0</v>
      </c>
      <c r="O4028" t="s">
        <v>1389</v>
      </c>
      <c r="P4028" t="s">
        <v>310</v>
      </c>
      <c r="Q4028" t="s">
        <v>310</v>
      </c>
      <c r="R4028" t="s">
        <v>310</v>
      </c>
      <c r="S4028">
        <v>9</v>
      </c>
      <c r="T4028" t="s">
        <v>310</v>
      </c>
      <c r="U4028">
        <v>9</v>
      </c>
      <c r="V4028">
        <v>9</v>
      </c>
      <c r="W4028">
        <v>0</v>
      </c>
      <c r="X4028">
        <v>0</v>
      </c>
      <c r="Y4028">
        <v>0</v>
      </c>
      <c r="Z4028">
        <v>0</v>
      </c>
      <c r="AA4028">
        <v>9</v>
      </c>
      <c r="AB4028">
        <v>9</v>
      </c>
      <c r="AC4028" t="s">
        <v>310</v>
      </c>
      <c r="AD4028">
        <v>9</v>
      </c>
      <c r="AE4028" t="s">
        <v>1412</v>
      </c>
      <c r="AF4028">
        <v>50000000</v>
      </c>
      <c r="AG4028" t="s">
        <v>310</v>
      </c>
      <c r="AH4028">
        <f>SUM((MID(Dyno_Data[[#This Row],[Team]],4,5))+(Dyno_Data[[#This Row],[Match]]/100))</f>
        <v>3003.72</v>
      </c>
      <c r="AI4028" s="76">
        <f>ROUND(SUM(IF(Dyno_Data[[#This Row],[AcqCenter]]&gt;0,Dyno_Data[[#This Row],[Time]]-SUMIFS(Dyno_Data[Time],Dyno_Data[Team],Dyno_Data[[#This Row],[Team]],Dyno_Data[RecordType],"StartMatch",Dyno_Data[Match],Dyno_Data[[#This Row],[Match]]),0)*86400),0)</f>
        <v>0</v>
      </c>
    </row>
    <row r="4029" spans="1:35" x14ac:dyDescent="0.3">
      <c r="A4029">
        <v>4028</v>
      </c>
      <c r="B4029" t="s">
        <v>1284</v>
      </c>
      <c r="C4029">
        <v>72</v>
      </c>
      <c r="D4029" s="105">
        <v>45374.464283715279</v>
      </c>
      <c r="E4029" t="s">
        <v>312</v>
      </c>
      <c r="F4029" t="s">
        <v>1402</v>
      </c>
      <c r="G4029">
        <v>0</v>
      </c>
      <c r="H4029" t="s">
        <v>315</v>
      </c>
      <c r="I4029">
        <v>0</v>
      </c>
      <c r="J4029">
        <v>0</v>
      </c>
      <c r="K4029">
        <v>0</v>
      </c>
      <c r="L4029" t="s">
        <v>241</v>
      </c>
      <c r="M4029" t="s">
        <v>1398</v>
      </c>
      <c r="N4029">
        <v>0</v>
      </c>
      <c r="O4029" t="s">
        <v>1393</v>
      </c>
      <c r="P4029" t="s">
        <v>310</v>
      </c>
      <c r="Q4029" t="s">
        <v>310</v>
      </c>
      <c r="R4029" t="s">
        <v>310</v>
      </c>
      <c r="S4029">
        <v>9</v>
      </c>
      <c r="T4029" t="s">
        <v>310</v>
      </c>
      <c r="U4029">
        <v>9</v>
      </c>
      <c r="V4029">
        <v>9</v>
      </c>
      <c r="W4029">
        <v>0</v>
      </c>
      <c r="X4029">
        <v>0</v>
      </c>
      <c r="Y4029">
        <v>0</v>
      </c>
      <c r="Z4029">
        <v>0</v>
      </c>
      <c r="AA4029">
        <v>9</v>
      </c>
      <c r="AB4029">
        <v>9</v>
      </c>
      <c r="AC4029" t="s">
        <v>310</v>
      </c>
      <c r="AD4029">
        <v>9</v>
      </c>
      <c r="AE4029" t="s">
        <v>1413</v>
      </c>
      <c r="AF4029">
        <v>20100000</v>
      </c>
      <c r="AG4029" t="s">
        <v>310</v>
      </c>
      <c r="AH4029">
        <f>SUM((MID(Dyno_Data[[#This Row],[Team]],4,5))+(Dyno_Data[[#This Row],[Match]]/100))</f>
        <v>5590.72</v>
      </c>
      <c r="AI4029" s="76">
        <f>ROUND(SUM(IF(Dyno_Data[[#This Row],[AcqCenter]]&gt;0,Dyno_Data[[#This Row],[Time]]-SUMIFS(Dyno_Data[Time],Dyno_Data[Team],Dyno_Data[[#This Row],[Team]],Dyno_Data[RecordType],"StartMatch",Dyno_Data[Match],Dyno_Data[[#This Row],[Match]]),0)*86400),0)</f>
        <v>0</v>
      </c>
    </row>
    <row r="4030" spans="1:35" x14ac:dyDescent="0.3">
      <c r="A4030">
        <v>4029</v>
      </c>
      <c r="B4030" t="s">
        <v>361</v>
      </c>
      <c r="C4030">
        <v>72</v>
      </c>
      <c r="D4030" s="105">
        <v>45374.464290937503</v>
      </c>
      <c r="E4030" t="s">
        <v>312</v>
      </c>
      <c r="F4030" t="s">
        <v>1402</v>
      </c>
      <c r="G4030">
        <v>0</v>
      </c>
      <c r="H4030" t="s">
        <v>315</v>
      </c>
      <c r="I4030">
        <v>0</v>
      </c>
      <c r="J4030">
        <v>0</v>
      </c>
      <c r="K4030">
        <v>0</v>
      </c>
      <c r="L4030" t="s">
        <v>240</v>
      </c>
      <c r="M4030" t="s">
        <v>1398</v>
      </c>
      <c r="N4030">
        <v>0</v>
      </c>
      <c r="O4030" t="s">
        <v>1391</v>
      </c>
      <c r="P4030" t="s">
        <v>310</v>
      </c>
      <c r="Q4030" t="s">
        <v>310</v>
      </c>
      <c r="R4030" t="s">
        <v>310</v>
      </c>
      <c r="S4030">
        <v>9</v>
      </c>
      <c r="T4030" t="s">
        <v>310</v>
      </c>
      <c r="U4030">
        <v>9</v>
      </c>
      <c r="V4030">
        <v>9</v>
      </c>
      <c r="W4030">
        <v>0</v>
      </c>
      <c r="X4030">
        <v>0</v>
      </c>
      <c r="Y4030">
        <v>0</v>
      </c>
      <c r="Z4030">
        <v>0</v>
      </c>
      <c r="AA4030">
        <v>9</v>
      </c>
      <c r="AB4030">
        <v>9</v>
      </c>
      <c r="AC4030" t="s">
        <v>310</v>
      </c>
      <c r="AD4030">
        <v>9</v>
      </c>
      <c r="AE4030" t="s">
        <v>1416</v>
      </c>
      <c r="AF4030">
        <v>40001000</v>
      </c>
      <c r="AG4030" t="s">
        <v>310</v>
      </c>
      <c r="AH4030">
        <f>SUM((MID(Dyno_Data[[#This Row],[Team]],4,5))+(Dyno_Data[[#This Row],[Match]]/100))</f>
        <v>20.72</v>
      </c>
      <c r="AI4030" s="76">
        <f>ROUND(SUM(IF(Dyno_Data[[#This Row],[AcqCenter]]&gt;0,Dyno_Data[[#This Row],[Time]]-SUMIFS(Dyno_Data[Time],Dyno_Data[Team],Dyno_Data[[#This Row],[Team]],Dyno_Data[RecordType],"StartMatch",Dyno_Data[Match],Dyno_Data[[#This Row],[Match]]),0)*86400),0)</f>
        <v>0</v>
      </c>
    </row>
    <row r="4031" spans="1:35" x14ac:dyDescent="0.3">
      <c r="A4031">
        <v>4030</v>
      </c>
      <c r="B4031" t="s">
        <v>365</v>
      </c>
      <c r="C4031">
        <v>72</v>
      </c>
      <c r="D4031" s="105">
        <v>45374.464356562501</v>
      </c>
      <c r="E4031" t="s">
        <v>312</v>
      </c>
      <c r="F4031" t="s">
        <v>1402</v>
      </c>
      <c r="G4031">
        <v>0</v>
      </c>
      <c r="H4031" t="s">
        <v>315</v>
      </c>
      <c r="I4031">
        <v>0</v>
      </c>
      <c r="J4031">
        <v>0</v>
      </c>
      <c r="K4031">
        <v>0</v>
      </c>
      <c r="L4031" t="s">
        <v>241</v>
      </c>
      <c r="M4031" t="s">
        <v>1398</v>
      </c>
      <c r="N4031">
        <v>0</v>
      </c>
      <c r="O4031" t="s">
        <v>319</v>
      </c>
      <c r="P4031" t="s">
        <v>310</v>
      </c>
      <c r="Q4031" t="s">
        <v>310</v>
      </c>
      <c r="R4031" t="s">
        <v>310</v>
      </c>
      <c r="S4031">
        <v>9</v>
      </c>
      <c r="T4031" t="s">
        <v>310</v>
      </c>
      <c r="U4031">
        <v>9</v>
      </c>
      <c r="V4031">
        <v>9</v>
      </c>
      <c r="W4031">
        <v>0</v>
      </c>
      <c r="X4031">
        <v>0</v>
      </c>
      <c r="Y4031">
        <v>0</v>
      </c>
      <c r="Z4031">
        <v>0</v>
      </c>
      <c r="AA4031">
        <v>9</v>
      </c>
      <c r="AB4031">
        <v>9</v>
      </c>
      <c r="AC4031" t="s">
        <v>310</v>
      </c>
      <c r="AD4031">
        <v>9</v>
      </c>
      <c r="AE4031" t="s">
        <v>1417</v>
      </c>
      <c r="AF4031">
        <v>20000000</v>
      </c>
      <c r="AG4031" t="s">
        <v>310</v>
      </c>
      <c r="AH4031">
        <f>SUM((MID(Dyno_Data[[#This Row],[Team]],4,5))+(Dyno_Data[[#This Row],[Match]]/100))</f>
        <v>3171.72</v>
      </c>
      <c r="AI4031" s="76">
        <f>ROUND(SUM(IF(Dyno_Data[[#This Row],[AcqCenter]]&gt;0,Dyno_Data[[#This Row],[Time]]-SUMIFS(Dyno_Data[Time],Dyno_Data[Team],Dyno_Data[[#This Row],[Team]],Dyno_Data[RecordType],"StartMatch",Dyno_Data[Match],Dyno_Data[[#This Row],[Match]]),0)*86400),0)</f>
        <v>0</v>
      </c>
    </row>
    <row r="4032" spans="1:35" x14ac:dyDescent="0.3">
      <c r="A4032">
        <v>4031</v>
      </c>
      <c r="B4032" t="s">
        <v>1296</v>
      </c>
      <c r="C4032">
        <v>72</v>
      </c>
      <c r="D4032" s="105">
        <v>45374.4644625</v>
      </c>
      <c r="E4032" t="s">
        <v>312</v>
      </c>
      <c r="F4032" t="s">
        <v>1402</v>
      </c>
      <c r="G4032">
        <v>0</v>
      </c>
      <c r="H4032" t="s">
        <v>315</v>
      </c>
      <c r="I4032">
        <v>0</v>
      </c>
      <c r="J4032">
        <v>0</v>
      </c>
      <c r="K4032">
        <v>0</v>
      </c>
      <c r="L4032" t="s">
        <v>241</v>
      </c>
      <c r="M4032" t="s">
        <v>1398</v>
      </c>
      <c r="N4032">
        <v>0</v>
      </c>
      <c r="O4032" t="s">
        <v>1389</v>
      </c>
      <c r="P4032" t="s">
        <v>310</v>
      </c>
      <c r="Q4032" t="s">
        <v>310</v>
      </c>
      <c r="R4032" t="s">
        <v>310</v>
      </c>
      <c r="S4032">
        <v>9</v>
      </c>
      <c r="T4032" t="s">
        <v>310</v>
      </c>
      <c r="U4032">
        <v>9</v>
      </c>
      <c r="V4032">
        <v>9</v>
      </c>
      <c r="W4032">
        <v>0</v>
      </c>
      <c r="X4032">
        <v>0</v>
      </c>
      <c r="Y4032">
        <v>0</v>
      </c>
      <c r="Z4032">
        <v>0</v>
      </c>
      <c r="AA4032">
        <v>9</v>
      </c>
      <c r="AB4032">
        <v>9</v>
      </c>
      <c r="AC4032" t="s">
        <v>310</v>
      </c>
      <c r="AD4032">
        <v>9</v>
      </c>
      <c r="AE4032" t="s">
        <v>1412</v>
      </c>
      <c r="AF4032">
        <v>60000000</v>
      </c>
      <c r="AG4032" t="s">
        <v>310</v>
      </c>
      <c r="AH4032">
        <f>SUM((MID(Dyno_Data[[#This Row],[Team]],4,5))+(Dyno_Data[[#This Row],[Match]]/100))</f>
        <v>3003.72</v>
      </c>
      <c r="AI4032" s="76">
        <f>ROUND(SUM(IF(Dyno_Data[[#This Row],[AcqCenter]]&gt;0,Dyno_Data[[#This Row],[Time]]-SUMIFS(Dyno_Data[Time],Dyno_Data[Team],Dyno_Data[[#This Row],[Team]],Dyno_Data[RecordType],"StartMatch",Dyno_Data[Match],Dyno_Data[[#This Row],[Match]]),0)*86400),0)</f>
        <v>0</v>
      </c>
    </row>
    <row r="4033" spans="1:35" x14ac:dyDescent="0.3">
      <c r="A4033">
        <v>4032</v>
      </c>
      <c r="B4033" t="s">
        <v>1284</v>
      </c>
      <c r="C4033">
        <v>72</v>
      </c>
      <c r="D4033" s="105">
        <v>45374.464490775463</v>
      </c>
      <c r="E4033" t="s">
        <v>312</v>
      </c>
      <c r="F4033" t="s">
        <v>1402</v>
      </c>
      <c r="G4033">
        <v>0</v>
      </c>
      <c r="H4033" t="s">
        <v>315</v>
      </c>
      <c r="I4033">
        <v>0</v>
      </c>
      <c r="J4033">
        <v>0</v>
      </c>
      <c r="K4033">
        <v>0</v>
      </c>
      <c r="L4033" t="s">
        <v>241</v>
      </c>
      <c r="M4033" t="s">
        <v>1398</v>
      </c>
      <c r="N4033">
        <v>0</v>
      </c>
      <c r="O4033" t="s">
        <v>1393</v>
      </c>
      <c r="P4033" t="s">
        <v>310</v>
      </c>
      <c r="Q4033" t="s">
        <v>310</v>
      </c>
      <c r="R4033" t="s">
        <v>310</v>
      </c>
      <c r="S4033">
        <v>9</v>
      </c>
      <c r="T4033" t="s">
        <v>310</v>
      </c>
      <c r="U4033">
        <v>9</v>
      </c>
      <c r="V4033">
        <v>9</v>
      </c>
      <c r="W4033">
        <v>0</v>
      </c>
      <c r="X4033">
        <v>0</v>
      </c>
      <c r="Y4033">
        <v>0</v>
      </c>
      <c r="Z4033">
        <v>0</v>
      </c>
      <c r="AA4033">
        <v>9</v>
      </c>
      <c r="AB4033">
        <v>9</v>
      </c>
      <c r="AC4033" t="s">
        <v>310</v>
      </c>
      <c r="AD4033">
        <v>9</v>
      </c>
      <c r="AE4033" t="s">
        <v>1413</v>
      </c>
      <c r="AF4033">
        <v>30100000</v>
      </c>
      <c r="AG4033" t="s">
        <v>310</v>
      </c>
      <c r="AH4033">
        <f>SUM((MID(Dyno_Data[[#This Row],[Team]],4,5))+(Dyno_Data[[#This Row],[Match]]/100))</f>
        <v>5590.72</v>
      </c>
      <c r="AI4033" s="76">
        <f>ROUND(SUM(IF(Dyno_Data[[#This Row],[AcqCenter]]&gt;0,Dyno_Data[[#This Row],[Time]]-SUMIFS(Dyno_Data[Time],Dyno_Data[Team],Dyno_Data[[#This Row],[Team]],Dyno_Data[RecordType],"StartMatch",Dyno_Data[Match],Dyno_Data[[#This Row],[Match]]),0)*86400),0)</f>
        <v>0</v>
      </c>
    </row>
    <row r="4034" spans="1:35" x14ac:dyDescent="0.3">
      <c r="A4034">
        <v>4033</v>
      </c>
      <c r="B4034" t="s">
        <v>361</v>
      </c>
      <c r="C4034">
        <v>72</v>
      </c>
      <c r="D4034" s="105">
        <v>45374.464595104168</v>
      </c>
      <c r="E4034" t="s">
        <v>312</v>
      </c>
      <c r="F4034" t="s">
        <v>1402</v>
      </c>
      <c r="G4034">
        <v>0</v>
      </c>
      <c r="H4034" t="s">
        <v>315</v>
      </c>
      <c r="I4034">
        <v>0</v>
      </c>
      <c r="J4034">
        <v>0</v>
      </c>
      <c r="K4034">
        <v>0</v>
      </c>
      <c r="L4034" t="s">
        <v>241</v>
      </c>
      <c r="M4034" t="s">
        <v>101</v>
      </c>
      <c r="N4034">
        <v>0</v>
      </c>
      <c r="O4034" t="s">
        <v>1391</v>
      </c>
      <c r="P4034" t="s">
        <v>310</v>
      </c>
      <c r="Q4034" t="s">
        <v>310</v>
      </c>
      <c r="R4034" t="s">
        <v>310</v>
      </c>
      <c r="S4034">
        <v>9</v>
      </c>
      <c r="T4034" t="s">
        <v>310</v>
      </c>
      <c r="U4034">
        <v>9</v>
      </c>
      <c r="V4034">
        <v>9</v>
      </c>
      <c r="W4034">
        <v>0</v>
      </c>
      <c r="X4034">
        <v>0</v>
      </c>
      <c r="Y4034">
        <v>0</v>
      </c>
      <c r="Z4034">
        <v>0</v>
      </c>
      <c r="AA4034">
        <v>9</v>
      </c>
      <c r="AB4034">
        <v>9</v>
      </c>
      <c r="AC4034" t="s">
        <v>310</v>
      </c>
      <c r="AD4034">
        <v>9</v>
      </c>
      <c r="AE4034" t="s">
        <v>1416</v>
      </c>
      <c r="AF4034">
        <v>50001000</v>
      </c>
      <c r="AG4034" t="s">
        <v>310</v>
      </c>
      <c r="AH4034">
        <f>SUM((MID(Dyno_Data[[#This Row],[Team]],4,5))+(Dyno_Data[[#This Row],[Match]]/100))</f>
        <v>20.72</v>
      </c>
      <c r="AI4034" s="76">
        <f>ROUND(SUM(IF(Dyno_Data[[#This Row],[AcqCenter]]&gt;0,Dyno_Data[[#This Row],[Time]]-SUMIFS(Dyno_Data[Time],Dyno_Data[Team],Dyno_Data[[#This Row],[Team]],Dyno_Data[RecordType],"StartMatch",Dyno_Data[Match],Dyno_Data[[#This Row],[Match]]),0)*86400),0)</f>
        <v>0</v>
      </c>
    </row>
    <row r="4035" spans="1:35" x14ac:dyDescent="0.3">
      <c r="A4035">
        <v>4034</v>
      </c>
      <c r="B4035" t="s">
        <v>365</v>
      </c>
      <c r="C4035">
        <v>72</v>
      </c>
      <c r="D4035" s="105">
        <v>45374.464608796297</v>
      </c>
      <c r="E4035" t="s">
        <v>312</v>
      </c>
      <c r="F4035" t="s">
        <v>1402</v>
      </c>
      <c r="G4035">
        <v>0</v>
      </c>
      <c r="H4035" t="s">
        <v>315</v>
      </c>
      <c r="I4035">
        <v>0</v>
      </c>
      <c r="J4035">
        <v>0</v>
      </c>
      <c r="K4035">
        <v>0</v>
      </c>
      <c r="L4035" t="s">
        <v>241</v>
      </c>
      <c r="M4035" t="s">
        <v>1398</v>
      </c>
      <c r="N4035">
        <v>0</v>
      </c>
      <c r="O4035" t="s">
        <v>319</v>
      </c>
      <c r="P4035" t="s">
        <v>310</v>
      </c>
      <c r="Q4035" t="s">
        <v>310</v>
      </c>
      <c r="R4035" t="s">
        <v>310</v>
      </c>
      <c r="S4035">
        <v>9</v>
      </c>
      <c r="T4035" t="s">
        <v>310</v>
      </c>
      <c r="U4035">
        <v>9</v>
      </c>
      <c r="V4035">
        <v>9</v>
      </c>
      <c r="W4035">
        <v>0</v>
      </c>
      <c r="X4035">
        <v>0</v>
      </c>
      <c r="Y4035">
        <v>0</v>
      </c>
      <c r="Z4035">
        <v>0</v>
      </c>
      <c r="AA4035">
        <v>9</v>
      </c>
      <c r="AB4035">
        <v>9</v>
      </c>
      <c r="AC4035" t="s">
        <v>310</v>
      </c>
      <c r="AD4035">
        <v>9</v>
      </c>
      <c r="AE4035" t="s">
        <v>1417</v>
      </c>
      <c r="AF4035">
        <v>30000000</v>
      </c>
      <c r="AG4035" t="s">
        <v>310</v>
      </c>
      <c r="AH4035">
        <f>SUM((MID(Dyno_Data[[#This Row],[Team]],4,5))+(Dyno_Data[[#This Row],[Match]]/100))</f>
        <v>3171.72</v>
      </c>
      <c r="AI4035" s="76">
        <f>ROUND(SUM(IF(Dyno_Data[[#This Row],[AcqCenter]]&gt;0,Dyno_Data[[#This Row],[Time]]-SUMIFS(Dyno_Data[Time],Dyno_Data[Team],Dyno_Data[[#This Row],[Team]],Dyno_Data[RecordType],"StartMatch",Dyno_Data[Match],Dyno_Data[[#This Row],[Match]]),0)*86400),0)</f>
        <v>0</v>
      </c>
    </row>
    <row r="4036" spans="1:35" x14ac:dyDescent="0.3">
      <c r="A4036">
        <v>4035</v>
      </c>
      <c r="B4036" t="s">
        <v>1296</v>
      </c>
      <c r="C4036">
        <v>72</v>
      </c>
      <c r="D4036" s="105">
        <v>45374.464621956016</v>
      </c>
      <c r="E4036" t="s">
        <v>312</v>
      </c>
      <c r="F4036" t="s">
        <v>1402</v>
      </c>
      <c r="G4036">
        <v>0</v>
      </c>
      <c r="H4036" t="s">
        <v>315</v>
      </c>
      <c r="I4036">
        <v>0</v>
      </c>
      <c r="J4036">
        <v>0</v>
      </c>
      <c r="K4036">
        <v>0</v>
      </c>
      <c r="L4036" t="s">
        <v>241</v>
      </c>
      <c r="M4036" t="s">
        <v>1398</v>
      </c>
      <c r="N4036">
        <v>0</v>
      </c>
      <c r="O4036" t="s">
        <v>1389</v>
      </c>
      <c r="P4036" t="s">
        <v>310</v>
      </c>
      <c r="Q4036" t="s">
        <v>310</v>
      </c>
      <c r="R4036" t="s">
        <v>310</v>
      </c>
      <c r="S4036">
        <v>9</v>
      </c>
      <c r="T4036" t="s">
        <v>310</v>
      </c>
      <c r="U4036">
        <v>9</v>
      </c>
      <c r="V4036">
        <v>9</v>
      </c>
      <c r="W4036">
        <v>0</v>
      </c>
      <c r="X4036">
        <v>0</v>
      </c>
      <c r="Y4036">
        <v>0</v>
      </c>
      <c r="Z4036">
        <v>0</v>
      </c>
      <c r="AA4036">
        <v>9</v>
      </c>
      <c r="AB4036">
        <v>9</v>
      </c>
      <c r="AC4036" t="s">
        <v>310</v>
      </c>
      <c r="AD4036">
        <v>9</v>
      </c>
      <c r="AE4036" t="s">
        <v>1412</v>
      </c>
      <c r="AF4036">
        <v>70000000</v>
      </c>
      <c r="AG4036" t="s">
        <v>310</v>
      </c>
      <c r="AH4036">
        <f>SUM((MID(Dyno_Data[[#This Row],[Team]],4,5))+(Dyno_Data[[#This Row],[Match]]/100))</f>
        <v>3003.72</v>
      </c>
      <c r="AI4036" s="76">
        <f>ROUND(SUM(IF(Dyno_Data[[#This Row],[AcqCenter]]&gt;0,Dyno_Data[[#This Row],[Time]]-SUMIFS(Dyno_Data[Time],Dyno_Data[Team],Dyno_Data[[#This Row],[Team]],Dyno_Data[RecordType],"StartMatch",Dyno_Data[Match],Dyno_Data[[#This Row],[Match]]),0)*86400),0)</f>
        <v>0</v>
      </c>
    </row>
    <row r="4037" spans="1:35" x14ac:dyDescent="0.3">
      <c r="A4037">
        <v>4036</v>
      </c>
      <c r="B4037" t="s">
        <v>1284</v>
      </c>
      <c r="C4037">
        <v>72</v>
      </c>
      <c r="D4037" s="105">
        <v>45374.464694988426</v>
      </c>
      <c r="E4037" t="s">
        <v>312</v>
      </c>
      <c r="F4037" t="s">
        <v>1402</v>
      </c>
      <c r="G4037">
        <v>0</v>
      </c>
      <c r="H4037" t="s">
        <v>315</v>
      </c>
      <c r="I4037">
        <v>0</v>
      </c>
      <c r="J4037">
        <v>0</v>
      </c>
      <c r="K4037">
        <v>0</v>
      </c>
      <c r="L4037" t="s">
        <v>241</v>
      </c>
      <c r="M4037" t="s">
        <v>1398</v>
      </c>
      <c r="N4037">
        <v>0</v>
      </c>
      <c r="O4037" t="s">
        <v>1393</v>
      </c>
      <c r="P4037" t="s">
        <v>310</v>
      </c>
      <c r="Q4037" t="s">
        <v>310</v>
      </c>
      <c r="R4037" t="s">
        <v>310</v>
      </c>
      <c r="S4037">
        <v>9</v>
      </c>
      <c r="T4037" t="s">
        <v>310</v>
      </c>
      <c r="U4037">
        <v>9</v>
      </c>
      <c r="V4037">
        <v>9</v>
      </c>
      <c r="W4037">
        <v>0</v>
      </c>
      <c r="X4037">
        <v>0</v>
      </c>
      <c r="Y4037">
        <v>0</v>
      </c>
      <c r="Z4037">
        <v>0</v>
      </c>
      <c r="AA4037">
        <v>9</v>
      </c>
      <c r="AB4037">
        <v>9</v>
      </c>
      <c r="AC4037" t="s">
        <v>310</v>
      </c>
      <c r="AD4037">
        <v>9</v>
      </c>
      <c r="AE4037" t="s">
        <v>1413</v>
      </c>
      <c r="AF4037">
        <v>40100000</v>
      </c>
      <c r="AG4037" t="s">
        <v>310</v>
      </c>
      <c r="AH4037">
        <f>SUM((MID(Dyno_Data[[#This Row],[Team]],4,5))+(Dyno_Data[[#This Row],[Match]]/100))</f>
        <v>5590.72</v>
      </c>
      <c r="AI4037" s="76">
        <f>ROUND(SUM(IF(Dyno_Data[[#This Row],[AcqCenter]]&gt;0,Dyno_Data[[#This Row],[Time]]-SUMIFS(Dyno_Data[Time],Dyno_Data[Team],Dyno_Data[[#This Row],[Team]],Dyno_Data[RecordType],"StartMatch",Dyno_Data[Match],Dyno_Data[[#This Row],[Match]]),0)*86400),0)</f>
        <v>0</v>
      </c>
    </row>
    <row r="4038" spans="1:35" x14ac:dyDescent="0.3">
      <c r="A4038">
        <v>4037</v>
      </c>
      <c r="B4038" t="s">
        <v>365</v>
      </c>
      <c r="C4038">
        <v>72</v>
      </c>
      <c r="D4038" s="105">
        <v>45374.464722534722</v>
      </c>
      <c r="E4038" t="s">
        <v>312</v>
      </c>
      <c r="F4038" t="s">
        <v>1402</v>
      </c>
      <c r="G4038">
        <v>0</v>
      </c>
      <c r="H4038" t="s">
        <v>315</v>
      </c>
      <c r="I4038">
        <v>0</v>
      </c>
      <c r="J4038">
        <v>0</v>
      </c>
      <c r="K4038">
        <v>0</v>
      </c>
      <c r="L4038" t="s">
        <v>241</v>
      </c>
      <c r="M4038" t="s">
        <v>1398</v>
      </c>
      <c r="N4038">
        <v>0</v>
      </c>
      <c r="O4038" t="s">
        <v>319</v>
      </c>
      <c r="P4038" t="s">
        <v>310</v>
      </c>
      <c r="Q4038" t="s">
        <v>310</v>
      </c>
      <c r="R4038" t="s">
        <v>310</v>
      </c>
      <c r="S4038">
        <v>9</v>
      </c>
      <c r="T4038" t="s">
        <v>310</v>
      </c>
      <c r="U4038">
        <v>9</v>
      </c>
      <c r="V4038">
        <v>9</v>
      </c>
      <c r="W4038">
        <v>0</v>
      </c>
      <c r="X4038">
        <v>0</v>
      </c>
      <c r="Y4038">
        <v>0</v>
      </c>
      <c r="Z4038">
        <v>0</v>
      </c>
      <c r="AA4038">
        <v>9</v>
      </c>
      <c r="AB4038">
        <v>9</v>
      </c>
      <c r="AC4038" t="s">
        <v>310</v>
      </c>
      <c r="AD4038">
        <v>9</v>
      </c>
      <c r="AE4038" t="s">
        <v>1417</v>
      </c>
      <c r="AF4038">
        <v>40000000</v>
      </c>
      <c r="AG4038" t="s">
        <v>310</v>
      </c>
      <c r="AH4038">
        <f>SUM((MID(Dyno_Data[[#This Row],[Team]],4,5))+(Dyno_Data[[#This Row],[Match]]/100))</f>
        <v>3171.72</v>
      </c>
      <c r="AI4038" s="76">
        <f>ROUND(SUM(IF(Dyno_Data[[#This Row],[AcqCenter]]&gt;0,Dyno_Data[[#This Row],[Time]]-SUMIFS(Dyno_Data[Time],Dyno_Data[Team],Dyno_Data[[#This Row],[Team]],Dyno_Data[RecordType],"StartMatch",Dyno_Data[Match],Dyno_Data[[#This Row],[Match]]),0)*86400),0)</f>
        <v>0</v>
      </c>
    </row>
    <row r="4039" spans="1:35" x14ac:dyDescent="0.3">
      <c r="A4039">
        <v>4038</v>
      </c>
      <c r="B4039" t="s">
        <v>361</v>
      </c>
      <c r="C4039">
        <v>72</v>
      </c>
      <c r="D4039" s="105">
        <v>45374.464818321758</v>
      </c>
      <c r="E4039" t="s">
        <v>312</v>
      </c>
      <c r="F4039" t="s">
        <v>1402</v>
      </c>
      <c r="G4039">
        <v>0</v>
      </c>
      <c r="H4039" t="s">
        <v>315</v>
      </c>
      <c r="I4039">
        <v>0</v>
      </c>
      <c r="J4039">
        <v>0</v>
      </c>
      <c r="K4039">
        <v>0</v>
      </c>
      <c r="L4039" t="s">
        <v>240</v>
      </c>
      <c r="M4039" t="s">
        <v>1398</v>
      </c>
      <c r="N4039">
        <v>0</v>
      </c>
      <c r="O4039" t="s">
        <v>1391</v>
      </c>
      <c r="P4039" t="s">
        <v>310</v>
      </c>
      <c r="Q4039" t="s">
        <v>310</v>
      </c>
      <c r="R4039" t="s">
        <v>310</v>
      </c>
      <c r="S4039">
        <v>9</v>
      </c>
      <c r="T4039" t="s">
        <v>310</v>
      </c>
      <c r="U4039">
        <v>9</v>
      </c>
      <c r="V4039">
        <v>9</v>
      </c>
      <c r="W4039">
        <v>0</v>
      </c>
      <c r="X4039">
        <v>0</v>
      </c>
      <c r="Y4039">
        <v>0</v>
      </c>
      <c r="Z4039">
        <v>0</v>
      </c>
      <c r="AA4039">
        <v>9</v>
      </c>
      <c r="AB4039">
        <v>9</v>
      </c>
      <c r="AC4039" t="s">
        <v>310</v>
      </c>
      <c r="AD4039">
        <v>9</v>
      </c>
      <c r="AE4039" t="s">
        <v>1416</v>
      </c>
      <c r="AF4039">
        <v>60001000</v>
      </c>
      <c r="AG4039" t="s">
        <v>310</v>
      </c>
      <c r="AH4039">
        <f>SUM((MID(Dyno_Data[[#This Row],[Team]],4,5))+(Dyno_Data[[#This Row],[Match]]/100))</f>
        <v>20.72</v>
      </c>
      <c r="AI4039" s="76">
        <f>ROUND(SUM(IF(Dyno_Data[[#This Row],[AcqCenter]]&gt;0,Dyno_Data[[#This Row],[Time]]-SUMIFS(Dyno_Data[Time],Dyno_Data[Team],Dyno_Data[[#This Row],[Team]],Dyno_Data[RecordType],"StartMatch",Dyno_Data[Match],Dyno_Data[[#This Row],[Match]]),0)*86400),0)</f>
        <v>0</v>
      </c>
    </row>
    <row r="4040" spans="1:35" x14ac:dyDescent="0.3">
      <c r="A4040">
        <v>4039</v>
      </c>
      <c r="B4040" t="s">
        <v>1296</v>
      </c>
      <c r="C4040">
        <v>72</v>
      </c>
      <c r="D4040" s="105">
        <v>45374.464840856483</v>
      </c>
      <c r="E4040" t="s">
        <v>312</v>
      </c>
      <c r="F4040" t="s">
        <v>1402</v>
      </c>
      <c r="G4040">
        <v>0</v>
      </c>
      <c r="H4040" t="s">
        <v>315</v>
      </c>
      <c r="I4040">
        <v>0</v>
      </c>
      <c r="J4040">
        <v>0</v>
      </c>
      <c r="K4040">
        <v>0</v>
      </c>
      <c r="L4040" t="s">
        <v>241</v>
      </c>
      <c r="M4040" t="s">
        <v>241</v>
      </c>
      <c r="N4040">
        <v>0</v>
      </c>
      <c r="O4040" t="s">
        <v>1389</v>
      </c>
      <c r="P4040" t="s">
        <v>310</v>
      </c>
      <c r="Q4040" t="s">
        <v>310</v>
      </c>
      <c r="R4040" t="s">
        <v>310</v>
      </c>
      <c r="S4040">
        <v>9</v>
      </c>
      <c r="T4040" t="s">
        <v>310</v>
      </c>
      <c r="U4040">
        <v>9</v>
      </c>
      <c r="V4040">
        <v>9</v>
      </c>
      <c r="W4040">
        <v>0</v>
      </c>
      <c r="X4040">
        <v>0</v>
      </c>
      <c r="Y4040">
        <v>0</v>
      </c>
      <c r="Z4040">
        <v>0</v>
      </c>
      <c r="AA4040">
        <v>9</v>
      </c>
      <c r="AB4040">
        <v>9</v>
      </c>
      <c r="AC4040" t="s">
        <v>310</v>
      </c>
      <c r="AD4040">
        <v>9</v>
      </c>
      <c r="AE4040" t="s">
        <v>1412</v>
      </c>
      <c r="AF4040">
        <v>80000000</v>
      </c>
      <c r="AG4040" t="s">
        <v>310</v>
      </c>
      <c r="AH4040">
        <f>SUM((MID(Dyno_Data[[#This Row],[Team]],4,5))+(Dyno_Data[[#This Row],[Match]]/100))</f>
        <v>3003.72</v>
      </c>
      <c r="AI4040" s="76">
        <f>ROUND(SUM(IF(Dyno_Data[[#This Row],[AcqCenter]]&gt;0,Dyno_Data[[#This Row],[Time]]-SUMIFS(Dyno_Data[Time],Dyno_Data[Team],Dyno_Data[[#This Row],[Team]],Dyno_Data[RecordType],"StartMatch",Dyno_Data[Match],Dyno_Data[[#This Row],[Match]]),0)*86400),0)</f>
        <v>0</v>
      </c>
    </row>
    <row r="4041" spans="1:35" x14ac:dyDescent="0.3">
      <c r="A4041">
        <v>4040</v>
      </c>
      <c r="B4041" t="s">
        <v>1284</v>
      </c>
      <c r="C4041">
        <v>72</v>
      </c>
      <c r="D4041" s="105">
        <v>45374.464898495367</v>
      </c>
      <c r="E4041" t="s">
        <v>312</v>
      </c>
      <c r="F4041" t="s">
        <v>1402</v>
      </c>
      <c r="G4041">
        <v>0</v>
      </c>
      <c r="H4041" t="s">
        <v>315</v>
      </c>
      <c r="I4041">
        <v>0</v>
      </c>
      <c r="J4041">
        <v>0</v>
      </c>
      <c r="K4041">
        <v>0</v>
      </c>
      <c r="L4041" t="s">
        <v>240</v>
      </c>
      <c r="M4041" t="s">
        <v>1398</v>
      </c>
      <c r="N4041">
        <v>0</v>
      </c>
      <c r="O4041" t="s">
        <v>1393</v>
      </c>
      <c r="P4041" t="s">
        <v>310</v>
      </c>
      <c r="Q4041" t="s">
        <v>310</v>
      </c>
      <c r="R4041" t="s">
        <v>310</v>
      </c>
      <c r="S4041">
        <v>9</v>
      </c>
      <c r="T4041" t="s">
        <v>310</v>
      </c>
      <c r="U4041">
        <v>9</v>
      </c>
      <c r="V4041">
        <v>9</v>
      </c>
      <c r="W4041">
        <v>0</v>
      </c>
      <c r="X4041">
        <v>0</v>
      </c>
      <c r="Y4041">
        <v>0</v>
      </c>
      <c r="Z4041">
        <v>0</v>
      </c>
      <c r="AA4041">
        <v>9</v>
      </c>
      <c r="AB4041">
        <v>9</v>
      </c>
      <c r="AC4041" t="s">
        <v>310</v>
      </c>
      <c r="AD4041">
        <v>9</v>
      </c>
      <c r="AE4041" t="s">
        <v>1413</v>
      </c>
      <c r="AF4041">
        <v>50100000</v>
      </c>
      <c r="AG4041" t="s">
        <v>310</v>
      </c>
      <c r="AH4041">
        <f>SUM((MID(Dyno_Data[[#This Row],[Team]],4,5))+(Dyno_Data[[#This Row],[Match]]/100))</f>
        <v>5590.72</v>
      </c>
      <c r="AI4041" s="76">
        <f>ROUND(SUM(IF(Dyno_Data[[#This Row],[AcqCenter]]&gt;0,Dyno_Data[[#This Row],[Time]]-SUMIFS(Dyno_Data[Time],Dyno_Data[Team],Dyno_Data[[#This Row],[Team]],Dyno_Data[RecordType],"StartMatch",Dyno_Data[Match],Dyno_Data[[#This Row],[Match]]),0)*86400),0)</f>
        <v>0</v>
      </c>
    </row>
    <row r="4042" spans="1:35" x14ac:dyDescent="0.3">
      <c r="A4042">
        <v>4041</v>
      </c>
      <c r="B4042" t="s">
        <v>361</v>
      </c>
      <c r="C4042">
        <v>72</v>
      </c>
      <c r="D4042" s="105">
        <v>45374.465021956021</v>
      </c>
      <c r="E4042" t="s">
        <v>1403</v>
      </c>
      <c r="F4042" t="s">
        <v>1402</v>
      </c>
      <c r="G4042">
        <v>0</v>
      </c>
      <c r="H4042" t="s">
        <v>310</v>
      </c>
      <c r="I4042">
        <v>0</v>
      </c>
      <c r="J4042">
        <v>0</v>
      </c>
      <c r="K4042">
        <v>0</v>
      </c>
      <c r="L4042" t="s">
        <v>310</v>
      </c>
      <c r="M4042" t="s">
        <v>310</v>
      </c>
      <c r="N4042">
        <v>0</v>
      </c>
      <c r="O4042" t="s">
        <v>1391</v>
      </c>
      <c r="P4042" t="s">
        <v>310</v>
      </c>
      <c r="Q4042" t="s">
        <v>310</v>
      </c>
      <c r="R4042" t="s">
        <v>310</v>
      </c>
      <c r="S4042">
        <v>9</v>
      </c>
      <c r="T4042" t="s">
        <v>310</v>
      </c>
      <c r="U4042">
        <v>9</v>
      </c>
      <c r="V4042">
        <v>9</v>
      </c>
      <c r="W4042">
        <v>0</v>
      </c>
      <c r="X4042">
        <v>0</v>
      </c>
      <c r="Y4042">
        <v>0</v>
      </c>
      <c r="Z4042">
        <v>0</v>
      </c>
      <c r="AA4042">
        <v>9</v>
      </c>
      <c r="AB4042">
        <v>9</v>
      </c>
      <c r="AC4042" t="s">
        <v>310</v>
      </c>
      <c r="AD4042">
        <v>9</v>
      </c>
      <c r="AE4042" t="s">
        <v>1416</v>
      </c>
      <c r="AF4042">
        <v>50100000</v>
      </c>
      <c r="AG4042" t="s">
        <v>249</v>
      </c>
      <c r="AH4042">
        <f>SUM((MID(Dyno_Data[[#This Row],[Team]],4,5))+(Dyno_Data[[#This Row],[Match]]/100))</f>
        <v>20.72</v>
      </c>
      <c r="AI4042" s="76">
        <f>ROUND(SUM(IF(Dyno_Data[[#This Row],[AcqCenter]]&gt;0,Dyno_Data[[#This Row],[Time]]-SUMIFS(Dyno_Data[Time],Dyno_Data[Team],Dyno_Data[[#This Row],[Team]],Dyno_Data[RecordType],"StartMatch",Dyno_Data[Match],Dyno_Data[[#This Row],[Match]]),0)*86400),0)</f>
        <v>0</v>
      </c>
    </row>
    <row r="4043" spans="1:35" x14ac:dyDescent="0.3">
      <c r="A4043">
        <v>4042</v>
      </c>
      <c r="B4043" t="s">
        <v>365</v>
      </c>
      <c r="C4043">
        <v>72</v>
      </c>
      <c r="D4043" s="105">
        <v>45374.465057326386</v>
      </c>
      <c r="E4043" t="s">
        <v>312</v>
      </c>
      <c r="F4043" t="s">
        <v>1402</v>
      </c>
      <c r="G4043">
        <v>0</v>
      </c>
      <c r="H4043" t="s">
        <v>315</v>
      </c>
      <c r="I4043">
        <v>0</v>
      </c>
      <c r="J4043">
        <v>0</v>
      </c>
      <c r="K4043">
        <v>0</v>
      </c>
      <c r="L4043" t="s">
        <v>241</v>
      </c>
      <c r="M4043" t="s">
        <v>1398</v>
      </c>
      <c r="N4043">
        <v>0</v>
      </c>
      <c r="O4043" t="s">
        <v>319</v>
      </c>
      <c r="P4043" t="s">
        <v>310</v>
      </c>
      <c r="Q4043" t="s">
        <v>310</v>
      </c>
      <c r="R4043" t="s">
        <v>310</v>
      </c>
      <c r="S4043">
        <v>9</v>
      </c>
      <c r="T4043" t="s">
        <v>310</v>
      </c>
      <c r="U4043">
        <v>9</v>
      </c>
      <c r="V4043">
        <v>9</v>
      </c>
      <c r="W4043">
        <v>0</v>
      </c>
      <c r="X4043">
        <v>0</v>
      </c>
      <c r="Y4043">
        <v>0</v>
      </c>
      <c r="Z4043">
        <v>0</v>
      </c>
      <c r="AA4043">
        <v>9</v>
      </c>
      <c r="AB4043">
        <v>9</v>
      </c>
      <c r="AC4043" t="s">
        <v>310</v>
      </c>
      <c r="AD4043">
        <v>9</v>
      </c>
      <c r="AE4043" t="s">
        <v>1417</v>
      </c>
      <c r="AF4043">
        <v>50000000</v>
      </c>
      <c r="AG4043" t="s">
        <v>310</v>
      </c>
      <c r="AH4043">
        <f>SUM((MID(Dyno_Data[[#This Row],[Team]],4,5))+(Dyno_Data[[#This Row],[Match]]/100))</f>
        <v>3171.72</v>
      </c>
      <c r="AI4043" s="76">
        <f>ROUND(SUM(IF(Dyno_Data[[#This Row],[AcqCenter]]&gt;0,Dyno_Data[[#This Row],[Time]]-SUMIFS(Dyno_Data[Time],Dyno_Data[Team],Dyno_Data[[#This Row],[Team]],Dyno_Data[RecordType],"StartMatch",Dyno_Data[Match],Dyno_Data[[#This Row],[Match]]),0)*86400),0)</f>
        <v>0</v>
      </c>
    </row>
    <row r="4044" spans="1:35" x14ac:dyDescent="0.3">
      <c r="A4044">
        <v>4043</v>
      </c>
      <c r="B4044" t="s">
        <v>1296</v>
      </c>
      <c r="C4044">
        <v>72</v>
      </c>
      <c r="D4044" s="105">
        <v>45374.465077928238</v>
      </c>
      <c r="E4044" t="s">
        <v>312</v>
      </c>
      <c r="F4044" t="s">
        <v>1402</v>
      </c>
      <c r="G4044">
        <v>0</v>
      </c>
      <c r="H4044" t="s">
        <v>315</v>
      </c>
      <c r="I4044">
        <v>0</v>
      </c>
      <c r="J4044">
        <v>0</v>
      </c>
      <c r="K4044">
        <v>0</v>
      </c>
      <c r="L4044" t="s">
        <v>241</v>
      </c>
      <c r="M4044" t="s">
        <v>241</v>
      </c>
      <c r="N4044">
        <v>1</v>
      </c>
      <c r="O4044" t="s">
        <v>1389</v>
      </c>
      <c r="P4044" t="s">
        <v>310</v>
      </c>
      <c r="Q4044" t="s">
        <v>310</v>
      </c>
      <c r="R4044" t="s">
        <v>310</v>
      </c>
      <c r="S4044">
        <v>9</v>
      </c>
      <c r="T4044" t="s">
        <v>310</v>
      </c>
      <c r="U4044">
        <v>9</v>
      </c>
      <c r="V4044">
        <v>9</v>
      </c>
      <c r="W4044">
        <v>0</v>
      </c>
      <c r="X4044">
        <v>0</v>
      </c>
      <c r="Y4044">
        <v>0</v>
      </c>
      <c r="Z4044">
        <v>0</v>
      </c>
      <c r="AA4044">
        <v>9</v>
      </c>
      <c r="AB4044">
        <v>9</v>
      </c>
      <c r="AC4044" t="s">
        <v>310</v>
      </c>
      <c r="AD4044">
        <v>9</v>
      </c>
      <c r="AE4044" t="s">
        <v>1412</v>
      </c>
      <c r="AF4044">
        <v>90000000</v>
      </c>
      <c r="AG4044" t="s">
        <v>310</v>
      </c>
      <c r="AH4044">
        <f>SUM((MID(Dyno_Data[[#This Row],[Team]],4,5))+(Dyno_Data[[#This Row],[Match]]/100))</f>
        <v>3003.72</v>
      </c>
      <c r="AI4044" s="76">
        <f>ROUND(SUM(IF(Dyno_Data[[#This Row],[AcqCenter]]&gt;0,Dyno_Data[[#This Row],[Time]]-SUMIFS(Dyno_Data[Time],Dyno_Data[Team],Dyno_Data[[#This Row],[Team]],Dyno_Data[RecordType],"StartMatch",Dyno_Data[Match],Dyno_Data[[#This Row],[Match]]),0)*86400),0)</f>
        <v>0</v>
      </c>
    </row>
    <row r="4045" spans="1:35" x14ac:dyDescent="0.3">
      <c r="A4045">
        <v>4044</v>
      </c>
      <c r="B4045" t="s">
        <v>1296</v>
      </c>
      <c r="C4045">
        <v>72</v>
      </c>
      <c r="D4045" s="105">
        <v>45374.465343865741</v>
      </c>
      <c r="E4045" t="s">
        <v>312</v>
      </c>
      <c r="F4045" t="s">
        <v>1402</v>
      </c>
      <c r="G4045">
        <v>0</v>
      </c>
      <c r="H4045" t="s">
        <v>315</v>
      </c>
      <c r="I4045">
        <v>0</v>
      </c>
      <c r="J4045">
        <v>0</v>
      </c>
      <c r="K4045">
        <v>0</v>
      </c>
      <c r="L4045" t="s">
        <v>241</v>
      </c>
      <c r="M4045" t="s">
        <v>1398</v>
      </c>
      <c r="N4045">
        <v>0</v>
      </c>
      <c r="O4045" t="s">
        <v>1389</v>
      </c>
      <c r="P4045" t="s">
        <v>310</v>
      </c>
      <c r="Q4045" t="s">
        <v>310</v>
      </c>
      <c r="R4045" t="s">
        <v>310</v>
      </c>
      <c r="S4045">
        <v>9</v>
      </c>
      <c r="T4045" t="s">
        <v>310</v>
      </c>
      <c r="U4045">
        <v>9</v>
      </c>
      <c r="V4045">
        <v>9</v>
      </c>
      <c r="W4045">
        <v>0</v>
      </c>
      <c r="X4045">
        <v>0</v>
      </c>
      <c r="Y4045">
        <v>0</v>
      </c>
      <c r="Z4045">
        <v>0</v>
      </c>
      <c r="AA4045">
        <v>9</v>
      </c>
      <c r="AB4045">
        <v>9</v>
      </c>
      <c r="AC4045" t="s">
        <v>310</v>
      </c>
      <c r="AD4045">
        <v>9</v>
      </c>
      <c r="AE4045" t="s">
        <v>1412</v>
      </c>
      <c r="AF4045">
        <v>100000000</v>
      </c>
      <c r="AG4045" t="s">
        <v>310</v>
      </c>
      <c r="AH4045">
        <f>SUM((MID(Dyno_Data[[#This Row],[Team]],4,5))+(Dyno_Data[[#This Row],[Match]]/100))</f>
        <v>3003.72</v>
      </c>
      <c r="AI4045" s="76">
        <f>ROUND(SUM(IF(Dyno_Data[[#This Row],[AcqCenter]]&gt;0,Dyno_Data[[#This Row],[Time]]-SUMIFS(Dyno_Data[Time],Dyno_Data[Team],Dyno_Data[[#This Row],[Team]],Dyno_Data[RecordType],"StartMatch",Dyno_Data[Match],Dyno_Data[[#This Row],[Match]]),0)*86400),0)</f>
        <v>0</v>
      </c>
    </row>
    <row r="4046" spans="1:35" x14ac:dyDescent="0.3">
      <c r="A4046">
        <v>4045</v>
      </c>
      <c r="B4046" t="s">
        <v>1284</v>
      </c>
      <c r="C4046">
        <v>72</v>
      </c>
      <c r="D4046" s="105">
        <v>45374.466052002317</v>
      </c>
      <c r="E4046" t="s">
        <v>1403</v>
      </c>
      <c r="F4046" t="s">
        <v>317</v>
      </c>
      <c r="G4046">
        <v>0</v>
      </c>
      <c r="H4046" t="s">
        <v>310</v>
      </c>
      <c r="I4046">
        <v>0</v>
      </c>
      <c r="J4046">
        <v>0</v>
      </c>
      <c r="K4046">
        <v>0</v>
      </c>
      <c r="L4046" t="s">
        <v>310</v>
      </c>
      <c r="M4046" t="s">
        <v>310</v>
      </c>
      <c r="N4046">
        <v>0</v>
      </c>
      <c r="O4046" t="s">
        <v>1393</v>
      </c>
      <c r="P4046" t="s">
        <v>310</v>
      </c>
      <c r="Q4046" t="s">
        <v>310</v>
      </c>
      <c r="R4046" t="s">
        <v>310</v>
      </c>
      <c r="S4046">
        <v>9</v>
      </c>
      <c r="T4046" t="s">
        <v>310</v>
      </c>
      <c r="U4046">
        <v>9</v>
      </c>
      <c r="V4046">
        <v>9</v>
      </c>
      <c r="W4046">
        <v>0</v>
      </c>
      <c r="X4046">
        <v>0</v>
      </c>
      <c r="Y4046">
        <v>0</v>
      </c>
      <c r="Z4046">
        <v>0</v>
      </c>
      <c r="AA4046">
        <v>9</v>
      </c>
      <c r="AB4046">
        <v>9</v>
      </c>
      <c r="AC4046" t="s">
        <v>310</v>
      </c>
      <c r="AD4046">
        <v>9</v>
      </c>
      <c r="AE4046" t="s">
        <v>1413</v>
      </c>
      <c r="AF4046">
        <v>100000000</v>
      </c>
      <c r="AG4046" t="s">
        <v>258</v>
      </c>
      <c r="AH4046">
        <f>SUM((MID(Dyno_Data[[#This Row],[Team]],4,5))+(Dyno_Data[[#This Row],[Match]]/100))</f>
        <v>5590.72</v>
      </c>
      <c r="AI4046" s="76">
        <f>ROUND(SUM(IF(Dyno_Data[[#This Row],[AcqCenter]]&gt;0,Dyno_Data[[#This Row],[Time]]-SUMIFS(Dyno_Data[Time],Dyno_Data[Team],Dyno_Data[[#This Row],[Team]],Dyno_Data[RecordType],"StartMatch",Dyno_Data[Match],Dyno_Data[[#This Row],[Match]]),0)*86400),0)</f>
        <v>0</v>
      </c>
    </row>
    <row r="4047" spans="1:35" x14ac:dyDescent="0.3">
      <c r="A4047">
        <v>4046</v>
      </c>
      <c r="B4047" t="s">
        <v>1311</v>
      </c>
      <c r="C4047">
        <v>72</v>
      </c>
      <c r="D4047" s="105">
        <v>45374.466070289353</v>
      </c>
      <c r="E4047" t="s">
        <v>1403</v>
      </c>
      <c r="F4047" t="s">
        <v>317</v>
      </c>
      <c r="G4047">
        <v>0</v>
      </c>
      <c r="H4047" t="s">
        <v>310</v>
      </c>
      <c r="I4047">
        <v>0</v>
      </c>
      <c r="J4047">
        <v>0</v>
      </c>
      <c r="K4047">
        <v>0</v>
      </c>
      <c r="L4047" t="s">
        <v>310</v>
      </c>
      <c r="M4047" t="s">
        <v>310</v>
      </c>
      <c r="N4047">
        <v>0</v>
      </c>
      <c r="O4047" t="s">
        <v>311</v>
      </c>
      <c r="P4047" t="s">
        <v>310</v>
      </c>
      <c r="Q4047" t="s">
        <v>310</v>
      </c>
      <c r="R4047" t="s">
        <v>310</v>
      </c>
      <c r="S4047">
        <v>9</v>
      </c>
      <c r="T4047" t="s">
        <v>310</v>
      </c>
      <c r="U4047">
        <v>9</v>
      </c>
      <c r="V4047">
        <v>9</v>
      </c>
      <c r="W4047">
        <v>0</v>
      </c>
      <c r="X4047">
        <v>0</v>
      </c>
      <c r="Y4047">
        <v>0</v>
      </c>
      <c r="Z4047">
        <v>0</v>
      </c>
      <c r="AA4047">
        <v>9</v>
      </c>
      <c r="AB4047">
        <v>9</v>
      </c>
      <c r="AC4047" t="s">
        <v>310</v>
      </c>
      <c r="AD4047">
        <v>9</v>
      </c>
      <c r="AE4047" t="s">
        <v>1418</v>
      </c>
      <c r="AF4047">
        <v>100000000</v>
      </c>
      <c r="AG4047" t="s">
        <v>252</v>
      </c>
      <c r="AH4047">
        <f>SUM((MID(Dyno_Data[[#This Row],[Team]],4,5))+(Dyno_Data[[#This Row],[Match]]/100))</f>
        <v>2234.7199999999998</v>
      </c>
      <c r="AI4047" s="76">
        <f>ROUND(SUM(IF(Dyno_Data[[#This Row],[AcqCenter]]&gt;0,Dyno_Data[[#This Row],[Time]]-SUMIFS(Dyno_Data[Time],Dyno_Data[Team],Dyno_Data[[#This Row],[Team]],Dyno_Data[RecordType],"StartMatch",Dyno_Data[Match],Dyno_Data[[#This Row],[Match]]),0)*86400),0)</f>
        <v>0</v>
      </c>
    </row>
    <row r="4048" spans="1:35" x14ac:dyDescent="0.3">
      <c r="A4048">
        <v>4047</v>
      </c>
      <c r="B4048" t="s">
        <v>1311</v>
      </c>
      <c r="C4048">
        <v>72</v>
      </c>
      <c r="D4048" s="105">
        <v>45374.466399618053</v>
      </c>
      <c r="E4048" t="s">
        <v>316</v>
      </c>
      <c r="F4048" t="s">
        <v>317</v>
      </c>
      <c r="G4048">
        <v>1</v>
      </c>
      <c r="H4048" t="s">
        <v>310</v>
      </c>
      <c r="I4048">
        <v>0</v>
      </c>
      <c r="J4048">
        <v>0</v>
      </c>
      <c r="K4048">
        <v>0</v>
      </c>
      <c r="L4048" t="s">
        <v>310</v>
      </c>
      <c r="M4048" t="s">
        <v>310</v>
      </c>
      <c r="N4048">
        <v>0</v>
      </c>
      <c r="O4048" t="s">
        <v>311</v>
      </c>
      <c r="P4048" t="s">
        <v>101</v>
      </c>
      <c r="Q4048" t="s">
        <v>1400</v>
      </c>
      <c r="R4048" t="s">
        <v>1404</v>
      </c>
      <c r="S4048">
        <v>0</v>
      </c>
      <c r="T4048" t="s">
        <v>105</v>
      </c>
      <c r="U4048">
        <v>9</v>
      </c>
      <c r="V4048">
        <v>9</v>
      </c>
      <c r="W4048">
        <v>0</v>
      </c>
      <c r="X4048">
        <v>41.690499299999999</v>
      </c>
      <c r="Y4048">
        <v>12.489763</v>
      </c>
      <c r="Z4048">
        <v>82.556450400000003</v>
      </c>
      <c r="AA4048">
        <v>0</v>
      </c>
      <c r="AB4048">
        <v>0</v>
      </c>
      <c r="AC4048" t="s">
        <v>173</v>
      </c>
      <c r="AD4048">
        <v>9</v>
      </c>
      <c r="AE4048" t="s">
        <v>1418</v>
      </c>
      <c r="AF4048">
        <v>100000</v>
      </c>
      <c r="AG4048" t="s">
        <v>310</v>
      </c>
      <c r="AH4048">
        <f>SUM((MID(Dyno_Data[[#This Row],[Team]],4,5))+(Dyno_Data[[#This Row],[Match]]/100))</f>
        <v>2234.7199999999998</v>
      </c>
      <c r="AI4048" s="76">
        <f>ROUND(SUM(IF(Dyno_Data[[#This Row],[AcqCenter]]&gt;0,Dyno_Data[[#This Row],[Time]]-SUMIFS(Dyno_Data[Time],Dyno_Data[Team],Dyno_Data[[#This Row],[Team]],Dyno_Data[RecordType],"StartMatch",Dyno_Data[Match],Dyno_Data[[#This Row],[Match]]),0)*86400),0)</f>
        <v>0</v>
      </c>
    </row>
    <row r="4049" spans="1:35" x14ac:dyDescent="0.3">
      <c r="A4049">
        <v>4048</v>
      </c>
      <c r="B4049" t="s">
        <v>361</v>
      </c>
      <c r="C4049">
        <v>72</v>
      </c>
      <c r="D4049" s="105">
        <v>45374.466399733799</v>
      </c>
      <c r="E4049" t="s">
        <v>316</v>
      </c>
      <c r="F4049" t="s">
        <v>317</v>
      </c>
      <c r="G4049">
        <v>1</v>
      </c>
      <c r="H4049" t="s">
        <v>310</v>
      </c>
      <c r="I4049">
        <v>0</v>
      </c>
      <c r="J4049">
        <v>0</v>
      </c>
      <c r="K4049">
        <v>0</v>
      </c>
      <c r="L4049" t="s">
        <v>310</v>
      </c>
      <c r="M4049" t="s">
        <v>310</v>
      </c>
      <c r="N4049">
        <v>0</v>
      </c>
      <c r="O4049" t="s">
        <v>1391</v>
      </c>
      <c r="P4049" t="s">
        <v>1401</v>
      </c>
      <c r="Q4049" t="s">
        <v>1400</v>
      </c>
      <c r="R4049" t="s">
        <v>1404</v>
      </c>
      <c r="S4049">
        <v>0</v>
      </c>
      <c r="T4049" t="s">
        <v>105</v>
      </c>
      <c r="U4049">
        <v>9</v>
      </c>
      <c r="V4049">
        <v>9</v>
      </c>
      <c r="W4049">
        <v>0</v>
      </c>
      <c r="X4049">
        <v>28.5761255</v>
      </c>
      <c r="Y4049">
        <v>60.2838274</v>
      </c>
      <c r="Z4049">
        <v>46.4049859</v>
      </c>
      <c r="AA4049">
        <v>0</v>
      </c>
      <c r="AB4049">
        <v>0</v>
      </c>
      <c r="AC4049" t="s">
        <v>174</v>
      </c>
      <c r="AD4049">
        <v>9</v>
      </c>
      <c r="AE4049" t="s">
        <v>1416</v>
      </c>
      <c r="AF4049">
        <v>60001000</v>
      </c>
      <c r="AG4049" t="s">
        <v>310</v>
      </c>
      <c r="AH4049">
        <f>SUM((MID(Dyno_Data[[#This Row],[Team]],4,5))+(Dyno_Data[[#This Row],[Match]]/100))</f>
        <v>20.72</v>
      </c>
      <c r="AI4049" s="76">
        <f>ROUND(SUM(IF(Dyno_Data[[#This Row],[AcqCenter]]&gt;0,Dyno_Data[[#This Row],[Time]]-SUMIFS(Dyno_Data[Time],Dyno_Data[Team],Dyno_Data[[#This Row],[Team]],Dyno_Data[RecordType],"StartMatch",Dyno_Data[Match],Dyno_Data[[#This Row],[Match]]),0)*86400),0)</f>
        <v>0</v>
      </c>
    </row>
    <row r="4050" spans="1:35" x14ac:dyDescent="0.3">
      <c r="A4050">
        <v>4049</v>
      </c>
      <c r="B4050" t="s">
        <v>365</v>
      </c>
      <c r="C4050">
        <v>72</v>
      </c>
      <c r="D4050" s="105">
        <v>45374.466399803241</v>
      </c>
      <c r="E4050" t="s">
        <v>316</v>
      </c>
      <c r="F4050" t="s">
        <v>317</v>
      </c>
      <c r="G4050">
        <v>0</v>
      </c>
      <c r="H4050" t="s">
        <v>310</v>
      </c>
      <c r="I4050">
        <v>0</v>
      </c>
      <c r="J4050">
        <v>0</v>
      </c>
      <c r="K4050">
        <v>0</v>
      </c>
      <c r="L4050" t="s">
        <v>310</v>
      </c>
      <c r="M4050" t="s">
        <v>310</v>
      </c>
      <c r="N4050">
        <v>0</v>
      </c>
      <c r="O4050" t="s">
        <v>319</v>
      </c>
      <c r="P4050" t="s">
        <v>240</v>
      </c>
      <c r="Q4050" t="s">
        <v>1399</v>
      </c>
      <c r="R4050" t="s">
        <v>1405</v>
      </c>
      <c r="S4050">
        <v>1</v>
      </c>
      <c r="T4050" t="s">
        <v>1406</v>
      </c>
      <c r="U4050">
        <v>0</v>
      </c>
      <c r="V4050">
        <v>1</v>
      </c>
      <c r="W4050">
        <v>13.5096042</v>
      </c>
      <c r="X4050">
        <v>32.641095299999996</v>
      </c>
      <c r="Y4050">
        <v>17.963912199999999</v>
      </c>
      <c r="Z4050">
        <v>65.941638999999995</v>
      </c>
      <c r="AA4050">
        <v>0</v>
      </c>
      <c r="AB4050">
        <v>0</v>
      </c>
      <c r="AC4050" t="s">
        <v>174</v>
      </c>
      <c r="AD4050">
        <v>1</v>
      </c>
      <c r="AE4050" t="s">
        <v>1417</v>
      </c>
      <c r="AF4050">
        <v>50000000</v>
      </c>
      <c r="AG4050" t="s">
        <v>310</v>
      </c>
      <c r="AH4050">
        <f>SUM((MID(Dyno_Data[[#This Row],[Team]],4,5))+(Dyno_Data[[#This Row],[Match]]/100))</f>
        <v>3171.72</v>
      </c>
      <c r="AI4050" s="76">
        <f>ROUND(SUM(IF(Dyno_Data[[#This Row],[AcqCenter]]&gt;0,Dyno_Data[[#This Row],[Time]]-SUMIFS(Dyno_Data[Time],Dyno_Data[Team],Dyno_Data[[#This Row],[Team]],Dyno_Data[RecordType],"StartMatch",Dyno_Data[Match],Dyno_Data[[#This Row],[Match]]),0)*86400),0)</f>
        <v>0</v>
      </c>
    </row>
    <row r="4051" spans="1:35" x14ac:dyDescent="0.3">
      <c r="A4051">
        <v>4050</v>
      </c>
      <c r="B4051" t="s">
        <v>1284</v>
      </c>
      <c r="C4051">
        <v>72</v>
      </c>
      <c r="D4051" s="105">
        <v>45374.46639991898</v>
      </c>
      <c r="E4051" t="s">
        <v>316</v>
      </c>
      <c r="F4051" t="s">
        <v>317</v>
      </c>
      <c r="G4051">
        <v>1</v>
      </c>
      <c r="H4051" t="s">
        <v>310</v>
      </c>
      <c r="I4051">
        <v>0</v>
      </c>
      <c r="J4051">
        <v>0</v>
      </c>
      <c r="K4051">
        <v>0</v>
      </c>
      <c r="L4051" t="s">
        <v>310</v>
      </c>
      <c r="M4051" t="s">
        <v>310</v>
      </c>
      <c r="N4051">
        <v>0</v>
      </c>
      <c r="O4051" t="s">
        <v>1393</v>
      </c>
      <c r="P4051" t="s">
        <v>1401</v>
      </c>
      <c r="Q4051" t="s">
        <v>1399</v>
      </c>
      <c r="R4051" t="s">
        <v>1404</v>
      </c>
      <c r="S4051">
        <v>-1</v>
      </c>
      <c r="T4051" t="s">
        <v>105</v>
      </c>
      <c r="U4051">
        <v>9</v>
      </c>
      <c r="V4051">
        <v>9</v>
      </c>
      <c r="W4051">
        <v>7.4175703999999998</v>
      </c>
      <c r="X4051">
        <v>38.3290863</v>
      </c>
      <c r="Y4051">
        <v>16.944041500000001</v>
      </c>
      <c r="Z4051">
        <v>72.960456499999992</v>
      </c>
      <c r="AA4051">
        <v>0</v>
      </c>
      <c r="AB4051">
        <v>0</v>
      </c>
      <c r="AC4051" t="s">
        <v>174</v>
      </c>
      <c r="AD4051">
        <v>0</v>
      </c>
      <c r="AE4051" t="s">
        <v>1413</v>
      </c>
      <c r="AF4051">
        <v>50100000</v>
      </c>
      <c r="AG4051" t="s">
        <v>310</v>
      </c>
      <c r="AH4051">
        <f>SUM((MID(Dyno_Data[[#This Row],[Team]],4,5))+(Dyno_Data[[#This Row],[Match]]/100))</f>
        <v>5590.72</v>
      </c>
      <c r="AI4051" s="76">
        <f>ROUND(SUM(IF(Dyno_Data[[#This Row],[AcqCenter]]&gt;0,Dyno_Data[[#This Row],[Time]]-SUMIFS(Dyno_Data[Time],Dyno_Data[Team],Dyno_Data[[#This Row],[Team]],Dyno_Data[RecordType],"StartMatch",Dyno_Data[Match],Dyno_Data[[#This Row],[Match]]),0)*86400),0)</f>
        <v>0</v>
      </c>
    </row>
    <row r="4052" spans="1:35" x14ac:dyDescent="0.3">
      <c r="A4052">
        <v>4051</v>
      </c>
      <c r="B4052" t="s">
        <v>1296</v>
      </c>
      <c r="C4052">
        <v>72</v>
      </c>
      <c r="D4052" s="105">
        <v>45374.46639991898</v>
      </c>
      <c r="E4052" t="s">
        <v>316</v>
      </c>
      <c r="F4052" t="s">
        <v>317</v>
      </c>
      <c r="G4052">
        <v>1</v>
      </c>
      <c r="H4052" t="s">
        <v>310</v>
      </c>
      <c r="I4052">
        <v>0</v>
      </c>
      <c r="J4052">
        <v>0</v>
      </c>
      <c r="K4052">
        <v>0</v>
      </c>
      <c r="L4052" t="s">
        <v>310</v>
      </c>
      <c r="M4052" t="s">
        <v>310</v>
      </c>
      <c r="N4052">
        <v>0</v>
      </c>
      <c r="O4052" t="s">
        <v>1389</v>
      </c>
      <c r="P4052" t="s">
        <v>240</v>
      </c>
      <c r="Q4052" t="s">
        <v>1400</v>
      </c>
      <c r="R4052" t="s">
        <v>1404</v>
      </c>
      <c r="S4052">
        <v>0</v>
      </c>
      <c r="T4052" t="s">
        <v>105</v>
      </c>
      <c r="U4052">
        <v>9</v>
      </c>
      <c r="V4052">
        <v>9</v>
      </c>
      <c r="W4052">
        <v>0</v>
      </c>
      <c r="X4052">
        <v>22.420525999999999</v>
      </c>
      <c r="Y4052">
        <v>35.165785999999997</v>
      </c>
      <c r="Z4052">
        <v>78.28951099999999</v>
      </c>
      <c r="AA4052">
        <v>0</v>
      </c>
      <c r="AB4052">
        <v>1</v>
      </c>
      <c r="AC4052" t="s">
        <v>174</v>
      </c>
      <c r="AD4052">
        <v>9</v>
      </c>
      <c r="AE4052" t="s">
        <v>1412</v>
      </c>
      <c r="AF4052">
        <v>100000000</v>
      </c>
      <c r="AG4052" t="s">
        <v>310</v>
      </c>
      <c r="AH4052">
        <f>SUM((MID(Dyno_Data[[#This Row],[Team]],4,5))+(Dyno_Data[[#This Row],[Match]]/100))</f>
        <v>3003.72</v>
      </c>
      <c r="AI4052" s="76">
        <f>ROUND(SUM(IF(Dyno_Data[[#This Row],[AcqCenter]]&gt;0,Dyno_Data[[#This Row],[Time]]-SUMIFS(Dyno_Data[Time],Dyno_Data[Team],Dyno_Data[[#This Row],[Team]],Dyno_Data[RecordType],"StartMatch",Dyno_Data[Match],Dyno_Data[[#This Row],[Match]]),0)*86400),0)</f>
        <v>0</v>
      </c>
    </row>
    <row r="4053" spans="1:35" x14ac:dyDescent="0.3">
      <c r="A4053">
        <v>4052</v>
      </c>
      <c r="B4053" t="s">
        <v>369</v>
      </c>
      <c r="C4053">
        <v>72</v>
      </c>
      <c r="D4053" s="105">
        <v>45374.466400081015</v>
      </c>
      <c r="E4053" t="s">
        <v>316</v>
      </c>
      <c r="F4053" t="s">
        <v>317</v>
      </c>
      <c r="G4053">
        <v>0</v>
      </c>
      <c r="H4053" t="s">
        <v>310</v>
      </c>
      <c r="I4053">
        <v>0</v>
      </c>
      <c r="J4053">
        <v>0</v>
      </c>
      <c r="K4053">
        <v>0</v>
      </c>
      <c r="L4053" t="s">
        <v>310</v>
      </c>
      <c r="M4053" t="s">
        <v>310</v>
      </c>
      <c r="N4053">
        <v>0</v>
      </c>
      <c r="O4053" t="s">
        <v>1395</v>
      </c>
      <c r="P4053" t="s">
        <v>320</v>
      </c>
      <c r="Q4053" t="s">
        <v>1399</v>
      </c>
      <c r="R4053" t="s">
        <v>1404</v>
      </c>
      <c r="S4053">
        <v>-1</v>
      </c>
      <c r="T4053" t="s">
        <v>105</v>
      </c>
      <c r="U4053">
        <v>9</v>
      </c>
      <c r="V4053">
        <v>9</v>
      </c>
      <c r="W4053">
        <v>2.1313133</v>
      </c>
      <c r="X4053">
        <v>0</v>
      </c>
      <c r="Y4053">
        <v>17.111178799999998</v>
      </c>
      <c r="Z4053">
        <v>118.83054089999999</v>
      </c>
      <c r="AA4053">
        <v>1</v>
      </c>
      <c r="AB4053">
        <v>0</v>
      </c>
      <c r="AC4053" t="s">
        <v>174</v>
      </c>
      <c r="AD4053">
        <v>0</v>
      </c>
      <c r="AE4053" t="s">
        <v>1414</v>
      </c>
      <c r="AF4053">
        <v>0</v>
      </c>
      <c r="AG4053" t="s">
        <v>310</v>
      </c>
      <c r="AH4053">
        <f>SUM((MID(Dyno_Data[[#This Row],[Team]],4,5))+(Dyno_Data[[#This Row],[Match]]/100))</f>
        <v>6463.72</v>
      </c>
      <c r="AI4053" s="76">
        <f>ROUND(SUM(IF(Dyno_Data[[#This Row],[AcqCenter]]&gt;0,Dyno_Data[[#This Row],[Time]]-SUMIFS(Dyno_Data[Time],Dyno_Data[Team],Dyno_Data[[#This Row],[Team]],Dyno_Data[RecordType],"StartMatch",Dyno_Data[Match],Dyno_Data[[#This Row],[Match]]),0)*86400),0)</f>
        <v>0</v>
      </c>
    </row>
    <row r="4054" spans="1:35" x14ac:dyDescent="0.3">
      <c r="A4054">
        <v>4063</v>
      </c>
      <c r="B4054" t="s">
        <v>1303</v>
      </c>
      <c r="C4054">
        <v>73</v>
      </c>
      <c r="D4054" s="105">
        <v>45374.470233217595</v>
      </c>
      <c r="E4054" t="s">
        <v>308</v>
      </c>
      <c r="F4054" t="s">
        <v>309</v>
      </c>
      <c r="G4054">
        <v>0</v>
      </c>
      <c r="H4054" t="s">
        <v>310</v>
      </c>
      <c r="I4054">
        <v>0</v>
      </c>
      <c r="J4054">
        <v>0</v>
      </c>
      <c r="K4054">
        <v>0</v>
      </c>
      <c r="L4054" t="s">
        <v>310</v>
      </c>
      <c r="M4054" t="s">
        <v>310</v>
      </c>
      <c r="N4054">
        <v>0</v>
      </c>
      <c r="O4054" t="s">
        <v>1389</v>
      </c>
      <c r="P4054" t="s">
        <v>310</v>
      </c>
      <c r="Q4054" t="s">
        <v>310</v>
      </c>
      <c r="R4054" t="s">
        <v>310</v>
      </c>
      <c r="S4054">
        <v>9</v>
      </c>
      <c r="T4054" t="s">
        <v>310</v>
      </c>
      <c r="U4054">
        <v>9</v>
      </c>
      <c r="V4054">
        <v>9</v>
      </c>
      <c r="W4054">
        <v>0</v>
      </c>
      <c r="X4054">
        <v>0</v>
      </c>
      <c r="Y4054">
        <v>0</v>
      </c>
      <c r="Z4054">
        <v>0</v>
      </c>
      <c r="AA4054">
        <v>9</v>
      </c>
      <c r="AB4054">
        <v>9</v>
      </c>
      <c r="AC4054" t="s">
        <v>310</v>
      </c>
      <c r="AD4054">
        <v>9</v>
      </c>
      <c r="AE4054" t="s">
        <v>1412</v>
      </c>
      <c r="AF4054">
        <v>0</v>
      </c>
      <c r="AG4054" t="s">
        <v>310</v>
      </c>
      <c r="AH4054">
        <f>SUM((MID(Dyno_Data[[#This Row],[Team]],4,5))+(Dyno_Data[[#This Row],[Match]]/100))</f>
        <v>7605.73</v>
      </c>
      <c r="AI4054" s="76">
        <f>ROUND(SUM(IF(Dyno_Data[[#This Row],[AcqCenter]]&gt;0,Dyno_Data[[#This Row],[Time]]-SUMIFS(Dyno_Data[Time],Dyno_Data[Team],Dyno_Data[[#This Row],[Team]],Dyno_Data[RecordType],"StartMatch",Dyno_Data[Match],Dyno_Data[[#This Row],[Match]]),0)*86400),0)</f>
        <v>0</v>
      </c>
    </row>
    <row r="4055" spans="1:35" x14ac:dyDescent="0.3">
      <c r="A4055">
        <v>4065</v>
      </c>
      <c r="B4055" t="s">
        <v>1309</v>
      </c>
      <c r="C4055">
        <v>73</v>
      </c>
      <c r="D4055" s="105">
        <v>45374.47023900463</v>
      </c>
      <c r="E4055" t="s">
        <v>308</v>
      </c>
      <c r="F4055" t="s">
        <v>309</v>
      </c>
      <c r="G4055">
        <v>0</v>
      </c>
      <c r="H4055" t="s">
        <v>310</v>
      </c>
      <c r="I4055">
        <v>0</v>
      </c>
      <c r="J4055">
        <v>0</v>
      </c>
      <c r="K4055">
        <v>0</v>
      </c>
      <c r="L4055" t="s">
        <v>310</v>
      </c>
      <c r="M4055" t="s">
        <v>310</v>
      </c>
      <c r="N4055">
        <v>0</v>
      </c>
      <c r="O4055" t="s">
        <v>1395</v>
      </c>
      <c r="P4055" t="s">
        <v>310</v>
      </c>
      <c r="Q4055" t="s">
        <v>310</v>
      </c>
      <c r="R4055" t="s">
        <v>310</v>
      </c>
      <c r="S4055">
        <v>9</v>
      </c>
      <c r="T4055" t="s">
        <v>310</v>
      </c>
      <c r="U4055">
        <v>9</v>
      </c>
      <c r="V4055">
        <v>9</v>
      </c>
      <c r="W4055">
        <v>0</v>
      </c>
      <c r="X4055">
        <v>0</v>
      </c>
      <c r="Y4055">
        <v>0</v>
      </c>
      <c r="Z4055">
        <v>0</v>
      </c>
      <c r="AA4055">
        <v>9</v>
      </c>
      <c r="AB4055">
        <v>9</v>
      </c>
      <c r="AC4055" t="s">
        <v>310</v>
      </c>
      <c r="AD4055">
        <v>9</v>
      </c>
      <c r="AE4055" t="s">
        <v>1417</v>
      </c>
      <c r="AF4055">
        <v>0</v>
      </c>
      <c r="AG4055" t="s">
        <v>310</v>
      </c>
      <c r="AH4055">
        <f>SUM((MID(Dyno_Data[[#This Row],[Team]],4,5))+(Dyno_Data[[#This Row],[Match]]/100))</f>
        <v>3550.73</v>
      </c>
      <c r="AI4055" s="76">
        <f>ROUND(SUM(IF(Dyno_Data[[#This Row],[AcqCenter]]&gt;0,Dyno_Data[[#This Row],[Time]]-SUMIFS(Dyno_Data[Time],Dyno_Data[Team],Dyno_Data[[#This Row],[Team]],Dyno_Data[RecordType],"StartMatch",Dyno_Data[Match],Dyno_Data[[#This Row],[Match]]),0)*86400),0)</f>
        <v>0</v>
      </c>
    </row>
    <row r="4056" spans="1:35" x14ac:dyDescent="0.3">
      <c r="A4056">
        <v>4067</v>
      </c>
      <c r="B4056" t="s">
        <v>1297</v>
      </c>
      <c r="C4056">
        <v>73</v>
      </c>
      <c r="D4056" s="105">
        <v>45374.470239664355</v>
      </c>
      <c r="E4056" t="s">
        <v>308</v>
      </c>
      <c r="F4056" t="s">
        <v>309</v>
      </c>
      <c r="G4056">
        <v>0</v>
      </c>
      <c r="H4056" t="s">
        <v>310</v>
      </c>
      <c r="I4056">
        <v>0</v>
      </c>
      <c r="J4056">
        <v>0</v>
      </c>
      <c r="K4056">
        <v>0</v>
      </c>
      <c r="L4056" t="s">
        <v>310</v>
      </c>
      <c r="M4056" t="s">
        <v>310</v>
      </c>
      <c r="N4056">
        <v>0</v>
      </c>
      <c r="O4056" t="s">
        <v>1391</v>
      </c>
      <c r="P4056" t="s">
        <v>310</v>
      </c>
      <c r="Q4056" t="s">
        <v>310</v>
      </c>
      <c r="R4056" t="s">
        <v>310</v>
      </c>
      <c r="S4056">
        <v>9</v>
      </c>
      <c r="T4056" t="s">
        <v>310</v>
      </c>
      <c r="U4056">
        <v>9</v>
      </c>
      <c r="V4056">
        <v>9</v>
      </c>
      <c r="W4056">
        <v>0</v>
      </c>
      <c r="X4056">
        <v>0</v>
      </c>
      <c r="Y4056">
        <v>0</v>
      </c>
      <c r="Z4056">
        <v>0</v>
      </c>
      <c r="AA4056">
        <v>9</v>
      </c>
      <c r="AB4056">
        <v>9</v>
      </c>
      <c r="AC4056" t="s">
        <v>310</v>
      </c>
      <c r="AD4056">
        <v>9</v>
      </c>
      <c r="AE4056" t="s">
        <v>1413</v>
      </c>
      <c r="AF4056">
        <v>0</v>
      </c>
      <c r="AG4056" t="s">
        <v>310</v>
      </c>
      <c r="AH4056">
        <f>SUM((MID(Dyno_Data[[#This Row],[Team]],4,5))+(Dyno_Data[[#This Row],[Match]]/100))</f>
        <v>9750.73</v>
      </c>
      <c r="AI4056" s="76">
        <f>ROUND(SUM(IF(Dyno_Data[[#This Row],[AcqCenter]]&gt;0,Dyno_Data[[#This Row],[Time]]-SUMIFS(Dyno_Data[Time],Dyno_Data[Team],Dyno_Data[[#This Row],[Team]],Dyno_Data[RecordType],"StartMatch",Dyno_Data[Match],Dyno_Data[[#This Row],[Match]]),0)*86400),0)</f>
        <v>0</v>
      </c>
    </row>
    <row r="4057" spans="1:35" x14ac:dyDescent="0.3">
      <c r="A4057">
        <v>4069</v>
      </c>
      <c r="B4057" t="s">
        <v>1302</v>
      </c>
      <c r="C4057">
        <v>73</v>
      </c>
      <c r="D4057" s="105">
        <v>45374.470240428243</v>
      </c>
      <c r="E4057" t="s">
        <v>308</v>
      </c>
      <c r="F4057" t="s">
        <v>309</v>
      </c>
      <c r="G4057">
        <v>0</v>
      </c>
      <c r="H4057" t="s">
        <v>310</v>
      </c>
      <c r="I4057">
        <v>0</v>
      </c>
      <c r="J4057">
        <v>0</v>
      </c>
      <c r="K4057">
        <v>0</v>
      </c>
      <c r="L4057" t="s">
        <v>310</v>
      </c>
      <c r="M4057" t="s">
        <v>310</v>
      </c>
      <c r="N4057">
        <v>0</v>
      </c>
      <c r="O4057" t="s">
        <v>311</v>
      </c>
      <c r="P4057" t="s">
        <v>310</v>
      </c>
      <c r="Q4057" t="s">
        <v>310</v>
      </c>
      <c r="R4057" t="s">
        <v>310</v>
      </c>
      <c r="S4057">
        <v>9</v>
      </c>
      <c r="T4057" t="s">
        <v>310</v>
      </c>
      <c r="U4057">
        <v>9</v>
      </c>
      <c r="V4057">
        <v>9</v>
      </c>
      <c r="W4057">
        <v>0</v>
      </c>
      <c r="X4057">
        <v>0</v>
      </c>
      <c r="Y4057">
        <v>0</v>
      </c>
      <c r="Z4057">
        <v>0</v>
      </c>
      <c r="AA4057">
        <v>9</v>
      </c>
      <c r="AB4057">
        <v>9</v>
      </c>
      <c r="AC4057" t="s">
        <v>310</v>
      </c>
      <c r="AD4057">
        <v>9</v>
      </c>
      <c r="AE4057" t="s">
        <v>1418</v>
      </c>
      <c r="AF4057">
        <v>0</v>
      </c>
      <c r="AG4057" t="s">
        <v>310</v>
      </c>
      <c r="AH4057">
        <f>SUM((MID(Dyno_Data[[#This Row],[Team]],4,5))+(Dyno_Data[[#This Row],[Match]]/100))</f>
        <v>2095.73</v>
      </c>
      <c r="AI4057" s="76">
        <f>ROUND(SUM(IF(Dyno_Data[[#This Row],[AcqCenter]]&gt;0,Dyno_Data[[#This Row],[Time]]-SUMIFS(Dyno_Data[Time],Dyno_Data[Team],Dyno_Data[[#This Row],[Team]],Dyno_Data[RecordType],"StartMatch",Dyno_Data[Match],Dyno_Data[[#This Row],[Match]]),0)*86400),0)</f>
        <v>0</v>
      </c>
    </row>
    <row r="4058" spans="1:35" x14ac:dyDescent="0.3">
      <c r="A4058">
        <v>4071</v>
      </c>
      <c r="B4058" t="s">
        <v>1308</v>
      </c>
      <c r="C4058">
        <v>73</v>
      </c>
      <c r="D4058" s="105">
        <v>45374.470241979165</v>
      </c>
      <c r="E4058" t="s">
        <v>308</v>
      </c>
      <c r="F4058" t="s">
        <v>309</v>
      </c>
      <c r="G4058">
        <v>0</v>
      </c>
      <c r="H4058" t="s">
        <v>310</v>
      </c>
      <c r="I4058">
        <v>0</v>
      </c>
      <c r="J4058">
        <v>0</v>
      </c>
      <c r="K4058">
        <v>0</v>
      </c>
      <c r="L4058" t="s">
        <v>310</v>
      </c>
      <c r="M4058" t="s">
        <v>310</v>
      </c>
      <c r="N4058">
        <v>0</v>
      </c>
      <c r="O4058" t="s">
        <v>319</v>
      </c>
      <c r="P4058" t="s">
        <v>310</v>
      </c>
      <c r="Q4058" t="s">
        <v>310</v>
      </c>
      <c r="R4058" t="s">
        <v>310</v>
      </c>
      <c r="S4058">
        <v>9</v>
      </c>
      <c r="T4058" t="s">
        <v>310</v>
      </c>
      <c r="U4058">
        <v>9</v>
      </c>
      <c r="V4058">
        <v>9</v>
      </c>
      <c r="W4058">
        <v>0</v>
      </c>
      <c r="X4058">
        <v>0</v>
      </c>
      <c r="Y4058">
        <v>0</v>
      </c>
      <c r="Z4058">
        <v>0</v>
      </c>
      <c r="AA4058">
        <v>9</v>
      </c>
      <c r="AB4058">
        <v>9</v>
      </c>
      <c r="AC4058" t="s">
        <v>310</v>
      </c>
      <c r="AD4058">
        <v>9</v>
      </c>
      <c r="AE4058" t="s">
        <v>1416</v>
      </c>
      <c r="AF4058">
        <v>10000000</v>
      </c>
      <c r="AG4058" t="s">
        <v>310</v>
      </c>
      <c r="AH4058">
        <f>SUM((MID(Dyno_Data[[#This Row],[Team]],4,5))+(Dyno_Data[[#This Row],[Match]]/100))</f>
        <v>3799.73</v>
      </c>
      <c r="AI4058" s="76">
        <f>ROUND(SUM(IF(Dyno_Data[[#This Row],[AcqCenter]]&gt;0,Dyno_Data[[#This Row],[Time]]-SUMIFS(Dyno_Data[Time],Dyno_Data[Team],Dyno_Data[[#This Row],[Team]],Dyno_Data[RecordType],"StartMatch",Dyno_Data[Match],Dyno_Data[[#This Row],[Match]]),0)*86400),0)</f>
        <v>0</v>
      </c>
    </row>
    <row r="4059" spans="1:35" x14ac:dyDescent="0.3">
      <c r="A4059">
        <v>4073</v>
      </c>
      <c r="B4059" t="s">
        <v>360</v>
      </c>
      <c r="C4059">
        <v>73</v>
      </c>
      <c r="D4059" s="105">
        <v>45374.470244872682</v>
      </c>
      <c r="E4059" t="s">
        <v>308</v>
      </c>
      <c r="F4059" t="s">
        <v>309</v>
      </c>
      <c r="G4059">
        <v>0</v>
      </c>
      <c r="H4059" t="s">
        <v>310</v>
      </c>
      <c r="I4059">
        <v>0</v>
      </c>
      <c r="J4059">
        <v>0</v>
      </c>
      <c r="K4059">
        <v>0</v>
      </c>
      <c r="L4059" t="s">
        <v>310</v>
      </c>
      <c r="M4059" t="s">
        <v>310</v>
      </c>
      <c r="N4059">
        <v>0</v>
      </c>
      <c r="O4059" t="s">
        <v>1393</v>
      </c>
      <c r="P4059" t="s">
        <v>310</v>
      </c>
      <c r="Q4059" t="s">
        <v>310</v>
      </c>
      <c r="R4059" t="s">
        <v>310</v>
      </c>
      <c r="S4059">
        <v>9</v>
      </c>
      <c r="T4059" t="s">
        <v>310</v>
      </c>
      <c r="U4059">
        <v>9</v>
      </c>
      <c r="V4059">
        <v>9</v>
      </c>
      <c r="W4059">
        <v>0</v>
      </c>
      <c r="X4059">
        <v>0</v>
      </c>
      <c r="Y4059">
        <v>0</v>
      </c>
      <c r="Z4059">
        <v>0</v>
      </c>
      <c r="AA4059">
        <v>9</v>
      </c>
      <c r="AB4059">
        <v>9</v>
      </c>
      <c r="AC4059" t="s">
        <v>310</v>
      </c>
      <c r="AD4059">
        <v>9</v>
      </c>
      <c r="AE4059" t="s">
        <v>1414</v>
      </c>
      <c r="AF4059">
        <v>20002000</v>
      </c>
      <c r="AG4059" t="s">
        <v>310</v>
      </c>
      <c r="AH4059">
        <f>SUM((MID(Dyno_Data[[#This Row],[Team]],4,5))+(Dyno_Data[[#This Row],[Match]]/100))</f>
        <v>1796.73</v>
      </c>
      <c r="AI4059" s="76">
        <f>ROUND(SUM(IF(Dyno_Data[[#This Row],[AcqCenter]]&gt;0,Dyno_Data[[#This Row],[Time]]-SUMIFS(Dyno_Data[Time],Dyno_Data[Team],Dyno_Data[[#This Row],[Team]],Dyno_Data[RecordType],"StartMatch",Dyno_Data[Match],Dyno_Data[[#This Row],[Match]]),0)*86400),0)</f>
        <v>0</v>
      </c>
    </row>
    <row r="4060" spans="1:35" x14ac:dyDescent="0.3">
      <c r="A4060">
        <v>4053</v>
      </c>
      <c r="B4060" t="s">
        <v>1308</v>
      </c>
      <c r="C4060">
        <v>73</v>
      </c>
      <c r="D4060" s="105">
        <v>45374.470253900465</v>
      </c>
      <c r="E4060" t="s">
        <v>312</v>
      </c>
      <c r="F4060" t="s">
        <v>309</v>
      </c>
      <c r="G4060">
        <v>0</v>
      </c>
      <c r="H4060" t="s">
        <v>1397</v>
      </c>
      <c r="I4060">
        <v>0</v>
      </c>
      <c r="J4060">
        <v>0</v>
      </c>
      <c r="K4060">
        <v>0</v>
      </c>
      <c r="L4060" t="s">
        <v>240</v>
      </c>
      <c r="M4060" t="s">
        <v>1398</v>
      </c>
      <c r="N4060">
        <v>0</v>
      </c>
      <c r="O4060" t="s">
        <v>319</v>
      </c>
      <c r="P4060" t="s">
        <v>310</v>
      </c>
      <c r="Q4060" t="s">
        <v>310</v>
      </c>
      <c r="R4060" t="s">
        <v>310</v>
      </c>
      <c r="S4060">
        <v>9</v>
      </c>
      <c r="T4060" t="s">
        <v>310</v>
      </c>
      <c r="U4060">
        <v>9</v>
      </c>
      <c r="V4060">
        <v>9</v>
      </c>
      <c r="W4060">
        <v>0</v>
      </c>
      <c r="X4060">
        <v>0</v>
      </c>
      <c r="Y4060">
        <v>0</v>
      </c>
      <c r="Z4060">
        <v>0</v>
      </c>
      <c r="AA4060">
        <v>9</v>
      </c>
      <c r="AB4060">
        <v>9</v>
      </c>
      <c r="AC4060" t="s">
        <v>310</v>
      </c>
      <c r="AD4060">
        <v>9</v>
      </c>
      <c r="AE4060" t="s">
        <v>1416</v>
      </c>
      <c r="AF4060">
        <v>0</v>
      </c>
      <c r="AG4060" t="s">
        <v>310</v>
      </c>
      <c r="AH4060">
        <f>SUM((MID(Dyno_Data[[#This Row],[Team]],4,5))+(Dyno_Data[[#This Row],[Match]]/100))</f>
        <v>3799.73</v>
      </c>
      <c r="AI4060" s="76">
        <f>ROUND(SUM(IF(Dyno_Data[[#This Row],[AcqCenter]]&gt;0,Dyno_Data[[#This Row],[Time]]-SUMIFS(Dyno_Data[Time],Dyno_Data[Team],Dyno_Data[[#This Row],[Team]],Dyno_Data[RecordType],"StartMatch",Dyno_Data[Match],Dyno_Data[[#This Row],[Match]]),0)*86400),0)</f>
        <v>0</v>
      </c>
    </row>
    <row r="4061" spans="1:35" x14ac:dyDescent="0.3">
      <c r="A4061">
        <v>4054</v>
      </c>
      <c r="B4061" t="s">
        <v>360</v>
      </c>
      <c r="C4061">
        <v>73</v>
      </c>
      <c r="D4061" s="105">
        <v>45374.470261805553</v>
      </c>
      <c r="E4061" t="s">
        <v>312</v>
      </c>
      <c r="F4061" t="s">
        <v>309</v>
      </c>
      <c r="G4061">
        <v>0</v>
      </c>
      <c r="H4061" t="s">
        <v>1397</v>
      </c>
      <c r="I4061">
        <v>0</v>
      </c>
      <c r="J4061">
        <v>0</v>
      </c>
      <c r="K4061">
        <v>0</v>
      </c>
      <c r="L4061" t="s">
        <v>240</v>
      </c>
      <c r="M4061" t="s">
        <v>1398</v>
      </c>
      <c r="N4061">
        <v>0</v>
      </c>
      <c r="O4061" t="s">
        <v>1393</v>
      </c>
      <c r="P4061" t="s">
        <v>310</v>
      </c>
      <c r="Q4061" t="s">
        <v>310</v>
      </c>
      <c r="R4061" t="s">
        <v>310</v>
      </c>
      <c r="S4061">
        <v>9</v>
      </c>
      <c r="T4061" t="s">
        <v>310</v>
      </c>
      <c r="U4061">
        <v>9</v>
      </c>
      <c r="V4061">
        <v>9</v>
      </c>
      <c r="W4061">
        <v>0</v>
      </c>
      <c r="X4061">
        <v>0</v>
      </c>
      <c r="Y4061">
        <v>0</v>
      </c>
      <c r="Z4061">
        <v>0</v>
      </c>
      <c r="AA4061">
        <v>9</v>
      </c>
      <c r="AB4061">
        <v>9</v>
      </c>
      <c r="AC4061" t="s">
        <v>310</v>
      </c>
      <c r="AD4061">
        <v>9</v>
      </c>
      <c r="AE4061" t="s">
        <v>1414</v>
      </c>
      <c r="AF4061">
        <v>0</v>
      </c>
      <c r="AG4061" t="s">
        <v>310</v>
      </c>
      <c r="AH4061">
        <f>SUM((MID(Dyno_Data[[#This Row],[Team]],4,5))+(Dyno_Data[[#This Row],[Match]]/100))</f>
        <v>1796.73</v>
      </c>
      <c r="AI4061" s="76">
        <f>ROUND(SUM(IF(Dyno_Data[[#This Row],[AcqCenter]]&gt;0,Dyno_Data[[#This Row],[Time]]-SUMIFS(Dyno_Data[Time],Dyno_Data[Team],Dyno_Data[[#This Row],[Team]],Dyno_Data[RecordType],"StartMatch",Dyno_Data[Match],Dyno_Data[[#This Row],[Match]]),0)*86400),0)</f>
        <v>0</v>
      </c>
    </row>
    <row r="4062" spans="1:35" x14ac:dyDescent="0.3">
      <c r="A4062">
        <v>4055</v>
      </c>
      <c r="B4062" t="s">
        <v>1303</v>
      </c>
      <c r="C4062">
        <v>73</v>
      </c>
      <c r="D4062" s="105">
        <v>45374.47026253472</v>
      </c>
      <c r="E4062" t="s">
        <v>312</v>
      </c>
      <c r="F4062" t="s">
        <v>309</v>
      </c>
      <c r="G4062">
        <v>0</v>
      </c>
      <c r="H4062" t="s">
        <v>1397</v>
      </c>
      <c r="I4062">
        <v>0</v>
      </c>
      <c r="J4062">
        <v>0</v>
      </c>
      <c r="K4062">
        <v>0</v>
      </c>
      <c r="L4062" t="s">
        <v>240</v>
      </c>
      <c r="M4062" t="s">
        <v>1398</v>
      </c>
      <c r="N4062">
        <v>0</v>
      </c>
      <c r="O4062" t="s">
        <v>1389</v>
      </c>
      <c r="P4062" t="s">
        <v>310</v>
      </c>
      <c r="Q4062" t="s">
        <v>310</v>
      </c>
      <c r="R4062" t="s">
        <v>310</v>
      </c>
      <c r="S4062">
        <v>9</v>
      </c>
      <c r="T4062" t="s">
        <v>310</v>
      </c>
      <c r="U4062">
        <v>9</v>
      </c>
      <c r="V4062">
        <v>9</v>
      </c>
      <c r="W4062">
        <v>0</v>
      </c>
      <c r="X4062">
        <v>0</v>
      </c>
      <c r="Y4062">
        <v>0</v>
      </c>
      <c r="Z4062">
        <v>0</v>
      </c>
      <c r="AA4062">
        <v>9</v>
      </c>
      <c r="AB4062">
        <v>9</v>
      </c>
      <c r="AC4062" t="s">
        <v>310</v>
      </c>
      <c r="AD4062">
        <v>9</v>
      </c>
      <c r="AE4062" t="s">
        <v>1412</v>
      </c>
      <c r="AF4062">
        <v>0</v>
      </c>
      <c r="AG4062" t="s">
        <v>310</v>
      </c>
      <c r="AH4062">
        <f>SUM((MID(Dyno_Data[[#This Row],[Team]],4,5))+(Dyno_Data[[#This Row],[Match]]/100))</f>
        <v>7605.73</v>
      </c>
      <c r="AI4062" s="76">
        <f>ROUND(SUM(IF(Dyno_Data[[#This Row],[AcqCenter]]&gt;0,Dyno_Data[[#This Row],[Time]]-SUMIFS(Dyno_Data[Time],Dyno_Data[Team],Dyno_Data[[#This Row],[Team]],Dyno_Data[RecordType],"StartMatch",Dyno_Data[Match],Dyno_Data[[#This Row],[Match]]),0)*86400),0)</f>
        <v>0</v>
      </c>
    </row>
    <row r="4063" spans="1:35" x14ac:dyDescent="0.3">
      <c r="A4063">
        <v>4056</v>
      </c>
      <c r="B4063" t="s">
        <v>1309</v>
      </c>
      <c r="C4063">
        <v>73</v>
      </c>
      <c r="D4063" s="105">
        <v>45374.470282025461</v>
      </c>
      <c r="E4063" t="s">
        <v>312</v>
      </c>
      <c r="F4063" t="s">
        <v>309</v>
      </c>
      <c r="G4063">
        <v>0</v>
      </c>
      <c r="H4063" t="s">
        <v>1397</v>
      </c>
      <c r="I4063">
        <v>0</v>
      </c>
      <c r="J4063">
        <v>0</v>
      </c>
      <c r="K4063">
        <v>0</v>
      </c>
      <c r="L4063" t="s">
        <v>240</v>
      </c>
      <c r="M4063" t="s">
        <v>1398</v>
      </c>
      <c r="N4063">
        <v>0</v>
      </c>
      <c r="O4063" t="s">
        <v>1395</v>
      </c>
      <c r="P4063" t="s">
        <v>310</v>
      </c>
      <c r="Q4063" t="s">
        <v>310</v>
      </c>
      <c r="R4063" t="s">
        <v>310</v>
      </c>
      <c r="S4063">
        <v>9</v>
      </c>
      <c r="T4063" t="s">
        <v>310</v>
      </c>
      <c r="U4063">
        <v>9</v>
      </c>
      <c r="V4063">
        <v>9</v>
      </c>
      <c r="W4063">
        <v>0</v>
      </c>
      <c r="X4063">
        <v>0</v>
      </c>
      <c r="Y4063">
        <v>0</v>
      </c>
      <c r="Z4063">
        <v>0</v>
      </c>
      <c r="AA4063">
        <v>9</v>
      </c>
      <c r="AB4063">
        <v>9</v>
      </c>
      <c r="AC4063" t="s">
        <v>310</v>
      </c>
      <c r="AD4063">
        <v>9</v>
      </c>
      <c r="AE4063" t="s">
        <v>1417</v>
      </c>
      <c r="AF4063">
        <v>0</v>
      </c>
      <c r="AG4063" t="s">
        <v>310</v>
      </c>
      <c r="AH4063">
        <f>SUM((MID(Dyno_Data[[#This Row],[Team]],4,5))+(Dyno_Data[[#This Row],[Match]]/100))</f>
        <v>3550.73</v>
      </c>
      <c r="AI4063" s="76">
        <f>ROUND(SUM(IF(Dyno_Data[[#This Row],[AcqCenter]]&gt;0,Dyno_Data[[#This Row],[Time]]-SUMIFS(Dyno_Data[Time],Dyno_Data[Team],Dyno_Data[[#This Row],[Team]],Dyno_Data[RecordType],"StartMatch",Dyno_Data[Match],Dyno_Data[[#This Row],[Match]]),0)*86400),0)</f>
        <v>0</v>
      </c>
    </row>
    <row r="4064" spans="1:35" x14ac:dyDescent="0.3">
      <c r="A4064">
        <v>4057</v>
      </c>
      <c r="B4064" t="s">
        <v>360</v>
      </c>
      <c r="C4064">
        <v>73</v>
      </c>
      <c r="D4064" s="105">
        <v>45374.470292210652</v>
      </c>
      <c r="E4064" t="s">
        <v>312</v>
      </c>
      <c r="F4064" t="s">
        <v>309</v>
      </c>
      <c r="G4064">
        <v>0</v>
      </c>
      <c r="H4064" t="s">
        <v>315</v>
      </c>
      <c r="I4064">
        <v>0</v>
      </c>
      <c r="J4064">
        <v>0</v>
      </c>
      <c r="K4064">
        <v>0</v>
      </c>
      <c r="L4064" t="s">
        <v>240</v>
      </c>
      <c r="M4064" t="s">
        <v>1398</v>
      </c>
      <c r="N4064">
        <v>0</v>
      </c>
      <c r="O4064" t="s">
        <v>1393</v>
      </c>
      <c r="P4064" t="s">
        <v>310</v>
      </c>
      <c r="Q4064" t="s">
        <v>310</v>
      </c>
      <c r="R4064" t="s">
        <v>310</v>
      </c>
      <c r="S4064">
        <v>9</v>
      </c>
      <c r="T4064" t="s">
        <v>310</v>
      </c>
      <c r="U4064">
        <v>9</v>
      </c>
      <c r="V4064">
        <v>9</v>
      </c>
      <c r="W4064">
        <v>0</v>
      </c>
      <c r="X4064">
        <v>0</v>
      </c>
      <c r="Y4064">
        <v>0</v>
      </c>
      <c r="Z4064">
        <v>0</v>
      </c>
      <c r="AA4064">
        <v>9</v>
      </c>
      <c r="AB4064">
        <v>9</v>
      </c>
      <c r="AC4064" t="s">
        <v>310</v>
      </c>
      <c r="AD4064">
        <v>9</v>
      </c>
      <c r="AE4064" t="s">
        <v>1414</v>
      </c>
      <c r="AF4064">
        <v>10000000</v>
      </c>
      <c r="AG4064" t="s">
        <v>310</v>
      </c>
      <c r="AH4064">
        <f>SUM((MID(Dyno_Data[[#This Row],[Team]],4,5))+(Dyno_Data[[#This Row],[Match]]/100))</f>
        <v>1796.73</v>
      </c>
      <c r="AI4064" s="76">
        <f>ROUND(SUM(IF(Dyno_Data[[#This Row],[AcqCenter]]&gt;0,Dyno_Data[[#This Row],[Time]]-SUMIFS(Dyno_Data[Time],Dyno_Data[Team],Dyno_Data[[#This Row],[Team]],Dyno_Data[RecordType],"StartMatch",Dyno_Data[Match],Dyno_Data[[#This Row],[Match]]),0)*86400),0)</f>
        <v>0</v>
      </c>
    </row>
    <row r="4065" spans="1:35" x14ac:dyDescent="0.3">
      <c r="A4065">
        <v>4058</v>
      </c>
      <c r="B4065" t="s">
        <v>360</v>
      </c>
      <c r="C4065">
        <v>73</v>
      </c>
      <c r="D4065" s="105">
        <v>45374.470302395835</v>
      </c>
      <c r="E4065" t="s">
        <v>312</v>
      </c>
      <c r="F4065" t="s">
        <v>309</v>
      </c>
      <c r="G4065">
        <v>0</v>
      </c>
      <c r="H4065" t="s">
        <v>315</v>
      </c>
      <c r="I4065">
        <v>0</v>
      </c>
      <c r="J4065">
        <v>0</v>
      </c>
      <c r="K4065">
        <v>0</v>
      </c>
      <c r="L4065" t="s">
        <v>240</v>
      </c>
      <c r="M4065" t="s">
        <v>1398</v>
      </c>
      <c r="N4065">
        <v>0</v>
      </c>
      <c r="O4065" t="s">
        <v>1393</v>
      </c>
      <c r="P4065" t="s">
        <v>310</v>
      </c>
      <c r="Q4065" t="s">
        <v>310</v>
      </c>
      <c r="R4065" t="s">
        <v>310</v>
      </c>
      <c r="S4065">
        <v>9</v>
      </c>
      <c r="T4065" t="s">
        <v>310</v>
      </c>
      <c r="U4065">
        <v>9</v>
      </c>
      <c r="V4065">
        <v>9</v>
      </c>
      <c r="W4065">
        <v>0</v>
      </c>
      <c r="X4065">
        <v>0</v>
      </c>
      <c r="Y4065">
        <v>0</v>
      </c>
      <c r="Z4065">
        <v>0</v>
      </c>
      <c r="AA4065">
        <v>9</v>
      </c>
      <c r="AB4065">
        <v>9</v>
      </c>
      <c r="AC4065" t="s">
        <v>310</v>
      </c>
      <c r="AD4065">
        <v>9</v>
      </c>
      <c r="AE4065" t="s">
        <v>1414</v>
      </c>
      <c r="AF4065">
        <v>20000000</v>
      </c>
      <c r="AG4065" t="s">
        <v>310</v>
      </c>
      <c r="AH4065">
        <f>SUM((MID(Dyno_Data[[#This Row],[Team]],4,5))+(Dyno_Data[[#This Row],[Match]]/100))</f>
        <v>1796.73</v>
      </c>
      <c r="AI4065" s="76">
        <f>ROUND(SUM(IF(Dyno_Data[[#This Row],[AcqCenter]]&gt;0,Dyno_Data[[#This Row],[Time]]-SUMIFS(Dyno_Data[Time],Dyno_Data[Team],Dyno_Data[[#This Row],[Team]],Dyno_Data[RecordType],"StartMatch",Dyno_Data[Match],Dyno_Data[[#This Row],[Match]]),0)*86400),0)</f>
        <v>0</v>
      </c>
    </row>
    <row r="4066" spans="1:35" x14ac:dyDescent="0.3">
      <c r="A4066">
        <v>4059</v>
      </c>
      <c r="B4066" t="s">
        <v>1308</v>
      </c>
      <c r="C4066">
        <v>73</v>
      </c>
      <c r="D4066" s="105">
        <v>45374.470305937502</v>
      </c>
      <c r="E4066" t="s">
        <v>312</v>
      </c>
      <c r="F4066" t="s">
        <v>309</v>
      </c>
      <c r="G4066">
        <v>0</v>
      </c>
      <c r="H4066" t="s">
        <v>315</v>
      </c>
      <c r="I4066">
        <v>0</v>
      </c>
      <c r="J4066">
        <v>0</v>
      </c>
      <c r="K4066">
        <v>0</v>
      </c>
      <c r="L4066" t="s">
        <v>240</v>
      </c>
      <c r="M4066" t="s">
        <v>1398</v>
      </c>
      <c r="N4066">
        <v>0</v>
      </c>
      <c r="O4066" t="s">
        <v>319</v>
      </c>
      <c r="P4066" t="s">
        <v>310</v>
      </c>
      <c r="Q4066" t="s">
        <v>310</v>
      </c>
      <c r="R4066" t="s">
        <v>310</v>
      </c>
      <c r="S4066">
        <v>9</v>
      </c>
      <c r="T4066" t="s">
        <v>310</v>
      </c>
      <c r="U4066">
        <v>9</v>
      </c>
      <c r="V4066">
        <v>9</v>
      </c>
      <c r="W4066">
        <v>0</v>
      </c>
      <c r="X4066">
        <v>0</v>
      </c>
      <c r="Y4066">
        <v>0</v>
      </c>
      <c r="Z4066">
        <v>0</v>
      </c>
      <c r="AA4066">
        <v>9</v>
      </c>
      <c r="AB4066">
        <v>9</v>
      </c>
      <c r="AC4066" t="s">
        <v>310</v>
      </c>
      <c r="AD4066">
        <v>9</v>
      </c>
      <c r="AE4066" t="s">
        <v>1416</v>
      </c>
      <c r="AF4066">
        <v>10000000</v>
      </c>
      <c r="AG4066" t="s">
        <v>310</v>
      </c>
      <c r="AH4066">
        <f>SUM((MID(Dyno_Data[[#This Row],[Team]],4,5))+(Dyno_Data[[#This Row],[Match]]/100))</f>
        <v>3799.73</v>
      </c>
      <c r="AI4066" s="76">
        <f>ROUND(SUM(IF(Dyno_Data[[#This Row],[AcqCenter]]&gt;0,Dyno_Data[[#This Row],[Time]]-SUMIFS(Dyno_Data[Time],Dyno_Data[Team],Dyno_Data[[#This Row],[Team]],Dyno_Data[RecordType],"StartMatch",Dyno_Data[Match],Dyno_Data[[#This Row],[Match]]),0)*86400),0)</f>
        <v>0</v>
      </c>
    </row>
    <row r="4067" spans="1:35" x14ac:dyDescent="0.3">
      <c r="A4067">
        <v>4060</v>
      </c>
      <c r="B4067" t="s">
        <v>360</v>
      </c>
      <c r="C4067">
        <v>73</v>
      </c>
      <c r="D4067" s="105">
        <v>45374.470328703705</v>
      </c>
      <c r="E4067" t="s">
        <v>312</v>
      </c>
      <c r="F4067" t="s">
        <v>309</v>
      </c>
      <c r="G4067">
        <v>0</v>
      </c>
      <c r="H4067" t="s">
        <v>143</v>
      </c>
      <c r="I4067">
        <v>5</v>
      </c>
      <c r="J4067">
        <v>1</v>
      </c>
      <c r="K4067">
        <v>0</v>
      </c>
      <c r="L4067" t="s">
        <v>310</v>
      </c>
      <c r="M4067" t="s">
        <v>310</v>
      </c>
      <c r="N4067">
        <v>0</v>
      </c>
      <c r="O4067" t="s">
        <v>1393</v>
      </c>
      <c r="P4067" t="s">
        <v>310</v>
      </c>
      <c r="Q4067" t="s">
        <v>310</v>
      </c>
      <c r="R4067" t="s">
        <v>310</v>
      </c>
      <c r="S4067">
        <v>9</v>
      </c>
      <c r="T4067" t="s">
        <v>310</v>
      </c>
      <c r="U4067">
        <v>9</v>
      </c>
      <c r="V4067">
        <v>9</v>
      </c>
      <c r="W4067">
        <v>0</v>
      </c>
      <c r="X4067">
        <v>0</v>
      </c>
      <c r="Y4067">
        <v>0</v>
      </c>
      <c r="Z4067">
        <v>0</v>
      </c>
      <c r="AA4067">
        <v>9</v>
      </c>
      <c r="AB4067">
        <v>9</v>
      </c>
      <c r="AC4067" t="s">
        <v>310</v>
      </c>
      <c r="AD4067">
        <v>9</v>
      </c>
      <c r="AE4067" t="s">
        <v>1414</v>
      </c>
      <c r="AF4067">
        <v>20001000</v>
      </c>
      <c r="AG4067" t="s">
        <v>310</v>
      </c>
      <c r="AH4067">
        <f>SUM((MID(Dyno_Data[[#This Row],[Team]],4,5))+(Dyno_Data[[#This Row],[Match]]/100))</f>
        <v>1796.73</v>
      </c>
      <c r="AI4067" s="76">
        <f>ROUND(SUM(IF(Dyno_Data[[#This Row],[AcqCenter]]&gt;0,Dyno_Data[[#This Row],[Time]]-SUMIFS(Dyno_Data[Time],Dyno_Data[Team],Dyno_Data[[#This Row],[Team]],Dyno_Data[RecordType],"StartMatch",Dyno_Data[Match],Dyno_Data[[#This Row],[Match]]),0)*86400),0)</f>
        <v>7</v>
      </c>
    </row>
    <row r="4068" spans="1:35" x14ac:dyDescent="0.3">
      <c r="A4068">
        <v>4061</v>
      </c>
      <c r="B4068" t="s">
        <v>360</v>
      </c>
      <c r="C4068">
        <v>73</v>
      </c>
      <c r="D4068" s="105">
        <v>45374.470355289355</v>
      </c>
      <c r="E4068" t="s">
        <v>312</v>
      </c>
      <c r="F4068" t="s">
        <v>309</v>
      </c>
      <c r="G4068">
        <v>0</v>
      </c>
      <c r="H4068" t="s">
        <v>143</v>
      </c>
      <c r="I4068">
        <v>0</v>
      </c>
      <c r="J4068">
        <v>0</v>
      </c>
      <c r="K4068">
        <v>0</v>
      </c>
      <c r="L4068" t="s">
        <v>240</v>
      </c>
      <c r="M4068" t="s">
        <v>1398</v>
      </c>
      <c r="N4068">
        <v>1</v>
      </c>
      <c r="O4068" t="s">
        <v>1393</v>
      </c>
      <c r="P4068" t="s">
        <v>310</v>
      </c>
      <c r="Q4068" t="s">
        <v>310</v>
      </c>
      <c r="R4068" t="s">
        <v>310</v>
      </c>
      <c r="S4068">
        <v>9</v>
      </c>
      <c r="T4068" t="s">
        <v>310</v>
      </c>
      <c r="U4068">
        <v>9</v>
      </c>
      <c r="V4068">
        <v>9</v>
      </c>
      <c r="W4068">
        <v>0</v>
      </c>
      <c r="X4068">
        <v>0</v>
      </c>
      <c r="Y4068">
        <v>0</v>
      </c>
      <c r="Z4068">
        <v>0</v>
      </c>
      <c r="AA4068">
        <v>9</v>
      </c>
      <c r="AB4068">
        <v>9</v>
      </c>
      <c r="AC4068" t="s">
        <v>310</v>
      </c>
      <c r="AD4068">
        <v>9</v>
      </c>
      <c r="AE4068" t="s">
        <v>1414</v>
      </c>
      <c r="AF4068">
        <v>20001000</v>
      </c>
      <c r="AG4068" t="s">
        <v>310</v>
      </c>
      <c r="AH4068">
        <f>SUM((MID(Dyno_Data[[#This Row],[Team]],4,5))+(Dyno_Data[[#This Row],[Match]]/100))</f>
        <v>1796.73</v>
      </c>
      <c r="AI4068" s="76">
        <f>ROUND(SUM(IF(Dyno_Data[[#This Row],[AcqCenter]]&gt;0,Dyno_Data[[#This Row],[Time]]-SUMIFS(Dyno_Data[Time],Dyno_Data[Team],Dyno_Data[[#This Row],[Team]],Dyno_Data[RecordType],"StartMatch",Dyno_Data[Match],Dyno_Data[[#This Row],[Match]]),0)*86400),0)</f>
        <v>0</v>
      </c>
    </row>
    <row r="4069" spans="1:35" x14ac:dyDescent="0.3">
      <c r="A4069">
        <v>4062</v>
      </c>
      <c r="B4069" t="s">
        <v>360</v>
      </c>
      <c r="C4069">
        <v>73</v>
      </c>
      <c r="D4069" s="105">
        <v>45374.470402893516</v>
      </c>
      <c r="E4069" t="s">
        <v>312</v>
      </c>
      <c r="F4069" t="s">
        <v>309</v>
      </c>
      <c r="G4069">
        <v>0</v>
      </c>
      <c r="H4069" t="s">
        <v>143</v>
      </c>
      <c r="I4069">
        <v>4</v>
      </c>
      <c r="J4069">
        <v>-1</v>
      </c>
      <c r="K4069">
        <v>0</v>
      </c>
      <c r="L4069" t="s">
        <v>310</v>
      </c>
      <c r="M4069" t="s">
        <v>310</v>
      </c>
      <c r="N4069">
        <v>0</v>
      </c>
      <c r="O4069" t="s">
        <v>1393</v>
      </c>
      <c r="P4069" t="s">
        <v>310</v>
      </c>
      <c r="Q4069" t="s">
        <v>310</v>
      </c>
      <c r="R4069" t="s">
        <v>310</v>
      </c>
      <c r="S4069">
        <v>9</v>
      </c>
      <c r="T4069" t="s">
        <v>310</v>
      </c>
      <c r="U4069">
        <v>9</v>
      </c>
      <c r="V4069">
        <v>9</v>
      </c>
      <c r="W4069">
        <v>0</v>
      </c>
      <c r="X4069">
        <v>0</v>
      </c>
      <c r="Y4069">
        <v>0</v>
      </c>
      <c r="Z4069">
        <v>0</v>
      </c>
      <c r="AA4069">
        <v>9</v>
      </c>
      <c r="AB4069">
        <v>9</v>
      </c>
      <c r="AC4069" t="s">
        <v>310</v>
      </c>
      <c r="AD4069">
        <v>9</v>
      </c>
      <c r="AE4069" t="s">
        <v>1414</v>
      </c>
      <c r="AF4069">
        <v>20002000</v>
      </c>
      <c r="AG4069" t="s">
        <v>310</v>
      </c>
      <c r="AH4069">
        <f>SUM((MID(Dyno_Data[[#This Row],[Team]],4,5))+(Dyno_Data[[#This Row],[Match]]/100))</f>
        <v>1796.73</v>
      </c>
      <c r="AI4069" s="76">
        <f>ROUND(SUM(IF(Dyno_Data[[#This Row],[AcqCenter]]&gt;0,Dyno_Data[[#This Row],[Time]]-SUMIFS(Dyno_Data[Time],Dyno_Data[Team],Dyno_Data[[#This Row],[Team]],Dyno_Data[RecordType],"StartMatch",Dyno_Data[Match],Dyno_Data[[#This Row],[Match]]),0)*86400),0)</f>
        <v>14</v>
      </c>
    </row>
    <row r="4070" spans="1:35" x14ac:dyDescent="0.3">
      <c r="A4070">
        <v>4064</v>
      </c>
      <c r="B4070" t="s">
        <v>1303</v>
      </c>
      <c r="C4070">
        <v>73</v>
      </c>
      <c r="D4070" s="105">
        <v>45374.470441550926</v>
      </c>
      <c r="E4070" t="s">
        <v>314</v>
      </c>
      <c r="F4070" t="s">
        <v>309</v>
      </c>
      <c r="G4070">
        <v>0</v>
      </c>
      <c r="H4070" t="s">
        <v>310</v>
      </c>
      <c r="I4070">
        <v>0</v>
      </c>
      <c r="J4070">
        <v>0</v>
      </c>
      <c r="K4070">
        <v>0</v>
      </c>
      <c r="L4070" t="s">
        <v>310</v>
      </c>
      <c r="M4070" t="s">
        <v>310</v>
      </c>
      <c r="N4070">
        <v>0</v>
      </c>
      <c r="O4070" t="s">
        <v>1389</v>
      </c>
      <c r="P4070" t="s">
        <v>1401</v>
      </c>
      <c r="Q4070" t="s">
        <v>1400</v>
      </c>
      <c r="R4070" t="s">
        <v>310</v>
      </c>
      <c r="S4070">
        <v>9</v>
      </c>
      <c r="T4070" t="s">
        <v>310</v>
      </c>
      <c r="U4070">
        <v>9</v>
      </c>
      <c r="V4070">
        <v>9</v>
      </c>
      <c r="W4070">
        <v>0</v>
      </c>
      <c r="X4070">
        <v>0</v>
      </c>
      <c r="Y4070">
        <v>0</v>
      </c>
      <c r="Z4070">
        <v>0</v>
      </c>
      <c r="AA4070">
        <v>9</v>
      </c>
      <c r="AB4070">
        <v>9</v>
      </c>
      <c r="AC4070" t="s">
        <v>310</v>
      </c>
      <c r="AD4070">
        <v>9</v>
      </c>
      <c r="AE4070" t="s">
        <v>1412</v>
      </c>
      <c r="AF4070">
        <v>0</v>
      </c>
      <c r="AG4070" t="s">
        <v>310</v>
      </c>
      <c r="AH4070">
        <f>SUM((MID(Dyno_Data[[#This Row],[Team]],4,5))+(Dyno_Data[[#This Row],[Match]]/100))</f>
        <v>7605.73</v>
      </c>
      <c r="AI4070" s="76">
        <f>ROUND(SUM(IF(Dyno_Data[[#This Row],[AcqCenter]]&gt;0,Dyno_Data[[#This Row],[Time]]-SUMIFS(Dyno_Data[Time],Dyno_Data[Team],Dyno_Data[[#This Row],[Team]],Dyno_Data[RecordType],"StartMatch",Dyno_Data[Match],Dyno_Data[[#This Row],[Match]]),0)*86400),0)</f>
        <v>0</v>
      </c>
    </row>
    <row r="4071" spans="1:35" x14ac:dyDescent="0.3">
      <c r="A4071">
        <v>4066</v>
      </c>
      <c r="B4071" t="s">
        <v>1309</v>
      </c>
      <c r="C4071">
        <v>73</v>
      </c>
      <c r="D4071" s="105">
        <v>45374.470447337961</v>
      </c>
      <c r="E4071" t="s">
        <v>314</v>
      </c>
      <c r="F4071" t="s">
        <v>309</v>
      </c>
      <c r="G4071">
        <v>0</v>
      </c>
      <c r="H4071" t="s">
        <v>310</v>
      </c>
      <c r="I4071">
        <v>0</v>
      </c>
      <c r="J4071">
        <v>0</v>
      </c>
      <c r="K4071">
        <v>0</v>
      </c>
      <c r="L4071" t="s">
        <v>310</v>
      </c>
      <c r="M4071" t="s">
        <v>310</v>
      </c>
      <c r="N4071">
        <v>0</v>
      </c>
      <c r="O4071" t="s">
        <v>1395</v>
      </c>
      <c r="P4071" t="s">
        <v>101</v>
      </c>
      <c r="Q4071" t="s">
        <v>1400</v>
      </c>
      <c r="R4071" t="s">
        <v>310</v>
      </c>
      <c r="S4071">
        <v>9</v>
      </c>
      <c r="T4071" t="s">
        <v>310</v>
      </c>
      <c r="U4071">
        <v>9</v>
      </c>
      <c r="V4071">
        <v>9</v>
      </c>
      <c r="W4071">
        <v>0</v>
      </c>
      <c r="X4071">
        <v>0</v>
      </c>
      <c r="Y4071">
        <v>0</v>
      </c>
      <c r="Z4071">
        <v>0</v>
      </c>
      <c r="AA4071">
        <v>9</v>
      </c>
      <c r="AB4071">
        <v>9</v>
      </c>
      <c r="AC4071" t="s">
        <v>310</v>
      </c>
      <c r="AD4071">
        <v>9</v>
      </c>
      <c r="AE4071" t="s">
        <v>1417</v>
      </c>
      <c r="AF4071">
        <v>0</v>
      </c>
      <c r="AG4071" t="s">
        <v>310</v>
      </c>
      <c r="AH4071">
        <f>SUM((MID(Dyno_Data[[#This Row],[Team]],4,5))+(Dyno_Data[[#This Row],[Match]]/100))</f>
        <v>3550.73</v>
      </c>
      <c r="AI4071" s="76">
        <f>ROUND(SUM(IF(Dyno_Data[[#This Row],[AcqCenter]]&gt;0,Dyno_Data[[#This Row],[Time]]-SUMIFS(Dyno_Data[Time],Dyno_Data[Team],Dyno_Data[[#This Row],[Team]],Dyno_Data[RecordType],"StartMatch",Dyno_Data[Match],Dyno_Data[[#This Row],[Match]]),0)*86400),0)</f>
        <v>0</v>
      </c>
    </row>
    <row r="4072" spans="1:35" x14ac:dyDescent="0.3">
      <c r="A4072">
        <v>4068</v>
      </c>
      <c r="B4072" t="s">
        <v>1297</v>
      </c>
      <c r="C4072">
        <v>73</v>
      </c>
      <c r="D4072" s="105">
        <v>45374.470447997686</v>
      </c>
      <c r="E4072" t="s">
        <v>314</v>
      </c>
      <c r="F4072" t="s">
        <v>309</v>
      </c>
      <c r="G4072">
        <v>0</v>
      </c>
      <c r="H4072" t="s">
        <v>310</v>
      </c>
      <c r="I4072">
        <v>0</v>
      </c>
      <c r="J4072">
        <v>0</v>
      </c>
      <c r="K4072">
        <v>0</v>
      </c>
      <c r="L4072" t="s">
        <v>310</v>
      </c>
      <c r="M4072" t="s">
        <v>310</v>
      </c>
      <c r="N4072">
        <v>0</v>
      </c>
      <c r="O4072" t="s">
        <v>1391</v>
      </c>
      <c r="P4072" t="s">
        <v>320</v>
      </c>
      <c r="Q4072" t="s">
        <v>1399</v>
      </c>
      <c r="R4072" t="s">
        <v>310</v>
      </c>
      <c r="S4072">
        <v>9</v>
      </c>
      <c r="T4072" t="s">
        <v>310</v>
      </c>
      <c r="U4072">
        <v>9</v>
      </c>
      <c r="V4072">
        <v>9</v>
      </c>
      <c r="W4072">
        <v>0</v>
      </c>
      <c r="X4072">
        <v>0</v>
      </c>
      <c r="Y4072">
        <v>0</v>
      </c>
      <c r="Z4072">
        <v>0</v>
      </c>
      <c r="AA4072">
        <v>9</v>
      </c>
      <c r="AB4072">
        <v>9</v>
      </c>
      <c r="AC4072" t="s">
        <v>310</v>
      </c>
      <c r="AD4072">
        <v>9</v>
      </c>
      <c r="AE4072" t="s">
        <v>1413</v>
      </c>
      <c r="AF4072">
        <v>0</v>
      </c>
      <c r="AG4072" t="s">
        <v>310</v>
      </c>
      <c r="AH4072">
        <f>SUM((MID(Dyno_Data[[#This Row],[Team]],4,5))+(Dyno_Data[[#This Row],[Match]]/100))</f>
        <v>9750.73</v>
      </c>
      <c r="AI4072" s="76">
        <f>ROUND(SUM(IF(Dyno_Data[[#This Row],[AcqCenter]]&gt;0,Dyno_Data[[#This Row],[Time]]-SUMIFS(Dyno_Data[Time],Dyno_Data[Team],Dyno_Data[[#This Row],[Team]],Dyno_Data[RecordType],"StartMatch",Dyno_Data[Match],Dyno_Data[[#This Row],[Match]]),0)*86400),0)</f>
        <v>0</v>
      </c>
    </row>
    <row r="4073" spans="1:35" x14ac:dyDescent="0.3">
      <c r="A4073">
        <v>4070</v>
      </c>
      <c r="B4073" t="s">
        <v>1302</v>
      </c>
      <c r="C4073">
        <v>73</v>
      </c>
      <c r="D4073" s="105">
        <v>45374.470448761575</v>
      </c>
      <c r="E4073" t="s">
        <v>314</v>
      </c>
      <c r="F4073" t="s">
        <v>309</v>
      </c>
      <c r="G4073">
        <v>1</v>
      </c>
      <c r="H4073" t="s">
        <v>310</v>
      </c>
      <c r="I4073">
        <v>0</v>
      </c>
      <c r="J4073">
        <v>0</v>
      </c>
      <c r="K4073">
        <v>0</v>
      </c>
      <c r="L4073" t="s">
        <v>310</v>
      </c>
      <c r="M4073" t="s">
        <v>310</v>
      </c>
      <c r="N4073">
        <v>0</v>
      </c>
      <c r="O4073" t="s">
        <v>311</v>
      </c>
      <c r="P4073" t="s">
        <v>320</v>
      </c>
      <c r="Q4073" t="s">
        <v>1400</v>
      </c>
      <c r="R4073" t="s">
        <v>310</v>
      </c>
      <c r="S4073">
        <v>9</v>
      </c>
      <c r="T4073" t="s">
        <v>310</v>
      </c>
      <c r="U4073">
        <v>9</v>
      </c>
      <c r="V4073">
        <v>9</v>
      </c>
      <c r="W4073">
        <v>0</v>
      </c>
      <c r="X4073">
        <v>0</v>
      </c>
      <c r="Y4073">
        <v>0</v>
      </c>
      <c r="Z4073">
        <v>0</v>
      </c>
      <c r="AA4073">
        <v>9</v>
      </c>
      <c r="AB4073">
        <v>9</v>
      </c>
      <c r="AC4073" t="s">
        <v>310</v>
      </c>
      <c r="AD4073">
        <v>9</v>
      </c>
      <c r="AE4073" t="s">
        <v>1418</v>
      </c>
      <c r="AF4073">
        <v>0</v>
      </c>
      <c r="AG4073" t="s">
        <v>310</v>
      </c>
      <c r="AH4073">
        <f>SUM((MID(Dyno_Data[[#This Row],[Team]],4,5))+(Dyno_Data[[#This Row],[Match]]/100))</f>
        <v>2095.73</v>
      </c>
      <c r="AI4073" s="76">
        <f>ROUND(SUM(IF(Dyno_Data[[#This Row],[AcqCenter]]&gt;0,Dyno_Data[[#This Row],[Time]]-SUMIFS(Dyno_Data[Time],Dyno_Data[Team],Dyno_Data[[#This Row],[Team]],Dyno_Data[RecordType],"StartMatch",Dyno_Data[Match],Dyno_Data[[#This Row],[Match]]),0)*86400),0)</f>
        <v>0</v>
      </c>
    </row>
    <row r="4074" spans="1:35" x14ac:dyDescent="0.3">
      <c r="A4074">
        <v>4072</v>
      </c>
      <c r="B4074" t="s">
        <v>1308</v>
      </c>
      <c r="C4074">
        <v>73</v>
      </c>
      <c r="D4074" s="105">
        <v>45374.470450312503</v>
      </c>
      <c r="E4074" t="s">
        <v>314</v>
      </c>
      <c r="F4074" t="s">
        <v>309</v>
      </c>
      <c r="G4074">
        <v>1</v>
      </c>
      <c r="H4074" t="s">
        <v>310</v>
      </c>
      <c r="I4074">
        <v>0</v>
      </c>
      <c r="J4074">
        <v>0</v>
      </c>
      <c r="K4074">
        <v>0</v>
      </c>
      <c r="L4074" t="s">
        <v>310</v>
      </c>
      <c r="M4074" t="s">
        <v>310</v>
      </c>
      <c r="N4074">
        <v>0</v>
      </c>
      <c r="O4074" t="s">
        <v>319</v>
      </c>
      <c r="P4074" t="s">
        <v>1401</v>
      </c>
      <c r="Q4074" t="s">
        <v>1400</v>
      </c>
      <c r="R4074" t="s">
        <v>310</v>
      </c>
      <c r="S4074">
        <v>9</v>
      </c>
      <c r="T4074" t="s">
        <v>310</v>
      </c>
      <c r="U4074">
        <v>9</v>
      </c>
      <c r="V4074">
        <v>9</v>
      </c>
      <c r="W4074">
        <v>0</v>
      </c>
      <c r="X4074">
        <v>0</v>
      </c>
      <c r="Y4074">
        <v>0</v>
      </c>
      <c r="Z4074">
        <v>0</v>
      </c>
      <c r="AA4074">
        <v>9</v>
      </c>
      <c r="AB4074">
        <v>9</v>
      </c>
      <c r="AC4074" t="s">
        <v>310</v>
      </c>
      <c r="AD4074">
        <v>9</v>
      </c>
      <c r="AE4074" t="s">
        <v>1416</v>
      </c>
      <c r="AF4074">
        <v>10000000</v>
      </c>
      <c r="AG4074" t="s">
        <v>310</v>
      </c>
      <c r="AH4074">
        <f>SUM((MID(Dyno_Data[[#This Row],[Team]],4,5))+(Dyno_Data[[#This Row],[Match]]/100))</f>
        <v>3799.73</v>
      </c>
      <c r="AI4074" s="76">
        <f>ROUND(SUM(IF(Dyno_Data[[#This Row],[AcqCenter]]&gt;0,Dyno_Data[[#This Row],[Time]]-SUMIFS(Dyno_Data[Time],Dyno_Data[Team],Dyno_Data[[#This Row],[Team]],Dyno_Data[RecordType],"StartMatch",Dyno_Data[Match],Dyno_Data[[#This Row],[Match]]),0)*86400),0)</f>
        <v>0</v>
      </c>
    </row>
    <row r="4075" spans="1:35" x14ac:dyDescent="0.3">
      <c r="A4075">
        <v>4074</v>
      </c>
      <c r="B4075" t="s">
        <v>360</v>
      </c>
      <c r="C4075">
        <v>73</v>
      </c>
      <c r="D4075" s="105">
        <v>45374.47045320602</v>
      </c>
      <c r="E4075" t="s">
        <v>314</v>
      </c>
      <c r="F4075" t="s">
        <v>309</v>
      </c>
      <c r="G4075">
        <v>0</v>
      </c>
      <c r="H4075" t="s">
        <v>310</v>
      </c>
      <c r="I4075">
        <v>0</v>
      </c>
      <c r="J4075">
        <v>0</v>
      </c>
      <c r="K4075">
        <v>0</v>
      </c>
      <c r="L4075" t="s">
        <v>310</v>
      </c>
      <c r="M4075" t="s">
        <v>310</v>
      </c>
      <c r="N4075">
        <v>0</v>
      </c>
      <c r="O4075" t="s">
        <v>1393</v>
      </c>
      <c r="P4075" t="s">
        <v>240</v>
      </c>
      <c r="Q4075" t="s">
        <v>1399</v>
      </c>
      <c r="R4075" t="s">
        <v>310</v>
      </c>
      <c r="S4075">
        <v>9</v>
      </c>
      <c r="T4075" t="s">
        <v>310</v>
      </c>
      <c r="U4075">
        <v>9</v>
      </c>
      <c r="V4075">
        <v>9</v>
      </c>
      <c r="W4075">
        <v>0</v>
      </c>
      <c r="X4075">
        <v>0</v>
      </c>
      <c r="Y4075">
        <v>0</v>
      </c>
      <c r="Z4075">
        <v>0</v>
      </c>
      <c r="AA4075">
        <v>9</v>
      </c>
      <c r="AB4075">
        <v>9</v>
      </c>
      <c r="AC4075" t="s">
        <v>310</v>
      </c>
      <c r="AD4075">
        <v>9</v>
      </c>
      <c r="AE4075" t="s">
        <v>1414</v>
      </c>
      <c r="AF4075">
        <v>20002000</v>
      </c>
      <c r="AG4075" t="s">
        <v>310</v>
      </c>
      <c r="AH4075">
        <f>SUM((MID(Dyno_Data[[#This Row],[Team]],4,5))+(Dyno_Data[[#This Row],[Match]]/100))</f>
        <v>1796.73</v>
      </c>
      <c r="AI4075" s="76">
        <f>ROUND(SUM(IF(Dyno_Data[[#This Row],[AcqCenter]]&gt;0,Dyno_Data[[#This Row],[Time]]-SUMIFS(Dyno_Data[Time],Dyno_Data[Team],Dyno_Data[[#This Row],[Team]],Dyno_Data[RecordType],"StartMatch",Dyno_Data[Match],Dyno_Data[[#This Row],[Match]]),0)*86400),0)</f>
        <v>0</v>
      </c>
    </row>
    <row r="4076" spans="1:35" x14ac:dyDescent="0.3">
      <c r="A4076">
        <v>4075</v>
      </c>
      <c r="B4076" t="s">
        <v>360</v>
      </c>
      <c r="C4076">
        <v>73</v>
      </c>
      <c r="D4076" s="105">
        <v>45374.470502465279</v>
      </c>
      <c r="E4076" t="s">
        <v>312</v>
      </c>
      <c r="F4076" t="s">
        <v>1402</v>
      </c>
      <c r="G4076">
        <v>0</v>
      </c>
      <c r="H4076" t="s">
        <v>315</v>
      </c>
      <c r="I4076">
        <v>0</v>
      </c>
      <c r="J4076">
        <v>0</v>
      </c>
      <c r="K4076">
        <v>0</v>
      </c>
      <c r="L4076" t="s">
        <v>241</v>
      </c>
      <c r="M4076" t="s">
        <v>101</v>
      </c>
      <c r="N4076">
        <v>0</v>
      </c>
      <c r="O4076" t="s">
        <v>1393</v>
      </c>
      <c r="P4076" t="s">
        <v>310</v>
      </c>
      <c r="Q4076" t="s">
        <v>310</v>
      </c>
      <c r="R4076" t="s">
        <v>310</v>
      </c>
      <c r="S4076">
        <v>9</v>
      </c>
      <c r="T4076" t="s">
        <v>310</v>
      </c>
      <c r="U4076">
        <v>9</v>
      </c>
      <c r="V4076">
        <v>9</v>
      </c>
      <c r="W4076">
        <v>0</v>
      </c>
      <c r="X4076">
        <v>0</v>
      </c>
      <c r="Y4076">
        <v>0</v>
      </c>
      <c r="Z4076">
        <v>0</v>
      </c>
      <c r="AA4076">
        <v>9</v>
      </c>
      <c r="AB4076">
        <v>9</v>
      </c>
      <c r="AC4076" t="s">
        <v>310</v>
      </c>
      <c r="AD4076">
        <v>9</v>
      </c>
      <c r="AE4076" t="s">
        <v>1414</v>
      </c>
      <c r="AF4076">
        <v>30002000</v>
      </c>
      <c r="AG4076" t="s">
        <v>310</v>
      </c>
      <c r="AH4076">
        <f>SUM((MID(Dyno_Data[[#This Row],[Team]],4,5))+(Dyno_Data[[#This Row],[Match]]/100))</f>
        <v>1796.73</v>
      </c>
      <c r="AI4076" s="76">
        <f>ROUND(SUM(IF(Dyno_Data[[#This Row],[AcqCenter]]&gt;0,Dyno_Data[[#This Row],[Time]]-SUMIFS(Dyno_Data[Time],Dyno_Data[Team],Dyno_Data[[#This Row],[Team]],Dyno_Data[RecordType],"StartMatch",Dyno_Data[Match],Dyno_Data[[#This Row],[Match]]),0)*86400),0)</f>
        <v>0</v>
      </c>
    </row>
    <row r="4077" spans="1:35" x14ac:dyDescent="0.3">
      <c r="A4077">
        <v>4076</v>
      </c>
      <c r="B4077" t="s">
        <v>1308</v>
      </c>
      <c r="C4077">
        <v>73</v>
      </c>
      <c r="D4077" s="105">
        <v>45374.470532141204</v>
      </c>
      <c r="E4077" t="s">
        <v>312</v>
      </c>
      <c r="F4077" t="s">
        <v>1402</v>
      </c>
      <c r="G4077">
        <v>0</v>
      </c>
      <c r="H4077" t="s">
        <v>315</v>
      </c>
      <c r="I4077">
        <v>0</v>
      </c>
      <c r="J4077">
        <v>0</v>
      </c>
      <c r="K4077">
        <v>0</v>
      </c>
      <c r="L4077" t="s">
        <v>240</v>
      </c>
      <c r="M4077" t="s">
        <v>1398</v>
      </c>
      <c r="N4077">
        <v>0</v>
      </c>
      <c r="O4077" t="s">
        <v>319</v>
      </c>
      <c r="P4077" t="s">
        <v>310</v>
      </c>
      <c r="Q4077" t="s">
        <v>310</v>
      </c>
      <c r="R4077" t="s">
        <v>310</v>
      </c>
      <c r="S4077">
        <v>9</v>
      </c>
      <c r="T4077" t="s">
        <v>310</v>
      </c>
      <c r="U4077">
        <v>9</v>
      </c>
      <c r="V4077">
        <v>9</v>
      </c>
      <c r="W4077">
        <v>0</v>
      </c>
      <c r="X4077">
        <v>0</v>
      </c>
      <c r="Y4077">
        <v>0</v>
      </c>
      <c r="Z4077">
        <v>0</v>
      </c>
      <c r="AA4077">
        <v>9</v>
      </c>
      <c r="AB4077">
        <v>9</v>
      </c>
      <c r="AC4077" t="s">
        <v>310</v>
      </c>
      <c r="AD4077">
        <v>9</v>
      </c>
      <c r="AE4077" t="s">
        <v>1416</v>
      </c>
      <c r="AF4077">
        <v>20000000</v>
      </c>
      <c r="AG4077" t="s">
        <v>310</v>
      </c>
      <c r="AH4077">
        <f>SUM((MID(Dyno_Data[[#This Row],[Team]],4,5))+(Dyno_Data[[#This Row],[Match]]/100))</f>
        <v>3799.73</v>
      </c>
      <c r="AI4077" s="76">
        <f>ROUND(SUM(IF(Dyno_Data[[#This Row],[AcqCenter]]&gt;0,Dyno_Data[[#This Row],[Time]]-SUMIFS(Dyno_Data[Time],Dyno_Data[Team],Dyno_Data[[#This Row],[Team]],Dyno_Data[RecordType],"StartMatch",Dyno_Data[Match],Dyno_Data[[#This Row],[Match]]),0)*86400),0)</f>
        <v>0</v>
      </c>
    </row>
    <row r="4078" spans="1:35" x14ac:dyDescent="0.3">
      <c r="A4078">
        <v>4077</v>
      </c>
      <c r="B4078" t="s">
        <v>1297</v>
      </c>
      <c r="C4078">
        <v>73</v>
      </c>
      <c r="D4078" s="105">
        <v>45374.470547534722</v>
      </c>
      <c r="E4078" t="s">
        <v>312</v>
      </c>
      <c r="F4078" t="s">
        <v>1402</v>
      </c>
      <c r="G4078">
        <v>0</v>
      </c>
      <c r="H4078" t="s">
        <v>1415</v>
      </c>
      <c r="I4078">
        <v>0</v>
      </c>
      <c r="J4078">
        <v>0</v>
      </c>
      <c r="K4078">
        <v>0</v>
      </c>
      <c r="L4078" t="s">
        <v>241</v>
      </c>
      <c r="M4078" t="s">
        <v>101</v>
      </c>
      <c r="N4078">
        <v>0</v>
      </c>
      <c r="O4078" t="s">
        <v>1391</v>
      </c>
      <c r="P4078" t="s">
        <v>310</v>
      </c>
      <c r="Q4078" t="s">
        <v>310</v>
      </c>
      <c r="R4078" t="s">
        <v>310</v>
      </c>
      <c r="S4078">
        <v>9</v>
      </c>
      <c r="T4078" t="s">
        <v>310</v>
      </c>
      <c r="U4078">
        <v>9</v>
      </c>
      <c r="V4078">
        <v>9</v>
      </c>
      <c r="W4078">
        <v>0</v>
      </c>
      <c r="X4078">
        <v>0</v>
      </c>
      <c r="Y4078">
        <v>0</v>
      </c>
      <c r="Z4078">
        <v>0</v>
      </c>
      <c r="AA4078">
        <v>9</v>
      </c>
      <c r="AB4078">
        <v>9</v>
      </c>
      <c r="AC4078" t="s">
        <v>310</v>
      </c>
      <c r="AD4078">
        <v>9</v>
      </c>
      <c r="AE4078" t="s">
        <v>1413</v>
      </c>
      <c r="AF4078">
        <v>0</v>
      </c>
      <c r="AG4078" t="s">
        <v>310</v>
      </c>
      <c r="AH4078">
        <f>SUM((MID(Dyno_Data[[#This Row],[Team]],4,5))+(Dyno_Data[[#This Row],[Match]]/100))</f>
        <v>9750.73</v>
      </c>
      <c r="AI4078" s="76">
        <f>ROUND(SUM(IF(Dyno_Data[[#This Row],[AcqCenter]]&gt;0,Dyno_Data[[#This Row],[Time]]-SUMIFS(Dyno_Data[Time],Dyno_Data[Team],Dyno_Data[[#This Row],[Team]],Dyno_Data[RecordType],"StartMatch",Dyno_Data[Match],Dyno_Data[[#This Row],[Match]]),0)*86400),0)</f>
        <v>0</v>
      </c>
    </row>
    <row r="4079" spans="1:35" x14ac:dyDescent="0.3">
      <c r="A4079">
        <v>4078</v>
      </c>
      <c r="B4079" t="s">
        <v>360</v>
      </c>
      <c r="C4079">
        <v>73</v>
      </c>
      <c r="D4079" s="105">
        <v>45374.470551273145</v>
      </c>
      <c r="E4079" t="s">
        <v>312</v>
      </c>
      <c r="F4079" t="s">
        <v>1402</v>
      </c>
      <c r="G4079">
        <v>0</v>
      </c>
      <c r="H4079" t="s">
        <v>315</v>
      </c>
      <c r="I4079">
        <v>0</v>
      </c>
      <c r="J4079">
        <v>0</v>
      </c>
      <c r="K4079">
        <v>0</v>
      </c>
      <c r="L4079" t="s">
        <v>241</v>
      </c>
      <c r="M4079" t="s">
        <v>101</v>
      </c>
      <c r="N4079">
        <v>0</v>
      </c>
      <c r="O4079" t="s">
        <v>1393</v>
      </c>
      <c r="P4079" t="s">
        <v>310</v>
      </c>
      <c r="Q4079" t="s">
        <v>310</v>
      </c>
      <c r="R4079" t="s">
        <v>310</v>
      </c>
      <c r="S4079">
        <v>9</v>
      </c>
      <c r="T4079" t="s">
        <v>310</v>
      </c>
      <c r="U4079">
        <v>9</v>
      </c>
      <c r="V4079">
        <v>9</v>
      </c>
      <c r="W4079">
        <v>0</v>
      </c>
      <c r="X4079">
        <v>0</v>
      </c>
      <c r="Y4079">
        <v>0</v>
      </c>
      <c r="Z4079">
        <v>0</v>
      </c>
      <c r="AA4079">
        <v>9</v>
      </c>
      <c r="AB4079">
        <v>9</v>
      </c>
      <c r="AC4079" t="s">
        <v>310</v>
      </c>
      <c r="AD4079">
        <v>9</v>
      </c>
      <c r="AE4079" t="s">
        <v>1414</v>
      </c>
      <c r="AF4079">
        <v>40002000</v>
      </c>
      <c r="AG4079" t="s">
        <v>310</v>
      </c>
      <c r="AH4079">
        <f>SUM((MID(Dyno_Data[[#This Row],[Team]],4,5))+(Dyno_Data[[#This Row],[Match]]/100))</f>
        <v>1796.73</v>
      </c>
      <c r="AI4079" s="76">
        <f>ROUND(SUM(IF(Dyno_Data[[#This Row],[AcqCenter]]&gt;0,Dyno_Data[[#This Row],[Time]]-SUMIFS(Dyno_Data[Time],Dyno_Data[Team],Dyno_Data[[#This Row],[Team]],Dyno_Data[RecordType],"StartMatch",Dyno_Data[Match],Dyno_Data[[#This Row],[Match]]),0)*86400),0)</f>
        <v>0</v>
      </c>
    </row>
    <row r="4080" spans="1:35" x14ac:dyDescent="0.3">
      <c r="A4080">
        <v>4079</v>
      </c>
      <c r="B4080" t="s">
        <v>1308</v>
      </c>
      <c r="C4080">
        <v>73</v>
      </c>
      <c r="D4080" s="105">
        <v>45374.470595983796</v>
      </c>
      <c r="E4080" t="s">
        <v>312</v>
      </c>
      <c r="F4080" t="s">
        <v>1402</v>
      </c>
      <c r="G4080">
        <v>0</v>
      </c>
      <c r="H4080" t="s">
        <v>315</v>
      </c>
      <c r="I4080">
        <v>0</v>
      </c>
      <c r="J4080">
        <v>0</v>
      </c>
      <c r="K4080">
        <v>0</v>
      </c>
      <c r="L4080" t="s">
        <v>240</v>
      </c>
      <c r="M4080" t="s">
        <v>1398</v>
      </c>
      <c r="N4080">
        <v>0</v>
      </c>
      <c r="O4080" t="s">
        <v>319</v>
      </c>
      <c r="P4080" t="s">
        <v>310</v>
      </c>
      <c r="Q4080" t="s">
        <v>310</v>
      </c>
      <c r="R4080" t="s">
        <v>310</v>
      </c>
      <c r="S4080">
        <v>9</v>
      </c>
      <c r="T4080" t="s">
        <v>310</v>
      </c>
      <c r="U4080">
        <v>9</v>
      </c>
      <c r="V4080">
        <v>9</v>
      </c>
      <c r="W4080">
        <v>0</v>
      </c>
      <c r="X4080">
        <v>0</v>
      </c>
      <c r="Y4080">
        <v>0</v>
      </c>
      <c r="Z4080">
        <v>0</v>
      </c>
      <c r="AA4080">
        <v>9</v>
      </c>
      <c r="AB4080">
        <v>9</v>
      </c>
      <c r="AC4080" t="s">
        <v>310</v>
      </c>
      <c r="AD4080">
        <v>9</v>
      </c>
      <c r="AE4080" t="s">
        <v>1416</v>
      </c>
      <c r="AF4080">
        <v>30000000</v>
      </c>
      <c r="AG4080" t="s">
        <v>310</v>
      </c>
      <c r="AH4080">
        <f>SUM((MID(Dyno_Data[[#This Row],[Team]],4,5))+(Dyno_Data[[#This Row],[Match]]/100))</f>
        <v>3799.73</v>
      </c>
      <c r="AI4080" s="76">
        <f>ROUND(SUM(IF(Dyno_Data[[#This Row],[AcqCenter]]&gt;0,Dyno_Data[[#This Row],[Time]]-SUMIFS(Dyno_Data[Time],Dyno_Data[Team],Dyno_Data[[#This Row],[Team]],Dyno_Data[RecordType],"StartMatch",Dyno_Data[Match],Dyno_Data[[#This Row],[Match]]),0)*86400),0)</f>
        <v>0</v>
      </c>
    </row>
    <row r="4081" spans="1:35" x14ac:dyDescent="0.3">
      <c r="A4081">
        <v>4080</v>
      </c>
      <c r="B4081" t="s">
        <v>1309</v>
      </c>
      <c r="C4081">
        <v>73</v>
      </c>
      <c r="D4081" s="105">
        <v>45374.470598877313</v>
      </c>
      <c r="E4081" t="s">
        <v>312</v>
      </c>
      <c r="F4081" t="s">
        <v>1402</v>
      </c>
      <c r="G4081">
        <v>0</v>
      </c>
      <c r="H4081" t="s">
        <v>315</v>
      </c>
      <c r="I4081">
        <v>0</v>
      </c>
      <c r="J4081">
        <v>0</v>
      </c>
      <c r="K4081">
        <v>0</v>
      </c>
      <c r="L4081" t="s">
        <v>241</v>
      </c>
      <c r="M4081" t="s">
        <v>1398</v>
      </c>
      <c r="N4081">
        <v>0</v>
      </c>
      <c r="O4081" t="s">
        <v>1395</v>
      </c>
      <c r="P4081" t="s">
        <v>310</v>
      </c>
      <c r="Q4081" t="s">
        <v>310</v>
      </c>
      <c r="R4081" t="s">
        <v>310</v>
      </c>
      <c r="S4081">
        <v>9</v>
      </c>
      <c r="T4081" t="s">
        <v>310</v>
      </c>
      <c r="U4081">
        <v>9</v>
      </c>
      <c r="V4081">
        <v>9</v>
      </c>
      <c r="W4081">
        <v>0</v>
      </c>
      <c r="X4081">
        <v>0</v>
      </c>
      <c r="Y4081">
        <v>0</v>
      </c>
      <c r="Z4081">
        <v>0</v>
      </c>
      <c r="AA4081">
        <v>9</v>
      </c>
      <c r="AB4081">
        <v>9</v>
      </c>
      <c r="AC4081" t="s">
        <v>310</v>
      </c>
      <c r="AD4081">
        <v>9</v>
      </c>
      <c r="AE4081" t="s">
        <v>1417</v>
      </c>
      <c r="AF4081">
        <v>10000000</v>
      </c>
      <c r="AG4081" t="s">
        <v>310</v>
      </c>
      <c r="AH4081">
        <f>SUM((MID(Dyno_Data[[#This Row],[Team]],4,5))+(Dyno_Data[[#This Row],[Match]]/100))</f>
        <v>3550.73</v>
      </c>
      <c r="AI4081" s="76">
        <f>ROUND(SUM(IF(Dyno_Data[[#This Row],[AcqCenter]]&gt;0,Dyno_Data[[#This Row],[Time]]-SUMIFS(Dyno_Data[Time],Dyno_Data[Team],Dyno_Data[[#This Row],[Team]],Dyno_Data[RecordType],"StartMatch",Dyno_Data[Match],Dyno_Data[[#This Row],[Match]]),0)*86400),0)</f>
        <v>0</v>
      </c>
    </row>
    <row r="4082" spans="1:35" x14ac:dyDescent="0.3">
      <c r="A4082">
        <v>4081</v>
      </c>
      <c r="B4082" t="s">
        <v>360</v>
      </c>
      <c r="C4082">
        <v>73</v>
      </c>
      <c r="D4082" s="105">
        <v>45374.470675428238</v>
      </c>
      <c r="E4082" t="s">
        <v>312</v>
      </c>
      <c r="F4082" t="s">
        <v>1402</v>
      </c>
      <c r="G4082">
        <v>0</v>
      </c>
      <c r="H4082" t="s">
        <v>315</v>
      </c>
      <c r="I4082">
        <v>0</v>
      </c>
      <c r="J4082">
        <v>0</v>
      </c>
      <c r="K4082">
        <v>0</v>
      </c>
      <c r="L4082" t="s">
        <v>241</v>
      </c>
      <c r="M4082" t="s">
        <v>101</v>
      </c>
      <c r="N4082">
        <v>0</v>
      </c>
      <c r="O4082" t="s">
        <v>1393</v>
      </c>
      <c r="P4082" t="s">
        <v>310</v>
      </c>
      <c r="Q4082" t="s">
        <v>310</v>
      </c>
      <c r="R4082" t="s">
        <v>310</v>
      </c>
      <c r="S4082">
        <v>9</v>
      </c>
      <c r="T4082" t="s">
        <v>310</v>
      </c>
      <c r="U4082">
        <v>9</v>
      </c>
      <c r="V4082">
        <v>9</v>
      </c>
      <c r="W4082">
        <v>0</v>
      </c>
      <c r="X4082">
        <v>0</v>
      </c>
      <c r="Y4082">
        <v>0</v>
      </c>
      <c r="Z4082">
        <v>0</v>
      </c>
      <c r="AA4082">
        <v>9</v>
      </c>
      <c r="AB4082">
        <v>9</v>
      </c>
      <c r="AC4082" t="s">
        <v>310</v>
      </c>
      <c r="AD4082">
        <v>9</v>
      </c>
      <c r="AE4082" t="s">
        <v>1414</v>
      </c>
      <c r="AF4082">
        <v>50002000</v>
      </c>
      <c r="AG4082" t="s">
        <v>310</v>
      </c>
      <c r="AH4082">
        <f>SUM((MID(Dyno_Data[[#This Row],[Team]],4,5))+(Dyno_Data[[#This Row],[Match]]/100))</f>
        <v>1796.73</v>
      </c>
      <c r="AI4082" s="76">
        <f>ROUND(SUM(IF(Dyno_Data[[#This Row],[AcqCenter]]&gt;0,Dyno_Data[[#This Row],[Time]]-SUMIFS(Dyno_Data[Time],Dyno_Data[Team],Dyno_Data[[#This Row],[Team]],Dyno_Data[RecordType],"StartMatch",Dyno_Data[Match],Dyno_Data[[#This Row],[Match]]),0)*86400),0)</f>
        <v>0</v>
      </c>
    </row>
    <row r="4083" spans="1:35" x14ac:dyDescent="0.3">
      <c r="A4083">
        <v>4082</v>
      </c>
      <c r="B4083" t="s">
        <v>1308</v>
      </c>
      <c r="C4083">
        <v>73</v>
      </c>
      <c r="D4083" s="105">
        <v>45374.470757210649</v>
      </c>
      <c r="E4083" t="s">
        <v>312</v>
      </c>
      <c r="F4083" t="s">
        <v>1402</v>
      </c>
      <c r="G4083">
        <v>0</v>
      </c>
      <c r="H4083" t="s">
        <v>315</v>
      </c>
      <c r="I4083">
        <v>0</v>
      </c>
      <c r="J4083">
        <v>0</v>
      </c>
      <c r="K4083">
        <v>0</v>
      </c>
      <c r="L4083" t="s">
        <v>240</v>
      </c>
      <c r="M4083" t="s">
        <v>1398</v>
      </c>
      <c r="N4083">
        <v>0</v>
      </c>
      <c r="O4083" t="s">
        <v>319</v>
      </c>
      <c r="P4083" t="s">
        <v>310</v>
      </c>
      <c r="Q4083" t="s">
        <v>310</v>
      </c>
      <c r="R4083" t="s">
        <v>310</v>
      </c>
      <c r="S4083">
        <v>9</v>
      </c>
      <c r="T4083" t="s">
        <v>310</v>
      </c>
      <c r="U4083">
        <v>9</v>
      </c>
      <c r="V4083">
        <v>9</v>
      </c>
      <c r="W4083">
        <v>0</v>
      </c>
      <c r="X4083">
        <v>0</v>
      </c>
      <c r="Y4083">
        <v>0</v>
      </c>
      <c r="Z4083">
        <v>0</v>
      </c>
      <c r="AA4083">
        <v>9</v>
      </c>
      <c r="AB4083">
        <v>9</v>
      </c>
      <c r="AC4083" t="s">
        <v>310</v>
      </c>
      <c r="AD4083">
        <v>9</v>
      </c>
      <c r="AE4083" t="s">
        <v>1416</v>
      </c>
      <c r="AF4083">
        <v>40000000</v>
      </c>
      <c r="AG4083" t="s">
        <v>310</v>
      </c>
      <c r="AH4083">
        <f>SUM((MID(Dyno_Data[[#This Row],[Team]],4,5))+(Dyno_Data[[#This Row],[Match]]/100))</f>
        <v>3799.73</v>
      </c>
      <c r="AI4083" s="76">
        <f>ROUND(SUM(IF(Dyno_Data[[#This Row],[AcqCenter]]&gt;0,Dyno_Data[[#This Row],[Time]]-SUMIFS(Dyno_Data[Time],Dyno_Data[Team],Dyno_Data[[#This Row],[Team]],Dyno_Data[RecordType],"StartMatch",Dyno_Data[Match],Dyno_Data[[#This Row],[Match]]),0)*86400),0)</f>
        <v>0</v>
      </c>
    </row>
    <row r="4084" spans="1:35" x14ac:dyDescent="0.3">
      <c r="A4084">
        <v>4083</v>
      </c>
      <c r="B4084" t="s">
        <v>1303</v>
      </c>
      <c r="C4084">
        <v>73</v>
      </c>
      <c r="D4084" s="105">
        <v>45374.470815127315</v>
      </c>
      <c r="E4084" t="s">
        <v>312</v>
      </c>
      <c r="F4084" t="s">
        <v>1402</v>
      </c>
      <c r="G4084">
        <v>0</v>
      </c>
      <c r="H4084" t="s">
        <v>315</v>
      </c>
      <c r="I4084">
        <v>0</v>
      </c>
      <c r="J4084">
        <v>0</v>
      </c>
      <c r="K4084">
        <v>0</v>
      </c>
      <c r="L4084" t="s">
        <v>241</v>
      </c>
      <c r="M4084" t="s">
        <v>1398</v>
      </c>
      <c r="N4084">
        <v>0</v>
      </c>
      <c r="O4084" t="s">
        <v>1389</v>
      </c>
      <c r="P4084" t="s">
        <v>310</v>
      </c>
      <c r="Q4084" t="s">
        <v>310</v>
      </c>
      <c r="R4084" t="s">
        <v>310</v>
      </c>
      <c r="S4084">
        <v>9</v>
      </c>
      <c r="T4084" t="s">
        <v>310</v>
      </c>
      <c r="U4084">
        <v>9</v>
      </c>
      <c r="V4084">
        <v>9</v>
      </c>
      <c r="W4084">
        <v>0</v>
      </c>
      <c r="X4084">
        <v>0</v>
      </c>
      <c r="Y4084">
        <v>0</v>
      </c>
      <c r="Z4084">
        <v>0</v>
      </c>
      <c r="AA4084">
        <v>9</v>
      </c>
      <c r="AB4084">
        <v>9</v>
      </c>
      <c r="AC4084" t="s">
        <v>310</v>
      </c>
      <c r="AD4084">
        <v>9</v>
      </c>
      <c r="AE4084" t="s">
        <v>1412</v>
      </c>
      <c r="AF4084">
        <v>10000000</v>
      </c>
      <c r="AG4084" t="s">
        <v>310</v>
      </c>
      <c r="AH4084">
        <f>SUM((MID(Dyno_Data[[#This Row],[Team]],4,5))+(Dyno_Data[[#This Row],[Match]]/100))</f>
        <v>7605.73</v>
      </c>
      <c r="AI4084" s="76">
        <f>ROUND(SUM(IF(Dyno_Data[[#This Row],[AcqCenter]]&gt;0,Dyno_Data[[#This Row],[Time]]-SUMIFS(Dyno_Data[Time],Dyno_Data[Team],Dyno_Data[[#This Row],[Team]],Dyno_Data[RecordType],"StartMatch",Dyno_Data[Match],Dyno_Data[[#This Row],[Match]]),0)*86400),0)</f>
        <v>0</v>
      </c>
    </row>
    <row r="4085" spans="1:35" x14ac:dyDescent="0.3">
      <c r="A4085">
        <v>4084</v>
      </c>
      <c r="B4085" t="s">
        <v>360</v>
      </c>
      <c r="C4085">
        <v>73</v>
      </c>
      <c r="D4085" s="105">
        <v>45374.470815891204</v>
      </c>
      <c r="E4085" t="s">
        <v>312</v>
      </c>
      <c r="F4085" t="s">
        <v>1402</v>
      </c>
      <c r="G4085">
        <v>0</v>
      </c>
      <c r="H4085" t="s">
        <v>315</v>
      </c>
      <c r="I4085">
        <v>0</v>
      </c>
      <c r="J4085">
        <v>0</v>
      </c>
      <c r="K4085">
        <v>0</v>
      </c>
      <c r="L4085" t="s">
        <v>241</v>
      </c>
      <c r="M4085" t="s">
        <v>1398</v>
      </c>
      <c r="N4085">
        <v>0</v>
      </c>
      <c r="O4085" t="s">
        <v>1393</v>
      </c>
      <c r="P4085" t="s">
        <v>310</v>
      </c>
      <c r="Q4085" t="s">
        <v>310</v>
      </c>
      <c r="R4085" t="s">
        <v>310</v>
      </c>
      <c r="S4085">
        <v>9</v>
      </c>
      <c r="T4085" t="s">
        <v>310</v>
      </c>
      <c r="U4085">
        <v>9</v>
      </c>
      <c r="V4085">
        <v>9</v>
      </c>
      <c r="W4085">
        <v>0</v>
      </c>
      <c r="X4085">
        <v>0</v>
      </c>
      <c r="Y4085">
        <v>0</v>
      </c>
      <c r="Z4085">
        <v>0</v>
      </c>
      <c r="AA4085">
        <v>9</v>
      </c>
      <c r="AB4085">
        <v>9</v>
      </c>
      <c r="AC4085" t="s">
        <v>310</v>
      </c>
      <c r="AD4085">
        <v>9</v>
      </c>
      <c r="AE4085" t="s">
        <v>1414</v>
      </c>
      <c r="AF4085">
        <v>60002000</v>
      </c>
      <c r="AG4085" t="s">
        <v>310</v>
      </c>
      <c r="AH4085">
        <f>SUM((MID(Dyno_Data[[#This Row],[Team]],4,5))+(Dyno_Data[[#This Row],[Match]]/100))</f>
        <v>1796.73</v>
      </c>
      <c r="AI4085" s="76">
        <f>ROUND(SUM(IF(Dyno_Data[[#This Row],[AcqCenter]]&gt;0,Dyno_Data[[#This Row],[Time]]-SUMIFS(Dyno_Data[Time],Dyno_Data[Team],Dyno_Data[[#This Row],[Team]],Dyno_Data[RecordType],"StartMatch",Dyno_Data[Match],Dyno_Data[[#This Row],[Match]]),0)*86400),0)</f>
        <v>0</v>
      </c>
    </row>
    <row r="4086" spans="1:35" x14ac:dyDescent="0.3">
      <c r="A4086">
        <v>4085</v>
      </c>
      <c r="B4086" t="s">
        <v>1309</v>
      </c>
      <c r="C4086">
        <v>73</v>
      </c>
      <c r="D4086" s="105">
        <v>45374.470855636573</v>
      </c>
      <c r="E4086" t="s">
        <v>312</v>
      </c>
      <c r="F4086" t="s">
        <v>1402</v>
      </c>
      <c r="G4086">
        <v>0</v>
      </c>
      <c r="H4086" t="s">
        <v>315</v>
      </c>
      <c r="I4086">
        <v>0</v>
      </c>
      <c r="J4086">
        <v>0</v>
      </c>
      <c r="K4086">
        <v>0</v>
      </c>
      <c r="L4086" t="s">
        <v>241</v>
      </c>
      <c r="M4086" t="s">
        <v>1398</v>
      </c>
      <c r="N4086">
        <v>1</v>
      </c>
      <c r="O4086" t="s">
        <v>1395</v>
      </c>
      <c r="P4086" t="s">
        <v>310</v>
      </c>
      <c r="Q4086" t="s">
        <v>310</v>
      </c>
      <c r="R4086" t="s">
        <v>310</v>
      </c>
      <c r="S4086">
        <v>9</v>
      </c>
      <c r="T4086" t="s">
        <v>310</v>
      </c>
      <c r="U4086">
        <v>9</v>
      </c>
      <c r="V4086">
        <v>9</v>
      </c>
      <c r="W4086">
        <v>0</v>
      </c>
      <c r="X4086">
        <v>0</v>
      </c>
      <c r="Y4086">
        <v>0</v>
      </c>
      <c r="Z4086">
        <v>0</v>
      </c>
      <c r="AA4086">
        <v>9</v>
      </c>
      <c r="AB4086">
        <v>9</v>
      </c>
      <c r="AC4086" t="s">
        <v>310</v>
      </c>
      <c r="AD4086">
        <v>9</v>
      </c>
      <c r="AE4086" t="s">
        <v>1417</v>
      </c>
      <c r="AF4086">
        <v>20000000</v>
      </c>
      <c r="AG4086" t="s">
        <v>310</v>
      </c>
      <c r="AH4086">
        <f>SUM((MID(Dyno_Data[[#This Row],[Team]],4,5))+(Dyno_Data[[#This Row],[Match]]/100))</f>
        <v>3550.73</v>
      </c>
      <c r="AI4086" s="76">
        <f>ROUND(SUM(IF(Dyno_Data[[#This Row],[AcqCenter]]&gt;0,Dyno_Data[[#This Row],[Time]]-SUMIFS(Dyno_Data[Time],Dyno_Data[Team],Dyno_Data[[#This Row],[Team]],Dyno_Data[RecordType],"StartMatch",Dyno_Data[Match],Dyno_Data[[#This Row],[Match]]),0)*86400),0)</f>
        <v>0</v>
      </c>
    </row>
    <row r="4087" spans="1:35" x14ac:dyDescent="0.3">
      <c r="A4087">
        <v>4086</v>
      </c>
      <c r="B4087" t="s">
        <v>360</v>
      </c>
      <c r="C4087">
        <v>73</v>
      </c>
      <c r="D4087" s="105">
        <v>45374.470871562502</v>
      </c>
      <c r="E4087" t="s">
        <v>312</v>
      </c>
      <c r="F4087" t="s">
        <v>1402</v>
      </c>
      <c r="G4087">
        <v>0</v>
      </c>
      <c r="H4087" t="s">
        <v>315</v>
      </c>
      <c r="I4087">
        <v>0</v>
      </c>
      <c r="J4087">
        <v>0</v>
      </c>
      <c r="K4087">
        <v>0</v>
      </c>
      <c r="L4087" t="s">
        <v>242</v>
      </c>
      <c r="M4087" t="s">
        <v>1398</v>
      </c>
      <c r="N4087">
        <v>0</v>
      </c>
      <c r="O4087" t="s">
        <v>1393</v>
      </c>
      <c r="P4087" t="s">
        <v>310</v>
      </c>
      <c r="Q4087" t="s">
        <v>310</v>
      </c>
      <c r="R4087" t="s">
        <v>310</v>
      </c>
      <c r="S4087">
        <v>9</v>
      </c>
      <c r="T4087" t="s">
        <v>310</v>
      </c>
      <c r="U4087">
        <v>9</v>
      </c>
      <c r="V4087">
        <v>9</v>
      </c>
      <c r="W4087">
        <v>0</v>
      </c>
      <c r="X4087">
        <v>0</v>
      </c>
      <c r="Y4087">
        <v>0</v>
      </c>
      <c r="Z4087">
        <v>0</v>
      </c>
      <c r="AA4087">
        <v>9</v>
      </c>
      <c r="AB4087">
        <v>9</v>
      </c>
      <c r="AC4087" t="s">
        <v>310</v>
      </c>
      <c r="AD4087">
        <v>9</v>
      </c>
      <c r="AE4087" t="s">
        <v>1414</v>
      </c>
      <c r="AF4087">
        <v>70002000</v>
      </c>
      <c r="AG4087" t="s">
        <v>310</v>
      </c>
      <c r="AH4087">
        <f>SUM((MID(Dyno_Data[[#This Row],[Team]],4,5))+(Dyno_Data[[#This Row],[Match]]/100))</f>
        <v>1796.73</v>
      </c>
      <c r="AI4087" s="76">
        <f>ROUND(SUM(IF(Dyno_Data[[#This Row],[AcqCenter]]&gt;0,Dyno_Data[[#This Row],[Time]]-SUMIFS(Dyno_Data[Time],Dyno_Data[Team],Dyno_Data[[#This Row],[Team]],Dyno_Data[RecordType],"StartMatch",Dyno_Data[Match],Dyno_Data[[#This Row],[Match]]),0)*86400),0)</f>
        <v>0</v>
      </c>
    </row>
    <row r="4088" spans="1:35" x14ac:dyDescent="0.3">
      <c r="A4088">
        <v>4087</v>
      </c>
      <c r="B4088" t="s">
        <v>360</v>
      </c>
      <c r="C4088">
        <v>73</v>
      </c>
      <c r="D4088" s="105">
        <v>45374.470894826387</v>
      </c>
      <c r="E4088" t="s">
        <v>312</v>
      </c>
      <c r="F4088" t="s">
        <v>1402</v>
      </c>
      <c r="G4088">
        <v>0</v>
      </c>
      <c r="H4088" t="s">
        <v>315</v>
      </c>
      <c r="I4088">
        <v>0</v>
      </c>
      <c r="J4088">
        <v>0</v>
      </c>
      <c r="K4088">
        <v>0</v>
      </c>
      <c r="L4088" t="s">
        <v>241</v>
      </c>
      <c r="M4088" t="s">
        <v>241</v>
      </c>
      <c r="N4088">
        <v>0</v>
      </c>
      <c r="O4088" t="s">
        <v>1393</v>
      </c>
      <c r="P4088" t="s">
        <v>310</v>
      </c>
      <c r="Q4088" t="s">
        <v>310</v>
      </c>
      <c r="R4088" t="s">
        <v>310</v>
      </c>
      <c r="S4088">
        <v>9</v>
      </c>
      <c r="T4088" t="s">
        <v>310</v>
      </c>
      <c r="U4088">
        <v>9</v>
      </c>
      <c r="V4088">
        <v>9</v>
      </c>
      <c r="W4088">
        <v>0</v>
      </c>
      <c r="X4088">
        <v>0</v>
      </c>
      <c r="Y4088">
        <v>0</v>
      </c>
      <c r="Z4088">
        <v>0</v>
      </c>
      <c r="AA4088">
        <v>9</v>
      </c>
      <c r="AB4088">
        <v>9</v>
      </c>
      <c r="AC4088" t="s">
        <v>310</v>
      </c>
      <c r="AD4088">
        <v>9</v>
      </c>
      <c r="AE4088" t="s">
        <v>1414</v>
      </c>
      <c r="AF4088">
        <v>80002000</v>
      </c>
      <c r="AG4088" t="s">
        <v>310</v>
      </c>
      <c r="AH4088">
        <f>SUM((MID(Dyno_Data[[#This Row],[Team]],4,5))+(Dyno_Data[[#This Row],[Match]]/100))</f>
        <v>1796.73</v>
      </c>
      <c r="AI4088" s="76">
        <f>ROUND(SUM(IF(Dyno_Data[[#This Row],[AcqCenter]]&gt;0,Dyno_Data[[#This Row],[Time]]-SUMIFS(Dyno_Data[Time],Dyno_Data[Team],Dyno_Data[[#This Row],[Team]],Dyno_Data[RecordType],"StartMatch",Dyno_Data[Match],Dyno_Data[[#This Row],[Match]]),0)*86400),0)</f>
        <v>0</v>
      </c>
    </row>
    <row r="4089" spans="1:35" x14ac:dyDescent="0.3">
      <c r="A4089">
        <v>4088</v>
      </c>
      <c r="B4089" t="s">
        <v>1297</v>
      </c>
      <c r="C4089">
        <v>73</v>
      </c>
      <c r="D4089" s="105">
        <v>45374.470912187498</v>
      </c>
      <c r="E4089" t="s">
        <v>312</v>
      </c>
      <c r="F4089" t="s">
        <v>1402</v>
      </c>
      <c r="G4089">
        <v>0</v>
      </c>
      <c r="H4089" t="s">
        <v>315</v>
      </c>
      <c r="I4089">
        <v>0</v>
      </c>
      <c r="J4089">
        <v>0</v>
      </c>
      <c r="K4089">
        <v>0</v>
      </c>
      <c r="L4089" t="s">
        <v>241</v>
      </c>
      <c r="M4089" t="s">
        <v>101</v>
      </c>
      <c r="N4089">
        <v>0</v>
      </c>
      <c r="O4089" t="s">
        <v>1391</v>
      </c>
      <c r="P4089" t="s">
        <v>310</v>
      </c>
      <c r="Q4089" t="s">
        <v>310</v>
      </c>
      <c r="R4089" t="s">
        <v>310</v>
      </c>
      <c r="S4089">
        <v>9</v>
      </c>
      <c r="T4089" t="s">
        <v>310</v>
      </c>
      <c r="U4089">
        <v>9</v>
      </c>
      <c r="V4089">
        <v>9</v>
      </c>
      <c r="W4089">
        <v>0</v>
      </c>
      <c r="X4089">
        <v>0</v>
      </c>
      <c r="Y4089">
        <v>0</v>
      </c>
      <c r="Z4089">
        <v>0</v>
      </c>
      <c r="AA4089">
        <v>9</v>
      </c>
      <c r="AB4089">
        <v>9</v>
      </c>
      <c r="AC4089" t="s">
        <v>310</v>
      </c>
      <c r="AD4089">
        <v>9</v>
      </c>
      <c r="AE4089" t="s">
        <v>1413</v>
      </c>
      <c r="AF4089">
        <v>10000000</v>
      </c>
      <c r="AG4089" t="s">
        <v>310</v>
      </c>
      <c r="AH4089">
        <f>SUM((MID(Dyno_Data[[#This Row],[Team]],4,5))+(Dyno_Data[[#This Row],[Match]]/100))</f>
        <v>9750.73</v>
      </c>
      <c r="AI4089" s="76">
        <f>ROUND(SUM(IF(Dyno_Data[[#This Row],[AcqCenter]]&gt;0,Dyno_Data[[#This Row],[Time]]-SUMIFS(Dyno_Data[Time],Dyno_Data[Team],Dyno_Data[[#This Row],[Team]],Dyno_Data[RecordType],"StartMatch",Dyno_Data[Match],Dyno_Data[[#This Row],[Match]]),0)*86400),0)</f>
        <v>0</v>
      </c>
    </row>
    <row r="4090" spans="1:35" x14ac:dyDescent="0.3">
      <c r="A4090">
        <v>4089</v>
      </c>
      <c r="B4090" t="s">
        <v>1308</v>
      </c>
      <c r="C4090">
        <v>73</v>
      </c>
      <c r="D4090" s="105">
        <v>45374.470922187502</v>
      </c>
      <c r="E4090" t="s">
        <v>312</v>
      </c>
      <c r="F4090" t="s">
        <v>1402</v>
      </c>
      <c r="G4090">
        <v>0</v>
      </c>
      <c r="H4090" t="s">
        <v>315</v>
      </c>
      <c r="I4090">
        <v>0</v>
      </c>
      <c r="J4090">
        <v>0</v>
      </c>
      <c r="K4090">
        <v>0</v>
      </c>
      <c r="L4090" t="s">
        <v>240</v>
      </c>
      <c r="M4090" t="s">
        <v>1398</v>
      </c>
      <c r="N4090">
        <v>0</v>
      </c>
      <c r="O4090" t="s">
        <v>319</v>
      </c>
      <c r="P4090" t="s">
        <v>310</v>
      </c>
      <c r="Q4090" t="s">
        <v>310</v>
      </c>
      <c r="R4090" t="s">
        <v>310</v>
      </c>
      <c r="S4090">
        <v>9</v>
      </c>
      <c r="T4090" t="s">
        <v>310</v>
      </c>
      <c r="U4090">
        <v>9</v>
      </c>
      <c r="V4090">
        <v>9</v>
      </c>
      <c r="W4090">
        <v>0</v>
      </c>
      <c r="X4090">
        <v>0</v>
      </c>
      <c r="Y4090">
        <v>0</v>
      </c>
      <c r="Z4090">
        <v>0</v>
      </c>
      <c r="AA4090">
        <v>9</v>
      </c>
      <c r="AB4090">
        <v>9</v>
      </c>
      <c r="AC4090" t="s">
        <v>310</v>
      </c>
      <c r="AD4090">
        <v>9</v>
      </c>
      <c r="AE4090" t="s">
        <v>1416</v>
      </c>
      <c r="AF4090">
        <v>50000000</v>
      </c>
      <c r="AG4090" t="s">
        <v>310</v>
      </c>
      <c r="AH4090">
        <f>SUM((MID(Dyno_Data[[#This Row],[Team]],4,5))+(Dyno_Data[[#This Row],[Match]]/100))</f>
        <v>3799.73</v>
      </c>
      <c r="AI4090" s="76">
        <f>ROUND(SUM(IF(Dyno_Data[[#This Row],[AcqCenter]]&gt;0,Dyno_Data[[#This Row],[Time]]-SUMIFS(Dyno_Data[Time],Dyno_Data[Team],Dyno_Data[[#This Row],[Team]],Dyno_Data[RecordType],"StartMatch",Dyno_Data[Match],Dyno_Data[[#This Row],[Match]]),0)*86400),0)</f>
        <v>0</v>
      </c>
    </row>
    <row r="4091" spans="1:35" x14ac:dyDescent="0.3">
      <c r="A4091">
        <v>4090</v>
      </c>
      <c r="B4091" t="s">
        <v>1309</v>
      </c>
      <c r="C4091">
        <v>73</v>
      </c>
      <c r="D4091" s="105">
        <v>45374.470954050928</v>
      </c>
      <c r="E4091" t="s">
        <v>312</v>
      </c>
      <c r="F4091" t="s">
        <v>1402</v>
      </c>
      <c r="G4091">
        <v>0</v>
      </c>
      <c r="H4091" t="s">
        <v>315</v>
      </c>
      <c r="I4091">
        <v>0</v>
      </c>
      <c r="J4091">
        <v>0</v>
      </c>
      <c r="K4091">
        <v>0</v>
      </c>
      <c r="L4091" t="s">
        <v>241</v>
      </c>
      <c r="M4091" t="s">
        <v>1398</v>
      </c>
      <c r="N4091">
        <v>1</v>
      </c>
      <c r="O4091" t="s">
        <v>1395</v>
      </c>
      <c r="P4091" t="s">
        <v>310</v>
      </c>
      <c r="Q4091" t="s">
        <v>310</v>
      </c>
      <c r="R4091" t="s">
        <v>310</v>
      </c>
      <c r="S4091">
        <v>9</v>
      </c>
      <c r="T4091" t="s">
        <v>310</v>
      </c>
      <c r="U4091">
        <v>9</v>
      </c>
      <c r="V4091">
        <v>9</v>
      </c>
      <c r="W4091">
        <v>0</v>
      </c>
      <c r="X4091">
        <v>0</v>
      </c>
      <c r="Y4091">
        <v>0</v>
      </c>
      <c r="Z4091">
        <v>0</v>
      </c>
      <c r="AA4091">
        <v>9</v>
      </c>
      <c r="AB4091">
        <v>9</v>
      </c>
      <c r="AC4091" t="s">
        <v>310</v>
      </c>
      <c r="AD4091">
        <v>9</v>
      </c>
      <c r="AE4091" t="s">
        <v>1417</v>
      </c>
      <c r="AF4091">
        <v>30000000</v>
      </c>
      <c r="AG4091" t="s">
        <v>310</v>
      </c>
      <c r="AH4091">
        <f>SUM((MID(Dyno_Data[[#This Row],[Team]],4,5))+(Dyno_Data[[#This Row],[Match]]/100))</f>
        <v>3550.73</v>
      </c>
      <c r="AI4091" s="76">
        <f>ROUND(SUM(IF(Dyno_Data[[#This Row],[AcqCenter]]&gt;0,Dyno_Data[[#This Row],[Time]]-SUMIFS(Dyno_Data[Time],Dyno_Data[Team],Dyno_Data[[#This Row],[Team]],Dyno_Data[RecordType],"StartMatch",Dyno_Data[Match],Dyno_Data[[#This Row],[Match]]),0)*86400),0)</f>
        <v>0</v>
      </c>
    </row>
    <row r="4092" spans="1:35" x14ac:dyDescent="0.3">
      <c r="A4092">
        <v>4091</v>
      </c>
      <c r="B4092" t="s">
        <v>360</v>
      </c>
      <c r="C4092">
        <v>73</v>
      </c>
      <c r="D4092" s="105">
        <v>45374.471009340275</v>
      </c>
      <c r="E4092" t="s">
        <v>312</v>
      </c>
      <c r="F4092" t="s">
        <v>1402</v>
      </c>
      <c r="G4092">
        <v>0</v>
      </c>
      <c r="H4092" t="s">
        <v>315</v>
      </c>
      <c r="I4092">
        <v>0</v>
      </c>
      <c r="J4092">
        <v>0</v>
      </c>
      <c r="K4092">
        <v>0</v>
      </c>
      <c r="L4092" t="s">
        <v>241</v>
      </c>
      <c r="M4092" t="s">
        <v>101</v>
      </c>
      <c r="N4092">
        <v>0</v>
      </c>
      <c r="O4092" t="s">
        <v>1393</v>
      </c>
      <c r="P4092" t="s">
        <v>310</v>
      </c>
      <c r="Q4092" t="s">
        <v>310</v>
      </c>
      <c r="R4092" t="s">
        <v>310</v>
      </c>
      <c r="S4092">
        <v>9</v>
      </c>
      <c r="T4092" t="s">
        <v>310</v>
      </c>
      <c r="U4092">
        <v>9</v>
      </c>
      <c r="V4092">
        <v>9</v>
      </c>
      <c r="W4092">
        <v>0</v>
      </c>
      <c r="X4092">
        <v>0</v>
      </c>
      <c r="Y4092">
        <v>0</v>
      </c>
      <c r="Z4092">
        <v>0</v>
      </c>
      <c r="AA4092">
        <v>9</v>
      </c>
      <c r="AB4092">
        <v>9</v>
      </c>
      <c r="AC4092" t="s">
        <v>310</v>
      </c>
      <c r="AD4092">
        <v>9</v>
      </c>
      <c r="AE4092" t="s">
        <v>1414</v>
      </c>
      <c r="AF4092">
        <v>90002000</v>
      </c>
      <c r="AG4092" t="s">
        <v>310</v>
      </c>
      <c r="AH4092">
        <f>SUM((MID(Dyno_Data[[#This Row],[Team]],4,5))+(Dyno_Data[[#This Row],[Match]]/100))</f>
        <v>1796.73</v>
      </c>
      <c r="AI4092" s="76">
        <f>ROUND(SUM(IF(Dyno_Data[[#This Row],[AcqCenter]]&gt;0,Dyno_Data[[#This Row],[Time]]-SUMIFS(Dyno_Data[Time],Dyno_Data[Team],Dyno_Data[[#This Row],[Team]],Dyno_Data[RecordType],"StartMatch",Dyno_Data[Match],Dyno_Data[[#This Row],[Match]]),0)*86400),0)</f>
        <v>0</v>
      </c>
    </row>
    <row r="4093" spans="1:35" x14ac:dyDescent="0.3">
      <c r="A4093">
        <v>4092</v>
      </c>
      <c r="B4093" t="s">
        <v>1308</v>
      </c>
      <c r="C4093">
        <v>73</v>
      </c>
      <c r="D4093" s="105">
        <v>45374.471068900464</v>
      </c>
      <c r="E4093" t="s">
        <v>312</v>
      </c>
      <c r="F4093" t="s">
        <v>1402</v>
      </c>
      <c r="G4093">
        <v>0</v>
      </c>
      <c r="H4093" t="s">
        <v>315</v>
      </c>
      <c r="I4093">
        <v>0</v>
      </c>
      <c r="J4093">
        <v>0</v>
      </c>
      <c r="K4093">
        <v>0</v>
      </c>
      <c r="L4093" t="s">
        <v>240</v>
      </c>
      <c r="M4093" t="s">
        <v>1398</v>
      </c>
      <c r="N4093">
        <v>0</v>
      </c>
      <c r="O4093" t="s">
        <v>319</v>
      </c>
      <c r="P4093" t="s">
        <v>310</v>
      </c>
      <c r="Q4093" t="s">
        <v>310</v>
      </c>
      <c r="R4093" t="s">
        <v>310</v>
      </c>
      <c r="S4093">
        <v>9</v>
      </c>
      <c r="T4093" t="s">
        <v>310</v>
      </c>
      <c r="U4093">
        <v>9</v>
      </c>
      <c r="V4093">
        <v>9</v>
      </c>
      <c r="W4093">
        <v>0</v>
      </c>
      <c r="X4093">
        <v>0</v>
      </c>
      <c r="Y4093">
        <v>0</v>
      </c>
      <c r="Z4093">
        <v>0</v>
      </c>
      <c r="AA4093">
        <v>9</v>
      </c>
      <c r="AB4093">
        <v>9</v>
      </c>
      <c r="AC4093" t="s">
        <v>310</v>
      </c>
      <c r="AD4093">
        <v>9</v>
      </c>
      <c r="AE4093" t="s">
        <v>1416</v>
      </c>
      <c r="AF4093">
        <v>60000000</v>
      </c>
      <c r="AG4093" t="s">
        <v>310</v>
      </c>
      <c r="AH4093">
        <f>SUM((MID(Dyno_Data[[#This Row],[Team]],4,5))+(Dyno_Data[[#This Row],[Match]]/100))</f>
        <v>3799.73</v>
      </c>
      <c r="AI4093" s="76">
        <f>ROUND(SUM(IF(Dyno_Data[[#This Row],[AcqCenter]]&gt;0,Dyno_Data[[#This Row],[Time]]-SUMIFS(Dyno_Data[Time],Dyno_Data[Team],Dyno_Data[[#This Row],[Team]],Dyno_Data[RecordType],"StartMatch",Dyno_Data[Match],Dyno_Data[[#This Row],[Match]]),0)*86400),0)</f>
        <v>0</v>
      </c>
    </row>
    <row r="4094" spans="1:35" x14ac:dyDescent="0.3">
      <c r="A4094">
        <v>4093</v>
      </c>
      <c r="B4094" t="s">
        <v>360</v>
      </c>
      <c r="C4094">
        <v>73</v>
      </c>
      <c r="D4094" s="105">
        <v>45374.471079317133</v>
      </c>
      <c r="E4094" t="s">
        <v>312</v>
      </c>
      <c r="F4094" t="s">
        <v>1402</v>
      </c>
      <c r="G4094">
        <v>0</v>
      </c>
      <c r="H4094" t="s">
        <v>315</v>
      </c>
      <c r="I4094">
        <v>0</v>
      </c>
      <c r="J4094">
        <v>0</v>
      </c>
      <c r="K4094">
        <v>0</v>
      </c>
      <c r="L4094" t="s">
        <v>241</v>
      </c>
      <c r="M4094" t="s">
        <v>101</v>
      </c>
      <c r="N4094">
        <v>0</v>
      </c>
      <c r="O4094" t="s">
        <v>1393</v>
      </c>
      <c r="P4094" t="s">
        <v>310</v>
      </c>
      <c r="Q4094" t="s">
        <v>310</v>
      </c>
      <c r="R4094" t="s">
        <v>310</v>
      </c>
      <c r="S4094">
        <v>9</v>
      </c>
      <c r="T4094" t="s">
        <v>310</v>
      </c>
      <c r="U4094">
        <v>9</v>
      </c>
      <c r="V4094">
        <v>9</v>
      </c>
      <c r="W4094">
        <v>0</v>
      </c>
      <c r="X4094">
        <v>0</v>
      </c>
      <c r="Y4094">
        <v>0</v>
      </c>
      <c r="Z4094">
        <v>0</v>
      </c>
      <c r="AA4094">
        <v>9</v>
      </c>
      <c r="AB4094">
        <v>9</v>
      </c>
      <c r="AC4094" t="s">
        <v>310</v>
      </c>
      <c r="AD4094">
        <v>9</v>
      </c>
      <c r="AE4094" t="s">
        <v>1414</v>
      </c>
      <c r="AF4094">
        <v>100002000</v>
      </c>
      <c r="AG4094" t="s">
        <v>310</v>
      </c>
      <c r="AH4094">
        <f>SUM((MID(Dyno_Data[[#This Row],[Team]],4,5))+(Dyno_Data[[#This Row],[Match]]/100))</f>
        <v>1796.73</v>
      </c>
      <c r="AI4094" s="76">
        <f>ROUND(SUM(IF(Dyno_Data[[#This Row],[AcqCenter]]&gt;0,Dyno_Data[[#This Row],[Time]]-SUMIFS(Dyno_Data[Time],Dyno_Data[Team],Dyno_Data[[#This Row],[Team]],Dyno_Data[RecordType],"StartMatch",Dyno_Data[Match],Dyno_Data[[#This Row],[Match]]),0)*86400),0)</f>
        <v>0</v>
      </c>
    </row>
    <row r="4095" spans="1:35" x14ac:dyDescent="0.3">
      <c r="A4095">
        <v>4094</v>
      </c>
      <c r="B4095" t="s">
        <v>1303</v>
      </c>
      <c r="C4095">
        <v>73</v>
      </c>
      <c r="D4095" s="105">
        <v>45374.471087384256</v>
      </c>
      <c r="E4095" t="s">
        <v>312</v>
      </c>
      <c r="F4095" t="s">
        <v>1402</v>
      </c>
      <c r="G4095">
        <v>0</v>
      </c>
      <c r="H4095" t="s">
        <v>315</v>
      </c>
      <c r="I4095">
        <v>0</v>
      </c>
      <c r="J4095">
        <v>0</v>
      </c>
      <c r="K4095">
        <v>0</v>
      </c>
      <c r="L4095" t="s">
        <v>241</v>
      </c>
      <c r="M4095" t="s">
        <v>1398</v>
      </c>
      <c r="N4095">
        <v>0</v>
      </c>
      <c r="O4095" t="s">
        <v>1389</v>
      </c>
      <c r="P4095" t="s">
        <v>310</v>
      </c>
      <c r="Q4095" t="s">
        <v>310</v>
      </c>
      <c r="R4095" t="s">
        <v>310</v>
      </c>
      <c r="S4095">
        <v>9</v>
      </c>
      <c r="T4095" t="s">
        <v>310</v>
      </c>
      <c r="U4095">
        <v>9</v>
      </c>
      <c r="V4095">
        <v>9</v>
      </c>
      <c r="W4095">
        <v>0</v>
      </c>
      <c r="X4095">
        <v>0</v>
      </c>
      <c r="Y4095">
        <v>0</v>
      </c>
      <c r="Z4095">
        <v>0</v>
      </c>
      <c r="AA4095">
        <v>9</v>
      </c>
      <c r="AB4095">
        <v>9</v>
      </c>
      <c r="AC4095" t="s">
        <v>310</v>
      </c>
      <c r="AD4095">
        <v>9</v>
      </c>
      <c r="AE4095" t="s">
        <v>1412</v>
      </c>
      <c r="AF4095">
        <v>20000000</v>
      </c>
      <c r="AG4095" t="s">
        <v>310</v>
      </c>
      <c r="AH4095">
        <f>SUM((MID(Dyno_Data[[#This Row],[Team]],4,5))+(Dyno_Data[[#This Row],[Match]]/100))</f>
        <v>7605.73</v>
      </c>
      <c r="AI4095" s="76">
        <f>ROUND(SUM(IF(Dyno_Data[[#This Row],[AcqCenter]]&gt;0,Dyno_Data[[#This Row],[Time]]-SUMIFS(Dyno_Data[Time],Dyno_Data[Team],Dyno_Data[[#This Row],[Team]],Dyno_Data[RecordType],"StartMatch",Dyno_Data[Match],Dyno_Data[[#This Row],[Match]]),0)*86400),0)</f>
        <v>0</v>
      </c>
    </row>
    <row r="4096" spans="1:35" x14ac:dyDescent="0.3">
      <c r="A4096">
        <v>4095</v>
      </c>
      <c r="B4096" t="s">
        <v>1309</v>
      </c>
      <c r="C4096">
        <v>73</v>
      </c>
      <c r="D4096" s="105">
        <v>45374.4711803588</v>
      </c>
      <c r="E4096" t="s">
        <v>312</v>
      </c>
      <c r="F4096" t="s">
        <v>1402</v>
      </c>
      <c r="G4096">
        <v>0</v>
      </c>
      <c r="H4096" t="s">
        <v>315</v>
      </c>
      <c r="I4096">
        <v>0</v>
      </c>
      <c r="J4096">
        <v>0</v>
      </c>
      <c r="K4096">
        <v>0</v>
      </c>
      <c r="L4096" t="s">
        <v>241</v>
      </c>
      <c r="M4096" t="s">
        <v>101</v>
      </c>
      <c r="N4096">
        <v>0</v>
      </c>
      <c r="O4096" t="s">
        <v>1395</v>
      </c>
      <c r="P4096" t="s">
        <v>310</v>
      </c>
      <c r="Q4096" t="s">
        <v>310</v>
      </c>
      <c r="R4096" t="s">
        <v>310</v>
      </c>
      <c r="S4096">
        <v>9</v>
      </c>
      <c r="T4096" t="s">
        <v>310</v>
      </c>
      <c r="U4096">
        <v>9</v>
      </c>
      <c r="V4096">
        <v>9</v>
      </c>
      <c r="W4096">
        <v>0</v>
      </c>
      <c r="X4096">
        <v>0</v>
      </c>
      <c r="Y4096">
        <v>0</v>
      </c>
      <c r="Z4096">
        <v>0</v>
      </c>
      <c r="AA4096">
        <v>9</v>
      </c>
      <c r="AB4096">
        <v>9</v>
      </c>
      <c r="AC4096" t="s">
        <v>310</v>
      </c>
      <c r="AD4096">
        <v>9</v>
      </c>
      <c r="AE4096" t="s">
        <v>1417</v>
      </c>
      <c r="AF4096">
        <v>40000000</v>
      </c>
      <c r="AG4096" t="s">
        <v>310</v>
      </c>
      <c r="AH4096">
        <f>SUM((MID(Dyno_Data[[#This Row],[Team]],4,5))+(Dyno_Data[[#This Row],[Match]]/100))</f>
        <v>3550.73</v>
      </c>
      <c r="AI4096" s="76">
        <f>ROUND(SUM(IF(Dyno_Data[[#This Row],[AcqCenter]]&gt;0,Dyno_Data[[#This Row],[Time]]-SUMIFS(Dyno_Data[Time],Dyno_Data[Team],Dyno_Data[[#This Row],[Team]],Dyno_Data[RecordType],"StartMatch",Dyno_Data[Match],Dyno_Data[[#This Row],[Match]]),0)*86400),0)</f>
        <v>0</v>
      </c>
    </row>
    <row r="4097" spans="1:35" x14ac:dyDescent="0.3">
      <c r="A4097">
        <v>4096</v>
      </c>
      <c r="B4097" t="s">
        <v>360</v>
      </c>
      <c r="C4097">
        <v>73</v>
      </c>
      <c r="D4097" s="105">
        <v>45374.471190393517</v>
      </c>
      <c r="E4097" t="s">
        <v>312</v>
      </c>
      <c r="F4097" t="s">
        <v>1402</v>
      </c>
      <c r="G4097">
        <v>0</v>
      </c>
      <c r="H4097" t="s">
        <v>315</v>
      </c>
      <c r="I4097">
        <v>0</v>
      </c>
      <c r="J4097">
        <v>0</v>
      </c>
      <c r="K4097">
        <v>0</v>
      </c>
      <c r="L4097" t="s">
        <v>241</v>
      </c>
      <c r="M4097" t="s">
        <v>1398</v>
      </c>
      <c r="N4097">
        <v>1</v>
      </c>
      <c r="O4097" t="s">
        <v>1393</v>
      </c>
      <c r="P4097" t="s">
        <v>310</v>
      </c>
      <c r="Q4097" t="s">
        <v>310</v>
      </c>
      <c r="R4097" t="s">
        <v>310</v>
      </c>
      <c r="S4097">
        <v>9</v>
      </c>
      <c r="T4097" t="s">
        <v>310</v>
      </c>
      <c r="U4097">
        <v>9</v>
      </c>
      <c r="V4097">
        <v>9</v>
      </c>
      <c r="W4097">
        <v>0</v>
      </c>
      <c r="X4097">
        <v>0</v>
      </c>
      <c r="Y4097">
        <v>0</v>
      </c>
      <c r="Z4097">
        <v>0</v>
      </c>
      <c r="AA4097">
        <v>9</v>
      </c>
      <c r="AB4097">
        <v>9</v>
      </c>
      <c r="AC4097" t="s">
        <v>310</v>
      </c>
      <c r="AD4097">
        <v>9</v>
      </c>
      <c r="AE4097" t="s">
        <v>1414</v>
      </c>
      <c r="AF4097">
        <v>110002000</v>
      </c>
      <c r="AG4097" t="s">
        <v>310</v>
      </c>
      <c r="AH4097">
        <f>SUM((MID(Dyno_Data[[#This Row],[Team]],4,5))+(Dyno_Data[[#This Row],[Match]]/100))</f>
        <v>1796.73</v>
      </c>
      <c r="AI4097" s="76">
        <f>ROUND(SUM(IF(Dyno_Data[[#This Row],[AcqCenter]]&gt;0,Dyno_Data[[#This Row],[Time]]-SUMIFS(Dyno_Data[Time],Dyno_Data[Team],Dyno_Data[[#This Row],[Team]],Dyno_Data[RecordType],"StartMatch",Dyno_Data[Match],Dyno_Data[[#This Row],[Match]]),0)*86400),0)</f>
        <v>0</v>
      </c>
    </row>
    <row r="4098" spans="1:35" x14ac:dyDescent="0.3">
      <c r="A4098">
        <v>4097</v>
      </c>
      <c r="B4098" t="s">
        <v>1308</v>
      </c>
      <c r="C4098">
        <v>73</v>
      </c>
      <c r="D4098" s="105">
        <v>45374.471199386571</v>
      </c>
      <c r="E4098" t="s">
        <v>312</v>
      </c>
      <c r="F4098" t="s">
        <v>1402</v>
      </c>
      <c r="G4098">
        <v>0</v>
      </c>
      <c r="H4098" t="s">
        <v>315</v>
      </c>
      <c r="I4098">
        <v>0</v>
      </c>
      <c r="J4098">
        <v>0</v>
      </c>
      <c r="K4098">
        <v>0</v>
      </c>
      <c r="L4098" t="s">
        <v>240</v>
      </c>
      <c r="M4098" t="s">
        <v>1398</v>
      </c>
      <c r="N4098">
        <v>0</v>
      </c>
      <c r="O4098" t="s">
        <v>319</v>
      </c>
      <c r="P4098" t="s">
        <v>310</v>
      </c>
      <c r="Q4098" t="s">
        <v>310</v>
      </c>
      <c r="R4098" t="s">
        <v>310</v>
      </c>
      <c r="S4098">
        <v>9</v>
      </c>
      <c r="T4098" t="s">
        <v>310</v>
      </c>
      <c r="U4098">
        <v>9</v>
      </c>
      <c r="V4098">
        <v>9</v>
      </c>
      <c r="W4098">
        <v>0</v>
      </c>
      <c r="X4098">
        <v>0</v>
      </c>
      <c r="Y4098">
        <v>0</v>
      </c>
      <c r="Z4098">
        <v>0</v>
      </c>
      <c r="AA4098">
        <v>9</v>
      </c>
      <c r="AB4098">
        <v>9</v>
      </c>
      <c r="AC4098" t="s">
        <v>310</v>
      </c>
      <c r="AD4098">
        <v>9</v>
      </c>
      <c r="AE4098" t="s">
        <v>1416</v>
      </c>
      <c r="AF4098">
        <v>70000000</v>
      </c>
      <c r="AG4098" t="s">
        <v>310</v>
      </c>
      <c r="AH4098">
        <f>SUM((MID(Dyno_Data[[#This Row],[Team]],4,5))+(Dyno_Data[[#This Row],[Match]]/100))</f>
        <v>3799.73</v>
      </c>
      <c r="AI4098" s="76">
        <f>ROUND(SUM(IF(Dyno_Data[[#This Row],[AcqCenter]]&gt;0,Dyno_Data[[#This Row],[Time]]-SUMIFS(Dyno_Data[Time],Dyno_Data[Team],Dyno_Data[[#This Row],[Team]],Dyno_Data[RecordType],"StartMatch",Dyno_Data[Match],Dyno_Data[[#This Row],[Match]]),0)*86400),0)</f>
        <v>0</v>
      </c>
    </row>
    <row r="4099" spans="1:35" x14ac:dyDescent="0.3">
      <c r="A4099">
        <v>4098</v>
      </c>
      <c r="B4099" t="s">
        <v>360</v>
      </c>
      <c r="C4099">
        <v>73</v>
      </c>
      <c r="D4099" s="105">
        <v>45374.471241550928</v>
      </c>
      <c r="E4099" t="s">
        <v>312</v>
      </c>
      <c r="F4099" t="s">
        <v>1402</v>
      </c>
      <c r="G4099">
        <v>0</v>
      </c>
      <c r="H4099" t="s">
        <v>315</v>
      </c>
      <c r="I4099">
        <v>0</v>
      </c>
      <c r="J4099">
        <v>0</v>
      </c>
      <c r="K4099">
        <v>0</v>
      </c>
      <c r="L4099" t="s">
        <v>241</v>
      </c>
      <c r="M4099" t="s">
        <v>101</v>
      </c>
      <c r="N4099">
        <v>0</v>
      </c>
      <c r="O4099" t="s">
        <v>1393</v>
      </c>
      <c r="P4099" t="s">
        <v>310</v>
      </c>
      <c r="Q4099" t="s">
        <v>310</v>
      </c>
      <c r="R4099" t="s">
        <v>310</v>
      </c>
      <c r="S4099">
        <v>9</v>
      </c>
      <c r="T4099" t="s">
        <v>310</v>
      </c>
      <c r="U4099">
        <v>9</v>
      </c>
      <c r="V4099">
        <v>9</v>
      </c>
      <c r="W4099">
        <v>0</v>
      </c>
      <c r="X4099">
        <v>0</v>
      </c>
      <c r="Y4099">
        <v>0</v>
      </c>
      <c r="Z4099">
        <v>0</v>
      </c>
      <c r="AA4099">
        <v>9</v>
      </c>
      <c r="AB4099">
        <v>9</v>
      </c>
      <c r="AC4099" t="s">
        <v>310</v>
      </c>
      <c r="AD4099">
        <v>9</v>
      </c>
      <c r="AE4099" t="s">
        <v>1414</v>
      </c>
      <c r="AF4099">
        <v>120002000</v>
      </c>
      <c r="AG4099" t="s">
        <v>310</v>
      </c>
      <c r="AH4099">
        <f>SUM((MID(Dyno_Data[[#This Row],[Team]],4,5))+(Dyno_Data[[#This Row],[Match]]/100))</f>
        <v>1796.73</v>
      </c>
      <c r="AI4099" s="76">
        <f>ROUND(SUM(IF(Dyno_Data[[#This Row],[AcqCenter]]&gt;0,Dyno_Data[[#This Row],[Time]]-SUMIFS(Dyno_Data[Time],Dyno_Data[Team],Dyno_Data[[#This Row],[Team]],Dyno_Data[RecordType],"StartMatch",Dyno_Data[Match],Dyno_Data[[#This Row],[Match]]),0)*86400),0)</f>
        <v>0</v>
      </c>
    </row>
    <row r="4100" spans="1:35" x14ac:dyDescent="0.3">
      <c r="A4100">
        <v>4099</v>
      </c>
      <c r="B4100" t="s">
        <v>1297</v>
      </c>
      <c r="C4100">
        <v>73</v>
      </c>
      <c r="D4100" s="105">
        <v>45374.471340706019</v>
      </c>
      <c r="E4100" t="s">
        <v>312</v>
      </c>
      <c r="F4100" t="s">
        <v>1402</v>
      </c>
      <c r="G4100">
        <v>0</v>
      </c>
      <c r="H4100" t="s">
        <v>315</v>
      </c>
      <c r="I4100">
        <v>0</v>
      </c>
      <c r="J4100">
        <v>0</v>
      </c>
      <c r="K4100">
        <v>0</v>
      </c>
      <c r="L4100" t="s">
        <v>241</v>
      </c>
      <c r="M4100" t="s">
        <v>101</v>
      </c>
      <c r="N4100">
        <v>0</v>
      </c>
      <c r="O4100" t="s">
        <v>1391</v>
      </c>
      <c r="P4100" t="s">
        <v>310</v>
      </c>
      <c r="Q4100" t="s">
        <v>310</v>
      </c>
      <c r="R4100" t="s">
        <v>310</v>
      </c>
      <c r="S4100">
        <v>9</v>
      </c>
      <c r="T4100" t="s">
        <v>310</v>
      </c>
      <c r="U4100">
        <v>9</v>
      </c>
      <c r="V4100">
        <v>9</v>
      </c>
      <c r="W4100">
        <v>0</v>
      </c>
      <c r="X4100">
        <v>0</v>
      </c>
      <c r="Y4100">
        <v>0</v>
      </c>
      <c r="Z4100">
        <v>0</v>
      </c>
      <c r="AA4100">
        <v>9</v>
      </c>
      <c r="AB4100">
        <v>9</v>
      </c>
      <c r="AC4100" t="s">
        <v>310</v>
      </c>
      <c r="AD4100">
        <v>9</v>
      </c>
      <c r="AE4100" t="s">
        <v>1413</v>
      </c>
      <c r="AF4100">
        <v>20000000</v>
      </c>
      <c r="AG4100" t="s">
        <v>310</v>
      </c>
      <c r="AH4100">
        <f>SUM((MID(Dyno_Data[[#This Row],[Team]],4,5))+(Dyno_Data[[#This Row],[Match]]/100))</f>
        <v>9750.73</v>
      </c>
      <c r="AI4100" s="76">
        <f>ROUND(SUM(IF(Dyno_Data[[#This Row],[AcqCenter]]&gt;0,Dyno_Data[[#This Row],[Time]]-SUMIFS(Dyno_Data[Time],Dyno_Data[Team],Dyno_Data[[#This Row],[Team]],Dyno_Data[RecordType],"StartMatch",Dyno_Data[Match],Dyno_Data[[#This Row],[Match]]),0)*86400),0)</f>
        <v>0</v>
      </c>
    </row>
    <row r="4101" spans="1:35" x14ac:dyDescent="0.3">
      <c r="A4101">
        <v>4100</v>
      </c>
      <c r="B4101" t="s">
        <v>1308</v>
      </c>
      <c r="C4101">
        <v>73</v>
      </c>
      <c r="D4101" s="105">
        <v>45374.47139421296</v>
      </c>
      <c r="E4101" t="s">
        <v>312</v>
      </c>
      <c r="F4101" t="s">
        <v>1402</v>
      </c>
      <c r="G4101">
        <v>0</v>
      </c>
      <c r="H4101" t="s">
        <v>315</v>
      </c>
      <c r="I4101">
        <v>0</v>
      </c>
      <c r="J4101">
        <v>0</v>
      </c>
      <c r="K4101">
        <v>0</v>
      </c>
      <c r="L4101" t="s">
        <v>240</v>
      </c>
      <c r="M4101" t="s">
        <v>1398</v>
      </c>
      <c r="N4101">
        <v>0</v>
      </c>
      <c r="O4101" t="s">
        <v>319</v>
      </c>
      <c r="P4101" t="s">
        <v>310</v>
      </c>
      <c r="Q4101" t="s">
        <v>310</v>
      </c>
      <c r="R4101" t="s">
        <v>310</v>
      </c>
      <c r="S4101">
        <v>9</v>
      </c>
      <c r="T4101" t="s">
        <v>310</v>
      </c>
      <c r="U4101">
        <v>9</v>
      </c>
      <c r="V4101">
        <v>9</v>
      </c>
      <c r="W4101">
        <v>0</v>
      </c>
      <c r="X4101">
        <v>0</v>
      </c>
      <c r="Y4101">
        <v>0</v>
      </c>
      <c r="Z4101">
        <v>0</v>
      </c>
      <c r="AA4101">
        <v>9</v>
      </c>
      <c r="AB4101">
        <v>9</v>
      </c>
      <c r="AC4101" t="s">
        <v>310</v>
      </c>
      <c r="AD4101">
        <v>9</v>
      </c>
      <c r="AE4101" t="s">
        <v>1416</v>
      </c>
      <c r="AF4101">
        <v>80000000</v>
      </c>
      <c r="AG4101" t="s">
        <v>310</v>
      </c>
      <c r="AH4101">
        <f>SUM((MID(Dyno_Data[[#This Row],[Team]],4,5))+(Dyno_Data[[#This Row],[Match]]/100))</f>
        <v>3799.73</v>
      </c>
      <c r="AI4101" s="76">
        <f>ROUND(SUM(IF(Dyno_Data[[#This Row],[AcqCenter]]&gt;0,Dyno_Data[[#This Row],[Time]]-SUMIFS(Dyno_Data[Time],Dyno_Data[Team],Dyno_Data[[#This Row],[Team]],Dyno_Data[RecordType],"StartMatch",Dyno_Data[Match],Dyno_Data[[#This Row],[Match]]),0)*86400),0)</f>
        <v>0</v>
      </c>
    </row>
    <row r="4102" spans="1:35" x14ac:dyDescent="0.3">
      <c r="A4102">
        <v>4101</v>
      </c>
      <c r="B4102" t="s">
        <v>360</v>
      </c>
      <c r="C4102">
        <v>73</v>
      </c>
      <c r="D4102" s="105">
        <v>45374.471401736111</v>
      </c>
      <c r="E4102" t="s">
        <v>312</v>
      </c>
      <c r="F4102" t="s">
        <v>1402</v>
      </c>
      <c r="G4102">
        <v>0</v>
      </c>
      <c r="H4102" t="s">
        <v>315</v>
      </c>
      <c r="I4102">
        <v>0</v>
      </c>
      <c r="J4102">
        <v>0</v>
      </c>
      <c r="K4102">
        <v>0</v>
      </c>
      <c r="L4102" t="s">
        <v>241</v>
      </c>
      <c r="M4102" t="s">
        <v>1398</v>
      </c>
      <c r="N4102">
        <v>0</v>
      </c>
      <c r="O4102" t="s">
        <v>1393</v>
      </c>
      <c r="P4102" t="s">
        <v>310</v>
      </c>
      <c r="Q4102" t="s">
        <v>310</v>
      </c>
      <c r="R4102" t="s">
        <v>310</v>
      </c>
      <c r="S4102">
        <v>9</v>
      </c>
      <c r="T4102" t="s">
        <v>310</v>
      </c>
      <c r="U4102">
        <v>9</v>
      </c>
      <c r="V4102">
        <v>9</v>
      </c>
      <c r="W4102">
        <v>0</v>
      </c>
      <c r="X4102">
        <v>0</v>
      </c>
      <c r="Y4102">
        <v>0</v>
      </c>
      <c r="Z4102">
        <v>0</v>
      </c>
      <c r="AA4102">
        <v>9</v>
      </c>
      <c r="AB4102">
        <v>9</v>
      </c>
      <c r="AC4102" t="s">
        <v>310</v>
      </c>
      <c r="AD4102">
        <v>9</v>
      </c>
      <c r="AE4102" t="s">
        <v>1414</v>
      </c>
      <c r="AF4102">
        <v>130002000</v>
      </c>
      <c r="AG4102" t="s">
        <v>310</v>
      </c>
      <c r="AH4102">
        <f>SUM((MID(Dyno_Data[[#This Row],[Team]],4,5))+(Dyno_Data[[#This Row],[Match]]/100))</f>
        <v>1796.73</v>
      </c>
      <c r="AI4102" s="76">
        <f>ROUND(SUM(IF(Dyno_Data[[#This Row],[AcqCenter]]&gt;0,Dyno_Data[[#This Row],[Time]]-SUMIFS(Dyno_Data[Time],Dyno_Data[Team],Dyno_Data[[#This Row],[Team]],Dyno_Data[RecordType],"StartMatch",Dyno_Data[Match],Dyno_Data[[#This Row],[Match]]),0)*86400),0)</f>
        <v>0</v>
      </c>
    </row>
    <row r="4103" spans="1:35" x14ac:dyDescent="0.3">
      <c r="A4103">
        <v>4102</v>
      </c>
      <c r="B4103" t="s">
        <v>1303</v>
      </c>
      <c r="C4103">
        <v>73</v>
      </c>
      <c r="D4103" s="105">
        <v>45374.471417627312</v>
      </c>
      <c r="E4103" t="s">
        <v>312</v>
      </c>
      <c r="F4103" t="s">
        <v>1402</v>
      </c>
      <c r="G4103">
        <v>0</v>
      </c>
      <c r="H4103" t="s">
        <v>315</v>
      </c>
      <c r="I4103">
        <v>0</v>
      </c>
      <c r="J4103">
        <v>0</v>
      </c>
      <c r="K4103">
        <v>0</v>
      </c>
      <c r="L4103" t="s">
        <v>241</v>
      </c>
      <c r="M4103" t="s">
        <v>1398</v>
      </c>
      <c r="N4103">
        <v>0</v>
      </c>
      <c r="O4103" t="s">
        <v>1389</v>
      </c>
      <c r="P4103" t="s">
        <v>310</v>
      </c>
      <c r="Q4103" t="s">
        <v>310</v>
      </c>
      <c r="R4103" t="s">
        <v>310</v>
      </c>
      <c r="S4103">
        <v>9</v>
      </c>
      <c r="T4103" t="s">
        <v>310</v>
      </c>
      <c r="U4103">
        <v>9</v>
      </c>
      <c r="V4103">
        <v>9</v>
      </c>
      <c r="W4103">
        <v>0</v>
      </c>
      <c r="X4103">
        <v>0</v>
      </c>
      <c r="Y4103">
        <v>0</v>
      </c>
      <c r="Z4103">
        <v>0</v>
      </c>
      <c r="AA4103">
        <v>9</v>
      </c>
      <c r="AB4103">
        <v>9</v>
      </c>
      <c r="AC4103" t="s">
        <v>310</v>
      </c>
      <c r="AD4103">
        <v>9</v>
      </c>
      <c r="AE4103" t="s">
        <v>1412</v>
      </c>
      <c r="AF4103">
        <v>30000000</v>
      </c>
      <c r="AG4103" t="s">
        <v>310</v>
      </c>
      <c r="AH4103">
        <f>SUM((MID(Dyno_Data[[#This Row],[Team]],4,5))+(Dyno_Data[[#This Row],[Match]]/100))</f>
        <v>7605.73</v>
      </c>
      <c r="AI4103" s="76">
        <f>ROUND(SUM(IF(Dyno_Data[[#This Row],[AcqCenter]]&gt;0,Dyno_Data[[#This Row],[Time]]-SUMIFS(Dyno_Data[Time],Dyno_Data[Team],Dyno_Data[[#This Row],[Team]],Dyno_Data[RecordType],"StartMatch",Dyno_Data[Match],Dyno_Data[[#This Row],[Match]]),0)*86400),0)</f>
        <v>0</v>
      </c>
    </row>
    <row r="4104" spans="1:35" x14ac:dyDescent="0.3">
      <c r="A4104">
        <v>4103</v>
      </c>
      <c r="B4104" t="s">
        <v>1309</v>
      </c>
      <c r="C4104">
        <v>73</v>
      </c>
      <c r="D4104" s="105">
        <v>45374.471450196761</v>
      </c>
      <c r="E4104" t="s">
        <v>312</v>
      </c>
      <c r="F4104" t="s">
        <v>1402</v>
      </c>
      <c r="G4104">
        <v>0</v>
      </c>
      <c r="H4104" t="s">
        <v>315</v>
      </c>
      <c r="I4104">
        <v>0</v>
      </c>
      <c r="J4104">
        <v>0</v>
      </c>
      <c r="K4104">
        <v>0</v>
      </c>
      <c r="L4104" t="s">
        <v>241</v>
      </c>
      <c r="M4104" t="s">
        <v>101</v>
      </c>
      <c r="N4104">
        <v>0</v>
      </c>
      <c r="O4104" t="s">
        <v>1395</v>
      </c>
      <c r="P4104" t="s">
        <v>310</v>
      </c>
      <c r="Q4104" t="s">
        <v>310</v>
      </c>
      <c r="R4104" t="s">
        <v>310</v>
      </c>
      <c r="S4104">
        <v>9</v>
      </c>
      <c r="T4104" t="s">
        <v>310</v>
      </c>
      <c r="U4104">
        <v>9</v>
      </c>
      <c r="V4104">
        <v>9</v>
      </c>
      <c r="W4104">
        <v>0</v>
      </c>
      <c r="X4104">
        <v>0</v>
      </c>
      <c r="Y4104">
        <v>0</v>
      </c>
      <c r="Z4104">
        <v>0</v>
      </c>
      <c r="AA4104">
        <v>9</v>
      </c>
      <c r="AB4104">
        <v>9</v>
      </c>
      <c r="AC4104" t="s">
        <v>310</v>
      </c>
      <c r="AD4104">
        <v>9</v>
      </c>
      <c r="AE4104" t="s">
        <v>1417</v>
      </c>
      <c r="AF4104">
        <v>50000000</v>
      </c>
      <c r="AG4104" t="s">
        <v>310</v>
      </c>
      <c r="AH4104">
        <f>SUM((MID(Dyno_Data[[#This Row],[Team]],4,5))+(Dyno_Data[[#This Row],[Match]]/100))</f>
        <v>3550.73</v>
      </c>
      <c r="AI4104" s="76">
        <f>ROUND(SUM(IF(Dyno_Data[[#This Row],[AcqCenter]]&gt;0,Dyno_Data[[#This Row],[Time]]-SUMIFS(Dyno_Data[Time],Dyno_Data[Team],Dyno_Data[[#This Row],[Team]],Dyno_Data[RecordType],"StartMatch",Dyno_Data[Match],Dyno_Data[[#This Row],[Match]]),0)*86400),0)</f>
        <v>0</v>
      </c>
    </row>
    <row r="4105" spans="1:35" x14ac:dyDescent="0.3">
      <c r="A4105">
        <v>4104</v>
      </c>
      <c r="B4105" t="s">
        <v>360</v>
      </c>
      <c r="C4105">
        <v>73</v>
      </c>
      <c r="D4105" s="105">
        <v>45374.471519293984</v>
      </c>
      <c r="E4105" t="s">
        <v>312</v>
      </c>
      <c r="F4105" t="s">
        <v>1402</v>
      </c>
      <c r="G4105">
        <v>0</v>
      </c>
      <c r="H4105" t="s">
        <v>315</v>
      </c>
      <c r="I4105">
        <v>0</v>
      </c>
      <c r="J4105">
        <v>0</v>
      </c>
      <c r="K4105">
        <v>0</v>
      </c>
      <c r="L4105" t="s">
        <v>241</v>
      </c>
      <c r="M4105" t="s">
        <v>1398</v>
      </c>
      <c r="N4105">
        <v>1</v>
      </c>
      <c r="O4105" t="s">
        <v>1393</v>
      </c>
      <c r="P4105" t="s">
        <v>310</v>
      </c>
      <c r="Q4105" t="s">
        <v>310</v>
      </c>
      <c r="R4105" t="s">
        <v>310</v>
      </c>
      <c r="S4105">
        <v>9</v>
      </c>
      <c r="T4105" t="s">
        <v>310</v>
      </c>
      <c r="U4105">
        <v>9</v>
      </c>
      <c r="V4105">
        <v>9</v>
      </c>
      <c r="W4105">
        <v>0</v>
      </c>
      <c r="X4105">
        <v>0</v>
      </c>
      <c r="Y4105">
        <v>0</v>
      </c>
      <c r="Z4105">
        <v>0</v>
      </c>
      <c r="AA4105">
        <v>9</v>
      </c>
      <c r="AB4105">
        <v>9</v>
      </c>
      <c r="AC4105" t="s">
        <v>310</v>
      </c>
      <c r="AD4105">
        <v>9</v>
      </c>
      <c r="AE4105" t="s">
        <v>1414</v>
      </c>
      <c r="AF4105">
        <v>140002000</v>
      </c>
      <c r="AG4105" t="s">
        <v>310</v>
      </c>
      <c r="AH4105">
        <f>SUM((MID(Dyno_Data[[#This Row],[Team]],4,5))+(Dyno_Data[[#This Row],[Match]]/100))</f>
        <v>1796.73</v>
      </c>
      <c r="AI4105" s="76">
        <f>ROUND(SUM(IF(Dyno_Data[[#This Row],[AcqCenter]]&gt;0,Dyno_Data[[#This Row],[Time]]-SUMIFS(Dyno_Data[Time],Dyno_Data[Team],Dyno_Data[[#This Row],[Team]],Dyno_Data[RecordType],"StartMatch",Dyno_Data[Match],Dyno_Data[[#This Row],[Match]]),0)*86400),0)</f>
        <v>0</v>
      </c>
    </row>
    <row r="4106" spans="1:35" x14ac:dyDescent="0.3">
      <c r="A4106">
        <v>4105</v>
      </c>
      <c r="B4106" t="s">
        <v>1297</v>
      </c>
      <c r="C4106">
        <v>73</v>
      </c>
      <c r="D4106" s="105">
        <v>45374.47152997685</v>
      </c>
      <c r="E4106" t="s">
        <v>312</v>
      </c>
      <c r="F4106" t="s">
        <v>1402</v>
      </c>
      <c r="G4106">
        <v>0</v>
      </c>
      <c r="H4106" t="s">
        <v>315</v>
      </c>
      <c r="I4106">
        <v>0</v>
      </c>
      <c r="J4106">
        <v>0</v>
      </c>
      <c r="K4106">
        <v>0</v>
      </c>
      <c r="L4106" t="s">
        <v>241</v>
      </c>
      <c r="M4106" t="s">
        <v>1398</v>
      </c>
      <c r="N4106">
        <v>0</v>
      </c>
      <c r="O4106" t="s">
        <v>1391</v>
      </c>
      <c r="P4106" t="s">
        <v>310</v>
      </c>
      <c r="Q4106" t="s">
        <v>310</v>
      </c>
      <c r="R4106" t="s">
        <v>310</v>
      </c>
      <c r="S4106">
        <v>9</v>
      </c>
      <c r="T4106" t="s">
        <v>310</v>
      </c>
      <c r="U4106">
        <v>9</v>
      </c>
      <c r="V4106">
        <v>9</v>
      </c>
      <c r="W4106">
        <v>0</v>
      </c>
      <c r="X4106">
        <v>0</v>
      </c>
      <c r="Y4106">
        <v>0</v>
      </c>
      <c r="Z4106">
        <v>0</v>
      </c>
      <c r="AA4106">
        <v>9</v>
      </c>
      <c r="AB4106">
        <v>9</v>
      </c>
      <c r="AC4106" t="s">
        <v>310</v>
      </c>
      <c r="AD4106">
        <v>9</v>
      </c>
      <c r="AE4106" t="s">
        <v>1413</v>
      </c>
      <c r="AF4106">
        <v>30000000</v>
      </c>
      <c r="AG4106" t="s">
        <v>310</v>
      </c>
      <c r="AH4106">
        <f>SUM((MID(Dyno_Data[[#This Row],[Team]],4,5))+(Dyno_Data[[#This Row],[Match]]/100))</f>
        <v>9750.73</v>
      </c>
      <c r="AI4106" s="76">
        <f>ROUND(SUM(IF(Dyno_Data[[#This Row],[AcqCenter]]&gt;0,Dyno_Data[[#This Row],[Time]]-SUMIFS(Dyno_Data[Time],Dyno_Data[Team],Dyno_Data[[#This Row],[Team]],Dyno_Data[RecordType],"StartMatch",Dyno_Data[Match],Dyno_Data[[#This Row],[Match]]),0)*86400),0)</f>
        <v>0</v>
      </c>
    </row>
    <row r="4107" spans="1:35" x14ac:dyDescent="0.3">
      <c r="A4107">
        <v>4106</v>
      </c>
      <c r="B4107" t="s">
        <v>360</v>
      </c>
      <c r="C4107">
        <v>73</v>
      </c>
      <c r="D4107" s="105">
        <v>45374.47155775463</v>
      </c>
      <c r="E4107" t="s">
        <v>312</v>
      </c>
      <c r="F4107" t="s">
        <v>1402</v>
      </c>
      <c r="G4107">
        <v>0</v>
      </c>
      <c r="H4107" t="s">
        <v>315</v>
      </c>
      <c r="I4107">
        <v>0</v>
      </c>
      <c r="J4107">
        <v>0</v>
      </c>
      <c r="K4107">
        <v>0</v>
      </c>
      <c r="L4107" t="s">
        <v>241</v>
      </c>
      <c r="M4107" t="s">
        <v>1398</v>
      </c>
      <c r="N4107">
        <v>0</v>
      </c>
      <c r="O4107" t="s">
        <v>1393</v>
      </c>
      <c r="P4107" t="s">
        <v>310</v>
      </c>
      <c r="Q4107" t="s">
        <v>310</v>
      </c>
      <c r="R4107" t="s">
        <v>310</v>
      </c>
      <c r="S4107">
        <v>9</v>
      </c>
      <c r="T4107" t="s">
        <v>310</v>
      </c>
      <c r="U4107">
        <v>9</v>
      </c>
      <c r="V4107">
        <v>9</v>
      </c>
      <c r="W4107">
        <v>0</v>
      </c>
      <c r="X4107">
        <v>0</v>
      </c>
      <c r="Y4107">
        <v>0</v>
      </c>
      <c r="Z4107">
        <v>0</v>
      </c>
      <c r="AA4107">
        <v>9</v>
      </c>
      <c r="AB4107">
        <v>9</v>
      </c>
      <c r="AC4107" t="s">
        <v>310</v>
      </c>
      <c r="AD4107">
        <v>9</v>
      </c>
      <c r="AE4107" t="s">
        <v>1414</v>
      </c>
      <c r="AF4107">
        <v>150002000</v>
      </c>
      <c r="AG4107" t="s">
        <v>310</v>
      </c>
      <c r="AH4107">
        <f>SUM((MID(Dyno_Data[[#This Row],[Team]],4,5))+(Dyno_Data[[#This Row],[Match]]/100))</f>
        <v>1796.73</v>
      </c>
      <c r="AI4107" s="76">
        <f>ROUND(SUM(IF(Dyno_Data[[#This Row],[AcqCenter]]&gt;0,Dyno_Data[[#This Row],[Time]]-SUMIFS(Dyno_Data[Time],Dyno_Data[Team],Dyno_Data[[#This Row],[Team]],Dyno_Data[RecordType],"StartMatch",Dyno_Data[Match],Dyno_Data[[#This Row],[Match]]),0)*86400),0)</f>
        <v>0</v>
      </c>
    </row>
    <row r="4108" spans="1:35" x14ac:dyDescent="0.3">
      <c r="A4108">
        <v>4107</v>
      </c>
      <c r="B4108" t="s">
        <v>1297</v>
      </c>
      <c r="C4108">
        <v>73</v>
      </c>
      <c r="D4108" s="105">
        <v>45374.471564965279</v>
      </c>
      <c r="E4108" t="s">
        <v>312</v>
      </c>
      <c r="F4108" t="s">
        <v>1402</v>
      </c>
      <c r="G4108">
        <v>0</v>
      </c>
      <c r="H4108" t="s">
        <v>315</v>
      </c>
      <c r="I4108">
        <v>0</v>
      </c>
      <c r="J4108">
        <v>0</v>
      </c>
      <c r="K4108">
        <v>0</v>
      </c>
      <c r="L4108" t="s">
        <v>241</v>
      </c>
      <c r="M4108" t="s">
        <v>101</v>
      </c>
      <c r="N4108">
        <v>0</v>
      </c>
      <c r="O4108" t="s">
        <v>1391</v>
      </c>
      <c r="P4108" t="s">
        <v>310</v>
      </c>
      <c r="Q4108" t="s">
        <v>310</v>
      </c>
      <c r="R4108" t="s">
        <v>310</v>
      </c>
      <c r="S4108">
        <v>9</v>
      </c>
      <c r="T4108" t="s">
        <v>310</v>
      </c>
      <c r="U4108">
        <v>9</v>
      </c>
      <c r="V4108">
        <v>9</v>
      </c>
      <c r="W4108">
        <v>0</v>
      </c>
      <c r="X4108">
        <v>0</v>
      </c>
      <c r="Y4108">
        <v>0</v>
      </c>
      <c r="Z4108">
        <v>0</v>
      </c>
      <c r="AA4108">
        <v>9</v>
      </c>
      <c r="AB4108">
        <v>9</v>
      </c>
      <c r="AC4108" t="s">
        <v>310</v>
      </c>
      <c r="AD4108">
        <v>9</v>
      </c>
      <c r="AE4108" t="s">
        <v>1413</v>
      </c>
      <c r="AF4108">
        <v>40000000</v>
      </c>
      <c r="AG4108" t="s">
        <v>310</v>
      </c>
      <c r="AH4108">
        <f>SUM((MID(Dyno_Data[[#This Row],[Team]],4,5))+(Dyno_Data[[#This Row],[Match]]/100))</f>
        <v>9750.73</v>
      </c>
      <c r="AI4108" s="76">
        <f>ROUND(SUM(IF(Dyno_Data[[#This Row],[AcqCenter]]&gt;0,Dyno_Data[[#This Row],[Time]]-SUMIFS(Dyno_Data[Time],Dyno_Data[Team],Dyno_Data[[#This Row],[Team]],Dyno_Data[RecordType],"StartMatch",Dyno_Data[Match],Dyno_Data[[#This Row],[Match]]),0)*86400),0)</f>
        <v>0</v>
      </c>
    </row>
    <row r="4109" spans="1:35" x14ac:dyDescent="0.3">
      <c r="A4109">
        <v>4108</v>
      </c>
      <c r="B4109" t="s">
        <v>1308</v>
      </c>
      <c r="C4109">
        <v>73</v>
      </c>
      <c r="D4109" s="105">
        <v>45374.471581562502</v>
      </c>
      <c r="E4109" t="s">
        <v>312</v>
      </c>
      <c r="F4109" t="s">
        <v>1402</v>
      </c>
      <c r="G4109">
        <v>0</v>
      </c>
      <c r="H4109" t="s">
        <v>315</v>
      </c>
      <c r="I4109">
        <v>0</v>
      </c>
      <c r="J4109">
        <v>0</v>
      </c>
      <c r="K4109">
        <v>0</v>
      </c>
      <c r="L4109" t="s">
        <v>240</v>
      </c>
      <c r="M4109" t="s">
        <v>1398</v>
      </c>
      <c r="N4109">
        <v>0</v>
      </c>
      <c r="O4109" t="s">
        <v>319</v>
      </c>
      <c r="P4109" t="s">
        <v>310</v>
      </c>
      <c r="Q4109" t="s">
        <v>310</v>
      </c>
      <c r="R4109" t="s">
        <v>310</v>
      </c>
      <c r="S4109">
        <v>9</v>
      </c>
      <c r="T4109" t="s">
        <v>310</v>
      </c>
      <c r="U4109">
        <v>9</v>
      </c>
      <c r="V4109">
        <v>9</v>
      </c>
      <c r="W4109">
        <v>0</v>
      </c>
      <c r="X4109">
        <v>0</v>
      </c>
      <c r="Y4109">
        <v>0</v>
      </c>
      <c r="Z4109">
        <v>0</v>
      </c>
      <c r="AA4109">
        <v>9</v>
      </c>
      <c r="AB4109">
        <v>9</v>
      </c>
      <c r="AC4109" t="s">
        <v>310</v>
      </c>
      <c r="AD4109">
        <v>9</v>
      </c>
      <c r="AE4109" t="s">
        <v>1416</v>
      </c>
      <c r="AF4109">
        <v>90000000</v>
      </c>
      <c r="AG4109" t="s">
        <v>310</v>
      </c>
      <c r="AH4109">
        <f>SUM((MID(Dyno_Data[[#This Row],[Team]],4,5))+(Dyno_Data[[#This Row],[Match]]/100))</f>
        <v>3799.73</v>
      </c>
      <c r="AI4109" s="76">
        <f>ROUND(SUM(IF(Dyno_Data[[#This Row],[AcqCenter]]&gt;0,Dyno_Data[[#This Row],[Time]]-SUMIFS(Dyno_Data[Time],Dyno_Data[Team],Dyno_Data[[#This Row],[Team]],Dyno_Data[RecordType],"StartMatch",Dyno_Data[Match],Dyno_Data[[#This Row],[Match]]),0)*86400),0)</f>
        <v>0</v>
      </c>
    </row>
    <row r="4110" spans="1:35" x14ac:dyDescent="0.3">
      <c r="A4110">
        <v>4109</v>
      </c>
      <c r="B4110" t="s">
        <v>1309</v>
      </c>
      <c r="C4110">
        <v>73</v>
      </c>
      <c r="D4110" s="105">
        <v>45374.47164059028</v>
      </c>
      <c r="E4110" t="s">
        <v>312</v>
      </c>
      <c r="F4110" t="s">
        <v>1402</v>
      </c>
      <c r="G4110">
        <v>0</v>
      </c>
      <c r="H4110" t="s">
        <v>315</v>
      </c>
      <c r="I4110">
        <v>0</v>
      </c>
      <c r="J4110">
        <v>0</v>
      </c>
      <c r="K4110">
        <v>0</v>
      </c>
      <c r="L4110" t="s">
        <v>241</v>
      </c>
      <c r="M4110" t="s">
        <v>101</v>
      </c>
      <c r="N4110">
        <v>0</v>
      </c>
      <c r="O4110" t="s">
        <v>1395</v>
      </c>
      <c r="P4110" t="s">
        <v>310</v>
      </c>
      <c r="Q4110" t="s">
        <v>310</v>
      </c>
      <c r="R4110" t="s">
        <v>310</v>
      </c>
      <c r="S4110">
        <v>9</v>
      </c>
      <c r="T4110" t="s">
        <v>310</v>
      </c>
      <c r="U4110">
        <v>9</v>
      </c>
      <c r="V4110">
        <v>9</v>
      </c>
      <c r="W4110">
        <v>0</v>
      </c>
      <c r="X4110">
        <v>0</v>
      </c>
      <c r="Y4110">
        <v>0</v>
      </c>
      <c r="Z4110">
        <v>0</v>
      </c>
      <c r="AA4110">
        <v>9</v>
      </c>
      <c r="AB4110">
        <v>9</v>
      </c>
      <c r="AC4110" t="s">
        <v>310</v>
      </c>
      <c r="AD4110">
        <v>9</v>
      </c>
      <c r="AE4110" t="s">
        <v>1417</v>
      </c>
      <c r="AF4110">
        <v>60000000</v>
      </c>
      <c r="AG4110" t="s">
        <v>310</v>
      </c>
      <c r="AH4110">
        <f>SUM((MID(Dyno_Data[[#This Row],[Team]],4,5))+(Dyno_Data[[#This Row],[Match]]/100))</f>
        <v>3550.73</v>
      </c>
      <c r="AI4110" s="76">
        <f>ROUND(SUM(IF(Dyno_Data[[#This Row],[AcqCenter]]&gt;0,Dyno_Data[[#This Row],[Time]]-SUMIFS(Dyno_Data[Time],Dyno_Data[Team],Dyno_Data[[#This Row],[Team]],Dyno_Data[RecordType],"StartMatch",Dyno_Data[Match],Dyno_Data[[#This Row],[Match]]),0)*86400),0)</f>
        <v>0</v>
      </c>
    </row>
    <row r="4111" spans="1:35" x14ac:dyDescent="0.3">
      <c r="A4111">
        <v>4110</v>
      </c>
      <c r="B4111" t="s">
        <v>1308</v>
      </c>
      <c r="C4111">
        <v>73</v>
      </c>
      <c r="D4111" s="105">
        <v>45374.471800543979</v>
      </c>
      <c r="E4111" t="s">
        <v>312</v>
      </c>
      <c r="F4111" t="s">
        <v>1402</v>
      </c>
      <c r="G4111">
        <v>0</v>
      </c>
      <c r="H4111" t="s">
        <v>315</v>
      </c>
      <c r="I4111">
        <v>0</v>
      </c>
      <c r="J4111">
        <v>0</v>
      </c>
      <c r="K4111">
        <v>0</v>
      </c>
      <c r="L4111" t="s">
        <v>240</v>
      </c>
      <c r="M4111" t="s">
        <v>1398</v>
      </c>
      <c r="N4111">
        <v>0</v>
      </c>
      <c r="O4111" t="s">
        <v>319</v>
      </c>
      <c r="P4111" t="s">
        <v>310</v>
      </c>
      <c r="Q4111" t="s">
        <v>310</v>
      </c>
      <c r="R4111" t="s">
        <v>310</v>
      </c>
      <c r="S4111">
        <v>9</v>
      </c>
      <c r="T4111" t="s">
        <v>310</v>
      </c>
      <c r="U4111">
        <v>9</v>
      </c>
      <c r="V4111">
        <v>9</v>
      </c>
      <c r="W4111">
        <v>0</v>
      </c>
      <c r="X4111">
        <v>0</v>
      </c>
      <c r="Y4111">
        <v>0</v>
      </c>
      <c r="Z4111">
        <v>0</v>
      </c>
      <c r="AA4111">
        <v>9</v>
      </c>
      <c r="AB4111">
        <v>9</v>
      </c>
      <c r="AC4111" t="s">
        <v>310</v>
      </c>
      <c r="AD4111">
        <v>9</v>
      </c>
      <c r="AE4111" t="s">
        <v>1416</v>
      </c>
      <c r="AF4111">
        <v>100000000</v>
      </c>
      <c r="AG4111" t="s">
        <v>310</v>
      </c>
      <c r="AH4111">
        <f>SUM((MID(Dyno_Data[[#This Row],[Team]],4,5))+(Dyno_Data[[#This Row],[Match]]/100))</f>
        <v>3799.73</v>
      </c>
      <c r="AI4111" s="76">
        <f>ROUND(SUM(IF(Dyno_Data[[#This Row],[AcqCenter]]&gt;0,Dyno_Data[[#This Row],[Time]]-SUMIFS(Dyno_Data[Time],Dyno_Data[Team],Dyno_Data[[#This Row],[Team]],Dyno_Data[RecordType],"StartMatch",Dyno_Data[Match],Dyno_Data[[#This Row],[Match]]),0)*86400),0)</f>
        <v>0</v>
      </c>
    </row>
    <row r="4112" spans="1:35" x14ac:dyDescent="0.3">
      <c r="A4112">
        <v>4111</v>
      </c>
      <c r="B4112" t="s">
        <v>1309</v>
      </c>
      <c r="C4112">
        <v>73</v>
      </c>
      <c r="D4112" s="105">
        <v>45374.471805752313</v>
      </c>
      <c r="E4112" t="s">
        <v>312</v>
      </c>
      <c r="F4112" t="s">
        <v>1402</v>
      </c>
      <c r="G4112">
        <v>0</v>
      </c>
      <c r="H4112" t="s">
        <v>315</v>
      </c>
      <c r="I4112">
        <v>0</v>
      </c>
      <c r="J4112">
        <v>0</v>
      </c>
      <c r="K4112">
        <v>0</v>
      </c>
      <c r="L4112" t="s">
        <v>241</v>
      </c>
      <c r="M4112" t="s">
        <v>101</v>
      </c>
      <c r="N4112">
        <v>0</v>
      </c>
      <c r="O4112" t="s">
        <v>1395</v>
      </c>
      <c r="P4112" t="s">
        <v>310</v>
      </c>
      <c r="Q4112" t="s">
        <v>310</v>
      </c>
      <c r="R4112" t="s">
        <v>310</v>
      </c>
      <c r="S4112">
        <v>9</v>
      </c>
      <c r="T4112" t="s">
        <v>310</v>
      </c>
      <c r="U4112">
        <v>9</v>
      </c>
      <c r="V4112">
        <v>9</v>
      </c>
      <c r="W4112">
        <v>0</v>
      </c>
      <c r="X4112">
        <v>0</v>
      </c>
      <c r="Y4112">
        <v>0</v>
      </c>
      <c r="Z4112">
        <v>0</v>
      </c>
      <c r="AA4112">
        <v>9</v>
      </c>
      <c r="AB4112">
        <v>9</v>
      </c>
      <c r="AC4112" t="s">
        <v>310</v>
      </c>
      <c r="AD4112">
        <v>9</v>
      </c>
      <c r="AE4112" t="s">
        <v>1417</v>
      </c>
      <c r="AF4112">
        <v>70000000</v>
      </c>
      <c r="AG4112" t="s">
        <v>310</v>
      </c>
      <c r="AH4112">
        <f>SUM((MID(Dyno_Data[[#This Row],[Team]],4,5))+(Dyno_Data[[#This Row],[Match]]/100))</f>
        <v>3550.73</v>
      </c>
      <c r="AI4112" s="76">
        <f>ROUND(SUM(IF(Dyno_Data[[#This Row],[AcqCenter]]&gt;0,Dyno_Data[[#This Row],[Time]]-SUMIFS(Dyno_Data[Time],Dyno_Data[Team],Dyno_Data[[#This Row],[Team]],Dyno_Data[RecordType],"StartMatch",Dyno_Data[Match],Dyno_Data[[#This Row],[Match]]),0)*86400),0)</f>
        <v>0</v>
      </c>
    </row>
    <row r="4113" spans="1:35" x14ac:dyDescent="0.3">
      <c r="A4113">
        <v>4112</v>
      </c>
      <c r="B4113" t="s">
        <v>1302</v>
      </c>
      <c r="C4113">
        <v>73</v>
      </c>
      <c r="D4113" s="105">
        <v>45374.471868715278</v>
      </c>
      <c r="E4113" t="s">
        <v>1403</v>
      </c>
      <c r="F4113" t="s">
        <v>1402</v>
      </c>
      <c r="G4113">
        <v>0</v>
      </c>
      <c r="H4113" t="s">
        <v>310</v>
      </c>
      <c r="I4113">
        <v>0</v>
      </c>
      <c r="J4113">
        <v>0</v>
      </c>
      <c r="K4113">
        <v>0</v>
      </c>
      <c r="L4113" t="s">
        <v>310</v>
      </c>
      <c r="M4113" t="s">
        <v>310</v>
      </c>
      <c r="N4113">
        <v>0</v>
      </c>
      <c r="O4113" t="s">
        <v>311</v>
      </c>
      <c r="P4113" t="s">
        <v>310</v>
      </c>
      <c r="Q4113" t="s">
        <v>310</v>
      </c>
      <c r="R4113" t="s">
        <v>310</v>
      </c>
      <c r="S4113">
        <v>9</v>
      </c>
      <c r="T4113" t="s">
        <v>310</v>
      </c>
      <c r="U4113">
        <v>9</v>
      </c>
      <c r="V4113">
        <v>9</v>
      </c>
      <c r="W4113">
        <v>0</v>
      </c>
      <c r="X4113">
        <v>0</v>
      </c>
      <c r="Y4113">
        <v>0</v>
      </c>
      <c r="Z4113">
        <v>0</v>
      </c>
      <c r="AA4113">
        <v>9</v>
      </c>
      <c r="AB4113">
        <v>9</v>
      </c>
      <c r="AC4113" t="s">
        <v>310</v>
      </c>
      <c r="AD4113">
        <v>9</v>
      </c>
      <c r="AE4113" t="s">
        <v>1418</v>
      </c>
      <c r="AF4113">
        <v>70000000</v>
      </c>
      <c r="AG4113" t="s">
        <v>249</v>
      </c>
      <c r="AH4113">
        <f>SUM((MID(Dyno_Data[[#This Row],[Team]],4,5))+(Dyno_Data[[#This Row],[Match]]/100))</f>
        <v>2095.73</v>
      </c>
      <c r="AI4113" s="76">
        <f>ROUND(SUM(IF(Dyno_Data[[#This Row],[AcqCenter]]&gt;0,Dyno_Data[[#This Row],[Time]]-SUMIFS(Dyno_Data[Time],Dyno_Data[Team],Dyno_Data[[#This Row],[Team]],Dyno_Data[RecordType],"StartMatch",Dyno_Data[Match],Dyno_Data[[#This Row],[Match]]),0)*86400),0)</f>
        <v>0</v>
      </c>
    </row>
    <row r="4114" spans="1:35" x14ac:dyDescent="0.3">
      <c r="A4114">
        <v>4113</v>
      </c>
      <c r="B4114" t="s">
        <v>360</v>
      </c>
      <c r="C4114">
        <v>73</v>
      </c>
      <c r="D4114" s="105">
        <v>45374.47188391204</v>
      </c>
      <c r="E4114" t="s">
        <v>312</v>
      </c>
      <c r="F4114" t="s">
        <v>317</v>
      </c>
      <c r="G4114">
        <v>0</v>
      </c>
      <c r="H4114" t="s">
        <v>315</v>
      </c>
      <c r="I4114">
        <v>0</v>
      </c>
      <c r="J4114">
        <v>0</v>
      </c>
      <c r="K4114">
        <v>0</v>
      </c>
      <c r="L4114" t="s">
        <v>1410</v>
      </c>
      <c r="M4114" t="s">
        <v>153</v>
      </c>
      <c r="N4114">
        <v>0</v>
      </c>
      <c r="O4114" t="s">
        <v>1393</v>
      </c>
      <c r="P4114" t="s">
        <v>310</v>
      </c>
      <c r="Q4114" t="s">
        <v>310</v>
      </c>
      <c r="R4114" t="s">
        <v>310</v>
      </c>
      <c r="S4114">
        <v>9</v>
      </c>
      <c r="T4114" t="s">
        <v>310</v>
      </c>
      <c r="U4114">
        <v>9</v>
      </c>
      <c r="V4114">
        <v>9</v>
      </c>
      <c r="W4114">
        <v>0</v>
      </c>
      <c r="X4114">
        <v>0</v>
      </c>
      <c r="Y4114">
        <v>0</v>
      </c>
      <c r="Z4114">
        <v>0</v>
      </c>
      <c r="AA4114">
        <v>9</v>
      </c>
      <c r="AB4114">
        <v>9</v>
      </c>
      <c r="AC4114" t="s">
        <v>310</v>
      </c>
      <c r="AD4114">
        <v>9</v>
      </c>
      <c r="AE4114" t="s">
        <v>1414</v>
      </c>
      <c r="AF4114">
        <v>160002000</v>
      </c>
      <c r="AG4114" t="s">
        <v>310</v>
      </c>
      <c r="AH4114">
        <f>SUM((MID(Dyno_Data[[#This Row],[Team]],4,5))+(Dyno_Data[[#This Row],[Match]]/100))</f>
        <v>1796.73</v>
      </c>
      <c r="AI4114" s="76">
        <f>ROUND(SUM(IF(Dyno_Data[[#This Row],[AcqCenter]]&gt;0,Dyno_Data[[#This Row],[Time]]-SUMIFS(Dyno_Data[Time],Dyno_Data[Team],Dyno_Data[[#This Row],[Team]],Dyno_Data[RecordType],"StartMatch",Dyno_Data[Match],Dyno_Data[[#This Row],[Match]]),0)*86400),0)</f>
        <v>0</v>
      </c>
    </row>
    <row r="4115" spans="1:35" x14ac:dyDescent="0.3">
      <c r="A4115">
        <v>4114</v>
      </c>
      <c r="B4115" t="s">
        <v>1302</v>
      </c>
      <c r="C4115">
        <v>73</v>
      </c>
      <c r="D4115" s="105">
        <v>45374.47413116898</v>
      </c>
      <c r="E4115" t="s">
        <v>316</v>
      </c>
      <c r="F4115" t="s">
        <v>317</v>
      </c>
      <c r="G4115">
        <v>1</v>
      </c>
      <c r="H4115" t="s">
        <v>310</v>
      </c>
      <c r="I4115">
        <v>0</v>
      </c>
      <c r="J4115">
        <v>0</v>
      </c>
      <c r="K4115">
        <v>0</v>
      </c>
      <c r="L4115" t="s">
        <v>310</v>
      </c>
      <c r="M4115" t="s">
        <v>310</v>
      </c>
      <c r="N4115">
        <v>0</v>
      </c>
      <c r="O4115" t="s">
        <v>311</v>
      </c>
      <c r="P4115" t="s">
        <v>320</v>
      </c>
      <c r="Q4115" t="s">
        <v>1400</v>
      </c>
      <c r="R4115" t="s">
        <v>321</v>
      </c>
      <c r="S4115">
        <v>0</v>
      </c>
      <c r="T4115" t="s">
        <v>105</v>
      </c>
      <c r="U4115">
        <v>9</v>
      </c>
      <c r="V4115">
        <v>9</v>
      </c>
      <c r="W4115">
        <v>0</v>
      </c>
      <c r="X4115">
        <v>0</v>
      </c>
      <c r="Y4115">
        <v>65.459938800000003</v>
      </c>
      <c r="Z4115">
        <v>70.044446800000003</v>
      </c>
      <c r="AA4115">
        <v>0</v>
      </c>
      <c r="AB4115">
        <v>1</v>
      </c>
      <c r="AC4115" t="s">
        <v>167</v>
      </c>
      <c r="AD4115">
        <v>9</v>
      </c>
      <c r="AE4115" t="s">
        <v>1418</v>
      </c>
      <c r="AF4115">
        <v>0</v>
      </c>
      <c r="AG4115" t="s">
        <v>310</v>
      </c>
      <c r="AH4115">
        <f>SUM((MID(Dyno_Data[[#This Row],[Team]],4,5))+(Dyno_Data[[#This Row],[Match]]/100))</f>
        <v>2095.73</v>
      </c>
      <c r="AI4115" s="76">
        <f>ROUND(SUM(IF(Dyno_Data[[#This Row],[AcqCenter]]&gt;0,Dyno_Data[[#This Row],[Time]]-SUMIFS(Dyno_Data[Time],Dyno_Data[Team],Dyno_Data[[#This Row],[Team]],Dyno_Data[RecordType],"StartMatch",Dyno_Data[Match],Dyno_Data[[#This Row],[Match]]),0)*86400),0)</f>
        <v>0</v>
      </c>
    </row>
    <row r="4116" spans="1:35" x14ac:dyDescent="0.3">
      <c r="A4116">
        <v>4115</v>
      </c>
      <c r="B4116" t="s">
        <v>1297</v>
      </c>
      <c r="C4116">
        <v>73</v>
      </c>
      <c r="D4116" s="105">
        <v>45374.47413116898</v>
      </c>
      <c r="E4116" t="s">
        <v>316</v>
      </c>
      <c r="F4116" t="s">
        <v>317</v>
      </c>
      <c r="G4116">
        <v>0</v>
      </c>
      <c r="H4116" t="s">
        <v>310</v>
      </c>
      <c r="I4116">
        <v>0</v>
      </c>
      <c r="J4116">
        <v>0</v>
      </c>
      <c r="K4116">
        <v>0</v>
      </c>
      <c r="L4116" t="s">
        <v>310</v>
      </c>
      <c r="M4116" t="s">
        <v>310</v>
      </c>
      <c r="N4116">
        <v>0</v>
      </c>
      <c r="O4116" t="s">
        <v>1391</v>
      </c>
      <c r="P4116" t="s">
        <v>320</v>
      </c>
      <c r="Q4116" t="s">
        <v>1399</v>
      </c>
      <c r="R4116" t="s">
        <v>1404</v>
      </c>
      <c r="S4116">
        <v>0</v>
      </c>
      <c r="T4116" t="s">
        <v>105</v>
      </c>
      <c r="U4116">
        <v>9</v>
      </c>
      <c r="V4116">
        <v>9</v>
      </c>
      <c r="W4116">
        <v>0</v>
      </c>
      <c r="X4116">
        <v>31.462568299999997</v>
      </c>
      <c r="Y4116">
        <v>15.2791409</v>
      </c>
      <c r="Z4116">
        <v>90.743288899999996</v>
      </c>
      <c r="AA4116">
        <v>0</v>
      </c>
      <c r="AB4116">
        <v>1</v>
      </c>
      <c r="AC4116" t="s">
        <v>174</v>
      </c>
      <c r="AD4116">
        <v>2</v>
      </c>
      <c r="AE4116" t="s">
        <v>1413</v>
      </c>
      <c r="AF4116">
        <v>40100000</v>
      </c>
      <c r="AG4116" t="s">
        <v>310</v>
      </c>
      <c r="AH4116">
        <f>SUM((MID(Dyno_Data[[#This Row],[Team]],4,5))+(Dyno_Data[[#This Row],[Match]]/100))</f>
        <v>9750.73</v>
      </c>
      <c r="AI4116" s="76">
        <f>ROUND(SUM(IF(Dyno_Data[[#This Row],[AcqCenter]]&gt;0,Dyno_Data[[#This Row],[Time]]-SUMIFS(Dyno_Data[Time],Dyno_Data[Team],Dyno_Data[[#This Row],[Team]],Dyno_Data[RecordType],"StartMatch",Dyno_Data[Match],Dyno_Data[[#This Row],[Match]]),0)*86400),0)</f>
        <v>0</v>
      </c>
    </row>
    <row r="4117" spans="1:35" x14ac:dyDescent="0.3">
      <c r="A4117">
        <v>4116</v>
      </c>
      <c r="B4117" t="s">
        <v>1308</v>
      </c>
      <c r="C4117">
        <v>73</v>
      </c>
      <c r="D4117" s="105">
        <v>45374.474131365743</v>
      </c>
      <c r="E4117" t="s">
        <v>316</v>
      </c>
      <c r="F4117" t="s">
        <v>317</v>
      </c>
      <c r="G4117">
        <v>1</v>
      </c>
      <c r="H4117" t="s">
        <v>310</v>
      </c>
      <c r="I4117">
        <v>0</v>
      </c>
      <c r="J4117">
        <v>0</v>
      </c>
      <c r="K4117">
        <v>0</v>
      </c>
      <c r="L4117" t="s">
        <v>310</v>
      </c>
      <c r="M4117" t="s">
        <v>310</v>
      </c>
      <c r="N4117">
        <v>0</v>
      </c>
      <c r="O4117" t="s">
        <v>319</v>
      </c>
      <c r="P4117" t="s">
        <v>1401</v>
      </c>
      <c r="Q4117" t="s">
        <v>1400</v>
      </c>
      <c r="R4117" t="s">
        <v>1405</v>
      </c>
      <c r="S4117">
        <v>1</v>
      </c>
      <c r="T4117" t="s">
        <v>1406</v>
      </c>
      <c r="U4117">
        <v>0</v>
      </c>
      <c r="V4117">
        <v>1</v>
      </c>
      <c r="W4117">
        <v>5.0199534999999997</v>
      </c>
      <c r="X4117">
        <v>40.121324000000001</v>
      </c>
      <c r="Y4117">
        <v>33.306532900000001</v>
      </c>
      <c r="Z4117">
        <v>46.075220099999996</v>
      </c>
      <c r="AA4117">
        <v>0</v>
      </c>
      <c r="AB4117">
        <v>0</v>
      </c>
      <c r="AC4117" t="s">
        <v>174</v>
      </c>
      <c r="AD4117">
        <v>9</v>
      </c>
      <c r="AE4117" t="s">
        <v>1416</v>
      </c>
      <c r="AF4117">
        <v>100000000</v>
      </c>
      <c r="AG4117" t="s">
        <v>310</v>
      </c>
      <c r="AH4117">
        <f>SUM((MID(Dyno_Data[[#This Row],[Team]],4,5))+(Dyno_Data[[#This Row],[Match]]/100))</f>
        <v>3799.73</v>
      </c>
      <c r="AI4117" s="76">
        <f>ROUND(SUM(IF(Dyno_Data[[#This Row],[AcqCenter]]&gt;0,Dyno_Data[[#This Row],[Time]]-SUMIFS(Dyno_Data[Time],Dyno_Data[Team],Dyno_Data[[#This Row],[Team]],Dyno_Data[RecordType],"StartMatch",Dyno_Data[Match],Dyno_Data[[#This Row],[Match]]),0)*86400),0)</f>
        <v>0</v>
      </c>
    </row>
    <row r="4118" spans="1:35" x14ac:dyDescent="0.3">
      <c r="A4118">
        <v>4117</v>
      </c>
      <c r="B4118" t="s">
        <v>360</v>
      </c>
      <c r="C4118">
        <v>73</v>
      </c>
      <c r="D4118" s="105">
        <v>45374.474131365743</v>
      </c>
      <c r="E4118" t="s">
        <v>316</v>
      </c>
      <c r="F4118" t="s">
        <v>317</v>
      </c>
      <c r="G4118">
        <v>0</v>
      </c>
      <c r="H4118" t="s">
        <v>310</v>
      </c>
      <c r="I4118">
        <v>0</v>
      </c>
      <c r="J4118">
        <v>0</v>
      </c>
      <c r="K4118">
        <v>0</v>
      </c>
      <c r="L4118" t="s">
        <v>310</v>
      </c>
      <c r="M4118" t="s">
        <v>310</v>
      </c>
      <c r="N4118">
        <v>0</v>
      </c>
      <c r="O4118" t="s">
        <v>1393</v>
      </c>
      <c r="P4118" t="s">
        <v>240</v>
      </c>
      <c r="Q4118" t="s">
        <v>1399</v>
      </c>
      <c r="R4118" t="s">
        <v>1405</v>
      </c>
      <c r="S4118">
        <v>1</v>
      </c>
      <c r="T4118" t="s">
        <v>1407</v>
      </c>
      <c r="U4118">
        <v>0</v>
      </c>
      <c r="V4118">
        <v>0</v>
      </c>
      <c r="W4118">
        <v>3.3251912999999997</v>
      </c>
      <c r="X4118">
        <v>33.344702699999999</v>
      </c>
      <c r="Y4118">
        <v>22.121398499999998</v>
      </c>
      <c r="Z4118">
        <v>61.765656399999997</v>
      </c>
      <c r="AA4118">
        <v>0</v>
      </c>
      <c r="AB4118">
        <v>1</v>
      </c>
      <c r="AC4118" t="s">
        <v>174</v>
      </c>
      <c r="AD4118">
        <v>0</v>
      </c>
      <c r="AE4118" t="s">
        <v>1414</v>
      </c>
      <c r="AF4118">
        <v>160002000</v>
      </c>
      <c r="AG4118" t="s">
        <v>310</v>
      </c>
      <c r="AH4118">
        <f>SUM((MID(Dyno_Data[[#This Row],[Team]],4,5))+(Dyno_Data[[#This Row],[Match]]/100))</f>
        <v>1796.73</v>
      </c>
      <c r="AI4118" s="76">
        <f>ROUND(SUM(IF(Dyno_Data[[#This Row],[AcqCenter]]&gt;0,Dyno_Data[[#This Row],[Time]]-SUMIFS(Dyno_Data[Time],Dyno_Data[Team],Dyno_Data[[#This Row],[Team]],Dyno_Data[RecordType],"StartMatch",Dyno_Data[Match],Dyno_Data[[#This Row],[Match]]),0)*86400),0)</f>
        <v>0</v>
      </c>
    </row>
    <row r="4119" spans="1:35" x14ac:dyDescent="0.3">
      <c r="A4119">
        <v>4118</v>
      </c>
      <c r="B4119" t="s">
        <v>1303</v>
      </c>
      <c r="C4119">
        <v>73</v>
      </c>
      <c r="D4119" s="105">
        <v>45374.474131631941</v>
      </c>
      <c r="E4119" t="s">
        <v>316</v>
      </c>
      <c r="F4119" t="s">
        <v>317</v>
      </c>
      <c r="G4119">
        <v>0</v>
      </c>
      <c r="H4119" t="s">
        <v>310</v>
      </c>
      <c r="I4119">
        <v>0</v>
      </c>
      <c r="J4119">
        <v>0</v>
      </c>
      <c r="K4119">
        <v>0</v>
      </c>
      <c r="L4119" t="s">
        <v>310</v>
      </c>
      <c r="M4119" t="s">
        <v>310</v>
      </c>
      <c r="N4119">
        <v>0</v>
      </c>
      <c r="O4119" t="s">
        <v>1389</v>
      </c>
      <c r="P4119" t="s">
        <v>1401</v>
      </c>
      <c r="Q4119" t="s">
        <v>1400</v>
      </c>
      <c r="R4119" t="s">
        <v>321</v>
      </c>
      <c r="S4119">
        <v>0</v>
      </c>
      <c r="T4119" t="s">
        <v>105</v>
      </c>
      <c r="U4119">
        <v>9</v>
      </c>
      <c r="V4119">
        <v>9</v>
      </c>
      <c r="W4119">
        <v>0</v>
      </c>
      <c r="X4119">
        <v>52.0550256</v>
      </c>
      <c r="Y4119">
        <v>25.8401557</v>
      </c>
      <c r="Z4119">
        <v>58.354999599999999</v>
      </c>
      <c r="AA4119">
        <v>0</v>
      </c>
      <c r="AB4119">
        <v>1</v>
      </c>
      <c r="AC4119" t="s">
        <v>174</v>
      </c>
      <c r="AD4119">
        <v>9</v>
      </c>
      <c r="AE4119" t="s">
        <v>1412</v>
      </c>
      <c r="AF4119">
        <v>30000000</v>
      </c>
      <c r="AG4119" t="s">
        <v>310</v>
      </c>
      <c r="AH4119">
        <f>SUM((MID(Dyno_Data[[#This Row],[Team]],4,5))+(Dyno_Data[[#This Row],[Match]]/100))</f>
        <v>7605.73</v>
      </c>
      <c r="AI4119" s="76">
        <f>ROUND(SUM(IF(Dyno_Data[[#This Row],[AcqCenter]]&gt;0,Dyno_Data[[#This Row],[Time]]-SUMIFS(Dyno_Data[Time],Dyno_Data[Team],Dyno_Data[[#This Row],[Team]],Dyno_Data[RecordType],"StartMatch",Dyno_Data[Match],Dyno_Data[[#This Row],[Match]]),0)*86400),0)</f>
        <v>0</v>
      </c>
    </row>
    <row r="4120" spans="1:35" x14ac:dyDescent="0.3">
      <c r="A4120">
        <v>4119</v>
      </c>
      <c r="B4120" t="s">
        <v>1309</v>
      </c>
      <c r="C4120">
        <v>73</v>
      </c>
      <c r="D4120" s="105">
        <v>45374.474131747687</v>
      </c>
      <c r="E4120" t="s">
        <v>316</v>
      </c>
      <c r="F4120" t="s">
        <v>317</v>
      </c>
      <c r="G4120">
        <v>0</v>
      </c>
      <c r="H4120" t="s">
        <v>310</v>
      </c>
      <c r="I4120">
        <v>0</v>
      </c>
      <c r="J4120">
        <v>0</v>
      </c>
      <c r="K4120">
        <v>0</v>
      </c>
      <c r="L4120" t="s">
        <v>310</v>
      </c>
      <c r="M4120" t="s">
        <v>310</v>
      </c>
      <c r="N4120">
        <v>0</v>
      </c>
      <c r="O4120" t="s">
        <v>1395</v>
      </c>
      <c r="P4120" t="s">
        <v>101</v>
      </c>
      <c r="Q4120" t="s">
        <v>1400</v>
      </c>
      <c r="R4120" t="s">
        <v>1405</v>
      </c>
      <c r="S4120">
        <v>1</v>
      </c>
      <c r="T4120" t="s">
        <v>1409</v>
      </c>
      <c r="U4120">
        <v>0</v>
      </c>
      <c r="V4120">
        <v>0</v>
      </c>
      <c r="W4120">
        <v>6.0312655999999993</v>
      </c>
      <c r="X4120">
        <v>38.3160667</v>
      </c>
      <c r="Y4120">
        <v>27.5301112</v>
      </c>
      <c r="Z4120">
        <v>55.216977799999995</v>
      </c>
      <c r="AA4120">
        <v>0</v>
      </c>
      <c r="AB4120">
        <v>0</v>
      </c>
      <c r="AC4120" t="s">
        <v>174</v>
      </c>
      <c r="AD4120">
        <v>9</v>
      </c>
      <c r="AE4120" t="s">
        <v>1417</v>
      </c>
      <c r="AF4120">
        <v>70000000</v>
      </c>
      <c r="AG4120" t="s">
        <v>310</v>
      </c>
      <c r="AH4120">
        <f>SUM((MID(Dyno_Data[[#This Row],[Team]],4,5))+(Dyno_Data[[#This Row],[Match]]/100))</f>
        <v>3550.73</v>
      </c>
      <c r="AI4120" s="76">
        <f>ROUND(SUM(IF(Dyno_Data[[#This Row],[AcqCenter]]&gt;0,Dyno_Data[[#This Row],[Time]]-SUMIFS(Dyno_Data[Time],Dyno_Data[Team],Dyno_Data[[#This Row],[Team]],Dyno_Data[RecordType],"StartMatch",Dyno_Data[Match],Dyno_Data[[#This Row],[Match]]),0)*86400),0)</f>
        <v>0</v>
      </c>
    </row>
    <row r="4121" spans="1:35" x14ac:dyDescent="0.3">
      <c r="A4121">
        <v>4126</v>
      </c>
      <c r="B4121" t="s">
        <v>1318</v>
      </c>
      <c r="C4121">
        <v>74</v>
      </c>
      <c r="D4121" s="105">
        <v>45374.475517905092</v>
      </c>
      <c r="E4121" t="s">
        <v>308</v>
      </c>
      <c r="F4121" t="s">
        <v>309</v>
      </c>
      <c r="G4121">
        <v>0</v>
      </c>
      <c r="H4121" t="s">
        <v>310</v>
      </c>
      <c r="I4121">
        <v>0</v>
      </c>
      <c r="J4121">
        <v>0</v>
      </c>
      <c r="K4121">
        <v>0</v>
      </c>
      <c r="L4121" t="s">
        <v>310</v>
      </c>
      <c r="M4121" t="s">
        <v>310</v>
      </c>
      <c r="N4121">
        <v>0</v>
      </c>
      <c r="O4121" t="s">
        <v>319</v>
      </c>
      <c r="P4121" t="s">
        <v>310</v>
      </c>
      <c r="Q4121" t="s">
        <v>310</v>
      </c>
      <c r="R4121" t="s">
        <v>310</v>
      </c>
      <c r="S4121">
        <v>9</v>
      </c>
      <c r="T4121" t="s">
        <v>310</v>
      </c>
      <c r="U4121">
        <v>9</v>
      </c>
      <c r="V4121">
        <v>9</v>
      </c>
      <c r="W4121">
        <v>0</v>
      </c>
      <c r="X4121">
        <v>0</v>
      </c>
      <c r="Y4121">
        <v>0</v>
      </c>
      <c r="Z4121">
        <v>0</v>
      </c>
      <c r="AA4121">
        <v>9</v>
      </c>
      <c r="AB4121">
        <v>9</v>
      </c>
      <c r="AC4121" t="s">
        <v>310</v>
      </c>
      <c r="AD4121">
        <v>9</v>
      </c>
      <c r="AE4121" t="s">
        <v>1416</v>
      </c>
      <c r="AF4121">
        <v>10000000</v>
      </c>
      <c r="AG4121" t="s">
        <v>310</v>
      </c>
      <c r="AH4121">
        <f>SUM((MID(Dyno_Data[[#This Row],[Team]],4,5))+(Dyno_Data[[#This Row],[Match]]/100))</f>
        <v>7709.74</v>
      </c>
      <c r="AI4121" s="76">
        <f>ROUND(SUM(IF(Dyno_Data[[#This Row],[AcqCenter]]&gt;0,Dyno_Data[[#This Row],[Time]]-SUMIFS(Dyno_Data[Time],Dyno_Data[Team],Dyno_Data[[#This Row],[Team]],Dyno_Data[RecordType],"StartMatch",Dyno_Data[Match],Dyno_Data[[#This Row],[Match]]),0)*86400),0)</f>
        <v>0</v>
      </c>
    </row>
    <row r="4122" spans="1:35" x14ac:dyDescent="0.3">
      <c r="A4122">
        <v>4128</v>
      </c>
      <c r="B4122" t="s">
        <v>367</v>
      </c>
      <c r="C4122">
        <v>74</v>
      </c>
      <c r="D4122" s="105">
        <v>45374.475521412038</v>
      </c>
      <c r="E4122" t="s">
        <v>308</v>
      </c>
      <c r="F4122" t="s">
        <v>309</v>
      </c>
      <c r="G4122">
        <v>0</v>
      </c>
      <c r="H4122" t="s">
        <v>310</v>
      </c>
      <c r="I4122">
        <v>0</v>
      </c>
      <c r="J4122">
        <v>0</v>
      </c>
      <c r="K4122">
        <v>0</v>
      </c>
      <c r="L4122" t="s">
        <v>310</v>
      </c>
      <c r="M4122" t="s">
        <v>310</v>
      </c>
      <c r="N4122">
        <v>0</v>
      </c>
      <c r="O4122" t="s">
        <v>1395</v>
      </c>
      <c r="P4122" t="s">
        <v>310</v>
      </c>
      <c r="Q4122" t="s">
        <v>310</v>
      </c>
      <c r="R4122" t="s">
        <v>310</v>
      </c>
      <c r="S4122">
        <v>9</v>
      </c>
      <c r="T4122" t="s">
        <v>310</v>
      </c>
      <c r="U4122">
        <v>9</v>
      </c>
      <c r="V4122">
        <v>9</v>
      </c>
      <c r="W4122">
        <v>0</v>
      </c>
      <c r="X4122">
        <v>0</v>
      </c>
      <c r="Y4122">
        <v>0</v>
      </c>
      <c r="Z4122">
        <v>0</v>
      </c>
      <c r="AA4122">
        <v>9</v>
      </c>
      <c r="AB4122">
        <v>9</v>
      </c>
      <c r="AC4122" t="s">
        <v>310</v>
      </c>
      <c r="AD4122">
        <v>9</v>
      </c>
      <c r="AE4122" t="s">
        <v>1417</v>
      </c>
      <c r="AF4122">
        <v>0</v>
      </c>
      <c r="AG4122" t="s">
        <v>310</v>
      </c>
      <c r="AH4122">
        <f>SUM((MID(Dyno_Data[[#This Row],[Team]],4,5))+(Dyno_Data[[#This Row],[Match]]/100))</f>
        <v>5016.74</v>
      </c>
      <c r="AI4122" s="76">
        <f>ROUND(SUM(IF(Dyno_Data[[#This Row],[AcqCenter]]&gt;0,Dyno_Data[[#This Row],[Time]]-SUMIFS(Dyno_Data[Time],Dyno_Data[Team],Dyno_Data[[#This Row],[Team]],Dyno_Data[RecordType],"StartMatch",Dyno_Data[Match],Dyno_Data[[#This Row],[Match]]),0)*86400),0)</f>
        <v>0</v>
      </c>
    </row>
    <row r="4123" spans="1:35" x14ac:dyDescent="0.3">
      <c r="A4123">
        <v>4130</v>
      </c>
      <c r="B4123" t="s">
        <v>1310</v>
      </c>
      <c r="C4123">
        <v>74</v>
      </c>
      <c r="D4123" s="105">
        <v>45374.475522222223</v>
      </c>
      <c r="E4123" t="s">
        <v>308</v>
      </c>
      <c r="F4123" t="s">
        <v>309</v>
      </c>
      <c r="G4123">
        <v>0</v>
      </c>
      <c r="H4123" t="s">
        <v>310</v>
      </c>
      <c r="I4123">
        <v>0</v>
      </c>
      <c r="J4123">
        <v>0</v>
      </c>
      <c r="K4123">
        <v>0</v>
      </c>
      <c r="L4123" t="s">
        <v>310</v>
      </c>
      <c r="M4123" t="s">
        <v>310</v>
      </c>
      <c r="N4123">
        <v>0</v>
      </c>
      <c r="O4123" t="s">
        <v>1389</v>
      </c>
      <c r="P4123" t="s">
        <v>310</v>
      </c>
      <c r="Q4123" t="s">
        <v>310</v>
      </c>
      <c r="R4123" t="s">
        <v>310</v>
      </c>
      <c r="S4123">
        <v>9</v>
      </c>
      <c r="T4123" t="s">
        <v>310</v>
      </c>
      <c r="U4123">
        <v>9</v>
      </c>
      <c r="V4123">
        <v>9</v>
      </c>
      <c r="W4123">
        <v>0</v>
      </c>
      <c r="X4123">
        <v>0</v>
      </c>
      <c r="Y4123">
        <v>0</v>
      </c>
      <c r="Z4123">
        <v>0</v>
      </c>
      <c r="AA4123">
        <v>9</v>
      </c>
      <c r="AB4123">
        <v>9</v>
      </c>
      <c r="AC4123" t="s">
        <v>310</v>
      </c>
      <c r="AD4123">
        <v>9</v>
      </c>
      <c r="AE4123" t="s">
        <v>1412</v>
      </c>
      <c r="AF4123">
        <v>0</v>
      </c>
      <c r="AG4123" t="s">
        <v>310</v>
      </c>
      <c r="AH4123">
        <f>SUM((MID(Dyno_Data[[#This Row],[Team]],4,5))+(Dyno_Data[[#This Row],[Match]]/100))</f>
        <v>6621.74</v>
      </c>
      <c r="AI4123" s="76">
        <f>ROUND(SUM(IF(Dyno_Data[[#This Row],[AcqCenter]]&gt;0,Dyno_Data[[#This Row],[Time]]-SUMIFS(Dyno_Data[Time],Dyno_Data[Team],Dyno_Data[[#This Row],[Team]],Dyno_Data[RecordType],"StartMatch",Dyno_Data[Match],Dyno_Data[[#This Row],[Match]]),0)*86400),0)</f>
        <v>0</v>
      </c>
    </row>
    <row r="4124" spans="1:35" x14ac:dyDescent="0.3">
      <c r="A4124">
        <v>4132</v>
      </c>
      <c r="B4124" t="s">
        <v>366</v>
      </c>
      <c r="C4124">
        <v>74</v>
      </c>
      <c r="D4124" s="105">
        <v>45374.47552792824</v>
      </c>
      <c r="E4124" t="s">
        <v>308</v>
      </c>
      <c r="F4124" t="s">
        <v>309</v>
      </c>
      <c r="G4124">
        <v>0</v>
      </c>
      <c r="H4124" t="s">
        <v>310</v>
      </c>
      <c r="I4124">
        <v>0</v>
      </c>
      <c r="J4124">
        <v>0</v>
      </c>
      <c r="K4124">
        <v>0</v>
      </c>
      <c r="L4124" t="s">
        <v>310</v>
      </c>
      <c r="M4124" t="s">
        <v>310</v>
      </c>
      <c r="N4124">
        <v>0</v>
      </c>
      <c r="O4124" t="s">
        <v>1393</v>
      </c>
      <c r="P4124" t="s">
        <v>310</v>
      </c>
      <c r="Q4124" t="s">
        <v>310</v>
      </c>
      <c r="R4124" t="s">
        <v>310</v>
      </c>
      <c r="S4124">
        <v>9</v>
      </c>
      <c r="T4124" t="s">
        <v>310</v>
      </c>
      <c r="U4124">
        <v>9</v>
      </c>
      <c r="V4124">
        <v>9</v>
      </c>
      <c r="W4124">
        <v>0</v>
      </c>
      <c r="X4124">
        <v>0</v>
      </c>
      <c r="Y4124">
        <v>0</v>
      </c>
      <c r="Z4124">
        <v>0</v>
      </c>
      <c r="AA4124">
        <v>9</v>
      </c>
      <c r="AB4124">
        <v>9</v>
      </c>
      <c r="AC4124" t="s">
        <v>310</v>
      </c>
      <c r="AD4124">
        <v>9</v>
      </c>
      <c r="AE4124" t="s">
        <v>1414</v>
      </c>
      <c r="AF4124">
        <v>20000000</v>
      </c>
      <c r="AG4124" t="s">
        <v>310</v>
      </c>
      <c r="AH4124">
        <f>SUM((MID(Dyno_Data[[#This Row],[Team]],4,5))+(Dyno_Data[[#This Row],[Match]]/100))</f>
        <v>4122.74</v>
      </c>
      <c r="AI4124" s="76">
        <f>ROUND(SUM(IF(Dyno_Data[[#This Row],[AcqCenter]]&gt;0,Dyno_Data[[#This Row],[Time]]-SUMIFS(Dyno_Data[Time],Dyno_Data[Team],Dyno_Data[[#This Row],[Team]],Dyno_Data[RecordType],"StartMatch",Dyno_Data[Match],Dyno_Data[[#This Row],[Match]]),0)*86400),0)</f>
        <v>0</v>
      </c>
    </row>
    <row r="4125" spans="1:35" x14ac:dyDescent="0.3">
      <c r="A4125">
        <v>4120</v>
      </c>
      <c r="B4125" t="s">
        <v>1318</v>
      </c>
      <c r="C4125">
        <v>74</v>
      </c>
      <c r="D4125" s="105">
        <v>45374.475538692132</v>
      </c>
      <c r="E4125" t="s">
        <v>312</v>
      </c>
      <c r="F4125" t="s">
        <v>309</v>
      </c>
      <c r="G4125">
        <v>0</v>
      </c>
      <c r="H4125" t="s">
        <v>1397</v>
      </c>
      <c r="I4125">
        <v>0</v>
      </c>
      <c r="J4125">
        <v>0</v>
      </c>
      <c r="K4125">
        <v>0</v>
      </c>
      <c r="L4125" t="s">
        <v>240</v>
      </c>
      <c r="M4125" t="s">
        <v>1398</v>
      </c>
      <c r="N4125">
        <v>0</v>
      </c>
      <c r="O4125" t="s">
        <v>319</v>
      </c>
      <c r="P4125" t="s">
        <v>310</v>
      </c>
      <c r="Q4125" t="s">
        <v>310</v>
      </c>
      <c r="R4125" t="s">
        <v>310</v>
      </c>
      <c r="S4125">
        <v>9</v>
      </c>
      <c r="T4125" t="s">
        <v>310</v>
      </c>
      <c r="U4125">
        <v>9</v>
      </c>
      <c r="V4125">
        <v>9</v>
      </c>
      <c r="W4125">
        <v>0</v>
      </c>
      <c r="X4125">
        <v>0</v>
      </c>
      <c r="Y4125">
        <v>0</v>
      </c>
      <c r="Z4125">
        <v>0</v>
      </c>
      <c r="AA4125">
        <v>9</v>
      </c>
      <c r="AB4125">
        <v>9</v>
      </c>
      <c r="AC4125" t="s">
        <v>310</v>
      </c>
      <c r="AD4125">
        <v>9</v>
      </c>
      <c r="AE4125" t="s">
        <v>1416</v>
      </c>
      <c r="AF4125">
        <v>0</v>
      </c>
      <c r="AG4125" t="s">
        <v>310</v>
      </c>
      <c r="AH4125">
        <f>SUM((MID(Dyno_Data[[#This Row],[Team]],4,5))+(Dyno_Data[[#This Row],[Match]]/100))</f>
        <v>7709.74</v>
      </c>
      <c r="AI4125" s="76">
        <f>ROUND(SUM(IF(Dyno_Data[[#This Row],[AcqCenter]]&gt;0,Dyno_Data[[#This Row],[Time]]-SUMIFS(Dyno_Data[Time],Dyno_Data[Team],Dyno_Data[[#This Row],[Team]],Dyno_Data[RecordType],"StartMatch",Dyno_Data[Match],Dyno_Data[[#This Row],[Match]]),0)*86400),0)</f>
        <v>0</v>
      </c>
    </row>
    <row r="4126" spans="1:35" x14ac:dyDescent="0.3">
      <c r="A4126">
        <v>4134</v>
      </c>
      <c r="B4126" t="s">
        <v>373</v>
      </c>
      <c r="C4126">
        <v>74</v>
      </c>
      <c r="D4126" s="105">
        <v>45374.475541122687</v>
      </c>
      <c r="E4126" t="s">
        <v>308</v>
      </c>
      <c r="F4126" t="s">
        <v>309</v>
      </c>
      <c r="G4126">
        <v>0</v>
      </c>
      <c r="H4126" t="s">
        <v>310</v>
      </c>
      <c r="I4126">
        <v>0</v>
      </c>
      <c r="J4126">
        <v>0</v>
      </c>
      <c r="K4126">
        <v>0</v>
      </c>
      <c r="L4126" t="s">
        <v>310</v>
      </c>
      <c r="M4126" t="s">
        <v>310</v>
      </c>
      <c r="N4126">
        <v>0</v>
      </c>
      <c r="O4126" t="s">
        <v>311</v>
      </c>
      <c r="P4126" t="s">
        <v>310</v>
      </c>
      <c r="Q4126" t="s">
        <v>310</v>
      </c>
      <c r="R4126" t="s">
        <v>310</v>
      </c>
      <c r="S4126">
        <v>9</v>
      </c>
      <c r="T4126" t="s">
        <v>310</v>
      </c>
      <c r="U4126">
        <v>9</v>
      </c>
      <c r="V4126">
        <v>9</v>
      </c>
      <c r="W4126">
        <v>0</v>
      </c>
      <c r="X4126">
        <v>0</v>
      </c>
      <c r="Y4126">
        <v>0</v>
      </c>
      <c r="Z4126">
        <v>0</v>
      </c>
      <c r="AA4126">
        <v>9</v>
      </c>
      <c r="AB4126">
        <v>9</v>
      </c>
      <c r="AC4126" t="s">
        <v>310</v>
      </c>
      <c r="AD4126">
        <v>9</v>
      </c>
      <c r="AE4126" t="s">
        <v>1418</v>
      </c>
      <c r="AF4126">
        <v>0</v>
      </c>
      <c r="AG4126" t="s">
        <v>310</v>
      </c>
      <c r="AH4126">
        <f>SUM((MID(Dyno_Data[[#This Row],[Team]],4,5))+(Dyno_Data[[#This Row],[Match]]/100))</f>
        <v>7718.74</v>
      </c>
      <c r="AI4126" s="76">
        <f>ROUND(SUM(IF(Dyno_Data[[#This Row],[AcqCenter]]&gt;0,Dyno_Data[[#This Row],[Time]]-SUMIFS(Dyno_Data[Time],Dyno_Data[Team],Dyno_Data[[#This Row],[Team]],Dyno_Data[RecordType],"StartMatch",Dyno_Data[Match],Dyno_Data[[#This Row],[Match]]),0)*86400),0)</f>
        <v>0</v>
      </c>
    </row>
    <row r="4127" spans="1:35" x14ac:dyDescent="0.3">
      <c r="A4127">
        <v>4136</v>
      </c>
      <c r="B4127" t="s">
        <v>1294</v>
      </c>
      <c r="C4127">
        <v>74</v>
      </c>
      <c r="D4127" s="105">
        <v>45374.475555671299</v>
      </c>
      <c r="E4127" t="s">
        <v>308</v>
      </c>
      <c r="F4127" t="s">
        <v>309</v>
      </c>
      <c r="G4127">
        <v>0</v>
      </c>
      <c r="H4127" t="s">
        <v>310</v>
      </c>
      <c r="I4127">
        <v>0</v>
      </c>
      <c r="J4127">
        <v>0</v>
      </c>
      <c r="K4127">
        <v>0</v>
      </c>
      <c r="L4127" t="s">
        <v>310</v>
      </c>
      <c r="M4127" t="s">
        <v>310</v>
      </c>
      <c r="N4127">
        <v>0</v>
      </c>
      <c r="O4127" t="s">
        <v>1391</v>
      </c>
      <c r="P4127" t="s">
        <v>310</v>
      </c>
      <c r="Q4127" t="s">
        <v>310</v>
      </c>
      <c r="R4127" t="s">
        <v>310</v>
      </c>
      <c r="S4127">
        <v>9</v>
      </c>
      <c r="T4127" t="s">
        <v>310</v>
      </c>
      <c r="U4127">
        <v>9</v>
      </c>
      <c r="V4127">
        <v>9</v>
      </c>
      <c r="W4127">
        <v>0</v>
      </c>
      <c r="X4127">
        <v>0</v>
      </c>
      <c r="Y4127">
        <v>0</v>
      </c>
      <c r="Z4127">
        <v>0</v>
      </c>
      <c r="AA4127">
        <v>9</v>
      </c>
      <c r="AB4127">
        <v>9</v>
      </c>
      <c r="AC4127" t="s">
        <v>310</v>
      </c>
      <c r="AD4127">
        <v>9</v>
      </c>
      <c r="AE4127" t="s">
        <v>1413</v>
      </c>
      <c r="AF4127">
        <v>0</v>
      </c>
      <c r="AG4127" t="s">
        <v>310</v>
      </c>
      <c r="AH4127">
        <f>SUM((MID(Dyno_Data[[#This Row],[Team]],4,5))+(Dyno_Data[[#This Row],[Match]]/100))</f>
        <v>9076.74</v>
      </c>
      <c r="AI4127" s="76">
        <f>ROUND(SUM(IF(Dyno_Data[[#This Row],[AcqCenter]]&gt;0,Dyno_Data[[#This Row],[Time]]-SUMIFS(Dyno_Data[Time],Dyno_Data[Team],Dyno_Data[[#This Row],[Team]],Dyno_Data[RecordType],"StartMatch",Dyno_Data[Match],Dyno_Data[[#This Row],[Match]]),0)*86400),0)</f>
        <v>0</v>
      </c>
    </row>
    <row r="4128" spans="1:35" x14ac:dyDescent="0.3">
      <c r="A4128">
        <v>4121</v>
      </c>
      <c r="B4128" t="s">
        <v>1318</v>
      </c>
      <c r="C4128">
        <v>74</v>
      </c>
      <c r="D4128" s="105">
        <v>45374.475587881941</v>
      </c>
      <c r="E4128" t="s">
        <v>312</v>
      </c>
      <c r="F4128" t="s">
        <v>309</v>
      </c>
      <c r="G4128">
        <v>0</v>
      </c>
      <c r="H4128" t="s">
        <v>315</v>
      </c>
      <c r="I4128">
        <v>0</v>
      </c>
      <c r="J4128">
        <v>0</v>
      </c>
      <c r="K4128">
        <v>0</v>
      </c>
      <c r="L4128" t="s">
        <v>240</v>
      </c>
      <c r="M4128" t="s">
        <v>1398</v>
      </c>
      <c r="N4128">
        <v>0</v>
      </c>
      <c r="O4128" t="s">
        <v>319</v>
      </c>
      <c r="P4128" t="s">
        <v>310</v>
      </c>
      <c r="Q4128" t="s">
        <v>310</v>
      </c>
      <c r="R4128" t="s">
        <v>310</v>
      </c>
      <c r="S4128">
        <v>9</v>
      </c>
      <c r="T4128" t="s">
        <v>310</v>
      </c>
      <c r="U4128">
        <v>9</v>
      </c>
      <c r="V4128">
        <v>9</v>
      </c>
      <c r="W4128">
        <v>0</v>
      </c>
      <c r="X4128">
        <v>0</v>
      </c>
      <c r="Y4128">
        <v>0</v>
      </c>
      <c r="Z4128">
        <v>0</v>
      </c>
      <c r="AA4128">
        <v>9</v>
      </c>
      <c r="AB4128">
        <v>9</v>
      </c>
      <c r="AC4128" t="s">
        <v>310</v>
      </c>
      <c r="AD4128">
        <v>9</v>
      </c>
      <c r="AE4128" t="s">
        <v>1416</v>
      </c>
      <c r="AF4128">
        <v>10000000</v>
      </c>
      <c r="AG4128" t="s">
        <v>310</v>
      </c>
      <c r="AH4128">
        <f>SUM((MID(Dyno_Data[[#This Row],[Team]],4,5))+(Dyno_Data[[#This Row],[Match]]/100))</f>
        <v>7709.74</v>
      </c>
      <c r="AI4128" s="76">
        <f>ROUND(SUM(IF(Dyno_Data[[#This Row],[AcqCenter]]&gt;0,Dyno_Data[[#This Row],[Time]]-SUMIFS(Dyno_Data[Time],Dyno_Data[Team],Dyno_Data[[#This Row],[Team]],Dyno_Data[RecordType],"StartMatch",Dyno_Data[Match],Dyno_Data[[#This Row],[Match]]),0)*86400),0)</f>
        <v>0</v>
      </c>
    </row>
    <row r="4129" spans="1:35" x14ac:dyDescent="0.3">
      <c r="A4129">
        <v>4122</v>
      </c>
      <c r="B4129" t="s">
        <v>367</v>
      </c>
      <c r="C4129">
        <v>74</v>
      </c>
      <c r="D4129" s="105">
        <v>45374.475589270834</v>
      </c>
      <c r="E4129" t="s">
        <v>312</v>
      </c>
      <c r="F4129" t="s">
        <v>309</v>
      </c>
      <c r="G4129">
        <v>0</v>
      </c>
      <c r="H4129" t="s">
        <v>1397</v>
      </c>
      <c r="I4129">
        <v>0</v>
      </c>
      <c r="J4129">
        <v>0</v>
      </c>
      <c r="K4129">
        <v>0</v>
      </c>
      <c r="L4129" t="s">
        <v>240</v>
      </c>
      <c r="M4129" t="s">
        <v>1398</v>
      </c>
      <c r="N4129">
        <v>0</v>
      </c>
      <c r="O4129" t="s">
        <v>1395</v>
      </c>
      <c r="P4129" t="s">
        <v>310</v>
      </c>
      <c r="Q4129" t="s">
        <v>310</v>
      </c>
      <c r="R4129" t="s">
        <v>310</v>
      </c>
      <c r="S4129">
        <v>9</v>
      </c>
      <c r="T4129" t="s">
        <v>310</v>
      </c>
      <c r="U4129">
        <v>9</v>
      </c>
      <c r="V4129">
        <v>9</v>
      </c>
      <c r="W4129">
        <v>0</v>
      </c>
      <c r="X4129">
        <v>0</v>
      </c>
      <c r="Y4129">
        <v>0</v>
      </c>
      <c r="Z4129">
        <v>0</v>
      </c>
      <c r="AA4129">
        <v>9</v>
      </c>
      <c r="AB4129">
        <v>9</v>
      </c>
      <c r="AC4129" t="s">
        <v>310</v>
      </c>
      <c r="AD4129">
        <v>9</v>
      </c>
      <c r="AE4129" t="s">
        <v>1417</v>
      </c>
      <c r="AF4129">
        <v>0</v>
      </c>
      <c r="AG4129" t="s">
        <v>310</v>
      </c>
      <c r="AH4129">
        <f>SUM((MID(Dyno_Data[[#This Row],[Team]],4,5))+(Dyno_Data[[#This Row],[Match]]/100))</f>
        <v>5016.74</v>
      </c>
      <c r="AI4129" s="76">
        <f>ROUND(SUM(IF(Dyno_Data[[#This Row],[AcqCenter]]&gt;0,Dyno_Data[[#This Row],[Time]]-SUMIFS(Dyno_Data[Time],Dyno_Data[Team],Dyno_Data[[#This Row],[Team]],Dyno_Data[RecordType],"StartMatch",Dyno_Data[Match],Dyno_Data[[#This Row],[Match]]),0)*86400),0)</f>
        <v>0</v>
      </c>
    </row>
    <row r="4130" spans="1:35" x14ac:dyDescent="0.3">
      <c r="A4130">
        <v>4123</v>
      </c>
      <c r="B4130" t="s">
        <v>366</v>
      </c>
      <c r="C4130">
        <v>74</v>
      </c>
      <c r="D4130" s="105">
        <v>45374.475606018517</v>
      </c>
      <c r="E4130" t="s">
        <v>312</v>
      </c>
      <c r="F4130" t="s">
        <v>309</v>
      </c>
      <c r="G4130">
        <v>0</v>
      </c>
      <c r="H4130" t="s">
        <v>1397</v>
      </c>
      <c r="I4130">
        <v>0</v>
      </c>
      <c r="J4130">
        <v>0</v>
      </c>
      <c r="K4130">
        <v>0</v>
      </c>
      <c r="L4130" t="s">
        <v>240</v>
      </c>
      <c r="M4130" t="s">
        <v>1398</v>
      </c>
      <c r="N4130">
        <v>0</v>
      </c>
      <c r="O4130" t="s">
        <v>1393</v>
      </c>
      <c r="P4130" t="s">
        <v>310</v>
      </c>
      <c r="Q4130" t="s">
        <v>310</v>
      </c>
      <c r="R4130" t="s">
        <v>310</v>
      </c>
      <c r="S4130">
        <v>9</v>
      </c>
      <c r="T4130" t="s">
        <v>310</v>
      </c>
      <c r="U4130">
        <v>9</v>
      </c>
      <c r="V4130">
        <v>9</v>
      </c>
      <c r="W4130">
        <v>0</v>
      </c>
      <c r="X4130">
        <v>0</v>
      </c>
      <c r="Y4130">
        <v>0</v>
      </c>
      <c r="Z4130">
        <v>0</v>
      </c>
      <c r="AA4130">
        <v>9</v>
      </c>
      <c r="AB4130">
        <v>9</v>
      </c>
      <c r="AC4130" t="s">
        <v>310</v>
      </c>
      <c r="AD4130">
        <v>9</v>
      </c>
      <c r="AE4130" t="s">
        <v>1414</v>
      </c>
      <c r="AF4130">
        <v>0</v>
      </c>
      <c r="AG4130" t="s">
        <v>310</v>
      </c>
      <c r="AH4130">
        <f>SUM((MID(Dyno_Data[[#This Row],[Team]],4,5))+(Dyno_Data[[#This Row],[Match]]/100))</f>
        <v>4122.74</v>
      </c>
      <c r="AI4130" s="76">
        <f>ROUND(SUM(IF(Dyno_Data[[#This Row],[AcqCenter]]&gt;0,Dyno_Data[[#This Row],[Time]]-SUMIFS(Dyno_Data[Time],Dyno_Data[Team],Dyno_Data[[#This Row],[Team]],Dyno_Data[RecordType],"StartMatch",Dyno_Data[Match],Dyno_Data[[#This Row],[Match]]),0)*86400),0)</f>
        <v>0</v>
      </c>
    </row>
    <row r="4131" spans="1:35" x14ac:dyDescent="0.3">
      <c r="A4131">
        <v>4124</v>
      </c>
      <c r="B4131" t="s">
        <v>366</v>
      </c>
      <c r="C4131">
        <v>74</v>
      </c>
      <c r="D4131" s="105">
        <v>45374.475645914354</v>
      </c>
      <c r="E4131" t="s">
        <v>312</v>
      </c>
      <c r="F4131" t="s">
        <v>309</v>
      </c>
      <c r="G4131">
        <v>0</v>
      </c>
      <c r="H4131" t="s">
        <v>315</v>
      </c>
      <c r="I4131">
        <v>0</v>
      </c>
      <c r="J4131">
        <v>0</v>
      </c>
      <c r="K4131">
        <v>0</v>
      </c>
      <c r="L4131" t="s">
        <v>240</v>
      </c>
      <c r="M4131" t="s">
        <v>1398</v>
      </c>
      <c r="N4131">
        <v>0</v>
      </c>
      <c r="O4131" t="s">
        <v>1393</v>
      </c>
      <c r="P4131" t="s">
        <v>310</v>
      </c>
      <c r="Q4131" t="s">
        <v>310</v>
      </c>
      <c r="R4131" t="s">
        <v>310</v>
      </c>
      <c r="S4131">
        <v>9</v>
      </c>
      <c r="T4131" t="s">
        <v>310</v>
      </c>
      <c r="U4131">
        <v>9</v>
      </c>
      <c r="V4131">
        <v>9</v>
      </c>
      <c r="W4131">
        <v>0</v>
      </c>
      <c r="X4131">
        <v>0</v>
      </c>
      <c r="Y4131">
        <v>0</v>
      </c>
      <c r="Z4131">
        <v>0</v>
      </c>
      <c r="AA4131">
        <v>9</v>
      </c>
      <c r="AB4131">
        <v>9</v>
      </c>
      <c r="AC4131" t="s">
        <v>310</v>
      </c>
      <c r="AD4131">
        <v>9</v>
      </c>
      <c r="AE4131" t="s">
        <v>1414</v>
      </c>
      <c r="AF4131">
        <v>10000000</v>
      </c>
      <c r="AG4131" t="s">
        <v>310</v>
      </c>
      <c r="AH4131">
        <f>SUM((MID(Dyno_Data[[#This Row],[Team]],4,5))+(Dyno_Data[[#This Row],[Match]]/100))</f>
        <v>4122.74</v>
      </c>
      <c r="AI4131" s="76">
        <f>ROUND(SUM(IF(Dyno_Data[[#This Row],[AcqCenter]]&gt;0,Dyno_Data[[#This Row],[Time]]-SUMIFS(Dyno_Data[Time],Dyno_Data[Team],Dyno_Data[[#This Row],[Team]],Dyno_Data[RecordType],"StartMatch",Dyno_Data[Match],Dyno_Data[[#This Row],[Match]]),0)*86400),0)</f>
        <v>0</v>
      </c>
    </row>
    <row r="4132" spans="1:35" x14ac:dyDescent="0.3">
      <c r="A4132">
        <v>4125</v>
      </c>
      <c r="B4132" t="s">
        <v>366</v>
      </c>
      <c r="C4132">
        <v>74</v>
      </c>
      <c r="D4132" s="105">
        <v>45374.475682673612</v>
      </c>
      <c r="E4132" t="s">
        <v>312</v>
      </c>
      <c r="F4132" t="s">
        <v>309</v>
      </c>
      <c r="G4132">
        <v>0</v>
      </c>
      <c r="H4132" t="s">
        <v>315</v>
      </c>
      <c r="I4132">
        <v>0</v>
      </c>
      <c r="J4132">
        <v>0</v>
      </c>
      <c r="K4132">
        <v>0</v>
      </c>
      <c r="L4132" t="s">
        <v>240</v>
      </c>
      <c r="M4132" t="s">
        <v>1398</v>
      </c>
      <c r="N4132">
        <v>1</v>
      </c>
      <c r="O4132" t="s">
        <v>1393</v>
      </c>
      <c r="P4132" t="s">
        <v>310</v>
      </c>
      <c r="Q4132" t="s">
        <v>310</v>
      </c>
      <c r="R4132" t="s">
        <v>310</v>
      </c>
      <c r="S4132">
        <v>9</v>
      </c>
      <c r="T4132" t="s">
        <v>310</v>
      </c>
      <c r="U4132">
        <v>9</v>
      </c>
      <c r="V4132">
        <v>9</v>
      </c>
      <c r="W4132">
        <v>0</v>
      </c>
      <c r="X4132">
        <v>0</v>
      </c>
      <c r="Y4132">
        <v>0</v>
      </c>
      <c r="Z4132">
        <v>0</v>
      </c>
      <c r="AA4132">
        <v>9</v>
      </c>
      <c r="AB4132">
        <v>9</v>
      </c>
      <c r="AC4132" t="s">
        <v>310</v>
      </c>
      <c r="AD4132">
        <v>9</v>
      </c>
      <c r="AE4132" t="s">
        <v>1414</v>
      </c>
      <c r="AF4132">
        <v>20000000</v>
      </c>
      <c r="AG4132" t="s">
        <v>310</v>
      </c>
      <c r="AH4132">
        <f>SUM((MID(Dyno_Data[[#This Row],[Team]],4,5))+(Dyno_Data[[#This Row],[Match]]/100))</f>
        <v>4122.74</v>
      </c>
      <c r="AI4132" s="76">
        <f>ROUND(SUM(IF(Dyno_Data[[#This Row],[AcqCenter]]&gt;0,Dyno_Data[[#This Row],[Time]]-SUMIFS(Dyno_Data[Time],Dyno_Data[Team],Dyno_Data[[#This Row],[Team]],Dyno_Data[RecordType],"StartMatch",Dyno_Data[Match],Dyno_Data[[#This Row],[Match]]),0)*86400),0)</f>
        <v>0</v>
      </c>
    </row>
    <row r="4133" spans="1:35" x14ac:dyDescent="0.3">
      <c r="A4133">
        <v>4127</v>
      </c>
      <c r="B4133" t="s">
        <v>1318</v>
      </c>
      <c r="C4133">
        <v>74</v>
      </c>
      <c r="D4133" s="105">
        <v>45374.475726238423</v>
      </c>
      <c r="E4133" t="s">
        <v>314</v>
      </c>
      <c r="F4133" t="s">
        <v>309</v>
      </c>
      <c r="G4133">
        <v>1</v>
      </c>
      <c r="H4133" t="s">
        <v>310</v>
      </c>
      <c r="I4133">
        <v>0</v>
      </c>
      <c r="J4133">
        <v>0</v>
      </c>
      <c r="K4133">
        <v>0</v>
      </c>
      <c r="L4133" t="s">
        <v>310</v>
      </c>
      <c r="M4133" t="s">
        <v>310</v>
      </c>
      <c r="N4133">
        <v>0</v>
      </c>
      <c r="O4133" t="s">
        <v>319</v>
      </c>
      <c r="P4133" t="s">
        <v>240</v>
      </c>
      <c r="Q4133" t="s">
        <v>1399</v>
      </c>
      <c r="R4133" t="s">
        <v>310</v>
      </c>
      <c r="S4133">
        <v>9</v>
      </c>
      <c r="T4133" t="s">
        <v>310</v>
      </c>
      <c r="U4133">
        <v>9</v>
      </c>
      <c r="V4133">
        <v>9</v>
      </c>
      <c r="W4133">
        <v>0</v>
      </c>
      <c r="X4133">
        <v>0</v>
      </c>
      <c r="Y4133">
        <v>0</v>
      </c>
      <c r="Z4133">
        <v>0</v>
      </c>
      <c r="AA4133">
        <v>9</v>
      </c>
      <c r="AB4133">
        <v>9</v>
      </c>
      <c r="AC4133" t="s">
        <v>310</v>
      </c>
      <c r="AD4133">
        <v>9</v>
      </c>
      <c r="AE4133" t="s">
        <v>1416</v>
      </c>
      <c r="AF4133">
        <v>10000000</v>
      </c>
      <c r="AG4133" t="s">
        <v>310</v>
      </c>
      <c r="AH4133">
        <f>SUM((MID(Dyno_Data[[#This Row],[Team]],4,5))+(Dyno_Data[[#This Row],[Match]]/100))</f>
        <v>7709.74</v>
      </c>
      <c r="AI4133" s="76">
        <f>ROUND(SUM(IF(Dyno_Data[[#This Row],[AcqCenter]]&gt;0,Dyno_Data[[#This Row],[Time]]-SUMIFS(Dyno_Data[Time],Dyno_Data[Team],Dyno_Data[[#This Row],[Team]],Dyno_Data[RecordType],"StartMatch",Dyno_Data[Match],Dyno_Data[[#This Row],[Match]]),0)*86400),0)</f>
        <v>0</v>
      </c>
    </row>
    <row r="4134" spans="1:35" x14ac:dyDescent="0.3">
      <c r="A4134">
        <v>4129</v>
      </c>
      <c r="B4134" t="s">
        <v>367</v>
      </c>
      <c r="C4134">
        <v>74</v>
      </c>
      <c r="D4134" s="105">
        <v>45374.475729745369</v>
      </c>
      <c r="E4134" t="s">
        <v>314</v>
      </c>
      <c r="F4134" t="s">
        <v>309</v>
      </c>
      <c r="G4134">
        <v>0</v>
      </c>
      <c r="H4134" t="s">
        <v>310</v>
      </c>
      <c r="I4134">
        <v>0</v>
      </c>
      <c r="J4134">
        <v>0</v>
      </c>
      <c r="K4134">
        <v>0</v>
      </c>
      <c r="L4134" t="s">
        <v>310</v>
      </c>
      <c r="M4134" t="s">
        <v>310</v>
      </c>
      <c r="N4134">
        <v>0</v>
      </c>
      <c r="O4134" t="s">
        <v>1395</v>
      </c>
      <c r="P4134" t="s">
        <v>1401</v>
      </c>
      <c r="Q4134" t="s">
        <v>1400</v>
      </c>
      <c r="R4134" t="s">
        <v>310</v>
      </c>
      <c r="S4134">
        <v>9</v>
      </c>
      <c r="T4134" t="s">
        <v>310</v>
      </c>
      <c r="U4134">
        <v>9</v>
      </c>
      <c r="V4134">
        <v>9</v>
      </c>
      <c r="W4134">
        <v>0</v>
      </c>
      <c r="X4134">
        <v>0</v>
      </c>
      <c r="Y4134">
        <v>0</v>
      </c>
      <c r="Z4134">
        <v>0</v>
      </c>
      <c r="AA4134">
        <v>9</v>
      </c>
      <c r="AB4134">
        <v>9</v>
      </c>
      <c r="AC4134" t="s">
        <v>310</v>
      </c>
      <c r="AD4134">
        <v>9</v>
      </c>
      <c r="AE4134" t="s">
        <v>1417</v>
      </c>
      <c r="AF4134">
        <v>0</v>
      </c>
      <c r="AG4134" t="s">
        <v>310</v>
      </c>
      <c r="AH4134">
        <f>SUM((MID(Dyno_Data[[#This Row],[Team]],4,5))+(Dyno_Data[[#This Row],[Match]]/100))</f>
        <v>5016.74</v>
      </c>
      <c r="AI4134" s="76">
        <f>ROUND(SUM(IF(Dyno_Data[[#This Row],[AcqCenter]]&gt;0,Dyno_Data[[#This Row],[Time]]-SUMIFS(Dyno_Data[Time],Dyno_Data[Team],Dyno_Data[[#This Row],[Team]],Dyno_Data[RecordType],"StartMatch",Dyno_Data[Match],Dyno_Data[[#This Row],[Match]]),0)*86400),0)</f>
        <v>0</v>
      </c>
    </row>
    <row r="4135" spans="1:35" x14ac:dyDescent="0.3">
      <c r="A4135">
        <v>4131</v>
      </c>
      <c r="B4135" t="s">
        <v>1310</v>
      </c>
      <c r="C4135">
        <v>74</v>
      </c>
      <c r="D4135" s="105">
        <v>45374.475730555554</v>
      </c>
      <c r="E4135" t="s">
        <v>314</v>
      </c>
      <c r="F4135" t="s">
        <v>309</v>
      </c>
      <c r="G4135">
        <v>0</v>
      </c>
      <c r="H4135" t="s">
        <v>310</v>
      </c>
      <c r="I4135">
        <v>0</v>
      </c>
      <c r="J4135">
        <v>0</v>
      </c>
      <c r="K4135">
        <v>0</v>
      </c>
      <c r="L4135" t="s">
        <v>310</v>
      </c>
      <c r="M4135" t="s">
        <v>310</v>
      </c>
      <c r="N4135">
        <v>0</v>
      </c>
      <c r="O4135" t="s">
        <v>1389</v>
      </c>
      <c r="P4135" t="s">
        <v>101</v>
      </c>
      <c r="Q4135" t="s">
        <v>1400</v>
      </c>
      <c r="R4135" t="s">
        <v>310</v>
      </c>
      <c r="S4135">
        <v>9</v>
      </c>
      <c r="T4135" t="s">
        <v>310</v>
      </c>
      <c r="U4135">
        <v>9</v>
      </c>
      <c r="V4135">
        <v>9</v>
      </c>
      <c r="W4135">
        <v>0</v>
      </c>
      <c r="X4135">
        <v>0</v>
      </c>
      <c r="Y4135">
        <v>0</v>
      </c>
      <c r="Z4135">
        <v>0</v>
      </c>
      <c r="AA4135">
        <v>9</v>
      </c>
      <c r="AB4135">
        <v>9</v>
      </c>
      <c r="AC4135" t="s">
        <v>310</v>
      </c>
      <c r="AD4135">
        <v>9</v>
      </c>
      <c r="AE4135" t="s">
        <v>1412</v>
      </c>
      <c r="AF4135">
        <v>0</v>
      </c>
      <c r="AG4135" t="s">
        <v>310</v>
      </c>
      <c r="AH4135">
        <f>SUM((MID(Dyno_Data[[#This Row],[Team]],4,5))+(Dyno_Data[[#This Row],[Match]]/100))</f>
        <v>6621.74</v>
      </c>
      <c r="AI4135" s="76">
        <f>ROUND(SUM(IF(Dyno_Data[[#This Row],[AcqCenter]]&gt;0,Dyno_Data[[#This Row],[Time]]-SUMIFS(Dyno_Data[Time],Dyno_Data[Team],Dyno_Data[[#This Row],[Team]],Dyno_Data[RecordType],"StartMatch",Dyno_Data[Match],Dyno_Data[[#This Row],[Match]]),0)*86400),0)</f>
        <v>0</v>
      </c>
    </row>
    <row r="4136" spans="1:35" x14ac:dyDescent="0.3">
      <c r="A4136">
        <v>4133</v>
      </c>
      <c r="B4136" t="s">
        <v>366</v>
      </c>
      <c r="C4136">
        <v>74</v>
      </c>
      <c r="D4136" s="105">
        <v>45374.475736261571</v>
      </c>
      <c r="E4136" t="s">
        <v>314</v>
      </c>
      <c r="F4136" t="s">
        <v>309</v>
      </c>
      <c r="G4136">
        <v>1</v>
      </c>
      <c r="H4136" t="s">
        <v>310</v>
      </c>
      <c r="I4136">
        <v>0</v>
      </c>
      <c r="J4136">
        <v>0</v>
      </c>
      <c r="K4136">
        <v>0</v>
      </c>
      <c r="L4136" t="s">
        <v>310</v>
      </c>
      <c r="M4136" t="s">
        <v>310</v>
      </c>
      <c r="N4136">
        <v>0</v>
      </c>
      <c r="O4136" t="s">
        <v>1393</v>
      </c>
      <c r="P4136" t="s">
        <v>240</v>
      </c>
      <c r="Q4136" t="s">
        <v>315</v>
      </c>
      <c r="R4136" t="s">
        <v>310</v>
      </c>
      <c r="S4136">
        <v>9</v>
      </c>
      <c r="T4136" t="s">
        <v>310</v>
      </c>
      <c r="U4136">
        <v>9</v>
      </c>
      <c r="V4136">
        <v>9</v>
      </c>
      <c r="W4136">
        <v>0</v>
      </c>
      <c r="X4136">
        <v>0</v>
      </c>
      <c r="Y4136">
        <v>0</v>
      </c>
      <c r="Z4136">
        <v>0</v>
      </c>
      <c r="AA4136">
        <v>9</v>
      </c>
      <c r="AB4136">
        <v>9</v>
      </c>
      <c r="AC4136" t="s">
        <v>310</v>
      </c>
      <c r="AD4136">
        <v>9</v>
      </c>
      <c r="AE4136" t="s">
        <v>1414</v>
      </c>
      <c r="AF4136">
        <v>20000001</v>
      </c>
      <c r="AG4136" t="s">
        <v>310</v>
      </c>
      <c r="AH4136">
        <f>SUM((MID(Dyno_Data[[#This Row],[Team]],4,5))+(Dyno_Data[[#This Row],[Match]]/100))</f>
        <v>4122.74</v>
      </c>
      <c r="AI4136" s="76">
        <f>ROUND(SUM(IF(Dyno_Data[[#This Row],[AcqCenter]]&gt;0,Dyno_Data[[#This Row],[Time]]-SUMIFS(Dyno_Data[Time],Dyno_Data[Team],Dyno_Data[[#This Row],[Team]],Dyno_Data[RecordType],"StartMatch",Dyno_Data[Match],Dyno_Data[[#This Row],[Match]]),0)*86400),0)</f>
        <v>0</v>
      </c>
    </row>
    <row r="4137" spans="1:35" x14ac:dyDescent="0.3">
      <c r="A4137">
        <v>4135</v>
      </c>
      <c r="B4137" t="s">
        <v>373</v>
      </c>
      <c r="C4137">
        <v>74</v>
      </c>
      <c r="D4137" s="105">
        <v>45374.475749456018</v>
      </c>
      <c r="E4137" t="s">
        <v>314</v>
      </c>
      <c r="F4137" t="s">
        <v>309</v>
      </c>
      <c r="G4137">
        <v>1</v>
      </c>
      <c r="H4137" t="s">
        <v>310</v>
      </c>
      <c r="I4137">
        <v>0</v>
      </c>
      <c r="J4137">
        <v>0</v>
      </c>
      <c r="K4137">
        <v>0</v>
      </c>
      <c r="L4137" t="s">
        <v>310</v>
      </c>
      <c r="M4137" t="s">
        <v>310</v>
      </c>
      <c r="N4137">
        <v>0</v>
      </c>
      <c r="O4137" t="s">
        <v>311</v>
      </c>
      <c r="P4137" t="s">
        <v>1401</v>
      </c>
      <c r="Q4137" t="s">
        <v>1400</v>
      </c>
      <c r="R4137" t="s">
        <v>310</v>
      </c>
      <c r="S4137">
        <v>9</v>
      </c>
      <c r="T4137" t="s">
        <v>310</v>
      </c>
      <c r="U4137">
        <v>9</v>
      </c>
      <c r="V4137">
        <v>9</v>
      </c>
      <c r="W4137">
        <v>0</v>
      </c>
      <c r="X4137">
        <v>0</v>
      </c>
      <c r="Y4137">
        <v>0</v>
      </c>
      <c r="Z4137">
        <v>0</v>
      </c>
      <c r="AA4137">
        <v>9</v>
      </c>
      <c r="AB4137">
        <v>9</v>
      </c>
      <c r="AC4137" t="s">
        <v>310</v>
      </c>
      <c r="AD4137">
        <v>9</v>
      </c>
      <c r="AE4137" t="s">
        <v>1418</v>
      </c>
      <c r="AF4137">
        <v>0</v>
      </c>
      <c r="AG4137" t="s">
        <v>310</v>
      </c>
      <c r="AH4137">
        <f>SUM((MID(Dyno_Data[[#This Row],[Team]],4,5))+(Dyno_Data[[#This Row],[Match]]/100))</f>
        <v>7718.74</v>
      </c>
      <c r="AI4137" s="76">
        <f>ROUND(SUM(IF(Dyno_Data[[#This Row],[AcqCenter]]&gt;0,Dyno_Data[[#This Row],[Time]]-SUMIFS(Dyno_Data[Time],Dyno_Data[Team],Dyno_Data[[#This Row],[Team]],Dyno_Data[RecordType],"StartMatch",Dyno_Data[Match],Dyno_Data[[#This Row],[Match]]),0)*86400),0)</f>
        <v>0</v>
      </c>
    </row>
    <row r="4138" spans="1:35" x14ac:dyDescent="0.3">
      <c r="A4138">
        <v>4137</v>
      </c>
      <c r="B4138" t="s">
        <v>1294</v>
      </c>
      <c r="C4138">
        <v>74</v>
      </c>
      <c r="D4138" s="105">
        <v>45374.47576400463</v>
      </c>
      <c r="E4138" t="s">
        <v>314</v>
      </c>
      <c r="F4138" t="s">
        <v>309</v>
      </c>
      <c r="G4138">
        <v>0</v>
      </c>
      <c r="H4138" t="s">
        <v>310</v>
      </c>
      <c r="I4138">
        <v>0</v>
      </c>
      <c r="J4138">
        <v>0</v>
      </c>
      <c r="K4138">
        <v>0</v>
      </c>
      <c r="L4138" t="s">
        <v>310</v>
      </c>
      <c r="M4138" t="s">
        <v>310</v>
      </c>
      <c r="N4138">
        <v>0</v>
      </c>
      <c r="O4138" t="s">
        <v>1391</v>
      </c>
      <c r="P4138" t="s">
        <v>101</v>
      </c>
      <c r="Q4138" t="s">
        <v>1400</v>
      </c>
      <c r="R4138" t="s">
        <v>310</v>
      </c>
      <c r="S4138">
        <v>9</v>
      </c>
      <c r="T4138" t="s">
        <v>310</v>
      </c>
      <c r="U4138">
        <v>9</v>
      </c>
      <c r="V4138">
        <v>9</v>
      </c>
      <c r="W4138">
        <v>0</v>
      </c>
      <c r="X4138">
        <v>0</v>
      </c>
      <c r="Y4138">
        <v>0</v>
      </c>
      <c r="Z4138">
        <v>0</v>
      </c>
      <c r="AA4138">
        <v>9</v>
      </c>
      <c r="AB4138">
        <v>9</v>
      </c>
      <c r="AC4138" t="s">
        <v>310</v>
      </c>
      <c r="AD4138">
        <v>9</v>
      </c>
      <c r="AE4138" t="s">
        <v>1413</v>
      </c>
      <c r="AF4138">
        <v>0</v>
      </c>
      <c r="AG4138" t="s">
        <v>310</v>
      </c>
      <c r="AH4138">
        <f>SUM((MID(Dyno_Data[[#This Row],[Team]],4,5))+(Dyno_Data[[#This Row],[Match]]/100))</f>
        <v>9076.74</v>
      </c>
      <c r="AI4138" s="76">
        <f>ROUND(SUM(IF(Dyno_Data[[#This Row],[AcqCenter]]&gt;0,Dyno_Data[[#This Row],[Time]]-SUMIFS(Dyno_Data[Time],Dyno_Data[Team],Dyno_Data[[#This Row],[Team]],Dyno_Data[RecordType],"StartMatch",Dyno_Data[Match],Dyno_Data[[#This Row],[Match]]),0)*86400),0)</f>
        <v>0</v>
      </c>
    </row>
    <row r="4139" spans="1:35" x14ac:dyDescent="0.3">
      <c r="A4139">
        <v>4138</v>
      </c>
      <c r="B4139" t="s">
        <v>366</v>
      </c>
      <c r="C4139">
        <v>74</v>
      </c>
      <c r="D4139" s="105">
        <v>45374.475797453706</v>
      </c>
      <c r="E4139" t="s">
        <v>312</v>
      </c>
      <c r="F4139" t="s">
        <v>1402</v>
      </c>
      <c r="G4139">
        <v>0</v>
      </c>
      <c r="H4139" t="s">
        <v>315</v>
      </c>
      <c r="I4139">
        <v>0</v>
      </c>
      <c r="J4139">
        <v>0</v>
      </c>
      <c r="K4139">
        <v>0</v>
      </c>
      <c r="L4139" t="s">
        <v>241</v>
      </c>
      <c r="M4139" t="s">
        <v>1398</v>
      </c>
      <c r="N4139">
        <v>0</v>
      </c>
      <c r="O4139" t="s">
        <v>1393</v>
      </c>
      <c r="P4139" t="s">
        <v>310</v>
      </c>
      <c r="Q4139" t="s">
        <v>310</v>
      </c>
      <c r="R4139" t="s">
        <v>310</v>
      </c>
      <c r="S4139">
        <v>9</v>
      </c>
      <c r="T4139" t="s">
        <v>310</v>
      </c>
      <c r="U4139">
        <v>9</v>
      </c>
      <c r="V4139">
        <v>9</v>
      </c>
      <c r="W4139">
        <v>0</v>
      </c>
      <c r="X4139">
        <v>0</v>
      </c>
      <c r="Y4139">
        <v>0</v>
      </c>
      <c r="Z4139">
        <v>0</v>
      </c>
      <c r="AA4139">
        <v>9</v>
      </c>
      <c r="AB4139">
        <v>9</v>
      </c>
      <c r="AC4139" t="s">
        <v>310</v>
      </c>
      <c r="AD4139">
        <v>9</v>
      </c>
      <c r="AE4139" t="s">
        <v>1414</v>
      </c>
      <c r="AF4139">
        <v>30000001</v>
      </c>
      <c r="AG4139" t="s">
        <v>310</v>
      </c>
      <c r="AH4139">
        <f>SUM((MID(Dyno_Data[[#This Row],[Team]],4,5))+(Dyno_Data[[#This Row],[Match]]/100))</f>
        <v>4122.74</v>
      </c>
      <c r="AI4139" s="76">
        <f>ROUND(SUM(IF(Dyno_Data[[#This Row],[AcqCenter]]&gt;0,Dyno_Data[[#This Row],[Time]]-SUMIFS(Dyno_Data[Time],Dyno_Data[Team],Dyno_Data[[#This Row],[Team]],Dyno_Data[RecordType],"StartMatch",Dyno_Data[Match],Dyno_Data[[#This Row],[Match]]),0)*86400),0)</f>
        <v>0</v>
      </c>
    </row>
    <row r="4140" spans="1:35" x14ac:dyDescent="0.3">
      <c r="A4140">
        <v>4139</v>
      </c>
      <c r="B4140" t="s">
        <v>373</v>
      </c>
      <c r="C4140">
        <v>74</v>
      </c>
      <c r="D4140" s="105">
        <v>45374.475879432874</v>
      </c>
      <c r="E4140" t="s">
        <v>312</v>
      </c>
      <c r="F4140" t="s">
        <v>1402</v>
      </c>
      <c r="G4140">
        <v>0</v>
      </c>
      <c r="H4140" t="s">
        <v>1397</v>
      </c>
      <c r="I4140">
        <v>0</v>
      </c>
      <c r="J4140">
        <v>0</v>
      </c>
      <c r="K4140">
        <v>0</v>
      </c>
      <c r="L4140" t="s">
        <v>241</v>
      </c>
      <c r="M4140" t="s">
        <v>241</v>
      </c>
      <c r="N4140">
        <v>0</v>
      </c>
      <c r="O4140" t="s">
        <v>311</v>
      </c>
      <c r="P4140" t="s">
        <v>310</v>
      </c>
      <c r="Q4140" t="s">
        <v>310</v>
      </c>
      <c r="R4140" t="s">
        <v>310</v>
      </c>
      <c r="S4140">
        <v>9</v>
      </c>
      <c r="T4140" t="s">
        <v>310</v>
      </c>
      <c r="U4140">
        <v>9</v>
      </c>
      <c r="V4140">
        <v>9</v>
      </c>
      <c r="W4140">
        <v>0</v>
      </c>
      <c r="X4140">
        <v>0</v>
      </c>
      <c r="Y4140">
        <v>0</v>
      </c>
      <c r="Z4140">
        <v>0</v>
      </c>
      <c r="AA4140">
        <v>9</v>
      </c>
      <c r="AB4140">
        <v>9</v>
      </c>
      <c r="AC4140" t="s">
        <v>310</v>
      </c>
      <c r="AD4140">
        <v>9</v>
      </c>
      <c r="AE4140" t="s">
        <v>1418</v>
      </c>
      <c r="AF4140">
        <v>0</v>
      </c>
      <c r="AG4140" t="s">
        <v>310</v>
      </c>
      <c r="AH4140">
        <f>SUM((MID(Dyno_Data[[#This Row],[Team]],4,5))+(Dyno_Data[[#This Row],[Match]]/100))</f>
        <v>7718.74</v>
      </c>
      <c r="AI4140" s="76">
        <f>ROUND(SUM(IF(Dyno_Data[[#This Row],[AcqCenter]]&gt;0,Dyno_Data[[#This Row],[Time]]-SUMIFS(Dyno_Data[Time],Dyno_Data[Team],Dyno_Data[[#This Row],[Team]],Dyno_Data[RecordType],"StartMatch",Dyno_Data[Match],Dyno_Data[[#This Row],[Match]]),0)*86400),0)</f>
        <v>0</v>
      </c>
    </row>
    <row r="4141" spans="1:35" x14ac:dyDescent="0.3">
      <c r="A4141">
        <v>4140</v>
      </c>
      <c r="B4141" t="s">
        <v>1310</v>
      </c>
      <c r="C4141">
        <v>74</v>
      </c>
      <c r="D4141" s="105">
        <v>45374.475881597224</v>
      </c>
      <c r="E4141" t="s">
        <v>1403</v>
      </c>
      <c r="F4141" t="s">
        <v>1402</v>
      </c>
      <c r="G4141">
        <v>0</v>
      </c>
      <c r="H4141" t="s">
        <v>310</v>
      </c>
      <c r="I4141">
        <v>0</v>
      </c>
      <c r="J4141">
        <v>0</v>
      </c>
      <c r="K4141">
        <v>0</v>
      </c>
      <c r="L4141" t="s">
        <v>310</v>
      </c>
      <c r="M4141" t="s">
        <v>310</v>
      </c>
      <c r="N4141">
        <v>0</v>
      </c>
      <c r="O4141" t="s">
        <v>1389</v>
      </c>
      <c r="P4141" t="s">
        <v>310</v>
      </c>
      <c r="Q4141" t="s">
        <v>310</v>
      </c>
      <c r="R4141" t="s">
        <v>310</v>
      </c>
      <c r="S4141">
        <v>9</v>
      </c>
      <c r="T4141" t="s">
        <v>310</v>
      </c>
      <c r="U4141">
        <v>9</v>
      </c>
      <c r="V4141">
        <v>9</v>
      </c>
      <c r="W4141">
        <v>0</v>
      </c>
      <c r="X4141">
        <v>0</v>
      </c>
      <c r="Y4141">
        <v>0</v>
      </c>
      <c r="Z4141">
        <v>0</v>
      </c>
      <c r="AA4141">
        <v>9</v>
      </c>
      <c r="AB4141">
        <v>9</v>
      </c>
      <c r="AC4141" t="s">
        <v>310</v>
      </c>
      <c r="AD4141">
        <v>9</v>
      </c>
      <c r="AE4141" t="s">
        <v>1412</v>
      </c>
      <c r="AF4141">
        <v>0</v>
      </c>
      <c r="AG4141" t="s">
        <v>249</v>
      </c>
      <c r="AH4141">
        <f>SUM((MID(Dyno_Data[[#This Row],[Team]],4,5))+(Dyno_Data[[#This Row],[Match]]/100))</f>
        <v>6621.74</v>
      </c>
      <c r="AI4141" s="76">
        <f>ROUND(SUM(IF(Dyno_Data[[#This Row],[AcqCenter]]&gt;0,Dyno_Data[[#This Row],[Time]]-SUMIFS(Dyno_Data[Time],Dyno_Data[Team],Dyno_Data[[#This Row],[Team]],Dyno_Data[RecordType],"StartMatch",Dyno_Data[Match],Dyno_Data[[#This Row],[Match]]),0)*86400),0)</f>
        <v>0</v>
      </c>
    </row>
    <row r="4142" spans="1:35" x14ac:dyDescent="0.3">
      <c r="A4142">
        <v>4141</v>
      </c>
      <c r="B4142" t="s">
        <v>367</v>
      </c>
      <c r="C4142">
        <v>74</v>
      </c>
      <c r="D4142" s="105">
        <v>45374.475905555555</v>
      </c>
      <c r="E4142" t="s">
        <v>312</v>
      </c>
      <c r="F4142" t="s">
        <v>1402</v>
      </c>
      <c r="G4142">
        <v>0</v>
      </c>
      <c r="H4142" t="s">
        <v>315</v>
      </c>
      <c r="I4142">
        <v>0</v>
      </c>
      <c r="J4142">
        <v>0</v>
      </c>
      <c r="K4142">
        <v>0</v>
      </c>
      <c r="L4142" t="s">
        <v>241</v>
      </c>
      <c r="M4142" t="s">
        <v>1398</v>
      </c>
      <c r="N4142">
        <v>0</v>
      </c>
      <c r="O4142" t="s">
        <v>1395</v>
      </c>
      <c r="P4142" t="s">
        <v>310</v>
      </c>
      <c r="Q4142" t="s">
        <v>310</v>
      </c>
      <c r="R4142" t="s">
        <v>310</v>
      </c>
      <c r="S4142">
        <v>9</v>
      </c>
      <c r="T4142" t="s">
        <v>310</v>
      </c>
      <c r="U4142">
        <v>9</v>
      </c>
      <c r="V4142">
        <v>9</v>
      </c>
      <c r="W4142">
        <v>0</v>
      </c>
      <c r="X4142">
        <v>0</v>
      </c>
      <c r="Y4142">
        <v>0</v>
      </c>
      <c r="Z4142">
        <v>0</v>
      </c>
      <c r="AA4142">
        <v>9</v>
      </c>
      <c r="AB4142">
        <v>9</v>
      </c>
      <c r="AC4142" t="s">
        <v>310</v>
      </c>
      <c r="AD4142">
        <v>9</v>
      </c>
      <c r="AE4142" t="s">
        <v>1417</v>
      </c>
      <c r="AF4142">
        <v>10000000</v>
      </c>
      <c r="AG4142" t="s">
        <v>310</v>
      </c>
      <c r="AH4142">
        <f>SUM((MID(Dyno_Data[[#This Row],[Team]],4,5))+(Dyno_Data[[#This Row],[Match]]/100))</f>
        <v>5016.74</v>
      </c>
      <c r="AI4142" s="76">
        <f>ROUND(SUM(IF(Dyno_Data[[#This Row],[AcqCenter]]&gt;0,Dyno_Data[[#This Row],[Time]]-SUMIFS(Dyno_Data[Time],Dyno_Data[Team],Dyno_Data[[#This Row],[Team]],Dyno_Data[RecordType],"StartMatch",Dyno_Data[Match],Dyno_Data[[#This Row],[Match]]),0)*86400),0)</f>
        <v>0</v>
      </c>
    </row>
    <row r="4143" spans="1:35" x14ac:dyDescent="0.3">
      <c r="A4143">
        <v>4142</v>
      </c>
      <c r="B4143" t="s">
        <v>1318</v>
      </c>
      <c r="C4143">
        <v>74</v>
      </c>
      <c r="D4143" s="105">
        <v>45374.475911307869</v>
      </c>
      <c r="E4143" t="s">
        <v>312</v>
      </c>
      <c r="F4143" t="s">
        <v>1402</v>
      </c>
      <c r="G4143">
        <v>0</v>
      </c>
      <c r="H4143" t="s">
        <v>315</v>
      </c>
      <c r="I4143">
        <v>0</v>
      </c>
      <c r="J4143">
        <v>0</v>
      </c>
      <c r="K4143">
        <v>0</v>
      </c>
      <c r="L4143" t="s">
        <v>242</v>
      </c>
      <c r="M4143" t="s">
        <v>241</v>
      </c>
      <c r="N4143">
        <v>0</v>
      </c>
      <c r="O4143" t="s">
        <v>319</v>
      </c>
      <c r="P4143" t="s">
        <v>310</v>
      </c>
      <c r="Q4143" t="s">
        <v>310</v>
      </c>
      <c r="R4143" t="s">
        <v>310</v>
      </c>
      <c r="S4143">
        <v>9</v>
      </c>
      <c r="T4143" t="s">
        <v>310</v>
      </c>
      <c r="U4143">
        <v>9</v>
      </c>
      <c r="V4143">
        <v>9</v>
      </c>
      <c r="W4143">
        <v>0</v>
      </c>
      <c r="X4143">
        <v>0</v>
      </c>
      <c r="Y4143">
        <v>0</v>
      </c>
      <c r="Z4143">
        <v>0</v>
      </c>
      <c r="AA4143">
        <v>9</v>
      </c>
      <c r="AB4143">
        <v>9</v>
      </c>
      <c r="AC4143" t="s">
        <v>310</v>
      </c>
      <c r="AD4143">
        <v>9</v>
      </c>
      <c r="AE4143" t="s">
        <v>1416</v>
      </c>
      <c r="AF4143">
        <v>20000000</v>
      </c>
      <c r="AG4143" t="s">
        <v>310</v>
      </c>
      <c r="AH4143">
        <f>SUM((MID(Dyno_Data[[#This Row],[Team]],4,5))+(Dyno_Data[[#This Row],[Match]]/100))</f>
        <v>7709.74</v>
      </c>
      <c r="AI4143" s="76">
        <f>ROUND(SUM(IF(Dyno_Data[[#This Row],[AcqCenter]]&gt;0,Dyno_Data[[#This Row],[Time]]-SUMIFS(Dyno_Data[Time],Dyno_Data[Team],Dyno_Data[[#This Row],[Team]],Dyno_Data[RecordType],"StartMatch",Dyno_Data[Match],Dyno_Data[[#This Row],[Match]]),0)*86400),0)</f>
        <v>0</v>
      </c>
    </row>
    <row r="4144" spans="1:35" x14ac:dyDescent="0.3">
      <c r="A4144">
        <v>4143</v>
      </c>
      <c r="B4144" t="s">
        <v>1318</v>
      </c>
      <c r="C4144">
        <v>74</v>
      </c>
      <c r="D4144" s="105">
        <v>45374.475939386575</v>
      </c>
      <c r="E4144" t="s">
        <v>312</v>
      </c>
      <c r="F4144" t="s">
        <v>1402</v>
      </c>
      <c r="G4144">
        <v>0</v>
      </c>
      <c r="H4144" t="s">
        <v>315</v>
      </c>
      <c r="I4144">
        <v>0</v>
      </c>
      <c r="J4144">
        <v>0</v>
      </c>
      <c r="K4144">
        <v>0</v>
      </c>
      <c r="L4144" t="s">
        <v>242</v>
      </c>
      <c r="M4144" t="s">
        <v>241</v>
      </c>
      <c r="N4144">
        <v>0</v>
      </c>
      <c r="O4144" t="s">
        <v>319</v>
      </c>
      <c r="P4144" t="s">
        <v>310</v>
      </c>
      <c r="Q4144" t="s">
        <v>310</v>
      </c>
      <c r="R4144" t="s">
        <v>310</v>
      </c>
      <c r="S4144">
        <v>9</v>
      </c>
      <c r="T4144" t="s">
        <v>310</v>
      </c>
      <c r="U4144">
        <v>9</v>
      </c>
      <c r="V4144">
        <v>9</v>
      </c>
      <c r="W4144">
        <v>0</v>
      </c>
      <c r="X4144">
        <v>0</v>
      </c>
      <c r="Y4144">
        <v>0</v>
      </c>
      <c r="Z4144">
        <v>0</v>
      </c>
      <c r="AA4144">
        <v>9</v>
      </c>
      <c r="AB4144">
        <v>9</v>
      </c>
      <c r="AC4144" t="s">
        <v>310</v>
      </c>
      <c r="AD4144">
        <v>9</v>
      </c>
      <c r="AE4144" t="s">
        <v>1416</v>
      </c>
      <c r="AF4144">
        <v>30000000</v>
      </c>
      <c r="AG4144" t="s">
        <v>310</v>
      </c>
      <c r="AH4144">
        <f>SUM((MID(Dyno_Data[[#This Row],[Team]],4,5))+(Dyno_Data[[#This Row],[Match]]/100))</f>
        <v>7709.74</v>
      </c>
      <c r="AI4144" s="76">
        <f>ROUND(SUM(IF(Dyno_Data[[#This Row],[AcqCenter]]&gt;0,Dyno_Data[[#This Row],[Time]]-SUMIFS(Dyno_Data[Time],Dyno_Data[Team],Dyno_Data[[#This Row],[Team]],Dyno_Data[RecordType],"StartMatch",Dyno_Data[Match],Dyno_Data[[#This Row],[Match]]),0)*86400),0)</f>
        <v>0</v>
      </c>
    </row>
    <row r="4145" spans="1:35" x14ac:dyDescent="0.3">
      <c r="A4145">
        <v>4144</v>
      </c>
      <c r="B4145" t="s">
        <v>366</v>
      </c>
      <c r="C4145">
        <v>74</v>
      </c>
      <c r="D4145" s="105">
        <v>45374.475956215276</v>
      </c>
      <c r="E4145" t="s">
        <v>312</v>
      </c>
      <c r="F4145" t="s">
        <v>1402</v>
      </c>
      <c r="G4145">
        <v>0</v>
      </c>
      <c r="H4145" t="s">
        <v>315</v>
      </c>
      <c r="I4145">
        <v>0</v>
      </c>
      <c r="J4145">
        <v>0</v>
      </c>
      <c r="K4145">
        <v>0</v>
      </c>
      <c r="L4145" t="s">
        <v>240</v>
      </c>
      <c r="M4145" t="s">
        <v>1398</v>
      </c>
      <c r="N4145">
        <v>0</v>
      </c>
      <c r="O4145" t="s">
        <v>1393</v>
      </c>
      <c r="P4145" t="s">
        <v>310</v>
      </c>
      <c r="Q4145" t="s">
        <v>310</v>
      </c>
      <c r="R4145" t="s">
        <v>310</v>
      </c>
      <c r="S4145">
        <v>9</v>
      </c>
      <c r="T4145" t="s">
        <v>310</v>
      </c>
      <c r="U4145">
        <v>9</v>
      </c>
      <c r="V4145">
        <v>9</v>
      </c>
      <c r="W4145">
        <v>0</v>
      </c>
      <c r="X4145">
        <v>0</v>
      </c>
      <c r="Y4145">
        <v>0</v>
      </c>
      <c r="Z4145">
        <v>0</v>
      </c>
      <c r="AA4145">
        <v>9</v>
      </c>
      <c r="AB4145">
        <v>9</v>
      </c>
      <c r="AC4145" t="s">
        <v>310</v>
      </c>
      <c r="AD4145">
        <v>9</v>
      </c>
      <c r="AE4145" t="s">
        <v>1414</v>
      </c>
      <c r="AF4145">
        <v>40000001</v>
      </c>
      <c r="AG4145" t="s">
        <v>310</v>
      </c>
      <c r="AH4145">
        <f>SUM((MID(Dyno_Data[[#This Row],[Team]],4,5))+(Dyno_Data[[#This Row],[Match]]/100))</f>
        <v>4122.74</v>
      </c>
      <c r="AI4145" s="76">
        <f>ROUND(SUM(IF(Dyno_Data[[#This Row],[AcqCenter]]&gt;0,Dyno_Data[[#This Row],[Time]]-SUMIFS(Dyno_Data[Time],Dyno_Data[Team],Dyno_Data[[#This Row],[Team]],Dyno_Data[RecordType],"StartMatch",Dyno_Data[Match],Dyno_Data[[#This Row],[Match]]),0)*86400),0)</f>
        <v>0</v>
      </c>
    </row>
    <row r="4146" spans="1:35" x14ac:dyDescent="0.3">
      <c r="A4146">
        <v>4145</v>
      </c>
      <c r="B4146" t="s">
        <v>1294</v>
      </c>
      <c r="C4146">
        <v>74</v>
      </c>
      <c r="D4146" s="105">
        <v>45374.475973726854</v>
      </c>
      <c r="E4146" t="s">
        <v>312</v>
      </c>
      <c r="F4146" t="s">
        <v>1402</v>
      </c>
      <c r="G4146">
        <v>0</v>
      </c>
      <c r="H4146" t="s">
        <v>1397</v>
      </c>
      <c r="I4146">
        <v>0</v>
      </c>
      <c r="J4146">
        <v>0</v>
      </c>
      <c r="K4146">
        <v>0</v>
      </c>
      <c r="L4146" t="s">
        <v>240</v>
      </c>
      <c r="M4146" t="s">
        <v>1398</v>
      </c>
      <c r="N4146">
        <v>0</v>
      </c>
      <c r="O4146" t="s">
        <v>1391</v>
      </c>
      <c r="P4146" t="s">
        <v>310</v>
      </c>
      <c r="Q4146" t="s">
        <v>310</v>
      </c>
      <c r="R4146" t="s">
        <v>310</v>
      </c>
      <c r="S4146">
        <v>9</v>
      </c>
      <c r="T4146" t="s">
        <v>310</v>
      </c>
      <c r="U4146">
        <v>9</v>
      </c>
      <c r="V4146">
        <v>9</v>
      </c>
      <c r="W4146">
        <v>0</v>
      </c>
      <c r="X4146">
        <v>0</v>
      </c>
      <c r="Y4146">
        <v>0</v>
      </c>
      <c r="Z4146">
        <v>0</v>
      </c>
      <c r="AA4146">
        <v>9</v>
      </c>
      <c r="AB4146">
        <v>9</v>
      </c>
      <c r="AC4146" t="s">
        <v>310</v>
      </c>
      <c r="AD4146">
        <v>9</v>
      </c>
      <c r="AE4146" t="s">
        <v>1413</v>
      </c>
      <c r="AF4146">
        <v>0</v>
      </c>
      <c r="AG4146" t="s">
        <v>310</v>
      </c>
      <c r="AH4146">
        <f>SUM((MID(Dyno_Data[[#This Row],[Team]],4,5))+(Dyno_Data[[#This Row],[Match]]/100))</f>
        <v>9076.74</v>
      </c>
      <c r="AI4146" s="76">
        <f>ROUND(SUM(IF(Dyno_Data[[#This Row],[AcqCenter]]&gt;0,Dyno_Data[[#This Row],[Time]]-SUMIFS(Dyno_Data[Time],Dyno_Data[Team],Dyno_Data[[#This Row],[Team]],Dyno_Data[RecordType],"StartMatch",Dyno_Data[Match],Dyno_Data[[#This Row],[Match]]),0)*86400),0)</f>
        <v>0</v>
      </c>
    </row>
    <row r="4147" spans="1:35" x14ac:dyDescent="0.3">
      <c r="A4147">
        <v>4146</v>
      </c>
      <c r="B4147" t="s">
        <v>373</v>
      </c>
      <c r="C4147">
        <v>74</v>
      </c>
      <c r="D4147" s="105">
        <v>45374.476022766205</v>
      </c>
      <c r="E4147" t="s">
        <v>312</v>
      </c>
      <c r="F4147" t="s">
        <v>1402</v>
      </c>
      <c r="G4147">
        <v>0</v>
      </c>
      <c r="H4147" t="s">
        <v>315</v>
      </c>
      <c r="I4147">
        <v>0</v>
      </c>
      <c r="J4147">
        <v>0</v>
      </c>
      <c r="K4147">
        <v>0</v>
      </c>
      <c r="L4147" t="s">
        <v>241</v>
      </c>
      <c r="M4147" t="s">
        <v>241</v>
      </c>
      <c r="N4147">
        <v>0</v>
      </c>
      <c r="O4147" t="s">
        <v>311</v>
      </c>
      <c r="P4147" t="s">
        <v>310</v>
      </c>
      <c r="Q4147" t="s">
        <v>310</v>
      </c>
      <c r="R4147" t="s">
        <v>310</v>
      </c>
      <c r="S4147">
        <v>9</v>
      </c>
      <c r="T4147" t="s">
        <v>310</v>
      </c>
      <c r="U4147">
        <v>9</v>
      </c>
      <c r="V4147">
        <v>9</v>
      </c>
      <c r="W4147">
        <v>0</v>
      </c>
      <c r="X4147">
        <v>0</v>
      </c>
      <c r="Y4147">
        <v>0</v>
      </c>
      <c r="Z4147">
        <v>0</v>
      </c>
      <c r="AA4147">
        <v>9</v>
      </c>
      <c r="AB4147">
        <v>9</v>
      </c>
      <c r="AC4147" t="s">
        <v>310</v>
      </c>
      <c r="AD4147">
        <v>9</v>
      </c>
      <c r="AE4147" t="s">
        <v>1418</v>
      </c>
      <c r="AF4147">
        <v>10000000</v>
      </c>
      <c r="AG4147" t="s">
        <v>310</v>
      </c>
      <c r="AH4147">
        <f>SUM((MID(Dyno_Data[[#This Row],[Team]],4,5))+(Dyno_Data[[#This Row],[Match]]/100))</f>
        <v>7718.74</v>
      </c>
      <c r="AI4147" s="76">
        <f>ROUND(SUM(IF(Dyno_Data[[#This Row],[AcqCenter]]&gt;0,Dyno_Data[[#This Row],[Time]]-SUMIFS(Dyno_Data[Time],Dyno_Data[Team],Dyno_Data[[#This Row],[Team]],Dyno_Data[RecordType],"StartMatch",Dyno_Data[Match],Dyno_Data[[#This Row],[Match]]),0)*86400),0)</f>
        <v>0</v>
      </c>
    </row>
    <row r="4148" spans="1:35" x14ac:dyDescent="0.3">
      <c r="A4148">
        <v>4147</v>
      </c>
      <c r="B4148" t="s">
        <v>367</v>
      </c>
      <c r="C4148">
        <v>74</v>
      </c>
      <c r="D4148" s="105">
        <v>45374.476069791664</v>
      </c>
      <c r="E4148" t="s">
        <v>312</v>
      </c>
      <c r="F4148" t="s">
        <v>1402</v>
      </c>
      <c r="G4148">
        <v>0</v>
      </c>
      <c r="H4148" t="s">
        <v>315</v>
      </c>
      <c r="I4148">
        <v>0</v>
      </c>
      <c r="J4148">
        <v>0</v>
      </c>
      <c r="K4148">
        <v>0</v>
      </c>
      <c r="L4148" t="s">
        <v>241</v>
      </c>
      <c r="M4148" t="s">
        <v>1398</v>
      </c>
      <c r="N4148">
        <v>0</v>
      </c>
      <c r="O4148" t="s">
        <v>1395</v>
      </c>
      <c r="P4148" t="s">
        <v>310</v>
      </c>
      <c r="Q4148" t="s">
        <v>310</v>
      </c>
      <c r="R4148" t="s">
        <v>310</v>
      </c>
      <c r="S4148">
        <v>9</v>
      </c>
      <c r="T4148" t="s">
        <v>310</v>
      </c>
      <c r="U4148">
        <v>9</v>
      </c>
      <c r="V4148">
        <v>9</v>
      </c>
      <c r="W4148">
        <v>0</v>
      </c>
      <c r="X4148">
        <v>0</v>
      </c>
      <c r="Y4148">
        <v>0</v>
      </c>
      <c r="Z4148">
        <v>0</v>
      </c>
      <c r="AA4148">
        <v>9</v>
      </c>
      <c r="AB4148">
        <v>9</v>
      </c>
      <c r="AC4148" t="s">
        <v>310</v>
      </c>
      <c r="AD4148">
        <v>9</v>
      </c>
      <c r="AE4148" t="s">
        <v>1417</v>
      </c>
      <c r="AF4148">
        <v>20000000</v>
      </c>
      <c r="AG4148" t="s">
        <v>310</v>
      </c>
      <c r="AH4148">
        <f>SUM((MID(Dyno_Data[[#This Row],[Team]],4,5))+(Dyno_Data[[#This Row],[Match]]/100))</f>
        <v>5016.74</v>
      </c>
      <c r="AI4148" s="76">
        <f>ROUND(SUM(IF(Dyno_Data[[#This Row],[AcqCenter]]&gt;0,Dyno_Data[[#This Row],[Time]]-SUMIFS(Dyno_Data[Time],Dyno_Data[Team],Dyno_Data[[#This Row],[Team]],Dyno_Data[RecordType],"StartMatch",Dyno_Data[Match],Dyno_Data[[#This Row],[Match]]),0)*86400),0)</f>
        <v>0</v>
      </c>
    </row>
    <row r="4149" spans="1:35" x14ac:dyDescent="0.3">
      <c r="A4149">
        <v>4148</v>
      </c>
      <c r="B4149" t="s">
        <v>366</v>
      </c>
      <c r="C4149">
        <v>74</v>
      </c>
      <c r="D4149" s="105">
        <v>45374.476107523151</v>
      </c>
      <c r="E4149" t="s">
        <v>312</v>
      </c>
      <c r="F4149" t="s">
        <v>1402</v>
      </c>
      <c r="G4149">
        <v>0</v>
      </c>
      <c r="H4149" t="s">
        <v>315</v>
      </c>
      <c r="I4149">
        <v>0</v>
      </c>
      <c r="J4149">
        <v>0</v>
      </c>
      <c r="K4149">
        <v>0</v>
      </c>
      <c r="L4149" t="s">
        <v>240</v>
      </c>
      <c r="M4149" t="s">
        <v>1398</v>
      </c>
      <c r="N4149">
        <v>1</v>
      </c>
      <c r="O4149" t="s">
        <v>1393</v>
      </c>
      <c r="P4149" t="s">
        <v>310</v>
      </c>
      <c r="Q4149" t="s">
        <v>310</v>
      </c>
      <c r="R4149" t="s">
        <v>310</v>
      </c>
      <c r="S4149">
        <v>9</v>
      </c>
      <c r="T4149" t="s">
        <v>310</v>
      </c>
      <c r="U4149">
        <v>9</v>
      </c>
      <c r="V4149">
        <v>9</v>
      </c>
      <c r="W4149">
        <v>0</v>
      </c>
      <c r="X4149">
        <v>0</v>
      </c>
      <c r="Y4149">
        <v>0</v>
      </c>
      <c r="Z4149">
        <v>0</v>
      </c>
      <c r="AA4149">
        <v>9</v>
      </c>
      <c r="AB4149">
        <v>9</v>
      </c>
      <c r="AC4149" t="s">
        <v>310</v>
      </c>
      <c r="AD4149">
        <v>9</v>
      </c>
      <c r="AE4149" t="s">
        <v>1414</v>
      </c>
      <c r="AF4149">
        <v>50000001</v>
      </c>
      <c r="AG4149" t="s">
        <v>310</v>
      </c>
      <c r="AH4149">
        <f>SUM((MID(Dyno_Data[[#This Row],[Team]],4,5))+(Dyno_Data[[#This Row],[Match]]/100))</f>
        <v>4122.74</v>
      </c>
      <c r="AI4149" s="76">
        <f>ROUND(SUM(IF(Dyno_Data[[#This Row],[AcqCenter]]&gt;0,Dyno_Data[[#This Row],[Time]]-SUMIFS(Dyno_Data[Time],Dyno_Data[Team],Dyno_Data[[#This Row],[Team]],Dyno_Data[RecordType],"StartMatch",Dyno_Data[Match],Dyno_Data[[#This Row],[Match]]),0)*86400),0)</f>
        <v>0</v>
      </c>
    </row>
    <row r="4150" spans="1:35" x14ac:dyDescent="0.3">
      <c r="A4150">
        <v>4149</v>
      </c>
      <c r="B4150" t="s">
        <v>1318</v>
      </c>
      <c r="C4150">
        <v>74</v>
      </c>
      <c r="D4150" s="105">
        <v>45374.476123726854</v>
      </c>
      <c r="E4150" t="s">
        <v>312</v>
      </c>
      <c r="F4150" t="s">
        <v>1402</v>
      </c>
      <c r="G4150">
        <v>0</v>
      </c>
      <c r="H4150" t="s">
        <v>315</v>
      </c>
      <c r="I4150">
        <v>0</v>
      </c>
      <c r="J4150">
        <v>0</v>
      </c>
      <c r="K4150">
        <v>0</v>
      </c>
      <c r="L4150" t="s">
        <v>241</v>
      </c>
      <c r="M4150" t="s">
        <v>101</v>
      </c>
      <c r="N4150">
        <v>1</v>
      </c>
      <c r="O4150" t="s">
        <v>319</v>
      </c>
      <c r="P4150" t="s">
        <v>310</v>
      </c>
      <c r="Q4150" t="s">
        <v>310</v>
      </c>
      <c r="R4150" t="s">
        <v>310</v>
      </c>
      <c r="S4150">
        <v>9</v>
      </c>
      <c r="T4150" t="s">
        <v>310</v>
      </c>
      <c r="U4150">
        <v>9</v>
      </c>
      <c r="V4150">
        <v>9</v>
      </c>
      <c r="W4150">
        <v>0</v>
      </c>
      <c r="X4150">
        <v>0</v>
      </c>
      <c r="Y4150">
        <v>0</v>
      </c>
      <c r="Z4150">
        <v>0</v>
      </c>
      <c r="AA4150">
        <v>9</v>
      </c>
      <c r="AB4150">
        <v>9</v>
      </c>
      <c r="AC4150" t="s">
        <v>310</v>
      </c>
      <c r="AD4150">
        <v>9</v>
      </c>
      <c r="AE4150" t="s">
        <v>1416</v>
      </c>
      <c r="AF4150">
        <v>40000000</v>
      </c>
      <c r="AG4150" t="s">
        <v>310</v>
      </c>
      <c r="AH4150">
        <f>SUM((MID(Dyno_Data[[#This Row],[Team]],4,5))+(Dyno_Data[[#This Row],[Match]]/100))</f>
        <v>7709.74</v>
      </c>
      <c r="AI4150" s="76">
        <f>ROUND(SUM(IF(Dyno_Data[[#This Row],[AcqCenter]]&gt;0,Dyno_Data[[#This Row],[Time]]-SUMIFS(Dyno_Data[Time],Dyno_Data[Team],Dyno_Data[[#This Row],[Team]],Dyno_Data[RecordType],"StartMatch",Dyno_Data[Match],Dyno_Data[[#This Row],[Match]]),0)*86400),0)</f>
        <v>0</v>
      </c>
    </row>
    <row r="4151" spans="1:35" x14ac:dyDescent="0.3">
      <c r="A4151">
        <v>4150</v>
      </c>
      <c r="B4151" t="s">
        <v>1294</v>
      </c>
      <c r="C4151">
        <v>74</v>
      </c>
      <c r="D4151" s="105">
        <v>45374.47616322917</v>
      </c>
      <c r="E4151" t="s">
        <v>312</v>
      </c>
      <c r="F4151" t="s">
        <v>1402</v>
      </c>
      <c r="G4151">
        <v>0</v>
      </c>
      <c r="H4151" t="s">
        <v>315</v>
      </c>
      <c r="I4151">
        <v>0</v>
      </c>
      <c r="J4151">
        <v>0</v>
      </c>
      <c r="K4151">
        <v>0</v>
      </c>
      <c r="L4151" t="s">
        <v>241</v>
      </c>
      <c r="M4151" t="s">
        <v>1398</v>
      </c>
      <c r="N4151">
        <v>0</v>
      </c>
      <c r="O4151" t="s">
        <v>1391</v>
      </c>
      <c r="P4151" t="s">
        <v>310</v>
      </c>
      <c r="Q4151" t="s">
        <v>310</v>
      </c>
      <c r="R4151" t="s">
        <v>310</v>
      </c>
      <c r="S4151">
        <v>9</v>
      </c>
      <c r="T4151" t="s">
        <v>310</v>
      </c>
      <c r="U4151">
        <v>9</v>
      </c>
      <c r="V4151">
        <v>9</v>
      </c>
      <c r="W4151">
        <v>0</v>
      </c>
      <c r="X4151">
        <v>0</v>
      </c>
      <c r="Y4151">
        <v>0</v>
      </c>
      <c r="Z4151">
        <v>0</v>
      </c>
      <c r="AA4151">
        <v>9</v>
      </c>
      <c r="AB4151">
        <v>9</v>
      </c>
      <c r="AC4151" t="s">
        <v>310</v>
      </c>
      <c r="AD4151">
        <v>9</v>
      </c>
      <c r="AE4151" t="s">
        <v>1413</v>
      </c>
      <c r="AF4151">
        <v>10000000</v>
      </c>
      <c r="AG4151" t="s">
        <v>310</v>
      </c>
      <c r="AH4151">
        <f>SUM((MID(Dyno_Data[[#This Row],[Team]],4,5))+(Dyno_Data[[#This Row],[Match]]/100))</f>
        <v>9076.74</v>
      </c>
      <c r="AI4151" s="76">
        <f>ROUND(SUM(IF(Dyno_Data[[#This Row],[AcqCenter]]&gt;0,Dyno_Data[[#This Row],[Time]]-SUMIFS(Dyno_Data[Time],Dyno_Data[Team],Dyno_Data[[#This Row],[Team]],Dyno_Data[RecordType],"StartMatch",Dyno_Data[Match],Dyno_Data[[#This Row],[Match]]),0)*86400),0)</f>
        <v>0</v>
      </c>
    </row>
    <row r="4152" spans="1:35" x14ac:dyDescent="0.3">
      <c r="A4152">
        <v>4151</v>
      </c>
      <c r="B4152" t="s">
        <v>366</v>
      </c>
      <c r="C4152">
        <v>74</v>
      </c>
      <c r="D4152" s="105">
        <v>45374.476173414354</v>
      </c>
      <c r="E4152" t="s">
        <v>312</v>
      </c>
      <c r="F4152" t="s">
        <v>1402</v>
      </c>
      <c r="G4152">
        <v>0</v>
      </c>
      <c r="H4152" t="s">
        <v>315</v>
      </c>
      <c r="I4152">
        <v>0</v>
      </c>
      <c r="J4152">
        <v>0</v>
      </c>
      <c r="K4152">
        <v>0</v>
      </c>
      <c r="L4152" t="s">
        <v>240</v>
      </c>
      <c r="M4152" t="s">
        <v>1398</v>
      </c>
      <c r="N4152">
        <v>0</v>
      </c>
      <c r="O4152" t="s">
        <v>1393</v>
      </c>
      <c r="P4152" t="s">
        <v>310</v>
      </c>
      <c r="Q4152" t="s">
        <v>310</v>
      </c>
      <c r="R4152" t="s">
        <v>310</v>
      </c>
      <c r="S4152">
        <v>9</v>
      </c>
      <c r="T4152" t="s">
        <v>310</v>
      </c>
      <c r="U4152">
        <v>9</v>
      </c>
      <c r="V4152">
        <v>9</v>
      </c>
      <c r="W4152">
        <v>0</v>
      </c>
      <c r="X4152">
        <v>0</v>
      </c>
      <c r="Y4152">
        <v>0</v>
      </c>
      <c r="Z4152">
        <v>0</v>
      </c>
      <c r="AA4152">
        <v>9</v>
      </c>
      <c r="AB4152">
        <v>9</v>
      </c>
      <c r="AC4152" t="s">
        <v>310</v>
      </c>
      <c r="AD4152">
        <v>9</v>
      </c>
      <c r="AE4152" t="s">
        <v>1414</v>
      </c>
      <c r="AF4152">
        <v>60000001</v>
      </c>
      <c r="AG4152" t="s">
        <v>310</v>
      </c>
      <c r="AH4152">
        <f>SUM((MID(Dyno_Data[[#This Row],[Team]],4,5))+(Dyno_Data[[#This Row],[Match]]/100))</f>
        <v>4122.74</v>
      </c>
      <c r="AI4152" s="76">
        <f>ROUND(SUM(IF(Dyno_Data[[#This Row],[AcqCenter]]&gt;0,Dyno_Data[[#This Row],[Time]]-SUMIFS(Dyno_Data[Time],Dyno_Data[Team],Dyno_Data[[#This Row],[Team]],Dyno_Data[RecordType],"StartMatch",Dyno_Data[Match],Dyno_Data[[#This Row],[Match]]),0)*86400),0)</f>
        <v>0</v>
      </c>
    </row>
    <row r="4153" spans="1:35" x14ac:dyDescent="0.3">
      <c r="A4153">
        <v>4152</v>
      </c>
      <c r="B4153" t="s">
        <v>1294</v>
      </c>
      <c r="C4153">
        <v>74</v>
      </c>
      <c r="D4153" s="105">
        <v>45374.476289004633</v>
      </c>
      <c r="E4153" t="s">
        <v>312</v>
      </c>
      <c r="F4153" t="s">
        <v>1402</v>
      </c>
      <c r="G4153">
        <v>0</v>
      </c>
      <c r="H4153" t="s">
        <v>315</v>
      </c>
      <c r="I4153">
        <v>0</v>
      </c>
      <c r="J4153">
        <v>0</v>
      </c>
      <c r="K4153">
        <v>0</v>
      </c>
      <c r="L4153" t="s">
        <v>241</v>
      </c>
      <c r="M4153" t="s">
        <v>1398</v>
      </c>
      <c r="N4153">
        <v>0</v>
      </c>
      <c r="O4153" t="s">
        <v>1391</v>
      </c>
      <c r="P4153" t="s">
        <v>310</v>
      </c>
      <c r="Q4153" t="s">
        <v>310</v>
      </c>
      <c r="R4153" t="s">
        <v>310</v>
      </c>
      <c r="S4153">
        <v>9</v>
      </c>
      <c r="T4153" t="s">
        <v>310</v>
      </c>
      <c r="U4153">
        <v>9</v>
      </c>
      <c r="V4153">
        <v>9</v>
      </c>
      <c r="W4153">
        <v>0</v>
      </c>
      <c r="X4153">
        <v>0</v>
      </c>
      <c r="Y4153">
        <v>0</v>
      </c>
      <c r="Z4153">
        <v>0</v>
      </c>
      <c r="AA4153">
        <v>9</v>
      </c>
      <c r="AB4153">
        <v>9</v>
      </c>
      <c r="AC4153" t="s">
        <v>310</v>
      </c>
      <c r="AD4153">
        <v>9</v>
      </c>
      <c r="AE4153" t="s">
        <v>1413</v>
      </c>
      <c r="AF4153">
        <v>20000000</v>
      </c>
      <c r="AG4153" t="s">
        <v>310</v>
      </c>
      <c r="AH4153">
        <f>SUM((MID(Dyno_Data[[#This Row],[Team]],4,5))+(Dyno_Data[[#This Row],[Match]]/100))</f>
        <v>9076.74</v>
      </c>
      <c r="AI4153" s="76">
        <f>ROUND(SUM(IF(Dyno_Data[[#This Row],[AcqCenter]]&gt;0,Dyno_Data[[#This Row],[Time]]-SUMIFS(Dyno_Data[Time],Dyno_Data[Team],Dyno_Data[[#This Row],[Team]],Dyno_Data[RecordType],"StartMatch",Dyno_Data[Match],Dyno_Data[[#This Row],[Match]]),0)*86400),0)</f>
        <v>0</v>
      </c>
    </row>
    <row r="4154" spans="1:35" x14ac:dyDescent="0.3">
      <c r="A4154">
        <v>4153</v>
      </c>
      <c r="B4154" t="s">
        <v>1318</v>
      </c>
      <c r="C4154">
        <v>74</v>
      </c>
      <c r="D4154" s="105">
        <v>45374.476300462964</v>
      </c>
      <c r="E4154" t="s">
        <v>312</v>
      </c>
      <c r="F4154" t="s">
        <v>1402</v>
      </c>
      <c r="G4154">
        <v>0</v>
      </c>
      <c r="H4154" t="s">
        <v>315</v>
      </c>
      <c r="I4154">
        <v>0</v>
      </c>
      <c r="J4154">
        <v>0</v>
      </c>
      <c r="K4154">
        <v>0</v>
      </c>
      <c r="L4154" t="s">
        <v>241</v>
      </c>
      <c r="M4154" t="s">
        <v>101</v>
      </c>
      <c r="N4154">
        <v>1</v>
      </c>
      <c r="O4154" t="s">
        <v>319</v>
      </c>
      <c r="P4154" t="s">
        <v>310</v>
      </c>
      <c r="Q4154" t="s">
        <v>310</v>
      </c>
      <c r="R4154" t="s">
        <v>310</v>
      </c>
      <c r="S4154">
        <v>9</v>
      </c>
      <c r="T4154" t="s">
        <v>310</v>
      </c>
      <c r="U4154">
        <v>9</v>
      </c>
      <c r="V4154">
        <v>9</v>
      </c>
      <c r="W4154">
        <v>0</v>
      </c>
      <c r="X4154">
        <v>0</v>
      </c>
      <c r="Y4154">
        <v>0</v>
      </c>
      <c r="Z4154">
        <v>0</v>
      </c>
      <c r="AA4154">
        <v>9</v>
      </c>
      <c r="AB4154">
        <v>9</v>
      </c>
      <c r="AC4154" t="s">
        <v>310</v>
      </c>
      <c r="AD4154">
        <v>9</v>
      </c>
      <c r="AE4154" t="s">
        <v>1416</v>
      </c>
      <c r="AF4154">
        <v>50000000</v>
      </c>
      <c r="AG4154" t="s">
        <v>310</v>
      </c>
      <c r="AH4154">
        <f>SUM((MID(Dyno_Data[[#This Row],[Team]],4,5))+(Dyno_Data[[#This Row],[Match]]/100))</f>
        <v>7709.74</v>
      </c>
      <c r="AI4154" s="76">
        <f>ROUND(SUM(IF(Dyno_Data[[#This Row],[AcqCenter]]&gt;0,Dyno_Data[[#This Row],[Time]]-SUMIFS(Dyno_Data[Time],Dyno_Data[Team],Dyno_Data[[#This Row],[Team]],Dyno_Data[RecordType],"StartMatch",Dyno_Data[Match],Dyno_Data[[#This Row],[Match]]),0)*86400),0)</f>
        <v>0</v>
      </c>
    </row>
    <row r="4155" spans="1:35" x14ac:dyDescent="0.3">
      <c r="A4155">
        <v>4154</v>
      </c>
      <c r="B4155" t="s">
        <v>366</v>
      </c>
      <c r="C4155">
        <v>74</v>
      </c>
      <c r="D4155" s="105">
        <v>45374.476312812498</v>
      </c>
      <c r="E4155" t="s">
        <v>312</v>
      </c>
      <c r="F4155" t="s">
        <v>1402</v>
      </c>
      <c r="G4155">
        <v>0</v>
      </c>
      <c r="H4155" t="s">
        <v>315</v>
      </c>
      <c r="I4155">
        <v>0</v>
      </c>
      <c r="J4155">
        <v>0</v>
      </c>
      <c r="K4155">
        <v>0</v>
      </c>
      <c r="L4155" t="s">
        <v>240</v>
      </c>
      <c r="M4155" t="s">
        <v>1398</v>
      </c>
      <c r="N4155">
        <v>0</v>
      </c>
      <c r="O4155" t="s">
        <v>1393</v>
      </c>
      <c r="P4155" t="s">
        <v>310</v>
      </c>
      <c r="Q4155" t="s">
        <v>310</v>
      </c>
      <c r="R4155" t="s">
        <v>310</v>
      </c>
      <c r="S4155">
        <v>9</v>
      </c>
      <c r="T4155" t="s">
        <v>310</v>
      </c>
      <c r="U4155">
        <v>9</v>
      </c>
      <c r="V4155">
        <v>9</v>
      </c>
      <c r="W4155">
        <v>0</v>
      </c>
      <c r="X4155">
        <v>0</v>
      </c>
      <c r="Y4155">
        <v>0</v>
      </c>
      <c r="Z4155">
        <v>0</v>
      </c>
      <c r="AA4155">
        <v>9</v>
      </c>
      <c r="AB4155">
        <v>9</v>
      </c>
      <c r="AC4155" t="s">
        <v>310</v>
      </c>
      <c r="AD4155">
        <v>9</v>
      </c>
      <c r="AE4155" t="s">
        <v>1414</v>
      </c>
      <c r="AF4155">
        <v>70000001</v>
      </c>
      <c r="AG4155" t="s">
        <v>310</v>
      </c>
      <c r="AH4155">
        <f>SUM((MID(Dyno_Data[[#This Row],[Team]],4,5))+(Dyno_Data[[#This Row],[Match]]/100))</f>
        <v>4122.74</v>
      </c>
      <c r="AI4155" s="76">
        <f>ROUND(SUM(IF(Dyno_Data[[#This Row],[AcqCenter]]&gt;0,Dyno_Data[[#This Row],[Time]]-SUMIFS(Dyno_Data[Time],Dyno_Data[Team],Dyno_Data[[#This Row],[Team]],Dyno_Data[RecordType],"StartMatch",Dyno_Data[Match],Dyno_Data[[#This Row],[Match]]),0)*86400),0)</f>
        <v>0</v>
      </c>
    </row>
    <row r="4156" spans="1:35" x14ac:dyDescent="0.3">
      <c r="A4156">
        <v>4155</v>
      </c>
      <c r="B4156" t="s">
        <v>1294</v>
      </c>
      <c r="C4156">
        <v>74</v>
      </c>
      <c r="D4156" s="105">
        <v>45374.4764158912</v>
      </c>
      <c r="E4156" t="s">
        <v>312</v>
      </c>
      <c r="F4156" t="s">
        <v>1402</v>
      </c>
      <c r="G4156">
        <v>0</v>
      </c>
      <c r="H4156" t="s">
        <v>315</v>
      </c>
      <c r="I4156">
        <v>0</v>
      </c>
      <c r="J4156">
        <v>0</v>
      </c>
      <c r="K4156">
        <v>0</v>
      </c>
      <c r="L4156" t="s">
        <v>241</v>
      </c>
      <c r="M4156" t="s">
        <v>1398</v>
      </c>
      <c r="N4156">
        <v>0</v>
      </c>
      <c r="O4156" t="s">
        <v>1391</v>
      </c>
      <c r="P4156" t="s">
        <v>310</v>
      </c>
      <c r="Q4156" t="s">
        <v>310</v>
      </c>
      <c r="R4156" t="s">
        <v>310</v>
      </c>
      <c r="S4156">
        <v>9</v>
      </c>
      <c r="T4156" t="s">
        <v>310</v>
      </c>
      <c r="U4156">
        <v>9</v>
      </c>
      <c r="V4156">
        <v>9</v>
      </c>
      <c r="W4156">
        <v>0</v>
      </c>
      <c r="X4156">
        <v>0</v>
      </c>
      <c r="Y4156">
        <v>0</v>
      </c>
      <c r="Z4156">
        <v>0</v>
      </c>
      <c r="AA4156">
        <v>9</v>
      </c>
      <c r="AB4156">
        <v>9</v>
      </c>
      <c r="AC4156" t="s">
        <v>310</v>
      </c>
      <c r="AD4156">
        <v>9</v>
      </c>
      <c r="AE4156" t="s">
        <v>1413</v>
      </c>
      <c r="AF4156">
        <v>30000000</v>
      </c>
      <c r="AG4156" t="s">
        <v>310</v>
      </c>
      <c r="AH4156">
        <f>SUM((MID(Dyno_Data[[#This Row],[Team]],4,5))+(Dyno_Data[[#This Row],[Match]]/100))</f>
        <v>9076.74</v>
      </c>
      <c r="AI4156" s="76">
        <f>ROUND(SUM(IF(Dyno_Data[[#This Row],[AcqCenter]]&gt;0,Dyno_Data[[#This Row],[Time]]-SUMIFS(Dyno_Data[Time],Dyno_Data[Team],Dyno_Data[[#This Row],[Team]],Dyno_Data[RecordType],"StartMatch",Dyno_Data[Match],Dyno_Data[[#This Row],[Match]]),0)*86400),0)</f>
        <v>0</v>
      </c>
    </row>
    <row r="4157" spans="1:35" x14ac:dyDescent="0.3">
      <c r="A4157">
        <v>4156</v>
      </c>
      <c r="B4157" t="s">
        <v>1318</v>
      </c>
      <c r="C4157">
        <v>74</v>
      </c>
      <c r="D4157" s="105">
        <v>45374.476478124998</v>
      </c>
      <c r="E4157" t="s">
        <v>312</v>
      </c>
      <c r="F4157" t="s">
        <v>1402</v>
      </c>
      <c r="G4157">
        <v>0</v>
      </c>
      <c r="H4157" t="s">
        <v>315</v>
      </c>
      <c r="I4157">
        <v>0</v>
      </c>
      <c r="J4157">
        <v>0</v>
      </c>
      <c r="K4157">
        <v>0</v>
      </c>
      <c r="L4157" t="s">
        <v>241</v>
      </c>
      <c r="M4157" t="s">
        <v>101</v>
      </c>
      <c r="N4157">
        <v>1</v>
      </c>
      <c r="O4157" t="s">
        <v>319</v>
      </c>
      <c r="P4157" t="s">
        <v>310</v>
      </c>
      <c r="Q4157" t="s">
        <v>310</v>
      </c>
      <c r="R4157" t="s">
        <v>310</v>
      </c>
      <c r="S4157">
        <v>9</v>
      </c>
      <c r="T4157" t="s">
        <v>310</v>
      </c>
      <c r="U4157">
        <v>9</v>
      </c>
      <c r="V4157">
        <v>9</v>
      </c>
      <c r="W4157">
        <v>0</v>
      </c>
      <c r="X4157">
        <v>0</v>
      </c>
      <c r="Y4157">
        <v>0</v>
      </c>
      <c r="Z4157">
        <v>0</v>
      </c>
      <c r="AA4157">
        <v>9</v>
      </c>
      <c r="AB4157">
        <v>9</v>
      </c>
      <c r="AC4157" t="s">
        <v>310</v>
      </c>
      <c r="AD4157">
        <v>9</v>
      </c>
      <c r="AE4157" t="s">
        <v>1416</v>
      </c>
      <c r="AF4157">
        <v>60000000</v>
      </c>
      <c r="AG4157" t="s">
        <v>310</v>
      </c>
      <c r="AH4157">
        <f>SUM((MID(Dyno_Data[[#This Row],[Team]],4,5))+(Dyno_Data[[#This Row],[Match]]/100))</f>
        <v>7709.74</v>
      </c>
      <c r="AI4157" s="76">
        <f>ROUND(SUM(IF(Dyno_Data[[#This Row],[AcqCenter]]&gt;0,Dyno_Data[[#This Row],[Time]]-SUMIFS(Dyno_Data[Time],Dyno_Data[Team],Dyno_Data[[#This Row],[Team]],Dyno_Data[RecordType],"StartMatch",Dyno_Data[Match],Dyno_Data[[#This Row],[Match]]),0)*86400),0)</f>
        <v>0</v>
      </c>
    </row>
    <row r="4158" spans="1:35" x14ac:dyDescent="0.3">
      <c r="A4158">
        <v>4157</v>
      </c>
      <c r="B4158" t="s">
        <v>366</v>
      </c>
      <c r="C4158">
        <v>74</v>
      </c>
      <c r="D4158" s="105">
        <v>45374.476486840278</v>
      </c>
      <c r="E4158" t="s">
        <v>312</v>
      </c>
      <c r="F4158" t="s">
        <v>1402</v>
      </c>
      <c r="G4158">
        <v>0</v>
      </c>
      <c r="H4158" t="s">
        <v>315</v>
      </c>
      <c r="I4158">
        <v>0</v>
      </c>
      <c r="J4158">
        <v>0</v>
      </c>
      <c r="K4158">
        <v>0</v>
      </c>
      <c r="L4158" t="s">
        <v>240</v>
      </c>
      <c r="M4158" t="s">
        <v>1398</v>
      </c>
      <c r="N4158">
        <v>0</v>
      </c>
      <c r="O4158" t="s">
        <v>1393</v>
      </c>
      <c r="P4158" t="s">
        <v>310</v>
      </c>
      <c r="Q4158" t="s">
        <v>310</v>
      </c>
      <c r="R4158" t="s">
        <v>310</v>
      </c>
      <c r="S4158">
        <v>9</v>
      </c>
      <c r="T4158" t="s">
        <v>310</v>
      </c>
      <c r="U4158">
        <v>9</v>
      </c>
      <c r="V4158">
        <v>9</v>
      </c>
      <c r="W4158">
        <v>0</v>
      </c>
      <c r="X4158">
        <v>0</v>
      </c>
      <c r="Y4158">
        <v>0</v>
      </c>
      <c r="Z4158">
        <v>0</v>
      </c>
      <c r="AA4158">
        <v>9</v>
      </c>
      <c r="AB4158">
        <v>9</v>
      </c>
      <c r="AC4158" t="s">
        <v>310</v>
      </c>
      <c r="AD4158">
        <v>9</v>
      </c>
      <c r="AE4158" t="s">
        <v>1414</v>
      </c>
      <c r="AF4158">
        <v>80000001</v>
      </c>
      <c r="AG4158" t="s">
        <v>310</v>
      </c>
      <c r="AH4158">
        <f>SUM((MID(Dyno_Data[[#This Row],[Team]],4,5))+(Dyno_Data[[#This Row],[Match]]/100))</f>
        <v>4122.74</v>
      </c>
      <c r="AI4158" s="76">
        <f>ROUND(SUM(IF(Dyno_Data[[#This Row],[AcqCenter]]&gt;0,Dyno_Data[[#This Row],[Time]]-SUMIFS(Dyno_Data[Time],Dyno_Data[Team],Dyno_Data[[#This Row],[Team]],Dyno_Data[RecordType],"StartMatch",Dyno_Data[Match],Dyno_Data[[#This Row],[Match]]),0)*86400),0)</f>
        <v>0</v>
      </c>
    </row>
    <row r="4159" spans="1:35" x14ac:dyDescent="0.3">
      <c r="A4159">
        <v>4158</v>
      </c>
      <c r="B4159" t="s">
        <v>1294</v>
      </c>
      <c r="C4159">
        <v>74</v>
      </c>
      <c r="D4159" s="105">
        <v>45374.47658052083</v>
      </c>
      <c r="E4159" t="s">
        <v>312</v>
      </c>
      <c r="F4159" t="s">
        <v>1402</v>
      </c>
      <c r="G4159">
        <v>0</v>
      </c>
      <c r="H4159" t="s">
        <v>315</v>
      </c>
      <c r="I4159">
        <v>0</v>
      </c>
      <c r="J4159">
        <v>0</v>
      </c>
      <c r="K4159">
        <v>0</v>
      </c>
      <c r="L4159" t="s">
        <v>241</v>
      </c>
      <c r="M4159" t="s">
        <v>1398</v>
      </c>
      <c r="N4159">
        <v>0</v>
      </c>
      <c r="O4159" t="s">
        <v>1391</v>
      </c>
      <c r="P4159" t="s">
        <v>310</v>
      </c>
      <c r="Q4159" t="s">
        <v>310</v>
      </c>
      <c r="R4159" t="s">
        <v>310</v>
      </c>
      <c r="S4159">
        <v>9</v>
      </c>
      <c r="T4159" t="s">
        <v>310</v>
      </c>
      <c r="U4159">
        <v>9</v>
      </c>
      <c r="V4159">
        <v>9</v>
      </c>
      <c r="W4159">
        <v>0</v>
      </c>
      <c r="X4159">
        <v>0</v>
      </c>
      <c r="Y4159">
        <v>0</v>
      </c>
      <c r="Z4159">
        <v>0</v>
      </c>
      <c r="AA4159">
        <v>9</v>
      </c>
      <c r="AB4159">
        <v>9</v>
      </c>
      <c r="AC4159" t="s">
        <v>310</v>
      </c>
      <c r="AD4159">
        <v>9</v>
      </c>
      <c r="AE4159" t="s">
        <v>1413</v>
      </c>
      <c r="AF4159">
        <v>40000000</v>
      </c>
      <c r="AG4159" t="s">
        <v>310</v>
      </c>
      <c r="AH4159">
        <f>SUM((MID(Dyno_Data[[#This Row],[Team]],4,5))+(Dyno_Data[[#This Row],[Match]]/100))</f>
        <v>9076.74</v>
      </c>
      <c r="AI4159" s="76">
        <f>ROUND(SUM(IF(Dyno_Data[[#This Row],[AcqCenter]]&gt;0,Dyno_Data[[#This Row],[Time]]-SUMIFS(Dyno_Data[Time],Dyno_Data[Team],Dyno_Data[[#This Row],[Team]],Dyno_Data[RecordType],"StartMatch",Dyno_Data[Match],Dyno_Data[[#This Row],[Match]]),0)*86400),0)</f>
        <v>0</v>
      </c>
    </row>
    <row r="4160" spans="1:35" x14ac:dyDescent="0.3">
      <c r="A4160">
        <v>4159</v>
      </c>
      <c r="B4160" t="s">
        <v>367</v>
      </c>
      <c r="C4160">
        <v>74</v>
      </c>
      <c r="D4160" s="105">
        <v>45374.476617511573</v>
      </c>
      <c r="E4160" t="s">
        <v>312</v>
      </c>
      <c r="F4160" t="s">
        <v>1402</v>
      </c>
      <c r="G4160">
        <v>0</v>
      </c>
      <c r="H4160" t="s">
        <v>315</v>
      </c>
      <c r="I4160">
        <v>0</v>
      </c>
      <c r="J4160">
        <v>0</v>
      </c>
      <c r="K4160">
        <v>0</v>
      </c>
      <c r="L4160" t="s">
        <v>241</v>
      </c>
      <c r="M4160" t="s">
        <v>1398</v>
      </c>
      <c r="N4160">
        <v>0</v>
      </c>
      <c r="O4160" t="s">
        <v>1395</v>
      </c>
      <c r="P4160" t="s">
        <v>310</v>
      </c>
      <c r="Q4160" t="s">
        <v>310</v>
      </c>
      <c r="R4160" t="s">
        <v>310</v>
      </c>
      <c r="S4160">
        <v>9</v>
      </c>
      <c r="T4160" t="s">
        <v>310</v>
      </c>
      <c r="U4160">
        <v>9</v>
      </c>
      <c r="V4160">
        <v>9</v>
      </c>
      <c r="W4160">
        <v>0</v>
      </c>
      <c r="X4160">
        <v>0</v>
      </c>
      <c r="Y4160">
        <v>0</v>
      </c>
      <c r="Z4160">
        <v>0</v>
      </c>
      <c r="AA4160">
        <v>9</v>
      </c>
      <c r="AB4160">
        <v>9</v>
      </c>
      <c r="AC4160" t="s">
        <v>310</v>
      </c>
      <c r="AD4160">
        <v>9</v>
      </c>
      <c r="AE4160" t="s">
        <v>1417</v>
      </c>
      <c r="AF4160">
        <v>30000000</v>
      </c>
      <c r="AG4160" t="s">
        <v>310</v>
      </c>
      <c r="AH4160">
        <f>SUM((MID(Dyno_Data[[#This Row],[Team]],4,5))+(Dyno_Data[[#This Row],[Match]]/100))</f>
        <v>5016.74</v>
      </c>
      <c r="AI4160" s="76">
        <f>ROUND(SUM(IF(Dyno_Data[[#This Row],[AcqCenter]]&gt;0,Dyno_Data[[#This Row],[Time]]-SUMIFS(Dyno_Data[Time],Dyno_Data[Team],Dyno_Data[[#This Row],[Team]],Dyno_Data[RecordType],"StartMatch",Dyno_Data[Match],Dyno_Data[[#This Row],[Match]]),0)*86400),0)</f>
        <v>0</v>
      </c>
    </row>
    <row r="4161" spans="1:35" x14ac:dyDescent="0.3">
      <c r="A4161">
        <v>4160</v>
      </c>
      <c r="B4161" t="s">
        <v>366</v>
      </c>
      <c r="C4161">
        <v>74</v>
      </c>
      <c r="D4161" s="105">
        <v>45374.476621956019</v>
      </c>
      <c r="E4161" t="s">
        <v>312</v>
      </c>
      <c r="F4161" t="s">
        <v>1402</v>
      </c>
      <c r="G4161">
        <v>0</v>
      </c>
      <c r="H4161" t="s">
        <v>315</v>
      </c>
      <c r="I4161">
        <v>0</v>
      </c>
      <c r="J4161">
        <v>0</v>
      </c>
      <c r="K4161">
        <v>0</v>
      </c>
      <c r="L4161" t="s">
        <v>240</v>
      </c>
      <c r="M4161" t="s">
        <v>1398</v>
      </c>
      <c r="N4161">
        <v>0</v>
      </c>
      <c r="O4161" t="s">
        <v>1393</v>
      </c>
      <c r="P4161" t="s">
        <v>310</v>
      </c>
      <c r="Q4161" t="s">
        <v>310</v>
      </c>
      <c r="R4161" t="s">
        <v>310</v>
      </c>
      <c r="S4161">
        <v>9</v>
      </c>
      <c r="T4161" t="s">
        <v>310</v>
      </c>
      <c r="U4161">
        <v>9</v>
      </c>
      <c r="V4161">
        <v>9</v>
      </c>
      <c r="W4161">
        <v>0</v>
      </c>
      <c r="X4161">
        <v>0</v>
      </c>
      <c r="Y4161">
        <v>0</v>
      </c>
      <c r="Z4161">
        <v>0</v>
      </c>
      <c r="AA4161">
        <v>9</v>
      </c>
      <c r="AB4161">
        <v>9</v>
      </c>
      <c r="AC4161" t="s">
        <v>310</v>
      </c>
      <c r="AD4161">
        <v>9</v>
      </c>
      <c r="AE4161" t="s">
        <v>1414</v>
      </c>
      <c r="AF4161">
        <v>90000001</v>
      </c>
      <c r="AG4161" t="s">
        <v>310</v>
      </c>
      <c r="AH4161">
        <f>SUM((MID(Dyno_Data[[#This Row],[Team]],4,5))+(Dyno_Data[[#This Row],[Match]]/100))</f>
        <v>4122.74</v>
      </c>
      <c r="AI4161" s="76">
        <f>ROUND(SUM(IF(Dyno_Data[[#This Row],[AcqCenter]]&gt;0,Dyno_Data[[#This Row],[Time]]-SUMIFS(Dyno_Data[Time],Dyno_Data[Team],Dyno_Data[[#This Row],[Team]],Dyno_Data[RecordType],"StartMatch",Dyno_Data[Match],Dyno_Data[[#This Row],[Match]]),0)*86400),0)</f>
        <v>0</v>
      </c>
    </row>
    <row r="4162" spans="1:35" x14ac:dyDescent="0.3">
      <c r="A4162">
        <v>4161</v>
      </c>
      <c r="B4162" t="s">
        <v>1318</v>
      </c>
      <c r="C4162">
        <v>74</v>
      </c>
      <c r="D4162" s="105">
        <v>45374.476720601851</v>
      </c>
      <c r="E4162" t="s">
        <v>312</v>
      </c>
      <c r="F4162" t="s">
        <v>1402</v>
      </c>
      <c r="G4162">
        <v>0</v>
      </c>
      <c r="H4162" t="s">
        <v>315</v>
      </c>
      <c r="I4162">
        <v>0</v>
      </c>
      <c r="J4162">
        <v>0</v>
      </c>
      <c r="K4162">
        <v>0</v>
      </c>
      <c r="L4162" t="s">
        <v>240</v>
      </c>
      <c r="M4162" t="s">
        <v>1398</v>
      </c>
      <c r="N4162">
        <v>0</v>
      </c>
      <c r="O4162" t="s">
        <v>319</v>
      </c>
      <c r="P4162" t="s">
        <v>310</v>
      </c>
      <c r="Q4162" t="s">
        <v>310</v>
      </c>
      <c r="R4162" t="s">
        <v>310</v>
      </c>
      <c r="S4162">
        <v>9</v>
      </c>
      <c r="T4162" t="s">
        <v>310</v>
      </c>
      <c r="U4162">
        <v>9</v>
      </c>
      <c r="V4162">
        <v>9</v>
      </c>
      <c r="W4162">
        <v>0</v>
      </c>
      <c r="X4162">
        <v>0</v>
      </c>
      <c r="Y4162">
        <v>0</v>
      </c>
      <c r="Z4162">
        <v>0</v>
      </c>
      <c r="AA4162">
        <v>9</v>
      </c>
      <c r="AB4162">
        <v>9</v>
      </c>
      <c r="AC4162" t="s">
        <v>310</v>
      </c>
      <c r="AD4162">
        <v>9</v>
      </c>
      <c r="AE4162" t="s">
        <v>1416</v>
      </c>
      <c r="AF4162">
        <v>70000000</v>
      </c>
      <c r="AG4162" t="s">
        <v>310</v>
      </c>
      <c r="AH4162">
        <f>SUM((MID(Dyno_Data[[#This Row],[Team]],4,5))+(Dyno_Data[[#This Row],[Match]]/100))</f>
        <v>7709.74</v>
      </c>
      <c r="AI4162" s="76">
        <f>ROUND(SUM(IF(Dyno_Data[[#This Row],[AcqCenter]]&gt;0,Dyno_Data[[#This Row],[Time]]-SUMIFS(Dyno_Data[Time],Dyno_Data[Team],Dyno_Data[[#This Row],[Team]],Dyno_Data[RecordType],"StartMatch",Dyno_Data[Match],Dyno_Data[[#This Row],[Match]]),0)*86400),0)</f>
        <v>0</v>
      </c>
    </row>
    <row r="4163" spans="1:35" x14ac:dyDescent="0.3">
      <c r="A4163">
        <v>4162</v>
      </c>
      <c r="B4163" t="s">
        <v>367</v>
      </c>
      <c r="C4163">
        <v>74</v>
      </c>
      <c r="D4163" s="105">
        <v>45374.476725034721</v>
      </c>
      <c r="E4163" t="s">
        <v>312</v>
      </c>
      <c r="F4163" t="s">
        <v>1402</v>
      </c>
      <c r="G4163">
        <v>0</v>
      </c>
      <c r="H4163" t="s">
        <v>315</v>
      </c>
      <c r="I4163">
        <v>0</v>
      </c>
      <c r="J4163">
        <v>0</v>
      </c>
      <c r="K4163">
        <v>0</v>
      </c>
      <c r="L4163" t="s">
        <v>241</v>
      </c>
      <c r="M4163" t="s">
        <v>1398</v>
      </c>
      <c r="N4163">
        <v>1</v>
      </c>
      <c r="O4163" t="s">
        <v>1395</v>
      </c>
      <c r="P4163" t="s">
        <v>310</v>
      </c>
      <c r="Q4163" t="s">
        <v>310</v>
      </c>
      <c r="R4163" t="s">
        <v>310</v>
      </c>
      <c r="S4163">
        <v>9</v>
      </c>
      <c r="T4163" t="s">
        <v>310</v>
      </c>
      <c r="U4163">
        <v>9</v>
      </c>
      <c r="V4163">
        <v>9</v>
      </c>
      <c r="W4163">
        <v>0</v>
      </c>
      <c r="X4163">
        <v>0</v>
      </c>
      <c r="Y4163">
        <v>0</v>
      </c>
      <c r="Z4163">
        <v>0</v>
      </c>
      <c r="AA4163">
        <v>9</v>
      </c>
      <c r="AB4163">
        <v>9</v>
      </c>
      <c r="AC4163" t="s">
        <v>310</v>
      </c>
      <c r="AD4163">
        <v>9</v>
      </c>
      <c r="AE4163" t="s">
        <v>1417</v>
      </c>
      <c r="AF4163">
        <v>40000000</v>
      </c>
      <c r="AG4163" t="s">
        <v>310</v>
      </c>
      <c r="AH4163">
        <f>SUM((MID(Dyno_Data[[#This Row],[Team]],4,5))+(Dyno_Data[[#This Row],[Match]]/100))</f>
        <v>5016.74</v>
      </c>
      <c r="AI4163" s="76">
        <f>ROUND(SUM(IF(Dyno_Data[[#This Row],[AcqCenter]]&gt;0,Dyno_Data[[#This Row],[Time]]-SUMIFS(Dyno_Data[Time],Dyno_Data[Team],Dyno_Data[[#This Row],[Team]],Dyno_Data[RecordType],"StartMatch",Dyno_Data[Match],Dyno_Data[[#This Row],[Match]]),0)*86400),0)</f>
        <v>0</v>
      </c>
    </row>
    <row r="4164" spans="1:35" x14ac:dyDescent="0.3">
      <c r="A4164">
        <v>4163</v>
      </c>
      <c r="B4164" t="s">
        <v>1294</v>
      </c>
      <c r="C4164">
        <v>74</v>
      </c>
      <c r="D4164" s="105">
        <v>45374.47678607639</v>
      </c>
      <c r="E4164" t="s">
        <v>312</v>
      </c>
      <c r="F4164" t="s">
        <v>1402</v>
      </c>
      <c r="G4164">
        <v>0</v>
      </c>
      <c r="H4164" t="s">
        <v>315</v>
      </c>
      <c r="I4164">
        <v>0</v>
      </c>
      <c r="J4164">
        <v>0</v>
      </c>
      <c r="K4164">
        <v>0</v>
      </c>
      <c r="L4164" t="s">
        <v>241</v>
      </c>
      <c r="M4164" t="s">
        <v>1398</v>
      </c>
      <c r="N4164">
        <v>0</v>
      </c>
      <c r="O4164" t="s">
        <v>1391</v>
      </c>
      <c r="P4164" t="s">
        <v>310</v>
      </c>
      <c r="Q4164" t="s">
        <v>310</v>
      </c>
      <c r="R4164" t="s">
        <v>310</v>
      </c>
      <c r="S4164">
        <v>9</v>
      </c>
      <c r="T4164" t="s">
        <v>310</v>
      </c>
      <c r="U4164">
        <v>9</v>
      </c>
      <c r="V4164">
        <v>9</v>
      </c>
      <c r="W4164">
        <v>0</v>
      </c>
      <c r="X4164">
        <v>0</v>
      </c>
      <c r="Y4164">
        <v>0</v>
      </c>
      <c r="Z4164">
        <v>0</v>
      </c>
      <c r="AA4164">
        <v>9</v>
      </c>
      <c r="AB4164">
        <v>9</v>
      </c>
      <c r="AC4164" t="s">
        <v>310</v>
      </c>
      <c r="AD4164">
        <v>9</v>
      </c>
      <c r="AE4164" t="s">
        <v>1413</v>
      </c>
      <c r="AF4164">
        <v>50000000</v>
      </c>
      <c r="AG4164" t="s">
        <v>310</v>
      </c>
      <c r="AH4164">
        <f>SUM((MID(Dyno_Data[[#This Row],[Team]],4,5))+(Dyno_Data[[#This Row],[Match]]/100))</f>
        <v>9076.74</v>
      </c>
      <c r="AI4164" s="76">
        <f>ROUND(SUM(IF(Dyno_Data[[#This Row],[AcqCenter]]&gt;0,Dyno_Data[[#This Row],[Time]]-SUMIFS(Dyno_Data[Time],Dyno_Data[Team],Dyno_Data[[#This Row],[Team]],Dyno_Data[RecordType],"StartMatch",Dyno_Data[Match],Dyno_Data[[#This Row],[Match]]),0)*86400),0)</f>
        <v>0</v>
      </c>
    </row>
    <row r="4165" spans="1:35" x14ac:dyDescent="0.3">
      <c r="A4165">
        <v>4164</v>
      </c>
      <c r="B4165" t="s">
        <v>366</v>
      </c>
      <c r="C4165">
        <v>74</v>
      </c>
      <c r="D4165" s="105">
        <v>45374.476846759258</v>
      </c>
      <c r="E4165" t="s">
        <v>312</v>
      </c>
      <c r="F4165" t="s">
        <v>1402</v>
      </c>
      <c r="G4165">
        <v>0</v>
      </c>
      <c r="H4165" t="s">
        <v>315</v>
      </c>
      <c r="I4165">
        <v>0</v>
      </c>
      <c r="J4165">
        <v>0</v>
      </c>
      <c r="K4165">
        <v>0</v>
      </c>
      <c r="L4165" t="s">
        <v>241</v>
      </c>
      <c r="M4165" t="s">
        <v>241</v>
      </c>
      <c r="N4165">
        <v>1</v>
      </c>
      <c r="O4165" t="s">
        <v>1393</v>
      </c>
      <c r="P4165" t="s">
        <v>310</v>
      </c>
      <c r="Q4165" t="s">
        <v>310</v>
      </c>
      <c r="R4165" t="s">
        <v>310</v>
      </c>
      <c r="S4165">
        <v>9</v>
      </c>
      <c r="T4165" t="s">
        <v>310</v>
      </c>
      <c r="U4165">
        <v>9</v>
      </c>
      <c r="V4165">
        <v>9</v>
      </c>
      <c r="W4165">
        <v>0</v>
      </c>
      <c r="X4165">
        <v>0</v>
      </c>
      <c r="Y4165">
        <v>0</v>
      </c>
      <c r="Z4165">
        <v>0</v>
      </c>
      <c r="AA4165">
        <v>9</v>
      </c>
      <c r="AB4165">
        <v>9</v>
      </c>
      <c r="AC4165" t="s">
        <v>310</v>
      </c>
      <c r="AD4165">
        <v>9</v>
      </c>
      <c r="AE4165" t="s">
        <v>1414</v>
      </c>
      <c r="AF4165">
        <v>100000001</v>
      </c>
      <c r="AG4165" t="s">
        <v>310</v>
      </c>
      <c r="AH4165">
        <f>SUM((MID(Dyno_Data[[#This Row],[Team]],4,5))+(Dyno_Data[[#This Row],[Match]]/100))</f>
        <v>4122.74</v>
      </c>
      <c r="AI4165" s="76">
        <f>ROUND(SUM(IF(Dyno_Data[[#This Row],[AcqCenter]]&gt;0,Dyno_Data[[#This Row],[Time]]-SUMIFS(Dyno_Data[Time],Dyno_Data[Team],Dyno_Data[[#This Row],[Team]],Dyno_Data[RecordType],"StartMatch",Dyno_Data[Match],Dyno_Data[[#This Row],[Match]]),0)*86400),0)</f>
        <v>0</v>
      </c>
    </row>
    <row r="4166" spans="1:35" x14ac:dyDescent="0.3">
      <c r="A4166">
        <v>4165</v>
      </c>
      <c r="B4166" t="s">
        <v>367</v>
      </c>
      <c r="C4166">
        <v>74</v>
      </c>
      <c r="D4166" s="105">
        <v>45374.476876469904</v>
      </c>
      <c r="E4166" t="s">
        <v>312</v>
      </c>
      <c r="F4166" t="s">
        <v>1402</v>
      </c>
      <c r="G4166">
        <v>0</v>
      </c>
      <c r="H4166" t="s">
        <v>315</v>
      </c>
      <c r="I4166">
        <v>0</v>
      </c>
      <c r="J4166">
        <v>0</v>
      </c>
      <c r="K4166">
        <v>0</v>
      </c>
      <c r="L4166" t="s">
        <v>241</v>
      </c>
      <c r="M4166" t="s">
        <v>1398</v>
      </c>
      <c r="N4166">
        <v>0</v>
      </c>
      <c r="O4166" t="s">
        <v>1395</v>
      </c>
      <c r="P4166" t="s">
        <v>310</v>
      </c>
      <c r="Q4166" t="s">
        <v>310</v>
      </c>
      <c r="R4166" t="s">
        <v>310</v>
      </c>
      <c r="S4166">
        <v>9</v>
      </c>
      <c r="T4166" t="s">
        <v>310</v>
      </c>
      <c r="U4166">
        <v>9</v>
      </c>
      <c r="V4166">
        <v>9</v>
      </c>
      <c r="W4166">
        <v>0</v>
      </c>
      <c r="X4166">
        <v>0</v>
      </c>
      <c r="Y4166">
        <v>0</v>
      </c>
      <c r="Z4166">
        <v>0</v>
      </c>
      <c r="AA4166">
        <v>9</v>
      </c>
      <c r="AB4166">
        <v>9</v>
      </c>
      <c r="AC4166" t="s">
        <v>310</v>
      </c>
      <c r="AD4166">
        <v>9</v>
      </c>
      <c r="AE4166" t="s">
        <v>1417</v>
      </c>
      <c r="AF4166">
        <v>50000000</v>
      </c>
      <c r="AG4166" t="s">
        <v>310</v>
      </c>
      <c r="AH4166">
        <f>SUM((MID(Dyno_Data[[#This Row],[Team]],4,5))+(Dyno_Data[[#This Row],[Match]]/100))</f>
        <v>5016.74</v>
      </c>
      <c r="AI4166" s="76">
        <f>ROUND(SUM(IF(Dyno_Data[[#This Row],[AcqCenter]]&gt;0,Dyno_Data[[#This Row],[Time]]-SUMIFS(Dyno_Data[Time],Dyno_Data[Team],Dyno_Data[[#This Row],[Team]],Dyno_Data[RecordType],"StartMatch",Dyno_Data[Match],Dyno_Data[[#This Row],[Match]]),0)*86400),0)</f>
        <v>0</v>
      </c>
    </row>
    <row r="4167" spans="1:35" x14ac:dyDescent="0.3">
      <c r="A4167">
        <v>4166</v>
      </c>
      <c r="B4167" t="s">
        <v>1318</v>
      </c>
      <c r="C4167">
        <v>74</v>
      </c>
      <c r="D4167" s="105">
        <v>45374.476909027777</v>
      </c>
      <c r="E4167" t="s">
        <v>312</v>
      </c>
      <c r="F4167" t="s">
        <v>1402</v>
      </c>
      <c r="G4167">
        <v>0</v>
      </c>
      <c r="H4167" t="s">
        <v>315</v>
      </c>
      <c r="I4167">
        <v>0</v>
      </c>
      <c r="J4167">
        <v>0</v>
      </c>
      <c r="K4167">
        <v>0</v>
      </c>
      <c r="L4167" t="s">
        <v>240</v>
      </c>
      <c r="M4167" t="s">
        <v>1398</v>
      </c>
      <c r="N4167">
        <v>0</v>
      </c>
      <c r="O4167" t="s">
        <v>319</v>
      </c>
      <c r="P4167" t="s">
        <v>310</v>
      </c>
      <c r="Q4167" t="s">
        <v>310</v>
      </c>
      <c r="R4167" t="s">
        <v>310</v>
      </c>
      <c r="S4167">
        <v>9</v>
      </c>
      <c r="T4167" t="s">
        <v>310</v>
      </c>
      <c r="U4167">
        <v>9</v>
      </c>
      <c r="V4167">
        <v>9</v>
      </c>
      <c r="W4167">
        <v>0</v>
      </c>
      <c r="X4167">
        <v>0</v>
      </c>
      <c r="Y4167">
        <v>0</v>
      </c>
      <c r="Z4167">
        <v>0</v>
      </c>
      <c r="AA4167">
        <v>9</v>
      </c>
      <c r="AB4167">
        <v>9</v>
      </c>
      <c r="AC4167" t="s">
        <v>310</v>
      </c>
      <c r="AD4167">
        <v>9</v>
      </c>
      <c r="AE4167" t="s">
        <v>1416</v>
      </c>
      <c r="AF4167">
        <v>80000000</v>
      </c>
      <c r="AG4167" t="s">
        <v>310</v>
      </c>
      <c r="AH4167">
        <f>SUM((MID(Dyno_Data[[#This Row],[Team]],4,5))+(Dyno_Data[[#This Row],[Match]]/100))</f>
        <v>7709.74</v>
      </c>
      <c r="AI4167" s="76">
        <f>ROUND(SUM(IF(Dyno_Data[[#This Row],[AcqCenter]]&gt;0,Dyno_Data[[#This Row],[Time]]-SUMIFS(Dyno_Data[Time],Dyno_Data[Team],Dyno_Data[[#This Row],[Team]],Dyno_Data[RecordType],"StartMatch",Dyno_Data[Match],Dyno_Data[[#This Row],[Match]]),0)*86400),0)</f>
        <v>0</v>
      </c>
    </row>
    <row r="4168" spans="1:35" x14ac:dyDescent="0.3">
      <c r="A4168">
        <v>4167</v>
      </c>
      <c r="B4168" t="s">
        <v>1318</v>
      </c>
      <c r="C4168">
        <v>74</v>
      </c>
      <c r="D4168" s="105">
        <v>45374.476991701391</v>
      </c>
      <c r="E4168" t="s">
        <v>312</v>
      </c>
      <c r="F4168" t="s">
        <v>1402</v>
      </c>
      <c r="G4168">
        <v>0</v>
      </c>
      <c r="H4168" t="s">
        <v>315</v>
      </c>
      <c r="I4168">
        <v>0</v>
      </c>
      <c r="J4168">
        <v>0</v>
      </c>
      <c r="K4168">
        <v>0</v>
      </c>
      <c r="L4168" t="s">
        <v>240</v>
      </c>
      <c r="M4168" t="s">
        <v>1398</v>
      </c>
      <c r="N4168">
        <v>0</v>
      </c>
      <c r="O4168" t="s">
        <v>319</v>
      </c>
      <c r="P4168" t="s">
        <v>310</v>
      </c>
      <c r="Q4168" t="s">
        <v>310</v>
      </c>
      <c r="R4168" t="s">
        <v>310</v>
      </c>
      <c r="S4168">
        <v>9</v>
      </c>
      <c r="T4168" t="s">
        <v>310</v>
      </c>
      <c r="U4168">
        <v>9</v>
      </c>
      <c r="V4168">
        <v>9</v>
      </c>
      <c r="W4168">
        <v>0</v>
      </c>
      <c r="X4168">
        <v>0</v>
      </c>
      <c r="Y4168">
        <v>0</v>
      </c>
      <c r="Z4168">
        <v>0</v>
      </c>
      <c r="AA4168">
        <v>9</v>
      </c>
      <c r="AB4168">
        <v>9</v>
      </c>
      <c r="AC4168" t="s">
        <v>310</v>
      </c>
      <c r="AD4168">
        <v>9</v>
      </c>
      <c r="AE4168" t="s">
        <v>1416</v>
      </c>
      <c r="AF4168">
        <v>90000000</v>
      </c>
      <c r="AG4168" t="s">
        <v>310</v>
      </c>
      <c r="AH4168">
        <f>SUM((MID(Dyno_Data[[#This Row],[Team]],4,5))+(Dyno_Data[[#This Row],[Match]]/100))</f>
        <v>7709.74</v>
      </c>
      <c r="AI4168" s="76">
        <f>ROUND(SUM(IF(Dyno_Data[[#This Row],[AcqCenter]]&gt;0,Dyno_Data[[#This Row],[Time]]-SUMIFS(Dyno_Data[Time],Dyno_Data[Team],Dyno_Data[[#This Row],[Team]],Dyno_Data[RecordType],"StartMatch",Dyno_Data[Match],Dyno_Data[[#This Row],[Match]]),0)*86400),0)</f>
        <v>0</v>
      </c>
    </row>
    <row r="4169" spans="1:35" x14ac:dyDescent="0.3">
      <c r="A4169">
        <v>4168</v>
      </c>
      <c r="B4169" t="s">
        <v>366</v>
      </c>
      <c r="C4169">
        <v>74</v>
      </c>
      <c r="D4169" s="105">
        <v>45374.477004895831</v>
      </c>
      <c r="E4169" t="s">
        <v>312</v>
      </c>
      <c r="F4169" t="s">
        <v>1402</v>
      </c>
      <c r="G4169">
        <v>0</v>
      </c>
      <c r="H4169" t="s">
        <v>315</v>
      </c>
      <c r="I4169">
        <v>0</v>
      </c>
      <c r="J4169">
        <v>0</v>
      </c>
      <c r="K4169">
        <v>0</v>
      </c>
      <c r="L4169" t="s">
        <v>240</v>
      </c>
      <c r="M4169" t="s">
        <v>1398</v>
      </c>
      <c r="N4169">
        <v>1</v>
      </c>
      <c r="O4169" t="s">
        <v>1393</v>
      </c>
      <c r="P4169" t="s">
        <v>310</v>
      </c>
      <c r="Q4169" t="s">
        <v>310</v>
      </c>
      <c r="R4169" t="s">
        <v>310</v>
      </c>
      <c r="S4169">
        <v>9</v>
      </c>
      <c r="T4169" t="s">
        <v>310</v>
      </c>
      <c r="U4169">
        <v>9</v>
      </c>
      <c r="V4169">
        <v>9</v>
      </c>
      <c r="W4169">
        <v>0</v>
      </c>
      <c r="X4169">
        <v>0</v>
      </c>
      <c r="Y4169">
        <v>0</v>
      </c>
      <c r="Z4169">
        <v>0</v>
      </c>
      <c r="AA4169">
        <v>9</v>
      </c>
      <c r="AB4169">
        <v>9</v>
      </c>
      <c r="AC4169" t="s">
        <v>310</v>
      </c>
      <c r="AD4169">
        <v>9</v>
      </c>
      <c r="AE4169" t="s">
        <v>1414</v>
      </c>
      <c r="AF4169">
        <v>110000001</v>
      </c>
      <c r="AG4169" t="s">
        <v>310</v>
      </c>
      <c r="AH4169">
        <f>SUM((MID(Dyno_Data[[#This Row],[Team]],4,5))+(Dyno_Data[[#This Row],[Match]]/100))</f>
        <v>4122.74</v>
      </c>
      <c r="AI4169" s="76">
        <f>ROUND(SUM(IF(Dyno_Data[[#This Row],[AcqCenter]]&gt;0,Dyno_Data[[#This Row],[Time]]-SUMIFS(Dyno_Data[Time],Dyno_Data[Team],Dyno_Data[[#This Row],[Team]],Dyno_Data[RecordType],"StartMatch",Dyno_Data[Match],Dyno_Data[[#This Row],[Match]]),0)*86400),0)</f>
        <v>0</v>
      </c>
    </row>
    <row r="4170" spans="1:35" x14ac:dyDescent="0.3">
      <c r="A4170">
        <v>4169</v>
      </c>
      <c r="B4170" t="s">
        <v>1294</v>
      </c>
      <c r="C4170">
        <v>74</v>
      </c>
      <c r="D4170" s="105">
        <v>45374.477078668984</v>
      </c>
      <c r="E4170" t="s">
        <v>312</v>
      </c>
      <c r="F4170" t="s">
        <v>1402</v>
      </c>
      <c r="G4170">
        <v>0</v>
      </c>
      <c r="H4170" t="s">
        <v>315</v>
      </c>
      <c r="I4170">
        <v>0</v>
      </c>
      <c r="J4170">
        <v>0</v>
      </c>
      <c r="K4170">
        <v>0</v>
      </c>
      <c r="L4170" t="s">
        <v>241</v>
      </c>
      <c r="M4170" t="s">
        <v>1398</v>
      </c>
      <c r="N4170">
        <v>1</v>
      </c>
      <c r="O4170" t="s">
        <v>1391</v>
      </c>
      <c r="P4170" t="s">
        <v>310</v>
      </c>
      <c r="Q4170" t="s">
        <v>310</v>
      </c>
      <c r="R4170" t="s">
        <v>310</v>
      </c>
      <c r="S4170">
        <v>9</v>
      </c>
      <c r="T4170" t="s">
        <v>310</v>
      </c>
      <c r="U4170">
        <v>9</v>
      </c>
      <c r="V4170">
        <v>9</v>
      </c>
      <c r="W4170">
        <v>0</v>
      </c>
      <c r="X4170">
        <v>0</v>
      </c>
      <c r="Y4170">
        <v>0</v>
      </c>
      <c r="Z4170">
        <v>0</v>
      </c>
      <c r="AA4170">
        <v>9</v>
      </c>
      <c r="AB4170">
        <v>9</v>
      </c>
      <c r="AC4170" t="s">
        <v>310</v>
      </c>
      <c r="AD4170">
        <v>9</v>
      </c>
      <c r="AE4170" t="s">
        <v>1413</v>
      </c>
      <c r="AF4170">
        <v>60000000</v>
      </c>
      <c r="AG4170" t="s">
        <v>310</v>
      </c>
      <c r="AH4170">
        <f>SUM((MID(Dyno_Data[[#This Row],[Team]],4,5))+(Dyno_Data[[#This Row],[Match]]/100))</f>
        <v>9076.74</v>
      </c>
      <c r="AI4170" s="76">
        <f>ROUND(SUM(IF(Dyno_Data[[#This Row],[AcqCenter]]&gt;0,Dyno_Data[[#This Row],[Time]]-SUMIFS(Dyno_Data[Time],Dyno_Data[Team],Dyno_Data[[#This Row],[Team]],Dyno_Data[RecordType],"StartMatch",Dyno_Data[Match],Dyno_Data[[#This Row],[Match]]),0)*86400),0)</f>
        <v>0</v>
      </c>
    </row>
    <row r="4171" spans="1:35" x14ac:dyDescent="0.3">
      <c r="A4171">
        <v>4170</v>
      </c>
      <c r="B4171" t="s">
        <v>366</v>
      </c>
      <c r="C4171">
        <v>74</v>
      </c>
      <c r="D4171" s="105">
        <v>45374.477091747685</v>
      </c>
      <c r="E4171" t="s">
        <v>312</v>
      </c>
      <c r="F4171" t="s">
        <v>1402</v>
      </c>
      <c r="G4171">
        <v>0</v>
      </c>
      <c r="H4171" t="s">
        <v>315</v>
      </c>
      <c r="I4171">
        <v>0</v>
      </c>
      <c r="J4171">
        <v>0</v>
      </c>
      <c r="K4171">
        <v>0</v>
      </c>
      <c r="L4171" t="s">
        <v>240</v>
      </c>
      <c r="M4171" t="s">
        <v>1398</v>
      </c>
      <c r="N4171">
        <v>0</v>
      </c>
      <c r="O4171" t="s">
        <v>1393</v>
      </c>
      <c r="P4171" t="s">
        <v>310</v>
      </c>
      <c r="Q4171" t="s">
        <v>310</v>
      </c>
      <c r="R4171" t="s">
        <v>310</v>
      </c>
      <c r="S4171">
        <v>9</v>
      </c>
      <c r="T4171" t="s">
        <v>310</v>
      </c>
      <c r="U4171">
        <v>9</v>
      </c>
      <c r="V4171">
        <v>9</v>
      </c>
      <c r="W4171">
        <v>0</v>
      </c>
      <c r="X4171">
        <v>0</v>
      </c>
      <c r="Y4171">
        <v>0</v>
      </c>
      <c r="Z4171">
        <v>0</v>
      </c>
      <c r="AA4171">
        <v>9</v>
      </c>
      <c r="AB4171">
        <v>9</v>
      </c>
      <c r="AC4171" t="s">
        <v>310</v>
      </c>
      <c r="AD4171">
        <v>9</v>
      </c>
      <c r="AE4171" t="s">
        <v>1414</v>
      </c>
      <c r="AF4171">
        <v>120000001</v>
      </c>
      <c r="AG4171" t="s">
        <v>310</v>
      </c>
      <c r="AH4171">
        <f>SUM((MID(Dyno_Data[[#This Row],[Team]],4,5))+(Dyno_Data[[#This Row],[Match]]/100))</f>
        <v>4122.74</v>
      </c>
      <c r="AI4171" s="76">
        <f>ROUND(SUM(IF(Dyno_Data[[#This Row],[AcqCenter]]&gt;0,Dyno_Data[[#This Row],[Time]]-SUMIFS(Dyno_Data[Time],Dyno_Data[Team],Dyno_Data[[#This Row],[Team]],Dyno_Data[RecordType],"StartMatch",Dyno_Data[Match],Dyno_Data[[#This Row],[Match]]),0)*86400),0)</f>
        <v>0</v>
      </c>
    </row>
    <row r="4172" spans="1:35" x14ac:dyDescent="0.3">
      <c r="A4172">
        <v>4171</v>
      </c>
      <c r="B4172" t="s">
        <v>367</v>
      </c>
      <c r="C4172">
        <v>74</v>
      </c>
      <c r="D4172" s="105">
        <v>45374.477144826385</v>
      </c>
      <c r="E4172" t="s">
        <v>312</v>
      </c>
      <c r="F4172" t="s">
        <v>1402</v>
      </c>
      <c r="G4172">
        <v>0</v>
      </c>
      <c r="H4172" t="s">
        <v>315</v>
      </c>
      <c r="I4172">
        <v>0</v>
      </c>
      <c r="J4172">
        <v>0</v>
      </c>
      <c r="K4172">
        <v>0</v>
      </c>
      <c r="L4172" t="s">
        <v>241</v>
      </c>
      <c r="M4172" t="s">
        <v>1398</v>
      </c>
      <c r="N4172">
        <v>0</v>
      </c>
      <c r="O4172" t="s">
        <v>1395</v>
      </c>
      <c r="P4172" t="s">
        <v>310</v>
      </c>
      <c r="Q4172" t="s">
        <v>310</v>
      </c>
      <c r="R4172" t="s">
        <v>310</v>
      </c>
      <c r="S4172">
        <v>9</v>
      </c>
      <c r="T4172" t="s">
        <v>310</v>
      </c>
      <c r="U4172">
        <v>9</v>
      </c>
      <c r="V4172">
        <v>9</v>
      </c>
      <c r="W4172">
        <v>0</v>
      </c>
      <c r="X4172">
        <v>0</v>
      </c>
      <c r="Y4172">
        <v>0</v>
      </c>
      <c r="Z4172">
        <v>0</v>
      </c>
      <c r="AA4172">
        <v>9</v>
      </c>
      <c r="AB4172">
        <v>9</v>
      </c>
      <c r="AC4172" t="s">
        <v>310</v>
      </c>
      <c r="AD4172">
        <v>9</v>
      </c>
      <c r="AE4172" t="s">
        <v>1417</v>
      </c>
      <c r="AF4172">
        <v>60000000</v>
      </c>
      <c r="AG4172" t="s">
        <v>310</v>
      </c>
      <c r="AH4172">
        <f>SUM((MID(Dyno_Data[[#This Row],[Team]],4,5))+(Dyno_Data[[#This Row],[Match]]/100))</f>
        <v>5016.74</v>
      </c>
      <c r="AI4172" s="76">
        <f>ROUND(SUM(IF(Dyno_Data[[#This Row],[AcqCenter]]&gt;0,Dyno_Data[[#This Row],[Time]]-SUMIFS(Dyno_Data[Time],Dyno_Data[Team],Dyno_Data[[#This Row],[Team]],Dyno_Data[RecordType],"StartMatch",Dyno_Data[Match],Dyno_Data[[#This Row],[Match]]),0)*86400),0)</f>
        <v>0</v>
      </c>
    </row>
    <row r="4173" spans="1:35" x14ac:dyDescent="0.3">
      <c r="A4173">
        <v>4172</v>
      </c>
      <c r="B4173" t="s">
        <v>1318</v>
      </c>
      <c r="C4173">
        <v>74</v>
      </c>
      <c r="D4173" s="105">
        <v>45374.477145567129</v>
      </c>
      <c r="E4173" t="s">
        <v>312</v>
      </c>
      <c r="F4173" t="s">
        <v>1402</v>
      </c>
      <c r="G4173">
        <v>0</v>
      </c>
      <c r="H4173" t="s">
        <v>315</v>
      </c>
      <c r="I4173">
        <v>0</v>
      </c>
      <c r="J4173">
        <v>0</v>
      </c>
      <c r="K4173">
        <v>0</v>
      </c>
      <c r="L4173" t="s">
        <v>240</v>
      </c>
      <c r="M4173" t="s">
        <v>1398</v>
      </c>
      <c r="N4173">
        <v>0</v>
      </c>
      <c r="O4173" t="s">
        <v>319</v>
      </c>
      <c r="P4173" t="s">
        <v>310</v>
      </c>
      <c r="Q4173" t="s">
        <v>310</v>
      </c>
      <c r="R4173" t="s">
        <v>310</v>
      </c>
      <c r="S4173">
        <v>9</v>
      </c>
      <c r="T4173" t="s">
        <v>310</v>
      </c>
      <c r="U4173">
        <v>9</v>
      </c>
      <c r="V4173">
        <v>9</v>
      </c>
      <c r="W4173">
        <v>0</v>
      </c>
      <c r="X4173">
        <v>0</v>
      </c>
      <c r="Y4173">
        <v>0</v>
      </c>
      <c r="Z4173">
        <v>0</v>
      </c>
      <c r="AA4173">
        <v>9</v>
      </c>
      <c r="AB4173">
        <v>9</v>
      </c>
      <c r="AC4173" t="s">
        <v>310</v>
      </c>
      <c r="AD4173">
        <v>9</v>
      </c>
      <c r="AE4173" t="s">
        <v>1416</v>
      </c>
      <c r="AF4173">
        <v>100000000</v>
      </c>
      <c r="AG4173" t="s">
        <v>310</v>
      </c>
      <c r="AH4173">
        <f>SUM((MID(Dyno_Data[[#This Row],[Team]],4,5))+(Dyno_Data[[#This Row],[Match]]/100))</f>
        <v>7709.74</v>
      </c>
      <c r="AI4173" s="76">
        <f>ROUND(SUM(IF(Dyno_Data[[#This Row],[AcqCenter]]&gt;0,Dyno_Data[[#This Row],[Time]]-SUMIFS(Dyno_Data[Time],Dyno_Data[Team],Dyno_Data[[#This Row],[Team]],Dyno_Data[RecordType],"StartMatch",Dyno_Data[Match],Dyno_Data[[#This Row],[Match]]),0)*86400),0)</f>
        <v>0</v>
      </c>
    </row>
    <row r="4174" spans="1:35" x14ac:dyDescent="0.3">
      <c r="A4174">
        <v>4173</v>
      </c>
      <c r="B4174" t="s">
        <v>1294</v>
      </c>
      <c r="C4174">
        <v>74</v>
      </c>
      <c r="D4174" s="105">
        <v>45374.477168831021</v>
      </c>
      <c r="E4174" t="s">
        <v>312</v>
      </c>
      <c r="F4174" t="s">
        <v>1402</v>
      </c>
      <c r="G4174">
        <v>0</v>
      </c>
      <c r="H4174" t="s">
        <v>315</v>
      </c>
      <c r="I4174">
        <v>0</v>
      </c>
      <c r="J4174">
        <v>0</v>
      </c>
      <c r="K4174">
        <v>0</v>
      </c>
      <c r="L4174" t="s">
        <v>241</v>
      </c>
      <c r="M4174" t="s">
        <v>1398</v>
      </c>
      <c r="N4174">
        <v>0</v>
      </c>
      <c r="O4174" t="s">
        <v>1391</v>
      </c>
      <c r="P4174" t="s">
        <v>310</v>
      </c>
      <c r="Q4174" t="s">
        <v>310</v>
      </c>
      <c r="R4174" t="s">
        <v>310</v>
      </c>
      <c r="S4174">
        <v>9</v>
      </c>
      <c r="T4174" t="s">
        <v>310</v>
      </c>
      <c r="U4174">
        <v>9</v>
      </c>
      <c r="V4174">
        <v>9</v>
      </c>
      <c r="W4174">
        <v>0</v>
      </c>
      <c r="X4174">
        <v>0</v>
      </c>
      <c r="Y4174">
        <v>0</v>
      </c>
      <c r="Z4174">
        <v>0</v>
      </c>
      <c r="AA4174">
        <v>9</v>
      </c>
      <c r="AB4174">
        <v>9</v>
      </c>
      <c r="AC4174" t="s">
        <v>310</v>
      </c>
      <c r="AD4174">
        <v>9</v>
      </c>
      <c r="AE4174" t="s">
        <v>1413</v>
      </c>
      <c r="AF4174">
        <v>70000000</v>
      </c>
      <c r="AG4174" t="s">
        <v>310</v>
      </c>
      <c r="AH4174">
        <f>SUM((MID(Dyno_Data[[#This Row],[Team]],4,5))+(Dyno_Data[[#This Row],[Match]]/100))</f>
        <v>9076.74</v>
      </c>
      <c r="AI4174" s="76">
        <f>ROUND(SUM(IF(Dyno_Data[[#This Row],[AcqCenter]]&gt;0,Dyno_Data[[#This Row],[Time]]-SUMIFS(Dyno_Data[Time],Dyno_Data[Team],Dyno_Data[[#This Row],[Team]],Dyno_Data[RecordType],"StartMatch",Dyno_Data[Match],Dyno_Data[[#This Row],[Match]]),0)*86400),0)</f>
        <v>0</v>
      </c>
    </row>
    <row r="4175" spans="1:35" x14ac:dyDescent="0.3">
      <c r="A4175">
        <v>4174</v>
      </c>
      <c r="B4175" t="s">
        <v>366</v>
      </c>
      <c r="C4175">
        <v>74</v>
      </c>
      <c r="D4175" s="105">
        <v>45374.477220914348</v>
      </c>
      <c r="E4175" t="s">
        <v>312</v>
      </c>
      <c r="F4175" t="s">
        <v>1402</v>
      </c>
      <c r="G4175">
        <v>0</v>
      </c>
      <c r="H4175" t="s">
        <v>315</v>
      </c>
      <c r="I4175">
        <v>0</v>
      </c>
      <c r="J4175">
        <v>0</v>
      </c>
      <c r="K4175">
        <v>0</v>
      </c>
      <c r="L4175" t="s">
        <v>240</v>
      </c>
      <c r="M4175" t="s">
        <v>1398</v>
      </c>
      <c r="N4175">
        <v>0</v>
      </c>
      <c r="O4175" t="s">
        <v>1393</v>
      </c>
      <c r="P4175" t="s">
        <v>310</v>
      </c>
      <c r="Q4175" t="s">
        <v>310</v>
      </c>
      <c r="R4175" t="s">
        <v>310</v>
      </c>
      <c r="S4175">
        <v>9</v>
      </c>
      <c r="T4175" t="s">
        <v>310</v>
      </c>
      <c r="U4175">
        <v>9</v>
      </c>
      <c r="V4175">
        <v>9</v>
      </c>
      <c r="W4175">
        <v>0</v>
      </c>
      <c r="X4175">
        <v>0</v>
      </c>
      <c r="Y4175">
        <v>0</v>
      </c>
      <c r="Z4175">
        <v>0</v>
      </c>
      <c r="AA4175">
        <v>9</v>
      </c>
      <c r="AB4175">
        <v>9</v>
      </c>
      <c r="AC4175" t="s">
        <v>310</v>
      </c>
      <c r="AD4175">
        <v>9</v>
      </c>
      <c r="AE4175" t="s">
        <v>1414</v>
      </c>
      <c r="AF4175">
        <v>130000001</v>
      </c>
      <c r="AG4175" t="s">
        <v>310</v>
      </c>
      <c r="AH4175">
        <f>SUM((MID(Dyno_Data[[#This Row],[Team]],4,5))+(Dyno_Data[[#This Row],[Match]]/100))</f>
        <v>4122.74</v>
      </c>
      <c r="AI4175" s="76">
        <f>ROUND(SUM(IF(Dyno_Data[[#This Row],[AcqCenter]]&gt;0,Dyno_Data[[#This Row],[Time]]-SUMIFS(Dyno_Data[Time],Dyno_Data[Team],Dyno_Data[[#This Row],[Team]],Dyno_Data[RecordType],"StartMatch",Dyno_Data[Match],Dyno_Data[[#This Row],[Match]]),0)*86400),0)</f>
        <v>0</v>
      </c>
    </row>
    <row r="4176" spans="1:35" x14ac:dyDescent="0.3">
      <c r="A4176">
        <v>4175</v>
      </c>
      <c r="B4176" t="s">
        <v>373</v>
      </c>
      <c r="C4176">
        <v>74</v>
      </c>
      <c r="D4176" s="105">
        <v>45374.478134293982</v>
      </c>
      <c r="E4176" t="s">
        <v>316</v>
      </c>
      <c r="F4176" t="s">
        <v>317</v>
      </c>
      <c r="G4176">
        <v>1</v>
      </c>
      <c r="H4176" t="s">
        <v>310</v>
      </c>
      <c r="I4176">
        <v>0</v>
      </c>
      <c r="J4176">
        <v>0</v>
      </c>
      <c r="K4176">
        <v>0</v>
      </c>
      <c r="L4176" t="s">
        <v>310</v>
      </c>
      <c r="M4176" t="s">
        <v>310</v>
      </c>
      <c r="N4176">
        <v>0</v>
      </c>
      <c r="O4176" t="s">
        <v>311</v>
      </c>
      <c r="P4176" t="s">
        <v>1401</v>
      </c>
      <c r="Q4176" t="s">
        <v>1400</v>
      </c>
      <c r="R4176" t="s">
        <v>1404</v>
      </c>
      <c r="S4176">
        <v>0</v>
      </c>
      <c r="T4176" t="s">
        <v>105</v>
      </c>
      <c r="U4176">
        <v>9</v>
      </c>
      <c r="V4176">
        <v>9</v>
      </c>
      <c r="W4176">
        <v>0</v>
      </c>
      <c r="X4176">
        <v>14.180791899999999</v>
      </c>
      <c r="Y4176">
        <v>62.198602899999997</v>
      </c>
      <c r="Z4176">
        <v>56.335370999999995</v>
      </c>
      <c r="AA4176">
        <v>2</v>
      </c>
      <c r="AB4176">
        <v>0</v>
      </c>
      <c r="AC4176" t="s">
        <v>171</v>
      </c>
      <c r="AD4176">
        <v>9</v>
      </c>
      <c r="AE4176" t="s">
        <v>1418</v>
      </c>
      <c r="AF4176">
        <v>10000000</v>
      </c>
      <c r="AG4176" t="s">
        <v>310</v>
      </c>
      <c r="AH4176">
        <f>SUM((MID(Dyno_Data[[#This Row],[Team]],4,5))+(Dyno_Data[[#This Row],[Match]]/100))</f>
        <v>7718.74</v>
      </c>
      <c r="AI4176" s="76">
        <f>ROUND(SUM(IF(Dyno_Data[[#This Row],[AcqCenter]]&gt;0,Dyno_Data[[#This Row],[Time]]-SUMIFS(Dyno_Data[Time],Dyno_Data[Team],Dyno_Data[[#This Row],[Team]],Dyno_Data[RecordType],"StartMatch",Dyno_Data[Match],Dyno_Data[[#This Row],[Match]]),0)*86400),0)</f>
        <v>0</v>
      </c>
    </row>
    <row r="4177" spans="1:35" x14ac:dyDescent="0.3">
      <c r="A4177">
        <v>4176</v>
      </c>
      <c r="B4177" t="s">
        <v>1294</v>
      </c>
      <c r="C4177">
        <v>74</v>
      </c>
      <c r="D4177" s="105">
        <v>45374.478134571757</v>
      </c>
      <c r="E4177" t="s">
        <v>316</v>
      </c>
      <c r="F4177" t="s">
        <v>317</v>
      </c>
      <c r="G4177">
        <v>0</v>
      </c>
      <c r="H4177" t="s">
        <v>310</v>
      </c>
      <c r="I4177">
        <v>0</v>
      </c>
      <c r="J4177">
        <v>0</v>
      </c>
      <c r="K4177">
        <v>0</v>
      </c>
      <c r="L4177" t="s">
        <v>310</v>
      </c>
      <c r="M4177" t="s">
        <v>310</v>
      </c>
      <c r="N4177">
        <v>0</v>
      </c>
      <c r="O4177" t="s">
        <v>1391</v>
      </c>
      <c r="P4177" t="s">
        <v>101</v>
      </c>
      <c r="Q4177" t="s">
        <v>1400</v>
      </c>
      <c r="R4177" t="s">
        <v>1404</v>
      </c>
      <c r="S4177">
        <v>0</v>
      </c>
      <c r="T4177" t="s">
        <v>105</v>
      </c>
      <c r="U4177">
        <v>9</v>
      </c>
      <c r="V4177">
        <v>9</v>
      </c>
      <c r="W4177">
        <v>0</v>
      </c>
      <c r="X4177">
        <v>7.2205695999999993</v>
      </c>
      <c r="Y4177">
        <v>10.1163475</v>
      </c>
      <c r="Z4177">
        <v>114.8168616</v>
      </c>
      <c r="AA4177">
        <v>0</v>
      </c>
      <c r="AB4177">
        <v>0</v>
      </c>
      <c r="AC4177" t="s">
        <v>173</v>
      </c>
      <c r="AD4177">
        <v>9</v>
      </c>
      <c r="AE4177" t="s">
        <v>1413</v>
      </c>
      <c r="AF4177">
        <v>70000000</v>
      </c>
      <c r="AG4177" t="s">
        <v>310</v>
      </c>
      <c r="AH4177">
        <f>SUM((MID(Dyno_Data[[#This Row],[Team]],4,5))+(Dyno_Data[[#This Row],[Match]]/100))</f>
        <v>9076.74</v>
      </c>
      <c r="AI4177" s="76">
        <f>ROUND(SUM(IF(Dyno_Data[[#This Row],[AcqCenter]]&gt;0,Dyno_Data[[#This Row],[Time]]-SUMIFS(Dyno_Data[Time],Dyno_Data[Team],Dyno_Data[[#This Row],[Team]],Dyno_Data[RecordType],"StartMatch",Dyno_Data[Match],Dyno_Data[[#This Row],[Match]]),0)*86400),0)</f>
        <v>0</v>
      </c>
    </row>
    <row r="4178" spans="1:35" x14ac:dyDescent="0.3">
      <c r="A4178">
        <v>4177</v>
      </c>
      <c r="B4178" t="s">
        <v>1318</v>
      </c>
      <c r="C4178">
        <v>74</v>
      </c>
      <c r="D4178" s="105">
        <v>45374.478134641206</v>
      </c>
      <c r="E4178" t="s">
        <v>316</v>
      </c>
      <c r="F4178" t="s">
        <v>317</v>
      </c>
      <c r="G4178">
        <v>1</v>
      </c>
      <c r="H4178" t="s">
        <v>310</v>
      </c>
      <c r="I4178">
        <v>0</v>
      </c>
      <c r="J4178">
        <v>0</v>
      </c>
      <c r="K4178">
        <v>0</v>
      </c>
      <c r="L4178" t="s">
        <v>310</v>
      </c>
      <c r="M4178" t="s">
        <v>310</v>
      </c>
      <c r="N4178">
        <v>0</v>
      </c>
      <c r="O4178" t="s">
        <v>319</v>
      </c>
      <c r="P4178" t="s">
        <v>240</v>
      </c>
      <c r="Q4178" t="s">
        <v>1399</v>
      </c>
      <c r="R4178" t="s">
        <v>1405</v>
      </c>
      <c r="S4178">
        <v>1</v>
      </c>
      <c r="T4178" t="s">
        <v>1406</v>
      </c>
      <c r="U4178">
        <v>0</v>
      </c>
      <c r="V4178">
        <v>0</v>
      </c>
      <c r="W4178">
        <v>8.709955299999999</v>
      </c>
      <c r="X4178">
        <v>34.357908500000001</v>
      </c>
      <c r="Y4178">
        <v>34.220766300000001</v>
      </c>
      <c r="Z4178">
        <v>56.576416500000001</v>
      </c>
      <c r="AA4178">
        <v>0</v>
      </c>
      <c r="AB4178">
        <v>0</v>
      </c>
      <c r="AC4178" t="s">
        <v>1408</v>
      </c>
      <c r="AD4178">
        <v>0</v>
      </c>
      <c r="AE4178" t="s">
        <v>1416</v>
      </c>
      <c r="AF4178">
        <v>100000000</v>
      </c>
      <c r="AG4178" t="s">
        <v>310</v>
      </c>
      <c r="AH4178">
        <f>SUM((MID(Dyno_Data[[#This Row],[Team]],4,5))+(Dyno_Data[[#This Row],[Match]]/100))</f>
        <v>7709.74</v>
      </c>
      <c r="AI4178" s="76">
        <f>ROUND(SUM(IF(Dyno_Data[[#This Row],[AcqCenter]]&gt;0,Dyno_Data[[#This Row],[Time]]-SUMIFS(Dyno_Data[Time],Dyno_Data[Team],Dyno_Data[[#This Row],[Team]],Dyno_Data[RecordType],"StartMatch",Dyno_Data[Match],Dyno_Data[[#This Row],[Match]]),0)*86400),0)</f>
        <v>0</v>
      </c>
    </row>
    <row r="4179" spans="1:35" x14ac:dyDescent="0.3">
      <c r="A4179">
        <v>4178</v>
      </c>
      <c r="B4179" t="s">
        <v>366</v>
      </c>
      <c r="C4179">
        <v>74</v>
      </c>
      <c r="D4179" s="105">
        <v>45374.478134756944</v>
      </c>
      <c r="E4179" t="s">
        <v>316</v>
      </c>
      <c r="F4179" t="s">
        <v>317</v>
      </c>
      <c r="G4179">
        <v>1</v>
      </c>
      <c r="H4179" t="s">
        <v>310</v>
      </c>
      <c r="I4179">
        <v>0</v>
      </c>
      <c r="J4179">
        <v>0</v>
      </c>
      <c r="K4179">
        <v>0</v>
      </c>
      <c r="L4179" t="s">
        <v>310</v>
      </c>
      <c r="M4179" t="s">
        <v>310</v>
      </c>
      <c r="N4179">
        <v>0</v>
      </c>
      <c r="O4179" t="s">
        <v>1393</v>
      </c>
      <c r="P4179" t="s">
        <v>240</v>
      </c>
      <c r="Q4179" t="s">
        <v>315</v>
      </c>
      <c r="R4179" t="s">
        <v>1404</v>
      </c>
      <c r="S4179">
        <v>0</v>
      </c>
      <c r="T4179" t="s">
        <v>105</v>
      </c>
      <c r="U4179">
        <v>9</v>
      </c>
      <c r="V4179">
        <v>9</v>
      </c>
      <c r="W4179">
        <v>0</v>
      </c>
      <c r="X4179">
        <v>38.304992499999997</v>
      </c>
      <c r="Y4179">
        <v>19.0112989</v>
      </c>
      <c r="Z4179">
        <v>74.910900099999992</v>
      </c>
      <c r="AA4179">
        <v>1</v>
      </c>
      <c r="AB4179">
        <v>0</v>
      </c>
      <c r="AC4179" t="s">
        <v>174</v>
      </c>
      <c r="AD4179">
        <v>0</v>
      </c>
      <c r="AE4179" t="s">
        <v>1414</v>
      </c>
      <c r="AF4179">
        <v>130000001</v>
      </c>
      <c r="AG4179" t="s">
        <v>310</v>
      </c>
      <c r="AH4179">
        <f>SUM((MID(Dyno_Data[[#This Row],[Team]],4,5))+(Dyno_Data[[#This Row],[Match]]/100))</f>
        <v>4122.74</v>
      </c>
      <c r="AI4179" s="76">
        <f>ROUND(SUM(IF(Dyno_Data[[#This Row],[AcqCenter]]&gt;0,Dyno_Data[[#This Row],[Time]]-SUMIFS(Dyno_Data[Time],Dyno_Data[Team],Dyno_Data[[#This Row],[Team]],Dyno_Data[RecordType],"StartMatch",Dyno_Data[Match],Dyno_Data[[#This Row],[Match]]),0)*86400),0)</f>
        <v>0</v>
      </c>
    </row>
    <row r="4180" spans="1:35" x14ac:dyDescent="0.3">
      <c r="A4180">
        <v>4179</v>
      </c>
      <c r="B4180" t="s">
        <v>1310</v>
      </c>
      <c r="C4180">
        <v>74</v>
      </c>
      <c r="D4180" s="105">
        <v>45374.478134837962</v>
      </c>
      <c r="E4180" t="s">
        <v>316</v>
      </c>
      <c r="F4180" t="s">
        <v>317</v>
      </c>
      <c r="G4180">
        <v>0</v>
      </c>
      <c r="H4180" t="s">
        <v>310</v>
      </c>
      <c r="I4180">
        <v>0</v>
      </c>
      <c r="J4180">
        <v>0</v>
      </c>
      <c r="K4180">
        <v>0</v>
      </c>
      <c r="L4180" t="s">
        <v>310</v>
      </c>
      <c r="M4180" t="s">
        <v>310</v>
      </c>
      <c r="N4180">
        <v>0</v>
      </c>
      <c r="O4180" t="s">
        <v>1389</v>
      </c>
      <c r="P4180" t="s">
        <v>101</v>
      </c>
      <c r="Q4180" t="s">
        <v>1400</v>
      </c>
      <c r="R4180" t="s">
        <v>321</v>
      </c>
      <c r="S4180">
        <v>0</v>
      </c>
      <c r="T4180" t="s">
        <v>105</v>
      </c>
      <c r="U4180">
        <v>9</v>
      </c>
      <c r="V4180">
        <v>9</v>
      </c>
      <c r="W4180">
        <v>0</v>
      </c>
      <c r="X4180">
        <v>0</v>
      </c>
      <c r="Y4180">
        <v>0</v>
      </c>
      <c r="Z4180">
        <v>134.7971598</v>
      </c>
      <c r="AA4180">
        <v>0</v>
      </c>
      <c r="AB4180">
        <v>0</v>
      </c>
      <c r="AC4180" t="s">
        <v>167</v>
      </c>
      <c r="AD4180">
        <v>9</v>
      </c>
      <c r="AE4180" t="s">
        <v>1412</v>
      </c>
      <c r="AF4180">
        <v>0</v>
      </c>
      <c r="AG4180" t="s">
        <v>310</v>
      </c>
      <c r="AH4180">
        <f>SUM((MID(Dyno_Data[[#This Row],[Team]],4,5))+(Dyno_Data[[#This Row],[Match]]/100))</f>
        <v>6621.74</v>
      </c>
      <c r="AI4180" s="76">
        <f>ROUND(SUM(IF(Dyno_Data[[#This Row],[AcqCenter]]&gt;0,Dyno_Data[[#This Row],[Time]]-SUMIFS(Dyno_Data[Time],Dyno_Data[Team],Dyno_Data[[#This Row],[Team]],Dyno_Data[RecordType],"StartMatch",Dyno_Data[Match],Dyno_Data[[#This Row],[Match]]),0)*86400),0)</f>
        <v>0</v>
      </c>
    </row>
    <row r="4181" spans="1:35" x14ac:dyDescent="0.3">
      <c r="A4181">
        <v>4180</v>
      </c>
      <c r="B4181" t="s">
        <v>367</v>
      </c>
      <c r="C4181">
        <v>74</v>
      </c>
      <c r="D4181" s="105">
        <v>45374.47813491898</v>
      </c>
      <c r="E4181" t="s">
        <v>316</v>
      </c>
      <c r="F4181" t="s">
        <v>317</v>
      </c>
      <c r="G4181">
        <v>0</v>
      </c>
      <c r="H4181" t="s">
        <v>310</v>
      </c>
      <c r="I4181">
        <v>0</v>
      </c>
      <c r="J4181">
        <v>0</v>
      </c>
      <c r="K4181">
        <v>0</v>
      </c>
      <c r="L4181" t="s">
        <v>310</v>
      </c>
      <c r="M4181" t="s">
        <v>310</v>
      </c>
      <c r="N4181">
        <v>0</v>
      </c>
      <c r="O4181" t="s">
        <v>1395</v>
      </c>
      <c r="P4181" t="s">
        <v>1401</v>
      </c>
      <c r="Q4181" t="s">
        <v>1400</v>
      </c>
      <c r="R4181" t="s">
        <v>1404</v>
      </c>
      <c r="S4181">
        <v>-1</v>
      </c>
      <c r="T4181" t="s">
        <v>105</v>
      </c>
      <c r="U4181">
        <v>9</v>
      </c>
      <c r="V4181">
        <v>9</v>
      </c>
      <c r="W4181">
        <v>5.8433741999999995</v>
      </c>
      <c r="X4181">
        <v>49.0961164</v>
      </c>
      <c r="Y4181">
        <v>16.466494600000001</v>
      </c>
      <c r="Z4181">
        <v>64.139207599999992</v>
      </c>
      <c r="AA4181">
        <v>0</v>
      </c>
      <c r="AB4181">
        <v>0</v>
      </c>
      <c r="AC4181" t="s">
        <v>174</v>
      </c>
      <c r="AD4181">
        <v>9</v>
      </c>
      <c r="AE4181" t="s">
        <v>1417</v>
      </c>
      <c r="AF4181">
        <v>60000000</v>
      </c>
      <c r="AG4181" t="s">
        <v>310</v>
      </c>
      <c r="AH4181">
        <f>SUM((MID(Dyno_Data[[#This Row],[Team]],4,5))+(Dyno_Data[[#This Row],[Match]]/100))</f>
        <v>5016.74</v>
      </c>
      <c r="AI4181" s="76">
        <f>ROUND(SUM(IF(Dyno_Data[[#This Row],[AcqCenter]]&gt;0,Dyno_Data[[#This Row],[Time]]-SUMIFS(Dyno_Data[Time],Dyno_Data[Team],Dyno_Data[[#This Row],[Team]],Dyno_Data[RecordType],"StartMatch",Dyno_Data[Match],Dyno_Data[[#This Row],[Match]]),0)*86400),0)</f>
        <v>0</v>
      </c>
    </row>
    <row r="4182" spans="1:35" x14ac:dyDescent="0.3">
      <c r="A4182">
        <v>4191</v>
      </c>
      <c r="B4182" t="s">
        <v>363</v>
      </c>
      <c r="C4182">
        <v>75</v>
      </c>
      <c r="D4182" s="105">
        <v>45374.481251307872</v>
      </c>
      <c r="E4182" t="s">
        <v>308</v>
      </c>
      <c r="F4182" t="s">
        <v>309</v>
      </c>
      <c r="G4182">
        <v>0</v>
      </c>
      <c r="H4182" t="s">
        <v>310</v>
      </c>
      <c r="I4182">
        <v>0</v>
      </c>
      <c r="J4182">
        <v>0</v>
      </c>
      <c r="K4182">
        <v>0</v>
      </c>
      <c r="L4182" t="s">
        <v>310</v>
      </c>
      <c r="M4182" t="s">
        <v>310</v>
      </c>
      <c r="N4182">
        <v>0</v>
      </c>
      <c r="O4182" t="s">
        <v>1395</v>
      </c>
      <c r="P4182" t="s">
        <v>310</v>
      </c>
      <c r="Q4182" t="s">
        <v>310</v>
      </c>
      <c r="R4182" t="s">
        <v>310</v>
      </c>
      <c r="S4182">
        <v>9</v>
      </c>
      <c r="T4182" t="s">
        <v>310</v>
      </c>
      <c r="U4182">
        <v>9</v>
      </c>
      <c r="V4182">
        <v>9</v>
      </c>
      <c r="W4182">
        <v>0</v>
      </c>
      <c r="X4182">
        <v>0</v>
      </c>
      <c r="Y4182">
        <v>0</v>
      </c>
      <c r="Z4182">
        <v>0</v>
      </c>
      <c r="AA4182">
        <v>9</v>
      </c>
      <c r="AB4182">
        <v>9</v>
      </c>
      <c r="AC4182" t="s">
        <v>310</v>
      </c>
      <c r="AD4182">
        <v>9</v>
      </c>
      <c r="AE4182" t="s">
        <v>1412</v>
      </c>
      <c r="AF4182">
        <v>20000000</v>
      </c>
      <c r="AG4182" t="s">
        <v>310</v>
      </c>
      <c r="AH4182">
        <f>SUM((MID(Dyno_Data[[#This Row],[Team]],4,5))+(Dyno_Data[[#This Row],[Match]]/100))</f>
        <v>2601.75</v>
      </c>
      <c r="AI4182" s="76">
        <f>ROUND(SUM(IF(Dyno_Data[[#This Row],[AcqCenter]]&gt;0,Dyno_Data[[#This Row],[Time]]-SUMIFS(Dyno_Data[Time],Dyno_Data[Team],Dyno_Data[[#This Row],[Team]],Dyno_Data[RecordType],"StartMatch",Dyno_Data[Match],Dyno_Data[[#This Row],[Match]]),0)*86400),0)</f>
        <v>0</v>
      </c>
    </row>
    <row r="4183" spans="1:35" x14ac:dyDescent="0.3">
      <c r="A4183">
        <v>4193</v>
      </c>
      <c r="B4183" t="s">
        <v>1306</v>
      </c>
      <c r="C4183">
        <v>75</v>
      </c>
      <c r="D4183" s="105">
        <v>45374.481252048608</v>
      </c>
      <c r="E4183" t="s">
        <v>308</v>
      </c>
      <c r="F4183" t="s">
        <v>309</v>
      </c>
      <c r="G4183">
        <v>0</v>
      </c>
      <c r="H4183" t="s">
        <v>310</v>
      </c>
      <c r="I4183">
        <v>0</v>
      </c>
      <c r="J4183">
        <v>0</v>
      </c>
      <c r="K4183">
        <v>0</v>
      </c>
      <c r="L4183" t="s">
        <v>310</v>
      </c>
      <c r="M4183" t="s">
        <v>310</v>
      </c>
      <c r="N4183">
        <v>0</v>
      </c>
      <c r="O4183" t="s">
        <v>319</v>
      </c>
      <c r="P4183" t="s">
        <v>310</v>
      </c>
      <c r="Q4183" t="s">
        <v>310</v>
      </c>
      <c r="R4183" t="s">
        <v>310</v>
      </c>
      <c r="S4183">
        <v>9</v>
      </c>
      <c r="T4183" t="s">
        <v>310</v>
      </c>
      <c r="U4183">
        <v>9</v>
      </c>
      <c r="V4183">
        <v>9</v>
      </c>
      <c r="W4183">
        <v>0</v>
      </c>
      <c r="X4183">
        <v>0</v>
      </c>
      <c r="Y4183">
        <v>0</v>
      </c>
      <c r="Z4183">
        <v>0</v>
      </c>
      <c r="AA4183">
        <v>9</v>
      </c>
      <c r="AB4183">
        <v>9</v>
      </c>
      <c r="AC4183" t="s">
        <v>310</v>
      </c>
      <c r="AD4183">
        <v>9</v>
      </c>
      <c r="AE4183" t="s">
        <v>1416</v>
      </c>
      <c r="AF4183">
        <v>30000000</v>
      </c>
      <c r="AG4183" t="s">
        <v>310</v>
      </c>
      <c r="AH4183">
        <f>SUM((MID(Dyno_Data[[#This Row],[Team]],4,5))+(Dyno_Data[[#This Row],[Match]]/100))</f>
        <v>3986.75</v>
      </c>
      <c r="AI4183" s="76">
        <f>ROUND(SUM(IF(Dyno_Data[[#This Row],[AcqCenter]]&gt;0,Dyno_Data[[#This Row],[Time]]-SUMIFS(Dyno_Data[Time],Dyno_Data[Team],Dyno_Data[[#This Row],[Team]],Dyno_Data[RecordType],"StartMatch",Dyno_Data[Match],Dyno_Data[[#This Row],[Match]]),0)*86400),0)</f>
        <v>0</v>
      </c>
    </row>
    <row r="4184" spans="1:35" x14ac:dyDescent="0.3">
      <c r="A4184">
        <v>4195</v>
      </c>
      <c r="B4184" t="s">
        <v>1290</v>
      </c>
      <c r="C4184">
        <v>75</v>
      </c>
      <c r="D4184" s="105">
        <v>45374.481256284722</v>
      </c>
      <c r="E4184" t="s">
        <v>308</v>
      </c>
      <c r="F4184" t="s">
        <v>309</v>
      </c>
      <c r="G4184">
        <v>0</v>
      </c>
      <c r="H4184" t="s">
        <v>310</v>
      </c>
      <c r="I4184">
        <v>0</v>
      </c>
      <c r="J4184">
        <v>0</v>
      </c>
      <c r="K4184">
        <v>0</v>
      </c>
      <c r="L4184" t="s">
        <v>310</v>
      </c>
      <c r="M4184" t="s">
        <v>310</v>
      </c>
      <c r="N4184">
        <v>0</v>
      </c>
      <c r="O4184" t="s">
        <v>1389</v>
      </c>
      <c r="P4184" t="s">
        <v>310</v>
      </c>
      <c r="Q4184" t="s">
        <v>310</v>
      </c>
      <c r="R4184" t="s">
        <v>310</v>
      </c>
      <c r="S4184">
        <v>9</v>
      </c>
      <c r="T4184" t="s">
        <v>310</v>
      </c>
      <c r="U4184">
        <v>9</v>
      </c>
      <c r="V4184">
        <v>9</v>
      </c>
      <c r="W4184">
        <v>0</v>
      </c>
      <c r="X4184">
        <v>0</v>
      </c>
      <c r="Y4184">
        <v>0</v>
      </c>
      <c r="Z4184">
        <v>0</v>
      </c>
      <c r="AA4184">
        <v>9</v>
      </c>
      <c r="AB4184">
        <v>9</v>
      </c>
      <c r="AC4184" t="s">
        <v>310</v>
      </c>
      <c r="AD4184">
        <v>9</v>
      </c>
      <c r="AE4184" t="s">
        <v>1417</v>
      </c>
      <c r="AF4184">
        <v>0</v>
      </c>
      <c r="AG4184" t="s">
        <v>310</v>
      </c>
      <c r="AH4184">
        <f>SUM((MID(Dyno_Data[[#This Row],[Team]],4,5))+(Dyno_Data[[#This Row],[Match]]/100))</f>
        <v>5881.75</v>
      </c>
      <c r="AI4184" s="76">
        <f>ROUND(SUM(IF(Dyno_Data[[#This Row],[AcqCenter]]&gt;0,Dyno_Data[[#This Row],[Time]]-SUMIFS(Dyno_Data[Time],Dyno_Data[Team],Dyno_Data[[#This Row],[Team]],Dyno_Data[RecordType],"StartMatch",Dyno_Data[Match],Dyno_Data[[#This Row],[Match]]),0)*86400),0)</f>
        <v>0</v>
      </c>
    </row>
    <row r="4185" spans="1:35" x14ac:dyDescent="0.3">
      <c r="A4185">
        <v>4197</v>
      </c>
      <c r="B4185" t="s">
        <v>1276</v>
      </c>
      <c r="C4185">
        <v>75</v>
      </c>
      <c r="D4185" s="105">
        <v>45374.481258645836</v>
      </c>
      <c r="E4185" t="s">
        <v>308</v>
      </c>
      <c r="F4185" t="s">
        <v>309</v>
      </c>
      <c r="G4185">
        <v>0</v>
      </c>
      <c r="H4185" t="s">
        <v>310</v>
      </c>
      <c r="I4185">
        <v>0</v>
      </c>
      <c r="J4185">
        <v>0</v>
      </c>
      <c r="K4185">
        <v>0</v>
      </c>
      <c r="L4185" t="s">
        <v>310</v>
      </c>
      <c r="M4185" t="s">
        <v>310</v>
      </c>
      <c r="N4185">
        <v>0</v>
      </c>
      <c r="O4185" t="s">
        <v>311</v>
      </c>
      <c r="P4185" t="s">
        <v>310</v>
      </c>
      <c r="Q4185" t="s">
        <v>310</v>
      </c>
      <c r="R4185" t="s">
        <v>310</v>
      </c>
      <c r="S4185">
        <v>9</v>
      </c>
      <c r="T4185" t="s">
        <v>310</v>
      </c>
      <c r="U4185">
        <v>9</v>
      </c>
      <c r="V4185">
        <v>9</v>
      </c>
      <c r="W4185">
        <v>0</v>
      </c>
      <c r="X4185">
        <v>0</v>
      </c>
      <c r="Y4185">
        <v>0</v>
      </c>
      <c r="Z4185">
        <v>0</v>
      </c>
      <c r="AA4185">
        <v>9</v>
      </c>
      <c r="AB4185">
        <v>9</v>
      </c>
      <c r="AC4185" t="s">
        <v>310</v>
      </c>
      <c r="AD4185">
        <v>9</v>
      </c>
      <c r="AE4185" t="s">
        <v>1418</v>
      </c>
      <c r="AF4185">
        <v>0</v>
      </c>
      <c r="AG4185" t="s">
        <v>310</v>
      </c>
      <c r="AH4185">
        <f>SUM((MID(Dyno_Data[[#This Row],[Team]],4,5))+(Dyno_Data[[#This Row],[Match]]/100))</f>
        <v>229.75</v>
      </c>
      <c r="AI4185" s="76">
        <f>ROUND(SUM(IF(Dyno_Data[[#This Row],[AcqCenter]]&gt;0,Dyno_Data[[#This Row],[Time]]-SUMIFS(Dyno_Data[Time],Dyno_Data[Team],Dyno_Data[[#This Row],[Team]],Dyno_Data[RecordType],"StartMatch",Dyno_Data[Match],Dyno_Data[[#This Row],[Match]]),0)*86400),0)</f>
        <v>0</v>
      </c>
    </row>
    <row r="4186" spans="1:35" x14ac:dyDescent="0.3">
      <c r="A4186">
        <v>4199</v>
      </c>
      <c r="B4186" t="s">
        <v>362</v>
      </c>
      <c r="C4186">
        <v>75</v>
      </c>
      <c r="D4186" s="105">
        <v>45374.481260960645</v>
      </c>
      <c r="E4186" t="s">
        <v>308</v>
      </c>
      <c r="F4186" t="s">
        <v>309</v>
      </c>
      <c r="G4186">
        <v>0</v>
      </c>
      <c r="H4186" t="s">
        <v>310</v>
      </c>
      <c r="I4186">
        <v>0</v>
      </c>
      <c r="J4186">
        <v>0</v>
      </c>
      <c r="K4186">
        <v>0</v>
      </c>
      <c r="L4186" t="s">
        <v>310</v>
      </c>
      <c r="M4186" t="s">
        <v>310</v>
      </c>
      <c r="N4186">
        <v>0</v>
      </c>
      <c r="O4186" t="s">
        <v>1393</v>
      </c>
      <c r="P4186" t="s">
        <v>310</v>
      </c>
      <c r="Q4186" t="s">
        <v>310</v>
      </c>
      <c r="R4186" t="s">
        <v>310</v>
      </c>
      <c r="S4186">
        <v>9</v>
      </c>
      <c r="T4186" t="s">
        <v>310</v>
      </c>
      <c r="U4186">
        <v>9</v>
      </c>
      <c r="V4186">
        <v>9</v>
      </c>
      <c r="W4186">
        <v>0</v>
      </c>
      <c r="X4186">
        <v>0</v>
      </c>
      <c r="Y4186">
        <v>0</v>
      </c>
      <c r="Z4186">
        <v>0</v>
      </c>
      <c r="AA4186">
        <v>9</v>
      </c>
      <c r="AB4186">
        <v>9</v>
      </c>
      <c r="AC4186" t="s">
        <v>310</v>
      </c>
      <c r="AD4186">
        <v>9</v>
      </c>
      <c r="AE4186" t="s">
        <v>1414</v>
      </c>
      <c r="AF4186">
        <v>2000</v>
      </c>
      <c r="AG4186" t="s">
        <v>310</v>
      </c>
      <c r="AH4186">
        <f>SUM((MID(Dyno_Data[[#This Row],[Team]],4,5))+(Dyno_Data[[#This Row],[Match]]/100))</f>
        <v>250.75</v>
      </c>
      <c r="AI4186" s="76">
        <f>ROUND(SUM(IF(Dyno_Data[[#This Row],[AcqCenter]]&gt;0,Dyno_Data[[#This Row],[Time]]-SUMIFS(Dyno_Data[Time],Dyno_Data[Team],Dyno_Data[[#This Row],[Team]],Dyno_Data[RecordType],"StartMatch",Dyno_Data[Match],Dyno_Data[[#This Row],[Match]]),0)*86400),0)</f>
        <v>0</v>
      </c>
    </row>
    <row r="4187" spans="1:35" x14ac:dyDescent="0.3">
      <c r="A4187">
        <v>4181</v>
      </c>
      <c r="B4187" t="s">
        <v>363</v>
      </c>
      <c r="C4187">
        <v>75</v>
      </c>
      <c r="D4187" s="105">
        <v>45374.481265625</v>
      </c>
      <c r="E4187" t="s">
        <v>312</v>
      </c>
      <c r="F4187" t="s">
        <v>309</v>
      </c>
      <c r="G4187">
        <v>0</v>
      </c>
      <c r="H4187" t="s">
        <v>1397</v>
      </c>
      <c r="I4187">
        <v>0</v>
      </c>
      <c r="J4187">
        <v>0</v>
      </c>
      <c r="K4187">
        <v>0</v>
      </c>
      <c r="L4187" t="s">
        <v>240</v>
      </c>
      <c r="M4187" t="s">
        <v>1398</v>
      </c>
      <c r="N4187">
        <v>0</v>
      </c>
      <c r="O4187" t="s">
        <v>1395</v>
      </c>
      <c r="P4187" t="s">
        <v>310</v>
      </c>
      <c r="Q4187" t="s">
        <v>310</v>
      </c>
      <c r="R4187" t="s">
        <v>310</v>
      </c>
      <c r="S4187">
        <v>9</v>
      </c>
      <c r="T4187" t="s">
        <v>310</v>
      </c>
      <c r="U4187">
        <v>9</v>
      </c>
      <c r="V4187">
        <v>9</v>
      </c>
      <c r="W4187">
        <v>0</v>
      </c>
      <c r="X4187">
        <v>0</v>
      </c>
      <c r="Y4187">
        <v>0</v>
      </c>
      <c r="Z4187">
        <v>0</v>
      </c>
      <c r="AA4187">
        <v>9</v>
      </c>
      <c r="AB4187">
        <v>9</v>
      </c>
      <c r="AC4187" t="s">
        <v>310</v>
      </c>
      <c r="AD4187">
        <v>9</v>
      </c>
      <c r="AE4187" t="s">
        <v>1412</v>
      </c>
      <c r="AF4187">
        <v>0</v>
      </c>
      <c r="AG4187" t="s">
        <v>310</v>
      </c>
      <c r="AH4187">
        <f>SUM((MID(Dyno_Data[[#This Row],[Team]],4,5))+(Dyno_Data[[#This Row],[Match]]/100))</f>
        <v>2601.75</v>
      </c>
      <c r="AI4187" s="76">
        <f>ROUND(SUM(IF(Dyno_Data[[#This Row],[AcqCenter]]&gt;0,Dyno_Data[[#This Row],[Time]]-SUMIFS(Dyno_Data[Time],Dyno_Data[Team],Dyno_Data[[#This Row],[Team]],Dyno_Data[RecordType],"StartMatch",Dyno_Data[Match],Dyno_Data[[#This Row],[Match]]),0)*86400),0)</f>
        <v>0</v>
      </c>
    </row>
    <row r="4188" spans="1:35" x14ac:dyDescent="0.3">
      <c r="A4188">
        <v>4182</v>
      </c>
      <c r="B4188" t="s">
        <v>1306</v>
      </c>
      <c r="C4188">
        <v>75</v>
      </c>
      <c r="D4188" s="105">
        <v>45374.481301423613</v>
      </c>
      <c r="E4188" t="s">
        <v>312</v>
      </c>
      <c r="F4188" t="s">
        <v>309</v>
      </c>
      <c r="G4188">
        <v>0</v>
      </c>
      <c r="H4188" t="s">
        <v>1397</v>
      </c>
      <c r="I4188">
        <v>0</v>
      </c>
      <c r="J4188">
        <v>0</v>
      </c>
      <c r="K4188">
        <v>0</v>
      </c>
      <c r="L4188" t="s">
        <v>241</v>
      </c>
      <c r="M4188" t="s">
        <v>1398</v>
      </c>
      <c r="N4188">
        <v>0</v>
      </c>
      <c r="O4188" t="s">
        <v>319</v>
      </c>
      <c r="P4188" t="s">
        <v>310</v>
      </c>
      <c r="Q4188" t="s">
        <v>310</v>
      </c>
      <c r="R4188" t="s">
        <v>310</v>
      </c>
      <c r="S4188">
        <v>9</v>
      </c>
      <c r="T4188" t="s">
        <v>310</v>
      </c>
      <c r="U4188">
        <v>9</v>
      </c>
      <c r="V4188">
        <v>9</v>
      </c>
      <c r="W4188">
        <v>0</v>
      </c>
      <c r="X4188">
        <v>0</v>
      </c>
      <c r="Y4188">
        <v>0</v>
      </c>
      <c r="Z4188">
        <v>0</v>
      </c>
      <c r="AA4188">
        <v>9</v>
      </c>
      <c r="AB4188">
        <v>9</v>
      </c>
      <c r="AC4188" t="s">
        <v>310</v>
      </c>
      <c r="AD4188">
        <v>9</v>
      </c>
      <c r="AE4188" t="s">
        <v>1416</v>
      </c>
      <c r="AF4188">
        <v>0</v>
      </c>
      <c r="AG4188" t="s">
        <v>310</v>
      </c>
      <c r="AH4188">
        <f>SUM((MID(Dyno_Data[[#This Row],[Team]],4,5))+(Dyno_Data[[#This Row],[Match]]/100))</f>
        <v>3986.75</v>
      </c>
      <c r="AI4188" s="76">
        <f>ROUND(SUM(IF(Dyno_Data[[#This Row],[AcqCenter]]&gt;0,Dyno_Data[[#This Row],[Time]]-SUMIFS(Dyno_Data[Time],Dyno_Data[Team],Dyno_Data[[#This Row],[Team]],Dyno_Data[RecordType],"StartMatch",Dyno_Data[Match],Dyno_Data[[#This Row],[Match]]),0)*86400),0)</f>
        <v>0</v>
      </c>
    </row>
    <row r="4189" spans="1:35" x14ac:dyDescent="0.3">
      <c r="A4189">
        <v>4183</v>
      </c>
      <c r="B4189" t="s">
        <v>363</v>
      </c>
      <c r="C4189">
        <v>75</v>
      </c>
      <c r="D4189" s="105">
        <v>45374.48131145833</v>
      </c>
      <c r="E4189" t="s">
        <v>312</v>
      </c>
      <c r="F4189" t="s">
        <v>309</v>
      </c>
      <c r="G4189">
        <v>0</v>
      </c>
      <c r="H4189" t="s">
        <v>315</v>
      </c>
      <c r="I4189">
        <v>0</v>
      </c>
      <c r="J4189">
        <v>0</v>
      </c>
      <c r="K4189">
        <v>0</v>
      </c>
      <c r="L4189" t="s">
        <v>240</v>
      </c>
      <c r="M4189" t="s">
        <v>1398</v>
      </c>
      <c r="N4189">
        <v>0</v>
      </c>
      <c r="O4189" t="s">
        <v>1395</v>
      </c>
      <c r="P4189" t="s">
        <v>310</v>
      </c>
      <c r="Q4189" t="s">
        <v>310</v>
      </c>
      <c r="R4189" t="s">
        <v>310</v>
      </c>
      <c r="S4189">
        <v>9</v>
      </c>
      <c r="T4189" t="s">
        <v>310</v>
      </c>
      <c r="U4189">
        <v>9</v>
      </c>
      <c r="V4189">
        <v>9</v>
      </c>
      <c r="W4189">
        <v>0</v>
      </c>
      <c r="X4189">
        <v>0</v>
      </c>
      <c r="Y4189">
        <v>0</v>
      </c>
      <c r="Z4189">
        <v>0</v>
      </c>
      <c r="AA4189">
        <v>9</v>
      </c>
      <c r="AB4189">
        <v>9</v>
      </c>
      <c r="AC4189" t="s">
        <v>310</v>
      </c>
      <c r="AD4189">
        <v>9</v>
      </c>
      <c r="AE4189" t="s">
        <v>1412</v>
      </c>
      <c r="AF4189">
        <v>10000000</v>
      </c>
      <c r="AG4189" t="s">
        <v>310</v>
      </c>
      <c r="AH4189">
        <f>SUM((MID(Dyno_Data[[#This Row],[Team]],4,5))+(Dyno_Data[[#This Row],[Match]]/100))</f>
        <v>2601.75</v>
      </c>
      <c r="AI4189" s="76">
        <f>ROUND(SUM(IF(Dyno_Data[[#This Row],[AcqCenter]]&gt;0,Dyno_Data[[#This Row],[Time]]-SUMIFS(Dyno_Data[Time],Dyno_Data[Team],Dyno_Data[[#This Row],[Team]],Dyno_Data[RecordType],"StartMatch",Dyno_Data[Match],Dyno_Data[[#This Row],[Match]]),0)*86400),0)</f>
        <v>0</v>
      </c>
    </row>
    <row r="4190" spans="1:35" x14ac:dyDescent="0.3">
      <c r="A4190">
        <v>4184</v>
      </c>
      <c r="B4190" t="s">
        <v>1306</v>
      </c>
      <c r="C4190">
        <v>75</v>
      </c>
      <c r="D4190" s="105">
        <v>45374.481327743059</v>
      </c>
      <c r="E4190" t="s">
        <v>312</v>
      </c>
      <c r="F4190" t="s">
        <v>309</v>
      </c>
      <c r="G4190">
        <v>0</v>
      </c>
      <c r="H4190" t="s">
        <v>315</v>
      </c>
      <c r="I4190">
        <v>0</v>
      </c>
      <c r="J4190">
        <v>0</v>
      </c>
      <c r="K4190">
        <v>0</v>
      </c>
      <c r="L4190" t="s">
        <v>241</v>
      </c>
      <c r="M4190" t="s">
        <v>1398</v>
      </c>
      <c r="N4190">
        <v>0</v>
      </c>
      <c r="O4190" t="s">
        <v>319</v>
      </c>
      <c r="P4190" t="s">
        <v>310</v>
      </c>
      <c r="Q4190" t="s">
        <v>310</v>
      </c>
      <c r="R4190" t="s">
        <v>310</v>
      </c>
      <c r="S4190">
        <v>9</v>
      </c>
      <c r="T4190" t="s">
        <v>310</v>
      </c>
      <c r="U4190">
        <v>9</v>
      </c>
      <c r="V4190">
        <v>9</v>
      </c>
      <c r="W4190">
        <v>0</v>
      </c>
      <c r="X4190">
        <v>0</v>
      </c>
      <c r="Y4190">
        <v>0</v>
      </c>
      <c r="Z4190">
        <v>0</v>
      </c>
      <c r="AA4190">
        <v>9</v>
      </c>
      <c r="AB4190">
        <v>9</v>
      </c>
      <c r="AC4190" t="s">
        <v>310</v>
      </c>
      <c r="AD4190">
        <v>9</v>
      </c>
      <c r="AE4190" t="s">
        <v>1416</v>
      </c>
      <c r="AF4190">
        <v>10000000</v>
      </c>
      <c r="AG4190" t="s">
        <v>310</v>
      </c>
      <c r="AH4190">
        <f>SUM((MID(Dyno_Data[[#This Row],[Team]],4,5))+(Dyno_Data[[#This Row],[Match]]/100))</f>
        <v>3986.75</v>
      </c>
      <c r="AI4190" s="76">
        <f>ROUND(SUM(IF(Dyno_Data[[#This Row],[AcqCenter]]&gt;0,Dyno_Data[[#This Row],[Time]]-SUMIFS(Dyno_Data[Time],Dyno_Data[Team],Dyno_Data[[#This Row],[Team]],Dyno_Data[RecordType],"StartMatch",Dyno_Data[Match],Dyno_Data[[#This Row],[Match]]),0)*86400),0)</f>
        <v>0</v>
      </c>
    </row>
    <row r="4191" spans="1:35" x14ac:dyDescent="0.3">
      <c r="A4191">
        <v>4185</v>
      </c>
      <c r="B4191" t="s">
        <v>363</v>
      </c>
      <c r="C4191">
        <v>75</v>
      </c>
      <c r="D4191" s="105">
        <v>45374.48134510417</v>
      </c>
      <c r="E4191" t="s">
        <v>312</v>
      </c>
      <c r="F4191" t="s">
        <v>309</v>
      </c>
      <c r="G4191">
        <v>0</v>
      </c>
      <c r="H4191" t="s">
        <v>315</v>
      </c>
      <c r="I4191">
        <v>0</v>
      </c>
      <c r="J4191">
        <v>0</v>
      </c>
      <c r="K4191">
        <v>0</v>
      </c>
      <c r="L4191" t="s">
        <v>240</v>
      </c>
      <c r="M4191" t="s">
        <v>1398</v>
      </c>
      <c r="N4191">
        <v>0</v>
      </c>
      <c r="O4191" t="s">
        <v>1395</v>
      </c>
      <c r="P4191" t="s">
        <v>310</v>
      </c>
      <c r="Q4191" t="s">
        <v>310</v>
      </c>
      <c r="R4191" t="s">
        <v>310</v>
      </c>
      <c r="S4191">
        <v>9</v>
      </c>
      <c r="T4191" t="s">
        <v>310</v>
      </c>
      <c r="U4191">
        <v>9</v>
      </c>
      <c r="V4191">
        <v>9</v>
      </c>
      <c r="W4191">
        <v>0</v>
      </c>
      <c r="X4191">
        <v>0</v>
      </c>
      <c r="Y4191">
        <v>0</v>
      </c>
      <c r="Z4191">
        <v>0</v>
      </c>
      <c r="AA4191">
        <v>9</v>
      </c>
      <c r="AB4191">
        <v>9</v>
      </c>
      <c r="AC4191" t="s">
        <v>310</v>
      </c>
      <c r="AD4191">
        <v>9</v>
      </c>
      <c r="AE4191" t="s">
        <v>1412</v>
      </c>
      <c r="AF4191">
        <v>20000000</v>
      </c>
      <c r="AG4191" t="s">
        <v>310</v>
      </c>
      <c r="AH4191">
        <f>SUM((MID(Dyno_Data[[#This Row],[Team]],4,5))+(Dyno_Data[[#This Row],[Match]]/100))</f>
        <v>2601.75</v>
      </c>
      <c r="AI4191" s="76">
        <f>ROUND(SUM(IF(Dyno_Data[[#This Row],[AcqCenter]]&gt;0,Dyno_Data[[#This Row],[Time]]-SUMIFS(Dyno_Data[Time],Dyno_Data[Team],Dyno_Data[[#This Row],[Team]],Dyno_Data[RecordType],"StartMatch",Dyno_Data[Match],Dyno_Data[[#This Row],[Match]]),0)*86400),0)</f>
        <v>0</v>
      </c>
    </row>
    <row r="4192" spans="1:35" x14ac:dyDescent="0.3">
      <c r="A4192">
        <v>4202</v>
      </c>
      <c r="B4192" t="s">
        <v>1283</v>
      </c>
      <c r="C4192">
        <v>75</v>
      </c>
      <c r="D4192" s="105">
        <v>45374.481346875</v>
      </c>
      <c r="E4192" t="s">
        <v>308</v>
      </c>
      <c r="F4192" t="s">
        <v>309</v>
      </c>
      <c r="G4192">
        <v>0</v>
      </c>
      <c r="H4192" t="s">
        <v>310</v>
      </c>
      <c r="I4192">
        <v>0</v>
      </c>
      <c r="J4192">
        <v>0</v>
      </c>
      <c r="K4192">
        <v>0</v>
      </c>
      <c r="L4192" t="s">
        <v>310</v>
      </c>
      <c r="M4192" t="s">
        <v>310</v>
      </c>
      <c r="N4192">
        <v>0</v>
      </c>
      <c r="O4192" t="s">
        <v>1391</v>
      </c>
      <c r="P4192" t="s">
        <v>310</v>
      </c>
      <c r="Q4192" t="s">
        <v>310</v>
      </c>
      <c r="R4192" t="s">
        <v>310</v>
      </c>
      <c r="S4192">
        <v>9</v>
      </c>
      <c r="T4192" t="s">
        <v>310</v>
      </c>
      <c r="U4192">
        <v>9</v>
      </c>
      <c r="V4192">
        <v>9</v>
      </c>
      <c r="W4192">
        <v>0</v>
      </c>
      <c r="X4192">
        <v>0</v>
      </c>
      <c r="Y4192">
        <v>0</v>
      </c>
      <c r="Z4192">
        <v>0</v>
      </c>
      <c r="AA4192">
        <v>9</v>
      </c>
      <c r="AB4192">
        <v>9</v>
      </c>
      <c r="AC4192" t="s">
        <v>310</v>
      </c>
      <c r="AD4192">
        <v>9</v>
      </c>
      <c r="AE4192" t="s">
        <v>1413</v>
      </c>
      <c r="AF4192">
        <v>0</v>
      </c>
      <c r="AG4192" t="s">
        <v>310</v>
      </c>
      <c r="AH4192">
        <f>SUM((MID(Dyno_Data[[#This Row],[Team]],4,5))+(Dyno_Data[[#This Row],[Match]]/100))</f>
        <v>1601.75</v>
      </c>
      <c r="AI4192" s="76">
        <f>ROUND(SUM(IF(Dyno_Data[[#This Row],[AcqCenter]]&gt;0,Dyno_Data[[#This Row],[Time]]-SUMIFS(Dyno_Data[Time],Dyno_Data[Team],Dyno_Data[[#This Row],[Team]],Dyno_Data[RecordType],"StartMatch",Dyno_Data[Match],Dyno_Data[[#This Row],[Match]]),0)*86400),0)</f>
        <v>0</v>
      </c>
    </row>
    <row r="4193" spans="1:35" x14ac:dyDescent="0.3">
      <c r="A4193">
        <v>4186</v>
      </c>
      <c r="B4193" t="s">
        <v>1290</v>
      </c>
      <c r="C4193">
        <v>75</v>
      </c>
      <c r="D4193" s="105">
        <v>45374.481348067129</v>
      </c>
      <c r="E4193" t="s">
        <v>312</v>
      </c>
      <c r="F4193" t="s">
        <v>309</v>
      </c>
      <c r="G4193">
        <v>0</v>
      </c>
      <c r="H4193" t="s">
        <v>1397</v>
      </c>
      <c r="I4193">
        <v>0</v>
      </c>
      <c r="J4193">
        <v>0</v>
      </c>
      <c r="K4193">
        <v>0</v>
      </c>
      <c r="L4193" t="s">
        <v>241</v>
      </c>
      <c r="M4193" t="s">
        <v>1398</v>
      </c>
      <c r="N4193">
        <v>0</v>
      </c>
      <c r="O4193" t="s">
        <v>1389</v>
      </c>
      <c r="P4193" t="s">
        <v>310</v>
      </c>
      <c r="Q4193" t="s">
        <v>310</v>
      </c>
      <c r="R4193" t="s">
        <v>310</v>
      </c>
      <c r="S4193">
        <v>9</v>
      </c>
      <c r="T4193" t="s">
        <v>310</v>
      </c>
      <c r="U4193">
        <v>9</v>
      </c>
      <c r="V4193">
        <v>9</v>
      </c>
      <c r="W4193">
        <v>0</v>
      </c>
      <c r="X4193">
        <v>0</v>
      </c>
      <c r="Y4193">
        <v>0</v>
      </c>
      <c r="Z4193">
        <v>0</v>
      </c>
      <c r="AA4193">
        <v>9</v>
      </c>
      <c r="AB4193">
        <v>9</v>
      </c>
      <c r="AC4193" t="s">
        <v>310</v>
      </c>
      <c r="AD4193">
        <v>9</v>
      </c>
      <c r="AE4193" t="s">
        <v>1417</v>
      </c>
      <c r="AF4193">
        <v>0</v>
      </c>
      <c r="AG4193" t="s">
        <v>310</v>
      </c>
      <c r="AH4193">
        <f>SUM((MID(Dyno_Data[[#This Row],[Team]],4,5))+(Dyno_Data[[#This Row],[Match]]/100))</f>
        <v>5881.75</v>
      </c>
      <c r="AI4193" s="76">
        <f>ROUND(SUM(IF(Dyno_Data[[#This Row],[AcqCenter]]&gt;0,Dyno_Data[[#This Row],[Time]]-SUMIFS(Dyno_Data[Time],Dyno_Data[Team],Dyno_Data[[#This Row],[Team]],Dyno_Data[RecordType],"StartMatch",Dyno_Data[Match],Dyno_Data[[#This Row],[Match]]),0)*86400),0)</f>
        <v>0</v>
      </c>
    </row>
    <row r="4194" spans="1:35" x14ac:dyDescent="0.3">
      <c r="A4194">
        <v>4188</v>
      </c>
      <c r="B4194" t="s">
        <v>362</v>
      </c>
      <c r="C4194">
        <v>75</v>
      </c>
      <c r="D4194" s="105">
        <v>45374.481348067129</v>
      </c>
      <c r="E4194" t="s">
        <v>312</v>
      </c>
      <c r="F4194" t="s">
        <v>309</v>
      </c>
      <c r="G4194">
        <v>0</v>
      </c>
      <c r="H4194" t="s">
        <v>143</v>
      </c>
      <c r="I4194">
        <v>1</v>
      </c>
      <c r="J4194">
        <v>-1</v>
      </c>
      <c r="K4194">
        <v>0</v>
      </c>
      <c r="L4194" t="s">
        <v>310</v>
      </c>
      <c r="M4194" t="s">
        <v>310</v>
      </c>
      <c r="N4194">
        <v>0</v>
      </c>
      <c r="O4194" t="s">
        <v>1393</v>
      </c>
      <c r="P4194" t="s">
        <v>310</v>
      </c>
      <c r="Q4194" t="s">
        <v>310</v>
      </c>
      <c r="R4194" t="s">
        <v>310</v>
      </c>
      <c r="S4194">
        <v>9</v>
      </c>
      <c r="T4194" t="s">
        <v>310</v>
      </c>
      <c r="U4194">
        <v>9</v>
      </c>
      <c r="V4194">
        <v>9</v>
      </c>
      <c r="W4194">
        <v>0</v>
      </c>
      <c r="X4194">
        <v>0</v>
      </c>
      <c r="Y4194">
        <v>0</v>
      </c>
      <c r="Z4194">
        <v>0</v>
      </c>
      <c r="AA4194">
        <v>9</v>
      </c>
      <c r="AB4194">
        <v>9</v>
      </c>
      <c r="AC4194" t="s">
        <v>310</v>
      </c>
      <c r="AD4194">
        <v>9</v>
      </c>
      <c r="AE4194" t="s">
        <v>1414</v>
      </c>
      <c r="AF4194">
        <v>1000</v>
      </c>
      <c r="AG4194" t="s">
        <v>310</v>
      </c>
      <c r="AH4194">
        <f>SUM((MID(Dyno_Data[[#This Row],[Team]],4,5))+(Dyno_Data[[#This Row],[Match]]/100))</f>
        <v>250.75</v>
      </c>
      <c r="AI4194" s="76">
        <f>ROUND(SUM(IF(Dyno_Data[[#This Row],[AcqCenter]]&gt;0,Dyno_Data[[#This Row],[Time]]-SUMIFS(Dyno_Data[Time],Dyno_Data[Team],Dyno_Data[[#This Row],[Team]],Dyno_Data[RecordType],"StartMatch",Dyno_Data[Match],Dyno_Data[[#This Row],[Match]]),0)*86400),0)</f>
        <v>8</v>
      </c>
    </row>
    <row r="4195" spans="1:35" x14ac:dyDescent="0.3">
      <c r="A4195">
        <v>4187</v>
      </c>
      <c r="B4195" t="s">
        <v>1306</v>
      </c>
      <c r="C4195">
        <v>75</v>
      </c>
      <c r="D4195" s="105">
        <v>45374.481368020832</v>
      </c>
      <c r="E4195" t="s">
        <v>312</v>
      </c>
      <c r="F4195" t="s">
        <v>309</v>
      </c>
      <c r="G4195">
        <v>0</v>
      </c>
      <c r="H4195" t="s">
        <v>315</v>
      </c>
      <c r="I4195">
        <v>0</v>
      </c>
      <c r="J4195">
        <v>0</v>
      </c>
      <c r="K4195">
        <v>0</v>
      </c>
      <c r="L4195" t="s">
        <v>241</v>
      </c>
      <c r="M4195" t="s">
        <v>1398</v>
      </c>
      <c r="N4195">
        <v>0</v>
      </c>
      <c r="O4195" t="s">
        <v>319</v>
      </c>
      <c r="P4195" t="s">
        <v>310</v>
      </c>
      <c r="Q4195" t="s">
        <v>310</v>
      </c>
      <c r="R4195" t="s">
        <v>310</v>
      </c>
      <c r="S4195">
        <v>9</v>
      </c>
      <c r="T4195" t="s">
        <v>310</v>
      </c>
      <c r="U4195">
        <v>9</v>
      </c>
      <c r="V4195">
        <v>9</v>
      </c>
      <c r="W4195">
        <v>0</v>
      </c>
      <c r="X4195">
        <v>0</v>
      </c>
      <c r="Y4195">
        <v>0</v>
      </c>
      <c r="Z4195">
        <v>0</v>
      </c>
      <c r="AA4195">
        <v>9</v>
      </c>
      <c r="AB4195">
        <v>9</v>
      </c>
      <c r="AC4195" t="s">
        <v>310</v>
      </c>
      <c r="AD4195">
        <v>9</v>
      </c>
      <c r="AE4195" t="s">
        <v>1416</v>
      </c>
      <c r="AF4195">
        <v>20000000</v>
      </c>
      <c r="AG4195" t="s">
        <v>310</v>
      </c>
      <c r="AH4195">
        <f>SUM((MID(Dyno_Data[[#This Row],[Team]],4,5))+(Dyno_Data[[#This Row],[Match]]/100))</f>
        <v>3986.75</v>
      </c>
      <c r="AI4195" s="76">
        <f>ROUND(SUM(IF(Dyno_Data[[#This Row],[AcqCenter]]&gt;0,Dyno_Data[[#This Row],[Time]]-SUMIFS(Dyno_Data[Time],Dyno_Data[Team],Dyno_Data[[#This Row],[Team]],Dyno_Data[RecordType],"StartMatch",Dyno_Data[Match],Dyno_Data[[#This Row],[Match]]),0)*86400),0)</f>
        <v>0</v>
      </c>
    </row>
    <row r="4196" spans="1:35" x14ac:dyDescent="0.3">
      <c r="A4196">
        <v>4189</v>
      </c>
      <c r="B4196" t="s">
        <v>362</v>
      </c>
      <c r="C4196">
        <v>75</v>
      </c>
      <c r="D4196" s="105">
        <v>45374.481403819445</v>
      </c>
      <c r="E4196" t="s">
        <v>312</v>
      </c>
      <c r="F4196" t="s">
        <v>309</v>
      </c>
      <c r="G4196">
        <v>0</v>
      </c>
      <c r="H4196" t="s">
        <v>143</v>
      </c>
      <c r="I4196">
        <v>2</v>
      </c>
      <c r="J4196">
        <v>-1</v>
      </c>
      <c r="K4196">
        <v>0</v>
      </c>
      <c r="L4196" t="s">
        <v>310</v>
      </c>
      <c r="M4196" t="s">
        <v>310</v>
      </c>
      <c r="N4196">
        <v>0</v>
      </c>
      <c r="O4196" t="s">
        <v>1393</v>
      </c>
      <c r="P4196" t="s">
        <v>310</v>
      </c>
      <c r="Q4196" t="s">
        <v>310</v>
      </c>
      <c r="R4196" t="s">
        <v>310</v>
      </c>
      <c r="S4196">
        <v>9</v>
      </c>
      <c r="T4196" t="s">
        <v>310</v>
      </c>
      <c r="U4196">
        <v>9</v>
      </c>
      <c r="V4196">
        <v>9</v>
      </c>
      <c r="W4196">
        <v>0</v>
      </c>
      <c r="X4196">
        <v>0</v>
      </c>
      <c r="Y4196">
        <v>0</v>
      </c>
      <c r="Z4196">
        <v>0</v>
      </c>
      <c r="AA4196">
        <v>9</v>
      </c>
      <c r="AB4196">
        <v>9</v>
      </c>
      <c r="AC4196" t="s">
        <v>310</v>
      </c>
      <c r="AD4196">
        <v>9</v>
      </c>
      <c r="AE4196" t="s">
        <v>1414</v>
      </c>
      <c r="AF4196">
        <v>2000</v>
      </c>
      <c r="AG4196" t="s">
        <v>310</v>
      </c>
      <c r="AH4196">
        <f>SUM((MID(Dyno_Data[[#This Row],[Team]],4,5))+(Dyno_Data[[#This Row],[Match]]/100))</f>
        <v>250.75</v>
      </c>
      <c r="AI4196" s="76">
        <f>ROUND(SUM(IF(Dyno_Data[[#This Row],[AcqCenter]]&gt;0,Dyno_Data[[#This Row],[Time]]-SUMIFS(Dyno_Data[Time],Dyno_Data[Team],Dyno_Data[[#This Row],[Team]],Dyno_Data[RecordType],"StartMatch",Dyno_Data[Match],Dyno_Data[[#This Row],[Match]]),0)*86400),0)</f>
        <v>12</v>
      </c>
    </row>
    <row r="4197" spans="1:35" x14ac:dyDescent="0.3">
      <c r="A4197">
        <v>4190</v>
      </c>
      <c r="B4197" t="s">
        <v>1306</v>
      </c>
      <c r="C4197">
        <v>75</v>
      </c>
      <c r="D4197" s="105">
        <v>45374.481418252311</v>
      </c>
      <c r="E4197" t="s">
        <v>312</v>
      </c>
      <c r="F4197" t="s">
        <v>309</v>
      </c>
      <c r="G4197">
        <v>0</v>
      </c>
      <c r="H4197" t="s">
        <v>315</v>
      </c>
      <c r="I4197">
        <v>0</v>
      </c>
      <c r="J4197">
        <v>0</v>
      </c>
      <c r="K4197">
        <v>0</v>
      </c>
      <c r="L4197" t="s">
        <v>241</v>
      </c>
      <c r="M4197" t="s">
        <v>1398</v>
      </c>
      <c r="N4197">
        <v>1</v>
      </c>
      <c r="O4197" t="s">
        <v>319</v>
      </c>
      <c r="P4197" t="s">
        <v>310</v>
      </c>
      <c r="Q4197" t="s">
        <v>310</v>
      </c>
      <c r="R4197" t="s">
        <v>310</v>
      </c>
      <c r="S4197">
        <v>9</v>
      </c>
      <c r="T4197" t="s">
        <v>310</v>
      </c>
      <c r="U4197">
        <v>9</v>
      </c>
      <c r="V4197">
        <v>9</v>
      </c>
      <c r="W4197">
        <v>0</v>
      </c>
      <c r="X4197">
        <v>0</v>
      </c>
      <c r="Y4197">
        <v>0</v>
      </c>
      <c r="Z4197">
        <v>0</v>
      </c>
      <c r="AA4197">
        <v>9</v>
      </c>
      <c r="AB4197">
        <v>9</v>
      </c>
      <c r="AC4197" t="s">
        <v>310</v>
      </c>
      <c r="AD4197">
        <v>9</v>
      </c>
      <c r="AE4197" t="s">
        <v>1416</v>
      </c>
      <c r="AF4197">
        <v>30000000</v>
      </c>
      <c r="AG4197" t="s">
        <v>310</v>
      </c>
      <c r="AH4197">
        <f>SUM((MID(Dyno_Data[[#This Row],[Team]],4,5))+(Dyno_Data[[#This Row],[Match]]/100))</f>
        <v>3986.75</v>
      </c>
      <c r="AI4197" s="76">
        <f>ROUND(SUM(IF(Dyno_Data[[#This Row],[AcqCenter]]&gt;0,Dyno_Data[[#This Row],[Time]]-SUMIFS(Dyno_Data[Time],Dyno_Data[Team],Dyno_Data[[#This Row],[Team]],Dyno_Data[RecordType],"StartMatch",Dyno_Data[Match],Dyno_Data[[#This Row],[Match]]),0)*86400),0)</f>
        <v>0</v>
      </c>
    </row>
    <row r="4198" spans="1:35" x14ac:dyDescent="0.3">
      <c r="A4198">
        <v>4192</v>
      </c>
      <c r="B4198" t="s">
        <v>363</v>
      </c>
      <c r="C4198">
        <v>75</v>
      </c>
      <c r="D4198" s="105">
        <v>45374.481459641203</v>
      </c>
      <c r="E4198" t="s">
        <v>314</v>
      </c>
      <c r="F4198" t="s">
        <v>309</v>
      </c>
      <c r="G4198">
        <v>1</v>
      </c>
      <c r="H4198" t="s">
        <v>310</v>
      </c>
      <c r="I4198">
        <v>0</v>
      </c>
      <c r="J4198">
        <v>0</v>
      </c>
      <c r="K4198">
        <v>0</v>
      </c>
      <c r="L4198" t="s">
        <v>310</v>
      </c>
      <c r="M4198" t="s">
        <v>310</v>
      </c>
      <c r="N4198">
        <v>0</v>
      </c>
      <c r="O4198" t="s">
        <v>1395</v>
      </c>
      <c r="P4198" t="s">
        <v>240</v>
      </c>
      <c r="Q4198" t="s">
        <v>1399</v>
      </c>
      <c r="R4198" t="s">
        <v>310</v>
      </c>
      <c r="S4198">
        <v>9</v>
      </c>
      <c r="T4198" t="s">
        <v>310</v>
      </c>
      <c r="U4198">
        <v>9</v>
      </c>
      <c r="V4198">
        <v>9</v>
      </c>
      <c r="W4198">
        <v>0</v>
      </c>
      <c r="X4198">
        <v>0</v>
      </c>
      <c r="Y4198">
        <v>0</v>
      </c>
      <c r="Z4198">
        <v>0</v>
      </c>
      <c r="AA4198">
        <v>9</v>
      </c>
      <c r="AB4198">
        <v>9</v>
      </c>
      <c r="AC4198" t="s">
        <v>310</v>
      </c>
      <c r="AD4198">
        <v>9</v>
      </c>
      <c r="AE4198" t="s">
        <v>1412</v>
      </c>
      <c r="AF4198">
        <v>20000000</v>
      </c>
      <c r="AG4198" t="s">
        <v>310</v>
      </c>
      <c r="AH4198">
        <f>SUM((MID(Dyno_Data[[#This Row],[Team]],4,5))+(Dyno_Data[[#This Row],[Match]]/100))</f>
        <v>2601.75</v>
      </c>
      <c r="AI4198" s="76">
        <f>ROUND(SUM(IF(Dyno_Data[[#This Row],[AcqCenter]]&gt;0,Dyno_Data[[#This Row],[Time]]-SUMIFS(Dyno_Data[Time],Dyno_Data[Team],Dyno_Data[[#This Row],[Team]],Dyno_Data[RecordType],"StartMatch",Dyno_Data[Match],Dyno_Data[[#This Row],[Match]]),0)*86400),0)</f>
        <v>0</v>
      </c>
    </row>
    <row r="4199" spans="1:35" x14ac:dyDescent="0.3">
      <c r="A4199">
        <v>4194</v>
      </c>
      <c r="B4199" t="s">
        <v>1306</v>
      </c>
      <c r="C4199">
        <v>75</v>
      </c>
      <c r="D4199" s="105">
        <v>45374.481460381947</v>
      </c>
      <c r="E4199" t="s">
        <v>314</v>
      </c>
      <c r="F4199" t="s">
        <v>309</v>
      </c>
      <c r="G4199">
        <v>1</v>
      </c>
      <c r="H4199" t="s">
        <v>310</v>
      </c>
      <c r="I4199">
        <v>0</v>
      </c>
      <c r="J4199">
        <v>0</v>
      </c>
      <c r="K4199">
        <v>0</v>
      </c>
      <c r="L4199" t="s">
        <v>310</v>
      </c>
      <c r="M4199" t="s">
        <v>310</v>
      </c>
      <c r="N4199">
        <v>0</v>
      </c>
      <c r="O4199" t="s">
        <v>319</v>
      </c>
      <c r="P4199" t="s">
        <v>1401</v>
      </c>
      <c r="Q4199" t="s">
        <v>1400</v>
      </c>
      <c r="R4199" t="s">
        <v>310</v>
      </c>
      <c r="S4199">
        <v>9</v>
      </c>
      <c r="T4199" t="s">
        <v>310</v>
      </c>
      <c r="U4199">
        <v>9</v>
      </c>
      <c r="V4199">
        <v>9</v>
      </c>
      <c r="W4199">
        <v>0</v>
      </c>
      <c r="X4199">
        <v>0</v>
      </c>
      <c r="Y4199">
        <v>0</v>
      </c>
      <c r="Z4199">
        <v>0</v>
      </c>
      <c r="AA4199">
        <v>9</v>
      </c>
      <c r="AB4199">
        <v>9</v>
      </c>
      <c r="AC4199" t="s">
        <v>310</v>
      </c>
      <c r="AD4199">
        <v>9</v>
      </c>
      <c r="AE4199" t="s">
        <v>1416</v>
      </c>
      <c r="AF4199">
        <v>30000000</v>
      </c>
      <c r="AG4199" t="s">
        <v>310</v>
      </c>
      <c r="AH4199">
        <f>SUM((MID(Dyno_Data[[#This Row],[Team]],4,5))+(Dyno_Data[[#This Row],[Match]]/100))</f>
        <v>3986.75</v>
      </c>
      <c r="AI4199" s="76">
        <f>ROUND(SUM(IF(Dyno_Data[[#This Row],[AcqCenter]]&gt;0,Dyno_Data[[#This Row],[Time]]-SUMIFS(Dyno_Data[Time],Dyno_Data[Team],Dyno_Data[[#This Row],[Team]],Dyno_Data[RecordType],"StartMatch",Dyno_Data[Match],Dyno_Data[[#This Row],[Match]]),0)*86400),0)</f>
        <v>0</v>
      </c>
    </row>
    <row r="4200" spans="1:35" x14ac:dyDescent="0.3">
      <c r="A4200">
        <v>4196</v>
      </c>
      <c r="B4200" t="s">
        <v>1290</v>
      </c>
      <c r="C4200">
        <v>75</v>
      </c>
      <c r="D4200" s="105">
        <v>45374.481464618053</v>
      </c>
      <c r="E4200" t="s">
        <v>314</v>
      </c>
      <c r="F4200" t="s">
        <v>309</v>
      </c>
      <c r="G4200">
        <v>0</v>
      </c>
      <c r="H4200" t="s">
        <v>310</v>
      </c>
      <c r="I4200">
        <v>0</v>
      </c>
      <c r="J4200">
        <v>0</v>
      </c>
      <c r="K4200">
        <v>0</v>
      </c>
      <c r="L4200" t="s">
        <v>310</v>
      </c>
      <c r="M4200" t="s">
        <v>310</v>
      </c>
      <c r="N4200">
        <v>0</v>
      </c>
      <c r="O4200" t="s">
        <v>1389</v>
      </c>
      <c r="P4200" t="s">
        <v>101</v>
      </c>
      <c r="Q4200" t="s">
        <v>1400</v>
      </c>
      <c r="R4200" t="s">
        <v>310</v>
      </c>
      <c r="S4200">
        <v>9</v>
      </c>
      <c r="T4200" t="s">
        <v>310</v>
      </c>
      <c r="U4200">
        <v>9</v>
      </c>
      <c r="V4200">
        <v>9</v>
      </c>
      <c r="W4200">
        <v>0</v>
      </c>
      <c r="X4200">
        <v>0</v>
      </c>
      <c r="Y4200">
        <v>0</v>
      </c>
      <c r="Z4200">
        <v>0</v>
      </c>
      <c r="AA4200">
        <v>9</v>
      </c>
      <c r="AB4200">
        <v>9</v>
      </c>
      <c r="AC4200" t="s">
        <v>310</v>
      </c>
      <c r="AD4200">
        <v>9</v>
      </c>
      <c r="AE4200" t="s">
        <v>1417</v>
      </c>
      <c r="AF4200">
        <v>0</v>
      </c>
      <c r="AG4200" t="s">
        <v>310</v>
      </c>
      <c r="AH4200">
        <f>SUM((MID(Dyno_Data[[#This Row],[Team]],4,5))+(Dyno_Data[[#This Row],[Match]]/100))</f>
        <v>5881.75</v>
      </c>
      <c r="AI4200" s="76">
        <f>ROUND(SUM(IF(Dyno_Data[[#This Row],[AcqCenter]]&gt;0,Dyno_Data[[#This Row],[Time]]-SUMIFS(Dyno_Data[Time],Dyno_Data[Team],Dyno_Data[[#This Row],[Team]],Dyno_Data[RecordType],"StartMatch",Dyno_Data[Match],Dyno_Data[[#This Row],[Match]]),0)*86400),0)</f>
        <v>0</v>
      </c>
    </row>
    <row r="4201" spans="1:35" x14ac:dyDescent="0.3">
      <c r="A4201">
        <v>4198</v>
      </c>
      <c r="B4201" t="s">
        <v>1276</v>
      </c>
      <c r="C4201">
        <v>75</v>
      </c>
      <c r="D4201" s="105">
        <v>45374.481466979167</v>
      </c>
      <c r="E4201" t="s">
        <v>314</v>
      </c>
      <c r="F4201" t="s">
        <v>309</v>
      </c>
      <c r="G4201">
        <v>1</v>
      </c>
      <c r="H4201" t="s">
        <v>310</v>
      </c>
      <c r="I4201">
        <v>0</v>
      </c>
      <c r="J4201">
        <v>0</v>
      </c>
      <c r="K4201">
        <v>0</v>
      </c>
      <c r="L4201" t="s">
        <v>310</v>
      </c>
      <c r="M4201" t="s">
        <v>310</v>
      </c>
      <c r="N4201">
        <v>0</v>
      </c>
      <c r="O4201" t="s">
        <v>311</v>
      </c>
      <c r="P4201" t="s">
        <v>320</v>
      </c>
      <c r="Q4201" t="s">
        <v>1399</v>
      </c>
      <c r="R4201" t="s">
        <v>310</v>
      </c>
      <c r="S4201">
        <v>9</v>
      </c>
      <c r="T4201" t="s">
        <v>310</v>
      </c>
      <c r="U4201">
        <v>9</v>
      </c>
      <c r="V4201">
        <v>9</v>
      </c>
      <c r="W4201">
        <v>0</v>
      </c>
      <c r="X4201">
        <v>0</v>
      </c>
      <c r="Y4201">
        <v>0</v>
      </c>
      <c r="Z4201">
        <v>0</v>
      </c>
      <c r="AA4201">
        <v>9</v>
      </c>
      <c r="AB4201">
        <v>9</v>
      </c>
      <c r="AC4201" t="s">
        <v>310</v>
      </c>
      <c r="AD4201">
        <v>9</v>
      </c>
      <c r="AE4201" t="s">
        <v>1418</v>
      </c>
      <c r="AF4201">
        <v>0</v>
      </c>
      <c r="AG4201" t="s">
        <v>310</v>
      </c>
      <c r="AH4201">
        <f>SUM((MID(Dyno_Data[[#This Row],[Team]],4,5))+(Dyno_Data[[#This Row],[Match]]/100))</f>
        <v>229.75</v>
      </c>
      <c r="AI4201" s="76">
        <f>ROUND(SUM(IF(Dyno_Data[[#This Row],[AcqCenter]]&gt;0,Dyno_Data[[#This Row],[Time]]-SUMIFS(Dyno_Data[Time],Dyno_Data[Team],Dyno_Data[[#This Row],[Team]],Dyno_Data[RecordType],"StartMatch",Dyno_Data[Match],Dyno_Data[[#This Row],[Match]]),0)*86400),0)</f>
        <v>0</v>
      </c>
    </row>
    <row r="4202" spans="1:35" x14ac:dyDescent="0.3">
      <c r="A4202">
        <v>4200</v>
      </c>
      <c r="B4202" t="s">
        <v>362</v>
      </c>
      <c r="C4202">
        <v>75</v>
      </c>
      <c r="D4202" s="105">
        <v>45374.481469293984</v>
      </c>
      <c r="E4202" t="s">
        <v>314</v>
      </c>
      <c r="F4202" t="s">
        <v>309</v>
      </c>
      <c r="G4202">
        <v>0</v>
      </c>
      <c r="H4202" t="s">
        <v>310</v>
      </c>
      <c r="I4202">
        <v>0</v>
      </c>
      <c r="J4202">
        <v>0</v>
      </c>
      <c r="K4202">
        <v>0</v>
      </c>
      <c r="L4202" t="s">
        <v>310</v>
      </c>
      <c r="M4202" t="s">
        <v>310</v>
      </c>
      <c r="N4202">
        <v>0</v>
      </c>
      <c r="O4202" t="s">
        <v>1393</v>
      </c>
      <c r="P4202" t="s">
        <v>320</v>
      </c>
      <c r="Q4202" t="s">
        <v>1400</v>
      </c>
      <c r="R4202" t="s">
        <v>310</v>
      </c>
      <c r="S4202">
        <v>9</v>
      </c>
      <c r="T4202" t="s">
        <v>310</v>
      </c>
      <c r="U4202">
        <v>9</v>
      </c>
      <c r="V4202">
        <v>9</v>
      </c>
      <c r="W4202">
        <v>0</v>
      </c>
      <c r="X4202">
        <v>0</v>
      </c>
      <c r="Y4202">
        <v>0</v>
      </c>
      <c r="Z4202">
        <v>0</v>
      </c>
      <c r="AA4202">
        <v>9</v>
      </c>
      <c r="AB4202">
        <v>9</v>
      </c>
      <c r="AC4202" t="s">
        <v>310</v>
      </c>
      <c r="AD4202">
        <v>9</v>
      </c>
      <c r="AE4202" t="s">
        <v>1414</v>
      </c>
      <c r="AF4202">
        <v>2000</v>
      </c>
      <c r="AG4202" t="s">
        <v>310</v>
      </c>
      <c r="AH4202">
        <f>SUM((MID(Dyno_Data[[#This Row],[Team]],4,5))+(Dyno_Data[[#This Row],[Match]]/100))</f>
        <v>250.75</v>
      </c>
      <c r="AI4202" s="76">
        <f>ROUND(SUM(IF(Dyno_Data[[#This Row],[AcqCenter]]&gt;0,Dyno_Data[[#This Row],[Time]]-SUMIFS(Dyno_Data[Time],Dyno_Data[Team],Dyno_Data[[#This Row],[Team]],Dyno_Data[RecordType],"StartMatch",Dyno_Data[Match],Dyno_Data[[#This Row],[Match]]),0)*86400),0)</f>
        <v>0</v>
      </c>
    </row>
    <row r="4203" spans="1:35" x14ac:dyDescent="0.3">
      <c r="A4203">
        <v>4201</v>
      </c>
      <c r="B4203" t="s">
        <v>363</v>
      </c>
      <c r="C4203">
        <v>75</v>
      </c>
      <c r="D4203" s="105">
        <v>45374.481552314814</v>
      </c>
      <c r="E4203" t="s">
        <v>312</v>
      </c>
      <c r="F4203" t="s">
        <v>1402</v>
      </c>
      <c r="G4203">
        <v>0</v>
      </c>
      <c r="H4203" t="s">
        <v>315</v>
      </c>
      <c r="I4203">
        <v>0</v>
      </c>
      <c r="J4203">
        <v>0</v>
      </c>
      <c r="K4203">
        <v>0</v>
      </c>
      <c r="L4203" t="s">
        <v>241</v>
      </c>
      <c r="M4203" t="s">
        <v>1398</v>
      </c>
      <c r="N4203">
        <v>0</v>
      </c>
      <c r="O4203" t="s">
        <v>1395</v>
      </c>
      <c r="P4203" t="s">
        <v>310</v>
      </c>
      <c r="Q4203" t="s">
        <v>310</v>
      </c>
      <c r="R4203" t="s">
        <v>310</v>
      </c>
      <c r="S4203">
        <v>9</v>
      </c>
      <c r="T4203" t="s">
        <v>310</v>
      </c>
      <c r="U4203">
        <v>9</v>
      </c>
      <c r="V4203">
        <v>9</v>
      </c>
      <c r="W4203">
        <v>0</v>
      </c>
      <c r="X4203">
        <v>0</v>
      </c>
      <c r="Y4203">
        <v>0</v>
      </c>
      <c r="Z4203">
        <v>0</v>
      </c>
      <c r="AA4203">
        <v>9</v>
      </c>
      <c r="AB4203">
        <v>9</v>
      </c>
      <c r="AC4203" t="s">
        <v>310</v>
      </c>
      <c r="AD4203">
        <v>9</v>
      </c>
      <c r="AE4203" t="s">
        <v>1412</v>
      </c>
      <c r="AF4203">
        <v>30000000</v>
      </c>
      <c r="AG4203" t="s">
        <v>310</v>
      </c>
      <c r="AH4203">
        <f>SUM((MID(Dyno_Data[[#This Row],[Team]],4,5))+(Dyno_Data[[#This Row],[Match]]/100))</f>
        <v>2601.75</v>
      </c>
      <c r="AI4203" s="76">
        <f>ROUND(SUM(IF(Dyno_Data[[#This Row],[AcqCenter]]&gt;0,Dyno_Data[[#This Row],[Time]]-SUMIFS(Dyno_Data[Time],Dyno_Data[Team],Dyno_Data[[#This Row],[Team]],Dyno_Data[RecordType],"StartMatch",Dyno_Data[Match],Dyno_Data[[#This Row],[Match]]),0)*86400),0)</f>
        <v>0</v>
      </c>
    </row>
    <row r="4204" spans="1:35" x14ac:dyDescent="0.3">
      <c r="A4204">
        <v>4203</v>
      </c>
      <c r="B4204" t="s">
        <v>1283</v>
      </c>
      <c r="C4204">
        <v>75</v>
      </c>
      <c r="D4204" s="105">
        <v>45374.481555208331</v>
      </c>
      <c r="E4204" t="s">
        <v>314</v>
      </c>
      <c r="F4204" t="s">
        <v>309</v>
      </c>
      <c r="G4204">
        <v>0</v>
      </c>
      <c r="H4204" t="s">
        <v>310</v>
      </c>
      <c r="I4204">
        <v>0</v>
      </c>
      <c r="J4204">
        <v>0</v>
      </c>
      <c r="K4204">
        <v>0</v>
      </c>
      <c r="L4204" t="s">
        <v>310</v>
      </c>
      <c r="M4204" t="s">
        <v>310</v>
      </c>
      <c r="N4204">
        <v>0</v>
      </c>
      <c r="O4204" t="s">
        <v>1391</v>
      </c>
      <c r="P4204" t="s">
        <v>320</v>
      </c>
      <c r="Q4204" t="s">
        <v>1400</v>
      </c>
      <c r="R4204" t="s">
        <v>310</v>
      </c>
      <c r="S4204">
        <v>9</v>
      </c>
      <c r="T4204" t="s">
        <v>310</v>
      </c>
      <c r="U4204">
        <v>9</v>
      </c>
      <c r="V4204">
        <v>9</v>
      </c>
      <c r="W4204">
        <v>0</v>
      </c>
      <c r="X4204">
        <v>0</v>
      </c>
      <c r="Y4204">
        <v>0</v>
      </c>
      <c r="Z4204">
        <v>0</v>
      </c>
      <c r="AA4204">
        <v>9</v>
      </c>
      <c r="AB4204">
        <v>9</v>
      </c>
      <c r="AC4204" t="s">
        <v>310</v>
      </c>
      <c r="AD4204">
        <v>9</v>
      </c>
      <c r="AE4204" t="s">
        <v>1413</v>
      </c>
      <c r="AF4204">
        <v>0</v>
      </c>
      <c r="AG4204" t="s">
        <v>310</v>
      </c>
      <c r="AH4204">
        <f>SUM((MID(Dyno_Data[[#This Row],[Team]],4,5))+(Dyno_Data[[#This Row],[Match]]/100))</f>
        <v>1601.75</v>
      </c>
      <c r="AI4204" s="76">
        <f>ROUND(SUM(IF(Dyno_Data[[#This Row],[AcqCenter]]&gt;0,Dyno_Data[[#This Row],[Time]]-SUMIFS(Dyno_Data[Time],Dyno_Data[Team],Dyno_Data[[#This Row],[Team]],Dyno_Data[RecordType],"StartMatch",Dyno_Data[Match],Dyno_Data[[#This Row],[Match]]),0)*86400),0)</f>
        <v>0</v>
      </c>
    </row>
    <row r="4205" spans="1:35" x14ac:dyDescent="0.3">
      <c r="A4205">
        <v>4204</v>
      </c>
      <c r="B4205" t="s">
        <v>1283</v>
      </c>
      <c r="C4205">
        <v>75</v>
      </c>
      <c r="D4205" s="105">
        <v>45374.481574884259</v>
      </c>
      <c r="E4205" t="s">
        <v>312</v>
      </c>
      <c r="F4205" t="s">
        <v>1402</v>
      </c>
      <c r="G4205">
        <v>0</v>
      </c>
      <c r="H4205" t="s">
        <v>1397</v>
      </c>
      <c r="I4205">
        <v>0</v>
      </c>
      <c r="J4205">
        <v>0</v>
      </c>
      <c r="K4205">
        <v>0</v>
      </c>
      <c r="L4205" t="s">
        <v>241</v>
      </c>
      <c r="M4205" t="s">
        <v>1398</v>
      </c>
      <c r="N4205">
        <v>0</v>
      </c>
      <c r="O4205" t="s">
        <v>1391</v>
      </c>
      <c r="P4205" t="s">
        <v>310</v>
      </c>
      <c r="Q4205" t="s">
        <v>310</v>
      </c>
      <c r="R4205" t="s">
        <v>310</v>
      </c>
      <c r="S4205">
        <v>9</v>
      </c>
      <c r="T4205" t="s">
        <v>310</v>
      </c>
      <c r="U4205">
        <v>9</v>
      </c>
      <c r="V4205">
        <v>9</v>
      </c>
      <c r="W4205">
        <v>0</v>
      </c>
      <c r="X4205">
        <v>0</v>
      </c>
      <c r="Y4205">
        <v>0</v>
      </c>
      <c r="Z4205">
        <v>0</v>
      </c>
      <c r="AA4205">
        <v>9</v>
      </c>
      <c r="AB4205">
        <v>9</v>
      </c>
      <c r="AC4205" t="s">
        <v>310</v>
      </c>
      <c r="AD4205">
        <v>9</v>
      </c>
      <c r="AE4205" t="s">
        <v>1413</v>
      </c>
      <c r="AF4205">
        <v>0</v>
      </c>
      <c r="AG4205" t="s">
        <v>310</v>
      </c>
      <c r="AH4205">
        <f>SUM((MID(Dyno_Data[[#This Row],[Team]],4,5))+(Dyno_Data[[#This Row],[Match]]/100))</f>
        <v>1601.75</v>
      </c>
      <c r="AI4205" s="76">
        <f>ROUND(SUM(IF(Dyno_Data[[#This Row],[AcqCenter]]&gt;0,Dyno_Data[[#This Row],[Time]]-SUMIFS(Dyno_Data[Time],Dyno_Data[Team],Dyno_Data[[#This Row],[Team]],Dyno_Data[RecordType],"StartMatch",Dyno_Data[Match],Dyno_Data[[#This Row],[Match]]),0)*86400),0)</f>
        <v>0</v>
      </c>
    </row>
    <row r="4206" spans="1:35" x14ac:dyDescent="0.3">
      <c r="A4206">
        <v>4205</v>
      </c>
      <c r="B4206" t="s">
        <v>362</v>
      </c>
      <c r="C4206">
        <v>75</v>
      </c>
      <c r="D4206" s="105">
        <v>45374.48157916667</v>
      </c>
      <c r="E4206" t="s">
        <v>312</v>
      </c>
      <c r="F4206" t="s">
        <v>1402</v>
      </c>
      <c r="G4206">
        <v>0</v>
      </c>
      <c r="H4206" t="s">
        <v>315</v>
      </c>
      <c r="I4206">
        <v>0</v>
      </c>
      <c r="J4206">
        <v>0</v>
      </c>
      <c r="K4206">
        <v>0</v>
      </c>
      <c r="L4206" t="s">
        <v>242</v>
      </c>
      <c r="M4206" t="s">
        <v>241</v>
      </c>
      <c r="N4206">
        <v>0</v>
      </c>
      <c r="O4206" t="s">
        <v>1393</v>
      </c>
      <c r="P4206" t="s">
        <v>310</v>
      </c>
      <c r="Q4206" t="s">
        <v>310</v>
      </c>
      <c r="R4206" t="s">
        <v>310</v>
      </c>
      <c r="S4206">
        <v>9</v>
      </c>
      <c r="T4206" t="s">
        <v>310</v>
      </c>
      <c r="U4206">
        <v>9</v>
      </c>
      <c r="V4206">
        <v>9</v>
      </c>
      <c r="W4206">
        <v>0</v>
      </c>
      <c r="X4206">
        <v>0</v>
      </c>
      <c r="Y4206">
        <v>0</v>
      </c>
      <c r="Z4206">
        <v>0</v>
      </c>
      <c r="AA4206">
        <v>9</v>
      </c>
      <c r="AB4206">
        <v>9</v>
      </c>
      <c r="AC4206" t="s">
        <v>310</v>
      </c>
      <c r="AD4206">
        <v>9</v>
      </c>
      <c r="AE4206" t="s">
        <v>1414</v>
      </c>
      <c r="AF4206">
        <v>10002000</v>
      </c>
      <c r="AG4206" t="s">
        <v>310</v>
      </c>
      <c r="AH4206">
        <f>SUM((MID(Dyno_Data[[#This Row],[Team]],4,5))+(Dyno_Data[[#This Row],[Match]]/100))</f>
        <v>250.75</v>
      </c>
      <c r="AI4206" s="76">
        <f>ROUND(SUM(IF(Dyno_Data[[#This Row],[AcqCenter]]&gt;0,Dyno_Data[[#This Row],[Time]]-SUMIFS(Dyno_Data[Time],Dyno_Data[Team],Dyno_Data[[#This Row],[Team]],Dyno_Data[RecordType],"StartMatch",Dyno_Data[Match],Dyno_Data[[#This Row],[Match]]),0)*86400),0)</f>
        <v>0</v>
      </c>
    </row>
    <row r="4207" spans="1:35" x14ac:dyDescent="0.3">
      <c r="A4207">
        <v>4206</v>
      </c>
      <c r="B4207" t="s">
        <v>363</v>
      </c>
      <c r="C4207">
        <v>75</v>
      </c>
      <c r="D4207" s="105">
        <v>45374.481612418982</v>
      </c>
      <c r="E4207" t="s">
        <v>312</v>
      </c>
      <c r="F4207" t="s">
        <v>1402</v>
      </c>
      <c r="G4207">
        <v>0</v>
      </c>
      <c r="H4207" t="s">
        <v>315</v>
      </c>
      <c r="I4207">
        <v>0</v>
      </c>
      <c r="J4207">
        <v>0</v>
      </c>
      <c r="K4207">
        <v>0</v>
      </c>
      <c r="L4207" t="s">
        <v>241</v>
      </c>
      <c r="M4207" t="s">
        <v>1398</v>
      </c>
      <c r="N4207">
        <v>0</v>
      </c>
      <c r="O4207" t="s">
        <v>1395</v>
      </c>
      <c r="P4207" t="s">
        <v>310</v>
      </c>
      <c r="Q4207" t="s">
        <v>310</v>
      </c>
      <c r="R4207" t="s">
        <v>310</v>
      </c>
      <c r="S4207">
        <v>9</v>
      </c>
      <c r="T4207" t="s">
        <v>310</v>
      </c>
      <c r="U4207">
        <v>9</v>
      </c>
      <c r="V4207">
        <v>9</v>
      </c>
      <c r="W4207">
        <v>0</v>
      </c>
      <c r="X4207">
        <v>0</v>
      </c>
      <c r="Y4207">
        <v>0</v>
      </c>
      <c r="Z4207">
        <v>0</v>
      </c>
      <c r="AA4207">
        <v>9</v>
      </c>
      <c r="AB4207">
        <v>9</v>
      </c>
      <c r="AC4207" t="s">
        <v>310</v>
      </c>
      <c r="AD4207">
        <v>9</v>
      </c>
      <c r="AE4207" t="s">
        <v>1412</v>
      </c>
      <c r="AF4207">
        <v>40000000</v>
      </c>
      <c r="AG4207" t="s">
        <v>310</v>
      </c>
      <c r="AH4207">
        <f>SUM((MID(Dyno_Data[[#This Row],[Team]],4,5))+(Dyno_Data[[#This Row],[Match]]/100))</f>
        <v>2601.75</v>
      </c>
      <c r="AI4207" s="76">
        <f>ROUND(SUM(IF(Dyno_Data[[#This Row],[AcqCenter]]&gt;0,Dyno_Data[[#This Row],[Time]]-SUMIFS(Dyno_Data[Time],Dyno_Data[Team],Dyno_Data[[#This Row],[Team]],Dyno_Data[RecordType],"StartMatch",Dyno_Data[Match],Dyno_Data[[#This Row],[Match]]),0)*86400),0)</f>
        <v>0</v>
      </c>
    </row>
    <row r="4208" spans="1:35" x14ac:dyDescent="0.3">
      <c r="A4208">
        <v>4207</v>
      </c>
      <c r="B4208" t="s">
        <v>362</v>
      </c>
      <c r="C4208">
        <v>75</v>
      </c>
      <c r="D4208" s="105">
        <v>45374.481615277778</v>
      </c>
      <c r="E4208" t="s">
        <v>312</v>
      </c>
      <c r="F4208" t="s">
        <v>1402</v>
      </c>
      <c r="G4208">
        <v>0</v>
      </c>
      <c r="H4208" t="s">
        <v>315</v>
      </c>
      <c r="I4208">
        <v>0</v>
      </c>
      <c r="J4208">
        <v>0</v>
      </c>
      <c r="K4208">
        <v>0</v>
      </c>
      <c r="L4208" t="s">
        <v>242</v>
      </c>
      <c r="M4208" t="s">
        <v>241</v>
      </c>
      <c r="N4208">
        <v>0</v>
      </c>
      <c r="O4208" t="s">
        <v>1393</v>
      </c>
      <c r="P4208" t="s">
        <v>310</v>
      </c>
      <c r="Q4208" t="s">
        <v>310</v>
      </c>
      <c r="R4208" t="s">
        <v>310</v>
      </c>
      <c r="S4208">
        <v>9</v>
      </c>
      <c r="T4208" t="s">
        <v>310</v>
      </c>
      <c r="U4208">
        <v>9</v>
      </c>
      <c r="V4208">
        <v>9</v>
      </c>
      <c r="W4208">
        <v>0</v>
      </c>
      <c r="X4208">
        <v>0</v>
      </c>
      <c r="Y4208">
        <v>0</v>
      </c>
      <c r="Z4208">
        <v>0</v>
      </c>
      <c r="AA4208">
        <v>9</v>
      </c>
      <c r="AB4208">
        <v>9</v>
      </c>
      <c r="AC4208" t="s">
        <v>310</v>
      </c>
      <c r="AD4208">
        <v>9</v>
      </c>
      <c r="AE4208" t="s">
        <v>1414</v>
      </c>
      <c r="AF4208">
        <v>20002000</v>
      </c>
      <c r="AG4208" t="s">
        <v>310</v>
      </c>
      <c r="AH4208">
        <f>SUM((MID(Dyno_Data[[#This Row],[Team]],4,5))+(Dyno_Data[[#This Row],[Match]]/100))</f>
        <v>250.75</v>
      </c>
      <c r="AI4208" s="76">
        <f>ROUND(SUM(IF(Dyno_Data[[#This Row],[AcqCenter]]&gt;0,Dyno_Data[[#This Row],[Time]]-SUMIFS(Dyno_Data[Time],Dyno_Data[Team],Dyno_Data[[#This Row],[Team]],Dyno_Data[RecordType],"StartMatch",Dyno_Data[Match],Dyno_Data[[#This Row],[Match]]),0)*86400),0)</f>
        <v>0</v>
      </c>
    </row>
    <row r="4209" spans="1:35" x14ac:dyDescent="0.3">
      <c r="A4209">
        <v>4208</v>
      </c>
      <c r="B4209" t="s">
        <v>1290</v>
      </c>
      <c r="C4209">
        <v>75</v>
      </c>
      <c r="D4209" s="105">
        <v>45374.48162353009</v>
      </c>
      <c r="E4209" t="s">
        <v>1403</v>
      </c>
      <c r="F4209" t="s">
        <v>1402</v>
      </c>
      <c r="G4209">
        <v>0</v>
      </c>
      <c r="H4209" t="s">
        <v>310</v>
      </c>
      <c r="I4209">
        <v>0</v>
      </c>
      <c r="J4209">
        <v>0</v>
      </c>
      <c r="K4209">
        <v>0</v>
      </c>
      <c r="L4209" t="s">
        <v>310</v>
      </c>
      <c r="M4209" t="s">
        <v>310</v>
      </c>
      <c r="N4209">
        <v>0</v>
      </c>
      <c r="O4209" t="s">
        <v>1389</v>
      </c>
      <c r="P4209" t="s">
        <v>310</v>
      </c>
      <c r="Q4209" t="s">
        <v>310</v>
      </c>
      <c r="R4209" t="s">
        <v>310</v>
      </c>
      <c r="S4209">
        <v>9</v>
      </c>
      <c r="T4209" t="s">
        <v>310</v>
      </c>
      <c r="U4209">
        <v>9</v>
      </c>
      <c r="V4209">
        <v>9</v>
      </c>
      <c r="W4209">
        <v>0</v>
      </c>
      <c r="X4209">
        <v>0</v>
      </c>
      <c r="Y4209">
        <v>0</v>
      </c>
      <c r="Z4209">
        <v>0</v>
      </c>
      <c r="AA4209">
        <v>9</v>
      </c>
      <c r="AB4209">
        <v>9</v>
      </c>
      <c r="AC4209" t="s">
        <v>310</v>
      </c>
      <c r="AD4209">
        <v>9</v>
      </c>
      <c r="AE4209" t="s">
        <v>1417</v>
      </c>
      <c r="AF4209">
        <v>20002000</v>
      </c>
      <c r="AG4209" t="s">
        <v>249</v>
      </c>
      <c r="AH4209">
        <f>SUM((MID(Dyno_Data[[#This Row],[Team]],4,5))+(Dyno_Data[[#This Row],[Match]]/100))</f>
        <v>5881.75</v>
      </c>
      <c r="AI4209" s="76">
        <f>ROUND(SUM(IF(Dyno_Data[[#This Row],[AcqCenter]]&gt;0,Dyno_Data[[#This Row],[Time]]-SUMIFS(Dyno_Data[Time],Dyno_Data[Team],Dyno_Data[[#This Row],[Team]],Dyno_Data[RecordType],"StartMatch",Dyno_Data[Match],Dyno_Data[[#This Row],[Match]]),0)*86400),0)</f>
        <v>0</v>
      </c>
    </row>
    <row r="4210" spans="1:35" x14ac:dyDescent="0.3">
      <c r="A4210">
        <v>4209</v>
      </c>
      <c r="B4210" t="s">
        <v>1306</v>
      </c>
      <c r="C4210">
        <v>75</v>
      </c>
      <c r="D4210" s="105">
        <v>45374.481646064814</v>
      </c>
      <c r="E4210" t="s">
        <v>312</v>
      </c>
      <c r="F4210" t="s">
        <v>1402</v>
      </c>
      <c r="G4210">
        <v>0</v>
      </c>
      <c r="H4210" t="s">
        <v>315</v>
      </c>
      <c r="I4210">
        <v>0</v>
      </c>
      <c r="J4210">
        <v>0</v>
      </c>
      <c r="K4210">
        <v>0</v>
      </c>
      <c r="L4210" t="s">
        <v>241</v>
      </c>
      <c r="M4210" t="s">
        <v>1398</v>
      </c>
      <c r="N4210">
        <v>0</v>
      </c>
      <c r="O4210" t="s">
        <v>319</v>
      </c>
      <c r="P4210" t="s">
        <v>310</v>
      </c>
      <c r="Q4210" t="s">
        <v>310</v>
      </c>
      <c r="R4210" t="s">
        <v>310</v>
      </c>
      <c r="S4210">
        <v>9</v>
      </c>
      <c r="T4210" t="s">
        <v>310</v>
      </c>
      <c r="U4210">
        <v>9</v>
      </c>
      <c r="V4210">
        <v>9</v>
      </c>
      <c r="W4210">
        <v>0</v>
      </c>
      <c r="X4210">
        <v>0</v>
      </c>
      <c r="Y4210">
        <v>0</v>
      </c>
      <c r="Z4210">
        <v>0</v>
      </c>
      <c r="AA4210">
        <v>9</v>
      </c>
      <c r="AB4210">
        <v>9</v>
      </c>
      <c r="AC4210" t="s">
        <v>310</v>
      </c>
      <c r="AD4210">
        <v>9</v>
      </c>
      <c r="AE4210" t="s">
        <v>1416</v>
      </c>
      <c r="AF4210">
        <v>40000000</v>
      </c>
      <c r="AG4210" t="s">
        <v>310</v>
      </c>
      <c r="AH4210">
        <f>SUM((MID(Dyno_Data[[#This Row],[Team]],4,5))+(Dyno_Data[[#This Row],[Match]]/100))</f>
        <v>3986.75</v>
      </c>
      <c r="AI4210" s="76">
        <f>ROUND(SUM(IF(Dyno_Data[[#This Row],[AcqCenter]]&gt;0,Dyno_Data[[#This Row],[Time]]-SUMIFS(Dyno_Data[Time],Dyno_Data[Team],Dyno_Data[[#This Row],[Team]],Dyno_Data[RecordType],"StartMatch",Dyno_Data[Match],Dyno_Data[[#This Row],[Match]]),0)*86400),0)</f>
        <v>0</v>
      </c>
    </row>
    <row r="4211" spans="1:35" x14ac:dyDescent="0.3">
      <c r="A4211">
        <v>4210</v>
      </c>
      <c r="B4211" t="s">
        <v>363</v>
      </c>
      <c r="C4211">
        <v>75</v>
      </c>
      <c r="D4211" s="105">
        <v>45374.481725150465</v>
      </c>
      <c r="E4211" t="s">
        <v>312</v>
      </c>
      <c r="F4211" t="s">
        <v>1402</v>
      </c>
      <c r="G4211">
        <v>0</v>
      </c>
      <c r="H4211" t="s">
        <v>315</v>
      </c>
      <c r="I4211">
        <v>0</v>
      </c>
      <c r="J4211">
        <v>0</v>
      </c>
      <c r="K4211">
        <v>0</v>
      </c>
      <c r="L4211" t="s">
        <v>242</v>
      </c>
      <c r="M4211" t="s">
        <v>1398</v>
      </c>
      <c r="N4211">
        <v>0</v>
      </c>
      <c r="O4211" t="s">
        <v>1395</v>
      </c>
      <c r="P4211" t="s">
        <v>310</v>
      </c>
      <c r="Q4211" t="s">
        <v>310</v>
      </c>
      <c r="R4211" t="s">
        <v>310</v>
      </c>
      <c r="S4211">
        <v>9</v>
      </c>
      <c r="T4211" t="s">
        <v>310</v>
      </c>
      <c r="U4211">
        <v>9</v>
      </c>
      <c r="V4211">
        <v>9</v>
      </c>
      <c r="W4211">
        <v>0</v>
      </c>
      <c r="X4211">
        <v>0</v>
      </c>
      <c r="Y4211">
        <v>0</v>
      </c>
      <c r="Z4211">
        <v>0</v>
      </c>
      <c r="AA4211">
        <v>9</v>
      </c>
      <c r="AB4211">
        <v>9</v>
      </c>
      <c r="AC4211" t="s">
        <v>310</v>
      </c>
      <c r="AD4211">
        <v>9</v>
      </c>
      <c r="AE4211" t="s">
        <v>1412</v>
      </c>
      <c r="AF4211">
        <v>50000000</v>
      </c>
      <c r="AG4211" t="s">
        <v>310</v>
      </c>
      <c r="AH4211">
        <f>SUM((MID(Dyno_Data[[#This Row],[Team]],4,5))+(Dyno_Data[[#This Row],[Match]]/100))</f>
        <v>2601.75</v>
      </c>
      <c r="AI4211" s="76">
        <f>ROUND(SUM(IF(Dyno_Data[[#This Row],[AcqCenter]]&gt;0,Dyno_Data[[#This Row],[Time]]-SUMIFS(Dyno_Data[Time],Dyno_Data[Team],Dyno_Data[[#This Row],[Team]],Dyno_Data[RecordType],"StartMatch",Dyno_Data[Match],Dyno_Data[[#This Row],[Match]]),0)*86400),0)</f>
        <v>0</v>
      </c>
    </row>
    <row r="4212" spans="1:35" x14ac:dyDescent="0.3">
      <c r="A4212">
        <v>4211</v>
      </c>
      <c r="B4212" t="s">
        <v>1290</v>
      </c>
      <c r="C4212">
        <v>75</v>
      </c>
      <c r="D4212" s="105">
        <v>45374.481775196757</v>
      </c>
      <c r="E4212" t="s">
        <v>312</v>
      </c>
      <c r="F4212" t="s">
        <v>1402</v>
      </c>
      <c r="G4212">
        <v>0</v>
      </c>
      <c r="H4212" t="s">
        <v>315</v>
      </c>
      <c r="I4212">
        <v>0</v>
      </c>
      <c r="J4212">
        <v>0</v>
      </c>
      <c r="K4212">
        <v>0</v>
      </c>
      <c r="L4212" t="s">
        <v>241</v>
      </c>
      <c r="M4212" t="s">
        <v>1398</v>
      </c>
      <c r="N4212">
        <v>1</v>
      </c>
      <c r="O4212" t="s">
        <v>1389</v>
      </c>
      <c r="P4212" t="s">
        <v>310</v>
      </c>
      <c r="Q4212" t="s">
        <v>310</v>
      </c>
      <c r="R4212" t="s">
        <v>310</v>
      </c>
      <c r="S4212">
        <v>9</v>
      </c>
      <c r="T4212" t="s">
        <v>310</v>
      </c>
      <c r="U4212">
        <v>9</v>
      </c>
      <c r="V4212">
        <v>9</v>
      </c>
      <c r="W4212">
        <v>0</v>
      </c>
      <c r="X4212">
        <v>0</v>
      </c>
      <c r="Y4212">
        <v>0</v>
      </c>
      <c r="Z4212">
        <v>0</v>
      </c>
      <c r="AA4212">
        <v>9</v>
      </c>
      <c r="AB4212">
        <v>9</v>
      </c>
      <c r="AC4212" t="s">
        <v>310</v>
      </c>
      <c r="AD4212">
        <v>9</v>
      </c>
      <c r="AE4212" t="s">
        <v>1417</v>
      </c>
      <c r="AF4212">
        <v>10000000</v>
      </c>
      <c r="AG4212" t="s">
        <v>310</v>
      </c>
      <c r="AH4212">
        <f>SUM((MID(Dyno_Data[[#This Row],[Team]],4,5))+(Dyno_Data[[#This Row],[Match]]/100))</f>
        <v>5881.75</v>
      </c>
      <c r="AI4212" s="76">
        <f>ROUND(SUM(IF(Dyno_Data[[#This Row],[AcqCenter]]&gt;0,Dyno_Data[[#This Row],[Time]]-SUMIFS(Dyno_Data[Time],Dyno_Data[Team],Dyno_Data[[#This Row],[Team]],Dyno_Data[RecordType],"StartMatch",Dyno_Data[Match],Dyno_Data[[#This Row],[Match]]),0)*86400),0)</f>
        <v>0</v>
      </c>
    </row>
    <row r="4213" spans="1:35" x14ac:dyDescent="0.3">
      <c r="A4213">
        <v>4212</v>
      </c>
      <c r="B4213" t="s">
        <v>1283</v>
      </c>
      <c r="C4213">
        <v>75</v>
      </c>
      <c r="D4213" s="105">
        <v>45374.481802118054</v>
      </c>
      <c r="E4213" t="s">
        <v>312</v>
      </c>
      <c r="F4213" t="s">
        <v>1402</v>
      </c>
      <c r="G4213">
        <v>0</v>
      </c>
      <c r="H4213" t="s">
        <v>315</v>
      </c>
      <c r="I4213">
        <v>0</v>
      </c>
      <c r="J4213">
        <v>0</v>
      </c>
      <c r="K4213">
        <v>0</v>
      </c>
      <c r="L4213" t="s">
        <v>241</v>
      </c>
      <c r="M4213" t="s">
        <v>1398</v>
      </c>
      <c r="N4213">
        <v>1</v>
      </c>
      <c r="O4213" t="s">
        <v>1391</v>
      </c>
      <c r="P4213" t="s">
        <v>310</v>
      </c>
      <c r="Q4213" t="s">
        <v>310</v>
      </c>
      <c r="R4213" t="s">
        <v>310</v>
      </c>
      <c r="S4213">
        <v>9</v>
      </c>
      <c r="T4213" t="s">
        <v>310</v>
      </c>
      <c r="U4213">
        <v>9</v>
      </c>
      <c r="V4213">
        <v>9</v>
      </c>
      <c r="W4213">
        <v>0</v>
      </c>
      <c r="X4213">
        <v>0</v>
      </c>
      <c r="Y4213">
        <v>0</v>
      </c>
      <c r="Z4213">
        <v>0</v>
      </c>
      <c r="AA4213">
        <v>9</v>
      </c>
      <c r="AB4213">
        <v>9</v>
      </c>
      <c r="AC4213" t="s">
        <v>310</v>
      </c>
      <c r="AD4213">
        <v>9</v>
      </c>
      <c r="AE4213" t="s">
        <v>1413</v>
      </c>
      <c r="AF4213">
        <v>10000000</v>
      </c>
      <c r="AG4213" t="s">
        <v>310</v>
      </c>
      <c r="AH4213">
        <f>SUM((MID(Dyno_Data[[#This Row],[Team]],4,5))+(Dyno_Data[[#This Row],[Match]]/100))</f>
        <v>1601.75</v>
      </c>
      <c r="AI4213" s="76">
        <f>ROUND(SUM(IF(Dyno_Data[[#This Row],[AcqCenter]]&gt;0,Dyno_Data[[#This Row],[Time]]-SUMIFS(Dyno_Data[Time],Dyno_Data[Team],Dyno_Data[[#This Row],[Team]],Dyno_Data[RecordType],"StartMatch",Dyno_Data[Match],Dyno_Data[[#This Row],[Match]]),0)*86400),0)</f>
        <v>0</v>
      </c>
    </row>
    <row r="4214" spans="1:35" x14ac:dyDescent="0.3">
      <c r="A4214">
        <v>4213</v>
      </c>
      <c r="B4214" t="s">
        <v>363</v>
      </c>
      <c r="C4214">
        <v>75</v>
      </c>
      <c r="D4214" s="105">
        <v>45374.481841817127</v>
      </c>
      <c r="E4214" t="s">
        <v>312</v>
      </c>
      <c r="F4214" t="s">
        <v>1402</v>
      </c>
      <c r="G4214">
        <v>0</v>
      </c>
      <c r="H4214" t="s">
        <v>315</v>
      </c>
      <c r="I4214">
        <v>0</v>
      </c>
      <c r="J4214">
        <v>0</v>
      </c>
      <c r="K4214">
        <v>0</v>
      </c>
      <c r="L4214" t="s">
        <v>241</v>
      </c>
      <c r="M4214" t="s">
        <v>1398</v>
      </c>
      <c r="N4214">
        <v>0</v>
      </c>
      <c r="O4214" t="s">
        <v>1395</v>
      </c>
      <c r="P4214" t="s">
        <v>310</v>
      </c>
      <c r="Q4214" t="s">
        <v>310</v>
      </c>
      <c r="R4214" t="s">
        <v>310</v>
      </c>
      <c r="S4214">
        <v>9</v>
      </c>
      <c r="T4214" t="s">
        <v>310</v>
      </c>
      <c r="U4214">
        <v>9</v>
      </c>
      <c r="V4214">
        <v>9</v>
      </c>
      <c r="W4214">
        <v>0</v>
      </c>
      <c r="X4214">
        <v>0</v>
      </c>
      <c r="Y4214">
        <v>0</v>
      </c>
      <c r="Z4214">
        <v>0</v>
      </c>
      <c r="AA4214">
        <v>9</v>
      </c>
      <c r="AB4214">
        <v>9</v>
      </c>
      <c r="AC4214" t="s">
        <v>310</v>
      </c>
      <c r="AD4214">
        <v>9</v>
      </c>
      <c r="AE4214" t="s">
        <v>1412</v>
      </c>
      <c r="AF4214">
        <v>60000000</v>
      </c>
      <c r="AG4214" t="s">
        <v>310</v>
      </c>
      <c r="AH4214">
        <f>SUM((MID(Dyno_Data[[#This Row],[Team]],4,5))+(Dyno_Data[[#This Row],[Match]]/100))</f>
        <v>2601.75</v>
      </c>
      <c r="AI4214" s="76">
        <f>ROUND(SUM(IF(Dyno_Data[[#This Row],[AcqCenter]]&gt;0,Dyno_Data[[#This Row],[Time]]-SUMIFS(Dyno_Data[Time],Dyno_Data[Team],Dyno_Data[[#This Row],[Team]],Dyno_Data[RecordType],"StartMatch",Dyno_Data[Match],Dyno_Data[[#This Row],[Match]]),0)*86400),0)</f>
        <v>0</v>
      </c>
    </row>
    <row r="4215" spans="1:35" x14ac:dyDescent="0.3">
      <c r="A4215">
        <v>4214</v>
      </c>
      <c r="B4215" t="s">
        <v>362</v>
      </c>
      <c r="C4215">
        <v>75</v>
      </c>
      <c r="D4215" s="105">
        <v>45374.481898148151</v>
      </c>
      <c r="E4215" t="s">
        <v>312</v>
      </c>
      <c r="F4215" t="s">
        <v>1402</v>
      </c>
      <c r="G4215">
        <v>0</v>
      </c>
      <c r="H4215" t="s">
        <v>315</v>
      </c>
      <c r="I4215">
        <v>0</v>
      </c>
      <c r="J4215">
        <v>0</v>
      </c>
      <c r="K4215">
        <v>0</v>
      </c>
      <c r="L4215" t="s">
        <v>240</v>
      </c>
      <c r="M4215" t="s">
        <v>1398</v>
      </c>
      <c r="N4215">
        <v>1</v>
      </c>
      <c r="O4215" t="s">
        <v>1393</v>
      </c>
      <c r="P4215" t="s">
        <v>310</v>
      </c>
      <c r="Q4215" t="s">
        <v>310</v>
      </c>
      <c r="R4215" t="s">
        <v>310</v>
      </c>
      <c r="S4215">
        <v>9</v>
      </c>
      <c r="T4215" t="s">
        <v>310</v>
      </c>
      <c r="U4215">
        <v>9</v>
      </c>
      <c r="V4215">
        <v>9</v>
      </c>
      <c r="W4215">
        <v>0</v>
      </c>
      <c r="X4215">
        <v>0</v>
      </c>
      <c r="Y4215">
        <v>0</v>
      </c>
      <c r="Z4215">
        <v>0</v>
      </c>
      <c r="AA4215">
        <v>9</v>
      </c>
      <c r="AB4215">
        <v>9</v>
      </c>
      <c r="AC4215" t="s">
        <v>310</v>
      </c>
      <c r="AD4215">
        <v>9</v>
      </c>
      <c r="AE4215" t="s">
        <v>1414</v>
      </c>
      <c r="AF4215">
        <v>30002000</v>
      </c>
      <c r="AG4215" t="s">
        <v>310</v>
      </c>
      <c r="AH4215">
        <f>SUM((MID(Dyno_Data[[#This Row],[Team]],4,5))+(Dyno_Data[[#This Row],[Match]]/100))</f>
        <v>250.75</v>
      </c>
      <c r="AI4215" s="76">
        <f>ROUND(SUM(IF(Dyno_Data[[#This Row],[AcqCenter]]&gt;0,Dyno_Data[[#This Row],[Time]]-SUMIFS(Dyno_Data[Time],Dyno_Data[Team],Dyno_Data[[#This Row],[Team]],Dyno_Data[RecordType],"StartMatch",Dyno_Data[Match],Dyno_Data[[#This Row],[Match]]),0)*86400),0)</f>
        <v>0</v>
      </c>
    </row>
    <row r="4216" spans="1:35" x14ac:dyDescent="0.3">
      <c r="A4216">
        <v>4215</v>
      </c>
      <c r="B4216" t="s">
        <v>363</v>
      </c>
      <c r="C4216">
        <v>75</v>
      </c>
      <c r="D4216" s="105">
        <v>45374.481938773148</v>
      </c>
      <c r="E4216" t="s">
        <v>312</v>
      </c>
      <c r="F4216" t="s">
        <v>1402</v>
      </c>
      <c r="G4216">
        <v>0</v>
      </c>
      <c r="H4216" t="s">
        <v>315</v>
      </c>
      <c r="I4216">
        <v>0</v>
      </c>
      <c r="J4216">
        <v>0</v>
      </c>
      <c r="K4216">
        <v>0</v>
      </c>
      <c r="L4216" t="s">
        <v>241</v>
      </c>
      <c r="M4216" t="s">
        <v>1398</v>
      </c>
      <c r="N4216">
        <v>0</v>
      </c>
      <c r="O4216" t="s">
        <v>1395</v>
      </c>
      <c r="P4216" t="s">
        <v>310</v>
      </c>
      <c r="Q4216" t="s">
        <v>310</v>
      </c>
      <c r="R4216" t="s">
        <v>310</v>
      </c>
      <c r="S4216">
        <v>9</v>
      </c>
      <c r="T4216" t="s">
        <v>310</v>
      </c>
      <c r="U4216">
        <v>9</v>
      </c>
      <c r="V4216">
        <v>9</v>
      </c>
      <c r="W4216">
        <v>0</v>
      </c>
      <c r="X4216">
        <v>0</v>
      </c>
      <c r="Y4216">
        <v>0</v>
      </c>
      <c r="Z4216">
        <v>0</v>
      </c>
      <c r="AA4216">
        <v>9</v>
      </c>
      <c r="AB4216">
        <v>9</v>
      </c>
      <c r="AC4216" t="s">
        <v>310</v>
      </c>
      <c r="AD4216">
        <v>9</v>
      </c>
      <c r="AE4216" t="s">
        <v>1412</v>
      </c>
      <c r="AF4216">
        <v>70000000</v>
      </c>
      <c r="AG4216" t="s">
        <v>310</v>
      </c>
      <c r="AH4216">
        <f>SUM((MID(Dyno_Data[[#This Row],[Team]],4,5))+(Dyno_Data[[#This Row],[Match]]/100))</f>
        <v>2601.75</v>
      </c>
      <c r="AI4216" s="76">
        <f>ROUND(SUM(IF(Dyno_Data[[#This Row],[AcqCenter]]&gt;0,Dyno_Data[[#This Row],[Time]]-SUMIFS(Dyno_Data[Time],Dyno_Data[Team],Dyno_Data[[#This Row],[Team]],Dyno_Data[RecordType],"StartMatch",Dyno_Data[Match],Dyno_Data[[#This Row],[Match]]),0)*86400),0)</f>
        <v>0</v>
      </c>
    </row>
    <row r="4217" spans="1:35" x14ac:dyDescent="0.3">
      <c r="A4217">
        <v>4216</v>
      </c>
      <c r="B4217" t="s">
        <v>362</v>
      </c>
      <c r="C4217">
        <v>75</v>
      </c>
      <c r="D4217" s="105">
        <v>45374.482008564817</v>
      </c>
      <c r="E4217" t="s">
        <v>312</v>
      </c>
      <c r="F4217" t="s">
        <v>1402</v>
      </c>
      <c r="G4217">
        <v>0</v>
      </c>
      <c r="H4217" t="s">
        <v>315</v>
      </c>
      <c r="I4217">
        <v>0</v>
      </c>
      <c r="J4217">
        <v>0</v>
      </c>
      <c r="K4217">
        <v>0</v>
      </c>
      <c r="L4217" t="s">
        <v>240</v>
      </c>
      <c r="M4217" t="s">
        <v>1398</v>
      </c>
      <c r="N4217">
        <v>0</v>
      </c>
      <c r="O4217" t="s">
        <v>1393</v>
      </c>
      <c r="P4217" t="s">
        <v>310</v>
      </c>
      <c r="Q4217" t="s">
        <v>310</v>
      </c>
      <c r="R4217" t="s">
        <v>310</v>
      </c>
      <c r="S4217">
        <v>9</v>
      </c>
      <c r="T4217" t="s">
        <v>310</v>
      </c>
      <c r="U4217">
        <v>9</v>
      </c>
      <c r="V4217">
        <v>9</v>
      </c>
      <c r="W4217">
        <v>0</v>
      </c>
      <c r="X4217">
        <v>0</v>
      </c>
      <c r="Y4217">
        <v>0</v>
      </c>
      <c r="Z4217">
        <v>0</v>
      </c>
      <c r="AA4217">
        <v>9</v>
      </c>
      <c r="AB4217">
        <v>9</v>
      </c>
      <c r="AC4217" t="s">
        <v>310</v>
      </c>
      <c r="AD4217">
        <v>9</v>
      </c>
      <c r="AE4217" t="s">
        <v>1414</v>
      </c>
      <c r="AF4217">
        <v>40002000</v>
      </c>
      <c r="AG4217" t="s">
        <v>310</v>
      </c>
      <c r="AH4217">
        <f>SUM((MID(Dyno_Data[[#This Row],[Team]],4,5))+(Dyno_Data[[#This Row],[Match]]/100))</f>
        <v>250.75</v>
      </c>
      <c r="AI4217" s="76">
        <f>ROUND(SUM(IF(Dyno_Data[[#This Row],[AcqCenter]]&gt;0,Dyno_Data[[#This Row],[Time]]-SUMIFS(Dyno_Data[Time],Dyno_Data[Team],Dyno_Data[[#This Row],[Team]],Dyno_Data[RecordType],"StartMatch",Dyno_Data[Match],Dyno_Data[[#This Row],[Match]]),0)*86400),0)</f>
        <v>0</v>
      </c>
    </row>
    <row r="4218" spans="1:35" x14ac:dyDescent="0.3">
      <c r="A4218">
        <v>4217</v>
      </c>
      <c r="B4218" t="s">
        <v>363</v>
      </c>
      <c r="C4218">
        <v>75</v>
      </c>
      <c r="D4218" s="105">
        <v>45374.482024537036</v>
      </c>
      <c r="E4218" t="s">
        <v>312</v>
      </c>
      <c r="F4218" t="s">
        <v>1402</v>
      </c>
      <c r="G4218">
        <v>0</v>
      </c>
      <c r="H4218" t="s">
        <v>315</v>
      </c>
      <c r="I4218">
        <v>0</v>
      </c>
      <c r="J4218">
        <v>0</v>
      </c>
      <c r="K4218">
        <v>0</v>
      </c>
      <c r="L4218" t="s">
        <v>241</v>
      </c>
      <c r="M4218" t="s">
        <v>1398</v>
      </c>
      <c r="N4218">
        <v>0</v>
      </c>
      <c r="O4218" t="s">
        <v>1395</v>
      </c>
      <c r="P4218" t="s">
        <v>310</v>
      </c>
      <c r="Q4218" t="s">
        <v>310</v>
      </c>
      <c r="R4218" t="s">
        <v>310</v>
      </c>
      <c r="S4218">
        <v>9</v>
      </c>
      <c r="T4218" t="s">
        <v>310</v>
      </c>
      <c r="U4218">
        <v>9</v>
      </c>
      <c r="V4218">
        <v>9</v>
      </c>
      <c r="W4218">
        <v>0</v>
      </c>
      <c r="X4218">
        <v>0</v>
      </c>
      <c r="Y4218">
        <v>0</v>
      </c>
      <c r="Z4218">
        <v>0</v>
      </c>
      <c r="AA4218">
        <v>9</v>
      </c>
      <c r="AB4218">
        <v>9</v>
      </c>
      <c r="AC4218" t="s">
        <v>310</v>
      </c>
      <c r="AD4218">
        <v>9</v>
      </c>
      <c r="AE4218" t="s">
        <v>1412</v>
      </c>
      <c r="AF4218">
        <v>80000000</v>
      </c>
      <c r="AG4218" t="s">
        <v>310</v>
      </c>
      <c r="AH4218">
        <f>SUM((MID(Dyno_Data[[#This Row],[Team]],4,5))+(Dyno_Data[[#This Row],[Match]]/100))</f>
        <v>2601.75</v>
      </c>
      <c r="AI4218" s="76">
        <f>ROUND(SUM(IF(Dyno_Data[[#This Row],[AcqCenter]]&gt;0,Dyno_Data[[#This Row],[Time]]-SUMIFS(Dyno_Data[Time],Dyno_Data[Team],Dyno_Data[[#This Row],[Team]],Dyno_Data[RecordType],"StartMatch",Dyno_Data[Match],Dyno_Data[[#This Row],[Match]]),0)*86400),0)</f>
        <v>0</v>
      </c>
    </row>
    <row r="4219" spans="1:35" x14ac:dyDescent="0.3">
      <c r="A4219">
        <v>4218</v>
      </c>
      <c r="B4219" t="s">
        <v>1306</v>
      </c>
      <c r="C4219">
        <v>75</v>
      </c>
      <c r="D4219" s="105">
        <v>45374.482046377314</v>
      </c>
      <c r="E4219" t="s">
        <v>312</v>
      </c>
      <c r="F4219" t="s">
        <v>1402</v>
      </c>
      <c r="G4219">
        <v>0</v>
      </c>
      <c r="H4219" t="s">
        <v>315</v>
      </c>
      <c r="I4219">
        <v>0</v>
      </c>
      <c r="J4219">
        <v>0</v>
      </c>
      <c r="K4219">
        <v>0</v>
      </c>
      <c r="L4219" t="s">
        <v>241</v>
      </c>
      <c r="M4219" t="s">
        <v>1398</v>
      </c>
      <c r="N4219">
        <v>1</v>
      </c>
      <c r="O4219" t="s">
        <v>319</v>
      </c>
      <c r="P4219" t="s">
        <v>310</v>
      </c>
      <c r="Q4219" t="s">
        <v>310</v>
      </c>
      <c r="R4219" t="s">
        <v>310</v>
      </c>
      <c r="S4219">
        <v>9</v>
      </c>
      <c r="T4219" t="s">
        <v>310</v>
      </c>
      <c r="U4219">
        <v>9</v>
      </c>
      <c r="V4219">
        <v>9</v>
      </c>
      <c r="W4219">
        <v>0</v>
      </c>
      <c r="X4219">
        <v>0</v>
      </c>
      <c r="Y4219">
        <v>0</v>
      </c>
      <c r="Z4219">
        <v>0</v>
      </c>
      <c r="AA4219">
        <v>9</v>
      </c>
      <c r="AB4219">
        <v>9</v>
      </c>
      <c r="AC4219" t="s">
        <v>310</v>
      </c>
      <c r="AD4219">
        <v>9</v>
      </c>
      <c r="AE4219" t="s">
        <v>1416</v>
      </c>
      <c r="AF4219">
        <v>50000000</v>
      </c>
      <c r="AG4219" t="s">
        <v>310</v>
      </c>
      <c r="AH4219">
        <f>SUM((MID(Dyno_Data[[#This Row],[Team]],4,5))+(Dyno_Data[[#This Row],[Match]]/100))</f>
        <v>3986.75</v>
      </c>
      <c r="AI4219" s="76">
        <f>ROUND(SUM(IF(Dyno_Data[[#This Row],[AcqCenter]]&gt;0,Dyno_Data[[#This Row],[Time]]-SUMIFS(Dyno_Data[Time],Dyno_Data[Team],Dyno_Data[[#This Row],[Team]],Dyno_Data[RecordType],"StartMatch",Dyno_Data[Match],Dyno_Data[[#This Row],[Match]]),0)*86400),0)</f>
        <v>0</v>
      </c>
    </row>
    <row r="4220" spans="1:35" x14ac:dyDescent="0.3">
      <c r="A4220">
        <v>4219</v>
      </c>
      <c r="B4220" t="s">
        <v>362</v>
      </c>
      <c r="C4220">
        <v>75</v>
      </c>
      <c r="D4220" s="105">
        <v>45374.48211380787</v>
      </c>
      <c r="E4220" t="s">
        <v>312</v>
      </c>
      <c r="F4220" t="s">
        <v>1402</v>
      </c>
      <c r="G4220">
        <v>0</v>
      </c>
      <c r="H4220" t="s">
        <v>315</v>
      </c>
      <c r="I4220">
        <v>0</v>
      </c>
      <c r="J4220">
        <v>0</v>
      </c>
      <c r="K4220">
        <v>0</v>
      </c>
      <c r="L4220" t="s">
        <v>240</v>
      </c>
      <c r="M4220" t="s">
        <v>1398</v>
      </c>
      <c r="N4220">
        <v>0</v>
      </c>
      <c r="O4220" t="s">
        <v>1393</v>
      </c>
      <c r="P4220" t="s">
        <v>310</v>
      </c>
      <c r="Q4220" t="s">
        <v>310</v>
      </c>
      <c r="R4220" t="s">
        <v>310</v>
      </c>
      <c r="S4220">
        <v>9</v>
      </c>
      <c r="T4220" t="s">
        <v>310</v>
      </c>
      <c r="U4220">
        <v>9</v>
      </c>
      <c r="V4220">
        <v>9</v>
      </c>
      <c r="W4220">
        <v>0</v>
      </c>
      <c r="X4220">
        <v>0</v>
      </c>
      <c r="Y4220">
        <v>0</v>
      </c>
      <c r="Z4220">
        <v>0</v>
      </c>
      <c r="AA4220">
        <v>9</v>
      </c>
      <c r="AB4220">
        <v>9</v>
      </c>
      <c r="AC4220" t="s">
        <v>310</v>
      </c>
      <c r="AD4220">
        <v>9</v>
      </c>
      <c r="AE4220" t="s">
        <v>1414</v>
      </c>
      <c r="AF4220">
        <v>50002000</v>
      </c>
      <c r="AG4220" t="s">
        <v>310</v>
      </c>
      <c r="AH4220">
        <f>SUM((MID(Dyno_Data[[#This Row],[Team]],4,5))+(Dyno_Data[[#This Row],[Match]]/100))</f>
        <v>250.75</v>
      </c>
      <c r="AI4220" s="76">
        <f>ROUND(SUM(IF(Dyno_Data[[#This Row],[AcqCenter]]&gt;0,Dyno_Data[[#This Row],[Time]]-SUMIFS(Dyno_Data[Time],Dyno_Data[Team],Dyno_Data[[#This Row],[Team]],Dyno_Data[RecordType],"StartMatch",Dyno_Data[Match],Dyno_Data[[#This Row],[Match]]),0)*86400),0)</f>
        <v>0</v>
      </c>
    </row>
    <row r="4221" spans="1:35" x14ac:dyDescent="0.3">
      <c r="A4221">
        <v>4220</v>
      </c>
      <c r="B4221" t="s">
        <v>363</v>
      </c>
      <c r="C4221">
        <v>75</v>
      </c>
      <c r="D4221" s="105">
        <v>45374.482191469906</v>
      </c>
      <c r="E4221" t="s">
        <v>312</v>
      </c>
      <c r="F4221" t="s">
        <v>1402</v>
      </c>
      <c r="G4221">
        <v>0</v>
      </c>
      <c r="H4221" t="s">
        <v>315</v>
      </c>
      <c r="I4221">
        <v>0</v>
      </c>
      <c r="J4221">
        <v>0</v>
      </c>
      <c r="K4221">
        <v>0</v>
      </c>
      <c r="L4221" t="s">
        <v>241</v>
      </c>
      <c r="M4221" t="s">
        <v>1398</v>
      </c>
      <c r="N4221">
        <v>0</v>
      </c>
      <c r="O4221" t="s">
        <v>1395</v>
      </c>
      <c r="P4221" t="s">
        <v>310</v>
      </c>
      <c r="Q4221" t="s">
        <v>310</v>
      </c>
      <c r="R4221" t="s">
        <v>310</v>
      </c>
      <c r="S4221">
        <v>9</v>
      </c>
      <c r="T4221" t="s">
        <v>310</v>
      </c>
      <c r="U4221">
        <v>9</v>
      </c>
      <c r="V4221">
        <v>9</v>
      </c>
      <c r="W4221">
        <v>0</v>
      </c>
      <c r="X4221">
        <v>0</v>
      </c>
      <c r="Y4221">
        <v>0</v>
      </c>
      <c r="Z4221">
        <v>0</v>
      </c>
      <c r="AA4221">
        <v>9</v>
      </c>
      <c r="AB4221">
        <v>9</v>
      </c>
      <c r="AC4221" t="s">
        <v>310</v>
      </c>
      <c r="AD4221">
        <v>9</v>
      </c>
      <c r="AE4221" t="s">
        <v>1412</v>
      </c>
      <c r="AF4221">
        <v>90000000</v>
      </c>
      <c r="AG4221" t="s">
        <v>310</v>
      </c>
      <c r="AH4221">
        <f>SUM((MID(Dyno_Data[[#This Row],[Team]],4,5))+(Dyno_Data[[#This Row],[Match]]/100))</f>
        <v>2601.75</v>
      </c>
      <c r="AI4221" s="76">
        <f>ROUND(SUM(IF(Dyno_Data[[#This Row],[AcqCenter]]&gt;0,Dyno_Data[[#This Row],[Time]]-SUMIFS(Dyno_Data[Time],Dyno_Data[Team],Dyno_Data[[#This Row],[Team]],Dyno_Data[RecordType],"StartMatch",Dyno_Data[Match],Dyno_Data[[#This Row],[Match]]),0)*86400),0)</f>
        <v>0</v>
      </c>
    </row>
    <row r="4222" spans="1:35" x14ac:dyDescent="0.3">
      <c r="A4222">
        <v>4221</v>
      </c>
      <c r="B4222" t="s">
        <v>1306</v>
      </c>
      <c r="C4222">
        <v>75</v>
      </c>
      <c r="D4222" s="105">
        <v>45374.482221909719</v>
      </c>
      <c r="E4222" t="s">
        <v>312</v>
      </c>
      <c r="F4222" t="s">
        <v>1402</v>
      </c>
      <c r="G4222">
        <v>0</v>
      </c>
      <c r="H4222" t="s">
        <v>315</v>
      </c>
      <c r="I4222">
        <v>0</v>
      </c>
      <c r="J4222">
        <v>0</v>
      </c>
      <c r="K4222">
        <v>0</v>
      </c>
      <c r="L4222" t="s">
        <v>241</v>
      </c>
      <c r="M4222" t="s">
        <v>1398</v>
      </c>
      <c r="N4222">
        <v>0</v>
      </c>
      <c r="O4222" t="s">
        <v>319</v>
      </c>
      <c r="P4222" t="s">
        <v>310</v>
      </c>
      <c r="Q4222" t="s">
        <v>310</v>
      </c>
      <c r="R4222" t="s">
        <v>310</v>
      </c>
      <c r="S4222">
        <v>9</v>
      </c>
      <c r="T4222" t="s">
        <v>310</v>
      </c>
      <c r="U4222">
        <v>9</v>
      </c>
      <c r="V4222">
        <v>9</v>
      </c>
      <c r="W4222">
        <v>0</v>
      </c>
      <c r="X4222">
        <v>0</v>
      </c>
      <c r="Y4222">
        <v>0</v>
      </c>
      <c r="Z4222">
        <v>0</v>
      </c>
      <c r="AA4222">
        <v>9</v>
      </c>
      <c r="AB4222">
        <v>9</v>
      </c>
      <c r="AC4222" t="s">
        <v>310</v>
      </c>
      <c r="AD4222">
        <v>9</v>
      </c>
      <c r="AE4222" t="s">
        <v>1416</v>
      </c>
      <c r="AF4222">
        <v>60000000</v>
      </c>
      <c r="AG4222" t="s">
        <v>310</v>
      </c>
      <c r="AH4222">
        <f>SUM((MID(Dyno_Data[[#This Row],[Team]],4,5))+(Dyno_Data[[#This Row],[Match]]/100))</f>
        <v>3986.75</v>
      </c>
      <c r="AI4222" s="76">
        <f>ROUND(SUM(IF(Dyno_Data[[#This Row],[AcqCenter]]&gt;0,Dyno_Data[[#This Row],[Time]]-SUMIFS(Dyno_Data[Time],Dyno_Data[Team],Dyno_Data[[#This Row],[Team]],Dyno_Data[RecordType],"StartMatch",Dyno_Data[Match],Dyno_Data[[#This Row],[Match]]),0)*86400),0)</f>
        <v>0</v>
      </c>
    </row>
    <row r="4223" spans="1:35" x14ac:dyDescent="0.3">
      <c r="A4223">
        <v>4222</v>
      </c>
      <c r="B4223" t="s">
        <v>362</v>
      </c>
      <c r="C4223">
        <v>75</v>
      </c>
      <c r="D4223" s="105">
        <v>45374.482246412037</v>
      </c>
      <c r="E4223" t="s">
        <v>312</v>
      </c>
      <c r="F4223" t="s">
        <v>1402</v>
      </c>
      <c r="G4223">
        <v>0</v>
      </c>
      <c r="H4223" t="s">
        <v>315</v>
      </c>
      <c r="I4223">
        <v>0</v>
      </c>
      <c r="J4223">
        <v>0</v>
      </c>
      <c r="K4223">
        <v>0</v>
      </c>
      <c r="L4223" t="s">
        <v>241</v>
      </c>
      <c r="M4223" t="s">
        <v>1398</v>
      </c>
      <c r="N4223">
        <v>0</v>
      </c>
      <c r="O4223" t="s">
        <v>1393</v>
      </c>
      <c r="P4223" t="s">
        <v>310</v>
      </c>
      <c r="Q4223" t="s">
        <v>310</v>
      </c>
      <c r="R4223" t="s">
        <v>310</v>
      </c>
      <c r="S4223">
        <v>9</v>
      </c>
      <c r="T4223" t="s">
        <v>310</v>
      </c>
      <c r="U4223">
        <v>9</v>
      </c>
      <c r="V4223">
        <v>9</v>
      </c>
      <c r="W4223">
        <v>0</v>
      </c>
      <c r="X4223">
        <v>0</v>
      </c>
      <c r="Y4223">
        <v>0</v>
      </c>
      <c r="Z4223">
        <v>0</v>
      </c>
      <c r="AA4223">
        <v>9</v>
      </c>
      <c r="AB4223">
        <v>9</v>
      </c>
      <c r="AC4223" t="s">
        <v>310</v>
      </c>
      <c r="AD4223">
        <v>9</v>
      </c>
      <c r="AE4223" t="s">
        <v>1414</v>
      </c>
      <c r="AF4223">
        <v>60002000</v>
      </c>
      <c r="AG4223" t="s">
        <v>310</v>
      </c>
      <c r="AH4223">
        <f>SUM((MID(Dyno_Data[[#This Row],[Team]],4,5))+(Dyno_Data[[#This Row],[Match]]/100))</f>
        <v>250.75</v>
      </c>
      <c r="AI4223" s="76">
        <f>ROUND(SUM(IF(Dyno_Data[[#This Row],[AcqCenter]]&gt;0,Dyno_Data[[#This Row],[Time]]-SUMIFS(Dyno_Data[Time],Dyno_Data[Team],Dyno_Data[[#This Row],[Team]],Dyno_Data[RecordType],"StartMatch",Dyno_Data[Match],Dyno_Data[[#This Row],[Match]]),0)*86400),0)</f>
        <v>0</v>
      </c>
    </row>
    <row r="4224" spans="1:35" x14ac:dyDescent="0.3">
      <c r="A4224">
        <v>4223</v>
      </c>
      <c r="B4224" t="s">
        <v>363</v>
      </c>
      <c r="C4224">
        <v>75</v>
      </c>
      <c r="D4224" s="105">
        <v>45374.482378622684</v>
      </c>
      <c r="E4224" t="s">
        <v>312</v>
      </c>
      <c r="F4224" t="s">
        <v>1402</v>
      </c>
      <c r="G4224">
        <v>0</v>
      </c>
      <c r="H4224" t="s">
        <v>315</v>
      </c>
      <c r="I4224">
        <v>0</v>
      </c>
      <c r="J4224">
        <v>0</v>
      </c>
      <c r="K4224">
        <v>0</v>
      </c>
      <c r="L4224" t="s">
        <v>241</v>
      </c>
      <c r="M4224" t="s">
        <v>1398</v>
      </c>
      <c r="N4224">
        <v>0</v>
      </c>
      <c r="O4224" t="s">
        <v>1395</v>
      </c>
      <c r="P4224" t="s">
        <v>310</v>
      </c>
      <c r="Q4224" t="s">
        <v>310</v>
      </c>
      <c r="R4224" t="s">
        <v>310</v>
      </c>
      <c r="S4224">
        <v>9</v>
      </c>
      <c r="T4224" t="s">
        <v>310</v>
      </c>
      <c r="U4224">
        <v>9</v>
      </c>
      <c r="V4224">
        <v>9</v>
      </c>
      <c r="W4224">
        <v>0</v>
      </c>
      <c r="X4224">
        <v>0</v>
      </c>
      <c r="Y4224">
        <v>0</v>
      </c>
      <c r="Z4224">
        <v>0</v>
      </c>
      <c r="AA4224">
        <v>9</v>
      </c>
      <c r="AB4224">
        <v>9</v>
      </c>
      <c r="AC4224" t="s">
        <v>310</v>
      </c>
      <c r="AD4224">
        <v>9</v>
      </c>
      <c r="AE4224" t="s">
        <v>1412</v>
      </c>
      <c r="AF4224">
        <v>100000000</v>
      </c>
      <c r="AG4224" t="s">
        <v>310</v>
      </c>
      <c r="AH4224">
        <f>SUM((MID(Dyno_Data[[#This Row],[Team]],4,5))+(Dyno_Data[[#This Row],[Match]]/100))</f>
        <v>2601.75</v>
      </c>
      <c r="AI4224" s="76">
        <f>ROUND(SUM(IF(Dyno_Data[[#This Row],[AcqCenter]]&gt;0,Dyno_Data[[#This Row],[Time]]-SUMIFS(Dyno_Data[Time],Dyno_Data[Team],Dyno_Data[[#This Row],[Team]],Dyno_Data[RecordType],"StartMatch",Dyno_Data[Match],Dyno_Data[[#This Row],[Match]]),0)*86400),0)</f>
        <v>0</v>
      </c>
    </row>
    <row r="4225" spans="1:35" x14ac:dyDescent="0.3">
      <c r="A4225">
        <v>4224</v>
      </c>
      <c r="B4225" t="s">
        <v>363</v>
      </c>
      <c r="C4225">
        <v>75</v>
      </c>
      <c r="D4225" s="105">
        <v>45374.482472997683</v>
      </c>
      <c r="E4225" t="s">
        <v>312</v>
      </c>
      <c r="F4225" t="s">
        <v>1402</v>
      </c>
      <c r="G4225">
        <v>0</v>
      </c>
      <c r="H4225" t="s">
        <v>315</v>
      </c>
      <c r="I4225">
        <v>0</v>
      </c>
      <c r="J4225">
        <v>0</v>
      </c>
      <c r="K4225">
        <v>0</v>
      </c>
      <c r="L4225" t="s">
        <v>241</v>
      </c>
      <c r="M4225" t="s">
        <v>1398</v>
      </c>
      <c r="N4225">
        <v>0</v>
      </c>
      <c r="O4225" t="s">
        <v>1395</v>
      </c>
      <c r="P4225" t="s">
        <v>310</v>
      </c>
      <c r="Q4225" t="s">
        <v>310</v>
      </c>
      <c r="R4225" t="s">
        <v>310</v>
      </c>
      <c r="S4225">
        <v>9</v>
      </c>
      <c r="T4225" t="s">
        <v>310</v>
      </c>
      <c r="U4225">
        <v>9</v>
      </c>
      <c r="V4225">
        <v>9</v>
      </c>
      <c r="W4225">
        <v>0</v>
      </c>
      <c r="X4225">
        <v>0</v>
      </c>
      <c r="Y4225">
        <v>0</v>
      </c>
      <c r="Z4225">
        <v>0</v>
      </c>
      <c r="AA4225">
        <v>9</v>
      </c>
      <c r="AB4225">
        <v>9</v>
      </c>
      <c r="AC4225" t="s">
        <v>310</v>
      </c>
      <c r="AD4225">
        <v>9</v>
      </c>
      <c r="AE4225" t="s">
        <v>1412</v>
      </c>
      <c r="AF4225">
        <v>110000000</v>
      </c>
      <c r="AG4225" t="s">
        <v>310</v>
      </c>
      <c r="AH4225">
        <f>SUM((MID(Dyno_Data[[#This Row],[Team]],4,5))+(Dyno_Data[[#This Row],[Match]]/100))</f>
        <v>2601.75</v>
      </c>
      <c r="AI4225" s="76">
        <f>ROUND(SUM(IF(Dyno_Data[[#This Row],[AcqCenter]]&gt;0,Dyno_Data[[#This Row],[Time]]-SUMIFS(Dyno_Data[Time],Dyno_Data[Team],Dyno_Data[[#This Row],[Team]],Dyno_Data[RecordType],"StartMatch",Dyno_Data[Match],Dyno_Data[[#This Row],[Match]]),0)*86400),0)</f>
        <v>0</v>
      </c>
    </row>
    <row r="4226" spans="1:35" x14ac:dyDescent="0.3">
      <c r="A4226">
        <v>4225</v>
      </c>
      <c r="B4226" t="s">
        <v>1306</v>
      </c>
      <c r="C4226">
        <v>75</v>
      </c>
      <c r="D4226" s="105">
        <v>45374.482585150465</v>
      </c>
      <c r="E4226" t="s">
        <v>312</v>
      </c>
      <c r="F4226" t="s">
        <v>1402</v>
      </c>
      <c r="G4226">
        <v>0</v>
      </c>
      <c r="H4226" t="s">
        <v>315</v>
      </c>
      <c r="I4226">
        <v>0</v>
      </c>
      <c r="J4226">
        <v>0</v>
      </c>
      <c r="K4226">
        <v>0</v>
      </c>
      <c r="L4226" t="s">
        <v>241</v>
      </c>
      <c r="M4226" t="s">
        <v>1398</v>
      </c>
      <c r="N4226">
        <v>1</v>
      </c>
      <c r="O4226" t="s">
        <v>319</v>
      </c>
      <c r="P4226" t="s">
        <v>310</v>
      </c>
      <c r="Q4226" t="s">
        <v>310</v>
      </c>
      <c r="R4226" t="s">
        <v>310</v>
      </c>
      <c r="S4226">
        <v>9</v>
      </c>
      <c r="T4226" t="s">
        <v>310</v>
      </c>
      <c r="U4226">
        <v>9</v>
      </c>
      <c r="V4226">
        <v>9</v>
      </c>
      <c r="W4226">
        <v>0</v>
      </c>
      <c r="X4226">
        <v>0</v>
      </c>
      <c r="Y4226">
        <v>0</v>
      </c>
      <c r="Z4226">
        <v>0</v>
      </c>
      <c r="AA4226">
        <v>9</v>
      </c>
      <c r="AB4226">
        <v>9</v>
      </c>
      <c r="AC4226" t="s">
        <v>310</v>
      </c>
      <c r="AD4226">
        <v>9</v>
      </c>
      <c r="AE4226" t="s">
        <v>1416</v>
      </c>
      <c r="AF4226">
        <v>70000000</v>
      </c>
      <c r="AG4226" t="s">
        <v>310</v>
      </c>
      <c r="AH4226">
        <f>SUM((MID(Dyno_Data[[#This Row],[Team]],4,5))+(Dyno_Data[[#This Row],[Match]]/100))</f>
        <v>3986.75</v>
      </c>
      <c r="AI4226" s="76">
        <f>ROUND(SUM(IF(Dyno_Data[[#This Row],[AcqCenter]]&gt;0,Dyno_Data[[#This Row],[Time]]-SUMIFS(Dyno_Data[Time],Dyno_Data[Team],Dyno_Data[[#This Row],[Team]],Dyno_Data[RecordType],"StartMatch",Dyno_Data[Match],Dyno_Data[[#This Row],[Match]]),0)*86400),0)</f>
        <v>0</v>
      </c>
    </row>
    <row r="4227" spans="1:35" x14ac:dyDescent="0.3">
      <c r="A4227">
        <v>4226</v>
      </c>
      <c r="B4227" t="s">
        <v>363</v>
      </c>
      <c r="C4227">
        <v>75</v>
      </c>
      <c r="D4227" s="105">
        <v>45374.482623993055</v>
      </c>
      <c r="E4227" t="s">
        <v>312</v>
      </c>
      <c r="F4227" t="s">
        <v>1402</v>
      </c>
      <c r="G4227">
        <v>0</v>
      </c>
      <c r="H4227" t="s">
        <v>315</v>
      </c>
      <c r="I4227">
        <v>0</v>
      </c>
      <c r="J4227">
        <v>0</v>
      </c>
      <c r="K4227">
        <v>0</v>
      </c>
      <c r="L4227" t="s">
        <v>241</v>
      </c>
      <c r="M4227" t="s">
        <v>1398</v>
      </c>
      <c r="N4227">
        <v>0</v>
      </c>
      <c r="O4227" t="s">
        <v>1395</v>
      </c>
      <c r="P4227" t="s">
        <v>310</v>
      </c>
      <c r="Q4227" t="s">
        <v>310</v>
      </c>
      <c r="R4227" t="s">
        <v>310</v>
      </c>
      <c r="S4227">
        <v>9</v>
      </c>
      <c r="T4227" t="s">
        <v>310</v>
      </c>
      <c r="U4227">
        <v>9</v>
      </c>
      <c r="V4227">
        <v>9</v>
      </c>
      <c r="W4227">
        <v>0</v>
      </c>
      <c r="X4227">
        <v>0</v>
      </c>
      <c r="Y4227">
        <v>0</v>
      </c>
      <c r="Z4227">
        <v>0</v>
      </c>
      <c r="AA4227">
        <v>9</v>
      </c>
      <c r="AB4227">
        <v>9</v>
      </c>
      <c r="AC4227" t="s">
        <v>310</v>
      </c>
      <c r="AD4227">
        <v>9</v>
      </c>
      <c r="AE4227" t="s">
        <v>1412</v>
      </c>
      <c r="AF4227">
        <v>120000000</v>
      </c>
      <c r="AG4227" t="s">
        <v>310</v>
      </c>
      <c r="AH4227">
        <f>SUM((MID(Dyno_Data[[#This Row],[Team]],4,5))+(Dyno_Data[[#This Row],[Match]]/100))</f>
        <v>2601.75</v>
      </c>
      <c r="AI4227" s="76">
        <f>ROUND(SUM(IF(Dyno_Data[[#This Row],[AcqCenter]]&gt;0,Dyno_Data[[#This Row],[Time]]-SUMIFS(Dyno_Data[Time],Dyno_Data[Team],Dyno_Data[[#This Row],[Team]],Dyno_Data[RecordType],"StartMatch",Dyno_Data[Match],Dyno_Data[[#This Row],[Match]]),0)*86400),0)</f>
        <v>0</v>
      </c>
    </row>
    <row r="4228" spans="1:35" x14ac:dyDescent="0.3">
      <c r="A4228">
        <v>4227</v>
      </c>
      <c r="B4228" t="s">
        <v>363</v>
      </c>
      <c r="C4228">
        <v>75</v>
      </c>
      <c r="D4228" s="105">
        <v>45374.482773958334</v>
      </c>
      <c r="E4228" t="s">
        <v>312</v>
      </c>
      <c r="F4228" t="s">
        <v>1402</v>
      </c>
      <c r="G4228">
        <v>0</v>
      </c>
      <c r="H4228" t="s">
        <v>315</v>
      </c>
      <c r="I4228">
        <v>0</v>
      </c>
      <c r="J4228">
        <v>0</v>
      </c>
      <c r="K4228">
        <v>0</v>
      </c>
      <c r="L4228" t="s">
        <v>241</v>
      </c>
      <c r="M4228" t="s">
        <v>1398</v>
      </c>
      <c r="N4228">
        <v>0</v>
      </c>
      <c r="O4228" t="s">
        <v>1395</v>
      </c>
      <c r="P4228" t="s">
        <v>310</v>
      </c>
      <c r="Q4228" t="s">
        <v>310</v>
      </c>
      <c r="R4228" t="s">
        <v>310</v>
      </c>
      <c r="S4228">
        <v>9</v>
      </c>
      <c r="T4228" t="s">
        <v>310</v>
      </c>
      <c r="U4228">
        <v>9</v>
      </c>
      <c r="V4228">
        <v>9</v>
      </c>
      <c r="W4228">
        <v>0</v>
      </c>
      <c r="X4228">
        <v>0</v>
      </c>
      <c r="Y4228">
        <v>0</v>
      </c>
      <c r="Z4228">
        <v>0</v>
      </c>
      <c r="AA4228">
        <v>9</v>
      </c>
      <c r="AB4228">
        <v>9</v>
      </c>
      <c r="AC4228" t="s">
        <v>310</v>
      </c>
      <c r="AD4228">
        <v>9</v>
      </c>
      <c r="AE4228" t="s">
        <v>1412</v>
      </c>
      <c r="AF4228">
        <v>130000000</v>
      </c>
      <c r="AG4228" t="s">
        <v>310</v>
      </c>
      <c r="AH4228">
        <f>SUM((MID(Dyno_Data[[#This Row],[Team]],4,5))+(Dyno_Data[[#This Row],[Match]]/100))</f>
        <v>2601.75</v>
      </c>
      <c r="AI4228" s="76">
        <f>ROUND(SUM(IF(Dyno_Data[[#This Row],[AcqCenter]]&gt;0,Dyno_Data[[#This Row],[Time]]-SUMIFS(Dyno_Data[Time],Dyno_Data[Team],Dyno_Data[[#This Row],[Team]],Dyno_Data[RecordType],"StartMatch",Dyno_Data[Match],Dyno_Data[[#This Row],[Match]]),0)*86400),0)</f>
        <v>0</v>
      </c>
    </row>
    <row r="4229" spans="1:35" x14ac:dyDescent="0.3">
      <c r="A4229">
        <v>4228</v>
      </c>
      <c r="B4229" t="s">
        <v>1306</v>
      </c>
      <c r="C4229">
        <v>75</v>
      </c>
      <c r="D4229" s="105">
        <v>45374.482781250001</v>
      </c>
      <c r="E4229" t="s">
        <v>312</v>
      </c>
      <c r="F4229" t="s">
        <v>1402</v>
      </c>
      <c r="G4229">
        <v>0</v>
      </c>
      <c r="H4229" t="s">
        <v>315</v>
      </c>
      <c r="I4229">
        <v>0</v>
      </c>
      <c r="J4229">
        <v>0</v>
      </c>
      <c r="K4229">
        <v>0</v>
      </c>
      <c r="L4229" t="s">
        <v>241</v>
      </c>
      <c r="M4229" t="s">
        <v>1398</v>
      </c>
      <c r="N4229">
        <v>0</v>
      </c>
      <c r="O4229" t="s">
        <v>319</v>
      </c>
      <c r="P4229" t="s">
        <v>310</v>
      </c>
      <c r="Q4229" t="s">
        <v>310</v>
      </c>
      <c r="R4229" t="s">
        <v>310</v>
      </c>
      <c r="S4229">
        <v>9</v>
      </c>
      <c r="T4229" t="s">
        <v>310</v>
      </c>
      <c r="U4229">
        <v>9</v>
      </c>
      <c r="V4229">
        <v>9</v>
      </c>
      <c r="W4229">
        <v>0</v>
      </c>
      <c r="X4229">
        <v>0</v>
      </c>
      <c r="Y4229">
        <v>0</v>
      </c>
      <c r="Z4229">
        <v>0</v>
      </c>
      <c r="AA4229">
        <v>9</v>
      </c>
      <c r="AB4229">
        <v>9</v>
      </c>
      <c r="AC4229" t="s">
        <v>310</v>
      </c>
      <c r="AD4229">
        <v>9</v>
      </c>
      <c r="AE4229" t="s">
        <v>1416</v>
      </c>
      <c r="AF4229">
        <v>80000000</v>
      </c>
      <c r="AG4229" t="s">
        <v>310</v>
      </c>
      <c r="AH4229">
        <f>SUM((MID(Dyno_Data[[#This Row],[Team]],4,5))+(Dyno_Data[[#This Row],[Match]]/100))</f>
        <v>3986.75</v>
      </c>
      <c r="AI4229" s="76">
        <f>ROUND(SUM(IF(Dyno_Data[[#This Row],[AcqCenter]]&gt;0,Dyno_Data[[#This Row],[Time]]-SUMIFS(Dyno_Data[Time],Dyno_Data[Team],Dyno_Data[[#This Row],[Team]],Dyno_Data[RecordType],"StartMatch",Dyno_Data[Match],Dyno_Data[[#This Row],[Match]]),0)*86400),0)</f>
        <v>0</v>
      </c>
    </row>
    <row r="4230" spans="1:35" x14ac:dyDescent="0.3">
      <c r="A4230">
        <v>4229</v>
      </c>
      <c r="B4230" t="s">
        <v>363</v>
      </c>
      <c r="C4230">
        <v>75</v>
      </c>
      <c r="D4230" s="105">
        <v>45374.482918483794</v>
      </c>
      <c r="E4230" t="s">
        <v>312</v>
      </c>
      <c r="F4230" t="s">
        <v>1402</v>
      </c>
      <c r="G4230">
        <v>0</v>
      </c>
      <c r="H4230" t="s">
        <v>315</v>
      </c>
      <c r="I4230">
        <v>0</v>
      </c>
      <c r="J4230">
        <v>0</v>
      </c>
      <c r="K4230">
        <v>0</v>
      </c>
      <c r="L4230" t="s">
        <v>241</v>
      </c>
      <c r="M4230" t="s">
        <v>1398</v>
      </c>
      <c r="N4230">
        <v>0</v>
      </c>
      <c r="O4230" t="s">
        <v>1395</v>
      </c>
      <c r="P4230" t="s">
        <v>310</v>
      </c>
      <c r="Q4230" t="s">
        <v>310</v>
      </c>
      <c r="R4230" t="s">
        <v>310</v>
      </c>
      <c r="S4230">
        <v>9</v>
      </c>
      <c r="T4230" t="s">
        <v>310</v>
      </c>
      <c r="U4230">
        <v>9</v>
      </c>
      <c r="V4230">
        <v>9</v>
      </c>
      <c r="W4230">
        <v>0</v>
      </c>
      <c r="X4230">
        <v>0</v>
      </c>
      <c r="Y4230">
        <v>0</v>
      </c>
      <c r="Z4230">
        <v>0</v>
      </c>
      <c r="AA4230">
        <v>9</v>
      </c>
      <c r="AB4230">
        <v>9</v>
      </c>
      <c r="AC4230" t="s">
        <v>310</v>
      </c>
      <c r="AD4230">
        <v>9</v>
      </c>
      <c r="AE4230" t="s">
        <v>1412</v>
      </c>
      <c r="AF4230">
        <v>140000000</v>
      </c>
      <c r="AG4230" t="s">
        <v>310</v>
      </c>
      <c r="AH4230">
        <f>SUM((MID(Dyno_Data[[#This Row],[Team]],4,5))+(Dyno_Data[[#This Row],[Match]]/100))</f>
        <v>2601.75</v>
      </c>
      <c r="AI4230" s="76">
        <f>ROUND(SUM(IF(Dyno_Data[[#This Row],[AcqCenter]]&gt;0,Dyno_Data[[#This Row],[Time]]-SUMIFS(Dyno_Data[Time],Dyno_Data[Team],Dyno_Data[[#This Row],[Team]],Dyno_Data[RecordType],"StartMatch",Dyno_Data[Match],Dyno_Data[[#This Row],[Match]]),0)*86400),0)</f>
        <v>0</v>
      </c>
    </row>
    <row r="4231" spans="1:35" x14ac:dyDescent="0.3">
      <c r="A4231">
        <v>4230</v>
      </c>
      <c r="B4231" t="s">
        <v>1306</v>
      </c>
      <c r="C4231">
        <v>75</v>
      </c>
      <c r="D4231" s="105">
        <v>45374.482991701392</v>
      </c>
      <c r="E4231" t="s">
        <v>312</v>
      </c>
      <c r="F4231" t="s">
        <v>1402</v>
      </c>
      <c r="G4231">
        <v>0</v>
      </c>
      <c r="H4231" t="s">
        <v>315</v>
      </c>
      <c r="I4231">
        <v>0</v>
      </c>
      <c r="J4231">
        <v>0</v>
      </c>
      <c r="K4231">
        <v>0</v>
      </c>
      <c r="L4231" t="s">
        <v>241</v>
      </c>
      <c r="M4231" t="s">
        <v>1398</v>
      </c>
      <c r="N4231">
        <v>0</v>
      </c>
      <c r="O4231" t="s">
        <v>319</v>
      </c>
      <c r="P4231" t="s">
        <v>310</v>
      </c>
      <c r="Q4231" t="s">
        <v>310</v>
      </c>
      <c r="R4231" t="s">
        <v>310</v>
      </c>
      <c r="S4231">
        <v>9</v>
      </c>
      <c r="T4231" t="s">
        <v>310</v>
      </c>
      <c r="U4231">
        <v>9</v>
      </c>
      <c r="V4231">
        <v>9</v>
      </c>
      <c r="W4231">
        <v>0</v>
      </c>
      <c r="X4231">
        <v>0</v>
      </c>
      <c r="Y4231">
        <v>0</v>
      </c>
      <c r="Z4231">
        <v>0</v>
      </c>
      <c r="AA4231">
        <v>9</v>
      </c>
      <c r="AB4231">
        <v>9</v>
      </c>
      <c r="AC4231" t="s">
        <v>310</v>
      </c>
      <c r="AD4231">
        <v>9</v>
      </c>
      <c r="AE4231" t="s">
        <v>1416</v>
      </c>
      <c r="AF4231">
        <v>90000000</v>
      </c>
      <c r="AG4231" t="s">
        <v>310</v>
      </c>
      <c r="AH4231">
        <f>SUM((MID(Dyno_Data[[#This Row],[Team]],4,5))+(Dyno_Data[[#This Row],[Match]]/100))</f>
        <v>3986.75</v>
      </c>
      <c r="AI4231" s="76">
        <f>ROUND(SUM(IF(Dyno_Data[[#This Row],[AcqCenter]]&gt;0,Dyno_Data[[#This Row],[Time]]-SUMIFS(Dyno_Data[Time],Dyno_Data[Team],Dyno_Data[[#This Row],[Team]],Dyno_Data[RecordType],"StartMatch",Dyno_Data[Match],Dyno_Data[[#This Row],[Match]]),0)*86400),0)</f>
        <v>0</v>
      </c>
    </row>
    <row r="4232" spans="1:35" x14ac:dyDescent="0.3">
      <c r="A4232">
        <v>4231</v>
      </c>
      <c r="B4232" t="s">
        <v>362</v>
      </c>
      <c r="C4232">
        <v>75</v>
      </c>
      <c r="D4232" s="105">
        <v>45374.483068020832</v>
      </c>
      <c r="E4232" t="s">
        <v>1403</v>
      </c>
      <c r="F4232" t="s">
        <v>317</v>
      </c>
      <c r="G4232">
        <v>0</v>
      </c>
      <c r="H4232" t="s">
        <v>310</v>
      </c>
      <c r="I4232">
        <v>0</v>
      </c>
      <c r="J4232">
        <v>0</v>
      </c>
      <c r="K4232">
        <v>0</v>
      </c>
      <c r="L4232" t="s">
        <v>310</v>
      </c>
      <c r="M4232" t="s">
        <v>310</v>
      </c>
      <c r="N4232">
        <v>0</v>
      </c>
      <c r="O4232" t="s">
        <v>1393</v>
      </c>
      <c r="P4232" t="s">
        <v>310</v>
      </c>
      <c r="Q4232" t="s">
        <v>310</v>
      </c>
      <c r="R4232" t="s">
        <v>310</v>
      </c>
      <c r="S4232">
        <v>9</v>
      </c>
      <c r="T4232" t="s">
        <v>310</v>
      </c>
      <c r="U4232">
        <v>9</v>
      </c>
      <c r="V4232">
        <v>9</v>
      </c>
      <c r="W4232">
        <v>0</v>
      </c>
      <c r="X4232">
        <v>0</v>
      </c>
      <c r="Y4232">
        <v>0</v>
      </c>
      <c r="Z4232">
        <v>0</v>
      </c>
      <c r="AA4232">
        <v>9</v>
      </c>
      <c r="AB4232">
        <v>9</v>
      </c>
      <c r="AC4232" t="s">
        <v>310</v>
      </c>
      <c r="AD4232">
        <v>9</v>
      </c>
      <c r="AE4232" t="s">
        <v>1414</v>
      </c>
      <c r="AF4232">
        <v>90000000</v>
      </c>
      <c r="AG4232" t="s">
        <v>249</v>
      </c>
      <c r="AH4232">
        <f>SUM((MID(Dyno_Data[[#This Row],[Team]],4,5))+(Dyno_Data[[#This Row],[Match]]/100))</f>
        <v>250.75</v>
      </c>
      <c r="AI4232" s="76">
        <f>ROUND(SUM(IF(Dyno_Data[[#This Row],[AcqCenter]]&gt;0,Dyno_Data[[#This Row],[Time]]-SUMIFS(Dyno_Data[Time],Dyno_Data[Team],Dyno_Data[[#This Row],[Team]],Dyno_Data[RecordType],"StartMatch",Dyno_Data[Match],Dyno_Data[[#This Row],[Match]]),0)*86400),0)</f>
        <v>0</v>
      </c>
    </row>
    <row r="4233" spans="1:35" x14ac:dyDescent="0.3">
      <c r="A4233">
        <v>4232</v>
      </c>
      <c r="B4233" t="s">
        <v>362</v>
      </c>
      <c r="C4233">
        <v>75</v>
      </c>
      <c r="D4233" s="105">
        <v>45374.483091898146</v>
      </c>
      <c r="E4233" t="s">
        <v>1403</v>
      </c>
      <c r="F4233" t="s">
        <v>317</v>
      </c>
      <c r="G4233">
        <v>0</v>
      </c>
      <c r="H4233" t="s">
        <v>310</v>
      </c>
      <c r="I4233">
        <v>0</v>
      </c>
      <c r="J4233">
        <v>0</v>
      </c>
      <c r="K4233">
        <v>0</v>
      </c>
      <c r="L4233" t="s">
        <v>310</v>
      </c>
      <c r="M4233" t="s">
        <v>310</v>
      </c>
      <c r="N4233">
        <v>0</v>
      </c>
      <c r="O4233" t="s">
        <v>1393</v>
      </c>
      <c r="P4233" t="s">
        <v>310</v>
      </c>
      <c r="Q4233" t="s">
        <v>310</v>
      </c>
      <c r="R4233" t="s">
        <v>310</v>
      </c>
      <c r="S4233">
        <v>9</v>
      </c>
      <c r="T4233" t="s">
        <v>310</v>
      </c>
      <c r="U4233">
        <v>9</v>
      </c>
      <c r="V4233">
        <v>9</v>
      </c>
      <c r="W4233">
        <v>0</v>
      </c>
      <c r="X4233">
        <v>0</v>
      </c>
      <c r="Y4233">
        <v>0</v>
      </c>
      <c r="Z4233">
        <v>0</v>
      </c>
      <c r="AA4233">
        <v>9</v>
      </c>
      <c r="AB4233">
        <v>9</v>
      </c>
      <c r="AC4233" t="s">
        <v>310</v>
      </c>
      <c r="AD4233">
        <v>9</v>
      </c>
      <c r="AE4233" t="s">
        <v>1414</v>
      </c>
      <c r="AF4233">
        <v>90000000</v>
      </c>
      <c r="AG4233" t="s">
        <v>250</v>
      </c>
      <c r="AH4233">
        <f>SUM((MID(Dyno_Data[[#This Row],[Team]],4,5))+(Dyno_Data[[#This Row],[Match]]/100))</f>
        <v>250.75</v>
      </c>
      <c r="AI4233" s="76">
        <f>ROUND(SUM(IF(Dyno_Data[[#This Row],[AcqCenter]]&gt;0,Dyno_Data[[#This Row],[Time]]-SUMIFS(Dyno_Data[Time],Dyno_Data[Team],Dyno_Data[[#This Row],[Team]],Dyno_Data[RecordType],"StartMatch",Dyno_Data[Match],Dyno_Data[[#This Row],[Match]]),0)*86400),0)</f>
        <v>0</v>
      </c>
    </row>
    <row r="4234" spans="1:35" x14ac:dyDescent="0.3">
      <c r="A4234">
        <v>4233</v>
      </c>
      <c r="B4234" t="s">
        <v>362</v>
      </c>
      <c r="C4234">
        <v>75</v>
      </c>
      <c r="D4234" s="105">
        <v>45374.483186145837</v>
      </c>
      <c r="E4234" t="s">
        <v>1403</v>
      </c>
      <c r="F4234" t="s">
        <v>317</v>
      </c>
      <c r="G4234">
        <v>0</v>
      </c>
      <c r="H4234" t="s">
        <v>310</v>
      </c>
      <c r="I4234">
        <v>0</v>
      </c>
      <c r="J4234">
        <v>0</v>
      </c>
      <c r="K4234">
        <v>0</v>
      </c>
      <c r="L4234" t="s">
        <v>310</v>
      </c>
      <c r="M4234" t="s">
        <v>310</v>
      </c>
      <c r="N4234">
        <v>0</v>
      </c>
      <c r="O4234" t="s">
        <v>1393</v>
      </c>
      <c r="P4234" t="s">
        <v>310</v>
      </c>
      <c r="Q4234" t="s">
        <v>310</v>
      </c>
      <c r="R4234" t="s">
        <v>310</v>
      </c>
      <c r="S4234">
        <v>9</v>
      </c>
      <c r="T4234" t="s">
        <v>310</v>
      </c>
      <c r="U4234">
        <v>9</v>
      </c>
      <c r="V4234">
        <v>9</v>
      </c>
      <c r="W4234">
        <v>0</v>
      </c>
      <c r="X4234">
        <v>0</v>
      </c>
      <c r="Y4234">
        <v>0</v>
      </c>
      <c r="Z4234">
        <v>0</v>
      </c>
      <c r="AA4234">
        <v>9</v>
      </c>
      <c r="AB4234">
        <v>9</v>
      </c>
      <c r="AC4234" t="s">
        <v>310</v>
      </c>
      <c r="AD4234">
        <v>9</v>
      </c>
      <c r="AE4234" t="s">
        <v>1414</v>
      </c>
      <c r="AF4234">
        <v>90000000</v>
      </c>
      <c r="AG4234" t="s">
        <v>248</v>
      </c>
      <c r="AH4234">
        <f>SUM((MID(Dyno_Data[[#This Row],[Team]],4,5))+(Dyno_Data[[#This Row],[Match]]/100))</f>
        <v>250.75</v>
      </c>
      <c r="AI4234" s="76">
        <f>ROUND(SUM(IF(Dyno_Data[[#This Row],[AcqCenter]]&gt;0,Dyno_Data[[#This Row],[Time]]-SUMIFS(Dyno_Data[Time],Dyno_Data[Team],Dyno_Data[[#This Row],[Team]],Dyno_Data[RecordType],"StartMatch",Dyno_Data[Match],Dyno_Data[[#This Row],[Match]]),0)*86400),0)</f>
        <v>0</v>
      </c>
    </row>
    <row r="4235" spans="1:35" x14ac:dyDescent="0.3">
      <c r="A4235">
        <v>4234</v>
      </c>
      <c r="B4235" t="s">
        <v>1276</v>
      </c>
      <c r="C4235">
        <v>75</v>
      </c>
      <c r="D4235" s="105">
        <v>45374.484301701392</v>
      </c>
      <c r="E4235" t="s">
        <v>316</v>
      </c>
      <c r="F4235" t="s">
        <v>317</v>
      </c>
      <c r="G4235">
        <v>1</v>
      </c>
      <c r="H4235" t="s">
        <v>310</v>
      </c>
      <c r="I4235">
        <v>0</v>
      </c>
      <c r="J4235">
        <v>0</v>
      </c>
      <c r="K4235">
        <v>0</v>
      </c>
      <c r="L4235" t="s">
        <v>310</v>
      </c>
      <c r="M4235" t="s">
        <v>310</v>
      </c>
      <c r="N4235">
        <v>0</v>
      </c>
      <c r="O4235" t="s">
        <v>311</v>
      </c>
      <c r="P4235" t="s">
        <v>320</v>
      </c>
      <c r="Q4235" t="s">
        <v>1399</v>
      </c>
      <c r="R4235" t="s">
        <v>1404</v>
      </c>
      <c r="S4235">
        <v>0</v>
      </c>
      <c r="T4235" t="s">
        <v>105</v>
      </c>
      <c r="U4235">
        <v>9</v>
      </c>
      <c r="V4235">
        <v>9</v>
      </c>
      <c r="W4235">
        <v>0</v>
      </c>
      <c r="X4235">
        <v>0</v>
      </c>
      <c r="Y4235">
        <v>33.521504</v>
      </c>
      <c r="Z4235">
        <v>102.3606363</v>
      </c>
      <c r="AA4235">
        <v>0</v>
      </c>
      <c r="AB4235">
        <v>0</v>
      </c>
      <c r="AC4235" t="s">
        <v>167</v>
      </c>
      <c r="AD4235">
        <v>0</v>
      </c>
      <c r="AE4235" t="s">
        <v>1418</v>
      </c>
      <c r="AF4235">
        <v>0</v>
      </c>
      <c r="AG4235" t="s">
        <v>310</v>
      </c>
      <c r="AH4235">
        <f>SUM((MID(Dyno_Data[[#This Row],[Team]],4,5))+(Dyno_Data[[#This Row],[Match]]/100))</f>
        <v>229.75</v>
      </c>
      <c r="AI4235" s="76">
        <f>ROUND(SUM(IF(Dyno_Data[[#This Row],[AcqCenter]]&gt;0,Dyno_Data[[#This Row],[Time]]-SUMIFS(Dyno_Data[Time],Dyno_Data[Team],Dyno_Data[[#This Row],[Team]],Dyno_Data[RecordType],"StartMatch",Dyno_Data[Match],Dyno_Data[[#This Row],[Match]]),0)*86400),0)</f>
        <v>0</v>
      </c>
    </row>
    <row r="4236" spans="1:35" x14ac:dyDescent="0.3">
      <c r="A4236">
        <v>4235</v>
      </c>
      <c r="B4236" t="s">
        <v>1283</v>
      </c>
      <c r="C4236">
        <v>75</v>
      </c>
      <c r="D4236" s="105">
        <v>45374.484301851851</v>
      </c>
      <c r="E4236" t="s">
        <v>316</v>
      </c>
      <c r="F4236" t="s">
        <v>317</v>
      </c>
      <c r="G4236">
        <v>0</v>
      </c>
      <c r="H4236" t="s">
        <v>310</v>
      </c>
      <c r="I4236">
        <v>0</v>
      </c>
      <c r="J4236">
        <v>0</v>
      </c>
      <c r="K4236">
        <v>0</v>
      </c>
      <c r="L4236" t="s">
        <v>310</v>
      </c>
      <c r="M4236" t="s">
        <v>310</v>
      </c>
      <c r="N4236">
        <v>0</v>
      </c>
      <c r="O4236" t="s">
        <v>1391</v>
      </c>
      <c r="P4236" t="s">
        <v>320</v>
      </c>
      <c r="Q4236" t="s">
        <v>1400</v>
      </c>
      <c r="R4236" t="s">
        <v>1405</v>
      </c>
      <c r="S4236">
        <v>1</v>
      </c>
      <c r="T4236" t="s">
        <v>1407</v>
      </c>
      <c r="U4236">
        <v>0</v>
      </c>
      <c r="V4236">
        <v>0</v>
      </c>
      <c r="W4236">
        <v>3.9575829999999996</v>
      </c>
      <c r="X4236">
        <v>33.984183399999999</v>
      </c>
      <c r="Y4236">
        <v>40.308189899999995</v>
      </c>
      <c r="Z4236">
        <v>38.899009999999997</v>
      </c>
      <c r="AA4236">
        <v>0</v>
      </c>
      <c r="AB4236">
        <v>0</v>
      </c>
      <c r="AC4236" t="s">
        <v>174</v>
      </c>
      <c r="AD4236">
        <v>9</v>
      </c>
      <c r="AE4236" t="s">
        <v>1413</v>
      </c>
      <c r="AF4236">
        <v>10000000</v>
      </c>
      <c r="AG4236" t="s">
        <v>310</v>
      </c>
      <c r="AH4236">
        <f>SUM((MID(Dyno_Data[[#This Row],[Team]],4,5))+(Dyno_Data[[#This Row],[Match]]/100))</f>
        <v>1601.75</v>
      </c>
      <c r="AI4236" s="76">
        <f>ROUND(SUM(IF(Dyno_Data[[#This Row],[AcqCenter]]&gt;0,Dyno_Data[[#This Row],[Time]]-SUMIFS(Dyno_Data[Time],Dyno_Data[Team],Dyno_Data[[#This Row],[Team]],Dyno_Data[RecordType],"StartMatch",Dyno_Data[Match],Dyno_Data[[#This Row],[Match]]),0)*86400),0)</f>
        <v>0</v>
      </c>
    </row>
    <row r="4237" spans="1:35" x14ac:dyDescent="0.3">
      <c r="A4237">
        <v>4236</v>
      </c>
      <c r="B4237" t="s">
        <v>1306</v>
      </c>
      <c r="C4237">
        <v>75</v>
      </c>
      <c r="D4237" s="105">
        <v>45374.484301851851</v>
      </c>
      <c r="E4237" t="s">
        <v>316</v>
      </c>
      <c r="F4237" t="s">
        <v>317</v>
      </c>
      <c r="G4237">
        <v>1</v>
      </c>
      <c r="H4237" t="s">
        <v>310</v>
      </c>
      <c r="I4237">
        <v>0</v>
      </c>
      <c r="J4237">
        <v>0</v>
      </c>
      <c r="K4237">
        <v>0</v>
      </c>
      <c r="L4237" t="s">
        <v>310</v>
      </c>
      <c r="M4237" t="s">
        <v>310</v>
      </c>
      <c r="N4237">
        <v>0</v>
      </c>
      <c r="O4237" t="s">
        <v>319</v>
      </c>
      <c r="P4237" t="s">
        <v>1401</v>
      </c>
      <c r="Q4237" t="s">
        <v>1400</v>
      </c>
      <c r="R4237" t="s">
        <v>321</v>
      </c>
      <c r="S4237">
        <v>0</v>
      </c>
      <c r="T4237" t="s">
        <v>105</v>
      </c>
      <c r="U4237">
        <v>9</v>
      </c>
      <c r="V4237">
        <v>9</v>
      </c>
      <c r="W4237">
        <v>0</v>
      </c>
      <c r="X4237">
        <v>41.701616899999998</v>
      </c>
      <c r="Y4237">
        <v>34.509940100000001</v>
      </c>
      <c r="Z4237">
        <v>60.940931499999998</v>
      </c>
      <c r="AA4237">
        <v>0</v>
      </c>
      <c r="AB4237">
        <v>1</v>
      </c>
      <c r="AC4237" t="s">
        <v>174</v>
      </c>
      <c r="AD4237">
        <v>9</v>
      </c>
      <c r="AE4237" t="s">
        <v>1416</v>
      </c>
      <c r="AF4237">
        <v>90000000</v>
      </c>
      <c r="AG4237" t="s">
        <v>310</v>
      </c>
      <c r="AH4237">
        <f>SUM((MID(Dyno_Data[[#This Row],[Team]],4,5))+(Dyno_Data[[#This Row],[Match]]/100))</f>
        <v>3986.75</v>
      </c>
      <c r="AI4237" s="76">
        <f>ROUND(SUM(IF(Dyno_Data[[#This Row],[AcqCenter]]&gt;0,Dyno_Data[[#This Row],[Time]]-SUMIFS(Dyno_Data[Time],Dyno_Data[Team],Dyno_Data[[#This Row],[Team]],Dyno_Data[RecordType],"StartMatch",Dyno_Data[Match],Dyno_Data[[#This Row],[Match]]),0)*86400),0)</f>
        <v>0</v>
      </c>
    </row>
    <row r="4238" spans="1:35" x14ac:dyDescent="0.3">
      <c r="A4238">
        <v>4237</v>
      </c>
      <c r="B4238" t="s">
        <v>362</v>
      </c>
      <c r="C4238">
        <v>75</v>
      </c>
      <c r="D4238" s="105">
        <v>45374.484302048608</v>
      </c>
      <c r="E4238" t="s">
        <v>316</v>
      </c>
      <c r="F4238" t="s">
        <v>317</v>
      </c>
      <c r="G4238">
        <v>0</v>
      </c>
      <c r="H4238" t="s">
        <v>310</v>
      </c>
      <c r="I4238">
        <v>0</v>
      </c>
      <c r="J4238">
        <v>0</v>
      </c>
      <c r="K4238">
        <v>0</v>
      </c>
      <c r="L4238" t="s">
        <v>310</v>
      </c>
      <c r="M4238" t="s">
        <v>310</v>
      </c>
      <c r="N4238">
        <v>0</v>
      </c>
      <c r="O4238" t="s">
        <v>1393</v>
      </c>
      <c r="P4238" t="s">
        <v>320</v>
      </c>
      <c r="Q4238" t="s">
        <v>1400</v>
      </c>
      <c r="R4238" t="s">
        <v>1404</v>
      </c>
      <c r="S4238">
        <v>0</v>
      </c>
      <c r="T4238" t="s">
        <v>105</v>
      </c>
      <c r="U4238">
        <v>9</v>
      </c>
      <c r="V4238">
        <v>9</v>
      </c>
      <c r="W4238">
        <v>0</v>
      </c>
      <c r="X4238">
        <v>26.5295527</v>
      </c>
      <c r="Y4238">
        <v>40.1480891</v>
      </c>
      <c r="Z4238">
        <v>69.57169979999999</v>
      </c>
      <c r="AA4238">
        <v>1</v>
      </c>
      <c r="AB4238">
        <v>0</v>
      </c>
      <c r="AC4238" t="s">
        <v>174</v>
      </c>
      <c r="AD4238">
        <v>9</v>
      </c>
      <c r="AE4238" t="s">
        <v>1414</v>
      </c>
      <c r="AF4238">
        <v>60002000</v>
      </c>
      <c r="AG4238" t="s">
        <v>310</v>
      </c>
      <c r="AH4238">
        <f>SUM((MID(Dyno_Data[[#This Row],[Team]],4,5))+(Dyno_Data[[#This Row],[Match]]/100))</f>
        <v>250.75</v>
      </c>
      <c r="AI4238" s="76">
        <f>ROUND(SUM(IF(Dyno_Data[[#This Row],[AcqCenter]]&gt;0,Dyno_Data[[#This Row],[Time]]-SUMIFS(Dyno_Data[Time],Dyno_Data[Team],Dyno_Data[[#This Row],[Team]],Dyno_Data[RecordType],"StartMatch",Dyno_Data[Match],Dyno_Data[[#This Row],[Match]]),0)*86400),0)</f>
        <v>0</v>
      </c>
    </row>
    <row r="4239" spans="1:35" x14ac:dyDescent="0.3">
      <c r="A4239">
        <v>4238</v>
      </c>
      <c r="B4239" t="s">
        <v>1290</v>
      </c>
      <c r="C4239">
        <v>75</v>
      </c>
      <c r="D4239" s="105">
        <v>45374.484302048608</v>
      </c>
      <c r="E4239" t="s">
        <v>316</v>
      </c>
      <c r="F4239" t="s">
        <v>317</v>
      </c>
      <c r="G4239">
        <v>0</v>
      </c>
      <c r="H4239" t="s">
        <v>310</v>
      </c>
      <c r="I4239">
        <v>0</v>
      </c>
      <c r="J4239">
        <v>0</v>
      </c>
      <c r="K4239">
        <v>0</v>
      </c>
      <c r="L4239" t="s">
        <v>310</v>
      </c>
      <c r="M4239" t="s">
        <v>310</v>
      </c>
      <c r="N4239">
        <v>0</v>
      </c>
      <c r="O4239" t="s">
        <v>1389</v>
      </c>
      <c r="P4239" t="s">
        <v>101</v>
      </c>
      <c r="Q4239" t="s">
        <v>1400</v>
      </c>
      <c r="R4239" t="s">
        <v>1404</v>
      </c>
      <c r="S4239">
        <v>0</v>
      </c>
      <c r="T4239" t="s">
        <v>105</v>
      </c>
      <c r="U4239">
        <v>9</v>
      </c>
      <c r="V4239">
        <v>9</v>
      </c>
      <c r="W4239">
        <v>0</v>
      </c>
      <c r="X4239">
        <v>48.003048799999995</v>
      </c>
      <c r="Y4239">
        <v>29.241100899999999</v>
      </c>
      <c r="Z4239">
        <v>60.585858899999998</v>
      </c>
      <c r="AA4239">
        <v>0</v>
      </c>
      <c r="AB4239">
        <v>0</v>
      </c>
      <c r="AC4239" t="s">
        <v>171</v>
      </c>
      <c r="AD4239">
        <v>9</v>
      </c>
      <c r="AE4239" t="s">
        <v>1417</v>
      </c>
      <c r="AF4239">
        <v>10000000</v>
      </c>
      <c r="AG4239" t="s">
        <v>310</v>
      </c>
      <c r="AH4239">
        <f>SUM((MID(Dyno_Data[[#This Row],[Team]],4,5))+(Dyno_Data[[#This Row],[Match]]/100))</f>
        <v>5881.75</v>
      </c>
      <c r="AI4239" s="76">
        <f>ROUND(SUM(IF(Dyno_Data[[#This Row],[AcqCenter]]&gt;0,Dyno_Data[[#This Row],[Time]]-SUMIFS(Dyno_Data[Time],Dyno_Data[Team],Dyno_Data[[#This Row],[Team]],Dyno_Data[RecordType],"StartMatch",Dyno_Data[Match],Dyno_Data[[#This Row],[Match]]),0)*86400),0)</f>
        <v>0</v>
      </c>
    </row>
    <row r="4240" spans="1:35" x14ac:dyDescent="0.3">
      <c r="A4240">
        <v>4239</v>
      </c>
      <c r="B4240" t="s">
        <v>363</v>
      </c>
      <c r="C4240">
        <v>75</v>
      </c>
      <c r="D4240" s="105">
        <v>45374.484302233795</v>
      </c>
      <c r="E4240" t="s">
        <v>316</v>
      </c>
      <c r="F4240" t="s">
        <v>317</v>
      </c>
      <c r="G4240">
        <v>1</v>
      </c>
      <c r="H4240" t="s">
        <v>310</v>
      </c>
      <c r="I4240">
        <v>0</v>
      </c>
      <c r="J4240">
        <v>0</v>
      </c>
      <c r="K4240">
        <v>0</v>
      </c>
      <c r="L4240" t="s">
        <v>310</v>
      </c>
      <c r="M4240" t="s">
        <v>310</v>
      </c>
      <c r="N4240">
        <v>0</v>
      </c>
      <c r="O4240" t="s">
        <v>1395</v>
      </c>
      <c r="P4240" t="s">
        <v>240</v>
      </c>
      <c r="Q4240" t="s">
        <v>1399</v>
      </c>
      <c r="R4240" t="s">
        <v>1405</v>
      </c>
      <c r="S4240">
        <v>1</v>
      </c>
      <c r="T4240" t="s">
        <v>1406</v>
      </c>
      <c r="U4240">
        <v>0</v>
      </c>
      <c r="V4240">
        <v>0</v>
      </c>
      <c r="W4240">
        <v>8.0411628999999998</v>
      </c>
      <c r="X4240">
        <v>19.638236599999999</v>
      </c>
      <c r="Y4240">
        <v>31.147205</v>
      </c>
      <c r="Z4240">
        <v>77.256840400000002</v>
      </c>
      <c r="AA4240">
        <v>0</v>
      </c>
      <c r="AB4240">
        <v>1</v>
      </c>
      <c r="AC4240" t="s">
        <v>174</v>
      </c>
      <c r="AD4240">
        <v>0</v>
      </c>
      <c r="AE4240" t="s">
        <v>1412</v>
      </c>
      <c r="AF4240">
        <v>140000000</v>
      </c>
      <c r="AG4240" t="s">
        <v>310</v>
      </c>
      <c r="AH4240">
        <f>SUM((MID(Dyno_Data[[#This Row],[Team]],4,5))+(Dyno_Data[[#This Row],[Match]]/100))</f>
        <v>2601.75</v>
      </c>
      <c r="AI4240" s="76">
        <f>ROUND(SUM(IF(Dyno_Data[[#This Row],[AcqCenter]]&gt;0,Dyno_Data[[#This Row],[Time]]-SUMIFS(Dyno_Data[Time],Dyno_Data[Team],Dyno_Data[[#This Row],[Team]],Dyno_Data[RecordType],"StartMatch",Dyno_Data[Match],Dyno_Data[[#This Row],[Match]]),0)*86400),0)</f>
        <v>0</v>
      </c>
    </row>
    <row r="4241" spans="1:35" x14ac:dyDescent="0.3">
      <c r="A4241">
        <v>4254</v>
      </c>
      <c r="B4241" t="s">
        <v>1312</v>
      </c>
      <c r="C4241">
        <v>76</v>
      </c>
      <c r="D4241" s="105">
        <v>45374.487204247685</v>
      </c>
      <c r="E4241" t="s">
        <v>308</v>
      </c>
      <c r="F4241" t="s">
        <v>309</v>
      </c>
      <c r="G4241">
        <v>0</v>
      </c>
      <c r="H4241" t="s">
        <v>310</v>
      </c>
      <c r="I4241">
        <v>0</v>
      </c>
      <c r="J4241">
        <v>0</v>
      </c>
      <c r="K4241">
        <v>0</v>
      </c>
      <c r="L4241" t="s">
        <v>310</v>
      </c>
      <c r="M4241" t="s">
        <v>310</v>
      </c>
      <c r="N4241">
        <v>0</v>
      </c>
      <c r="O4241" t="s">
        <v>319</v>
      </c>
      <c r="P4241" t="s">
        <v>310</v>
      </c>
      <c r="Q4241" t="s">
        <v>310</v>
      </c>
      <c r="R4241" t="s">
        <v>310</v>
      </c>
      <c r="S4241">
        <v>9</v>
      </c>
      <c r="T4241" t="s">
        <v>310</v>
      </c>
      <c r="U4241">
        <v>9</v>
      </c>
      <c r="V4241">
        <v>9</v>
      </c>
      <c r="W4241">
        <v>0</v>
      </c>
      <c r="X4241">
        <v>0</v>
      </c>
      <c r="Y4241">
        <v>0</v>
      </c>
      <c r="Z4241">
        <v>0</v>
      </c>
      <c r="AA4241">
        <v>9</v>
      </c>
      <c r="AB4241">
        <v>9</v>
      </c>
      <c r="AC4241" t="s">
        <v>310</v>
      </c>
      <c r="AD4241">
        <v>9</v>
      </c>
      <c r="AE4241" t="s">
        <v>1416</v>
      </c>
      <c r="AF4241">
        <v>20000000</v>
      </c>
      <c r="AG4241" t="s">
        <v>310</v>
      </c>
      <c r="AH4241">
        <f>SUM((MID(Dyno_Data[[#This Row],[Team]],4,5))+(Dyno_Data[[#This Row],[Match]]/100))</f>
        <v>2053.7600000000002</v>
      </c>
      <c r="AI4241" s="76">
        <f>ROUND(SUM(IF(Dyno_Data[[#This Row],[AcqCenter]]&gt;0,Dyno_Data[[#This Row],[Time]]-SUMIFS(Dyno_Data[Time],Dyno_Data[Team],Dyno_Data[[#This Row],[Team]],Dyno_Data[RecordType],"StartMatch",Dyno_Data[Match],Dyno_Data[[#This Row],[Match]]),0)*86400),0)</f>
        <v>0</v>
      </c>
    </row>
    <row r="4242" spans="1:35" x14ac:dyDescent="0.3">
      <c r="A4242">
        <v>4256</v>
      </c>
      <c r="B4242" t="s">
        <v>1275</v>
      </c>
      <c r="C4242">
        <v>76</v>
      </c>
      <c r="D4242" s="105">
        <v>45374.487208645834</v>
      </c>
      <c r="E4242" t="s">
        <v>308</v>
      </c>
      <c r="F4242" t="s">
        <v>309</v>
      </c>
      <c r="G4242">
        <v>0</v>
      </c>
      <c r="H4242" t="s">
        <v>310</v>
      </c>
      <c r="I4242">
        <v>0</v>
      </c>
      <c r="J4242">
        <v>0</v>
      </c>
      <c r="K4242">
        <v>0</v>
      </c>
      <c r="L4242" t="s">
        <v>310</v>
      </c>
      <c r="M4242" t="s">
        <v>310</v>
      </c>
      <c r="N4242">
        <v>0</v>
      </c>
      <c r="O4242" t="s">
        <v>1391</v>
      </c>
      <c r="P4242" t="s">
        <v>310</v>
      </c>
      <c r="Q4242" t="s">
        <v>310</v>
      </c>
      <c r="R4242" t="s">
        <v>310</v>
      </c>
      <c r="S4242">
        <v>9</v>
      </c>
      <c r="T4242" t="s">
        <v>310</v>
      </c>
      <c r="U4242">
        <v>9</v>
      </c>
      <c r="V4242">
        <v>9</v>
      </c>
      <c r="W4242">
        <v>0</v>
      </c>
      <c r="X4242">
        <v>0</v>
      </c>
      <c r="Y4242">
        <v>0</v>
      </c>
      <c r="Z4242">
        <v>0</v>
      </c>
      <c r="AA4242">
        <v>9</v>
      </c>
      <c r="AB4242">
        <v>9</v>
      </c>
      <c r="AC4242" t="s">
        <v>310</v>
      </c>
      <c r="AD4242">
        <v>9</v>
      </c>
      <c r="AE4242" t="s">
        <v>1413</v>
      </c>
      <c r="AF4242">
        <v>0</v>
      </c>
      <c r="AG4242" t="s">
        <v>310</v>
      </c>
      <c r="AH4242">
        <f>SUM((MID(Dyno_Data[[#This Row],[Team]],4,5))+(Dyno_Data[[#This Row],[Match]]/100))</f>
        <v>1880.76</v>
      </c>
      <c r="AI4242" s="76">
        <f>ROUND(SUM(IF(Dyno_Data[[#This Row],[AcqCenter]]&gt;0,Dyno_Data[[#This Row],[Time]]-SUMIFS(Dyno_Data[Time],Dyno_Data[Team],Dyno_Data[[#This Row],[Team]],Dyno_Data[RecordType],"StartMatch",Dyno_Data[Match],Dyno_Data[[#This Row],[Match]]),0)*86400),0)</f>
        <v>0</v>
      </c>
    </row>
    <row r="4243" spans="1:35" x14ac:dyDescent="0.3">
      <c r="A4243">
        <v>4258</v>
      </c>
      <c r="B4243" t="s">
        <v>1295</v>
      </c>
      <c r="C4243">
        <v>76</v>
      </c>
      <c r="D4243" s="105">
        <v>45374.487209293984</v>
      </c>
      <c r="E4243" t="s">
        <v>308</v>
      </c>
      <c r="F4243" t="s">
        <v>309</v>
      </c>
      <c r="G4243">
        <v>0</v>
      </c>
      <c r="H4243" t="s">
        <v>310</v>
      </c>
      <c r="I4243">
        <v>0</v>
      </c>
      <c r="J4243">
        <v>0</v>
      </c>
      <c r="K4243">
        <v>0</v>
      </c>
      <c r="L4243" t="s">
        <v>310</v>
      </c>
      <c r="M4243" t="s">
        <v>310</v>
      </c>
      <c r="N4243">
        <v>0</v>
      </c>
      <c r="O4243" t="s">
        <v>1393</v>
      </c>
      <c r="P4243" t="s">
        <v>310</v>
      </c>
      <c r="Q4243" t="s">
        <v>310</v>
      </c>
      <c r="R4243" t="s">
        <v>310</v>
      </c>
      <c r="S4243">
        <v>9</v>
      </c>
      <c r="T4243" t="s">
        <v>310</v>
      </c>
      <c r="U4243">
        <v>9</v>
      </c>
      <c r="V4243">
        <v>9</v>
      </c>
      <c r="W4243">
        <v>0</v>
      </c>
      <c r="X4243">
        <v>0</v>
      </c>
      <c r="Y4243">
        <v>0</v>
      </c>
      <c r="Z4243">
        <v>0</v>
      </c>
      <c r="AA4243">
        <v>9</v>
      </c>
      <c r="AB4243">
        <v>9</v>
      </c>
      <c r="AC4243" t="s">
        <v>310</v>
      </c>
      <c r="AD4243">
        <v>9</v>
      </c>
      <c r="AE4243" t="s">
        <v>1412</v>
      </c>
      <c r="AF4243">
        <v>0</v>
      </c>
      <c r="AG4243" t="s">
        <v>310</v>
      </c>
      <c r="AH4243">
        <f>SUM((MID(Dyno_Data[[#This Row],[Team]],4,5))+(Dyno_Data[[#This Row],[Match]]/100))</f>
        <v>6300.76</v>
      </c>
      <c r="AI4243" s="76">
        <f>ROUND(SUM(IF(Dyno_Data[[#This Row],[AcqCenter]]&gt;0,Dyno_Data[[#This Row],[Time]]-SUMIFS(Dyno_Data[Time],Dyno_Data[Team],Dyno_Data[[#This Row],[Team]],Dyno_Data[RecordType],"StartMatch",Dyno_Data[Match],Dyno_Data[[#This Row],[Match]]),0)*86400),0)</f>
        <v>0</v>
      </c>
    </row>
    <row r="4244" spans="1:35" x14ac:dyDescent="0.3">
      <c r="A4244">
        <v>4260</v>
      </c>
      <c r="B4244" t="s">
        <v>1289</v>
      </c>
      <c r="C4244">
        <v>76</v>
      </c>
      <c r="D4244" s="105">
        <v>45374.487213622684</v>
      </c>
      <c r="E4244" t="s">
        <v>308</v>
      </c>
      <c r="F4244" t="s">
        <v>309</v>
      </c>
      <c r="G4244">
        <v>0</v>
      </c>
      <c r="H4244" t="s">
        <v>310</v>
      </c>
      <c r="I4244">
        <v>0</v>
      </c>
      <c r="J4244">
        <v>0</v>
      </c>
      <c r="K4244">
        <v>0</v>
      </c>
      <c r="L4244" t="s">
        <v>310</v>
      </c>
      <c r="M4244" t="s">
        <v>310</v>
      </c>
      <c r="N4244">
        <v>0</v>
      </c>
      <c r="O4244" t="s">
        <v>311</v>
      </c>
      <c r="P4244" t="s">
        <v>310</v>
      </c>
      <c r="Q4244" t="s">
        <v>310</v>
      </c>
      <c r="R4244" t="s">
        <v>310</v>
      </c>
      <c r="S4244">
        <v>9</v>
      </c>
      <c r="T4244" t="s">
        <v>310</v>
      </c>
      <c r="U4244">
        <v>9</v>
      </c>
      <c r="V4244">
        <v>9</v>
      </c>
      <c r="W4244">
        <v>0</v>
      </c>
      <c r="X4244">
        <v>0</v>
      </c>
      <c r="Y4244">
        <v>0</v>
      </c>
      <c r="Z4244">
        <v>0</v>
      </c>
      <c r="AA4244">
        <v>9</v>
      </c>
      <c r="AB4244">
        <v>9</v>
      </c>
      <c r="AC4244" t="s">
        <v>310</v>
      </c>
      <c r="AD4244">
        <v>9</v>
      </c>
      <c r="AE4244" t="s">
        <v>1418</v>
      </c>
      <c r="AF4244">
        <v>0</v>
      </c>
      <c r="AG4244" t="s">
        <v>310</v>
      </c>
      <c r="AH4244">
        <f>SUM((MID(Dyno_Data[[#This Row],[Team]],4,5))+(Dyno_Data[[#This Row],[Match]]/100))</f>
        <v>6648.76</v>
      </c>
      <c r="AI4244" s="76">
        <f>ROUND(SUM(IF(Dyno_Data[[#This Row],[AcqCenter]]&gt;0,Dyno_Data[[#This Row],[Time]]-SUMIFS(Dyno_Data[Time],Dyno_Data[Team],Dyno_Data[[#This Row],[Team]],Dyno_Data[RecordType],"StartMatch",Dyno_Data[Match],Dyno_Data[[#This Row],[Match]]),0)*86400),0)</f>
        <v>0</v>
      </c>
    </row>
    <row r="4245" spans="1:35" x14ac:dyDescent="0.3">
      <c r="A4245">
        <v>4262</v>
      </c>
      <c r="B4245" t="s">
        <v>1301</v>
      </c>
      <c r="C4245">
        <v>76</v>
      </c>
      <c r="D4245" s="105">
        <v>45374.487215046298</v>
      </c>
      <c r="E4245" t="s">
        <v>308</v>
      </c>
      <c r="F4245" t="s">
        <v>309</v>
      </c>
      <c r="G4245">
        <v>0</v>
      </c>
      <c r="H4245" t="s">
        <v>310</v>
      </c>
      <c r="I4245">
        <v>0</v>
      </c>
      <c r="J4245">
        <v>0</v>
      </c>
      <c r="K4245">
        <v>0</v>
      </c>
      <c r="L4245" t="s">
        <v>310</v>
      </c>
      <c r="M4245" t="s">
        <v>310</v>
      </c>
      <c r="N4245">
        <v>0</v>
      </c>
      <c r="O4245" t="s">
        <v>1389</v>
      </c>
      <c r="P4245" t="s">
        <v>310</v>
      </c>
      <c r="Q4245" t="s">
        <v>310</v>
      </c>
      <c r="R4245" t="s">
        <v>310</v>
      </c>
      <c r="S4245">
        <v>9</v>
      </c>
      <c r="T4245" t="s">
        <v>310</v>
      </c>
      <c r="U4245">
        <v>9</v>
      </c>
      <c r="V4245">
        <v>9</v>
      </c>
      <c r="W4245">
        <v>0</v>
      </c>
      <c r="X4245">
        <v>0</v>
      </c>
      <c r="Y4245">
        <v>0</v>
      </c>
      <c r="Z4245">
        <v>0</v>
      </c>
      <c r="AA4245">
        <v>9</v>
      </c>
      <c r="AB4245">
        <v>9</v>
      </c>
      <c r="AC4245" t="s">
        <v>310</v>
      </c>
      <c r="AD4245">
        <v>9</v>
      </c>
      <c r="AE4245" t="s">
        <v>1414</v>
      </c>
      <c r="AF4245">
        <v>0</v>
      </c>
      <c r="AG4245" t="s">
        <v>310</v>
      </c>
      <c r="AH4245">
        <f>SUM((MID(Dyno_Data[[#This Row],[Team]],4,5))+(Dyno_Data[[#This Row],[Match]]/100))</f>
        <v>7031.76</v>
      </c>
      <c r="AI4245" s="76">
        <f>ROUND(SUM(IF(Dyno_Data[[#This Row],[AcqCenter]]&gt;0,Dyno_Data[[#This Row],[Time]]-SUMIFS(Dyno_Data[Time],Dyno_Data[Team],Dyno_Data[[#This Row],[Team]],Dyno_Data[RecordType],"StartMatch",Dyno_Data[Match],Dyno_Data[[#This Row],[Match]]),0)*86400),0)</f>
        <v>0</v>
      </c>
    </row>
    <row r="4246" spans="1:35" x14ac:dyDescent="0.3">
      <c r="A4246">
        <v>4240</v>
      </c>
      <c r="B4246" t="s">
        <v>1295</v>
      </c>
      <c r="C4246">
        <v>76</v>
      </c>
      <c r="D4246" s="105">
        <v>45374.487227280093</v>
      </c>
      <c r="E4246" t="s">
        <v>312</v>
      </c>
      <c r="F4246" t="s">
        <v>309</v>
      </c>
      <c r="G4246">
        <v>0</v>
      </c>
      <c r="H4246" t="s">
        <v>1397</v>
      </c>
      <c r="I4246">
        <v>0</v>
      </c>
      <c r="J4246">
        <v>0</v>
      </c>
      <c r="K4246">
        <v>0</v>
      </c>
      <c r="L4246" t="s">
        <v>241</v>
      </c>
      <c r="M4246" t="s">
        <v>1398</v>
      </c>
      <c r="N4246">
        <v>0</v>
      </c>
      <c r="O4246" t="s">
        <v>1393</v>
      </c>
      <c r="P4246" t="s">
        <v>310</v>
      </c>
      <c r="Q4246" t="s">
        <v>310</v>
      </c>
      <c r="R4246" t="s">
        <v>310</v>
      </c>
      <c r="S4246">
        <v>9</v>
      </c>
      <c r="T4246" t="s">
        <v>310</v>
      </c>
      <c r="U4246">
        <v>9</v>
      </c>
      <c r="V4246">
        <v>9</v>
      </c>
      <c r="W4246">
        <v>0</v>
      </c>
      <c r="X4246">
        <v>0</v>
      </c>
      <c r="Y4246">
        <v>0</v>
      </c>
      <c r="Z4246">
        <v>0</v>
      </c>
      <c r="AA4246">
        <v>9</v>
      </c>
      <c r="AB4246">
        <v>9</v>
      </c>
      <c r="AC4246" t="s">
        <v>310</v>
      </c>
      <c r="AD4246">
        <v>9</v>
      </c>
      <c r="AE4246" t="s">
        <v>1412</v>
      </c>
      <c r="AF4246">
        <v>0</v>
      </c>
      <c r="AG4246" t="s">
        <v>310</v>
      </c>
      <c r="AH4246">
        <f>SUM((MID(Dyno_Data[[#This Row],[Team]],4,5))+(Dyno_Data[[#This Row],[Match]]/100))</f>
        <v>6300.76</v>
      </c>
      <c r="AI4246" s="76">
        <f>ROUND(SUM(IF(Dyno_Data[[#This Row],[AcqCenter]]&gt;0,Dyno_Data[[#This Row],[Time]]-SUMIFS(Dyno_Data[Time],Dyno_Data[Team],Dyno_Data[[#This Row],[Team]],Dyno_Data[RecordType],"StartMatch",Dyno_Data[Match],Dyno_Data[[#This Row],[Match]]),0)*86400),0)</f>
        <v>0</v>
      </c>
    </row>
    <row r="4247" spans="1:35" x14ac:dyDescent="0.3">
      <c r="A4247">
        <v>4241</v>
      </c>
      <c r="B4247" t="s">
        <v>1312</v>
      </c>
      <c r="C4247">
        <v>76</v>
      </c>
      <c r="D4247" s="105">
        <v>45374.487238923612</v>
      </c>
      <c r="E4247" t="s">
        <v>312</v>
      </c>
      <c r="F4247" t="s">
        <v>309</v>
      </c>
      <c r="G4247">
        <v>0</v>
      </c>
      <c r="H4247" t="s">
        <v>1397</v>
      </c>
      <c r="I4247">
        <v>0</v>
      </c>
      <c r="J4247">
        <v>0</v>
      </c>
      <c r="K4247">
        <v>0</v>
      </c>
      <c r="L4247" t="s">
        <v>240</v>
      </c>
      <c r="M4247" t="s">
        <v>1398</v>
      </c>
      <c r="N4247">
        <v>0</v>
      </c>
      <c r="O4247" t="s">
        <v>319</v>
      </c>
      <c r="P4247" t="s">
        <v>310</v>
      </c>
      <c r="Q4247" t="s">
        <v>310</v>
      </c>
      <c r="R4247" t="s">
        <v>310</v>
      </c>
      <c r="S4247">
        <v>9</v>
      </c>
      <c r="T4247" t="s">
        <v>310</v>
      </c>
      <c r="U4247">
        <v>9</v>
      </c>
      <c r="V4247">
        <v>9</v>
      </c>
      <c r="W4247">
        <v>0</v>
      </c>
      <c r="X4247">
        <v>0</v>
      </c>
      <c r="Y4247">
        <v>0</v>
      </c>
      <c r="Z4247">
        <v>0</v>
      </c>
      <c r="AA4247">
        <v>9</v>
      </c>
      <c r="AB4247">
        <v>9</v>
      </c>
      <c r="AC4247" t="s">
        <v>310</v>
      </c>
      <c r="AD4247">
        <v>9</v>
      </c>
      <c r="AE4247" t="s">
        <v>1416</v>
      </c>
      <c r="AF4247">
        <v>0</v>
      </c>
      <c r="AG4247" t="s">
        <v>310</v>
      </c>
      <c r="AH4247">
        <f>SUM((MID(Dyno_Data[[#This Row],[Team]],4,5))+(Dyno_Data[[#This Row],[Match]]/100))</f>
        <v>2053.7600000000002</v>
      </c>
      <c r="AI4247" s="76">
        <f>ROUND(SUM(IF(Dyno_Data[[#This Row],[AcqCenter]]&gt;0,Dyno_Data[[#This Row],[Time]]-SUMIFS(Dyno_Data[Time],Dyno_Data[Team],Dyno_Data[[#This Row],[Team]],Dyno_Data[RecordType],"StartMatch",Dyno_Data[Match],Dyno_Data[[#This Row],[Match]]),0)*86400),0)</f>
        <v>0</v>
      </c>
    </row>
    <row r="4248" spans="1:35" x14ac:dyDescent="0.3">
      <c r="A4248">
        <v>4242</v>
      </c>
      <c r="B4248" t="s">
        <v>1286</v>
      </c>
      <c r="C4248">
        <v>76</v>
      </c>
      <c r="D4248" s="105">
        <v>45374.487246064811</v>
      </c>
      <c r="E4248" t="s">
        <v>312</v>
      </c>
      <c r="F4248" t="s">
        <v>309</v>
      </c>
      <c r="G4248">
        <v>0</v>
      </c>
      <c r="H4248" t="s">
        <v>1397</v>
      </c>
      <c r="I4248">
        <v>0</v>
      </c>
      <c r="J4248">
        <v>0</v>
      </c>
      <c r="K4248">
        <v>0</v>
      </c>
      <c r="L4248" t="s">
        <v>240</v>
      </c>
      <c r="M4248" t="s">
        <v>1398</v>
      </c>
      <c r="N4248">
        <v>0</v>
      </c>
      <c r="O4248" t="s">
        <v>1395</v>
      </c>
      <c r="P4248" t="s">
        <v>310</v>
      </c>
      <c r="Q4248" t="s">
        <v>310</v>
      </c>
      <c r="R4248" t="s">
        <v>310</v>
      </c>
      <c r="S4248">
        <v>9</v>
      </c>
      <c r="T4248" t="s">
        <v>310</v>
      </c>
      <c r="U4248">
        <v>9</v>
      </c>
      <c r="V4248">
        <v>9</v>
      </c>
      <c r="W4248">
        <v>0</v>
      </c>
      <c r="X4248">
        <v>0</v>
      </c>
      <c r="Y4248">
        <v>0</v>
      </c>
      <c r="Z4248">
        <v>0</v>
      </c>
      <c r="AA4248">
        <v>9</v>
      </c>
      <c r="AB4248">
        <v>9</v>
      </c>
      <c r="AC4248" t="s">
        <v>310</v>
      </c>
      <c r="AD4248">
        <v>9</v>
      </c>
      <c r="AE4248" t="s">
        <v>1417</v>
      </c>
      <c r="AF4248">
        <v>0</v>
      </c>
      <c r="AG4248" t="s">
        <v>310</v>
      </c>
      <c r="AH4248">
        <f>SUM((MID(Dyno_Data[[#This Row],[Team]],4,5))+(Dyno_Data[[#This Row],[Match]]/100))</f>
        <v>1591.76</v>
      </c>
      <c r="AI4248" s="76">
        <f>ROUND(SUM(IF(Dyno_Data[[#This Row],[AcqCenter]]&gt;0,Dyno_Data[[#This Row],[Time]]-SUMIFS(Dyno_Data[Time],Dyno_Data[Team],Dyno_Data[[#This Row],[Team]],Dyno_Data[RecordType],"StartMatch",Dyno_Data[Match],Dyno_Data[[#This Row],[Match]]),0)*86400),0)</f>
        <v>0</v>
      </c>
    </row>
    <row r="4249" spans="1:35" x14ac:dyDescent="0.3">
      <c r="A4249">
        <v>4243</v>
      </c>
      <c r="B4249" t="s">
        <v>1275</v>
      </c>
      <c r="C4249">
        <v>76</v>
      </c>
      <c r="D4249" s="105">
        <v>45374.487247453704</v>
      </c>
      <c r="E4249" t="s">
        <v>312</v>
      </c>
      <c r="F4249" t="s">
        <v>309</v>
      </c>
      <c r="G4249">
        <v>0</v>
      </c>
      <c r="H4249" t="s">
        <v>1397</v>
      </c>
      <c r="I4249">
        <v>0</v>
      </c>
      <c r="J4249">
        <v>0</v>
      </c>
      <c r="K4249">
        <v>0</v>
      </c>
      <c r="L4249" t="s">
        <v>240</v>
      </c>
      <c r="M4249" t="s">
        <v>1398</v>
      </c>
      <c r="N4249">
        <v>0</v>
      </c>
      <c r="O4249" t="s">
        <v>1391</v>
      </c>
      <c r="P4249" t="s">
        <v>310</v>
      </c>
      <c r="Q4249" t="s">
        <v>310</v>
      </c>
      <c r="R4249" t="s">
        <v>310</v>
      </c>
      <c r="S4249">
        <v>9</v>
      </c>
      <c r="T4249" t="s">
        <v>310</v>
      </c>
      <c r="U4249">
        <v>9</v>
      </c>
      <c r="V4249">
        <v>9</v>
      </c>
      <c r="W4249">
        <v>0</v>
      </c>
      <c r="X4249">
        <v>0</v>
      </c>
      <c r="Y4249">
        <v>0</v>
      </c>
      <c r="Z4249">
        <v>0</v>
      </c>
      <c r="AA4249">
        <v>9</v>
      </c>
      <c r="AB4249">
        <v>9</v>
      </c>
      <c r="AC4249" t="s">
        <v>310</v>
      </c>
      <c r="AD4249">
        <v>9</v>
      </c>
      <c r="AE4249" t="s">
        <v>1413</v>
      </c>
      <c r="AF4249">
        <v>0</v>
      </c>
      <c r="AG4249" t="s">
        <v>310</v>
      </c>
      <c r="AH4249">
        <f>SUM((MID(Dyno_Data[[#This Row],[Team]],4,5))+(Dyno_Data[[#This Row],[Match]]/100))</f>
        <v>1880.76</v>
      </c>
      <c r="AI4249" s="76">
        <f>ROUND(SUM(IF(Dyno_Data[[#This Row],[AcqCenter]]&gt;0,Dyno_Data[[#This Row],[Time]]-SUMIFS(Dyno_Data[Time],Dyno_Data[Team],Dyno_Data[[#This Row],[Team]],Dyno_Data[RecordType],"StartMatch",Dyno_Data[Match],Dyno_Data[[#This Row],[Match]]),0)*86400),0)</f>
        <v>0</v>
      </c>
    </row>
    <row r="4250" spans="1:35" x14ac:dyDescent="0.3">
      <c r="A4250">
        <v>4245</v>
      </c>
      <c r="B4250" t="s">
        <v>1295</v>
      </c>
      <c r="C4250">
        <v>76</v>
      </c>
      <c r="D4250" s="105">
        <v>45374.487258564812</v>
      </c>
      <c r="E4250" t="s">
        <v>312</v>
      </c>
      <c r="F4250" t="s">
        <v>309</v>
      </c>
      <c r="G4250">
        <v>0</v>
      </c>
      <c r="H4250" t="s">
        <v>143</v>
      </c>
      <c r="I4250">
        <v>1</v>
      </c>
      <c r="J4250">
        <v>1</v>
      </c>
      <c r="K4250">
        <v>0</v>
      </c>
      <c r="L4250" t="s">
        <v>310</v>
      </c>
      <c r="M4250" t="s">
        <v>310</v>
      </c>
      <c r="N4250">
        <v>0</v>
      </c>
      <c r="O4250" t="s">
        <v>1393</v>
      </c>
      <c r="P4250" t="s">
        <v>310</v>
      </c>
      <c r="Q4250" t="s">
        <v>310</v>
      </c>
      <c r="R4250" t="s">
        <v>310</v>
      </c>
      <c r="S4250">
        <v>9</v>
      </c>
      <c r="T4250" t="s">
        <v>310</v>
      </c>
      <c r="U4250">
        <v>9</v>
      </c>
      <c r="V4250">
        <v>9</v>
      </c>
      <c r="W4250">
        <v>0</v>
      </c>
      <c r="X4250">
        <v>0</v>
      </c>
      <c r="Y4250">
        <v>0</v>
      </c>
      <c r="Z4250">
        <v>0</v>
      </c>
      <c r="AA4250">
        <v>9</v>
      </c>
      <c r="AB4250">
        <v>9</v>
      </c>
      <c r="AC4250" t="s">
        <v>310</v>
      </c>
      <c r="AD4250">
        <v>9</v>
      </c>
      <c r="AE4250" t="s">
        <v>1412</v>
      </c>
      <c r="AF4250">
        <v>0</v>
      </c>
      <c r="AG4250" t="s">
        <v>310</v>
      </c>
      <c r="AH4250">
        <f>SUM((MID(Dyno_Data[[#This Row],[Team]],4,5))+(Dyno_Data[[#This Row],[Match]]/100))</f>
        <v>6300.76</v>
      </c>
      <c r="AI4250" s="76">
        <f>ROUND(SUM(IF(Dyno_Data[[#This Row],[AcqCenter]]&gt;0,Dyno_Data[[#This Row],[Time]]-SUMIFS(Dyno_Data[Time],Dyno_Data[Team],Dyno_Data[[#This Row],[Team]],Dyno_Data[RecordType],"StartMatch",Dyno_Data[Match],Dyno_Data[[#This Row],[Match]]),0)*86400),0)</f>
        <v>4</v>
      </c>
    </row>
    <row r="4251" spans="1:35" x14ac:dyDescent="0.3">
      <c r="A4251">
        <v>4244</v>
      </c>
      <c r="B4251" t="s">
        <v>1286</v>
      </c>
      <c r="C4251">
        <v>76</v>
      </c>
      <c r="D4251" s="105">
        <v>45374.487267164353</v>
      </c>
      <c r="E4251" t="s">
        <v>312</v>
      </c>
      <c r="F4251" t="s">
        <v>309</v>
      </c>
      <c r="G4251">
        <v>0</v>
      </c>
      <c r="H4251" t="s">
        <v>315</v>
      </c>
      <c r="I4251">
        <v>0</v>
      </c>
      <c r="J4251">
        <v>0</v>
      </c>
      <c r="K4251">
        <v>0</v>
      </c>
      <c r="L4251" t="s">
        <v>240</v>
      </c>
      <c r="M4251" t="s">
        <v>1398</v>
      </c>
      <c r="N4251">
        <v>0</v>
      </c>
      <c r="O4251" t="s">
        <v>1395</v>
      </c>
      <c r="P4251" t="s">
        <v>310</v>
      </c>
      <c r="Q4251" t="s">
        <v>310</v>
      </c>
      <c r="R4251" t="s">
        <v>310</v>
      </c>
      <c r="S4251">
        <v>9</v>
      </c>
      <c r="T4251" t="s">
        <v>310</v>
      </c>
      <c r="U4251">
        <v>9</v>
      </c>
      <c r="V4251">
        <v>9</v>
      </c>
      <c r="W4251">
        <v>0</v>
      </c>
      <c r="X4251">
        <v>0</v>
      </c>
      <c r="Y4251">
        <v>0</v>
      </c>
      <c r="Z4251">
        <v>0</v>
      </c>
      <c r="AA4251">
        <v>9</v>
      </c>
      <c r="AB4251">
        <v>9</v>
      </c>
      <c r="AC4251" t="s">
        <v>310</v>
      </c>
      <c r="AD4251">
        <v>9</v>
      </c>
      <c r="AE4251" t="s">
        <v>1417</v>
      </c>
      <c r="AF4251">
        <v>10000000</v>
      </c>
      <c r="AG4251" t="s">
        <v>310</v>
      </c>
      <c r="AH4251">
        <f>SUM((MID(Dyno_Data[[#This Row],[Team]],4,5))+(Dyno_Data[[#This Row],[Match]]/100))</f>
        <v>1591.76</v>
      </c>
      <c r="AI4251" s="76">
        <f>ROUND(SUM(IF(Dyno_Data[[#This Row],[AcqCenter]]&gt;0,Dyno_Data[[#This Row],[Time]]-SUMIFS(Dyno_Data[Time],Dyno_Data[Team],Dyno_Data[[#This Row],[Team]],Dyno_Data[RecordType],"StartMatch",Dyno_Data[Match],Dyno_Data[[#This Row],[Match]]),0)*86400),0)</f>
        <v>0</v>
      </c>
    </row>
    <row r="4252" spans="1:35" x14ac:dyDescent="0.3">
      <c r="A4252">
        <v>4266</v>
      </c>
      <c r="B4252" t="s">
        <v>1286</v>
      </c>
      <c r="C4252">
        <v>76</v>
      </c>
      <c r="D4252" s="105">
        <v>45374.487272071761</v>
      </c>
      <c r="E4252" t="s">
        <v>308</v>
      </c>
      <c r="F4252" t="s">
        <v>309</v>
      </c>
      <c r="G4252">
        <v>0</v>
      </c>
      <c r="H4252" t="s">
        <v>310</v>
      </c>
      <c r="I4252">
        <v>0</v>
      </c>
      <c r="J4252">
        <v>0</v>
      </c>
      <c r="K4252">
        <v>0</v>
      </c>
      <c r="L4252" t="s">
        <v>310</v>
      </c>
      <c r="M4252" t="s">
        <v>310</v>
      </c>
      <c r="N4252">
        <v>0</v>
      </c>
      <c r="O4252" t="s">
        <v>1395</v>
      </c>
      <c r="P4252" t="s">
        <v>310</v>
      </c>
      <c r="Q4252" t="s">
        <v>310</v>
      </c>
      <c r="R4252" t="s">
        <v>310</v>
      </c>
      <c r="S4252">
        <v>9</v>
      </c>
      <c r="T4252" t="s">
        <v>310</v>
      </c>
      <c r="U4252">
        <v>9</v>
      </c>
      <c r="V4252">
        <v>9</v>
      </c>
      <c r="W4252">
        <v>0</v>
      </c>
      <c r="X4252">
        <v>0</v>
      </c>
      <c r="Y4252">
        <v>0</v>
      </c>
      <c r="Z4252">
        <v>0</v>
      </c>
      <c r="AA4252">
        <v>9</v>
      </c>
      <c r="AB4252">
        <v>9</v>
      </c>
      <c r="AC4252" t="s">
        <v>310</v>
      </c>
      <c r="AD4252">
        <v>9</v>
      </c>
      <c r="AE4252" t="s">
        <v>1417</v>
      </c>
      <c r="AF4252">
        <v>30000000</v>
      </c>
      <c r="AG4252" t="s">
        <v>310</v>
      </c>
      <c r="AH4252">
        <f>SUM((MID(Dyno_Data[[#This Row],[Team]],4,5))+(Dyno_Data[[#This Row],[Match]]/100))</f>
        <v>1591.76</v>
      </c>
      <c r="AI4252" s="76">
        <f>ROUND(SUM(IF(Dyno_Data[[#This Row],[AcqCenter]]&gt;0,Dyno_Data[[#This Row],[Time]]-SUMIFS(Dyno_Data[Time],Dyno_Data[Team],Dyno_Data[[#This Row],[Team]],Dyno_Data[RecordType],"StartMatch",Dyno_Data[Match],Dyno_Data[[#This Row],[Match]]),0)*86400),0)</f>
        <v>0</v>
      </c>
    </row>
    <row r="4253" spans="1:35" x14ac:dyDescent="0.3">
      <c r="A4253">
        <v>4246</v>
      </c>
      <c r="B4253" t="s">
        <v>1286</v>
      </c>
      <c r="C4253">
        <v>76</v>
      </c>
      <c r="D4253" s="105">
        <v>45374.487288275464</v>
      </c>
      <c r="E4253" t="s">
        <v>312</v>
      </c>
      <c r="F4253" t="s">
        <v>309</v>
      </c>
      <c r="G4253">
        <v>0</v>
      </c>
      <c r="H4253" t="s">
        <v>315</v>
      </c>
      <c r="I4253">
        <v>0</v>
      </c>
      <c r="J4253">
        <v>0</v>
      </c>
      <c r="K4253">
        <v>0</v>
      </c>
      <c r="L4253" t="s">
        <v>240</v>
      </c>
      <c r="M4253" t="s">
        <v>1398</v>
      </c>
      <c r="N4253">
        <v>0</v>
      </c>
      <c r="O4253" t="s">
        <v>1395</v>
      </c>
      <c r="P4253" t="s">
        <v>310</v>
      </c>
      <c r="Q4253" t="s">
        <v>310</v>
      </c>
      <c r="R4253" t="s">
        <v>310</v>
      </c>
      <c r="S4253">
        <v>9</v>
      </c>
      <c r="T4253" t="s">
        <v>310</v>
      </c>
      <c r="U4253">
        <v>9</v>
      </c>
      <c r="V4253">
        <v>9</v>
      </c>
      <c r="W4253">
        <v>0</v>
      </c>
      <c r="X4253">
        <v>0</v>
      </c>
      <c r="Y4253">
        <v>0</v>
      </c>
      <c r="Z4253">
        <v>0</v>
      </c>
      <c r="AA4253">
        <v>9</v>
      </c>
      <c r="AB4253">
        <v>9</v>
      </c>
      <c r="AC4253" t="s">
        <v>310</v>
      </c>
      <c r="AD4253">
        <v>9</v>
      </c>
      <c r="AE4253" t="s">
        <v>1417</v>
      </c>
      <c r="AF4253">
        <v>20000000</v>
      </c>
      <c r="AG4253" t="s">
        <v>310</v>
      </c>
      <c r="AH4253">
        <f>SUM((MID(Dyno_Data[[#This Row],[Team]],4,5))+(Dyno_Data[[#This Row],[Match]]/100))</f>
        <v>1591.76</v>
      </c>
      <c r="AI4253" s="76">
        <f>ROUND(SUM(IF(Dyno_Data[[#This Row],[AcqCenter]]&gt;0,Dyno_Data[[#This Row],[Time]]-SUMIFS(Dyno_Data[Time],Dyno_Data[Team],Dyno_Data[[#This Row],[Team]],Dyno_Data[RecordType],"StartMatch",Dyno_Data[Match],Dyno_Data[[#This Row],[Match]]),0)*86400),0)</f>
        <v>0</v>
      </c>
    </row>
    <row r="4254" spans="1:35" x14ac:dyDescent="0.3">
      <c r="A4254">
        <v>4247</v>
      </c>
      <c r="B4254" t="s">
        <v>1312</v>
      </c>
      <c r="C4254">
        <v>76</v>
      </c>
      <c r="D4254" s="105">
        <v>45374.487294756946</v>
      </c>
      <c r="E4254" t="s">
        <v>312</v>
      </c>
      <c r="F4254" t="s">
        <v>309</v>
      </c>
      <c r="G4254">
        <v>0</v>
      </c>
      <c r="H4254" t="s">
        <v>315</v>
      </c>
      <c r="I4254">
        <v>0</v>
      </c>
      <c r="J4254">
        <v>0</v>
      </c>
      <c r="K4254">
        <v>0</v>
      </c>
      <c r="L4254" t="s">
        <v>241</v>
      </c>
      <c r="M4254" t="s">
        <v>1398</v>
      </c>
      <c r="N4254">
        <v>0</v>
      </c>
      <c r="O4254" t="s">
        <v>319</v>
      </c>
      <c r="P4254" t="s">
        <v>310</v>
      </c>
      <c r="Q4254" t="s">
        <v>310</v>
      </c>
      <c r="R4254" t="s">
        <v>310</v>
      </c>
      <c r="S4254">
        <v>9</v>
      </c>
      <c r="T4254" t="s">
        <v>310</v>
      </c>
      <c r="U4254">
        <v>9</v>
      </c>
      <c r="V4254">
        <v>9</v>
      </c>
      <c r="W4254">
        <v>0</v>
      </c>
      <c r="X4254">
        <v>0</v>
      </c>
      <c r="Y4254">
        <v>0</v>
      </c>
      <c r="Z4254">
        <v>0</v>
      </c>
      <c r="AA4254">
        <v>9</v>
      </c>
      <c r="AB4254">
        <v>9</v>
      </c>
      <c r="AC4254" t="s">
        <v>310</v>
      </c>
      <c r="AD4254">
        <v>9</v>
      </c>
      <c r="AE4254" t="s">
        <v>1416</v>
      </c>
      <c r="AF4254">
        <v>10000000</v>
      </c>
      <c r="AG4254" t="s">
        <v>310</v>
      </c>
      <c r="AH4254">
        <f>SUM((MID(Dyno_Data[[#This Row],[Team]],4,5))+(Dyno_Data[[#This Row],[Match]]/100))</f>
        <v>2053.7600000000002</v>
      </c>
      <c r="AI4254" s="76">
        <f>ROUND(SUM(IF(Dyno_Data[[#This Row],[AcqCenter]]&gt;0,Dyno_Data[[#This Row],[Time]]-SUMIFS(Dyno_Data[Time],Dyno_Data[Team],Dyno_Data[[#This Row],[Team]],Dyno_Data[RecordType],"StartMatch",Dyno_Data[Match],Dyno_Data[[#This Row],[Match]]),0)*86400),0)</f>
        <v>0</v>
      </c>
    </row>
    <row r="4255" spans="1:35" x14ac:dyDescent="0.3">
      <c r="A4255">
        <v>4248</v>
      </c>
      <c r="B4255" t="s">
        <v>1295</v>
      </c>
      <c r="C4255">
        <v>76</v>
      </c>
      <c r="D4255" s="105">
        <v>45374.487303506947</v>
      </c>
      <c r="E4255" t="s">
        <v>312</v>
      </c>
      <c r="F4255" t="s">
        <v>309</v>
      </c>
      <c r="G4255">
        <v>0</v>
      </c>
      <c r="H4255" t="s">
        <v>143</v>
      </c>
      <c r="I4255">
        <v>0</v>
      </c>
      <c r="J4255">
        <v>0</v>
      </c>
      <c r="K4255">
        <v>0</v>
      </c>
      <c r="L4255" t="s">
        <v>241</v>
      </c>
      <c r="M4255" t="s">
        <v>1398</v>
      </c>
      <c r="N4255">
        <v>0</v>
      </c>
      <c r="O4255" t="s">
        <v>1393</v>
      </c>
      <c r="P4255" t="s">
        <v>310</v>
      </c>
      <c r="Q4255" t="s">
        <v>310</v>
      </c>
      <c r="R4255" t="s">
        <v>310</v>
      </c>
      <c r="S4255">
        <v>9</v>
      </c>
      <c r="T4255" t="s">
        <v>310</v>
      </c>
      <c r="U4255">
        <v>9</v>
      </c>
      <c r="V4255">
        <v>9</v>
      </c>
      <c r="W4255">
        <v>0</v>
      </c>
      <c r="X4255">
        <v>0</v>
      </c>
      <c r="Y4255">
        <v>0</v>
      </c>
      <c r="Z4255">
        <v>0</v>
      </c>
      <c r="AA4255">
        <v>9</v>
      </c>
      <c r="AB4255">
        <v>9</v>
      </c>
      <c r="AC4255" t="s">
        <v>310</v>
      </c>
      <c r="AD4255">
        <v>9</v>
      </c>
      <c r="AE4255" t="s">
        <v>1412</v>
      </c>
      <c r="AF4255">
        <v>0</v>
      </c>
      <c r="AG4255" t="s">
        <v>310</v>
      </c>
      <c r="AH4255">
        <f>SUM((MID(Dyno_Data[[#This Row],[Team]],4,5))+(Dyno_Data[[#This Row],[Match]]/100))</f>
        <v>6300.76</v>
      </c>
      <c r="AI4255" s="76">
        <f>ROUND(SUM(IF(Dyno_Data[[#This Row],[AcqCenter]]&gt;0,Dyno_Data[[#This Row],[Time]]-SUMIFS(Dyno_Data[Time],Dyno_Data[Team],Dyno_Data[[#This Row],[Team]],Dyno_Data[RecordType],"StartMatch",Dyno_Data[Match],Dyno_Data[[#This Row],[Match]]),0)*86400),0)</f>
        <v>0</v>
      </c>
    </row>
    <row r="4256" spans="1:35" x14ac:dyDescent="0.3">
      <c r="A4256">
        <v>4249</v>
      </c>
      <c r="B4256" t="s">
        <v>1295</v>
      </c>
      <c r="C4256">
        <v>76</v>
      </c>
      <c r="D4256" s="105">
        <v>45374.487332604163</v>
      </c>
      <c r="E4256" t="s">
        <v>312</v>
      </c>
      <c r="F4256" t="s">
        <v>309</v>
      </c>
      <c r="G4256">
        <v>0</v>
      </c>
      <c r="H4256" t="s">
        <v>143</v>
      </c>
      <c r="I4256">
        <v>2</v>
      </c>
      <c r="J4256">
        <v>1</v>
      </c>
      <c r="K4256">
        <v>0</v>
      </c>
      <c r="L4256" t="s">
        <v>310</v>
      </c>
      <c r="M4256" t="s">
        <v>310</v>
      </c>
      <c r="N4256">
        <v>0</v>
      </c>
      <c r="O4256" t="s">
        <v>1393</v>
      </c>
      <c r="P4256" t="s">
        <v>310</v>
      </c>
      <c r="Q4256" t="s">
        <v>310</v>
      </c>
      <c r="R4256" t="s">
        <v>310</v>
      </c>
      <c r="S4256">
        <v>9</v>
      </c>
      <c r="T4256" t="s">
        <v>310</v>
      </c>
      <c r="U4256">
        <v>9</v>
      </c>
      <c r="V4256">
        <v>9</v>
      </c>
      <c r="W4256">
        <v>0</v>
      </c>
      <c r="X4256">
        <v>0</v>
      </c>
      <c r="Y4256">
        <v>0</v>
      </c>
      <c r="Z4256">
        <v>0</v>
      </c>
      <c r="AA4256">
        <v>9</v>
      </c>
      <c r="AB4256">
        <v>9</v>
      </c>
      <c r="AC4256" t="s">
        <v>310</v>
      </c>
      <c r="AD4256">
        <v>9</v>
      </c>
      <c r="AE4256" t="s">
        <v>1412</v>
      </c>
      <c r="AF4256">
        <v>0</v>
      </c>
      <c r="AG4256" t="s">
        <v>310</v>
      </c>
      <c r="AH4256">
        <f>SUM((MID(Dyno_Data[[#This Row],[Team]],4,5))+(Dyno_Data[[#This Row],[Match]]/100))</f>
        <v>6300.76</v>
      </c>
      <c r="AI4256" s="76">
        <f>ROUND(SUM(IF(Dyno_Data[[#This Row],[AcqCenter]]&gt;0,Dyno_Data[[#This Row],[Time]]-SUMIFS(Dyno_Data[Time],Dyno_Data[Team],Dyno_Data[[#This Row],[Team]],Dyno_Data[RecordType],"StartMatch",Dyno_Data[Match],Dyno_Data[[#This Row],[Match]]),0)*86400),0)</f>
        <v>11</v>
      </c>
    </row>
    <row r="4257" spans="1:35" x14ac:dyDescent="0.3">
      <c r="A4257">
        <v>4251</v>
      </c>
      <c r="B4257" t="s">
        <v>1286</v>
      </c>
      <c r="C4257">
        <v>76</v>
      </c>
      <c r="D4257" s="105">
        <v>45374.48734644676</v>
      </c>
      <c r="E4257" t="s">
        <v>312</v>
      </c>
      <c r="F4257" t="s">
        <v>309</v>
      </c>
      <c r="G4257">
        <v>0</v>
      </c>
      <c r="H4257" t="s">
        <v>143</v>
      </c>
      <c r="I4257">
        <v>5</v>
      </c>
      <c r="J4257">
        <v>-1</v>
      </c>
      <c r="K4257">
        <v>0</v>
      </c>
      <c r="L4257" t="s">
        <v>310</v>
      </c>
      <c r="M4257" t="s">
        <v>310</v>
      </c>
      <c r="N4257">
        <v>0</v>
      </c>
      <c r="O4257" t="s">
        <v>1395</v>
      </c>
      <c r="P4257" t="s">
        <v>310</v>
      </c>
      <c r="Q4257" t="s">
        <v>310</v>
      </c>
      <c r="R4257" t="s">
        <v>310</v>
      </c>
      <c r="S4257">
        <v>9</v>
      </c>
      <c r="T4257" t="s">
        <v>310</v>
      </c>
      <c r="U4257">
        <v>9</v>
      </c>
      <c r="V4257">
        <v>9</v>
      </c>
      <c r="W4257">
        <v>0</v>
      </c>
      <c r="X4257">
        <v>0</v>
      </c>
      <c r="Y4257">
        <v>0</v>
      </c>
      <c r="Z4257">
        <v>0</v>
      </c>
      <c r="AA4257">
        <v>9</v>
      </c>
      <c r="AB4257">
        <v>9</v>
      </c>
      <c r="AC4257" t="s">
        <v>310</v>
      </c>
      <c r="AD4257">
        <v>9</v>
      </c>
      <c r="AE4257" t="s">
        <v>1417</v>
      </c>
      <c r="AF4257">
        <v>20000000</v>
      </c>
      <c r="AG4257" t="s">
        <v>310</v>
      </c>
      <c r="AH4257">
        <f>SUM((MID(Dyno_Data[[#This Row],[Team]],4,5))+(Dyno_Data[[#This Row],[Match]]/100))</f>
        <v>1591.76</v>
      </c>
      <c r="AI4257" s="76">
        <f>ROUND(SUM(IF(Dyno_Data[[#This Row],[AcqCenter]]&gt;0,Dyno_Data[[#This Row],[Time]]-SUMIFS(Dyno_Data[Time],Dyno_Data[Team],Dyno_Data[[#This Row],[Team]],Dyno_Data[RecordType],"StartMatch",Dyno_Data[Match],Dyno_Data[[#This Row],[Match]]),0)*86400),0)</f>
        <v>6</v>
      </c>
    </row>
    <row r="4258" spans="1:35" x14ac:dyDescent="0.3">
      <c r="A4258">
        <v>4250</v>
      </c>
      <c r="B4258" t="s">
        <v>1312</v>
      </c>
      <c r="C4258">
        <v>76</v>
      </c>
      <c r="D4258" s="105">
        <v>45374.487349305557</v>
      </c>
      <c r="E4258" t="s">
        <v>312</v>
      </c>
      <c r="F4258" t="s">
        <v>309</v>
      </c>
      <c r="G4258">
        <v>0</v>
      </c>
      <c r="H4258" t="s">
        <v>315</v>
      </c>
      <c r="I4258">
        <v>0</v>
      </c>
      <c r="J4258">
        <v>0</v>
      </c>
      <c r="K4258">
        <v>0</v>
      </c>
      <c r="L4258" t="s">
        <v>241</v>
      </c>
      <c r="M4258" t="s">
        <v>1398</v>
      </c>
      <c r="N4258">
        <v>0</v>
      </c>
      <c r="O4258" t="s">
        <v>319</v>
      </c>
      <c r="P4258" t="s">
        <v>310</v>
      </c>
      <c r="Q4258" t="s">
        <v>310</v>
      </c>
      <c r="R4258" t="s">
        <v>310</v>
      </c>
      <c r="S4258">
        <v>9</v>
      </c>
      <c r="T4258" t="s">
        <v>310</v>
      </c>
      <c r="U4258">
        <v>9</v>
      </c>
      <c r="V4258">
        <v>9</v>
      </c>
      <c r="W4258">
        <v>0</v>
      </c>
      <c r="X4258">
        <v>0</v>
      </c>
      <c r="Y4258">
        <v>0</v>
      </c>
      <c r="Z4258">
        <v>0</v>
      </c>
      <c r="AA4258">
        <v>9</v>
      </c>
      <c r="AB4258">
        <v>9</v>
      </c>
      <c r="AC4258" t="s">
        <v>310</v>
      </c>
      <c r="AD4258">
        <v>9</v>
      </c>
      <c r="AE4258" t="s">
        <v>1416</v>
      </c>
      <c r="AF4258">
        <v>20000000</v>
      </c>
      <c r="AG4258" t="s">
        <v>310</v>
      </c>
      <c r="AH4258">
        <f>SUM((MID(Dyno_Data[[#This Row],[Team]],4,5))+(Dyno_Data[[#This Row],[Match]]/100))</f>
        <v>2053.7600000000002</v>
      </c>
      <c r="AI4258" s="76">
        <f>ROUND(SUM(IF(Dyno_Data[[#This Row],[AcqCenter]]&gt;0,Dyno_Data[[#This Row],[Time]]-SUMIFS(Dyno_Data[Time],Dyno_Data[Team],Dyno_Data[[#This Row],[Team]],Dyno_Data[RecordType],"StartMatch",Dyno_Data[Match],Dyno_Data[[#This Row],[Match]]),0)*86400),0)</f>
        <v>0</v>
      </c>
    </row>
    <row r="4259" spans="1:35" x14ac:dyDescent="0.3">
      <c r="A4259">
        <v>4252</v>
      </c>
      <c r="B4259" t="s">
        <v>1295</v>
      </c>
      <c r="C4259">
        <v>76</v>
      </c>
      <c r="D4259" s="105">
        <v>45374.487380057872</v>
      </c>
      <c r="E4259" t="s">
        <v>312</v>
      </c>
      <c r="F4259" t="s">
        <v>309</v>
      </c>
      <c r="G4259">
        <v>0</v>
      </c>
      <c r="H4259" t="s">
        <v>143</v>
      </c>
      <c r="I4259">
        <v>0</v>
      </c>
      <c r="J4259">
        <v>0</v>
      </c>
      <c r="K4259">
        <v>0</v>
      </c>
      <c r="L4259" t="s">
        <v>241</v>
      </c>
      <c r="M4259" t="s">
        <v>1398</v>
      </c>
      <c r="N4259">
        <v>0</v>
      </c>
      <c r="O4259" t="s">
        <v>1393</v>
      </c>
      <c r="P4259" t="s">
        <v>310</v>
      </c>
      <c r="Q4259" t="s">
        <v>310</v>
      </c>
      <c r="R4259" t="s">
        <v>310</v>
      </c>
      <c r="S4259">
        <v>9</v>
      </c>
      <c r="T4259" t="s">
        <v>310</v>
      </c>
      <c r="U4259">
        <v>9</v>
      </c>
      <c r="V4259">
        <v>9</v>
      </c>
      <c r="W4259">
        <v>0</v>
      </c>
      <c r="X4259">
        <v>0</v>
      </c>
      <c r="Y4259">
        <v>0</v>
      </c>
      <c r="Z4259">
        <v>0</v>
      </c>
      <c r="AA4259">
        <v>9</v>
      </c>
      <c r="AB4259">
        <v>9</v>
      </c>
      <c r="AC4259" t="s">
        <v>310</v>
      </c>
      <c r="AD4259">
        <v>9</v>
      </c>
      <c r="AE4259" t="s">
        <v>1412</v>
      </c>
      <c r="AF4259">
        <v>0</v>
      </c>
      <c r="AG4259" t="s">
        <v>310</v>
      </c>
      <c r="AH4259">
        <f>SUM((MID(Dyno_Data[[#This Row],[Team]],4,5))+(Dyno_Data[[#This Row],[Match]]/100))</f>
        <v>6300.76</v>
      </c>
      <c r="AI4259" s="76">
        <f>ROUND(SUM(IF(Dyno_Data[[#This Row],[AcqCenter]]&gt;0,Dyno_Data[[#This Row],[Time]]-SUMIFS(Dyno_Data[Time],Dyno_Data[Team],Dyno_Data[[#This Row],[Team]],Dyno_Data[RecordType],"StartMatch",Dyno_Data[Match],Dyno_Data[[#This Row],[Match]]),0)*86400),0)</f>
        <v>0</v>
      </c>
    </row>
    <row r="4260" spans="1:35" x14ac:dyDescent="0.3">
      <c r="A4260">
        <v>4253</v>
      </c>
      <c r="B4260" t="s">
        <v>1286</v>
      </c>
      <c r="C4260">
        <v>76</v>
      </c>
      <c r="D4260" s="105">
        <v>45374.487392326388</v>
      </c>
      <c r="E4260" t="s">
        <v>312</v>
      </c>
      <c r="F4260" t="s">
        <v>309</v>
      </c>
      <c r="G4260">
        <v>0</v>
      </c>
      <c r="H4260" t="s">
        <v>315</v>
      </c>
      <c r="I4260">
        <v>0</v>
      </c>
      <c r="J4260">
        <v>0</v>
      </c>
      <c r="K4260">
        <v>0</v>
      </c>
      <c r="L4260" t="s">
        <v>242</v>
      </c>
      <c r="M4260" t="s">
        <v>1398</v>
      </c>
      <c r="N4260">
        <v>0</v>
      </c>
      <c r="O4260" t="s">
        <v>1395</v>
      </c>
      <c r="P4260" t="s">
        <v>310</v>
      </c>
      <c r="Q4260" t="s">
        <v>310</v>
      </c>
      <c r="R4260" t="s">
        <v>310</v>
      </c>
      <c r="S4260">
        <v>9</v>
      </c>
      <c r="T4260" t="s">
        <v>310</v>
      </c>
      <c r="U4260">
        <v>9</v>
      </c>
      <c r="V4260">
        <v>9</v>
      </c>
      <c r="W4260">
        <v>0</v>
      </c>
      <c r="X4260">
        <v>0</v>
      </c>
      <c r="Y4260">
        <v>0</v>
      </c>
      <c r="Z4260">
        <v>0</v>
      </c>
      <c r="AA4260">
        <v>9</v>
      </c>
      <c r="AB4260">
        <v>9</v>
      </c>
      <c r="AC4260" t="s">
        <v>310</v>
      </c>
      <c r="AD4260">
        <v>9</v>
      </c>
      <c r="AE4260" t="s">
        <v>1417</v>
      </c>
      <c r="AF4260">
        <v>30000000</v>
      </c>
      <c r="AG4260" t="s">
        <v>310</v>
      </c>
      <c r="AH4260">
        <f>SUM((MID(Dyno_Data[[#This Row],[Team]],4,5))+(Dyno_Data[[#This Row],[Match]]/100))</f>
        <v>1591.76</v>
      </c>
      <c r="AI4260" s="76">
        <f>ROUND(SUM(IF(Dyno_Data[[#This Row],[AcqCenter]]&gt;0,Dyno_Data[[#This Row],[Time]]-SUMIFS(Dyno_Data[Time],Dyno_Data[Team],Dyno_Data[[#This Row],[Team]],Dyno_Data[RecordType],"StartMatch",Dyno_Data[Match],Dyno_Data[[#This Row],[Match]]),0)*86400),0)</f>
        <v>0</v>
      </c>
    </row>
    <row r="4261" spans="1:35" x14ac:dyDescent="0.3">
      <c r="A4261">
        <v>4255</v>
      </c>
      <c r="B4261" t="s">
        <v>1312</v>
      </c>
      <c r="C4261">
        <v>76</v>
      </c>
      <c r="D4261" s="105">
        <v>45374.487412581017</v>
      </c>
      <c r="E4261" t="s">
        <v>314</v>
      </c>
      <c r="F4261" t="s">
        <v>309</v>
      </c>
      <c r="G4261">
        <v>1</v>
      </c>
      <c r="H4261" t="s">
        <v>310</v>
      </c>
      <c r="I4261">
        <v>0</v>
      </c>
      <c r="J4261">
        <v>0</v>
      </c>
      <c r="K4261">
        <v>0</v>
      </c>
      <c r="L4261" t="s">
        <v>310</v>
      </c>
      <c r="M4261" t="s">
        <v>310</v>
      </c>
      <c r="N4261">
        <v>0</v>
      </c>
      <c r="O4261" t="s">
        <v>319</v>
      </c>
      <c r="P4261" t="s">
        <v>240</v>
      </c>
      <c r="Q4261" t="s">
        <v>1399</v>
      </c>
      <c r="R4261" t="s">
        <v>310</v>
      </c>
      <c r="S4261">
        <v>9</v>
      </c>
      <c r="T4261" t="s">
        <v>310</v>
      </c>
      <c r="U4261">
        <v>9</v>
      </c>
      <c r="V4261">
        <v>9</v>
      </c>
      <c r="W4261">
        <v>0</v>
      </c>
      <c r="X4261">
        <v>0</v>
      </c>
      <c r="Y4261">
        <v>0</v>
      </c>
      <c r="Z4261">
        <v>0</v>
      </c>
      <c r="AA4261">
        <v>9</v>
      </c>
      <c r="AB4261">
        <v>9</v>
      </c>
      <c r="AC4261" t="s">
        <v>310</v>
      </c>
      <c r="AD4261">
        <v>9</v>
      </c>
      <c r="AE4261" t="s">
        <v>1416</v>
      </c>
      <c r="AF4261">
        <v>20000000</v>
      </c>
      <c r="AG4261" t="s">
        <v>310</v>
      </c>
      <c r="AH4261">
        <f>SUM((MID(Dyno_Data[[#This Row],[Team]],4,5))+(Dyno_Data[[#This Row],[Match]]/100))</f>
        <v>2053.7600000000002</v>
      </c>
      <c r="AI4261" s="76">
        <f>ROUND(SUM(IF(Dyno_Data[[#This Row],[AcqCenter]]&gt;0,Dyno_Data[[#This Row],[Time]]-SUMIFS(Dyno_Data[Time],Dyno_Data[Team],Dyno_Data[[#This Row],[Team]],Dyno_Data[RecordType],"StartMatch",Dyno_Data[Match],Dyno_Data[[#This Row],[Match]]),0)*86400),0)</f>
        <v>0</v>
      </c>
    </row>
    <row r="4262" spans="1:35" x14ac:dyDescent="0.3">
      <c r="A4262">
        <v>4257</v>
      </c>
      <c r="B4262" t="s">
        <v>1275</v>
      </c>
      <c r="C4262">
        <v>76</v>
      </c>
      <c r="D4262" s="105">
        <v>45374.487416979166</v>
      </c>
      <c r="E4262" t="s">
        <v>314</v>
      </c>
      <c r="F4262" t="s">
        <v>309</v>
      </c>
      <c r="G4262">
        <v>1</v>
      </c>
      <c r="H4262" t="s">
        <v>310</v>
      </c>
      <c r="I4262">
        <v>0</v>
      </c>
      <c r="J4262">
        <v>0</v>
      </c>
      <c r="K4262">
        <v>0</v>
      </c>
      <c r="L4262" t="s">
        <v>310</v>
      </c>
      <c r="M4262" t="s">
        <v>310</v>
      </c>
      <c r="N4262">
        <v>0</v>
      </c>
      <c r="O4262" t="s">
        <v>1391</v>
      </c>
      <c r="P4262" t="s">
        <v>1401</v>
      </c>
      <c r="Q4262" t="s">
        <v>1400</v>
      </c>
      <c r="R4262" t="s">
        <v>310</v>
      </c>
      <c r="S4262">
        <v>9</v>
      </c>
      <c r="T4262" t="s">
        <v>310</v>
      </c>
      <c r="U4262">
        <v>9</v>
      </c>
      <c r="V4262">
        <v>9</v>
      </c>
      <c r="W4262">
        <v>0</v>
      </c>
      <c r="X4262">
        <v>0</v>
      </c>
      <c r="Y4262">
        <v>0</v>
      </c>
      <c r="Z4262">
        <v>0</v>
      </c>
      <c r="AA4262">
        <v>9</v>
      </c>
      <c r="AB4262">
        <v>9</v>
      </c>
      <c r="AC4262" t="s">
        <v>310</v>
      </c>
      <c r="AD4262">
        <v>9</v>
      </c>
      <c r="AE4262" t="s">
        <v>1413</v>
      </c>
      <c r="AF4262">
        <v>0</v>
      </c>
      <c r="AG4262" t="s">
        <v>310</v>
      </c>
      <c r="AH4262">
        <f>SUM((MID(Dyno_Data[[#This Row],[Team]],4,5))+(Dyno_Data[[#This Row],[Match]]/100))</f>
        <v>1880.76</v>
      </c>
      <c r="AI4262" s="76">
        <f>ROUND(SUM(IF(Dyno_Data[[#This Row],[AcqCenter]]&gt;0,Dyno_Data[[#This Row],[Time]]-SUMIFS(Dyno_Data[Time],Dyno_Data[Team],Dyno_Data[[#This Row],[Team]],Dyno_Data[RecordType],"StartMatch",Dyno_Data[Match],Dyno_Data[[#This Row],[Match]]),0)*86400),0)</f>
        <v>0</v>
      </c>
    </row>
    <row r="4263" spans="1:35" x14ac:dyDescent="0.3">
      <c r="A4263">
        <v>4259</v>
      </c>
      <c r="B4263" t="s">
        <v>1295</v>
      </c>
      <c r="C4263">
        <v>76</v>
      </c>
      <c r="D4263" s="105">
        <v>45374.487417627315</v>
      </c>
      <c r="E4263" t="s">
        <v>314</v>
      </c>
      <c r="F4263" t="s">
        <v>309</v>
      </c>
      <c r="G4263">
        <v>1</v>
      </c>
      <c r="H4263" t="s">
        <v>310</v>
      </c>
      <c r="I4263">
        <v>0</v>
      </c>
      <c r="J4263">
        <v>0</v>
      </c>
      <c r="K4263">
        <v>0</v>
      </c>
      <c r="L4263" t="s">
        <v>310</v>
      </c>
      <c r="M4263" t="s">
        <v>310</v>
      </c>
      <c r="N4263">
        <v>0</v>
      </c>
      <c r="O4263" t="s">
        <v>1393</v>
      </c>
      <c r="P4263" t="s">
        <v>1401</v>
      </c>
      <c r="Q4263" t="s">
        <v>1399</v>
      </c>
      <c r="R4263" t="s">
        <v>310</v>
      </c>
      <c r="S4263">
        <v>9</v>
      </c>
      <c r="T4263" t="s">
        <v>310</v>
      </c>
      <c r="U4263">
        <v>9</v>
      </c>
      <c r="V4263">
        <v>9</v>
      </c>
      <c r="W4263">
        <v>0</v>
      </c>
      <c r="X4263">
        <v>0</v>
      </c>
      <c r="Y4263">
        <v>0</v>
      </c>
      <c r="Z4263">
        <v>0</v>
      </c>
      <c r="AA4263">
        <v>9</v>
      </c>
      <c r="AB4263">
        <v>9</v>
      </c>
      <c r="AC4263" t="s">
        <v>310</v>
      </c>
      <c r="AD4263">
        <v>9</v>
      </c>
      <c r="AE4263" t="s">
        <v>1412</v>
      </c>
      <c r="AF4263">
        <v>0</v>
      </c>
      <c r="AG4263" t="s">
        <v>310</v>
      </c>
      <c r="AH4263">
        <f>SUM((MID(Dyno_Data[[#This Row],[Team]],4,5))+(Dyno_Data[[#This Row],[Match]]/100))</f>
        <v>6300.76</v>
      </c>
      <c r="AI4263" s="76">
        <f>ROUND(SUM(IF(Dyno_Data[[#This Row],[AcqCenter]]&gt;0,Dyno_Data[[#This Row],[Time]]-SUMIFS(Dyno_Data[Time],Dyno_Data[Team],Dyno_Data[[#This Row],[Team]],Dyno_Data[RecordType],"StartMatch",Dyno_Data[Match],Dyno_Data[[#This Row],[Match]]),0)*86400),0)</f>
        <v>0</v>
      </c>
    </row>
    <row r="4264" spans="1:35" x14ac:dyDescent="0.3">
      <c r="A4264">
        <v>4261</v>
      </c>
      <c r="B4264" t="s">
        <v>1289</v>
      </c>
      <c r="C4264">
        <v>76</v>
      </c>
      <c r="D4264" s="105">
        <v>45374.487421956015</v>
      </c>
      <c r="E4264" t="s">
        <v>314</v>
      </c>
      <c r="F4264" t="s">
        <v>309</v>
      </c>
      <c r="G4264">
        <v>1</v>
      </c>
      <c r="H4264" t="s">
        <v>310</v>
      </c>
      <c r="I4264">
        <v>0</v>
      </c>
      <c r="J4264">
        <v>0</v>
      </c>
      <c r="K4264">
        <v>0</v>
      </c>
      <c r="L4264" t="s">
        <v>310</v>
      </c>
      <c r="M4264" t="s">
        <v>310</v>
      </c>
      <c r="N4264">
        <v>0</v>
      </c>
      <c r="O4264" t="s">
        <v>311</v>
      </c>
      <c r="P4264" t="s">
        <v>320</v>
      </c>
      <c r="Q4264" t="s">
        <v>1400</v>
      </c>
      <c r="R4264" t="s">
        <v>310</v>
      </c>
      <c r="S4264">
        <v>9</v>
      </c>
      <c r="T4264" t="s">
        <v>310</v>
      </c>
      <c r="U4264">
        <v>9</v>
      </c>
      <c r="V4264">
        <v>9</v>
      </c>
      <c r="W4264">
        <v>0</v>
      </c>
      <c r="X4264">
        <v>0</v>
      </c>
      <c r="Y4264">
        <v>0</v>
      </c>
      <c r="Z4264">
        <v>0</v>
      </c>
      <c r="AA4264">
        <v>9</v>
      </c>
      <c r="AB4264">
        <v>9</v>
      </c>
      <c r="AC4264" t="s">
        <v>310</v>
      </c>
      <c r="AD4264">
        <v>9</v>
      </c>
      <c r="AE4264" t="s">
        <v>1418</v>
      </c>
      <c r="AF4264">
        <v>0</v>
      </c>
      <c r="AG4264" t="s">
        <v>310</v>
      </c>
      <c r="AH4264">
        <f>SUM((MID(Dyno_Data[[#This Row],[Team]],4,5))+(Dyno_Data[[#This Row],[Match]]/100))</f>
        <v>6648.76</v>
      </c>
      <c r="AI4264" s="76">
        <f>ROUND(SUM(IF(Dyno_Data[[#This Row],[AcqCenter]]&gt;0,Dyno_Data[[#This Row],[Time]]-SUMIFS(Dyno_Data[Time],Dyno_Data[Team],Dyno_Data[[#This Row],[Team]],Dyno_Data[RecordType],"StartMatch",Dyno_Data[Match],Dyno_Data[[#This Row],[Match]]),0)*86400),0)</f>
        <v>0</v>
      </c>
    </row>
    <row r="4265" spans="1:35" x14ac:dyDescent="0.3">
      <c r="A4265">
        <v>4263</v>
      </c>
      <c r="B4265" t="s">
        <v>1301</v>
      </c>
      <c r="C4265">
        <v>76</v>
      </c>
      <c r="D4265" s="105">
        <v>45374.487423379629</v>
      </c>
      <c r="E4265" t="s">
        <v>314</v>
      </c>
      <c r="F4265" t="s">
        <v>309</v>
      </c>
      <c r="G4265">
        <v>0</v>
      </c>
      <c r="H4265" t="s">
        <v>310</v>
      </c>
      <c r="I4265">
        <v>0</v>
      </c>
      <c r="J4265">
        <v>0</v>
      </c>
      <c r="K4265">
        <v>0</v>
      </c>
      <c r="L4265" t="s">
        <v>310</v>
      </c>
      <c r="M4265" t="s">
        <v>310</v>
      </c>
      <c r="N4265">
        <v>0</v>
      </c>
      <c r="O4265" t="s">
        <v>1389</v>
      </c>
      <c r="P4265" t="s">
        <v>101</v>
      </c>
      <c r="Q4265" t="s">
        <v>1400</v>
      </c>
      <c r="R4265" t="s">
        <v>310</v>
      </c>
      <c r="S4265">
        <v>9</v>
      </c>
      <c r="T4265" t="s">
        <v>310</v>
      </c>
      <c r="U4265">
        <v>9</v>
      </c>
      <c r="V4265">
        <v>9</v>
      </c>
      <c r="W4265">
        <v>0</v>
      </c>
      <c r="X4265">
        <v>0</v>
      </c>
      <c r="Y4265">
        <v>0</v>
      </c>
      <c r="Z4265">
        <v>0</v>
      </c>
      <c r="AA4265">
        <v>9</v>
      </c>
      <c r="AB4265">
        <v>9</v>
      </c>
      <c r="AC4265" t="s">
        <v>310</v>
      </c>
      <c r="AD4265">
        <v>9</v>
      </c>
      <c r="AE4265" t="s">
        <v>1414</v>
      </c>
      <c r="AF4265">
        <v>0</v>
      </c>
      <c r="AG4265" t="s">
        <v>310</v>
      </c>
      <c r="AH4265">
        <f>SUM((MID(Dyno_Data[[#This Row],[Team]],4,5))+(Dyno_Data[[#This Row],[Match]]/100))</f>
        <v>7031.76</v>
      </c>
      <c r="AI4265" s="76">
        <f>ROUND(SUM(IF(Dyno_Data[[#This Row],[AcqCenter]]&gt;0,Dyno_Data[[#This Row],[Time]]-SUMIFS(Dyno_Data[Time],Dyno_Data[Team],Dyno_Data[[#This Row],[Team]],Dyno_Data[RecordType],"StartMatch",Dyno_Data[Match],Dyno_Data[[#This Row],[Match]]),0)*86400),0)</f>
        <v>0</v>
      </c>
    </row>
    <row r="4266" spans="1:35" x14ac:dyDescent="0.3">
      <c r="A4266">
        <v>4264</v>
      </c>
      <c r="B4266" t="s">
        <v>1286</v>
      </c>
      <c r="C4266">
        <v>76</v>
      </c>
      <c r="D4266" s="105">
        <v>45374.487449155095</v>
      </c>
      <c r="E4266" t="s">
        <v>312</v>
      </c>
      <c r="F4266" t="s">
        <v>309</v>
      </c>
      <c r="G4266">
        <v>0</v>
      </c>
      <c r="H4266" t="s">
        <v>143</v>
      </c>
      <c r="I4266">
        <v>4</v>
      </c>
      <c r="J4266">
        <v>-1</v>
      </c>
      <c r="K4266">
        <v>0</v>
      </c>
      <c r="L4266" t="s">
        <v>310</v>
      </c>
      <c r="M4266" t="s">
        <v>310</v>
      </c>
      <c r="N4266">
        <v>0</v>
      </c>
      <c r="O4266" t="s">
        <v>1395</v>
      </c>
      <c r="P4266" t="s">
        <v>310</v>
      </c>
      <c r="Q4266" t="s">
        <v>310</v>
      </c>
      <c r="R4266" t="s">
        <v>310</v>
      </c>
      <c r="S4266">
        <v>9</v>
      </c>
      <c r="T4266" t="s">
        <v>310</v>
      </c>
      <c r="U4266">
        <v>9</v>
      </c>
      <c r="V4266">
        <v>9</v>
      </c>
      <c r="W4266">
        <v>0</v>
      </c>
      <c r="X4266">
        <v>0</v>
      </c>
      <c r="Y4266">
        <v>0</v>
      </c>
      <c r="Z4266">
        <v>0</v>
      </c>
      <c r="AA4266">
        <v>9</v>
      </c>
      <c r="AB4266">
        <v>9</v>
      </c>
      <c r="AC4266" t="s">
        <v>310</v>
      </c>
      <c r="AD4266">
        <v>9</v>
      </c>
      <c r="AE4266" t="s">
        <v>1417</v>
      </c>
      <c r="AF4266">
        <v>30000000</v>
      </c>
      <c r="AG4266" t="s">
        <v>310</v>
      </c>
      <c r="AH4266">
        <f>SUM((MID(Dyno_Data[[#This Row],[Team]],4,5))+(Dyno_Data[[#This Row],[Match]]/100))</f>
        <v>1591.76</v>
      </c>
      <c r="AI4266" s="76">
        <f>ROUND(SUM(IF(Dyno_Data[[#This Row],[AcqCenter]]&gt;0,Dyno_Data[[#This Row],[Time]]-SUMIFS(Dyno_Data[Time],Dyno_Data[Team],Dyno_Data[[#This Row],[Team]],Dyno_Data[RecordType],"StartMatch",Dyno_Data[Match],Dyno_Data[[#This Row],[Match]]),0)*86400),0)</f>
        <v>15</v>
      </c>
    </row>
    <row r="4267" spans="1:35" x14ac:dyDescent="0.3">
      <c r="A4267">
        <v>4265</v>
      </c>
      <c r="B4267" t="s">
        <v>1312</v>
      </c>
      <c r="C4267">
        <v>76</v>
      </c>
      <c r="D4267" s="105">
        <v>45374.487473877314</v>
      </c>
      <c r="E4267" t="s">
        <v>312</v>
      </c>
      <c r="F4267" t="s">
        <v>1402</v>
      </c>
      <c r="G4267">
        <v>0</v>
      </c>
      <c r="H4267" t="s">
        <v>315</v>
      </c>
      <c r="I4267">
        <v>0</v>
      </c>
      <c r="J4267">
        <v>0</v>
      </c>
      <c r="K4267">
        <v>0</v>
      </c>
      <c r="L4267" t="s">
        <v>241</v>
      </c>
      <c r="M4267" t="s">
        <v>101</v>
      </c>
      <c r="N4267">
        <v>0</v>
      </c>
      <c r="O4267" t="s">
        <v>319</v>
      </c>
      <c r="P4267" t="s">
        <v>310</v>
      </c>
      <c r="Q4267" t="s">
        <v>310</v>
      </c>
      <c r="R4267" t="s">
        <v>310</v>
      </c>
      <c r="S4267">
        <v>9</v>
      </c>
      <c r="T4267" t="s">
        <v>310</v>
      </c>
      <c r="U4267">
        <v>9</v>
      </c>
      <c r="V4267">
        <v>9</v>
      </c>
      <c r="W4267">
        <v>0</v>
      </c>
      <c r="X4267">
        <v>0</v>
      </c>
      <c r="Y4267">
        <v>0</v>
      </c>
      <c r="Z4267">
        <v>0</v>
      </c>
      <c r="AA4267">
        <v>9</v>
      </c>
      <c r="AB4267">
        <v>9</v>
      </c>
      <c r="AC4267" t="s">
        <v>310</v>
      </c>
      <c r="AD4267">
        <v>9</v>
      </c>
      <c r="AE4267" t="s">
        <v>1416</v>
      </c>
      <c r="AF4267">
        <v>30000000</v>
      </c>
      <c r="AG4267" t="s">
        <v>310</v>
      </c>
      <c r="AH4267">
        <f>SUM((MID(Dyno_Data[[#This Row],[Team]],4,5))+(Dyno_Data[[#This Row],[Match]]/100))</f>
        <v>2053.7600000000002</v>
      </c>
      <c r="AI4267" s="76">
        <f>ROUND(SUM(IF(Dyno_Data[[#This Row],[AcqCenter]]&gt;0,Dyno_Data[[#This Row],[Time]]-SUMIFS(Dyno_Data[Time],Dyno_Data[Team],Dyno_Data[[#This Row],[Team]],Dyno_Data[RecordType],"StartMatch",Dyno_Data[Match],Dyno_Data[[#This Row],[Match]]),0)*86400),0)</f>
        <v>0</v>
      </c>
    </row>
    <row r="4268" spans="1:35" x14ac:dyDescent="0.3">
      <c r="A4268">
        <v>4267</v>
      </c>
      <c r="B4268" t="s">
        <v>1286</v>
      </c>
      <c r="C4268">
        <v>76</v>
      </c>
      <c r="D4268" s="105">
        <v>45374.487480405092</v>
      </c>
      <c r="E4268" t="s">
        <v>314</v>
      </c>
      <c r="F4268" t="s">
        <v>309</v>
      </c>
      <c r="G4268">
        <v>1</v>
      </c>
      <c r="H4268" t="s">
        <v>310</v>
      </c>
      <c r="I4268">
        <v>0</v>
      </c>
      <c r="J4268">
        <v>0</v>
      </c>
      <c r="K4268">
        <v>0</v>
      </c>
      <c r="L4268" t="s">
        <v>310</v>
      </c>
      <c r="M4268" t="s">
        <v>310</v>
      </c>
      <c r="N4268">
        <v>0</v>
      </c>
      <c r="O4268" t="s">
        <v>1395</v>
      </c>
      <c r="P4268" t="s">
        <v>240</v>
      </c>
      <c r="Q4268" t="s">
        <v>1400</v>
      </c>
      <c r="R4268" t="s">
        <v>310</v>
      </c>
      <c r="S4268">
        <v>9</v>
      </c>
      <c r="T4268" t="s">
        <v>310</v>
      </c>
      <c r="U4268">
        <v>9</v>
      </c>
      <c r="V4268">
        <v>9</v>
      </c>
      <c r="W4268">
        <v>0</v>
      </c>
      <c r="X4268">
        <v>0</v>
      </c>
      <c r="Y4268">
        <v>0</v>
      </c>
      <c r="Z4268">
        <v>0</v>
      </c>
      <c r="AA4268">
        <v>9</v>
      </c>
      <c r="AB4268">
        <v>9</v>
      </c>
      <c r="AC4268" t="s">
        <v>310</v>
      </c>
      <c r="AD4268">
        <v>9</v>
      </c>
      <c r="AE4268" t="s">
        <v>1417</v>
      </c>
      <c r="AF4268">
        <v>30000000</v>
      </c>
      <c r="AG4268" t="s">
        <v>310</v>
      </c>
      <c r="AH4268">
        <f>SUM((MID(Dyno_Data[[#This Row],[Team]],4,5))+(Dyno_Data[[#This Row],[Match]]/100))</f>
        <v>1591.76</v>
      </c>
      <c r="AI4268" s="76">
        <f>ROUND(SUM(IF(Dyno_Data[[#This Row],[AcqCenter]]&gt;0,Dyno_Data[[#This Row],[Time]]-SUMIFS(Dyno_Data[Time],Dyno_Data[Team],Dyno_Data[[#This Row],[Team]],Dyno_Data[RecordType],"StartMatch",Dyno_Data[Match],Dyno_Data[[#This Row],[Match]]),0)*86400),0)</f>
        <v>0</v>
      </c>
    </row>
    <row r="4269" spans="1:35" x14ac:dyDescent="0.3">
      <c r="A4269">
        <v>4268</v>
      </c>
      <c r="B4269" t="s">
        <v>1295</v>
      </c>
      <c r="C4269">
        <v>76</v>
      </c>
      <c r="D4269" s="105">
        <v>45374.487516631947</v>
      </c>
      <c r="E4269" t="s">
        <v>312</v>
      </c>
      <c r="F4269" t="s">
        <v>1402</v>
      </c>
      <c r="G4269">
        <v>0</v>
      </c>
      <c r="H4269" t="s">
        <v>315</v>
      </c>
      <c r="I4269">
        <v>0</v>
      </c>
      <c r="J4269">
        <v>0</v>
      </c>
      <c r="K4269">
        <v>0</v>
      </c>
      <c r="L4269" t="s">
        <v>241</v>
      </c>
      <c r="M4269" t="s">
        <v>101</v>
      </c>
      <c r="N4269">
        <v>0</v>
      </c>
      <c r="O4269" t="s">
        <v>1393</v>
      </c>
      <c r="P4269" t="s">
        <v>310</v>
      </c>
      <c r="Q4269" t="s">
        <v>310</v>
      </c>
      <c r="R4269" t="s">
        <v>310</v>
      </c>
      <c r="S4269">
        <v>9</v>
      </c>
      <c r="T4269" t="s">
        <v>310</v>
      </c>
      <c r="U4269">
        <v>9</v>
      </c>
      <c r="V4269">
        <v>9</v>
      </c>
      <c r="W4269">
        <v>0</v>
      </c>
      <c r="X4269">
        <v>0</v>
      </c>
      <c r="Y4269">
        <v>0</v>
      </c>
      <c r="Z4269">
        <v>0</v>
      </c>
      <c r="AA4269">
        <v>9</v>
      </c>
      <c r="AB4269">
        <v>9</v>
      </c>
      <c r="AC4269" t="s">
        <v>310</v>
      </c>
      <c r="AD4269">
        <v>9</v>
      </c>
      <c r="AE4269" t="s">
        <v>1412</v>
      </c>
      <c r="AF4269">
        <v>10000000</v>
      </c>
      <c r="AG4269" t="s">
        <v>310</v>
      </c>
      <c r="AH4269">
        <f>SUM((MID(Dyno_Data[[#This Row],[Team]],4,5))+(Dyno_Data[[#This Row],[Match]]/100))</f>
        <v>6300.76</v>
      </c>
      <c r="AI4269" s="76">
        <f>ROUND(SUM(IF(Dyno_Data[[#This Row],[AcqCenter]]&gt;0,Dyno_Data[[#This Row],[Time]]-SUMIFS(Dyno_Data[Time],Dyno_Data[Team],Dyno_Data[[#This Row],[Team]],Dyno_Data[RecordType],"StartMatch",Dyno_Data[Match],Dyno_Data[[#This Row],[Match]]),0)*86400),0)</f>
        <v>0</v>
      </c>
    </row>
    <row r="4270" spans="1:35" x14ac:dyDescent="0.3">
      <c r="A4270">
        <v>4269</v>
      </c>
      <c r="B4270" t="s">
        <v>1312</v>
      </c>
      <c r="C4270">
        <v>76</v>
      </c>
      <c r="D4270" s="105">
        <v>45374.487517974536</v>
      </c>
      <c r="E4270" t="s">
        <v>312</v>
      </c>
      <c r="F4270" t="s">
        <v>1402</v>
      </c>
      <c r="G4270">
        <v>0</v>
      </c>
      <c r="H4270" t="s">
        <v>315</v>
      </c>
      <c r="I4270">
        <v>0</v>
      </c>
      <c r="J4270">
        <v>0</v>
      </c>
      <c r="K4270">
        <v>0</v>
      </c>
      <c r="L4270" t="s">
        <v>241</v>
      </c>
      <c r="M4270" t="s">
        <v>1398</v>
      </c>
      <c r="N4270">
        <v>0</v>
      </c>
      <c r="O4270" t="s">
        <v>319</v>
      </c>
      <c r="P4270" t="s">
        <v>310</v>
      </c>
      <c r="Q4270" t="s">
        <v>310</v>
      </c>
      <c r="R4270" t="s">
        <v>310</v>
      </c>
      <c r="S4270">
        <v>9</v>
      </c>
      <c r="T4270" t="s">
        <v>310</v>
      </c>
      <c r="U4270">
        <v>9</v>
      </c>
      <c r="V4270">
        <v>9</v>
      </c>
      <c r="W4270">
        <v>0</v>
      </c>
      <c r="X4270">
        <v>0</v>
      </c>
      <c r="Y4270">
        <v>0</v>
      </c>
      <c r="Z4270">
        <v>0</v>
      </c>
      <c r="AA4270">
        <v>9</v>
      </c>
      <c r="AB4270">
        <v>9</v>
      </c>
      <c r="AC4270" t="s">
        <v>310</v>
      </c>
      <c r="AD4270">
        <v>9</v>
      </c>
      <c r="AE4270" t="s">
        <v>1416</v>
      </c>
      <c r="AF4270">
        <v>40000000</v>
      </c>
      <c r="AG4270" t="s">
        <v>310</v>
      </c>
      <c r="AH4270">
        <f>SUM((MID(Dyno_Data[[#This Row],[Team]],4,5))+(Dyno_Data[[#This Row],[Match]]/100))</f>
        <v>2053.7600000000002</v>
      </c>
      <c r="AI4270" s="76">
        <f>ROUND(SUM(IF(Dyno_Data[[#This Row],[AcqCenter]]&gt;0,Dyno_Data[[#This Row],[Time]]-SUMIFS(Dyno_Data[Time],Dyno_Data[Team],Dyno_Data[[#This Row],[Team]],Dyno_Data[RecordType],"StartMatch",Dyno_Data[Match],Dyno_Data[[#This Row],[Match]]),0)*86400),0)</f>
        <v>0</v>
      </c>
    </row>
    <row r="4271" spans="1:35" x14ac:dyDescent="0.3">
      <c r="A4271">
        <v>4270</v>
      </c>
      <c r="B4271" t="s">
        <v>1286</v>
      </c>
      <c r="C4271">
        <v>76</v>
      </c>
      <c r="D4271" s="105">
        <v>45374.487526076387</v>
      </c>
      <c r="E4271" t="s">
        <v>312</v>
      </c>
      <c r="F4271" t="s">
        <v>1402</v>
      </c>
      <c r="G4271">
        <v>0</v>
      </c>
      <c r="H4271" t="s">
        <v>315</v>
      </c>
      <c r="I4271">
        <v>0</v>
      </c>
      <c r="J4271">
        <v>0</v>
      </c>
      <c r="K4271">
        <v>0</v>
      </c>
      <c r="L4271" t="s">
        <v>241</v>
      </c>
      <c r="M4271" t="s">
        <v>1398</v>
      </c>
      <c r="N4271">
        <v>0</v>
      </c>
      <c r="O4271" t="s">
        <v>1395</v>
      </c>
      <c r="P4271" t="s">
        <v>310</v>
      </c>
      <c r="Q4271" t="s">
        <v>310</v>
      </c>
      <c r="R4271" t="s">
        <v>310</v>
      </c>
      <c r="S4271">
        <v>9</v>
      </c>
      <c r="T4271" t="s">
        <v>310</v>
      </c>
      <c r="U4271">
        <v>9</v>
      </c>
      <c r="V4271">
        <v>9</v>
      </c>
      <c r="W4271">
        <v>0</v>
      </c>
      <c r="X4271">
        <v>0</v>
      </c>
      <c r="Y4271">
        <v>0</v>
      </c>
      <c r="Z4271">
        <v>0</v>
      </c>
      <c r="AA4271">
        <v>9</v>
      </c>
      <c r="AB4271">
        <v>9</v>
      </c>
      <c r="AC4271" t="s">
        <v>310</v>
      </c>
      <c r="AD4271">
        <v>9</v>
      </c>
      <c r="AE4271" t="s">
        <v>1417</v>
      </c>
      <c r="AF4271">
        <v>40000000</v>
      </c>
      <c r="AG4271" t="s">
        <v>310</v>
      </c>
      <c r="AH4271">
        <f>SUM((MID(Dyno_Data[[#This Row],[Team]],4,5))+(Dyno_Data[[#This Row],[Match]]/100))</f>
        <v>1591.76</v>
      </c>
      <c r="AI4271" s="76">
        <f>ROUND(SUM(IF(Dyno_Data[[#This Row],[AcqCenter]]&gt;0,Dyno_Data[[#This Row],[Time]]-SUMIFS(Dyno_Data[Time],Dyno_Data[Team],Dyno_Data[[#This Row],[Team]],Dyno_Data[RecordType],"StartMatch",Dyno_Data[Match],Dyno_Data[[#This Row],[Match]]),0)*86400),0)</f>
        <v>0</v>
      </c>
    </row>
    <row r="4272" spans="1:35" x14ac:dyDescent="0.3">
      <c r="A4272">
        <v>4271</v>
      </c>
      <c r="B4272" t="s">
        <v>1286</v>
      </c>
      <c r="C4272">
        <v>76</v>
      </c>
      <c r="D4272" s="105">
        <v>45374.487605706017</v>
      </c>
      <c r="E4272" t="s">
        <v>312</v>
      </c>
      <c r="F4272" t="s">
        <v>1402</v>
      </c>
      <c r="G4272">
        <v>0</v>
      </c>
      <c r="H4272" t="s">
        <v>315</v>
      </c>
      <c r="I4272">
        <v>0</v>
      </c>
      <c r="J4272">
        <v>0</v>
      </c>
      <c r="K4272">
        <v>0</v>
      </c>
      <c r="L4272" t="s">
        <v>313</v>
      </c>
      <c r="M4272" t="s">
        <v>1398</v>
      </c>
      <c r="N4272">
        <v>0</v>
      </c>
      <c r="O4272" t="s">
        <v>1395</v>
      </c>
      <c r="P4272" t="s">
        <v>310</v>
      </c>
      <c r="Q4272" t="s">
        <v>310</v>
      </c>
      <c r="R4272" t="s">
        <v>310</v>
      </c>
      <c r="S4272">
        <v>9</v>
      </c>
      <c r="T4272" t="s">
        <v>310</v>
      </c>
      <c r="U4272">
        <v>9</v>
      </c>
      <c r="V4272">
        <v>9</v>
      </c>
      <c r="W4272">
        <v>0</v>
      </c>
      <c r="X4272">
        <v>0</v>
      </c>
      <c r="Y4272">
        <v>0</v>
      </c>
      <c r="Z4272">
        <v>0</v>
      </c>
      <c r="AA4272">
        <v>9</v>
      </c>
      <c r="AB4272">
        <v>9</v>
      </c>
      <c r="AC4272" t="s">
        <v>310</v>
      </c>
      <c r="AD4272">
        <v>9</v>
      </c>
      <c r="AE4272" t="s">
        <v>1417</v>
      </c>
      <c r="AF4272">
        <v>50000000</v>
      </c>
      <c r="AG4272" t="s">
        <v>310</v>
      </c>
      <c r="AH4272">
        <f>SUM((MID(Dyno_Data[[#This Row],[Team]],4,5))+(Dyno_Data[[#This Row],[Match]]/100))</f>
        <v>1591.76</v>
      </c>
      <c r="AI4272" s="76">
        <f>ROUND(SUM(IF(Dyno_Data[[#This Row],[AcqCenter]]&gt;0,Dyno_Data[[#This Row],[Time]]-SUMIFS(Dyno_Data[Time],Dyno_Data[Team],Dyno_Data[[#This Row],[Team]],Dyno_Data[RecordType],"StartMatch",Dyno_Data[Match],Dyno_Data[[#This Row],[Match]]),0)*86400),0)</f>
        <v>0</v>
      </c>
    </row>
    <row r="4273" spans="1:35" x14ac:dyDescent="0.3">
      <c r="A4273">
        <v>4272</v>
      </c>
      <c r="B4273" t="s">
        <v>1312</v>
      </c>
      <c r="C4273">
        <v>76</v>
      </c>
      <c r="D4273" s="105">
        <v>45374.487614699072</v>
      </c>
      <c r="E4273" t="s">
        <v>312</v>
      </c>
      <c r="F4273" t="s">
        <v>1402</v>
      </c>
      <c r="G4273">
        <v>0</v>
      </c>
      <c r="H4273" t="s">
        <v>315</v>
      </c>
      <c r="I4273">
        <v>0</v>
      </c>
      <c r="J4273">
        <v>0</v>
      </c>
      <c r="K4273">
        <v>0</v>
      </c>
      <c r="L4273" t="s">
        <v>241</v>
      </c>
      <c r="M4273" t="s">
        <v>1398</v>
      </c>
      <c r="N4273">
        <v>0</v>
      </c>
      <c r="O4273" t="s">
        <v>319</v>
      </c>
      <c r="P4273" t="s">
        <v>310</v>
      </c>
      <c r="Q4273" t="s">
        <v>310</v>
      </c>
      <c r="R4273" t="s">
        <v>310</v>
      </c>
      <c r="S4273">
        <v>9</v>
      </c>
      <c r="T4273" t="s">
        <v>310</v>
      </c>
      <c r="U4273">
        <v>9</v>
      </c>
      <c r="V4273">
        <v>9</v>
      </c>
      <c r="W4273">
        <v>0</v>
      </c>
      <c r="X4273">
        <v>0</v>
      </c>
      <c r="Y4273">
        <v>0</v>
      </c>
      <c r="Z4273">
        <v>0</v>
      </c>
      <c r="AA4273">
        <v>9</v>
      </c>
      <c r="AB4273">
        <v>9</v>
      </c>
      <c r="AC4273" t="s">
        <v>310</v>
      </c>
      <c r="AD4273">
        <v>9</v>
      </c>
      <c r="AE4273" t="s">
        <v>1416</v>
      </c>
      <c r="AF4273">
        <v>50000000</v>
      </c>
      <c r="AG4273" t="s">
        <v>310</v>
      </c>
      <c r="AH4273">
        <f>SUM((MID(Dyno_Data[[#This Row],[Team]],4,5))+(Dyno_Data[[#This Row],[Match]]/100))</f>
        <v>2053.7600000000002</v>
      </c>
      <c r="AI4273" s="76">
        <f>ROUND(SUM(IF(Dyno_Data[[#This Row],[AcqCenter]]&gt;0,Dyno_Data[[#This Row],[Time]]-SUMIFS(Dyno_Data[Time],Dyno_Data[Team],Dyno_Data[[#This Row],[Team]],Dyno_Data[RecordType],"StartMatch",Dyno_Data[Match],Dyno_Data[[#This Row],[Match]]),0)*86400),0)</f>
        <v>0</v>
      </c>
    </row>
    <row r="4274" spans="1:35" x14ac:dyDescent="0.3">
      <c r="A4274">
        <v>4273</v>
      </c>
      <c r="B4274" t="s">
        <v>1295</v>
      </c>
      <c r="C4274">
        <v>76</v>
      </c>
      <c r="D4274" s="105">
        <v>45374.487618206018</v>
      </c>
      <c r="E4274" t="s">
        <v>312</v>
      </c>
      <c r="F4274" t="s">
        <v>1402</v>
      </c>
      <c r="G4274">
        <v>0</v>
      </c>
      <c r="H4274" t="s">
        <v>315</v>
      </c>
      <c r="I4274">
        <v>0</v>
      </c>
      <c r="J4274">
        <v>0</v>
      </c>
      <c r="K4274">
        <v>0</v>
      </c>
      <c r="L4274" t="s">
        <v>241</v>
      </c>
      <c r="M4274" t="s">
        <v>101</v>
      </c>
      <c r="N4274">
        <v>0</v>
      </c>
      <c r="O4274" t="s">
        <v>1393</v>
      </c>
      <c r="P4274" t="s">
        <v>310</v>
      </c>
      <c r="Q4274" t="s">
        <v>310</v>
      </c>
      <c r="R4274" t="s">
        <v>310</v>
      </c>
      <c r="S4274">
        <v>9</v>
      </c>
      <c r="T4274" t="s">
        <v>310</v>
      </c>
      <c r="U4274">
        <v>9</v>
      </c>
      <c r="V4274">
        <v>9</v>
      </c>
      <c r="W4274">
        <v>0</v>
      </c>
      <c r="X4274">
        <v>0</v>
      </c>
      <c r="Y4274">
        <v>0</v>
      </c>
      <c r="Z4274">
        <v>0</v>
      </c>
      <c r="AA4274">
        <v>9</v>
      </c>
      <c r="AB4274">
        <v>9</v>
      </c>
      <c r="AC4274" t="s">
        <v>310</v>
      </c>
      <c r="AD4274">
        <v>9</v>
      </c>
      <c r="AE4274" t="s">
        <v>1412</v>
      </c>
      <c r="AF4274">
        <v>20000000</v>
      </c>
      <c r="AG4274" t="s">
        <v>310</v>
      </c>
      <c r="AH4274">
        <f>SUM((MID(Dyno_Data[[#This Row],[Team]],4,5))+(Dyno_Data[[#This Row],[Match]]/100))</f>
        <v>6300.76</v>
      </c>
      <c r="AI4274" s="76">
        <f>ROUND(SUM(IF(Dyno_Data[[#This Row],[AcqCenter]]&gt;0,Dyno_Data[[#This Row],[Time]]-SUMIFS(Dyno_Data[Time],Dyno_Data[Team],Dyno_Data[[#This Row],[Team]],Dyno_Data[RecordType],"StartMatch",Dyno_Data[Match],Dyno_Data[[#This Row],[Match]]),0)*86400),0)</f>
        <v>0</v>
      </c>
    </row>
    <row r="4275" spans="1:35" x14ac:dyDescent="0.3">
      <c r="A4275">
        <v>4274</v>
      </c>
      <c r="B4275" t="s">
        <v>1286</v>
      </c>
      <c r="C4275">
        <v>76</v>
      </c>
      <c r="D4275" s="105">
        <v>45374.487664039349</v>
      </c>
      <c r="E4275" t="s">
        <v>312</v>
      </c>
      <c r="F4275" t="s">
        <v>1402</v>
      </c>
      <c r="G4275">
        <v>0</v>
      </c>
      <c r="H4275" t="s">
        <v>315</v>
      </c>
      <c r="I4275">
        <v>0</v>
      </c>
      <c r="J4275">
        <v>0</v>
      </c>
      <c r="K4275">
        <v>0</v>
      </c>
      <c r="L4275" t="s">
        <v>241</v>
      </c>
      <c r="M4275" t="s">
        <v>1398</v>
      </c>
      <c r="N4275">
        <v>0</v>
      </c>
      <c r="O4275" t="s">
        <v>1395</v>
      </c>
      <c r="P4275" t="s">
        <v>310</v>
      </c>
      <c r="Q4275" t="s">
        <v>310</v>
      </c>
      <c r="R4275" t="s">
        <v>310</v>
      </c>
      <c r="S4275">
        <v>9</v>
      </c>
      <c r="T4275" t="s">
        <v>310</v>
      </c>
      <c r="U4275">
        <v>9</v>
      </c>
      <c r="V4275">
        <v>9</v>
      </c>
      <c r="W4275">
        <v>0</v>
      </c>
      <c r="X4275">
        <v>0</v>
      </c>
      <c r="Y4275">
        <v>0</v>
      </c>
      <c r="Z4275">
        <v>0</v>
      </c>
      <c r="AA4275">
        <v>9</v>
      </c>
      <c r="AB4275">
        <v>9</v>
      </c>
      <c r="AC4275" t="s">
        <v>310</v>
      </c>
      <c r="AD4275">
        <v>9</v>
      </c>
      <c r="AE4275" t="s">
        <v>1417</v>
      </c>
      <c r="AF4275">
        <v>60000000</v>
      </c>
      <c r="AG4275" t="s">
        <v>310</v>
      </c>
      <c r="AH4275">
        <f>SUM((MID(Dyno_Data[[#This Row],[Team]],4,5))+(Dyno_Data[[#This Row],[Match]]/100))</f>
        <v>1591.76</v>
      </c>
      <c r="AI4275" s="76">
        <f>ROUND(SUM(IF(Dyno_Data[[#This Row],[AcqCenter]]&gt;0,Dyno_Data[[#This Row],[Time]]-SUMIFS(Dyno_Data[Time],Dyno_Data[Team],Dyno_Data[[#This Row],[Team]],Dyno_Data[RecordType],"StartMatch",Dyno_Data[Match],Dyno_Data[[#This Row],[Match]]),0)*86400),0)</f>
        <v>0</v>
      </c>
    </row>
    <row r="4276" spans="1:35" x14ac:dyDescent="0.3">
      <c r="A4276">
        <v>4275</v>
      </c>
      <c r="B4276" t="s">
        <v>1289</v>
      </c>
      <c r="C4276">
        <v>76</v>
      </c>
      <c r="D4276" s="105">
        <v>45374.487716122683</v>
      </c>
      <c r="E4276" t="s">
        <v>312</v>
      </c>
      <c r="F4276" t="s">
        <v>1402</v>
      </c>
      <c r="G4276">
        <v>0</v>
      </c>
      <c r="H4276" t="s">
        <v>1397</v>
      </c>
      <c r="I4276">
        <v>0</v>
      </c>
      <c r="J4276">
        <v>0</v>
      </c>
      <c r="K4276">
        <v>0</v>
      </c>
      <c r="L4276" t="s">
        <v>241</v>
      </c>
      <c r="M4276" t="s">
        <v>101</v>
      </c>
      <c r="N4276">
        <v>0</v>
      </c>
      <c r="O4276" t="s">
        <v>311</v>
      </c>
      <c r="P4276" t="s">
        <v>310</v>
      </c>
      <c r="Q4276" t="s">
        <v>310</v>
      </c>
      <c r="R4276" t="s">
        <v>310</v>
      </c>
      <c r="S4276">
        <v>9</v>
      </c>
      <c r="T4276" t="s">
        <v>310</v>
      </c>
      <c r="U4276">
        <v>9</v>
      </c>
      <c r="V4276">
        <v>9</v>
      </c>
      <c r="W4276">
        <v>0</v>
      </c>
      <c r="X4276">
        <v>0</v>
      </c>
      <c r="Y4276">
        <v>0</v>
      </c>
      <c r="Z4276">
        <v>0</v>
      </c>
      <c r="AA4276">
        <v>9</v>
      </c>
      <c r="AB4276">
        <v>9</v>
      </c>
      <c r="AC4276" t="s">
        <v>310</v>
      </c>
      <c r="AD4276">
        <v>9</v>
      </c>
      <c r="AE4276" t="s">
        <v>1418</v>
      </c>
      <c r="AF4276">
        <v>0</v>
      </c>
      <c r="AG4276" t="s">
        <v>310</v>
      </c>
      <c r="AH4276">
        <f>SUM((MID(Dyno_Data[[#This Row],[Team]],4,5))+(Dyno_Data[[#This Row],[Match]]/100))</f>
        <v>6648.76</v>
      </c>
      <c r="AI4276" s="76">
        <f>ROUND(SUM(IF(Dyno_Data[[#This Row],[AcqCenter]]&gt;0,Dyno_Data[[#This Row],[Time]]-SUMIFS(Dyno_Data[Time],Dyno_Data[Team],Dyno_Data[[#This Row],[Team]],Dyno_Data[RecordType],"StartMatch",Dyno_Data[Match],Dyno_Data[[#This Row],[Match]]),0)*86400),0)</f>
        <v>0</v>
      </c>
    </row>
    <row r="4277" spans="1:35" x14ac:dyDescent="0.3">
      <c r="A4277">
        <v>4276</v>
      </c>
      <c r="B4277" t="s">
        <v>1312</v>
      </c>
      <c r="C4277">
        <v>76</v>
      </c>
      <c r="D4277" s="105">
        <v>45374.487797881942</v>
      </c>
      <c r="E4277" t="s">
        <v>312</v>
      </c>
      <c r="F4277" t="s">
        <v>1402</v>
      </c>
      <c r="G4277">
        <v>0</v>
      </c>
      <c r="H4277" t="s">
        <v>315</v>
      </c>
      <c r="I4277">
        <v>0</v>
      </c>
      <c r="J4277">
        <v>0</v>
      </c>
      <c r="K4277">
        <v>0</v>
      </c>
      <c r="L4277" t="s">
        <v>241</v>
      </c>
      <c r="M4277" t="s">
        <v>1398</v>
      </c>
      <c r="N4277">
        <v>0</v>
      </c>
      <c r="O4277" t="s">
        <v>319</v>
      </c>
      <c r="P4277" t="s">
        <v>310</v>
      </c>
      <c r="Q4277" t="s">
        <v>310</v>
      </c>
      <c r="R4277" t="s">
        <v>310</v>
      </c>
      <c r="S4277">
        <v>9</v>
      </c>
      <c r="T4277" t="s">
        <v>310</v>
      </c>
      <c r="U4277">
        <v>9</v>
      </c>
      <c r="V4277">
        <v>9</v>
      </c>
      <c r="W4277">
        <v>0</v>
      </c>
      <c r="X4277">
        <v>0</v>
      </c>
      <c r="Y4277">
        <v>0</v>
      </c>
      <c r="Z4277">
        <v>0</v>
      </c>
      <c r="AA4277">
        <v>9</v>
      </c>
      <c r="AB4277">
        <v>9</v>
      </c>
      <c r="AC4277" t="s">
        <v>310</v>
      </c>
      <c r="AD4277">
        <v>9</v>
      </c>
      <c r="AE4277" t="s">
        <v>1416</v>
      </c>
      <c r="AF4277">
        <v>60000000</v>
      </c>
      <c r="AG4277" t="s">
        <v>310</v>
      </c>
      <c r="AH4277">
        <f>SUM((MID(Dyno_Data[[#This Row],[Team]],4,5))+(Dyno_Data[[#This Row],[Match]]/100))</f>
        <v>2053.7600000000002</v>
      </c>
      <c r="AI4277" s="76">
        <f>ROUND(SUM(IF(Dyno_Data[[#This Row],[AcqCenter]]&gt;0,Dyno_Data[[#This Row],[Time]]-SUMIFS(Dyno_Data[Time],Dyno_Data[Team],Dyno_Data[[#This Row],[Team]],Dyno_Data[RecordType],"StartMatch",Dyno_Data[Match],Dyno_Data[[#This Row],[Match]]),0)*86400),0)</f>
        <v>0</v>
      </c>
    </row>
    <row r="4278" spans="1:35" x14ac:dyDescent="0.3">
      <c r="A4278">
        <v>4277</v>
      </c>
      <c r="B4278" t="s">
        <v>1295</v>
      </c>
      <c r="C4278">
        <v>76</v>
      </c>
      <c r="D4278" s="105">
        <v>45374.487806481484</v>
      </c>
      <c r="E4278" t="s">
        <v>312</v>
      </c>
      <c r="F4278" t="s">
        <v>1402</v>
      </c>
      <c r="G4278">
        <v>0</v>
      </c>
      <c r="H4278" t="s">
        <v>315</v>
      </c>
      <c r="I4278">
        <v>0</v>
      </c>
      <c r="J4278">
        <v>0</v>
      </c>
      <c r="K4278">
        <v>0</v>
      </c>
      <c r="L4278" t="s">
        <v>241</v>
      </c>
      <c r="M4278" t="s">
        <v>101</v>
      </c>
      <c r="N4278">
        <v>0</v>
      </c>
      <c r="O4278" t="s">
        <v>1393</v>
      </c>
      <c r="P4278" t="s">
        <v>310</v>
      </c>
      <c r="Q4278" t="s">
        <v>310</v>
      </c>
      <c r="R4278" t="s">
        <v>310</v>
      </c>
      <c r="S4278">
        <v>9</v>
      </c>
      <c r="T4278" t="s">
        <v>310</v>
      </c>
      <c r="U4278">
        <v>9</v>
      </c>
      <c r="V4278">
        <v>9</v>
      </c>
      <c r="W4278">
        <v>0</v>
      </c>
      <c r="X4278">
        <v>0</v>
      </c>
      <c r="Y4278">
        <v>0</v>
      </c>
      <c r="Z4278">
        <v>0</v>
      </c>
      <c r="AA4278">
        <v>9</v>
      </c>
      <c r="AB4278">
        <v>9</v>
      </c>
      <c r="AC4278" t="s">
        <v>310</v>
      </c>
      <c r="AD4278">
        <v>9</v>
      </c>
      <c r="AE4278" t="s">
        <v>1412</v>
      </c>
      <c r="AF4278">
        <v>30000000</v>
      </c>
      <c r="AG4278" t="s">
        <v>310</v>
      </c>
      <c r="AH4278">
        <f>SUM((MID(Dyno_Data[[#This Row],[Team]],4,5))+(Dyno_Data[[#This Row],[Match]]/100))</f>
        <v>6300.76</v>
      </c>
      <c r="AI4278" s="76">
        <f>ROUND(SUM(IF(Dyno_Data[[#This Row],[AcqCenter]]&gt;0,Dyno_Data[[#This Row],[Time]]-SUMIFS(Dyno_Data[Time],Dyno_Data[Team],Dyno_Data[[#This Row],[Team]],Dyno_Data[RecordType],"StartMatch",Dyno_Data[Match],Dyno_Data[[#This Row],[Match]]),0)*86400),0)</f>
        <v>0</v>
      </c>
    </row>
    <row r="4279" spans="1:35" x14ac:dyDescent="0.3">
      <c r="A4279">
        <v>4278</v>
      </c>
      <c r="B4279" t="s">
        <v>1286</v>
      </c>
      <c r="C4279">
        <v>76</v>
      </c>
      <c r="D4279" s="105">
        <v>45374.487810219907</v>
      </c>
      <c r="E4279" t="s">
        <v>312</v>
      </c>
      <c r="F4279" t="s">
        <v>1402</v>
      </c>
      <c r="G4279">
        <v>0</v>
      </c>
      <c r="H4279" t="s">
        <v>315</v>
      </c>
      <c r="I4279">
        <v>0</v>
      </c>
      <c r="J4279">
        <v>0</v>
      </c>
      <c r="K4279">
        <v>0</v>
      </c>
      <c r="L4279" t="s">
        <v>241</v>
      </c>
      <c r="M4279" t="s">
        <v>1398</v>
      </c>
      <c r="N4279">
        <v>0</v>
      </c>
      <c r="O4279" t="s">
        <v>1395</v>
      </c>
      <c r="P4279" t="s">
        <v>310</v>
      </c>
      <c r="Q4279" t="s">
        <v>310</v>
      </c>
      <c r="R4279" t="s">
        <v>310</v>
      </c>
      <c r="S4279">
        <v>9</v>
      </c>
      <c r="T4279" t="s">
        <v>310</v>
      </c>
      <c r="U4279">
        <v>9</v>
      </c>
      <c r="V4279">
        <v>9</v>
      </c>
      <c r="W4279">
        <v>0</v>
      </c>
      <c r="X4279">
        <v>0</v>
      </c>
      <c r="Y4279">
        <v>0</v>
      </c>
      <c r="Z4279">
        <v>0</v>
      </c>
      <c r="AA4279">
        <v>9</v>
      </c>
      <c r="AB4279">
        <v>9</v>
      </c>
      <c r="AC4279" t="s">
        <v>310</v>
      </c>
      <c r="AD4279">
        <v>9</v>
      </c>
      <c r="AE4279" t="s">
        <v>1417</v>
      </c>
      <c r="AF4279">
        <v>70000000</v>
      </c>
      <c r="AG4279" t="s">
        <v>310</v>
      </c>
      <c r="AH4279">
        <f>SUM((MID(Dyno_Data[[#This Row],[Team]],4,5))+(Dyno_Data[[#This Row],[Match]]/100))</f>
        <v>1591.76</v>
      </c>
      <c r="AI4279" s="76">
        <f>ROUND(SUM(IF(Dyno_Data[[#This Row],[AcqCenter]]&gt;0,Dyno_Data[[#This Row],[Time]]-SUMIFS(Dyno_Data[Time],Dyno_Data[Team],Dyno_Data[[#This Row],[Team]],Dyno_Data[RecordType],"StartMatch",Dyno_Data[Match],Dyno_Data[[#This Row],[Match]]),0)*86400),0)</f>
        <v>0</v>
      </c>
    </row>
    <row r="4280" spans="1:35" x14ac:dyDescent="0.3">
      <c r="A4280">
        <v>4279</v>
      </c>
      <c r="B4280" t="s">
        <v>1275</v>
      </c>
      <c r="C4280">
        <v>76</v>
      </c>
      <c r="D4280" s="105">
        <v>45374.487848726851</v>
      </c>
      <c r="E4280" t="s">
        <v>312</v>
      </c>
      <c r="F4280" t="s">
        <v>1402</v>
      </c>
      <c r="G4280">
        <v>0</v>
      </c>
      <c r="H4280" t="s">
        <v>315</v>
      </c>
      <c r="I4280">
        <v>0</v>
      </c>
      <c r="J4280">
        <v>0</v>
      </c>
      <c r="K4280">
        <v>0</v>
      </c>
      <c r="L4280" t="s">
        <v>241</v>
      </c>
      <c r="M4280" t="s">
        <v>1398</v>
      </c>
      <c r="N4280">
        <v>0</v>
      </c>
      <c r="O4280" t="s">
        <v>1391</v>
      </c>
      <c r="P4280" t="s">
        <v>310</v>
      </c>
      <c r="Q4280" t="s">
        <v>310</v>
      </c>
      <c r="R4280" t="s">
        <v>310</v>
      </c>
      <c r="S4280">
        <v>9</v>
      </c>
      <c r="T4280" t="s">
        <v>310</v>
      </c>
      <c r="U4280">
        <v>9</v>
      </c>
      <c r="V4280">
        <v>9</v>
      </c>
      <c r="W4280">
        <v>0</v>
      </c>
      <c r="X4280">
        <v>0</v>
      </c>
      <c r="Y4280">
        <v>0</v>
      </c>
      <c r="Z4280">
        <v>0</v>
      </c>
      <c r="AA4280">
        <v>9</v>
      </c>
      <c r="AB4280">
        <v>9</v>
      </c>
      <c r="AC4280" t="s">
        <v>310</v>
      </c>
      <c r="AD4280">
        <v>9</v>
      </c>
      <c r="AE4280" t="s">
        <v>1413</v>
      </c>
      <c r="AF4280">
        <v>10000000</v>
      </c>
      <c r="AG4280" t="s">
        <v>310</v>
      </c>
      <c r="AH4280">
        <f>SUM((MID(Dyno_Data[[#This Row],[Team]],4,5))+(Dyno_Data[[#This Row],[Match]]/100))</f>
        <v>1880.76</v>
      </c>
      <c r="AI4280" s="76">
        <f>ROUND(SUM(IF(Dyno_Data[[#This Row],[AcqCenter]]&gt;0,Dyno_Data[[#This Row],[Time]]-SUMIFS(Dyno_Data[Time],Dyno_Data[Team],Dyno_Data[[#This Row],[Team]],Dyno_Data[RecordType],"StartMatch",Dyno_Data[Match],Dyno_Data[[#This Row],[Match]]),0)*86400),0)</f>
        <v>0</v>
      </c>
    </row>
    <row r="4281" spans="1:35" x14ac:dyDescent="0.3">
      <c r="A4281">
        <v>4280</v>
      </c>
      <c r="B4281" t="s">
        <v>1286</v>
      </c>
      <c r="C4281">
        <v>76</v>
      </c>
      <c r="D4281" s="105">
        <v>45374.487987118053</v>
      </c>
      <c r="E4281" t="s">
        <v>312</v>
      </c>
      <c r="F4281" t="s">
        <v>1402</v>
      </c>
      <c r="G4281">
        <v>0</v>
      </c>
      <c r="H4281" t="s">
        <v>315</v>
      </c>
      <c r="I4281">
        <v>0</v>
      </c>
      <c r="J4281">
        <v>0</v>
      </c>
      <c r="K4281">
        <v>0</v>
      </c>
      <c r="L4281" t="s">
        <v>241</v>
      </c>
      <c r="M4281" t="s">
        <v>1398</v>
      </c>
      <c r="N4281">
        <v>0</v>
      </c>
      <c r="O4281" t="s">
        <v>1395</v>
      </c>
      <c r="P4281" t="s">
        <v>310</v>
      </c>
      <c r="Q4281" t="s">
        <v>310</v>
      </c>
      <c r="R4281" t="s">
        <v>310</v>
      </c>
      <c r="S4281">
        <v>9</v>
      </c>
      <c r="T4281" t="s">
        <v>310</v>
      </c>
      <c r="U4281">
        <v>9</v>
      </c>
      <c r="V4281">
        <v>9</v>
      </c>
      <c r="W4281">
        <v>0</v>
      </c>
      <c r="X4281">
        <v>0</v>
      </c>
      <c r="Y4281">
        <v>0</v>
      </c>
      <c r="Z4281">
        <v>0</v>
      </c>
      <c r="AA4281">
        <v>9</v>
      </c>
      <c r="AB4281">
        <v>9</v>
      </c>
      <c r="AC4281" t="s">
        <v>310</v>
      </c>
      <c r="AD4281">
        <v>9</v>
      </c>
      <c r="AE4281" t="s">
        <v>1417</v>
      </c>
      <c r="AF4281">
        <v>80000000</v>
      </c>
      <c r="AG4281" t="s">
        <v>310</v>
      </c>
      <c r="AH4281">
        <f>SUM((MID(Dyno_Data[[#This Row],[Team]],4,5))+(Dyno_Data[[#This Row],[Match]]/100))</f>
        <v>1591.76</v>
      </c>
      <c r="AI4281" s="76">
        <f>ROUND(SUM(IF(Dyno_Data[[#This Row],[AcqCenter]]&gt;0,Dyno_Data[[#This Row],[Time]]-SUMIFS(Dyno_Data[Time],Dyno_Data[Team],Dyno_Data[[#This Row],[Team]],Dyno_Data[RecordType],"StartMatch",Dyno_Data[Match],Dyno_Data[[#This Row],[Match]]),0)*86400),0)</f>
        <v>0</v>
      </c>
    </row>
    <row r="4282" spans="1:35" x14ac:dyDescent="0.3">
      <c r="A4282">
        <v>4281</v>
      </c>
      <c r="B4282" t="s">
        <v>1312</v>
      </c>
      <c r="C4282">
        <v>76</v>
      </c>
      <c r="D4282" s="105">
        <v>45374.488007557869</v>
      </c>
      <c r="E4282" t="s">
        <v>312</v>
      </c>
      <c r="F4282" t="s">
        <v>1402</v>
      </c>
      <c r="G4282">
        <v>0</v>
      </c>
      <c r="H4282" t="s">
        <v>315</v>
      </c>
      <c r="I4282">
        <v>0</v>
      </c>
      <c r="J4282">
        <v>0</v>
      </c>
      <c r="K4282">
        <v>0</v>
      </c>
      <c r="L4282" t="s">
        <v>241</v>
      </c>
      <c r="M4282" t="s">
        <v>101</v>
      </c>
      <c r="N4282">
        <v>0</v>
      </c>
      <c r="O4282" t="s">
        <v>319</v>
      </c>
      <c r="P4282" t="s">
        <v>310</v>
      </c>
      <c r="Q4282" t="s">
        <v>310</v>
      </c>
      <c r="R4282" t="s">
        <v>310</v>
      </c>
      <c r="S4282">
        <v>9</v>
      </c>
      <c r="T4282" t="s">
        <v>310</v>
      </c>
      <c r="U4282">
        <v>9</v>
      </c>
      <c r="V4282">
        <v>9</v>
      </c>
      <c r="W4282">
        <v>0</v>
      </c>
      <c r="X4282">
        <v>0</v>
      </c>
      <c r="Y4282">
        <v>0</v>
      </c>
      <c r="Z4282">
        <v>0</v>
      </c>
      <c r="AA4282">
        <v>9</v>
      </c>
      <c r="AB4282">
        <v>9</v>
      </c>
      <c r="AC4282" t="s">
        <v>310</v>
      </c>
      <c r="AD4282">
        <v>9</v>
      </c>
      <c r="AE4282" t="s">
        <v>1416</v>
      </c>
      <c r="AF4282">
        <v>70000000</v>
      </c>
      <c r="AG4282" t="s">
        <v>310</v>
      </c>
      <c r="AH4282">
        <f>SUM((MID(Dyno_Data[[#This Row],[Team]],4,5))+(Dyno_Data[[#This Row],[Match]]/100))</f>
        <v>2053.7600000000002</v>
      </c>
      <c r="AI4282" s="76">
        <f>ROUND(SUM(IF(Dyno_Data[[#This Row],[AcqCenter]]&gt;0,Dyno_Data[[#This Row],[Time]]-SUMIFS(Dyno_Data[Time],Dyno_Data[Team],Dyno_Data[[#This Row],[Team]],Dyno_Data[RecordType],"StartMatch",Dyno_Data[Match],Dyno_Data[[#This Row],[Match]]),0)*86400),0)</f>
        <v>0</v>
      </c>
    </row>
    <row r="4283" spans="1:35" x14ac:dyDescent="0.3">
      <c r="A4283">
        <v>4282</v>
      </c>
      <c r="B4283" t="s">
        <v>1295</v>
      </c>
      <c r="C4283">
        <v>76</v>
      </c>
      <c r="D4283" s="105">
        <v>45374.488049189815</v>
      </c>
      <c r="E4283" t="s">
        <v>312</v>
      </c>
      <c r="F4283" t="s">
        <v>1402</v>
      </c>
      <c r="G4283">
        <v>0</v>
      </c>
      <c r="H4283" t="s">
        <v>315</v>
      </c>
      <c r="I4283">
        <v>0</v>
      </c>
      <c r="J4283">
        <v>0</v>
      </c>
      <c r="K4283">
        <v>0</v>
      </c>
      <c r="L4283" t="s">
        <v>241</v>
      </c>
      <c r="M4283" t="s">
        <v>101</v>
      </c>
      <c r="N4283">
        <v>0</v>
      </c>
      <c r="O4283" t="s">
        <v>1393</v>
      </c>
      <c r="P4283" t="s">
        <v>310</v>
      </c>
      <c r="Q4283" t="s">
        <v>310</v>
      </c>
      <c r="R4283" t="s">
        <v>310</v>
      </c>
      <c r="S4283">
        <v>9</v>
      </c>
      <c r="T4283" t="s">
        <v>310</v>
      </c>
      <c r="U4283">
        <v>9</v>
      </c>
      <c r="V4283">
        <v>9</v>
      </c>
      <c r="W4283">
        <v>0</v>
      </c>
      <c r="X4283">
        <v>0</v>
      </c>
      <c r="Y4283">
        <v>0</v>
      </c>
      <c r="Z4283">
        <v>0</v>
      </c>
      <c r="AA4283">
        <v>9</v>
      </c>
      <c r="AB4283">
        <v>9</v>
      </c>
      <c r="AC4283" t="s">
        <v>310</v>
      </c>
      <c r="AD4283">
        <v>9</v>
      </c>
      <c r="AE4283" t="s">
        <v>1412</v>
      </c>
      <c r="AF4283">
        <v>40000000</v>
      </c>
      <c r="AG4283" t="s">
        <v>310</v>
      </c>
      <c r="AH4283">
        <f>SUM((MID(Dyno_Data[[#This Row],[Team]],4,5))+(Dyno_Data[[#This Row],[Match]]/100))</f>
        <v>6300.76</v>
      </c>
      <c r="AI4283" s="76">
        <f>ROUND(SUM(IF(Dyno_Data[[#This Row],[AcqCenter]]&gt;0,Dyno_Data[[#This Row],[Time]]-SUMIFS(Dyno_Data[Time],Dyno_Data[Team],Dyno_Data[[#This Row],[Team]],Dyno_Data[RecordType],"StartMatch",Dyno_Data[Match],Dyno_Data[[#This Row],[Match]]),0)*86400),0)</f>
        <v>0</v>
      </c>
    </row>
    <row r="4284" spans="1:35" x14ac:dyDescent="0.3">
      <c r="A4284">
        <v>4283</v>
      </c>
      <c r="B4284" t="s">
        <v>1286</v>
      </c>
      <c r="C4284">
        <v>76</v>
      </c>
      <c r="D4284" s="105">
        <v>45374.488119363428</v>
      </c>
      <c r="E4284" t="s">
        <v>312</v>
      </c>
      <c r="F4284" t="s">
        <v>1402</v>
      </c>
      <c r="G4284">
        <v>0</v>
      </c>
      <c r="H4284" t="s">
        <v>315</v>
      </c>
      <c r="I4284">
        <v>0</v>
      </c>
      <c r="J4284">
        <v>0</v>
      </c>
      <c r="K4284">
        <v>0</v>
      </c>
      <c r="L4284" t="s">
        <v>241</v>
      </c>
      <c r="M4284" t="s">
        <v>1398</v>
      </c>
      <c r="N4284">
        <v>0</v>
      </c>
      <c r="O4284" t="s">
        <v>1395</v>
      </c>
      <c r="P4284" t="s">
        <v>310</v>
      </c>
      <c r="Q4284" t="s">
        <v>310</v>
      </c>
      <c r="R4284" t="s">
        <v>310</v>
      </c>
      <c r="S4284">
        <v>9</v>
      </c>
      <c r="T4284" t="s">
        <v>310</v>
      </c>
      <c r="U4284">
        <v>9</v>
      </c>
      <c r="V4284">
        <v>9</v>
      </c>
      <c r="W4284">
        <v>0</v>
      </c>
      <c r="X4284">
        <v>0</v>
      </c>
      <c r="Y4284">
        <v>0</v>
      </c>
      <c r="Z4284">
        <v>0</v>
      </c>
      <c r="AA4284">
        <v>9</v>
      </c>
      <c r="AB4284">
        <v>9</v>
      </c>
      <c r="AC4284" t="s">
        <v>310</v>
      </c>
      <c r="AD4284">
        <v>9</v>
      </c>
      <c r="AE4284" t="s">
        <v>1417</v>
      </c>
      <c r="AF4284">
        <v>90000000</v>
      </c>
      <c r="AG4284" t="s">
        <v>310</v>
      </c>
      <c r="AH4284">
        <f>SUM((MID(Dyno_Data[[#This Row],[Team]],4,5))+(Dyno_Data[[#This Row],[Match]]/100))</f>
        <v>1591.76</v>
      </c>
      <c r="AI4284" s="76">
        <f>ROUND(SUM(IF(Dyno_Data[[#This Row],[AcqCenter]]&gt;0,Dyno_Data[[#This Row],[Time]]-SUMIFS(Dyno_Data[Time],Dyno_Data[Team],Dyno_Data[[#This Row],[Team]],Dyno_Data[RecordType],"StartMatch",Dyno_Data[Match],Dyno_Data[[#This Row],[Match]]),0)*86400),0)</f>
        <v>0</v>
      </c>
    </row>
    <row r="4285" spans="1:35" x14ac:dyDescent="0.3">
      <c r="A4285">
        <v>4284</v>
      </c>
      <c r="B4285" t="s">
        <v>1275</v>
      </c>
      <c r="C4285">
        <v>76</v>
      </c>
      <c r="D4285" s="105">
        <v>45374.488160729168</v>
      </c>
      <c r="E4285" t="s">
        <v>312</v>
      </c>
      <c r="F4285" t="s">
        <v>1402</v>
      </c>
      <c r="G4285">
        <v>0</v>
      </c>
      <c r="H4285" t="s">
        <v>315</v>
      </c>
      <c r="I4285">
        <v>0</v>
      </c>
      <c r="J4285">
        <v>0</v>
      </c>
      <c r="K4285">
        <v>0</v>
      </c>
      <c r="L4285" t="s">
        <v>241</v>
      </c>
      <c r="M4285" t="s">
        <v>1398</v>
      </c>
      <c r="N4285">
        <v>0</v>
      </c>
      <c r="O4285" t="s">
        <v>1391</v>
      </c>
      <c r="P4285" t="s">
        <v>310</v>
      </c>
      <c r="Q4285" t="s">
        <v>310</v>
      </c>
      <c r="R4285" t="s">
        <v>310</v>
      </c>
      <c r="S4285">
        <v>9</v>
      </c>
      <c r="T4285" t="s">
        <v>310</v>
      </c>
      <c r="U4285">
        <v>9</v>
      </c>
      <c r="V4285">
        <v>9</v>
      </c>
      <c r="W4285">
        <v>0</v>
      </c>
      <c r="X4285">
        <v>0</v>
      </c>
      <c r="Y4285">
        <v>0</v>
      </c>
      <c r="Z4285">
        <v>0</v>
      </c>
      <c r="AA4285">
        <v>9</v>
      </c>
      <c r="AB4285">
        <v>9</v>
      </c>
      <c r="AC4285" t="s">
        <v>310</v>
      </c>
      <c r="AD4285">
        <v>9</v>
      </c>
      <c r="AE4285" t="s">
        <v>1413</v>
      </c>
      <c r="AF4285">
        <v>20000000</v>
      </c>
      <c r="AG4285" t="s">
        <v>310</v>
      </c>
      <c r="AH4285">
        <f>SUM((MID(Dyno_Data[[#This Row],[Team]],4,5))+(Dyno_Data[[#This Row],[Match]]/100))</f>
        <v>1880.76</v>
      </c>
      <c r="AI4285" s="76">
        <f>ROUND(SUM(IF(Dyno_Data[[#This Row],[AcqCenter]]&gt;0,Dyno_Data[[#This Row],[Time]]-SUMIFS(Dyno_Data[Time],Dyno_Data[Team],Dyno_Data[[#This Row],[Team]],Dyno_Data[RecordType],"StartMatch",Dyno_Data[Match],Dyno_Data[[#This Row],[Match]]),0)*86400),0)</f>
        <v>0</v>
      </c>
    </row>
    <row r="4286" spans="1:35" x14ac:dyDescent="0.3">
      <c r="A4286">
        <v>4285</v>
      </c>
      <c r="B4286" t="s">
        <v>1312</v>
      </c>
      <c r="C4286">
        <v>76</v>
      </c>
      <c r="D4286" s="105">
        <v>45374.488189004631</v>
      </c>
      <c r="E4286" t="s">
        <v>312</v>
      </c>
      <c r="F4286" t="s">
        <v>1402</v>
      </c>
      <c r="G4286">
        <v>0</v>
      </c>
      <c r="H4286" t="s">
        <v>315</v>
      </c>
      <c r="I4286">
        <v>0</v>
      </c>
      <c r="J4286">
        <v>0</v>
      </c>
      <c r="K4286">
        <v>0</v>
      </c>
      <c r="L4286" t="s">
        <v>241</v>
      </c>
      <c r="M4286" t="s">
        <v>101</v>
      </c>
      <c r="N4286">
        <v>0</v>
      </c>
      <c r="O4286" t="s">
        <v>319</v>
      </c>
      <c r="P4286" t="s">
        <v>310</v>
      </c>
      <c r="Q4286" t="s">
        <v>310</v>
      </c>
      <c r="R4286" t="s">
        <v>310</v>
      </c>
      <c r="S4286">
        <v>9</v>
      </c>
      <c r="T4286" t="s">
        <v>310</v>
      </c>
      <c r="U4286">
        <v>9</v>
      </c>
      <c r="V4286">
        <v>9</v>
      </c>
      <c r="W4286">
        <v>0</v>
      </c>
      <c r="X4286">
        <v>0</v>
      </c>
      <c r="Y4286">
        <v>0</v>
      </c>
      <c r="Z4286">
        <v>0</v>
      </c>
      <c r="AA4286">
        <v>9</v>
      </c>
      <c r="AB4286">
        <v>9</v>
      </c>
      <c r="AC4286" t="s">
        <v>310</v>
      </c>
      <c r="AD4286">
        <v>9</v>
      </c>
      <c r="AE4286" t="s">
        <v>1416</v>
      </c>
      <c r="AF4286">
        <v>80000000</v>
      </c>
      <c r="AG4286" t="s">
        <v>310</v>
      </c>
      <c r="AH4286">
        <f>SUM((MID(Dyno_Data[[#This Row],[Team]],4,5))+(Dyno_Data[[#This Row],[Match]]/100))</f>
        <v>2053.7600000000002</v>
      </c>
      <c r="AI4286" s="76">
        <f>ROUND(SUM(IF(Dyno_Data[[#This Row],[AcqCenter]]&gt;0,Dyno_Data[[#This Row],[Time]]-SUMIFS(Dyno_Data[Time],Dyno_Data[Team],Dyno_Data[[#This Row],[Team]],Dyno_Data[RecordType],"StartMatch",Dyno_Data[Match],Dyno_Data[[#This Row],[Match]]),0)*86400),0)</f>
        <v>0</v>
      </c>
    </row>
    <row r="4287" spans="1:35" x14ac:dyDescent="0.3">
      <c r="A4287">
        <v>4286</v>
      </c>
      <c r="B4287" t="s">
        <v>1286</v>
      </c>
      <c r="C4287">
        <v>76</v>
      </c>
      <c r="D4287" s="105">
        <v>45374.488265011576</v>
      </c>
      <c r="E4287" t="s">
        <v>312</v>
      </c>
      <c r="F4287" t="s">
        <v>1402</v>
      </c>
      <c r="G4287">
        <v>0</v>
      </c>
      <c r="H4287" t="s">
        <v>315</v>
      </c>
      <c r="I4287">
        <v>0</v>
      </c>
      <c r="J4287">
        <v>0</v>
      </c>
      <c r="K4287">
        <v>0</v>
      </c>
      <c r="L4287" t="s">
        <v>241</v>
      </c>
      <c r="M4287" t="s">
        <v>1398</v>
      </c>
      <c r="N4287">
        <v>0</v>
      </c>
      <c r="O4287" t="s">
        <v>1395</v>
      </c>
      <c r="P4287" t="s">
        <v>310</v>
      </c>
      <c r="Q4287" t="s">
        <v>310</v>
      </c>
      <c r="R4287" t="s">
        <v>310</v>
      </c>
      <c r="S4287">
        <v>9</v>
      </c>
      <c r="T4287" t="s">
        <v>310</v>
      </c>
      <c r="U4287">
        <v>9</v>
      </c>
      <c r="V4287">
        <v>9</v>
      </c>
      <c r="W4287">
        <v>0</v>
      </c>
      <c r="X4287">
        <v>0</v>
      </c>
      <c r="Y4287">
        <v>0</v>
      </c>
      <c r="Z4287">
        <v>0</v>
      </c>
      <c r="AA4287">
        <v>9</v>
      </c>
      <c r="AB4287">
        <v>9</v>
      </c>
      <c r="AC4287" t="s">
        <v>310</v>
      </c>
      <c r="AD4287">
        <v>9</v>
      </c>
      <c r="AE4287" t="s">
        <v>1417</v>
      </c>
      <c r="AF4287">
        <v>100000000</v>
      </c>
      <c r="AG4287" t="s">
        <v>310</v>
      </c>
      <c r="AH4287">
        <f>SUM((MID(Dyno_Data[[#This Row],[Team]],4,5))+(Dyno_Data[[#This Row],[Match]]/100))</f>
        <v>1591.76</v>
      </c>
      <c r="AI4287" s="76">
        <f>ROUND(SUM(IF(Dyno_Data[[#This Row],[AcqCenter]]&gt;0,Dyno_Data[[#This Row],[Time]]-SUMIFS(Dyno_Data[Time],Dyno_Data[Team],Dyno_Data[[#This Row],[Team]],Dyno_Data[RecordType],"StartMatch",Dyno_Data[Match],Dyno_Data[[#This Row],[Match]]),0)*86400),0)</f>
        <v>0</v>
      </c>
    </row>
    <row r="4288" spans="1:35" x14ac:dyDescent="0.3">
      <c r="A4288">
        <v>4287</v>
      </c>
      <c r="B4288" t="s">
        <v>1295</v>
      </c>
      <c r="C4288">
        <v>76</v>
      </c>
      <c r="D4288" s="105">
        <v>45374.488286840278</v>
      </c>
      <c r="E4288" t="s">
        <v>312</v>
      </c>
      <c r="F4288" t="s">
        <v>1402</v>
      </c>
      <c r="G4288">
        <v>0</v>
      </c>
      <c r="H4288" t="s">
        <v>315</v>
      </c>
      <c r="I4288">
        <v>0</v>
      </c>
      <c r="J4288">
        <v>0</v>
      </c>
      <c r="K4288">
        <v>0</v>
      </c>
      <c r="L4288" t="s">
        <v>241</v>
      </c>
      <c r="M4288" t="s">
        <v>101</v>
      </c>
      <c r="N4288">
        <v>0</v>
      </c>
      <c r="O4288" t="s">
        <v>1393</v>
      </c>
      <c r="P4288" t="s">
        <v>310</v>
      </c>
      <c r="Q4288" t="s">
        <v>310</v>
      </c>
      <c r="R4288" t="s">
        <v>310</v>
      </c>
      <c r="S4288">
        <v>9</v>
      </c>
      <c r="T4288" t="s">
        <v>310</v>
      </c>
      <c r="U4288">
        <v>9</v>
      </c>
      <c r="V4288">
        <v>9</v>
      </c>
      <c r="W4288">
        <v>0</v>
      </c>
      <c r="X4288">
        <v>0</v>
      </c>
      <c r="Y4288">
        <v>0</v>
      </c>
      <c r="Z4288">
        <v>0</v>
      </c>
      <c r="AA4288">
        <v>9</v>
      </c>
      <c r="AB4288">
        <v>9</v>
      </c>
      <c r="AC4288" t="s">
        <v>310</v>
      </c>
      <c r="AD4288">
        <v>9</v>
      </c>
      <c r="AE4288" t="s">
        <v>1412</v>
      </c>
      <c r="AF4288">
        <v>50000000</v>
      </c>
      <c r="AG4288" t="s">
        <v>310</v>
      </c>
      <c r="AH4288">
        <f>SUM((MID(Dyno_Data[[#This Row],[Team]],4,5))+(Dyno_Data[[#This Row],[Match]]/100))</f>
        <v>6300.76</v>
      </c>
      <c r="AI4288" s="76">
        <f>ROUND(SUM(IF(Dyno_Data[[#This Row],[AcqCenter]]&gt;0,Dyno_Data[[#This Row],[Time]]-SUMIFS(Dyno_Data[Time],Dyno_Data[Team],Dyno_Data[[#This Row],[Team]],Dyno_Data[RecordType],"StartMatch",Dyno_Data[Match],Dyno_Data[[#This Row],[Match]]),0)*86400),0)</f>
        <v>0</v>
      </c>
    </row>
    <row r="4289" spans="1:35" x14ac:dyDescent="0.3">
      <c r="A4289">
        <v>4288</v>
      </c>
      <c r="B4289" t="s">
        <v>1286</v>
      </c>
      <c r="C4289">
        <v>76</v>
      </c>
      <c r="D4289" s="105">
        <v>45374.488408715275</v>
      </c>
      <c r="E4289" t="s">
        <v>312</v>
      </c>
      <c r="F4289" t="s">
        <v>1402</v>
      </c>
      <c r="G4289">
        <v>0</v>
      </c>
      <c r="H4289" t="s">
        <v>315</v>
      </c>
      <c r="I4289">
        <v>0</v>
      </c>
      <c r="J4289">
        <v>0</v>
      </c>
      <c r="K4289">
        <v>0</v>
      </c>
      <c r="L4289" t="s">
        <v>241</v>
      </c>
      <c r="M4289" t="s">
        <v>1398</v>
      </c>
      <c r="N4289">
        <v>0</v>
      </c>
      <c r="O4289" t="s">
        <v>1395</v>
      </c>
      <c r="P4289" t="s">
        <v>310</v>
      </c>
      <c r="Q4289" t="s">
        <v>310</v>
      </c>
      <c r="R4289" t="s">
        <v>310</v>
      </c>
      <c r="S4289">
        <v>9</v>
      </c>
      <c r="T4289" t="s">
        <v>310</v>
      </c>
      <c r="U4289">
        <v>9</v>
      </c>
      <c r="V4289">
        <v>9</v>
      </c>
      <c r="W4289">
        <v>0</v>
      </c>
      <c r="X4289">
        <v>0</v>
      </c>
      <c r="Y4289">
        <v>0</v>
      </c>
      <c r="Z4289">
        <v>0</v>
      </c>
      <c r="AA4289">
        <v>9</v>
      </c>
      <c r="AB4289">
        <v>9</v>
      </c>
      <c r="AC4289" t="s">
        <v>310</v>
      </c>
      <c r="AD4289">
        <v>9</v>
      </c>
      <c r="AE4289" t="s">
        <v>1417</v>
      </c>
      <c r="AF4289">
        <v>110000000</v>
      </c>
      <c r="AG4289" t="s">
        <v>310</v>
      </c>
      <c r="AH4289">
        <f>SUM((MID(Dyno_Data[[#This Row],[Team]],4,5))+(Dyno_Data[[#This Row],[Match]]/100))</f>
        <v>1591.76</v>
      </c>
      <c r="AI4289" s="76">
        <f>ROUND(SUM(IF(Dyno_Data[[#This Row],[AcqCenter]]&gt;0,Dyno_Data[[#This Row],[Time]]-SUMIFS(Dyno_Data[Time],Dyno_Data[Team],Dyno_Data[[#This Row],[Team]],Dyno_Data[RecordType],"StartMatch",Dyno_Data[Match],Dyno_Data[[#This Row],[Match]]),0)*86400),0)</f>
        <v>0</v>
      </c>
    </row>
    <row r="4290" spans="1:35" x14ac:dyDescent="0.3">
      <c r="A4290">
        <v>4289</v>
      </c>
      <c r="B4290" t="s">
        <v>1312</v>
      </c>
      <c r="C4290">
        <v>76</v>
      </c>
      <c r="D4290" s="105">
        <v>45374.488445023148</v>
      </c>
      <c r="E4290" t="s">
        <v>312</v>
      </c>
      <c r="F4290" t="s">
        <v>1402</v>
      </c>
      <c r="G4290">
        <v>0</v>
      </c>
      <c r="H4290" t="s">
        <v>315</v>
      </c>
      <c r="I4290">
        <v>0</v>
      </c>
      <c r="J4290">
        <v>0</v>
      </c>
      <c r="K4290">
        <v>0</v>
      </c>
      <c r="L4290" t="s">
        <v>241</v>
      </c>
      <c r="M4290" t="s">
        <v>1398</v>
      </c>
      <c r="N4290">
        <v>0</v>
      </c>
      <c r="O4290" t="s">
        <v>319</v>
      </c>
      <c r="P4290" t="s">
        <v>310</v>
      </c>
      <c r="Q4290" t="s">
        <v>310</v>
      </c>
      <c r="R4290" t="s">
        <v>310</v>
      </c>
      <c r="S4290">
        <v>9</v>
      </c>
      <c r="T4290" t="s">
        <v>310</v>
      </c>
      <c r="U4290">
        <v>9</v>
      </c>
      <c r="V4290">
        <v>9</v>
      </c>
      <c r="W4290">
        <v>0</v>
      </c>
      <c r="X4290">
        <v>0</v>
      </c>
      <c r="Y4290">
        <v>0</v>
      </c>
      <c r="Z4290">
        <v>0</v>
      </c>
      <c r="AA4290">
        <v>9</v>
      </c>
      <c r="AB4290">
        <v>9</v>
      </c>
      <c r="AC4290" t="s">
        <v>310</v>
      </c>
      <c r="AD4290">
        <v>9</v>
      </c>
      <c r="AE4290" t="s">
        <v>1416</v>
      </c>
      <c r="AF4290">
        <v>90000000</v>
      </c>
      <c r="AG4290" t="s">
        <v>310</v>
      </c>
      <c r="AH4290">
        <f>SUM((MID(Dyno_Data[[#This Row],[Team]],4,5))+(Dyno_Data[[#This Row],[Match]]/100))</f>
        <v>2053.7600000000002</v>
      </c>
      <c r="AI4290" s="76">
        <f>ROUND(SUM(IF(Dyno_Data[[#This Row],[AcqCenter]]&gt;0,Dyno_Data[[#This Row],[Time]]-SUMIFS(Dyno_Data[Time],Dyno_Data[Team],Dyno_Data[[#This Row],[Team]],Dyno_Data[RecordType],"StartMatch",Dyno_Data[Match],Dyno_Data[[#This Row],[Match]]),0)*86400),0)</f>
        <v>0</v>
      </c>
    </row>
    <row r="4291" spans="1:35" x14ac:dyDescent="0.3">
      <c r="A4291">
        <v>4290</v>
      </c>
      <c r="B4291" t="s">
        <v>1275</v>
      </c>
      <c r="C4291">
        <v>76</v>
      </c>
      <c r="D4291" s="105">
        <v>45374.488452395832</v>
      </c>
      <c r="E4291" t="s">
        <v>312</v>
      </c>
      <c r="F4291" t="s">
        <v>1402</v>
      </c>
      <c r="G4291">
        <v>0</v>
      </c>
      <c r="H4291" t="s">
        <v>315</v>
      </c>
      <c r="I4291">
        <v>0</v>
      </c>
      <c r="J4291">
        <v>0</v>
      </c>
      <c r="K4291">
        <v>0</v>
      </c>
      <c r="L4291" t="s">
        <v>241</v>
      </c>
      <c r="M4291" t="s">
        <v>1398</v>
      </c>
      <c r="N4291">
        <v>1</v>
      </c>
      <c r="O4291" t="s">
        <v>1391</v>
      </c>
      <c r="P4291" t="s">
        <v>310</v>
      </c>
      <c r="Q4291" t="s">
        <v>310</v>
      </c>
      <c r="R4291" t="s">
        <v>310</v>
      </c>
      <c r="S4291">
        <v>9</v>
      </c>
      <c r="T4291" t="s">
        <v>310</v>
      </c>
      <c r="U4291">
        <v>9</v>
      </c>
      <c r="V4291">
        <v>9</v>
      </c>
      <c r="W4291">
        <v>0</v>
      </c>
      <c r="X4291">
        <v>0</v>
      </c>
      <c r="Y4291">
        <v>0</v>
      </c>
      <c r="Z4291">
        <v>0</v>
      </c>
      <c r="AA4291">
        <v>9</v>
      </c>
      <c r="AB4291">
        <v>9</v>
      </c>
      <c r="AC4291" t="s">
        <v>310</v>
      </c>
      <c r="AD4291">
        <v>9</v>
      </c>
      <c r="AE4291" t="s">
        <v>1413</v>
      </c>
      <c r="AF4291">
        <v>30000000</v>
      </c>
      <c r="AG4291" t="s">
        <v>310</v>
      </c>
      <c r="AH4291">
        <f>SUM((MID(Dyno_Data[[#This Row],[Team]],4,5))+(Dyno_Data[[#This Row],[Match]]/100))</f>
        <v>1880.76</v>
      </c>
      <c r="AI4291" s="76">
        <f>ROUND(SUM(IF(Dyno_Data[[#This Row],[AcqCenter]]&gt;0,Dyno_Data[[#This Row],[Time]]-SUMIFS(Dyno_Data[Time],Dyno_Data[Team],Dyno_Data[[#This Row],[Team]],Dyno_Data[RecordType],"StartMatch",Dyno_Data[Match],Dyno_Data[[#This Row],[Match]]),0)*86400),0)</f>
        <v>0</v>
      </c>
    </row>
    <row r="4292" spans="1:35" x14ac:dyDescent="0.3">
      <c r="A4292">
        <v>4291</v>
      </c>
      <c r="B4292" t="s">
        <v>1295</v>
      </c>
      <c r="C4292">
        <v>76</v>
      </c>
      <c r="D4292" s="105">
        <v>45374.488479745371</v>
      </c>
      <c r="E4292" t="s">
        <v>312</v>
      </c>
      <c r="F4292" t="s">
        <v>1402</v>
      </c>
      <c r="G4292">
        <v>0</v>
      </c>
      <c r="H4292" t="s">
        <v>315</v>
      </c>
      <c r="I4292">
        <v>0</v>
      </c>
      <c r="J4292">
        <v>0</v>
      </c>
      <c r="K4292">
        <v>0</v>
      </c>
      <c r="L4292" t="s">
        <v>241</v>
      </c>
      <c r="M4292" t="s">
        <v>1398</v>
      </c>
      <c r="N4292">
        <v>0</v>
      </c>
      <c r="O4292" t="s">
        <v>1393</v>
      </c>
      <c r="P4292" t="s">
        <v>310</v>
      </c>
      <c r="Q4292" t="s">
        <v>310</v>
      </c>
      <c r="R4292" t="s">
        <v>310</v>
      </c>
      <c r="S4292">
        <v>9</v>
      </c>
      <c r="T4292" t="s">
        <v>310</v>
      </c>
      <c r="U4292">
        <v>9</v>
      </c>
      <c r="V4292">
        <v>9</v>
      </c>
      <c r="W4292">
        <v>0</v>
      </c>
      <c r="X4292">
        <v>0</v>
      </c>
      <c r="Y4292">
        <v>0</v>
      </c>
      <c r="Z4292">
        <v>0</v>
      </c>
      <c r="AA4292">
        <v>9</v>
      </c>
      <c r="AB4292">
        <v>9</v>
      </c>
      <c r="AC4292" t="s">
        <v>310</v>
      </c>
      <c r="AD4292">
        <v>9</v>
      </c>
      <c r="AE4292" t="s">
        <v>1412</v>
      </c>
      <c r="AF4292">
        <v>60000000</v>
      </c>
      <c r="AG4292" t="s">
        <v>310</v>
      </c>
      <c r="AH4292">
        <f>SUM((MID(Dyno_Data[[#This Row],[Team]],4,5))+(Dyno_Data[[#This Row],[Match]]/100))</f>
        <v>6300.76</v>
      </c>
      <c r="AI4292" s="76">
        <f>ROUND(SUM(IF(Dyno_Data[[#This Row],[AcqCenter]]&gt;0,Dyno_Data[[#This Row],[Time]]-SUMIFS(Dyno_Data[Time],Dyno_Data[Team],Dyno_Data[[#This Row],[Team]],Dyno_Data[RecordType],"StartMatch",Dyno_Data[Match],Dyno_Data[[#This Row],[Match]]),0)*86400),0)</f>
        <v>0</v>
      </c>
    </row>
    <row r="4293" spans="1:35" x14ac:dyDescent="0.3">
      <c r="A4293">
        <v>4292</v>
      </c>
      <c r="B4293" t="s">
        <v>1312</v>
      </c>
      <c r="C4293">
        <v>76</v>
      </c>
      <c r="D4293" s="105">
        <v>45374.488532372685</v>
      </c>
      <c r="E4293" t="s">
        <v>312</v>
      </c>
      <c r="F4293" t="s">
        <v>1402</v>
      </c>
      <c r="G4293">
        <v>0</v>
      </c>
      <c r="H4293" t="s">
        <v>315</v>
      </c>
      <c r="I4293">
        <v>0</v>
      </c>
      <c r="J4293">
        <v>0</v>
      </c>
      <c r="K4293">
        <v>0</v>
      </c>
      <c r="L4293" t="s">
        <v>241</v>
      </c>
      <c r="M4293" t="s">
        <v>1398</v>
      </c>
      <c r="N4293">
        <v>0</v>
      </c>
      <c r="O4293" t="s">
        <v>319</v>
      </c>
      <c r="P4293" t="s">
        <v>310</v>
      </c>
      <c r="Q4293" t="s">
        <v>310</v>
      </c>
      <c r="R4293" t="s">
        <v>310</v>
      </c>
      <c r="S4293">
        <v>9</v>
      </c>
      <c r="T4293" t="s">
        <v>310</v>
      </c>
      <c r="U4293">
        <v>9</v>
      </c>
      <c r="V4293">
        <v>9</v>
      </c>
      <c r="W4293">
        <v>0</v>
      </c>
      <c r="X4293">
        <v>0</v>
      </c>
      <c r="Y4293">
        <v>0</v>
      </c>
      <c r="Z4293">
        <v>0</v>
      </c>
      <c r="AA4293">
        <v>9</v>
      </c>
      <c r="AB4293">
        <v>9</v>
      </c>
      <c r="AC4293" t="s">
        <v>310</v>
      </c>
      <c r="AD4293">
        <v>9</v>
      </c>
      <c r="AE4293" t="s">
        <v>1416</v>
      </c>
      <c r="AF4293">
        <v>100000000</v>
      </c>
      <c r="AG4293" t="s">
        <v>310</v>
      </c>
      <c r="AH4293">
        <f>SUM((MID(Dyno_Data[[#This Row],[Team]],4,5))+(Dyno_Data[[#This Row],[Match]]/100))</f>
        <v>2053.7600000000002</v>
      </c>
      <c r="AI4293" s="76">
        <f>ROUND(SUM(IF(Dyno_Data[[#This Row],[AcqCenter]]&gt;0,Dyno_Data[[#This Row],[Time]]-SUMIFS(Dyno_Data[Time],Dyno_Data[Team],Dyno_Data[[#This Row],[Team]],Dyno_Data[RecordType],"StartMatch",Dyno_Data[Match],Dyno_Data[[#This Row],[Match]]),0)*86400),0)</f>
        <v>0</v>
      </c>
    </row>
    <row r="4294" spans="1:35" x14ac:dyDescent="0.3">
      <c r="A4294">
        <v>4293</v>
      </c>
      <c r="B4294" t="s">
        <v>1286</v>
      </c>
      <c r="C4294">
        <v>76</v>
      </c>
      <c r="D4294" s="105">
        <v>45374.488542743056</v>
      </c>
      <c r="E4294" t="s">
        <v>312</v>
      </c>
      <c r="F4294" t="s">
        <v>1402</v>
      </c>
      <c r="G4294">
        <v>0</v>
      </c>
      <c r="H4294" t="s">
        <v>315</v>
      </c>
      <c r="I4294">
        <v>0</v>
      </c>
      <c r="J4294">
        <v>0</v>
      </c>
      <c r="K4294">
        <v>0</v>
      </c>
      <c r="L4294" t="s">
        <v>241</v>
      </c>
      <c r="M4294" t="s">
        <v>1398</v>
      </c>
      <c r="N4294">
        <v>0</v>
      </c>
      <c r="O4294" t="s">
        <v>1395</v>
      </c>
      <c r="P4294" t="s">
        <v>310</v>
      </c>
      <c r="Q4294" t="s">
        <v>310</v>
      </c>
      <c r="R4294" t="s">
        <v>310</v>
      </c>
      <c r="S4294">
        <v>9</v>
      </c>
      <c r="T4294" t="s">
        <v>310</v>
      </c>
      <c r="U4294">
        <v>9</v>
      </c>
      <c r="V4294">
        <v>9</v>
      </c>
      <c r="W4294">
        <v>0</v>
      </c>
      <c r="X4294">
        <v>0</v>
      </c>
      <c r="Y4294">
        <v>0</v>
      </c>
      <c r="Z4294">
        <v>0</v>
      </c>
      <c r="AA4294">
        <v>9</v>
      </c>
      <c r="AB4294">
        <v>9</v>
      </c>
      <c r="AC4294" t="s">
        <v>310</v>
      </c>
      <c r="AD4294">
        <v>9</v>
      </c>
      <c r="AE4294" t="s">
        <v>1417</v>
      </c>
      <c r="AF4294">
        <v>120000000</v>
      </c>
      <c r="AG4294" t="s">
        <v>310</v>
      </c>
      <c r="AH4294">
        <f>SUM((MID(Dyno_Data[[#This Row],[Team]],4,5))+(Dyno_Data[[#This Row],[Match]]/100))</f>
        <v>1591.76</v>
      </c>
      <c r="AI4294" s="76">
        <f>ROUND(SUM(IF(Dyno_Data[[#This Row],[AcqCenter]]&gt;0,Dyno_Data[[#This Row],[Time]]-SUMIFS(Dyno_Data[Time],Dyno_Data[Team],Dyno_Data[[#This Row],[Team]],Dyno_Data[RecordType],"StartMatch",Dyno_Data[Match],Dyno_Data[[#This Row],[Match]]),0)*86400),0)</f>
        <v>0</v>
      </c>
    </row>
    <row r="4295" spans="1:35" x14ac:dyDescent="0.3">
      <c r="A4295">
        <v>4294</v>
      </c>
      <c r="B4295" t="s">
        <v>1295</v>
      </c>
      <c r="C4295">
        <v>76</v>
      </c>
      <c r="D4295" s="105">
        <v>45374.488545636574</v>
      </c>
      <c r="E4295" t="s">
        <v>312</v>
      </c>
      <c r="F4295" t="s">
        <v>1402</v>
      </c>
      <c r="G4295">
        <v>0</v>
      </c>
      <c r="H4295" t="s">
        <v>315</v>
      </c>
      <c r="I4295">
        <v>0</v>
      </c>
      <c r="J4295">
        <v>0</v>
      </c>
      <c r="K4295">
        <v>0</v>
      </c>
      <c r="L4295" t="s">
        <v>241</v>
      </c>
      <c r="M4295" t="s">
        <v>1398</v>
      </c>
      <c r="N4295">
        <v>0</v>
      </c>
      <c r="O4295" t="s">
        <v>1393</v>
      </c>
      <c r="P4295" t="s">
        <v>310</v>
      </c>
      <c r="Q4295" t="s">
        <v>310</v>
      </c>
      <c r="R4295" t="s">
        <v>310</v>
      </c>
      <c r="S4295">
        <v>9</v>
      </c>
      <c r="T4295" t="s">
        <v>310</v>
      </c>
      <c r="U4295">
        <v>9</v>
      </c>
      <c r="V4295">
        <v>9</v>
      </c>
      <c r="W4295">
        <v>0</v>
      </c>
      <c r="X4295">
        <v>0</v>
      </c>
      <c r="Y4295">
        <v>0</v>
      </c>
      <c r="Z4295">
        <v>0</v>
      </c>
      <c r="AA4295">
        <v>9</v>
      </c>
      <c r="AB4295">
        <v>9</v>
      </c>
      <c r="AC4295" t="s">
        <v>310</v>
      </c>
      <c r="AD4295">
        <v>9</v>
      </c>
      <c r="AE4295" t="s">
        <v>1412</v>
      </c>
      <c r="AF4295">
        <v>70000000</v>
      </c>
      <c r="AG4295" t="s">
        <v>310</v>
      </c>
      <c r="AH4295">
        <f>SUM((MID(Dyno_Data[[#This Row],[Team]],4,5))+(Dyno_Data[[#This Row],[Match]]/100))</f>
        <v>6300.76</v>
      </c>
      <c r="AI4295" s="76">
        <f>ROUND(SUM(IF(Dyno_Data[[#This Row],[AcqCenter]]&gt;0,Dyno_Data[[#This Row],[Time]]-SUMIFS(Dyno_Data[Time],Dyno_Data[Team],Dyno_Data[[#This Row],[Team]],Dyno_Data[RecordType],"StartMatch",Dyno_Data[Match],Dyno_Data[[#This Row],[Match]]),0)*86400),0)</f>
        <v>0</v>
      </c>
    </row>
    <row r="4296" spans="1:35" x14ac:dyDescent="0.3">
      <c r="A4296">
        <v>4295</v>
      </c>
      <c r="B4296" t="s">
        <v>1275</v>
      </c>
      <c r="C4296">
        <v>76</v>
      </c>
      <c r="D4296" s="105">
        <v>45374.488656828704</v>
      </c>
      <c r="E4296" t="s">
        <v>312</v>
      </c>
      <c r="F4296" t="s">
        <v>1402</v>
      </c>
      <c r="G4296">
        <v>0</v>
      </c>
      <c r="H4296" t="s">
        <v>315</v>
      </c>
      <c r="I4296">
        <v>0</v>
      </c>
      <c r="J4296">
        <v>0</v>
      </c>
      <c r="K4296">
        <v>0</v>
      </c>
      <c r="L4296" t="s">
        <v>241</v>
      </c>
      <c r="M4296" t="s">
        <v>1398</v>
      </c>
      <c r="N4296">
        <v>0</v>
      </c>
      <c r="O4296" t="s">
        <v>1391</v>
      </c>
      <c r="P4296" t="s">
        <v>310</v>
      </c>
      <c r="Q4296" t="s">
        <v>310</v>
      </c>
      <c r="R4296" t="s">
        <v>310</v>
      </c>
      <c r="S4296">
        <v>9</v>
      </c>
      <c r="T4296" t="s">
        <v>310</v>
      </c>
      <c r="U4296">
        <v>9</v>
      </c>
      <c r="V4296">
        <v>9</v>
      </c>
      <c r="W4296">
        <v>0</v>
      </c>
      <c r="X4296">
        <v>0</v>
      </c>
      <c r="Y4296">
        <v>0</v>
      </c>
      <c r="Z4296">
        <v>0</v>
      </c>
      <c r="AA4296">
        <v>9</v>
      </c>
      <c r="AB4296">
        <v>9</v>
      </c>
      <c r="AC4296" t="s">
        <v>310</v>
      </c>
      <c r="AD4296">
        <v>9</v>
      </c>
      <c r="AE4296" t="s">
        <v>1413</v>
      </c>
      <c r="AF4296">
        <v>40000000</v>
      </c>
      <c r="AG4296" t="s">
        <v>310</v>
      </c>
      <c r="AH4296">
        <f>SUM((MID(Dyno_Data[[#This Row],[Team]],4,5))+(Dyno_Data[[#This Row],[Match]]/100))</f>
        <v>1880.76</v>
      </c>
      <c r="AI4296" s="76">
        <f>ROUND(SUM(IF(Dyno_Data[[#This Row],[AcqCenter]]&gt;0,Dyno_Data[[#This Row],[Time]]-SUMIFS(Dyno_Data[Time],Dyno_Data[Team],Dyno_Data[[#This Row],[Team]],Dyno_Data[RecordType],"StartMatch",Dyno_Data[Match],Dyno_Data[[#This Row],[Match]]),0)*86400),0)</f>
        <v>0</v>
      </c>
    </row>
    <row r="4297" spans="1:35" x14ac:dyDescent="0.3">
      <c r="A4297">
        <v>4296</v>
      </c>
      <c r="B4297" t="s">
        <v>1286</v>
      </c>
      <c r="C4297">
        <v>76</v>
      </c>
      <c r="D4297" s="105">
        <v>45374.488678090274</v>
      </c>
      <c r="E4297" t="s">
        <v>312</v>
      </c>
      <c r="F4297" t="s">
        <v>1402</v>
      </c>
      <c r="G4297">
        <v>0</v>
      </c>
      <c r="H4297" t="s">
        <v>315</v>
      </c>
      <c r="I4297">
        <v>0</v>
      </c>
      <c r="J4297">
        <v>0</v>
      </c>
      <c r="K4297">
        <v>0</v>
      </c>
      <c r="L4297" t="s">
        <v>241</v>
      </c>
      <c r="M4297" t="s">
        <v>1398</v>
      </c>
      <c r="N4297">
        <v>0</v>
      </c>
      <c r="O4297" t="s">
        <v>1395</v>
      </c>
      <c r="P4297" t="s">
        <v>310</v>
      </c>
      <c r="Q4297" t="s">
        <v>310</v>
      </c>
      <c r="R4297" t="s">
        <v>310</v>
      </c>
      <c r="S4297">
        <v>9</v>
      </c>
      <c r="T4297" t="s">
        <v>310</v>
      </c>
      <c r="U4297">
        <v>9</v>
      </c>
      <c r="V4297">
        <v>9</v>
      </c>
      <c r="W4297">
        <v>0</v>
      </c>
      <c r="X4297">
        <v>0</v>
      </c>
      <c r="Y4297">
        <v>0</v>
      </c>
      <c r="Z4297">
        <v>0</v>
      </c>
      <c r="AA4297">
        <v>9</v>
      </c>
      <c r="AB4297">
        <v>9</v>
      </c>
      <c r="AC4297" t="s">
        <v>310</v>
      </c>
      <c r="AD4297">
        <v>9</v>
      </c>
      <c r="AE4297" t="s">
        <v>1417</v>
      </c>
      <c r="AF4297">
        <v>130000000</v>
      </c>
      <c r="AG4297" t="s">
        <v>310</v>
      </c>
      <c r="AH4297">
        <f>SUM((MID(Dyno_Data[[#This Row],[Team]],4,5))+(Dyno_Data[[#This Row],[Match]]/100))</f>
        <v>1591.76</v>
      </c>
      <c r="AI4297" s="76">
        <f>ROUND(SUM(IF(Dyno_Data[[#This Row],[AcqCenter]]&gt;0,Dyno_Data[[#This Row],[Time]]-SUMIFS(Dyno_Data[Time],Dyno_Data[Team],Dyno_Data[[#This Row],[Team]],Dyno_Data[RecordType],"StartMatch",Dyno_Data[Match],Dyno_Data[[#This Row],[Match]]),0)*86400),0)</f>
        <v>0</v>
      </c>
    </row>
    <row r="4298" spans="1:35" x14ac:dyDescent="0.3">
      <c r="A4298">
        <v>4297</v>
      </c>
      <c r="B4298" t="s">
        <v>1312</v>
      </c>
      <c r="C4298">
        <v>76</v>
      </c>
      <c r="D4298" s="105">
        <v>45374.488764895832</v>
      </c>
      <c r="E4298" t="s">
        <v>312</v>
      </c>
      <c r="F4298" t="s">
        <v>1402</v>
      </c>
      <c r="G4298">
        <v>0</v>
      </c>
      <c r="H4298" t="s">
        <v>315</v>
      </c>
      <c r="I4298">
        <v>0</v>
      </c>
      <c r="J4298">
        <v>0</v>
      </c>
      <c r="K4298">
        <v>0</v>
      </c>
      <c r="L4298" t="s">
        <v>241</v>
      </c>
      <c r="M4298" t="s">
        <v>1398</v>
      </c>
      <c r="N4298">
        <v>0</v>
      </c>
      <c r="O4298" t="s">
        <v>319</v>
      </c>
      <c r="P4298" t="s">
        <v>310</v>
      </c>
      <c r="Q4298" t="s">
        <v>310</v>
      </c>
      <c r="R4298" t="s">
        <v>310</v>
      </c>
      <c r="S4298">
        <v>9</v>
      </c>
      <c r="T4298" t="s">
        <v>310</v>
      </c>
      <c r="U4298">
        <v>9</v>
      </c>
      <c r="V4298">
        <v>9</v>
      </c>
      <c r="W4298">
        <v>0</v>
      </c>
      <c r="X4298">
        <v>0</v>
      </c>
      <c r="Y4298">
        <v>0</v>
      </c>
      <c r="Z4298">
        <v>0</v>
      </c>
      <c r="AA4298">
        <v>9</v>
      </c>
      <c r="AB4298">
        <v>9</v>
      </c>
      <c r="AC4298" t="s">
        <v>310</v>
      </c>
      <c r="AD4298">
        <v>9</v>
      </c>
      <c r="AE4298" t="s">
        <v>1416</v>
      </c>
      <c r="AF4298">
        <v>110000000</v>
      </c>
      <c r="AG4298" t="s">
        <v>310</v>
      </c>
      <c r="AH4298">
        <f>SUM((MID(Dyno_Data[[#This Row],[Team]],4,5))+(Dyno_Data[[#This Row],[Match]]/100))</f>
        <v>2053.7600000000002</v>
      </c>
      <c r="AI4298" s="76">
        <f>ROUND(SUM(IF(Dyno_Data[[#This Row],[AcqCenter]]&gt;0,Dyno_Data[[#This Row],[Time]]-SUMIFS(Dyno_Data[Time],Dyno_Data[Team],Dyno_Data[[#This Row],[Team]],Dyno_Data[RecordType],"StartMatch",Dyno_Data[Match],Dyno_Data[[#This Row],[Match]]),0)*86400),0)</f>
        <v>0</v>
      </c>
    </row>
    <row r="4299" spans="1:35" x14ac:dyDescent="0.3">
      <c r="A4299">
        <v>4298</v>
      </c>
      <c r="B4299" t="s">
        <v>1295</v>
      </c>
      <c r="C4299">
        <v>76</v>
      </c>
      <c r="D4299" s="105">
        <v>45374.48877152778</v>
      </c>
      <c r="E4299" t="s">
        <v>312</v>
      </c>
      <c r="F4299" t="s">
        <v>1402</v>
      </c>
      <c r="G4299">
        <v>0</v>
      </c>
      <c r="H4299" t="s">
        <v>315</v>
      </c>
      <c r="I4299">
        <v>0</v>
      </c>
      <c r="J4299">
        <v>0</v>
      </c>
      <c r="K4299">
        <v>0</v>
      </c>
      <c r="L4299" t="s">
        <v>241</v>
      </c>
      <c r="M4299" t="s">
        <v>101</v>
      </c>
      <c r="N4299">
        <v>0</v>
      </c>
      <c r="O4299" t="s">
        <v>1393</v>
      </c>
      <c r="P4299" t="s">
        <v>310</v>
      </c>
      <c r="Q4299" t="s">
        <v>310</v>
      </c>
      <c r="R4299" t="s">
        <v>310</v>
      </c>
      <c r="S4299">
        <v>9</v>
      </c>
      <c r="T4299" t="s">
        <v>310</v>
      </c>
      <c r="U4299">
        <v>9</v>
      </c>
      <c r="V4299">
        <v>9</v>
      </c>
      <c r="W4299">
        <v>0</v>
      </c>
      <c r="X4299">
        <v>0</v>
      </c>
      <c r="Y4299">
        <v>0</v>
      </c>
      <c r="Z4299">
        <v>0</v>
      </c>
      <c r="AA4299">
        <v>9</v>
      </c>
      <c r="AB4299">
        <v>9</v>
      </c>
      <c r="AC4299" t="s">
        <v>310</v>
      </c>
      <c r="AD4299">
        <v>9</v>
      </c>
      <c r="AE4299" t="s">
        <v>1412</v>
      </c>
      <c r="AF4299">
        <v>80000000</v>
      </c>
      <c r="AG4299" t="s">
        <v>310</v>
      </c>
      <c r="AH4299">
        <f>SUM((MID(Dyno_Data[[#This Row],[Team]],4,5))+(Dyno_Data[[#This Row],[Match]]/100))</f>
        <v>6300.76</v>
      </c>
      <c r="AI4299" s="76">
        <f>ROUND(SUM(IF(Dyno_Data[[#This Row],[AcqCenter]]&gt;0,Dyno_Data[[#This Row],[Time]]-SUMIFS(Dyno_Data[Time],Dyno_Data[Team],Dyno_Data[[#This Row],[Team]],Dyno_Data[RecordType],"StartMatch",Dyno_Data[Match],Dyno_Data[[#This Row],[Match]]),0)*86400),0)</f>
        <v>0</v>
      </c>
    </row>
    <row r="4300" spans="1:35" x14ac:dyDescent="0.3">
      <c r="A4300">
        <v>4299</v>
      </c>
      <c r="B4300" t="s">
        <v>1286</v>
      </c>
      <c r="C4300">
        <v>76</v>
      </c>
      <c r="D4300" s="105">
        <v>45374.488824652777</v>
      </c>
      <c r="E4300" t="s">
        <v>312</v>
      </c>
      <c r="F4300" t="s">
        <v>1402</v>
      </c>
      <c r="G4300">
        <v>0</v>
      </c>
      <c r="H4300" t="s">
        <v>315</v>
      </c>
      <c r="I4300">
        <v>0</v>
      </c>
      <c r="J4300">
        <v>0</v>
      </c>
      <c r="K4300">
        <v>0</v>
      </c>
      <c r="L4300" t="s">
        <v>241</v>
      </c>
      <c r="M4300" t="s">
        <v>1398</v>
      </c>
      <c r="N4300">
        <v>0</v>
      </c>
      <c r="O4300" t="s">
        <v>1395</v>
      </c>
      <c r="P4300" t="s">
        <v>310</v>
      </c>
      <c r="Q4300" t="s">
        <v>310</v>
      </c>
      <c r="R4300" t="s">
        <v>310</v>
      </c>
      <c r="S4300">
        <v>9</v>
      </c>
      <c r="T4300" t="s">
        <v>310</v>
      </c>
      <c r="U4300">
        <v>9</v>
      </c>
      <c r="V4300">
        <v>9</v>
      </c>
      <c r="W4300">
        <v>0</v>
      </c>
      <c r="X4300">
        <v>0</v>
      </c>
      <c r="Y4300">
        <v>0</v>
      </c>
      <c r="Z4300">
        <v>0</v>
      </c>
      <c r="AA4300">
        <v>9</v>
      </c>
      <c r="AB4300">
        <v>9</v>
      </c>
      <c r="AC4300" t="s">
        <v>310</v>
      </c>
      <c r="AD4300">
        <v>9</v>
      </c>
      <c r="AE4300" t="s">
        <v>1417</v>
      </c>
      <c r="AF4300">
        <v>140000000</v>
      </c>
      <c r="AG4300" t="s">
        <v>310</v>
      </c>
      <c r="AH4300">
        <f>SUM((MID(Dyno_Data[[#This Row],[Team]],4,5))+(Dyno_Data[[#This Row],[Match]]/100))</f>
        <v>1591.76</v>
      </c>
      <c r="AI4300" s="76">
        <f>ROUND(SUM(IF(Dyno_Data[[#This Row],[AcqCenter]]&gt;0,Dyno_Data[[#This Row],[Time]]-SUMIFS(Dyno_Data[Time],Dyno_Data[Team],Dyno_Data[[#This Row],[Team]],Dyno_Data[RecordType],"StartMatch",Dyno_Data[Match],Dyno_Data[[#This Row],[Match]]),0)*86400),0)</f>
        <v>0</v>
      </c>
    </row>
    <row r="4301" spans="1:35" x14ac:dyDescent="0.3">
      <c r="A4301">
        <v>4300</v>
      </c>
      <c r="B4301" t="s">
        <v>1295</v>
      </c>
      <c r="C4301">
        <v>76</v>
      </c>
      <c r="D4301" s="105">
        <v>45374.488918553237</v>
      </c>
      <c r="E4301" t="s">
        <v>312</v>
      </c>
      <c r="F4301" t="s">
        <v>1402</v>
      </c>
      <c r="G4301">
        <v>0</v>
      </c>
      <c r="H4301" t="s">
        <v>315</v>
      </c>
      <c r="I4301">
        <v>0</v>
      </c>
      <c r="J4301">
        <v>0</v>
      </c>
      <c r="K4301">
        <v>0</v>
      </c>
      <c r="L4301" t="s">
        <v>241</v>
      </c>
      <c r="M4301" t="s">
        <v>1398</v>
      </c>
      <c r="N4301">
        <v>0</v>
      </c>
      <c r="O4301" t="s">
        <v>1393</v>
      </c>
      <c r="P4301" t="s">
        <v>310</v>
      </c>
      <c r="Q4301" t="s">
        <v>310</v>
      </c>
      <c r="R4301" t="s">
        <v>310</v>
      </c>
      <c r="S4301">
        <v>9</v>
      </c>
      <c r="T4301" t="s">
        <v>310</v>
      </c>
      <c r="U4301">
        <v>9</v>
      </c>
      <c r="V4301">
        <v>9</v>
      </c>
      <c r="W4301">
        <v>0</v>
      </c>
      <c r="X4301">
        <v>0</v>
      </c>
      <c r="Y4301">
        <v>0</v>
      </c>
      <c r="Z4301">
        <v>0</v>
      </c>
      <c r="AA4301">
        <v>9</v>
      </c>
      <c r="AB4301">
        <v>9</v>
      </c>
      <c r="AC4301" t="s">
        <v>310</v>
      </c>
      <c r="AD4301">
        <v>9</v>
      </c>
      <c r="AE4301" t="s">
        <v>1412</v>
      </c>
      <c r="AF4301">
        <v>90000000</v>
      </c>
      <c r="AG4301" t="s">
        <v>310</v>
      </c>
      <c r="AH4301">
        <f>SUM((MID(Dyno_Data[[#This Row],[Team]],4,5))+(Dyno_Data[[#This Row],[Match]]/100))</f>
        <v>6300.76</v>
      </c>
      <c r="AI4301" s="76">
        <f>ROUND(SUM(IF(Dyno_Data[[#This Row],[AcqCenter]]&gt;0,Dyno_Data[[#This Row],[Time]]-SUMIFS(Dyno_Data[Time],Dyno_Data[Team],Dyno_Data[[#This Row],[Team]],Dyno_Data[RecordType],"StartMatch",Dyno_Data[Match],Dyno_Data[[#This Row],[Match]]),0)*86400),0)</f>
        <v>0</v>
      </c>
    </row>
    <row r="4302" spans="1:35" x14ac:dyDescent="0.3">
      <c r="A4302">
        <v>4301</v>
      </c>
      <c r="B4302" t="s">
        <v>1289</v>
      </c>
      <c r="C4302">
        <v>76</v>
      </c>
      <c r="D4302" s="105">
        <v>45374.489923298614</v>
      </c>
      <c r="E4302" t="s">
        <v>316</v>
      </c>
      <c r="F4302" t="s">
        <v>317</v>
      </c>
      <c r="G4302">
        <v>1</v>
      </c>
      <c r="H4302" t="s">
        <v>310</v>
      </c>
      <c r="I4302">
        <v>0</v>
      </c>
      <c r="J4302">
        <v>0</v>
      </c>
      <c r="K4302">
        <v>0</v>
      </c>
      <c r="L4302" t="s">
        <v>310</v>
      </c>
      <c r="M4302" t="s">
        <v>310</v>
      </c>
      <c r="N4302">
        <v>0</v>
      </c>
      <c r="O4302" t="s">
        <v>311</v>
      </c>
      <c r="P4302" t="s">
        <v>320</v>
      </c>
      <c r="Q4302" t="s">
        <v>1400</v>
      </c>
      <c r="R4302" t="s">
        <v>1405</v>
      </c>
      <c r="S4302">
        <v>1</v>
      </c>
      <c r="T4302" t="s">
        <v>1407</v>
      </c>
      <c r="U4302">
        <v>0</v>
      </c>
      <c r="V4302">
        <v>0</v>
      </c>
      <c r="W4302">
        <v>0.3729267</v>
      </c>
      <c r="X4302">
        <v>0</v>
      </c>
      <c r="Y4302">
        <v>40.980703599999998</v>
      </c>
      <c r="Z4302">
        <v>84.483252199999995</v>
      </c>
      <c r="AA4302">
        <v>1</v>
      </c>
      <c r="AB4302">
        <v>0</v>
      </c>
      <c r="AC4302" t="s">
        <v>170</v>
      </c>
      <c r="AD4302">
        <v>9</v>
      </c>
      <c r="AE4302" t="s">
        <v>1418</v>
      </c>
      <c r="AF4302">
        <v>0</v>
      </c>
      <c r="AG4302" t="s">
        <v>310</v>
      </c>
      <c r="AH4302">
        <f>SUM((MID(Dyno_Data[[#This Row],[Team]],4,5))+(Dyno_Data[[#This Row],[Match]]/100))</f>
        <v>6648.76</v>
      </c>
      <c r="AI4302" s="76">
        <f>ROUND(SUM(IF(Dyno_Data[[#This Row],[AcqCenter]]&gt;0,Dyno_Data[[#This Row],[Time]]-SUMIFS(Dyno_Data[Time],Dyno_Data[Team],Dyno_Data[[#This Row],[Team]],Dyno_Data[RecordType],"StartMatch",Dyno_Data[Match],Dyno_Data[[#This Row],[Match]]),0)*86400),0)</f>
        <v>0</v>
      </c>
    </row>
    <row r="4303" spans="1:35" x14ac:dyDescent="0.3">
      <c r="A4303">
        <v>4302</v>
      </c>
      <c r="B4303" t="s">
        <v>1275</v>
      </c>
      <c r="C4303">
        <v>76</v>
      </c>
      <c r="D4303" s="105">
        <v>45374.48992349537</v>
      </c>
      <c r="E4303" t="s">
        <v>316</v>
      </c>
      <c r="F4303" t="s">
        <v>317</v>
      </c>
      <c r="G4303">
        <v>1</v>
      </c>
      <c r="H4303" t="s">
        <v>310</v>
      </c>
      <c r="I4303">
        <v>0</v>
      </c>
      <c r="J4303">
        <v>0</v>
      </c>
      <c r="K4303">
        <v>0</v>
      </c>
      <c r="L4303" t="s">
        <v>310</v>
      </c>
      <c r="M4303" t="s">
        <v>310</v>
      </c>
      <c r="N4303">
        <v>0</v>
      </c>
      <c r="O4303" t="s">
        <v>1391</v>
      </c>
      <c r="P4303" t="s">
        <v>1401</v>
      </c>
      <c r="Q4303" t="s">
        <v>1400</v>
      </c>
      <c r="R4303" t="s">
        <v>321</v>
      </c>
      <c r="S4303">
        <v>0</v>
      </c>
      <c r="T4303" t="s">
        <v>105</v>
      </c>
      <c r="U4303">
        <v>9</v>
      </c>
      <c r="V4303">
        <v>9</v>
      </c>
      <c r="W4303">
        <v>0</v>
      </c>
      <c r="X4303">
        <v>58.522793699999994</v>
      </c>
      <c r="Y4303">
        <v>18.9900816</v>
      </c>
      <c r="Z4303">
        <v>58.971914499999997</v>
      </c>
      <c r="AA4303">
        <v>0</v>
      </c>
      <c r="AB4303">
        <v>0</v>
      </c>
      <c r="AC4303" t="s">
        <v>174</v>
      </c>
      <c r="AD4303">
        <v>9</v>
      </c>
      <c r="AE4303" t="s">
        <v>1413</v>
      </c>
      <c r="AF4303">
        <v>40000000</v>
      </c>
      <c r="AG4303" t="s">
        <v>310</v>
      </c>
      <c r="AH4303">
        <f>SUM((MID(Dyno_Data[[#This Row],[Team]],4,5))+(Dyno_Data[[#This Row],[Match]]/100))</f>
        <v>1880.76</v>
      </c>
      <c r="AI4303" s="76">
        <f>ROUND(SUM(IF(Dyno_Data[[#This Row],[AcqCenter]]&gt;0,Dyno_Data[[#This Row],[Time]]-SUMIFS(Dyno_Data[Time],Dyno_Data[Team],Dyno_Data[[#This Row],[Team]],Dyno_Data[RecordType],"StartMatch",Dyno_Data[Match],Dyno_Data[[#This Row],[Match]]),0)*86400),0)</f>
        <v>0</v>
      </c>
    </row>
    <row r="4304" spans="1:35" x14ac:dyDescent="0.3">
      <c r="A4304">
        <v>4303</v>
      </c>
      <c r="B4304" t="s">
        <v>1312</v>
      </c>
      <c r="C4304">
        <v>76</v>
      </c>
      <c r="D4304" s="105">
        <v>45374.489923692126</v>
      </c>
      <c r="E4304" t="s">
        <v>316</v>
      </c>
      <c r="F4304" t="s">
        <v>317</v>
      </c>
      <c r="G4304">
        <v>1</v>
      </c>
      <c r="H4304" t="s">
        <v>310</v>
      </c>
      <c r="I4304">
        <v>0</v>
      </c>
      <c r="J4304">
        <v>0</v>
      </c>
      <c r="K4304">
        <v>0</v>
      </c>
      <c r="L4304" t="s">
        <v>310</v>
      </c>
      <c r="M4304" t="s">
        <v>310</v>
      </c>
      <c r="N4304">
        <v>0</v>
      </c>
      <c r="O4304" t="s">
        <v>319</v>
      </c>
      <c r="P4304" t="s">
        <v>240</v>
      </c>
      <c r="Q4304" t="s">
        <v>1399</v>
      </c>
      <c r="R4304" t="s">
        <v>1405</v>
      </c>
      <c r="S4304">
        <v>1</v>
      </c>
      <c r="T4304" t="s">
        <v>1406</v>
      </c>
      <c r="U4304">
        <v>0</v>
      </c>
      <c r="V4304">
        <v>1</v>
      </c>
      <c r="W4304">
        <v>7.5099057999999994</v>
      </c>
      <c r="X4304">
        <v>42.519655499999999</v>
      </c>
      <c r="Y4304">
        <v>24.060066799999998</v>
      </c>
      <c r="Z4304">
        <v>51.384464699999995</v>
      </c>
      <c r="AA4304">
        <v>0</v>
      </c>
      <c r="AB4304">
        <v>0</v>
      </c>
      <c r="AC4304" t="s">
        <v>174</v>
      </c>
      <c r="AD4304">
        <v>1</v>
      </c>
      <c r="AE4304" t="s">
        <v>1416</v>
      </c>
      <c r="AF4304">
        <v>110000000</v>
      </c>
      <c r="AG4304" t="s">
        <v>310</v>
      </c>
      <c r="AH4304">
        <f>SUM((MID(Dyno_Data[[#This Row],[Team]],4,5))+(Dyno_Data[[#This Row],[Match]]/100))</f>
        <v>2053.7600000000002</v>
      </c>
      <c r="AI4304" s="76">
        <f>ROUND(SUM(IF(Dyno_Data[[#This Row],[AcqCenter]]&gt;0,Dyno_Data[[#This Row],[Time]]-SUMIFS(Dyno_Data[Time],Dyno_Data[Team],Dyno_Data[[#This Row],[Team]],Dyno_Data[RecordType],"StartMatch",Dyno_Data[Match],Dyno_Data[[#This Row],[Match]]),0)*86400),0)</f>
        <v>0</v>
      </c>
    </row>
    <row r="4305" spans="1:35" x14ac:dyDescent="0.3">
      <c r="A4305">
        <v>4304</v>
      </c>
      <c r="B4305" t="s">
        <v>1295</v>
      </c>
      <c r="C4305">
        <v>76</v>
      </c>
      <c r="D4305" s="105">
        <v>45374.489923877314</v>
      </c>
      <c r="E4305" t="s">
        <v>316</v>
      </c>
      <c r="F4305" t="s">
        <v>317</v>
      </c>
      <c r="G4305">
        <v>1</v>
      </c>
      <c r="H4305" t="s">
        <v>310</v>
      </c>
      <c r="I4305">
        <v>0</v>
      </c>
      <c r="J4305">
        <v>0</v>
      </c>
      <c r="K4305">
        <v>0</v>
      </c>
      <c r="L4305" t="s">
        <v>310</v>
      </c>
      <c r="M4305" t="s">
        <v>310</v>
      </c>
      <c r="N4305">
        <v>0</v>
      </c>
      <c r="O4305" t="s">
        <v>1393</v>
      </c>
      <c r="P4305" t="s">
        <v>1401</v>
      </c>
      <c r="Q4305" t="s">
        <v>1399</v>
      </c>
      <c r="R4305" t="s">
        <v>1405</v>
      </c>
      <c r="S4305">
        <v>1</v>
      </c>
      <c r="T4305" t="s">
        <v>1407</v>
      </c>
      <c r="U4305">
        <v>0</v>
      </c>
      <c r="V4305">
        <v>0</v>
      </c>
      <c r="W4305">
        <v>4.1841276000000001</v>
      </c>
      <c r="X4305">
        <v>46.483920699999999</v>
      </c>
      <c r="Y4305">
        <v>15.550419699999999</v>
      </c>
      <c r="Z4305">
        <v>67.897711399999991</v>
      </c>
      <c r="AA4305">
        <v>0</v>
      </c>
      <c r="AB4305">
        <v>1</v>
      </c>
      <c r="AC4305" t="s">
        <v>174</v>
      </c>
      <c r="AD4305">
        <v>0</v>
      </c>
      <c r="AE4305" t="s">
        <v>1412</v>
      </c>
      <c r="AF4305">
        <v>90000000</v>
      </c>
      <c r="AG4305" t="s">
        <v>310</v>
      </c>
      <c r="AH4305">
        <f>SUM((MID(Dyno_Data[[#This Row],[Team]],4,5))+(Dyno_Data[[#This Row],[Match]]/100))</f>
        <v>6300.76</v>
      </c>
      <c r="AI4305" s="76">
        <f>ROUND(SUM(IF(Dyno_Data[[#This Row],[AcqCenter]]&gt;0,Dyno_Data[[#This Row],[Time]]-SUMIFS(Dyno_Data[Time],Dyno_Data[Team],Dyno_Data[[#This Row],[Team]],Dyno_Data[RecordType],"StartMatch",Dyno_Data[Match],Dyno_Data[[#This Row],[Match]]),0)*86400),0)</f>
        <v>0</v>
      </c>
    </row>
    <row r="4306" spans="1:35" x14ac:dyDescent="0.3">
      <c r="A4306">
        <v>4305</v>
      </c>
      <c r="B4306" t="s">
        <v>1301</v>
      </c>
      <c r="C4306">
        <v>76</v>
      </c>
      <c r="D4306" s="105">
        <v>45374.48992403935</v>
      </c>
      <c r="E4306" t="s">
        <v>316</v>
      </c>
      <c r="F4306" t="s">
        <v>317</v>
      </c>
      <c r="G4306">
        <v>0</v>
      </c>
      <c r="H4306" t="s">
        <v>310</v>
      </c>
      <c r="I4306">
        <v>0</v>
      </c>
      <c r="J4306">
        <v>0</v>
      </c>
      <c r="K4306">
        <v>0</v>
      </c>
      <c r="L4306" t="s">
        <v>310</v>
      </c>
      <c r="M4306" t="s">
        <v>310</v>
      </c>
      <c r="N4306">
        <v>0</v>
      </c>
      <c r="O4306" t="s">
        <v>1389</v>
      </c>
      <c r="P4306" t="s">
        <v>101</v>
      </c>
      <c r="Q4306" t="s">
        <v>1400</v>
      </c>
      <c r="R4306" t="s">
        <v>1404</v>
      </c>
      <c r="S4306">
        <v>0</v>
      </c>
      <c r="T4306" t="s">
        <v>105</v>
      </c>
      <c r="U4306">
        <v>9</v>
      </c>
      <c r="V4306">
        <v>9</v>
      </c>
      <c r="W4306">
        <v>0</v>
      </c>
      <c r="X4306">
        <v>0</v>
      </c>
      <c r="Y4306">
        <v>73.235573899999991</v>
      </c>
      <c r="Z4306">
        <v>61.316415899999996</v>
      </c>
      <c r="AA4306">
        <v>1</v>
      </c>
      <c r="AB4306">
        <v>0</v>
      </c>
      <c r="AC4306" t="s">
        <v>170</v>
      </c>
      <c r="AD4306">
        <v>9</v>
      </c>
      <c r="AE4306" t="s">
        <v>1414</v>
      </c>
      <c r="AF4306">
        <v>0</v>
      </c>
      <c r="AG4306" t="s">
        <v>310</v>
      </c>
      <c r="AH4306">
        <f>SUM((MID(Dyno_Data[[#This Row],[Team]],4,5))+(Dyno_Data[[#This Row],[Match]]/100))</f>
        <v>7031.76</v>
      </c>
      <c r="AI4306" s="76">
        <f>ROUND(SUM(IF(Dyno_Data[[#This Row],[AcqCenter]]&gt;0,Dyno_Data[[#This Row],[Time]]-SUMIFS(Dyno_Data[Time],Dyno_Data[Team],Dyno_Data[[#This Row],[Team]],Dyno_Data[RecordType],"StartMatch",Dyno_Data[Match],Dyno_Data[[#This Row],[Match]]),0)*86400),0)</f>
        <v>0</v>
      </c>
    </row>
    <row r="4307" spans="1:35" x14ac:dyDescent="0.3">
      <c r="A4307">
        <v>4306</v>
      </c>
      <c r="B4307" t="s">
        <v>1286</v>
      </c>
      <c r="C4307">
        <v>76</v>
      </c>
      <c r="D4307" s="105">
        <v>45374.489924224537</v>
      </c>
      <c r="E4307" t="s">
        <v>316</v>
      </c>
      <c r="F4307" t="s">
        <v>317</v>
      </c>
      <c r="G4307">
        <v>1</v>
      </c>
      <c r="H4307" t="s">
        <v>310</v>
      </c>
      <c r="I4307">
        <v>0</v>
      </c>
      <c r="J4307">
        <v>0</v>
      </c>
      <c r="K4307">
        <v>0</v>
      </c>
      <c r="L4307" t="s">
        <v>310</v>
      </c>
      <c r="M4307" t="s">
        <v>310</v>
      </c>
      <c r="N4307">
        <v>0</v>
      </c>
      <c r="O4307" t="s">
        <v>1395</v>
      </c>
      <c r="P4307" t="s">
        <v>240</v>
      </c>
      <c r="Q4307" t="s">
        <v>1400</v>
      </c>
      <c r="R4307" t="s">
        <v>1405</v>
      </c>
      <c r="S4307">
        <v>1</v>
      </c>
      <c r="T4307" t="s">
        <v>1406</v>
      </c>
      <c r="U4307">
        <v>0</v>
      </c>
      <c r="V4307">
        <v>0</v>
      </c>
      <c r="W4307">
        <v>3.7595118999999997</v>
      </c>
      <c r="X4307">
        <v>51.986603699999996</v>
      </c>
      <c r="Y4307">
        <v>26.229976300000001</v>
      </c>
      <c r="Z4307">
        <v>39.2500231</v>
      </c>
      <c r="AA4307">
        <v>0</v>
      </c>
      <c r="AB4307">
        <v>0</v>
      </c>
      <c r="AC4307" t="s">
        <v>174</v>
      </c>
      <c r="AD4307">
        <v>9</v>
      </c>
      <c r="AE4307" t="s">
        <v>1417</v>
      </c>
      <c r="AF4307">
        <v>140000000</v>
      </c>
      <c r="AG4307" t="s">
        <v>310</v>
      </c>
      <c r="AH4307">
        <f>SUM((MID(Dyno_Data[[#This Row],[Team]],4,5))+(Dyno_Data[[#This Row],[Match]]/100))</f>
        <v>1591.76</v>
      </c>
      <c r="AI4307" s="76">
        <f>ROUND(SUM(IF(Dyno_Data[[#This Row],[AcqCenter]]&gt;0,Dyno_Data[[#This Row],[Time]]-SUMIFS(Dyno_Data[Time],Dyno_Data[Team],Dyno_Data[[#This Row],[Team]],Dyno_Data[RecordType],"StartMatch",Dyno_Data[Match],Dyno_Data[[#This Row],[Match]]),0)*86400),0)</f>
        <v>0</v>
      </c>
    </row>
    <row r="4308" spans="1:35" x14ac:dyDescent="0.3">
      <c r="A4308">
        <v>4320</v>
      </c>
      <c r="B4308" t="s">
        <v>364</v>
      </c>
      <c r="C4308">
        <v>77</v>
      </c>
      <c r="D4308" s="105">
        <v>45374.492286574074</v>
      </c>
      <c r="E4308" t="s">
        <v>308</v>
      </c>
      <c r="F4308" t="s">
        <v>309</v>
      </c>
      <c r="G4308">
        <v>0</v>
      </c>
      <c r="H4308" t="s">
        <v>310</v>
      </c>
      <c r="I4308">
        <v>0</v>
      </c>
      <c r="J4308">
        <v>0</v>
      </c>
      <c r="K4308">
        <v>0</v>
      </c>
      <c r="L4308" t="s">
        <v>310</v>
      </c>
      <c r="M4308" t="s">
        <v>310</v>
      </c>
      <c r="N4308">
        <v>0</v>
      </c>
      <c r="O4308" t="s">
        <v>1391</v>
      </c>
      <c r="P4308" t="s">
        <v>310</v>
      </c>
      <c r="Q4308" t="s">
        <v>310</v>
      </c>
      <c r="R4308" t="s">
        <v>310</v>
      </c>
      <c r="S4308">
        <v>9</v>
      </c>
      <c r="T4308" t="s">
        <v>310</v>
      </c>
      <c r="U4308">
        <v>9</v>
      </c>
      <c r="V4308">
        <v>9</v>
      </c>
      <c r="W4308">
        <v>0</v>
      </c>
      <c r="X4308">
        <v>0</v>
      </c>
      <c r="Y4308">
        <v>0</v>
      </c>
      <c r="Z4308">
        <v>0</v>
      </c>
      <c r="AA4308">
        <v>9</v>
      </c>
      <c r="AB4308">
        <v>9</v>
      </c>
      <c r="AC4308" t="s">
        <v>310</v>
      </c>
      <c r="AD4308">
        <v>9</v>
      </c>
      <c r="AE4308" t="s">
        <v>1416</v>
      </c>
      <c r="AF4308">
        <v>0</v>
      </c>
      <c r="AG4308" t="s">
        <v>310</v>
      </c>
      <c r="AH4308">
        <f>SUM((MID(Dyno_Data[[#This Row],[Team]],4,5))+(Dyno_Data[[#This Row],[Match]]/100))</f>
        <v>2791.77</v>
      </c>
      <c r="AI4308" s="76">
        <f>ROUND(SUM(IF(Dyno_Data[[#This Row],[AcqCenter]]&gt;0,Dyno_Data[[#This Row],[Time]]-SUMIFS(Dyno_Data[Time],Dyno_Data[Team],Dyno_Data[[#This Row],[Team]],Dyno_Data[RecordType],"StartMatch",Dyno_Data[Match],Dyno_Data[[#This Row],[Match]]),0)*86400),0)</f>
        <v>0</v>
      </c>
    </row>
    <row r="4309" spans="1:35" x14ac:dyDescent="0.3">
      <c r="A4309">
        <v>4322</v>
      </c>
      <c r="B4309" t="s">
        <v>1278</v>
      </c>
      <c r="C4309">
        <v>77</v>
      </c>
      <c r="D4309" s="105">
        <v>45374.492290821756</v>
      </c>
      <c r="E4309" t="s">
        <v>308</v>
      </c>
      <c r="F4309" t="s">
        <v>309</v>
      </c>
      <c r="G4309">
        <v>0</v>
      </c>
      <c r="H4309" t="s">
        <v>310</v>
      </c>
      <c r="I4309">
        <v>0</v>
      </c>
      <c r="J4309">
        <v>0</v>
      </c>
      <c r="K4309">
        <v>0</v>
      </c>
      <c r="L4309" t="s">
        <v>310</v>
      </c>
      <c r="M4309" t="s">
        <v>310</v>
      </c>
      <c r="N4309">
        <v>0</v>
      </c>
      <c r="O4309" t="s">
        <v>1395</v>
      </c>
      <c r="P4309" t="s">
        <v>310</v>
      </c>
      <c r="Q4309" t="s">
        <v>310</v>
      </c>
      <c r="R4309" t="s">
        <v>310</v>
      </c>
      <c r="S4309">
        <v>9</v>
      </c>
      <c r="T4309" t="s">
        <v>310</v>
      </c>
      <c r="U4309">
        <v>9</v>
      </c>
      <c r="V4309">
        <v>9</v>
      </c>
      <c r="W4309">
        <v>0</v>
      </c>
      <c r="X4309">
        <v>0</v>
      </c>
      <c r="Y4309">
        <v>0</v>
      </c>
      <c r="Z4309">
        <v>0</v>
      </c>
      <c r="AA4309">
        <v>9</v>
      </c>
      <c r="AB4309">
        <v>9</v>
      </c>
      <c r="AC4309" t="s">
        <v>310</v>
      </c>
      <c r="AD4309">
        <v>9</v>
      </c>
      <c r="AE4309" t="s">
        <v>1412</v>
      </c>
      <c r="AF4309">
        <v>0</v>
      </c>
      <c r="AG4309" t="s">
        <v>310</v>
      </c>
      <c r="AH4309">
        <f>SUM((MID(Dyno_Data[[#This Row],[Team]],4,5))+(Dyno_Data[[#This Row],[Match]]/100))</f>
        <v>3951.77</v>
      </c>
      <c r="AI4309" s="76">
        <f>ROUND(SUM(IF(Dyno_Data[[#This Row],[AcqCenter]]&gt;0,Dyno_Data[[#This Row],[Time]]-SUMIFS(Dyno_Data[Time],Dyno_Data[Team],Dyno_Data[[#This Row],[Team]],Dyno_Data[RecordType],"StartMatch",Dyno_Data[Match],Dyno_Data[[#This Row],[Match]]),0)*86400),0)</f>
        <v>0</v>
      </c>
    </row>
    <row r="4310" spans="1:35" x14ac:dyDescent="0.3">
      <c r="A4310">
        <v>4324</v>
      </c>
      <c r="B4310" t="s">
        <v>1291</v>
      </c>
      <c r="C4310">
        <v>77</v>
      </c>
      <c r="D4310" s="105">
        <v>45374.492291585651</v>
      </c>
      <c r="E4310" t="s">
        <v>308</v>
      </c>
      <c r="F4310" t="s">
        <v>309</v>
      </c>
      <c r="G4310">
        <v>0</v>
      </c>
      <c r="H4310" t="s">
        <v>310</v>
      </c>
      <c r="I4310">
        <v>0</v>
      </c>
      <c r="J4310">
        <v>0</v>
      </c>
      <c r="K4310">
        <v>0</v>
      </c>
      <c r="L4310" t="s">
        <v>310</v>
      </c>
      <c r="M4310" t="s">
        <v>310</v>
      </c>
      <c r="N4310">
        <v>0</v>
      </c>
      <c r="O4310" t="s">
        <v>319</v>
      </c>
      <c r="P4310" t="s">
        <v>310</v>
      </c>
      <c r="Q4310" t="s">
        <v>310</v>
      </c>
      <c r="R4310" t="s">
        <v>310</v>
      </c>
      <c r="S4310">
        <v>9</v>
      </c>
      <c r="T4310" t="s">
        <v>310</v>
      </c>
      <c r="U4310">
        <v>9</v>
      </c>
      <c r="V4310">
        <v>9</v>
      </c>
      <c r="W4310">
        <v>0</v>
      </c>
      <c r="X4310">
        <v>0</v>
      </c>
      <c r="Y4310">
        <v>0</v>
      </c>
      <c r="Z4310">
        <v>0</v>
      </c>
      <c r="AA4310">
        <v>9</v>
      </c>
      <c r="AB4310">
        <v>9</v>
      </c>
      <c r="AC4310" t="s">
        <v>310</v>
      </c>
      <c r="AD4310">
        <v>9</v>
      </c>
      <c r="AE4310" t="s">
        <v>1413</v>
      </c>
      <c r="AF4310">
        <v>30000000</v>
      </c>
      <c r="AG4310" t="s">
        <v>310</v>
      </c>
      <c r="AH4310">
        <f>SUM((MID(Dyno_Data[[#This Row],[Team]],4,5))+(Dyno_Data[[#This Row],[Match]]/100))</f>
        <v>1493.77</v>
      </c>
      <c r="AI4310" s="76">
        <f>ROUND(SUM(IF(Dyno_Data[[#This Row],[AcqCenter]]&gt;0,Dyno_Data[[#This Row],[Time]]-SUMIFS(Dyno_Data[Time],Dyno_Data[Team],Dyno_Data[[#This Row],[Team]],Dyno_Data[RecordType],"StartMatch",Dyno_Data[Match],Dyno_Data[[#This Row],[Match]]),0)*86400),0)</f>
        <v>0</v>
      </c>
    </row>
    <row r="4311" spans="1:35" x14ac:dyDescent="0.3">
      <c r="A4311">
        <v>4326</v>
      </c>
      <c r="B4311" t="s">
        <v>368</v>
      </c>
      <c r="C4311">
        <v>77</v>
      </c>
      <c r="D4311" s="105">
        <v>45374.492294479169</v>
      </c>
      <c r="E4311" t="s">
        <v>308</v>
      </c>
      <c r="F4311" t="s">
        <v>309</v>
      </c>
      <c r="G4311">
        <v>0</v>
      </c>
      <c r="H4311" t="s">
        <v>310</v>
      </c>
      <c r="I4311">
        <v>0</v>
      </c>
      <c r="J4311">
        <v>0</v>
      </c>
      <c r="K4311">
        <v>0</v>
      </c>
      <c r="L4311" t="s">
        <v>310</v>
      </c>
      <c r="M4311" t="s">
        <v>310</v>
      </c>
      <c r="N4311">
        <v>0</v>
      </c>
      <c r="O4311" t="s">
        <v>311</v>
      </c>
      <c r="P4311" t="s">
        <v>310</v>
      </c>
      <c r="Q4311" t="s">
        <v>310</v>
      </c>
      <c r="R4311" t="s">
        <v>310</v>
      </c>
      <c r="S4311">
        <v>9</v>
      </c>
      <c r="T4311" t="s">
        <v>310</v>
      </c>
      <c r="U4311">
        <v>9</v>
      </c>
      <c r="V4311">
        <v>9</v>
      </c>
      <c r="W4311">
        <v>0</v>
      </c>
      <c r="X4311">
        <v>0</v>
      </c>
      <c r="Y4311">
        <v>0</v>
      </c>
      <c r="Z4311">
        <v>0</v>
      </c>
      <c r="AA4311">
        <v>9</v>
      </c>
      <c r="AB4311">
        <v>9</v>
      </c>
      <c r="AC4311" t="s">
        <v>310</v>
      </c>
      <c r="AD4311">
        <v>9</v>
      </c>
      <c r="AE4311" t="s">
        <v>1418</v>
      </c>
      <c r="AF4311">
        <v>0</v>
      </c>
      <c r="AG4311" t="s">
        <v>310</v>
      </c>
      <c r="AH4311">
        <f>SUM((MID(Dyno_Data[[#This Row],[Team]],4,5))+(Dyno_Data[[#This Row],[Match]]/100))</f>
        <v>6401.77</v>
      </c>
      <c r="AI4311" s="76">
        <f>ROUND(SUM(IF(Dyno_Data[[#This Row],[AcqCenter]]&gt;0,Dyno_Data[[#This Row],[Time]]-SUMIFS(Dyno_Data[Time],Dyno_Data[Team],Dyno_Data[[#This Row],[Team]],Dyno_Data[RecordType],"StartMatch",Dyno_Data[Match],Dyno_Data[[#This Row],[Match]]),0)*86400),0)</f>
        <v>0</v>
      </c>
    </row>
    <row r="4312" spans="1:35" x14ac:dyDescent="0.3">
      <c r="A4312">
        <v>4307</v>
      </c>
      <c r="B4312" t="s">
        <v>1291</v>
      </c>
      <c r="C4312">
        <v>77</v>
      </c>
      <c r="D4312" s="105">
        <v>45374.492295752316</v>
      </c>
      <c r="E4312" t="s">
        <v>312</v>
      </c>
      <c r="F4312" t="s">
        <v>309</v>
      </c>
      <c r="G4312">
        <v>0</v>
      </c>
      <c r="H4312" t="s">
        <v>1397</v>
      </c>
      <c r="I4312">
        <v>0</v>
      </c>
      <c r="J4312">
        <v>0</v>
      </c>
      <c r="K4312">
        <v>0</v>
      </c>
      <c r="L4312" t="s">
        <v>240</v>
      </c>
      <c r="M4312" t="s">
        <v>1398</v>
      </c>
      <c r="N4312">
        <v>0</v>
      </c>
      <c r="O4312" t="s">
        <v>319</v>
      </c>
      <c r="P4312" t="s">
        <v>310</v>
      </c>
      <c r="Q4312" t="s">
        <v>310</v>
      </c>
      <c r="R4312" t="s">
        <v>310</v>
      </c>
      <c r="S4312">
        <v>9</v>
      </c>
      <c r="T4312" t="s">
        <v>310</v>
      </c>
      <c r="U4312">
        <v>9</v>
      </c>
      <c r="V4312">
        <v>9</v>
      </c>
      <c r="W4312">
        <v>0</v>
      </c>
      <c r="X4312">
        <v>0</v>
      </c>
      <c r="Y4312">
        <v>0</v>
      </c>
      <c r="Z4312">
        <v>0</v>
      </c>
      <c r="AA4312">
        <v>9</v>
      </c>
      <c r="AB4312">
        <v>9</v>
      </c>
      <c r="AC4312" t="s">
        <v>310</v>
      </c>
      <c r="AD4312">
        <v>9</v>
      </c>
      <c r="AE4312" t="s">
        <v>1413</v>
      </c>
      <c r="AF4312">
        <v>0</v>
      </c>
      <c r="AG4312" t="s">
        <v>310</v>
      </c>
      <c r="AH4312">
        <f>SUM((MID(Dyno_Data[[#This Row],[Team]],4,5))+(Dyno_Data[[#This Row],[Match]]/100))</f>
        <v>1493.77</v>
      </c>
      <c r="AI4312" s="76">
        <f>ROUND(SUM(IF(Dyno_Data[[#This Row],[AcqCenter]]&gt;0,Dyno_Data[[#This Row],[Time]]-SUMIFS(Dyno_Data[Time],Dyno_Data[Team],Dyno_Data[[#This Row],[Team]],Dyno_Data[RecordType],"StartMatch",Dyno_Data[Match],Dyno_Data[[#This Row],[Match]]),0)*86400),0)</f>
        <v>0</v>
      </c>
    </row>
    <row r="4313" spans="1:35" x14ac:dyDescent="0.3">
      <c r="A4313">
        <v>4328</v>
      </c>
      <c r="B4313" t="s">
        <v>370</v>
      </c>
      <c r="C4313">
        <v>77</v>
      </c>
      <c r="D4313" s="105">
        <v>45374.492295868054</v>
      </c>
      <c r="E4313" t="s">
        <v>308</v>
      </c>
      <c r="F4313" t="s">
        <v>309</v>
      </c>
      <c r="G4313">
        <v>0</v>
      </c>
      <c r="H4313" t="s">
        <v>310</v>
      </c>
      <c r="I4313">
        <v>0</v>
      </c>
      <c r="J4313">
        <v>0</v>
      </c>
      <c r="K4313">
        <v>0</v>
      </c>
      <c r="L4313" t="s">
        <v>310</v>
      </c>
      <c r="M4313" t="s">
        <v>310</v>
      </c>
      <c r="N4313">
        <v>0</v>
      </c>
      <c r="O4313" t="s">
        <v>1393</v>
      </c>
      <c r="P4313" t="s">
        <v>310</v>
      </c>
      <c r="Q4313" t="s">
        <v>310</v>
      </c>
      <c r="R4313" t="s">
        <v>310</v>
      </c>
      <c r="S4313">
        <v>9</v>
      </c>
      <c r="T4313" t="s">
        <v>310</v>
      </c>
      <c r="U4313">
        <v>9</v>
      </c>
      <c r="V4313">
        <v>9</v>
      </c>
      <c r="W4313">
        <v>0</v>
      </c>
      <c r="X4313">
        <v>0</v>
      </c>
      <c r="Y4313">
        <v>0</v>
      </c>
      <c r="Z4313">
        <v>0</v>
      </c>
      <c r="AA4313">
        <v>9</v>
      </c>
      <c r="AB4313">
        <v>9</v>
      </c>
      <c r="AC4313" t="s">
        <v>310</v>
      </c>
      <c r="AD4313">
        <v>9</v>
      </c>
      <c r="AE4313" t="s">
        <v>1417</v>
      </c>
      <c r="AF4313">
        <v>10000000</v>
      </c>
      <c r="AG4313" t="s">
        <v>310</v>
      </c>
      <c r="AH4313">
        <f>SUM((MID(Dyno_Data[[#This Row],[Team]],4,5))+(Dyno_Data[[#This Row],[Match]]/100))</f>
        <v>6911.77</v>
      </c>
      <c r="AI4313" s="76">
        <f>ROUND(SUM(IF(Dyno_Data[[#This Row],[AcqCenter]]&gt;0,Dyno_Data[[#This Row],[Time]]-SUMIFS(Dyno_Data[Time],Dyno_Data[Team],Dyno_Data[[#This Row],[Team]],Dyno_Data[RecordType],"StartMatch",Dyno_Data[Match],Dyno_Data[[#This Row],[Match]]),0)*86400),0)</f>
        <v>0</v>
      </c>
    </row>
    <row r="4314" spans="1:35" x14ac:dyDescent="0.3">
      <c r="A4314">
        <v>4330</v>
      </c>
      <c r="B4314" t="s">
        <v>365</v>
      </c>
      <c r="C4314">
        <v>77</v>
      </c>
      <c r="D4314" s="105">
        <v>45374.492296643519</v>
      </c>
      <c r="E4314" t="s">
        <v>308</v>
      </c>
      <c r="F4314" t="s">
        <v>309</v>
      </c>
      <c r="G4314">
        <v>0</v>
      </c>
      <c r="H4314" t="s">
        <v>310</v>
      </c>
      <c r="I4314">
        <v>0</v>
      </c>
      <c r="J4314">
        <v>0</v>
      </c>
      <c r="K4314">
        <v>0</v>
      </c>
      <c r="L4314" t="s">
        <v>310</v>
      </c>
      <c r="M4314" t="s">
        <v>310</v>
      </c>
      <c r="N4314">
        <v>0</v>
      </c>
      <c r="O4314" t="s">
        <v>1389</v>
      </c>
      <c r="P4314" t="s">
        <v>310</v>
      </c>
      <c r="Q4314" t="s">
        <v>310</v>
      </c>
      <c r="R4314" t="s">
        <v>310</v>
      </c>
      <c r="S4314">
        <v>9</v>
      </c>
      <c r="T4314" t="s">
        <v>310</v>
      </c>
      <c r="U4314">
        <v>9</v>
      </c>
      <c r="V4314">
        <v>9</v>
      </c>
      <c r="W4314">
        <v>0</v>
      </c>
      <c r="X4314">
        <v>0</v>
      </c>
      <c r="Y4314">
        <v>0</v>
      </c>
      <c r="Z4314">
        <v>0</v>
      </c>
      <c r="AA4314">
        <v>9</v>
      </c>
      <c r="AB4314">
        <v>9</v>
      </c>
      <c r="AC4314" t="s">
        <v>310</v>
      </c>
      <c r="AD4314">
        <v>9</v>
      </c>
      <c r="AE4314" t="s">
        <v>1414</v>
      </c>
      <c r="AF4314">
        <v>10000000</v>
      </c>
      <c r="AG4314" t="s">
        <v>310</v>
      </c>
      <c r="AH4314">
        <f>SUM((MID(Dyno_Data[[#This Row],[Team]],4,5))+(Dyno_Data[[#This Row],[Match]]/100))</f>
        <v>3171.77</v>
      </c>
      <c r="AI4314" s="76">
        <f>ROUND(SUM(IF(Dyno_Data[[#This Row],[AcqCenter]]&gt;0,Dyno_Data[[#This Row],[Time]]-SUMIFS(Dyno_Data[Time],Dyno_Data[Team],Dyno_Data[[#This Row],[Team]],Dyno_Data[RecordType],"StartMatch",Dyno_Data[Match],Dyno_Data[[#This Row],[Match]]),0)*86400),0)</f>
        <v>0</v>
      </c>
    </row>
    <row r="4315" spans="1:35" x14ac:dyDescent="0.3">
      <c r="A4315">
        <v>4308</v>
      </c>
      <c r="B4315" t="s">
        <v>364</v>
      </c>
      <c r="C4315">
        <v>77</v>
      </c>
      <c r="D4315" s="105">
        <v>45374.49231415509</v>
      </c>
      <c r="E4315" t="s">
        <v>312</v>
      </c>
      <c r="F4315" t="s">
        <v>309</v>
      </c>
      <c r="G4315">
        <v>0</v>
      </c>
      <c r="H4315" t="s">
        <v>1397</v>
      </c>
      <c r="I4315">
        <v>0</v>
      </c>
      <c r="J4315">
        <v>0</v>
      </c>
      <c r="K4315">
        <v>0</v>
      </c>
      <c r="L4315" t="s">
        <v>240</v>
      </c>
      <c r="M4315" t="s">
        <v>1398</v>
      </c>
      <c r="N4315">
        <v>0</v>
      </c>
      <c r="O4315" t="s">
        <v>1391</v>
      </c>
      <c r="P4315" t="s">
        <v>310</v>
      </c>
      <c r="Q4315" t="s">
        <v>310</v>
      </c>
      <c r="R4315" t="s">
        <v>310</v>
      </c>
      <c r="S4315">
        <v>9</v>
      </c>
      <c r="T4315" t="s">
        <v>310</v>
      </c>
      <c r="U4315">
        <v>9</v>
      </c>
      <c r="V4315">
        <v>9</v>
      </c>
      <c r="W4315">
        <v>0</v>
      </c>
      <c r="X4315">
        <v>0</v>
      </c>
      <c r="Y4315">
        <v>0</v>
      </c>
      <c r="Z4315">
        <v>0</v>
      </c>
      <c r="AA4315">
        <v>9</v>
      </c>
      <c r="AB4315">
        <v>9</v>
      </c>
      <c r="AC4315" t="s">
        <v>310</v>
      </c>
      <c r="AD4315">
        <v>9</v>
      </c>
      <c r="AE4315" t="s">
        <v>1416</v>
      </c>
      <c r="AF4315">
        <v>0</v>
      </c>
      <c r="AG4315" t="s">
        <v>310</v>
      </c>
      <c r="AH4315">
        <f>SUM((MID(Dyno_Data[[#This Row],[Team]],4,5))+(Dyno_Data[[#This Row],[Match]]/100))</f>
        <v>2791.77</v>
      </c>
      <c r="AI4315" s="76">
        <f>ROUND(SUM(IF(Dyno_Data[[#This Row],[AcqCenter]]&gt;0,Dyno_Data[[#This Row],[Time]]-SUMIFS(Dyno_Data[Time],Dyno_Data[Team],Dyno_Data[[#This Row],[Team]],Dyno_Data[RecordType],"StartMatch",Dyno_Data[Match],Dyno_Data[[#This Row],[Match]]),0)*86400),0)</f>
        <v>0</v>
      </c>
    </row>
    <row r="4316" spans="1:35" x14ac:dyDescent="0.3">
      <c r="A4316">
        <v>4309</v>
      </c>
      <c r="B4316" t="s">
        <v>365</v>
      </c>
      <c r="C4316">
        <v>77</v>
      </c>
      <c r="D4316" s="105">
        <v>45374.49232164352</v>
      </c>
      <c r="E4316" t="s">
        <v>312</v>
      </c>
      <c r="F4316" t="s">
        <v>309</v>
      </c>
      <c r="G4316">
        <v>0</v>
      </c>
      <c r="H4316" t="s">
        <v>1397</v>
      </c>
      <c r="I4316">
        <v>0</v>
      </c>
      <c r="J4316">
        <v>0</v>
      </c>
      <c r="K4316">
        <v>0</v>
      </c>
      <c r="L4316" t="s">
        <v>241</v>
      </c>
      <c r="M4316" t="s">
        <v>1398</v>
      </c>
      <c r="N4316">
        <v>0</v>
      </c>
      <c r="O4316" t="s">
        <v>1389</v>
      </c>
      <c r="P4316" t="s">
        <v>310</v>
      </c>
      <c r="Q4316" t="s">
        <v>310</v>
      </c>
      <c r="R4316" t="s">
        <v>310</v>
      </c>
      <c r="S4316">
        <v>9</v>
      </c>
      <c r="T4316" t="s">
        <v>310</v>
      </c>
      <c r="U4316">
        <v>9</v>
      </c>
      <c r="V4316">
        <v>9</v>
      </c>
      <c r="W4316">
        <v>0</v>
      </c>
      <c r="X4316">
        <v>0</v>
      </c>
      <c r="Y4316">
        <v>0</v>
      </c>
      <c r="Z4316">
        <v>0</v>
      </c>
      <c r="AA4316">
        <v>9</v>
      </c>
      <c r="AB4316">
        <v>9</v>
      </c>
      <c r="AC4316" t="s">
        <v>310</v>
      </c>
      <c r="AD4316">
        <v>9</v>
      </c>
      <c r="AE4316" t="s">
        <v>1414</v>
      </c>
      <c r="AF4316">
        <v>0</v>
      </c>
      <c r="AG4316" t="s">
        <v>310</v>
      </c>
      <c r="AH4316">
        <f>SUM((MID(Dyno_Data[[#This Row],[Team]],4,5))+(Dyno_Data[[#This Row],[Match]]/100))</f>
        <v>3171.77</v>
      </c>
      <c r="AI4316" s="76">
        <f>ROUND(SUM(IF(Dyno_Data[[#This Row],[AcqCenter]]&gt;0,Dyno_Data[[#This Row],[Time]]-SUMIFS(Dyno_Data[Time],Dyno_Data[Team],Dyno_Data[[#This Row],[Team]],Dyno_Data[RecordType],"StartMatch",Dyno_Data[Match],Dyno_Data[[#This Row],[Match]]),0)*86400),0)</f>
        <v>0</v>
      </c>
    </row>
    <row r="4317" spans="1:35" x14ac:dyDescent="0.3">
      <c r="A4317">
        <v>4310</v>
      </c>
      <c r="B4317" t="s">
        <v>368</v>
      </c>
      <c r="C4317">
        <v>77</v>
      </c>
      <c r="D4317" s="105">
        <v>45374.492330324072</v>
      </c>
      <c r="E4317" t="s">
        <v>312</v>
      </c>
      <c r="F4317" t="s">
        <v>309</v>
      </c>
      <c r="G4317">
        <v>0</v>
      </c>
      <c r="H4317" t="s">
        <v>1397</v>
      </c>
      <c r="I4317">
        <v>0</v>
      </c>
      <c r="J4317">
        <v>0</v>
      </c>
      <c r="K4317">
        <v>0</v>
      </c>
      <c r="L4317" t="s">
        <v>240</v>
      </c>
      <c r="M4317" t="s">
        <v>1398</v>
      </c>
      <c r="N4317">
        <v>1</v>
      </c>
      <c r="O4317" t="s">
        <v>311</v>
      </c>
      <c r="P4317" t="s">
        <v>310</v>
      </c>
      <c r="Q4317" t="s">
        <v>310</v>
      </c>
      <c r="R4317" t="s">
        <v>310</v>
      </c>
      <c r="S4317">
        <v>9</v>
      </c>
      <c r="T4317" t="s">
        <v>310</v>
      </c>
      <c r="U4317">
        <v>9</v>
      </c>
      <c r="V4317">
        <v>9</v>
      </c>
      <c r="W4317">
        <v>0</v>
      </c>
      <c r="X4317">
        <v>0</v>
      </c>
      <c r="Y4317">
        <v>0</v>
      </c>
      <c r="Z4317">
        <v>0</v>
      </c>
      <c r="AA4317">
        <v>9</v>
      </c>
      <c r="AB4317">
        <v>9</v>
      </c>
      <c r="AC4317" t="s">
        <v>310</v>
      </c>
      <c r="AD4317">
        <v>9</v>
      </c>
      <c r="AE4317" t="s">
        <v>1418</v>
      </c>
      <c r="AF4317">
        <v>0</v>
      </c>
      <c r="AG4317" t="s">
        <v>310</v>
      </c>
      <c r="AH4317">
        <f>SUM((MID(Dyno_Data[[#This Row],[Team]],4,5))+(Dyno_Data[[#This Row],[Match]]/100))</f>
        <v>6401.77</v>
      </c>
      <c r="AI4317" s="76">
        <f>ROUND(SUM(IF(Dyno_Data[[#This Row],[AcqCenter]]&gt;0,Dyno_Data[[#This Row],[Time]]-SUMIFS(Dyno_Data[Time],Dyno_Data[Team],Dyno_Data[[#This Row],[Team]],Dyno_Data[RecordType],"StartMatch",Dyno_Data[Match],Dyno_Data[[#This Row],[Match]]),0)*86400),0)</f>
        <v>0</v>
      </c>
    </row>
    <row r="4318" spans="1:35" x14ac:dyDescent="0.3">
      <c r="A4318">
        <v>4311</v>
      </c>
      <c r="B4318" t="s">
        <v>1278</v>
      </c>
      <c r="C4318">
        <v>77</v>
      </c>
      <c r="D4318" s="105">
        <v>45374.492332442132</v>
      </c>
      <c r="E4318" t="s">
        <v>312</v>
      </c>
      <c r="F4318" t="s">
        <v>309</v>
      </c>
      <c r="G4318">
        <v>0</v>
      </c>
      <c r="H4318" t="s">
        <v>1397</v>
      </c>
      <c r="I4318">
        <v>0</v>
      </c>
      <c r="J4318">
        <v>0</v>
      </c>
      <c r="K4318">
        <v>0</v>
      </c>
      <c r="L4318" t="s">
        <v>241</v>
      </c>
      <c r="M4318" t="s">
        <v>241</v>
      </c>
      <c r="N4318">
        <v>0</v>
      </c>
      <c r="O4318" t="s">
        <v>1395</v>
      </c>
      <c r="P4318" t="s">
        <v>310</v>
      </c>
      <c r="Q4318" t="s">
        <v>310</v>
      </c>
      <c r="R4318" t="s">
        <v>310</v>
      </c>
      <c r="S4318">
        <v>9</v>
      </c>
      <c r="T4318" t="s">
        <v>310</v>
      </c>
      <c r="U4318">
        <v>9</v>
      </c>
      <c r="V4318">
        <v>9</v>
      </c>
      <c r="W4318">
        <v>0</v>
      </c>
      <c r="X4318">
        <v>0</v>
      </c>
      <c r="Y4318">
        <v>0</v>
      </c>
      <c r="Z4318">
        <v>0</v>
      </c>
      <c r="AA4318">
        <v>9</v>
      </c>
      <c r="AB4318">
        <v>9</v>
      </c>
      <c r="AC4318" t="s">
        <v>310</v>
      </c>
      <c r="AD4318">
        <v>9</v>
      </c>
      <c r="AE4318" t="s">
        <v>1412</v>
      </c>
      <c r="AF4318">
        <v>0</v>
      </c>
      <c r="AG4318" t="s">
        <v>310</v>
      </c>
      <c r="AH4318">
        <f>SUM((MID(Dyno_Data[[#This Row],[Team]],4,5))+(Dyno_Data[[#This Row],[Match]]/100))</f>
        <v>3951.77</v>
      </c>
      <c r="AI4318" s="76">
        <f>ROUND(SUM(IF(Dyno_Data[[#This Row],[AcqCenter]]&gt;0,Dyno_Data[[#This Row],[Time]]-SUMIFS(Dyno_Data[Time],Dyno_Data[Team],Dyno_Data[[#This Row],[Team]],Dyno_Data[RecordType],"StartMatch",Dyno_Data[Match],Dyno_Data[[#This Row],[Match]]),0)*86400),0)</f>
        <v>0</v>
      </c>
    </row>
    <row r="4319" spans="1:35" x14ac:dyDescent="0.3">
      <c r="A4319">
        <v>4312</v>
      </c>
      <c r="B4319" t="s">
        <v>370</v>
      </c>
      <c r="C4319">
        <v>77</v>
      </c>
      <c r="D4319" s="105">
        <v>45374.492333182869</v>
      </c>
      <c r="E4319" t="s">
        <v>312</v>
      </c>
      <c r="F4319" t="s">
        <v>309</v>
      </c>
      <c r="G4319">
        <v>0</v>
      </c>
      <c r="H4319" t="s">
        <v>1397</v>
      </c>
      <c r="I4319">
        <v>0</v>
      </c>
      <c r="J4319">
        <v>0</v>
      </c>
      <c r="K4319">
        <v>0</v>
      </c>
      <c r="L4319" t="s">
        <v>241</v>
      </c>
      <c r="M4319" t="s">
        <v>1398</v>
      </c>
      <c r="N4319">
        <v>1</v>
      </c>
      <c r="O4319" t="s">
        <v>1393</v>
      </c>
      <c r="P4319" t="s">
        <v>310</v>
      </c>
      <c r="Q4319" t="s">
        <v>310</v>
      </c>
      <c r="R4319" t="s">
        <v>310</v>
      </c>
      <c r="S4319">
        <v>9</v>
      </c>
      <c r="T4319" t="s">
        <v>310</v>
      </c>
      <c r="U4319">
        <v>9</v>
      </c>
      <c r="V4319">
        <v>9</v>
      </c>
      <c r="W4319">
        <v>0</v>
      </c>
      <c r="X4319">
        <v>0</v>
      </c>
      <c r="Y4319">
        <v>0</v>
      </c>
      <c r="Z4319">
        <v>0</v>
      </c>
      <c r="AA4319">
        <v>9</v>
      </c>
      <c r="AB4319">
        <v>9</v>
      </c>
      <c r="AC4319" t="s">
        <v>310</v>
      </c>
      <c r="AD4319">
        <v>9</v>
      </c>
      <c r="AE4319" t="s">
        <v>1417</v>
      </c>
      <c r="AF4319">
        <v>0</v>
      </c>
      <c r="AG4319" t="s">
        <v>310</v>
      </c>
      <c r="AH4319">
        <f>SUM((MID(Dyno_Data[[#This Row],[Team]],4,5))+(Dyno_Data[[#This Row],[Match]]/100))</f>
        <v>6911.77</v>
      </c>
      <c r="AI4319" s="76">
        <f>ROUND(SUM(IF(Dyno_Data[[#This Row],[AcqCenter]]&gt;0,Dyno_Data[[#This Row],[Time]]-SUMIFS(Dyno_Data[Time],Dyno_Data[Team],Dyno_Data[[#This Row],[Team]],Dyno_Data[RecordType],"StartMatch",Dyno_Data[Match],Dyno_Data[[#This Row],[Match]]),0)*86400),0)</f>
        <v>0</v>
      </c>
    </row>
    <row r="4320" spans="1:35" x14ac:dyDescent="0.3">
      <c r="A4320">
        <v>4313</v>
      </c>
      <c r="B4320" t="s">
        <v>1291</v>
      </c>
      <c r="C4320">
        <v>77</v>
      </c>
      <c r="D4320" s="105">
        <v>45374.492340509256</v>
      </c>
      <c r="E4320" t="s">
        <v>312</v>
      </c>
      <c r="F4320" t="s">
        <v>309</v>
      </c>
      <c r="G4320">
        <v>0</v>
      </c>
      <c r="H4320" t="s">
        <v>315</v>
      </c>
      <c r="I4320">
        <v>0</v>
      </c>
      <c r="J4320">
        <v>0</v>
      </c>
      <c r="K4320">
        <v>0</v>
      </c>
      <c r="L4320" t="s">
        <v>240</v>
      </c>
      <c r="M4320" t="s">
        <v>1398</v>
      </c>
      <c r="N4320">
        <v>0</v>
      </c>
      <c r="O4320" t="s">
        <v>319</v>
      </c>
      <c r="P4320" t="s">
        <v>310</v>
      </c>
      <c r="Q4320" t="s">
        <v>310</v>
      </c>
      <c r="R4320" t="s">
        <v>310</v>
      </c>
      <c r="S4320">
        <v>9</v>
      </c>
      <c r="T4320" t="s">
        <v>310</v>
      </c>
      <c r="U4320">
        <v>9</v>
      </c>
      <c r="V4320">
        <v>9</v>
      </c>
      <c r="W4320">
        <v>0</v>
      </c>
      <c r="X4320">
        <v>0</v>
      </c>
      <c r="Y4320">
        <v>0</v>
      </c>
      <c r="Z4320">
        <v>0</v>
      </c>
      <c r="AA4320">
        <v>9</v>
      </c>
      <c r="AB4320">
        <v>9</v>
      </c>
      <c r="AC4320" t="s">
        <v>310</v>
      </c>
      <c r="AD4320">
        <v>9</v>
      </c>
      <c r="AE4320" t="s">
        <v>1413</v>
      </c>
      <c r="AF4320">
        <v>10000000</v>
      </c>
      <c r="AG4320" t="s">
        <v>310</v>
      </c>
      <c r="AH4320">
        <f>SUM((MID(Dyno_Data[[#This Row],[Team]],4,5))+(Dyno_Data[[#This Row],[Match]]/100))</f>
        <v>1493.77</v>
      </c>
      <c r="AI4320" s="76">
        <f>ROUND(SUM(IF(Dyno_Data[[#This Row],[AcqCenter]]&gt;0,Dyno_Data[[#This Row],[Time]]-SUMIFS(Dyno_Data[Time],Dyno_Data[Team],Dyno_Data[[#This Row],[Team]],Dyno_Data[RecordType],"StartMatch",Dyno_Data[Match],Dyno_Data[[#This Row],[Match]]),0)*86400),0)</f>
        <v>0</v>
      </c>
    </row>
    <row r="4321" spans="1:35" x14ac:dyDescent="0.3">
      <c r="A4321">
        <v>4315</v>
      </c>
      <c r="B4321" t="s">
        <v>364</v>
      </c>
      <c r="C4321">
        <v>77</v>
      </c>
      <c r="D4321" s="105">
        <v>45374.492365358798</v>
      </c>
      <c r="E4321" t="s">
        <v>312</v>
      </c>
      <c r="F4321" t="s">
        <v>309</v>
      </c>
      <c r="G4321">
        <v>0</v>
      </c>
      <c r="H4321" t="s">
        <v>143</v>
      </c>
      <c r="I4321">
        <v>2</v>
      </c>
      <c r="J4321">
        <v>1</v>
      </c>
      <c r="K4321">
        <v>0</v>
      </c>
      <c r="L4321" t="s">
        <v>310</v>
      </c>
      <c r="M4321" t="s">
        <v>310</v>
      </c>
      <c r="N4321">
        <v>0</v>
      </c>
      <c r="O4321" t="s">
        <v>1391</v>
      </c>
      <c r="P4321" t="s">
        <v>310</v>
      </c>
      <c r="Q4321" t="s">
        <v>310</v>
      </c>
      <c r="R4321" t="s">
        <v>310</v>
      </c>
      <c r="S4321">
        <v>9</v>
      </c>
      <c r="T4321" t="s">
        <v>310</v>
      </c>
      <c r="U4321">
        <v>9</v>
      </c>
      <c r="V4321">
        <v>9</v>
      </c>
      <c r="W4321">
        <v>0</v>
      </c>
      <c r="X4321">
        <v>0</v>
      </c>
      <c r="Y4321">
        <v>0</v>
      </c>
      <c r="Z4321">
        <v>0</v>
      </c>
      <c r="AA4321">
        <v>9</v>
      </c>
      <c r="AB4321">
        <v>9</v>
      </c>
      <c r="AC4321" t="s">
        <v>310</v>
      </c>
      <c r="AD4321">
        <v>9</v>
      </c>
      <c r="AE4321" t="s">
        <v>1416</v>
      </c>
      <c r="AF4321">
        <v>0</v>
      </c>
      <c r="AG4321" t="s">
        <v>310</v>
      </c>
      <c r="AH4321">
        <f>SUM((MID(Dyno_Data[[#This Row],[Team]],4,5))+(Dyno_Data[[#This Row],[Match]]/100))</f>
        <v>2791.77</v>
      </c>
      <c r="AI4321" s="76">
        <f>ROUND(SUM(IF(Dyno_Data[[#This Row],[AcqCenter]]&gt;0,Dyno_Data[[#This Row],[Time]]-SUMIFS(Dyno_Data[Time],Dyno_Data[Team],Dyno_Data[[#This Row],[Team]],Dyno_Data[RecordType],"StartMatch",Dyno_Data[Match],Dyno_Data[[#This Row],[Match]]),0)*86400),0)</f>
        <v>7</v>
      </c>
    </row>
    <row r="4322" spans="1:35" x14ac:dyDescent="0.3">
      <c r="A4322">
        <v>4314</v>
      </c>
      <c r="B4322" t="s">
        <v>365</v>
      </c>
      <c r="C4322">
        <v>77</v>
      </c>
      <c r="D4322" s="105">
        <v>45374.492375729169</v>
      </c>
      <c r="E4322" t="s">
        <v>312</v>
      </c>
      <c r="F4322" t="s">
        <v>309</v>
      </c>
      <c r="G4322">
        <v>0</v>
      </c>
      <c r="H4322" t="s">
        <v>315</v>
      </c>
      <c r="I4322">
        <v>0</v>
      </c>
      <c r="J4322">
        <v>0</v>
      </c>
      <c r="K4322">
        <v>0</v>
      </c>
      <c r="L4322" t="s">
        <v>241</v>
      </c>
      <c r="M4322" t="s">
        <v>1398</v>
      </c>
      <c r="N4322">
        <v>0</v>
      </c>
      <c r="O4322" t="s">
        <v>1389</v>
      </c>
      <c r="P4322" t="s">
        <v>310</v>
      </c>
      <c r="Q4322" t="s">
        <v>310</v>
      </c>
      <c r="R4322" t="s">
        <v>310</v>
      </c>
      <c r="S4322">
        <v>9</v>
      </c>
      <c r="T4322" t="s">
        <v>310</v>
      </c>
      <c r="U4322">
        <v>9</v>
      </c>
      <c r="V4322">
        <v>9</v>
      </c>
      <c r="W4322">
        <v>0</v>
      </c>
      <c r="X4322">
        <v>0</v>
      </c>
      <c r="Y4322">
        <v>0</v>
      </c>
      <c r="Z4322">
        <v>0</v>
      </c>
      <c r="AA4322">
        <v>9</v>
      </c>
      <c r="AB4322">
        <v>9</v>
      </c>
      <c r="AC4322" t="s">
        <v>310</v>
      </c>
      <c r="AD4322">
        <v>9</v>
      </c>
      <c r="AE4322" t="s">
        <v>1414</v>
      </c>
      <c r="AF4322">
        <v>10000000</v>
      </c>
      <c r="AG4322" t="s">
        <v>310</v>
      </c>
      <c r="AH4322">
        <f>SUM((MID(Dyno_Data[[#This Row],[Team]],4,5))+(Dyno_Data[[#This Row],[Match]]/100))</f>
        <v>3171.77</v>
      </c>
      <c r="AI4322" s="76">
        <f>ROUND(SUM(IF(Dyno_Data[[#This Row],[AcqCenter]]&gt;0,Dyno_Data[[#This Row],[Time]]-SUMIFS(Dyno_Data[Time],Dyno_Data[Team],Dyno_Data[[#This Row],[Team]],Dyno_Data[RecordType],"StartMatch",Dyno_Data[Match],Dyno_Data[[#This Row],[Match]]),0)*86400),0)</f>
        <v>0</v>
      </c>
    </row>
    <row r="4323" spans="1:35" x14ac:dyDescent="0.3">
      <c r="A4323">
        <v>4316</v>
      </c>
      <c r="B4323" t="s">
        <v>1291</v>
      </c>
      <c r="C4323">
        <v>77</v>
      </c>
      <c r="D4323" s="105">
        <v>45374.492398958333</v>
      </c>
      <c r="E4323" t="s">
        <v>312</v>
      </c>
      <c r="F4323" t="s">
        <v>309</v>
      </c>
      <c r="G4323">
        <v>0</v>
      </c>
      <c r="H4323" t="s">
        <v>315</v>
      </c>
      <c r="I4323">
        <v>0</v>
      </c>
      <c r="J4323">
        <v>0</v>
      </c>
      <c r="K4323">
        <v>0</v>
      </c>
      <c r="L4323" t="s">
        <v>240</v>
      </c>
      <c r="M4323" t="s">
        <v>1398</v>
      </c>
      <c r="N4323">
        <v>0</v>
      </c>
      <c r="O4323" t="s">
        <v>319</v>
      </c>
      <c r="P4323" t="s">
        <v>310</v>
      </c>
      <c r="Q4323" t="s">
        <v>310</v>
      </c>
      <c r="R4323" t="s">
        <v>310</v>
      </c>
      <c r="S4323">
        <v>9</v>
      </c>
      <c r="T4323" t="s">
        <v>310</v>
      </c>
      <c r="U4323">
        <v>9</v>
      </c>
      <c r="V4323">
        <v>9</v>
      </c>
      <c r="W4323">
        <v>0</v>
      </c>
      <c r="X4323">
        <v>0</v>
      </c>
      <c r="Y4323">
        <v>0</v>
      </c>
      <c r="Z4323">
        <v>0</v>
      </c>
      <c r="AA4323">
        <v>9</v>
      </c>
      <c r="AB4323">
        <v>9</v>
      </c>
      <c r="AC4323" t="s">
        <v>310</v>
      </c>
      <c r="AD4323">
        <v>9</v>
      </c>
      <c r="AE4323" t="s">
        <v>1413</v>
      </c>
      <c r="AF4323">
        <v>20000000</v>
      </c>
      <c r="AG4323" t="s">
        <v>310</v>
      </c>
      <c r="AH4323">
        <f>SUM((MID(Dyno_Data[[#This Row],[Team]],4,5))+(Dyno_Data[[#This Row],[Match]]/100))</f>
        <v>1493.77</v>
      </c>
      <c r="AI4323" s="76">
        <f>ROUND(SUM(IF(Dyno_Data[[#This Row],[AcqCenter]]&gt;0,Dyno_Data[[#This Row],[Time]]-SUMIFS(Dyno_Data[Time],Dyno_Data[Team],Dyno_Data[[#This Row],[Team]],Dyno_Data[RecordType],"StartMatch",Dyno_Data[Match],Dyno_Data[[#This Row],[Match]]),0)*86400),0)</f>
        <v>0</v>
      </c>
    </row>
    <row r="4324" spans="1:35" x14ac:dyDescent="0.3">
      <c r="A4324">
        <v>4317</v>
      </c>
      <c r="B4324" t="s">
        <v>370</v>
      </c>
      <c r="C4324">
        <v>77</v>
      </c>
      <c r="D4324" s="105">
        <v>45374.492406168982</v>
      </c>
      <c r="E4324" t="s">
        <v>312</v>
      </c>
      <c r="F4324" t="s">
        <v>309</v>
      </c>
      <c r="G4324">
        <v>0</v>
      </c>
      <c r="H4324" t="s">
        <v>315</v>
      </c>
      <c r="I4324">
        <v>0</v>
      </c>
      <c r="J4324">
        <v>0</v>
      </c>
      <c r="K4324">
        <v>0</v>
      </c>
      <c r="L4324" t="s">
        <v>241</v>
      </c>
      <c r="M4324" t="s">
        <v>1398</v>
      </c>
      <c r="N4324">
        <v>0</v>
      </c>
      <c r="O4324" t="s">
        <v>1393</v>
      </c>
      <c r="P4324" t="s">
        <v>310</v>
      </c>
      <c r="Q4324" t="s">
        <v>310</v>
      </c>
      <c r="R4324" t="s">
        <v>310</v>
      </c>
      <c r="S4324">
        <v>9</v>
      </c>
      <c r="T4324" t="s">
        <v>310</v>
      </c>
      <c r="U4324">
        <v>9</v>
      </c>
      <c r="V4324">
        <v>9</v>
      </c>
      <c r="W4324">
        <v>0</v>
      </c>
      <c r="X4324">
        <v>0</v>
      </c>
      <c r="Y4324">
        <v>0</v>
      </c>
      <c r="Z4324">
        <v>0</v>
      </c>
      <c r="AA4324">
        <v>9</v>
      </c>
      <c r="AB4324">
        <v>9</v>
      </c>
      <c r="AC4324" t="s">
        <v>310</v>
      </c>
      <c r="AD4324">
        <v>9</v>
      </c>
      <c r="AE4324" t="s">
        <v>1417</v>
      </c>
      <c r="AF4324">
        <v>10000000</v>
      </c>
      <c r="AG4324" t="s">
        <v>310</v>
      </c>
      <c r="AH4324">
        <f>SUM((MID(Dyno_Data[[#This Row],[Team]],4,5))+(Dyno_Data[[#This Row],[Match]]/100))</f>
        <v>6911.77</v>
      </c>
      <c r="AI4324" s="76">
        <f>ROUND(SUM(IF(Dyno_Data[[#This Row],[AcqCenter]]&gt;0,Dyno_Data[[#This Row],[Time]]-SUMIFS(Dyno_Data[Time],Dyno_Data[Team],Dyno_Data[[#This Row],[Team]],Dyno_Data[RecordType],"StartMatch",Dyno_Data[Match],Dyno_Data[[#This Row],[Match]]),0)*86400),0)</f>
        <v>0</v>
      </c>
    </row>
    <row r="4325" spans="1:35" x14ac:dyDescent="0.3">
      <c r="A4325">
        <v>4318</v>
      </c>
      <c r="B4325" t="s">
        <v>364</v>
      </c>
      <c r="C4325">
        <v>77</v>
      </c>
      <c r="D4325" s="105">
        <v>45374.492443206022</v>
      </c>
      <c r="E4325" t="s">
        <v>312</v>
      </c>
      <c r="F4325" t="s">
        <v>309</v>
      </c>
      <c r="G4325">
        <v>0</v>
      </c>
      <c r="H4325" t="s">
        <v>143</v>
      </c>
      <c r="I4325">
        <v>0</v>
      </c>
      <c r="J4325">
        <v>0</v>
      </c>
      <c r="K4325">
        <v>0</v>
      </c>
      <c r="L4325" t="s">
        <v>240</v>
      </c>
      <c r="M4325" t="s">
        <v>1398</v>
      </c>
      <c r="N4325">
        <v>0</v>
      </c>
      <c r="O4325" t="s">
        <v>1391</v>
      </c>
      <c r="P4325" t="s">
        <v>310</v>
      </c>
      <c r="Q4325" t="s">
        <v>310</v>
      </c>
      <c r="R4325" t="s">
        <v>310</v>
      </c>
      <c r="S4325">
        <v>9</v>
      </c>
      <c r="T4325" t="s">
        <v>310</v>
      </c>
      <c r="U4325">
        <v>9</v>
      </c>
      <c r="V4325">
        <v>9</v>
      </c>
      <c r="W4325">
        <v>0</v>
      </c>
      <c r="X4325">
        <v>0</v>
      </c>
      <c r="Y4325">
        <v>0</v>
      </c>
      <c r="Z4325">
        <v>0</v>
      </c>
      <c r="AA4325">
        <v>9</v>
      </c>
      <c r="AB4325">
        <v>9</v>
      </c>
      <c r="AC4325" t="s">
        <v>310</v>
      </c>
      <c r="AD4325">
        <v>9</v>
      </c>
      <c r="AE4325" t="s">
        <v>1416</v>
      </c>
      <c r="AF4325">
        <v>0</v>
      </c>
      <c r="AG4325" t="s">
        <v>310</v>
      </c>
      <c r="AH4325">
        <f>SUM((MID(Dyno_Data[[#This Row],[Team]],4,5))+(Dyno_Data[[#This Row],[Match]]/100))</f>
        <v>2791.77</v>
      </c>
      <c r="AI4325" s="76">
        <f>ROUND(SUM(IF(Dyno_Data[[#This Row],[AcqCenter]]&gt;0,Dyno_Data[[#This Row],[Time]]-SUMIFS(Dyno_Data[Time],Dyno_Data[Team],Dyno_Data[[#This Row],[Team]],Dyno_Data[RecordType],"StartMatch",Dyno_Data[Match],Dyno_Data[[#This Row],[Match]]),0)*86400),0)</f>
        <v>0</v>
      </c>
    </row>
    <row r="4326" spans="1:35" x14ac:dyDescent="0.3">
      <c r="A4326">
        <v>4319</v>
      </c>
      <c r="B4326" t="s">
        <v>1291</v>
      </c>
      <c r="C4326">
        <v>77</v>
      </c>
      <c r="D4326" s="105">
        <v>45374.492448229168</v>
      </c>
      <c r="E4326" t="s">
        <v>312</v>
      </c>
      <c r="F4326" t="s">
        <v>309</v>
      </c>
      <c r="G4326">
        <v>0</v>
      </c>
      <c r="H4326" t="s">
        <v>315</v>
      </c>
      <c r="I4326">
        <v>0</v>
      </c>
      <c r="J4326">
        <v>0</v>
      </c>
      <c r="K4326">
        <v>0</v>
      </c>
      <c r="L4326" t="s">
        <v>240</v>
      </c>
      <c r="M4326" t="s">
        <v>1398</v>
      </c>
      <c r="N4326">
        <v>0</v>
      </c>
      <c r="O4326" t="s">
        <v>319</v>
      </c>
      <c r="P4326" t="s">
        <v>310</v>
      </c>
      <c r="Q4326" t="s">
        <v>310</v>
      </c>
      <c r="R4326" t="s">
        <v>310</v>
      </c>
      <c r="S4326">
        <v>9</v>
      </c>
      <c r="T4326" t="s">
        <v>310</v>
      </c>
      <c r="U4326">
        <v>9</v>
      </c>
      <c r="V4326">
        <v>9</v>
      </c>
      <c r="W4326">
        <v>0</v>
      </c>
      <c r="X4326">
        <v>0</v>
      </c>
      <c r="Y4326">
        <v>0</v>
      </c>
      <c r="Z4326">
        <v>0</v>
      </c>
      <c r="AA4326">
        <v>9</v>
      </c>
      <c r="AB4326">
        <v>9</v>
      </c>
      <c r="AC4326" t="s">
        <v>310</v>
      </c>
      <c r="AD4326">
        <v>9</v>
      </c>
      <c r="AE4326" t="s">
        <v>1413</v>
      </c>
      <c r="AF4326">
        <v>30000000</v>
      </c>
      <c r="AG4326" t="s">
        <v>310</v>
      </c>
      <c r="AH4326">
        <f>SUM((MID(Dyno_Data[[#This Row],[Team]],4,5))+(Dyno_Data[[#This Row],[Match]]/100))</f>
        <v>1493.77</v>
      </c>
      <c r="AI4326" s="76">
        <f>ROUND(SUM(IF(Dyno_Data[[#This Row],[AcqCenter]]&gt;0,Dyno_Data[[#This Row],[Time]]-SUMIFS(Dyno_Data[Time],Dyno_Data[Team],Dyno_Data[[#This Row],[Team]],Dyno_Data[RecordType],"StartMatch",Dyno_Data[Match],Dyno_Data[[#This Row],[Match]]),0)*86400),0)</f>
        <v>0</v>
      </c>
    </row>
    <row r="4327" spans="1:35" x14ac:dyDescent="0.3">
      <c r="A4327">
        <v>4321</v>
      </c>
      <c r="B4327" t="s">
        <v>364</v>
      </c>
      <c r="C4327">
        <v>77</v>
      </c>
      <c r="D4327" s="105">
        <v>45374.492494907405</v>
      </c>
      <c r="E4327" t="s">
        <v>314</v>
      </c>
      <c r="F4327" t="s">
        <v>309</v>
      </c>
      <c r="G4327">
        <v>1</v>
      </c>
      <c r="H4327" t="s">
        <v>310</v>
      </c>
      <c r="I4327">
        <v>0</v>
      </c>
      <c r="J4327">
        <v>0</v>
      </c>
      <c r="K4327">
        <v>0</v>
      </c>
      <c r="L4327" t="s">
        <v>310</v>
      </c>
      <c r="M4327" t="s">
        <v>310</v>
      </c>
      <c r="N4327">
        <v>0</v>
      </c>
      <c r="O4327" t="s">
        <v>1391</v>
      </c>
      <c r="P4327" t="s">
        <v>1401</v>
      </c>
      <c r="Q4327" t="s">
        <v>1400</v>
      </c>
      <c r="R4327" t="s">
        <v>310</v>
      </c>
      <c r="S4327">
        <v>9</v>
      </c>
      <c r="T4327" t="s">
        <v>310</v>
      </c>
      <c r="U4327">
        <v>9</v>
      </c>
      <c r="V4327">
        <v>9</v>
      </c>
      <c r="W4327">
        <v>0</v>
      </c>
      <c r="X4327">
        <v>0</v>
      </c>
      <c r="Y4327">
        <v>0</v>
      </c>
      <c r="Z4327">
        <v>0</v>
      </c>
      <c r="AA4327">
        <v>9</v>
      </c>
      <c r="AB4327">
        <v>9</v>
      </c>
      <c r="AC4327" t="s">
        <v>310</v>
      </c>
      <c r="AD4327">
        <v>9</v>
      </c>
      <c r="AE4327" t="s">
        <v>1416</v>
      </c>
      <c r="AF4327">
        <v>0</v>
      </c>
      <c r="AG4327" t="s">
        <v>310</v>
      </c>
      <c r="AH4327">
        <f>SUM((MID(Dyno_Data[[#This Row],[Team]],4,5))+(Dyno_Data[[#This Row],[Match]]/100))</f>
        <v>2791.77</v>
      </c>
      <c r="AI4327" s="76">
        <f>ROUND(SUM(IF(Dyno_Data[[#This Row],[AcqCenter]]&gt;0,Dyno_Data[[#This Row],[Time]]-SUMIFS(Dyno_Data[Time],Dyno_Data[Team],Dyno_Data[[#This Row],[Team]],Dyno_Data[RecordType],"StartMatch",Dyno_Data[Match],Dyno_Data[[#This Row],[Match]]),0)*86400),0)</f>
        <v>0</v>
      </c>
    </row>
    <row r="4328" spans="1:35" x14ac:dyDescent="0.3">
      <c r="A4328">
        <v>4323</v>
      </c>
      <c r="B4328" t="s">
        <v>1278</v>
      </c>
      <c r="C4328">
        <v>77</v>
      </c>
      <c r="D4328" s="105">
        <v>45374.492499155094</v>
      </c>
      <c r="E4328" t="s">
        <v>314</v>
      </c>
      <c r="F4328" t="s">
        <v>309</v>
      </c>
      <c r="G4328">
        <v>1</v>
      </c>
      <c r="H4328" t="s">
        <v>310</v>
      </c>
      <c r="I4328">
        <v>0</v>
      </c>
      <c r="J4328">
        <v>0</v>
      </c>
      <c r="K4328">
        <v>0</v>
      </c>
      <c r="L4328" t="s">
        <v>310</v>
      </c>
      <c r="M4328" t="s">
        <v>310</v>
      </c>
      <c r="N4328">
        <v>0</v>
      </c>
      <c r="O4328" t="s">
        <v>1395</v>
      </c>
      <c r="P4328" t="s">
        <v>320</v>
      </c>
      <c r="Q4328" t="s">
        <v>1400</v>
      </c>
      <c r="R4328" t="s">
        <v>310</v>
      </c>
      <c r="S4328">
        <v>9</v>
      </c>
      <c r="T4328" t="s">
        <v>310</v>
      </c>
      <c r="U4328">
        <v>9</v>
      </c>
      <c r="V4328">
        <v>9</v>
      </c>
      <c r="W4328">
        <v>0</v>
      </c>
      <c r="X4328">
        <v>0</v>
      </c>
      <c r="Y4328">
        <v>0</v>
      </c>
      <c r="Z4328">
        <v>0</v>
      </c>
      <c r="AA4328">
        <v>9</v>
      </c>
      <c r="AB4328">
        <v>9</v>
      </c>
      <c r="AC4328" t="s">
        <v>310</v>
      </c>
      <c r="AD4328">
        <v>9</v>
      </c>
      <c r="AE4328" t="s">
        <v>1412</v>
      </c>
      <c r="AF4328">
        <v>0</v>
      </c>
      <c r="AG4328" t="s">
        <v>310</v>
      </c>
      <c r="AH4328">
        <f>SUM((MID(Dyno_Data[[#This Row],[Team]],4,5))+(Dyno_Data[[#This Row],[Match]]/100))</f>
        <v>3951.77</v>
      </c>
      <c r="AI4328" s="76">
        <f>ROUND(SUM(IF(Dyno_Data[[#This Row],[AcqCenter]]&gt;0,Dyno_Data[[#This Row],[Time]]-SUMIFS(Dyno_Data[Time],Dyno_Data[Team],Dyno_Data[[#This Row],[Team]],Dyno_Data[RecordType],"StartMatch",Dyno_Data[Match],Dyno_Data[[#This Row],[Match]]),0)*86400),0)</f>
        <v>0</v>
      </c>
    </row>
    <row r="4329" spans="1:35" x14ac:dyDescent="0.3">
      <c r="A4329">
        <v>4325</v>
      </c>
      <c r="B4329" t="s">
        <v>1291</v>
      </c>
      <c r="C4329">
        <v>77</v>
      </c>
      <c r="D4329" s="105">
        <v>45374.492499918983</v>
      </c>
      <c r="E4329" t="s">
        <v>314</v>
      </c>
      <c r="F4329" t="s">
        <v>309</v>
      </c>
      <c r="G4329">
        <v>0</v>
      </c>
      <c r="H4329" t="s">
        <v>310</v>
      </c>
      <c r="I4329">
        <v>0</v>
      </c>
      <c r="J4329">
        <v>0</v>
      </c>
      <c r="K4329">
        <v>0</v>
      </c>
      <c r="L4329" t="s">
        <v>310</v>
      </c>
      <c r="M4329" t="s">
        <v>310</v>
      </c>
      <c r="N4329">
        <v>0</v>
      </c>
      <c r="O4329" t="s">
        <v>319</v>
      </c>
      <c r="P4329" t="s">
        <v>240</v>
      </c>
      <c r="Q4329" t="s">
        <v>1399</v>
      </c>
      <c r="R4329" t="s">
        <v>310</v>
      </c>
      <c r="S4329">
        <v>9</v>
      </c>
      <c r="T4329" t="s">
        <v>310</v>
      </c>
      <c r="U4329">
        <v>9</v>
      </c>
      <c r="V4329">
        <v>9</v>
      </c>
      <c r="W4329">
        <v>0</v>
      </c>
      <c r="X4329">
        <v>0</v>
      </c>
      <c r="Y4329">
        <v>0</v>
      </c>
      <c r="Z4329">
        <v>0</v>
      </c>
      <c r="AA4329">
        <v>9</v>
      </c>
      <c r="AB4329">
        <v>9</v>
      </c>
      <c r="AC4329" t="s">
        <v>310</v>
      </c>
      <c r="AD4329">
        <v>9</v>
      </c>
      <c r="AE4329" t="s">
        <v>1413</v>
      </c>
      <c r="AF4329">
        <v>30000000</v>
      </c>
      <c r="AG4329" t="s">
        <v>310</v>
      </c>
      <c r="AH4329">
        <f>SUM((MID(Dyno_Data[[#This Row],[Team]],4,5))+(Dyno_Data[[#This Row],[Match]]/100))</f>
        <v>1493.77</v>
      </c>
      <c r="AI4329" s="76">
        <f>ROUND(SUM(IF(Dyno_Data[[#This Row],[AcqCenter]]&gt;0,Dyno_Data[[#This Row],[Time]]-SUMIFS(Dyno_Data[Time],Dyno_Data[Team],Dyno_Data[[#This Row],[Team]],Dyno_Data[RecordType],"StartMatch",Dyno_Data[Match],Dyno_Data[[#This Row],[Match]]),0)*86400),0)</f>
        <v>0</v>
      </c>
    </row>
    <row r="4330" spans="1:35" x14ac:dyDescent="0.3">
      <c r="A4330">
        <v>4327</v>
      </c>
      <c r="B4330" t="s">
        <v>368</v>
      </c>
      <c r="C4330">
        <v>77</v>
      </c>
      <c r="D4330" s="105">
        <v>45374.4925028125</v>
      </c>
      <c r="E4330" t="s">
        <v>314</v>
      </c>
      <c r="F4330" t="s">
        <v>309</v>
      </c>
      <c r="G4330">
        <v>0</v>
      </c>
      <c r="H4330" t="s">
        <v>310</v>
      </c>
      <c r="I4330">
        <v>0</v>
      </c>
      <c r="J4330">
        <v>0</v>
      </c>
      <c r="K4330">
        <v>0</v>
      </c>
      <c r="L4330" t="s">
        <v>310</v>
      </c>
      <c r="M4330" t="s">
        <v>310</v>
      </c>
      <c r="N4330">
        <v>0</v>
      </c>
      <c r="O4330" t="s">
        <v>311</v>
      </c>
      <c r="P4330" t="s">
        <v>101</v>
      </c>
      <c r="Q4330" t="s">
        <v>1400</v>
      </c>
      <c r="R4330" t="s">
        <v>310</v>
      </c>
      <c r="S4330">
        <v>9</v>
      </c>
      <c r="T4330" t="s">
        <v>310</v>
      </c>
      <c r="U4330">
        <v>9</v>
      </c>
      <c r="V4330">
        <v>9</v>
      </c>
      <c r="W4330">
        <v>0</v>
      </c>
      <c r="X4330">
        <v>0</v>
      </c>
      <c r="Y4330">
        <v>0</v>
      </c>
      <c r="Z4330">
        <v>0</v>
      </c>
      <c r="AA4330">
        <v>9</v>
      </c>
      <c r="AB4330">
        <v>9</v>
      </c>
      <c r="AC4330" t="s">
        <v>310</v>
      </c>
      <c r="AD4330">
        <v>9</v>
      </c>
      <c r="AE4330" t="s">
        <v>1418</v>
      </c>
      <c r="AF4330">
        <v>0</v>
      </c>
      <c r="AG4330" t="s">
        <v>310</v>
      </c>
      <c r="AH4330">
        <f>SUM((MID(Dyno_Data[[#This Row],[Team]],4,5))+(Dyno_Data[[#This Row],[Match]]/100))</f>
        <v>6401.77</v>
      </c>
      <c r="AI4330" s="76">
        <f>ROUND(SUM(IF(Dyno_Data[[#This Row],[AcqCenter]]&gt;0,Dyno_Data[[#This Row],[Time]]-SUMIFS(Dyno_Data[Time],Dyno_Data[Team],Dyno_Data[[#This Row],[Team]],Dyno_Data[RecordType],"StartMatch",Dyno_Data[Match],Dyno_Data[[#This Row],[Match]]),0)*86400),0)</f>
        <v>0</v>
      </c>
    </row>
    <row r="4331" spans="1:35" x14ac:dyDescent="0.3">
      <c r="A4331">
        <v>4329</v>
      </c>
      <c r="B4331" t="s">
        <v>370</v>
      </c>
      <c r="C4331">
        <v>77</v>
      </c>
      <c r="D4331" s="105">
        <v>45374.492504201386</v>
      </c>
      <c r="E4331" t="s">
        <v>314</v>
      </c>
      <c r="F4331" t="s">
        <v>309</v>
      </c>
      <c r="G4331">
        <v>0</v>
      </c>
      <c r="H4331" t="s">
        <v>310</v>
      </c>
      <c r="I4331">
        <v>0</v>
      </c>
      <c r="J4331">
        <v>0</v>
      </c>
      <c r="K4331">
        <v>0</v>
      </c>
      <c r="L4331" t="s">
        <v>310</v>
      </c>
      <c r="M4331" t="s">
        <v>310</v>
      </c>
      <c r="N4331">
        <v>0</v>
      </c>
      <c r="O4331" t="s">
        <v>1393</v>
      </c>
      <c r="P4331" t="s">
        <v>1401</v>
      </c>
      <c r="Q4331" t="s">
        <v>1400</v>
      </c>
      <c r="R4331" t="s">
        <v>310</v>
      </c>
      <c r="S4331">
        <v>9</v>
      </c>
      <c r="T4331" t="s">
        <v>310</v>
      </c>
      <c r="U4331">
        <v>9</v>
      </c>
      <c r="V4331">
        <v>9</v>
      </c>
      <c r="W4331">
        <v>0</v>
      </c>
      <c r="X4331">
        <v>0</v>
      </c>
      <c r="Y4331">
        <v>0</v>
      </c>
      <c r="Z4331">
        <v>0</v>
      </c>
      <c r="AA4331">
        <v>9</v>
      </c>
      <c r="AB4331">
        <v>9</v>
      </c>
      <c r="AC4331" t="s">
        <v>310</v>
      </c>
      <c r="AD4331">
        <v>9</v>
      </c>
      <c r="AE4331" t="s">
        <v>1417</v>
      </c>
      <c r="AF4331">
        <v>10000000</v>
      </c>
      <c r="AG4331" t="s">
        <v>310</v>
      </c>
      <c r="AH4331">
        <f>SUM((MID(Dyno_Data[[#This Row],[Team]],4,5))+(Dyno_Data[[#This Row],[Match]]/100))</f>
        <v>6911.77</v>
      </c>
      <c r="AI4331" s="76">
        <f>ROUND(SUM(IF(Dyno_Data[[#This Row],[AcqCenter]]&gt;0,Dyno_Data[[#This Row],[Time]]-SUMIFS(Dyno_Data[Time],Dyno_Data[Team],Dyno_Data[[#This Row],[Team]],Dyno_Data[RecordType],"StartMatch",Dyno_Data[Match],Dyno_Data[[#This Row],[Match]]),0)*86400),0)</f>
        <v>0</v>
      </c>
    </row>
    <row r="4332" spans="1:35" x14ac:dyDescent="0.3">
      <c r="A4332">
        <v>4331</v>
      </c>
      <c r="B4332" t="s">
        <v>365</v>
      </c>
      <c r="C4332">
        <v>77</v>
      </c>
      <c r="D4332" s="105">
        <v>45374.49250497685</v>
      </c>
      <c r="E4332" t="s">
        <v>314</v>
      </c>
      <c r="F4332" t="s">
        <v>309</v>
      </c>
      <c r="G4332">
        <v>1</v>
      </c>
      <c r="H4332" t="s">
        <v>310</v>
      </c>
      <c r="I4332">
        <v>0</v>
      </c>
      <c r="J4332">
        <v>0</v>
      </c>
      <c r="K4332">
        <v>0</v>
      </c>
      <c r="L4332" t="s">
        <v>310</v>
      </c>
      <c r="M4332" t="s">
        <v>310</v>
      </c>
      <c r="N4332">
        <v>0</v>
      </c>
      <c r="O4332" t="s">
        <v>1389</v>
      </c>
      <c r="P4332" t="s">
        <v>1401</v>
      </c>
      <c r="Q4332" t="s">
        <v>1399</v>
      </c>
      <c r="R4332" t="s">
        <v>310</v>
      </c>
      <c r="S4332">
        <v>9</v>
      </c>
      <c r="T4332" t="s">
        <v>310</v>
      </c>
      <c r="U4332">
        <v>9</v>
      </c>
      <c r="V4332">
        <v>9</v>
      </c>
      <c r="W4332">
        <v>0</v>
      </c>
      <c r="X4332">
        <v>0</v>
      </c>
      <c r="Y4332">
        <v>0</v>
      </c>
      <c r="Z4332">
        <v>0</v>
      </c>
      <c r="AA4332">
        <v>9</v>
      </c>
      <c r="AB4332">
        <v>9</v>
      </c>
      <c r="AC4332" t="s">
        <v>310</v>
      </c>
      <c r="AD4332">
        <v>9</v>
      </c>
      <c r="AE4332" t="s">
        <v>1414</v>
      </c>
      <c r="AF4332">
        <v>10000000</v>
      </c>
      <c r="AG4332" t="s">
        <v>310</v>
      </c>
      <c r="AH4332">
        <f>SUM((MID(Dyno_Data[[#This Row],[Team]],4,5))+(Dyno_Data[[#This Row],[Match]]/100))</f>
        <v>3171.77</v>
      </c>
      <c r="AI4332" s="76">
        <f>ROUND(SUM(IF(Dyno_Data[[#This Row],[AcqCenter]]&gt;0,Dyno_Data[[#This Row],[Time]]-SUMIFS(Dyno_Data[Time],Dyno_Data[Team],Dyno_Data[[#This Row],[Team]],Dyno_Data[RecordType],"StartMatch",Dyno_Data[Match],Dyno_Data[[#This Row],[Match]]),0)*86400),0)</f>
        <v>0</v>
      </c>
    </row>
    <row r="4333" spans="1:35" x14ac:dyDescent="0.3">
      <c r="A4333">
        <v>4332</v>
      </c>
      <c r="B4333" t="s">
        <v>1291</v>
      </c>
      <c r="C4333">
        <v>77</v>
      </c>
      <c r="D4333" s="105">
        <v>45374.492578159719</v>
      </c>
      <c r="E4333" t="s">
        <v>312</v>
      </c>
      <c r="F4333" t="s">
        <v>1402</v>
      </c>
      <c r="G4333">
        <v>0</v>
      </c>
      <c r="H4333" t="s">
        <v>315</v>
      </c>
      <c r="I4333">
        <v>0</v>
      </c>
      <c r="J4333">
        <v>0</v>
      </c>
      <c r="K4333">
        <v>0</v>
      </c>
      <c r="L4333" t="s">
        <v>240</v>
      </c>
      <c r="M4333" t="s">
        <v>101</v>
      </c>
      <c r="N4333">
        <v>0</v>
      </c>
      <c r="O4333" t="s">
        <v>319</v>
      </c>
      <c r="P4333" t="s">
        <v>310</v>
      </c>
      <c r="Q4333" t="s">
        <v>310</v>
      </c>
      <c r="R4333" t="s">
        <v>310</v>
      </c>
      <c r="S4333">
        <v>9</v>
      </c>
      <c r="T4333" t="s">
        <v>310</v>
      </c>
      <c r="U4333">
        <v>9</v>
      </c>
      <c r="V4333">
        <v>9</v>
      </c>
      <c r="W4333">
        <v>0</v>
      </c>
      <c r="X4333">
        <v>0</v>
      </c>
      <c r="Y4333">
        <v>0</v>
      </c>
      <c r="Z4333">
        <v>0</v>
      </c>
      <c r="AA4333">
        <v>9</v>
      </c>
      <c r="AB4333">
        <v>9</v>
      </c>
      <c r="AC4333" t="s">
        <v>310</v>
      </c>
      <c r="AD4333">
        <v>9</v>
      </c>
      <c r="AE4333" t="s">
        <v>1413</v>
      </c>
      <c r="AF4333">
        <v>40000000</v>
      </c>
      <c r="AG4333" t="s">
        <v>310</v>
      </c>
      <c r="AH4333">
        <f>SUM((MID(Dyno_Data[[#This Row],[Team]],4,5))+(Dyno_Data[[#This Row],[Match]]/100))</f>
        <v>1493.77</v>
      </c>
      <c r="AI4333" s="76">
        <f>ROUND(SUM(IF(Dyno_Data[[#This Row],[AcqCenter]]&gt;0,Dyno_Data[[#This Row],[Time]]-SUMIFS(Dyno_Data[Time],Dyno_Data[Team],Dyno_Data[[#This Row],[Team]],Dyno_Data[RecordType],"StartMatch",Dyno_Data[Match],Dyno_Data[[#This Row],[Match]]),0)*86400),0)</f>
        <v>0</v>
      </c>
    </row>
    <row r="4334" spans="1:35" x14ac:dyDescent="0.3">
      <c r="A4334">
        <v>4333</v>
      </c>
      <c r="B4334" t="s">
        <v>365</v>
      </c>
      <c r="C4334">
        <v>77</v>
      </c>
      <c r="D4334" s="105">
        <v>45374.492579432874</v>
      </c>
      <c r="E4334" t="s">
        <v>312</v>
      </c>
      <c r="F4334" t="s">
        <v>1402</v>
      </c>
      <c r="G4334">
        <v>0</v>
      </c>
      <c r="H4334" t="s">
        <v>315</v>
      </c>
      <c r="I4334">
        <v>0</v>
      </c>
      <c r="J4334">
        <v>0</v>
      </c>
      <c r="K4334">
        <v>0</v>
      </c>
      <c r="L4334" t="s">
        <v>241</v>
      </c>
      <c r="M4334" t="s">
        <v>1398</v>
      </c>
      <c r="N4334">
        <v>0</v>
      </c>
      <c r="O4334" t="s">
        <v>1389</v>
      </c>
      <c r="P4334" t="s">
        <v>310</v>
      </c>
      <c r="Q4334" t="s">
        <v>310</v>
      </c>
      <c r="R4334" t="s">
        <v>310</v>
      </c>
      <c r="S4334">
        <v>9</v>
      </c>
      <c r="T4334" t="s">
        <v>310</v>
      </c>
      <c r="U4334">
        <v>9</v>
      </c>
      <c r="V4334">
        <v>9</v>
      </c>
      <c r="W4334">
        <v>0</v>
      </c>
      <c r="X4334">
        <v>0</v>
      </c>
      <c r="Y4334">
        <v>0</v>
      </c>
      <c r="Z4334">
        <v>0</v>
      </c>
      <c r="AA4334">
        <v>9</v>
      </c>
      <c r="AB4334">
        <v>9</v>
      </c>
      <c r="AC4334" t="s">
        <v>310</v>
      </c>
      <c r="AD4334">
        <v>9</v>
      </c>
      <c r="AE4334" t="s">
        <v>1414</v>
      </c>
      <c r="AF4334">
        <v>20000000</v>
      </c>
      <c r="AG4334" t="s">
        <v>310</v>
      </c>
      <c r="AH4334">
        <f>SUM((MID(Dyno_Data[[#This Row],[Team]],4,5))+(Dyno_Data[[#This Row],[Match]]/100))</f>
        <v>3171.77</v>
      </c>
      <c r="AI4334" s="76">
        <f>ROUND(SUM(IF(Dyno_Data[[#This Row],[AcqCenter]]&gt;0,Dyno_Data[[#This Row],[Time]]-SUMIFS(Dyno_Data[Time],Dyno_Data[Team],Dyno_Data[[#This Row],[Team]],Dyno_Data[RecordType],"StartMatch",Dyno_Data[Match],Dyno_Data[[#This Row],[Match]]),0)*86400),0)</f>
        <v>0</v>
      </c>
    </row>
    <row r="4335" spans="1:35" x14ac:dyDescent="0.3">
      <c r="A4335">
        <v>4334</v>
      </c>
      <c r="B4335" t="s">
        <v>1291</v>
      </c>
      <c r="C4335">
        <v>77</v>
      </c>
      <c r="D4335" s="105">
        <v>45374.492623067126</v>
      </c>
      <c r="E4335" t="s">
        <v>312</v>
      </c>
      <c r="F4335" t="s">
        <v>1402</v>
      </c>
      <c r="G4335">
        <v>0</v>
      </c>
      <c r="H4335" t="s">
        <v>315</v>
      </c>
      <c r="I4335">
        <v>0</v>
      </c>
      <c r="J4335">
        <v>0</v>
      </c>
      <c r="K4335">
        <v>0</v>
      </c>
      <c r="L4335" t="s">
        <v>240</v>
      </c>
      <c r="M4335" t="s">
        <v>101</v>
      </c>
      <c r="N4335">
        <v>0</v>
      </c>
      <c r="O4335" t="s">
        <v>319</v>
      </c>
      <c r="P4335" t="s">
        <v>310</v>
      </c>
      <c r="Q4335" t="s">
        <v>310</v>
      </c>
      <c r="R4335" t="s">
        <v>310</v>
      </c>
      <c r="S4335">
        <v>9</v>
      </c>
      <c r="T4335" t="s">
        <v>310</v>
      </c>
      <c r="U4335">
        <v>9</v>
      </c>
      <c r="V4335">
        <v>9</v>
      </c>
      <c r="W4335">
        <v>0</v>
      </c>
      <c r="X4335">
        <v>0</v>
      </c>
      <c r="Y4335">
        <v>0</v>
      </c>
      <c r="Z4335">
        <v>0</v>
      </c>
      <c r="AA4335">
        <v>9</v>
      </c>
      <c r="AB4335">
        <v>9</v>
      </c>
      <c r="AC4335" t="s">
        <v>310</v>
      </c>
      <c r="AD4335">
        <v>9</v>
      </c>
      <c r="AE4335" t="s">
        <v>1413</v>
      </c>
      <c r="AF4335">
        <v>50000000</v>
      </c>
      <c r="AG4335" t="s">
        <v>310</v>
      </c>
      <c r="AH4335">
        <f>SUM((MID(Dyno_Data[[#This Row],[Team]],4,5))+(Dyno_Data[[#This Row],[Match]]/100))</f>
        <v>1493.77</v>
      </c>
      <c r="AI4335" s="76">
        <f>ROUND(SUM(IF(Dyno_Data[[#This Row],[AcqCenter]]&gt;0,Dyno_Data[[#This Row],[Time]]-SUMIFS(Dyno_Data[Time],Dyno_Data[Team],Dyno_Data[[#This Row],[Team]],Dyno_Data[RecordType],"StartMatch",Dyno_Data[Match],Dyno_Data[[#This Row],[Match]]),0)*86400),0)</f>
        <v>0</v>
      </c>
    </row>
    <row r="4336" spans="1:35" x14ac:dyDescent="0.3">
      <c r="A4336">
        <v>4335</v>
      </c>
      <c r="B4336" t="s">
        <v>370</v>
      </c>
      <c r="C4336">
        <v>77</v>
      </c>
      <c r="D4336" s="105">
        <v>45374.492634641203</v>
      </c>
      <c r="E4336" t="s">
        <v>312</v>
      </c>
      <c r="F4336" t="s">
        <v>1402</v>
      </c>
      <c r="G4336">
        <v>0</v>
      </c>
      <c r="H4336" t="s">
        <v>315</v>
      </c>
      <c r="I4336">
        <v>0</v>
      </c>
      <c r="J4336">
        <v>0</v>
      </c>
      <c r="K4336">
        <v>0</v>
      </c>
      <c r="L4336" t="s">
        <v>241</v>
      </c>
      <c r="M4336" t="s">
        <v>1398</v>
      </c>
      <c r="N4336">
        <v>0</v>
      </c>
      <c r="O4336" t="s">
        <v>1393</v>
      </c>
      <c r="P4336" t="s">
        <v>310</v>
      </c>
      <c r="Q4336" t="s">
        <v>310</v>
      </c>
      <c r="R4336" t="s">
        <v>310</v>
      </c>
      <c r="S4336">
        <v>9</v>
      </c>
      <c r="T4336" t="s">
        <v>310</v>
      </c>
      <c r="U4336">
        <v>9</v>
      </c>
      <c r="V4336">
        <v>9</v>
      </c>
      <c r="W4336">
        <v>0</v>
      </c>
      <c r="X4336">
        <v>0</v>
      </c>
      <c r="Y4336">
        <v>0</v>
      </c>
      <c r="Z4336">
        <v>0</v>
      </c>
      <c r="AA4336">
        <v>9</v>
      </c>
      <c r="AB4336">
        <v>9</v>
      </c>
      <c r="AC4336" t="s">
        <v>310</v>
      </c>
      <c r="AD4336">
        <v>9</v>
      </c>
      <c r="AE4336" t="s">
        <v>1417</v>
      </c>
      <c r="AF4336">
        <v>20000000</v>
      </c>
      <c r="AG4336" t="s">
        <v>310</v>
      </c>
      <c r="AH4336">
        <f>SUM((MID(Dyno_Data[[#This Row],[Team]],4,5))+(Dyno_Data[[#This Row],[Match]]/100))</f>
        <v>6911.77</v>
      </c>
      <c r="AI4336" s="76">
        <f>ROUND(SUM(IF(Dyno_Data[[#This Row],[AcqCenter]]&gt;0,Dyno_Data[[#This Row],[Time]]-SUMIFS(Dyno_Data[Time],Dyno_Data[Team],Dyno_Data[[#This Row],[Team]],Dyno_Data[RecordType],"StartMatch",Dyno_Data[Match],Dyno_Data[[#This Row],[Match]]),0)*86400),0)</f>
        <v>0</v>
      </c>
    </row>
    <row r="4337" spans="1:35" x14ac:dyDescent="0.3">
      <c r="A4337">
        <v>4336</v>
      </c>
      <c r="B4337" t="s">
        <v>364</v>
      </c>
      <c r="C4337">
        <v>77</v>
      </c>
      <c r="D4337" s="105">
        <v>45374.492644016202</v>
      </c>
      <c r="E4337" t="s">
        <v>312</v>
      </c>
      <c r="F4337" t="s">
        <v>1402</v>
      </c>
      <c r="G4337">
        <v>0</v>
      </c>
      <c r="H4337" t="s">
        <v>315</v>
      </c>
      <c r="I4337">
        <v>0</v>
      </c>
      <c r="J4337">
        <v>0</v>
      </c>
      <c r="K4337">
        <v>0</v>
      </c>
      <c r="L4337" t="s">
        <v>240</v>
      </c>
      <c r="M4337" t="s">
        <v>1398</v>
      </c>
      <c r="N4337">
        <v>0</v>
      </c>
      <c r="O4337" t="s">
        <v>1391</v>
      </c>
      <c r="P4337" t="s">
        <v>310</v>
      </c>
      <c r="Q4337" t="s">
        <v>310</v>
      </c>
      <c r="R4337" t="s">
        <v>310</v>
      </c>
      <c r="S4337">
        <v>9</v>
      </c>
      <c r="T4337" t="s">
        <v>310</v>
      </c>
      <c r="U4337">
        <v>9</v>
      </c>
      <c r="V4337">
        <v>9</v>
      </c>
      <c r="W4337">
        <v>0</v>
      </c>
      <c r="X4337">
        <v>0</v>
      </c>
      <c r="Y4337">
        <v>0</v>
      </c>
      <c r="Z4337">
        <v>0</v>
      </c>
      <c r="AA4337">
        <v>9</v>
      </c>
      <c r="AB4337">
        <v>9</v>
      </c>
      <c r="AC4337" t="s">
        <v>310</v>
      </c>
      <c r="AD4337">
        <v>9</v>
      </c>
      <c r="AE4337" t="s">
        <v>1416</v>
      </c>
      <c r="AF4337">
        <v>10000000</v>
      </c>
      <c r="AG4337" t="s">
        <v>310</v>
      </c>
      <c r="AH4337">
        <f>SUM((MID(Dyno_Data[[#This Row],[Team]],4,5))+(Dyno_Data[[#This Row],[Match]]/100))</f>
        <v>2791.77</v>
      </c>
      <c r="AI4337" s="76">
        <f>ROUND(SUM(IF(Dyno_Data[[#This Row],[AcqCenter]]&gt;0,Dyno_Data[[#This Row],[Time]]-SUMIFS(Dyno_Data[Time],Dyno_Data[Team],Dyno_Data[[#This Row],[Team]],Dyno_Data[RecordType],"StartMatch",Dyno_Data[Match],Dyno_Data[[#This Row],[Match]]),0)*86400),0)</f>
        <v>0</v>
      </c>
    </row>
    <row r="4338" spans="1:35" x14ac:dyDescent="0.3">
      <c r="A4338">
        <v>4337</v>
      </c>
      <c r="B4338" t="s">
        <v>1291</v>
      </c>
      <c r="C4338">
        <v>77</v>
      </c>
      <c r="D4338" s="105">
        <v>45374.492673877314</v>
      </c>
      <c r="E4338" t="s">
        <v>312</v>
      </c>
      <c r="F4338" t="s">
        <v>1402</v>
      </c>
      <c r="G4338">
        <v>0</v>
      </c>
      <c r="H4338" t="s">
        <v>315</v>
      </c>
      <c r="I4338">
        <v>0</v>
      </c>
      <c r="J4338">
        <v>0</v>
      </c>
      <c r="K4338">
        <v>0</v>
      </c>
      <c r="L4338" t="s">
        <v>240</v>
      </c>
      <c r="M4338" t="s">
        <v>101</v>
      </c>
      <c r="N4338">
        <v>0</v>
      </c>
      <c r="O4338" t="s">
        <v>319</v>
      </c>
      <c r="P4338" t="s">
        <v>310</v>
      </c>
      <c r="Q4338" t="s">
        <v>310</v>
      </c>
      <c r="R4338" t="s">
        <v>310</v>
      </c>
      <c r="S4338">
        <v>9</v>
      </c>
      <c r="T4338" t="s">
        <v>310</v>
      </c>
      <c r="U4338">
        <v>9</v>
      </c>
      <c r="V4338">
        <v>9</v>
      </c>
      <c r="W4338">
        <v>0</v>
      </c>
      <c r="X4338">
        <v>0</v>
      </c>
      <c r="Y4338">
        <v>0</v>
      </c>
      <c r="Z4338">
        <v>0</v>
      </c>
      <c r="AA4338">
        <v>9</v>
      </c>
      <c r="AB4338">
        <v>9</v>
      </c>
      <c r="AC4338" t="s">
        <v>310</v>
      </c>
      <c r="AD4338">
        <v>9</v>
      </c>
      <c r="AE4338" t="s">
        <v>1413</v>
      </c>
      <c r="AF4338">
        <v>60000000</v>
      </c>
      <c r="AG4338" t="s">
        <v>310</v>
      </c>
      <c r="AH4338">
        <f>SUM((MID(Dyno_Data[[#This Row],[Team]],4,5))+(Dyno_Data[[#This Row],[Match]]/100))</f>
        <v>1493.77</v>
      </c>
      <c r="AI4338" s="76">
        <f>ROUND(SUM(IF(Dyno_Data[[#This Row],[AcqCenter]]&gt;0,Dyno_Data[[#This Row],[Time]]-SUMIFS(Dyno_Data[Time],Dyno_Data[Team],Dyno_Data[[#This Row],[Team]],Dyno_Data[RecordType],"StartMatch",Dyno_Data[Match],Dyno_Data[[#This Row],[Match]]),0)*86400),0)</f>
        <v>0</v>
      </c>
    </row>
    <row r="4339" spans="1:35" x14ac:dyDescent="0.3">
      <c r="A4339">
        <v>4338</v>
      </c>
      <c r="B4339" t="s">
        <v>1278</v>
      </c>
      <c r="C4339">
        <v>77</v>
      </c>
      <c r="D4339" s="105">
        <v>45374.492684756944</v>
      </c>
      <c r="E4339" t="s">
        <v>312</v>
      </c>
      <c r="F4339" t="s">
        <v>1402</v>
      </c>
      <c r="G4339">
        <v>0</v>
      </c>
      <c r="H4339" t="s">
        <v>315</v>
      </c>
      <c r="I4339">
        <v>0</v>
      </c>
      <c r="J4339">
        <v>0</v>
      </c>
      <c r="K4339">
        <v>0</v>
      </c>
      <c r="L4339" t="s">
        <v>241</v>
      </c>
      <c r="M4339" t="s">
        <v>101</v>
      </c>
      <c r="N4339">
        <v>0</v>
      </c>
      <c r="O4339" t="s">
        <v>1395</v>
      </c>
      <c r="P4339" t="s">
        <v>310</v>
      </c>
      <c r="Q4339" t="s">
        <v>310</v>
      </c>
      <c r="R4339" t="s">
        <v>310</v>
      </c>
      <c r="S4339">
        <v>9</v>
      </c>
      <c r="T4339" t="s">
        <v>310</v>
      </c>
      <c r="U4339">
        <v>9</v>
      </c>
      <c r="V4339">
        <v>9</v>
      </c>
      <c r="W4339">
        <v>0</v>
      </c>
      <c r="X4339">
        <v>0</v>
      </c>
      <c r="Y4339">
        <v>0</v>
      </c>
      <c r="Z4339">
        <v>0</v>
      </c>
      <c r="AA4339">
        <v>9</v>
      </c>
      <c r="AB4339">
        <v>9</v>
      </c>
      <c r="AC4339" t="s">
        <v>310</v>
      </c>
      <c r="AD4339">
        <v>9</v>
      </c>
      <c r="AE4339" t="s">
        <v>1412</v>
      </c>
      <c r="AF4339">
        <v>10000000</v>
      </c>
      <c r="AG4339" t="s">
        <v>310</v>
      </c>
      <c r="AH4339">
        <f>SUM((MID(Dyno_Data[[#This Row],[Team]],4,5))+(Dyno_Data[[#This Row],[Match]]/100))</f>
        <v>3951.77</v>
      </c>
      <c r="AI4339" s="76">
        <f>ROUND(SUM(IF(Dyno_Data[[#This Row],[AcqCenter]]&gt;0,Dyno_Data[[#This Row],[Time]]-SUMIFS(Dyno_Data[Time],Dyno_Data[Team],Dyno_Data[[#This Row],[Team]],Dyno_Data[RecordType],"StartMatch",Dyno_Data[Match],Dyno_Data[[#This Row],[Match]]),0)*86400),0)</f>
        <v>0</v>
      </c>
    </row>
    <row r="4340" spans="1:35" x14ac:dyDescent="0.3">
      <c r="A4340">
        <v>4339</v>
      </c>
      <c r="B4340" t="s">
        <v>365</v>
      </c>
      <c r="C4340">
        <v>77</v>
      </c>
      <c r="D4340" s="105">
        <v>45374.492686226855</v>
      </c>
      <c r="E4340" t="s">
        <v>312</v>
      </c>
      <c r="F4340" t="s">
        <v>1402</v>
      </c>
      <c r="G4340">
        <v>0</v>
      </c>
      <c r="H4340" t="s">
        <v>315</v>
      </c>
      <c r="I4340">
        <v>0</v>
      </c>
      <c r="J4340">
        <v>0</v>
      </c>
      <c r="K4340">
        <v>0</v>
      </c>
      <c r="L4340" t="s">
        <v>241</v>
      </c>
      <c r="M4340" t="s">
        <v>1398</v>
      </c>
      <c r="N4340">
        <v>1</v>
      </c>
      <c r="O4340" t="s">
        <v>1389</v>
      </c>
      <c r="P4340" t="s">
        <v>310</v>
      </c>
      <c r="Q4340" t="s">
        <v>310</v>
      </c>
      <c r="R4340" t="s">
        <v>310</v>
      </c>
      <c r="S4340">
        <v>9</v>
      </c>
      <c r="T4340" t="s">
        <v>310</v>
      </c>
      <c r="U4340">
        <v>9</v>
      </c>
      <c r="V4340">
        <v>9</v>
      </c>
      <c r="W4340">
        <v>0</v>
      </c>
      <c r="X4340">
        <v>0</v>
      </c>
      <c r="Y4340">
        <v>0</v>
      </c>
      <c r="Z4340">
        <v>0</v>
      </c>
      <c r="AA4340">
        <v>9</v>
      </c>
      <c r="AB4340">
        <v>9</v>
      </c>
      <c r="AC4340" t="s">
        <v>310</v>
      </c>
      <c r="AD4340">
        <v>9</v>
      </c>
      <c r="AE4340" t="s">
        <v>1414</v>
      </c>
      <c r="AF4340">
        <v>30000000</v>
      </c>
      <c r="AG4340" t="s">
        <v>310</v>
      </c>
      <c r="AH4340">
        <f>SUM((MID(Dyno_Data[[#This Row],[Team]],4,5))+(Dyno_Data[[#This Row],[Match]]/100))</f>
        <v>3171.77</v>
      </c>
      <c r="AI4340" s="76">
        <f>ROUND(SUM(IF(Dyno_Data[[#This Row],[AcqCenter]]&gt;0,Dyno_Data[[#This Row],[Time]]-SUMIFS(Dyno_Data[Time],Dyno_Data[Team],Dyno_Data[[#This Row],[Team]],Dyno_Data[RecordType],"StartMatch",Dyno_Data[Match],Dyno_Data[[#This Row],[Match]]),0)*86400),0)</f>
        <v>0</v>
      </c>
    </row>
    <row r="4341" spans="1:35" x14ac:dyDescent="0.3">
      <c r="A4341">
        <v>4340</v>
      </c>
      <c r="B4341" t="s">
        <v>370</v>
      </c>
      <c r="C4341">
        <v>77</v>
      </c>
      <c r="D4341" s="105">
        <v>45374.492700150462</v>
      </c>
      <c r="E4341" t="s">
        <v>312</v>
      </c>
      <c r="F4341" t="s">
        <v>1402</v>
      </c>
      <c r="G4341">
        <v>0</v>
      </c>
      <c r="H4341" t="s">
        <v>315</v>
      </c>
      <c r="I4341">
        <v>0</v>
      </c>
      <c r="J4341">
        <v>0</v>
      </c>
      <c r="K4341">
        <v>0</v>
      </c>
      <c r="L4341" t="s">
        <v>241</v>
      </c>
      <c r="M4341" t="s">
        <v>1398</v>
      </c>
      <c r="N4341">
        <v>0</v>
      </c>
      <c r="O4341" t="s">
        <v>1393</v>
      </c>
      <c r="P4341" t="s">
        <v>310</v>
      </c>
      <c r="Q4341" t="s">
        <v>310</v>
      </c>
      <c r="R4341" t="s">
        <v>310</v>
      </c>
      <c r="S4341">
        <v>9</v>
      </c>
      <c r="T4341" t="s">
        <v>310</v>
      </c>
      <c r="U4341">
        <v>9</v>
      </c>
      <c r="V4341">
        <v>9</v>
      </c>
      <c r="W4341">
        <v>0</v>
      </c>
      <c r="X4341">
        <v>0</v>
      </c>
      <c r="Y4341">
        <v>0</v>
      </c>
      <c r="Z4341">
        <v>0</v>
      </c>
      <c r="AA4341">
        <v>9</v>
      </c>
      <c r="AB4341">
        <v>9</v>
      </c>
      <c r="AC4341" t="s">
        <v>310</v>
      </c>
      <c r="AD4341">
        <v>9</v>
      </c>
      <c r="AE4341" t="s">
        <v>1417</v>
      </c>
      <c r="AF4341">
        <v>30000000</v>
      </c>
      <c r="AG4341" t="s">
        <v>310</v>
      </c>
      <c r="AH4341">
        <f>SUM((MID(Dyno_Data[[#This Row],[Team]],4,5))+(Dyno_Data[[#This Row],[Match]]/100))</f>
        <v>6911.77</v>
      </c>
      <c r="AI4341" s="76">
        <f>ROUND(SUM(IF(Dyno_Data[[#This Row],[AcqCenter]]&gt;0,Dyno_Data[[#This Row],[Time]]-SUMIFS(Dyno_Data[Time],Dyno_Data[Team],Dyno_Data[[#This Row],[Team]],Dyno_Data[RecordType],"StartMatch",Dyno_Data[Match],Dyno_Data[[#This Row],[Match]]),0)*86400),0)</f>
        <v>0</v>
      </c>
    </row>
    <row r="4342" spans="1:35" x14ac:dyDescent="0.3">
      <c r="A4342">
        <v>4341</v>
      </c>
      <c r="B4342" t="s">
        <v>1278</v>
      </c>
      <c r="C4342">
        <v>77</v>
      </c>
      <c r="D4342" s="105">
        <v>45374.492804942129</v>
      </c>
      <c r="E4342" t="s">
        <v>312</v>
      </c>
      <c r="F4342" t="s">
        <v>1402</v>
      </c>
      <c r="G4342">
        <v>0</v>
      </c>
      <c r="H4342" t="s">
        <v>315</v>
      </c>
      <c r="I4342">
        <v>0</v>
      </c>
      <c r="J4342">
        <v>0</v>
      </c>
      <c r="K4342">
        <v>0</v>
      </c>
      <c r="L4342" t="s">
        <v>241</v>
      </c>
      <c r="M4342" t="s">
        <v>101</v>
      </c>
      <c r="N4342">
        <v>0</v>
      </c>
      <c r="O4342" t="s">
        <v>1395</v>
      </c>
      <c r="P4342" t="s">
        <v>310</v>
      </c>
      <c r="Q4342" t="s">
        <v>310</v>
      </c>
      <c r="R4342" t="s">
        <v>310</v>
      </c>
      <c r="S4342">
        <v>9</v>
      </c>
      <c r="T4342" t="s">
        <v>310</v>
      </c>
      <c r="U4342">
        <v>9</v>
      </c>
      <c r="V4342">
        <v>9</v>
      </c>
      <c r="W4342">
        <v>0</v>
      </c>
      <c r="X4342">
        <v>0</v>
      </c>
      <c r="Y4342">
        <v>0</v>
      </c>
      <c r="Z4342">
        <v>0</v>
      </c>
      <c r="AA4342">
        <v>9</v>
      </c>
      <c r="AB4342">
        <v>9</v>
      </c>
      <c r="AC4342" t="s">
        <v>310</v>
      </c>
      <c r="AD4342">
        <v>9</v>
      </c>
      <c r="AE4342" t="s">
        <v>1412</v>
      </c>
      <c r="AF4342">
        <v>20000000</v>
      </c>
      <c r="AG4342" t="s">
        <v>310</v>
      </c>
      <c r="AH4342">
        <f>SUM((MID(Dyno_Data[[#This Row],[Team]],4,5))+(Dyno_Data[[#This Row],[Match]]/100))</f>
        <v>3951.77</v>
      </c>
      <c r="AI4342" s="76">
        <f>ROUND(SUM(IF(Dyno_Data[[#This Row],[AcqCenter]]&gt;0,Dyno_Data[[#This Row],[Time]]-SUMIFS(Dyno_Data[Time],Dyno_Data[Team],Dyno_Data[[#This Row],[Team]],Dyno_Data[RecordType],"StartMatch",Dyno_Data[Match],Dyno_Data[[#This Row],[Match]]),0)*86400),0)</f>
        <v>0</v>
      </c>
    </row>
    <row r="4343" spans="1:35" x14ac:dyDescent="0.3">
      <c r="A4343">
        <v>4342</v>
      </c>
      <c r="B4343" t="s">
        <v>1291</v>
      </c>
      <c r="C4343">
        <v>77</v>
      </c>
      <c r="D4343" s="105">
        <v>45374.492816550926</v>
      </c>
      <c r="E4343" t="s">
        <v>312</v>
      </c>
      <c r="F4343" t="s">
        <v>1402</v>
      </c>
      <c r="G4343">
        <v>0</v>
      </c>
      <c r="H4343" t="s">
        <v>315</v>
      </c>
      <c r="I4343">
        <v>0</v>
      </c>
      <c r="J4343">
        <v>0</v>
      </c>
      <c r="K4343">
        <v>0</v>
      </c>
      <c r="L4343" t="s">
        <v>242</v>
      </c>
      <c r="M4343" t="s">
        <v>241</v>
      </c>
      <c r="N4343">
        <v>0</v>
      </c>
      <c r="O4343" t="s">
        <v>319</v>
      </c>
      <c r="P4343" t="s">
        <v>310</v>
      </c>
      <c r="Q4343" t="s">
        <v>310</v>
      </c>
      <c r="R4343" t="s">
        <v>310</v>
      </c>
      <c r="S4343">
        <v>9</v>
      </c>
      <c r="T4343" t="s">
        <v>310</v>
      </c>
      <c r="U4343">
        <v>9</v>
      </c>
      <c r="V4343">
        <v>9</v>
      </c>
      <c r="W4343">
        <v>0</v>
      </c>
      <c r="X4343">
        <v>0</v>
      </c>
      <c r="Y4343">
        <v>0</v>
      </c>
      <c r="Z4343">
        <v>0</v>
      </c>
      <c r="AA4343">
        <v>9</v>
      </c>
      <c r="AB4343">
        <v>9</v>
      </c>
      <c r="AC4343" t="s">
        <v>310</v>
      </c>
      <c r="AD4343">
        <v>9</v>
      </c>
      <c r="AE4343" t="s">
        <v>1413</v>
      </c>
      <c r="AF4343">
        <v>70000000</v>
      </c>
      <c r="AG4343" t="s">
        <v>310</v>
      </c>
      <c r="AH4343">
        <f>SUM((MID(Dyno_Data[[#This Row],[Team]],4,5))+(Dyno_Data[[#This Row],[Match]]/100))</f>
        <v>1493.77</v>
      </c>
      <c r="AI4343" s="76">
        <f>ROUND(SUM(IF(Dyno_Data[[#This Row],[AcqCenter]]&gt;0,Dyno_Data[[#This Row],[Time]]-SUMIFS(Dyno_Data[Time],Dyno_Data[Team],Dyno_Data[[#This Row],[Team]],Dyno_Data[RecordType],"StartMatch",Dyno_Data[Match],Dyno_Data[[#This Row],[Match]]),0)*86400),0)</f>
        <v>0</v>
      </c>
    </row>
    <row r="4344" spans="1:35" x14ac:dyDescent="0.3">
      <c r="A4344">
        <v>4343</v>
      </c>
      <c r="B4344" t="s">
        <v>364</v>
      </c>
      <c r="C4344">
        <v>77</v>
      </c>
      <c r="D4344" s="105">
        <v>45374.492837696758</v>
      </c>
      <c r="E4344" t="s">
        <v>312</v>
      </c>
      <c r="F4344" t="s">
        <v>1402</v>
      </c>
      <c r="G4344">
        <v>0</v>
      </c>
      <c r="H4344" t="s">
        <v>315</v>
      </c>
      <c r="I4344">
        <v>0</v>
      </c>
      <c r="J4344">
        <v>0</v>
      </c>
      <c r="K4344">
        <v>0</v>
      </c>
      <c r="L4344" t="s">
        <v>240</v>
      </c>
      <c r="M4344" t="s">
        <v>1398</v>
      </c>
      <c r="N4344">
        <v>0</v>
      </c>
      <c r="O4344" t="s">
        <v>1391</v>
      </c>
      <c r="P4344" t="s">
        <v>310</v>
      </c>
      <c r="Q4344" t="s">
        <v>310</v>
      </c>
      <c r="R4344" t="s">
        <v>310</v>
      </c>
      <c r="S4344">
        <v>9</v>
      </c>
      <c r="T4344" t="s">
        <v>310</v>
      </c>
      <c r="U4344">
        <v>9</v>
      </c>
      <c r="V4344">
        <v>9</v>
      </c>
      <c r="W4344">
        <v>0</v>
      </c>
      <c r="X4344">
        <v>0</v>
      </c>
      <c r="Y4344">
        <v>0</v>
      </c>
      <c r="Z4344">
        <v>0</v>
      </c>
      <c r="AA4344">
        <v>9</v>
      </c>
      <c r="AB4344">
        <v>9</v>
      </c>
      <c r="AC4344" t="s">
        <v>310</v>
      </c>
      <c r="AD4344">
        <v>9</v>
      </c>
      <c r="AE4344" t="s">
        <v>1416</v>
      </c>
      <c r="AF4344">
        <v>20000000</v>
      </c>
      <c r="AG4344" t="s">
        <v>310</v>
      </c>
      <c r="AH4344">
        <f>SUM((MID(Dyno_Data[[#This Row],[Team]],4,5))+(Dyno_Data[[#This Row],[Match]]/100))</f>
        <v>2791.77</v>
      </c>
      <c r="AI4344" s="76">
        <f>ROUND(SUM(IF(Dyno_Data[[#This Row],[AcqCenter]]&gt;0,Dyno_Data[[#This Row],[Time]]-SUMIFS(Dyno_Data[Time],Dyno_Data[Team],Dyno_Data[[#This Row],[Team]],Dyno_Data[RecordType],"StartMatch",Dyno_Data[Match],Dyno_Data[[#This Row],[Match]]),0)*86400),0)</f>
        <v>0</v>
      </c>
    </row>
    <row r="4345" spans="1:35" x14ac:dyDescent="0.3">
      <c r="A4345">
        <v>4344</v>
      </c>
      <c r="B4345" t="s">
        <v>368</v>
      </c>
      <c r="C4345">
        <v>77</v>
      </c>
      <c r="D4345" s="105">
        <v>45374.492888854169</v>
      </c>
      <c r="E4345" t="s">
        <v>312</v>
      </c>
      <c r="F4345" t="s">
        <v>1402</v>
      </c>
      <c r="G4345">
        <v>0</v>
      </c>
      <c r="H4345" t="s">
        <v>315</v>
      </c>
      <c r="I4345">
        <v>0</v>
      </c>
      <c r="J4345">
        <v>0</v>
      </c>
      <c r="K4345">
        <v>0</v>
      </c>
      <c r="L4345" t="s">
        <v>241</v>
      </c>
      <c r="M4345" t="s">
        <v>241</v>
      </c>
      <c r="N4345">
        <v>0</v>
      </c>
      <c r="O4345" t="s">
        <v>311</v>
      </c>
      <c r="P4345" t="s">
        <v>310</v>
      </c>
      <c r="Q4345" t="s">
        <v>310</v>
      </c>
      <c r="R4345" t="s">
        <v>310</v>
      </c>
      <c r="S4345">
        <v>9</v>
      </c>
      <c r="T4345" t="s">
        <v>310</v>
      </c>
      <c r="U4345">
        <v>9</v>
      </c>
      <c r="V4345">
        <v>9</v>
      </c>
      <c r="W4345">
        <v>0</v>
      </c>
      <c r="X4345">
        <v>0</v>
      </c>
      <c r="Y4345">
        <v>0</v>
      </c>
      <c r="Z4345">
        <v>0</v>
      </c>
      <c r="AA4345">
        <v>9</v>
      </c>
      <c r="AB4345">
        <v>9</v>
      </c>
      <c r="AC4345" t="s">
        <v>310</v>
      </c>
      <c r="AD4345">
        <v>9</v>
      </c>
      <c r="AE4345" t="s">
        <v>1418</v>
      </c>
      <c r="AF4345">
        <v>10000000</v>
      </c>
      <c r="AG4345" t="s">
        <v>310</v>
      </c>
      <c r="AH4345">
        <f>SUM((MID(Dyno_Data[[#This Row],[Team]],4,5))+(Dyno_Data[[#This Row],[Match]]/100))</f>
        <v>6401.77</v>
      </c>
      <c r="AI4345" s="76">
        <f>ROUND(SUM(IF(Dyno_Data[[#This Row],[AcqCenter]]&gt;0,Dyno_Data[[#This Row],[Time]]-SUMIFS(Dyno_Data[Time],Dyno_Data[Team],Dyno_Data[[#This Row],[Team]],Dyno_Data[RecordType],"StartMatch",Dyno_Data[Match],Dyno_Data[[#This Row],[Match]]),0)*86400),0)</f>
        <v>0</v>
      </c>
    </row>
    <row r="4346" spans="1:35" x14ac:dyDescent="0.3">
      <c r="A4346">
        <v>4345</v>
      </c>
      <c r="B4346" t="s">
        <v>1291</v>
      </c>
      <c r="C4346">
        <v>77</v>
      </c>
      <c r="D4346" s="105">
        <v>45374.492890428242</v>
      </c>
      <c r="E4346" t="s">
        <v>312</v>
      </c>
      <c r="F4346" t="s">
        <v>1402</v>
      </c>
      <c r="G4346">
        <v>0</v>
      </c>
      <c r="H4346" t="s">
        <v>315</v>
      </c>
      <c r="I4346">
        <v>0</v>
      </c>
      <c r="J4346">
        <v>0</v>
      </c>
      <c r="K4346">
        <v>0</v>
      </c>
      <c r="L4346" t="s">
        <v>242</v>
      </c>
      <c r="M4346" t="s">
        <v>241</v>
      </c>
      <c r="N4346">
        <v>0</v>
      </c>
      <c r="O4346" t="s">
        <v>319</v>
      </c>
      <c r="P4346" t="s">
        <v>310</v>
      </c>
      <c r="Q4346" t="s">
        <v>310</v>
      </c>
      <c r="R4346" t="s">
        <v>310</v>
      </c>
      <c r="S4346">
        <v>9</v>
      </c>
      <c r="T4346" t="s">
        <v>310</v>
      </c>
      <c r="U4346">
        <v>9</v>
      </c>
      <c r="V4346">
        <v>9</v>
      </c>
      <c r="W4346">
        <v>0</v>
      </c>
      <c r="X4346">
        <v>0</v>
      </c>
      <c r="Y4346">
        <v>0</v>
      </c>
      <c r="Z4346">
        <v>0</v>
      </c>
      <c r="AA4346">
        <v>9</v>
      </c>
      <c r="AB4346">
        <v>9</v>
      </c>
      <c r="AC4346" t="s">
        <v>310</v>
      </c>
      <c r="AD4346">
        <v>9</v>
      </c>
      <c r="AE4346" t="s">
        <v>1413</v>
      </c>
      <c r="AF4346">
        <v>80000000</v>
      </c>
      <c r="AG4346" t="s">
        <v>310</v>
      </c>
      <c r="AH4346">
        <f>SUM((MID(Dyno_Data[[#This Row],[Team]],4,5))+(Dyno_Data[[#This Row],[Match]]/100))</f>
        <v>1493.77</v>
      </c>
      <c r="AI4346" s="76">
        <f>ROUND(SUM(IF(Dyno_Data[[#This Row],[AcqCenter]]&gt;0,Dyno_Data[[#This Row],[Time]]-SUMIFS(Dyno_Data[Time],Dyno_Data[Team],Dyno_Data[[#This Row],[Team]],Dyno_Data[RecordType],"StartMatch",Dyno_Data[Match],Dyno_Data[[#This Row],[Match]]),0)*86400),0)</f>
        <v>0</v>
      </c>
    </row>
    <row r="4347" spans="1:35" x14ac:dyDescent="0.3">
      <c r="A4347">
        <v>4346</v>
      </c>
      <c r="B4347" t="s">
        <v>365</v>
      </c>
      <c r="C4347">
        <v>77</v>
      </c>
      <c r="D4347" s="105">
        <v>45374.492902662038</v>
      </c>
      <c r="E4347" t="s">
        <v>312</v>
      </c>
      <c r="F4347" t="s">
        <v>1402</v>
      </c>
      <c r="G4347">
        <v>0</v>
      </c>
      <c r="H4347" t="s">
        <v>315</v>
      </c>
      <c r="I4347">
        <v>0</v>
      </c>
      <c r="J4347">
        <v>0</v>
      </c>
      <c r="K4347">
        <v>0</v>
      </c>
      <c r="L4347" t="s">
        <v>241</v>
      </c>
      <c r="M4347" t="s">
        <v>1398</v>
      </c>
      <c r="N4347">
        <v>0</v>
      </c>
      <c r="O4347" t="s">
        <v>1389</v>
      </c>
      <c r="P4347" t="s">
        <v>310</v>
      </c>
      <c r="Q4347" t="s">
        <v>310</v>
      </c>
      <c r="R4347" t="s">
        <v>310</v>
      </c>
      <c r="S4347">
        <v>9</v>
      </c>
      <c r="T4347" t="s">
        <v>310</v>
      </c>
      <c r="U4347">
        <v>9</v>
      </c>
      <c r="V4347">
        <v>9</v>
      </c>
      <c r="W4347">
        <v>0</v>
      </c>
      <c r="X4347">
        <v>0</v>
      </c>
      <c r="Y4347">
        <v>0</v>
      </c>
      <c r="Z4347">
        <v>0</v>
      </c>
      <c r="AA4347">
        <v>9</v>
      </c>
      <c r="AB4347">
        <v>9</v>
      </c>
      <c r="AC4347" t="s">
        <v>310</v>
      </c>
      <c r="AD4347">
        <v>9</v>
      </c>
      <c r="AE4347" t="s">
        <v>1414</v>
      </c>
      <c r="AF4347">
        <v>40000000</v>
      </c>
      <c r="AG4347" t="s">
        <v>310</v>
      </c>
      <c r="AH4347">
        <f>SUM((MID(Dyno_Data[[#This Row],[Team]],4,5))+(Dyno_Data[[#This Row],[Match]]/100))</f>
        <v>3171.77</v>
      </c>
      <c r="AI4347" s="76">
        <f>ROUND(SUM(IF(Dyno_Data[[#This Row],[AcqCenter]]&gt;0,Dyno_Data[[#This Row],[Time]]-SUMIFS(Dyno_Data[Time],Dyno_Data[Team],Dyno_Data[[#This Row],[Team]],Dyno_Data[RecordType],"StartMatch",Dyno_Data[Match],Dyno_Data[[#This Row],[Match]]),0)*86400),0)</f>
        <v>0</v>
      </c>
    </row>
    <row r="4348" spans="1:35" x14ac:dyDescent="0.3">
      <c r="A4348">
        <v>4347</v>
      </c>
      <c r="B4348" t="s">
        <v>364</v>
      </c>
      <c r="C4348">
        <v>77</v>
      </c>
      <c r="D4348" s="105">
        <v>45374.492917326388</v>
      </c>
      <c r="E4348" t="s">
        <v>312</v>
      </c>
      <c r="F4348" t="s">
        <v>1402</v>
      </c>
      <c r="G4348">
        <v>0</v>
      </c>
      <c r="H4348" t="s">
        <v>315</v>
      </c>
      <c r="I4348">
        <v>0</v>
      </c>
      <c r="J4348">
        <v>0</v>
      </c>
      <c r="K4348">
        <v>0</v>
      </c>
      <c r="L4348" t="s">
        <v>241</v>
      </c>
      <c r="M4348" t="s">
        <v>101</v>
      </c>
      <c r="N4348">
        <v>0</v>
      </c>
      <c r="O4348" t="s">
        <v>1391</v>
      </c>
      <c r="P4348" t="s">
        <v>310</v>
      </c>
      <c r="Q4348" t="s">
        <v>310</v>
      </c>
      <c r="R4348" t="s">
        <v>310</v>
      </c>
      <c r="S4348">
        <v>9</v>
      </c>
      <c r="T4348" t="s">
        <v>310</v>
      </c>
      <c r="U4348">
        <v>9</v>
      </c>
      <c r="V4348">
        <v>9</v>
      </c>
      <c r="W4348">
        <v>0</v>
      </c>
      <c r="X4348">
        <v>0</v>
      </c>
      <c r="Y4348">
        <v>0</v>
      </c>
      <c r="Z4348">
        <v>0</v>
      </c>
      <c r="AA4348">
        <v>9</v>
      </c>
      <c r="AB4348">
        <v>9</v>
      </c>
      <c r="AC4348" t="s">
        <v>310</v>
      </c>
      <c r="AD4348">
        <v>9</v>
      </c>
      <c r="AE4348" t="s">
        <v>1416</v>
      </c>
      <c r="AF4348">
        <v>30000000</v>
      </c>
      <c r="AG4348" t="s">
        <v>310</v>
      </c>
      <c r="AH4348">
        <f>SUM((MID(Dyno_Data[[#This Row],[Team]],4,5))+(Dyno_Data[[#This Row],[Match]]/100))</f>
        <v>2791.77</v>
      </c>
      <c r="AI4348" s="76">
        <f>ROUND(SUM(IF(Dyno_Data[[#This Row],[AcqCenter]]&gt;0,Dyno_Data[[#This Row],[Time]]-SUMIFS(Dyno_Data[Time],Dyno_Data[Team],Dyno_Data[[#This Row],[Team]],Dyno_Data[RecordType],"StartMatch",Dyno_Data[Match],Dyno_Data[[#This Row],[Match]]),0)*86400),0)</f>
        <v>0</v>
      </c>
    </row>
    <row r="4349" spans="1:35" x14ac:dyDescent="0.3">
      <c r="A4349">
        <v>4348</v>
      </c>
      <c r="B4349" t="s">
        <v>368</v>
      </c>
      <c r="C4349">
        <v>77</v>
      </c>
      <c r="D4349" s="105">
        <v>45374.492994097222</v>
      </c>
      <c r="E4349" t="s">
        <v>312</v>
      </c>
      <c r="F4349" t="s">
        <v>1402</v>
      </c>
      <c r="G4349">
        <v>0</v>
      </c>
      <c r="H4349" t="s">
        <v>315</v>
      </c>
      <c r="I4349">
        <v>0</v>
      </c>
      <c r="J4349">
        <v>0</v>
      </c>
      <c r="K4349">
        <v>0</v>
      </c>
      <c r="L4349" t="s">
        <v>241</v>
      </c>
      <c r="M4349" t="s">
        <v>1398</v>
      </c>
      <c r="N4349">
        <v>1</v>
      </c>
      <c r="O4349" t="s">
        <v>311</v>
      </c>
      <c r="P4349" t="s">
        <v>310</v>
      </c>
      <c r="Q4349" t="s">
        <v>310</v>
      </c>
      <c r="R4349" t="s">
        <v>310</v>
      </c>
      <c r="S4349">
        <v>9</v>
      </c>
      <c r="T4349" t="s">
        <v>310</v>
      </c>
      <c r="U4349">
        <v>9</v>
      </c>
      <c r="V4349">
        <v>9</v>
      </c>
      <c r="W4349">
        <v>0</v>
      </c>
      <c r="X4349">
        <v>0</v>
      </c>
      <c r="Y4349">
        <v>0</v>
      </c>
      <c r="Z4349">
        <v>0</v>
      </c>
      <c r="AA4349">
        <v>9</v>
      </c>
      <c r="AB4349">
        <v>9</v>
      </c>
      <c r="AC4349" t="s">
        <v>310</v>
      </c>
      <c r="AD4349">
        <v>9</v>
      </c>
      <c r="AE4349" t="s">
        <v>1418</v>
      </c>
      <c r="AF4349">
        <v>20000000</v>
      </c>
      <c r="AG4349" t="s">
        <v>310</v>
      </c>
      <c r="AH4349">
        <f>SUM((MID(Dyno_Data[[#This Row],[Team]],4,5))+(Dyno_Data[[#This Row],[Match]]/100))</f>
        <v>6401.77</v>
      </c>
      <c r="AI4349" s="76">
        <f>ROUND(SUM(IF(Dyno_Data[[#This Row],[AcqCenter]]&gt;0,Dyno_Data[[#This Row],[Time]]-SUMIFS(Dyno_Data[Time],Dyno_Data[Team],Dyno_Data[[#This Row],[Team]],Dyno_Data[RecordType],"StartMatch",Dyno_Data[Match],Dyno_Data[[#This Row],[Match]]),0)*86400),0)</f>
        <v>0</v>
      </c>
    </row>
    <row r="4350" spans="1:35" x14ac:dyDescent="0.3">
      <c r="A4350">
        <v>4349</v>
      </c>
      <c r="B4350" t="s">
        <v>1291</v>
      </c>
      <c r="C4350">
        <v>77</v>
      </c>
      <c r="D4350" s="105">
        <v>45374.493034340281</v>
      </c>
      <c r="E4350" t="s">
        <v>312</v>
      </c>
      <c r="F4350" t="s">
        <v>1402</v>
      </c>
      <c r="G4350">
        <v>0</v>
      </c>
      <c r="H4350" t="s">
        <v>315</v>
      </c>
      <c r="I4350">
        <v>0</v>
      </c>
      <c r="J4350">
        <v>0</v>
      </c>
      <c r="K4350">
        <v>0</v>
      </c>
      <c r="L4350" t="s">
        <v>242</v>
      </c>
      <c r="M4350" t="s">
        <v>1398</v>
      </c>
      <c r="N4350">
        <v>0</v>
      </c>
      <c r="O4350" t="s">
        <v>319</v>
      </c>
      <c r="P4350" t="s">
        <v>310</v>
      </c>
      <c r="Q4350" t="s">
        <v>310</v>
      </c>
      <c r="R4350" t="s">
        <v>310</v>
      </c>
      <c r="S4350">
        <v>9</v>
      </c>
      <c r="T4350" t="s">
        <v>310</v>
      </c>
      <c r="U4350">
        <v>9</v>
      </c>
      <c r="V4350">
        <v>9</v>
      </c>
      <c r="W4350">
        <v>0</v>
      </c>
      <c r="X4350">
        <v>0</v>
      </c>
      <c r="Y4350">
        <v>0</v>
      </c>
      <c r="Z4350">
        <v>0</v>
      </c>
      <c r="AA4350">
        <v>9</v>
      </c>
      <c r="AB4350">
        <v>9</v>
      </c>
      <c r="AC4350" t="s">
        <v>310</v>
      </c>
      <c r="AD4350">
        <v>9</v>
      </c>
      <c r="AE4350" t="s">
        <v>1413</v>
      </c>
      <c r="AF4350">
        <v>90000000</v>
      </c>
      <c r="AG4350" t="s">
        <v>310</v>
      </c>
      <c r="AH4350">
        <f>SUM((MID(Dyno_Data[[#This Row],[Team]],4,5))+(Dyno_Data[[#This Row],[Match]]/100))</f>
        <v>1493.77</v>
      </c>
      <c r="AI4350" s="76">
        <f>ROUND(SUM(IF(Dyno_Data[[#This Row],[AcqCenter]]&gt;0,Dyno_Data[[#This Row],[Time]]-SUMIFS(Dyno_Data[Time],Dyno_Data[Team],Dyno_Data[[#This Row],[Team]],Dyno_Data[RecordType],"StartMatch",Dyno_Data[Match],Dyno_Data[[#This Row],[Match]]),0)*86400),0)</f>
        <v>0</v>
      </c>
    </row>
    <row r="4351" spans="1:35" x14ac:dyDescent="0.3">
      <c r="A4351">
        <v>4350</v>
      </c>
      <c r="B4351" t="s">
        <v>365</v>
      </c>
      <c r="C4351">
        <v>77</v>
      </c>
      <c r="D4351" s="105">
        <v>45374.493072650461</v>
      </c>
      <c r="E4351" t="s">
        <v>312</v>
      </c>
      <c r="F4351" t="s">
        <v>1402</v>
      </c>
      <c r="G4351">
        <v>0</v>
      </c>
      <c r="H4351" t="s">
        <v>315</v>
      </c>
      <c r="I4351">
        <v>0</v>
      </c>
      <c r="J4351">
        <v>0</v>
      </c>
      <c r="K4351">
        <v>0</v>
      </c>
      <c r="L4351" t="s">
        <v>241</v>
      </c>
      <c r="M4351" t="s">
        <v>1398</v>
      </c>
      <c r="N4351">
        <v>1</v>
      </c>
      <c r="O4351" t="s">
        <v>1389</v>
      </c>
      <c r="P4351" t="s">
        <v>310</v>
      </c>
      <c r="Q4351" t="s">
        <v>310</v>
      </c>
      <c r="R4351" t="s">
        <v>310</v>
      </c>
      <c r="S4351">
        <v>9</v>
      </c>
      <c r="T4351" t="s">
        <v>310</v>
      </c>
      <c r="U4351">
        <v>9</v>
      </c>
      <c r="V4351">
        <v>9</v>
      </c>
      <c r="W4351">
        <v>0</v>
      </c>
      <c r="X4351">
        <v>0</v>
      </c>
      <c r="Y4351">
        <v>0</v>
      </c>
      <c r="Z4351">
        <v>0</v>
      </c>
      <c r="AA4351">
        <v>9</v>
      </c>
      <c r="AB4351">
        <v>9</v>
      </c>
      <c r="AC4351" t="s">
        <v>310</v>
      </c>
      <c r="AD4351">
        <v>9</v>
      </c>
      <c r="AE4351" t="s">
        <v>1414</v>
      </c>
      <c r="AF4351">
        <v>50200000</v>
      </c>
      <c r="AG4351" t="s">
        <v>310</v>
      </c>
      <c r="AH4351">
        <f>SUM((MID(Dyno_Data[[#This Row],[Team]],4,5))+(Dyno_Data[[#This Row],[Match]]/100))</f>
        <v>3171.77</v>
      </c>
      <c r="AI4351" s="76">
        <f>ROUND(SUM(IF(Dyno_Data[[#This Row],[AcqCenter]]&gt;0,Dyno_Data[[#This Row],[Time]]-SUMIFS(Dyno_Data[Time],Dyno_Data[Team],Dyno_Data[[#This Row],[Team]],Dyno_Data[RecordType],"StartMatch",Dyno_Data[Match],Dyno_Data[[#This Row],[Match]]),0)*86400),0)</f>
        <v>0</v>
      </c>
    </row>
    <row r="4352" spans="1:35" x14ac:dyDescent="0.3">
      <c r="A4352">
        <v>4351</v>
      </c>
      <c r="B4352" t="s">
        <v>1291</v>
      </c>
      <c r="C4352">
        <v>77</v>
      </c>
      <c r="D4352" s="105">
        <v>45374.493102546294</v>
      </c>
      <c r="E4352" t="s">
        <v>312</v>
      </c>
      <c r="F4352" t="s">
        <v>1402</v>
      </c>
      <c r="G4352">
        <v>0</v>
      </c>
      <c r="H4352" t="s">
        <v>315</v>
      </c>
      <c r="I4352">
        <v>0</v>
      </c>
      <c r="J4352">
        <v>0</v>
      </c>
      <c r="K4352">
        <v>0</v>
      </c>
      <c r="L4352" t="s">
        <v>242</v>
      </c>
      <c r="M4352" t="s">
        <v>1398</v>
      </c>
      <c r="N4352">
        <v>0</v>
      </c>
      <c r="O4352" t="s">
        <v>319</v>
      </c>
      <c r="P4352" t="s">
        <v>310</v>
      </c>
      <c r="Q4352" t="s">
        <v>310</v>
      </c>
      <c r="R4352" t="s">
        <v>310</v>
      </c>
      <c r="S4352">
        <v>9</v>
      </c>
      <c r="T4352" t="s">
        <v>310</v>
      </c>
      <c r="U4352">
        <v>9</v>
      </c>
      <c r="V4352">
        <v>9</v>
      </c>
      <c r="W4352">
        <v>0</v>
      </c>
      <c r="X4352">
        <v>0</v>
      </c>
      <c r="Y4352">
        <v>0</v>
      </c>
      <c r="Z4352">
        <v>0</v>
      </c>
      <c r="AA4352">
        <v>9</v>
      </c>
      <c r="AB4352">
        <v>9</v>
      </c>
      <c r="AC4352" t="s">
        <v>310</v>
      </c>
      <c r="AD4352">
        <v>9</v>
      </c>
      <c r="AE4352" t="s">
        <v>1413</v>
      </c>
      <c r="AF4352">
        <v>100000000</v>
      </c>
      <c r="AG4352" t="s">
        <v>310</v>
      </c>
      <c r="AH4352">
        <f>SUM((MID(Dyno_Data[[#This Row],[Team]],4,5))+(Dyno_Data[[#This Row],[Match]]/100))</f>
        <v>1493.77</v>
      </c>
      <c r="AI4352" s="76">
        <f>ROUND(SUM(IF(Dyno_Data[[#This Row],[AcqCenter]]&gt;0,Dyno_Data[[#This Row],[Time]]-SUMIFS(Dyno_Data[Time],Dyno_Data[Team],Dyno_Data[[#This Row],[Team]],Dyno_Data[RecordType],"StartMatch",Dyno_Data[Match],Dyno_Data[[#This Row],[Match]]),0)*86400),0)</f>
        <v>0</v>
      </c>
    </row>
    <row r="4353" spans="1:35" x14ac:dyDescent="0.3">
      <c r="A4353">
        <v>4352</v>
      </c>
      <c r="B4353" t="s">
        <v>364</v>
      </c>
      <c r="C4353">
        <v>77</v>
      </c>
      <c r="D4353" s="105">
        <v>45374.49313865741</v>
      </c>
      <c r="E4353" t="s">
        <v>312</v>
      </c>
      <c r="F4353" t="s">
        <v>1402</v>
      </c>
      <c r="G4353">
        <v>0</v>
      </c>
      <c r="H4353" t="s">
        <v>315</v>
      </c>
      <c r="I4353">
        <v>0</v>
      </c>
      <c r="J4353">
        <v>0</v>
      </c>
      <c r="K4353">
        <v>0</v>
      </c>
      <c r="L4353" t="s">
        <v>240</v>
      </c>
      <c r="M4353" t="s">
        <v>1398</v>
      </c>
      <c r="N4353">
        <v>0</v>
      </c>
      <c r="O4353" t="s">
        <v>1391</v>
      </c>
      <c r="P4353" t="s">
        <v>310</v>
      </c>
      <c r="Q4353" t="s">
        <v>310</v>
      </c>
      <c r="R4353" t="s">
        <v>310</v>
      </c>
      <c r="S4353">
        <v>9</v>
      </c>
      <c r="T4353" t="s">
        <v>310</v>
      </c>
      <c r="U4353">
        <v>9</v>
      </c>
      <c r="V4353">
        <v>9</v>
      </c>
      <c r="W4353">
        <v>0</v>
      </c>
      <c r="X4353">
        <v>0</v>
      </c>
      <c r="Y4353">
        <v>0</v>
      </c>
      <c r="Z4353">
        <v>0</v>
      </c>
      <c r="AA4353">
        <v>9</v>
      </c>
      <c r="AB4353">
        <v>9</v>
      </c>
      <c r="AC4353" t="s">
        <v>310</v>
      </c>
      <c r="AD4353">
        <v>9</v>
      </c>
      <c r="AE4353" t="s">
        <v>1416</v>
      </c>
      <c r="AF4353">
        <v>40000000</v>
      </c>
      <c r="AG4353" t="s">
        <v>310</v>
      </c>
      <c r="AH4353">
        <f>SUM((MID(Dyno_Data[[#This Row],[Team]],4,5))+(Dyno_Data[[#This Row],[Match]]/100))</f>
        <v>2791.77</v>
      </c>
      <c r="AI4353" s="76">
        <f>ROUND(SUM(IF(Dyno_Data[[#This Row],[AcqCenter]]&gt;0,Dyno_Data[[#This Row],[Time]]-SUMIFS(Dyno_Data[Time],Dyno_Data[Team],Dyno_Data[[#This Row],[Team]],Dyno_Data[RecordType],"StartMatch",Dyno_Data[Match],Dyno_Data[[#This Row],[Match]]),0)*86400),0)</f>
        <v>0</v>
      </c>
    </row>
    <row r="4354" spans="1:35" x14ac:dyDescent="0.3">
      <c r="A4354">
        <v>4353</v>
      </c>
      <c r="B4354" t="s">
        <v>1291</v>
      </c>
      <c r="C4354">
        <v>77</v>
      </c>
      <c r="D4354" s="105">
        <v>45374.493158333331</v>
      </c>
      <c r="E4354" t="s">
        <v>312</v>
      </c>
      <c r="F4354" t="s">
        <v>1402</v>
      </c>
      <c r="G4354">
        <v>0</v>
      </c>
      <c r="H4354" t="s">
        <v>315</v>
      </c>
      <c r="I4354">
        <v>0</v>
      </c>
      <c r="J4354">
        <v>0</v>
      </c>
      <c r="K4354">
        <v>0</v>
      </c>
      <c r="L4354" t="s">
        <v>242</v>
      </c>
      <c r="M4354" t="s">
        <v>101</v>
      </c>
      <c r="N4354">
        <v>0</v>
      </c>
      <c r="O4354" t="s">
        <v>319</v>
      </c>
      <c r="P4354" t="s">
        <v>310</v>
      </c>
      <c r="Q4354" t="s">
        <v>310</v>
      </c>
      <c r="R4354" t="s">
        <v>310</v>
      </c>
      <c r="S4354">
        <v>9</v>
      </c>
      <c r="T4354" t="s">
        <v>310</v>
      </c>
      <c r="U4354">
        <v>9</v>
      </c>
      <c r="V4354">
        <v>9</v>
      </c>
      <c r="W4354">
        <v>0</v>
      </c>
      <c r="X4354">
        <v>0</v>
      </c>
      <c r="Y4354">
        <v>0</v>
      </c>
      <c r="Z4354">
        <v>0</v>
      </c>
      <c r="AA4354">
        <v>9</v>
      </c>
      <c r="AB4354">
        <v>9</v>
      </c>
      <c r="AC4354" t="s">
        <v>310</v>
      </c>
      <c r="AD4354">
        <v>9</v>
      </c>
      <c r="AE4354" t="s">
        <v>1413</v>
      </c>
      <c r="AF4354">
        <v>110000000</v>
      </c>
      <c r="AG4354" t="s">
        <v>310</v>
      </c>
      <c r="AH4354">
        <f>SUM((MID(Dyno_Data[[#This Row],[Team]],4,5))+(Dyno_Data[[#This Row],[Match]]/100))</f>
        <v>1493.77</v>
      </c>
      <c r="AI4354" s="76">
        <f>ROUND(SUM(IF(Dyno_Data[[#This Row],[AcqCenter]]&gt;0,Dyno_Data[[#This Row],[Time]]-SUMIFS(Dyno_Data[Time],Dyno_Data[Team],Dyno_Data[[#This Row],[Team]],Dyno_Data[RecordType],"StartMatch",Dyno_Data[Match],Dyno_Data[[#This Row],[Match]]),0)*86400),0)</f>
        <v>0</v>
      </c>
    </row>
    <row r="4355" spans="1:35" x14ac:dyDescent="0.3">
      <c r="A4355">
        <v>4354</v>
      </c>
      <c r="B4355" t="s">
        <v>365</v>
      </c>
      <c r="C4355">
        <v>77</v>
      </c>
      <c r="D4355" s="105">
        <v>45374.493248530096</v>
      </c>
      <c r="E4355" t="s">
        <v>312</v>
      </c>
      <c r="F4355" t="s">
        <v>1402</v>
      </c>
      <c r="G4355">
        <v>0</v>
      </c>
      <c r="H4355" t="s">
        <v>315</v>
      </c>
      <c r="I4355">
        <v>0</v>
      </c>
      <c r="J4355">
        <v>0</v>
      </c>
      <c r="K4355">
        <v>0</v>
      </c>
      <c r="L4355" t="s">
        <v>241</v>
      </c>
      <c r="M4355" t="s">
        <v>1398</v>
      </c>
      <c r="N4355">
        <v>0</v>
      </c>
      <c r="O4355" t="s">
        <v>1389</v>
      </c>
      <c r="P4355" t="s">
        <v>310</v>
      </c>
      <c r="Q4355" t="s">
        <v>310</v>
      </c>
      <c r="R4355" t="s">
        <v>310</v>
      </c>
      <c r="S4355">
        <v>9</v>
      </c>
      <c r="T4355" t="s">
        <v>310</v>
      </c>
      <c r="U4355">
        <v>9</v>
      </c>
      <c r="V4355">
        <v>9</v>
      </c>
      <c r="W4355">
        <v>0</v>
      </c>
      <c r="X4355">
        <v>0</v>
      </c>
      <c r="Y4355">
        <v>0</v>
      </c>
      <c r="Z4355">
        <v>0</v>
      </c>
      <c r="AA4355">
        <v>9</v>
      </c>
      <c r="AB4355">
        <v>9</v>
      </c>
      <c r="AC4355" t="s">
        <v>310</v>
      </c>
      <c r="AD4355">
        <v>9</v>
      </c>
      <c r="AE4355" t="s">
        <v>1414</v>
      </c>
      <c r="AF4355">
        <v>60200000</v>
      </c>
      <c r="AG4355" t="s">
        <v>310</v>
      </c>
      <c r="AH4355">
        <f>SUM((MID(Dyno_Data[[#This Row],[Team]],4,5))+(Dyno_Data[[#This Row],[Match]]/100))</f>
        <v>3171.77</v>
      </c>
      <c r="AI4355" s="76">
        <f>ROUND(SUM(IF(Dyno_Data[[#This Row],[AcqCenter]]&gt;0,Dyno_Data[[#This Row],[Time]]-SUMIFS(Dyno_Data[Time],Dyno_Data[Team],Dyno_Data[[#This Row],[Team]],Dyno_Data[RecordType],"StartMatch",Dyno_Data[Match],Dyno_Data[[#This Row],[Match]]),0)*86400),0)</f>
        <v>0</v>
      </c>
    </row>
    <row r="4356" spans="1:35" x14ac:dyDescent="0.3">
      <c r="A4356">
        <v>4355</v>
      </c>
      <c r="B4356" t="s">
        <v>1291</v>
      </c>
      <c r="C4356">
        <v>77</v>
      </c>
      <c r="D4356" s="105">
        <v>45374.493279861112</v>
      </c>
      <c r="E4356" t="s">
        <v>312</v>
      </c>
      <c r="F4356" t="s">
        <v>1402</v>
      </c>
      <c r="G4356">
        <v>0</v>
      </c>
      <c r="H4356" t="s">
        <v>315</v>
      </c>
      <c r="I4356">
        <v>0</v>
      </c>
      <c r="J4356">
        <v>0</v>
      </c>
      <c r="K4356">
        <v>0</v>
      </c>
      <c r="L4356" t="s">
        <v>242</v>
      </c>
      <c r="M4356" t="s">
        <v>241</v>
      </c>
      <c r="N4356">
        <v>0</v>
      </c>
      <c r="O4356" t="s">
        <v>319</v>
      </c>
      <c r="P4356" t="s">
        <v>310</v>
      </c>
      <c r="Q4356" t="s">
        <v>310</v>
      </c>
      <c r="R4356" t="s">
        <v>310</v>
      </c>
      <c r="S4356">
        <v>9</v>
      </c>
      <c r="T4356" t="s">
        <v>310</v>
      </c>
      <c r="U4356">
        <v>9</v>
      </c>
      <c r="V4356">
        <v>9</v>
      </c>
      <c r="W4356">
        <v>0</v>
      </c>
      <c r="X4356">
        <v>0</v>
      </c>
      <c r="Y4356">
        <v>0</v>
      </c>
      <c r="Z4356">
        <v>0</v>
      </c>
      <c r="AA4356">
        <v>9</v>
      </c>
      <c r="AB4356">
        <v>9</v>
      </c>
      <c r="AC4356" t="s">
        <v>310</v>
      </c>
      <c r="AD4356">
        <v>9</v>
      </c>
      <c r="AE4356" t="s">
        <v>1413</v>
      </c>
      <c r="AF4356">
        <v>120000000</v>
      </c>
      <c r="AG4356" t="s">
        <v>310</v>
      </c>
      <c r="AH4356">
        <f>SUM((MID(Dyno_Data[[#This Row],[Team]],4,5))+(Dyno_Data[[#This Row],[Match]]/100))</f>
        <v>1493.77</v>
      </c>
      <c r="AI4356" s="76">
        <f>ROUND(SUM(IF(Dyno_Data[[#This Row],[AcqCenter]]&gt;0,Dyno_Data[[#This Row],[Time]]-SUMIFS(Dyno_Data[Time],Dyno_Data[Team],Dyno_Data[[#This Row],[Team]],Dyno_Data[RecordType],"StartMatch",Dyno_Data[Match],Dyno_Data[[#This Row],[Match]]),0)*86400),0)</f>
        <v>0</v>
      </c>
    </row>
    <row r="4357" spans="1:35" x14ac:dyDescent="0.3">
      <c r="A4357">
        <v>4356</v>
      </c>
      <c r="B4357" t="s">
        <v>1291</v>
      </c>
      <c r="C4357">
        <v>77</v>
      </c>
      <c r="D4357" s="105">
        <v>45374.493332442129</v>
      </c>
      <c r="E4357" t="s">
        <v>312</v>
      </c>
      <c r="F4357" t="s">
        <v>1402</v>
      </c>
      <c r="G4357">
        <v>0</v>
      </c>
      <c r="H4357" t="s">
        <v>315</v>
      </c>
      <c r="I4357">
        <v>0</v>
      </c>
      <c r="J4357">
        <v>0</v>
      </c>
      <c r="K4357">
        <v>0</v>
      </c>
      <c r="L4357" t="s">
        <v>242</v>
      </c>
      <c r="M4357" t="s">
        <v>241</v>
      </c>
      <c r="N4357">
        <v>0</v>
      </c>
      <c r="O4357" t="s">
        <v>319</v>
      </c>
      <c r="P4357" t="s">
        <v>310</v>
      </c>
      <c r="Q4357" t="s">
        <v>310</v>
      </c>
      <c r="R4357" t="s">
        <v>310</v>
      </c>
      <c r="S4357">
        <v>9</v>
      </c>
      <c r="T4357" t="s">
        <v>310</v>
      </c>
      <c r="U4357">
        <v>9</v>
      </c>
      <c r="V4357">
        <v>9</v>
      </c>
      <c r="W4357">
        <v>0</v>
      </c>
      <c r="X4357">
        <v>0</v>
      </c>
      <c r="Y4357">
        <v>0</v>
      </c>
      <c r="Z4357">
        <v>0</v>
      </c>
      <c r="AA4357">
        <v>9</v>
      </c>
      <c r="AB4357">
        <v>9</v>
      </c>
      <c r="AC4357" t="s">
        <v>310</v>
      </c>
      <c r="AD4357">
        <v>9</v>
      </c>
      <c r="AE4357" t="s">
        <v>1413</v>
      </c>
      <c r="AF4357">
        <v>130000000</v>
      </c>
      <c r="AG4357" t="s">
        <v>310</v>
      </c>
      <c r="AH4357">
        <f>SUM((MID(Dyno_Data[[#This Row],[Team]],4,5))+(Dyno_Data[[#This Row],[Match]]/100))</f>
        <v>1493.77</v>
      </c>
      <c r="AI4357" s="76">
        <f>ROUND(SUM(IF(Dyno_Data[[#This Row],[AcqCenter]]&gt;0,Dyno_Data[[#This Row],[Time]]-SUMIFS(Dyno_Data[Time],Dyno_Data[Team],Dyno_Data[[#This Row],[Team]],Dyno_Data[RecordType],"StartMatch",Dyno_Data[Match],Dyno_Data[[#This Row],[Match]]),0)*86400),0)</f>
        <v>0</v>
      </c>
    </row>
    <row r="4358" spans="1:35" x14ac:dyDescent="0.3">
      <c r="A4358">
        <v>4357</v>
      </c>
      <c r="B4358" t="s">
        <v>365</v>
      </c>
      <c r="C4358">
        <v>77</v>
      </c>
      <c r="D4358" s="105">
        <v>45374.493332442129</v>
      </c>
      <c r="E4358" t="s">
        <v>312</v>
      </c>
      <c r="F4358" t="s">
        <v>1402</v>
      </c>
      <c r="G4358">
        <v>0</v>
      </c>
      <c r="H4358" t="s">
        <v>315</v>
      </c>
      <c r="I4358">
        <v>0</v>
      </c>
      <c r="J4358">
        <v>0</v>
      </c>
      <c r="K4358">
        <v>0</v>
      </c>
      <c r="L4358" t="s">
        <v>241</v>
      </c>
      <c r="M4358" t="s">
        <v>1398</v>
      </c>
      <c r="N4358">
        <v>0</v>
      </c>
      <c r="O4358" t="s">
        <v>1389</v>
      </c>
      <c r="P4358" t="s">
        <v>310</v>
      </c>
      <c r="Q4358" t="s">
        <v>310</v>
      </c>
      <c r="R4358" t="s">
        <v>310</v>
      </c>
      <c r="S4358">
        <v>9</v>
      </c>
      <c r="T4358" t="s">
        <v>310</v>
      </c>
      <c r="U4358">
        <v>9</v>
      </c>
      <c r="V4358">
        <v>9</v>
      </c>
      <c r="W4358">
        <v>0</v>
      </c>
      <c r="X4358">
        <v>0</v>
      </c>
      <c r="Y4358">
        <v>0</v>
      </c>
      <c r="Z4358">
        <v>0</v>
      </c>
      <c r="AA4358">
        <v>9</v>
      </c>
      <c r="AB4358">
        <v>9</v>
      </c>
      <c r="AC4358" t="s">
        <v>310</v>
      </c>
      <c r="AD4358">
        <v>9</v>
      </c>
      <c r="AE4358" t="s">
        <v>1414</v>
      </c>
      <c r="AF4358">
        <v>70200000</v>
      </c>
      <c r="AG4358" t="s">
        <v>310</v>
      </c>
      <c r="AH4358">
        <f>SUM((MID(Dyno_Data[[#This Row],[Team]],4,5))+(Dyno_Data[[#This Row],[Match]]/100))</f>
        <v>3171.77</v>
      </c>
      <c r="AI4358" s="76">
        <f>ROUND(SUM(IF(Dyno_Data[[#This Row],[AcqCenter]]&gt;0,Dyno_Data[[#This Row],[Time]]-SUMIFS(Dyno_Data[Time],Dyno_Data[Team],Dyno_Data[[#This Row],[Team]],Dyno_Data[RecordType],"StartMatch",Dyno_Data[Match],Dyno_Data[[#This Row],[Match]]),0)*86400),0)</f>
        <v>0</v>
      </c>
    </row>
    <row r="4359" spans="1:35" x14ac:dyDescent="0.3">
      <c r="A4359">
        <v>4358</v>
      </c>
      <c r="B4359" t="s">
        <v>1278</v>
      </c>
      <c r="C4359">
        <v>77</v>
      </c>
      <c r="D4359" s="105">
        <v>45374.493336921296</v>
      </c>
      <c r="E4359" t="s">
        <v>312</v>
      </c>
      <c r="F4359" t="s">
        <v>1402</v>
      </c>
      <c r="G4359">
        <v>0</v>
      </c>
      <c r="H4359" t="s">
        <v>315</v>
      </c>
      <c r="I4359">
        <v>0</v>
      </c>
      <c r="J4359">
        <v>0</v>
      </c>
      <c r="K4359">
        <v>0</v>
      </c>
      <c r="L4359" t="s">
        <v>241</v>
      </c>
      <c r="M4359" t="s">
        <v>101</v>
      </c>
      <c r="N4359">
        <v>0</v>
      </c>
      <c r="O4359" t="s">
        <v>1395</v>
      </c>
      <c r="P4359" t="s">
        <v>310</v>
      </c>
      <c r="Q4359" t="s">
        <v>310</v>
      </c>
      <c r="R4359" t="s">
        <v>310</v>
      </c>
      <c r="S4359">
        <v>9</v>
      </c>
      <c r="T4359" t="s">
        <v>310</v>
      </c>
      <c r="U4359">
        <v>9</v>
      </c>
      <c r="V4359">
        <v>9</v>
      </c>
      <c r="W4359">
        <v>0</v>
      </c>
      <c r="X4359">
        <v>0</v>
      </c>
      <c r="Y4359">
        <v>0</v>
      </c>
      <c r="Z4359">
        <v>0</v>
      </c>
      <c r="AA4359">
        <v>9</v>
      </c>
      <c r="AB4359">
        <v>9</v>
      </c>
      <c r="AC4359" t="s">
        <v>310</v>
      </c>
      <c r="AD4359">
        <v>9</v>
      </c>
      <c r="AE4359" t="s">
        <v>1412</v>
      </c>
      <c r="AF4359">
        <v>30000000</v>
      </c>
      <c r="AG4359" t="s">
        <v>310</v>
      </c>
      <c r="AH4359">
        <f>SUM((MID(Dyno_Data[[#This Row],[Team]],4,5))+(Dyno_Data[[#This Row],[Match]]/100))</f>
        <v>3951.77</v>
      </c>
      <c r="AI4359" s="76">
        <f>ROUND(SUM(IF(Dyno_Data[[#This Row],[AcqCenter]]&gt;0,Dyno_Data[[#This Row],[Time]]-SUMIFS(Dyno_Data[Time],Dyno_Data[Team],Dyno_Data[[#This Row],[Team]],Dyno_Data[RecordType],"StartMatch",Dyno_Data[Match],Dyno_Data[[#This Row],[Match]]),0)*86400),0)</f>
        <v>0</v>
      </c>
    </row>
    <row r="4360" spans="1:35" x14ac:dyDescent="0.3">
      <c r="A4360">
        <v>4359</v>
      </c>
      <c r="B4360" t="s">
        <v>364</v>
      </c>
      <c r="C4360">
        <v>77</v>
      </c>
      <c r="D4360" s="105">
        <v>45374.493337650463</v>
      </c>
      <c r="E4360" t="s">
        <v>312</v>
      </c>
      <c r="F4360" t="s">
        <v>1402</v>
      </c>
      <c r="G4360">
        <v>0</v>
      </c>
      <c r="H4360" t="s">
        <v>315</v>
      </c>
      <c r="I4360">
        <v>0</v>
      </c>
      <c r="J4360">
        <v>0</v>
      </c>
      <c r="K4360">
        <v>0</v>
      </c>
      <c r="L4360" t="s">
        <v>241</v>
      </c>
      <c r="M4360" t="s">
        <v>101</v>
      </c>
      <c r="N4360">
        <v>1</v>
      </c>
      <c r="O4360" t="s">
        <v>1391</v>
      </c>
      <c r="P4360" t="s">
        <v>310</v>
      </c>
      <c r="Q4360" t="s">
        <v>310</v>
      </c>
      <c r="R4360" t="s">
        <v>310</v>
      </c>
      <c r="S4360">
        <v>9</v>
      </c>
      <c r="T4360" t="s">
        <v>310</v>
      </c>
      <c r="U4360">
        <v>9</v>
      </c>
      <c r="V4360">
        <v>9</v>
      </c>
      <c r="W4360">
        <v>0</v>
      </c>
      <c r="X4360">
        <v>0</v>
      </c>
      <c r="Y4360">
        <v>0</v>
      </c>
      <c r="Z4360">
        <v>0</v>
      </c>
      <c r="AA4360">
        <v>9</v>
      </c>
      <c r="AB4360">
        <v>9</v>
      </c>
      <c r="AC4360" t="s">
        <v>310</v>
      </c>
      <c r="AD4360">
        <v>9</v>
      </c>
      <c r="AE4360" t="s">
        <v>1416</v>
      </c>
      <c r="AF4360">
        <v>50000000</v>
      </c>
      <c r="AG4360" t="s">
        <v>310</v>
      </c>
      <c r="AH4360">
        <f>SUM((MID(Dyno_Data[[#This Row],[Team]],4,5))+(Dyno_Data[[#This Row],[Match]]/100))</f>
        <v>2791.77</v>
      </c>
      <c r="AI4360" s="76">
        <f>ROUND(SUM(IF(Dyno_Data[[#This Row],[AcqCenter]]&gt;0,Dyno_Data[[#This Row],[Time]]-SUMIFS(Dyno_Data[Time],Dyno_Data[Team],Dyno_Data[[#This Row],[Team]],Dyno_Data[RecordType],"StartMatch",Dyno_Data[Match],Dyno_Data[[#This Row],[Match]]),0)*86400),0)</f>
        <v>0</v>
      </c>
    </row>
    <row r="4361" spans="1:35" x14ac:dyDescent="0.3">
      <c r="A4361">
        <v>4360</v>
      </c>
      <c r="B4361" t="s">
        <v>1291</v>
      </c>
      <c r="C4361">
        <v>77</v>
      </c>
      <c r="D4361" s="105">
        <v>45374.493415509256</v>
      </c>
      <c r="E4361" t="s">
        <v>312</v>
      </c>
      <c r="F4361" t="s">
        <v>1402</v>
      </c>
      <c r="G4361">
        <v>0</v>
      </c>
      <c r="H4361" t="s">
        <v>315</v>
      </c>
      <c r="I4361">
        <v>0</v>
      </c>
      <c r="J4361">
        <v>0</v>
      </c>
      <c r="K4361">
        <v>0</v>
      </c>
      <c r="L4361" t="s">
        <v>242</v>
      </c>
      <c r="M4361" t="s">
        <v>241</v>
      </c>
      <c r="N4361">
        <v>0</v>
      </c>
      <c r="O4361" t="s">
        <v>319</v>
      </c>
      <c r="P4361" t="s">
        <v>310</v>
      </c>
      <c r="Q4361" t="s">
        <v>310</v>
      </c>
      <c r="R4361" t="s">
        <v>310</v>
      </c>
      <c r="S4361">
        <v>9</v>
      </c>
      <c r="T4361" t="s">
        <v>310</v>
      </c>
      <c r="U4361">
        <v>9</v>
      </c>
      <c r="V4361">
        <v>9</v>
      </c>
      <c r="W4361">
        <v>0</v>
      </c>
      <c r="X4361">
        <v>0</v>
      </c>
      <c r="Y4361">
        <v>0</v>
      </c>
      <c r="Z4361">
        <v>0</v>
      </c>
      <c r="AA4361">
        <v>9</v>
      </c>
      <c r="AB4361">
        <v>9</v>
      </c>
      <c r="AC4361" t="s">
        <v>310</v>
      </c>
      <c r="AD4361">
        <v>9</v>
      </c>
      <c r="AE4361" t="s">
        <v>1413</v>
      </c>
      <c r="AF4361">
        <v>140000000</v>
      </c>
      <c r="AG4361" t="s">
        <v>310</v>
      </c>
      <c r="AH4361">
        <f>SUM((MID(Dyno_Data[[#This Row],[Team]],4,5))+(Dyno_Data[[#This Row],[Match]]/100))</f>
        <v>1493.77</v>
      </c>
      <c r="AI4361" s="76">
        <f>ROUND(SUM(IF(Dyno_Data[[#This Row],[AcqCenter]]&gt;0,Dyno_Data[[#This Row],[Time]]-SUMIFS(Dyno_Data[Time],Dyno_Data[Team],Dyno_Data[[#This Row],[Team]],Dyno_Data[RecordType],"StartMatch",Dyno_Data[Match],Dyno_Data[[#This Row],[Match]]),0)*86400),0)</f>
        <v>0</v>
      </c>
    </row>
    <row r="4362" spans="1:35" x14ac:dyDescent="0.3">
      <c r="A4362">
        <v>4361</v>
      </c>
      <c r="B4362" t="s">
        <v>364</v>
      </c>
      <c r="C4362">
        <v>77</v>
      </c>
      <c r="D4362" s="105">
        <v>45374.493499189812</v>
      </c>
      <c r="E4362" t="s">
        <v>312</v>
      </c>
      <c r="F4362" t="s">
        <v>1402</v>
      </c>
      <c r="G4362">
        <v>0</v>
      </c>
      <c r="H4362" t="s">
        <v>315</v>
      </c>
      <c r="I4362">
        <v>0</v>
      </c>
      <c r="J4362">
        <v>0</v>
      </c>
      <c r="K4362">
        <v>0</v>
      </c>
      <c r="L4362" t="s">
        <v>241</v>
      </c>
      <c r="M4362" t="s">
        <v>101</v>
      </c>
      <c r="N4362">
        <v>0</v>
      </c>
      <c r="O4362" t="s">
        <v>1391</v>
      </c>
      <c r="P4362" t="s">
        <v>310</v>
      </c>
      <c r="Q4362" t="s">
        <v>310</v>
      </c>
      <c r="R4362" t="s">
        <v>310</v>
      </c>
      <c r="S4362">
        <v>9</v>
      </c>
      <c r="T4362" t="s">
        <v>310</v>
      </c>
      <c r="U4362">
        <v>9</v>
      </c>
      <c r="V4362">
        <v>9</v>
      </c>
      <c r="W4362">
        <v>0</v>
      </c>
      <c r="X4362">
        <v>0</v>
      </c>
      <c r="Y4362">
        <v>0</v>
      </c>
      <c r="Z4362">
        <v>0</v>
      </c>
      <c r="AA4362">
        <v>9</v>
      </c>
      <c r="AB4362">
        <v>9</v>
      </c>
      <c r="AC4362" t="s">
        <v>310</v>
      </c>
      <c r="AD4362">
        <v>9</v>
      </c>
      <c r="AE4362" t="s">
        <v>1416</v>
      </c>
      <c r="AF4362">
        <v>60000000</v>
      </c>
      <c r="AG4362" t="s">
        <v>310</v>
      </c>
      <c r="AH4362">
        <f>SUM((MID(Dyno_Data[[#This Row],[Team]],4,5))+(Dyno_Data[[#This Row],[Match]]/100))</f>
        <v>2791.77</v>
      </c>
      <c r="AI4362" s="76">
        <f>ROUND(SUM(IF(Dyno_Data[[#This Row],[AcqCenter]]&gt;0,Dyno_Data[[#This Row],[Time]]-SUMIFS(Dyno_Data[Time],Dyno_Data[Team],Dyno_Data[[#This Row],[Team]],Dyno_Data[RecordType],"StartMatch",Dyno_Data[Match],Dyno_Data[[#This Row],[Match]]),0)*86400),0)</f>
        <v>0</v>
      </c>
    </row>
    <row r="4363" spans="1:35" x14ac:dyDescent="0.3">
      <c r="A4363">
        <v>4362</v>
      </c>
      <c r="B4363" t="s">
        <v>1291</v>
      </c>
      <c r="C4363">
        <v>77</v>
      </c>
      <c r="D4363" s="105">
        <v>45374.493561423609</v>
      </c>
      <c r="E4363" t="s">
        <v>312</v>
      </c>
      <c r="F4363" t="s">
        <v>1402</v>
      </c>
      <c r="G4363">
        <v>0</v>
      </c>
      <c r="H4363" t="s">
        <v>315</v>
      </c>
      <c r="I4363">
        <v>0</v>
      </c>
      <c r="J4363">
        <v>0</v>
      </c>
      <c r="K4363">
        <v>0</v>
      </c>
      <c r="L4363" t="s">
        <v>242</v>
      </c>
      <c r="M4363" t="s">
        <v>1398</v>
      </c>
      <c r="N4363">
        <v>0</v>
      </c>
      <c r="O4363" t="s">
        <v>319</v>
      </c>
      <c r="P4363" t="s">
        <v>310</v>
      </c>
      <c r="Q4363" t="s">
        <v>310</v>
      </c>
      <c r="R4363" t="s">
        <v>310</v>
      </c>
      <c r="S4363">
        <v>9</v>
      </c>
      <c r="T4363" t="s">
        <v>310</v>
      </c>
      <c r="U4363">
        <v>9</v>
      </c>
      <c r="V4363">
        <v>9</v>
      </c>
      <c r="W4363">
        <v>0</v>
      </c>
      <c r="X4363">
        <v>0</v>
      </c>
      <c r="Y4363">
        <v>0</v>
      </c>
      <c r="Z4363">
        <v>0</v>
      </c>
      <c r="AA4363">
        <v>9</v>
      </c>
      <c r="AB4363">
        <v>9</v>
      </c>
      <c r="AC4363" t="s">
        <v>310</v>
      </c>
      <c r="AD4363">
        <v>9</v>
      </c>
      <c r="AE4363" t="s">
        <v>1413</v>
      </c>
      <c r="AF4363">
        <v>150000000</v>
      </c>
      <c r="AG4363" t="s">
        <v>310</v>
      </c>
      <c r="AH4363">
        <f>SUM((MID(Dyno_Data[[#This Row],[Team]],4,5))+(Dyno_Data[[#This Row],[Match]]/100))</f>
        <v>1493.77</v>
      </c>
      <c r="AI4363" s="76">
        <f>ROUND(SUM(IF(Dyno_Data[[#This Row],[AcqCenter]]&gt;0,Dyno_Data[[#This Row],[Time]]-SUMIFS(Dyno_Data[Time],Dyno_Data[Team],Dyno_Data[[#This Row],[Team]],Dyno_Data[RecordType],"StartMatch",Dyno_Data[Match],Dyno_Data[[#This Row],[Match]]),0)*86400),0)</f>
        <v>0</v>
      </c>
    </row>
    <row r="4364" spans="1:35" x14ac:dyDescent="0.3">
      <c r="A4364">
        <v>4363</v>
      </c>
      <c r="B4364" t="s">
        <v>370</v>
      </c>
      <c r="C4364">
        <v>77</v>
      </c>
      <c r="D4364" s="105">
        <v>45374.493566631943</v>
      </c>
      <c r="E4364" t="s">
        <v>312</v>
      </c>
      <c r="F4364" t="s">
        <v>1402</v>
      </c>
      <c r="G4364">
        <v>0</v>
      </c>
      <c r="H4364" t="s">
        <v>315</v>
      </c>
      <c r="I4364">
        <v>0</v>
      </c>
      <c r="J4364">
        <v>0</v>
      </c>
      <c r="K4364">
        <v>0</v>
      </c>
      <c r="L4364" t="s">
        <v>241</v>
      </c>
      <c r="M4364" t="s">
        <v>1398</v>
      </c>
      <c r="N4364">
        <v>0</v>
      </c>
      <c r="O4364" t="s">
        <v>1393</v>
      </c>
      <c r="P4364" t="s">
        <v>310</v>
      </c>
      <c r="Q4364" t="s">
        <v>310</v>
      </c>
      <c r="R4364" t="s">
        <v>310</v>
      </c>
      <c r="S4364">
        <v>9</v>
      </c>
      <c r="T4364" t="s">
        <v>310</v>
      </c>
      <c r="U4364">
        <v>9</v>
      </c>
      <c r="V4364">
        <v>9</v>
      </c>
      <c r="W4364">
        <v>0</v>
      </c>
      <c r="X4364">
        <v>0</v>
      </c>
      <c r="Y4364">
        <v>0</v>
      </c>
      <c r="Z4364">
        <v>0</v>
      </c>
      <c r="AA4364">
        <v>9</v>
      </c>
      <c r="AB4364">
        <v>9</v>
      </c>
      <c r="AC4364" t="s">
        <v>310</v>
      </c>
      <c r="AD4364">
        <v>9</v>
      </c>
      <c r="AE4364" t="s">
        <v>1417</v>
      </c>
      <c r="AF4364">
        <v>40000000</v>
      </c>
      <c r="AG4364" t="s">
        <v>310</v>
      </c>
      <c r="AH4364">
        <f>SUM((MID(Dyno_Data[[#This Row],[Team]],4,5))+(Dyno_Data[[#This Row],[Match]]/100))</f>
        <v>6911.77</v>
      </c>
      <c r="AI4364" s="76">
        <f>ROUND(SUM(IF(Dyno_Data[[#This Row],[AcqCenter]]&gt;0,Dyno_Data[[#This Row],[Time]]-SUMIFS(Dyno_Data[Time],Dyno_Data[Team],Dyno_Data[[#This Row],[Team]],Dyno_Data[RecordType],"StartMatch",Dyno_Data[Match],Dyno_Data[[#This Row],[Match]]),0)*86400),0)</f>
        <v>0</v>
      </c>
    </row>
    <row r="4365" spans="1:35" x14ac:dyDescent="0.3">
      <c r="A4365">
        <v>4364</v>
      </c>
      <c r="B4365" t="s">
        <v>1291</v>
      </c>
      <c r="C4365">
        <v>77</v>
      </c>
      <c r="D4365" s="105">
        <v>45374.493628900462</v>
      </c>
      <c r="E4365" t="s">
        <v>312</v>
      </c>
      <c r="F4365" t="s">
        <v>1402</v>
      </c>
      <c r="G4365">
        <v>0</v>
      </c>
      <c r="H4365" t="s">
        <v>315</v>
      </c>
      <c r="I4365">
        <v>0</v>
      </c>
      <c r="J4365">
        <v>0</v>
      </c>
      <c r="K4365">
        <v>0</v>
      </c>
      <c r="L4365" t="s">
        <v>242</v>
      </c>
      <c r="M4365" t="s">
        <v>1398</v>
      </c>
      <c r="N4365">
        <v>0</v>
      </c>
      <c r="O4365" t="s">
        <v>319</v>
      </c>
      <c r="P4365" t="s">
        <v>310</v>
      </c>
      <c r="Q4365" t="s">
        <v>310</v>
      </c>
      <c r="R4365" t="s">
        <v>310</v>
      </c>
      <c r="S4365">
        <v>9</v>
      </c>
      <c r="T4365" t="s">
        <v>310</v>
      </c>
      <c r="U4365">
        <v>9</v>
      </c>
      <c r="V4365">
        <v>9</v>
      </c>
      <c r="W4365">
        <v>0</v>
      </c>
      <c r="X4365">
        <v>0</v>
      </c>
      <c r="Y4365">
        <v>0</v>
      </c>
      <c r="Z4365">
        <v>0</v>
      </c>
      <c r="AA4365">
        <v>9</v>
      </c>
      <c r="AB4365">
        <v>9</v>
      </c>
      <c r="AC4365" t="s">
        <v>310</v>
      </c>
      <c r="AD4365">
        <v>9</v>
      </c>
      <c r="AE4365" t="s">
        <v>1413</v>
      </c>
      <c r="AF4365">
        <v>160000000</v>
      </c>
      <c r="AG4365" t="s">
        <v>310</v>
      </c>
      <c r="AH4365">
        <f>SUM((MID(Dyno_Data[[#This Row],[Team]],4,5))+(Dyno_Data[[#This Row],[Match]]/100))</f>
        <v>1493.77</v>
      </c>
      <c r="AI4365" s="76">
        <f>ROUND(SUM(IF(Dyno_Data[[#This Row],[AcqCenter]]&gt;0,Dyno_Data[[#This Row],[Time]]-SUMIFS(Dyno_Data[Time],Dyno_Data[Team],Dyno_Data[[#This Row],[Team]],Dyno_Data[RecordType],"StartMatch",Dyno_Data[Match],Dyno_Data[[#This Row],[Match]]),0)*86400),0)</f>
        <v>0</v>
      </c>
    </row>
    <row r="4366" spans="1:35" x14ac:dyDescent="0.3">
      <c r="A4366">
        <v>4365</v>
      </c>
      <c r="B4366" t="s">
        <v>364</v>
      </c>
      <c r="C4366">
        <v>77</v>
      </c>
      <c r="D4366" s="105">
        <v>45374.493630474535</v>
      </c>
      <c r="E4366" t="s">
        <v>312</v>
      </c>
      <c r="F4366" t="s">
        <v>1402</v>
      </c>
      <c r="G4366">
        <v>0</v>
      </c>
      <c r="H4366" t="s">
        <v>315</v>
      </c>
      <c r="I4366">
        <v>0</v>
      </c>
      <c r="J4366">
        <v>0</v>
      </c>
      <c r="K4366">
        <v>0</v>
      </c>
      <c r="L4366" t="s">
        <v>241</v>
      </c>
      <c r="M4366" t="s">
        <v>101</v>
      </c>
      <c r="N4366">
        <v>0</v>
      </c>
      <c r="O4366" t="s">
        <v>1391</v>
      </c>
      <c r="P4366" t="s">
        <v>310</v>
      </c>
      <c r="Q4366" t="s">
        <v>310</v>
      </c>
      <c r="R4366" t="s">
        <v>310</v>
      </c>
      <c r="S4366">
        <v>9</v>
      </c>
      <c r="T4366" t="s">
        <v>310</v>
      </c>
      <c r="U4366">
        <v>9</v>
      </c>
      <c r="V4366">
        <v>9</v>
      </c>
      <c r="W4366">
        <v>0</v>
      </c>
      <c r="X4366">
        <v>0</v>
      </c>
      <c r="Y4366">
        <v>0</v>
      </c>
      <c r="Z4366">
        <v>0</v>
      </c>
      <c r="AA4366">
        <v>9</v>
      </c>
      <c r="AB4366">
        <v>9</v>
      </c>
      <c r="AC4366" t="s">
        <v>310</v>
      </c>
      <c r="AD4366">
        <v>9</v>
      </c>
      <c r="AE4366" t="s">
        <v>1416</v>
      </c>
      <c r="AF4366">
        <v>70000000</v>
      </c>
      <c r="AG4366" t="s">
        <v>310</v>
      </c>
      <c r="AH4366">
        <f>SUM((MID(Dyno_Data[[#This Row],[Team]],4,5))+(Dyno_Data[[#This Row],[Match]]/100))</f>
        <v>2791.77</v>
      </c>
      <c r="AI4366" s="76">
        <f>ROUND(SUM(IF(Dyno_Data[[#This Row],[AcqCenter]]&gt;0,Dyno_Data[[#This Row],[Time]]-SUMIFS(Dyno_Data[Time],Dyno_Data[Team],Dyno_Data[[#This Row],[Team]],Dyno_Data[RecordType],"StartMatch",Dyno_Data[Match],Dyno_Data[[#This Row],[Match]]),0)*86400),0)</f>
        <v>0</v>
      </c>
    </row>
    <row r="4367" spans="1:35" x14ac:dyDescent="0.3">
      <c r="A4367">
        <v>4366</v>
      </c>
      <c r="B4367" t="s">
        <v>365</v>
      </c>
      <c r="C4367">
        <v>77</v>
      </c>
      <c r="D4367" s="105">
        <v>45374.493684490742</v>
      </c>
      <c r="E4367" t="s">
        <v>312</v>
      </c>
      <c r="F4367" t="s">
        <v>1402</v>
      </c>
      <c r="G4367">
        <v>0</v>
      </c>
      <c r="H4367" t="s">
        <v>315</v>
      </c>
      <c r="I4367">
        <v>0</v>
      </c>
      <c r="J4367">
        <v>0</v>
      </c>
      <c r="K4367">
        <v>0</v>
      </c>
      <c r="L4367" t="s">
        <v>240</v>
      </c>
      <c r="M4367" t="s">
        <v>1398</v>
      </c>
      <c r="N4367">
        <v>0</v>
      </c>
      <c r="O4367" t="s">
        <v>1389</v>
      </c>
      <c r="P4367" t="s">
        <v>310</v>
      </c>
      <c r="Q4367" t="s">
        <v>310</v>
      </c>
      <c r="R4367" t="s">
        <v>310</v>
      </c>
      <c r="S4367">
        <v>9</v>
      </c>
      <c r="T4367" t="s">
        <v>310</v>
      </c>
      <c r="U4367">
        <v>9</v>
      </c>
      <c r="V4367">
        <v>9</v>
      </c>
      <c r="W4367">
        <v>0</v>
      </c>
      <c r="X4367">
        <v>0</v>
      </c>
      <c r="Y4367">
        <v>0</v>
      </c>
      <c r="Z4367">
        <v>0</v>
      </c>
      <c r="AA4367">
        <v>9</v>
      </c>
      <c r="AB4367">
        <v>9</v>
      </c>
      <c r="AC4367" t="s">
        <v>310</v>
      </c>
      <c r="AD4367">
        <v>9</v>
      </c>
      <c r="AE4367" t="s">
        <v>1414</v>
      </c>
      <c r="AF4367">
        <v>80200000</v>
      </c>
      <c r="AG4367" t="s">
        <v>310</v>
      </c>
      <c r="AH4367">
        <f>SUM((MID(Dyno_Data[[#This Row],[Team]],4,5))+(Dyno_Data[[#This Row],[Match]]/100))</f>
        <v>3171.77</v>
      </c>
      <c r="AI4367" s="76">
        <f>ROUND(SUM(IF(Dyno_Data[[#This Row],[AcqCenter]]&gt;0,Dyno_Data[[#This Row],[Time]]-SUMIFS(Dyno_Data[Time],Dyno_Data[Team],Dyno_Data[[#This Row],[Team]],Dyno_Data[RecordType],"StartMatch",Dyno_Data[Match],Dyno_Data[[#This Row],[Match]]),0)*86400),0)</f>
        <v>0</v>
      </c>
    </row>
    <row r="4368" spans="1:35" x14ac:dyDescent="0.3">
      <c r="A4368">
        <v>4367</v>
      </c>
      <c r="B4368" t="s">
        <v>364</v>
      </c>
      <c r="C4368">
        <v>77</v>
      </c>
      <c r="D4368" s="105">
        <v>45374.493736377313</v>
      </c>
      <c r="E4368" t="s">
        <v>312</v>
      </c>
      <c r="F4368" t="s">
        <v>1402</v>
      </c>
      <c r="G4368">
        <v>0</v>
      </c>
      <c r="H4368" t="s">
        <v>315</v>
      </c>
      <c r="I4368">
        <v>0</v>
      </c>
      <c r="J4368">
        <v>0</v>
      </c>
      <c r="K4368">
        <v>0</v>
      </c>
      <c r="L4368" t="s">
        <v>241</v>
      </c>
      <c r="M4368" t="s">
        <v>1398</v>
      </c>
      <c r="N4368">
        <v>0</v>
      </c>
      <c r="O4368" t="s">
        <v>1391</v>
      </c>
      <c r="P4368" t="s">
        <v>310</v>
      </c>
      <c r="Q4368" t="s">
        <v>310</v>
      </c>
      <c r="R4368" t="s">
        <v>310</v>
      </c>
      <c r="S4368">
        <v>9</v>
      </c>
      <c r="T4368" t="s">
        <v>310</v>
      </c>
      <c r="U4368">
        <v>9</v>
      </c>
      <c r="V4368">
        <v>9</v>
      </c>
      <c r="W4368">
        <v>0</v>
      </c>
      <c r="X4368">
        <v>0</v>
      </c>
      <c r="Y4368">
        <v>0</v>
      </c>
      <c r="Z4368">
        <v>0</v>
      </c>
      <c r="AA4368">
        <v>9</v>
      </c>
      <c r="AB4368">
        <v>9</v>
      </c>
      <c r="AC4368" t="s">
        <v>310</v>
      </c>
      <c r="AD4368">
        <v>9</v>
      </c>
      <c r="AE4368" t="s">
        <v>1416</v>
      </c>
      <c r="AF4368">
        <v>80000000</v>
      </c>
      <c r="AG4368" t="s">
        <v>310</v>
      </c>
      <c r="AH4368">
        <f>SUM((MID(Dyno_Data[[#This Row],[Team]],4,5))+(Dyno_Data[[#This Row],[Match]]/100))</f>
        <v>2791.77</v>
      </c>
      <c r="AI4368" s="76">
        <f>ROUND(SUM(IF(Dyno_Data[[#This Row],[AcqCenter]]&gt;0,Dyno_Data[[#This Row],[Time]]-SUMIFS(Dyno_Data[Time],Dyno_Data[Team],Dyno_Data[[#This Row],[Team]],Dyno_Data[RecordType],"StartMatch",Dyno_Data[Match],Dyno_Data[[#This Row],[Match]]),0)*86400),0)</f>
        <v>0</v>
      </c>
    </row>
    <row r="4369" spans="1:35" x14ac:dyDescent="0.3">
      <c r="A4369">
        <v>4368</v>
      </c>
      <c r="B4369" t="s">
        <v>1291</v>
      </c>
      <c r="C4369">
        <v>77</v>
      </c>
      <c r="D4369" s="105">
        <v>45374.493750925925</v>
      </c>
      <c r="E4369" t="s">
        <v>312</v>
      </c>
      <c r="F4369" t="s">
        <v>1402</v>
      </c>
      <c r="G4369">
        <v>0</v>
      </c>
      <c r="H4369" t="s">
        <v>315</v>
      </c>
      <c r="I4369">
        <v>0</v>
      </c>
      <c r="J4369">
        <v>0</v>
      </c>
      <c r="K4369">
        <v>0</v>
      </c>
      <c r="L4369" t="s">
        <v>242</v>
      </c>
      <c r="M4369" t="s">
        <v>1398</v>
      </c>
      <c r="N4369">
        <v>0</v>
      </c>
      <c r="O4369" t="s">
        <v>319</v>
      </c>
      <c r="P4369" t="s">
        <v>310</v>
      </c>
      <c r="Q4369" t="s">
        <v>310</v>
      </c>
      <c r="R4369" t="s">
        <v>310</v>
      </c>
      <c r="S4369">
        <v>9</v>
      </c>
      <c r="T4369" t="s">
        <v>310</v>
      </c>
      <c r="U4369">
        <v>9</v>
      </c>
      <c r="V4369">
        <v>9</v>
      </c>
      <c r="W4369">
        <v>0</v>
      </c>
      <c r="X4369">
        <v>0</v>
      </c>
      <c r="Y4369">
        <v>0</v>
      </c>
      <c r="Z4369">
        <v>0</v>
      </c>
      <c r="AA4369">
        <v>9</v>
      </c>
      <c r="AB4369">
        <v>9</v>
      </c>
      <c r="AC4369" t="s">
        <v>310</v>
      </c>
      <c r="AD4369">
        <v>9</v>
      </c>
      <c r="AE4369" t="s">
        <v>1413</v>
      </c>
      <c r="AF4369">
        <v>170000000</v>
      </c>
      <c r="AG4369" t="s">
        <v>310</v>
      </c>
      <c r="AH4369">
        <f>SUM((MID(Dyno_Data[[#This Row],[Team]],4,5))+(Dyno_Data[[#This Row],[Match]]/100))</f>
        <v>1493.77</v>
      </c>
      <c r="AI4369" s="76">
        <f>ROUND(SUM(IF(Dyno_Data[[#This Row],[AcqCenter]]&gt;0,Dyno_Data[[#This Row],[Time]]-SUMIFS(Dyno_Data[Time],Dyno_Data[Team],Dyno_Data[[#This Row],[Team]],Dyno_Data[RecordType],"StartMatch",Dyno_Data[Match],Dyno_Data[[#This Row],[Match]]),0)*86400),0)</f>
        <v>0</v>
      </c>
    </row>
    <row r="4370" spans="1:35" x14ac:dyDescent="0.3">
      <c r="A4370">
        <v>4369</v>
      </c>
      <c r="B4370" t="s">
        <v>365</v>
      </c>
      <c r="C4370">
        <v>77</v>
      </c>
      <c r="D4370" s="105">
        <v>45374.493801192133</v>
      </c>
      <c r="E4370" t="s">
        <v>312</v>
      </c>
      <c r="F4370" t="s">
        <v>1402</v>
      </c>
      <c r="G4370">
        <v>0</v>
      </c>
      <c r="H4370" t="s">
        <v>315</v>
      </c>
      <c r="I4370">
        <v>0</v>
      </c>
      <c r="J4370">
        <v>0</v>
      </c>
      <c r="K4370">
        <v>0</v>
      </c>
      <c r="L4370" t="s">
        <v>241</v>
      </c>
      <c r="M4370" t="s">
        <v>1398</v>
      </c>
      <c r="N4370">
        <v>0</v>
      </c>
      <c r="O4370" t="s">
        <v>1389</v>
      </c>
      <c r="P4370" t="s">
        <v>310</v>
      </c>
      <c r="Q4370" t="s">
        <v>310</v>
      </c>
      <c r="R4370" t="s">
        <v>310</v>
      </c>
      <c r="S4370">
        <v>9</v>
      </c>
      <c r="T4370" t="s">
        <v>310</v>
      </c>
      <c r="U4370">
        <v>9</v>
      </c>
      <c r="V4370">
        <v>9</v>
      </c>
      <c r="W4370">
        <v>0</v>
      </c>
      <c r="X4370">
        <v>0</v>
      </c>
      <c r="Y4370">
        <v>0</v>
      </c>
      <c r="Z4370">
        <v>0</v>
      </c>
      <c r="AA4370">
        <v>9</v>
      </c>
      <c r="AB4370">
        <v>9</v>
      </c>
      <c r="AC4370" t="s">
        <v>310</v>
      </c>
      <c r="AD4370">
        <v>9</v>
      </c>
      <c r="AE4370" t="s">
        <v>1414</v>
      </c>
      <c r="AF4370">
        <v>90200000</v>
      </c>
      <c r="AG4370" t="s">
        <v>310</v>
      </c>
      <c r="AH4370">
        <f>SUM((MID(Dyno_Data[[#This Row],[Team]],4,5))+(Dyno_Data[[#This Row],[Match]]/100))</f>
        <v>3171.77</v>
      </c>
      <c r="AI4370" s="76">
        <f>ROUND(SUM(IF(Dyno_Data[[#This Row],[AcqCenter]]&gt;0,Dyno_Data[[#This Row],[Time]]-SUMIFS(Dyno_Data[Time],Dyno_Data[Team],Dyno_Data[[#This Row],[Team]],Dyno_Data[RecordType],"StartMatch",Dyno_Data[Match],Dyno_Data[[#This Row],[Match]]),0)*86400),0)</f>
        <v>0</v>
      </c>
    </row>
    <row r="4371" spans="1:35" x14ac:dyDescent="0.3">
      <c r="A4371">
        <v>4370</v>
      </c>
      <c r="B4371" t="s">
        <v>1291</v>
      </c>
      <c r="C4371">
        <v>77</v>
      </c>
      <c r="D4371" s="105">
        <v>45374.493908761571</v>
      </c>
      <c r="E4371" t="s">
        <v>312</v>
      </c>
      <c r="F4371" t="s">
        <v>1402</v>
      </c>
      <c r="G4371">
        <v>0</v>
      </c>
      <c r="H4371" t="s">
        <v>315</v>
      </c>
      <c r="I4371">
        <v>0</v>
      </c>
      <c r="J4371">
        <v>0</v>
      </c>
      <c r="K4371">
        <v>0</v>
      </c>
      <c r="L4371" t="s">
        <v>241</v>
      </c>
      <c r="M4371" t="s">
        <v>1398</v>
      </c>
      <c r="N4371">
        <v>0</v>
      </c>
      <c r="O4371" t="s">
        <v>319</v>
      </c>
      <c r="P4371" t="s">
        <v>310</v>
      </c>
      <c r="Q4371" t="s">
        <v>310</v>
      </c>
      <c r="R4371" t="s">
        <v>310</v>
      </c>
      <c r="S4371">
        <v>9</v>
      </c>
      <c r="T4371" t="s">
        <v>310</v>
      </c>
      <c r="U4371">
        <v>9</v>
      </c>
      <c r="V4371">
        <v>9</v>
      </c>
      <c r="W4371">
        <v>0</v>
      </c>
      <c r="X4371">
        <v>0</v>
      </c>
      <c r="Y4371">
        <v>0</v>
      </c>
      <c r="Z4371">
        <v>0</v>
      </c>
      <c r="AA4371">
        <v>9</v>
      </c>
      <c r="AB4371">
        <v>9</v>
      </c>
      <c r="AC4371" t="s">
        <v>310</v>
      </c>
      <c r="AD4371">
        <v>9</v>
      </c>
      <c r="AE4371" t="s">
        <v>1413</v>
      </c>
      <c r="AF4371">
        <v>180000000</v>
      </c>
      <c r="AG4371" t="s">
        <v>310</v>
      </c>
      <c r="AH4371">
        <f>SUM((MID(Dyno_Data[[#This Row],[Team]],4,5))+(Dyno_Data[[#This Row],[Match]]/100))</f>
        <v>1493.77</v>
      </c>
      <c r="AI4371" s="76">
        <f>ROUND(SUM(IF(Dyno_Data[[#This Row],[AcqCenter]]&gt;0,Dyno_Data[[#This Row],[Time]]-SUMIFS(Dyno_Data[Time],Dyno_Data[Team],Dyno_Data[[#This Row],[Team]],Dyno_Data[RecordType],"StartMatch",Dyno_Data[Match],Dyno_Data[[#This Row],[Match]]),0)*86400),0)</f>
        <v>0</v>
      </c>
    </row>
    <row r="4372" spans="1:35" x14ac:dyDescent="0.3">
      <c r="A4372">
        <v>4371</v>
      </c>
      <c r="B4372" t="s">
        <v>364</v>
      </c>
      <c r="C4372">
        <v>77</v>
      </c>
      <c r="D4372" s="105">
        <v>45374.493910879632</v>
      </c>
      <c r="E4372" t="s">
        <v>312</v>
      </c>
      <c r="F4372" t="s">
        <v>1402</v>
      </c>
      <c r="G4372">
        <v>0</v>
      </c>
      <c r="H4372" t="s">
        <v>315</v>
      </c>
      <c r="I4372">
        <v>0</v>
      </c>
      <c r="J4372">
        <v>0</v>
      </c>
      <c r="K4372">
        <v>0</v>
      </c>
      <c r="L4372" t="s">
        <v>240</v>
      </c>
      <c r="M4372" t="s">
        <v>1398</v>
      </c>
      <c r="N4372">
        <v>0</v>
      </c>
      <c r="O4372" t="s">
        <v>1391</v>
      </c>
      <c r="P4372" t="s">
        <v>310</v>
      </c>
      <c r="Q4372" t="s">
        <v>310</v>
      </c>
      <c r="R4372" t="s">
        <v>310</v>
      </c>
      <c r="S4372">
        <v>9</v>
      </c>
      <c r="T4372" t="s">
        <v>310</v>
      </c>
      <c r="U4372">
        <v>9</v>
      </c>
      <c r="V4372">
        <v>9</v>
      </c>
      <c r="W4372">
        <v>0</v>
      </c>
      <c r="X4372">
        <v>0</v>
      </c>
      <c r="Y4372">
        <v>0</v>
      </c>
      <c r="Z4372">
        <v>0</v>
      </c>
      <c r="AA4372">
        <v>9</v>
      </c>
      <c r="AB4372">
        <v>9</v>
      </c>
      <c r="AC4372" t="s">
        <v>310</v>
      </c>
      <c r="AD4372">
        <v>9</v>
      </c>
      <c r="AE4372" t="s">
        <v>1416</v>
      </c>
      <c r="AF4372">
        <v>90000000</v>
      </c>
      <c r="AG4372" t="s">
        <v>310</v>
      </c>
      <c r="AH4372">
        <f>SUM((MID(Dyno_Data[[#This Row],[Team]],4,5))+(Dyno_Data[[#This Row],[Match]]/100))</f>
        <v>2791.77</v>
      </c>
      <c r="AI4372" s="76">
        <f>ROUND(SUM(IF(Dyno_Data[[#This Row],[AcqCenter]]&gt;0,Dyno_Data[[#This Row],[Time]]-SUMIFS(Dyno_Data[Time],Dyno_Data[Team],Dyno_Data[[#This Row],[Team]],Dyno_Data[RecordType],"StartMatch",Dyno_Data[Match],Dyno_Data[[#This Row],[Match]]),0)*86400),0)</f>
        <v>0</v>
      </c>
    </row>
    <row r="4373" spans="1:35" x14ac:dyDescent="0.3">
      <c r="A4373">
        <v>4372</v>
      </c>
      <c r="B4373" t="s">
        <v>1291</v>
      </c>
      <c r="C4373">
        <v>77</v>
      </c>
      <c r="D4373" s="105">
        <v>45374.493990856485</v>
      </c>
      <c r="E4373" t="s">
        <v>312</v>
      </c>
      <c r="F4373" t="s">
        <v>1402</v>
      </c>
      <c r="G4373">
        <v>0</v>
      </c>
      <c r="H4373" t="s">
        <v>315</v>
      </c>
      <c r="I4373">
        <v>0</v>
      </c>
      <c r="J4373">
        <v>0</v>
      </c>
      <c r="K4373">
        <v>0</v>
      </c>
      <c r="L4373" t="s">
        <v>241</v>
      </c>
      <c r="M4373" t="s">
        <v>1398</v>
      </c>
      <c r="N4373">
        <v>0</v>
      </c>
      <c r="O4373" t="s">
        <v>319</v>
      </c>
      <c r="P4373" t="s">
        <v>310</v>
      </c>
      <c r="Q4373" t="s">
        <v>310</v>
      </c>
      <c r="R4373" t="s">
        <v>310</v>
      </c>
      <c r="S4373">
        <v>9</v>
      </c>
      <c r="T4373" t="s">
        <v>310</v>
      </c>
      <c r="U4373">
        <v>9</v>
      </c>
      <c r="V4373">
        <v>9</v>
      </c>
      <c r="W4373">
        <v>0</v>
      </c>
      <c r="X4373">
        <v>0</v>
      </c>
      <c r="Y4373">
        <v>0</v>
      </c>
      <c r="Z4373">
        <v>0</v>
      </c>
      <c r="AA4373">
        <v>9</v>
      </c>
      <c r="AB4373">
        <v>9</v>
      </c>
      <c r="AC4373" t="s">
        <v>310</v>
      </c>
      <c r="AD4373">
        <v>9</v>
      </c>
      <c r="AE4373" t="s">
        <v>1413</v>
      </c>
      <c r="AF4373">
        <v>190000000</v>
      </c>
      <c r="AG4373" t="s">
        <v>310</v>
      </c>
      <c r="AH4373">
        <f>SUM((MID(Dyno_Data[[#This Row],[Team]],4,5))+(Dyno_Data[[#This Row],[Match]]/100))</f>
        <v>1493.77</v>
      </c>
      <c r="AI4373" s="76">
        <f>ROUND(SUM(IF(Dyno_Data[[#This Row],[AcqCenter]]&gt;0,Dyno_Data[[#This Row],[Time]]-SUMIFS(Dyno_Data[Time],Dyno_Data[Team],Dyno_Data[[#This Row],[Team]],Dyno_Data[RecordType],"StartMatch",Dyno_Data[Match],Dyno_Data[[#This Row],[Match]]),0)*86400),0)</f>
        <v>0</v>
      </c>
    </row>
    <row r="4374" spans="1:35" x14ac:dyDescent="0.3">
      <c r="A4374">
        <v>4373</v>
      </c>
      <c r="B4374" t="s">
        <v>368</v>
      </c>
      <c r="C4374">
        <v>77</v>
      </c>
      <c r="D4374" s="105">
        <v>45374.494942395831</v>
      </c>
      <c r="E4374" t="s">
        <v>316</v>
      </c>
      <c r="F4374" t="s">
        <v>317</v>
      </c>
      <c r="G4374">
        <v>0</v>
      </c>
      <c r="H4374" t="s">
        <v>310</v>
      </c>
      <c r="I4374">
        <v>0</v>
      </c>
      <c r="J4374">
        <v>0</v>
      </c>
      <c r="K4374">
        <v>0</v>
      </c>
      <c r="L4374" t="s">
        <v>310</v>
      </c>
      <c r="M4374" t="s">
        <v>310</v>
      </c>
      <c r="N4374">
        <v>0</v>
      </c>
      <c r="O4374" t="s">
        <v>311</v>
      </c>
      <c r="P4374" t="s">
        <v>101</v>
      </c>
      <c r="Q4374" t="s">
        <v>1400</v>
      </c>
      <c r="R4374" t="s">
        <v>1404</v>
      </c>
      <c r="S4374">
        <v>0</v>
      </c>
      <c r="T4374" t="s">
        <v>105</v>
      </c>
      <c r="U4374">
        <v>9</v>
      </c>
      <c r="V4374">
        <v>9</v>
      </c>
      <c r="W4374">
        <v>0</v>
      </c>
      <c r="X4374">
        <v>0</v>
      </c>
      <c r="Y4374">
        <v>31.7338007</v>
      </c>
      <c r="Z4374">
        <v>103.5125709</v>
      </c>
      <c r="AA4374">
        <v>2</v>
      </c>
      <c r="AB4374">
        <v>0</v>
      </c>
      <c r="AC4374" t="s">
        <v>170</v>
      </c>
      <c r="AD4374">
        <v>9</v>
      </c>
      <c r="AE4374" t="s">
        <v>1418</v>
      </c>
      <c r="AF4374">
        <v>20000000</v>
      </c>
      <c r="AG4374" t="s">
        <v>310</v>
      </c>
      <c r="AH4374">
        <f>SUM((MID(Dyno_Data[[#This Row],[Team]],4,5))+(Dyno_Data[[#This Row],[Match]]/100))</f>
        <v>6401.77</v>
      </c>
      <c r="AI4374" s="76">
        <f>ROUND(SUM(IF(Dyno_Data[[#This Row],[AcqCenter]]&gt;0,Dyno_Data[[#This Row],[Time]]-SUMIFS(Dyno_Data[Time],Dyno_Data[Team],Dyno_Data[[#This Row],[Team]],Dyno_Data[RecordType],"StartMatch",Dyno_Data[Match],Dyno_Data[[#This Row],[Match]]),0)*86400),0)</f>
        <v>0</v>
      </c>
    </row>
    <row r="4375" spans="1:35" x14ac:dyDescent="0.3">
      <c r="A4375">
        <v>4374</v>
      </c>
      <c r="B4375" t="s">
        <v>364</v>
      </c>
      <c r="C4375">
        <v>77</v>
      </c>
      <c r="D4375" s="105">
        <v>45374.494942592595</v>
      </c>
      <c r="E4375" t="s">
        <v>316</v>
      </c>
      <c r="F4375" t="s">
        <v>317</v>
      </c>
      <c r="G4375">
        <v>1</v>
      </c>
      <c r="H4375" t="s">
        <v>310</v>
      </c>
      <c r="I4375">
        <v>0</v>
      </c>
      <c r="J4375">
        <v>0</v>
      </c>
      <c r="K4375">
        <v>0</v>
      </c>
      <c r="L4375" t="s">
        <v>310</v>
      </c>
      <c r="M4375" t="s">
        <v>310</v>
      </c>
      <c r="N4375">
        <v>0</v>
      </c>
      <c r="O4375" t="s">
        <v>1391</v>
      </c>
      <c r="P4375" t="s">
        <v>1401</v>
      </c>
      <c r="Q4375" t="s">
        <v>1400</v>
      </c>
      <c r="R4375" t="s">
        <v>321</v>
      </c>
      <c r="S4375">
        <v>0</v>
      </c>
      <c r="T4375" t="s">
        <v>105</v>
      </c>
      <c r="U4375">
        <v>9</v>
      </c>
      <c r="V4375">
        <v>9</v>
      </c>
      <c r="W4375">
        <v>0</v>
      </c>
      <c r="X4375">
        <v>35.992842899999999</v>
      </c>
      <c r="Y4375">
        <v>13.839470299999999</v>
      </c>
      <c r="Z4375">
        <v>86.096126299999995</v>
      </c>
      <c r="AA4375">
        <v>0</v>
      </c>
      <c r="AB4375">
        <v>0</v>
      </c>
      <c r="AC4375" t="s">
        <v>174</v>
      </c>
      <c r="AD4375">
        <v>9</v>
      </c>
      <c r="AE4375" t="s">
        <v>1416</v>
      </c>
      <c r="AF4375">
        <v>90000000</v>
      </c>
      <c r="AG4375" t="s">
        <v>310</v>
      </c>
      <c r="AH4375">
        <f>SUM((MID(Dyno_Data[[#This Row],[Team]],4,5))+(Dyno_Data[[#This Row],[Match]]/100))</f>
        <v>2791.77</v>
      </c>
      <c r="AI4375" s="76">
        <f>ROUND(SUM(IF(Dyno_Data[[#This Row],[AcqCenter]]&gt;0,Dyno_Data[[#This Row],[Time]]-SUMIFS(Dyno_Data[Time],Dyno_Data[Team],Dyno_Data[[#This Row],[Team]],Dyno_Data[RecordType],"StartMatch",Dyno_Data[Match],Dyno_Data[[#This Row],[Match]]),0)*86400),0)</f>
        <v>0</v>
      </c>
    </row>
    <row r="4376" spans="1:35" x14ac:dyDescent="0.3">
      <c r="A4376">
        <v>4375</v>
      </c>
      <c r="B4376" t="s">
        <v>1291</v>
      </c>
      <c r="C4376">
        <v>77</v>
      </c>
      <c r="D4376" s="105">
        <v>45374.494942592595</v>
      </c>
      <c r="E4376" t="s">
        <v>316</v>
      </c>
      <c r="F4376" t="s">
        <v>317</v>
      </c>
      <c r="G4376">
        <v>0</v>
      </c>
      <c r="H4376" t="s">
        <v>310</v>
      </c>
      <c r="I4376">
        <v>0</v>
      </c>
      <c r="J4376">
        <v>0</v>
      </c>
      <c r="K4376">
        <v>0</v>
      </c>
      <c r="L4376" t="s">
        <v>310</v>
      </c>
      <c r="M4376" t="s">
        <v>310</v>
      </c>
      <c r="N4376">
        <v>0</v>
      </c>
      <c r="O4376" t="s">
        <v>319</v>
      </c>
      <c r="P4376" t="s">
        <v>240</v>
      </c>
      <c r="Q4376" t="s">
        <v>1399</v>
      </c>
      <c r="R4376" t="s">
        <v>1404</v>
      </c>
      <c r="S4376">
        <v>0</v>
      </c>
      <c r="T4376" t="s">
        <v>105</v>
      </c>
      <c r="U4376">
        <v>9</v>
      </c>
      <c r="V4376">
        <v>9</v>
      </c>
      <c r="W4376">
        <v>0</v>
      </c>
      <c r="X4376">
        <v>13.3417119</v>
      </c>
      <c r="Y4376">
        <v>88.787590600000001</v>
      </c>
      <c r="Z4376">
        <v>33.303693299999999</v>
      </c>
      <c r="AA4376">
        <v>0</v>
      </c>
      <c r="AB4376">
        <v>0</v>
      </c>
      <c r="AC4376" t="s">
        <v>174</v>
      </c>
      <c r="AD4376">
        <v>0</v>
      </c>
      <c r="AE4376" t="s">
        <v>1413</v>
      </c>
      <c r="AF4376">
        <v>190000000</v>
      </c>
      <c r="AG4376" t="s">
        <v>310</v>
      </c>
      <c r="AH4376">
        <f>SUM((MID(Dyno_Data[[#This Row],[Team]],4,5))+(Dyno_Data[[#This Row],[Match]]/100))</f>
        <v>1493.77</v>
      </c>
      <c r="AI4376" s="76">
        <f>ROUND(SUM(IF(Dyno_Data[[#This Row],[AcqCenter]]&gt;0,Dyno_Data[[#This Row],[Time]]-SUMIFS(Dyno_Data[Time],Dyno_Data[Team],Dyno_Data[[#This Row],[Team]],Dyno_Data[RecordType],"StartMatch",Dyno_Data[Match],Dyno_Data[[#This Row],[Match]]),0)*86400),0)</f>
        <v>0</v>
      </c>
    </row>
    <row r="4377" spans="1:35" x14ac:dyDescent="0.3">
      <c r="A4377">
        <v>4376</v>
      </c>
      <c r="B4377" t="s">
        <v>370</v>
      </c>
      <c r="C4377">
        <v>77</v>
      </c>
      <c r="D4377" s="105">
        <v>45374.494942789352</v>
      </c>
      <c r="E4377" t="s">
        <v>316</v>
      </c>
      <c r="F4377" t="s">
        <v>317</v>
      </c>
      <c r="G4377">
        <v>0</v>
      </c>
      <c r="H4377" t="s">
        <v>310</v>
      </c>
      <c r="I4377">
        <v>0</v>
      </c>
      <c r="J4377">
        <v>0</v>
      </c>
      <c r="K4377">
        <v>0</v>
      </c>
      <c r="L4377" t="s">
        <v>310</v>
      </c>
      <c r="M4377" t="s">
        <v>310</v>
      </c>
      <c r="N4377">
        <v>0</v>
      </c>
      <c r="O4377" t="s">
        <v>1393</v>
      </c>
      <c r="P4377" t="s">
        <v>1401</v>
      </c>
      <c r="Q4377" t="s">
        <v>1400</v>
      </c>
      <c r="R4377" t="s">
        <v>1405</v>
      </c>
      <c r="S4377">
        <v>1</v>
      </c>
      <c r="T4377" t="s">
        <v>1409</v>
      </c>
      <c r="U4377">
        <v>0</v>
      </c>
      <c r="V4377">
        <v>0</v>
      </c>
      <c r="W4377">
        <v>4.9782241999999997</v>
      </c>
      <c r="X4377">
        <v>43.705191200000002</v>
      </c>
      <c r="Y4377">
        <v>21.7362529</v>
      </c>
      <c r="Z4377">
        <v>62.878799600000001</v>
      </c>
      <c r="AA4377">
        <v>0</v>
      </c>
      <c r="AB4377">
        <v>0</v>
      </c>
      <c r="AC4377" t="s">
        <v>174</v>
      </c>
      <c r="AD4377">
        <v>9</v>
      </c>
      <c r="AE4377" t="s">
        <v>1417</v>
      </c>
      <c r="AF4377">
        <v>40000000</v>
      </c>
      <c r="AG4377" t="s">
        <v>310</v>
      </c>
      <c r="AH4377">
        <f>SUM((MID(Dyno_Data[[#This Row],[Team]],4,5))+(Dyno_Data[[#This Row],[Match]]/100))</f>
        <v>6911.77</v>
      </c>
      <c r="AI4377" s="76">
        <f>ROUND(SUM(IF(Dyno_Data[[#This Row],[AcqCenter]]&gt;0,Dyno_Data[[#This Row],[Time]]-SUMIFS(Dyno_Data[Time],Dyno_Data[Team],Dyno_Data[[#This Row],[Team]],Dyno_Data[RecordType],"StartMatch",Dyno_Data[Match],Dyno_Data[[#This Row],[Match]]),0)*86400),0)</f>
        <v>0</v>
      </c>
    </row>
    <row r="4378" spans="1:35" x14ac:dyDescent="0.3">
      <c r="A4378">
        <v>4377</v>
      </c>
      <c r="B4378" t="s">
        <v>365</v>
      </c>
      <c r="C4378">
        <v>77</v>
      </c>
      <c r="D4378" s="105">
        <v>45374.494942939818</v>
      </c>
      <c r="E4378" t="s">
        <v>316</v>
      </c>
      <c r="F4378" t="s">
        <v>317</v>
      </c>
      <c r="G4378">
        <v>1</v>
      </c>
      <c r="H4378" t="s">
        <v>310</v>
      </c>
      <c r="I4378">
        <v>0</v>
      </c>
      <c r="J4378">
        <v>0</v>
      </c>
      <c r="K4378">
        <v>0</v>
      </c>
      <c r="L4378" t="s">
        <v>310</v>
      </c>
      <c r="M4378" t="s">
        <v>310</v>
      </c>
      <c r="N4378">
        <v>0</v>
      </c>
      <c r="O4378" t="s">
        <v>1389</v>
      </c>
      <c r="P4378" t="s">
        <v>1401</v>
      </c>
      <c r="Q4378" t="s">
        <v>1399</v>
      </c>
      <c r="R4378" t="s">
        <v>1405</v>
      </c>
      <c r="S4378">
        <v>1</v>
      </c>
      <c r="T4378" t="s">
        <v>1407</v>
      </c>
      <c r="U4378">
        <v>0</v>
      </c>
      <c r="V4378">
        <v>0</v>
      </c>
      <c r="W4378">
        <v>4.1746401999999998</v>
      </c>
      <c r="X4378">
        <v>25.300206299999999</v>
      </c>
      <c r="Y4378">
        <v>9.0440977999999994</v>
      </c>
      <c r="Z4378">
        <v>92.277438199999992</v>
      </c>
      <c r="AA4378">
        <v>0</v>
      </c>
      <c r="AB4378">
        <v>1</v>
      </c>
      <c r="AC4378" t="s">
        <v>174</v>
      </c>
      <c r="AD4378">
        <v>0</v>
      </c>
      <c r="AE4378" t="s">
        <v>1414</v>
      </c>
      <c r="AF4378">
        <v>90200000</v>
      </c>
      <c r="AG4378" t="s">
        <v>310</v>
      </c>
      <c r="AH4378">
        <f>SUM((MID(Dyno_Data[[#This Row],[Team]],4,5))+(Dyno_Data[[#This Row],[Match]]/100))</f>
        <v>3171.77</v>
      </c>
      <c r="AI4378" s="76">
        <f>ROUND(SUM(IF(Dyno_Data[[#This Row],[AcqCenter]]&gt;0,Dyno_Data[[#This Row],[Time]]-SUMIFS(Dyno_Data[Time],Dyno_Data[Team],Dyno_Data[[#This Row],[Team]],Dyno_Data[RecordType],"StartMatch",Dyno_Data[Match],Dyno_Data[[#This Row],[Match]]),0)*86400),0)</f>
        <v>0</v>
      </c>
    </row>
    <row r="4379" spans="1:35" x14ac:dyDescent="0.3">
      <c r="A4379">
        <v>4378</v>
      </c>
      <c r="B4379" t="s">
        <v>1278</v>
      </c>
      <c r="C4379">
        <v>77</v>
      </c>
      <c r="D4379" s="105">
        <v>45374.494942939818</v>
      </c>
      <c r="E4379" t="s">
        <v>316</v>
      </c>
      <c r="F4379" t="s">
        <v>317</v>
      </c>
      <c r="G4379">
        <v>1</v>
      </c>
      <c r="H4379" t="s">
        <v>310</v>
      </c>
      <c r="I4379">
        <v>0</v>
      </c>
      <c r="J4379">
        <v>0</v>
      </c>
      <c r="K4379">
        <v>0</v>
      </c>
      <c r="L4379" t="s">
        <v>310</v>
      </c>
      <c r="M4379" t="s">
        <v>310</v>
      </c>
      <c r="N4379">
        <v>0</v>
      </c>
      <c r="O4379" t="s">
        <v>1395</v>
      </c>
      <c r="P4379" t="s">
        <v>320</v>
      </c>
      <c r="Q4379" t="s">
        <v>1400</v>
      </c>
      <c r="R4379" t="s">
        <v>1405</v>
      </c>
      <c r="S4379">
        <v>1</v>
      </c>
      <c r="T4379" t="s">
        <v>1406</v>
      </c>
      <c r="U4379">
        <v>0</v>
      </c>
      <c r="V4379">
        <v>0</v>
      </c>
      <c r="W4379">
        <v>13.3394453</v>
      </c>
      <c r="X4379">
        <v>23.254210199999999</v>
      </c>
      <c r="Y4379">
        <v>18.256098599999998</v>
      </c>
      <c r="Z4379">
        <v>58.889571099999998</v>
      </c>
      <c r="AA4379">
        <v>0</v>
      </c>
      <c r="AB4379">
        <v>0</v>
      </c>
      <c r="AC4379" t="s">
        <v>174</v>
      </c>
      <c r="AD4379">
        <v>9</v>
      </c>
      <c r="AE4379" t="s">
        <v>1412</v>
      </c>
      <c r="AF4379">
        <v>30000000</v>
      </c>
      <c r="AG4379" t="s">
        <v>310</v>
      </c>
      <c r="AH4379">
        <f>SUM((MID(Dyno_Data[[#This Row],[Team]],4,5))+(Dyno_Data[[#This Row],[Match]]/100))</f>
        <v>3951.77</v>
      </c>
      <c r="AI4379" s="76">
        <f>ROUND(SUM(IF(Dyno_Data[[#This Row],[AcqCenter]]&gt;0,Dyno_Data[[#This Row],[Time]]-SUMIFS(Dyno_Data[Time],Dyno_Data[Team],Dyno_Data[[#This Row],[Team]],Dyno_Data[RecordType],"StartMatch",Dyno_Data[Match],Dyno_Data[[#This Row],[Match]]),0)*86400),0)</f>
        <v>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D40C5-2FCF-4166-80D0-22238D55AEB9}">
  <sheetPr codeName="Sheet11">
    <tabColor rgb="FF00B0F0"/>
  </sheetPr>
  <dimension ref="A1:AI422"/>
  <sheetViews>
    <sheetView workbookViewId="0">
      <selection activeCell="O52" sqref="O52"/>
    </sheetView>
  </sheetViews>
  <sheetFormatPr defaultRowHeight="14.4" x14ac:dyDescent="0.3"/>
  <cols>
    <col min="1" max="1" width="5" bestFit="1" customWidth="1"/>
    <col min="2" max="2" width="7.88671875" bestFit="1" customWidth="1"/>
    <col min="3" max="3" width="8.6640625" bestFit="1" customWidth="1"/>
    <col min="4" max="4" width="14.6640625" bestFit="1" customWidth="1"/>
    <col min="5" max="5" width="13.21875" bestFit="1" customWidth="1"/>
    <col min="6" max="6" width="9.109375" bestFit="1" customWidth="1"/>
    <col min="7" max="7" width="8.109375" bestFit="1" customWidth="1"/>
    <col min="8" max="8" width="9.33203125" bestFit="1" customWidth="1"/>
    <col min="9" max="9" width="12" bestFit="1" customWidth="1"/>
    <col min="11" max="11" width="9.44140625" bestFit="1" customWidth="1"/>
    <col min="12" max="12" width="9.33203125" bestFit="1" customWidth="1"/>
    <col min="13" max="13" width="9.5546875" bestFit="1" customWidth="1"/>
    <col min="14" max="14" width="9.6640625" bestFit="1" customWidth="1"/>
    <col min="15" max="15" width="10.21875" bestFit="1" customWidth="1"/>
    <col min="16" max="16" width="11" bestFit="1" customWidth="1"/>
    <col min="17" max="17" width="9.5546875" bestFit="1" customWidth="1"/>
    <col min="18" max="18" width="11.21875" bestFit="1" customWidth="1"/>
    <col min="19" max="19" width="10.44140625" bestFit="1" customWidth="1"/>
    <col min="20" max="20" width="10.77734375" bestFit="1" customWidth="1"/>
    <col min="21" max="21" width="11" bestFit="1" customWidth="1"/>
    <col min="22" max="22" width="8.6640625" bestFit="1" customWidth="1"/>
    <col min="23" max="23" width="11" bestFit="1" customWidth="1"/>
    <col min="24" max="26" width="12" bestFit="1" customWidth="1"/>
    <col min="27" max="27" width="10" bestFit="1" customWidth="1"/>
    <col min="28" max="28" width="12.109375" bestFit="1" customWidth="1"/>
    <col min="29" max="29" width="10.21875" bestFit="1" customWidth="1"/>
    <col min="30" max="30" width="7.109375" bestFit="1" customWidth="1"/>
    <col min="31" max="31" width="14.6640625" bestFit="1" customWidth="1"/>
    <col min="32" max="32" width="13.77734375" bestFit="1" customWidth="1"/>
    <col min="33" max="33" width="14.33203125" bestFit="1" customWidth="1"/>
    <col min="34" max="34" width="10.88671875" bestFit="1" customWidth="1"/>
    <col min="35" max="35" width="12.88671875" bestFit="1" customWidth="1"/>
    <col min="36" max="37" width="10.88671875" bestFit="1" customWidth="1"/>
  </cols>
  <sheetData>
    <row r="1" spans="1:35" x14ac:dyDescent="0.3">
      <c r="A1" t="s">
        <v>280</v>
      </c>
      <c r="B1" t="s">
        <v>141</v>
      </c>
      <c r="C1" t="s">
        <v>156</v>
      </c>
      <c r="D1" t="s">
        <v>281</v>
      </c>
      <c r="E1" t="s">
        <v>282</v>
      </c>
      <c r="F1" t="s">
        <v>283</v>
      </c>
      <c r="G1" t="s">
        <v>284</v>
      </c>
      <c r="H1" t="s">
        <v>285</v>
      </c>
      <c r="I1" t="s">
        <v>286</v>
      </c>
      <c r="J1" t="s">
        <v>287</v>
      </c>
      <c r="K1" t="s">
        <v>288</v>
      </c>
      <c r="L1" t="s">
        <v>289</v>
      </c>
      <c r="M1" t="s">
        <v>290</v>
      </c>
      <c r="N1" t="s">
        <v>291</v>
      </c>
      <c r="O1" t="s">
        <v>292</v>
      </c>
      <c r="P1" t="s">
        <v>293</v>
      </c>
      <c r="Q1" t="s">
        <v>149</v>
      </c>
      <c r="R1" t="s">
        <v>294</v>
      </c>
      <c r="S1" t="s">
        <v>295</v>
      </c>
      <c r="T1" t="s">
        <v>296</v>
      </c>
      <c r="U1" t="s">
        <v>259</v>
      </c>
      <c r="V1" t="s">
        <v>260</v>
      </c>
      <c r="W1" t="s">
        <v>297</v>
      </c>
      <c r="X1" t="s">
        <v>298</v>
      </c>
      <c r="Y1" t="s">
        <v>299</v>
      </c>
      <c r="Z1" t="s">
        <v>300</v>
      </c>
      <c r="AA1" t="s">
        <v>170</v>
      </c>
      <c r="AB1" t="s">
        <v>301</v>
      </c>
      <c r="AC1" t="s">
        <v>302</v>
      </c>
      <c r="AD1" t="s">
        <v>150</v>
      </c>
      <c r="AE1" t="s">
        <v>303</v>
      </c>
      <c r="AF1" t="s">
        <v>304</v>
      </c>
      <c r="AG1" t="s">
        <v>305</v>
      </c>
      <c r="AH1" t="s">
        <v>306</v>
      </c>
      <c r="AI1" t="s">
        <v>307</v>
      </c>
    </row>
    <row r="2" spans="1:35" x14ac:dyDescent="0.3">
      <c r="A2">
        <v>45</v>
      </c>
      <c r="B2" t="s">
        <v>1278</v>
      </c>
      <c r="C2">
        <v>1</v>
      </c>
      <c r="D2" s="3">
        <v>45373.380978240741</v>
      </c>
      <c r="E2" t="s">
        <v>316</v>
      </c>
      <c r="F2" t="s">
        <v>317</v>
      </c>
      <c r="G2">
        <v>1</v>
      </c>
      <c r="H2" t="s">
        <v>310</v>
      </c>
      <c r="I2">
        <v>0</v>
      </c>
      <c r="J2">
        <v>0</v>
      </c>
      <c r="K2">
        <v>0</v>
      </c>
      <c r="L2" t="s">
        <v>310</v>
      </c>
      <c r="M2" t="s">
        <v>310</v>
      </c>
      <c r="N2">
        <v>0</v>
      </c>
      <c r="O2" t="s">
        <v>311</v>
      </c>
      <c r="P2" t="s">
        <v>240</v>
      </c>
      <c r="Q2" t="s">
        <v>1400</v>
      </c>
      <c r="R2" t="s">
        <v>1404</v>
      </c>
      <c r="S2" t="s">
        <v>322</v>
      </c>
      <c r="T2" t="s">
        <v>105</v>
      </c>
      <c r="U2">
        <v>9</v>
      </c>
      <c r="V2">
        <v>9</v>
      </c>
      <c r="W2">
        <v>18.307869799999999</v>
      </c>
      <c r="X2">
        <v>0.49857969999999996</v>
      </c>
      <c r="Y2">
        <v>36.336576199999996</v>
      </c>
      <c r="Z2">
        <v>80.4045962</v>
      </c>
      <c r="AA2">
        <v>0</v>
      </c>
      <c r="AB2">
        <v>0</v>
      </c>
      <c r="AC2" t="s">
        <v>173</v>
      </c>
      <c r="AD2">
        <v>9</v>
      </c>
      <c r="AE2" t="s">
        <v>1388</v>
      </c>
      <c r="AF2">
        <v>70000000</v>
      </c>
      <c r="AG2" t="s">
        <v>310</v>
      </c>
      <c r="AH2">
        <v>3951.01</v>
      </c>
      <c r="AI2">
        <v>0</v>
      </c>
    </row>
    <row r="3" spans="1:35" x14ac:dyDescent="0.3">
      <c r="A3">
        <v>46</v>
      </c>
      <c r="B3" t="s">
        <v>1279</v>
      </c>
      <c r="C3">
        <v>1</v>
      </c>
      <c r="D3" s="3">
        <v>45373.380978356479</v>
      </c>
      <c r="E3" t="s">
        <v>316</v>
      </c>
      <c r="F3" t="s">
        <v>317</v>
      </c>
      <c r="G3">
        <v>1</v>
      </c>
      <c r="H3" t="s">
        <v>310</v>
      </c>
      <c r="I3">
        <v>0</v>
      </c>
      <c r="J3">
        <v>0</v>
      </c>
      <c r="K3">
        <v>0</v>
      </c>
      <c r="L3" t="s">
        <v>310</v>
      </c>
      <c r="M3" t="s">
        <v>310</v>
      </c>
      <c r="N3">
        <v>0</v>
      </c>
      <c r="O3" t="s">
        <v>1391</v>
      </c>
      <c r="P3" t="s">
        <v>320</v>
      </c>
      <c r="Q3" t="s">
        <v>1400</v>
      </c>
      <c r="R3" t="s">
        <v>321</v>
      </c>
      <c r="S3" t="s">
        <v>1411</v>
      </c>
      <c r="T3" t="s">
        <v>105</v>
      </c>
      <c r="U3">
        <v>9</v>
      </c>
      <c r="V3">
        <v>9</v>
      </c>
      <c r="W3">
        <v>0</v>
      </c>
      <c r="X3">
        <v>0</v>
      </c>
      <c r="Y3">
        <v>43.168610799999996</v>
      </c>
      <c r="Z3">
        <v>92.502711300000001</v>
      </c>
      <c r="AA3">
        <v>3</v>
      </c>
      <c r="AB3">
        <v>0</v>
      </c>
      <c r="AC3" t="s">
        <v>170</v>
      </c>
      <c r="AD3">
        <v>9</v>
      </c>
      <c r="AE3" t="s">
        <v>1392</v>
      </c>
      <c r="AF3">
        <v>0</v>
      </c>
      <c r="AG3" t="s">
        <v>310</v>
      </c>
      <c r="AH3">
        <v>5149.01</v>
      </c>
      <c r="AI3">
        <v>0</v>
      </c>
    </row>
    <row r="4" spans="1:35" x14ac:dyDescent="0.3">
      <c r="A4">
        <v>47</v>
      </c>
      <c r="B4" t="s">
        <v>1280</v>
      </c>
      <c r="C4">
        <v>1</v>
      </c>
      <c r="D4" s="3">
        <v>45373.380978472225</v>
      </c>
      <c r="E4" t="s">
        <v>316</v>
      </c>
      <c r="F4" t="s">
        <v>317</v>
      </c>
      <c r="G4">
        <v>1</v>
      </c>
      <c r="H4" t="s">
        <v>310</v>
      </c>
      <c r="I4">
        <v>0</v>
      </c>
      <c r="J4">
        <v>0</v>
      </c>
      <c r="K4">
        <v>0</v>
      </c>
      <c r="L4" t="s">
        <v>310</v>
      </c>
      <c r="M4" t="s">
        <v>310</v>
      </c>
      <c r="N4">
        <v>0</v>
      </c>
      <c r="O4" t="s">
        <v>319</v>
      </c>
      <c r="P4" t="s">
        <v>101</v>
      </c>
      <c r="Q4" t="s">
        <v>1399</v>
      </c>
      <c r="R4" t="s">
        <v>1405</v>
      </c>
      <c r="S4" t="s">
        <v>202</v>
      </c>
      <c r="T4" t="s">
        <v>1406</v>
      </c>
      <c r="U4">
        <v>0</v>
      </c>
      <c r="V4">
        <v>0</v>
      </c>
      <c r="W4">
        <v>6.5699774999999994</v>
      </c>
      <c r="X4">
        <v>20.387862200000001</v>
      </c>
      <c r="Y4">
        <v>27.5385873</v>
      </c>
      <c r="Z4">
        <v>71.426788299999998</v>
      </c>
      <c r="AA4">
        <v>1</v>
      </c>
      <c r="AB4">
        <v>0</v>
      </c>
      <c r="AC4" t="s">
        <v>173</v>
      </c>
      <c r="AD4">
        <v>0</v>
      </c>
      <c r="AE4" t="s">
        <v>1387</v>
      </c>
      <c r="AF4">
        <v>40001000</v>
      </c>
      <c r="AG4" t="s">
        <v>310</v>
      </c>
      <c r="AH4">
        <v>1559.01</v>
      </c>
      <c r="AI4">
        <v>0</v>
      </c>
    </row>
    <row r="5" spans="1:35" x14ac:dyDescent="0.3">
      <c r="A5">
        <v>48</v>
      </c>
      <c r="B5" t="s">
        <v>1275</v>
      </c>
      <c r="C5">
        <v>1</v>
      </c>
      <c r="D5" s="3">
        <v>45373.380979050926</v>
      </c>
      <c r="E5" t="s">
        <v>316</v>
      </c>
      <c r="F5" t="s">
        <v>317</v>
      </c>
      <c r="G5">
        <v>0</v>
      </c>
      <c r="H5" t="s">
        <v>310</v>
      </c>
      <c r="I5">
        <v>0</v>
      </c>
      <c r="J5">
        <v>0</v>
      </c>
      <c r="K5">
        <v>0</v>
      </c>
      <c r="L5" t="s">
        <v>310</v>
      </c>
      <c r="M5" t="s">
        <v>310</v>
      </c>
      <c r="N5">
        <v>0</v>
      </c>
      <c r="O5" t="s">
        <v>1393</v>
      </c>
      <c r="P5" t="s">
        <v>1401</v>
      </c>
      <c r="Q5" t="s">
        <v>1400</v>
      </c>
      <c r="R5" t="s">
        <v>1404</v>
      </c>
      <c r="S5" t="s">
        <v>1411</v>
      </c>
      <c r="T5" t="s">
        <v>105</v>
      </c>
      <c r="U5">
        <v>9</v>
      </c>
      <c r="V5">
        <v>9</v>
      </c>
      <c r="W5">
        <v>0</v>
      </c>
      <c r="X5">
        <v>52.859586</v>
      </c>
      <c r="Y5">
        <v>34.683600399999996</v>
      </c>
      <c r="Z5">
        <v>48.523251500000001</v>
      </c>
      <c r="AA5">
        <v>0</v>
      </c>
      <c r="AB5">
        <v>2</v>
      </c>
      <c r="AC5" t="s">
        <v>174</v>
      </c>
      <c r="AD5">
        <v>9</v>
      </c>
      <c r="AE5" t="s">
        <v>1394</v>
      </c>
      <c r="AF5">
        <v>40000000</v>
      </c>
      <c r="AG5" t="s">
        <v>310</v>
      </c>
      <c r="AH5">
        <v>1880.01</v>
      </c>
      <c r="AI5">
        <v>0</v>
      </c>
    </row>
    <row r="6" spans="1:35" x14ac:dyDescent="0.3">
      <c r="A6">
        <v>49</v>
      </c>
      <c r="B6" t="s">
        <v>1276</v>
      </c>
      <c r="C6">
        <v>1</v>
      </c>
      <c r="D6" s="3">
        <v>45373.380979131944</v>
      </c>
      <c r="E6" t="s">
        <v>316</v>
      </c>
      <c r="F6" t="s">
        <v>317</v>
      </c>
      <c r="G6">
        <v>0</v>
      </c>
      <c r="H6" t="s">
        <v>310</v>
      </c>
      <c r="I6">
        <v>0</v>
      </c>
      <c r="J6">
        <v>0</v>
      </c>
      <c r="K6">
        <v>0</v>
      </c>
      <c r="L6" t="s">
        <v>310</v>
      </c>
      <c r="M6" t="s">
        <v>310</v>
      </c>
      <c r="N6">
        <v>0</v>
      </c>
      <c r="O6" t="s">
        <v>1389</v>
      </c>
      <c r="P6" t="s">
        <v>320</v>
      </c>
      <c r="Q6" t="s">
        <v>1400</v>
      </c>
      <c r="R6" t="s">
        <v>321</v>
      </c>
      <c r="S6" t="s">
        <v>1411</v>
      </c>
      <c r="T6" t="s">
        <v>105</v>
      </c>
      <c r="U6">
        <v>9</v>
      </c>
      <c r="V6">
        <v>9</v>
      </c>
      <c r="W6">
        <v>0</v>
      </c>
      <c r="X6">
        <v>0</v>
      </c>
      <c r="Y6">
        <v>0</v>
      </c>
      <c r="Z6">
        <v>140.87144480000001</v>
      </c>
      <c r="AA6">
        <v>0</v>
      </c>
      <c r="AB6">
        <v>0</v>
      </c>
      <c r="AC6" t="s">
        <v>167</v>
      </c>
      <c r="AD6">
        <v>9</v>
      </c>
      <c r="AE6" t="s">
        <v>1390</v>
      </c>
      <c r="AF6">
        <v>0</v>
      </c>
      <c r="AG6" t="s">
        <v>310</v>
      </c>
      <c r="AH6">
        <v>229.01</v>
      </c>
      <c r="AI6">
        <v>0</v>
      </c>
    </row>
    <row r="7" spans="1:35" x14ac:dyDescent="0.3">
      <c r="A7">
        <v>50</v>
      </c>
      <c r="B7" t="s">
        <v>1277</v>
      </c>
      <c r="C7">
        <v>1</v>
      </c>
      <c r="D7" s="3">
        <v>45373.380979247682</v>
      </c>
      <c r="E7" t="s">
        <v>316</v>
      </c>
      <c r="F7" t="s">
        <v>317</v>
      </c>
      <c r="G7">
        <v>1</v>
      </c>
      <c r="H7" t="s">
        <v>310</v>
      </c>
      <c r="I7">
        <v>0</v>
      </c>
      <c r="J7">
        <v>0</v>
      </c>
      <c r="K7">
        <v>0</v>
      </c>
      <c r="L7" t="s">
        <v>310</v>
      </c>
      <c r="M7" t="s">
        <v>310</v>
      </c>
      <c r="N7">
        <v>0</v>
      </c>
      <c r="O7" t="s">
        <v>1395</v>
      </c>
      <c r="P7" t="s">
        <v>240</v>
      </c>
      <c r="Q7" t="s">
        <v>1399</v>
      </c>
      <c r="R7" t="s">
        <v>1404</v>
      </c>
      <c r="S7" t="s">
        <v>322</v>
      </c>
      <c r="T7" t="s">
        <v>105</v>
      </c>
      <c r="U7">
        <v>9</v>
      </c>
      <c r="V7">
        <v>9</v>
      </c>
      <c r="W7">
        <v>4.0140547</v>
      </c>
      <c r="X7">
        <v>29.347347199999998</v>
      </c>
      <c r="Y7">
        <v>24.940870499999999</v>
      </c>
      <c r="Z7">
        <v>72.106753099999992</v>
      </c>
      <c r="AA7">
        <v>0</v>
      </c>
      <c r="AB7">
        <v>0</v>
      </c>
      <c r="AC7" t="s">
        <v>174</v>
      </c>
      <c r="AD7">
        <v>0</v>
      </c>
      <c r="AE7" t="s">
        <v>1396</v>
      </c>
      <c r="AF7">
        <v>90000000</v>
      </c>
      <c r="AG7" t="s">
        <v>310</v>
      </c>
      <c r="AH7">
        <v>3360.01</v>
      </c>
      <c r="AI7">
        <v>0</v>
      </c>
    </row>
    <row r="8" spans="1:35" x14ac:dyDescent="0.3">
      <c r="A8">
        <v>104</v>
      </c>
      <c r="B8" t="s">
        <v>1284</v>
      </c>
      <c r="C8">
        <v>2</v>
      </c>
      <c r="D8" s="3">
        <v>45373.387731400464</v>
      </c>
      <c r="E8" t="s">
        <v>316</v>
      </c>
      <c r="F8" t="s">
        <v>317</v>
      </c>
      <c r="G8">
        <v>1</v>
      </c>
      <c r="H8" t="s">
        <v>310</v>
      </c>
      <c r="I8">
        <v>0</v>
      </c>
      <c r="J8">
        <v>0</v>
      </c>
      <c r="K8">
        <v>0</v>
      </c>
      <c r="L8" t="s">
        <v>310</v>
      </c>
      <c r="M8" t="s">
        <v>310</v>
      </c>
      <c r="N8">
        <v>0</v>
      </c>
      <c r="O8" t="s">
        <v>311</v>
      </c>
      <c r="P8" t="s">
        <v>320</v>
      </c>
      <c r="Q8" t="s">
        <v>1399</v>
      </c>
      <c r="R8" t="s">
        <v>1404</v>
      </c>
      <c r="S8" t="s">
        <v>322</v>
      </c>
      <c r="T8" t="s">
        <v>105</v>
      </c>
      <c r="U8">
        <v>9</v>
      </c>
      <c r="V8">
        <v>9</v>
      </c>
      <c r="W8">
        <v>21.019356999999999</v>
      </c>
      <c r="X8">
        <v>22.375529199999999</v>
      </c>
      <c r="Y8">
        <v>20.453565699999999</v>
      </c>
      <c r="Z8">
        <v>70.90055199999999</v>
      </c>
      <c r="AA8">
        <v>0</v>
      </c>
      <c r="AB8">
        <v>1</v>
      </c>
      <c r="AC8" t="s">
        <v>174</v>
      </c>
      <c r="AD8">
        <v>0</v>
      </c>
      <c r="AE8" t="s">
        <v>1387</v>
      </c>
      <c r="AF8">
        <v>30000000</v>
      </c>
      <c r="AG8" t="s">
        <v>310</v>
      </c>
      <c r="AH8">
        <v>5590.02</v>
      </c>
      <c r="AI8">
        <v>0</v>
      </c>
    </row>
    <row r="9" spans="1:35" x14ac:dyDescent="0.3">
      <c r="A9">
        <v>105</v>
      </c>
      <c r="B9" t="s">
        <v>1285</v>
      </c>
      <c r="C9">
        <v>2</v>
      </c>
      <c r="D9" s="3">
        <v>45373.387731516203</v>
      </c>
      <c r="E9" t="s">
        <v>316</v>
      </c>
      <c r="F9" t="s">
        <v>317</v>
      </c>
      <c r="G9">
        <v>0</v>
      </c>
      <c r="H9" t="s">
        <v>310</v>
      </c>
      <c r="I9">
        <v>0</v>
      </c>
      <c r="J9">
        <v>0</v>
      </c>
      <c r="K9">
        <v>0</v>
      </c>
      <c r="L9" t="s">
        <v>310</v>
      </c>
      <c r="M9" t="s">
        <v>310</v>
      </c>
      <c r="N9">
        <v>0</v>
      </c>
      <c r="O9" t="s">
        <v>1391</v>
      </c>
      <c r="P9" t="s">
        <v>101</v>
      </c>
      <c r="Q9" t="s">
        <v>1400</v>
      </c>
      <c r="R9" t="s">
        <v>1404</v>
      </c>
      <c r="S9" t="s">
        <v>1411</v>
      </c>
      <c r="T9" t="s">
        <v>105</v>
      </c>
      <c r="U9">
        <v>9</v>
      </c>
      <c r="V9">
        <v>9</v>
      </c>
      <c r="W9">
        <v>0</v>
      </c>
      <c r="X9">
        <v>20.613431299999998</v>
      </c>
      <c r="Y9">
        <v>28.055058899999999</v>
      </c>
      <c r="Z9">
        <v>69.830497699999995</v>
      </c>
      <c r="AA9">
        <v>2</v>
      </c>
      <c r="AB9">
        <v>0</v>
      </c>
      <c r="AC9" t="s">
        <v>174</v>
      </c>
      <c r="AD9">
        <v>9</v>
      </c>
      <c r="AE9" t="s">
        <v>1392</v>
      </c>
      <c r="AF9">
        <v>10000000</v>
      </c>
      <c r="AG9" t="s">
        <v>310</v>
      </c>
      <c r="AH9">
        <v>5993.02</v>
      </c>
      <c r="AI9">
        <v>0</v>
      </c>
    </row>
    <row r="10" spans="1:35" x14ac:dyDescent="0.3">
      <c r="A10">
        <v>106</v>
      </c>
      <c r="B10" t="s">
        <v>1286</v>
      </c>
      <c r="C10">
        <v>2</v>
      </c>
      <c r="D10" s="3">
        <v>45373.387731631941</v>
      </c>
      <c r="E10" t="s">
        <v>316</v>
      </c>
      <c r="F10" t="s">
        <v>317</v>
      </c>
      <c r="G10">
        <v>0</v>
      </c>
      <c r="H10" t="s">
        <v>310</v>
      </c>
      <c r="I10">
        <v>0</v>
      </c>
      <c r="J10">
        <v>0</v>
      </c>
      <c r="K10">
        <v>0</v>
      </c>
      <c r="L10" t="s">
        <v>310</v>
      </c>
      <c r="M10" t="s">
        <v>310</v>
      </c>
      <c r="N10">
        <v>0</v>
      </c>
      <c r="O10" t="s">
        <v>319</v>
      </c>
      <c r="P10" t="s">
        <v>240</v>
      </c>
      <c r="Q10" t="s">
        <v>1400</v>
      </c>
      <c r="R10" t="s">
        <v>1405</v>
      </c>
      <c r="S10" t="s">
        <v>202</v>
      </c>
      <c r="T10" t="s">
        <v>1407</v>
      </c>
      <c r="U10">
        <v>0</v>
      </c>
      <c r="V10">
        <v>0</v>
      </c>
      <c r="W10">
        <v>5.6873421999999998</v>
      </c>
      <c r="X10">
        <v>53.702413199999995</v>
      </c>
      <c r="Y10">
        <v>25.271260999999999</v>
      </c>
      <c r="Z10">
        <v>43.282450900000001</v>
      </c>
      <c r="AA10">
        <v>0</v>
      </c>
      <c r="AB10">
        <v>1</v>
      </c>
      <c r="AC10" t="s">
        <v>174</v>
      </c>
      <c r="AD10">
        <v>9</v>
      </c>
      <c r="AE10" t="s">
        <v>1388</v>
      </c>
      <c r="AF10">
        <v>140002000</v>
      </c>
      <c r="AG10" t="s">
        <v>310</v>
      </c>
      <c r="AH10">
        <v>1591.02</v>
      </c>
      <c r="AI10">
        <v>0</v>
      </c>
    </row>
    <row r="11" spans="1:35" x14ac:dyDescent="0.3">
      <c r="A11">
        <v>107</v>
      </c>
      <c r="B11" t="s">
        <v>370</v>
      </c>
      <c r="C11">
        <v>2</v>
      </c>
      <c r="D11" s="3">
        <v>45373.387731712966</v>
      </c>
      <c r="E11" t="s">
        <v>316</v>
      </c>
      <c r="F11" t="s">
        <v>317</v>
      </c>
      <c r="G11">
        <v>1</v>
      </c>
      <c r="H11" t="s">
        <v>310</v>
      </c>
      <c r="I11">
        <v>0</v>
      </c>
      <c r="J11">
        <v>0</v>
      </c>
      <c r="K11">
        <v>0</v>
      </c>
      <c r="L11" t="s">
        <v>310</v>
      </c>
      <c r="M11" t="s">
        <v>310</v>
      </c>
      <c r="N11">
        <v>0</v>
      </c>
      <c r="O11" t="s">
        <v>1393</v>
      </c>
      <c r="P11" t="s">
        <v>101</v>
      </c>
      <c r="Q11" t="s">
        <v>1399</v>
      </c>
      <c r="R11" t="s">
        <v>1405</v>
      </c>
      <c r="S11" t="s">
        <v>202</v>
      </c>
      <c r="T11" t="s">
        <v>1407</v>
      </c>
      <c r="U11">
        <v>0</v>
      </c>
      <c r="V11">
        <v>0</v>
      </c>
      <c r="W11">
        <v>25.557519199999998</v>
      </c>
      <c r="X11">
        <v>28.176390899999998</v>
      </c>
      <c r="Y11">
        <v>11.8496066</v>
      </c>
      <c r="Z11">
        <v>65.619132100000002</v>
      </c>
      <c r="AA11">
        <v>0</v>
      </c>
      <c r="AB11">
        <v>0</v>
      </c>
      <c r="AC11" t="s">
        <v>174</v>
      </c>
      <c r="AD11">
        <v>0</v>
      </c>
      <c r="AE11" t="s">
        <v>1394</v>
      </c>
      <c r="AF11">
        <v>60000000</v>
      </c>
      <c r="AG11" t="s">
        <v>310</v>
      </c>
      <c r="AH11">
        <v>6911.02</v>
      </c>
      <c r="AI11">
        <v>0</v>
      </c>
    </row>
    <row r="12" spans="1:35" x14ac:dyDescent="0.3">
      <c r="A12">
        <v>108</v>
      </c>
      <c r="B12" t="s">
        <v>1282</v>
      </c>
      <c r="C12">
        <v>2</v>
      </c>
      <c r="D12" s="3">
        <v>45373.387731828705</v>
      </c>
      <c r="E12" t="s">
        <v>316</v>
      </c>
      <c r="F12" t="s">
        <v>317</v>
      </c>
      <c r="G12">
        <v>1</v>
      </c>
      <c r="H12" t="s">
        <v>310</v>
      </c>
      <c r="I12">
        <v>0</v>
      </c>
      <c r="J12">
        <v>0</v>
      </c>
      <c r="K12">
        <v>0</v>
      </c>
      <c r="L12" t="s">
        <v>310</v>
      </c>
      <c r="M12" t="s">
        <v>310</v>
      </c>
      <c r="N12">
        <v>0</v>
      </c>
      <c r="O12" t="s">
        <v>1389</v>
      </c>
      <c r="P12" t="s">
        <v>240</v>
      </c>
      <c r="Q12" t="s">
        <v>1400</v>
      </c>
      <c r="R12" t="s">
        <v>1404</v>
      </c>
      <c r="S12" t="s">
        <v>322</v>
      </c>
      <c r="T12" t="s">
        <v>105</v>
      </c>
      <c r="U12">
        <v>9</v>
      </c>
      <c r="V12">
        <v>9</v>
      </c>
      <c r="W12">
        <v>8.6303912</v>
      </c>
      <c r="X12">
        <v>28.062553299999998</v>
      </c>
      <c r="Y12">
        <v>14.8247354</v>
      </c>
      <c r="Z12">
        <v>79.524485499999997</v>
      </c>
      <c r="AA12">
        <v>0</v>
      </c>
      <c r="AB12">
        <v>3</v>
      </c>
      <c r="AC12" t="s">
        <v>174</v>
      </c>
      <c r="AD12">
        <v>9</v>
      </c>
      <c r="AE12" t="s">
        <v>1390</v>
      </c>
      <c r="AF12">
        <v>40000000</v>
      </c>
      <c r="AG12" t="s">
        <v>310</v>
      </c>
      <c r="AH12">
        <v>333.02</v>
      </c>
      <c r="AI12">
        <v>0</v>
      </c>
    </row>
    <row r="13" spans="1:35" x14ac:dyDescent="0.3">
      <c r="A13">
        <v>109</v>
      </c>
      <c r="B13" t="s">
        <v>1283</v>
      </c>
      <c r="C13">
        <v>2</v>
      </c>
      <c r="D13" s="3">
        <v>45373.387731944444</v>
      </c>
      <c r="E13" t="s">
        <v>316</v>
      </c>
      <c r="F13" t="s">
        <v>317</v>
      </c>
      <c r="G13">
        <v>1</v>
      </c>
      <c r="H13" t="s">
        <v>310</v>
      </c>
      <c r="I13">
        <v>0</v>
      </c>
      <c r="J13">
        <v>0</v>
      </c>
      <c r="K13">
        <v>0</v>
      </c>
      <c r="L13" t="s">
        <v>310</v>
      </c>
      <c r="M13" t="s">
        <v>310</v>
      </c>
      <c r="N13">
        <v>0</v>
      </c>
      <c r="O13" t="s">
        <v>1395</v>
      </c>
      <c r="P13" t="s">
        <v>320</v>
      </c>
      <c r="Q13" t="s">
        <v>1400</v>
      </c>
      <c r="R13" t="s">
        <v>1405</v>
      </c>
      <c r="S13" t="s">
        <v>202</v>
      </c>
      <c r="T13" t="s">
        <v>1406</v>
      </c>
      <c r="U13">
        <v>0</v>
      </c>
      <c r="V13">
        <v>0</v>
      </c>
      <c r="W13">
        <v>8.0199509999999989</v>
      </c>
      <c r="X13">
        <v>2.7660054999999999</v>
      </c>
      <c r="Y13">
        <v>13.939384199999999</v>
      </c>
      <c r="Z13">
        <v>98.710551899999999</v>
      </c>
      <c r="AA13">
        <v>2</v>
      </c>
      <c r="AB13">
        <v>0</v>
      </c>
      <c r="AC13" t="s">
        <v>170</v>
      </c>
      <c r="AD13">
        <v>9</v>
      </c>
      <c r="AE13" t="s">
        <v>1396</v>
      </c>
      <c r="AF13">
        <v>0</v>
      </c>
      <c r="AG13" t="s">
        <v>310</v>
      </c>
      <c r="AH13">
        <v>1601.02</v>
      </c>
      <c r="AI13">
        <v>0</v>
      </c>
    </row>
    <row r="14" spans="1:35" x14ac:dyDescent="0.3">
      <c r="A14">
        <v>154</v>
      </c>
      <c r="B14" t="s">
        <v>367</v>
      </c>
      <c r="C14">
        <v>3</v>
      </c>
      <c r="D14" s="3">
        <v>45373.393835844909</v>
      </c>
      <c r="E14" t="s">
        <v>316</v>
      </c>
      <c r="F14" t="s">
        <v>317</v>
      </c>
      <c r="G14">
        <v>0</v>
      </c>
      <c r="H14" t="s">
        <v>310</v>
      </c>
      <c r="I14">
        <v>0</v>
      </c>
      <c r="J14">
        <v>0</v>
      </c>
      <c r="K14">
        <v>0</v>
      </c>
      <c r="L14" t="s">
        <v>310</v>
      </c>
      <c r="M14" t="s">
        <v>310</v>
      </c>
      <c r="N14">
        <v>0</v>
      </c>
      <c r="O14" t="s">
        <v>311</v>
      </c>
      <c r="P14" t="s">
        <v>1401</v>
      </c>
      <c r="Q14" t="s">
        <v>1399</v>
      </c>
      <c r="R14" t="s">
        <v>1404</v>
      </c>
      <c r="S14" t="s">
        <v>322</v>
      </c>
      <c r="T14" t="s">
        <v>105</v>
      </c>
      <c r="U14">
        <v>9</v>
      </c>
      <c r="V14">
        <v>9</v>
      </c>
      <c r="W14">
        <v>4.4317362999999999</v>
      </c>
      <c r="X14">
        <v>5.1306761999999999</v>
      </c>
      <c r="Y14">
        <v>17.003465899999998</v>
      </c>
      <c r="Z14">
        <v>107.5259056</v>
      </c>
      <c r="AA14">
        <v>0</v>
      </c>
      <c r="AB14">
        <v>2</v>
      </c>
      <c r="AC14" t="s">
        <v>173</v>
      </c>
      <c r="AD14">
        <v>0</v>
      </c>
      <c r="AE14" t="s">
        <v>1387</v>
      </c>
      <c r="AF14">
        <v>40000000</v>
      </c>
      <c r="AG14" t="s">
        <v>310</v>
      </c>
      <c r="AH14">
        <v>5016.03</v>
      </c>
      <c r="AI14">
        <v>0</v>
      </c>
    </row>
    <row r="15" spans="1:35" x14ac:dyDescent="0.3">
      <c r="A15">
        <v>155</v>
      </c>
      <c r="B15" t="s">
        <v>1291</v>
      </c>
      <c r="C15">
        <v>3</v>
      </c>
      <c r="D15" s="3">
        <v>45373.39383591435</v>
      </c>
      <c r="E15" t="s">
        <v>316</v>
      </c>
      <c r="F15" t="s">
        <v>317</v>
      </c>
      <c r="G15">
        <v>1</v>
      </c>
      <c r="H15" t="s">
        <v>310</v>
      </c>
      <c r="I15">
        <v>0</v>
      </c>
      <c r="J15">
        <v>0</v>
      </c>
      <c r="K15">
        <v>0</v>
      </c>
      <c r="L15" t="s">
        <v>310</v>
      </c>
      <c r="M15" t="s">
        <v>310</v>
      </c>
      <c r="N15">
        <v>0</v>
      </c>
      <c r="O15" t="s">
        <v>1391</v>
      </c>
      <c r="P15" t="s">
        <v>240</v>
      </c>
      <c r="Q15" t="s">
        <v>1400</v>
      </c>
      <c r="R15" t="s">
        <v>321</v>
      </c>
      <c r="S15" t="s">
        <v>1411</v>
      </c>
      <c r="T15" t="s">
        <v>105</v>
      </c>
      <c r="U15">
        <v>9</v>
      </c>
      <c r="V15">
        <v>9</v>
      </c>
      <c r="W15">
        <v>0</v>
      </c>
      <c r="X15">
        <v>34.465783000000002</v>
      </c>
      <c r="Y15">
        <v>25.783023799999999</v>
      </c>
      <c r="Z15">
        <v>75.970381599999996</v>
      </c>
      <c r="AA15">
        <v>0</v>
      </c>
      <c r="AB15">
        <v>3</v>
      </c>
      <c r="AC15" t="s">
        <v>174</v>
      </c>
      <c r="AD15">
        <v>9</v>
      </c>
      <c r="AE15" t="s">
        <v>1392</v>
      </c>
      <c r="AF15">
        <v>110000000</v>
      </c>
      <c r="AG15" t="s">
        <v>310</v>
      </c>
      <c r="AH15">
        <v>1493.03</v>
      </c>
      <c r="AI15">
        <v>0</v>
      </c>
    </row>
    <row r="16" spans="1:35" x14ac:dyDescent="0.3">
      <c r="A16">
        <v>156</v>
      </c>
      <c r="B16" t="s">
        <v>1292</v>
      </c>
      <c r="C16">
        <v>3</v>
      </c>
      <c r="D16" s="3">
        <v>45373.393836030089</v>
      </c>
      <c r="E16" t="s">
        <v>316</v>
      </c>
      <c r="F16" t="s">
        <v>317</v>
      </c>
      <c r="G16">
        <v>0</v>
      </c>
      <c r="H16" t="s">
        <v>310</v>
      </c>
      <c r="I16">
        <v>0</v>
      </c>
      <c r="J16">
        <v>0</v>
      </c>
      <c r="K16">
        <v>0</v>
      </c>
      <c r="L16" t="s">
        <v>310</v>
      </c>
      <c r="M16" t="s">
        <v>310</v>
      </c>
      <c r="N16">
        <v>0</v>
      </c>
      <c r="O16" t="s">
        <v>319</v>
      </c>
      <c r="P16" t="s">
        <v>320</v>
      </c>
      <c r="Q16" t="s">
        <v>1400</v>
      </c>
      <c r="R16" t="s">
        <v>1404</v>
      </c>
      <c r="S16" t="s">
        <v>1411</v>
      </c>
      <c r="T16" t="s">
        <v>105</v>
      </c>
      <c r="U16">
        <v>9</v>
      </c>
      <c r="V16">
        <v>9</v>
      </c>
      <c r="W16">
        <v>0</v>
      </c>
      <c r="X16">
        <v>99.389546599999989</v>
      </c>
      <c r="Y16">
        <v>14.691406899999999</v>
      </c>
      <c r="Z16">
        <v>21.509546699999998</v>
      </c>
      <c r="AA16">
        <v>3</v>
      </c>
      <c r="AB16">
        <v>0</v>
      </c>
      <c r="AC16" t="s">
        <v>170</v>
      </c>
      <c r="AD16">
        <v>9</v>
      </c>
      <c r="AE16" t="s">
        <v>1388</v>
      </c>
      <c r="AF16">
        <v>0</v>
      </c>
      <c r="AG16" t="s">
        <v>310</v>
      </c>
      <c r="AH16">
        <v>7030.03</v>
      </c>
      <c r="AI16">
        <v>0</v>
      </c>
    </row>
    <row r="17" spans="1:35" x14ac:dyDescent="0.3">
      <c r="A17">
        <v>157</v>
      </c>
      <c r="B17" t="s">
        <v>1288</v>
      </c>
      <c r="C17">
        <v>3</v>
      </c>
      <c r="D17" s="3">
        <v>45373.393836111114</v>
      </c>
      <c r="E17" t="s">
        <v>316</v>
      </c>
      <c r="F17" t="s">
        <v>317</v>
      </c>
      <c r="G17">
        <v>1</v>
      </c>
      <c r="H17" t="s">
        <v>310</v>
      </c>
      <c r="I17">
        <v>0</v>
      </c>
      <c r="J17">
        <v>0</v>
      </c>
      <c r="K17">
        <v>0</v>
      </c>
      <c r="L17" t="s">
        <v>310</v>
      </c>
      <c r="M17" t="s">
        <v>310</v>
      </c>
      <c r="N17">
        <v>0</v>
      </c>
      <c r="O17" t="s">
        <v>1393</v>
      </c>
      <c r="P17" t="s">
        <v>1401</v>
      </c>
      <c r="Q17" t="s">
        <v>1399</v>
      </c>
      <c r="R17" t="s">
        <v>1404</v>
      </c>
      <c r="S17" t="s">
        <v>1411</v>
      </c>
      <c r="T17" t="s">
        <v>105</v>
      </c>
      <c r="U17">
        <v>9</v>
      </c>
      <c r="V17">
        <v>9</v>
      </c>
      <c r="W17">
        <v>0</v>
      </c>
      <c r="X17">
        <v>19.903942499999999</v>
      </c>
      <c r="Y17">
        <v>42.064437099999999</v>
      </c>
      <c r="Z17">
        <v>74.183383499999991</v>
      </c>
      <c r="AA17">
        <v>3</v>
      </c>
      <c r="AB17">
        <v>0</v>
      </c>
      <c r="AC17" t="s">
        <v>1408</v>
      </c>
      <c r="AD17">
        <v>0</v>
      </c>
      <c r="AE17" t="s">
        <v>1394</v>
      </c>
      <c r="AF17">
        <v>0</v>
      </c>
      <c r="AG17" t="s">
        <v>310</v>
      </c>
      <c r="AH17">
        <v>3181.03</v>
      </c>
      <c r="AI17">
        <v>0</v>
      </c>
    </row>
    <row r="18" spans="1:35" x14ac:dyDescent="0.3">
      <c r="A18">
        <v>158</v>
      </c>
      <c r="B18" t="s">
        <v>1289</v>
      </c>
      <c r="C18">
        <v>3</v>
      </c>
      <c r="D18" s="3">
        <v>45373.393836226853</v>
      </c>
      <c r="E18" t="s">
        <v>316</v>
      </c>
      <c r="F18" t="s">
        <v>317</v>
      </c>
      <c r="G18">
        <v>0</v>
      </c>
      <c r="H18" t="s">
        <v>310</v>
      </c>
      <c r="I18">
        <v>0</v>
      </c>
      <c r="J18">
        <v>0</v>
      </c>
      <c r="K18">
        <v>0</v>
      </c>
      <c r="L18" t="s">
        <v>310</v>
      </c>
      <c r="M18" t="s">
        <v>310</v>
      </c>
      <c r="N18">
        <v>0</v>
      </c>
      <c r="O18" t="s">
        <v>1389</v>
      </c>
      <c r="P18" t="s">
        <v>101</v>
      </c>
      <c r="Q18" t="s">
        <v>1400</v>
      </c>
      <c r="R18" t="s">
        <v>1405</v>
      </c>
      <c r="S18" t="s">
        <v>202</v>
      </c>
      <c r="T18" t="s">
        <v>1409</v>
      </c>
      <c r="U18">
        <v>0</v>
      </c>
      <c r="V18">
        <v>0</v>
      </c>
      <c r="W18">
        <v>8.4993935</v>
      </c>
      <c r="X18">
        <v>64.351288400000001</v>
      </c>
      <c r="Y18">
        <v>22.8048754</v>
      </c>
      <c r="Z18">
        <v>39.821249699999996</v>
      </c>
      <c r="AA18">
        <v>0</v>
      </c>
      <c r="AB18">
        <v>3</v>
      </c>
      <c r="AC18" t="s">
        <v>167</v>
      </c>
      <c r="AD18">
        <v>9</v>
      </c>
      <c r="AE18" t="s">
        <v>1390</v>
      </c>
      <c r="AF18">
        <v>0</v>
      </c>
      <c r="AG18" t="s">
        <v>310</v>
      </c>
      <c r="AH18">
        <v>6648.03</v>
      </c>
      <c r="AI18">
        <v>0</v>
      </c>
    </row>
    <row r="19" spans="1:35" x14ac:dyDescent="0.3">
      <c r="A19">
        <v>159</v>
      </c>
      <c r="B19" t="s">
        <v>1290</v>
      </c>
      <c r="C19">
        <v>3</v>
      </c>
      <c r="D19" s="3">
        <v>45373.393836342591</v>
      </c>
      <c r="E19" t="s">
        <v>316</v>
      </c>
      <c r="F19" t="s">
        <v>317</v>
      </c>
      <c r="G19">
        <v>1</v>
      </c>
      <c r="H19" t="s">
        <v>310</v>
      </c>
      <c r="I19">
        <v>0</v>
      </c>
      <c r="J19">
        <v>0</v>
      </c>
      <c r="K19">
        <v>0</v>
      </c>
      <c r="L19" t="s">
        <v>310</v>
      </c>
      <c r="M19" t="s">
        <v>310</v>
      </c>
      <c r="N19">
        <v>0</v>
      </c>
      <c r="O19" t="s">
        <v>1395</v>
      </c>
      <c r="P19" t="s">
        <v>240</v>
      </c>
      <c r="Q19" t="s">
        <v>1400</v>
      </c>
      <c r="R19" t="s">
        <v>1405</v>
      </c>
      <c r="S19" t="s">
        <v>202</v>
      </c>
      <c r="T19" t="s">
        <v>1406</v>
      </c>
      <c r="U19">
        <v>0</v>
      </c>
      <c r="V19">
        <v>0</v>
      </c>
      <c r="W19">
        <v>7.5733914999999996</v>
      </c>
      <c r="X19">
        <v>20.273266899999999</v>
      </c>
      <c r="Y19">
        <v>12.838145899999999</v>
      </c>
      <c r="Z19">
        <v>94.418419499999999</v>
      </c>
      <c r="AA19">
        <v>0</v>
      </c>
      <c r="AB19">
        <v>0</v>
      </c>
      <c r="AC19" t="s">
        <v>173</v>
      </c>
      <c r="AD19">
        <v>9</v>
      </c>
      <c r="AE19" t="s">
        <v>1396</v>
      </c>
      <c r="AF19">
        <v>100000000</v>
      </c>
      <c r="AG19" t="s">
        <v>310</v>
      </c>
      <c r="AH19">
        <v>5881.03</v>
      </c>
      <c r="AI19">
        <v>0</v>
      </c>
    </row>
    <row r="20" spans="1:35" x14ac:dyDescent="0.3">
      <c r="A20">
        <v>230</v>
      </c>
      <c r="B20" t="s">
        <v>1297</v>
      </c>
      <c r="C20">
        <v>4</v>
      </c>
      <c r="D20" s="3">
        <v>45373.397896377312</v>
      </c>
      <c r="E20" t="s">
        <v>316</v>
      </c>
      <c r="F20" t="s">
        <v>317</v>
      </c>
      <c r="G20">
        <v>0</v>
      </c>
      <c r="H20" t="s">
        <v>310</v>
      </c>
      <c r="I20">
        <v>0</v>
      </c>
      <c r="J20">
        <v>0</v>
      </c>
      <c r="K20">
        <v>0</v>
      </c>
      <c r="L20" t="s">
        <v>310</v>
      </c>
      <c r="M20" t="s">
        <v>310</v>
      </c>
      <c r="N20">
        <v>0</v>
      </c>
      <c r="O20" t="s">
        <v>311</v>
      </c>
      <c r="P20" t="s">
        <v>101</v>
      </c>
      <c r="Q20" t="s">
        <v>1400</v>
      </c>
      <c r="R20" t="s">
        <v>1404</v>
      </c>
      <c r="S20" t="s">
        <v>1411</v>
      </c>
      <c r="T20" t="s">
        <v>105</v>
      </c>
      <c r="U20">
        <v>9</v>
      </c>
      <c r="V20">
        <v>9</v>
      </c>
      <c r="W20">
        <v>0</v>
      </c>
      <c r="X20">
        <v>25.7753467</v>
      </c>
      <c r="Y20">
        <v>20.119795999999997</v>
      </c>
      <c r="Z20">
        <v>88.899055500000003</v>
      </c>
      <c r="AA20">
        <v>0</v>
      </c>
      <c r="AB20">
        <v>1</v>
      </c>
      <c r="AC20" t="s">
        <v>174</v>
      </c>
      <c r="AD20">
        <v>9</v>
      </c>
      <c r="AE20" t="s">
        <v>1387</v>
      </c>
      <c r="AF20">
        <v>50000000</v>
      </c>
      <c r="AG20" t="s">
        <v>310</v>
      </c>
      <c r="AH20">
        <v>9750.0400000000009</v>
      </c>
      <c r="AI20">
        <v>0</v>
      </c>
    </row>
    <row r="21" spans="1:35" x14ac:dyDescent="0.3">
      <c r="A21">
        <v>231</v>
      </c>
      <c r="B21" t="s">
        <v>360</v>
      </c>
      <c r="C21">
        <v>4</v>
      </c>
      <c r="D21" s="3">
        <v>45373.397896527778</v>
      </c>
      <c r="E21" t="s">
        <v>316</v>
      </c>
      <c r="F21" t="s">
        <v>317</v>
      </c>
      <c r="G21">
        <v>1</v>
      </c>
      <c r="H21" t="s">
        <v>310</v>
      </c>
      <c r="I21">
        <v>0</v>
      </c>
      <c r="J21">
        <v>0</v>
      </c>
      <c r="K21">
        <v>0</v>
      </c>
      <c r="L21" t="s">
        <v>310</v>
      </c>
      <c r="M21" t="s">
        <v>310</v>
      </c>
      <c r="N21">
        <v>0</v>
      </c>
      <c r="O21" t="s">
        <v>1391</v>
      </c>
      <c r="P21" t="s">
        <v>240</v>
      </c>
      <c r="Q21" t="s">
        <v>1399</v>
      </c>
      <c r="R21" t="s">
        <v>1405</v>
      </c>
      <c r="S21" t="s">
        <v>202</v>
      </c>
      <c r="T21" t="s">
        <v>1407</v>
      </c>
      <c r="U21">
        <v>0</v>
      </c>
      <c r="V21">
        <v>0</v>
      </c>
      <c r="W21">
        <v>7.0168685999999996</v>
      </c>
      <c r="X21">
        <v>38.919807399999996</v>
      </c>
      <c r="Y21">
        <v>28.998249599999998</v>
      </c>
      <c r="Z21">
        <v>33.237506799999998</v>
      </c>
      <c r="AA21">
        <v>0</v>
      </c>
      <c r="AB21">
        <v>1</v>
      </c>
      <c r="AC21" t="s">
        <v>174</v>
      </c>
      <c r="AD21">
        <v>0</v>
      </c>
      <c r="AE21" t="s">
        <v>1388</v>
      </c>
      <c r="AF21">
        <v>150002000</v>
      </c>
      <c r="AG21" t="s">
        <v>310</v>
      </c>
      <c r="AH21">
        <v>1796.04</v>
      </c>
      <c r="AI21">
        <v>0</v>
      </c>
    </row>
    <row r="22" spans="1:35" x14ac:dyDescent="0.3">
      <c r="A22">
        <v>232</v>
      </c>
      <c r="B22" t="s">
        <v>1298</v>
      </c>
      <c r="C22">
        <v>4</v>
      </c>
      <c r="D22" s="3">
        <v>45373.397896608796</v>
      </c>
      <c r="E22" t="s">
        <v>316</v>
      </c>
      <c r="F22" t="s">
        <v>317</v>
      </c>
      <c r="G22">
        <v>0</v>
      </c>
      <c r="H22" t="s">
        <v>310</v>
      </c>
      <c r="I22">
        <v>0</v>
      </c>
      <c r="J22">
        <v>0</v>
      </c>
      <c r="K22">
        <v>0</v>
      </c>
      <c r="L22" t="s">
        <v>310</v>
      </c>
      <c r="M22" t="s">
        <v>310</v>
      </c>
      <c r="N22">
        <v>0</v>
      </c>
      <c r="O22" t="s">
        <v>319</v>
      </c>
      <c r="P22" t="s">
        <v>1401</v>
      </c>
      <c r="Q22" t="s">
        <v>1400</v>
      </c>
      <c r="R22" t="s">
        <v>1405</v>
      </c>
      <c r="S22" t="s">
        <v>202</v>
      </c>
      <c r="T22" t="s">
        <v>1406</v>
      </c>
      <c r="U22">
        <v>0</v>
      </c>
      <c r="V22">
        <v>0</v>
      </c>
      <c r="W22">
        <v>9.6401781</v>
      </c>
      <c r="X22">
        <v>43.731294699999999</v>
      </c>
      <c r="Y22">
        <v>20.115059599999999</v>
      </c>
      <c r="Z22">
        <v>44.8214793</v>
      </c>
      <c r="AA22">
        <v>0</v>
      </c>
      <c r="AB22">
        <v>0</v>
      </c>
      <c r="AC22" t="s">
        <v>174</v>
      </c>
      <c r="AD22">
        <v>9</v>
      </c>
      <c r="AE22" t="s">
        <v>1392</v>
      </c>
      <c r="AF22">
        <v>40000000</v>
      </c>
      <c r="AG22" t="s">
        <v>310</v>
      </c>
      <c r="AH22">
        <v>9624.0400000000009</v>
      </c>
      <c r="AI22">
        <v>0</v>
      </c>
    </row>
    <row r="23" spans="1:35" x14ac:dyDescent="0.3">
      <c r="A23">
        <v>233</v>
      </c>
      <c r="B23" t="s">
        <v>1294</v>
      </c>
      <c r="C23">
        <v>4</v>
      </c>
      <c r="D23" s="3">
        <v>45373.397896724535</v>
      </c>
      <c r="E23" t="s">
        <v>316</v>
      </c>
      <c r="F23" t="s">
        <v>317</v>
      </c>
      <c r="G23">
        <v>1</v>
      </c>
      <c r="H23" t="s">
        <v>310</v>
      </c>
      <c r="I23">
        <v>0</v>
      </c>
      <c r="J23">
        <v>0</v>
      </c>
      <c r="K23">
        <v>0</v>
      </c>
      <c r="L23" t="s">
        <v>310</v>
      </c>
      <c r="M23" t="s">
        <v>310</v>
      </c>
      <c r="N23">
        <v>0</v>
      </c>
      <c r="O23" t="s">
        <v>1393</v>
      </c>
      <c r="P23" t="s">
        <v>101</v>
      </c>
      <c r="Q23" t="s">
        <v>1400</v>
      </c>
      <c r="R23" t="s">
        <v>321</v>
      </c>
      <c r="S23" t="s">
        <v>1411</v>
      </c>
      <c r="T23" t="s">
        <v>105</v>
      </c>
      <c r="U23">
        <v>9</v>
      </c>
      <c r="V23">
        <v>9</v>
      </c>
      <c r="W23">
        <v>0</v>
      </c>
      <c r="X23">
        <v>57.045837899999995</v>
      </c>
      <c r="Y23">
        <v>21.602198399999999</v>
      </c>
      <c r="Z23">
        <v>57.3871988</v>
      </c>
      <c r="AA23">
        <v>0</v>
      </c>
      <c r="AB23">
        <v>0</v>
      </c>
      <c r="AC23" t="s">
        <v>174</v>
      </c>
      <c r="AD23">
        <v>9</v>
      </c>
      <c r="AE23" t="s">
        <v>1390</v>
      </c>
      <c r="AF23">
        <v>30000000</v>
      </c>
      <c r="AG23" t="s">
        <v>310</v>
      </c>
      <c r="AH23">
        <v>9076.0400000000009</v>
      </c>
      <c r="AI23">
        <v>0</v>
      </c>
    </row>
    <row r="24" spans="1:35" x14ac:dyDescent="0.3">
      <c r="A24">
        <v>234</v>
      </c>
      <c r="B24" t="s">
        <v>1295</v>
      </c>
      <c r="C24">
        <v>4</v>
      </c>
      <c r="D24" s="3">
        <v>45373.397896840281</v>
      </c>
      <c r="E24" t="s">
        <v>316</v>
      </c>
      <c r="F24" t="s">
        <v>317</v>
      </c>
      <c r="G24">
        <v>1</v>
      </c>
      <c r="H24" t="s">
        <v>310</v>
      </c>
      <c r="I24">
        <v>0</v>
      </c>
      <c r="J24">
        <v>0</v>
      </c>
      <c r="K24">
        <v>0</v>
      </c>
      <c r="L24" t="s">
        <v>310</v>
      </c>
      <c r="M24" t="s">
        <v>310</v>
      </c>
      <c r="N24">
        <v>0</v>
      </c>
      <c r="O24" t="s">
        <v>1389</v>
      </c>
      <c r="P24" t="s">
        <v>1401</v>
      </c>
      <c r="Q24" t="s">
        <v>1400</v>
      </c>
      <c r="R24" t="s">
        <v>1405</v>
      </c>
      <c r="S24" t="s">
        <v>202</v>
      </c>
      <c r="T24" t="s">
        <v>1409</v>
      </c>
      <c r="U24">
        <v>0</v>
      </c>
      <c r="V24">
        <v>0</v>
      </c>
      <c r="W24">
        <v>4.9842268000000001</v>
      </c>
      <c r="X24">
        <v>27.299850199999998</v>
      </c>
      <c r="Y24">
        <v>25.313591499999998</v>
      </c>
      <c r="Z24">
        <v>73.138215399999993</v>
      </c>
      <c r="AA24">
        <v>0</v>
      </c>
      <c r="AB24">
        <v>0</v>
      </c>
      <c r="AC24" t="s">
        <v>174</v>
      </c>
      <c r="AD24">
        <v>9</v>
      </c>
      <c r="AE24" t="s">
        <v>1394</v>
      </c>
      <c r="AF24">
        <v>100000000</v>
      </c>
      <c r="AG24" t="s">
        <v>310</v>
      </c>
      <c r="AH24">
        <v>6300.04</v>
      </c>
      <c r="AI24">
        <v>0</v>
      </c>
    </row>
    <row r="25" spans="1:35" x14ac:dyDescent="0.3">
      <c r="A25">
        <v>235</v>
      </c>
      <c r="B25" t="s">
        <v>1296</v>
      </c>
      <c r="C25">
        <v>4</v>
      </c>
      <c r="D25" s="3">
        <v>45373.397896909722</v>
      </c>
      <c r="E25" t="s">
        <v>316</v>
      </c>
      <c r="F25" t="s">
        <v>317</v>
      </c>
      <c r="G25">
        <v>0</v>
      </c>
      <c r="H25" t="s">
        <v>310</v>
      </c>
      <c r="I25">
        <v>0</v>
      </c>
      <c r="J25">
        <v>0</v>
      </c>
      <c r="K25">
        <v>0</v>
      </c>
      <c r="L25" t="s">
        <v>310</v>
      </c>
      <c r="M25" t="s">
        <v>310</v>
      </c>
      <c r="N25">
        <v>0</v>
      </c>
      <c r="O25" t="s">
        <v>1395</v>
      </c>
      <c r="P25" t="s">
        <v>240</v>
      </c>
      <c r="Q25" t="s">
        <v>1399</v>
      </c>
      <c r="R25" t="s">
        <v>321</v>
      </c>
      <c r="S25" t="s">
        <v>1411</v>
      </c>
      <c r="T25" t="s">
        <v>105</v>
      </c>
      <c r="U25">
        <v>9</v>
      </c>
      <c r="V25">
        <v>9</v>
      </c>
      <c r="W25">
        <v>0</v>
      </c>
      <c r="X25">
        <v>43.027684199999996</v>
      </c>
      <c r="Y25">
        <v>24.4024961</v>
      </c>
      <c r="Z25">
        <v>66.670164299999996</v>
      </c>
      <c r="AA25">
        <v>0</v>
      </c>
      <c r="AB25">
        <v>0</v>
      </c>
      <c r="AC25" t="s">
        <v>174</v>
      </c>
      <c r="AD25">
        <v>0</v>
      </c>
      <c r="AE25" t="s">
        <v>1396</v>
      </c>
      <c r="AF25">
        <v>80000000</v>
      </c>
      <c r="AG25" t="s">
        <v>310</v>
      </c>
      <c r="AH25">
        <v>3003.04</v>
      </c>
      <c r="AI25">
        <v>0</v>
      </c>
    </row>
    <row r="26" spans="1:35" x14ac:dyDescent="0.3">
      <c r="A26">
        <v>299</v>
      </c>
      <c r="B26" t="s">
        <v>1301</v>
      </c>
      <c r="C26">
        <v>5</v>
      </c>
      <c r="D26" s="3">
        <v>45373.403898414355</v>
      </c>
      <c r="E26" t="s">
        <v>316</v>
      </c>
      <c r="F26" t="s">
        <v>317</v>
      </c>
      <c r="G26">
        <v>0</v>
      </c>
      <c r="H26" t="s">
        <v>310</v>
      </c>
      <c r="I26">
        <v>0</v>
      </c>
      <c r="J26">
        <v>0</v>
      </c>
      <c r="K26">
        <v>0</v>
      </c>
      <c r="L26" t="s">
        <v>310</v>
      </c>
      <c r="M26" t="s">
        <v>310</v>
      </c>
      <c r="N26">
        <v>0</v>
      </c>
      <c r="O26" t="s">
        <v>311</v>
      </c>
      <c r="P26" t="s">
        <v>1401</v>
      </c>
      <c r="Q26" t="s">
        <v>1399</v>
      </c>
      <c r="R26" t="s">
        <v>321</v>
      </c>
      <c r="S26" t="s">
        <v>1411</v>
      </c>
      <c r="T26" t="s">
        <v>105</v>
      </c>
      <c r="U26">
        <v>9</v>
      </c>
      <c r="V26">
        <v>9</v>
      </c>
      <c r="W26">
        <v>0</v>
      </c>
      <c r="X26">
        <v>0</v>
      </c>
      <c r="Y26">
        <v>0</v>
      </c>
      <c r="Z26">
        <v>139.02841429999998</v>
      </c>
      <c r="AA26">
        <v>0</v>
      </c>
      <c r="AB26">
        <v>0</v>
      </c>
      <c r="AC26" t="s">
        <v>173</v>
      </c>
      <c r="AD26">
        <v>0</v>
      </c>
      <c r="AE26" t="s">
        <v>1387</v>
      </c>
      <c r="AF26">
        <v>50000000</v>
      </c>
      <c r="AG26" t="s">
        <v>310</v>
      </c>
      <c r="AH26">
        <v>7031.05</v>
      </c>
      <c r="AI26">
        <v>0</v>
      </c>
    </row>
    <row r="27" spans="1:35" x14ac:dyDescent="0.3">
      <c r="A27">
        <v>300</v>
      </c>
      <c r="B27" t="s">
        <v>1302</v>
      </c>
      <c r="C27">
        <v>5</v>
      </c>
      <c r="D27" s="3">
        <v>45373.403898576391</v>
      </c>
      <c r="E27" t="s">
        <v>316</v>
      </c>
      <c r="F27" t="s">
        <v>317</v>
      </c>
      <c r="G27">
        <v>1</v>
      </c>
      <c r="H27" t="s">
        <v>310</v>
      </c>
      <c r="I27">
        <v>0</v>
      </c>
      <c r="J27">
        <v>0</v>
      </c>
      <c r="K27">
        <v>0</v>
      </c>
      <c r="L27" t="s">
        <v>310</v>
      </c>
      <c r="M27" t="s">
        <v>310</v>
      </c>
      <c r="N27">
        <v>0</v>
      </c>
      <c r="O27" t="s">
        <v>1391</v>
      </c>
      <c r="P27" t="s">
        <v>320</v>
      </c>
      <c r="Q27" t="s">
        <v>1400</v>
      </c>
      <c r="R27" t="s">
        <v>1405</v>
      </c>
      <c r="S27" t="s">
        <v>202</v>
      </c>
      <c r="T27" t="s">
        <v>1407</v>
      </c>
      <c r="U27">
        <v>0</v>
      </c>
      <c r="V27">
        <v>0</v>
      </c>
      <c r="W27">
        <v>16.369701199999998</v>
      </c>
      <c r="X27">
        <v>51.302225700000001</v>
      </c>
      <c r="Y27">
        <v>11.971905899999999</v>
      </c>
      <c r="Z27">
        <v>49.932469099999999</v>
      </c>
      <c r="AA27">
        <v>0</v>
      </c>
      <c r="AB27">
        <v>2</v>
      </c>
      <c r="AC27" t="s">
        <v>174</v>
      </c>
      <c r="AD27">
        <v>9</v>
      </c>
      <c r="AE27" t="s">
        <v>1388</v>
      </c>
      <c r="AF27">
        <v>20000000</v>
      </c>
      <c r="AG27" t="s">
        <v>310</v>
      </c>
      <c r="AH27">
        <v>2095.0500000000002</v>
      </c>
      <c r="AI27">
        <v>0</v>
      </c>
    </row>
    <row r="28" spans="1:35" x14ac:dyDescent="0.3">
      <c r="A28">
        <v>301</v>
      </c>
      <c r="B28" t="s">
        <v>1303</v>
      </c>
      <c r="C28">
        <v>5</v>
      </c>
      <c r="D28" s="3">
        <v>45373.403898611112</v>
      </c>
      <c r="E28" t="s">
        <v>316</v>
      </c>
      <c r="F28" t="s">
        <v>317</v>
      </c>
      <c r="G28">
        <v>1</v>
      </c>
      <c r="H28" t="s">
        <v>310</v>
      </c>
      <c r="I28">
        <v>0</v>
      </c>
      <c r="J28">
        <v>0</v>
      </c>
      <c r="K28">
        <v>0</v>
      </c>
      <c r="L28" t="s">
        <v>310</v>
      </c>
      <c r="M28" t="s">
        <v>310</v>
      </c>
      <c r="N28">
        <v>0</v>
      </c>
      <c r="O28" t="s">
        <v>319</v>
      </c>
      <c r="P28" t="s">
        <v>240</v>
      </c>
      <c r="Q28" t="s">
        <v>1400</v>
      </c>
      <c r="R28" t="s">
        <v>1405</v>
      </c>
      <c r="S28" t="s">
        <v>202</v>
      </c>
      <c r="T28" t="s">
        <v>1406</v>
      </c>
      <c r="U28">
        <v>0</v>
      </c>
      <c r="V28">
        <v>0</v>
      </c>
      <c r="W28">
        <v>8.0245225999999992</v>
      </c>
      <c r="X28">
        <v>27.578859699999999</v>
      </c>
      <c r="Y28">
        <v>21.506410799999998</v>
      </c>
      <c r="Z28">
        <v>76.301018099999993</v>
      </c>
      <c r="AA28">
        <v>0</v>
      </c>
      <c r="AB28">
        <v>0</v>
      </c>
      <c r="AC28" t="s">
        <v>174</v>
      </c>
      <c r="AD28">
        <v>9</v>
      </c>
      <c r="AE28" t="s">
        <v>1392</v>
      </c>
      <c r="AF28">
        <v>90000000</v>
      </c>
      <c r="AG28" t="s">
        <v>310</v>
      </c>
      <c r="AH28">
        <v>7605.05</v>
      </c>
      <c r="AI28">
        <v>0</v>
      </c>
    </row>
    <row r="29" spans="1:35" x14ac:dyDescent="0.3">
      <c r="A29">
        <v>302</v>
      </c>
      <c r="B29" t="s">
        <v>371</v>
      </c>
      <c r="C29">
        <v>5</v>
      </c>
      <c r="D29" s="3">
        <v>45373.40389869213</v>
      </c>
      <c r="E29" t="s">
        <v>316</v>
      </c>
      <c r="F29" t="s">
        <v>317</v>
      </c>
      <c r="G29">
        <v>0</v>
      </c>
      <c r="H29" t="s">
        <v>310</v>
      </c>
      <c r="I29">
        <v>0</v>
      </c>
      <c r="J29">
        <v>0</v>
      </c>
      <c r="K29">
        <v>0</v>
      </c>
      <c r="L29" t="s">
        <v>310</v>
      </c>
      <c r="M29" t="s">
        <v>310</v>
      </c>
      <c r="N29">
        <v>0</v>
      </c>
      <c r="O29" t="s">
        <v>1393</v>
      </c>
      <c r="P29" t="s">
        <v>320</v>
      </c>
      <c r="Q29" t="s">
        <v>1400</v>
      </c>
      <c r="R29" t="s">
        <v>1404</v>
      </c>
      <c r="S29" t="s">
        <v>322</v>
      </c>
      <c r="T29" t="s">
        <v>105</v>
      </c>
      <c r="U29">
        <v>9</v>
      </c>
      <c r="V29">
        <v>9</v>
      </c>
      <c r="W29">
        <v>1.0700569</v>
      </c>
      <c r="X29">
        <v>0</v>
      </c>
      <c r="Y29">
        <v>0</v>
      </c>
      <c r="Z29">
        <v>130.13443329999998</v>
      </c>
      <c r="AA29">
        <v>0</v>
      </c>
      <c r="AB29">
        <v>0</v>
      </c>
      <c r="AC29" t="s">
        <v>167</v>
      </c>
      <c r="AD29">
        <v>9</v>
      </c>
      <c r="AE29" t="s">
        <v>1390</v>
      </c>
      <c r="AF29">
        <v>0</v>
      </c>
      <c r="AG29" t="s">
        <v>310</v>
      </c>
      <c r="AH29">
        <v>6969.05</v>
      </c>
      <c r="AI29">
        <v>0</v>
      </c>
    </row>
    <row r="30" spans="1:35" x14ac:dyDescent="0.3">
      <c r="A30">
        <v>303</v>
      </c>
      <c r="B30" t="s">
        <v>1300</v>
      </c>
      <c r="C30">
        <v>5</v>
      </c>
      <c r="D30" s="3">
        <v>45373.403898761571</v>
      </c>
      <c r="E30" t="s">
        <v>316</v>
      </c>
      <c r="F30" t="s">
        <v>317</v>
      </c>
      <c r="G30">
        <v>1</v>
      </c>
      <c r="H30" t="s">
        <v>310</v>
      </c>
      <c r="I30">
        <v>0</v>
      </c>
      <c r="J30">
        <v>0</v>
      </c>
      <c r="K30">
        <v>0</v>
      </c>
      <c r="L30" t="s">
        <v>310</v>
      </c>
      <c r="M30" t="s">
        <v>310</v>
      </c>
      <c r="N30">
        <v>0</v>
      </c>
      <c r="O30" t="s">
        <v>1389</v>
      </c>
      <c r="P30" t="s">
        <v>1401</v>
      </c>
      <c r="Q30" t="s">
        <v>1400</v>
      </c>
      <c r="R30" t="s">
        <v>1404</v>
      </c>
      <c r="S30" t="s">
        <v>322</v>
      </c>
      <c r="T30" t="s">
        <v>105</v>
      </c>
      <c r="U30">
        <v>9</v>
      </c>
      <c r="V30">
        <v>9</v>
      </c>
      <c r="W30">
        <v>7.0710153</v>
      </c>
      <c r="X30">
        <v>10.428086499999999</v>
      </c>
      <c r="Y30">
        <v>18.561784400000001</v>
      </c>
      <c r="Z30">
        <v>97.832171299999999</v>
      </c>
      <c r="AA30">
        <v>0</v>
      </c>
      <c r="AB30">
        <v>0</v>
      </c>
      <c r="AC30" t="s">
        <v>173</v>
      </c>
      <c r="AD30">
        <v>9</v>
      </c>
      <c r="AE30" t="s">
        <v>1394</v>
      </c>
      <c r="AF30">
        <v>150000000</v>
      </c>
      <c r="AG30" t="s">
        <v>310</v>
      </c>
      <c r="AH30">
        <v>3044.05</v>
      </c>
      <c r="AI30">
        <v>0</v>
      </c>
    </row>
    <row r="31" spans="1:35" x14ac:dyDescent="0.3">
      <c r="A31">
        <v>304</v>
      </c>
      <c r="B31" t="s">
        <v>362</v>
      </c>
      <c r="C31">
        <v>5</v>
      </c>
      <c r="D31" s="3">
        <v>45373.403898842589</v>
      </c>
      <c r="E31" t="s">
        <v>316</v>
      </c>
      <c r="F31" t="s">
        <v>317</v>
      </c>
      <c r="G31">
        <v>1</v>
      </c>
      <c r="H31" t="s">
        <v>310</v>
      </c>
      <c r="I31">
        <v>0</v>
      </c>
      <c r="J31">
        <v>0</v>
      </c>
      <c r="K31">
        <v>0</v>
      </c>
      <c r="L31" t="s">
        <v>310</v>
      </c>
      <c r="M31" t="s">
        <v>310</v>
      </c>
      <c r="N31">
        <v>0</v>
      </c>
      <c r="O31" t="s">
        <v>1395</v>
      </c>
      <c r="P31" t="s">
        <v>101</v>
      </c>
      <c r="Q31" t="s">
        <v>1399</v>
      </c>
      <c r="R31" t="s">
        <v>1404</v>
      </c>
      <c r="S31" t="s">
        <v>1411</v>
      </c>
      <c r="T31" t="s">
        <v>105</v>
      </c>
      <c r="U31">
        <v>9</v>
      </c>
      <c r="V31">
        <v>9</v>
      </c>
      <c r="W31">
        <v>0</v>
      </c>
      <c r="X31">
        <v>57.555206299999995</v>
      </c>
      <c r="Y31">
        <v>38.223496499999996</v>
      </c>
      <c r="Z31">
        <v>39.6851798</v>
      </c>
      <c r="AA31">
        <v>1</v>
      </c>
      <c r="AB31">
        <v>0</v>
      </c>
      <c r="AC31" t="s">
        <v>171</v>
      </c>
      <c r="AD31">
        <v>0</v>
      </c>
      <c r="AE31" t="s">
        <v>1396</v>
      </c>
      <c r="AF31">
        <v>40005000</v>
      </c>
      <c r="AG31" t="s">
        <v>310</v>
      </c>
      <c r="AH31">
        <v>250.05</v>
      </c>
      <c r="AI31">
        <v>0</v>
      </c>
    </row>
    <row r="32" spans="1:35" x14ac:dyDescent="0.3">
      <c r="A32">
        <v>382</v>
      </c>
      <c r="B32" t="s">
        <v>365</v>
      </c>
      <c r="C32">
        <v>6</v>
      </c>
      <c r="D32" s="3">
        <v>45373.411270983794</v>
      </c>
      <c r="E32" t="s">
        <v>316</v>
      </c>
      <c r="F32" t="s">
        <v>317</v>
      </c>
      <c r="G32">
        <v>1</v>
      </c>
      <c r="H32" t="s">
        <v>310</v>
      </c>
      <c r="I32">
        <v>0</v>
      </c>
      <c r="J32">
        <v>0</v>
      </c>
      <c r="K32">
        <v>0</v>
      </c>
      <c r="L32" t="s">
        <v>310</v>
      </c>
      <c r="M32" t="s">
        <v>310</v>
      </c>
      <c r="N32">
        <v>0</v>
      </c>
      <c r="O32" t="s">
        <v>311</v>
      </c>
      <c r="P32" t="s">
        <v>240</v>
      </c>
      <c r="Q32" t="s">
        <v>1400</v>
      </c>
      <c r="R32" t="s">
        <v>321</v>
      </c>
      <c r="S32" t="s">
        <v>1411</v>
      </c>
      <c r="T32" t="s">
        <v>105</v>
      </c>
      <c r="U32">
        <v>9</v>
      </c>
      <c r="V32">
        <v>9</v>
      </c>
      <c r="W32">
        <v>0</v>
      </c>
      <c r="X32">
        <v>16.365496399999998</v>
      </c>
      <c r="Y32">
        <v>15.949997099999999</v>
      </c>
      <c r="Z32">
        <v>104.5050995</v>
      </c>
      <c r="AA32">
        <v>0</v>
      </c>
      <c r="AB32">
        <v>0</v>
      </c>
      <c r="AC32" t="s">
        <v>174</v>
      </c>
      <c r="AD32">
        <v>9</v>
      </c>
      <c r="AE32" t="s">
        <v>1387</v>
      </c>
      <c r="AF32">
        <v>80000000</v>
      </c>
      <c r="AG32" t="s">
        <v>310</v>
      </c>
      <c r="AH32">
        <v>3171.06</v>
      </c>
      <c r="AI32">
        <v>0</v>
      </c>
    </row>
    <row r="33" spans="1:35" x14ac:dyDescent="0.3">
      <c r="A33">
        <v>383</v>
      </c>
      <c r="B33" t="s">
        <v>1306</v>
      </c>
      <c r="C33">
        <v>6</v>
      </c>
      <c r="D33" s="3">
        <v>45373.41127109954</v>
      </c>
      <c r="E33" t="s">
        <v>316</v>
      </c>
      <c r="F33" t="s">
        <v>317</v>
      </c>
      <c r="G33">
        <v>1</v>
      </c>
      <c r="H33" t="s">
        <v>310</v>
      </c>
      <c r="I33">
        <v>0</v>
      </c>
      <c r="J33">
        <v>0</v>
      </c>
      <c r="K33">
        <v>0</v>
      </c>
      <c r="L33" t="s">
        <v>310</v>
      </c>
      <c r="M33" t="s">
        <v>310</v>
      </c>
      <c r="N33">
        <v>0</v>
      </c>
      <c r="O33" t="s">
        <v>1391</v>
      </c>
      <c r="P33" t="s">
        <v>320</v>
      </c>
      <c r="Q33" t="s">
        <v>1399</v>
      </c>
      <c r="R33" t="s">
        <v>1405</v>
      </c>
      <c r="S33" t="s">
        <v>202</v>
      </c>
      <c r="T33" t="s">
        <v>1406</v>
      </c>
      <c r="U33">
        <v>0</v>
      </c>
      <c r="V33">
        <v>1</v>
      </c>
      <c r="W33">
        <v>8.8138749000000001</v>
      </c>
      <c r="X33">
        <v>47.343564000000001</v>
      </c>
      <c r="Y33">
        <v>45.385948299999995</v>
      </c>
      <c r="Z33">
        <v>27.096287499999999</v>
      </c>
      <c r="AA33">
        <v>0</v>
      </c>
      <c r="AB33">
        <v>2</v>
      </c>
      <c r="AC33" t="s">
        <v>171</v>
      </c>
      <c r="AD33">
        <v>1</v>
      </c>
      <c r="AE33" t="s">
        <v>1388</v>
      </c>
      <c r="AF33">
        <v>110002000</v>
      </c>
      <c r="AG33" t="s">
        <v>310</v>
      </c>
      <c r="AH33">
        <v>3986.06</v>
      </c>
      <c r="AI33">
        <v>0</v>
      </c>
    </row>
    <row r="34" spans="1:35" x14ac:dyDescent="0.3">
      <c r="A34">
        <v>384</v>
      </c>
      <c r="B34" t="s">
        <v>366</v>
      </c>
      <c r="C34">
        <v>6</v>
      </c>
      <c r="D34" s="3">
        <v>45373.411271180557</v>
      </c>
      <c r="E34" t="s">
        <v>316</v>
      </c>
      <c r="F34" t="s">
        <v>317</v>
      </c>
      <c r="G34">
        <v>0</v>
      </c>
      <c r="H34" t="s">
        <v>310</v>
      </c>
      <c r="I34">
        <v>0</v>
      </c>
      <c r="J34">
        <v>0</v>
      </c>
      <c r="K34">
        <v>0</v>
      </c>
      <c r="L34" t="s">
        <v>310</v>
      </c>
      <c r="M34" t="s">
        <v>310</v>
      </c>
      <c r="N34">
        <v>0</v>
      </c>
      <c r="O34" t="s">
        <v>319</v>
      </c>
      <c r="P34" t="s">
        <v>101</v>
      </c>
      <c r="Q34" t="s">
        <v>1400</v>
      </c>
      <c r="R34" t="s">
        <v>1404</v>
      </c>
      <c r="S34" t="s">
        <v>1411</v>
      </c>
      <c r="T34" t="s">
        <v>105</v>
      </c>
      <c r="U34">
        <v>9</v>
      </c>
      <c r="V34">
        <v>9</v>
      </c>
      <c r="W34">
        <v>0</v>
      </c>
      <c r="X34">
        <v>0</v>
      </c>
      <c r="Y34">
        <v>4.1465170999999996</v>
      </c>
      <c r="Z34">
        <v>131.05725999999999</v>
      </c>
      <c r="AA34">
        <v>0</v>
      </c>
      <c r="AB34">
        <v>0</v>
      </c>
      <c r="AC34" t="s">
        <v>173</v>
      </c>
      <c r="AD34">
        <v>9</v>
      </c>
      <c r="AE34" t="s">
        <v>1392</v>
      </c>
      <c r="AF34">
        <v>90000000</v>
      </c>
      <c r="AG34" t="s">
        <v>310</v>
      </c>
      <c r="AH34">
        <v>4122.0600000000004</v>
      </c>
      <c r="AI34">
        <v>0</v>
      </c>
    </row>
    <row r="35" spans="1:35" x14ac:dyDescent="0.3">
      <c r="A35">
        <v>385</v>
      </c>
      <c r="B35" t="s">
        <v>1305</v>
      </c>
      <c r="C35">
        <v>6</v>
      </c>
      <c r="D35" s="3">
        <v>45373.411271296296</v>
      </c>
      <c r="E35" t="s">
        <v>316</v>
      </c>
      <c r="F35" t="s">
        <v>317</v>
      </c>
      <c r="G35">
        <v>0</v>
      </c>
      <c r="H35" t="s">
        <v>310</v>
      </c>
      <c r="I35">
        <v>0</v>
      </c>
      <c r="J35">
        <v>0</v>
      </c>
      <c r="K35">
        <v>0</v>
      </c>
      <c r="L35" t="s">
        <v>310</v>
      </c>
      <c r="M35" t="s">
        <v>310</v>
      </c>
      <c r="N35">
        <v>0</v>
      </c>
      <c r="O35" t="s">
        <v>1393</v>
      </c>
      <c r="P35" t="s">
        <v>101</v>
      </c>
      <c r="Q35" t="s">
        <v>1399</v>
      </c>
      <c r="R35" t="s">
        <v>1404</v>
      </c>
      <c r="S35" t="s">
        <v>1411</v>
      </c>
      <c r="T35" t="s">
        <v>105</v>
      </c>
      <c r="U35">
        <v>9</v>
      </c>
      <c r="V35">
        <v>9</v>
      </c>
      <c r="W35">
        <v>0</v>
      </c>
      <c r="X35">
        <v>40.801869499999995</v>
      </c>
      <c r="Y35">
        <v>42.395441599999998</v>
      </c>
      <c r="Z35">
        <v>50.955419899999995</v>
      </c>
      <c r="AA35">
        <v>0</v>
      </c>
      <c r="AB35">
        <v>0</v>
      </c>
      <c r="AC35" t="s">
        <v>174</v>
      </c>
      <c r="AD35">
        <v>0</v>
      </c>
      <c r="AE35" t="s">
        <v>1390</v>
      </c>
      <c r="AF35">
        <v>130000000</v>
      </c>
      <c r="AG35" t="s">
        <v>310</v>
      </c>
      <c r="AH35">
        <v>3173.06</v>
      </c>
      <c r="AI35">
        <v>0</v>
      </c>
    </row>
    <row r="36" spans="1:35" x14ac:dyDescent="0.3">
      <c r="A36">
        <v>386</v>
      </c>
      <c r="B36" t="s">
        <v>372</v>
      </c>
      <c r="C36">
        <v>6</v>
      </c>
      <c r="D36" s="3">
        <v>45373.411271377314</v>
      </c>
      <c r="E36" t="s">
        <v>316</v>
      </c>
      <c r="F36" t="s">
        <v>317</v>
      </c>
      <c r="G36">
        <v>1</v>
      </c>
      <c r="H36" t="s">
        <v>310</v>
      </c>
      <c r="I36">
        <v>0</v>
      </c>
      <c r="J36">
        <v>0</v>
      </c>
      <c r="K36">
        <v>0</v>
      </c>
      <c r="L36" t="s">
        <v>310</v>
      </c>
      <c r="M36" t="s">
        <v>310</v>
      </c>
      <c r="N36">
        <v>0</v>
      </c>
      <c r="O36" t="s">
        <v>1389</v>
      </c>
      <c r="P36" t="s">
        <v>320</v>
      </c>
      <c r="Q36" t="s">
        <v>1400</v>
      </c>
      <c r="R36" t="s">
        <v>1404</v>
      </c>
      <c r="S36" t="s">
        <v>1411</v>
      </c>
      <c r="T36" t="s">
        <v>105</v>
      </c>
      <c r="U36">
        <v>9</v>
      </c>
      <c r="V36">
        <v>9</v>
      </c>
      <c r="W36">
        <v>0</v>
      </c>
      <c r="X36">
        <v>28.895088899999998</v>
      </c>
      <c r="Y36">
        <v>31.096642899999999</v>
      </c>
      <c r="Z36">
        <v>75.71201409999999</v>
      </c>
      <c r="AA36">
        <v>0</v>
      </c>
      <c r="AB36">
        <v>0</v>
      </c>
      <c r="AC36" t="s">
        <v>174</v>
      </c>
      <c r="AD36">
        <v>9</v>
      </c>
      <c r="AE36" t="s">
        <v>1394</v>
      </c>
      <c r="AF36">
        <v>40000000</v>
      </c>
      <c r="AG36" t="s">
        <v>310</v>
      </c>
      <c r="AH36">
        <v>7504.06</v>
      </c>
      <c r="AI36">
        <v>0</v>
      </c>
    </row>
    <row r="37" spans="1:35" x14ac:dyDescent="0.3">
      <c r="A37">
        <v>387</v>
      </c>
      <c r="B37" t="s">
        <v>318</v>
      </c>
      <c r="C37">
        <v>6</v>
      </c>
      <c r="D37" s="3">
        <v>45373.411271493052</v>
      </c>
      <c r="E37" t="s">
        <v>316</v>
      </c>
      <c r="F37" t="s">
        <v>317</v>
      </c>
      <c r="G37">
        <v>0</v>
      </c>
      <c r="H37" t="s">
        <v>310</v>
      </c>
      <c r="I37">
        <v>0</v>
      </c>
      <c r="J37">
        <v>0</v>
      </c>
      <c r="K37">
        <v>0</v>
      </c>
      <c r="L37" t="s">
        <v>310</v>
      </c>
      <c r="M37" t="s">
        <v>310</v>
      </c>
      <c r="N37">
        <v>0</v>
      </c>
      <c r="O37" t="s">
        <v>1395</v>
      </c>
      <c r="P37" t="s">
        <v>320</v>
      </c>
      <c r="Q37" t="s">
        <v>1400</v>
      </c>
      <c r="R37" t="s">
        <v>1404</v>
      </c>
      <c r="S37" t="s">
        <v>1411</v>
      </c>
      <c r="T37" t="s">
        <v>105</v>
      </c>
      <c r="U37">
        <v>9</v>
      </c>
      <c r="V37">
        <v>9</v>
      </c>
      <c r="W37">
        <v>0</v>
      </c>
      <c r="X37">
        <v>29.2322469</v>
      </c>
      <c r="Y37">
        <v>19.102001599999998</v>
      </c>
      <c r="Z37">
        <v>87.303512900000001</v>
      </c>
      <c r="AA37">
        <v>0</v>
      </c>
      <c r="AB37">
        <v>1</v>
      </c>
      <c r="AC37" t="s">
        <v>174</v>
      </c>
      <c r="AD37">
        <v>9</v>
      </c>
      <c r="AE37" t="s">
        <v>1396</v>
      </c>
      <c r="AF37">
        <v>80000000</v>
      </c>
      <c r="AG37" t="s">
        <v>310</v>
      </c>
      <c r="AH37">
        <v>639.05999999999995</v>
      </c>
      <c r="AI37">
        <v>0</v>
      </c>
    </row>
    <row r="38" spans="1:35" x14ac:dyDescent="0.3">
      <c r="A38">
        <v>447</v>
      </c>
      <c r="B38" t="s">
        <v>1310</v>
      </c>
      <c r="C38">
        <v>7</v>
      </c>
      <c r="D38" s="3">
        <v>45373.416394872685</v>
      </c>
      <c r="E38" t="s">
        <v>316</v>
      </c>
      <c r="F38" t="s">
        <v>317</v>
      </c>
      <c r="G38">
        <v>1</v>
      </c>
      <c r="H38" t="s">
        <v>310</v>
      </c>
      <c r="I38">
        <v>0</v>
      </c>
      <c r="J38">
        <v>0</v>
      </c>
      <c r="K38">
        <v>0</v>
      </c>
      <c r="L38" t="s">
        <v>310</v>
      </c>
      <c r="M38" t="s">
        <v>310</v>
      </c>
      <c r="N38">
        <v>0</v>
      </c>
      <c r="O38" t="s">
        <v>311</v>
      </c>
      <c r="P38" t="s">
        <v>101</v>
      </c>
      <c r="Q38" t="s">
        <v>1399</v>
      </c>
      <c r="R38" t="s">
        <v>1405</v>
      </c>
      <c r="S38" t="s">
        <v>202</v>
      </c>
      <c r="T38" t="s">
        <v>1406</v>
      </c>
      <c r="U38">
        <v>0</v>
      </c>
      <c r="V38">
        <v>0</v>
      </c>
      <c r="W38">
        <v>9.2504511999999988</v>
      </c>
      <c r="X38">
        <v>21.310317699999999</v>
      </c>
      <c r="Y38">
        <v>28.7890576</v>
      </c>
      <c r="Z38">
        <v>74.814012199999993</v>
      </c>
      <c r="AA38">
        <v>2</v>
      </c>
      <c r="AB38">
        <v>1</v>
      </c>
      <c r="AC38" t="s">
        <v>174</v>
      </c>
      <c r="AD38">
        <v>0</v>
      </c>
      <c r="AE38" t="s">
        <v>1387</v>
      </c>
      <c r="AF38">
        <v>80000000</v>
      </c>
      <c r="AG38" t="s">
        <v>310</v>
      </c>
      <c r="AH38">
        <v>6621.07</v>
      </c>
      <c r="AI38">
        <v>0</v>
      </c>
    </row>
    <row r="39" spans="1:35" x14ac:dyDescent="0.3">
      <c r="A39">
        <v>448</v>
      </c>
      <c r="B39" t="s">
        <v>1311</v>
      </c>
      <c r="C39">
        <v>7</v>
      </c>
      <c r="D39" s="3">
        <v>45373.416395023145</v>
      </c>
      <c r="E39" t="s">
        <v>316</v>
      </c>
      <c r="F39" t="s">
        <v>317</v>
      </c>
      <c r="G39">
        <v>1</v>
      </c>
      <c r="H39" t="s">
        <v>310</v>
      </c>
      <c r="I39">
        <v>0</v>
      </c>
      <c r="J39">
        <v>0</v>
      </c>
      <c r="K39">
        <v>0</v>
      </c>
      <c r="L39" t="s">
        <v>310</v>
      </c>
      <c r="M39" t="s">
        <v>310</v>
      </c>
      <c r="N39">
        <v>0</v>
      </c>
      <c r="O39" t="s">
        <v>1391</v>
      </c>
      <c r="P39" t="s">
        <v>320</v>
      </c>
      <c r="Q39" t="s">
        <v>1400</v>
      </c>
      <c r="R39" t="s">
        <v>321</v>
      </c>
      <c r="S39" t="s">
        <v>1411</v>
      </c>
      <c r="T39" t="s">
        <v>105</v>
      </c>
      <c r="U39">
        <v>9</v>
      </c>
      <c r="V39">
        <v>9</v>
      </c>
      <c r="W39">
        <v>0</v>
      </c>
      <c r="X39">
        <v>91.335829799999999</v>
      </c>
      <c r="Y39">
        <v>12.8335039</v>
      </c>
      <c r="Z39">
        <v>31.185368699999998</v>
      </c>
      <c r="AA39">
        <v>0</v>
      </c>
      <c r="AB39">
        <v>2</v>
      </c>
      <c r="AC39" t="s">
        <v>174</v>
      </c>
      <c r="AD39">
        <v>9</v>
      </c>
      <c r="AE39" t="s">
        <v>1390</v>
      </c>
      <c r="AF39">
        <v>10000000</v>
      </c>
      <c r="AG39" t="s">
        <v>310</v>
      </c>
      <c r="AH39">
        <v>2234.0700000000002</v>
      </c>
      <c r="AI39">
        <v>0</v>
      </c>
    </row>
    <row r="40" spans="1:35" x14ac:dyDescent="0.3">
      <c r="A40">
        <v>449</v>
      </c>
      <c r="B40" t="s">
        <v>1312</v>
      </c>
      <c r="C40">
        <v>7</v>
      </c>
      <c r="D40" s="3">
        <v>45373.41639510417</v>
      </c>
      <c r="E40" t="s">
        <v>316</v>
      </c>
      <c r="F40" t="s">
        <v>317</v>
      </c>
      <c r="G40">
        <v>1</v>
      </c>
      <c r="H40" t="s">
        <v>310</v>
      </c>
      <c r="I40">
        <v>0</v>
      </c>
      <c r="J40">
        <v>0</v>
      </c>
      <c r="K40">
        <v>0</v>
      </c>
      <c r="L40" t="s">
        <v>310</v>
      </c>
      <c r="M40" t="s">
        <v>310</v>
      </c>
      <c r="N40">
        <v>0</v>
      </c>
      <c r="O40" t="s">
        <v>319</v>
      </c>
      <c r="P40" t="s">
        <v>240</v>
      </c>
      <c r="Q40" t="s">
        <v>1400</v>
      </c>
      <c r="R40" t="s">
        <v>321</v>
      </c>
      <c r="S40" t="s">
        <v>1411</v>
      </c>
      <c r="T40" t="s">
        <v>105</v>
      </c>
      <c r="U40">
        <v>9</v>
      </c>
      <c r="V40">
        <v>9</v>
      </c>
      <c r="W40">
        <v>0</v>
      </c>
      <c r="X40">
        <v>0</v>
      </c>
      <c r="Y40">
        <v>0.80726369999999992</v>
      </c>
      <c r="Z40">
        <v>134.35695699999999</v>
      </c>
      <c r="AA40">
        <v>0</v>
      </c>
      <c r="AB40">
        <v>0</v>
      </c>
      <c r="AC40" t="s">
        <v>167</v>
      </c>
      <c r="AD40">
        <v>9</v>
      </c>
      <c r="AE40" t="s">
        <v>1388</v>
      </c>
      <c r="AF40">
        <v>20000000</v>
      </c>
      <c r="AG40" t="s">
        <v>310</v>
      </c>
      <c r="AH40">
        <v>2053.0700000000002</v>
      </c>
      <c r="AI40">
        <v>0</v>
      </c>
    </row>
    <row r="41" spans="1:35" x14ac:dyDescent="0.3">
      <c r="A41">
        <v>450</v>
      </c>
      <c r="B41" t="s">
        <v>1308</v>
      </c>
      <c r="C41">
        <v>7</v>
      </c>
      <c r="D41" s="3">
        <v>45373.416395219909</v>
      </c>
      <c r="E41" t="s">
        <v>316</v>
      </c>
      <c r="F41" t="s">
        <v>317</v>
      </c>
      <c r="G41">
        <v>1</v>
      </c>
      <c r="H41" t="s">
        <v>310</v>
      </c>
      <c r="I41">
        <v>0</v>
      </c>
      <c r="J41">
        <v>0</v>
      </c>
      <c r="K41">
        <v>0</v>
      </c>
      <c r="L41" t="s">
        <v>310</v>
      </c>
      <c r="M41" t="s">
        <v>310</v>
      </c>
      <c r="N41">
        <v>0</v>
      </c>
      <c r="O41" t="s">
        <v>1393</v>
      </c>
      <c r="P41" t="s">
        <v>240</v>
      </c>
      <c r="Q41" t="s">
        <v>1400</v>
      </c>
      <c r="R41" t="s">
        <v>1405</v>
      </c>
      <c r="S41" t="s">
        <v>202</v>
      </c>
      <c r="T41" t="s">
        <v>1407</v>
      </c>
      <c r="U41">
        <v>1</v>
      </c>
      <c r="V41">
        <v>0</v>
      </c>
      <c r="W41">
        <v>6.0346111999999996</v>
      </c>
      <c r="X41">
        <v>22.7613922</v>
      </c>
      <c r="Y41">
        <v>18.7123603</v>
      </c>
      <c r="Z41">
        <v>78.649134399999994</v>
      </c>
      <c r="AA41">
        <v>0</v>
      </c>
      <c r="AB41">
        <v>0</v>
      </c>
      <c r="AC41" t="s">
        <v>173</v>
      </c>
      <c r="AD41">
        <v>9</v>
      </c>
      <c r="AE41" t="s">
        <v>1394</v>
      </c>
      <c r="AF41">
        <v>130000000</v>
      </c>
      <c r="AG41" t="s">
        <v>310</v>
      </c>
      <c r="AH41">
        <v>3799.07</v>
      </c>
      <c r="AI41">
        <v>0</v>
      </c>
    </row>
    <row r="42" spans="1:35" x14ac:dyDescent="0.3">
      <c r="A42">
        <v>451</v>
      </c>
      <c r="B42" t="s">
        <v>1309</v>
      </c>
      <c r="C42">
        <v>7</v>
      </c>
      <c r="D42" s="3">
        <v>45373.41639528935</v>
      </c>
      <c r="E42" t="s">
        <v>316</v>
      </c>
      <c r="F42" t="s">
        <v>317</v>
      </c>
      <c r="G42">
        <v>1</v>
      </c>
      <c r="H42" t="s">
        <v>310</v>
      </c>
      <c r="I42">
        <v>0</v>
      </c>
      <c r="J42">
        <v>0</v>
      </c>
      <c r="K42">
        <v>0</v>
      </c>
      <c r="L42" t="s">
        <v>310</v>
      </c>
      <c r="M42" t="s">
        <v>310</v>
      </c>
      <c r="N42">
        <v>0</v>
      </c>
      <c r="O42" t="s">
        <v>1389</v>
      </c>
      <c r="P42" t="s">
        <v>1401</v>
      </c>
      <c r="Q42" t="s">
        <v>1399</v>
      </c>
      <c r="R42" t="s">
        <v>1405</v>
      </c>
      <c r="S42" t="s">
        <v>202</v>
      </c>
      <c r="T42" t="s">
        <v>1407</v>
      </c>
      <c r="U42">
        <v>1</v>
      </c>
      <c r="V42">
        <v>0</v>
      </c>
      <c r="W42">
        <v>8.905741299999999</v>
      </c>
      <c r="X42">
        <v>25.534937499999998</v>
      </c>
      <c r="Y42">
        <v>37.071157999999997</v>
      </c>
      <c r="Z42">
        <v>52.972632599999997</v>
      </c>
      <c r="AA42">
        <v>0</v>
      </c>
      <c r="AB42">
        <v>0</v>
      </c>
      <c r="AC42" t="s">
        <v>174</v>
      </c>
      <c r="AD42">
        <v>0</v>
      </c>
      <c r="AE42" t="s">
        <v>1392</v>
      </c>
      <c r="AF42">
        <v>90000000</v>
      </c>
      <c r="AG42" t="s">
        <v>310</v>
      </c>
      <c r="AH42">
        <v>3550.07</v>
      </c>
      <c r="AI42">
        <v>0</v>
      </c>
    </row>
    <row r="43" spans="1:35" x14ac:dyDescent="0.3">
      <c r="A43">
        <v>452</v>
      </c>
      <c r="B43" t="s">
        <v>364</v>
      </c>
      <c r="C43">
        <v>7</v>
      </c>
      <c r="D43" s="3">
        <v>45373.416395405089</v>
      </c>
      <c r="E43" t="s">
        <v>316</v>
      </c>
      <c r="F43" t="s">
        <v>317</v>
      </c>
      <c r="G43">
        <v>0</v>
      </c>
      <c r="H43" t="s">
        <v>310</v>
      </c>
      <c r="I43">
        <v>0</v>
      </c>
      <c r="J43">
        <v>0</v>
      </c>
      <c r="K43">
        <v>0</v>
      </c>
      <c r="L43" t="s">
        <v>310</v>
      </c>
      <c r="M43" t="s">
        <v>310</v>
      </c>
      <c r="N43">
        <v>0</v>
      </c>
      <c r="O43" t="s">
        <v>1395</v>
      </c>
      <c r="P43" t="s">
        <v>101</v>
      </c>
      <c r="Q43" t="s">
        <v>1400</v>
      </c>
      <c r="R43" t="s">
        <v>1405</v>
      </c>
      <c r="S43" t="s">
        <v>202</v>
      </c>
      <c r="T43" t="s">
        <v>1406</v>
      </c>
      <c r="U43">
        <v>0</v>
      </c>
      <c r="V43">
        <v>0</v>
      </c>
      <c r="W43">
        <v>13.3061419</v>
      </c>
      <c r="X43">
        <v>16.187381899999998</v>
      </c>
      <c r="Y43">
        <v>27.109316399999997</v>
      </c>
      <c r="Z43">
        <v>62.537664399999997</v>
      </c>
      <c r="AA43">
        <v>2</v>
      </c>
      <c r="AB43">
        <v>0</v>
      </c>
      <c r="AC43" t="s">
        <v>170</v>
      </c>
      <c r="AD43">
        <v>9</v>
      </c>
      <c r="AE43" t="s">
        <v>1396</v>
      </c>
      <c r="AF43">
        <v>20001000</v>
      </c>
      <c r="AG43" t="s">
        <v>310</v>
      </c>
      <c r="AH43">
        <v>2791.07</v>
      </c>
      <c r="AI43">
        <v>0</v>
      </c>
    </row>
    <row r="44" spans="1:35" x14ac:dyDescent="0.3">
      <c r="A44">
        <v>519</v>
      </c>
      <c r="B44" t="s">
        <v>361</v>
      </c>
      <c r="C44">
        <v>8</v>
      </c>
      <c r="D44" s="3">
        <v>45373.420855671298</v>
      </c>
      <c r="E44" t="s">
        <v>316</v>
      </c>
      <c r="F44" t="s">
        <v>317</v>
      </c>
      <c r="G44">
        <v>1</v>
      </c>
      <c r="H44" t="s">
        <v>310</v>
      </c>
      <c r="I44">
        <v>0</v>
      </c>
      <c r="J44">
        <v>0</v>
      </c>
      <c r="K44">
        <v>0</v>
      </c>
      <c r="L44" t="s">
        <v>310</v>
      </c>
      <c r="M44" t="s">
        <v>310</v>
      </c>
      <c r="N44">
        <v>0</v>
      </c>
      <c r="O44" t="s">
        <v>311</v>
      </c>
      <c r="P44" t="s">
        <v>1401</v>
      </c>
      <c r="Q44" t="s">
        <v>1399</v>
      </c>
      <c r="R44" t="s">
        <v>1404</v>
      </c>
      <c r="S44" t="s">
        <v>322</v>
      </c>
      <c r="T44" t="s">
        <v>105</v>
      </c>
      <c r="U44">
        <v>9</v>
      </c>
      <c r="V44">
        <v>9</v>
      </c>
      <c r="W44">
        <v>9.2106169999999992</v>
      </c>
      <c r="X44">
        <v>37.264370800000002</v>
      </c>
      <c r="Y44">
        <v>37.9982215</v>
      </c>
      <c r="Z44">
        <v>50.995272799999995</v>
      </c>
      <c r="AA44">
        <v>0</v>
      </c>
      <c r="AB44">
        <v>1</v>
      </c>
      <c r="AC44" t="s">
        <v>171</v>
      </c>
      <c r="AD44">
        <v>0</v>
      </c>
      <c r="AE44" t="s">
        <v>1388</v>
      </c>
      <c r="AF44">
        <v>90001000</v>
      </c>
      <c r="AG44" t="s">
        <v>310</v>
      </c>
      <c r="AH44">
        <v>20.079999999999998</v>
      </c>
      <c r="AI44">
        <v>0</v>
      </c>
    </row>
    <row r="45" spans="1:35" x14ac:dyDescent="0.3">
      <c r="A45">
        <v>520</v>
      </c>
      <c r="B45" t="s">
        <v>373</v>
      </c>
      <c r="C45">
        <v>8</v>
      </c>
      <c r="D45" s="3">
        <v>45373.420855787037</v>
      </c>
      <c r="E45" t="s">
        <v>316</v>
      </c>
      <c r="F45" t="s">
        <v>317</v>
      </c>
      <c r="G45">
        <v>0</v>
      </c>
      <c r="H45" t="s">
        <v>310</v>
      </c>
      <c r="I45">
        <v>0</v>
      </c>
      <c r="J45">
        <v>0</v>
      </c>
      <c r="K45">
        <v>0</v>
      </c>
      <c r="L45" t="s">
        <v>310</v>
      </c>
      <c r="M45" t="s">
        <v>310</v>
      </c>
      <c r="N45">
        <v>0</v>
      </c>
      <c r="O45" t="s">
        <v>1391</v>
      </c>
      <c r="P45" t="s">
        <v>320</v>
      </c>
      <c r="Q45" t="s">
        <v>1400</v>
      </c>
      <c r="R45" t="s">
        <v>1404</v>
      </c>
      <c r="S45" t="s">
        <v>322</v>
      </c>
      <c r="T45" t="s">
        <v>105</v>
      </c>
      <c r="U45">
        <v>9</v>
      </c>
      <c r="V45">
        <v>9</v>
      </c>
      <c r="W45">
        <v>22.119999199999999</v>
      </c>
      <c r="X45">
        <v>0</v>
      </c>
      <c r="Y45">
        <v>42.529401100000001</v>
      </c>
      <c r="Z45">
        <v>70.253457999999995</v>
      </c>
      <c r="AA45">
        <v>3</v>
      </c>
      <c r="AB45">
        <v>0</v>
      </c>
      <c r="AC45" t="s">
        <v>170</v>
      </c>
      <c r="AD45">
        <v>9</v>
      </c>
      <c r="AE45" t="s">
        <v>1390</v>
      </c>
      <c r="AF45">
        <v>0</v>
      </c>
      <c r="AG45" t="s">
        <v>310</v>
      </c>
      <c r="AH45">
        <v>7718.08</v>
      </c>
      <c r="AI45">
        <v>0</v>
      </c>
    </row>
    <row r="46" spans="1:35" x14ac:dyDescent="0.3">
      <c r="A46">
        <v>521</v>
      </c>
      <c r="B46" t="s">
        <v>1315</v>
      </c>
      <c r="C46">
        <v>8</v>
      </c>
      <c r="D46" s="3">
        <v>45373.420855902776</v>
      </c>
      <c r="E46" t="s">
        <v>316</v>
      </c>
      <c r="F46" t="s">
        <v>317</v>
      </c>
      <c r="G46">
        <v>1</v>
      </c>
      <c r="H46" t="s">
        <v>310</v>
      </c>
      <c r="I46">
        <v>0</v>
      </c>
      <c r="J46">
        <v>0</v>
      </c>
      <c r="K46">
        <v>0</v>
      </c>
      <c r="L46" t="s">
        <v>310</v>
      </c>
      <c r="M46" t="s">
        <v>310</v>
      </c>
      <c r="N46">
        <v>0</v>
      </c>
      <c r="O46" t="s">
        <v>319</v>
      </c>
      <c r="P46" t="s">
        <v>101</v>
      </c>
      <c r="Q46" t="s">
        <v>1400</v>
      </c>
      <c r="R46" t="s">
        <v>1405</v>
      </c>
      <c r="S46" t="s">
        <v>202</v>
      </c>
      <c r="T46" t="s">
        <v>1407</v>
      </c>
      <c r="U46">
        <v>0</v>
      </c>
      <c r="V46">
        <v>0</v>
      </c>
      <c r="W46">
        <v>3.3584223</v>
      </c>
      <c r="X46">
        <v>21.8991404</v>
      </c>
      <c r="Y46">
        <v>16.434426800000001</v>
      </c>
      <c r="Z46">
        <v>84.273124899999999</v>
      </c>
      <c r="AA46">
        <v>0</v>
      </c>
      <c r="AB46">
        <v>1</v>
      </c>
      <c r="AC46" t="s">
        <v>174</v>
      </c>
      <c r="AD46">
        <v>9</v>
      </c>
      <c r="AE46" t="s">
        <v>1414</v>
      </c>
      <c r="AF46">
        <v>100000000</v>
      </c>
      <c r="AG46" t="s">
        <v>310</v>
      </c>
      <c r="AH46">
        <v>1511.08</v>
      </c>
      <c r="AI46">
        <v>0</v>
      </c>
    </row>
    <row r="47" spans="1:35" x14ac:dyDescent="0.3">
      <c r="A47">
        <v>522</v>
      </c>
      <c r="B47" t="s">
        <v>1314</v>
      </c>
      <c r="C47">
        <v>8</v>
      </c>
      <c r="D47" s="3">
        <v>45373.420855983793</v>
      </c>
      <c r="E47" t="s">
        <v>316</v>
      </c>
      <c r="F47" t="s">
        <v>317</v>
      </c>
      <c r="G47">
        <v>1</v>
      </c>
      <c r="H47" t="s">
        <v>310</v>
      </c>
      <c r="I47">
        <v>0</v>
      </c>
      <c r="J47">
        <v>0</v>
      </c>
      <c r="K47">
        <v>0</v>
      </c>
      <c r="L47" t="s">
        <v>310</v>
      </c>
      <c r="M47" t="s">
        <v>310</v>
      </c>
      <c r="N47">
        <v>0</v>
      </c>
      <c r="O47" t="s">
        <v>1393</v>
      </c>
      <c r="P47" t="s">
        <v>1401</v>
      </c>
      <c r="Q47" t="s">
        <v>1400</v>
      </c>
      <c r="R47" t="s">
        <v>1405</v>
      </c>
      <c r="S47" t="s">
        <v>202</v>
      </c>
      <c r="T47" t="s">
        <v>1406</v>
      </c>
      <c r="U47">
        <v>0</v>
      </c>
      <c r="V47">
        <v>0</v>
      </c>
      <c r="W47">
        <v>9.4925192999999997</v>
      </c>
      <c r="X47">
        <v>13.410441799999999</v>
      </c>
      <c r="Y47">
        <v>15.797151599999999</v>
      </c>
      <c r="Z47">
        <v>91.140261099999989</v>
      </c>
      <c r="AA47">
        <v>0</v>
      </c>
      <c r="AB47">
        <v>0</v>
      </c>
      <c r="AC47" t="s">
        <v>173</v>
      </c>
      <c r="AD47">
        <v>9</v>
      </c>
      <c r="AE47" t="s">
        <v>1412</v>
      </c>
      <c r="AF47">
        <v>120000000</v>
      </c>
      <c r="AG47" t="s">
        <v>310</v>
      </c>
      <c r="AH47">
        <v>3419.08</v>
      </c>
      <c r="AI47">
        <v>0</v>
      </c>
    </row>
    <row r="48" spans="1:35" x14ac:dyDescent="0.3">
      <c r="A48">
        <v>523</v>
      </c>
      <c r="B48" t="s">
        <v>363</v>
      </c>
      <c r="C48">
        <v>8</v>
      </c>
      <c r="D48" s="3">
        <v>45373.420856099539</v>
      </c>
      <c r="E48" t="s">
        <v>316</v>
      </c>
      <c r="F48" t="s">
        <v>317</v>
      </c>
      <c r="G48">
        <v>1</v>
      </c>
      <c r="H48" t="s">
        <v>310</v>
      </c>
      <c r="I48">
        <v>0</v>
      </c>
      <c r="J48">
        <v>0</v>
      </c>
      <c r="K48">
        <v>0</v>
      </c>
      <c r="L48" t="s">
        <v>310</v>
      </c>
      <c r="M48" t="s">
        <v>310</v>
      </c>
      <c r="N48">
        <v>0</v>
      </c>
      <c r="O48" t="s">
        <v>1389</v>
      </c>
      <c r="P48" t="s">
        <v>240</v>
      </c>
      <c r="Q48" t="s">
        <v>1399</v>
      </c>
      <c r="R48" t="s">
        <v>1405</v>
      </c>
      <c r="S48" t="s">
        <v>202</v>
      </c>
      <c r="T48" t="s">
        <v>1407</v>
      </c>
      <c r="U48">
        <v>0</v>
      </c>
      <c r="V48">
        <v>0</v>
      </c>
      <c r="W48">
        <v>7.6340427999999996</v>
      </c>
      <c r="X48">
        <v>41.8138644</v>
      </c>
      <c r="Y48">
        <v>14.3374159</v>
      </c>
      <c r="Z48">
        <v>65.430802200000002</v>
      </c>
      <c r="AA48">
        <v>0</v>
      </c>
      <c r="AB48">
        <v>1</v>
      </c>
      <c r="AC48" t="s">
        <v>174</v>
      </c>
      <c r="AD48">
        <v>0</v>
      </c>
      <c r="AE48" t="s">
        <v>1396</v>
      </c>
      <c r="AF48">
        <v>110000000</v>
      </c>
      <c r="AG48" t="s">
        <v>310</v>
      </c>
      <c r="AH48">
        <v>2601.08</v>
      </c>
      <c r="AI48">
        <v>0</v>
      </c>
    </row>
    <row r="49" spans="1:35" x14ac:dyDescent="0.3">
      <c r="A49">
        <v>524</v>
      </c>
      <c r="B49" t="s">
        <v>368</v>
      </c>
      <c r="C49">
        <v>8</v>
      </c>
      <c r="D49" s="3">
        <v>45373.420856215278</v>
      </c>
      <c r="E49" t="s">
        <v>316</v>
      </c>
      <c r="F49" t="s">
        <v>317</v>
      </c>
      <c r="G49">
        <v>0</v>
      </c>
      <c r="H49" t="s">
        <v>310</v>
      </c>
      <c r="I49">
        <v>0</v>
      </c>
      <c r="J49">
        <v>0</v>
      </c>
      <c r="K49">
        <v>0</v>
      </c>
      <c r="L49" t="s">
        <v>310</v>
      </c>
      <c r="M49" t="s">
        <v>310</v>
      </c>
      <c r="N49">
        <v>0</v>
      </c>
      <c r="O49" t="s">
        <v>1395</v>
      </c>
      <c r="P49" t="s">
        <v>101</v>
      </c>
      <c r="Q49" t="s">
        <v>1400</v>
      </c>
      <c r="R49" t="s">
        <v>1404</v>
      </c>
      <c r="S49" t="s">
        <v>322</v>
      </c>
      <c r="T49" t="s">
        <v>105</v>
      </c>
      <c r="U49">
        <v>9</v>
      </c>
      <c r="V49">
        <v>9</v>
      </c>
      <c r="W49">
        <v>15.424839299999999</v>
      </c>
      <c r="X49">
        <v>0.63332709999999992</v>
      </c>
      <c r="Y49">
        <v>60.9860544</v>
      </c>
      <c r="Z49">
        <v>55.420207399999995</v>
      </c>
      <c r="AA49">
        <v>0</v>
      </c>
      <c r="AB49">
        <v>0</v>
      </c>
      <c r="AC49" t="s">
        <v>173</v>
      </c>
      <c r="AD49">
        <v>9</v>
      </c>
      <c r="AE49" t="s">
        <v>1413</v>
      </c>
      <c r="AF49">
        <v>0</v>
      </c>
      <c r="AG49" t="s">
        <v>310</v>
      </c>
      <c r="AH49">
        <v>6401.08</v>
      </c>
      <c r="AI49">
        <v>0</v>
      </c>
    </row>
    <row r="50" spans="1:35" x14ac:dyDescent="0.3">
      <c r="A50">
        <v>559</v>
      </c>
      <c r="B50" t="s">
        <v>1318</v>
      </c>
      <c r="C50">
        <v>9</v>
      </c>
      <c r="D50" s="3">
        <v>45373.427532870373</v>
      </c>
      <c r="E50" t="s">
        <v>316</v>
      </c>
      <c r="F50" t="s">
        <v>317</v>
      </c>
      <c r="G50">
        <v>1</v>
      </c>
      <c r="H50" t="s">
        <v>310</v>
      </c>
      <c r="I50">
        <v>0</v>
      </c>
      <c r="J50">
        <v>0</v>
      </c>
      <c r="K50">
        <v>0</v>
      </c>
      <c r="L50" t="s">
        <v>310</v>
      </c>
      <c r="M50" t="s">
        <v>310</v>
      </c>
      <c r="N50">
        <v>0</v>
      </c>
      <c r="O50" t="s">
        <v>311</v>
      </c>
      <c r="P50" t="s">
        <v>240</v>
      </c>
      <c r="Q50" t="s">
        <v>1400</v>
      </c>
      <c r="R50" t="s">
        <v>1404</v>
      </c>
      <c r="S50" t="s">
        <v>1411</v>
      </c>
      <c r="T50" t="s">
        <v>105</v>
      </c>
      <c r="U50">
        <v>9</v>
      </c>
      <c r="V50">
        <v>9</v>
      </c>
      <c r="W50">
        <v>0</v>
      </c>
      <c r="X50">
        <v>30.622505999999998</v>
      </c>
      <c r="Y50">
        <v>12.672374399999999</v>
      </c>
      <c r="Z50">
        <v>98.088569299999989</v>
      </c>
      <c r="AA50">
        <v>0</v>
      </c>
      <c r="AB50">
        <v>0</v>
      </c>
      <c r="AC50" t="s">
        <v>174</v>
      </c>
      <c r="AD50">
        <v>9</v>
      </c>
      <c r="AE50" t="s">
        <v>1413</v>
      </c>
      <c r="AF50">
        <v>100000000</v>
      </c>
      <c r="AG50" t="s">
        <v>310</v>
      </c>
      <c r="AH50">
        <v>7709.09</v>
      </c>
      <c r="AI50">
        <v>0</v>
      </c>
    </row>
    <row r="51" spans="1:35" x14ac:dyDescent="0.3">
      <c r="A51">
        <v>560</v>
      </c>
      <c r="B51" t="s">
        <v>369</v>
      </c>
      <c r="C51">
        <v>9</v>
      </c>
      <c r="D51" s="3">
        <v>45373.42753306713</v>
      </c>
      <c r="E51" t="s">
        <v>316</v>
      </c>
      <c r="F51" t="s">
        <v>317</v>
      </c>
      <c r="G51">
        <v>1</v>
      </c>
      <c r="H51" t="s">
        <v>310</v>
      </c>
      <c r="I51">
        <v>0</v>
      </c>
      <c r="J51">
        <v>0</v>
      </c>
      <c r="K51">
        <v>0</v>
      </c>
      <c r="L51" t="s">
        <v>310</v>
      </c>
      <c r="M51" t="s">
        <v>310</v>
      </c>
      <c r="N51">
        <v>0</v>
      </c>
      <c r="O51" t="s">
        <v>1391</v>
      </c>
      <c r="P51" t="s">
        <v>101</v>
      </c>
      <c r="Q51" t="s">
        <v>1400</v>
      </c>
      <c r="R51" t="s">
        <v>1404</v>
      </c>
      <c r="S51" t="s">
        <v>1411</v>
      </c>
      <c r="T51" t="s">
        <v>105</v>
      </c>
      <c r="U51">
        <v>9</v>
      </c>
      <c r="V51">
        <v>9</v>
      </c>
      <c r="W51">
        <v>0</v>
      </c>
      <c r="X51">
        <v>100.2736419</v>
      </c>
      <c r="Y51">
        <v>13.626399599999999</v>
      </c>
      <c r="Z51">
        <v>23.9814632</v>
      </c>
      <c r="AA51">
        <v>3</v>
      </c>
      <c r="AB51">
        <v>0</v>
      </c>
      <c r="AC51" t="s">
        <v>170</v>
      </c>
      <c r="AD51">
        <v>9</v>
      </c>
      <c r="AE51" t="s">
        <v>1390</v>
      </c>
      <c r="AF51">
        <v>0</v>
      </c>
      <c r="AG51" t="s">
        <v>310</v>
      </c>
      <c r="AH51">
        <v>6463.09</v>
      </c>
      <c r="AI51">
        <v>0</v>
      </c>
    </row>
    <row r="52" spans="1:35" x14ac:dyDescent="0.3">
      <c r="A52">
        <v>561</v>
      </c>
      <c r="B52" t="s">
        <v>1288</v>
      </c>
      <c r="C52">
        <v>9</v>
      </c>
      <c r="D52" s="3">
        <v>45373.427533217589</v>
      </c>
      <c r="E52" t="s">
        <v>316</v>
      </c>
      <c r="F52" t="s">
        <v>317</v>
      </c>
      <c r="G52">
        <v>1</v>
      </c>
      <c r="H52" t="s">
        <v>310</v>
      </c>
      <c r="I52">
        <v>0</v>
      </c>
      <c r="J52">
        <v>0</v>
      </c>
      <c r="K52">
        <v>0</v>
      </c>
      <c r="L52" t="s">
        <v>310</v>
      </c>
      <c r="M52" t="s">
        <v>310</v>
      </c>
      <c r="N52">
        <v>0</v>
      </c>
      <c r="O52" t="s">
        <v>319</v>
      </c>
      <c r="P52" t="s">
        <v>1401</v>
      </c>
      <c r="Q52" t="s">
        <v>1399</v>
      </c>
      <c r="R52" t="s">
        <v>1405</v>
      </c>
      <c r="S52" t="s">
        <v>202</v>
      </c>
      <c r="T52" t="s">
        <v>1409</v>
      </c>
      <c r="U52">
        <v>0</v>
      </c>
      <c r="V52">
        <v>0</v>
      </c>
      <c r="W52">
        <v>9.1987439000000002</v>
      </c>
      <c r="X52">
        <v>25.430223299999998</v>
      </c>
      <c r="Y52">
        <v>74.950831800000003</v>
      </c>
      <c r="Z52">
        <v>12.3791888</v>
      </c>
      <c r="AA52">
        <v>2</v>
      </c>
      <c r="AB52">
        <v>0</v>
      </c>
      <c r="AC52" t="s">
        <v>170</v>
      </c>
      <c r="AD52">
        <v>0</v>
      </c>
      <c r="AE52" t="s">
        <v>1396</v>
      </c>
      <c r="AF52">
        <v>0</v>
      </c>
      <c r="AG52" t="s">
        <v>310</v>
      </c>
      <c r="AH52">
        <v>3181.09</v>
      </c>
      <c r="AI52">
        <v>0</v>
      </c>
    </row>
    <row r="53" spans="1:35" x14ac:dyDescent="0.3">
      <c r="A53">
        <v>562</v>
      </c>
      <c r="B53" t="s">
        <v>1294</v>
      </c>
      <c r="C53">
        <v>9</v>
      </c>
      <c r="D53" s="3">
        <v>45373.427533298614</v>
      </c>
      <c r="E53" t="s">
        <v>316</v>
      </c>
      <c r="F53" t="s">
        <v>317</v>
      </c>
      <c r="G53">
        <v>0</v>
      </c>
      <c r="H53" t="s">
        <v>310</v>
      </c>
      <c r="I53">
        <v>0</v>
      </c>
      <c r="J53">
        <v>0</v>
      </c>
      <c r="K53">
        <v>0</v>
      </c>
      <c r="L53" t="s">
        <v>310</v>
      </c>
      <c r="M53" t="s">
        <v>310</v>
      </c>
      <c r="N53">
        <v>0</v>
      </c>
      <c r="O53" t="s">
        <v>1393</v>
      </c>
      <c r="P53" t="s">
        <v>101</v>
      </c>
      <c r="Q53" t="s">
        <v>1399</v>
      </c>
      <c r="R53" t="s">
        <v>321</v>
      </c>
      <c r="S53" t="s">
        <v>1411</v>
      </c>
      <c r="T53" t="s">
        <v>105</v>
      </c>
      <c r="U53">
        <v>9</v>
      </c>
      <c r="V53">
        <v>9</v>
      </c>
      <c r="W53">
        <v>0</v>
      </c>
      <c r="X53">
        <v>0</v>
      </c>
      <c r="Y53">
        <v>0</v>
      </c>
      <c r="Z53">
        <v>137.01309639999999</v>
      </c>
      <c r="AA53">
        <v>0</v>
      </c>
      <c r="AB53">
        <v>0</v>
      </c>
      <c r="AC53" t="s">
        <v>167</v>
      </c>
      <c r="AD53">
        <v>0</v>
      </c>
      <c r="AE53" t="s">
        <v>1412</v>
      </c>
      <c r="AF53">
        <v>0</v>
      </c>
      <c r="AG53" t="s">
        <v>310</v>
      </c>
      <c r="AH53">
        <v>9076.09</v>
      </c>
      <c r="AI53">
        <v>0</v>
      </c>
    </row>
    <row r="54" spans="1:35" x14ac:dyDescent="0.3">
      <c r="A54">
        <v>563</v>
      </c>
      <c r="B54" t="s">
        <v>1276</v>
      </c>
      <c r="C54">
        <v>9</v>
      </c>
      <c r="D54" s="3">
        <v>45373.427533414353</v>
      </c>
      <c r="E54" t="s">
        <v>316</v>
      </c>
      <c r="F54" t="s">
        <v>317</v>
      </c>
      <c r="G54">
        <v>1</v>
      </c>
      <c r="H54" t="s">
        <v>310</v>
      </c>
      <c r="I54">
        <v>0</v>
      </c>
      <c r="J54">
        <v>0</v>
      </c>
      <c r="K54">
        <v>0</v>
      </c>
      <c r="L54" t="s">
        <v>310</v>
      </c>
      <c r="M54" t="s">
        <v>310</v>
      </c>
      <c r="N54">
        <v>0</v>
      </c>
      <c r="O54" t="s">
        <v>1389</v>
      </c>
      <c r="P54" t="s">
        <v>320</v>
      </c>
      <c r="Q54" t="s">
        <v>1400</v>
      </c>
      <c r="R54" t="s">
        <v>1404</v>
      </c>
      <c r="S54" t="s">
        <v>1411</v>
      </c>
      <c r="T54" t="s">
        <v>105</v>
      </c>
      <c r="U54">
        <v>9</v>
      </c>
      <c r="V54">
        <v>9</v>
      </c>
      <c r="W54">
        <v>0</v>
      </c>
      <c r="X54">
        <v>0</v>
      </c>
      <c r="Y54">
        <v>56.701359399999994</v>
      </c>
      <c r="Z54">
        <v>79.117070699999999</v>
      </c>
      <c r="AA54">
        <v>2</v>
      </c>
      <c r="AB54">
        <v>0</v>
      </c>
      <c r="AC54" t="s">
        <v>170</v>
      </c>
      <c r="AD54">
        <v>9</v>
      </c>
      <c r="AE54" t="s">
        <v>1414</v>
      </c>
      <c r="AF54">
        <v>100000</v>
      </c>
      <c r="AG54" t="s">
        <v>310</v>
      </c>
      <c r="AH54">
        <v>229.09</v>
      </c>
      <c r="AI54">
        <v>0</v>
      </c>
    </row>
    <row r="55" spans="1:35" x14ac:dyDescent="0.3">
      <c r="A55">
        <v>564</v>
      </c>
      <c r="B55" t="s">
        <v>1317</v>
      </c>
      <c r="C55">
        <v>9</v>
      </c>
      <c r="D55" s="3">
        <v>45373.427533530092</v>
      </c>
      <c r="E55" t="s">
        <v>316</v>
      </c>
      <c r="F55" t="s">
        <v>317</v>
      </c>
      <c r="G55">
        <v>1</v>
      </c>
      <c r="H55" t="s">
        <v>310</v>
      </c>
      <c r="I55">
        <v>0</v>
      </c>
      <c r="J55">
        <v>0</v>
      </c>
      <c r="K55">
        <v>0</v>
      </c>
      <c r="L55" t="s">
        <v>310</v>
      </c>
      <c r="M55" t="s">
        <v>310</v>
      </c>
      <c r="N55">
        <v>0</v>
      </c>
      <c r="O55" t="s">
        <v>1395</v>
      </c>
      <c r="P55" t="s">
        <v>240</v>
      </c>
      <c r="Q55" t="s">
        <v>1400</v>
      </c>
      <c r="R55" t="s">
        <v>1404</v>
      </c>
      <c r="S55" t="s">
        <v>322</v>
      </c>
      <c r="T55" t="s">
        <v>105</v>
      </c>
      <c r="U55">
        <v>9</v>
      </c>
      <c r="V55">
        <v>9</v>
      </c>
      <c r="W55">
        <v>1.3266663999999999</v>
      </c>
      <c r="X55">
        <v>0</v>
      </c>
      <c r="Y55">
        <v>4.1845189999999999</v>
      </c>
      <c r="Z55">
        <v>129.4323316</v>
      </c>
      <c r="AA55">
        <v>0</v>
      </c>
      <c r="AB55">
        <v>3</v>
      </c>
      <c r="AC55" t="s">
        <v>167</v>
      </c>
      <c r="AD55">
        <v>9</v>
      </c>
      <c r="AE55" t="s">
        <v>1388</v>
      </c>
      <c r="AF55">
        <v>20000000</v>
      </c>
      <c r="AG55" t="s">
        <v>310</v>
      </c>
      <c r="AH55">
        <v>296.08999999999997</v>
      </c>
      <c r="AI55">
        <v>0</v>
      </c>
    </row>
    <row r="56" spans="1:35" x14ac:dyDescent="0.3">
      <c r="A56">
        <v>616</v>
      </c>
      <c r="B56" t="s">
        <v>362</v>
      </c>
      <c r="C56">
        <v>10</v>
      </c>
      <c r="D56" s="3">
        <v>45373.4322721875</v>
      </c>
      <c r="E56" t="s">
        <v>316</v>
      </c>
      <c r="F56" t="s">
        <v>317</v>
      </c>
      <c r="G56">
        <v>1</v>
      </c>
      <c r="H56" t="s">
        <v>310</v>
      </c>
      <c r="I56">
        <v>0</v>
      </c>
      <c r="J56">
        <v>0</v>
      </c>
      <c r="K56">
        <v>0</v>
      </c>
      <c r="L56" t="s">
        <v>310</v>
      </c>
      <c r="M56" t="s">
        <v>310</v>
      </c>
      <c r="N56">
        <v>0</v>
      </c>
      <c r="O56" t="s">
        <v>311</v>
      </c>
      <c r="P56" t="s">
        <v>101</v>
      </c>
      <c r="Q56" t="s">
        <v>1400</v>
      </c>
      <c r="R56" t="s">
        <v>1404</v>
      </c>
      <c r="S56" t="s">
        <v>1411</v>
      </c>
      <c r="T56" t="s">
        <v>105</v>
      </c>
      <c r="U56">
        <v>9</v>
      </c>
      <c r="V56">
        <v>9</v>
      </c>
      <c r="W56">
        <v>0</v>
      </c>
      <c r="X56">
        <v>17.327117699999999</v>
      </c>
      <c r="Y56">
        <v>28.472285599999999</v>
      </c>
      <c r="Z56">
        <v>89.476362999999992</v>
      </c>
      <c r="AA56">
        <v>2</v>
      </c>
      <c r="AB56">
        <v>0</v>
      </c>
      <c r="AC56" t="s">
        <v>170</v>
      </c>
      <c r="AD56">
        <v>9</v>
      </c>
      <c r="AE56" t="s">
        <v>1388</v>
      </c>
      <c r="AF56">
        <v>20004000</v>
      </c>
      <c r="AG56" t="s">
        <v>310</v>
      </c>
      <c r="AH56">
        <v>250.1</v>
      </c>
      <c r="AI56">
        <v>0</v>
      </c>
    </row>
    <row r="57" spans="1:35" x14ac:dyDescent="0.3">
      <c r="A57">
        <v>617</v>
      </c>
      <c r="B57" t="s">
        <v>1296</v>
      </c>
      <c r="C57">
        <v>10</v>
      </c>
      <c r="D57" s="3">
        <v>45373.432272303238</v>
      </c>
      <c r="E57" t="s">
        <v>316</v>
      </c>
      <c r="F57" t="s">
        <v>317</v>
      </c>
      <c r="G57">
        <v>1</v>
      </c>
      <c r="H57" t="s">
        <v>310</v>
      </c>
      <c r="I57">
        <v>0</v>
      </c>
      <c r="J57">
        <v>0</v>
      </c>
      <c r="K57">
        <v>0</v>
      </c>
      <c r="L57" t="s">
        <v>310</v>
      </c>
      <c r="M57" t="s">
        <v>310</v>
      </c>
      <c r="N57">
        <v>0</v>
      </c>
      <c r="O57" t="s">
        <v>1391</v>
      </c>
      <c r="P57" t="s">
        <v>240</v>
      </c>
      <c r="Q57" t="s">
        <v>1400</v>
      </c>
      <c r="R57" t="s">
        <v>321</v>
      </c>
      <c r="S57" t="s">
        <v>1411</v>
      </c>
      <c r="T57" t="s">
        <v>105</v>
      </c>
      <c r="U57">
        <v>9</v>
      </c>
      <c r="V57">
        <v>9</v>
      </c>
      <c r="W57">
        <v>0</v>
      </c>
      <c r="X57">
        <v>10.785019999999999</v>
      </c>
      <c r="Y57">
        <v>20.564121399999998</v>
      </c>
      <c r="Z57">
        <v>106.03252239999999</v>
      </c>
      <c r="AA57">
        <v>0</v>
      </c>
      <c r="AB57">
        <v>1</v>
      </c>
      <c r="AC57" t="s">
        <v>174</v>
      </c>
      <c r="AD57">
        <v>9</v>
      </c>
      <c r="AE57" t="s">
        <v>1396</v>
      </c>
      <c r="AF57">
        <v>130000000</v>
      </c>
      <c r="AG57" t="s">
        <v>310</v>
      </c>
      <c r="AH57">
        <v>3003.1</v>
      </c>
      <c r="AI57">
        <v>0</v>
      </c>
    </row>
    <row r="58" spans="1:35" x14ac:dyDescent="0.3">
      <c r="A58">
        <v>618</v>
      </c>
      <c r="B58" t="s">
        <v>1302</v>
      </c>
      <c r="C58">
        <v>10</v>
      </c>
      <c r="D58" s="3">
        <v>45373.432272418984</v>
      </c>
      <c r="E58" t="s">
        <v>316</v>
      </c>
      <c r="F58" t="s">
        <v>317</v>
      </c>
      <c r="G58">
        <v>1</v>
      </c>
      <c r="H58" t="s">
        <v>310</v>
      </c>
      <c r="I58">
        <v>0</v>
      </c>
      <c r="J58">
        <v>0</v>
      </c>
      <c r="K58">
        <v>0</v>
      </c>
      <c r="L58" t="s">
        <v>310</v>
      </c>
      <c r="M58" t="s">
        <v>310</v>
      </c>
      <c r="N58">
        <v>0</v>
      </c>
      <c r="O58" t="s">
        <v>319</v>
      </c>
      <c r="P58" t="s">
        <v>320</v>
      </c>
      <c r="Q58" t="s">
        <v>1399</v>
      </c>
      <c r="R58" t="s">
        <v>321</v>
      </c>
      <c r="S58" t="s">
        <v>1411</v>
      </c>
      <c r="T58" t="s">
        <v>105</v>
      </c>
      <c r="U58">
        <v>9</v>
      </c>
      <c r="V58">
        <v>9</v>
      </c>
      <c r="W58">
        <v>0</v>
      </c>
      <c r="X58">
        <v>34.894683799999996</v>
      </c>
      <c r="Y58">
        <v>41.032349400000001</v>
      </c>
      <c r="Z58">
        <v>60.4093613</v>
      </c>
      <c r="AA58">
        <v>0</v>
      </c>
      <c r="AB58">
        <v>3</v>
      </c>
      <c r="AC58" t="s">
        <v>174</v>
      </c>
      <c r="AD58">
        <v>0</v>
      </c>
      <c r="AE58" t="s">
        <v>1390</v>
      </c>
      <c r="AF58">
        <v>30000000</v>
      </c>
      <c r="AG58" t="s">
        <v>310</v>
      </c>
      <c r="AH58">
        <v>2095.1</v>
      </c>
      <c r="AI58">
        <v>0</v>
      </c>
    </row>
    <row r="59" spans="1:35" x14ac:dyDescent="0.3">
      <c r="A59">
        <v>619</v>
      </c>
      <c r="B59" t="s">
        <v>1279</v>
      </c>
      <c r="C59">
        <v>10</v>
      </c>
      <c r="D59" s="3">
        <v>45373.432272488426</v>
      </c>
      <c r="E59" t="s">
        <v>316</v>
      </c>
      <c r="F59" t="s">
        <v>317</v>
      </c>
      <c r="G59">
        <v>1</v>
      </c>
      <c r="H59" t="s">
        <v>310</v>
      </c>
      <c r="I59">
        <v>0</v>
      </c>
      <c r="J59">
        <v>0</v>
      </c>
      <c r="K59">
        <v>0</v>
      </c>
      <c r="L59" t="s">
        <v>310</v>
      </c>
      <c r="M59" t="s">
        <v>310</v>
      </c>
      <c r="N59">
        <v>0</v>
      </c>
      <c r="O59" t="s">
        <v>1393</v>
      </c>
      <c r="P59" t="s">
        <v>320</v>
      </c>
      <c r="Q59" t="s">
        <v>1399</v>
      </c>
      <c r="R59" t="s">
        <v>321</v>
      </c>
      <c r="S59" t="s">
        <v>1411</v>
      </c>
      <c r="T59" t="s">
        <v>105</v>
      </c>
      <c r="U59">
        <v>9</v>
      </c>
      <c r="V59">
        <v>9</v>
      </c>
      <c r="W59">
        <v>0</v>
      </c>
      <c r="X59">
        <v>0</v>
      </c>
      <c r="Y59">
        <v>80.491101700000002</v>
      </c>
      <c r="Z59">
        <v>55.213855199999998</v>
      </c>
      <c r="AA59">
        <v>3</v>
      </c>
      <c r="AB59">
        <v>0</v>
      </c>
      <c r="AC59" t="s">
        <v>170</v>
      </c>
      <c r="AD59">
        <v>0</v>
      </c>
      <c r="AE59" t="s">
        <v>1412</v>
      </c>
      <c r="AF59">
        <v>0</v>
      </c>
      <c r="AG59" t="s">
        <v>310</v>
      </c>
      <c r="AH59">
        <v>5149.1000000000004</v>
      </c>
      <c r="AI59">
        <v>0</v>
      </c>
    </row>
    <row r="60" spans="1:35" x14ac:dyDescent="0.3">
      <c r="A60">
        <v>620</v>
      </c>
      <c r="B60" t="s">
        <v>370</v>
      </c>
      <c r="C60">
        <v>10</v>
      </c>
      <c r="D60" s="3">
        <v>45373.432272604165</v>
      </c>
      <c r="E60" t="s">
        <v>316</v>
      </c>
      <c r="F60" t="s">
        <v>317</v>
      </c>
      <c r="G60">
        <v>1</v>
      </c>
      <c r="H60" t="s">
        <v>310</v>
      </c>
      <c r="I60">
        <v>0</v>
      </c>
      <c r="J60">
        <v>0</v>
      </c>
      <c r="K60">
        <v>0</v>
      </c>
      <c r="L60" t="s">
        <v>310</v>
      </c>
      <c r="M60" t="s">
        <v>310</v>
      </c>
      <c r="N60">
        <v>0</v>
      </c>
      <c r="O60" t="s">
        <v>1389</v>
      </c>
      <c r="P60" t="s">
        <v>1401</v>
      </c>
      <c r="Q60" t="s">
        <v>1400</v>
      </c>
      <c r="R60" t="s">
        <v>1405</v>
      </c>
      <c r="S60" t="s">
        <v>202</v>
      </c>
      <c r="T60" t="s">
        <v>1406</v>
      </c>
      <c r="U60">
        <v>0</v>
      </c>
      <c r="V60">
        <v>0</v>
      </c>
      <c r="W60">
        <v>3.8425705999999997</v>
      </c>
      <c r="X60">
        <v>33.555064299999998</v>
      </c>
      <c r="Y60">
        <v>24.6139565</v>
      </c>
      <c r="Z60">
        <v>66.418044999999992</v>
      </c>
      <c r="AA60">
        <v>0</v>
      </c>
      <c r="AB60">
        <v>1</v>
      </c>
      <c r="AC60" t="s">
        <v>174</v>
      </c>
      <c r="AD60">
        <v>9</v>
      </c>
      <c r="AE60" t="s">
        <v>1414</v>
      </c>
      <c r="AF60">
        <v>80000000</v>
      </c>
      <c r="AG60" t="s">
        <v>310</v>
      </c>
      <c r="AH60">
        <v>6911.1</v>
      </c>
      <c r="AI60">
        <v>0</v>
      </c>
    </row>
    <row r="61" spans="1:35" x14ac:dyDescent="0.3">
      <c r="A61">
        <v>621</v>
      </c>
      <c r="B61" t="s">
        <v>367</v>
      </c>
      <c r="C61">
        <v>10</v>
      </c>
      <c r="D61" s="3">
        <v>45373.432272719911</v>
      </c>
      <c r="E61" t="s">
        <v>316</v>
      </c>
      <c r="F61" t="s">
        <v>317</v>
      </c>
      <c r="G61">
        <v>0</v>
      </c>
      <c r="H61" t="s">
        <v>310</v>
      </c>
      <c r="I61">
        <v>0</v>
      </c>
      <c r="J61">
        <v>0</v>
      </c>
      <c r="K61">
        <v>0</v>
      </c>
      <c r="L61" t="s">
        <v>310</v>
      </c>
      <c r="M61" t="s">
        <v>310</v>
      </c>
      <c r="N61">
        <v>0</v>
      </c>
      <c r="O61" t="s">
        <v>1395</v>
      </c>
      <c r="P61" t="s">
        <v>101</v>
      </c>
      <c r="Q61" t="s">
        <v>1400</v>
      </c>
      <c r="R61" t="s">
        <v>1405</v>
      </c>
      <c r="S61" t="s">
        <v>202</v>
      </c>
      <c r="T61" t="s">
        <v>1407</v>
      </c>
      <c r="U61">
        <v>0</v>
      </c>
      <c r="V61">
        <v>0</v>
      </c>
      <c r="W61">
        <v>4.9568424000000002</v>
      </c>
      <c r="X61">
        <v>17.5905153</v>
      </c>
      <c r="Y61">
        <v>42.182121799999997</v>
      </c>
      <c r="Z61">
        <v>63.109513899999996</v>
      </c>
      <c r="AA61">
        <v>2</v>
      </c>
      <c r="AB61">
        <v>0</v>
      </c>
      <c r="AC61" t="s">
        <v>174</v>
      </c>
      <c r="AD61">
        <v>9</v>
      </c>
      <c r="AE61" t="s">
        <v>1413</v>
      </c>
      <c r="AF61">
        <v>10000000</v>
      </c>
      <c r="AG61" t="s">
        <v>310</v>
      </c>
      <c r="AH61">
        <v>5016.1000000000004</v>
      </c>
      <c r="AI61">
        <v>0</v>
      </c>
    </row>
    <row r="62" spans="1:35" x14ac:dyDescent="0.3">
      <c r="A62">
        <v>679</v>
      </c>
      <c r="B62" t="s">
        <v>1303</v>
      </c>
      <c r="C62">
        <v>11</v>
      </c>
      <c r="D62" s="3">
        <v>45373.439366782404</v>
      </c>
      <c r="E62" t="s">
        <v>316</v>
      </c>
      <c r="F62" t="s">
        <v>317</v>
      </c>
      <c r="G62">
        <v>1</v>
      </c>
      <c r="H62" t="s">
        <v>310</v>
      </c>
      <c r="I62">
        <v>0</v>
      </c>
      <c r="J62">
        <v>0</v>
      </c>
      <c r="K62">
        <v>0</v>
      </c>
      <c r="L62" t="s">
        <v>310</v>
      </c>
      <c r="M62" t="s">
        <v>310</v>
      </c>
      <c r="N62">
        <v>0</v>
      </c>
      <c r="O62" t="s">
        <v>311</v>
      </c>
      <c r="P62" t="s">
        <v>240</v>
      </c>
      <c r="Q62" t="s">
        <v>1400</v>
      </c>
      <c r="R62" t="s">
        <v>321</v>
      </c>
      <c r="S62" t="s">
        <v>1411</v>
      </c>
      <c r="T62" t="s">
        <v>105</v>
      </c>
      <c r="U62">
        <v>9</v>
      </c>
      <c r="V62">
        <v>9</v>
      </c>
      <c r="W62">
        <v>0</v>
      </c>
      <c r="X62">
        <v>25.631266799999999</v>
      </c>
      <c r="Y62">
        <v>22.7812077</v>
      </c>
      <c r="Z62">
        <v>86.673045500000001</v>
      </c>
      <c r="AA62">
        <v>0</v>
      </c>
      <c r="AB62">
        <v>1</v>
      </c>
      <c r="AC62" t="s">
        <v>174</v>
      </c>
      <c r="AD62">
        <v>9</v>
      </c>
      <c r="AE62" t="s">
        <v>1388</v>
      </c>
      <c r="AF62">
        <v>110001000</v>
      </c>
      <c r="AG62" t="s">
        <v>310</v>
      </c>
      <c r="AH62">
        <v>7605.11</v>
      </c>
      <c r="AI62">
        <v>0</v>
      </c>
    </row>
    <row r="63" spans="1:35" x14ac:dyDescent="0.3">
      <c r="A63">
        <v>680</v>
      </c>
      <c r="B63" t="s">
        <v>1285</v>
      </c>
      <c r="C63">
        <v>11</v>
      </c>
      <c r="D63" s="3">
        <v>45373.43936689815</v>
      </c>
      <c r="E63" t="s">
        <v>316</v>
      </c>
      <c r="F63" t="s">
        <v>317</v>
      </c>
      <c r="G63">
        <v>0</v>
      </c>
      <c r="H63" t="s">
        <v>310</v>
      </c>
      <c r="I63">
        <v>0</v>
      </c>
      <c r="J63">
        <v>0</v>
      </c>
      <c r="K63">
        <v>0</v>
      </c>
      <c r="L63" t="s">
        <v>310</v>
      </c>
      <c r="M63" t="s">
        <v>310</v>
      </c>
      <c r="N63">
        <v>0</v>
      </c>
      <c r="O63" t="s">
        <v>1391</v>
      </c>
      <c r="P63" t="s">
        <v>101</v>
      </c>
      <c r="Q63" t="s">
        <v>1399</v>
      </c>
      <c r="R63" t="s">
        <v>1404</v>
      </c>
      <c r="S63" t="s">
        <v>1411</v>
      </c>
      <c r="T63" t="s">
        <v>105</v>
      </c>
      <c r="U63">
        <v>9</v>
      </c>
      <c r="V63">
        <v>9</v>
      </c>
      <c r="W63">
        <v>0</v>
      </c>
      <c r="X63">
        <v>0</v>
      </c>
      <c r="Y63">
        <v>4.4982641999999995</v>
      </c>
      <c r="Z63">
        <v>130.40401370000001</v>
      </c>
      <c r="AA63">
        <v>0</v>
      </c>
      <c r="AB63">
        <v>0</v>
      </c>
      <c r="AC63" t="s">
        <v>167</v>
      </c>
      <c r="AD63">
        <v>0</v>
      </c>
      <c r="AE63" t="s">
        <v>1396</v>
      </c>
      <c r="AF63">
        <v>0</v>
      </c>
      <c r="AG63" t="s">
        <v>310</v>
      </c>
      <c r="AH63">
        <v>5993.11</v>
      </c>
      <c r="AI63">
        <v>0</v>
      </c>
    </row>
    <row r="64" spans="1:35" x14ac:dyDescent="0.3">
      <c r="A64">
        <v>681</v>
      </c>
      <c r="B64" t="s">
        <v>371</v>
      </c>
      <c r="C64">
        <v>11</v>
      </c>
      <c r="D64" s="3">
        <v>45373.439367013889</v>
      </c>
      <c r="E64" t="s">
        <v>316</v>
      </c>
      <c r="F64" t="s">
        <v>317</v>
      </c>
      <c r="G64">
        <v>0</v>
      </c>
      <c r="H64" t="s">
        <v>310</v>
      </c>
      <c r="I64">
        <v>0</v>
      </c>
      <c r="J64">
        <v>0</v>
      </c>
      <c r="K64">
        <v>0</v>
      </c>
      <c r="L64" t="s">
        <v>310</v>
      </c>
      <c r="M64" t="s">
        <v>310</v>
      </c>
      <c r="N64">
        <v>0</v>
      </c>
      <c r="O64" t="s">
        <v>319</v>
      </c>
      <c r="P64" t="s">
        <v>320</v>
      </c>
      <c r="Q64" t="s">
        <v>1400</v>
      </c>
      <c r="R64" t="s">
        <v>1404</v>
      </c>
      <c r="S64" t="s">
        <v>1411</v>
      </c>
      <c r="T64" t="s">
        <v>105</v>
      </c>
      <c r="U64">
        <v>9</v>
      </c>
      <c r="V64">
        <v>9</v>
      </c>
      <c r="W64">
        <v>0</v>
      </c>
      <c r="X64">
        <v>46.258275099999999</v>
      </c>
      <c r="Y64">
        <v>20.933791299999999</v>
      </c>
      <c r="Z64">
        <v>68.520442399999993</v>
      </c>
      <c r="AA64">
        <v>0</v>
      </c>
      <c r="AB64">
        <v>0</v>
      </c>
      <c r="AC64" t="s">
        <v>173</v>
      </c>
      <c r="AD64">
        <v>9</v>
      </c>
      <c r="AE64" t="s">
        <v>1390</v>
      </c>
      <c r="AF64">
        <v>20000000</v>
      </c>
      <c r="AG64" t="s">
        <v>310</v>
      </c>
      <c r="AH64">
        <v>6969.11</v>
      </c>
      <c r="AI64">
        <v>0</v>
      </c>
    </row>
    <row r="65" spans="1:35" x14ac:dyDescent="0.3">
      <c r="A65">
        <v>682</v>
      </c>
      <c r="B65" t="s">
        <v>1275</v>
      </c>
      <c r="C65">
        <v>11</v>
      </c>
      <c r="D65" s="3">
        <v>45373.439367094907</v>
      </c>
      <c r="E65" t="s">
        <v>316</v>
      </c>
      <c r="F65" t="s">
        <v>317</v>
      </c>
      <c r="G65">
        <v>0</v>
      </c>
      <c r="H65" t="s">
        <v>310</v>
      </c>
      <c r="I65">
        <v>0</v>
      </c>
      <c r="J65">
        <v>0</v>
      </c>
      <c r="K65">
        <v>0</v>
      </c>
      <c r="L65" t="s">
        <v>310</v>
      </c>
      <c r="M65" t="s">
        <v>310</v>
      </c>
      <c r="N65">
        <v>0</v>
      </c>
      <c r="O65" t="s">
        <v>1393</v>
      </c>
      <c r="P65" t="s">
        <v>101</v>
      </c>
      <c r="Q65" t="s">
        <v>1399</v>
      </c>
      <c r="R65" t="s">
        <v>321</v>
      </c>
      <c r="S65" t="s">
        <v>1411</v>
      </c>
      <c r="T65" t="s">
        <v>105</v>
      </c>
      <c r="U65">
        <v>9</v>
      </c>
      <c r="V65">
        <v>9</v>
      </c>
      <c r="W65">
        <v>0</v>
      </c>
      <c r="X65">
        <v>58.865954099999996</v>
      </c>
      <c r="Y65">
        <v>25.8029802</v>
      </c>
      <c r="Z65">
        <v>50.539438699999998</v>
      </c>
      <c r="AA65">
        <v>0</v>
      </c>
      <c r="AB65">
        <v>1</v>
      </c>
      <c r="AC65" t="s">
        <v>174</v>
      </c>
      <c r="AD65">
        <v>0</v>
      </c>
      <c r="AE65" t="s">
        <v>1412</v>
      </c>
      <c r="AF65">
        <v>50000000</v>
      </c>
      <c r="AG65" t="s">
        <v>310</v>
      </c>
      <c r="AH65">
        <v>1880.11</v>
      </c>
      <c r="AI65">
        <v>0</v>
      </c>
    </row>
    <row r="66" spans="1:35" x14ac:dyDescent="0.3">
      <c r="A66">
        <v>683</v>
      </c>
      <c r="B66" t="s">
        <v>1284</v>
      </c>
      <c r="C66">
        <v>11</v>
      </c>
      <c r="D66" s="3">
        <v>45373.439367210645</v>
      </c>
      <c r="E66" t="s">
        <v>316</v>
      </c>
      <c r="F66" t="s">
        <v>317</v>
      </c>
      <c r="G66">
        <v>1</v>
      </c>
      <c r="H66" t="s">
        <v>310</v>
      </c>
      <c r="I66">
        <v>0</v>
      </c>
      <c r="J66">
        <v>0</v>
      </c>
      <c r="K66">
        <v>0</v>
      </c>
      <c r="L66" t="s">
        <v>310</v>
      </c>
      <c r="M66" t="s">
        <v>310</v>
      </c>
      <c r="N66">
        <v>0</v>
      </c>
      <c r="O66" t="s">
        <v>1389</v>
      </c>
      <c r="P66" t="s">
        <v>1401</v>
      </c>
      <c r="Q66" t="s">
        <v>1400</v>
      </c>
      <c r="R66" t="s">
        <v>321</v>
      </c>
      <c r="S66" t="s">
        <v>1411</v>
      </c>
      <c r="T66" t="s">
        <v>105</v>
      </c>
      <c r="U66">
        <v>9</v>
      </c>
      <c r="V66">
        <v>9</v>
      </c>
      <c r="W66">
        <v>0</v>
      </c>
      <c r="X66">
        <v>36.135688099999996</v>
      </c>
      <c r="Y66">
        <v>26.909991899999998</v>
      </c>
      <c r="Z66">
        <v>71.855783099999996</v>
      </c>
      <c r="AA66">
        <v>0</v>
      </c>
      <c r="AB66">
        <v>1</v>
      </c>
      <c r="AC66" t="s">
        <v>174</v>
      </c>
      <c r="AD66">
        <v>9</v>
      </c>
      <c r="AE66" t="s">
        <v>1414</v>
      </c>
      <c r="AF66">
        <v>70000000</v>
      </c>
      <c r="AG66" t="s">
        <v>310</v>
      </c>
      <c r="AH66">
        <v>5590.11</v>
      </c>
      <c r="AI66">
        <v>0</v>
      </c>
    </row>
    <row r="67" spans="1:35" x14ac:dyDescent="0.3">
      <c r="A67">
        <v>684</v>
      </c>
      <c r="B67" t="s">
        <v>1291</v>
      </c>
      <c r="C67">
        <v>11</v>
      </c>
      <c r="D67" s="3">
        <v>45373.439367326391</v>
      </c>
      <c r="E67" t="s">
        <v>316</v>
      </c>
      <c r="F67" t="s">
        <v>317</v>
      </c>
      <c r="G67">
        <v>1</v>
      </c>
      <c r="H67" t="s">
        <v>310</v>
      </c>
      <c r="I67">
        <v>0</v>
      </c>
      <c r="J67">
        <v>0</v>
      </c>
      <c r="K67">
        <v>0</v>
      </c>
      <c r="L67" t="s">
        <v>310</v>
      </c>
      <c r="M67" t="s">
        <v>310</v>
      </c>
      <c r="N67">
        <v>0</v>
      </c>
      <c r="O67" t="s">
        <v>1395</v>
      </c>
      <c r="P67" t="s">
        <v>240</v>
      </c>
      <c r="Q67" t="s">
        <v>1400</v>
      </c>
      <c r="R67" t="s">
        <v>1404</v>
      </c>
      <c r="S67" t="s">
        <v>1411</v>
      </c>
      <c r="T67" t="s">
        <v>105</v>
      </c>
      <c r="U67">
        <v>9</v>
      </c>
      <c r="V67">
        <v>9</v>
      </c>
      <c r="W67">
        <v>0</v>
      </c>
      <c r="X67">
        <v>21.383288799999999</v>
      </c>
      <c r="Y67">
        <v>22.057094199999998</v>
      </c>
      <c r="Z67">
        <v>94.835279999999997</v>
      </c>
      <c r="AA67">
        <v>0</v>
      </c>
      <c r="AB67">
        <v>0</v>
      </c>
      <c r="AC67" t="s">
        <v>174</v>
      </c>
      <c r="AD67">
        <v>9</v>
      </c>
      <c r="AE67" t="s">
        <v>1413</v>
      </c>
      <c r="AF67">
        <v>100100000</v>
      </c>
      <c r="AG67" t="s">
        <v>310</v>
      </c>
      <c r="AH67">
        <v>1493.11</v>
      </c>
      <c r="AI67">
        <v>0</v>
      </c>
    </row>
    <row r="68" spans="1:35" x14ac:dyDescent="0.3">
      <c r="A68">
        <v>746</v>
      </c>
      <c r="B68" t="s">
        <v>1292</v>
      </c>
      <c r="C68">
        <v>12</v>
      </c>
      <c r="D68" s="3">
        <v>45373.44550115741</v>
      </c>
      <c r="E68" t="s">
        <v>316</v>
      </c>
      <c r="F68" t="s">
        <v>317</v>
      </c>
      <c r="G68">
        <v>0</v>
      </c>
      <c r="H68" t="s">
        <v>310</v>
      </c>
      <c r="I68">
        <v>0</v>
      </c>
      <c r="J68">
        <v>0</v>
      </c>
      <c r="K68">
        <v>0</v>
      </c>
      <c r="L68" t="s">
        <v>310</v>
      </c>
      <c r="M68" t="s">
        <v>310</v>
      </c>
      <c r="N68">
        <v>0</v>
      </c>
      <c r="O68" t="s">
        <v>311</v>
      </c>
      <c r="P68" t="s">
        <v>320</v>
      </c>
      <c r="Q68" t="s">
        <v>1400</v>
      </c>
      <c r="R68" t="s">
        <v>1404</v>
      </c>
      <c r="S68" t="s">
        <v>1411</v>
      </c>
      <c r="T68" t="s">
        <v>105</v>
      </c>
      <c r="U68">
        <v>9</v>
      </c>
      <c r="V68">
        <v>9</v>
      </c>
      <c r="W68">
        <v>0</v>
      </c>
      <c r="X68">
        <v>0</v>
      </c>
      <c r="Y68">
        <v>60.985530300000001</v>
      </c>
      <c r="Z68">
        <v>74.484159899999995</v>
      </c>
      <c r="AA68">
        <v>0</v>
      </c>
      <c r="AB68">
        <v>1</v>
      </c>
      <c r="AC68" t="s">
        <v>167</v>
      </c>
      <c r="AD68">
        <v>9</v>
      </c>
      <c r="AE68" t="s">
        <v>1396</v>
      </c>
      <c r="AF68">
        <v>0</v>
      </c>
      <c r="AG68" t="s">
        <v>310</v>
      </c>
      <c r="AH68">
        <v>7030.12</v>
      </c>
      <c r="AI68">
        <v>0</v>
      </c>
    </row>
    <row r="69" spans="1:35" x14ac:dyDescent="0.3">
      <c r="A69">
        <v>747</v>
      </c>
      <c r="B69" t="s">
        <v>1305</v>
      </c>
      <c r="C69">
        <v>12</v>
      </c>
      <c r="D69" s="3">
        <v>45373.44550130787</v>
      </c>
      <c r="E69" t="s">
        <v>316</v>
      </c>
      <c r="F69" t="s">
        <v>317</v>
      </c>
      <c r="G69">
        <v>1</v>
      </c>
      <c r="H69" t="s">
        <v>310</v>
      </c>
      <c r="I69">
        <v>0</v>
      </c>
      <c r="J69">
        <v>0</v>
      </c>
      <c r="K69">
        <v>0</v>
      </c>
      <c r="L69" t="s">
        <v>310</v>
      </c>
      <c r="M69" t="s">
        <v>310</v>
      </c>
      <c r="N69">
        <v>0</v>
      </c>
      <c r="O69" t="s">
        <v>1391</v>
      </c>
      <c r="P69" t="s">
        <v>101</v>
      </c>
      <c r="Q69" t="s">
        <v>1400</v>
      </c>
      <c r="R69" t="s">
        <v>321</v>
      </c>
      <c r="S69" t="s">
        <v>1411</v>
      </c>
      <c r="T69" t="s">
        <v>105</v>
      </c>
      <c r="U69">
        <v>9</v>
      </c>
      <c r="V69">
        <v>9</v>
      </c>
      <c r="W69">
        <v>0</v>
      </c>
      <c r="X69">
        <v>27.723828699999999</v>
      </c>
      <c r="Y69">
        <v>25.778023299999997</v>
      </c>
      <c r="Z69">
        <v>82.286590899999993</v>
      </c>
      <c r="AA69">
        <v>0</v>
      </c>
      <c r="AB69">
        <v>0</v>
      </c>
      <c r="AC69" t="s">
        <v>174</v>
      </c>
      <c r="AD69">
        <v>9</v>
      </c>
      <c r="AE69" t="s">
        <v>1388</v>
      </c>
      <c r="AF69">
        <v>150001000</v>
      </c>
      <c r="AG69" t="s">
        <v>310</v>
      </c>
      <c r="AH69">
        <v>3173.12</v>
      </c>
      <c r="AI69">
        <v>0</v>
      </c>
    </row>
    <row r="70" spans="1:35" x14ac:dyDescent="0.3">
      <c r="A70">
        <v>748</v>
      </c>
      <c r="B70" t="s">
        <v>365</v>
      </c>
      <c r="C70">
        <v>12</v>
      </c>
      <c r="D70" s="3">
        <v>45373.445501388887</v>
      </c>
      <c r="E70" t="s">
        <v>316</v>
      </c>
      <c r="F70" t="s">
        <v>317</v>
      </c>
      <c r="G70">
        <v>1</v>
      </c>
      <c r="H70" t="s">
        <v>310</v>
      </c>
      <c r="I70">
        <v>0</v>
      </c>
      <c r="J70">
        <v>0</v>
      </c>
      <c r="K70">
        <v>0</v>
      </c>
      <c r="L70" t="s">
        <v>310</v>
      </c>
      <c r="M70" t="s">
        <v>310</v>
      </c>
      <c r="N70">
        <v>0</v>
      </c>
      <c r="O70" t="s">
        <v>319</v>
      </c>
      <c r="P70" t="s">
        <v>1401</v>
      </c>
      <c r="Q70" t="s">
        <v>1399</v>
      </c>
      <c r="R70" t="s">
        <v>321</v>
      </c>
      <c r="S70" t="s">
        <v>1411</v>
      </c>
      <c r="T70" t="s">
        <v>105</v>
      </c>
      <c r="U70">
        <v>9</v>
      </c>
      <c r="V70">
        <v>9</v>
      </c>
      <c r="W70">
        <v>0</v>
      </c>
      <c r="X70">
        <v>24.384572199999997</v>
      </c>
      <c r="Y70">
        <v>20.676027399999999</v>
      </c>
      <c r="Z70">
        <v>93.974398699999995</v>
      </c>
      <c r="AA70">
        <v>0</v>
      </c>
      <c r="AB70">
        <v>0</v>
      </c>
      <c r="AC70" t="s">
        <v>174</v>
      </c>
      <c r="AD70">
        <v>0</v>
      </c>
      <c r="AE70" t="s">
        <v>1390</v>
      </c>
      <c r="AF70">
        <v>120000000</v>
      </c>
      <c r="AG70" t="s">
        <v>310</v>
      </c>
      <c r="AH70">
        <v>3171.12</v>
      </c>
      <c r="AI70">
        <v>0</v>
      </c>
    </row>
    <row r="71" spans="1:35" x14ac:dyDescent="0.3">
      <c r="A71">
        <v>749</v>
      </c>
      <c r="B71" t="s">
        <v>1297</v>
      </c>
      <c r="C71">
        <v>12</v>
      </c>
      <c r="D71" s="3">
        <v>45373.445501504626</v>
      </c>
      <c r="E71" t="s">
        <v>316</v>
      </c>
      <c r="F71" t="s">
        <v>317</v>
      </c>
      <c r="G71">
        <v>0</v>
      </c>
      <c r="H71" t="s">
        <v>310</v>
      </c>
      <c r="I71">
        <v>0</v>
      </c>
      <c r="J71">
        <v>0</v>
      </c>
      <c r="K71">
        <v>0</v>
      </c>
      <c r="L71" t="s">
        <v>310</v>
      </c>
      <c r="M71" t="s">
        <v>310</v>
      </c>
      <c r="N71">
        <v>0</v>
      </c>
      <c r="O71" t="s">
        <v>1393</v>
      </c>
      <c r="P71" t="s">
        <v>101</v>
      </c>
      <c r="Q71" t="s">
        <v>1399</v>
      </c>
      <c r="R71" t="s">
        <v>321</v>
      </c>
      <c r="S71" t="s">
        <v>1411</v>
      </c>
      <c r="T71" t="s">
        <v>105</v>
      </c>
      <c r="U71">
        <v>9</v>
      </c>
      <c r="V71">
        <v>9</v>
      </c>
      <c r="W71">
        <v>0</v>
      </c>
      <c r="X71">
        <v>0</v>
      </c>
      <c r="Y71">
        <v>0</v>
      </c>
      <c r="Z71">
        <v>130.78170549999999</v>
      </c>
      <c r="AA71">
        <v>0</v>
      </c>
      <c r="AB71">
        <v>0</v>
      </c>
      <c r="AC71" t="s">
        <v>167</v>
      </c>
      <c r="AD71">
        <v>0</v>
      </c>
      <c r="AE71" t="s">
        <v>1412</v>
      </c>
      <c r="AF71">
        <v>0</v>
      </c>
      <c r="AG71" t="s">
        <v>310</v>
      </c>
      <c r="AH71">
        <v>9750.1200000000008</v>
      </c>
      <c r="AI71">
        <v>0</v>
      </c>
    </row>
    <row r="72" spans="1:35" x14ac:dyDescent="0.3">
      <c r="A72">
        <v>750</v>
      </c>
      <c r="B72" t="s">
        <v>1300</v>
      </c>
      <c r="C72">
        <v>12</v>
      </c>
      <c r="D72" s="3">
        <v>45373.445501620372</v>
      </c>
      <c r="E72" t="s">
        <v>316</v>
      </c>
      <c r="F72" t="s">
        <v>317</v>
      </c>
      <c r="G72">
        <v>1</v>
      </c>
      <c r="H72" t="s">
        <v>310</v>
      </c>
      <c r="I72">
        <v>0</v>
      </c>
      <c r="J72">
        <v>0</v>
      </c>
      <c r="K72">
        <v>0</v>
      </c>
      <c r="L72" t="s">
        <v>310</v>
      </c>
      <c r="M72" t="s">
        <v>310</v>
      </c>
      <c r="N72">
        <v>0</v>
      </c>
      <c r="O72" t="s">
        <v>1389</v>
      </c>
      <c r="P72" t="s">
        <v>1401</v>
      </c>
      <c r="Q72" t="s">
        <v>1400</v>
      </c>
      <c r="R72" t="s">
        <v>1405</v>
      </c>
      <c r="S72" t="s">
        <v>202</v>
      </c>
      <c r="T72" t="s">
        <v>1407</v>
      </c>
      <c r="U72">
        <v>0</v>
      </c>
      <c r="V72">
        <v>0</v>
      </c>
      <c r="W72">
        <v>2.3304871</v>
      </c>
      <c r="X72">
        <v>26.9448723</v>
      </c>
      <c r="Y72">
        <v>24.805938999999999</v>
      </c>
      <c r="Z72">
        <v>79.956862200000003</v>
      </c>
      <c r="AA72">
        <v>0</v>
      </c>
      <c r="AB72">
        <v>1</v>
      </c>
      <c r="AC72" t="s">
        <v>174</v>
      </c>
      <c r="AD72">
        <v>9</v>
      </c>
      <c r="AE72" t="s">
        <v>1414</v>
      </c>
      <c r="AF72">
        <v>130000000</v>
      </c>
      <c r="AG72" t="s">
        <v>310</v>
      </c>
      <c r="AH72">
        <v>3044.12</v>
      </c>
      <c r="AI72">
        <v>0</v>
      </c>
    </row>
    <row r="73" spans="1:35" x14ac:dyDescent="0.3">
      <c r="A73">
        <v>751</v>
      </c>
      <c r="B73" t="s">
        <v>1283</v>
      </c>
      <c r="C73">
        <v>12</v>
      </c>
      <c r="D73" s="3">
        <v>45373.445501736111</v>
      </c>
      <c r="E73" t="s">
        <v>316</v>
      </c>
      <c r="F73" t="s">
        <v>317</v>
      </c>
      <c r="G73">
        <v>1</v>
      </c>
      <c r="H73" t="s">
        <v>310</v>
      </c>
      <c r="I73">
        <v>0</v>
      </c>
      <c r="J73">
        <v>0</v>
      </c>
      <c r="K73">
        <v>0</v>
      </c>
      <c r="L73" t="s">
        <v>310</v>
      </c>
      <c r="M73" t="s">
        <v>310</v>
      </c>
      <c r="N73">
        <v>0</v>
      </c>
      <c r="O73" t="s">
        <v>1395</v>
      </c>
      <c r="P73" t="s">
        <v>320</v>
      </c>
      <c r="Q73" t="s">
        <v>1400</v>
      </c>
      <c r="R73" t="s">
        <v>1405</v>
      </c>
      <c r="S73" t="s">
        <v>202</v>
      </c>
      <c r="T73" t="s">
        <v>1406</v>
      </c>
      <c r="U73">
        <v>0</v>
      </c>
      <c r="V73">
        <v>0</v>
      </c>
      <c r="W73">
        <v>9.8098379999999992</v>
      </c>
      <c r="X73">
        <v>48.5044641</v>
      </c>
      <c r="Y73">
        <v>22.909269800000001</v>
      </c>
      <c r="Z73">
        <v>48.725384599999998</v>
      </c>
      <c r="AA73">
        <v>0</v>
      </c>
      <c r="AB73">
        <v>0</v>
      </c>
      <c r="AC73" t="s">
        <v>174</v>
      </c>
      <c r="AD73">
        <v>9</v>
      </c>
      <c r="AE73" t="s">
        <v>1413</v>
      </c>
      <c r="AF73">
        <v>20000000</v>
      </c>
      <c r="AG73" t="s">
        <v>310</v>
      </c>
      <c r="AH73">
        <v>1601.12</v>
      </c>
      <c r="AI73">
        <v>0</v>
      </c>
    </row>
    <row r="74" spans="1:35" x14ac:dyDescent="0.3">
      <c r="A74">
        <v>807</v>
      </c>
      <c r="B74" t="s">
        <v>1310</v>
      </c>
      <c r="C74">
        <v>13</v>
      </c>
      <c r="D74" s="3">
        <v>45373.451143020837</v>
      </c>
      <c r="E74" t="s">
        <v>316</v>
      </c>
      <c r="F74" t="s">
        <v>317</v>
      </c>
      <c r="G74">
        <v>0</v>
      </c>
      <c r="H74" t="s">
        <v>310</v>
      </c>
      <c r="I74">
        <v>0</v>
      </c>
      <c r="J74">
        <v>0</v>
      </c>
      <c r="K74">
        <v>0</v>
      </c>
      <c r="L74" t="s">
        <v>310</v>
      </c>
      <c r="M74" t="s">
        <v>310</v>
      </c>
      <c r="N74">
        <v>0</v>
      </c>
      <c r="O74" t="s">
        <v>311</v>
      </c>
      <c r="P74" t="s">
        <v>1401</v>
      </c>
      <c r="Q74" t="s">
        <v>1400</v>
      </c>
      <c r="R74" t="s">
        <v>1405</v>
      </c>
      <c r="S74" t="s">
        <v>202</v>
      </c>
      <c r="T74" t="s">
        <v>1406</v>
      </c>
      <c r="U74">
        <v>0</v>
      </c>
      <c r="V74">
        <v>0</v>
      </c>
      <c r="W74">
        <v>10.8701975</v>
      </c>
      <c r="X74">
        <v>21.333344699999998</v>
      </c>
      <c r="Y74">
        <v>13.2644696</v>
      </c>
      <c r="Z74">
        <v>84.466282899999996</v>
      </c>
      <c r="AA74">
        <v>0</v>
      </c>
      <c r="AB74">
        <v>3</v>
      </c>
      <c r="AC74" t="s">
        <v>174</v>
      </c>
      <c r="AD74">
        <v>9</v>
      </c>
      <c r="AE74" t="s">
        <v>1413</v>
      </c>
      <c r="AF74">
        <v>60000000</v>
      </c>
      <c r="AG74" t="s">
        <v>310</v>
      </c>
      <c r="AH74">
        <v>6621.13</v>
      </c>
      <c r="AI74">
        <v>0</v>
      </c>
    </row>
    <row r="75" spans="1:35" x14ac:dyDescent="0.3">
      <c r="A75">
        <v>808</v>
      </c>
      <c r="B75" t="s">
        <v>1290</v>
      </c>
      <c r="C75">
        <v>13</v>
      </c>
      <c r="D75" s="3">
        <v>45373.451143171296</v>
      </c>
      <c r="E75" t="s">
        <v>316</v>
      </c>
      <c r="F75" t="s">
        <v>317</v>
      </c>
      <c r="G75">
        <v>1</v>
      </c>
      <c r="H75" t="s">
        <v>310</v>
      </c>
      <c r="I75">
        <v>0</v>
      </c>
      <c r="J75">
        <v>0</v>
      </c>
      <c r="K75">
        <v>0</v>
      </c>
      <c r="L75" t="s">
        <v>310</v>
      </c>
      <c r="M75" t="s">
        <v>310</v>
      </c>
      <c r="N75">
        <v>0</v>
      </c>
      <c r="O75" t="s">
        <v>1391</v>
      </c>
      <c r="P75" t="s">
        <v>240</v>
      </c>
      <c r="Q75" t="s">
        <v>1400</v>
      </c>
      <c r="R75" t="s">
        <v>1405</v>
      </c>
      <c r="S75" t="s">
        <v>202</v>
      </c>
      <c r="T75" t="s">
        <v>1407</v>
      </c>
      <c r="U75">
        <v>0</v>
      </c>
      <c r="V75">
        <v>0</v>
      </c>
      <c r="W75">
        <v>1.8727130999999999</v>
      </c>
      <c r="X75">
        <v>24.65474</v>
      </c>
      <c r="Y75">
        <v>29.281707299999997</v>
      </c>
      <c r="Z75">
        <v>73.255912600000002</v>
      </c>
      <c r="AA75">
        <v>1</v>
      </c>
      <c r="AB75">
        <v>1</v>
      </c>
      <c r="AC75" t="s">
        <v>174</v>
      </c>
      <c r="AD75">
        <v>9</v>
      </c>
      <c r="AE75" t="s">
        <v>1414</v>
      </c>
      <c r="AF75">
        <v>50100000</v>
      </c>
      <c r="AG75" t="s">
        <v>310</v>
      </c>
      <c r="AH75">
        <v>5881.13</v>
      </c>
      <c r="AI75">
        <v>0</v>
      </c>
    </row>
    <row r="76" spans="1:35" x14ac:dyDescent="0.3">
      <c r="A76">
        <v>809</v>
      </c>
      <c r="B76" t="s">
        <v>368</v>
      </c>
      <c r="C76">
        <v>13</v>
      </c>
      <c r="D76" s="3">
        <v>45373.451143252314</v>
      </c>
      <c r="E76" t="s">
        <v>316</v>
      </c>
      <c r="F76" t="s">
        <v>317</v>
      </c>
      <c r="G76">
        <v>0</v>
      </c>
      <c r="H76" t="s">
        <v>310</v>
      </c>
      <c r="I76">
        <v>0</v>
      </c>
      <c r="J76">
        <v>0</v>
      </c>
      <c r="K76">
        <v>0</v>
      </c>
      <c r="L76" t="s">
        <v>310</v>
      </c>
      <c r="M76" t="s">
        <v>310</v>
      </c>
      <c r="N76">
        <v>0</v>
      </c>
      <c r="O76" t="s">
        <v>319</v>
      </c>
      <c r="P76" t="s">
        <v>101</v>
      </c>
      <c r="Q76" t="s">
        <v>1399</v>
      </c>
      <c r="R76" t="s">
        <v>1404</v>
      </c>
      <c r="S76" t="s">
        <v>322</v>
      </c>
      <c r="T76" t="s">
        <v>105</v>
      </c>
      <c r="U76">
        <v>9</v>
      </c>
      <c r="V76">
        <v>9</v>
      </c>
      <c r="W76">
        <v>21.925470399999998</v>
      </c>
      <c r="X76">
        <v>42.444657899999996</v>
      </c>
      <c r="Y76">
        <v>40.825649999999996</v>
      </c>
      <c r="Z76">
        <v>29.556090399999999</v>
      </c>
      <c r="AA76">
        <v>0</v>
      </c>
      <c r="AB76">
        <v>2</v>
      </c>
      <c r="AC76" t="s">
        <v>167</v>
      </c>
      <c r="AD76">
        <v>0</v>
      </c>
      <c r="AE76" t="s">
        <v>1390</v>
      </c>
      <c r="AF76">
        <v>0</v>
      </c>
      <c r="AG76" t="s">
        <v>310</v>
      </c>
      <c r="AH76">
        <v>6401.13</v>
      </c>
      <c r="AI76">
        <v>0</v>
      </c>
    </row>
    <row r="77" spans="1:35" x14ac:dyDescent="0.3">
      <c r="A77">
        <v>810</v>
      </c>
      <c r="B77" t="s">
        <v>366</v>
      </c>
      <c r="C77">
        <v>13</v>
      </c>
      <c r="D77" s="3">
        <v>45373.451143368053</v>
      </c>
      <c r="E77" t="s">
        <v>316</v>
      </c>
      <c r="F77" t="s">
        <v>317</v>
      </c>
      <c r="G77">
        <v>0</v>
      </c>
      <c r="H77" t="s">
        <v>310</v>
      </c>
      <c r="I77">
        <v>0</v>
      </c>
      <c r="J77">
        <v>0</v>
      </c>
      <c r="K77">
        <v>0</v>
      </c>
      <c r="L77" t="s">
        <v>310</v>
      </c>
      <c r="M77" t="s">
        <v>310</v>
      </c>
      <c r="N77">
        <v>0</v>
      </c>
      <c r="O77" t="s">
        <v>1393</v>
      </c>
      <c r="P77" t="s">
        <v>101</v>
      </c>
      <c r="Q77" t="s">
        <v>1400</v>
      </c>
      <c r="R77" t="s">
        <v>1404</v>
      </c>
      <c r="S77" t="s">
        <v>1411</v>
      </c>
      <c r="T77" t="s">
        <v>105</v>
      </c>
      <c r="U77">
        <v>9</v>
      </c>
      <c r="V77">
        <v>9</v>
      </c>
      <c r="W77">
        <v>0</v>
      </c>
      <c r="X77">
        <v>10.015668099999999</v>
      </c>
      <c r="Y77">
        <v>34.732824799999996</v>
      </c>
      <c r="Z77">
        <v>90.183737499999992</v>
      </c>
      <c r="AA77">
        <v>2</v>
      </c>
      <c r="AB77">
        <v>0</v>
      </c>
      <c r="AC77" t="s">
        <v>173</v>
      </c>
      <c r="AD77">
        <v>9</v>
      </c>
      <c r="AE77" t="s">
        <v>1412</v>
      </c>
      <c r="AF77">
        <v>20000000</v>
      </c>
      <c r="AG77" t="s">
        <v>310</v>
      </c>
      <c r="AH77">
        <v>4122.13</v>
      </c>
      <c r="AI77">
        <v>0</v>
      </c>
    </row>
    <row r="78" spans="1:35" x14ac:dyDescent="0.3">
      <c r="A78">
        <v>811</v>
      </c>
      <c r="B78" t="s">
        <v>360</v>
      </c>
      <c r="C78">
        <v>13</v>
      </c>
      <c r="D78" s="3">
        <v>45373.451143483799</v>
      </c>
      <c r="E78" t="s">
        <v>316</v>
      </c>
      <c r="F78" t="s">
        <v>317</v>
      </c>
      <c r="G78">
        <v>1</v>
      </c>
      <c r="H78" t="s">
        <v>310</v>
      </c>
      <c r="I78">
        <v>0</v>
      </c>
      <c r="J78">
        <v>0</v>
      </c>
      <c r="K78">
        <v>0</v>
      </c>
      <c r="L78" t="s">
        <v>310</v>
      </c>
      <c r="M78" t="s">
        <v>310</v>
      </c>
      <c r="N78">
        <v>0</v>
      </c>
      <c r="O78" t="s">
        <v>1389</v>
      </c>
      <c r="P78" t="s">
        <v>240</v>
      </c>
      <c r="Q78" t="s">
        <v>1399</v>
      </c>
      <c r="R78" t="s">
        <v>1405</v>
      </c>
      <c r="S78" t="s">
        <v>202</v>
      </c>
      <c r="T78" t="s">
        <v>1407</v>
      </c>
      <c r="U78">
        <v>0</v>
      </c>
      <c r="V78">
        <v>0</v>
      </c>
      <c r="W78">
        <v>7.0685085999999995</v>
      </c>
      <c r="X78">
        <v>39.954089699999997</v>
      </c>
      <c r="Y78">
        <v>20.213847099999999</v>
      </c>
      <c r="Z78">
        <v>44.576704899999996</v>
      </c>
      <c r="AA78">
        <v>0</v>
      </c>
      <c r="AB78">
        <v>0</v>
      </c>
      <c r="AC78" t="s">
        <v>1408</v>
      </c>
      <c r="AD78">
        <v>1</v>
      </c>
      <c r="AE78" t="s">
        <v>1388</v>
      </c>
      <c r="AF78">
        <v>120003000</v>
      </c>
      <c r="AG78" t="s">
        <v>310</v>
      </c>
      <c r="AH78">
        <v>1796.13</v>
      </c>
      <c r="AI78">
        <v>0</v>
      </c>
    </row>
    <row r="79" spans="1:35" x14ac:dyDescent="0.3">
      <c r="A79">
        <v>812</v>
      </c>
      <c r="B79" t="s">
        <v>1314</v>
      </c>
      <c r="C79">
        <v>13</v>
      </c>
      <c r="D79" s="3">
        <v>45373.45114355324</v>
      </c>
      <c r="E79" t="s">
        <v>316</v>
      </c>
      <c r="F79" t="s">
        <v>317</v>
      </c>
      <c r="G79">
        <v>1</v>
      </c>
      <c r="H79" t="s">
        <v>310</v>
      </c>
      <c r="I79">
        <v>0</v>
      </c>
      <c r="J79">
        <v>0</v>
      </c>
      <c r="K79">
        <v>0</v>
      </c>
      <c r="L79" t="s">
        <v>310</v>
      </c>
      <c r="M79" t="s">
        <v>310</v>
      </c>
      <c r="N79">
        <v>0</v>
      </c>
      <c r="O79" t="s">
        <v>1395</v>
      </c>
      <c r="P79" t="s">
        <v>1401</v>
      </c>
      <c r="Q79" t="s">
        <v>1400</v>
      </c>
      <c r="R79" t="s">
        <v>321</v>
      </c>
      <c r="S79" t="s">
        <v>1411</v>
      </c>
      <c r="T79" t="s">
        <v>105</v>
      </c>
      <c r="U79">
        <v>9</v>
      </c>
      <c r="V79">
        <v>9</v>
      </c>
      <c r="W79">
        <v>0</v>
      </c>
      <c r="X79">
        <v>19.019682700000001</v>
      </c>
      <c r="Y79">
        <v>15.797098099999999</v>
      </c>
      <c r="Z79">
        <v>100.17324259999999</v>
      </c>
      <c r="AA79">
        <v>0</v>
      </c>
      <c r="AB79">
        <v>0</v>
      </c>
      <c r="AC79" t="s">
        <v>174</v>
      </c>
      <c r="AD79">
        <v>9</v>
      </c>
      <c r="AE79" t="s">
        <v>1396</v>
      </c>
      <c r="AF79">
        <v>50000000</v>
      </c>
      <c r="AG79" t="s">
        <v>310</v>
      </c>
      <c r="AH79">
        <v>3419.13</v>
      </c>
      <c r="AI79">
        <v>0</v>
      </c>
    </row>
    <row r="80" spans="1:35" x14ac:dyDescent="0.3">
      <c r="A80">
        <v>853</v>
      </c>
      <c r="B80" t="s">
        <v>1289</v>
      </c>
      <c r="C80">
        <v>14</v>
      </c>
      <c r="D80" s="3">
        <v>45373.458269212962</v>
      </c>
      <c r="E80" t="s">
        <v>316</v>
      </c>
      <c r="F80" t="s">
        <v>317</v>
      </c>
      <c r="G80">
        <v>0</v>
      </c>
      <c r="H80" t="s">
        <v>310</v>
      </c>
      <c r="I80">
        <v>0</v>
      </c>
      <c r="J80">
        <v>0</v>
      </c>
      <c r="K80">
        <v>0</v>
      </c>
      <c r="L80" t="s">
        <v>310</v>
      </c>
      <c r="M80" t="s">
        <v>310</v>
      </c>
      <c r="N80">
        <v>0</v>
      </c>
      <c r="O80" t="s">
        <v>311</v>
      </c>
      <c r="P80" t="s">
        <v>101</v>
      </c>
      <c r="Q80" t="s">
        <v>1399</v>
      </c>
      <c r="R80" t="s">
        <v>1404</v>
      </c>
      <c r="S80" t="s">
        <v>1411</v>
      </c>
      <c r="T80" t="s">
        <v>105</v>
      </c>
      <c r="U80">
        <v>9</v>
      </c>
      <c r="V80">
        <v>9</v>
      </c>
      <c r="W80">
        <v>0</v>
      </c>
      <c r="X80">
        <v>22.031511999999999</v>
      </c>
      <c r="Y80">
        <v>9.0312514999999998</v>
      </c>
      <c r="Z80">
        <v>105.84275359999999</v>
      </c>
      <c r="AA80">
        <v>3</v>
      </c>
      <c r="AB80">
        <v>0</v>
      </c>
      <c r="AC80" t="s">
        <v>170</v>
      </c>
      <c r="AD80">
        <v>1</v>
      </c>
      <c r="AE80" t="s">
        <v>1413</v>
      </c>
      <c r="AF80">
        <v>0</v>
      </c>
      <c r="AG80" t="s">
        <v>310</v>
      </c>
      <c r="AH80">
        <v>6648.14</v>
      </c>
      <c r="AI80">
        <v>0</v>
      </c>
    </row>
    <row r="81" spans="1:35" x14ac:dyDescent="0.3">
      <c r="A81">
        <v>854</v>
      </c>
      <c r="B81" t="s">
        <v>1309</v>
      </c>
      <c r="C81">
        <v>14</v>
      </c>
      <c r="D81" s="3">
        <v>45373.458269328701</v>
      </c>
      <c r="E81" t="s">
        <v>316</v>
      </c>
      <c r="F81" t="s">
        <v>317</v>
      </c>
      <c r="G81">
        <v>0</v>
      </c>
      <c r="H81" t="s">
        <v>310</v>
      </c>
      <c r="I81">
        <v>0</v>
      </c>
      <c r="J81">
        <v>0</v>
      </c>
      <c r="K81">
        <v>0</v>
      </c>
      <c r="L81" t="s">
        <v>310</v>
      </c>
      <c r="M81" t="s">
        <v>310</v>
      </c>
      <c r="N81">
        <v>0</v>
      </c>
      <c r="O81" t="s">
        <v>1391</v>
      </c>
      <c r="P81" t="s">
        <v>1401</v>
      </c>
      <c r="Q81" t="s">
        <v>1400</v>
      </c>
      <c r="R81" t="s">
        <v>1404</v>
      </c>
      <c r="S81" t="s">
        <v>322</v>
      </c>
      <c r="T81" t="s">
        <v>105</v>
      </c>
      <c r="U81">
        <v>9</v>
      </c>
      <c r="V81">
        <v>9</v>
      </c>
      <c r="W81">
        <v>12.0612224</v>
      </c>
      <c r="X81">
        <v>10.232575599999999</v>
      </c>
      <c r="Y81">
        <v>27.103381199999998</v>
      </c>
      <c r="Z81">
        <v>78.521997999999996</v>
      </c>
      <c r="AA81">
        <v>0</v>
      </c>
      <c r="AB81">
        <v>0</v>
      </c>
      <c r="AC81" t="s">
        <v>174</v>
      </c>
      <c r="AD81">
        <v>9</v>
      </c>
      <c r="AE81" t="s">
        <v>1416</v>
      </c>
      <c r="AF81">
        <v>10000000</v>
      </c>
      <c r="AG81" t="s">
        <v>310</v>
      </c>
      <c r="AH81">
        <v>3550.14</v>
      </c>
      <c r="AI81">
        <v>0</v>
      </c>
    </row>
    <row r="82" spans="1:35" x14ac:dyDescent="0.3">
      <c r="A82">
        <v>855</v>
      </c>
      <c r="B82" t="s">
        <v>372</v>
      </c>
      <c r="C82">
        <v>14</v>
      </c>
      <c r="D82" s="3">
        <v>45373.458269444447</v>
      </c>
      <c r="E82" t="s">
        <v>316</v>
      </c>
      <c r="F82" t="s">
        <v>317</v>
      </c>
      <c r="G82">
        <v>1</v>
      </c>
      <c r="H82" t="s">
        <v>310</v>
      </c>
      <c r="I82">
        <v>0</v>
      </c>
      <c r="J82">
        <v>0</v>
      </c>
      <c r="K82">
        <v>0</v>
      </c>
      <c r="L82" t="s">
        <v>310</v>
      </c>
      <c r="M82" t="s">
        <v>310</v>
      </c>
      <c r="N82">
        <v>0</v>
      </c>
      <c r="O82" t="s">
        <v>319</v>
      </c>
      <c r="P82" t="s">
        <v>240</v>
      </c>
      <c r="Q82" t="s">
        <v>1400</v>
      </c>
      <c r="R82" t="s">
        <v>1404</v>
      </c>
      <c r="S82" t="s">
        <v>322</v>
      </c>
      <c r="T82" t="s">
        <v>105</v>
      </c>
      <c r="U82">
        <v>9</v>
      </c>
      <c r="V82">
        <v>9</v>
      </c>
      <c r="W82">
        <v>14.971331299999999</v>
      </c>
      <c r="X82">
        <v>13.7050027</v>
      </c>
      <c r="Y82">
        <v>26.904339399999998</v>
      </c>
      <c r="Z82">
        <v>77.726688600000003</v>
      </c>
      <c r="AA82">
        <v>0</v>
      </c>
      <c r="AB82">
        <v>0</v>
      </c>
      <c r="AC82" t="s">
        <v>174</v>
      </c>
      <c r="AD82">
        <v>9</v>
      </c>
      <c r="AE82" t="s">
        <v>1417</v>
      </c>
      <c r="AF82">
        <v>70000000</v>
      </c>
      <c r="AG82" t="s">
        <v>310</v>
      </c>
      <c r="AH82">
        <v>7504.14</v>
      </c>
      <c r="AI82">
        <v>0</v>
      </c>
    </row>
    <row r="83" spans="1:35" x14ac:dyDescent="0.3">
      <c r="A83">
        <v>856</v>
      </c>
      <c r="B83" t="s">
        <v>1298</v>
      </c>
      <c r="C83">
        <v>14</v>
      </c>
      <c r="D83" s="3">
        <v>45373.458269525465</v>
      </c>
      <c r="E83" t="s">
        <v>316</v>
      </c>
      <c r="F83" t="s">
        <v>317</v>
      </c>
      <c r="G83">
        <v>1</v>
      </c>
      <c r="H83" t="s">
        <v>310</v>
      </c>
      <c r="I83">
        <v>0</v>
      </c>
      <c r="J83">
        <v>0</v>
      </c>
      <c r="K83">
        <v>0</v>
      </c>
      <c r="L83" t="s">
        <v>310</v>
      </c>
      <c r="M83" t="s">
        <v>310</v>
      </c>
      <c r="N83">
        <v>0</v>
      </c>
      <c r="O83" t="s">
        <v>1393</v>
      </c>
      <c r="P83" t="s">
        <v>240</v>
      </c>
      <c r="Q83" t="s">
        <v>1399</v>
      </c>
      <c r="R83" t="s">
        <v>321</v>
      </c>
      <c r="S83" t="s">
        <v>1411</v>
      </c>
      <c r="T83" t="s">
        <v>105</v>
      </c>
      <c r="U83">
        <v>9</v>
      </c>
      <c r="V83">
        <v>9</v>
      </c>
      <c r="W83">
        <v>0</v>
      </c>
      <c r="X83">
        <v>0</v>
      </c>
      <c r="Y83">
        <v>0</v>
      </c>
      <c r="Z83">
        <v>133.55304749999999</v>
      </c>
      <c r="AA83">
        <v>0</v>
      </c>
      <c r="AB83">
        <v>0</v>
      </c>
      <c r="AC83" t="s">
        <v>167</v>
      </c>
      <c r="AD83">
        <v>0</v>
      </c>
      <c r="AE83" t="s">
        <v>1418</v>
      </c>
      <c r="AF83">
        <v>10200000</v>
      </c>
      <c r="AG83" t="s">
        <v>310</v>
      </c>
      <c r="AH83">
        <v>9624.14</v>
      </c>
      <c r="AI83">
        <v>0</v>
      </c>
    </row>
    <row r="84" spans="1:35" x14ac:dyDescent="0.3">
      <c r="A84">
        <v>857</v>
      </c>
      <c r="B84" t="s">
        <v>364</v>
      </c>
      <c r="C84">
        <v>14</v>
      </c>
      <c r="D84" s="3">
        <v>45373.458269641204</v>
      </c>
      <c r="E84" t="s">
        <v>316</v>
      </c>
      <c r="F84" t="s">
        <v>317</v>
      </c>
      <c r="G84">
        <v>1</v>
      </c>
      <c r="H84" t="s">
        <v>310</v>
      </c>
      <c r="I84">
        <v>0</v>
      </c>
      <c r="J84">
        <v>0</v>
      </c>
      <c r="K84">
        <v>0</v>
      </c>
      <c r="L84" t="s">
        <v>310</v>
      </c>
      <c r="M84" t="s">
        <v>310</v>
      </c>
      <c r="N84">
        <v>0</v>
      </c>
      <c r="O84" t="s">
        <v>1389</v>
      </c>
      <c r="P84" t="s">
        <v>101</v>
      </c>
      <c r="Q84" t="s">
        <v>1400</v>
      </c>
      <c r="R84" t="s">
        <v>1405</v>
      </c>
      <c r="S84" t="s">
        <v>202</v>
      </c>
      <c r="T84" t="s">
        <v>1409</v>
      </c>
      <c r="U84">
        <v>0</v>
      </c>
      <c r="V84">
        <v>0</v>
      </c>
      <c r="W84">
        <v>7.5796858</v>
      </c>
      <c r="X84">
        <v>31.159631999999998</v>
      </c>
      <c r="Y84">
        <v>23.0667075</v>
      </c>
      <c r="Z84">
        <v>73.77450429999999</v>
      </c>
      <c r="AA84">
        <v>0</v>
      </c>
      <c r="AB84">
        <v>1</v>
      </c>
      <c r="AC84" t="s">
        <v>174</v>
      </c>
      <c r="AD84">
        <v>9</v>
      </c>
      <c r="AE84" t="s">
        <v>1412</v>
      </c>
      <c r="AF84">
        <v>80000000</v>
      </c>
      <c r="AG84" t="s">
        <v>310</v>
      </c>
      <c r="AH84">
        <v>2791.14</v>
      </c>
      <c r="AI84">
        <v>0</v>
      </c>
    </row>
    <row r="85" spans="1:35" x14ac:dyDescent="0.3">
      <c r="A85">
        <v>858</v>
      </c>
      <c r="B85" t="s">
        <v>1317</v>
      </c>
      <c r="C85">
        <v>14</v>
      </c>
      <c r="D85" s="3">
        <v>45373.458269710645</v>
      </c>
      <c r="E85" t="s">
        <v>316</v>
      </c>
      <c r="F85" t="s">
        <v>317</v>
      </c>
      <c r="G85">
        <v>1</v>
      </c>
      <c r="H85" t="s">
        <v>310</v>
      </c>
      <c r="I85">
        <v>0</v>
      </c>
      <c r="J85">
        <v>0</v>
      </c>
      <c r="K85">
        <v>0</v>
      </c>
      <c r="L85" t="s">
        <v>310</v>
      </c>
      <c r="M85" t="s">
        <v>310</v>
      </c>
      <c r="N85">
        <v>0</v>
      </c>
      <c r="O85" t="s">
        <v>1395</v>
      </c>
      <c r="P85" t="s">
        <v>1401</v>
      </c>
      <c r="Q85" t="s">
        <v>1400</v>
      </c>
      <c r="R85" t="s">
        <v>1404</v>
      </c>
      <c r="S85" t="s">
        <v>322</v>
      </c>
      <c r="T85" t="s">
        <v>105</v>
      </c>
      <c r="U85">
        <v>9</v>
      </c>
      <c r="V85">
        <v>9</v>
      </c>
      <c r="W85">
        <v>18.1644568</v>
      </c>
      <c r="X85">
        <v>0</v>
      </c>
      <c r="Y85">
        <v>7.8251929999999996</v>
      </c>
      <c r="Z85">
        <v>104.6292397</v>
      </c>
      <c r="AA85">
        <v>0</v>
      </c>
      <c r="AB85">
        <v>1</v>
      </c>
      <c r="AC85" t="s">
        <v>174</v>
      </c>
      <c r="AD85">
        <v>9</v>
      </c>
      <c r="AE85" t="s">
        <v>1414</v>
      </c>
      <c r="AF85">
        <v>20000000</v>
      </c>
      <c r="AG85" t="s">
        <v>310</v>
      </c>
      <c r="AH85">
        <v>296.14</v>
      </c>
      <c r="AI85">
        <v>0</v>
      </c>
    </row>
    <row r="86" spans="1:35" x14ac:dyDescent="0.3">
      <c r="A86">
        <v>913</v>
      </c>
      <c r="B86" t="s">
        <v>369</v>
      </c>
      <c r="C86">
        <v>15</v>
      </c>
      <c r="D86" s="3">
        <v>45373.464287233794</v>
      </c>
      <c r="E86" t="s">
        <v>316</v>
      </c>
      <c r="F86" t="s">
        <v>317</v>
      </c>
      <c r="G86">
        <v>0</v>
      </c>
      <c r="H86" t="s">
        <v>310</v>
      </c>
      <c r="I86">
        <v>0</v>
      </c>
      <c r="J86">
        <v>0</v>
      </c>
      <c r="K86">
        <v>0</v>
      </c>
      <c r="L86" t="s">
        <v>310</v>
      </c>
      <c r="M86" t="s">
        <v>310</v>
      </c>
      <c r="N86">
        <v>0</v>
      </c>
      <c r="O86" t="s">
        <v>311</v>
      </c>
      <c r="P86" t="s">
        <v>320</v>
      </c>
      <c r="Q86" t="s">
        <v>1400</v>
      </c>
      <c r="R86" t="s">
        <v>321</v>
      </c>
      <c r="S86" t="s">
        <v>1411</v>
      </c>
      <c r="T86" t="s">
        <v>105</v>
      </c>
      <c r="U86">
        <v>9</v>
      </c>
      <c r="V86">
        <v>9</v>
      </c>
      <c r="W86">
        <v>0</v>
      </c>
      <c r="X86">
        <v>95.8305984</v>
      </c>
      <c r="Y86">
        <v>37.686518199999995</v>
      </c>
      <c r="Z86">
        <v>2.8692365999999998</v>
      </c>
      <c r="AA86">
        <v>3</v>
      </c>
      <c r="AB86">
        <v>0</v>
      </c>
      <c r="AC86" t="s">
        <v>170</v>
      </c>
      <c r="AD86">
        <v>9</v>
      </c>
      <c r="AE86" t="s">
        <v>1413</v>
      </c>
      <c r="AF86">
        <v>0</v>
      </c>
      <c r="AG86" t="s">
        <v>310</v>
      </c>
      <c r="AH86">
        <v>6463.15</v>
      </c>
      <c r="AI86">
        <v>0</v>
      </c>
    </row>
    <row r="87" spans="1:35" x14ac:dyDescent="0.3">
      <c r="A87">
        <v>914</v>
      </c>
      <c r="B87" t="s">
        <v>1277</v>
      </c>
      <c r="C87">
        <v>15</v>
      </c>
      <c r="D87" s="3">
        <v>45373.46428734954</v>
      </c>
      <c r="E87" t="s">
        <v>316</v>
      </c>
      <c r="F87" t="s">
        <v>317</v>
      </c>
      <c r="G87">
        <v>1</v>
      </c>
      <c r="H87" t="s">
        <v>310</v>
      </c>
      <c r="I87">
        <v>0</v>
      </c>
      <c r="J87">
        <v>0</v>
      </c>
      <c r="K87">
        <v>0</v>
      </c>
      <c r="L87" t="s">
        <v>310</v>
      </c>
      <c r="M87" t="s">
        <v>310</v>
      </c>
      <c r="N87">
        <v>0</v>
      </c>
      <c r="O87" t="s">
        <v>1391</v>
      </c>
      <c r="P87" t="s">
        <v>240</v>
      </c>
      <c r="Q87" t="s">
        <v>1399</v>
      </c>
      <c r="R87" t="s">
        <v>1404</v>
      </c>
      <c r="S87" t="s">
        <v>1411</v>
      </c>
      <c r="T87" t="s">
        <v>105</v>
      </c>
      <c r="U87">
        <v>9</v>
      </c>
      <c r="V87">
        <v>9</v>
      </c>
      <c r="W87">
        <v>0</v>
      </c>
      <c r="X87">
        <v>42.338616399999999</v>
      </c>
      <c r="Y87">
        <v>32.577637599999996</v>
      </c>
      <c r="Z87">
        <v>60.723513999999994</v>
      </c>
      <c r="AA87">
        <v>0</v>
      </c>
      <c r="AB87">
        <v>0</v>
      </c>
      <c r="AC87" t="s">
        <v>174</v>
      </c>
      <c r="AD87">
        <v>0</v>
      </c>
      <c r="AE87" t="s">
        <v>1418</v>
      </c>
      <c r="AF87">
        <v>90000000</v>
      </c>
      <c r="AG87" t="s">
        <v>310</v>
      </c>
      <c r="AH87">
        <v>3360.15</v>
      </c>
      <c r="AI87">
        <v>0</v>
      </c>
    </row>
    <row r="88" spans="1:35" x14ac:dyDescent="0.3">
      <c r="A88">
        <v>915</v>
      </c>
      <c r="B88" t="s">
        <v>1301</v>
      </c>
      <c r="C88">
        <v>15</v>
      </c>
      <c r="D88" s="3">
        <v>45373.464287465278</v>
      </c>
      <c r="E88" t="s">
        <v>316</v>
      </c>
      <c r="F88" t="s">
        <v>317</v>
      </c>
      <c r="G88">
        <v>0</v>
      </c>
      <c r="H88" t="s">
        <v>310</v>
      </c>
      <c r="I88">
        <v>0</v>
      </c>
      <c r="J88">
        <v>0</v>
      </c>
      <c r="K88">
        <v>0</v>
      </c>
      <c r="L88" t="s">
        <v>310</v>
      </c>
      <c r="M88" t="s">
        <v>310</v>
      </c>
      <c r="N88">
        <v>0</v>
      </c>
      <c r="O88" t="s">
        <v>319</v>
      </c>
      <c r="P88" t="s">
        <v>320</v>
      </c>
      <c r="Q88" t="s">
        <v>1400</v>
      </c>
      <c r="R88" t="s">
        <v>1404</v>
      </c>
      <c r="S88" t="s">
        <v>1411</v>
      </c>
      <c r="T88" t="s">
        <v>105</v>
      </c>
      <c r="U88">
        <v>9</v>
      </c>
      <c r="V88">
        <v>9</v>
      </c>
      <c r="W88">
        <v>0</v>
      </c>
      <c r="X88">
        <v>0</v>
      </c>
      <c r="Y88">
        <v>81.6031184</v>
      </c>
      <c r="Z88">
        <v>57.348993399999998</v>
      </c>
      <c r="AA88">
        <v>0</v>
      </c>
      <c r="AB88">
        <v>0</v>
      </c>
      <c r="AC88" t="s">
        <v>167</v>
      </c>
      <c r="AD88">
        <v>9</v>
      </c>
      <c r="AE88" t="s">
        <v>1416</v>
      </c>
      <c r="AF88">
        <v>0</v>
      </c>
      <c r="AG88" t="s">
        <v>310</v>
      </c>
      <c r="AH88">
        <v>7031.15</v>
      </c>
      <c r="AI88">
        <v>0</v>
      </c>
    </row>
    <row r="89" spans="1:35" x14ac:dyDescent="0.3">
      <c r="A89">
        <v>916</v>
      </c>
      <c r="B89" t="s">
        <v>363</v>
      </c>
      <c r="C89">
        <v>15</v>
      </c>
      <c r="D89" s="3">
        <v>45373.46428753472</v>
      </c>
      <c r="E89" t="s">
        <v>316</v>
      </c>
      <c r="F89" t="s">
        <v>317</v>
      </c>
      <c r="G89">
        <v>1</v>
      </c>
      <c r="H89" t="s">
        <v>310</v>
      </c>
      <c r="I89">
        <v>0</v>
      </c>
      <c r="J89">
        <v>0</v>
      </c>
      <c r="K89">
        <v>0</v>
      </c>
      <c r="L89" t="s">
        <v>310</v>
      </c>
      <c r="M89" t="s">
        <v>310</v>
      </c>
      <c r="N89">
        <v>0</v>
      </c>
      <c r="O89" t="s">
        <v>1393</v>
      </c>
      <c r="P89" t="s">
        <v>1401</v>
      </c>
      <c r="Q89" t="s">
        <v>1399</v>
      </c>
      <c r="R89" t="s">
        <v>1405</v>
      </c>
      <c r="S89" t="s">
        <v>202</v>
      </c>
      <c r="T89" t="s">
        <v>1407</v>
      </c>
      <c r="U89">
        <v>0</v>
      </c>
      <c r="V89">
        <v>1</v>
      </c>
      <c r="W89">
        <v>11.7344261</v>
      </c>
      <c r="X89">
        <v>44.073602099999995</v>
      </c>
      <c r="Y89">
        <v>21.417432299999998</v>
      </c>
      <c r="Z89">
        <v>43.717856300000001</v>
      </c>
      <c r="AA89">
        <v>0</v>
      </c>
      <c r="AB89">
        <v>0</v>
      </c>
      <c r="AC89" t="s">
        <v>174</v>
      </c>
      <c r="AD89">
        <v>1</v>
      </c>
      <c r="AE89" t="s">
        <v>1417</v>
      </c>
      <c r="AF89">
        <v>60000000</v>
      </c>
      <c r="AG89" t="s">
        <v>310</v>
      </c>
      <c r="AH89">
        <v>2601.15</v>
      </c>
      <c r="AI89">
        <v>0</v>
      </c>
    </row>
    <row r="90" spans="1:35" x14ac:dyDescent="0.3">
      <c r="A90">
        <v>917</v>
      </c>
      <c r="B90" t="s">
        <v>1286</v>
      </c>
      <c r="C90">
        <v>15</v>
      </c>
      <c r="D90" s="3">
        <v>45373.464287650466</v>
      </c>
      <c r="E90" t="s">
        <v>316</v>
      </c>
      <c r="F90" t="s">
        <v>317</v>
      </c>
      <c r="G90">
        <v>1</v>
      </c>
      <c r="H90" t="s">
        <v>310</v>
      </c>
      <c r="I90">
        <v>0</v>
      </c>
      <c r="J90">
        <v>0</v>
      </c>
      <c r="K90">
        <v>0</v>
      </c>
      <c r="L90" t="s">
        <v>310</v>
      </c>
      <c r="M90" t="s">
        <v>310</v>
      </c>
      <c r="N90">
        <v>0</v>
      </c>
      <c r="O90" t="s">
        <v>1389</v>
      </c>
      <c r="P90" t="s">
        <v>240</v>
      </c>
      <c r="Q90" t="s">
        <v>1400</v>
      </c>
      <c r="R90" t="s">
        <v>1405</v>
      </c>
      <c r="S90" t="s">
        <v>202</v>
      </c>
      <c r="T90" t="s">
        <v>1406</v>
      </c>
      <c r="U90">
        <v>1</v>
      </c>
      <c r="V90">
        <v>0</v>
      </c>
      <c r="W90">
        <v>16.543976199999999</v>
      </c>
      <c r="X90">
        <v>35.924963499999997</v>
      </c>
      <c r="Y90">
        <v>17.219394299999998</v>
      </c>
      <c r="Z90">
        <v>55.4469657</v>
      </c>
      <c r="AA90">
        <v>0</v>
      </c>
      <c r="AB90">
        <v>1</v>
      </c>
      <c r="AC90" t="s">
        <v>174</v>
      </c>
      <c r="AD90">
        <v>9</v>
      </c>
      <c r="AE90" t="s">
        <v>1412</v>
      </c>
      <c r="AF90">
        <v>110000000</v>
      </c>
      <c r="AG90" t="s">
        <v>310</v>
      </c>
      <c r="AH90">
        <v>1591.15</v>
      </c>
      <c r="AI90">
        <v>0</v>
      </c>
    </row>
    <row r="91" spans="1:35" x14ac:dyDescent="0.3">
      <c r="A91">
        <v>918</v>
      </c>
      <c r="B91" t="s">
        <v>1308</v>
      </c>
      <c r="C91">
        <v>15</v>
      </c>
      <c r="D91" s="3">
        <v>45373.464287766205</v>
      </c>
      <c r="E91" t="s">
        <v>316</v>
      </c>
      <c r="F91" t="s">
        <v>317</v>
      </c>
      <c r="G91">
        <v>0</v>
      </c>
      <c r="H91" t="s">
        <v>310</v>
      </c>
      <c r="I91">
        <v>0</v>
      </c>
      <c r="J91">
        <v>0</v>
      </c>
      <c r="K91">
        <v>0</v>
      </c>
      <c r="L91" t="s">
        <v>310</v>
      </c>
      <c r="M91" t="s">
        <v>310</v>
      </c>
      <c r="N91">
        <v>0</v>
      </c>
      <c r="O91" t="s">
        <v>1395</v>
      </c>
      <c r="P91" t="s">
        <v>101</v>
      </c>
      <c r="Q91" t="s">
        <v>1400</v>
      </c>
      <c r="R91" t="s">
        <v>1405</v>
      </c>
      <c r="S91" t="s">
        <v>202</v>
      </c>
      <c r="T91" t="s">
        <v>1406</v>
      </c>
      <c r="U91">
        <v>1</v>
      </c>
      <c r="V91">
        <v>0</v>
      </c>
      <c r="W91">
        <v>3.3705628999999999</v>
      </c>
      <c r="X91">
        <v>41.600759799999999</v>
      </c>
      <c r="Y91">
        <v>17.427111499999999</v>
      </c>
      <c r="Z91">
        <v>65.6737076</v>
      </c>
      <c r="AA91">
        <v>1</v>
      </c>
      <c r="AB91">
        <v>1</v>
      </c>
      <c r="AC91" t="s">
        <v>174</v>
      </c>
      <c r="AD91">
        <v>9</v>
      </c>
      <c r="AE91" t="s">
        <v>1414</v>
      </c>
      <c r="AF91">
        <v>70100000</v>
      </c>
      <c r="AG91" t="s">
        <v>310</v>
      </c>
      <c r="AH91">
        <v>3799.15</v>
      </c>
      <c r="AI91">
        <v>0</v>
      </c>
    </row>
    <row r="92" spans="1:35" x14ac:dyDescent="0.3">
      <c r="A92">
        <v>971</v>
      </c>
      <c r="B92" t="s">
        <v>1306</v>
      </c>
      <c r="C92">
        <v>16</v>
      </c>
      <c r="D92" s="3">
        <v>45373.471525462963</v>
      </c>
      <c r="E92" t="s">
        <v>316</v>
      </c>
      <c r="F92" t="s">
        <v>317</v>
      </c>
      <c r="G92">
        <v>1</v>
      </c>
      <c r="H92" t="s">
        <v>310</v>
      </c>
      <c r="I92">
        <v>0</v>
      </c>
      <c r="J92">
        <v>0</v>
      </c>
      <c r="K92">
        <v>0</v>
      </c>
      <c r="L92" t="s">
        <v>310</v>
      </c>
      <c r="M92" t="s">
        <v>310</v>
      </c>
      <c r="N92">
        <v>0</v>
      </c>
      <c r="O92" t="s">
        <v>311</v>
      </c>
      <c r="P92" t="s">
        <v>320</v>
      </c>
      <c r="Q92" t="s">
        <v>1400</v>
      </c>
      <c r="R92" t="s">
        <v>321</v>
      </c>
      <c r="S92" t="s">
        <v>1411</v>
      </c>
      <c r="T92" t="s">
        <v>105</v>
      </c>
      <c r="U92">
        <v>9</v>
      </c>
      <c r="V92">
        <v>9</v>
      </c>
      <c r="W92">
        <v>0</v>
      </c>
      <c r="X92">
        <v>101.822902</v>
      </c>
      <c r="Y92">
        <v>6.8058212999999999</v>
      </c>
      <c r="Z92">
        <v>28.728598399999999</v>
      </c>
      <c r="AA92">
        <v>3</v>
      </c>
      <c r="AB92">
        <v>0</v>
      </c>
      <c r="AC92" t="s">
        <v>170</v>
      </c>
      <c r="AD92">
        <v>9</v>
      </c>
      <c r="AE92" t="s">
        <v>1416</v>
      </c>
      <c r="AF92">
        <v>0</v>
      </c>
      <c r="AG92" t="s">
        <v>310</v>
      </c>
      <c r="AH92">
        <v>3986.16</v>
      </c>
      <c r="AI92">
        <v>0</v>
      </c>
    </row>
    <row r="93" spans="1:35" x14ac:dyDescent="0.3">
      <c r="A93">
        <v>972</v>
      </c>
      <c r="B93" t="s">
        <v>1280</v>
      </c>
      <c r="C93">
        <v>16</v>
      </c>
      <c r="D93" s="3">
        <v>45373.471525578701</v>
      </c>
      <c r="E93" t="s">
        <v>316</v>
      </c>
      <c r="F93" t="s">
        <v>317</v>
      </c>
      <c r="G93">
        <v>1</v>
      </c>
      <c r="H93" t="s">
        <v>310</v>
      </c>
      <c r="I93">
        <v>0</v>
      </c>
      <c r="J93">
        <v>0</v>
      </c>
      <c r="K93">
        <v>0</v>
      </c>
      <c r="L93" t="s">
        <v>310</v>
      </c>
      <c r="M93" t="s">
        <v>310</v>
      </c>
      <c r="N93">
        <v>0</v>
      </c>
      <c r="O93" t="s">
        <v>1391</v>
      </c>
      <c r="P93" t="s">
        <v>101</v>
      </c>
      <c r="Q93" t="s">
        <v>1400</v>
      </c>
      <c r="R93" t="s">
        <v>1405</v>
      </c>
      <c r="S93" t="s">
        <v>202</v>
      </c>
      <c r="T93" t="s">
        <v>1406</v>
      </c>
      <c r="U93">
        <v>0</v>
      </c>
      <c r="V93">
        <v>0</v>
      </c>
      <c r="W93">
        <v>2.2699265999999998</v>
      </c>
      <c r="X93">
        <v>47.9125972</v>
      </c>
      <c r="Y93">
        <v>11.567718599999999</v>
      </c>
      <c r="Z93">
        <v>46.315389499999995</v>
      </c>
      <c r="AA93">
        <v>0</v>
      </c>
      <c r="AB93">
        <v>2</v>
      </c>
      <c r="AC93" t="s">
        <v>174</v>
      </c>
      <c r="AD93">
        <v>9</v>
      </c>
      <c r="AE93" t="s">
        <v>1418</v>
      </c>
      <c r="AF93">
        <v>30000000</v>
      </c>
      <c r="AG93" t="s">
        <v>310</v>
      </c>
      <c r="AH93">
        <v>1559.16</v>
      </c>
      <c r="AI93">
        <v>0</v>
      </c>
    </row>
    <row r="94" spans="1:35" x14ac:dyDescent="0.3">
      <c r="A94">
        <v>973</v>
      </c>
      <c r="B94" t="s">
        <v>1315</v>
      </c>
      <c r="C94">
        <v>16</v>
      </c>
      <c r="D94" s="3">
        <v>45373.471525694447</v>
      </c>
      <c r="E94" t="s">
        <v>316</v>
      </c>
      <c r="F94" t="s">
        <v>317</v>
      </c>
      <c r="G94">
        <v>0</v>
      </c>
      <c r="H94" t="s">
        <v>310</v>
      </c>
      <c r="I94">
        <v>0</v>
      </c>
      <c r="J94">
        <v>0</v>
      </c>
      <c r="K94">
        <v>0</v>
      </c>
      <c r="L94" t="s">
        <v>310</v>
      </c>
      <c r="M94" t="s">
        <v>310</v>
      </c>
      <c r="N94">
        <v>0</v>
      </c>
      <c r="O94" t="s">
        <v>319</v>
      </c>
      <c r="P94" t="s">
        <v>240</v>
      </c>
      <c r="Q94" t="s">
        <v>1399</v>
      </c>
      <c r="R94" t="s">
        <v>1404</v>
      </c>
      <c r="S94" t="s">
        <v>1411</v>
      </c>
      <c r="T94" t="s">
        <v>105</v>
      </c>
      <c r="U94">
        <v>9</v>
      </c>
      <c r="V94">
        <v>9</v>
      </c>
      <c r="W94">
        <v>0</v>
      </c>
      <c r="X94">
        <v>34.672804899999996</v>
      </c>
      <c r="Y94">
        <v>20.395621899999998</v>
      </c>
      <c r="Z94">
        <v>77.448165099999997</v>
      </c>
      <c r="AA94">
        <v>0</v>
      </c>
      <c r="AB94">
        <v>1</v>
      </c>
      <c r="AC94" t="s">
        <v>174</v>
      </c>
      <c r="AD94">
        <v>1</v>
      </c>
      <c r="AE94" t="s">
        <v>1413</v>
      </c>
      <c r="AF94">
        <v>80000000</v>
      </c>
      <c r="AG94" t="s">
        <v>310</v>
      </c>
      <c r="AH94">
        <v>1511.16</v>
      </c>
      <c r="AI94">
        <v>0</v>
      </c>
    </row>
    <row r="95" spans="1:35" x14ac:dyDescent="0.3">
      <c r="A95">
        <v>974</v>
      </c>
      <c r="B95" t="s">
        <v>1318</v>
      </c>
      <c r="C95">
        <v>16</v>
      </c>
      <c r="D95" s="3">
        <v>45373.471525810186</v>
      </c>
      <c r="E95" t="s">
        <v>316</v>
      </c>
      <c r="F95" t="s">
        <v>317</v>
      </c>
      <c r="G95">
        <v>0</v>
      </c>
      <c r="H95" t="s">
        <v>310</v>
      </c>
      <c r="I95">
        <v>0</v>
      </c>
      <c r="J95">
        <v>0</v>
      </c>
      <c r="K95">
        <v>0</v>
      </c>
      <c r="L95" t="s">
        <v>310</v>
      </c>
      <c r="M95" t="s">
        <v>310</v>
      </c>
      <c r="N95">
        <v>0</v>
      </c>
      <c r="O95" t="s">
        <v>1393</v>
      </c>
      <c r="P95" t="s">
        <v>101</v>
      </c>
      <c r="Q95" t="s">
        <v>1399</v>
      </c>
      <c r="R95" t="s">
        <v>321</v>
      </c>
      <c r="S95" t="s">
        <v>1411</v>
      </c>
      <c r="T95" t="s">
        <v>105</v>
      </c>
      <c r="U95">
        <v>9</v>
      </c>
      <c r="V95">
        <v>9</v>
      </c>
      <c r="W95">
        <v>0</v>
      </c>
      <c r="X95">
        <v>31.445748099999999</v>
      </c>
      <c r="Y95">
        <v>33.835610799999998</v>
      </c>
      <c r="Z95">
        <v>72.893384900000001</v>
      </c>
      <c r="AA95">
        <v>1</v>
      </c>
      <c r="AB95">
        <v>0</v>
      </c>
      <c r="AC95" t="s">
        <v>174</v>
      </c>
      <c r="AD95">
        <v>0</v>
      </c>
      <c r="AE95" t="s">
        <v>1414</v>
      </c>
      <c r="AF95">
        <v>80400000</v>
      </c>
      <c r="AG95" t="s">
        <v>310</v>
      </c>
      <c r="AH95">
        <v>7709.16</v>
      </c>
      <c r="AI95">
        <v>0</v>
      </c>
    </row>
    <row r="96" spans="1:35" x14ac:dyDescent="0.3">
      <c r="A96">
        <v>975</v>
      </c>
      <c r="B96" t="s">
        <v>1295</v>
      </c>
      <c r="C96">
        <v>16</v>
      </c>
      <c r="D96" s="3">
        <v>45373.471525891204</v>
      </c>
      <c r="E96" t="s">
        <v>316</v>
      </c>
      <c r="F96" t="s">
        <v>317</v>
      </c>
      <c r="G96">
        <v>1</v>
      </c>
      <c r="H96" t="s">
        <v>310</v>
      </c>
      <c r="I96">
        <v>0</v>
      </c>
      <c r="J96">
        <v>0</v>
      </c>
      <c r="K96">
        <v>0</v>
      </c>
      <c r="L96" t="s">
        <v>310</v>
      </c>
      <c r="M96" t="s">
        <v>310</v>
      </c>
      <c r="N96">
        <v>0</v>
      </c>
      <c r="O96" t="s">
        <v>1389</v>
      </c>
      <c r="P96" t="s">
        <v>1401</v>
      </c>
      <c r="Q96" t="s">
        <v>1400</v>
      </c>
      <c r="R96" t="s">
        <v>1404</v>
      </c>
      <c r="S96" t="s">
        <v>322</v>
      </c>
      <c r="T96" t="s">
        <v>105</v>
      </c>
      <c r="U96">
        <v>9</v>
      </c>
      <c r="V96">
        <v>9</v>
      </c>
      <c r="W96">
        <v>7.0435428</v>
      </c>
      <c r="X96">
        <v>16.974126899999998</v>
      </c>
      <c r="Y96">
        <v>12.293234799999999</v>
      </c>
      <c r="Z96">
        <v>98.162991199999993</v>
      </c>
      <c r="AA96">
        <v>0</v>
      </c>
      <c r="AB96">
        <v>0</v>
      </c>
      <c r="AC96" t="s">
        <v>173</v>
      </c>
      <c r="AD96">
        <v>9</v>
      </c>
      <c r="AE96" t="s">
        <v>1412</v>
      </c>
      <c r="AF96">
        <v>120000000</v>
      </c>
      <c r="AG96" t="s">
        <v>310</v>
      </c>
      <c r="AH96">
        <v>6300.16</v>
      </c>
      <c r="AI96">
        <v>0</v>
      </c>
    </row>
    <row r="97" spans="1:35" x14ac:dyDescent="0.3">
      <c r="A97">
        <v>976</v>
      </c>
      <c r="B97" t="s">
        <v>1311</v>
      </c>
      <c r="C97">
        <v>16</v>
      </c>
      <c r="D97" s="3">
        <v>45373.471526006942</v>
      </c>
      <c r="E97" t="s">
        <v>316</v>
      </c>
      <c r="F97" t="s">
        <v>317</v>
      </c>
      <c r="G97">
        <v>1</v>
      </c>
      <c r="H97" t="s">
        <v>310</v>
      </c>
      <c r="I97">
        <v>0</v>
      </c>
      <c r="J97">
        <v>0</v>
      </c>
      <c r="K97">
        <v>0</v>
      </c>
      <c r="L97" t="s">
        <v>310</v>
      </c>
      <c r="M97" t="s">
        <v>310</v>
      </c>
      <c r="N97">
        <v>0</v>
      </c>
      <c r="O97" t="s">
        <v>1395</v>
      </c>
      <c r="P97" t="s">
        <v>320</v>
      </c>
      <c r="Q97" t="s">
        <v>1400</v>
      </c>
      <c r="R97" t="s">
        <v>1404</v>
      </c>
      <c r="S97" t="s">
        <v>322</v>
      </c>
      <c r="T97" t="s">
        <v>105</v>
      </c>
      <c r="U97">
        <v>9</v>
      </c>
      <c r="V97">
        <v>9</v>
      </c>
      <c r="W97">
        <v>4.3115607000000002</v>
      </c>
      <c r="X97">
        <v>0</v>
      </c>
      <c r="Y97">
        <v>15.854542799999999</v>
      </c>
      <c r="Z97">
        <v>117.5088816</v>
      </c>
      <c r="AA97">
        <v>3</v>
      </c>
      <c r="AB97">
        <v>0</v>
      </c>
      <c r="AC97" t="s">
        <v>170</v>
      </c>
      <c r="AD97">
        <v>9</v>
      </c>
      <c r="AE97" t="s">
        <v>1417</v>
      </c>
      <c r="AF97">
        <v>0</v>
      </c>
      <c r="AG97" t="s">
        <v>310</v>
      </c>
      <c r="AH97">
        <v>2234.16</v>
      </c>
      <c r="AI97">
        <v>0</v>
      </c>
    </row>
    <row r="98" spans="1:35" x14ac:dyDescent="0.3">
      <c r="A98">
        <v>1034</v>
      </c>
      <c r="B98" t="s">
        <v>361</v>
      </c>
      <c r="C98">
        <v>17</v>
      </c>
      <c r="D98" s="3">
        <v>45373.47614097222</v>
      </c>
      <c r="E98" t="s">
        <v>316</v>
      </c>
      <c r="F98" t="s">
        <v>317</v>
      </c>
      <c r="G98">
        <v>1</v>
      </c>
      <c r="H98" t="s">
        <v>310</v>
      </c>
      <c r="I98">
        <v>0</v>
      </c>
      <c r="J98">
        <v>0</v>
      </c>
      <c r="K98">
        <v>0</v>
      </c>
      <c r="L98" t="s">
        <v>310</v>
      </c>
      <c r="M98" t="s">
        <v>310</v>
      </c>
      <c r="N98">
        <v>0</v>
      </c>
      <c r="O98" t="s">
        <v>311</v>
      </c>
      <c r="P98" t="s">
        <v>1401</v>
      </c>
      <c r="Q98" t="s">
        <v>1400</v>
      </c>
      <c r="R98" t="s">
        <v>1405</v>
      </c>
      <c r="S98" t="s">
        <v>202</v>
      </c>
      <c r="T98" t="s">
        <v>1407</v>
      </c>
      <c r="U98">
        <v>0</v>
      </c>
      <c r="V98">
        <v>0</v>
      </c>
      <c r="W98">
        <v>5.3142683000000002</v>
      </c>
      <c r="X98">
        <v>48.157598499999999</v>
      </c>
      <c r="Y98">
        <v>36.839543999999997</v>
      </c>
      <c r="Z98">
        <v>37.2072875</v>
      </c>
      <c r="AA98">
        <v>0</v>
      </c>
      <c r="AB98">
        <v>1</v>
      </c>
      <c r="AC98" t="s">
        <v>174</v>
      </c>
      <c r="AD98">
        <v>9</v>
      </c>
      <c r="AE98" t="s">
        <v>1416</v>
      </c>
      <c r="AF98">
        <v>120001000</v>
      </c>
      <c r="AG98" t="s">
        <v>310</v>
      </c>
      <c r="AH98">
        <v>20.170000000000002</v>
      </c>
      <c r="AI98">
        <v>0</v>
      </c>
    </row>
    <row r="99" spans="1:35" x14ac:dyDescent="0.3">
      <c r="A99">
        <v>1035</v>
      </c>
      <c r="B99" t="s">
        <v>1278</v>
      </c>
      <c r="C99">
        <v>17</v>
      </c>
      <c r="D99" s="3">
        <v>45373.476141122686</v>
      </c>
      <c r="E99" t="s">
        <v>316</v>
      </c>
      <c r="F99" t="s">
        <v>317</v>
      </c>
      <c r="G99">
        <v>0</v>
      </c>
      <c r="H99" t="s">
        <v>310</v>
      </c>
      <c r="I99">
        <v>0</v>
      </c>
      <c r="J99">
        <v>0</v>
      </c>
      <c r="K99">
        <v>0</v>
      </c>
      <c r="L99" t="s">
        <v>310</v>
      </c>
      <c r="M99" t="s">
        <v>310</v>
      </c>
      <c r="N99">
        <v>0</v>
      </c>
      <c r="O99" t="s">
        <v>1391</v>
      </c>
      <c r="P99" t="s">
        <v>240</v>
      </c>
      <c r="Q99" t="s">
        <v>1399</v>
      </c>
      <c r="R99" t="s">
        <v>1404</v>
      </c>
      <c r="S99" t="s">
        <v>1411</v>
      </c>
      <c r="T99" t="s">
        <v>105</v>
      </c>
      <c r="U99">
        <v>9</v>
      </c>
      <c r="V99">
        <v>9</v>
      </c>
      <c r="W99">
        <v>0</v>
      </c>
      <c r="X99">
        <v>12.605853399999999</v>
      </c>
      <c r="Y99">
        <v>5.9637209999999996</v>
      </c>
      <c r="Z99">
        <v>104.7703774</v>
      </c>
      <c r="AA99">
        <v>0</v>
      </c>
      <c r="AB99">
        <v>0</v>
      </c>
      <c r="AC99" t="s">
        <v>173</v>
      </c>
      <c r="AD99">
        <v>1</v>
      </c>
      <c r="AE99" t="s">
        <v>1412</v>
      </c>
      <c r="AF99">
        <v>40000000</v>
      </c>
      <c r="AG99" t="s">
        <v>310</v>
      </c>
      <c r="AH99">
        <v>3951.17</v>
      </c>
      <c r="AI99">
        <v>0</v>
      </c>
    </row>
    <row r="100" spans="1:35" x14ac:dyDescent="0.3">
      <c r="A100">
        <v>1036</v>
      </c>
      <c r="B100" t="s">
        <v>318</v>
      </c>
      <c r="C100">
        <v>17</v>
      </c>
      <c r="D100" s="3">
        <v>45373.476141203704</v>
      </c>
      <c r="E100" t="s">
        <v>316</v>
      </c>
      <c r="F100" t="s">
        <v>317</v>
      </c>
      <c r="G100">
        <v>0</v>
      </c>
      <c r="H100" t="s">
        <v>310</v>
      </c>
      <c r="I100">
        <v>0</v>
      </c>
      <c r="J100">
        <v>0</v>
      </c>
      <c r="K100">
        <v>0</v>
      </c>
      <c r="L100" t="s">
        <v>310</v>
      </c>
      <c r="M100" t="s">
        <v>310</v>
      </c>
      <c r="N100">
        <v>0</v>
      </c>
      <c r="O100" t="s">
        <v>319</v>
      </c>
      <c r="P100" t="s">
        <v>101</v>
      </c>
      <c r="Q100" t="s">
        <v>1400</v>
      </c>
      <c r="R100" t="s">
        <v>1404</v>
      </c>
      <c r="S100" t="s">
        <v>322</v>
      </c>
      <c r="T100" t="s">
        <v>105</v>
      </c>
      <c r="U100">
        <v>9</v>
      </c>
      <c r="V100">
        <v>9</v>
      </c>
      <c r="W100">
        <v>16.330018599999999</v>
      </c>
      <c r="X100">
        <v>34.505620100000002</v>
      </c>
      <c r="Y100">
        <v>19.905557399999999</v>
      </c>
      <c r="Z100">
        <v>63.902189699999994</v>
      </c>
      <c r="AA100">
        <v>0</v>
      </c>
      <c r="AB100">
        <v>0</v>
      </c>
      <c r="AC100" t="s">
        <v>174</v>
      </c>
      <c r="AD100">
        <v>9</v>
      </c>
      <c r="AE100" t="s">
        <v>1413</v>
      </c>
      <c r="AF100">
        <v>80000000</v>
      </c>
      <c r="AG100" t="s">
        <v>310</v>
      </c>
      <c r="AH100">
        <v>639.16999999999996</v>
      </c>
      <c r="AI100">
        <v>0</v>
      </c>
    </row>
    <row r="101" spans="1:35" x14ac:dyDescent="0.3">
      <c r="A101">
        <v>1037</v>
      </c>
      <c r="B101" t="s">
        <v>1312</v>
      </c>
      <c r="C101">
        <v>17</v>
      </c>
      <c r="D101" s="3">
        <v>45373.476141319443</v>
      </c>
      <c r="E101" t="s">
        <v>316</v>
      </c>
      <c r="F101" t="s">
        <v>317</v>
      </c>
      <c r="G101">
        <v>1</v>
      </c>
      <c r="H101" t="s">
        <v>310</v>
      </c>
      <c r="I101">
        <v>0</v>
      </c>
      <c r="J101">
        <v>0</v>
      </c>
      <c r="K101">
        <v>0</v>
      </c>
      <c r="L101" t="s">
        <v>310</v>
      </c>
      <c r="M101" t="s">
        <v>310</v>
      </c>
      <c r="N101">
        <v>0</v>
      </c>
      <c r="O101" t="s">
        <v>1393</v>
      </c>
      <c r="P101" t="s">
        <v>240</v>
      </c>
      <c r="Q101" t="s">
        <v>1400</v>
      </c>
      <c r="R101" t="s">
        <v>1404</v>
      </c>
      <c r="S101" t="s">
        <v>322</v>
      </c>
      <c r="T101" t="s">
        <v>105</v>
      </c>
      <c r="U101">
        <v>9</v>
      </c>
      <c r="V101">
        <v>9</v>
      </c>
      <c r="W101">
        <v>0.1843774</v>
      </c>
      <c r="X101">
        <v>36.049422199999995</v>
      </c>
      <c r="Y101">
        <v>18.657697299999999</v>
      </c>
      <c r="Z101">
        <v>77.930810100000002</v>
      </c>
      <c r="AA101">
        <v>1</v>
      </c>
      <c r="AB101">
        <v>0</v>
      </c>
      <c r="AC101" t="s">
        <v>174</v>
      </c>
      <c r="AD101">
        <v>9</v>
      </c>
      <c r="AE101" t="s">
        <v>1414</v>
      </c>
      <c r="AF101">
        <v>70301000</v>
      </c>
      <c r="AG101" t="s">
        <v>310</v>
      </c>
      <c r="AH101">
        <v>2053.17</v>
      </c>
      <c r="AI101">
        <v>0</v>
      </c>
    </row>
    <row r="102" spans="1:35" x14ac:dyDescent="0.3">
      <c r="A102">
        <v>1038</v>
      </c>
      <c r="B102" t="s">
        <v>373</v>
      </c>
      <c r="C102">
        <v>17</v>
      </c>
      <c r="D102" s="3">
        <v>45373.476141435189</v>
      </c>
      <c r="E102" t="s">
        <v>316</v>
      </c>
      <c r="F102" t="s">
        <v>317</v>
      </c>
      <c r="G102">
        <v>0</v>
      </c>
      <c r="H102" t="s">
        <v>310</v>
      </c>
      <c r="I102">
        <v>0</v>
      </c>
      <c r="J102">
        <v>0</v>
      </c>
      <c r="K102">
        <v>0</v>
      </c>
      <c r="L102" t="s">
        <v>310</v>
      </c>
      <c r="M102" t="s">
        <v>310</v>
      </c>
      <c r="N102">
        <v>0</v>
      </c>
      <c r="O102" t="s">
        <v>1389</v>
      </c>
      <c r="P102" t="s">
        <v>1401</v>
      </c>
      <c r="Q102" t="s">
        <v>1399</v>
      </c>
      <c r="R102" t="s">
        <v>1404</v>
      </c>
      <c r="S102" t="s">
        <v>322</v>
      </c>
      <c r="T102" t="s">
        <v>105</v>
      </c>
      <c r="U102">
        <v>9</v>
      </c>
      <c r="V102">
        <v>9</v>
      </c>
      <c r="W102">
        <v>13.0777629</v>
      </c>
      <c r="X102">
        <v>0</v>
      </c>
      <c r="Y102">
        <v>39.536111999999996</v>
      </c>
      <c r="Z102">
        <v>72.081060800000003</v>
      </c>
      <c r="AA102">
        <v>1</v>
      </c>
      <c r="AB102">
        <v>0</v>
      </c>
      <c r="AC102" t="s">
        <v>170</v>
      </c>
      <c r="AD102">
        <v>0</v>
      </c>
      <c r="AE102" t="s">
        <v>1418</v>
      </c>
      <c r="AF102">
        <v>0</v>
      </c>
      <c r="AG102" t="s">
        <v>310</v>
      </c>
      <c r="AH102">
        <v>7718.17</v>
      </c>
      <c r="AI102">
        <v>0</v>
      </c>
    </row>
    <row r="103" spans="1:35" x14ac:dyDescent="0.3">
      <c r="A103">
        <v>1039</v>
      </c>
      <c r="B103" t="s">
        <v>1282</v>
      </c>
      <c r="C103">
        <v>17</v>
      </c>
      <c r="D103" s="3">
        <v>45373.476141550927</v>
      </c>
      <c r="E103" t="s">
        <v>316</v>
      </c>
      <c r="F103" t="s">
        <v>317</v>
      </c>
      <c r="G103">
        <v>1</v>
      </c>
      <c r="H103" t="s">
        <v>310</v>
      </c>
      <c r="I103">
        <v>0</v>
      </c>
      <c r="J103">
        <v>0</v>
      </c>
      <c r="K103">
        <v>0</v>
      </c>
      <c r="L103" t="s">
        <v>310</v>
      </c>
      <c r="M103" t="s">
        <v>310</v>
      </c>
      <c r="N103">
        <v>0</v>
      </c>
      <c r="O103" t="s">
        <v>1395</v>
      </c>
      <c r="P103" t="s">
        <v>240</v>
      </c>
      <c r="Q103" t="s">
        <v>1400</v>
      </c>
      <c r="R103" t="s">
        <v>1404</v>
      </c>
      <c r="S103" t="s">
        <v>322</v>
      </c>
      <c r="T103" t="s">
        <v>105</v>
      </c>
      <c r="U103">
        <v>9</v>
      </c>
      <c r="V103">
        <v>9</v>
      </c>
      <c r="W103">
        <v>25.9026633</v>
      </c>
      <c r="X103">
        <v>15.046293799999999</v>
      </c>
      <c r="Y103">
        <v>20.093516599999997</v>
      </c>
      <c r="Z103">
        <v>74.530004300000002</v>
      </c>
      <c r="AA103">
        <v>0</v>
      </c>
      <c r="AB103">
        <v>0</v>
      </c>
      <c r="AC103" t="s">
        <v>174</v>
      </c>
      <c r="AD103">
        <v>9</v>
      </c>
      <c r="AE103" t="s">
        <v>1417</v>
      </c>
      <c r="AF103">
        <v>40000000</v>
      </c>
      <c r="AG103" t="s">
        <v>310</v>
      </c>
      <c r="AH103">
        <v>333.17</v>
      </c>
      <c r="AI103">
        <v>0</v>
      </c>
    </row>
    <row r="104" spans="1:35" x14ac:dyDescent="0.3">
      <c r="A104">
        <v>1103</v>
      </c>
      <c r="B104" t="s">
        <v>1294</v>
      </c>
      <c r="C104">
        <v>18</v>
      </c>
      <c r="D104" s="3">
        <v>45373.480970567129</v>
      </c>
      <c r="E104" t="s">
        <v>316</v>
      </c>
      <c r="F104" t="s">
        <v>317</v>
      </c>
      <c r="G104">
        <v>0</v>
      </c>
      <c r="H104" t="s">
        <v>310</v>
      </c>
      <c r="I104">
        <v>0</v>
      </c>
      <c r="J104">
        <v>0</v>
      </c>
      <c r="K104">
        <v>0</v>
      </c>
      <c r="L104" t="s">
        <v>310</v>
      </c>
      <c r="M104" t="s">
        <v>310</v>
      </c>
      <c r="N104">
        <v>0</v>
      </c>
      <c r="O104" t="s">
        <v>311</v>
      </c>
      <c r="P104" t="s">
        <v>320</v>
      </c>
      <c r="Q104" t="s">
        <v>1400</v>
      </c>
      <c r="R104" t="s">
        <v>1404</v>
      </c>
      <c r="S104" t="s">
        <v>322</v>
      </c>
      <c r="T104" t="s">
        <v>105</v>
      </c>
      <c r="U104">
        <v>9</v>
      </c>
      <c r="V104">
        <v>9</v>
      </c>
      <c r="W104">
        <v>5.8205923999999998</v>
      </c>
      <c r="X104">
        <v>0</v>
      </c>
      <c r="Y104">
        <v>0</v>
      </c>
      <c r="Z104">
        <v>130.61326199999999</v>
      </c>
      <c r="AA104">
        <v>0</v>
      </c>
      <c r="AB104">
        <v>0</v>
      </c>
      <c r="AC104" t="s">
        <v>174</v>
      </c>
      <c r="AD104">
        <v>9</v>
      </c>
      <c r="AE104" t="s">
        <v>1416</v>
      </c>
      <c r="AF104">
        <v>60000000</v>
      </c>
      <c r="AG104" t="s">
        <v>310</v>
      </c>
      <c r="AH104">
        <v>9076.18</v>
      </c>
      <c r="AI104">
        <v>0</v>
      </c>
    </row>
    <row r="105" spans="1:35" x14ac:dyDescent="0.3">
      <c r="A105">
        <v>1104</v>
      </c>
      <c r="B105" t="s">
        <v>1310</v>
      </c>
      <c r="C105">
        <v>18</v>
      </c>
      <c r="D105" s="3">
        <v>45373.480970682867</v>
      </c>
      <c r="E105" t="s">
        <v>316</v>
      </c>
      <c r="F105" t="s">
        <v>317</v>
      </c>
      <c r="G105">
        <v>1</v>
      </c>
      <c r="H105" t="s">
        <v>310</v>
      </c>
      <c r="I105">
        <v>0</v>
      </c>
      <c r="J105">
        <v>0</v>
      </c>
      <c r="K105">
        <v>0</v>
      </c>
      <c r="L105" t="s">
        <v>310</v>
      </c>
      <c r="M105" t="s">
        <v>310</v>
      </c>
      <c r="N105">
        <v>0</v>
      </c>
      <c r="O105" t="s">
        <v>1391</v>
      </c>
      <c r="P105" t="s">
        <v>1401</v>
      </c>
      <c r="Q105" t="s">
        <v>1400</v>
      </c>
      <c r="R105" t="s">
        <v>1404</v>
      </c>
      <c r="S105" t="s">
        <v>322</v>
      </c>
      <c r="T105" t="s">
        <v>105</v>
      </c>
      <c r="U105">
        <v>9</v>
      </c>
      <c r="V105">
        <v>9</v>
      </c>
      <c r="W105">
        <v>2.7449502999999997</v>
      </c>
      <c r="X105">
        <v>28.862688799999997</v>
      </c>
      <c r="Y105">
        <v>20.958608599999998</v>
      </c>
      <c r="Z105">
        <v>83.107420399999995</v>
      </c>
      <c r="AA105">
        <v>0</v>
      </c>
      <c r="AB105">
        <v>0</v>
      </c>
      <c r="AC105" t="s">
        <v>173</v>
      </c>
      <c r="AD105">
        <v>9</v>
      </c>
      <c r="AE105" t="s">
        <v>1412</v>
      </c>
      <c r="AF105">
        <v>110000000</v>
      </c>
      <c r="AG105" t="s">
        <v>310</v>
      </c>
      <c r="AH105">
        <v>6621.18</v>
      </c>
      <c r="AI105">
        <v>0</v>
      </c>
    </row>
    <row r="106" spans="1:35" x14ac:dyDescent="0.3">
      <c r="A106">
        <v>1105</v>
      </c>
      <c r="B106" t="s">
        <v>365</v>
      </c>
      <c r="C106">
        <v>18</v>
      </c>
      <c r="D106" s="3">
        <v>45373.480970798613</v>
      </c>
      <c r="E106" t="s">
        <v>316</v>
      </c>
      <c r="F106" t="s">
        <v>317</v>
      </c>
      <c r="G106">
        <v>1</v>
      </c>
      <c r="H106" t="s">
        <v>310</v>
      </c>
      <c r="I106">
        <v>0</v>
      </c>
      <c r="J106">
        <v>0</v>
      </c>
      <c r="K106">
        <v>0</v>
      </c>
      <c r="L106" t="s">
        <v>310</v>
      </c>
      <c r="M106" t="s">
        <v>310</v>
      </c>
      <c r="N106">
        <v>0</v>
      </c>
      <c r="O106" t="s">
        <v>319</v>
      </c>
      <c r="P106" t="s">
        <v>240</v>
      </c>
      <c r="Q106" t="s">
        <v>1399</v>
      </c>
      <c r="R106" t="s">
        <v>1404</v>
      </c>
      <c r="S106" t="s">
        <v>1411</v>
      </c>
      <c r="T106" t="s">
        <v>105</v>
      </c>
      <c r="U106">
        <v>9</v>
      </c>
      <c r="V106">
        <v>9</v>
      </c>
      <c r="W106">
        <v>0</v>
      </c>
      <c r="X106">
        <v>57.328654799999995</v>
      </c>
      <c r="Y106">
        <v>21.676994999999998</v>
      </c>
      <c r="Z106">
        <v>59.5436926</v>
      </c>
      <c r="AA106">
        <v>0</v>
      </c>
      <c r="AB106">
        <v>0</v>
      </c>
      <c r="AC106" t="s">
        <v>174</v>
      </c>
      <c r="AD106">
        <v>1</v>
      </c>
      <c r="AE106" t="s">
        <v>1413</v>
      </c>
      <c r="AF106">
        <v>80000000</v>
      </c>
      <c r="AG106" t="s">
        <v>310</v>
      </c>
      <c r="AH106">
        <v>3171.18</v>
      </c>
      <c r="AI106">
        <v>0</v>
      </c>
    </row>
    <row r="107" spans="1:35" x14ac:dyDescent="0.3">
      <c r="A107">
        <v>1106</v>
      </c>
      <c r="B107" t="s">
        <v>371</v>
      </c>
      <c r="C107">
        <v>18</v>
      </c>
      <c r="D107" s="3">
        <v>45373.480970914352</v>
      </c>
      <c r="E107" t="s">
        <v>316</v>
      </c>
      <c r="F107" t="s">
        <v>317</v>
      </c>
      <c r="G107">
        <v>0</v>
      </c>
      <c r="H107" t="s">
        <v>310</v>
      </c>
      <c r="I107">
        <v>0</v>
      </c>
      <c r="J107">
        <v>0</v>
      </c>
      <c r="K107">
        <v>0</v>
      </c>
      <c r="L107" t="s">
        <v>310</v>
      </c>
      <c r="M107" t="s">
        <v>310</v>
      </c>
      <c r="N107">
        <v>0</v>
      </c>
      <c r="O107" t="s">
        <v>1393</v>
      </c>
      <c r="P107" t="s">
        <v>320</v>
      </c>
      <c r="Q107" t="s">
        <v>1399</v>
      </c>
      <c r="R107" t="s">
        <v>321</v>
      </c>
      <c r="S107" t="s">
        <v>1411</v>
      </c>
      <c r="T107" t="s">
        <v>105</v>
      </c>
      <c r="U107">
        <v>9</v>
      </c>
      <c r="V107">
        <v>9</v>
      </c>
      <c r="W107">
        <v>0</v>
      </c>
      <c r="X107">
        <v>0</v>
      </c>
      <c r="Y107">
        <v>0</v>
      </c>
      <c r="Z107">
        <v>136.74451449999998</v>
      </c>
      <c r="AA107">
        <v>0</v>
      </c>
      <c r="AB107">
        <v>1</v>
      </c>
      <c r="AC107" t="s">
        <v>167</v>
      </c>
      <c r="AD107">
        <v>0</v>
      </c>
      <c r="AE107" t="s">
        <v>1414</v>
      </c>
      <c r="AF107">
        <v>0</v>
      </c>
      <c r="AG107" t="s">
        <v>310</v>
      </c>
      <c r="AH107">
        <v>6969.18</v>
      </c>
      <c r="AI107">
        <v>0</v>
      </c>
    </row>
    <row r="108" spans="1:35" x14ac:dyDescent="0.3">
      <c r="A108">
        <v>1107</v>
      </c>
      <c r="B108" t="s">
        <v>1291</v>
      </c>
      <c r="C108">
        <v>18</v>
      </c>
      <c r="D108" s="3">
        <v>45373.480970983794</v>
      </c>
      <c r="E108" t="s">
        <v>316</v>
      </c>
      <c r="F108" t="s">
        <v>317</v>
      </c>
      <c r="G108">
        <v>1</v>
      </c>
      <c r="H108" t="s">
        <v>310</v>
      </c>
      <c r="I108">
        <v>0</v>
      </c>
      <c r="J108">
        <v>0</v>
      </c>
      <c r="K108">
        <v>0</v>
      </c>
      <c r="L108" t="s">
        <v>310</v>
      </c>
      <c r="M108" t="s">
        <v>310</v>
      </c>
      <c r="N108">
        <v>0</v>
      </c>
      <c r="O108" t="s">
        <v>1389</v>
      </c>
      <c r="P108" t="s">
        <v>240</v>
      </c>
      <c r="Q108" t="s">
        <v>1400</v>
      </c>
      <c r="R108" t="s">
        <v>321</v>
      </c>
      <c r="S108" t="s">
        <v>1411</v>
      </c>
      <c r="T108" t="s">
        <v>105</v>
      </c>
      <c r="U108">
        <v>9</v>
      </c>
      <c r="V108">
        <v>9</v>
      </c>
      <c r="W108">
        <v>0</v>
      </c>
      <c r="X108">
        <v>28.781019599999997</v>
      </c>
      <c r="Y108">
        <v>33.024901499999999</v>
      </c>
      <c r="Z108">
        <v>74.614331399999998</v>
      </c>
      <c r="AA108">
        <v>0</v>
      </c>
      <c r="AB108">
        <v>0</v>
      </c>
      <c r="AC108" t="s">
        <v>174</v>
      </c>
      <c r="AD108">
        <v>9</v>
      </c>
      <c r="AE108" t="s">
        <v>1418</v>
      </c>
      <c r="AF108">
        <v>130000000</v>
      </c>
      <c r="AG108" t="s">
        <v>310</v>
      </c>
      <c r="AH108">
        <v>1493.18</v>
      </c>
      <c r="AI108">
        <v>0</v>
      </c>
    </row>
    <row r="109" spans="1:35" x14ac:dyDescent="0.3">
      <c r="A109">
        <v>1108</v>
      </c>
      <c r="B109" t="s">
        <v>1290</v>
      </c>
      <c r="C109">
        <v>18</v>
      </c>
      <c r="D109" s="3">
        <v>45373.48097109954</v>
      </c>
      <c r="E109" t="s">
        <v>316</v>
      </c>
      <c r="F109" t="s">
        <v>317</v>
      </c>
      <c r="G109">
        <v>0</v>
      </c>
      <c r="H109" t="s">
        <v>310</v>
      </c>
      <c r="I109">
        <v>0</v>
      </c>
      <c r="J109">
        <v>0</v>
      </c>
      <c r="K109">
        <v>0</v>
      </c>
      <c r="L109" t="s">
        <v>310</v>
      </c>
      <c r="M109" t="s">
        <v>310</v>
      </c>
      <c r="N109">
        <v>0</v>
      </c>
      <c r="O109" t="s">
        <v>1395</v>
      </c>
      <c r="P109" t="s">
        <v>101</v>
      </c>
      <c r="Q109" t="s">
        <v>1400</v>
      </c>
      <c r="R109" t="s">
        <v>1404</v>
      </c>
      <c r="S109" t="s">
        <v>1411</v>
      </c>
      <c r="T109" t="s">
        <v>105</v>
      </c>
      <c r="U109">
        <v>9</v>
      </c>
      <c r="V109">
        <v>9</v>
      </c>
      <c r="W109">
        <v>0</v>
      </c>
      <c r="X109">
        <v>18.855120100000001</v>
      </c>
      <c r="Y109">
        <v>15.756474899999999</v>
      </c>
      <c r="Z109">
        <v>100.80262549999999</v>
      </c>
      <c r="AA109">
        <v>0</v>
      </c>
      <c r="AB109">
        <v>0</v>
      </c>
      <c r="AC109" t="s">
        <v>174</v>
      </c>
      <c r="AD109">
        <v>9</v>
      </c>
      <c r="AE109" t="s">
        <v>1417</v>
      </c>
      <c r="AF109">
        <v>60000000</v>
      </c>
      <c r="AG109" t="s">
        <v>310</v>
      </c>
      <c r="AH109">
        <v>5881.18</v>
      </c>
      <c r="AI109">
        <v>0</v>
      </c>
    </row>
    <row r="110" spans="1:35" x14ac:dyDescent="0.3">
      <c r="A110">
        <v>1156</v>
      </c>
      <c r="B110" t="s">
        <v>370</v>
      </c>
      <c r="C110">
        <v>19</v>
      </c>
      <c r="D110" s="3">
        <v>45373.485833298611</v>
      </c>
      <c r="E110" t="s">
        <v>316</v>
      </c>
      <c r="F110" t="s">
        <v>317</v>
      </c>
      <c r="G110">
        <v>1</v>
      </c>
      <c r="H110" t="s">
        <v>310</v>
      </c>
      <c r="I110">
        <v>0</v>
      </c>
      <c r="J110">
        <v>0</v>
      </c>
      <c r="K110">
        <v>0</v>
      </c>
      <c r="L110" t="s">
        <v>310</v>
      </c>
      <c r="M110" t="s">
        <v>310</v>
      </c>
      <c r="N110">
        <v>0</v>
      </c>
      <c r="O110" t="s">
        <v>311</v>
      </c>
      <c r="P110" t="s">
        <v>1401</v>
      </c>
      <c r="Q110" t="s">
        <v>1400</v>
      </c>
      <c r="R110" t="s">
        <v>1405</v>
      </c>
      <c r="S110" t="s">
        <v>202</v>
      </c>
      <c r="T110" t="s">
        <v>1406</v>
      </c>
      <c r="U110">
        <v>1</v>
      </c>
      <c r="V110">
        <v>0</v>
      </c>
      <c r="W110">
        <v>26.8994961</v>
      </c>
      <c r="X110">
        <v>18.566584899999999</v>
      </c>
      <c r="Y110">
        <v>26.119009699999999</v>
      </c>
      <c r="Z110">
        <v>54.980634199999997</v>
      </c>
      <c r="AA110">
        <v>0</v>
      </c>
      <c r="AB110">
        <v>1</v>
      </c>
      <c r="AC110" t="s">
        <v>174</v>
      </c>
      <c r="AD110">
        <v>9</v>
      </c>
      <c r="AE110" t="s">
        <v>1413</v>
      </c>
      <c r="AF110">
        <v>60000000</v>
      </c>
      <c r="AG110" t="s">
        <v>310</v>
      </c>
      <c r="AH110">
        <v>6911.19</v>
      </c>
      <c r="AI110">
        <v>0</v>
      </c>
    </row>
    <row r="111" spans="1:35" x14ac:dyDescent="0.3">
      <c r="A111">
        <v>1157</v>
      </c>
      <c r="B111" t="s">
        <v>1303</v>
      </c>
      <c r="C111">
        <v>19</v>
      </c>
      <c r="D111" s="3">
        <v>45373.48583341435</v>
      </c>
      <c r="E111" t="s">
        <v>316</v>
      </c>
      <c r="F111" t="s">
        <v>317</v>
      </c>
      <c r="G111">
        <v>1</v>
      </c>
      <c r="H111" t="s">
        <v>310</v>
      </c>
      <c r="I111">
        <v>0</v>
      </c>
      <c r="J111">
        <v>0</v>
      </c>
      <c r="K111">
        <v>0</v>
      </c>
      <c r="L111" t="s">
        <v>310</v>
      </c>
      <c r="M111" t="s">
        <v>310</v>
      </c>
      <c r="N111">
        <v>0</v>
      </c>
      <c r="O111" t="s">
        <v>1391</v>
      </c>
      <c r="P111" t="s">
        <v>101</v>
      </c>
      <c r="Q111" t="s">
        <v>1400</v>
      </c>
      <c r="R111" t="s">
        <v>1405</v>
      </c>
      <c r="S111" t="s">
        <v>202</v>
      </c>
      <c r="T111" t="s">
        <v>1407</v>
      </c>
      <c r="U111">
        <v>0</v>
      </c>
      <c r="V111">
        <v>0</v>
      </c>
      <c r="W111">
        <v>6.5594469999999996</v>
      </c>
      <c r="X111">
        <v>51.403816299999995</v>
      </c>
      <c r="Y111">
        <v>21.211812899999998</v>
      </c>
      <c r="Z111">
        <v>30.337225799999999</v>
      </c>
      <c r="AA111">
        <v>0</v>
      </c>
      <c r="AB111">
        <v>1</v>
      </c>
      <c r="AC111" t="s">
        <v>174</v>
      </c>
      <c r="AD111">
        <v>9</v>
      </c>
      <c r="AE111" t="s">
        <v>1412</v>
      </c>
      <c r="AF111">
        <v>50000000</v>
      </c>
      <c r="AG111" t="s">
        <v>310</v>
      </c>
      <c r="AH111">
        <v>7605.19</v>
      </c>
      <c r="AI111">
        <v>0</v>
      </c>
    </row>
    <row r="112" spans="1:35" x14ac:dyDescent="0.3">
      <c r="A112">
        <v>1158</v>
      </c>
      <c r="B112" t="s">
        <v>364</v>
      </c>
      <c r="C112">
        <v>19</v>
      </c>
      <c r="D112" s="3">
        <v>45373.485833483799</v>
      </c>
      <c r="E112" t="s">
        <v>316</v>
      </c>
      <c r="F112" t="s">
        <v>317</v>
      </c>
      <c r="G112">
        <v>1</v>
      </c>
      <c r="H112" t="s">
        <v>310</v>
      </c>
      <c r="I112">
        <v>0</v>
      </c>
      <c r="J112">
        <v>0</v>
      </c>
      <c r="K112">
        <v>0</v>
      </c>
      <c r="L112" t="s">
        <v>310</v>
      </c>
      <c r="M112" t="s">
        <v>310</v>
      </c>
      <c r="N112">
        <v>0</v>
      </c>
      <c r="O112" t="s">
        <v>319</v>
      </c>
      <c r="P112" t="s">
        <v>240</v>
      </c>
      <c r="Q112" t="s">
        <v>1399</v>
      </c>
      <c r="R112" t="s">
        <v>1405</v>
      </c>
      <c r="S112" t="s">
        <v>202</v>
      </c>
      <c r="T112" t="s">
        <v>1406</v>
      </c>
      <c r="U112">
        <v>1</v>
      </c>
      <c r="V112">
        <v>0</v>
      </c>
      <c r="W112">
        <v>19.7140424</v>
      </c>
      <c r="X112">
        <v>32.937038099999995</v>
      </c>
      <c r="Y112">
        <v>17.8568231</v>
      </c>
      <c r="Z112">
        <v>56.107944199999999</v>
      </c>
      <c r="AA112">
        <v>0</v>
      </c>
      <c r="AB112">
        <v>1</v>
      </c>
      <c r="AC112" t="s">
        <v>174</v>
      </c>
      <c r="AD112">
        <v>0</v>
      </c>
      <c r="AE112" t="s">
        <v>1416</v>
      </c>
      <c r="AF112">
        <v>50101000</v>
      </c>
      <c r="AG112" t="s">
        <v>310</v>
      </c>
      <c r="AH112">
        <v>2791.19</v>
      </c>
      <c r="AI112">
        <v>0</v>
      </c>
    </row>
    <row r="113" spans="1:35" x14ac:dyDescent="0.3">
      <c r="A113">
        <v>1159</v>
      </c>
      <c r="B113" t="s">
        <v>1292</v>
      </c>
      <c r="C113">
        <v>19</v>
      </c>
      <c r="D113" s="3">
        <v>45373.485833599538</v>
      </c>
      <c r="E113" t="s">
        <v>316</v>
      </c>
      <c r="F113" t="s">
        <v>317</v>
      </c>
      <c r="G113">
        <v>0</v>
      </c>
      <c r="H113" t="s">
        <v>310</v>
      </c>
      <c r="I113">
        <v>0</v>
      </c>
      <c r="J113">
        <v>0</v>
      </c>
      <c r="K113">
        <v>0</v>
      </c>
      <c r="L113" t="s">
        <v>310</v>
      </c>
      <c r="M113" t="s">
        <v>310</v>
      </c>
      <c r="N113">
        <v>0</v>
      </c>
      <c r="O113" t="s">
        <v>1393</v>
      </c>
      <c r="P113" t="s">
        <v>320</v>
      </c>
      <c r="Q113" t="s">
        <v>1400</v>
      </c>
      <c r="R113" t="s">
        <v>1404</v>
      </c>
      <c r="S113" t="s">
        <v>1411</v>
      </c>
      <c r="T113" t="s">
        <v>105</v>
      </c>
      <c r="U113">
        <v>9</v>
      </c>
      <c r="V113">
        <v>9</v>
      </c>
      <c r="W113">
        <v>0</v>
      </c>
      <c r="X113">
        <v>0</v>
      </c>
      <c r="Y113">
        <v>89.851017499999998</v>
      </c>
      <c r="Z113">
        <v>44.5485215</v>
      </c>
      <c r="AA113">
        <v>2</v>
      </c>
      <c r="AB113">
        <v>0</v>
      </c>
      <c r="AC113" t="s">
        <v>170</v>
      </c>
      <c r="AD113">
        <v>9</v>
      </c>
      <c r="AE113" t="s">
        <v>1414</v>
      </c>
      <c r="AF113">
        <v>0</v>
      </c>
      <c r="AG113" t="s">
        <v>310</v>
      </c>
      <c r="AH113">
        <v>7030.19</v>
      </c>
      <c r="AI113">
        <v>0</v>
      </c>
    </row>
    <row r="114" spans="1:35" x14ac:dyDescent="0.3">
      <c r="A114">
        <v>1160</v>
      </c>
      <c r="B114" t="s">
        <v>1298</v>
      </c>
      <c r="C114">
        <v>19</v>
      </c>
      <c r="D114" s="3">
        <v>45373.485833715276</v>
      </c>
      <c r="E114" t="s">
        <v>316</v>
      </c>
      <c r="F114" t="s">
        <v>317</v>
      </c>
      <c r="G114">
        <v>0</v>
      </c>
      <c r="H114" t="s">
        <v>310</v>
      </c>
      <c r="I114">
        <v>0</v>
      </c>
      <c r="J114">
        <v>0</v>
      </c>
      <c r="K114">
        <v>0</v>
      </c>
      <c r="L114" t="s">
        <v>310</v>
      </c>
      <c r="M114" t="s">
        <v>310</v>
      </c>
      <c r="N114">
        <v>0</v>
      </c>
      <c r="O114" t="s">
        <v>1389</v>
      </c>
      <c r="P114" t="s">
        <v>240</v>
      </c>
      <c r="Q114" t="s">
        <v>1399</v>
      </c>
      <c r="R114" t="s">
        <v>1404</v>
      </c>
      <c r="S114" t="s">
        <v>322</v>
      </c>
      <c r="T114" t="s">
        <v>105</v>
      </c>
      <c r="U114">
        <v>9</v>
      </c>
      <c r="V114">
        <v>9</v>
      </c>
      <c r="W114">
        <v>0.24144739999999998</v>
      </c>
      <c r="X114">
        <v>62.874082999999999</v>
      </c>
      <c r="Y114">
        <v>25.4790557</v>
      </c>
      <c r="Z114">
        <v>51.365396599999997</v>
      </c>
      <c r="AA114">
        <v>0</v>
      </c>
      <c r="AB114">
        <v>0</v>
      </c>
      <c r="AC114" t="s">
        <v>174</v>
      </c>
      <c r="AD114">
        <v>0</v>
      </c>
      <c r="AE114" t="s">
        <v>1418</v>
      </c>
      <c r="AF114">
        <v>60000000</v>
      </c>
      <c r="AG114" t="s">
        <v>310</v>
      </c>
      <c r="AH114">
        <v>9624.19</v>
      </c>
      <c r="AI114">
        <v>0</v>
      </c>
    </row>
    <row r="115" spans="1:35" x14ac:dyDescent="0.3">
      <c r="A115">
        <v>1161</v>
      </c>
      <c r="B115" t="s">
        <v>1288</v>
      </c>
      <c r="C115">
        <v>19</v>
      </c>
      <c r="D115" s="3">
        <v>45373.485833796294</v>
      </c>
      <c r="E115" t="s">
        <v>316</v>
      </c>
      <c r="F115" t="s">
        <v>317</v>
      </c>
      <c r="G115">
        <v>1</v>
      </c>
      <c r="H115" t="s">
        <v>310</v>
      </c>
      <c r="I115">
        <v>0</v>
      </c>
      <c r="J115">
        <v>0</v>
      </c>
      <c r="K115">
        <v>0</v>
      </c>
      <c r="L115" t="s">
        <v>310</v>
      </c>
      <c r="M115" t="s">
        <v>310</v>
      </c>
      <c r="N115">
        <v>0</v>
      </c>
      <c r="O115" t="s">
        <v>1395</v>
      </c>
      <c r="P115" t="s">
        <v>1401</v>
      </c>
      <c r="Q115" t="s">
        <v>1400</v>
      </c>
      <c r="R115" t="s">
        <v>1405</v>
      </c>
      <c r="S115" t="s">
        <v>202</v>
      </c>
      <c r="T115" t="s">
        <v>1406</v>
      </c>
      <c r="U115">
        <v>0</v>
      </c>
      <c r="V115">
        <v>0</v>
      </c>
      <c r="W115">
        <v>6.7446899999999994</v>
      </c>
      <c r="X115">
        <v>19.211180199999998</v>
      </c>
      <c r="Y115">
        <v>35.843882299999997</v>
      </c>
      <c r="Z115">
        <v>55.798890699999994</v>
      </c>
      <c r="AA115">
        <v>3</v>
      </c>
      <c r="AB115">
        <v>0</v>
      </c>
      <c r="AC115" t="s">
        <v>170</v>
      </c>
      <c r="AD115">
        <v>9</v>
      </c>
      <c r="AE115" t="s">
        <v>1417</v>
      </c>
      <c r="AF115">
        <v>10000000</v>
      </c>
      <c r="AG115" t="s">
        <v>310</v>
      </c>
      <c r="AH115">
        <v>3181.19</v>
      </c>
      <c r="AI115">
        <v>0</v>
      </c>
    </row>
    <row r="116" spans="1:35" x14ac:dyDescent="0.3">
      <c r="A116">
        <v>1210</v>
      </c>
      <c r="B116" t="s">
        <v>1317</v>
      </c>
      <c r="C116">
        <v>20</v>
      </c>
      <c r="D116" s="3">
        <v>45373.492760763889</v>
      </c>
      <c r="E116" t="s">
        <v>316</v>
      </c>
      <c r="F116" t="s">
        <v>317</v>
      </c>
      <c r="G116">
        <v>1</v>
      </c>
      <c r="H116" t="s">
        <v>310</v>
      </c>
      <c r="I116">
        <v>0</v>
      </c>
      <c r="J116">
        <v>0</v>
      </c>
      <c r="K116">
        <v>0</v>
      </c>
      <c r="L116" t="s">
        <v>310</v>
      </c>
      <c r="M116" t="s">
        <v>310</v>
      </c>
      <c r="N116">
        <v>0</v>
      </c>
      <c r="O116" t="s">
        <v>311</v>
      </c>
      <c r="P116" t="s">
        <v>240</v>
      </c>
      <c r="Q116" t="s">
        <v>1399</v>
      </c>
      <c r="R116" t="s">
        <v>1404</v>
      </c>
      <c r="S116" t="s">
        <v>322</v>
      </c>
      <c r="T116" t="s">
        <v>105</v>
      </c>
      <c r="U116">
        <v>9</v>
      </c>
      <c r="V116">
        <v>9</v>
      </c>
      <c r="W116">
        <v>15.399913</v>
      </c>
      <c r="X116">
        <v>29.882662799999999</v>
      </c>
      <c r="Y116">
        <v>12.461206299999999</v>
      </c>
      <c r="Z116">
        <v>79.362588399999993</v>
      </c>
      <c r="AA116">
        <v>0</v>
      </c>
      <c r="AB116">
        <v>0</v>
      </c>
      <c r="AC116" t="s">
        <v>173</v>
      </c>
      <c r="AD116">
        <v>0</v>
      </c>
      <c r="AE116" t="s">
        <v>1412</v>
      </c>
      <c r="AF116">
        <v>60000000</v>
      </c>
      <c r="AG116" t="s">
        <v>310</v>
      </c>
      <c r="AH116">
        <v>296.2</v>
      </c>
      <c r="AI116">
        <v>0</v>
      </c>
    </row>
    <row r="117" spans="1:35" x14ac:dyDescent="0.3">
      <c r="A117">
        <v>1211</v>
      </c>
      <c r="B117" t="s">
        <v>362</v>
      </c>
      <c r="C117">
        <v>20</v>
      </c>
      <c r="D117" s="3">
        <v>45373.492760995374</v>
      </c>
      <c r="E117" t="s">
        <v>316</v>
      </c>
      <c r="F117" t="s">
        <v>317</v>
      </c>
      <c r="G117">
        <v>1</v>
      </c>
      <c r="H117" t="s">
        <v>310</v>
      </c>
      <c r="I117">
        <v>0</v>
      </c>
      <c r="J117">
        <v>0</v>
      </c>
      <c r="K117">
        <v>0</v>
      </c>
      <c r="L117" t="s">
        <v>310</v>
      </c>
      <c r="M117" t="s">
        <v>310</v>
      </c>
      <c r="N117">
        <v>0</v>
      </c>
      <c r="O117" t="s">
        <v>1391</v>
      </c>
      <c r="P117" t="s">
        <v>320</v>
      </c>
      <c r="Q117" t="s">
        <v>1400</v>
      </c>
      <c r="R117" t="s">
        <v>1404</v>
      </c>
      <c r="S117" t="s">
        <v>1411</v>
      </c>
      <c r="T117" t="s">
        <v>105</v>
      </c>
      <c r="U117">
        <v>9</v>
      </c>
      <c r="V117">
        <v>9</v>
      </c>
      <c r="W117">
        <v>0</v>
      </c>
      <c r="X117">
        <v>13.998425299999999</v>
      </c>
      <c r="Y117">
        <v>38.672578999999999</v>
      </c>
      <c r="Z117">
        <v>88.115526099999997</v>
      </c>
      <c r="AA117">
        <v>3</v>
      </c>
      <c r="AB117">
        <v>0</v>
      </c>
      <c r="AC117" t="s">
        <v>170</v>
      </c>
      <c r="AD117">
        <v>9</v>
      </c>
      <c r="AE117" t="s">
        <v>1416</v>
      </c>
      <c r="AF117">
        <v>30000000</v>
      </c>
      <c r="AG117" t="s">
        <v>310</v>
      </c>
      <c r="AH117">
        <v>250.2</v>
      </c>
      <c r="AI117">
        <v>0</v>
      </c>
    </row>
    <row r="118" spans="1:35" x14ac:dyDescent="0.3">
      <c r="A118">
        <v>1212</v>
      </c>
      <c r="B118" t="s">
        <v>367</v>
      </c>
      <c r="C118">
        <v>20</v>
      </c>
      <c r="D118" s="3">
        <v>45373.492761076392</v>
      </c>
      <c r="E118" t="s">
        <v>316</v>
      </c>
      <c r="F118" t="s">
        <v>317</v>
      </c>
      <c r="G118">
        <v>0</v>
      </c>
      <c r="H118" t="s">
        <v>310</v>
      </c>
      <c r="I118">
        <v>0</v>
      </c>
      <c r="J118">
        <v>0</v>
      </c>
      <c r="K118">
        <v>0</v>
      </c>
      <c r="L118" t="s">
        <v>310</v>
      </c>
      <c r="M118" t="s">
        <v>310</v>
      </c>
      <c r="N118">
        <v>0</v>
      </c>
      <c r="O118" t="s">
        <v>319</v>
      </c>
      <c r="P118" t="s">
        <v>101</v>
      </c>
      <c r="Q118" t="s">
        <v>1400</v>
      </c>
      <c r="R118" t="s">
        <v>1405</v>
      </c>
      <c r="S118" t="s">
        <v>202</v>
      </c>
      <c r="T118" t="s">
        <v>1406</v>
      </c>
      <c r="U118">
        <v>0</v>
      </c>
      <c r="V118">
        <v>0</v>
      </c>
      <c r="W118">
        <v>5.3694274999999996</v>
      </c>
      <c r="X118">
        <v>46.355094999999999</v>
      </c>
      <c r="Y118">
        <v>24.366425499999998</v>
      </c>
      <c r="Z118">
        <v>54.248209499999994</v>
      </c>
      <c r="AA118">
        <v>0</v>
      </c>
      <c r="AB118">
        <v>0</v>
      </c>
      <c r="AC118" t="s">
        <v>174</v>
      </c>
      <c r="AD118">
        <v>9</v>
      </c>
      <c r="AE118" t="s">
        <v>1413</v>
      </c>
      <c r="AF118">
        <v>60100000</v>
      </c>
      <c r="AG118" t="s">
        <v>310</v>
      </c>
      <c r="AH118">
        <v>5016.2</v>
      </c>
      <c r="AI118">
        <v>0</v>
      </c>
    </row>
    <row r="119" spans="1:35" x14ac:dyDescent="0.3">
      <c r="A119">
        <v>1213</v>
      </c>
      <c r="B119" t="s">
        <v>1308</v>
      </c>
      <c r="C119">
        <v>20</v>
      </c>
      <c r="D119" s="3">
        <v>45373.49276119213</v>
      </c>
      <c r="E119" t="s">
        <v>316</v>
      </c>
      <c r="F119" t="s">
        <v>317</v>
      </c>
      <c r="G119">
        <v>0</v>
      </c>
      <c r="H119" t="s">
        <v>310</v>
      </c>
      <c r="I119">
        <v>0</v>
      </c>
      <c r="J119">
        <v>0</v>
      </c>
      <c r="K119">
        <v>0</v>
      </c>
      <c r="L119" t="s">
        <v>310</v>
      </c>
      <c r="M119" t="s">
        <v>310</v>
      </c>
      <c r="N119">
        <v>0</v>
      </c>
      <c r="O119" t="s">
        <v>1393</v>
      </c>
      <c r="P119" t="s">
        <v>1401</v>
      </c>
      <c r="Q119" t="s">
        <v>1400</v>
      </c>
      <c r="R119" t="s">
        <v>1405</v>
      </c>
      <c r="S119" t="s">
        <v>202</v>
      </c>
      <c r="T119" t="s">
        <v>1407</v>
      </c>
      <c r="U119">
        <v>1</v>
      </c>
      <c r="V119">
        <v>0</v>
      </c>
      <c r="W119">
        <v>3.8237915999999998</v>
      </c>
      <c r="X119">
        <v>54.546390099999996</v>
      </c>
      <c r="Y119">
        <v>18.809898</v>
      </c>
      <c r="Z119">
        <v>46.792921</v>
      </c>
      <c r="AA119">
        <v>1</v>
      </c>
      <c r="AB119">
        <v>0</v>
      </c>
      <c r="AC119" t="s">
        <v>174</v>
      </c>
      <c r="AD119">
        <v>9</v>
      </c>
      <c r="AE119" t="s">
        <v>1414</v>
      </c>
      <c r="AF119">
        <v>70100000</v>
      </c>
      <c r="AG119" t="s">
        <v>310</v>
      </c>
      <c r="AH119">
        <v>3799.2</v>
      </c>
      <c r="AI119">
        <v>0</v>
      </c>
    </row>
    <row r="120" spans="1:35" x14ac:dyDescent="0.3">
      <c r="A120">
        <v>1214</v>
      </c>
      <c r="B120" t="s">
        <v>368</v>
      </c>
      <c r="C120">
        <v>20</v>
      </c>
      <c r="D120" s="3">
        <v>45373.492761307869</v>
      </c>
      <c r="E120" t="s">
        <v>316</v>
      </c>
      <c r="F120" t="s">
        <v>317</v>
      </c>
      <c r="G120">
        <v>1</v>
      </c>
      <c r="H120" t="s">
        <v>310</v>
      </c>
      <c r="I120">
        <v>0</v>
      </c>
      <c r="J120">
        <v>0</v>
      </c>
      <c r="K120">
        <v>0</v>
      </c>
      <c r="L120" t="s">
        <v>310</v>
      </c>
      <c r="M120" t="s">
        <v>310</v>
      </c>
      <c r="N120">
        <v>0</v>
      </c>
      <c r="O120" t="s">
        <v>1389</v>
      </c>
      <c r="P120" t="s">
        <v>320</v>
      </c>
      <c r="Q120" t="s">
        <v>1400</v>
      </c>
      <c r="R120" t="s">
        <v>1405</v>
      </c>
      <c r="S120" t="s">
        <v>202</v>
      </c>
      <c r="T120" t="s">
        <v>1407</v>
      </c>
      <c r="U120">
        <v>1</v>
      </c>
      <c r="V120">
        <v>0</v>
      </c>
      <c r="W120">
        <v>11.877455099999999</v>
      </c>
      <c r="X120">
        <v>38.9676787</v>
      </c>
      <c r="Y120">
        <v>8.6873398999999996</v>
      </c>
      <c r="Z120">
        <v>63.684725299999997</v>
      </c>
      <c r="AA120">
        <v>0</v>
      </c>
      <c r="AB120">
        <v>1</v>
      </c>
      <c r="AC120" t="s">
        <v>174</v>
      </c>
      <c r="AD120">
        <v>9</v>
      </c>
      <c r="AE120" t="s">
        <v>1418</v>
      </c>
      <c r="AF120">
        <v>20000000</v>
      </c>
      <c r="AG120" t="s">
        <v>310</v>
      </c>
      <c r="AH120">
        <v>6401.2</v>
      </c>
      <c r="AI120">
        <v>0</v>
      </c>
    </row>
    <row r="121" spans="1:35" x14ac:dyDescent="0.3">
      <c r="A121">
        <v>1215</v>
      </c>
      <c r="B121" t="s">
        <v>1277</v>
      </c>
      <c r="C121">
        <v>20</v>
      </c>
      <c r="D121" s="3">
        <v>45373.492761377318</v>
      </c>
      <c r="E121" t="s">
        <v>316</v>
      </c>
      <c r="F121" t="s">
        <v>317</v>
      </c>
      <c r="G121">
        <v>0</v>
      </c>
      <c r="H121" t="s">
        <v>310</v>
      </c>
      <c r="I121">
        <v>0</v>
      </c>
      <c r="J121">
        <v>0</v>
      </c>
      <c r="K121">
        <v>0</v>
      </c>
      <c r="L121" t="s">
        <v>310</v>
      </c>
      <c r="M121" t="s">
        <v>310</v>
      </c>
      <c r="N121">
        <v>0</v>
      </c>
      <c r="O121" t="s">
        <v>1395</v>
      </c>
      <c r="P121" t="s">
        <v>101</v>
      </c>
      <c r="Q121" t="s">
        <v>1399</v>
      </c>
      <c r="R121" t="s">
        <v>1404</v>
      </c>
      <c r="S121" t="s">
        <v>322</v>
      </c>
      <c r="T121" t="s">
        <v>105</v>
      </c>
      <c r="U121">
        <v>9</v>
      </c>
      <c r="V121">
        <v>9</v>
      </c>
      <c r="W121">
        <v>12.7635618</v>
      </c>
      <c r="X121">
        <v>36.056156000000001</v>
      </c>
      <c r="Y121">
        <v>24.912474799999998</v>
      </c>
      <c r="Z121">
        <v>63.1254591</v>
      </c>
      <c r="AA121">
        <v>0</v>
      </c>
      <c r="AB121">
        <v>0</v>
      </c>
      <c r="AC121" t="s">
        <v>174</v>
      </c>
      <c r="AD121">
        <v>2</v>
      </c>
      <c r="AE121" t="s">
        <v>1417</v>
      </c>
      <c r="AF121">
        <v>50000000</v>
      </c>
      <c r="AG121" t="s">
        <v>310</v>
      </c>
      <c r="AH121">
        <v>3360.2</v>
      </c>
      <c r="AI121">
        <v>0</v>
      </c>
    </row>
    <row r="122" spans="1:35" x14ac:dyDescent="0.3">
      <c r="A122">
        <v>1278</v>
      </c>
      <c r="B122" t="s">
        <v>1300</v>
      </c>
      <c r="C122">
        <v>21</v>
      </c>
      <c r="D122" s="3">
        <v>45373.496780555557</v>
      </c>
      <c r="E122" t="s">
        <v>316</v>
      </c>
      <c r="F122" t="s">
        <v>317</v>
      </c>
      <c r="G122">
        <v>1</v>
      </c>
      <c r="H122" t="s">
        <v>310</v>
      </c>
      <c r="I122">
        <v>0</v>
      </c>
      <c r="J122">
        <v>0</v>
      </c>
      <c r="K122">
        <v>0</v>
      </c>
      <c r="L122" t="s">
        <v>310</v>
      </c>
      <c r="M122" t="s">
        <v>310</v>
      </c>
      <c r="N122">
        <v>0</v>
      </c>
      <c r="O122" t="s">
        <v>311</v>
      </c>
      <c r="P122" t="s">
        <v>320</v>
      </c>
      <c r="Q122" t="s">
        <v>1400</v>
      </c>
      <c r="R122" t="s">
        <v>1405</v>
      </c>
      <c r="S122" t="s">
        <v>202</v>
      </c>
      <c r="T122" t="s">
        <v>1407</v>
      </c>
      <c r="U122">
        <v>0</v>
      </c>
      <c r="V122">
        <v>0</v>
      </c>
      <c r="W122">
        <v>5.7049577999999999</v>
      </c>
      <c r="X122">
        <v>36.854902099999997</v>
      </c>
      <c r="Y122">
        <v>39.409833499999998</v>
      </c>
      <c r="Z122">
        <v>51.3329928</v>
      </c>
      <c r="AA122">
        <v>0</v>
      </c>
      <c r="AB122">
        <v>0</v>
      </c>
      <c r="AC122" t="s">
        <v>174</v>
      </c>
      <c r="AD122">
        <v>9</v>
      </c>
      <c r="AE122" t="s">
        <v>1413</v>
      </c>
      <c r="AF122">
        <v>100000000</v>
      </c>
      <c r="AG122" t="s">
        <v>310</v>
      </c>
      <c r="AH122">
        <v>3044.21</v>
      </c>
      <c r="AI122">
        <v>0</v>
      </c>
    </row>
    <row r="123" spans="1:35" x14ac:dyDescent="0.3">
      <c r="A123">
        <v>1279</v>
      </c>
      <c r="B123" t="s">
        <v>363</v>
      </c>
      <c r="C123">
        <v>21</v>
      </c>
      <c r="D123" s="3">
        <v>45373.496780671296</v>
      </c>
      <c r="E123" t="s">
        <v>316</v>
      </c>
      <c r="F123" t="s">
        <v>317</v>
      </c>
      <c r="G123">
        <v>1</v>
      </c>
      <c r="H123" t="s">
        <v>310</v>
      </c>
      <c r="I123">
        <v>0</v>
      </c>
      <c r="J123">
        <v>0</v>
      </c>
      <c r="K123">
        <v>0</v>
      </c>
      <c r="L123" t="s">
        <v>310</v>
      </c>
      <c r="M123" t="s">
        <v>310</v>
      </c>
      <c r="N123">
        <v>0</v>
      </c>
      <c r="O123" t="s">
        <v>1391</v>
      </c>
      <c r="P123" t="s">
        <v>240</v>
      </c>
      <c r="Q123" t="s">
        <v>1399</v>
      </c>
      <c r="R123" t="s">
        <v>1404</v>
      </c>
      <c r="S123" t="s">
        <v>322</v>
      </c>
      <c r="T123" t="s">
        <v>105</v>
      </c>
      <c r="U123">
        <v>9</v>
      </c>
      <c r="V123">
        <v>9</v>
      </c>
      <c r="W123">
        <v>2.5639637999999998</v>
      </c>
      <c r="X123">
        <v>48.5885161</v>
      </c>
      <c r="Y123">
        <v>31.653389199999999</v>
      </c>
      <c r="Z123">
        <v>52.987888699999999</v>
      </c>
      <c r="AA123">
        <v>0</v>
      </c>
      <c r="AB123">
        <v>1</v>
      </c>
      <c r="AC123" t="s">
        <v>174</v>
      </c>
      <c r="AD123">
        <v>0</v>
      </c>
      <c r="AE123" t="s">
        <v>1416</v>
      </c>
      <c r="AF123">
        <v>100000000</v>
      </c>
      <c r="AG123" t="s">
        <v>310</v>
      </c>
      <c r="AH123">
        <v>2601.21</v>
      </c>
      <c r="AI123">
        <v>0</v>
      </c>
    </row>
    <row r="124" spans="1:35" x14ac:dyDescent="0.3">
      <c r="A124">
        <v>1280</v>
      </c>
      <c r="B124" t="s">
        <v>1318</v>
      </c>
      <c r="C124">
        <v>21</v>
      </c>
      <c r="D124" s="3">
        <v>45373.496780787034</v>
      </c>
      <c r="E124" t="s">
        <v>316</v>
      </c>
      <c r="F124" t="s">
        <v>317</v>
      </c>
      <c r="G124">
        <v>0</v>
      </c>
      <c r="H124" t="s">
        <v>310</v>
      </c>
      <c r="I124">
        <v>0</v>
      </c>
      <c r="J124">
        <v>0</v>
      </c>
      <c r="K124">
        <v>0</v>
      </c>
      <c r="L124" t="s">
        <v>310</v>
      </c>
      <c r="M124" t="s">
        <v>310</v>
      </c>
      <c r="N124">
        <v>0</v>
      </c>
      <c r="O124" t="s">
        <v>319</v>
      </c>
      <c r="P124" t="s">
        <v>101</v>
      </c>
      <c r="Q124" t="s">
        <v>1400</v>
      </c>
      <c r="R124" t="s">
        <v>1405</v>
      </c>
      <c r="S124" t="s">
        <v>202</v>
      </c>
      <c r="T124" t="s">
        <v>1406</v>
      </c>
      <c r="U124">
        <v>0</v>
      </c>
      <c r="V124">
        <v>0</v>
      </c>
      <c r="W124">
        <v>3.5551228999999998</v>
      </c>
      <c r="X124">
        <v>53.015539999999994</v>
      </c>
      <c r="Y124">
        <v>14.6402188</v>
      </c>
      <c r="Z124">
        <v>64.081455500000004</v>
      </c>
      <c r="AA124">
        <v>0</v>
      </c>
      <c r="AB124">
        <v>1</v>
      </c>
      <c r="AC124" t="s">
        <v>174</v>
      </c>
      <c r="AD124">
        <v>9</v>
      </c>
      <c r="AE124" t="s">
        <v>1412</v>
      </c>
      <c r="AF124">
        <v>70000000</v>
      </c>
      <c r="AG124" t="s">
        <v>310</v>
      </c>
      <c r="AH124">
        <v>7709.21</v>
      </c>
      <c r="AI124">
        <v>0</v>
      </c>
    </row>
    <row r="125" spans="1:35" x14ac:dyDescent="0.3">
      <c r="A125">
        <v>1281</v>
      </c>
      <c r="B125" t="s">
        <v>1279</v>
      </c>
      <c r="C125">
        <v>21</v>
      </c>
      <c r="D125" s="3">
        <v>45373.49678090278</v>
      </c>
      <c r="E125" t="s">
        <v>316</v>
      </c>
      <c r="F125" t="s">
        <v>317</v>
      </c>
      <c r="G125">
        <v>1</v>
      </c>
      <c r="H125" t="s">
        <v>310</v>
      </c>
      <c r="I125">
        <v>0</v>
      </c>
      <c r="J125">
        <v>0</v>
      </c>
      <c r="K125">
        <v>0</v>
      </c>
      <c r="L125" t="s">
        <v>310</v>
      </c>
      <c r="M125" t="s">
        <v>310</v>
      </c>
      <c r="N125">
        <v>0</v>
      </c>
      <c r="O125" t="s">
        <v>1393</v>
      </c>
      <c r="P125" t="s">
        <v>320</v>
      </c>
      <c r="Q125" t="s">
        <v>1399</v>
      </c>
      <c r="R125" t="s">
        <v>1404</v>
      </c>
      <c r="S125" t="s">
        <v>1411</v>
      </c>
      <c r="T125" t="s">
        <v>105</v>
      </c>
      <c r="U125">
        <v>9</v>
      </c>
      <c r="V125">
        <v>9</v>
      </c>
      <c r="W125">
        <v>0</v>
      </c>
      <c r="X125">
        <v>0.43585740000000001</v>
      </c>
      <c r="Y125">
        <v>62.736844699999999</v>
      </c>
      <c r="Z125">
        <v>72.314625199999995</v>
      </c>
      <c r="AA125">
        <v>2</v>
      </c>
      <c r="AB125">
        <v>0</v>
      </c>
      <c r="AC125" t="s">
        <v>170</v>
      </c>
      <c r="AD125">
        <v>0</v>
      </c>
      <c r="AE125" t="s">
        <v>1418</v>
      </c>
      <c r="AF125">
        <v>0</v>
      </c>
      <c r="AG125" t="s">
        <v>310</v>
      </c>
      <c r="AH125">
        <v>5149.21</v>
      </c>
      <c r="AI125">
        <v>0</v>
      </c>
    </row>
    <row r="126" spans="1:35" x14ac:dyDescent="0.3">
      <c r="A126">
        <v>1282</v>
      </c>
      <c r="B126" t="s">
        <v>1286</v>
      </c>
      <c r="C126">
        <v>21</v>
      </c>
      <c r="D126" s="3">
        <v>45373.496780937501</v>
      </c>
      <c r="E126" t="s">
        <v>316</v>
      </c>
      <c r="F126" t="s">
        <v>317</v>
      </c>
      <c r="G126">
        <v>1</v>
      </c>
      <c r="H126" t="s">
        <v>310</v>
      </c>
      <c r="I126">
        <v>0</v>
      </c>
      <c r="J126">
        <v>0</v>
      </c>
      <c r="K126">
        <v>0</v>
      </c>
      <c r="L126" t="s">
        <v>310</v>
      </c>
      <c r="M126" t="s">
        <v>310</v>
      </c>
      <c r="N126">
        <v>0</v>
      </c>
      <c r="O126" t="s">
        <v>1389</v>
      </c>
      <c r="P126" t="s">
        <v>240</v>
      </c>
      <c r="Q126" t="s">
        <v>1400</v>
      </c>
      <c r="R126" t="s">
        <v>1405</v>
      </c>
      <c r="S126" t="s">
        <v>202</v>
      </c>
      <c r="T126" t="s">
        <v>1407</v>
      </c>
      <c r="U126">
        <v>0</v>
      </c>
      <c r="V126">
        <v>0</v>
      </c>
      <c r="W126">
        <v>2.0227572</v>
      </c>
      <c r="X126">
        <v>36.261098499999996</v>
      </c>
      <c r="Y126">
        <v>32.062953</v>
      </c>
      <c r="Z126">
        <v>60.390431399999997</v>
      </c>
      <c r="AA126">
        <v>0</v>
      </c>
      <c r="AB126">
        <v>1</v>
      </c>
      <c r="AC126" t="s">
        <v>174</v>
      </c>
      <c r="AD126">
        <v>9</v>
      </c>
      <c r="AE126" t="s">
        <v>1414</v>
      </c>
      <c r="AF126">
        <v>140702000</v>
      </c>
      <c r="AG126" t="s">
        <v>310</v>
      </c>
      <c r="AH126">
        <v>1591.21</v>
      </c>
      <c r="AI126">
        <v>0</v>
      </c>
    </row>
    <row r="127" spans="1:35" x14ac:dyDescent="0.3">
      <c r="A127">
        <v>1283</v>
      </c>
      <c r="B127" t="s">
        <v>1311</v>
      </c>
      <c r="C127">
        <v>21</v>
      </c>
      <c r="D127" s="3">
        <v>45373.49678105324</v>
      </c>
      <c r="E127" t="s">
        <v>316</v>
      </c>
      <c r="F127" t="s">
        <v>317</v>
      </c>
      <c r="G127">
        <v>1</v>
      </c>
      <c r="H127" t="s">
        <v>310</v>
      </c>
      <c r="I127">
        <v>0</v>
      </c>
      <c r="J127">
        <v>0</v>
      </c>
      <c r="K127">
        <v>0</v>
      </c>
      <c r="L127" t="s">
        <v>310</v>
      </c>
      <c r="M127" t="s">
        <v>310</v>
      </c>
      <c r="N127">
        <v>0</v>
      </c>
      <c r="O127" t="s">
        <v>1395</v>
      </c>
      <c r="P127" t="s">
        <v>320</v>
      </c>
      <c r="Q127" t="s">
        <v>1400</v>
      </c>
      <c r="R127" t="s">
        <v>1404</v>
      </c>
      <c r="S127" t="s">
        <v>322</v>
      </c>
      <c r="T127" t="s">
        <v>105</v>
      </c>
      <c r="U127">
        <v>9</v>
      </c>
      <c r="V127">
        <v>9</v>
      </c>
      <c r="W127">
        <v>10.263038699999999</v>
      </c>
      <c r="X127">
        <v>0</v>
      </c>
      <c r="Y127">
        <v>63.739171299999995</v>
      </c>
      <c r="Z127">
        <v>61.605508999999998</v>
      </c>
      <c r="AA127">
        <v>3</v>
      </c>
      <c r="AB127">
        <v>0</v>
      </c>
      <c r="AC127" t="s">
        <v>170</v>
      </c>
      <c r="AD127">
        <v>9</v>
      </c>
      <c r="AE127" t="s">
        <v>1417</v>
      </c>
      <c r="AF127">
        <v>0</v>
      </c>
      <c r="AG127" t="s">
        <v>310</v>
      </c>
      <c r="AH127">
        <v>2234.21</v>
      </c>
      <c r="AI127">
        <v>0</v>
      </c>
    </row>
    <row r="128" spans="1:35" x14ac:dyDescent="0.3">
      <c r="A128">
        <v>1348</v>
      </c>
      <c r="B128" t="s">
        <v>1301</v>
      </c>
      <c r="C128">
        <v>23</v>
      </c>
      <c r="D128" s="3">
        <v>45373.550043402778</v>
      </c>
      <c r="E128" t="s">
        <v>316</v>
      </c>
      <c r="F128" t="s">
        <v>317</v>
      </c>
      <c r="G128">
        <v>0</v>
      </c>
      <c r="H128" t="s">
        <v>310</v>
      </c>
      <c r="I128">
        <v>0</v>
      </c>
      <c r="J128">
        <v>0</v>
      </c>
      <c r="K128">
        <v>0</v>
      </c>
      <c r="L128" t="s">
        <v>310</v>
      </c>
      <c r="M128" t="s">
        <v>310</v>
      </c>
      <c r="N128">
        <v>0</v>
      </c>
      <c r="O128" t="s">
        <v>311</v>
      </c>
      <c r="P128" t="s">
        <v>1401</v>
      </c>
      <c r="Q128" t="s">
        <v>1400</v>
      </c>
      <c r="R128" t="s">
        <v>321</v>
      </c>
      <c r="S128" t="s">
        <v>1411</v>
      </c>
      <c r="T128" t="s">
        <v>105</v>
      </c>
      <c r="U128">
        <v>9</v>
      </c>
      <c r="V128">
        <v>9</v>
      </c>
      <c r="W128">
        <v>0</v>
      </c>
      <c r="X128">
        <v>0</v>
      </c>
      <c r="Y128">
        <v>77.865661500000002</v>
      </c>
      <c r="Z128">
        <v>56.245257799999997</v>
      </c>
      <c r="AA128">
        <v>2</v>
      </c>
      <c r="AB128">
        <v>0</v>
      </c>
      <c r="AC128" t="s">
        <v>170</v>
      </c>
      <c r="AD128">
        <v>9</v>
      </c>
      <c r="AE128" t="s">
        <v>1394</v>
      </c>
      <c r="AF128">
        <v>0</v>
      </c>
      <c r="AG128" t="s">
        <v>310</v>
      </c>
      <c r="AH128">
        <v>7031.23</v>
      </c>
      <c r="AI128">
        <v>0</v>
      </c>
    </row>
    <row r="129" spans="1:35" x14ac:dyDescent="0.3">
      <c r="A129">
        <v>1349</v>
      </c>
      <c r="B129" t="s">
        <v>360</v>
      </c>
      <c r="C129">
        <v>23</v>
      </c>
      <c r="D129" s="3">
        <v>45373.550043518517</v>
      </c>
      <c r="E129" t="s">
        <v>316</v>
      </c>
      <c r="F129" t="s">
        <v>317</v>
      </c>
      <c r="G129">
        <v>1</v>
      </c>
      <c r="H129" t="s">
        <v>310</v>
      </c>
      <c r="I129">
        <v>0</v>
      </c>
      <c r="J129">
        <v>0</v>
      </c>
      <c r="K129">
        <v>0</v>
      </c>
      <c r="L129" t="s">
        <v>310</v>
      </c>
      <c r="M129" t="s">
        <v>310</v>
      </c>
      <c r="N129">
        <v>0</v>
      </c>
      <c r="O129" t="s">
        <v>1391</v>
      </c>
      <c r="P129" t="s">
        <v>240</v>
      </c>
      <c r="Q129" t="s">
        <v>1399</v>
      </c>
      <c r="R129" t="s">
        <v>1405</v>
      </c>
      <c r="S129" t="s">
        <v>202</v>
      </c>
      <c r="T129" t="s">
        <v>1407</v>
      </c>
      <c r="U129">
        <v>0</v>
      </c>
      <c r="V129">
        <v>0</v>
      </c>
      <c r="W129">
        <v>7.4944100999999996</v>
      </c>
      <c r="X129">
        <v>39.6709654</v>
      </c>
      <c r="Y129">
        <v>21.973977399999999</v>
      </c>
      <c r="Z129">
        <v>48.213073699999995</v>
      </c>
      <c r="AA129">
        <v>0</v>
      </c>
      <c r="AB129">
        <v>0</v>
      </c>
      <c r="AC129" t="s">
        <v>174</v>
      </c>
      <c r="AD129">
        <v>0</v>
      </c>
      <c r="AE129" t="s">
        <v>1416</v>
      </c>
      <c r="AF129">
        <v>130004000</v>
      </c>
      <c r="AG129" t="s">
        <v>310</v>
      </c>
      <c r="AH129">
        <v>1796.23</v>
      </c>
      <c r="AI129">
        <v>0</v>
      </c>
    </row>
    <row r="130" spans="1:35" x14ac:dyDescent="0.3">
      <c r="A130">
        <v>1350</v>
      </c>
      <c r="B130" t="s">
        <v>1280</v>
      </c>
      <c r="C130">
        <v>23</v>
      </c>
      <c r="D130" s="3">
        <v>45373.550043599535</v>
      </c>
      <c r="E130" t="s">
        <v>316</v>
      </c>
      <c r="F130" t="s">
        <v>317</v>
      </c>
      <c r="G130">
        <v>0</v>
      </c>
      <c r="H130" t="s">
        <v>310</v>
      </c>
      <c r="I130">
        <v>0</v>
      </c>
      <c r="J130">
        <v>0</v>
      </c>
      <c r="K130">
        <v>0</v>
      </c>
      <c r="L130" t="s">
        <v>310</v>
      </c>
      <c r="M130" t="s">
        <v>310</v>
      </c>
      <c r="N130">
        <v>0</v>
      </c>
      <c r="O130" t="s">
        <v>319</v>
      </c>
      <c r="P130" t="s">
        <v>101</v>
      </c>
      <c r="Q130" t="s">
        <v>1400</v>
      </c>
      <c r="R130" t="s">
        <v>1405</v>
      </c>
      <c r="S130" t="s">
        <v>202</v>
      </c>
      <c r="T130" t="s">
        <v>1406</v>
      </c>
      <c r="U130">
        <v>0</v>
      </c>
      <c r="V130">
        <v>0</v>
      </c>
      <c r="W130">
        <v>11.8907101</v>
      </c>
      <c r="X130">
        <v>30.184531499999999</v>
      </c>
      <c r="Y130">
        <v>10.963695299999999</v>
      </c>
      <c r="Z130">
        <v>65.567818099999997</v>
      </c>
      <c r="AA130">
        <v>0</v>
      </c>
      <c r="AB130">
        <v>0</v>
      </c>
      <c r="AC130" t="s">
        <v>174</v>
      </c>
      <c r="AD130">
        <v>9</v>
      </c>
      <c r="AE130" t="s">
        <v>1417</v>
      </c>
      <c r="AF130">
        <v>80000000</v>
      </c>
      <c r="AG130" t="s">
        <v>310</v>
      </c>
      <c r="AH130">
        <v>1559.23</v>
      </c>
      <c r="AI130">
        <v>0</v>
      </c>
    </row>
    <row r="131" spans="1:35" x14ac:dyDescent="0.3">
      <c r="A131">
        <v>1351</v>
      </c>
      <c r="B131" t="s">
        <v>1282</v>
      </c>
      <c r="C131">
        <v>23</v>
      </c>
      <c r="D131" s="3">
        <v>45373.55004371528</v>
      </c>
      <c r="E131" t="s">
        <v>316</v>
      </c>
      <c r="F131" t="s">
        <v>317</v>
      </c>
      <c r="G131">
        <v>1</v>
      </c>
      <c r="H131" t="s">
        <v>310</v>
      </c>
      <c r="I131">
        <v>0</v>
      </c>
      <c r="J131">
        <v>0</v>
      </c>
      <c r="K131">
        <v>0</v>
      </c>
      <c r="L131" t="s">
        <v>310</v>
      </c>
      <c r="M131" t="s">
        <v>310</v>
      </c>
      <c r="N131">
        <v>0</v>
      </c>
      <c r="O131" t="s">
        <v>1393</v>
      </c>
      <c r="P131" t="s">
        <v>240</v>
      </c>
      <c r="Q131" t="s">
        <v>1399</v>
      </c>
      <c r="R131" t="s">
        <v>321</v>
      </c>
      <c r="S131" t="s">
        <v>1411</v>
      </c>
      <c r="T131" t="s">
        <v>105</v>
      </c>
      <c r="U131">
        <v>9</v>
      </c>
      <c r="V131">
        <v>9</v>
      </c>
      <c r="W131">
        <v>0</v>
      </c>
      <c r="X131">
        <v>29.715219899999997</v>
      </c>
      <c r="Y131">
        <v>3.9497489999999997</v>
      </c>
      <c r="Z131">
        <v>96.882600699999998</v>
      </c>
      <c r="AA131">
        <v>0</v>
      </c>
      <c r="AB131">
        <v>0</v>
      </c>
      <c r="AC131" t="s">
        <v>174</v>
      </c>
      <c r="AD131">
        <v>0</v>
      </c>
      <c r="AE131" t="s">
        <v>1418</v>
      </c>
      <c r="AF131">
        <v>30001000</v>
      </c>
      <c r="AG131" t="s">
        <v>310</v>
      </c>
      <c r="AH131">
        <v>333.23</v>
      </c>
      <c r="AI131">
        <v>0</v>
      </c>
    </row>
    <row r="132" spans="1:35" x14ac:dyDescent="0.3">
      <c r="A132">
        <v>1352</v>
      </c>
      <c r="B132" t="s">
        <v>366</v>
      </c>
      <c r="C132">
        <v>23</v>
      </c>
      <c r="D132" s="3">
        <v>45373.550043831019</v>
      </c>
      <c r="E132" t="s">
        <v>316</v>
      </c>
      <c r="F132" t="s">
        <v>317</v>
      </c>
      <c r="G132">
        <v>0</v>
      </c>
      <c r="H132" t="s">
        <v>310</v>
      </c>
      <c r="I132">
        <v>0</v>
      </c>
      <c r="J132">
        <v>0</v>
      </c>
      <c r="K132">
        <v>0</v>
      </c>
      <c r="L132" t="s">
        <v>310</v>
      </c>
      <c r="M132" t="s">
        <v>310</v>
      </c>
      <c r="N132">
        <v>0</v>
      </c>
      <c r="O132" t="s">
        <v>1389</v>
      </c>
      <c r="P132" t="s">
        <v>101</v>
      </c>
      <c r="Q132" t="s">
        <v>1400</v>
      </c>
      <c r="R132" t="s">
        <v>321</v>
      </c>
      <c r="S132" t="s">
        <v>1411</v>
      </c>
      <c r="T132" t="s">
        <v>105</v>
      </c>
      <c r="U132">
        <v>9</v>
      </c>
      <c r="V132">
        <v>9</v>
      </c>
      <c r="W132">
        <v>0</v>
      </c>
      <c r="X132">
        <v>9.2371608999999992</v>
      </c>
      <c r="Y132">
        <v>17.5710245</v>
      </c>
      <c r="Z132">
        <v>110.2894472</v>
      </c>
      <c r="AA132">
        <v>0</v>
      </c>
      <c r="AB132">
        <v>1</v>
      </c>
      <c r="AC132" t="s">
        <v>174</v>
      </c>
      <c r="AD132">
        <v>9</v>
      </c>
      <c r="AE132" t="s">
        <v>1387</v>
      </c>
      <c r="AF132">
        <v>20000000</v>
      </c>
      <c r="AG132" t="s">
        <v>310</v>
      </c>
      <c r="AH132">
        <v>4122.2299999999996</v>
      </c>
      <c r="AI132">
        <v>0</v>
      </c>
    </row>
    <row r="133" spans="1:35" x14ac:dyDescent="0.3">
      <c r="A133">
        <v>1353</v>
      </c>
      <c r="B133" t="s">
        <v>361</v>
      </c>
      <c r="C133">
        <v>23</v>
      </c>
      <c r="D133" s="3">
        <v>45373.550043900461</v>
      </c>
      <c r="E133" t="s">
        <v>316</v>
      </c>
      <c r="F133" t="s">
        <v>317</v>
      </c>
      <c r="G133">
        <v>1</v>
      </c>
      <c r="H133" t="s">
        <v>310</v>
      </c>
      <c r="I133">
        <v>0</v>
      </c>
      <c r="J133">
        <v>0</v>
      </c>
      <c r="K133">
        <v>0</v>
      </c>
      <c r="L133" t="s">
        <v>310</v>
      </c>
      <c r="M133" t="s">
        <v>310</v>
      </c>
      <c r="N133">
        <v>0</v>
      </c>
      <c r="O133" t="s">
        <v>1395</v>
      </c>
      <c r="P133" t="s">
        <v>1401</v>
      </c>
      <c r="Q133" t="s">
        <v>1400</v>
      </c>
      <c r="R133" t="s">
        <v>1404</v>
      </c>
      <c r="S133" t="s">
        <v>1411</v>
      </c>
      <c r="T133" t="s">
        <v>105</v>
      </c>
      <c r="U133">
        <v>9</v>
      </c>
      <c r="V133">
        <v>9</v>
      </c>
      <c r="W133">
        <v>0</v>
      </c>
      <c r="X133">
        <v>51.729088599999997</v>
      </c>
      <c r="Y133">
        <v>31.4993944</v>
      </c>
      <c r="Z133">
        <v>52.873210199999995</v>
      </c>
      <c r="AA133">
        <v>0</v>
      </c>
      <c r="AB133">
        <v>0</v>
      </c>
      <c r="AC133" t="s">
        <v>174</v>
      </c>
      <c r="AD133">
        <v>9</v>
      </c>
      <c r="AE133" t="s">
        <v>1392</v>
      </c>
      <c r="AF133">
        <v>90100000</v>
      </c>
      <c r="AG133" t="s">
        <v>310</v>
      </c>
      <c r="AH133">
        <v>20.23</v>
      </c>
      <c r="AI133">
        <v>0</v>
      </c>
    </row>
    <row r="134" spans="1:35" x14ac:dyDescent="0.3">
      <c r="A134">
        <v>1408</v>
      </c>
      <c r="B134" t="s">
        <v>1315</v>
      </c>
      <c r="C134">
        <v>24</v>
      </c>
      <c r="D134" s="3">
        <v>45373.55673989583</v>
      </c>
      <c r="E134" t="s">
        <v>316</v>
      </c>
      <c r="F134" t="s">
        <v>317</v>
      </c>
      <c r="G134">
        <v>0</v>
      </c>
      <c r="H134" t="s">
        <v>310</v>
      </c>
      <c r="I134">
        <v>0</v>
      </c>
      <c r="J134">
        <v>0</v>
      </c>
      <c r="K134">
        <v>0</v>
      </c>
      <c r="L134" t="s">
        <v>310</v>
      </c>
      <c r="M134" t="s">
        <v>310</v>
      </c>
      <c r="N134">
        <v>0</v>
      </c>
      <c r="O134" t="s">
        <v>311</v>
      </c>
      <c r="P134" t="s">
        <v>1401</v>
      </c>
      <c r="Q134" t="s">
        <v>1400</v>
      </c>
      <c r="R134" t="s">
        <v>1404</v>
      </c>
      <c r="S134" t="s">
        <v>1411</v>
      </c>
      <c r="T134" t="s">
        <v>105</v>
      </c>
      <c r="U134">
        <v>9</v>
      </c>
      <c r="V134">
        <v>9</v>
      </c>
      <c r="W134">
        <v>0</v>
      </c>
      <c r="X134">
        <v>26.8454555</v>
      </c>
      <c r="Y134">
        <v>70.1870476</v>
      </c>
      <c r="Z134">
        <v>38.637930900000001</v>
      </c>
      <c r="AA134">
        <v>0</v>
      </c>
      <c r="AB134">
        <v>0</v>
      </c>
      <c r="AC134" t="s">
        <v>174</v>
      </c>
      <c r="AD134">
        <v>9</v>
      </c>
      <c r="AE134" t="s">
        <v>1418</v>
      </c>
      <c r="AF134">
        <v>120000000</v>
      </c>
      <c r="AG134" t="s">
        <v>310</v>
      </c>
      <c r="AH134">
        <v>1511.24</v>
      </c>
      <c r="AI134">
        <v>0</v>
      </c>
    </row>
    <row r="135" spans="1:35" x14ac:dyDescent="0.3">
      <c r="A135">
        <v>1409</v>
      </c>
      <c r="B135" t="s">
        <v>1312</v>
      </c>
      <c r="C135">
        <v>24</v>
      </c>
      <c r="D135" s="3">
        <v>45373.556740011576</v>
      </c>
      <c r="E135" t="s">
        <v>316</v>
      </c>
      <c r="F135" t="s">
        <v>317</v>
      </c>
      <c r="G135">
        <v>1</v>
      </c>
      <c r="H135" t="s">
        <v>310</v>
      </c>
      <c r="I135">
        <v>0</v>
      </c>
      <c r="J135">
        <v>0</v>
      </c>
      <c r="K135">
        <v>0</v>
      </c>
      <c r="L135" t="s">
        <v>310</v>
      </c>
      <c r="M135" t="s">
        <v>310</v>
      </c>
      <c r="N135">
        <v>0</v>
      </c>
      <c r="O135" t="s">
        <v>1391</v>
      </c>
      <c r="P135" t="s">
        <v>240</v>
      </c>
      <c r="Q135" t="s">
        <v>1399</v>
      </c>
      <c r="R135" t="s">
        <v>1405</v>
      </c>
      <c r="S135" t="s">
        <v>202</v>
      </c>
      <c r="T135" t="s">
        <v>1407</v>
      </c>
      <c r="U135">
        <v>0</v>
      </c>
      <c r="V135">
        <v>0</v>
      </c>
      <c r="W135">
        <v>5.3158924000000001</v>
      </c>
      <c r="X135">
        <v>21.8197756</v>
      </c>
      <c r="Y135">
        <v>27.5048678</v>
      </c>
      <c r="Z135">
        <v>78.218486599999991</v>
      </c>
      <c r="AA135">
        <v>0</v>
      </c>
      <c r="AB135">
        <v>0</v>
      </c>
      <c r="AC135" t="s">
        <v>174</v>
      </c>
      <c r="AD135">
        <v>0</v>
      </c>
      <c r="AE135" t="s">
        <v>1416</v>
      </c>
      <c r="AF135">
        <v>110000000</v>
      </c>
      <c r="AG135" t="s">
        <v>310</v>
      </c>
      <c r="AH135">
        <v>2053.2399999999998</v>
      </c>
      <c r="AI135">
        <v>0</v>
      </c>
    </row>
    <row r="136" spans="1:35" x14ac:dyDescent="0.3">
      <c r="A136">
        <v>1410</v>
      </c>
      <c r="B136" t="s">
        <v>1297</v>
      </c>
      <c r="C136">
        <v>24</v>
      </c>
      <c r="D136" s="3">
        <v>45373.556740081018</v>
      </c>
      <c r="E136" t="s">
        <v>316</v>
      </c>
      <c r="F136" t="s">
        <v>317</v>
      </c>
      <c r="G136">
        <v>0</v>
      </c>
      <c r="H136" t="s">
        <v>310</v>
      </c>
      <c r="I136">
        <v>0</v>
      </c>
      <c r="J136">
        <v>0</v>
      </c>
      <c r="K136">
        <v>0</v>
      </c>
      <c r="L136" t="s">
        <v>310</v>
      </c>
      <c r="M136" t="s">
        <v>310</v>
      </c>
      <c r="N136">
        <v>0</v>
      </c>
      <c r="O136" t="s">
        <v>319</v>
      </c>
      <c r="P136" t="s">
        <v>101</v>
      </c>
      <c r="Q136" t="s">
        <v>1400</v>
      </c>
      <c r="R136" t="s">
        <v>1404</v>
      </c>
      <c r="S136" t="s">
        <v>1411</v>
      </c>
      <c r="T136" t="s">
        <v>105</v>
      </c>
      <c r="U136">
        <v>9</v>
      </c>
      <c r="V136">
        <v>9</v>
      </c>
      <c r="W136">
        <v>0</v>
      </c>
      <c r="X136">
        <v>10.3116238</v>
      </c>
      <c r="Y136">
        <v>14.0311191</v>
      </c>
      <c r="Z136">
        <v>91.424087999999998</v>
      </c>
      <c r="AA136">
        <v>0</v>
      </c>
      <c r="AB136">
        <v>0</v>
      </c>
      <c r="AC136" t="s">
        <v>174</v>
      </c>
      <c r="AD136">
        <v>9</v>
      </c>
      <c r="AE136" t="s">
        <v>1417</v>
      </c>
      <c r="AF136">
        <v>40100000</v>
      </c>
      <c r="AG136" t="s">
        <v>310</v>
      </c>
      <c r="AH136">
        <v>9750.24</v>
      </c>
      <c r="AI136">
        <v>0</v>
      </c>
    </row>
    <row r="137" spans="1:35" x14ac:dyDescent="0.3">
      <c r="A137">
        <v>1411</v>
      </c>
      <c r="B137" t="s">
        <v>1306</v>
      </c>
      <c r="C137">
        <v>24</v>
      </c>
      <c r="D137" s="3">
        <v>45373.556740196756</v>
      </c>
      <c r="E137" t="s">
        <v>316</v>
      </c>
      <c r="F137" t="s">
        <v>317</v>
      </c>
      <c r="G137">
        <v>1</v>
      </c>
      <c r="H137" t="s">
        <v>310</v>
      </c>
      <c r="I137">
        <v>0</v>
      </c>
      <c r="J137">
        <v>0</v>
      </c>
      <c r="K137">
        <v>0</v>
      </c>
      <c r="L137" t="s">
        <v>310</v>
      </c>
      <c r="M137" t="s">
        <v>310</v>
      </c>
      <c r="N137">
        <v>0</v>
      </c>
      <c r="O137" t="s">
        <v>1393</v>
      </c>
      <c r="P137" t="s">
        <v>1401</v>
      </c>
      <c r="Q137" t="s">
        <v>1400</v>
      </c>
      <c r="R137" t="s">
        <v>1405</v>
      </c>
      <c r="S137" t="s">
        <v>202</v>
      </c>
      <c r="T137" t="s">
        <v>1407</v>
      </c>
      <c r="U137">
        <v>0</v>
      </c>
      <c r="V137">
        <v>0</v>
      </c>
      <c r="W137">
        <v>4.2660125999999998</v>
      </c>
      <c r="X137">
        <v>33.365307399999999</v>
      </c>
      <c r="Y137">
        <v>18.767682799999999</v>
      </c>
      <c r="Z137">
        <v>76.647089199999996</v>
      </c>
      <c r="AA137">
        <v>0</v>
      </c>
      <c r="AB137">
        <v>1</v>
      </c>
      <c r="AC137" t="s">
        <v>174</v>
      </c>
      <c r="AD137">
        <v>9</v>
      </c>
      <c r="AE137" t="s">
        <v>1394</v>
      </c>
      <c r="AF137">
        <v>50000000</v>
      </c>
      <c r="AG137" t="s">
        <v>310</v>
      </c>
      <c r="AH137">
        <v>3986.24</v>
      </c>
      <c r="AI137">
        <v>0</v>
      </c>
    </row>
    <row r="138" spans="1:35" x14ac:dyDescent="0.3">
      <c r="A138">
        <v>1412</v>
      </c>
      <c r="B138" t="s">
        <v>369</v>
      </c>
      <c r="C138">
        <v>24</v>
      </c>
      <c r="D138" s="3">
        <v>45373.556740312502</v>
      </c>
      <c r="E138" t="s">
        <v>316</v>
      </c>
      <c r="F138" t="s">
        <v>317</v>
      </c>
      <c r="G138">
        <v>0</v>
      </c>
      <c r="H138" t="s">
        <v>310</v>
      </c>
      <c r="I138">
        <v>0</v>
      </c>
      <c r="J138">
        <v>0</v>
      </c>
      <c r="K138">
        <v>0</v>
      </c>
      <c r="L138" t="s">
        <v>310</v>
      </c>
      <c r="M138" t="s">
        <v>310</v>
      </c>
      <c r="N138">
        <v>0</v>
      </c>
      <c r="O138" t="s">
        <v>1389</v>
      </c>
      <c r="P138" t="s">
        <v>320</v>
      </c>
      <c r="Q138" t="s">
        <v>1400</v>
      </c>
      <c r="R138" t="s">
        <v>321</v>
      </c>
      <c r="S138" t="s">
        <v>1411</v>
      </c>
      <c r="T138" t="s">
        <v>105</v>
      </c>
      <c r="U138">
        <v>9</v>
      </c>
      <c r="V138">
        <v>9</v>
      </c>
      <c r="W138">
        <v>0</v>
      </c>
      <c r="X138">
        <v>130.7310603</v>
      </c>
      <c r="Y138">
        <v>2.0643872000000001</v>
      </c>
      <c r="Z138">
        <v>0</v>
      </c>
      <c r="AA138">
        <v>0</v>
      </c>
      <c r="AB138">
        <v>0</v>
      </c>
      <c r="AC138" t="s">
        <v>167</v>
      </c>
      <c r="AD138">
        <v>9</v>
      </c>
      <c r="AE138" t="s">
        <v>1387</v>
      </c>
      <c r="AF138">
        <v>0</v>
      </c>
      <c r="AG138" t="s">
        <v>310</v>
      </c>
      <c r="AH138">
        <v>6463.24</v>
      </c>
      <c r="AI138">
        <v>0</v>
      </c>
    </row>
    <row r="139" spans="1:35" x14ac:dyDescent="0.3">
      <c r="A139">
        <v>1413</v>
      </c>
      <c r="B139" t="s">
        <v>1289</v>
      </c>
      <c r="C139">
        <v>24</v>
      </c>
      <c r="D139" s="3">
        <v>45373.55674039352</v>
      </c>
      <c r="E139" t="s">
        <v>316</v>
      </c>
      <c r="F139" t="s">
        <v>317</v>
      </c>
      <c r="G139">
        <v>0</v>
      </c>
      <c r="H139" t="s">
        <v>310</v>
      </c>
      <c r="I139">
        <v>0</v>
      </c>
      <c r="J139">
        <v>0</v>
      </c>
      <c r="K139">
        <v>0</v>
      </c>
      <c r="L139" t="s">
        <v>310</v>
      </c>
      <c r="M139" t="s">
        <v>310</v>
      </c>
      <c r="N139">
        <v>0</v>
      </c>
      <c r="O139" t="s">
        <v>1395</v>
      </c>
      <c r="P139" t="s">
        <v>101</v>
      </c>
      <c r="Q139" t="s">
        <v>1399</v>
      </c>
      <c r="R139" t="s">
        <v>1404</v>
      </c>
      <c r="S139" t="s">
        <v>1411</v>
      </c>
      <c r="T139" t="s">
        <v>105</v>
      </c>
      <c r="U139">
        <v>9</v>
      </c>
      <c r="V139">
        <v>9</v>
      </c>
      <c r="W139">
        <v>0</v>
      </c>
      <c r="X139">
        <v>36.902508099999999</v>
      </c>
      <c r="Y139">
        <v>48.098432099999997</v>
      </c>
      <c r="Z139">
        <v>46.806345999999998</v>
      </c>
      <c r="AA139">
        <v>3</v>
      </c>
      <c r="AB139">
        <v>0</v>
      </c>
      <c r="AC139" t="s">
        <v>170</v>
      </c>
      <c r="AD139">
        <v>0</v>
      </c>
      <c r="AE139" t="s">
        <v>1392</v>
      </c>
      <c r="AF139">
        <v>0</v>
      </c>
      <c r="AG139" t="s">
        <v>310</v>
      </c>
      <c r="AH139">
        <v>6648.24</v>
      </c>
      <c r="AI139">
        <v>0</v>
      </c>
    </row>
    <row r="140" spans="1:35" x14ac:dyDescent="0.3">
      <c r="A140">
        <v>1414</v>
      </c>
      <c r="C140">
        <v>1</v>
      </c>
      <c r="D140" s="3">
        <v>45373.576656018522</v>
      </c>
      <c r="E140" t="s">
        <v>316</v>
      </c>
      <c r="F140" t="s">
        <v>309</v>
      </c>
      <c r="G140">
        <v>0</v>
      </c>
      <c r="H140" t="s">
        <v>310</v>
      </c>
      <c r="I140">
        <v>0</v>
      </c>
      <c r="J140">
        <v>0</v>
      </c>
      <c r="K140">
        <v>0</v>
      </c>
      <c r="L140" t="s">
        <v>310</v>
      </c>
      <c r="M140" t="s">
        <v>310</v>
      </c>
      <c r="N140">
        <v>0</v>
      </c>
      <c r="O140" t="s">
        <v>1395</v>
      </c>
      <c r="P140" t="s">
        <v>315</v>
      </c>
      <c r="Q140" t="s">
        <v>315</v>
      </c>
      <c r="R140" t="s">
        <v>315</v>
      </c>
      <c r="S140" t="s">
        <v>210</v>
      </c>
      <c r="T140" t="s">
        <v>105</v>
      </c>
      <c r="U140">
        <v>9</v>
      </c>
      <c r="V140">
        <v>9</v>
      </c>
      <c r="W140">
        <v>0</v>
      </c>
      <c r="X140">
        <v>0</v>
      </c>
      <c r="Y140">
        <v>0</v>
      </c>
      <c r="Z140">
        <v>0</v>
      </c>
      <c r="AA140">
        <v>10</v>
      </c>
      <c r="AB140">
        <v>10</v>
      </c>
      <c r="AC140" t="s">
        <v>315</v>
      </c>
      <c r="AD140">
        <v>10</v>
      </c>
      <c r="AE140" t="s">
        <v>1428</v>
      </c>
      <c r="AF140">
        <v>50</v>
      </c>
      <c r="AG140" t="s">
        <v>310</v>
      </c>
      <c r="AI140">
        <v>0</v>
      </c>
    </row>
    <row r="141" spans="1:35" x14ac:dyDescent="0.3">
      <c r="A141">
        <v>1458</v>
      </c>
      <c r="B141" t="s">
        <v>366</v>
      </c>
      <c r="C141">
        <v>30</v>
      </c>
      <c r="D141" s="3">
        <v>45373.58938287037</v>
      </c>
      <c r="E141" t="s">
        <v>316</v>
      </c>
      <c r="F141" t="s">
        <v>317</v>
      </c>
      <c r="G141">
        <v>0</v>
      </c>
      <c r="H141" t="s">
        <v>310</v>
      </c>
      <c r="I141">
        <v>0</v>
      </c>
      <c r="J141">
        <v>0</v>
      </c>
      <c r="K141">
        <v>0</v>
      </c>
      <c r="L141" t="s">
        <v>310</v>
      </c>
      <c r="M141" t="s">
        <v>310</v>
      </c>
      <c r="N141">
        <v>0</v>
      </c>
      <c r="O141" t="s">
        <v>311</v>
      </c>
      <c r="P141" t="s">
        <v>240</v>
      </c>
      <c r="Q141" t="s">
        <v>1400</v>
      </c>
      <c r="R141" t="s">
        <v>321</v>
      </c>
      <c r="S141" t="s">
        <v>1411</v>
      </c>
      <c r="T141" t="s">
        <v>105</v>
      </c>
      <c r="U141">
        <v>9</v>
      </c>
      <c r="V141">
        <v>9</v>
      </c>
      <c r="W141">
        <v>0</v>
      </c>
      <c r="X141">
        <v>0</v>
      </c>
      <c r="Y141">
        <v>0</v>
      </c>
      <c r="Z141">
        <v>135.95632129999998</v>
      </c>
      <c r="AA141">
        <v>0</v>
      </c>
      <c r="AB141">
        <v>0</v>
      </c>
      <c r="AC141" t="s">
        <v>173</v>
      </c>
      <c r="AD141">
        <v>9</v>
      </c>
      <c r="AE141" t="s">
        <v>1387</v>
      </c>
      <c r="AF141">
        <v>30000000</v>
      </c>
      <c r="AG141" t="s">
        <v>310</v>
      </c>
      <c r="AH141">
        <v>4122.3</v>
      </c>
      <c r="AI141">
        <v>0</v>
      </c>
    </row>
    <row r="142" spans="1:35" x14ac:dyDescent="0.3">
      <c r="A142">
        <v>1459</v>
      </c>
      <c r="B142" t="s">
        <v>1283</v>
      </c>
      <c r="C142">
        <v>30</v>
      </c>
      <c r="D142" s="3">
        <v>45373.589383252314</v>
      </c>
      <c r="E142" t="s">
        <v>316</v>
      </c>
      <c r="F142" t="s">
        <v>317</v>
      </c>
      <c r="G142">
        <v>1</v>
      </c>
      <c r="H142" t="s">
        <v>310</v>
      </c>
      <c r="I142">
        <v>0</v>
      </c>
      <c r="J142">
        <v>0</v>
      </c>
      <c r="K142">
        <v>0</v>
      </c>
      <c r="L142" t="s">
        <v>310</v>
      </c>
      <c r="M142" t="s">
        <v>310</v>
      </c>
      <c r="N142">
        <v>0</v>
      </c>
      <c r="O142" t="s">
        <v>1391</v>
      </c>
      <c r="P142" t="s">
        <v>101</v>
      </c>
      <c r="Q142" t="s">
        <v>1400</v>
      </c>
      <c r="R142" t="s">
        <v>321</v>
      </c>
      <c r="S142" t="s">
        <v>1411</v>
      </c>
      <c r="T142" t="s">
        <v>105</v>
      </c>
      <c r="U142">
        <v>9</v>
      </c>
      <c r="V142">
        <v>9</v>
      </c>
      <c r="W142">
        <v>0</v>
      </c>
      <c r="X142">
        <v>61.272961599999995</v>
      </c>
      <c r="Y142">
        <v>14.5196206</v>
      </c>
      <c r="Z142">
        <v>59.782114099999994</v>
      </c>
      <c r="AA142">
        <v>0</v>
      </c>
      <c r="AB142">
        <v>0</v>
      </c>
      <c r="AC142" t="s">
        <v>174</v>
      </c>
      <c r="AD142">
        <v>9</v>
      </c>
      <c r="AE142" t="s">
        <v>1396</v>
      </c>
      <c r="AF142">
        <v>0</v>
      </c>
      <c r="AG142" t="s">
        <v>310</v>
      </c>
      <c r="AH142">
        <v>1601.3</v>
      </c>
      <c r="AI142">
        <v>0</v>
      </c>
    </row>
    <row r="143" spans="1:35" x14ac:dyDescent="0.3">
      <c r="A143">
        <v>1460</v>
      </c>
      <c r="B143" t="s">
        <v>362</v>
      </c>
      <c r="C143">
        <v>30</v>
      </c>
      <c r="D143" s="3">
        <v>45373.589383333332</v>
      </c>
      <c r="E143" t="s">
        <v>316</v>
      </c>
      <c r="F143" t="s">
        <v>317</v>
      </c>
      <c r="G143">
        <v>1</v>
      </c>
      <c r="H143" t="s">
        <v>310</v>
      </c>
      <c r="I143">
        <v>0</v>
      </c>
      <c r="J143">
        <v>0</v>
      </c>
      <c r="K143">
        <v>0</v>
      </c>
      <c r="L143" t="s">
        <v>310</v>
      </c>
      <c r="M143" t="s">
        <v>310</v>
      </c>
      <c r="N143">
        <v>0</v>
      </c>
      <c r="O143" t="s">
        <v>319</v>
      </c>
      <c r="P143" t="s">
        <v>320</v>
      </c>
      <c r="Q143" t="s">
        <v>1399</v>
      </c>
      <c r="R143" t="s">
        <v>321</v>
      </c>
      <c r="S143" t="s">
        <v>1411</v>
      </c>
      <c r="T143" t="s">
        <v>105</v>
      </c>
      <c r="U143">
        <v>9</v>
      </c>
      <c r="V143">
        <v>9</v>
      </c>
      <c r="W143">
        <v>0</v>
      </c>
      <c r="X143">
        <v>72.606539900000001</v>
      </c>
      <c r="Y143">
        <v>31.706765599999997</v>
      </c>
      <c r="Z143">
        <v>31.643913399999999</v>
      </c>
      <c r="AA143">
        <v>0</v>
      </c>
      <c r="AB143">
        <v>0</v>
      </c>
      <c r="AC143" t="s">
        <v>170</v>
      </c>
      <c r="AD143">
        <v>0</v>
      </c>
      <c r="AE143" t="s">
        <v>1388</v>
      </c>
      <c r="AF143">
        <v>3000</v>
      </c>
      <c r="AG143" t="s">
        <v>310</v>
      </c>
      <c r="AH143">
        <v>250.3</v>
      </c>
      <c r="AI143">
        <v>0</v>
      </c>
    </row>
    <row r="144" spans="1:35" x14ac:dyDescent="0.3">
      <c r="A144">
        <v>1461</v>
      </c>
      <c r="B144" t="s">
        <v>1309</v>
      </c>
      <c r="C144">
        <v>30</v>
      </c>
      <c r="D144" s="3">
        <v>45373.589383449071</v>
      </c>
      <c r="E144" t="s">
        <v>316</v>
      </c>
      <c r="F144" t="s">
        <v>317</v>
      </c>
      <c r="G144">
        <v>0</v>
      </c>
      <c r="H144" t="s">
        <v>310</v>
      </c>
      <c r="I144">
        <v>0</v>
      </c>
      <c r="J144">
        <v>0</v>
      </c>
      <c r="K144">
        <v>0</v>
      </c>
      <c r="L144" t="s">
        <v>310</v>
      </c>
      <c r="M144" t="s">
        <v>310</v>
      </c>
      <c r="N144">
        <v>0</v>
      </c>
      <c r="O144" t="s">
        <v>1393</v>
      </c>
      <c r="P144" t="s">
        <v>101</v>
      </c>
      <c r="Q144" t="s">
        <v>1399</v>
      </c>
      <c r="R144" t="s">
        <v>321</v>
      </c>
      <c r="S144" t="s">
        <v>1411</v>
      </c>
      <c r="T144" t="s">
        <v>105</v>
      </c>
      <c r="U144">
        <v>9</v>
      </c>
      <c r="V144">
        <v>9</v>
      </c>
      <c r="W144">
        <v>0</v>
      </c>
      <c r="X144">
        <v>43.891694799999996</v>
      </c>
      <c r="Y144">
        <v>32.846365999999996</v>
      </c>
      <c r="Z144">
        <v>58.7138901</v>
      </c>
      <c r="AA144">
        <v>0</v>
      </c>
      <c r="AB144">
        <v>1</v>
      </c>
      <c r="AC144" t="s">
        <v>174</v>
      </c>
      <c r="AD144">
        <v>0</v>
      </c>
      <c r="AE144" t="s">
        <v>1394</v>
      </c>
      <c r="AF144">
        <v>60000000</v>
      </c>
      <c r="AG144" t="s">
        <v>310</v>
      </c>
      <c r="AH144">
        <v>3550.3</v>
      </c>
      <c r="AI144">
        <v>0</v>
      </c>
    </row>
    <row r="145" spans="1:35" x14ac:dyDescent="0.3">
      <c r="A145">
        <v>1462</v>
      </c>
      <c r="B145" t="s">
        <v>1291</v>
      </c>
      <c r="C145">
        <v>30</v>
      </c>
      <c r="D145" s="3">
        <v>45373.589383564817</v>
      </c>
      <c r="E145" t="s">
        <v>316</v>
      </c>
      <c r="F145" t="s">
        <v>317</v>
      </c>
      <c r="G145">
        <v>1</v>
      </c>
      <c r="H145" t="s">
        <v>310</v>
      </c>
      <c r="I145">
        <v>0</v>
      </c>
      <c r="J145">
        <v>0</v>
      </c>
      <c r="K145">
        <v>0</v>
      </c>
      <c r="L145" t="s">
        <v>310</v>
      </c>
      <c r="M145" t="s">
        <v>310</v>
      </c>
      <c r="N145">
        <v>0</v>
      </c>
      <c r="O145" t="s">
        <v>1389</v>
      </c>
      <c r="P145" t="s">
        <v>240</v>
      </c>
      <c r="Q145" t="s">
        <v>1400</v>
      </c>
      <c r="R145" t="s">
        <v>321</v>
      </c>
      <c r="S145" t="s">
        <v>1411</v>
      </c>
      <c r="T145" t="s">
        <v>105</v>
      </c>
      <c r="U145">
        <v>9</v>
      </c>
      <c r="V145">
        <v>9</v>
      </c>
      <c r="W145">
        <v>0</v>
      </c>
      <c r="X145">
        <v>49.0173104</v>
      </c>
      <c r="Y145">
        <v>15.484428699999999</v>
      </c>
      <c r="Z145">
        <v>72.575189299999991</v>
      </c>
      <c r="AA145">
        <v>0</v>
      </c>
      <c r="AB145">
        <v>3</v>
      </c>
      <c r="AC145" t="s">
        <v>174</v>
      </c>
      <c r="AD145">
        <v>9</v>
      </c>
      <c r="AE145" t="s">
        <v>1392</v>
      </c>
      <c r="AF145">
        <v>60000000</v>
      </c>
      <c r="AG145" t="s">
        <v>310</v>
      </c>
      <c r="AH145">
        <v>1493.3</v>
      </c>
      <c r="AI145">
        <v>0</v>
      </c>
    </row>
    <row r="146" spans="1:35" x14ac:dyDescent="0.3">
      <c r="A146">
        <v>1463</v>
      </c>
      <c r="B146" t="s">
        <v>1315</v>
      </c>
      <c r="C146">
        <v>30</v>
      </c>
      <c r="D146" s="3">
        <v>45373.589383645834</v>
      </c>
      <c r="E146" t="s">
        <v>316</v>
      </c>
      <c r="F146" t="s">
        <v>317</v>
      </c>
      <c r="G146">
        <v>0</v>
      </c>
      <c r="H146" t="s">
        <v>310</v>
      </c>
      <c r="I146">
        <v>0</v>
      </c>
      <c r="J146">
        <v>0</v>
      </c>
      <c r="K146">
        <v>0</v>
      </c>
      <c r="L146" t="s">
        <v>310</v>
      </c>
      <c r="M146" t="s">
        <v>310</v>
      </c>
      <c r="N146">
        <v>0</v>
      </c>
      <c r="O146" t="s">
        <v>1395</v>
      </c>
      <c r="P146" t="s">
        <v>1401</v>
      </c>
      <c r="Q146" t="s">
        <v>1400</v>
      </c>
      <c r="R146" t="s">
        <v>1404</v>
      </c>
      <c r="S146" t="s">
        <v>1411</v>
      </c>
      <c r="T146" t="s">
        <v>105</v>
      </c>
      <c r="U146">
        <v>9</v>
      </c>
      <c r="V146">
        <v>9</v>
      </c>
      <c r="W146">
        <v>0</v>
      </c>
      <c r="X146">
        <v>3.2642864999999999</v>
      </c>
      <c r="Y146">
        <v>9.8743608999999992</v>
      </c>
      <c r="Z146">
        <v>123.5635633</v>
      </c>
      <c r="AA146">
        <v>0</v>
      </c>
      <c r="AB146">
        <v>0</v>
      </c>
      <c r="AC146" t="s">
        <v>173</v>
      </c>
      <c r="AD146">
        <v>9</v>
      </c>
      <c r="AE146" t="s">
        <v>1390</v>
      </c>
      <c r="AF146">
        <v>60000000</v>
      </c>
      <c r="AG146" t="s">
        <v>310</v>
      </c>
      <c r="AH146">
        <v>1511.3</v>
      </c>
      <c r="AI146">
        <v>0</v>
      </c>
    </row>
    <row r="147" spans="1:35" x14ac:dyDescent="0.3">
      <c r="A147">
        <v>1528</v>
      </c>
      <c r="B147" t="s">
        <v>1296</v>
      </c>
      <c r="C147">
        <v>31</v>
      </c>
      <c r="D147" s="3">
        <v>45373.595715081021</v>
      </c>
      <c r="E147" t="s">
        <v>316</v>
      </c>
      <c r="F147" t="s">
        <v>317</v>
      </c>
      <c r="G147">
        <v>1</v>
      </c>
      <c r="H147" t="s">
        <v>310</v>
      </c>
      <c r="I147">
        <v>0</v>
      </c>
      <c r="J147">
        <v>0</v>
      </c>
      <c r="K147">
        <v>0</v>
      </c>
      <c r="L147" t="s">
        <v>310</v>
      </c>
      <c r="M147" t="s">
        <v>310</v>
      </c>
      <c r="N147">
        <v>0</v>
      </c>
      <c r="O147" t="s">
        <v>311</v>
      </c>
      <c r="P147" t="s">
        <v>240</v>
      </c>
      <c r="Q147" t="s">
        <v>1399</v>
      </c>
      <c r="R147" t="s">
        <v>1404</v>
      </c>
      <c r="S147" t="s">
        <v>322</v>
      </c>
      <c r="T147" t="s">
        <v>105</v>
      </c>
      <c r="U147">
        <v>9</v>
      </c>
      <c r="V147">
        <v>9</v>
      </c>
      <c r="W147">
        <v>3.2516045999999998</v>
      </c>
      <c r="X147">
        <v>25.444462899999998</v>
      </c>
      <c r="Y147">
        <v>38.371553800000001</v>
      </c>
      <c r="Z147">
        <v>72.762662800000001</v>
      </c>
      <c r="AA147">
        <v>0</v>
      </c>
      <c r="AB147">
        <v>3</v>
      </c>
      <c r="AC147" t="s">
        <v>174</v>
      </c>
      <c r="AD147">
        <v>0</v>
      </c>
      <c r="AE147" t="s">
        <v>1392</v>
      </c>
      <c r="AF147">
        <v>90000000</v>
      </c>
      <c r="AG147" t="s">
        <v>310</v>
      </c>
      <c r="AH147">
        <v>3003.31</v>
      </c>
      <c r="AI147">
        <v>0</v>
      </c>
    </row>
    <row r="148" spans="1:35" x14ac:dyDescent="0.3">
      <c r="A148">
        <v>1529</v>
      </c>
      <c r="B148" t="s">
        <v>371</v>
      </c>
      <c r="C148">
        <v>31</v>
      </c>
      <c r="D148" s="3">
        <v>45373.595715277777</v>
      </c>
      <c r="E148" t="s">
        <v>316</v>
      </c>
      <c r="F148" t="s">
        <v>317</v>
      </c>
      <c r="G148">
        <v>0</v>
      </c>
      <c r="H148" t="s">
        <v>310</v>
      </c>
      <c r="I148">
        <v>0</v>
      </c>
      <c r="J148">
        <v>0</v>
      </c>
      <c r="K148">
        <v>0</v>
      </c>
      <c r="L148" t="s">
        <v>310</v>
      </c>
      <c r="M148" t="s">
        <v>310</v>
      </c>
      <c r="N148">
        <v>0</v>
      </c>
      <c r="O148" t="s">
        <v>1391</v>
      </c>
      <c r="P148" t="s">
        <v>320</v>
      </c>
      <c r="Q148" t="s">
        <v>1400</v>
      </c>
      <c r="R148" t="s">
        <v>1404</v>
      </c>
      <c r="S148" t="s">
        <v>322</v>
      </c>
      <c r="T148" t="s">
        <v>105</v>
      </c>
      <c r="U148">
        <v>9</v>
      </c>
      <c r="V148">
        <v>9</v>
      </c>
      <c r="W148">
        <v>7.0029013999999998</v>
      </c>
      <c r="X148">
        <v>53.377674499999998</v>
      </c>
      <c r="Y148">
        <v>10.6209107</v>
      </c>
      <c r="Z148">
        <v>63.445817299999995</v>
      </c>
      <c r="AA148">
        <v>0</v>
      </c>
      <c r="AB148">
        <v>0</v>
      </c>
      <c r="AC148" t="s">
        <v>174</v>
      </c>
      <c r="AD148">
        <v>9</v>
      </c>
      <c r="AE148" t="s">
        <v>1390</v>
      </c>
      <c r="AF148">
        <v>10000000</v>
      </c>
      <c r="AG148" t="s">
        <v>310</v>
      </c>
      <c r="AH148">
        <v>6969.31</v>
      </c>
      <c r="AI148">
        <v>0</v>
      </c>
    </row>
    <row r="149" spans="1:35" x14ac:dyDescent="0.3">
      <c r="A149">
        <v>1530</v>
      </c>
      <c r="B149" t="s">
        <v>1286</v>
      </c>
      <c r="C149">
        <v>31</v>
      </c>
      <c r="D149" s="3">
        <v>45373.595715358795</v>
      </c>
      <c r="E149" t="s">
        <v>316</v>
      </c>
      <c r="F149" t="s">
        <v>317</v>
      </c>
      <c r="G149">
        <v>1</v>
      </c>
      <c r="H149" t="s">
        <v>310</v>
      </c>
      <c r="I149">
        <v>0</v>
      </c>
      <c r="J149">
        <v>0</v>
      </c>
      <c r="K149">
        <v>0</v>
      </c>
      <c r="L149" t="s">
        <v>310</v>
      </c>
      <c r="M149" t="s">
        <v>310</v>
      </c>
      <c r="N149">
        <v>0</v>
      </c>
      <c r="O149" t="s">
        <v>319</v>
      </c>
      <c r="P149" t="s">
        <v>1401</v>
      </c>
      <c r="Q149" t="s">
        <v>1400</v>
      </c>
      <c r="R149" t="s">
        <v>1405</v>
      </c>
      <c r="S149" t="s">
        <v>202</v>
      </c>
      <c r="T149" t="s">
        <v>1406</v>
      </c>
      <c r="U149">
        <v>0</v>
      </c>
      <c r="V149">
        <v>0</v>
      </c>
      <c r="W149">
        <v>7.6305126999999997</v>
      </c>
      <c r="X149">
        <v>51.863894299999998</v>
      </c>
      <c r="Y149">
        <v>33.283823599999998</v>
      </c>
      <c r="Z149">
        <v>41.244686799999997</v>
      </c>
      <c r="AA149">
        <v>0</v>
      </c>
      <c r="AB149">
        <v>0</v>
      </c>
      <c r="AC149" t="s">
        <v>174</v>
      </c>
      <c r="AD149">
        <v>9</v>
      </c>
      <c r="AE149" t="s">
        <v>1388</v>
      </c>
      <c r="AF149">
        <v>110001000</v>
      </c>
      <c r="AG149" t="s">
        <v>310</v>
      </c>
      <c r="AH149">
        <v>1591.31</v>
      </c>
      <c r="AI149">
        <v>0</v>
      </c>
    </row>
    <row r="150" spans="1:35" x14ac:dyDescent="0.3">
      <c r="A150">
        <v>1531</v>
      </c>
      <c r="B150" t="s">
        <v>361</v>
      </c>
      <c r="C150">
        <v>31</v>
      </c>
      <c r="D150" s="3">
        <v>45373.595715474534</v>
      </c>
      <c r="E150" t="s">
        <v>316</v>
      </c>
      <c r="F150" t="s">
        <v>317</v>
      </c>
      <c r="G150">
        <v>0</v>
      </c>
      <c r="H150" t="s">
        <v>310</v>
      </c>
      <c r="I150">
        <v>0</v>
      </c>
      <c r="J150">
        <v>0</v>
      </c>
      <c r="K150">
        <v>0</v>
      </c>
      <c r="L150" t="s">
        <v>310</v>
      </c>
      <c r="M150" t="s">
        <v>310</v>
      </c>
      <c r="N150">
        <v>0</v>
      </c>
      <c r="O150" t="s">
        <v>1393</v>
      </c>
      <c r="P150" t="s">
        <v>240</v>
      </c>
      <c r="Q150" t="s">
        <v>1399</v>
      </c>
      <c r="R150" t="s">
        <v>1404</v>
      </c>
      <c r="S150" t="s">
        <v>322</v>
      </c>
      <c r="T150" t="s">
        <v>105</v>
      </c>
      <c r="U150">
        <v>9</v>
      </c>
      <c r="V150">
        <v>9</v>
      </c>
      <c r="W150">
        <v>9.9899919999999991</v>
      </c>
      <c r="X150">
        <v>34.103573799999999</v>
      </c>
      <c r="Y150">
        <v>19.9357088</v>
      </c>
      <c r="Z150">
        <v>73.660958699999995</v>
      </c>
      <c r="AA150">
        <v>0</v>
      </c>
      <c r="AB150">
        <v>0</v>
      </c>
      <c r="AC150" t="s">
        <v>173</v>
      </c>
      <c r="AD150">
        <v>0</v>
      </c>
      <c r="AE150" t="s">
        <v>1394</v>
      </c>
      <c r="AF150">
        <v>100000000</v>
      </c>
      <c r="AG150" t="s">
        <v>310</v>
      </c>
      <c r="AH150">
        <v>20.309999999999999</v>
      </c>
      <c r="AI150">
        <v>0</v>
      </c>
    </row>
    <row r="151" spans="1:35" x14ac:dyDescent="0.3">
      <c r="A151">
        <v>1532</v>
      </c>
      <c r="B151" t="s">
        <v>368</v>
      </c>
      <c r="C151">
        <v>31</v>
      </c>
      <c r="D151" s="3">
        <v>45373.595715543983</v>
      </c>
      <c r="E151" t="s">
        <v>316</v>
      </c>
      <c r="F151" t="s">
        <v>317</v>
      </c>
      <c r="G151">
        <v>0</v>
      </c>
      <c r="H151" t="s">
        <v>310</v>
      </c>
      <c r="I151">
        <v>0</v>
      </c>
      <c r="J151">
        <v>0</v>
      </c>
      <c r="K151">
        <v>0</v>
      </c>
      <c r="L151" t="s">
        <v>310</v>
      </c>
      <c r="M151" t="s">
        <v>310</v>
      </c>
      <c r="N151">
        <v>0</v>
      </c>
      <c r="O151" t="s">
        <v>1389</v>
      </c>
      <c r="P151" t="s">
        <v>101</v>
      </c>
      <c r="Q151" t="s">
        <v>1400</v>
      </c>
      <c r="R151" t="s">
        <v>1404</v>
      </c>
      <c r="S151" t="s">
        <v>322</v>
      </c>
      <c r="T151" t="s">
        <v>105</v>
      </c>
      <c r="U151">
        <v>9</v>
      </c>
      <c r="V151">
        <v>9</v>
      </c>
      <c r="W151">
        <v>25.808873899999998</v>
      </c>
      <c r="X151">
        <v>0</v>
      </c>
      <c r="Y151">
        <v>11.2230744</v>
      </c>
      <c r="Z151">
        <v>101.29487349999999</v>
      </c>
      <c r="AA151">
        <v>3</v>
      </c>
      <c r="AB151">
        <v>0</v>
      </c>
      <c r="AC151" t="s">
        <v>170</v>
      </c>
      <c r="AD151">
        <v>9</v>
      </c>
      <c r="AE151" t="s">
        <v>1387</v>
      </c>
      <c r="AF151">
        <v>10000000</v>
      </c>
      <c r="AG151" t="s">
        <v>310</v>
      </c>
      <c r="AH151">
        <v>6401.31</v>
      </c>
      <c r="AI151">
        <v>0</v>
      </c>
    </row>
    <row r="152" spans="1:35" x14ac:dyDescent="0.3">
      <c r="A152">
        <v>1533</v>
      </c>
      <c r="B152" t="s">
        <v>1306</v>
      </c>
      <c r="C152">
        <v>31</v>
      </c>
      <c r="D152" s="3">
        <v>45373.595715659721</v>
      </c>
      <c r="E152" t="s">
        <v>316</v>
      </c>
      <c r="F152" t="s">
        <v>317</v>
      </c>
      <c r="G152">
        <v>1</v>
      </c>
      <c r="H152" t="s">
        <v>310</v>
      </c>
      <c r="I152">
        <v>0</v>
      </c>
      <c r="J152">
        <v>0</v>
      </c>
      <c r="K152">
        <v>0</v>
      </c>
      <c r="L152" t="s">
        <v>310</v>
      </c>
      <c r="M152" t="s">
        <v>310</v>
      </c>
      <c r="N152">
        <v>0</v>
      </c>
      <c r="O152" t="s">
        <v>1395</v>
      </c>
      <c r="P152" t="s">
        <v>320</v>
      </c>
      <c r="Q152" t="s">
        <v>1400</v>
      </c>
      <c r="R152" t="s">
        <v>1405</v>
      </c>
      <c r="S152" t="s">
        <v>202</v>
      </c>
      <c r="T152" t="s">
        <v>1406</v>
      </c>
      <c r="U152">
        <v>0</v>
      </c>
      <c r="V152">
        <v>0</v>
      </c>
      <c r="W152">
        <v>2.6140314</v>
      </c>
      <c r="X152">
        <v>40.921852799999996</v>
      </c>
      <c r="Y152">
        <v>53.776271699999995</v>
      </c>
      <c r="Z152">
        <v>27.5782527</v>
      </c>
      <c r="AA152">
        <v>0</v>
      </c>
      <c r="AB152">
        <v>0</v>
      </c>
      <c r="AC152" t="s">
        <v>171</v>
      </c>
      <c r="AD152">
        <v>9</v>
      </c>
      <c r="AE152" t="s">
        <v>1396</v>
      </c>
      <c r="AF152">
        <v>100001000</v>
      </c>
      <c r="AG152" t="s">
        <v>310</v>
      </c>
      <c r="AH152">
        <v>3986.31</v>
      </c>
      <c r="AI152">
        <v>0</v>
      </c>
    </row>
    <row r="153" spans="1:35" x14ac:dyDescent="0.3">
      <c r="A153">
        <v>1594</v>
      </c>
      <c r="B153" t="s">
        <v>372</v>
      </c>
      <c r="C153">
        <v>32</v>
      </c>
      <c r="D153" s="3">
        <v>45373.60000046296</v>
      </c>
      <c r="E153" t="s">
        <v>316</v>
      </c>
      <c r="F153" t="s">
        <v>317</v>
      </c>
      <c r="G153">
        <v>0</v>
      </c>
      <c r="H153" t="s">
        <v>310</v>
      </c>
      <c r="I153">
        <v>0</v>
      </c>
      <c r="J153">
        <v>0</v>
      </c>
      <c r="K153">
        <v>0</v>
      </c>
      <c r="L153" t="s">
        <v>310</v>
      </c>
      <c r="M153" t="s">
        <v>310</v>
      </c>
      <c r="N153">
        <v>0</v>
      </c>
      <c r="O153" t="s">
        <v>311</v>
      </c>
      <c r="P153" t="s">
        <v>101</v>
      </c>
      <c r="Q153" t="s">
        <v>1400</v>
      </c>
      <c r="R153" t="s">
        <v>1405</v>
      </c>
      <c r="S153" t="s">
        <v>202</v>
      </c>
      <c r="T153" t="s">
        <v>1406</v>
      </c>
      <c r="U153">
        <v>0</v>
      </c>
      <c r="V153">
        <v>0</v>
      </c>
      <c r="W153">
        <v>10.257351399999999</v>
      </c>
      <c r="X153">
        <v>14.0303176</v>
      </c>
      <c r="Y153">
        <v>27.6851141</v>
      </c>
      <c r="Z153">
        <v>64.021109600000003</v>
      </c>
      <c r="AA153">
        <v>0</v>
      </c>
      <c r="AB153">
        <v>2</v>
      </c>
      <c r="AC153" t="s">
        <v>174</v>
      </c>
      <c r="AD153">
        <v>9</v>
      </c>
      <c r="AE153" t="s">
        <v>1392</v>
      </c>
      <c r="AF153">
        <v>40000000</v>
      </c>
      <c r="AG153" t="s">
        <v>310</v>
      </c>
      <c r="AH153">
        <v>7504.32</v>
      </c>
      <c r="AI153">
        <v>0</v>
      </c>
    </row>
    <row r="154" spans="1:35" x14ac:dyDescent="0.3">
      <c r="A154">
        <v>1595</v>
      </c>
      <c r="B154" t="s">
        <v>1277</v>
      </c>
      <c r="C154">
        <v>32</v>
      </c>
      <c r="D154" s="3">
        <v>45373.600000613427</v>
      </c>
      <c r="E154" t="s">
        <v>316</v>
      </c>
      <c r="F154" t="s">
        <v>317</v>
      </c>
      <c r="G154">
        <v>0</v>
      </c>
      <c r="H154" t="s">
        <v>310</v>
      </c>
      <c r="I154">
        <v>0</v>
      </c>
      <c r="J154">
        <v>0</v>
      </c>
      <c r="K154">
        <v>0</v>
      </c>
      <c r="L154" t="s">
        <v>310</v>
      </c>
      <c r="M154" t="s">
        <v>310</v>
      </c>
      <c r="N154">
        <v>0</v>
      </c>
      <c r="O154" t="s">
        <v>1391</v>
      </c>
      <c r="P154" t="s">
        <v>240</v>
      </c>
      <c r="Q154" t="s">
        <v>1399</v>
      </c>
      <c r="R154" t="s">
        <v>1405</v>
      </c>
      <c r="S154" t="s">
        <v>202</v>
      </c>
      <c r="T154" t="s">
        <v>1407</v>
      </c>
      <c r="U154">
        <v>0</v>
      </c>
      <c r="V154">
        <v>0</v>
      </c>
      <c r="W154">
        <v>15.373867899999999</v>
      </c>
      <c r="X154">
        <v>29.8127107</v>
      </c>
      <c r="Y154">
        <v>28.553922999999998</v>
      </c>
      <c r="Z154">
        <v>44.324375499999995</v>
      </c>
      <c r="AA154">
        <v>0</v>
      </c>
      <c r="AB154">
        <v>0</v>
      </c>
      <c r="AC154" t="s">
        <v>174</v>
      </c>
      <c r="AD154">
        <v>0</v>
      </c>
      <c r="AE154" t="s">
        <v>1390</v>
      </c>
      <c r="AF154">
        <v>70000000</v>
      </c>
      <c r="AG154" t="s">
        <v>310</v>
      </c>
      <c r="AH154">
        <v>3360.32</v>
      </c>
      <c r="AI154">
        <v>0</v>
      </c>
    </row>
    <row r="155" spans="1:35" x14ac:dyDescent="0.3">
      <c r="A155">
        <v>1596</v>
      </c>
      <c r="B155" t="s">
        <v>1282</v>
      </c>
      <c r="C155">
        <v>32</v>
      </c>
      <c r="D155" s="3">
        <v>45373.600000694445</v>
      </c>
      <c r="E155" t="s">
        <v>316</v>
      </c>
      <c r="F155" t="s">
        <v>317</v>
      </c>
      <c r="G155">
        <v>1</v>
      </c>
      <c r="H155" t="s">
        <v>310</v>
      </c>
      <c r="I155">
        <v>0</v>
      </c>
      <c r="J155">
        <v>0</v>
      </c>
      <c r="K155">
        <v>0</v>
      </c>
      <c r="L155" t="s">
        <v>310</v>
      </c>
      <c r="M155" t="s">
        <v>310</v>
      </c>
      <c r="N155">
        <v>0</v>
      </c>
      <c r="O155" t="s">
        <v>319</v>
      </c>
      <c r="P155" t="s">
        <v>1401</v>
      </c>
      <c r="Q155" t="s">
        <v>1400</v>
      </c>
      <c r="R155" t="s">
        <v>1404</v>
      </c>
      <c r="S155" t="s">
        <v>322</v>
      </c>
      <c r="T155" t="s">
        <v>105</v>
      </c>
      <c r="U155">
        <v>9</v>
      </c>
      <c r="V155">
        <v>9</v>
      </c>
      <c r="W155">
        <v>15.0580786</v>
      </c>
      <c r="X155">
        <v>45.789717099999997</v>
      </c>
      <c r="Y155">
        <v>21.757945899999999</v>
      </c>
      <c r="Z155">
        <v>37.056694899999997</v>
      </c>
      <c r="AA155">
        <v>0</v>
      </c>
      <c r="AB155">
        <v>0</v>
      </c>
      <c r="AC155" t="s">
        <v>174</v>
      </c>
      <c r="AD155">
        <v>9</v>
      </c>
      <c r="AE155" t="s">
        <v>1387</v>
      </c>
      <c r="AF155">
        <v>50000000</v>
      </c>
      <c r="AG155" t="s">
        <v>310</v>
      </c>
      <c r="AH155">
        <v>333.32</v>
      </c>
      <c r="AI155">
        <v>0</v>
      </c>
    </row>
    <row r="156" spans="1:35" x14ac:dyDescent="0.3">
      <c r="A156">
        <v>1597</v>
      </c>
      <c r="B156" t="s">
        <v>1295</v>
      </c>
      <c r="C156">
        <v>32</v>
      </c>
      <c r="D156" s="3">
        <v>45373.600000810184</v>
      </c>
      <c r="E156" t="s">
        <v>316</v>
      </c>
      <c r="F156" t="s">
        <v>317</v>
      </c>
      <c r="G156">
        <v>1</v>
      </c>
      <c r="H156" t="s">
        <v>310</v>
      </c>
      <c r="I156">
        <v>0</v>
      </c>
      <c r="J156">
        <v>0</v>
      </c>
      <c r="K156">
        <v>0</v>
      </c>
      <c r="L156" t="s">
        <v>310</v>
      </c>
      <c r="M156" t="s">
        <v>310</v>
      </c>
      <c r="N156">
        <v>0</v>
      </c>
      <c r="O156" t="s">
        <v>1393</v>
      </c>
      <c r="P156" t="s">
        <v>101</v>
      </c>
      <c r="Q156" t="s">
        <v>1400</v>
      </c>
      <c r="R156" t="s">
        <v>1405</v>
      </c>
      <c r="S156" t="s">
        <v>202</v>
      </c>
      <c r="T156" t="s">
        <v>1409</v>
      </c>
      <c r="U156">
        <v>0</v>
      </c>
      <c r="V156">
        <v>0</v>
      </c>
      <c r="W156">
        <v>2.9993422999999999</v>
      </c>
      <c r="X156">
        <v>32.222245100000002</v>
      </c>
      <c r="Y156">
        <v>18.896991699999997</v>
      </c>
      <c r="Z156">
        <v>62.743969499999999</v>
      </c>
      <c r="AA156">
        <v>0</v>
      </c>
      <c r="AB156">
        <v>0</v>
      </c>
      <c r="AC156" t="s">
        <v>174</v>
      </c>
      <c r="AD156">
        <v>9</v>
      </c>
      <c r="AE156" t="s">
        <v>1394</v>
      </c>
      <c r="AF156">
        <v>110000000</v>
      </c>
      <c r="AG156" t="s">
        <v>310</v>
      </c>
      <c r="AH156">
        <v>6300.32</v>
      </c>
      <c r="AI156">
        <v>0</v>
      </c>
    </row>
    <row r="157" spans="1:35" x14ac:dyDescent="0.3">
      <c r="A157">
        <v>1598</v>
      </c>
      <c r="B157" t="s">
        <v>1288</v>
      </c>
      <c r="C157">
        <v>32</v>
      </c>
      <c r="D157" s="3">
        <v>45373.600000925922</v>
      </c>
      <c r="E157" t="s">
        <v>316</v>
      </c>
      <c r="F157" t="s">
        <v>317</v>
      </c>
      <c r="G157">
        <v>1</v>
      </c>
      <c r="H157" t="s">
        <v>310</v>
      </c>
      <c r="I157">
        <v>0</v>
      </c>
      <c r="J157">
        <v>0</v>
      </c>
      <c r="K157">
        <v>0</v>
      </c>
      <c r="L157" t="s">
        <v>310</v>
      </c>
      <c r="M157" t="s">
        <v>310</v>
      </c>
      <c r="N157">
        <v>0</v>
      </c>
      <c r="O157" t="s">
        <v>1389</v>
      </c>
      <c r="P157" t="s">
        <v>1401</v>
      </c>
      <c r="Q157" t="s">
        <v>1399</v>
      </c>
      <c r="R157" t="s">
        <v>1405</v>
      </c>
      <c r="S157" t="s">
        <v>202</v>
      </c>
      <c r="T157" t="s">
        <v>1406</v>
      </c>
      <c r="U157">
        <v>0</v>
      </c>
      <c r="V157">
        <v>0</v>
      </c>
      <c r="W157">
        <v>11.739989399999999</v>
      </c>
      <c r="X157">
        <v>27.645032399999998</v>
      </c>
      <c r="Y157">
        <v>19.1312949</v>
      </c>
      <c r="Z157">
        <v>70.838421099999991</v>
      </c>
      <c r="AA157">
        <v>0</v>
      </c>
      <c r="AB157">
        <v>1</v>
      </c>
      <c r="AC157" t="s">
        <v>174</v>
      </c>
      <c r="AD157">
        <v>0</v>
      </c>
      <c r="AE157" t="s">
        <v>1388</v>
      </c>
      <c r="AF157">
        <v>50000000</v>
      </c>
      <c r="AG157" t="s">
        <v>310</v>
      </c>
      <c r="AH157">
        <v>3181.32</v>
      </c>
      <c r="AI157">
        <v>0</v>
      </c>
    </row>
    <row r="158" spans="1:35" x14ac:dyDescent="0.3">
      <c r="A158">
        <v>1599</v>
      </c>
      <c r="B158" t="s">
        <v>1302</v>
      </c>
      <c r="C158">
        <v>32</v>
      </c>
      <c r="D158" s="3">
        <v>45373.600001006947</v>
      </c>
      <c r="E158" t="s">
        <v>316</v>
      </c>
      <c r="F158" t="s">
        <v>317</v>
      </c>
      <c r="G158">
        <v>1</v>
      </c>
      <c r="H158" t="s">
        <v>310</v>
      </c>
      <c r="I158">
        <v>0</v>
      </c>
      <c r="J158">
        <v>0</v>
      </c>
      <c r="K158">
        <v>0</v>
      </c>
      <c r="L158" t="s">
        <v>310</v>
      </c>
      <c r="M158" t="s">
        <v>310</v>
      </c>
      <c r="N158">
        <v>0</v>
      </c>
      <c r="O158" t="s">
        <v>1395</v>
      </c>
      <c r="P158" t="s">
        <v>320</v>
      </c>
      <c r="Q158" t="s">
        <v>1400</v>
      </c>
      <c r="R158" t="s">
        <v>321</v>
      </c>
      <c r="S158" t="s">
        <v>1411</v>
      </c>
      <c r="T158" t="s">
        <v>105</v>
      </c>
      <c r="U158">
        <v>9</v>
      </c>
      <c r="V158">
        <v>9</v>
      </c>
      <c r="W158">
        <v>0</v>
      </c>
      <c r="X158">
        <v>69.455333600000003</v>
      </c>
      <c r="Y158">
        <v>11.1351985</v>
      </c>
      <c r="Z158">
        <v>52.412488199999999</v>
      </c>
      <c r="AA158">
        <v>2</v>
      </c>
      <c r="AB158">
        <v>0</v>
      </c>
      <c r="AC158" t="s">
        <v>174</v>
      </c>
      <c r="AD158">
        <v>9</v>
      </c>
      <c r="AE158" t="s">
        <v>1396</v>
      </c>
      <c r="AF158">
        <v>20000000</v>
      </c>
      <c r="AG158" t="s">
        <v>310</v>
      </c>
      <c r="AH158">
        <v>2095.3200000000002</v>
      </c>
      <c r="AI158">
        <v>0</v>
      </c>
    </row>
    <row r="159" spans="1:35" x14ac:dyDescent="0.3">
      <c r="A159">
        <v>1651</v>
      </c>
      <c r="B159" t="s">
        <v>1300</v>
      </c>
      <c r="C159">
        <v>33</v>
      </c>
      <c r="D159" s="3">
        <v>45373.606968784719</v>
      </c>
      <c r="E159" t="s">
        <v>316</v>
      </c>
      <c r="F159" t="s">
        <v>317</v>
      </c>
      <c r="G159">
        <v>1</v>
      </c>
      <c r="H159" t="s">
        <v>310</v>
      </c>
      <c r="I159">
        <v>0</v>
      </c>
      <c r="J159">
        <v>0</v>
      </c>
      <c r="K159">
        <v>0</v>
      </c>
      <c r="L159" t="s">
        <v>310</v>
      </c>
      <c r="M159" t="s">
        <v>310</v>
      </c>
      <c r="N159">
        <v>0</v>
      </c>
      <c r="O159" t="s">
        <v>311</v>
      </c>
      <c r="P159" t="s">
        <v>101</v>
      </c>
      <c r="Q159" t="s">
        <v>1400</v>
      </c>
      <c r="R159" t="s">
        <v>1405</v>
      </c>
      <c r="S159" t="s">
        <v>202</v>
      </c>
      <c r="T159" t="s">
        <v>1407</v>
      </c>
      <c r="U159">
        <v>0</v>
      </c>
      <c r="V159">
        <v>0</v>
      </c>
      <c r="W159">
        <v>7.9654029999999993</v>
      </c>
      <c r="X159">
        <v>25.744411199999998</v>
      </c>
      <c r="Y159">
        <v>11.448741499999999</v>
      </c>
      <c r="Z159">
        <v>87.1401374</v>
      </c>
      <c r="AA159">
        <v>0</v>
      </c>
      <c r="AB159">
        <v>0</v>
      </c>
      <c r="AC159" t="s">
        <v>174</v>
      </c>
      <c r="AD159">
        <v>9</v>
      </c>
      <c r="AE159" t="s">
        <v>1392</v>
      </c>
      <c r="AF159">
        <v>130000000</v>
      </c>
      <c r="AG159" t="s">
        <v>310</v>
      </c>
      <c r="AH159">
        <v>3044.33</v>
      </c>
      <c r="AI159">
        <v>0</v>
      </c>
    </row>
    <row r="160" spans="1:35" x14ac:dyDescent="0.3">
      <c r="A160">
        <v>1652</v>
      </c>
      <c r="B160" t="s">
        <v>1289</v>
      </c>
      <c r="C160">
        <v>33</v>
      </c>
      <c r="D160" s="3">
        <v>45373.606969016204</v>
      </c>
      <c r="E160" t="s">
        <v>316</v>
      </c>
      <c r="F160" t="s">
        <v>317</v>
      </c>
      <c r="G160">
        <v>1</v>
      </c>
      <c r="H160" t="s">
        <v>310</v>
      </c>
      <c r="I160">
        <v>0</v>
      </c>
      <c r="J160">
        <v>0</v>
      </c>
      <c r="K160">
        <v>0</v>
      </c>
      <c r="L160" t="s">
        <v>310</v>
      </c>
      <c r="M160" t="s">
        <v>310</v>
      </c>
      <c r="N160">
        <v>0</v>
      </c>
      <c r="O160" t="s">
        <v>1391</v>
      </c>
      <c r="P160" t="s">
        <v>320</v>
      </c>
      <c r="Q160" t="s">
        <v>1400</v>
      </c>
      <c r="R160" t="s">
        <v>1404</v>
      </c>
      <c r="S160" t="s">
        <v>1411</v>
      </c>
      <c r="T160" t="s">
        <v>105</v>
      </c>
      <c r="U160">
        <v>9</v>
      </c>
      <c r="V160">
        <v>9</v>
      </c>
      <c r="W160">
        <v>0</v>
      </c>
      <c r="X160">
        <v>60.982821799999996</v>
      </c>
      <c r="Y160">
        <v>40.347897599999996</v>
      </c>
      <c r="Z160">
        <v>32.716366100000002</v>
      </c>
      <c r="AA160">
        <v>2</v>
      </c>
      <c r="AB160">
        <v>0</v>
      </c>
      <c r="AC160" t="s">
        <v>167</v>
      </c>
      <c r="AD160">
        <v>9</v>
      </c>
      <c r="AE160" t="s">
        <v>1390</v>
      </c>
      <c r="AF160">
        <v>0</v>
      </c>
      <c r="AG160" t="s">
        <v>310</v>
      </c>
      <c r="AH160">
        <v>6648.33</v>
      </c>
      <c r="AI160">
        <v>0</v>
      </c>
    </row>
    <row r="161" spans="1:35" x14ac:dyDescent="0.3">
      <c r="A161">
        <v>1653</v>
      </c>
      <c r="B161" t="s">
        <v>1284</v>
      </c>
      <c r="C161">
        <v>33</v>
      </c>
      <c r="D161" s="3">
        <v>45373.60696917824</v>
      </c>
      <c r="E161" t="s">
        <v>316</v>
      </c>
      <c r="F161" t="s">
        <v>317</v>
      </c>
      <c r="G161">
        <v>1</v>
      </c>
      <c r="H161" t="s">
        <v>310</v>
      </c>
      <c r="I161">
        <v>0</v>
      </c>
      <c r="J161">
        <v>0</v>
      </c>
      <c r="K161">
        <v>0</v>
      </c>
      <c r="L161" t="s">
        <v>310</v>
      </c>
      <c r="M161" t="s">
        <v>310</v>
      </c>
      <c r="N161">
        <v>0</v>
      </c>
      <c r="O161" t="s">
        <v>319</v>
      </c>
      <c r="P161" t="s">
        <v>1401</v>
      </c>
      <c r="Q161" t="s">
        <v>1399</v>
      </c>
      <c r="R161" t="s">
        <v>1404</v>
      </c>
      <c r="S161" t="s">
        <v>1411</v>
      </c>
      <c r="T161" t="s">
        <v>105</v>
      </c>
      <c r="U161">
        <v>9</v>
      </c>
      <c r="V161">
        <v>9</v>
      </c>
      <c r="W161">
        <v>0</v>
      </c>
      <c r="X161">
        <v>35.589537799999995</v>
      </c>
      <c r="Y161">
        <v>30.097283399999998</v>
      </c>
      <c r="Z161">
        <v>69.497243999999995</v>
      </c>
      <c r="AA161">
        <v>0</v>
      </c>
      <c r="AB161">
        <v>1</v>
      </c>
      <c r="AC161" t="s">
        <v>174</v>
      </c>
      <c r="AD161">
        <v>0</v>
      </c>
      <c r="AE161" t="s">
        <v>1387</v>
      </c>
      <c r="AF161">
        <v>60000000</v>
      </c>
      <c r="AG161" t="s">
        <v>310</v>
      </c>
      <c r="AH161">
        <v>5590.33</v>
      </c>
      <c r="AI161">
        <v>0</v>
      </c>
    </row>
    <row r="162" spans="1:35" x14ac:dyDescent="0.3">
      <c r="A162">
        <v>1654</v>
      </c>
      <c r="B162" t="s">
        <v>373</v>
      </c>
      <c r="C162">
        <v>33</v>
      </c>
      <c r="D162" s="3">
        <v>45373.606969363427</v>
      </c>
      <c r="E162" t="s">
        <v>316</v>
      </c>
      <c r="F162" t="s">
        <v>317</v>
      </c>
      <c r="G162">
        <v>0</v>
      </c>
      <c r="H162" t="s">
        <v>310</v>
      </c>
      <c r="I162">
        <v>0</v>
      </c>
      <c r="J162">
        <v>0</v>
      </c>
      <c r="K162">
        <v>0</v>
      </c>
      <c r="L162" t="s">
        <v>310</v>
      </c>
      <c r="M162" t="s">
        <v>310</v>
      </c>
      <c r="N162">
        <v>0</v>
      </c>
      <c r="O162" t="s">
        <v>1393</v>
      </c>
      <c r="P162" t="s">
        <v>1401</v>
      </c>
      <c r="Q162" t="s">
        <v>1399</v>
      </c>
      <c r="R162" t="s">
        <v>1404</v>
      </c>
      <c r="S162" t="s">
        <v>322</v>
      </c>
      <c r="T162" t="s">
        <v>105</v>
      </c>
      <c r="U162">
        <v>9</v>
      </c>
      <c r="V162">
        <v>9</v>
      </c>
      <c r="W162">
        <v>31.986016099999997</v>
      </c>
      <c r="X162">
        <v>20.204751899999998</v>
      </c>
      <c r="Y162">
        <v>22.440284500000001</v>
      </c>
      <c r="Z162">
        <v>62.415406399999995</v>
      </c>
      <c r="AA162">
        <v>0</v>
      </c>
      <c r="AB162">
        <v>0</v>
      </c>
      <c r="AC162" t="s">
        <v>167</v>
      </c>
      <c r="AD162">
        <v>0</v>
      </c>
      <c r="AE162" t="s">
        <v>1394</v>
      </c>
      <c r="AF162">
        <v>0</v>
      </c>
      <c r="AG162" t="s">
        <v>310</v>
      </c>
      <c r="AH162">
        <v>7718.33</v>
      </c>
      <c r="AI162">
        <v>0</v>
      </c>
    </row>
    <row r="163" spans="1:35" x14ac:dyDescent="0.3">
      <c r="A163">
        <v>1655</v>
      </c>
      <c r="B163" t="s">
        <v>1278</v>
      </c>
      <c r="C163">
        <v>33</v>
      </c>
      <c r="D163" s="3">
        <v>45373.606969525463</v>
      </c>
      <c r="E163" t="s">
        <v>316</v>
      </c>
      <c r="F163" t="s">
        <v>317</v>
      </c>
      <c r="G163">
        <v>1</v>
      </c>
      <c r="H163" t="s">
        <v>310</v>
      </c>
      <c r="I163">
        <v>0</v>
      </c>
      <c r="J163">
        <v>0</v>
      </c>
      <c r="K163">
        <v>0</v>
      </c>
      <c r="L163" t="s">
        <v>310</v>
      </c>
      <c r="M163" t="s">
        <v>310</v>
      </c>
      <c r="N163">
        <v>0</v>
      </c>
      <c r="O163" t="s">
        <v>1389</v>
      </c>
      <c r="P163" t="s">
        <v>240</v>
      </c>
      <c r="Q163" t="s">
        <v>1400</v>
      </c>
      <c r="R163" t="s">
        <v>1404</v>
      </c>
      <c r="S163" t="s">
        <v>322</v>
      </c>
      <c r="T163" t="s">
        <v>105</v>
      </c>
      <c r="U163">
        <v>9</v>
      </c>
      <c r="V163">
        <v>9</v>
      </c>
      <c r="W163">
        <v>4.1287130999999997</v>
      </c>
      <c r="X163">
        <v>0</v>
      </c>
      <c r="Y163">
        <v>37.212438800000001</v>
      </c>
      <c r="Z163">
        <v>91.324595699999989</v>
      </c>
      <c r="AA163">
        <v>2</v>
      </c>
      <c r="AB163">
        <v>0</v>
      </c>
      <c r="AC163" t="s">
        <v>170</v>
      </c>
      <c r="AD163">
        <v>9</v>
      </c>
      <c r="AE163" t="s">
        <v>1388</v>
      </c>
      <c r="AF163">
        <v>40000000</v>
      </c>
      <c r="AG163" t="s">
        <v>310</v>
      </c>
      <c r="AH163">
        <v>3951.33</v>
      </c>
      <c r="AI163">
        <v>0</v>
      </c>
    </row>
    <row r="164" spans="1:35" x14ac:dyDescent="0.3">
      <c r="A164">
        <v>1656</v>
      </c>
      <c r="B164" t="s">
        <v>1310</v>
      </c>
      <c r="C164">
        <v>33</v>
      </c>
      <c r="D164" s="3">
        <v>45373.60696971065</v>
      </c>
      <c r="E164" t="s">
        <v>316</v>
      </c>
      <c r="F164" t="s">
        <v>317</v>
      </c>
      <c r="G164">
        <v>1</v>
      </c>
      <c r="H164" t="s">
        <v>310</v>
      </c>
      <c r="I164">
        <v>0</v>
      </c>
      <c r="J164">
        <v>0</v>
      </c>
      <c r="K164">
        <v>0</v>
      </c>
      <c r="L164" t="s">
        <v>310</v>
      </c>
      <c r="M164" t="s">
        <v>310</v>
      </c>
      <c r="N164">
        <v>0</v>
      </c>
      <c r="O164" t="s">
        <v>1395</v>
      </c>
      <c r="P164" t="s">
        <v>101</v>
      </c>
      <c r="Q164" t="s">
        <v>1400</v>
      </c>
      <c r="R164" t="s">
        <v>1405</v>
      </c>
      <c r="S164" t="s">
        <v>202</v>
      </c>
      <c r="T164" t="s">
        <v>1409</v>
      </c>
      <c r="U164">
        <v>0</v>
      </c>
      <c r="V164">
        <v>0</v>
      </c>
      <c r="W164">
        <v>1.1312046</v>
      </c>
      <c r="X164">
        <v>20.346346499999999</v>
      </c>
      <c r="Y164">
        <v>35.147652799999996</v>
      </c>
      <c r="Z164">
        <v>73.886321999999993</v>
      </c>
      <c r="AA164">
        <v>1</v>
      </c>
      <c r="AB164">
        <v>0</v>
      </c>
      <c r="AC164" t="s">
        <v>174</v>
      </c>
      <c r="AD164">
        <v>9</v>
      </c>
      <c r="AE164" t="s">
        <v>1396</v>
      </c>
      <c r="AF164">
        <v>70000000</v>
      </c>
      <c r="AG164" t="s">
        <v>310</v>
      </c>
      <c r="AH164">
        <v>6621.33</v>
      </c>
      <c r="AI164">
        <v>0</v>
      </c>
    </row>
    <row r="165" spans="1:35" x14ac:dyDescent="0.3">
      <c r="A165">
        <v>1698</v>
      </c>
      <c r="B165" t="s">
        <v>1314</v>
      </c>
      <c r="C165">
        <v>34</v>
      </c>
      <c r="D165" s="3">
        <v>45373.61186863426</v>
      </c>
      <c r="E165" t="s">
        <v>316</v>
      </c>
      <c r="F165" t="s">
        <v>317</v>
      </c>
      <c r="G165">
        <v>1</v>
      </c>
      <c r="H165" t="s">
        <v>310</v>
      </c>
      <c r="I165">
        <v>0</v>
      </c>
      <c r="J165">
        <v>0</v>
      </c>
      <c r="K165">
        <v>0</v>
      </c>
      <c r="L165" t="s">
        <v>310</v>
      </c>
      <c r="M165" t="s">
        <v>310</v>
      </c>
      <c r="N165">
        <v>0</v>
      </c>
      <c r="O165" t="s">
        <v>311</v>
      </c>
      <c r="P165" t="s">
        <v>1401</v>
      </c>
      <c r="Q165" t="s">
        <v>1400</v>
      </c>
      <c r="R165" t="s">
        <v>321</v>
      </c>
      <c r="S165" t="s">
        <v>1411</v>
      </c>
      <c r="T165" t="s">
        <v>105</v>
      </c>
      <c r="U165">
        <v>9</v>
      </c>
      <c r="V165">
        <v>9</v>
      </c>
      <c r="W165">
        <v>0</v>
      </c>
      <c r="X165">
        <v>7.4042538999999996</v>
      </c>
      <c r="Y165">
        <v>9.900751099999999</v>
      </c>
      <c r="Z165">
        <v>117.6475523</v>
      </c>
      <c r="AA165">
        <v>0</v>
      </c>
      <c r="AB165">
        <v>0</v>
      </c>
      <c r="AC165" t="s">
        <v>173</v>
      </c>
      <c r="AD165">
        <v>9</v>
      </c>
      <c r="AE165" t="s">
        <v>1392</v>
      </c>
      <c r="AF165">
        <v>100000000</v>
      </c>
      <c r="AG165" t="s">
        <v>310</v>
      </c>
      <c r="AH165">
        <v>3419.34</v>
      </c>
      <c r="AI165">
        <v>0</v>
      </c>
    </row>
    <row r="166" spans="1:35" x14ac:dyDescent="0.3">
      <c r="A166">
        <v>1699</v>
      </c>
      <c r="B166" t="s">
        <v>1292</v>
      </c>
      <c r="C166">
        <v>34</v>
      </c>
      <c r="D166" s="3">
        <v>45373.611868981483</v>
      </c>
      <c r="E166" t="s">
        <v>316</v>
      </c>
      <c r="F166" t="s">
        <v>317</v>
      </c>
      <c r="G166">
        <v>0</v>
      </c>
      <c r="H166" t="s">
        <v>310</v>
      </c>
      <c r="I166">
        <v>0</v>
      </c>
      <c r="J166">
        <v>0</v>
      </c>
      <c r="K166">
        <v>0</v>
      </c>
      <c r="L166" t="s">
        <v>310</v>
      </c>
      <c r="M166" t="s">
        <v>310</v>
      </c>
      <c r="N166">
        <v>0</v>
      </c>
      <c r="O166" t="s">
        <v>1391</v>
      </c>
      <c r="P166" t="s">
        <v>101</v>
      </c>
      <c r="Q166" t="s">
        <v>1400</v>
      </c>
      <c r="R166" t="s">
        <v>1404</v>
      </c>
      <c r="S166" t="s">
        <v>1411</v>
      </c>
      <c r="T166" t="s">
        <v>105</v>
      </c>
      <c r="U166">
        <v>9</v>
      </c>
      <c r="V166">
        <v>9</v>
      </c>
      <c r="W166">
        <v>0</v>
      </c>
      <c r="X166">
        <v>0</v>
      </c>
      <c r="Y166">
        <v>56.803789399999999</v>
      </c>
      <c r="Z166">
        <v>80.767469599999998</v>
      </c>
      <c r="AA166">
        <v>2</v>
      </c>
      <c r="AB166">
        <v>0</v>
      </c>
      <c r="AC166" t="s">
        <v>1408</v>
      </c>
      <c r="AD166">
        <v>9</v>
      </c>
      <c r="AE166" t="s">
        <v>1390</v>
      </c>
      <c r="AF166">
        <v>0</v>
      </c>
      <c r="AG166" t="s">
        <v>310</v>
      </c>
      <c r="AH166">
        <v>7030.34</v>
      </c>
      <c r="AI166">
        <v>0</v>
      </c>
    </row>
    <row r="167" spans="1:35" x14ac:dyDescent="0.3">
      <c r="A167">
        <v>1700</v>
      </c>
      <c r="B167" t="s">
        <v>1276</v>
      </c>
      <c r="C167">
        <v>34</v>
      </c>
      <c r="D167" s="3">
        <v>45373.611869178239</v>
      </c>
      <c r="E167" t="s">
        <v>316</v>
      </c>
      <c r="F167" t="s">
        <v>317</v>
      </c>
      <c r="G167">
        <v>1</v>
      </c>
      <c r="H167" t="s">
        <v>310</v>
      </c>
      <c r="I167">
        <v>0</v>
      </c>
      <c r="J167">
        <v>0</v>
      </c>
      <c r="K167">
        <v>0</v>
      </c>
      <c r="L167" t="s">
        <v>310</v>
      </c>
      <c r="M167" t="s">
        <v>310</v>
      </c>
      <c r="N167">
        <v>0</v>
      </c>
      <c r="O167" t="s">
        <v>319</v>
      </c>
      <c r="P167" t="s">
        <v>320</v>
      </c>
      <c r="Q167" t="s">
        <v>1399</v>
      </c>
      <c r="R167" t="s">
        <v>1404</v>
      </c>
      <c r="S167" t="s">
        <v>1411</v>
      </c>
      <c r="T167" t="s">
        <v>105</v>
      </c>
      <c r="U167">
        <v>9</v>
      </c>
      <c r="V167">
        <v>9</v>
      </c>
      <c r="W167">
        <v>0</v>
      </c>
      <c r="X167">
        <v>28.737153499999998</v>
      </c>
      <c r="Y167">
        <v>94.723269899999991</v>
      </c>
      <c r="Z167">
        <v>11.679309399999999</v>
      </c>
      <c r="AA167">
        <v>3</v>
      </c>
      <c r="AB167">
        <v>0</v>
      </c>
      <c r="AC167" t="s">
        <v>170</v>
      </c>
      <c r="AD167">
        <v>0</v>
      </c>
      <c r="AE167" t="s">
        <v>1387</v>
      </c>
      <c r="AF167">
        <v>0</v>
      </c>
      <c r="AG167" t="s">
        <v>310</v>
      </c>
      <c r="AH167">
        <v>229.34</v>
      </c>
      <c r="AI167">
        <v>0</v>
      </c>
    </row>
    <row r="168" spans="1:35" x14ac:dyDescent="0.3">
      <c r="A168">
        <v>1701</v>
      </c>
      <c r="B168" t="s">
        <v>1312</v>
      </c>
      <c r="C168">
        <v>34</v>
      </c>
      <c r="D168" s="3">
        <v>45373.611869293978</v>
      </c>
      <c r="E168" t="s">
        <v>316</v>
      </c>
      <c r="F168" t="s">
        <v>317</v>
      </c>
      <c r="G168">
        <v>1</v>
      </c>
      <c r="H168" t="s">
        <v>310</v>
      </c>
      <c r="I168">
        <v>0</v>
      </c>
      <c r="J168">
        <v>0</v>
      </c>
      <c r="K168">
        <v>0</v>
      </c>
      <c r="L168" t="s">
        <v>310</v>
      </c>
      <c r="M168" t="s">
        <v>310</v>
      </c>
      <c r="N168">
        <v>0</v>
      </c>
      <c r="O168" t="s">
        <v>1393</v>
      </c>
      <c r="P168" t="s">
        <v>240</v>
      </c>
      <c r="Q168" t="s">
        <v>1399</v>
      </c>
      <c r="R168" t="s">
        <v>1404</v>
      </c>
      <c r="S168" t="s">
        <v>322</v>
      </c>
      <c r="T168" t="s">
        <v>105</v>
      </c>
      <c r="U168">
        <v>9</v>
      </c>
      <c r="V168">
        <v>9</v>
      </c>
      <c r="W168">
        <v>0.37608059999999999</v>
      </c>
      <c r="X168">
        <v>30.750961</v>
      </c>
      <c r="Y168">
        <v>27.075415</v>
      </c>
      <c r="Z168">
        <v>77.059992999999992</v>
      </c>
      <c r="AA168">
        <v>0</v>
      </c>
      <c r="AB168">
        <v>0</v>
      </c>
      <c r="AC168" t="s">
        <v>174</v>
      </c>
      <c r="AD168">
        <v>0</v>
      </c>
      <c r="AE168" t="s">
        <v>1394</v>
      </c>
      <c r="AF168">
        <v>70000000</v>
      </c>
      <c r="AG168" t="s">
        <v>310</v>
      </c>
      <c r="AH168">
        <v>2053.34</v>
      </c>
      <c r="AI168">
        <v>0</v>
      </c>
    </row>
    <row r="169" spans="1:35" x14ac:dyDescent="0.3">
      <c r="A169">
        <v>1702</v>
      </c>
      <c r="B169" t="s">
        <v>1301</v>
      </c>
      <c r="C169">
        <v>34</v>
      </c>
      <c r="D169" s="3">
        <v>45373.611869363427</v>
      </c>
      <c r="E169" t="s">
        <v>316</v>
      </c>
      <c r="F169" t="s">
        <v>317</v>
      </c>
      <c r="G169">
        <v>0</v>
      </c>
      <c r="H169" t="s">
        <v>310</v>
      </c>
      <c r="I169">
        <v>0</v>
      </c>
      <c r="J169">
        <v>0</v>
      </c>
      <c r="K169">
        <v>0</v>
      </c>
      <c r="L169" t="s">
        <v>310</v>
      </c>
      <c r="M169" t="s">
        <v>310</v>
      </c>
      <c r="N169">
        <v>0</v>
      </c>
      <c r="O169" t="s">
        <v>1389</v>
      </c>
      <c r="P169" t="s">
        <v>1401</v>
      </c>
      <c r="Q169" t="s">
        <v>1400</v>
      </c>
      <c r="R169" t="s">
        <v>1404</v>
      </c>
      <c r="S169" t="s">
        <v>1411</v>
      </c>
      <c r="T169" t="s">
        <v>105</v>
      </c>
      <c r="U169">
        <v>9</v>
      </c>
      <c r="V169">
        <v>9</v>
      </c>
      <c r="W169">
        <v>0</v>
      </c>
      <c r="X169">
        <v>0</v>
      </c>
      <c r="Y169">
        <v>36.5201128</v>
      </c>
      <c r="Z169">
        <v>93.245114999999998</v>
      </c>
      <c r="AA169">
        <v>0</v>
      </c>
      <c r="AB169">
        <v>0</v>
      </c>
      <c r="AC169" t="s">
        <v>167</v>
      </c>
      <c r="AD169">
        <v>9</v>
      </c>
      <c r="AE169" t="s">
        <v>1388</v>
      </c>
      <c r="AF169">
        <v>0</v>
      </c>
      <c r="AG169" t="s">
        <v>310</v>
      </c>
      <c r="AH169">
        <v>7031.34</v>
      </c>
      <c r="AI169">
        <v>0</v>
      </c>
    </row>
    <row r="170" spans="1:35" x14ac:dyDescent="0.3">
      <c r="A170">
        <v>1703</v>
      </c>
      <c r="B170" t="s">
        <v>1285</v>
      </c>
      <c r="C170">
        <v>34</v>
      </c>
      <c r="D170" s="3">
        <v>45373.611869479166</v>
      </c>
      <c r="E170" t="s">
        <v>316</v>
      </c>
      <c r="F170" t="s">
        <v>317</v>
      </c>
      <c r="G170">
        <v>0</v>
      </c>
      <c r="H170" t="s">
        <v>310</v>
      </c>
      <c r="I170">
        <v>0</v>
      </c>
      <c r="J170">
        <v>0</v>
      </c>
      <c r="K170">
        <v>0</v>
      </c>
      <c r="L170" t="s">
        <v>310</v>
      </c>
      <c r="M170" t="s">
        <v>310</v>
      </c>
      <c r="N170">
        <v>0</v>
      </c>
      <c r="O170" t="s">
        <v>1395</v>
      </c>
      <c r="P170" t="s">
        <v>101</v>
      </c>
      <c r="Q170" t="s">
        <v>1400</v>
      </c>
      <c r="R170" t="s">
        <v>1405</v>
      </c>
      <c r="S170" t="s">
        <v>202</v>
      </c>
      <c r="T170" t="s">
        <v>1406</v>
      </c>
      <c r="U170">
        <v>0</v>
      </c>
      <c r="V170">
        <v>0</v>
      </c>
      <c r="W170">
        <v>3.8737578999999998</v>
      </c>
      <c r="X170">
        <v>2.8041318</v>
      </c>
      <c r="Y170">
        <v>39.3729345</v>
      </c>
      <c r="Z170">
        <v>73.986666900000003</v>
      </c>
      <c r="AA170">
        <v>0</v>
      </c>
      <c r="AB170">
        <v>0</v>
      </c>
      <c r="AC170" t="s">
        <v>174</v>
      </c>
      <c r="AD170">
        <v>9</v>
      </c>
      <c r="AE170" t="s">
        <v>1396</v>
      </c>
      <c r="AF170">
        <v>30000000</v>
      </c>
      <c r="AG170" t="s">
        <v>310</v>
      </c>
      <c r="AH170">
        <v>5993.34</v>
      </c>
      <c r="AI170">
        <v>0</v>
      </c>
    </row>
    <row r="171" spans="1:35" x14ac:dyDescent="0.3">
      <c r="A171">
        <v>1759</v>
      </c>
      <c r="B171" t="s">
        <v>318</v>
      </c>
      <c r="C171">
        <v>35</v>
      </c>
      <c r="D171" s="3">
        <v>45373.617419097223</v>
      </c>
      <c r="E171" t="s">
        <v>316</v>
      </c>
      <c r="F171" t="s">
        <v>317</v>
      </c>
      <c r="G171">
        <v>0</v>
      </c>
      <c r="H171" t="s">
        <v>310</v>
      </c>
      <c r="I171">
        <v>0</v>
      </c>
      <c r="J171">
        <v>0</v>
      </c>
      <c r="K171">
        <v>0</v>
      </c>
      <c r="L171" t="s">
        <v>310</v>
      </c>
      <c r="M171" t="s">
        <v>310</v>
      </c>
      <c r="N171">
        <v>0</v>
      </c>
      <c r="O171" t="s">
        <v>311</v>
      </c>
      <c r="P171" t="s">
        <v>1401</v>
      </c>
      <c r="Q171" t="s">
        <v>1399</v>
      </c>
      <c r="R171" t="s">
        <v>1405</v>
      </c>
      <c r="S171" t="s">
        <v>202</v>
      </c>
      <c r="T171" t="s">
        <v>1409</v>
      </c>
      <c r="U171">
        <v>0</v>
      </c>
      <c r="V171">
        <v>0</v>
      </c>
      <c r="W171">
        <v>13.2443645</v>
      </c>
      <c r="X171">
        <v>26.699034899999997</v>
      </c>
      <c r="Y171">
        <v>14.5197202</v>
      </c>
      <c r="Z171">
        <v>73.043987799999996</v>
      </c>
      <c r="AA171">
        <v>0</v>
      </c>
      <c r="AB171">
        <v>0</v>
      </c>
      <c r="AC171" t="s">
        <v>174</v>
      </c>
      <c r="AD171">
        <v>1</v>
      </c>
      <c r="AE171" t="s">
        <v>1392</v>
      </c>
      <c r="AF171">
        <v>80000000</v>
      </c>
      <c r="AG171" t="s">
        <v>310</v>
      </c>
      <c r="AH171">
        <v>639.35</v>
      </c>
      <c r="AI171">
        <v>0</v>
      </c>
    </row>
    <row r="172" spans="1:35" x14ac:dyDescent="0.3">
      <c r="A172">
        <v>1760</v>
      </c>
      <c r="B172" t="s">
        <v>1317</v>
      </c>
      <c r="C172">
        <v>35</v>
      </c>
      <c r="D172" s="3">
        <v>45373.617419212962</v>
      </c>
      <c r="E172" t="s">
        <v>316</v>
      </c>
      <c r="F172" t="s">
        <v>317</v>
      </c>
      <c r="G172">
        <v>0</v>
      </c>
      <c r="H172" t="s">
        <v>310</v>
      </c>
      <c r="I172">
        <v>0</v>
      </c>
      <c r="J172">
        <v>0</v>
      </c>
      <c r="K172">
        <v>0</v>
      </c>
      <c r="L172" t="s">
        <v>310</v>
      </c>
      <c r="M172" t="s">
        <v>310</v>
      </c>
      <c r="N172">
        <v>0</v>
      </c>
      <c r="O172" t="s">
        <v>1391</v>
      </c>
      <c r="P172" t="s">
        <v>240</v>
      </c>
      <c r="Q172" t="s">
        <v>1400</v>
      </c>
      <c r="R172" t="s">
        <v>1405</v>
      </c>
      <c r="S172" t="s">
        <v>202</v>
      </c>
      <c r="T172" t="s">
        <v>1406</v>
      </c>
      <c r="U172">
        <v>0</v>
      </c>
      <c r="V172">
        <v>0</v>
      </c>
      <c r="W172">
        <v>2.5625066999999997</v>
      </c>
      <c r="X172">
        <v>27.6251769</v>
      </c>
      <c r="Y172">
        <v>60.419325799999996</v>
      </c>
      <c r="Z172">
        <v>50.150452999999999</v>
      </c>
      <c r="AA172">
        <v>0</v>
      </c>
      <c r="AB172">
        <v>0</v>
      </c>
      <c r="AC172" t="s">
        <v>173</v>
      </c>
      <c r="AD172">
        <v>9</v>
      </c>
      <c r="AE172" t="s">
        <v>1394</v>
      </c>
      <c r="AF172">
        <v>60000000</v>
      </c>
      <c r="AG172" t="s">
        <v>310</v>
      </c>
      <c r="AH172">
        <v>296.35000000000002</v>
      </c>
      <c r="AI172">
        <v>0</v>
      </c>
    </row>
    <row r="173" spans="1:35" x14ac:dyDescent="0.3">
      <c r="A173">
        <v>1761</v>
      </c>
      <c r="B173" t="s">
        <v>1297</v>
      </c>
      <c r="C173">
        <v>35</v>
      </c>
      <c r="D173" s="3">
        <v>45373.61741929398</v>
      </c>
      <c r="E173" t="s">
        <v>316</v>
      </c>
      <c r="F173" t="s">
        <v>317</v>
      </c>
      <c r="G173">
        <v>0</v>
      </c>
      <c r="H173" t="s">
        <v>310</v>
      </c>
      <c r="I173">
        <v>0</v>
      </c>
      <c r="J173">
        <v>0</v>
      </c>
      <c r="K173">
        <v>0</v>
      </c>
      <c r="L173" t="s">
        <v>310</v>
      </c>
      <c r="M173" t="s">
        <v>310</v>
      </c>
      <c r="N173">
        <v>0</v>
      </c>
      <c r="O173" t="s">
        <v>319</v>
      </c>
      <c r="P173" t="s">
        <v>101</v>
      </c>
      <c r="Q173" t="s">
        <v>1400</v>
      </c>
      <c r="R173" t="s">
        <v>1404</v>
      </c>
      <c r="S173" t="s">
        <v>1411</v>
      </c>
      <c r="T173" t="s">
        <v>105</v>
      </c>
      <c r="U173">
        <v>9</v>
      </c>
      <c r="V173">
        <v>9</v>
      </c>
      <c r="W173">
        <v>0</v>
      </c>
      <c r="X173">
        <v>55.033797399999997</v>
      </c>
      <c r="Y173">
        <v>16.056981799999999</v>
      </c>
      <c r="Z173">
        <v>64.048651599999999</v>
      </c>
      <c r="AA173">
        <v>0</v>
      </c>
      <c r="AB173">
        <v>0</v>
      </c>
      <c r="AC173" t="s">
        <v>174</v>
      </c>
      <c r="AD173">
        <v>9</v>
      </c>
      <c r="AE173" t="s">
        <v>1387</v>
      </c>
      <c r="AF173">
        <v>50000000</v>
      </c>
      <c r="AG173" t="s">
        <v>310</v>
      </c>
      <c r="AH173">
        <v>9750.35</v>
      </c>
      <c r="AI173">
        <v>0</v>
      </c>
    </row>
    <row r="174" spans="1:35" x14ac:dyDescent="0.3">
      <c r="A174">
        <v>1762</v>
      </c>
      <c r="B174" t="s">
        <v>1291</v>
      </c>
      <c r="C174">
        <v>35</v>
      </c>
      <c r="D174" s="3">
        <v>45373.617419409726</v>
      </c>
      <c r="E174" t="s">
        <v>316</v>
      </c>
      <c r="F174" t="s">
        <v>317</v>
      </c>
      <c r="G174">
        <v>0</v>
      </c>
      <c r="H174" t="s">
        <v>310</v>
      </c>
      <c r="I174">
        <v>0</v>
      </c>
      <c r="J174">
        <v>0</v>
      </c>
      <c r="K174">
        <v>0</v>
      </c>
      <c r="L174" t="s">
        <v>310</v>
      </c>
      <c r="M174" t="s">
        <v>310</v>
      </c>
      <c r="N174">
        <v>0</v>
      </c>
      <c r="O174" t="s">
        <v>1393</v>
      </c>
      <c r="P174" t="s">
        <v>240</v>
      </c>
      <c r="Q174" t="s">
        <v>1400</v>
      </c>
      <c r="R174" t="s">
        <v>1404</v>
      </c>
      <c r="S174" t="s">
        <v>1411</v>
      </c>
      <c r="T174" t="s">
        <v>105</v>
      </c>
      <c r="U174">
        <v>9</v>
      </c>
      <c r="V174">
        <v>9</v>
      </c>
      <c r="W174">
        <v>0</v>
      </c>
      <c r="X174">
        <v>26.6572259</v>
      </c>
      <c r="Y174">
        <v>58.401547199999996</v>
      </c>
      <c r="Z174">
        <v>51.458037699999998</v>
      </c>
      <c r="AA174">
        <v>0</v>
      </c>
      <c r="AB174">
        <v>0</v>
      </c>
      <c r="AC174" t="s">
        <v>174</v>
      </c>
      <c r="AD174">
        <v>9</v>
      </c>
      <c r="AE174" t="s">
        <v>1390</v>
      </c>
      <c r="AF174">
        <v>130000000</v>
      </c>
      <c r="AG174" t="s">
        <v>310</v>
      </c>
      <c r="AH174">
        <v>1493.35</v>
      </c>
      <c r="AI174">
        <v>0</v>
      </c>
    </row>
    <row r="175" spans="1:35" x14ac:dyDescent="0.3">
      <c r="A175">
        <v>1763</v>
      </c>
      <c r="B175" t="s">
        <v>1318</v>
      </c>
      <c r="C175">
        <v>35</v>
      </c>
      <c r="D175" s="3">
        <v>45373.617419525464</v>
      </c>
      <c r="E175" t="s">
        <v>316</v>
      </c>
      <c r="F175" t="s">
        <v>317</v>
      </c>
      <c r="G175">
        <v>1</v>
      </c>
      <c r="H175" t="s">
        <v>310</v>
      </c>
      <c r="I175">
        <v>0</v>
      </c>
      <c r="J175">
        <v>0</v>
      </c>
      <c r="K175">
        <v>0</v>
      </c>
      <c r="L175" t="s">
        <v>310</v>
      </c>
      <c r="M175" t="s">
        <v>310</v>
      </c>
      <c r="N175">
        <v>0</v>
      </c>
      <c r="O175" t="s">
        <v>1389</v>
      </c>
      <c r="P175" t="s">
        <v>1401</v>
      </c>
      <c r="Q175" t="s">
        <v>1400</v>
      </c>
      <c r="R175" t="s">
        <v>321</v>
      </c>
      <c r="S175" t="s">
        <v>1411</v>
      </c>
      <c r="T175" t="s">
        <v>105</v>
      </c>
      <c r="U175">
        <v>9</v>
      </c>
      <c r="V175">
        <v>9</v>
      </c>
      <c r="W175">
        <v>0</v>
      </c>
      <c r="X175">
        <v>29.412975099999997</v>
      </c>
      <c r="Y175">
        <v>19.053282199999998</v>
      </c>
      <c r="Z175">
        <v>87.35503349999999</v>
      </c>
      <c r="AA175">
        <v>0</v>
      </c>
      <c r="AB175">
        <v>0</v>
      </c>
      <c r="AC175" t="s">
        <v>174</v>
      </c>
      <c r="AD175">
        <v>9</v>
      </c>
      <c r="AE175" t="s">
        <v>1388</v>
      </c>
      <c r="AF175">
        <v>50000000</v>
      </c>
      <c r="AG175" t="s">
        <v>310</v>
      </c>
      <c r="AH175">
        <v>7709.35</v>
      </c>
      <c r="AI175">
        <v>0</v>
      </c>
    </row>
    <row r="176" spans="1:35" x14ac:dyDescent="0.3">
      <c r="A176">
        <v>1764</v>
      </c>
      <c r="B176" t="s">
        <v>1279</v>
      </c>
      <c r="C176">
        <v>35</v>
      </c>
      <c r="D176" s="3">
        <v>45373.617419641203</v>
      </c>
      <c r="E176" t="s">
        <v>316</v>
      </c>
      <c r="F176" t="s">
        <v>317</v>
      </c>
      <c r="G176">
        <v>0</v>
      </c>
      <c r="H176" t="s">
        <v>310</v>
      </c>
      <c r="I176">
        <v>0</v>
      </c>
      <c r="J176">
        <v>0</v>
      </c>
      <c r="K176">
        <v>0</v>
      </c>
      <c r="L176" t="s">
        <v>310</v>
      </c>
      <c r="M176" t="s">
        <v>310</v>
      </c>
      <c r="N176">
        <v>0</v>
      </c>
      <c r="O176" t="s">
        <v>1395</v>
      </c>
      <c r="P176" t="s">
        <v>320</v>
      </c>
      <c r="Q176" t="s">
        <v>1399</v>
      </c>
      <c r="R176" t="s">
        <v>321</v>
      </c>
      <c r="S176" t="s">
        <v>1411</v>
      </c>
      <c r="T176" t="s">
        <v>105</v>
      </c>
      <c r="U176">
        <v>9</v>
      </c>
      <c r="V176">
        <v>9</v>
      </c>
      <c r="W176">
        <v>0</v>
      </c>
      <c r="X176">
        <v>0</v>
      </c>
      <c r="Y176">
        <v>22.436211699999998</v>
      </c>
      <c r="Z176">
        <v>113.63313289999999</v>
      </c>
      <c r="AA176">
        <v>0</v>
      </c>
      <c r="AB176">
        <v>0</v>
      </c>
      <c r="AC176" t="s">
        <v>167</v>
      </c>
      <c r="AD176">
        <v>0</v>
      </c>
      <c r="AE176" t="s">
        <v>1396</v>
      </c>
      <c r="AF176">
        <v>0</v>
      </c>
      <c r="AG176" t="s">
        <v>310</v>
      </c>
      <c r="AH176">
        <v>5149.3500000000004</v>
      </c>
      <c r="AI176">
        <v>0</v>
      </c>
    </row>
    <row r="177" spans="1:35" x14ac:dyDescent="0.3">
      <c r="A177">
        <v>1825</v>
      </c>
      <c r="B177" t="s">
        <v>1311</v>
      </c>
      <c r="C177">
        <v>36</v>
      </c>
      <c r="D177" s="3">
        <v>45373.62357546296</v>
      </c>
      <c r="E177" t="s">
        <v>316</v>
      </c>
      <c r="F177" t="s">
        <v>317</v>
      </c>
      <c r="G177">
        <v>0</v>
      </c>
      <c r="H177" t="s">
        <v>310</v>
      </c>
      <c r="I177">
        <v>0</v>
      </c>
      <c r="J177">
        <v>0</v>
      </c>
      <c r="K177">
        <v>0</v>
      </c>
      <c r="L177" t="s">
        <v>310</v>
      </c>
      <c r="M177" t="s">
        <v>310</v>
      </c>
      <c r="N177">
        <v>0</v>
      </c>
      <c r="O177" t="s">
        <v>311</v>
      </c>
      <c r="P177" t="s">
        <v>101</v>
      </c>
      <c r="Q177" t="s">
        <v>1400</v>
      </c>
      <c r="R177" t="s">
        <v>1405</v>
      </c>
      <c r="S177" t="s">
        <v>202</v>
      </c>
      <c r="T177" t="s">
        <v>1407</v>
      </c>
      <c r="U177">
        <v>0</v>
      </c>
      <c r="V177">
        <v>0</v>
      </c>
      <c r="W177">
        <v>3.6213929</v>
      </c>
      <c r="X177">
        <v>42.156277500000002</v>
      </c>
      <c r="Y177">
        <v>44.684163499999997</v>
      </c>
      <c r="Z177">
        <v>24.228342399999999</v>
      </c>
      <c r="AA177">
        <v>0</v>
      </c>
      <c r="AB177">
        <v>0</v>
      </c>
      <c r="AC177" t="s">
        <v>174</v>
      </c>
      <c r="AD177">
        <v>9</v>
      </c>
      <c r="AE177" t="s">
        <v>1413</v>
      </c>
      <c r="AF177">
        <v>20000000</v>
      </c>
      <c r="AG177" t="s">
        <v>310</v>
      </c>
      <c r="AH177">
        <v>2234.36</v>
      </c>
      <c r="AI177">
        <v>0</v>
      </c>
    </row>
    <row r="178" spans="1:35" x14ac:dyDescent="0.3">
      <c r="A178">
        <v>1826</v>
      </c>
      <c r="B178" t="s">
        <v>362</v>
      </c>
      <c r="C178">
        <v>36</v>
      </c>
      <c r="D178" s="3">
        <v>45373.623575578706</v>
      </c>
      <c r="E178" t="s">
        <v>316</v>
      </c>
      <c r="F178" t="s">
        <v>317</v>
      </c>
      <c r="G178">
        <v>1</v>
      </c>
      <c r="H178" t="s">
        <v>310</v>
      </c>
      <c r="I178">
        <v>0</v>
      </c>
      <c r="J178">
        <v>0</v>
      </c>
      <c r="K178">
        <v>0</v>
      </c>
      <c r="L178" t="s">
        <v>310</v>
      </c>
      <c r="M178" t="s">
        <v>310</v>
      </c>
      <c r="N178">
        <v>0</v>
      </c>
      <c r="O178" t="s">
        <v>1391</v>
      </c>
      <c r="P178" t="s">
        <v>320</v>
      </c>
      <c r="Q178" t="s">
        <v>1399</v>
      </c>
      <c r="R178" t="s">
        <v>1404</v>
      </c>
      <c r="S178" t="s">
        <v>1411</v>
      </c>
      <c r="T178" t="s">
        <v>105</v>
      </c>
      <c r="U178">
        <v>9</v>
      </c>
      <c r="V178">
        <v>9</v>
      </c>
      <c r="W178">
        <v>0</v>
      </c>
      <c r="X178">
        <v>49.620507599999996</v>
      </c>
      <c r="Y178">
        <v>58.237331099999999</v>
      </c>
      <c r="Z178">
        <v>26.341645</v>
      </c>
      <c r="AA178">
        <v>3</v>
      </c>
      <c r="AB178">
        <v>0</v>
      </c>
      <c r="AC178" t="s">
        <v>170</v>
      </c>
      <c r="AD178">
        <v>1</v>
      </c>
      <c r="AE178" t="s">
        <v>1412</v>
      </c>
      <c r="AF178">
        <v>0</v>
      </c>
      <c r="AG178" t="s">
        <v>310</v>
      </c>
      <c r="AH178">
        <v>250.36</v>
      </c>
      <c r="AI178">
        <v>0</v>
      </c>
    </row>
    <row r="179" spans="1:35" x14ac:dyDescent="0.3">
      <c r="A179">
        <v>1827</v>
      </c>
      <c r="B179" t="s">
        <v>1298</v>
      </c>
      <c r="C179">
        <v>36</v>
      </c>
      <c r="D179" s="3">
        <v>45373.623575659723</v>
      </c>
      <c r="E179" t="s">
        <v>316</v>
      </c>
      <c r="F179" t="s">
        <v>317</v>
      </c>
      <c r="G179">
        <v>0</v>
      </c>
      <c r="H179" t="s">
        <v>310</v>
      </c>
      <c r="I179">
        <v>0</v>
      </c>
      <c r="J179">
        <v>0</v>
      </c>
      <c r="K179">
        <v>0</v>
      </c>
      <c r="L179" t="s">
        <v>310</v>
      </c>
      <c r="M179" t="s">
        <v>310</v>
      </c>
      <c r="N179">
        <v>0</v>
      </c>
      <c r="O179" t="s">
        <v>319</v>
      </c>
      <c r="P179" t="s">
        <v>240</v>
      </c>
      <c r="Q179" t="s">
        <v>1400</v>
      </c>
      <c r="R179" t="s">
        <v>1405</v>
      </c>
      <c r="S179" t="s">
        <v>202</v>
      </c>
      <c r="T179" t="s">
        <v>1406</v>
      </c>
      <c r="U179">
        <v>0</v>
      </c>
      <c r="V179">
        <v>1</v>
      </c>
      <c r="W179">
        <v>2.2386645999999999</v>
      </c>
      <c r="X179">
        <v>44.323532799999995</v>
      </c>
      <c r="Y179">
        <v>17.5193753</v>
      </c>
      <c r="Z179">
        <v>59.971850499999995</v>
      </c>
      <c r="AA179">
        <v>0</v>
      </c>
      <c r="AB179">
        <v>1</v>
      </c>
      <c r="AC179" t="s">
        <v>174</v>
      </c>
      <c r="AD179">
        <v>9</v>
      </c>
      <c r="AE179" t="s">
        <v>1414</v>
      </c>
      <c r="AF179">
        <v>70000000</v>
      </c>
      <c r="AG179" t="s">
        <v>310</v>
      </c>
      <c r="AH179">
        <v>9624.36</v>
      </c>
      <c r="AI179">
        <v>0</v>
      </c>
    </row>
    <row r="180" spans="1:35" x14ac:dyDescent="0.3">
      <c r="A180">
        <v>1828</v>
      </c>
      <c r="B180" t="s">
        <v>1290</v>
      </c>
      <c r="C180">
        <v>36</v>
      </c>
      <c r="D180" s="3">
        <v>45373.623575775462</v>
      </c>
      <c r="E180" t="s">
        <v>316</v>
      </c>
      <c r="F180" t="s">
        <v>317</v>
      </c>
      <c r="G180">
        <v>0</v>
      </c>
      <c r="H180" t="s">
        <v>310</v>
      </c>
      <c r="I180">
        <v>0</v>
      </c>
      <c r="J180">
        <v>0</v>
      </c>
      <c r="K180">
        <v>0</v>
      </c>
      <c r="L180" t="s">
        <v>310</v>
      </c>
      <c r="M180" t="s">
        <v>310</v>
      </c>
      <c r="N180">
        <v>0</v>
      </c>
      <c r="O180" t="s">
        <v>1393</v>
      </c>
      <c r="P180" t="s">
        <v>101</v>
      </c>
      <c r="Q180" t="s">
        <v>1400</v>
      </c>
      <c r="R180" t="s">
        <v>321</v>
      </c>
      <c r="S180" t="s">
        <v>1411</v>
      </c>
      <c r="T180" t="s">
        <v>105</v>
      </c>
      <c r="U180">
        <v>9</v>
      </c>
      <c r="V180">
        <v>9</v>
      </c>
      <c r="W180">
        <v>0</v>
      </c>
      <c r="X180">
        <v>20.3222402</v>
      </c>
      <c r="Y180">
        <v>4.2087393999999998</v>
      </c>
      <c r="Z180">
        <v>110.85109949999999</v>
      </c>
      <c r="AA180">
        <v>0</v>
      </c>
      <c r="AB180">
        <v>0</v>
      </c>
      <c r="AC180" t="s">
        <v>173</v>
      </c>
      <c r="AD180">
        <v>9</v>
      </c>
      <c r="AE180" t="s">
        <v>1390</v>
      </c>
      <c r="AF180">
        <v>70000000</v>
      </c>
      <c r="AG180" t="s">
        <v>310</v>
      </c>
      <c r="AH180">
        <v>5881.36</v>
      </c>
      <c r="AI180">
        <v>0</v>
      </c>
    </row>
    <row r="181" spans="1:35" x14ac:dyDescent="0.3">
      <c r="A181">
        <v>1829</v>
      </c>
      <c r="B181" t="s">
        <v>361</v>
      </c>
      <c r="C181">
        <v>36</v>
      </c>
      <c r="D181" s="3">
        <v>45373.623575891201</v>
      </c>
      <c r="E181" t="s">
        <v>316</v>
      </c>
      <c r="F181" t="s">
        <v>317</v>
      </c>
      <c r="G181">
        <v>1</v>
      </c>
      <c r="H181" t="s">
        <v>310</v>
      </c>
      <c r="I181">
        <v>0</v>
      </c>
      <c r="J181">
        <v>0</v>
      </c>
      <c r="K181">
        <v>0</v>
      </c>
      <c r="L181" t="s">
        <v>310</v>
      </c>
      <c r="M181" t="s">
        <v>310</v>
      </c>
      <c r="N181">
        <v>0</v>
      </c>
      <c r="O181" t="s">
        <v>1389</v>
      </c>
      <c r="P181" t="s">
        <v>240</v>
      </c>
      <c r="Q181" t="s">
        <v>1400</v>
      </c>
      <c r="R181" t="s">
        <v>321</v>
      </c>
      <c r="S181" t="s">
        <v>1411</v>
      </c>
      <c r="T181" t="s">
        <v>105</v>
      </c>
      <c r="U181">
        <v>9</v>
      </c>
      <c r="V181">
        <v>9</v>
      </c>
      <c r="W181">
        <v>0</v>
      </c>
      <c r="X181">
        <v>4.1325512999999994</v>
      </c>
      <c r="Y181">
        <v>23.084456400000001</v>
      </c>
      <c r="Z181">
        <v>109.0487284</v>
      </c>
      <c r="AA181">
        <v>0</v>
      </c>
      <c r="AB181">
        <v>1</v>
      </c>
      <c r="AC181" t="s">
        <v>174</v>
      </c>
      <c r="AD181">
        <v>9</v>
      </c>
      <c r="AE181" t="s">
        <v>1388</v>
      </c>
      <c r="AF181">
        <v>140000000</v>
      </c>
      <c r="AG181" t="s">
        <v>310</v>
      </c>
      <c r="AH181">
        <v>20.36</v>
      </c>
      <c r="AI181">
        <v>0</v>
      </c>
    </row>
    <row r="182" spans="1:35" x14ac:dyDescent="0.3">
      <c r="A182">
        <v>1830</v>
      </c>
      <c r="B182" t="s">
        <v>1275</v>
      </c>
      <c r="C182">
        <v>36</v>
      </c>
      <c r="D182" s="3">
        <v>45373.623576006947</v>
      </c>
      <c r="E182" t="s">
        <v>316</v>
      </c>
      <c r="F182" t="s">
        <v>317</v>
      </c>
      <c r="G182">
        <v>1</v>
      </c>
      <c r="H182" t="s">
        <v>310</v>
      </c>
      <c r="I182">
        <v>0</v>
      </c>
      <c r="J182">
        <v>0</v>
      </c>
      <c r="K182">
        <v>0</v>
      </c>
      <c r="L182" t="s">
        <v>310</v>
      </c>
      <c r="M182" t="s">
        <v>310</v>
      </c>
      <c r="N182">
        <v>0</v>
      </c>
      <c r="O182" t="s">
        <v>1395</v>
      </c>
      <c r="P182" t="s">
        <v>1401</v>
      </c>
      <c r="Q182" t="s">
        <v>1399</v>
      </c>
      <c r="R182" t="s">
        <v>321</v>
      </c>
      <c r="S182" t="s">
        <v>1411</v>
      </c>
      <c r="T182" t="s">
        <v>105</v>
      </c>
      <c r="U182">
        <v>9</v>
      </c>
      <c r="V182">
        <v>9</v>
      </c>
      <c r="W182">
        <v>0</v>
      </c>
      <c r="X182">
        <v>51.208562399999998</v>
      </c>
      <c r="Y182">
        <v>33.1574277</v>
      </c>
      <c r="Z182">
        <v>54.201921999999996</v>
      </c>
      <c r="AA182">
        <v>0</v>
      </c>
      <c r="AB182">
        <v>1</v>
      </c>
      <c r="AC182" t="s">
        <v>171</v>
      </c>
      <c r="AD182">
        <v>0</v>
      </c>
      <c r="AE182" t="s">
        <v>1396</v>
      </c>
      <c r="AF182">
        <v>80000000</v>
      </c>
      <c r="AG182" t="s">
        <v>310</v>
      </c>
      <c r="AH182">
        <v>1880.36</v>
      </c>
      <c r="AI182">
        <v>0</v>
      </c>
    </row>
    <row r="183" spans="1:35" x14ac:dyDescent="0.3">
      <c r="A183">
        <v>1890</v>
      </c>
      <c r="B183" t="s">
        <v>1286</v>
      </c>
      <c r="C183">
        <v>37</v>
      </c>
      <c r="D183" s="3">
        <v>45373.627593020836</v>
      </c>
      <c r="E183" t="s">
        <v>316</v>
      </c>
      <c r="F183" t="s">
        <v>317</v>
      </c>
      <c r="G183">
        <v>1</v>
      </c>
      <c r="H183" t="s">
        <v>310</v>
      </c>
      <c r="I183">
        <v>0</v>
      </c>
      <c r="J183">
        <v>0</v>
      </c>
      <c r="K183">
        <v>0</v>
      </c>
      <c r="L183" t="s">
        <v>310</v>
      </c>
      <c r="M183" t="s">
        <v>310</v>
      </c>
      <c r="N183">
        <v>0</v>
      </c>
      <c r="O183" t="s">
        <v>311</v>
      </c>
      <c r="P183" t="s">
        <v>240</v>
      </c>
      <c r="Q183" t="s">
        <v>1400</v>
      </c>
      <c r="R183" t="s">
        <v>1405</v>
      </c>
      <c r="S183" t="s">
        <v>202</v>
      </c>
      <c r="T183" t="s">
        <v>1407</v>
      </c>
      <c r="U183">
        <v>0</v>
      </c>
      <c r="V183">
        <v>0</v>
      </c>
      <c r="W183">
        <v>4.9388936000000001</v>
      </c>
      <c r="X183">
        <v>45.773154499999997</v>
      </c>
      <c r="Y183">
        <v>34.263474500000001</v>
      </c>
      <c r="Z183">
        <v>48.679380399999999</v>
      </c>
      <c r="AA183">
        <v>0</v>
      </c>
      <c r="AB183">
        <v>0</v>
      </c>
      <c r="AC183" t="s">
        <v>174</v>
      </c>
      <c r="AD183">
        <v>9</v>
      </c>
      <c r="AE183" t="s">
        <v>1388</v>
      </c>
      <c r="AF183">
        <v>120003000</v>
      </c>
      <c r="AG183" t="s">
        <v>310</v>
      </c>
      <c r="AH183">
        <v>1591.37</v>
      </c>
      <c r="AI183">
        <v>0</v>
      </c>
    </row>
    <row r="184" spans="1:35" x14ac:dyDescent="0.3">
      <c r="A184">
        <v>1891</v>
      </c>
      <c r="B184" t="s">
        <v>1288</v>
      </c>
      <c r="C184">
        <v>37</v>
      </c>
      <c r="D184" s="3">
        <v>45373.627593171295</v>
      </c>
      <c r="E184" t="s">
        <v>316</v>
      </c>
      <c r="F184" t="s">
        <v>317</v>
      </c>
      <c r="G184">
        <v>1</v>
      </c>
      <c r="H184" t="s">
        <v>310</v>
      </c>
      <c r="I184">
        <v>0</v>
      </c>
      <c r="J184">
        <v>0</v>
      </c>
      <c r="K184">
        <v>0</v>
      </c>
      <c r="L184" t="s">
        <v>310</v>
      </c>
      <c r="M184" t="s">
        <v>310</v>
      </c>
      <c r="N184">
        <v>0</v>
      </c>
      <c r="O184" t="s">
        <v>1391</v>
      </c>
      <c r="P184" t="s">
        <v>1401</v>
      </c>
      <c r="Q184" t="s">
        <v>1400</v>
      </c>
      <c r="R184" t="s">
        <v>1405</v>
      </c>
      <c r="S184" t="s">
        <v>202</v>
      </c>
      <c r="T184" t="s">
        <v>1406</v>
      </c>
      <c r="U184">
        <v>1</v>
      </c>
      <c r="V184">
        <v>0</v>
      </c>
      <c r="W184">
        <v>27.947180699999997</v>
      </c>
      <c r="X184">
        <v>35.099648500000001</v>
      </c>
      <c r="Y184">
        <v>13.9340163</v>
      </c>
      <c r="Z184">
        <v>46.176658699999997</v>
      </c>
      <c r="AA184">
        <v>0</v>
      </c>
      <c r="AB184">
        <v>0</v>
      </c>
      <c r="AC184" t="s">
        <v>174</v>
      </c>
      <c r="AD184">
        <v>9</v>
      </c>
      <c r="AE184" t="s">
        <v>1412</v>
      </c>
      <c r="AF184">
        <v>40000000</v>
      </c>
      <c r="AG184" t="s">
        <v>310</v>
      </c>
      <c r="AH184">
        <v>3181.37</v>
      </c>
      <c r="AI184">
        <v>0</v>
      </c>
    </row>
    <row r="185" spans="1:35" x14ac:dyDescent="0.3">
      <c r="A185">
        <v>1892</v>
      </c>
      <c r="B185" t="s">
        <v>370</v>
      </c>
      <c r="C185">
        <v>37</v>
      </c>
      <c r="D185" s="3">
        <v>45373.627593252313</v>
      </c>
      <c r="E185" t="s">
        <v>316</v>
      </c>
      <c r="F185" t="s">
        <v>317</v>
      </c>
      <c r="G185">
        <v>0</v>
      </c>
      <c r="H185" t="s">
        <v>310</v>
      </c>
      <c r="I185">
        <v>0</v>
      </c>
      <c r="J185">
        <v>0</v>
      </c>
      <c r="K185">
        <v>0</v>
      </c>
      <c r="L185" t="s">
        <v>310</v>
      </c>
      <c r="M185" t="s">
        <v>310</v>
      </c>
      <c r="N185">
        <v>0</v>
      </c>
      <c r="O185" t="s">
        <v>319</v>
      </c>
      <c r="P185" t="s">
        <v>101</v>
      </c>
      <c r="Q185" t="s">
        <v>1399</v>
      </c>
      <c r="R185" t="s">
        <v>1405</v>
      </c>
      <c r="S185" t="s">
        <v>202</v>
      </c>
      <c r="T185" t="s">
        <v>1406</v>
      </c>
      <c r="U185">
        <v>1</v>
      </c>
      <c r="V185">
        <v>0</v>
      </c>
      <c r="W185">
        <v>24.869872299999997</v>
      </c>
      <c r="X185">
        <v>46.9162508</v>
      </c>
      <c r="Y185">
        <v>24.4259776</v>
      </c>
      <c r="Z185">
        <v>23.623852599999999</v>
      </c>
      <c r="AA185">
        <v>0</v>
      </c>
      <c r="AB185">
        <v>0</v>
      </c>
      <c r="AC185" t="s">
        <v>174</v>
      </c>
      <c r="AD185">
        <v>0</v>
      </c>
      <c r="AE185" t="s">
        <v>1396</v>
      </c>
      <c r="AF185">
        <v>50000000</v>
      </c>
      <c r="AG185" t="s">
        <v>310</v>
      </c>
      <c r="AH185">
        <v>6911.37</v>
      </c>
      <c r="AI185">
        <v>0</v>
      </c>
    </row>
    <row r="186" spans="1:35" x14ac:dyDescent="0.3">
      <c r="A186">
        <v>1893</v>
      </c>
      <c r="B186" t="s">
        <v>371</v>
      </c>
      <c r="C186">
        <v>37</v>
      </c>
      <c r="D186" s="3">
        <v>45373.627593321762</v>
      </c>
      <c r="E186" t="s">
        <v>316</v>
      </c>
      <c r="F186" t="s">
        <v>317</v>
      </c>
      <c r="G186">
        <v>0</v>
      </c>
      <c r="H186" t="s">
        <v>310</v>
      </c>
      <c r="I186">
        <v>0</v>
      </c>
      <c r="J186">
        <v>0</v>
      </c>
      <c r="K186">
        <v>0</v>
      </c>
      <c r="L186" t="s">
        <v>310</v>
      </c>
      <c r="M186" t="s">
        <v>310</v>
      </c>
      <c r="N186">
        <v>0</v>
      </c>
      <c r="O186" t="s">
        <v>1393</v>
      </c>
      <c r="P186" t="s">
        <v>320</v>
      </c>
      <c r="Q186" t="s">
        <v>1400</v>
      </c>
      <c r="R186" t="s">
        <v>1404</v>
      </c>
      <c r="S186" t="s">
        <v>1411</v>
      </c>
      <c r="T186" t="s">
        <v>105</v>
      </c>
      <c r="U186">
        <v>9</v>
      </c>
      <c r="V186">
        <v>9</v>
      </c>
      <c r="W186">
        <v>0</v>
      </c>
      <c r="X186">
        <v>3.1785407999999999</v>
      </c>
      <c r="Y186">
        <v>102.08429149999999</v>
      </c>
      <c r="Z186">
        <v>29.886730399999998</v>
      </c>
      <c r="AA186">
        <v>1</v>
      </c>
      <c r="AB186">
        <v>0</v>
      </c>
      <c r="AC186" t="s">
        <v>170</v>
      </c>
      <c r="AD186">
        <v>9</v>
      </c>
      <c r="AE186" t="s">
        <v>1390</v>
      </c>
      <c r="AF186">
        <v>0</v>
      </c>
      <c r="AG186" t="s">
        <v>310</v>
      </c>
      <c r="AH186">
        <v>6969.37</v>
      </c>
      <c r="AI186">
        <v>0</v>
      </c>
    </row>
    <row r="187" spans="1:35" x14ac:dyDescent="0.3">
      <c r="A187">
        <v>1894</v>
      </c>
      <c r="B187" t="s">
        <v>366</v>
      </c>
      <c r="C187">
        <v>37</v>
      </c>
      <c r="D187" s="3">
        <v>45373.627593437501</v>
      </c>
      <c r="E187" t="s">
        <v>316</v>
      </c>
      <c r="F187" t="s">
        <v>317</v>
      </c>
      <c r="G187">
        <v>0</v>
      </c>
      <c r="H187" t="s">
        <v>310</v>
      </c>
      <c r="I187">
        <v>0</v>
      </c>
      <c r="J187">
        <v>0</v>
      </c>
      <c r="K187">
        <v>0</v>
      </c>
      <c r="L187" t="s">
        <v>310</v>
      </c>
      <c r="M187" t="s">
        <v>310</v>
      </c>
      <c r="N187">
        <v>0</v>
      </c>
      <c r="O187" t="s">
        <v>1389</v>
      </c>
      <c r="P187" t="s">
        <v>240</v>
      </c>
      <c r="Q187" t="s">
        <v>1400</v>
      </c>
      <c r="R187" t="s">
        <v>1404</v>
      </c>
      <c r="S187" t="s">
        <v>1411</v>
      </c>
      <c r="T187" t="s">
        <v>105</v>
      </c>
      <c r="U187">
        <v>9</v>
      </c>
      <c r="V187">
        <v>9</v>
      </c>
      <c r="W187">
        <v>0</v>
      </c>
      <c r="X187">
        <v>39.017278499999996</v>
      </c>
      <c r="Y187">
        <v>20.8628596</v>
      </c>
      <c r="Z187">
        <v>75.770449900000003</v>
      </c>
      <c r="AA187">
        <v>0</v>
      </c>
      <c r="AB187">
        <v>0</v>
      </c>
      <c r="AC187" t="s">
        <v>174</v>
      </c>
      <c r="AD187">
        <v>9</v>
      </c>
      <c r="AE187" t="s">
        <v>1413</v>
      </c>
      <c r="AF187">
        <v>120000000</v>
      </c>
      <c r="AG187" t="s">
        <v>310</v>
      </c>
      <c r="AH187">
        <v>4122.37</v>
      </c>
      <c r="AI187">
        <v>0</v>
      </c>
    </row>
    <row r="188" spans="1:35" x14ac:dyDescent="0.3">
      <c r="A188">
        <v>1895</v>
      </c>
      <c r="B188" t="s">
        <v>1309</v>
      </c>
      <c r="C188">
        <v>37</v>
      </c>
      <c r="D188" s="3">
        <v>45373.627593553239</v>
      </c>
      <c r="E188" t="s">
        <v>316</v>
      </c>
      <c r="F188" t="s">
        <v>317</v>
      </c>
      <c r="G188">
        <v>1</v>
      </c>
      <c r="H188" t="s">
        <v>310</v>
      </c>
      <c r="I188">
        <v>0</v>
      </c>
      <c r="J188">
        <v>0</v>
      </c>
      <c r="K188">
        <v>0</v>
      </c>
      <c r="L188" t="s">
        <v>310</v>
      </c>
      <c r="M188" t="s">
        <v>310</v>
      </c>
      <c r="N188">
        <v>0</v>
      </c>
      <c r="O188" t="s">
        <v>1395</v>
      </c>
      <c r="P188" t="s">
        <v>101</v>
      </c>
      <c r="Q188" t="s">
        <v>1399</v>
      </c>
      <c r="R188" t="s">
        <v>1404</v>
      </c>
      <c r="S188" t="s">
        <v>1411</v>
      </c>
      <c r="T188" t="s">
        <v>105</v>
      </c>
      <c r="U188">
        <v>9</v>
      </c>
      <c r="V188">
        <v>9</v>
      </c>
      <c r="W188">
        <v>0</v>
      </c>
      <c r="X188">
        <v>79.474443499999992</v>
      </c>
      <c r="Y188">
        <v>54.361267499999997</v>
      </c>
      <c r="Z188">
        <v>2.6335723</v>
      </c>
      <c r="AA188">
        <v>1</v>
      </c>
      <c r="AB188">
        <v>0</v>
      </c>
      <c r="AC188" t="s">
        <v>174</v>
      </c>
      <c r="AD188">
        <v>0</v>
      </c>
      <c r="AE188" t="s">
        <v>1414</v>
      </c>
      <c r="AF188">
        <v>10000000</v>
      </c>
      <c r="AG188" t="s">
        <v>310</v>
      </c>
      <c r="AH188">
        <v>3550.37</v>
      </c>
      <c r="AI188">
        <v>0</v>
      </c>
    </row>
    <row r="189" spans="1:35" x14ac:dyDescent="0.3">
      <c r="A189">
        <v>1965</v>
      </c>
      <c r="B189" t="s">
        <v>1303</v>
      </c>
      <c r="C189">
        <v>38</v>
      </c>
      <c r="D189" s="3">
        <v>45373.633740659723</v>
      </c>
      <c r="E189" t="s">
        <v>316</v>
      </c>
      <c r="F189" t="s">
        <v>317</v>
      </c>
      <c r="G189">
        <v>1</v>
      </c>
      <c r="H189" t="s">
        <v>310</v>
      </c>
      <c r="I189">
        <v>0</v>
      </c>
      <c r="J189">
        <v>0</v>
      </c>
      <c r="K189">
        <v>0</v>
      </c>
      <c r="L189" t="s">
        <v>310</v>
      </c>
      <c r="M189" t="s">
        <v>310</v>
      </c>
      <c r="N189">
        <v>0</v>
      </c>
      <c r="O189" t="s">
        <v>311</v>
      </c>
      <c r="P189" t="s">
        <v>101</v>
      </c>
      <c r="Q189" t="s">
        <v>1399</v>
      </c>
      <c r="R189" t="s">
        <v>1405</v>
      </c>
      <c r="S189" t="s">
        <v>202</v>
      </c>
      <c r="T189" t="s">
        <v>1407</v>
      </c>
      <c r="U189">
        <v>0</v>
      </c>
      <c r="V189">
        <v>0</v>
      </c>
      <c r="W189">
        <v>10.9399669</v>
      </c>
      <c r="X189">
        <v>37.162130900000001</v>
      </c>
      <c r="Y189">
        <v>20.634416299999998</v>
      </c>
      <c r="Z189">
        <v>54.238184199999999</v>
      </c>
      <c r="AA189">
        <v>0</v>
      </c>
      <c r="AB189">
        <v>0</v>
      </c>
      <c r="AC189" t="s">
        <v>1408</v>
      </c>
      <c r="AD189">
        <v>0</v>
      </c>
      <c r="AE189" t="s">
        <v>1388</v>
      </c>
      <c r="AF189">
        <v>100002000</v>
      </c>
      <c r="AG189" t="s">
        <v>310</v>
      </c>
      <c r="AH189">
        <v>7605.38</v>
      </c>
      <c r="AI189">
        <v>0</v>
      </c>
    </row>
    <row r="190" spans="1:35" x14ac:dyDescent="0.3">
      <c r="A190">
        <v>1966</v>
      </c>
      <c r="B190" t="s">
        <v>1310</v>
      </c>
      <c r="C190">
        <v>38</v>
      </c>
      <c r="D190" s="3">
        <v>45373.633740821759</v>
      </c>
      <c r="E190" t="s">
        <v>316</v>
      </c>
      <c r="F190" t="s">
        <v>317</v>
      </c>
      <c r="G190">
        <v>0</v>
      </c>
      <c r="H190" t="s">
        <v>310</v>
      </c>
      <c r="I190">
        <v>0</v>
      </c>
      <c r="J190">
        <v>0</v>
      </c>
      <c r="K190">
        <v>0</v>
      </c>
      <c r="L190" t="s">
        <v>310</v>
      </c>
      <c r="M190" t="s">
        <v>310</v>
      </c>
      <c r="N190">
        <v>0</v>
      </c>
      <c r="O190" t="s">
        <v>1391</v>
      </c>
      <c r="P190" t="s">
        <v>240</v>
      </c>
      <c r="Q190" t="s">
        <v>1400</v>
      </c>
      <c r="R190" t="s">
        <v>321</v>
      </c>
      <c r="S190" t="s">
        <v>1411</v>
      </c>
      <c r="T190" t="s">
        <v>105</v>
      </c>
      <c r="U190">
        <v>9</v>
      </c>
      <c r="V190">
        <v>9</v>
      </c>
      <c r="W190">
        <v>0</v>
      </c>
      <c r="X190">
        <v>1.5066504999999999</v>
      </c>
      <c r="Y190">
        <v>4.3875187999999996</v>
      </c>
      <c r="Z190">
        <v>129.7781473</v>
      </c>
      <c r="AA190">
        <v>0</v>
      </c>
      <c r="AB190">
        <v>0</v>
      </c>
      <c r="AC190" t="s">
        <v>173</v>
      </c>
      <c r="AD190">
        <v>9</v>
      </c>
      <c r="AE190" t="s">
        <v>1390</v>
      </c>
      <c r="AF190">
        <v>50000000</v>
      </c>
      <c r="AG190" t="s">
        <v>310</v>
      </c>
      <c r="AH190">
        <v>6621.38</v>
      </c>
      <c r="AI190">
        <v>0</v>
      </c>
    </row>
    <row r="191" spans="1:35" x14ac:dyDescent="0.3">
      <c r="A191">
        <v>1967</v>
      </c>
      <c r="B191" t="s">
        <v>1296</v>
      </c>
      <c r="C191">
        <v>38</v>
      </c>
      <c r="D191" s="3">
        <v>45373.633740937497</v>
      </c>
      <c r="E191" t="s">
        <v>316</v>
      </c>
      <c r="F191" t="s">
        <v>317</v>
      </c>
      <c r="G191">
        <v>1</v>
      </c>
      <c r="H191" t="s">
        <v>310</v>
      </c>
      <c r="I191">
        <v>0</v>
      </c>
      <c r="J191">
        <v>0</v>
      </c>
      <c r="K191">
        <v>0</v>
      </c>
      <c r="L191" t="s">
        <v>310</v>
      </c>
      <c r="M191" t="s">
        <v>310</v>
      </c>
      <c r="N191">
        <v>0</v>
      </c>
      <c r="O191" t="s">
        <v>319</v>
      </c>
      <c r="P191" t="s">
        <v>1401</v>
      </c>
      <c r="Q191" t="s">
        <v>1400</v>
      </c>
      <c r="R191" t="s">
        <v>1405</v>
      </c>
      <c r="S191" t="s">
        <v>202</v>
      </c>
      <c r="T191" t="s">
        <v>1409</v>
      </c>
      <c r="U191">
        <v>0</v>
      </c>
      <c r="V191">
        <v>0</v>
      </c>
      <c r="W191">
        <v>7.1890413999999998</v>
      </c>
      <c r="X191">
        <v>42.238226499999996</v>
      </c>
      <c r="Y191">
        <v>44.133167100000001</v>
      </c>
      <c r="Z191">
        <v>41.914444599999996</v>
      </c>
      <c r="AA191">
        <v>0</v>
      </c>
      <c r="AB191">
        <v>1</v>
      </c>
      <c r="AC191" t="s">
        <v>174</v>
      </c>
      <c r="AD191">
        <v>9</v>
      </c>
      <c r="AE191" t="s">
        <v>1412</v>
      </c>
      <c r="AF191">
        <v>50000000</v>
      </c>
      <c r="AG191" t="s">
        <v>310</v>
      </c>
      <c r="AH191">
        <v>3003.38</v>
      </c>
      <c r="AI191">
        <v>0</v>
      </c>
    </row>
    <row r="192" spans="1:35" x14ac:dyDescent="0.3">
      <c r="A192">
        <v>1968</v>
      </c>
      <c r="B192" t="s">
        <v>363</v>
      </c>
      <c r="C192">
        <v>38</v>
      </c>
      <c r="D192" s="3">
        <v>45373.633741006946</v>
      </c>
      <c r="E192" t="s">
        <v>316</v>
      </c>
      <c r="F192" t="s">
        <v>317</v>
      </c>
      <c r="G192">
        <v>0</v>
      </c>
      <c r="H192" t="s">
        <v>310</v>
      </c>
      <c r="I192">
        <v>0</v>
      </c>
      <c r="J192">
        <v>0</v>
      </c>
      <c r="K192">
        <v>0</v>
      </c>
      <c r="L192" t="s">
        <v>310</v>
      </c>
      <c r="M192" t="s">
        <v>310</v>
      </c>
      <c r="N192">
        <v>0</v>
      </c>
      <c r="O192" t="s">
        <v>1393</v>
      </c>
      <c r="P192" t="s">
        <v>320</v>
      </c>
      <c r="Q192" t="s">
        <v>1400</v>
      </c>
      <c r="R192" t="s">
        <v>1405</v>
      </c>
      <c r="S192" t="s">
        <v>202</v>
      </c>
      <c r="T192" t="s">
        <v>1406</v>
      </c>
      <c r="U192">
        <v>0</v>
      </c>
      <c r="V192">
        <v>1</v>
      </c>
      <c r="W192">
        <v>10.1736209</v>
      </c>
      <c r="X192">
        <v>34.350684799999996</v>
      </c>
      <c r="Y192">
        <v>15.202649099999999</v>
      </c>
      <c r="Z192">
        <v>65.431536399999999</v>
      </c>
      <c r="AA192">
        <v>0</v>
      </c>
      <c r="AB192">
        <v>1</v>
      </c>
      <c r="AC192" t="s">
        <v>174</v>
      </c>
      <c r="AD192">
        <v>9</v>
      </c>
      <c r="AE192" t="s">
        <v>1396</v>
      </c>
      <c r="AF192">
        <v>90000000</v>
      </c>
      <c r="AG192" t="s">
        <v>310</v>
      </c>
      <c r="AH192">
        <v>2601.38</v>
      </c>
      <c r="AI192">
        <v>0</v>
      </c>
    </row>
    <row r="193" spans="1:35" x14ac:dyDescent="0.3">
      <c r="A193">
        <v>1969</v>
      </c>
      <c r="B193" t="s">
        <v>1305</v>
      </c>
      <c r="C193">
        <v>38</v>
      </c>
      <c r="D193" s="3">
        <v>45373.633741122685</v>
      </c>
      <c r="E193" t="s">
        <v>316</v>
      </c>
      <c r="F193" t="s">
        <v>317</v>
      </c>
      <c r="G193">
        <v>1</v>
      </c>
      <c r="H193" t="s">
        <v>310</v>
      </c>
      <c r="I193">
        <v>0</v>
      </c>
      <c r="J193">
        <v>0</v>
      </c>
      <c r="K193">
        <v>0</v>
      </c>
      <c r="L193" t="s">
        <v>310</v>
      </c>
      <c r="M193" t="s">
        <v>310</v>
      </c>
      <c r="N193">
        <v>0</v>
      </c>
      <c r="O193" t="s">
        <v>1389</v>
      </c>
      <c r="P193" t="s">
        <v>101</v>
      </c>
      <c r="Q193" t="s">
        <v>1400</v>
      </c>
      <c r="R193" t="s">
        <v>1404</v>
      </c>
      <c r="S193" t="s">
        <v>1411</v>
      </c>
      <c r="T193" t="s">
        <v>105</v>
      </c>
      <c r="U193">
        <v>9</v>
      </c>
      <c r="V193">
        <v>9</v>
      </c>
      <c r="W193">
        <v>0</v>
      </c>
      <c r="X193">
        <v>51.352731399999996</v>
      </c>
      <c r="Y193">
        <v>26.423335699999999</v>
      </c>
      <c r="Z193">
        <v>57.391929999999995</v>
      </c>
      <c r="AA193">
        <v>1</v>
      </c>
      <c r="AB193">
        <v>0</v>
      </c>
      <c r="AC193" t="s">
        <v>174</v>
      </c>
      <c r="AD193">
        <v>9</v>
      </c>
      <c r="AE193" t="s">
        <v>1414</v>
      </c>
      <c r="AF193">
        <v>120201000</v>
      </c>
      <c r="AG193" t="s">
        <v>310</v>
      </c>
      <c r="AH193">
        <v>3173.38</v>
      </c>
      <c r="AI193">
        <v>0</v>
      </c>
    </row>
    <row r="194" spans="1:35" x14ac:dyDescent="0.3">
      <c r="A194">
        <v>1970</v>
      </c>
      <c r="B194" t="s">
        <v>1277</v>
      </c>
      <c r="C194">
        <v>38</v>
      </c>
      <c r="D194" s="3">
        <v>45373.633741238424</v>
      </c>
      <c r="E194" t="s">
        <v>316</v>
      </c>
      <c r="F194" t="s">
        <v>317</v>
      </c>
      <c r="G194">
        <v>0</v>
      </c>
      <c r="H194" t="s">
        <v>310</v>
      </c>
      <c r="I194">
        <v>0</v>
      </c>
      <c r="J194">
        <v>0</v>
      </c>
      <c r="K194">
        <v>0</v>
      </c>
      <c r="L194" t="s">
        <v>310</v>
      </c>
      <c r="M194" t="s">
        <v>310</v>
      </c>
      <c r="N194">
        <v>0</v>
      </c>
      <c r="O194" t="s">
        <v>1395</v>
      </c>
      <c r="P194" t="s">
        <v>1401</v>
      </c>
      <c r="Q194" t="s">
        <v>1399</v>
      </c>
      <c r="R194" t="s">
        <v>1404</v>
      </c>
      <c r="S194" t="s">
        <v>1411</v>
      </c>
      <c r="T194" t="s">
        <v>105</v>
      </c>
      <c r="U194">
        <v>9</v>
      </c>
      <c r="V194">
        <v>9</v>
      </c>
      <c r="W194">
        <v>0</v>
      </c>
      <c r="X194">
        <v>0.74664649999999999</v>
      </c>
      <c r="Y194">
        <v>87.57883489999999</v>
      </c>
      <c r="Z194">
        <v>43.341343799999997</v>
      </c>
      <c r="AA194">
        <v>3</v>
      </c>
      <c r="AB194">
        <v>0</v>
      </c>
      <c r="AC194" t="s">
        <v>170</v>
      </c>
      <c r="AD194">
        <v>2</v>
      </c>
      <c r="AE194" t="s">
        <v>1413</v>
      </c>
      <c r="AF194">
        <v>2000</v>
      </c>
      <c r="AG194" t="s">
        <v>310</v>
      </c>
      <c r="AH194">
        <v>3360.38</v>
      </c>
      <c r="AI194">
        <v>0</v>
      </c>
    </row>
    <row r="195" spans="1:35" x14ac:dyDescent="0.3">
      <c r="A195">
        <v>2020</v>
      </c>
      <c r="B195" t="s">
        <v>368</v>
      </c>
      <c r="C195">
        <v>39</v>
      </c>
      <c r="D195" s="3">
        <v>45373.64543329861</v>
      </c>
      <c r="E195" t="s">
        <v>316</v>
      </c>
      <c r="F195" t="s">
        <v>317</v>
      </c>
      <c r="G195">
        <v>1</v>
      </c>
      <c r="H195" t="s">
        <v>310</v>
      </c>
      <c r="I195">
        <v>0</v>
      </c>
      <c r="J195">
        <v>0</v>
      </c>
      <c r="K195">
        <v>0</v>
      </c>
      <c r="L195" t="s">
        <v>310</v>
      </c>
      <c r="M195" t="s">
        <v>310</v>
      </c>
      <c r="N195">
        <v>0</v>
      </c>
      <c r="O195" t="s">
        <v>311</v>
      </c>
      <c r="P195" t="s">
        <v>101</v>
      </c>
      <c r="Q195" t="s">
        <v>1400</v>
      </c>
      <c r="R195" t="s">
        <v>1405</v>
      </c>
      <c r="S195" t="s">
        <v>202</v>
      </c>
      <c r="T195" t="s">
        <v>1409</v>
      </c>
      <c r="U195">
        <v>0</v>
      </c>
      <c r="V195">
        <v>0</v>
      </c>
      <c r="W195">
        <v>17.456511599999999</v>
      </c>
      <c r="X195">
        <v>0</v>
      </c>
      <c r="Y195">
        <v>10.997423099999999</v>
      </c>
      <c r="Z195">
        <v>102.8609489</v>
      </c>
      <c r="AA195">
        <v>0</v>
      </c>
      <c r="AB195">
        <v>3</v>
      </c>
      <c r="AC195" t="s">
        <v>174</v>
      </c>
      <c r="AD195">
        <v>9</v>
      </c>
      <c r="AE195" t="s">
        <v>1388</v>
      </c>
      <c r="AF195">
        <v>60000000</v>
      </c>
      <c r="AG195" t="s">
        <v>310</v>
      </c>
      <c r="AH195">
        <v>6401.39</v>
      </c>
      <c r="AI195">
        <v>0</v>
      </c>
    </row>
    <row r="196" spans="1:35" x14ac:dyDescent="0.3">
      <c r="A196">
        <v>2021</v>
      </c>
      <c r="B196" t="s">
        <v>1282</v>
      </c>
      <c r="C196">
        <v>39</v>
      </c>
      <c r="D196" s="3">
        <v>45373.645433449077</v>
      </c>
      <c r="E196" t="s">
        <v>316</v>
      </c>
      <c r="F196" t="s">
        <v>317</v>
      </c>
      <c r="G196">
        <v>1</v>
      </c>
      <c r="H196" t="s">
        <v>310</v>
      </c>
      <c r="I196">
        <v>0</v>
      </c>
      <c r="J196">
        <v>0</v>
      </c>
      <c r="K196">
        <v>0</v>
      </c>
      <c r="L196" t="s">
        <v>310</v>
      </c>
      <c r="M196" t="s">
        <v>310</v>
      </c>
      <c r="N196">
        <v>0</v>
      </c>
      <c r="O196" t="s">
        <v>1391</v>
      </c>
      <c r="P196" t="s">
        <v>1401</v>
      </c>
      <c r="Q196" t="s">
        <v>1399</v>
      </c>
      <c r="R196" t="s">
        <v>1404</v>
      </c>
      <c r="S196" t="s">
        <v>322</v>
      </c>
      <c r="T196" t="s">
        <v>105</v>
      </c>
      <c r="U196">
        <v>9</v>
      </c>
      <c r="V196">
        <v>9</v>
      </c>
      <c r="W196">
        <v>19.830712299999998</v>
      </c>
      <c r="X196">
        <v>0</v>
      </c>
      <c r="Y196">
        <v>39.6624123</v>
      </c>
      <c r="Z196">
        <v>75.314975899999993</v>
      </c>
      <c r="AA196">
        <v>0</v>
      </c>
      <c r="AB196">
        <v>3</v>
      </c>
      <c r="AC196" t="s">
        <v>1408</v>
      </c>
      <c r="AD196">
        <v>1</v>
      </c>
      <c r="AE196" t="s">
        <v>1390</v>
      </c>
      <c r="AF196">
        <v>0</v>
      </c>
      <c r="AG196" t="s">
        <v>310</v>
      </c>
      <c r="AH196">
        <v>333.39</v>
      </c>
      <c r="AI196">
        <v>0</v>
      </c>
    </row>
    <row r="197" spans="1:35" x14ac:dyDescent="0.3">
      <c r="A197">
        <v>2022</v>
      </c>
      <c r="B197" t="s">
        <v>1300</v>
      </c>
      <c r="C197">
        <v>39</v>
      </c>
      <c r="D197" s="3">
        <v>45373.645433530095</v>
      </c>
      <c r="E197" t="s">
        <v>316</v>
      </c>
      <c r="F197" t="s">
        <v>317</v>
      </c>
      <c r="G197">
        <v>1</v>
      </c>
      <c r="H197" t="s">
        <v>310</v>
      </c>
      <c r="I197">
        <v>0</v>
      </c>
      <c r="J197">
        <v>0</v>
      </c>
      <c r="K197">
        <v>0</v>
      </c>
      <c r="L197" t="s">
        <v>310</v>
      </c>
      <c r="M197" t="s">
        <v>310</v>
      </c>
      <c r="N197">
        <v>0</v>
      </c>
      <c r="O197" t="s">
        <v>319</v>
      </c>
      <c r="P197" t="s">
        <v>240</v>
      </c>
      <c r="Q197" t="s">
        <v>1400</v>
      </c>
      <c r="R197" t="s">
        <v>321</v>
      </c>
      <c r="S197" t="s">
        <v>1411</v>
      </c>
      <c r="T197" t="s">
        <v>105</v>
      </c>
      <c r="U197">
        <v>9</v>
      </c>
      <c r="V197">
        <v>9</v>
      </c>
      <c r="W197">
        <v>0</v>
      </c>
      <c r="X197">
        <v>23.091938799999998</v>
      </c>
      <c r="Y197">
        <v>13.602472899999999</v>
      </c>
      <c r="Z197">
        <v>98.362343899999999</v>
      </c>
      <c r="AA197">
        <v>0</v>
      </c>
      <c r="AB197">
        <v>2</v>
      </c>
      <c r="AC197" t="s">
        <v>174</v>
      </c>
      <c r="AD197">
        <v>9</v>
      </c>
      <c r="AE197" t="s">
        <v>1414</v>
      </c>
      <c r="AF197">
        <v>130000000</v>
      </c>
      <c r="AG197" t="s">
        <v>310</v>
      </c>
      <c r="AH197">
        <v>3044.39</v>
      </c>
      <c r="AI197">
        <v>0</v>
      </c>
    </row>
    <row r="198" spans="1:35" x14ac:dyDescent="0.3">
      <c r="A198">
        <v>2023</v>
      </c>
      <c r="B198" t="s">
        <v>1276</v>
      </c>
      <c r="C198">
        <v>39</v>
      </c>
      <c r="D198" s="3">
        <v>45373.645433645834</v>
      </c>
      <c r="E198" t="s">
        <v>316</v>
      </c>
      <c r="F198" t="s">
        <v>317</v>
      </c>
      <c r="G198">
        <v>1</v>
      </c>
      <c r="H198" t="s">
        <v>310</v>
      </c>
      <c r="I198">
        <v>0</v>
      </c>
      <c r="J198">
        <v>0</v>
      </c>
      <c r="K198">
        <v>0</v>
      </c>
      <c r="L198" t="s">
        <v>310</v>
      </c>
      <c r="M198" t="s">
        <v>310</v>
      </c>
      <c r="N198">
        <v>0</v>
      </c>
      <c r="O198" t="s">
        <v>1393</v>
      </c>
      <c r="P198" t="s">
        <v>320</v>
      </c>
      <c r="Q198" t="s">
        <v>1399</v>
      </c>
      <c r="R198" t="s">
        <v>1404</v>
      </c>
      <c r="S198" t="s">
        <v>1411</v>
      </c>
      <c r="T198" t="s">
        <v>105</v>
      </c>
      <c r="U198">
        <v>9</v>
      </c>
      <c r="V198">
        <v>9</v>
      </c>
      <c r="W198">
        <v>0</v>
      </c>
      <c r="X198">
        <v>0</v>
      </c>
      <c r="Y198">
        <v>24.074059699999999</v>
      </c>
      <c r="Z198">
        <v>112.04329559999999</v>
      </c>
      <c r="AA198">
        <v>0</v>
      </c>
      <c r="AB198">
        <v>0</v>
      </c>
      <c r="AC198" t="s">
        <v>167</v>
      </c>
      <c r="AD198">
        <v>0</v>
      </c>
      <c r="AE198" t="s">
        <v>1396</v>
      </c>
      <c r="AF198">
        <v>0</v>
      </c>
      <c r="AG198" t="s">
        <v>310</v>
      </c>
      <c r="AH198">
        <v>229.39</v>
      </c>
      <c r="AI198">
        <v>0</v>
      </c>
    </row>
    <row r="199" spans="1:35" x14ac:dyDescent="0.3">
      <c r="A199">
        <v>2024</v>
      </c>
      <c r="B199" t="s">
        <v>1312</v>
      </c>
      <c r="C199">
        <v>39</v>
      </c>
      <c r="D199" s="3">
        <v>45373.645433715275</v>
      </c>
      <c r="E199" t="s">
        <v>316</v>
      </c>
      <c r="F199" t="s">
        <v>317</v>
      </c>
      <c r="G199">
        <v>1</v>
      </c>
      <c r="H199" t="s">
        <v>310</v>
      </c>
      <c r="I199">
        <v>0</v>
      </c>
      <c r="J199">
        <v>0</v>
      </c>
      <c r="K199">
        <v>0</v>
      </c>
      <c r="L199" t="s">
        <v>310</v>
      </c>
      <c r="M199" t="s">
        <v>310</v>
      </c>
      <c r="N199">
        <v>0</v>
      </c>
      <c r="O199" t="s">
        <v>1389</v>
      </c>
      <c r="P199" t="s">
        <v>240</v>
      </c>
      <c r="Q199" t="s">
        <v>1400</v>
      </c>
      <c r="R199" t="s">
        <v>1404</v>
      </c>
      <c r="S199" t="s">
        <v>322</v>
      </c>
      <c r="T199" t="s">
        <v>105</v>
      </c>
      <c r="U199">
        <v>9</v>
      </c>
      <c r="V199">
        <v>9</v>
      </c>
      <c r="W199">
        <v>7.2508806999999997</v>
      </c>
      <c r="X199">
        <v>27.7810621</v>
      </c>
      <c r="Y199">
        <v>11.426435399999999</v>
      </c>
      <c r="Z199">
        <v>85.541756399999997</v>
      </c>
      <c r="AA199">
        <v>1</v>
      </c>
      <c r="AB199">
        <v>0</v>
      </c>
      <c r="AC199" t="s">
        <v>173</v>
      </c>
      <c r="AD199">
        <v>9</v>
      </c>
      <c r="AE199" t="s">
        <v>1412</v>
      </c>
      <c r="AF199">
        <v>110000000</v>
      </c>
      <c r="AG199" t="s">
        <v>310</v>
      </c>
      <c r="AH199">
        <v>2053.39</v>
      </c>
      <c r="AI199">
        <v>0</v>
      </c>
    </row>
    <row r="200" spans="1:35" x14ac:dyDescent="0.3">
      <c r="A200">
        <v>2025</v>
      </c>
      <c r="B200" t="s">
        <v>369</v>
      </c>
      <c r="C200">
        <v>39</v>
      </c>
      <c r="D200" s="3">
        <v>45373.645433831021</v>
      </c>
      <c r="E200" t="s">
        <v>316</v>
      </c>
      <c r="F200" t="s">
        <v>317</v>
      </c>
      <c r="G200">
        <v>1</v>
      </c>
      <c r="H200" t="s">
        <v>310</v>
      </c>
      <c r="I200">
        <v>0</v>
      </c>
      <c r="J200">
        <v>0</v>
      </c>
      <c r="K200">
        <v>0</v>
      </c>
      <c r="L200" t="s">
        <v>310</v>
      </c>
      <c r="M200" t="s">
        <v>310</v>
      </c>
      <c r="N200">
        <v>0</v>
      </c>
      <c r="O200" t="s">
        <v>1395</v>
      </c>
      <c r="P200" t="s">
        <v>320</v>
      </c>
      <c r="Q200" t="s">
        <v>1400</v>
      </c>
      <c r="R200" t="s">
        <v>1404</v>
      </c>
      <c r="S200" t="s">
        <v>1411</v>
      </c>
      <c r="T200" t="s">
        <v>105</v>
      </c>
      <c r="U200">
        <v>9</v>
      </c>
      <c r="V200">
        <v>9</v>
      </c>
      <c r="W200">
        <v>0</v>
      </c>
      <c r="X200">
        <v>131.0921664</v>
      </c>
      <c r="Y200">
        <v>0.68098969999999992</v>
      </c>
      <c r="Z200">
        <v>10.2819287</v>
      </c>
      <c r="AA200">
        <v>3</v>
      </c>
      <c r="AB200">
        <v>0</v>
      </c>
      <c r="AC200" t="s">
        <v>170</v>
      </c>
      <c r="AD200">
        <v>9</v>
      </c>
      <c r="AE200" t="s">
        <v>1413</v>
      </c>
      <c r="AF200">
        <v>0</v>
      </c>
      <c r="AG200" t="s">
        <v>310</v>
      </c>
      <c r="AH200">
        <v>6463.39</v>
      </c>
      <c r="AI200">
        <v>0</v>
      </c>
    </row>
    <row r="201" spans="1:35" x14ac:dyDescent="0.3">
      <c r="A201">
        <v>2083</v>
      </c>
      <c r="B201" t="s">
        <v>372</v>
      </c>
      <c r="C201">
        <v>40</v>
      </c>
      <c r="D201" s="3">
        <v>45373.65398422454</v>
      </c>
      <c r="E201" t="s">
        <v>316</v>
      </c>
      <c r="F201" t="s">
        <v>317</v>
      </c>
      <c r="G201">
        <v>1</v>
      </c>
      <c r="H201" t="s">
        <v>310</v>
      </c>
      <c r="I201">
        <v>0</v>
      </c>
      <c r="J201">
        <v>0</v>
      </c>
      <c r="K201">
        <v>0</v>
      </c>
      <c r="L201" t="s">
        <v>310</v>
      </c>
      <c r="M201" t="s">
        <v>310</v>
      </c>
      <c r="N201">
        <v>0</v>
      </c>
      <c r="O201" t="s">
        <v>311</v>
      </c>
      <c r="P201" t="s">
        <v>240</v>
      </c>
      <c r="Q201" t="s">
        <v>1400</v>
      </c>
      <c r="R201" t="s">
        <v>1405</v>
      </c>
      <c r="S201" t="s">
        <v>202</v>
      </c>
      <c r="T201" t="s">
        <v>1407</v>
      </c>
      <c r="U201">
        <v>1</v>
      </c>
      <c r="V201">
        <v>0</v>
      </c>
      <c r="W201">
        <v>4.3211389000000002</v>
      </c>
      <c r="X201">
        <v>33.2772474</v>
      </c>
      <c r="Y201">
        <v>22.392253499999999</v>
      </c>
      <c r="Z201">
        <v>71.055488600000004</v>
      </c>
      <c r="AA201">
        <v>0</v>
      </c>
      <c r="AB201">
        <v>1</v>
      </c>
      <c r="AC201" t="s">
        <v>174</v>
      </c>
      <c r="AD201">
        <v>9</v>
      </c>
      <c r="AE201" t="s">
        <v>1414</v>
      </c>
      <c r="AF201">
        <v>80300000</v>
      </c>
      <c r="AG201" t="s">
        <v>310</v>
      </c>
      <c r="AH201">
        <v>7504.4</v>
      </c>
      <c r="AI201">
        <v>0</v>
      </c>
    </row>
    <row r="202" spans="1:35" x14ac:dyDescent="0.3">
      <c r="A202">
        <v>2084</v>
      </c>
      <c r="B202" t="s">
        <v>364</v>
      </c>
      <c r="C202">
        <v>40</v>
      </c>
      <c r="D202" s="3">
        <v>45373.653984340279</v>
      </c>
      <c r="E202" t="s">
        <v>316</v>
      </c>
      <c r="F202" t="s">
        <v>317</v>
      </c>
      <c r="G202">
        <v>1</v>
      </c>
      <c r="H202" t="s">
        <v>310</v>
      </c>
      <c r="I202">
        <v>0</v>
      </c>
      <c r="J202">
        <v>0</v>
      </c>
      <c r="K202">
        <v>0</v>
      </c>
      <c r="L202" t="s">
        <v>310</v>
      </c>
      <c r="M202" t="s">
        <v>310</v>
      </c>
      <c r="N202">
        <v>0</v>
      </c>
      <c r="O202" t="s">
        <v>1391</v>
      </c>
      <c r="P202" t="s">
        <v>1401</v>
      </c>
      <c r="Q202" t="s">
        <v>1400</v>
      </c>
      <c r="R202" t="s">
        <v>1405</v>
      </c>
      <c r="S202" t="s">
        <v>202</v>
      </c>
      <c r="T202" t="s">
        <v>1407</v>
      </c>
      <c r="U202">
        <v>1</v>
      </c>
      <c r="V202">
        <v>0</v>
      </c>
      <c r="W202">
        <v>14.3118655</v>
      </c>
      <c r="X202">
        <v>42.510476399999995</v>
      </c>
      <c r="Y202">
        <v>21.520826799999998</v>
      </c>
      <c r="Z202">
        <v>56.320834099999999</v>
      </c>
      <c r="AA202">
        <v>0</v>
      </c>
      <c r="AB202">
        <v>0</v>
      </c>
      <c r="AC202" t="s">
        <v>174</v>
      </c>
      <c r="AD202">
        <v>9</v>
      </c>
      <c r="AE202" t="s">
        <v>1412</v>
      </c>
      <c r="AF202">
        <v>70000000</v>
      </c>
      <c r="AG202" t="s">
        <v>310</v>
      </c>
      <c r="AH202">
        <v>2791.4</v>
      </c>
      <c r="AI202">
        <v>0</v>
      </c>
    </row>
    <row r="203" spans="1:35" x14ac:dyDescent="0.3">
      <c r="A203">
        <v>2085</v>
      </c>
      <c r="B203" t="s">
        <v>1301</v>
      </c>
      <c r="C203">
        <v>40</v>
      </c>
      <c r="D203" s="3">
        <v>45373.653984456017</v>
      </c>
      <c r="E203" t="s">
        <v>316</v>
      </c>
      <c r="F203" t="s">
        <v>317</v>
      </c>
      <c r="G203">
        <v>0</v>
      </c>
      <c r="H203" t="s">
        <v>310</v>
      </c>
      <c r="I203">
        <v>0</v>
      </c>
      <c r="J203">
        <v>0</v>
      </c>
      <c r="K203">
        <v>0</v>
      </c>
      <c r="L203" t="s">
        <v>310</v>
      </c>
      <c r="M203" t="s">
        <v>310</v>
      </c>
      <c r="N203">
        <v>0</v>
      </c>
      <c r="O203" t="s">
        <v>319</v>
      </c>
      <c r="P203" t="s">
        <v>101</v>
      </c>
      <c r="Q203" t="s">
        <v>1399</v>
      </c>
      <c r="R203" t="s">
        <v>1404</v>
      </c>
      <c r="S203" t="s">
        <v>1411</v>
      </c>
      <c r="T203" t="s">
        <v>105</v>
      </c>
      <c r="U203">
        <v>9</v>
      </c>
      <c r="V203">
        <v>9</v>
      </c>
      <c r="W203">
        <v>0</v>
      </c>
      <c r="X203">
        <v>64.848339600000003</v>
      </c>
      <c r="Y203">
        <v>26.623411699999998</v>
      </c>
      <c r="Z203">
        <v>44.009544599999998</v>
      </c>
      <c r="AA203">
        <v>2</v>
      </c>
      <c r="AB203">
        <v>0</v>
      </c>
      <c r="AC203" t="s">
        <v>174</v>
      </c>
      <c r="AD203">
        <v>0</v>
      </c>
      <c r="AE203" t="s">
        <v>1396</v>
      </c>
      <c r="AF203">
        <v>10000000</v>
      </c>
      <c r="AG203" t="s">
        <v>310</v>
      </c>
      <c r="AH203">
        <v>7031.4</v>
      </c>
      <c r="AI203">
        <v>0</v>
      </c>
    </row>
    <row r="204" spans="1:35" x14ac:dyDescent="0.3">
      <c r="A204">
        <v>2086</v>
      </c>
      <c r="B204" t="s">
        <v>360</v>
      </c>
      <c r="C204">
        <v>40</v>
      </c>
      <c r="D204" s="3">
        <v>45373.653984571756</v>
      </c>
      <c r="E204" t="s">
        <v>316</v>
      </c>
      <c r="F204" t="s">
        <v>317</v>
      </c>
      <c r="G204">
        <v>1</v>
      </c>
      <c r="H204" t="s">
        <v>310</v>
      </c>
      <c r="I204">
        <v>0</v>
      </c>
      <c r="J204">
        <v>0</v>
      </c>
      <c r="K204">
        <v>0</v>
      </c>
      <c r="L204" t="s">
        <v>310</v>
      </c>
      <c r="M204" t="s">
        <v>310</v>
      </c>
      <c r="N204">
        <v>0</v>
      </c>
      <c r="O204" t="s">
        <v>1393</v>
      </c>
      <c r="P204" t="s">
        <v>240</v>
      </c>
      <c r="Q204" t="s">
        <v>1399</v>
      </c>
      <c r="R204" t="s">
        <v>1405</v>
      </c>
      <c r="S204" t="s">
        <v>202</v>
      </c>
      <c r="T204" t="s">
        <v>1407</v>
      </c>
      <c r="U204">
        <v>0</v>
      </c>
      <c r="V204">
        <v>0</v>
      </c>
      <c r="W204">
        <v>15.9010251</v>
      </c>
      <c r="X204">
        <v>14.0686237</v>
      </c>
      <c r="Y204">
        <v>16.794408199999999</v>
      </c>
      <c r="Z204">
        <v>85.280786599999999</v>
      </c>
      <c r="AA204">
        <v>0</v>
      </c>
      <c r="AB204">
        <v>0</v>
      </c>
      <c r="AC204" t="s">
        <v>174</v>
      </c>
      <c r="AD204">
        <v>0</v>
      </c>
      <c r="AE204" t="s">
        <v>1388</v>
      </c>
      <c r="AF204">
        <v>200000000</v>
      </c>
      <c r="AG204" t="s">
        <v>310</v>
      </c>
      <c r="AH204">
        <v>1796.4</v>
      </c>
      <c r="AI204">
        <v>0</v>
      </c>
    </row>
    <row r="205" spans="1:35" x14ac:dyDescent="0.3">
      <c r="A205">
        <v>2087</v>
      </c>
      <c r="B205" t="s">
        <v>1283</v>
      </c>
      <c r="C205">
        <v>40</v>
      </c>
      <c r="D205" s="3">
        <v>45373.653984641205</v>
      </c>
      <c r="E205" t="s">
        <v>316</v>
      </c>
      <c r="F205" t="s">
        <v>317</v>
      </c>
      <c r="G205">
        <v>1</v>
      </c>
      <c r="H205" t="s">
        <v>310</v>
      </c>
      <c r="I205">
        <v>0</v>
      </c>
      <c r="J205">
        <v>0</v>
      </c>
      <c r="K205">
        <v>0</v>
      </c>
      <c r="L205" t="s">
        <v>310</v>
      </c>
      <c r="M205" t="s">
        <v>310</v>
      </c>
      <c r="N205">
        <v>0</v>
      </c>
      <c r="O205" t="s">
        <v>1389</v>
      </c>
      <c r="P205" t="s">
        <v>101</v>
      </c>
      <c r="Q205" t="s">
        <v>1400</v>
      </c>
      <c r="R205" t="s">
        <v>1405</v>
      </c>
      <c r="S205" t="s">
        <v>202</v>
      </c>
      <c r="T205" t="s">
        <v>1406</v>
      </c>
      <c r="U205">
        <v>0</v>
      </c>
      <c r="V205">
        <v>0</v>
      </c>
      <c r="W205">
        <v>6.6370519999999997</v>
      </c>
      <c r="X205">
        <v>0</v>
      </c>
      <c r="Y205">
        <v>9.344798299999999</v>
      </c>
      <c r="Z205">
        <v>108.5590256</v>
      </c>
      <c r="AA205">
        <v>3</v>
      </c>
      <c r="AB205">
        <v>0</v>
      </c>
      <c r="AC205" t="s">
        <v>170</v>
      </c>
      <c r="AD205">
        <v>9</v>
      </c>
      <c r="AE205" t="s">
        <v>1390</v>
      </c>
      <c r="AF205">
        <v>0</v>
      </c>
      <c r="AG205" t="s">
        <v>310</v>
      </c>
      <c r="AH205">
        <v>1601.4</v>
      </c>
      <c r="AI205">
        <v>0</v>
      </c>
    </row>
    <row r="206" spans="1:35" x14ac:dyDescent="0.3">
      <c r="A206">
        <v>2088</v>
      </c>
      <c r="B206" t="s">
        <v>373</v>
      </c>
      <c r="C206">
        <v>40</v>
      </c>
      <c r="D206" s="3">
        <v>45373.653984756944</v>
      </c>
      <c r="E206" t="s">
        <v>316</v>
      </c>
      <c r="F206" t="s">
        <v>317</v>
      </c>
      <c r="G206">
        <v>1</v>
      </c>
      <c r="H206" t="s">
        <v>310</v>
      </c>
      <c r="I206">
        <v>0</v>
      </c>
      <c r="J206">
        <v>0</v>
      </c>
      <c r="K206">
        <v>0</v>
      </c>
      <c r="L206" t="s">
        <v>310</v>
      </c>
      <c r="M206" t="s">
        <v>310</v>
      </c>
      <c r="N206">
        <v>0</v>
      </c>
      <c r="O206" t="s">
        <v>1395</v>
      </c>
      <c r="P206" t="s">
        <v>1401</v>
      </c>
      <c r="Q206" t="s">
        <v>1400</v>
      </c>
      <c r="R206" t="s">
        <v>1404</v>
      </c>
      <c r="S206" t="s">
        <v>322</v>
      </c>
      <c r="T206" t="s">
        <v>105</v>
      </c>
      <c r="U206">
        <v>9</v>
      </c>
      <c r="V206">
        <v>9</v>
      </c>
      <c r="W206">
        <v>23.448446399999998</v>
      </c>
      <c r="X206">
        <v>9.379912899999999</v>
      </c>
      <c r="Y206">
        <v>12.0086415</v>
      </c>
      <c r="Z206">
        <v>91.94477599999999</v>
      </c>
      <c r="AA206">
        <v>3</v>
      </c>
      <c r="AB206">
        <v>0</v>
      </c>
      <c r="AC206" t="s">
        <v>170</v>
      </c>
      <c r="AD206">
        <v>9</v>
      </c>
      <c r="AE206" t="s">
        <v>1413</v>
      </c>
      <c r="AF206">
        <v>0</v>
      </c>
      <c r="AG206" t="s">
        <v>310</v>
      </c>
      <c r="AH206">
        <v>7718.4</v>
      </c>
      <c r="AI206">
        <v>0</v>
      </c>
    </row>
    <row r="207" spans="1:35" x14ac:dyDescent="0.3">
      <c r="A207">
        <v>2161</v>
      </c>
      <c r="B207" t="s">
        <v>367</v>
      </c>
      <c r="C207">
        <v>41</v>
      </c>
      <c r="D207" s="3">
        <v>45373.658900115741</v>
      </c>
      <c r="E207" t="s">
        <v>316</v>
      </c>
      <c r="F207" t="s">
        <v>317</v>
      </c>
      <c r="G207">
        <v>1</v>
      </c>
      <c r="H207" t="s">
        <v>310</v>
      </c>
      <c r="I207">
        <v>0</v>
      </c>
      <c r="J207">
        <v>0</v>
      </c>
      <c r="K207">
        <v>0</v>
      </c>
      <c r="L207" t="s">
        <v>310</v>
      </c>
      <c r="M207" t="s">
        <v>310</v>
      </c>
      <c r="N207">
        <v>0</v>
      </c>
      <c r="O207" t="s">
        <v>311</v>
      </c>
      <c r="P207" t="s">
        <v>240</v>
      </c>
      <c r="Q207" t="s">
        <v>1399</v>
      </c>
      <c r="R207" t="s">
        <v>1405</v>
      </c>
      <c r="S207" t="s">
        <v>202</v>
      </c>
      <c r="T207" t="s">
        <v>1407</v>
      </c>
      <c r="U207">
        <v>0</v>
      </c>
      <c r="V207">
        <v>0</v>
      </c>
      <c r="W207">
        <v>1.6282983</v>
      </c>
      <c r="X207">
        <v>25.402569999999997</v>
      </c>
      <c r="Y207">
        <v>11.654507199999999</v>
      </c>
      <c r="Z207">
        <v>86.385257600000003</v>
      </c>
      <c r="AA207">
        <v>0</v>
      </c>
      <c r="AB207">
        <v>1</v>
      </c>
      <c r="AC207" t="s">
        <v>174</v>
      </c>
      <c r="AD207">
        <v>0</v>
      </c>
      <c r="AE207" t="s">
        <v>1414</v>
      </c>
      <c r="AF207">
        <v>80000000</v>
      </c>
      <c r="AG207" t="s">
        <v>310</v>
      </c>
      <c r="AH207">
        <v>5016.41</v>
      </c>
      <c r="AI207">
        <v>0</v>
      </c>
    </row>
    <row r="208" spans="1:35" x14ac:dyDescent="0.3">
      <c r="A208">
        <v>2162</v>
      </c>
      <c r="B208" t="s">
        <v>1315</v>
      </c>
      <c r="C208">
        <v>41</v>
      </c>
      <c r="D208" s="3">
        <v>45373.6589002662</v>
      </c>
      <c r="E208" t="s">
        <v>316</v>
      </c>
      <c r="F208" t="s">
        <v>317</v>
      </c>
      <c r="G208">
        <v>1</v>
      </c>
      <c r="H208" t="s">
        <v>310</v>
      </c>
      <c r="I208">
        <v>0</v>
      </c>
      <c r="J208">
        <v>0</v>
      </c>
      <c r="K208">
        <v>0</v>
      </c>
      <c r="L208" t="s">
        <v>310</v>
      </c>
      <c r="M208" t="s">
        <v>310</v>
      </c>
      <c r="N208">
        <v>0</v>
      </c>
      <c r="O208" t="s">
        <v>1391</v>
      </c>
      <c r="P208" t="s">
        <v>101</v>
      </c>
      <c r="Q208" t="s">
        <v>1400</v>
      </c>
      <c r="R208" t="s">
        <v>1404</v>
      </c>
      <c r="S208" t="s">
        <v>322</v>
      </c>
      <c r="T208" t="s">
        <v>105</v>
      </c>
      <c r="U208">
        <v>9</v>
      </c>
      <c r="V208">
        <v>9</v>
      </c>
      <c r="W208">
        <v>12.060832</v>
      </c>
      <c r="X208">
        <v>24.739870799999998</v>
      </c>
      <c r="Y208">
        <v>72.947005300000001</v>
      </c>
      <c r="Z208">
        <v>28.5574941</v>
      </c>
      <c r="AA208">
        <v>0</v>
      </c>
      <c r="AB208">
        <v>0</v>
      </c>
      <c r="AC208" t="s">
        <v>171</v>
      </c>
      <c r="AD208">
        <v>9</v>
      </c>
      <c r="AE208" t="s">
        <v>1413</v>
      </c>
      <c r="AF208">
        <v>100000000</v>
      </c>
      <c r="AG208" t="s">
        <v>310</v>
      </c>
      <c r="AH208">
        <v>1511.41</v>
      </c>
      <c r="AI208">
        <v>0</v>
      </c>
    </row>
    <row r="209" spans="1:35" x14ac:dyDescent="0.3">
      <c r="A209">
        <v>2163</v>
      </c>
      <c r="B209" t="s">
        <v>1295</v>
      </c>
      <c r="C209">
        <v>41</v>
      </c>
      <c r="D209" s="3">
        <v>45373.658900381946</v>
      </c>
      <c r="E209" t="s">
        <v>316</v>
      </c>
      <c r="F209" t="s">
        <v>317</v>
      </c>
      <c r="G209">
        <v>1</v>
      </c>
      <c r="H209" t="s">
        <v>310</v>
      </c>
      <c r="I209">
        <v>0</v>
      </c>
      <c r="J209">
        <v>0</v>
      </c>
      <c r="K209">
        <v>0</v>
      </c>
      <c r="L209" t="s">
        <v>310</v>
      </c>
      <c r="M209" t="s">
        <v>310</v>
      </c>
      <c r="N209">
        <v>0</v>
      </c>
      <c r="O209" t="s">
        <v>319</v>
      </c>
      <c r="P209" t="s">
        <v>1401</v>
      </c>
      <c r="Q209" t="s">
        <v>1400</v>
      </c>
      <c r="R209" t="s">
        <v>1404</v>
      </c>
      <c r="S209" t="s">
        <v>1411</v>
      </c>
      <c r="T209" t="s">
        <v>105</v>
      </c>
      <c r="U209">
        <v>9</v>
      </c>
      <c r="V209">
        <v>9</v>
      </c>
      <c r="W209">
        <v>0</v>
      </c>
      <c r="X209">
        <v>37.163894299999995</v>
      </c>
      <c r="Y209">
        <v>18.206879199999999</v>
      </c>
      <c r="Z209">
        <v>71.460311300000001</v>
      </c>
      <c r="AA209">
        <v>0</v>
      </c>
      <c r="AB209">
        <v>0</v>
      </c>
      <c r="AC209" t="s">
        <v>174</v>
      </c>
      <c r="AD209">
        <v>9</v>
      </c>
      <c r="AE209" t="s">
        <v>1388</v>
      </c>
      <c r="AF209">
        <v>90002000</v>
      </c>
      <c r="AG209" t="s">
        <v>310</v>
      </c>
      <c r="AH209">
        <v>6300.41</v>
      </c>
      <c r="AI209">
        <v>0</v>
      </c>
    </row>
    <row r="210" spans="1:35" x14ac:dyDescent="0.3">
      <c r="A210">
        <v>2164</v>
      </c>
      <c r="B210" t="s">
        <v>365</v>
      </c>
      <c r="C210">
        <v>41</v>
      </c>
      <c r="D210" s="3">
        <v>45373.658900497685</v>
      </c>
      <c r="E210" t="s">
        <v>316</v>
      </c>
      <c r="F210" t="s">
        <v>317</v>
      </c>
      <c r="G210">
        <v>1</v>
      </c>
      <c r="H210" t="s">
        <v>310</v>
      </c>
      <c r="I210">
        <v>0</v>
      </c>
      <c r="J210">
        <v>0</v>
      </c>
      <c r="K210">
        <v>0</v>
      </c>
      <c r="L210" t="s">
        <v>310</v>
      </c>
      <c r="M210" t="s">
        <v>310</v>
      </c>
      <c r="N210">
        <v>0</v>
      </c>
      <c r="O210" t="s">
        <v>1393</v>
      </c>
      <c r="P210" t="s">
        <v>240</v>
      </c>
      <c r="Q210" t="s">
        <v>1399</v>
      </c>
      <c r="R210" t="s">
        <v>1405</v>
      </c>
      <c r="S210" t="s">
        <v>202</v>
      </c>
      <c r="T210" t="s">
        <v>1407</v>
      </c>
      <c r="U210">
        <v>1</v>
      </c>
      <c r="V210">
        <v>1</v>
      </c>
      <c r="W210">
        <v>13.1788346</v>
      </c>
      <c r="X210">
        <v>32.902048600000001</v>
      </c>
      <c r="Y210">
        <v>13.845925699999999</v>
      </c>
      <c r="Z210">
        <v>64.504290299999994</v>
      </c>
      <c r="AA210">
        <v>0</v>
      </c>
      <c r="AB210">
        <v>0</v>
      </c>
      <c r="AC210" t="s">
        <v>174</v>
      </c>
      <c r="AD210">
        <v>1</v>
      </c>
      <c r="AE210" t="s">
        <v>1396</v>
      </c>
      <c r="AF210">
        <v>80000000</v>
      </c>
      <c r="AG210" t="s">
        <v>310</v>
      </c>
      <c r="AH210">
        <v>3171.41</v>
      </c>
      <c r="AI210">
        <v>0</v>
      </c>
    </row>
    <row r="211" spans="1:35" x14ac:dyDescent="0.3">
      <c r="A211">
        <v>2165</v>
      </c>
      <c r="B211" t="s">
        <v>1284</v>
      </c>
      <c r="C211">
        <v>41</v>
      </c>
      <c r="D211" s="3">
        <v>45373.658900578703</v>
      </c>
      <c r="E211" t="s">
        <v>316</v>
      </c>
      <c r="F211" t="s">
        <v>317</v>
      </c>
      <c r="G211">
        <v>1</v>
      </c>
      <c r="H211" t="s">
        <v>310</v>
      </c>
      <c r="I211">
        <v>0</v>
      </c>
      <c r="J211">
        <v>0</v>
      </c>
      <c r="K211">
        <v>0</v>
      </c>
      <c r="L211" t="s">
        <v>310</v>
      </c>
      <c r="M211" t="s">
        <v>310</v>
      </c>
      <c r="N211">
        <v>0</v>
      </c>
      <c r="O211" t="s">
        <v>1389</v>
      </c>
      <c r="P211" t="s">
        <v>1401</v>
      </c>
      <c r="Q211" t="s">
        <v>1400</v>
      </c>
      <c r="R211" t="s">
        <v>1404</v>
      </c>
      <c r="S211" t="s">
        <v>1411</v>
      </c>
      <c r="T211" t="s">
        <v>105</v>
      </c>
      <c r="U211">
        <v>9</v>
      </c>
      <c r="V211">
        <v>9</v>
      </c>
      <c r="W211">
        <v>0</v>
      </c>
      <c r="X211">
        <v>33.268647099999995</v>
      </c>
      <c r="Y211">
        <v>24.0217481</v>
      </c>
      <c r="Z211">
        <v>76.400568800000002</v>
      </c>
      <c r="AA211">
        <v>0</v>
      </c>
      <c r="AB211">
        <v>0</v>
      </c>
      <c r="AC211" t="s">
        <v>174</v>
      </c>
      <c r="AD211">
        <v>9</v>
      </c>
      <c r="AE211" t="s">
        <v>1390</v>
      </c>
      <c r="AF211">
        <v>40000000</v>
      </c>
      <c r="AG211" t="s">
        <v>310</v>
      </c>
      <c r="AH211">
        <v>5590.41</v>
      </c>
      <c r="AI211">
        <v>0</v>
      </c>
    </row>
    <row r="212" spans="1:35" x14ac:dyDescent="0.3">
      <c r="A212">
        <v>2166</v>
      </c>
      <c r="B212" t="s">
        <v>1314</v>
      </c>
      <c r="C212">
        <v>41</v>
      </c>
      <c r="D212" s="3">
        <v>45373.658900694441</v>
      </c>
      <c r="E212" t="s">
        <v>316</v>
      </c>
      <c r="F212" t="s">
        <v>317</v>
      </c>
      <c r="G212">
        <v>1</v>
      </c>
      <c r="H212" t="s">
        <v>310</v>
      </c>
      <c r="I212">
        <v>0</v>
      </c>
      <c r="J212">
        <v>0</v>
      </c>
      <c r="K212">
        <v>0</v>
      </c>
      <c r="L212" t="s">
        <v>310</v>
      </c>
      <c r="M212" t="s">
        <v>310</v>
      </c>
      <c r="N212">
        <v>0</v>
      </c>
      <c r="O212" t="s">
        <v>1395</v>
      </c>
      <c r="P212" t="s">
        <v>101</v>
      </c>
      <c r="Q212" t="s">
        <v>1400</v>
      </c>
      <c r="R212" t="s">
        <v>1405</v>
      </c>
      <c r="S212" t="s">
        <v>202</v>
      </c>
      <c r="T212" t="s">
        <v>1407</v>
      </c>
      <c r="U212">
        <v>1</v>
      </c>
      <c r="V212">
        <v>1</v>
      </c>
      <c r="W212">
        <v>15.869890499999999</v>
      </c>
      <c r="X212">
        <v>34.116684100000001</v>
      </c>
      <c r="Y212">
        <v>19.707434299999999</v>
      </c>
      <c r="Z212">
        <v>57.468087099999998</v>
      </c>
      <c r="AA212">
        <v>0</v>
      </c>
      <c r="AB212">
        <v>0</v>
      </c>
      <c r="AC212" t="s">
        <v>174</v>
      </c>
      <c r="AD212">
        <v>9</v>
      </c>
      <c r="AE212" t="s">
        <v>1412</v>
      </c>
      <c r="AF212">
        <v>100000000</v>
      </c>
      <c r="AG212" t="s">
        <v>310</v>
      </c>
      <c r="AH212">
        <v>3419.41</v>
      </c>
      <c r="AI212">
        <v>0</v>
      </c>
    </row>
    <row r="213" spans="1:35" x14ac:dyDescent="0.3">
      <c r="A213">
        <v>2203</v>
      </c>
      <c r="B213" t="s">
        <v>1278</v>
      </c>
      <c r="C213">
        <v>42</v>
      </c>
      <c r="D213" s="3">
        <v>45373.669458414355</v>
      </c>
      <c r="E213" t="s">
        <v>316</v>
      </c>
      <c r="F213" t="s">
        <v>317</v>
      </c>
      <c r="G213">
        <v>1</v>
      </c>
      <c r="H213" t="s">
        <v>310</v>
      </c>
      <c r="I213">
        <v>0</v>
      </c>
      <c r="J213">
        <v>0</v>
      </c>
      <c r="K213">
        <v>0</v>
      </c>
      <c r="L213" t="s">
        <v>310</v>
      </c>
      <c r="M213" t="s">
        <v>310</v>
      </c>
      <c r="N213">
        <v>0</v>
      </c>
      <c r="O213" t="s">
        <v>311</v>
      </c>
      <c r="P213" t="s">
        <v>240</v>
      </c>
      <c r="Q213" t="s">
        <v>1399</v>
      </c>
      <c r="R213" t="s">
        <v>1405</v>
      </c>
      <c r="S213" t="s">
        <v>202</v>
      </c>
      <c r="T213" t="s">
        <v>1407</v>
      </c>
      <c r="U213">
        <v>0</v>
      </c>
      <c r="V213">
        <v>0</v>
      </c>
      <c r="W213">
        <v>13.401881699999999</v>
      </c>
      <c r="X213">
        <v>0</v>
      </c>
      <c r="Y213">
        <v>23.109821999999998</v>
      </c>
      <c r="Z213">
        <v>97.468392100000003</v>
      </c>
      <c r="AA213">
        <v>3</v>
      </c>
      <c r="AB213">
        <v>0</v>
      </c>
      <c r="AC213" t="s">
        <v>170</v>
      </c>
      <c r="AD213">
        <v>0</v>
      </c>
      <c r="AE213" t="s">
        <v>1388</v>
      </c>
      <c r="AF213">
        <v>30100000</v>
      </c>
      <c r="AG213" t="s">
        <v>310</v>
      </c>
      <c r="AH213">
        <v>3951.42</v>
      </c>
      <c r="AI213">
        <v>0</v>
      </c>
    </row>
    <row r="214" spans="1:35" x14ac:dyDescent="0.3">
      <c r="A214">
        <v>2204</v>
      </c>
      <c r="B214" t="s">
        <v>1306</v>
      </c>
      <c r="C214">
        <v>42</v>
      </c>
      <c r="D214" s="3">
        <v>45373.669458564815</v>
      </c>
      <c r="E214" t="s">
        <v>316</v>
      </c>
      <c r="F214" t="s">
        <v>317</v>
      </c>
      <c r="G214">
        <v>0</v>
      </c>
      <c r="H214" t="s">
        <v>310</v>
      </c>
      <c r="I214">
        <v>0</v>
      </c>
      <c r="J214">
        <v>0</v>
      </c>
      <c r="K214">
        <v>0</v>
      </c>
      <c r="L214" t="s">
        <v>310</v>
      </c>
      <c r="M214" t="s">
        <v>310</v>
      </c>
      <c r="N214">
        <v>0</v>
      </c>
      <c r="O214" t="s">
        <v>1391</v>
      </c>
      <c r="P214" t="s">
        <v>320</v>
      </c>
      <c r="Q214" t="s">
        <v>1400</v>
      </c>
      <c r="R214" t="s">
        <v>321</v>
      </c>
      <c r="S214" t="s">
        <v>1411</v>
      </c>
      <c r="T214" t="s">
        <v>105</v>
      </c>
      <c r="U214">
        <v>9</v>
      </c>
      <c r="V214">
        <v>9</v>
      </c>
      <c r="W214">
        <v>0</v>
      </c>
      <c r="X214">
        <v>0</v>
      </c>
      <c r="Y214">
        <v>0</v>
      </c>
      <c r="Z214">
        <v>135.2196031</v>
      </c>
      <c r="AA214">
        <v>0</v>
      </c>
      <c r="AB214">
        <v>0</v>
      </c>
      <c r="AC214" t="s">
        <v>167</v>
      </c>
      <c r="AD214">
        <v>9</v>
      </c>
      <c r="AE214" t="s">
        <v>1412</v>
      </c>
      <c r="AF214">
        <v>0</v>
      </c>
      <c r="AG214" t="s">
        <v>310</v>
      </c>
      <c r="AH214">
        <v>3986.42</v>
      </c>
      <c r="AI214">
        <v>0</v>
      </c>
    </row>
    <row r="215" spans="1:35" x14ac:dyDescent="0.3">
      <c r="A215">
        <v>2205</v>
      </c>
      <c r="B215" t="s">
        <v>1294</v>
      </c>
      <c r="C215">
        <v>42</v>
      </c>
      <c r="D215" s="3">
        <v>45373.669458761571</v>
      </c>
      <c r="E215" t="s">
        <v>316</v>
      </c>
      <c r="F215" t="s">
        <v>317</v>
      </c>
      <c r="G215">
        <v>1</v>
      </c>
      <c r="H215" t="s">
        <v>310</v>
      </c>
      <c r="I215">
        <v>0</v>
      </c>
      <c r="J215">
        <v>0</v>
      </c>
      <c r="K215">
        <v>0</v>
      </c>
      <c r="L215" t="s">
        <v>310</v>
      </c>
      <c r="M215" t="s">
        <v>310</v>
      </c>
      <c r="N215">
        <v>0</v>
      </c>
      <c r="O215" t="s">
        <v>319</v>
      </c>
      <c r="P215" t="s">
        <v>101</v>
      </c>
      <c r="Q215" t="s">
        <v>1400</v>
      </c>
      <c r="R215" t="s">
        <v>1404</v>
      </c>
      <c r="S215" t="s">
        <v>1411</v>
      </c>
      <c r="T215" t="s">
        <v>105</v>
      </c>
      <c r="U215">
        <v>9</v>
      </c>
      <c r="V215">
        <v>9</v>
      </c>
      <c r="W215">
        <v>0</v>
      </c>
      <c r="X215">
        <v>10.608098399999999</v>
      </c>
      <c r="Y215">
        <v>23.518185199999998</v>
      </c>
      <c r="Z215">
        <v>97.677280499999995</v>
      </c>
      <c r="AA215">
        <v>0</v>
      </c>
      <c r="AB215">
        <v>1</v>
      </c>
      <c r="AC215" t="s">
        <v>174</v>
      </c>
      <c r="AD215">
        <v>9</v>
      </c>
      <c r="AE215" t="s">
        <v>1414</v>
      </c>
      <c r="AF215">
        <v>60500000</v>
      </c>
      <c r="AG215" t="s">
        <v>310</v>
      </c>
      <c r="AH215">
        <v>9076.42</v>
      </c>
      <c r="AI215">
        <v>0</v>
      </c>
    </row>
    <row r="216" spans="1:35" x14ac:dyDescent="0.3">
      <c r="A216">
        <v>2206</v>
      </c>
      <c r="B216" t="s">
        <v>1285</v>
      </c>
      <c r="C216">
        <v>42</v>
      </c>
      <c r="D216" s="3">
        <v>45373.669458912038</v>
      </c>
      <c r="E216" t="s">
        <v>316</v>
      </c>
      <c r="F216" t="s">
        <v>317</v>
      </c>
      <c r="G216">
        <v>1</v>
      </c>
      <c r="H216" t="s">
        <v>310</v>
      </c>
      <c r="I216">
        <v>0</v>
      </c>
      <c r="J216">
        <v>0</v>
      </c>
      <c r="K216">
        <v>0</v>
      </c>
      <c r="L216" t="s">
        <v>310</v>
      </c>
      <c r="M216" t="s">
        <v>310</v>
      </c>
      <c r="N216">
        <v>0</v>
      </c>
      <c r="O216" t="s">
        <v>1393</v>
      </c>
      <c r="P216" t="s">
        <v>240</v>
      </c>
      <c r="Q216" t="s">
        <v>1399</v>
      </c>
      <c r="R216" t="s">
        <v>1404</v>
      </c>
      <c r="S216" t="s">
        <v>322</v>
      </c>
      <c r="T216" t="s">
        <v>105</v>
      </c>
      <c r="U216">
        <v>9</v>
      </c>
      <c r="V216">
        <v>9</v>
      </c>
      <c r="W216">
        <v>12.277265999999999</v>
      </c>
      <c r="X216">
        <v>17.848417999999999</v>
      </c>
      <c r="Y216">
        <v>12.4399003</v>
      </c>
      <c r="Z216">
        <v>92.042836699999995</v>
      </c>
      <c r="AA216">
        <v>0</v>
      </c>
      <c r="AB216">
        <v>0</v>
      </c>
      <c r="AC216" t="s">
        <v>174</v>
      </c>
      <c r="AD216">
        <v>0</v>
      </c>
      <c r="AE216" t="s">
        <v>1396</v>
      </c>
      <c r="AF216">
        <v>70000000</v>
      </c>
      <c r="AG216" t="s">
        <v>310</v>
      </c>
      <c r="AH216">
        <v>5993.42</v>
      </c>
      <c r="AI216">
        <v>0</v>
      </c>
    </row>
    <row r="217" spans="1:35" x14ac:dyDescent="0.3">
      <c r="A217">
        <v>2207</v>
      </c>
      <c r="B217" t="s">
        <v>1302</v>
      </c>
      <c r="C217">
        <v>42</v>
      </c>
      <c r="D217" s="3">
        <v>45373.669459108794</v>
      </c>
      <c r="E217" t="s">
        <v>316</v>
      </c>
      <c r="F217" t="s">
        <v>317</v>
      </c>
      <c r="G217">
        <v>1</v>
      </c>
      <c r="H217" t="s">
        <v>310</v>
      </c>
      <c r="I217">
        <v>0</v>
      </c>
      <c r="J217">
        <v>0</v>
      </c>
      <c r="K217">
        <v>0</v>
      </c>
      <c r="L217" t="s">
        <v>310</v>
      </c>
      <c r="M217" t="s">
        <v>310</v>
      </c>
      <c r="N217">
        <v>0</v>
      </c>
      <c r="O217" t="s">
        <v>1389</v>
      </c>
      <c r="P217" t="s">
        <v>320</v>
      </c>
      <c r="Q217" t="s">
        <v>1400</v>
      </c>
      <c r="R217" t="s">
        <v>1404</v>
      </c>
      <c r="S217" t="s">
        <v>322</v>
      </c>
      <c r="T217" t="s">
        <v>105</v>
      </c>
      <c r="U217">
        <v>9</v>
      </c>
      <c r="V217">
        <v>9</v>
      </c>
      <c r="W217">
        <v>5.3163337999999998</v>
      </c>
      <c r="X217">
        <v>39.751121399999995</v>
      </c>
      <c r="Y217">
        <v>25.200758199999999</v>
      </c>
      <c r="Z217">
        <v>69.879162899999997</v>
      </c>
      <c r="AA217">
        <v>0</v>
      </c>
      <c r="AB217">
        <v>0</v>
      </c>
      <c r="AC217" t="s">
        <v>174</v>
      </c>
      <c r="AD217">
        <v>9</v>
      </c>
      <c r="AE217" t="s">
        <v>1390</v>
      </c>
      <c r="AF217">
        <v>10000000</v>
      </c>
      <c r="AG217" t="s">
        <v>310</v>
      </c>
      <c r="AH217">
        <v>2095.42</v>
      </c>
      <c r="AI217">
        <v>0</v>
      </c>
    </row>
    <row r="218" spans="1:35" x14ac:dyDescent="0.3">
      <c r="A218">
        <v>2208</v>
      </c>
      <c r="B218" t="s">
        <v>1292</v>
      </c>
      <c r="C218">
        <v>42</v>
      </c>
      <c r="D218" s="3">
        <v>45373.669459259261</v>
      </c>
      <c r="E218" t="s">
        <v>316</v>
      </c>
      <c r="F218" t="s">
        <v>317</v>
      </c>
      <c r="G218">
        <v>0</v>
      </c>
      <c r="H218" t="s">
        <v>310</v>
      </c>
      <c r="I218">
        <v>0</v>
      </c>
      <c r="J218">
        <v>0</v>
      </c>
      <c r="K218">
        <v>0</v>
      </c>
      <c r="L218" t="s">
        <v>310</v>
      </c>
      <c r="M218" t="s">
        <v>310</v>
      </c>
      <c r="N218">
        <v>0</v>
      </c>
      <c r="O218" t="s">
        <v>1395</v>
      </c>
      <c r="P218" t="s">
        <v>1401</v>
      </c>
      <c r="Q218" t="s">
        <v>1400</v>
      </c>
      <c r="R218" t="s">
        <v>1404</v>
      </c>
      <c r="S218" t="s">
        <v>1411</v>
      </c>
      <c r="T218" t="s">
        <v>105</v>
      </c>
      <c r="U218">
        <v>9</v>
      </c>
      <c r="V218">
        <v>9</v>
      </c>
      <c r="W218">
        <v>0</v>
      </c>
      <c r="X218">
        <v>0.3778261</v>
      </c>
      <c r="Y218">
        <v>105.58822149999999</v>
      </c>
      <c r="Z218">
        <v>27.662361299999997</v>
      </c>
      <c r="AA218">
        <v>3</v>
      </c>
      <c r="AB218">
        <v>0</v>
      </c>
      <c r="AC218" t="s">
        <v>170</v>
      </c>
      <c r="AD218">
        <v>9</v>
      </c>
      <c r="AE218" t="s">
        <v>1413</v>
      </c>
      <c r="AF218">
        <v>0</v>
      </c>
      <c r="AG218" t="s">
        <v>310</v>
      </c>
      <c r="AH218">
        <v>7030.42</v>
      </c>
      <c r="AI218">
        <v>0</v>
      </c>
    </row>
    <row r="219" spans="1:35" x14ac:dyDescent="0.3">
      <c r="A219">
        <v>2263</v>
      </c>
      <c r="B219" t="s">
        <v>1289</v>
      </c>
      <c r="C219">
        <v>43</v>
      </c>
      <c r="D219" s="3">
        <v>45373.678882604167</v>
      </c>
      <c r="E219" t="s">
        <v>316</v>
      </c>
      <c r="F219" t="s">
        <v>317</v>
      </c>
      <c r="G219">
        <v>1</v>
      </c>
      <c r="H219" t="s">
        <v>310</v>
      </c>
      <c r="I219">
        <v>0</v>
      </c>
      <c r="J219">
        <v>0</v>
      </c>
      <c r="K219">
        <v>0</v>
      </c>
      <c r="L219" t="s">
        <v>310</v>
      </c>
      <c r="M219" t="s">
        <v>310</v>
      </c>
      <c r="N219">
        <v>0</v>
      </c>
      <c r="O219" t="s">
        <v>311</v>
      </c>
      <c r="P219" t="s">
        <v>320</v>
      </c>
      <c r="Q219" t="s">
        <v>1400</v>
      </c>
      <c r="R219" t="s">
        <v>1404</v>
      </c>
      <c r="S219" t="s">
        <v>1411</v>
      </c>
      <c r="T219" t="s">
        <v>105</v>
      </c>
      <c r="U219">
        <v>9</v>
      </c>
      <c r="V219">
        <v>9</v>
      </c>
      <c r="W219">
        <v>0</v>
      </c>
      <c r="X219">
        <v>0</v>
      </c>
      <c r="Y219">
        <v>0</v>
      </c>
      <c r="Z219">
        <v>133.63077239999998</v>
      </c>
      <c r="AA219">
        <v>0</v>
      </c>
      <c r="AB219">
        <v>0</v>
      </c>
      <c r="AC219" t="s">
        <v>167</v>
      </c>
      <c r="AD219">
        <v>9</v>
      </c>
      <c r="AE219" t="s">
        <v>1418</v>
      </c>
      <c r="AF219">
        <v>0</v>
      </c>
      <c r="AG219" t="s">
        <v>310</v>
      </c>
      <c r="AH219">
        <v>6648.43</v>
      </c>
      <c r="AI219">
        <v>0</v>
      </c>
    </row>
    <row r="220" spans="1:35" x14ac:dyDescent="0.3">
      <c r="A220">
        <v>2264</v>
      </c>
      <c r="B220" t="s">
        <v>363</v>
      </c>
      <c r="C220">
        <v>43</v>
      </c>
      <c r="D220" s="3">
        <v>45373.678882754626</v>
      </c>
      <c r="E220" t="s">
        <v>316</v>
      </c>
      <c r="F220" t="s">
        <v>317</v>
      </c>
      <c r="G220">
        <v>1</v>
      </c>
      <c r="H220" t="s">
        <v>310</v>
      </c>
      <c r="I220">
        <v>0</v>
      </c>
      <c r="J220">
        <v>0</v>
      </c>
      <c r="K220">
        <v>0</v>
      </c>
      <c r="L220" t="s">
        <v>310</v>
      </c>
      <c r="M220" t="s">
        <v>310</v>
      </c>
      <c r="N220">
        <v>0</v>
      </c>
      <c r="O220" t="s">
        <v>1391</v>
      </c>
      <c r="P220" t="s">
        <v>240</v>
      </c>
      <c r="Q220" t="s">
        <v>1399</v>
      </c>
      <c r="R220" t="s">
        <v>1404</v>
      </c>
      <c r="S220" t="s">
        <v>322</v>
      </c>
      <c r="T220" t="s">
        <v>105</v>
      </c>
      <c r="U220">
        <v>9</v>
      </c>
      <c r="V220">
        <v>9</v>
      </c>
      <c r="W220">
        <v>1.7473841999999999</v>
      </c>
      <c r="X220">
        <v>40.416118399999995</v>
      </c>
      <c r="Y220">
        <v>37.210791</v>
      </c>
      <c r="Z220">
        <v>55.8114542</v>
      </c>
      <c r="AA220">
        <v>0</v>
      </c>
      <c r="AB220">
        <v>0</v>
      </c>
      <c r="AC220" t="s">
        <v>174</v>
      </c>
      <c r="AD220">
        <v>0</v>
      </c>
      <c r="AE220" t="s">
        <v>1416</v>
      </c>
      <c r="AF220">
        <v>150000000</v>
      </c>
      <c r="AG220" t="s">
        <v>310</v>
      </c>
      <c r="AH220">
        <v>2601.4299999999998</v>
      </c>
      <c r="AI220">
        <v>0</v>
      </c>
    </row>
    <row r="221" spans="1:35" x14ac:dyDescent="0.3">
      <c r="A221">
        <v>2265</v>
      </c>
      <c r="B221" t="s">
        <v>371</v>
      </c>
      <c r="C221">
        <v>43</v>
      </c>
      <c r="D221" s="3">
        <v>45373.678882870372</v>
      </c>
      <c r="E221" t="s">
        <v>316</v>
      </c>
      <c r="F221" t="s">
        <v>317</v>
      </c>
      <c r="G221">
        <v>0</v>
      </c>
      <c r="H221" t="s">
        <v>310</v>
      </c>
      <c r="I221">
        <v>0</v>
      </c>
      <c r="J221">
        <v>0</v>
      </c>
      <c r="K221">
        <v>0</v>
      </c>
      <c r="L221" t="s">
        <v>310</v>
      </c>
      <c r="M221" t="s">
        <v>310</v>
      </c>
      <c r="N221">
        <v>0</v>
      </c>
      <c r="O221" t="s">
        <v>319</v>
      </c>
      <c r="P221" t="s">
        <v>320</v>
      </c>
      <c r="Q221" t="s">
        <v>1400</v>
      </c>
      <c r="R221" t="s">
        <v>1404</v>
      </c>
      <c r="S221" t="s">
        <v>1411</v>
      </c>
      <c r="T221" t="s">
        <v>105</v>
      </c>
      <c r="U221">
        <v>9</v>
      </c>
      <c r="V221">
        <v>9</v>
      </c>
      <c r="W221">
        <v>0</v>
      </c>
      <c r="X221">
        <v>0</v>
      </c>
      <c r="Y221">
        <v>31.424327299999998</v>
      </c>
      <c r="Z221">
        <v>101.81566599999999</v>
      </c>
      <c r="AA221">
        <v>1</v>
      </c>
      <c r="AB221">
        <v>2</v>
      </c>
      <c r="AC221" t="s">
        <v>170</v>
      </c>
      <c r="AD221">
        <v>9</v>
      </c>
      <c r="AE221" t="s">
        <v>1414</v>
      </c>
      <c r="AF221">
        <v>0</v>
      </c>
      <c r="AG221" t="s">
        <v>310</v>
      </c>
      <c r="AH221">
        <v>6969.43</v>
      </c>
      <c r="AI221">
        <v>0</v>
      </c>
    </row>
    <row r="222" spans="1:35" x14ac:dyDescent="0.3">
      <c r="A222">
        <v>2266</v>
      </c>
      <c r="B222" t="s">
        <v>1308</v>
      </c>
      <c r="C222">
        <v>43</v>
      </c>
      <c r="D222" s="3">
        <v>45373.67888295139</v>
      </c>
      <c r="E222" t="s">
        <v>316</v>
      </c>
      <c r="F222" t="s">
        <v>317</v>
      </c>
      <c r="G222">
        <v>1</v>
      </c>
      <c r="H222" t="s">
        <v>310</v>
      </c>
      <c r="I222">
        <v>0</v>
      </c>
      <c r="J222">
        <v>0</v>
      </c>
      <c r="K222">
        <v>0</v>
      </c>
      <c r="L222" t="s">
        <v>310</v>
      </c>
      <c r="M222" t="s">
        <v>310</v>
      </c>
      <c r="N222">
        <v>0</v>
      </c>
      <c r="O222" t="s">
        <v>1393</v>
      </c>
      <c r="P222" t="s">
        <v>1401</v>
      </c>
      <c r="Q222" t="s">
        <v>1399</v>
      </c>
      <c r="R222" t="s">
        <v>1405</v>
      </c>
      <c r="S222" t="s">
        <v>202</v>
      </c>
      <c r="T222" t="s">
        <v>1407</v>
      </c>
      <c r="U222">
        <v>1</v>
      </c>
      <c r="V222">
        <v>0</v>
      </c>
      <c r="W222">
        <v>5.3785224999999999</v>
      </c>
      <c r="X222">
        <v>53.726227199999997</v>
      </c>
      <c r="Y222">
        <v>19.061931299999998</v>
      </c>
      <c r="Z222">
        <v>52.378467399999998</v>
      </c>
      <c r="AA222">
        <v>0</v>
      </c>
      <c r="AB222">
        <v>1</v>
      </c>
      <c r="AC222" t="s">
        <v>174</v>
      </c>
      <c r="AD222">
        <v>0</v>
      </c>
      <c r="AE222" t="s">
        <v>1412</v>
      </c>
      <c r="AF222">
        <v>100000000</v>
      </c>
      <c r="AG222" t="s">
        <v>310</v>
      </c>
      <c r="AH222">
        <v>3799.43</v>
      </c>
      <c r="AI222">
        <v>0</v>
      </c>
    </row>
    <row r="223" spans="1:35" x14ac:dyDescent="0.3">
      <c r="A223">
        <v>2267</v>
      </c>
      <c r="B223" t="s">
        <v>1280</v>
      </c>
      <c r="C223">
        <v>43</v>
      </c>
      <c r="D223" s="3">
        <v>45373.678883067128</v>
      </c>
      <c r="E223" t="s">
        <v>316</v>
      </c>
      <c r="F223" t="s">
        <v>317</v>
      </c>
      <c r="G223">
        <v>1</v>
      </c>
      <c r="H223" t="s">
        <v>310</v>
      </c>
      <c r="I223">
        <v>0</v>
      </c>
      <c r="J223">
        <v>0</v>
      </c>
      <c r="K223">
        <v>0</v>
      </c>
      <c r="L223" t="s">
        <v>310</v>
      </c>
      <c r="M223" t="s">
        <v>310</v>
      </c>
      <c r="N223">
        <v>0</v>
      </c>
      <c r="O223" t="s">
        <v>1389</v>
      </c>
      <c r="P223" t="s">
        <v>320</v>
      </c>
      <c r="Q223" t="s">
        <v>1400</v>
      </c>
      <c r="R223" t="s">
        <v>1405</v>
      </c>
      <c r="S223" t="s">
        <v>202</v>
      </c>
      <c r="T223" t="s">
        <v>1407</v>
      </c>
      <c r="U223">
        <v>1</v>
      </c>
      <c r="V223">
        <v>0</v>
      </c>
      <c r="W223">
        <v>8.4375879000000005</v>
      </c>
      <c r="X223">
        <v>14.1201846</v>
      </c>
      <c r="Y223">
        <v>58.882417199999999</v>
      </c>
      <c r="Z223">
        <v>43.583001599999996</v>
      </c>
      <c r="AA223">
        <v>3</v>
      </c>
      <c r="AB223">
        <v>0</v>
      </c>
      <c r="AC223" t="s">
        <v>170</v>
      </c>
      <c r="AD223">
        <v>9</v>
      </c>
      <c r="AE223" t="s">
        <v>1417</v>
      </c>
      <c r="AF223">
        <v>0</v>
      </c>
      <c r="AG223" t="s">
        <v>310</v>
      </c>
      <c r="AH223">
        <v>1559.43</v>
      </c>
      <c r="AI223">
        <v>0</v>
      </c>
    </row>
    <row r="224" spans="1:35" x14ac:dyDescent="0.3">
      <c r="A224">
        <v>2268</v>
      </c>
      <c r="B224" t="s">
        <v>366</v>
      </c>
      <c r="C224">
        <v>43</v>
      </c>
      <c r="D224" s="3">
        <v>45373.678883182867</v>
      </c>
      <c r="E224" t="s">
        <v>316</v>
      </c>
      <c r="F224" t="s">
        <v>317</v>
      </c>
      <c r="G224">
        <v>0</v>
      </c>
      <c r="H224" t="s">
        <v>310</v>
      </c>
      <c r="I224">
        <v>0</v>
      </c>
      <c r="J224">
        <v>0</v>
      </c>
      <c r="K224">
        <v>0</v>
      </c>
      <c r="L224" t="s">
        <v>310</v>
      </c>
      <c r="M224" t="s">
        <v>310</v>
      </c>
      <c r="N224">
        <v>0</v>
      </c>
      <c r="O224" t="s">
        <v>1395</v>
      </c>
      <c r="P224" t="s">
        <v>101</v>
      </c>
      <c r="Q224" t="s">
        <v>1400</v>
      </c>
      <c r="R224" t="s">
        <v>1404</v>
      </c>
      <c r="S224" t="s">
        <v>1411</v>
      </c>
      <c r="T224" t="s">
        <v>105</v>
      </c>
      <c r="U224">
        <v>9</v>
      </c>
      <c r="V224">
        <v>9</v>
      </c>
      <c r="W224">
        <v>0</v>
      </c>
      <c r="X224">
        <v>45.375033099999996</v>
      </c>
      <c r="Y224">
        <v>20.644632599999998</v>
      </c>
      <c r="Z224">
        <v>74.059543599999998</v>
      </c>
      <c r="AA224">
        <v>0</v>
      </c>
      <c r="AB224">
        <v>0</v>
      </c>
      <c r="AC224" t="s">
        <v>174</v>
      </c>
      <c r="AD224">
        <v>9</v>
      </c>
      <c r="AE224" t="s">
        <v>1413</v>
      </c>
      <c r="AF224">
        <v>100000000</v>
      </c>
      <c r="AG224" t="s">
        <v>310</v>
      </c>
      <c r="AH224">
        <v>4122.43</v>
      </c>
      <c r="AI224">
        <v>0</v>
      </c>
    </row>
    <row r="225" spans="1:35" x14ac:dyDescent="0.3">
      <c r="A225">
        <v>2329</v>
      </c>
      <c r="B225" t="s">
        <v>1286</v>
      </c>
      <c r="C225">
        <v>44</v>
      </c>
      <c r="D225" s="3">
        <v>45373.68535482639</v>
      </c>
      <c r="E225" t="s">
        <v>316</v>
      </c>
      <c r="F225" t="s">
        <v>317</v>
      </c>
      <c r="G225">
        <v>1</v>
      </c>
      <c r="H225" t="s">
        <v>310</v>
      </c>
      <c r="I225">
        <v>0</v>
      </c>
      <c r="J225">
        <v>0</v>
      </c>
      <c r="K225">
        <v>0</v>
      </c>
      <c r="L225" t="s">
        <v>310</v>
      </c>
      <c r="M225" t="s">
        <v>310</v>
      </c>
      <c r="N225">
        <v>0</v>
      </c>
      <c r="O225" t="s">
        <v>311</v>
      </c>
      <c r="P225" t="s">
        <v>240</v>
      </c>
      <c r="Q225" t="s">
        <v>1400</v>
      </c>
      <c r="R225" t="s">
        <v>1405</v>
      </c>
      <c r="S225" t="s">
        <v>202</v>
      </c>
      <c r="T225" t="s">
        <v>1406</v>
      </c>
      <c r="U225">
        <v>0</v>
      </c>
      <c r="V225">
        <v>1</v>
      </c>
      <c r="W225">
        <v>12.8681491</v>
      </c>
      <c r="X225">
        <v>40.933058699999997</v>
      </c>
      <c r="Y225">
        <v>25.879414000000001</v>
      </c>
      <c r="Z225">
        <v>45.639090099999997</v>
      </c>
      <c r="AA225">
        <v>0</v>
      </c>
      <c r="AB225">
        <v>0</v>
      </c>
      <c r="AC225" t="s">
        <v>174</v>
      </c>
      <c r="AD225">
        <v>9</v>
      </c>
      <c r="AE225" t="s">
        <v>1412</v>
      </c>
      <c r="AF225">
        <v>100000000</v>
      </c>
      <c r="AG225" t="s">
        <v>310</v>
      </c>
      <c r="AH225">
        <v>1591.44</v>
      </c>
      <c r="AI225">
        <v>0</v>
      </c>
    </row>
    <row r="226" spans="1:35" x14ac:dyDescent="0.3">
      <c r="A226">
        <v>2330</v>
      </c>
      <c r="B226" t="s">
        <v>1298</v>
      </c>
      <c r="C226">
        <v>44</v>
      </c>
      <c r="D226" s="3">
        <v>45373.685355752314</v>
      </c>
      <c r="E226" t="s">
        <v>316</v>
      </c>
      <c r="F226" t="s">
        <v>317</v>
      </c>
      <c r="G226">
        <v>0</v>
      </c>
      <c r="H226" t="s">
        <v>310</v>
      </c>
      <c r="I226">
        <v>0</v>
      </c>
      <c r="J226">
        <v>0</v>
      </c>
      <c r="K226">
        <v>0</v>
      </c>
      <c r="L226" t="s">
        <v>310</v>
      </c>
      <c r="M226" t="s">
        <v>310</v>
      </c>
      <c r="N226">
        <v>0</v>
      </c>
      <c r="O226" t="s">
        <v>1391</v>
      </c>
      <c r="P226" t="s">
        <v>101</v>
      </c>
      <c r="Q226" t="s">
        <v>1400</v>
      </c>
      <c r="R226" t="s">
        <v>1404</v>
      </c>
      <c r="S226" t="s">
        <v>322</v>
      </c>
      <c r="T226" t="s">
        <v>105</v>
      </c>
      <c r="U226">
        <v>9</v>
      </c>
      <c r="V226">
        <v>9</v>
      </c>
      <c r="W226">
        <v>18.371306699999998</v>
      </c>
      <c r="X226">
        <v>47.035472499999997</v>
      </c>
      <c r="Y226">
        <v>21.366734699999999</v>
      </c>
      <c r="Z226">
        <v>47.918423499999996</v>
      </c>
      <c r="AA226">
        <v>0</v>
      </c>
      <c r="AB226">
        <v>0</v>
      </c>
      <c r="AC226" t="s">
        <v>174</v>
      </c>
      <c r="AD226">
        <v>9</v>
      </c>
      <c r="AE226" t="s">
        <v>1418</v>
      </c>
      <c r="AF226">
        <v>50000000</v>
      </c>
      <c r="AG226" t="s">
        <v>310</v>
      </c>
      <c r="AH226">
        <v>9624.44</v>
      </c>
      <c r="AI226">
        <v>0</v>
      </c>
    </row>
    <row r="227" spans="1:35" x14ac:dyDescent="0.3">
      <c r="A227">
        <v>2331</v>
      </c>
      <c r="B227" t="s">
        <v>361</v>
      </c>
      <c r="C227">
        <v>44</v>
      </c>
      <c r="D227" s="3">
        <v>45373.685355937501</v>
      </c>
      <c r="E227" t="s">
        <v>316</v>
      </c>
      <c r="F227" t="s">
        <v>317</v>
      </c>
      <c r="G227">
        <v>1</v>
      </c>
      <c r="H227" t="s">
        <v>310</v>
      </c>
      <c r="I227">
        <v>0</v>
      </c>
      <c r="J227">
        <v>0</v>
      </c>
      <c r="K227">
        <v>0</v>
      </c>
      <c r="L227" t="s">
        <v>310</v>
      </c>
      <c r="M227" t="s">
        <v>310</v>
      </c>
      <c r="N227">
        <v>0</v>
      </c>
      <c r="O227" t="s">
        <v>319</v>
      </c>
      <c r="P227" t="s">
        <v>320</v>
      </c>
      <c r="Q227" t="s">
        <v>1399</v>
      </c>
      <c r="R227" t="s">
        <v>1405</v>
      </c>
      <c r="S227" t="s">
        <v>202</v>
      </c>
      <c r="T227" t="s">
        <v>1406</v>
      </c>
      <c r="U227">
        <v>1</v>
      </c>
      <c r="V227">
        <v>1</v>
      </c>
      <c r="W227">
        <v>7.8254381999999998</v>
      </c>
      <c r="X227">
        <v>46.122160199999996</v>
      </c>
      <c r="Y227">
        <v>13.6626008</v>
      </c>
      <c r="Z227">
        <v>43.225869599999996</v>
      </c>
      <c r="AA227">
        <v>0</v>
      </c>
      <c r="AB227">
        <v>0</v>
      </c>
      <c r="AC227" t="s">
        <v>174</v>
      </c>
      <c r="AD227">
        <v>1</v>
      </c>
      <c r="AE227" t="s">
        <v>1416</v>
      </c>
      <c r="AF227">
        <v>50000000</v>
      </c>
      <c r="AG227" t="s">
        <v>310</v>
      </c>
      <c r="AH227">
        <v>20.440000000000001</v>
      </c>
      <c r="AI227">
        <v>0</v>
      </c>
    </row>
    <row r="228" spans="1:35" x14ac:dyDescent="0.3">
      <c r="A228">
        <v>2332</v>
      </c>
      <c r="B228" t="s">
        <v>1317</v>
      </c>
      <c r="C228">
        <v>44</v>
      </c>
      <c r="D228" s="3">
        <v>45373.685356099537</v>
      </c>
      <c r="E228" t="s">
        <v>316</v>
      </c>
      <c r="F228" t="s">
        <v>317</v>
      </c>
      <c r="G228">
        <v>0</v>
      </c>
      <c r="H228" t="s">
        <v>310</v>
      </c>
      <c r="I228">
        <v>0</v>
      </c>
      <c r="J228">
        <v>0</v>
      </c>
      <c r="K228">
        <v>0</v>
      </c>
      <c r="L228" t="s">
        <v>310</v>
      </c>
      <c r="M228" t="s">
        <v>310</v>
      </c>
      <c r="N228">
        <v>0</v>
      </c>
      <c r="O228" t="s">
        <v>1393</v>
      </c>
      <c r="P228" t="s">
        <v>320</v>
      </c>
      <c r="Q228" t="s">
        <v>1399</v>
      </c>
      <c r="R228" t="s">
        <v>1405</v>
      </c>
      <c r="S228" t="s">
        <v>202</v>
      </c>
      <c r="T228" t="s">
        <v>1407</v>
      </c>
      <c r="U228">
        <v>0</v>
      </c>
      <c r="V228">
        <v>0</v>
      </c>
      <c r="W228">
        <v>2.6243626999999998</v>
      </c>
      <c r="X228">
        <v>28.0161017</v>
      </c>
      <c r="Y228">
        <v>17.022559999999999</v>
      </c>
      <c r="Z228">
        <v>76.296391499999999</v>
      </c>
      <c r="AA228">
        <v>0</v>
      </c>
      <c r="AB228">
        <v>1</v>
      </c>
      <c r="AC228" t="s">
        <v>174</v>
      </c>
      <c r="AD228">
        <v>0</v>
      </c>
      <c r="AE228" t="s">
        <v>1414</v>
      </c>
      <c r="AF228">
        <v>50000000</v>
      </c>
      <c r="AG228" t="s">
        <v>310</v>
      </c>
      <c r="AH228">
        <v>296.44</v>
      </c>
      <c r="AI228">
        <v>0</v>
      </c>
    </row>
    <row r="229" spans="1:35" x14ac:dyDescent="0.3">
      <c r="A229">
        <v>2333</v>
      </c>
      <c r="B229" t="s">
        <v>1291</v>
      </c>
      <c r="C229">
        <v>44</v>
      </c>
      <c r="D229" s="3">
        <v>45373.685356249996</v>
      </c>
      <c r="E229" t="s">
        <v>316</v>
      </c>
      <c r="F229" t="s">
        <v>317</v>
      </c>
      <c r="G229">
        <v>1</v>
      </c>
      <c r="H229" t="s">
        <v>310</v>
      </c>
      <c r="I229">
        <v>0</v>
      </c>
      <c r="J229">
        <v>0</v>
      </c>
      <c r="K229">
        <v>0</v>
      </c>
      <c r="L229" t="s">
        <v>310</v>
      </c>
      <c r="M229" t="s">
        <v>310</v>
      </c>
      <c r="N229">
        <v>0</v>
      </c>
      <c r="O229" t="s">
        <v>1389</v>
      </c>
      <c r="P229" t="s">
        <v>240</v>
      </c>
      <c r="Q229" t="s">
        <v>1400</v>
      </c>
      <c r="R229" t="s">
        <v>1404</v>
      </c>
      <c r="S229" t="s">
        <v>1411</v>
      </c>
      <c r="T229" t="s">
        <v>105</v>
      </c>
      <c r="U229">
        <v>9</v>
      </c>
      <c r="V229">
        <v>9</v>
      </c>
      <c r="W229">
        <v>0</v>
      </c>
      <c r="X229">
        <v>42.172568399999996</v>
      </c>
      <c r="Y229">
        <v>38.598635899999998</v>
      </c>
      <c r="Z229">
        <v>53.867238099999994</v>
      </c>
      <c r="AA229">
        <v>0</v>
      </c>
      <c r="AB229">
        <v>0</v>
      </c>
      <c r="AC229" t="s">
        <v>174</v>
      </c>
      <c r="AD229">
        <v>9</v>
      </c>
      <c r="AE229" t="s">
        <v>1417</v>
      </c>
      <c r="AF229">
        <v>70000000</v>
      </c>
      <c r="AG229" t="s">
        <v>310</v>
      </c>
      <c r="AH229">
        <v>1493.44</v>
      </c>
      <c r="AI229">
        <v>0</v>
      </c>
    </row>
    <row r="230" spans="1:35" x14ac:dyDescent="0.3">
      <c r="A230">
        <v>2334</v>
      </c>
      <c r="B230" t="s">
        <v>1310</v>
      </c>
      <c r="C230">
        <v>44</v>
      </c>
      <c r="D230" s="3">
        <v>45373.685356712966</v>
      </c>
      <c r="E230" t="s">
        <v>316</v>
      </c>
      <c r="F230" t="s">
        <v>317</v>
      </c>
      <c r="G230">
        <v>0</v>
      </c>
      <c r="H230" t="s">
        <v>310</v>
      </c>
      <c r="I230">
        <v>0</v>
      </c>
      <c r="J230">
        <v>0</v>
      </c>
      <c r="K230">
        <v>0</v>
      </c>
      <c r="L230" t="s">
        <v>310</v>
      </c>
      <c r="M230" t="s">
        <v>310</v>
      </c>
      <c r="N230">
        <v>0</v>
      </c>
      <c r="O230" t="s">
        <v>1395</v>
      </c>
      <c r="P230" t="s">
        <v>101</v>
      </c>
      <c r="Q230" t="s">
        <v>1400</v>
      </c>
      <c r="R230" t="s">
        <v>1405</v>
      </c>
      <c r="S230" t="s">
        <v>202</v>
      </c>
      <c r="T230" t="s">
        <v>1406</v>
      </c>
      <c r="U230">
        <v>0</v>
      </c>
      <c r="V230">
        <v>0</v>
      </c>
      <c r="W230">
        <v>4.1227995000000002</v>
      </c>
      <c r="X230">
        <v>12.813912199999999</v>
      </c>
      <c r="Y230">
        <v>20.5004028</v>
      </c>
      <c r="Z230">
        <v>90.310836600000002</v>
      </c>
      <c r="AA230">
        <v>0</v>
      </c>
      <c r="AB230">
        <v>0</v>
      </c>
      <c r="AC230" t="s">
        <v>174</v>
      </c>
      <c r="AD230">
        <v>9</v>
      </c>
      <c r="AE230" t="s">
        <v>1413</v>
      </c>
      <c r="AF230">
        <v>30000000</v>
      </c>
      <c r="AG230" t="s">
        <v>310</v>
      </c>
      <c r="AH230">
        <v>6621.44</v>
      </c>
      <c r="AI230">
        <v>0</v>
      </c>
    </row>
    <row r="231" spans="1:35" x14ac:dyDescent="0.3">
      <c r="A231">
        <v>2380</v>
      </c>
      <c r="B231" t="s">
        <v>373</v>
      </c>
      <c r="C231">
        <v>45</v>
      </c>
      <c r="D231" s="3">
        <v>45373.690533946756</v>
      </c>
      <c r="E231" t="s">
        <v>316</v>
      </c>
      <c r="F231" t="s">
        <v>317</v>
      </c>
      <c r="G231">
        <v>1</v>
      </c>
      <c r="H231" t="s">
        <v>310</v>
      </c>
      <c r="I231">
        <v>0</v>
      </c>
      <c r="J231">
        <v>0</v>
      </c>
      <c r="K231">
        <v>0</v>
      </c>
      <c r="L231" t="s">
        <v>310</v>
      </c>
      <c r="M231" t="s">
        <v>310</v>
      </c>
      <c r="N231">
        <v>0</v>
      </c>
      <c r="O231" t="s">
        <v>311</v>
      </c>
      <c r="P231" t="s">
        <v>1401</v>
      </c>
      <c r="Q231" t="s">
        <v>1400</v>
      </c>
      <c r="R231" t="s">
        <v>1404</v>
      </c>
      <c r="S231" t="s">
        <v>322</v>
      </c>
      <c r="T231" t="s">
        <v>105</v>
      </c>
      <c r="U231">
        <v>9</v>
      </c>
      <c r="V231">
        <v>9</v>
      </c>
      <c r="W231">
        <v>46.215116299999998</v>
      </c>
      <c r="X231">
        <v>3.9376042999999998</v>
      </c>
      <c r="Y231">
        <v>44.523478099999998</v>
      </c>
      <c r="Z231">
        <v>42.308771700000001</v>
      </c>
      <c r="AA231">
        <v>2</v>
      </c>
      <c r="AB231">
        <v>0</v>
      </c>
      <c r="AC231" t="s">
        <v>170</v>
      </c>
      <c r="AD231">
        <v>9</v>
      </c>
      <c r="AE231" t="s">
        <v>1412</v>
      </c>
      <c r="AF231">
        <v>0</v>
      </c>
      <c r="AG231" t="s">
        <v>310</v>
      </c>
      <c r="AH231">
        <v>7718.45</v>
      </c>
      <c r="AI231">
        <v>0</v>
      </c>
    </row>
    <row r="232" spans="1:35" x14ac:dyDescent="0.3">
      <c r="A232">
        <v>2381</v>
      </c>
      <c r="B232" t="s">
        <v>1277</v>
      </c>
      <c r="C232">
        <v>45</v>
      </c>
      <c r="D232" s="3">
        <v>45373.690534027781</v>
      </c>
      <c r="E232" t="s">
        <v>316</v>
      </c>
      <c r="F232" t="s">
        <v>317</v>
      </c>
      <c r="G232">
        <v>1</v>
      </c>
      <c r="H232" t="s">
        <v>310</v>
      </c>
      <c r="I232">
        <v>0</v>
      </c>
      <c r="J232">
        <v>0</v>
      </c>
      <c r="K232">
        <v>0</v>
      </c>
      <c r="L232" t="s">
        <v>310</v>
      </c>
      <c r="M232" t="s">
        <v>310</v>
      </c>
      <c r="N232">
        <v>0</v>
      </c>
      <c r="O232" t="s">
        <v>1391</v>
      </c>
      <c r="P232" t="s">
        <v>240</v>
      </c>
      <c r="Q232" t="s">
        <v>1399</v>
      </c>
      <c r="R232" t="s">
        <v>1404</v>
      </c>
      <c r="S232" t="s">
        <v>322</v>
      </c>
      <c r="T232" t="s">
        <v>105</v>
      </c>
      <c r="U232">
        <v>9</v>
      </c>
      <c r="V232">
        <v>9</v>
      </c>
      <c r="W232">
        <v>15.066203399999999</v>
      </c>
      <c r="X232">
        <v>28.430243099999998</v>
      </c>
      <c r="Y232">
        <v>42.647309700000001</v>
      </c>
      <c r="Z232">
        <v>45.405940999999999</v>
      </c>
      <c r="AA232">
        <v>0</v>
      </c>
      <c r="AB232">
        <v>1</v>
      </c>
      <c r="AC232" t="s">
        <v>174</v>
      </c>
      <c r="AD232">
        <v>0</v>
      </c>
      <c r="AE232" t="s">
        <v>1418</v>
      </c>
      <c r="AF232">
        <v>100000000</v>
      </c>
      <c r="AG232" t="s">
        <v>310</v>
      </c>
      <c r="AH232">
        <v>3360.45</v>
      </c>
      <c r="AI232">
        <v>0</v>
      </c>
    </row>
    <row r="233" spans="1:35" x14ac:dyDescent="0.3">
      <c r="A233">
        <v>2382</v>
      </c>
      <c r="B233" t="s">
        <v>1311</v>
      </c>
      <c r="C233">
        <v>45</v>
      </c>
      <c r="D233" s="3">
        <v>45373.690534143519</v>
      </c>
      <c r="E233" t="s">
        <v>316</v>
      </c>
      <c r="F233" t="s">
        <v>317</v>
      </c>
      <c r="G233">
        <v>1</v>
      </c>
      <c r="H233" t="s">
        <v>310</v>
      </c>
      <c r="I233">
        <v>0</v>
      </c>
      <c r="J233">
        <v>0</v>
      </c>
      <c r="K233">
        <v>0</v>
      </c>
      <c r="L233" t="s">
        <v>310</v>
      </c>
      <c r="M233" t="s">
        <v>310</v>
      </c>
      <c r="N233">
        <v>0</v>
      </c>
      <c r="O233" t="s">
        <v>319</v>
      </c>
      <c r="P233" t="s">
        <v>320</v>
      </c>
      <c r="Q233" t="s">
        <v>1400</v>
      </c>
      <c r="R233" t="s">
        <v>1404</v>
      </c>
      <c r="S233" t="s">
        <v>322</v>
      </c>
      <c r="T233" t="s">
        <v>105</v>
      </c>
      <c r="U233">
        <v>9</v>
      </c>
      <c r="V233">
        <v>9</v>
      </c>
      <c r="W233">
        <v>5.8005512000000001</v>
      </c>
      <c r="X233">
        <v>46.479986400000001</v>
      </c>
      <c r="Y233">
        <v>28.8414222</v>
      </c>
      <c r="Z233">
        <v>53.989968499999996</v>
      </c>
      <c r="AA233">
        <v>0</v>
      </c>
      <c r="AB233">
        <v>1</v>
      </c>
      <c r="AC233" t="s">
        <v>174</v>
      </c>
      <c r="AD233">
        <v>9</v>
      </c>
      <c r="AE233" t="s">
        <v>1416</v>
      </c>
      <c r="AF233">
        <v>20000000</v>
      </c>
      <c r="AG233" t="s">
        <v>310</v>
      </c>
      <c r="AH233">
        <v>2234.4499999999998</v>
      </c>
      <c r="AI233">
        <v>0</v>
      </c>
    </row>
    <row r="234" spans="1:35" x14ac:dyDescent="0.3">
      <c r="A234">
        <v>2383</v>
      </c>
      <c r="B234" t="s">
        <v>1276</v>
      </c>
      <c r="C234">
        <v>45</v>
      </c>
      <c r="D234" s="3">
        <v>45373.690534259258</v>
      </c>
      <c r="E234" t="s">
        <v>316</v>
      </c>
      <c r="F234" t="s">
        <v>317</v>
      </c>
      <c r="G234">
        <v>1</v>
      </c>
      <c r="H234" t="s">
        <v>310</v>
      </c>
      <c r="I234">
        <v>0</v>
      </c>
      <c r="J234">
        <v>0</v>
      </c>
      <c r="K234">
        <v>0</v>
      </c>
      <c r="L234" t="s">
        <v>310</v>
      </c>
      <c r="M234" t="s">
        <v>310</v>
      </c>
      <c r="N234">
        <v>0</v>
      </c>
      <c r="O234" t="s">
        <v>1393</v>
      </c>
      <c r="P234" t="s">
        <v>320</v>
      </c>
      <c r="Q234" t="s">
        <v>1400</v>
      </c>
      <c r="R234" t="s">
        <v>1404</v>
      </c>
      <c r="S234" t="s">
        <v>1411</v>
      </c>
      <c r="T234" t="s">
        <v>105</v>
      </c>
      <c r="U234">
        <v>9</v>
      </c>
      <c r="V234">
        <v>9</v>
      </c>
      <c r="W234">
        <v>0</v>
      </c>
      <c r="X234">
        <v>0</v>
      </c>
      <c r="Y234">
        <v>22.191736799999997</v>
      </c>
      <c r="Z234">
        <v>111.54620509999999</v>
      </c>
      <c r="AA234">
        <v>1</v>
      </c>
      <c r="AB234">
        <v>2</v>
      </c>
      <c r="AC234" t="s">
        <v>170</v>
      </c>
      <c r="AD234">
        <v>9</v>
      </c>
      <c r="AE234" t="s">
        <v>1414</v>
      </c>
      <c r="AF234">
        <v>0</v>
      </c>
      <c r="AG234" t="s">
        <v>310</v>
      </c>
      <c r="AH234">
        <v>229.45</v>
      </c>
      <c r="AI234">
        <v>0</v>
      </c>
    </row>
    <row r="235" spans="1:35" x14ac:dyDescent="0.3">
      <c r="A235">
        <v>2384</v>
      </c>
      <c r="B235" t="s">
        <v>1297</v>
      </c>
      <c r="C235">
        <v>45</v>
      </c>
      <c r="D235" s="3">
        <v>45373.690534340276</v>
      </c>
      <c r="E235" t="s">
        <v>316</v>
      </c>
      <c r="F235" t="s">
        <v>317</v>
      </c>
      <c r="G235">
        <v>0</v>
      </c>
      <c r="H235" t="s">
        <v>310</v>
      </c>
      <c r="I235">
        <v>0</v>
      </c>
      <c r="J235">
        <v>0</v>
      </c>
      <c r="K235">
        <v>0</v>
      </c>
      <c r="L235" t="s">
        <v>310</v>
      </c>
      <c r="M235" t="s">
        <v>310</v>
      </c>
      <c r="N235">
        <v>0</v>
      </c>
      <c r="O235" t="s">
        <v>1389</v>
      </c>
      <c r="P235" t="s">
        <v>101</v>
      </c>
      <c r="Q235" t="s">
        <v>1400</v>
      </c>
      <c r="R235" t="s">
        <v>1404</v>
      </c>
      <c r="S235" t="s">
        <v>1411</v>
      </c>
      <c r="T235" t="s">
        <v>105</v>
      </c>
      <c r="U235">
        <v>9</v>
      </c>
      <c r="V235">
        <v>9</v>
      </c>
      <c r="W235">
        <v>0</v>
      </c>
      <c r="X235">
        <v>26.334818899999998</v>
      </c>
      <c r="Y235">
        <v>38.980634899999998</v>
      </c>
      <c r="Z235">
        <v>70.476810999999998</v>
      </c>
      <c r="AA235">
        <v>0</v>
      </c>
      <c r="AB235">
        <v>0</v>
      </c>
      <c r="AC235" t="s">
        <v>174</v>
      </c>
      <c r="AD235">
        <v>9</v>
      </c>
      <c r="AE235" t="s">
        <v>1417</v>
      </c>
      <c r="AF235">
        <v>50000000</v>
      </c>
      <c r="AG235" t="s">
        <v>310</v>
      </c>
      <c r="AH235">
        <v>9750.4500000000007</v>
      </c>
      <c r="AI235">
        <v>0</v>
      </c>
    </row>
    <row r="236" spans="1:35" x14ac:dyDescent="0.3">
      <c r="A236">
        <v>2385</v>
      </c>
      <c r="B236" t="s">
        <v>370</v>
      </c>
      <c r="C236">
        <v>45</v>
      </c>
      <c r="D236" s="3">
        <v>45373.690534456022</v>
      </c>
      <c r="E236" t="s">
        <v>316</v>
      </c>
      <c r="F236" t="s">
        <v>317</v>
      </c>
      <c r="G236">
        <v>0</v>
      </c>
      <c r="H236" t="s">
        <v>310</v>
      </c>
      <c r="I236">
        <v>0</v>
      </c>
      <c r="J236">
        <v>0</v>
      </c>
      <c r="K236">
        <v>0</v>
      </c>
      <c r="L236" t="s">
        <v>310</v>
      </c>
      <c r="M236" t="s">
        <v>310</v>
      </c>
      <c r="N236">
        <v>0</v>
      </c>
      <c r="O236" t="s">
        <v>1395</v>
      </c>
      <c r="P236" t="s">
        <v>240</v>
      </c>
      <c r="Q236" t="s">
        <v>1399</v>
      </c>
      <c r="R236" t="s">
        <v>1405</v>
      </c>
      <c r="S236" t="s">
        <v>202</v>
      </c>
      <c r="T236" t="s">
        <v>1407</v>
      </c>
      <c r="U236">
        <v>0</v>
      </c>
      <c r="V236">
        <v>1</v>
      </c>
      <c r="W236">
        <v>6.8156764000000001</v>
      </c>
      <c r="X236">
        <v>38.6422241</v>
      </c>
      <c r="Y236">
        <v>28.3716173</v>
      </c>
      <c r="Z236">
        <v>49.159084999999997</v>
      </c>
      <c r="AA236">
        <v>0</v>
      </c>
      <c r="AB236">
        <v>1</v>
      </c>
      <c r="AC236" t="s">
        <v>174</v>
      </c>
      <c r="AD236">
        <v>1</v>
      </c>
      <c r="AE236" t="s">
        <v>1413</v>
      </c>
      <c r="AF236">
        <v>100000000</v>
      </c>
      <c r="AG236" t="s">
        <v>310</v>
      </c>
      <c r="AH236">
        <v>6911.45</v>
      </c>
      <c r="AI236">
        <v>0</v>
      </c>
    </row>
    <row r="237" spans="1:35" x14ac:dyDescent="0.3">
      <c r="A237">
        <v>2440</v>
      </c>
      <c r="B237" t="s">
        <v>318</v>
      </c>
      <c r="C237">
        <v>46</v>
      </c>
      <c r="D237" s="3">
        <v>45373.695629895832</v>
      </c>
      <c r="E237" t="s">
        <v>316</v>
      </c>
      <c r="F237" t="s">
        <v>317</v>
      </c>
      <c r="G237">
        <v>0</v>
      </c>
      <c r="H237" t="s">
        <v>310</v>
      </c>
      <c r="I237">
        <v>0</v>
      </c>
      <c r="J237">
        <v>0</v>
      </c>
      <c r="K237">
        <v>0</v>
      </c>
      <c r="L237" t="s">
        <v>310</v>
      </c>
      <c r="M237" t="s">
        <v>310</v>
      </c>
      <c r="N237">
        <v>0</v>
      </c>
      <c r="O237" t="s">
        <v>311</v>
      </c>
      <c r="P237" t="s">
        <v>1401</v>
      </c>
      <c r="Q237" t="s">
        <v>1399</v>
      </c>
      <c r="R237" t="s">
        <v>321</v>
      </c>
      <c r="S237" t="s">
        <v>1411</v>
      </c>
      <c r="T237" t="s">
        <v>105</v>
      </c>
      <c r="U237">
        <v>9</v>
      </c>
      <c r="V237">
        <v>9</v>
      </c>
      <c r="W237">
        <v>0</v>
      </c>
      <c r="X237">
        <v>58.001441799999995</v>
      </c>
      <c r="Y237">
        <v>27.448740599999997</v>
      </c>
      <c r="Z237">
        <v>52.108137799999994</v>
      </c>
      <c r="AA237">
        <v>0</v>
      </c>
      <c r="AB237">
        <v>1</v>
      </c>
      <c r="AC237" t="s">
        <v>174</v>
      </c>
      <c r="AD237">
        <v>2</v>
      </c>
      <c r="AE237" t="s">
        <v>1413</v>
      </c>
      <c r="AF237">
        <v>70000000</v>
      </c>
      <c r="AG237" t="s">
        <v>310</v>
      </c>
      <c r="AH237">
        <v>639.46</v>
      </c>
      <c r="AI237">
        <v>0</v>
      </c>
    </row>
    <row r="238" spans="1:35" x14ac:dyDescent="0.3">
      <c r="A238">
        <v>2441</v>
      </c>
      <c r="B238" t="s">
        <v>1295</v>
      </c>
      <c r="C238">
        <v>46</v>
      </c>
      <c r="D238" s="3">
        <v>45373.695630011571</v>
      </c>
      <c r="E238" t="s">
        <v>316</v>
      </c>
      <c r="F238" t="s">
        <v>317</v>
      </c>
      <c r="G238">
        <v>1</v>
      </c>
      <c r="H238" t="s">
        <v>310</v>
      </c>
      <c r="I238">
        <v>0</v>
      </c>
      <c r="J238">
        <v>0</v>
      </c>
      <c r="K238">
        <v>0</v>
      </c>
      <c r="L238" t="s">
        <v>310</v>
      </c>
      <c r="M238" t="s">
        <v>310</v>
      </c>
      <c r="N238">
        <v>0</v>
      </c>
      <c r="O238" t="s">
        <v>1391</v>
      </c>
      <c r="P238" t="s">
        <v>101</v>
      </c>
      <c r="Q238" t="s">
        <v>1400</v>
      </c>
      <c r="R238" t="s">
        <v>1404</v>
      </c>
      <c r="S238" t="s">
        <v>1411</v>
      </c>
      <c r="T238" t="s">
        <v>105</v>
      </c>
      <c r="U238">
        <v>9</v>
      </c>
      <c r="V238">
        <v>9</v>
      </c>
      <c r="W238">
        <v>0</v>
      </c>
      <c r="X238">
        <v>40.854066599999996</v>
      </c>
      <c r="Y238">
        <v>23.154091099999999</v>
      </c>
      <c r="Z238">
        <v>71.6149159</v>
      </c>
      <c r="AA238">
        <v>0</v>
      </c>
      <c r="AB238">
        <v>0</v>
      </c>
      <c r="AC238" t="s">
        <v>174</v>
      </c>
      <c r="AD238">
        <v>9</v>
      </c>
      <c r="AE238" t="s">
        <v>1416</v>
      </c>
      <c r="AF238">
        <v>100000000</v>
      </c>
      <c r="AG238" t="s">
        <v>310</v>
      </c>
      <c r="AH238">
        <v>6300.46</v>
      </c>
      <c r="AI238">
        <v>0</v>
      </c>
    </row>
    <row r="239" spans="1:35" x14ac:dyDescent="0.3">
      <c r="A239">
        <v>2442</v>
      </c>
      <c r="B239" t="s">
        <v>1283</v>
      </c>
      <c r="C239">
        <v>46</v>
      </c>
      <c r="D239" s="3">
        <v>45373.695630127317</v>
      </c>
      <c r="E239" t="s">
        <v>316</v>
      </c>
      <c r="F239" t="s">
        <v>317</v>
      </c>
      <c r="G239">
        <v>0</v>
      </c>
      <c r="H239" t="s">
        <v>310</v>
      </c>
      <c r="I239">
        <v>0</v>
      </c>
      <c r="J239">
        <v>0</v>
      </c>
      <c r="K239">
        <v>0</v>
      </c>
      <c r="L239" t="s">
        <v>310</v>
      </c>
      <c r="M239" t="s">
        <v>310</v>
      </c>
      <c r="N239">
        <v>0</v>
      </c>
      <c r="O239" t="s">
        <v>319</v>
      </c>
      <c r="P239" t="s">
        <v>320</v>
      </c>
      <c r="Q239" t="s">
        <v>1400</v>
      </c>
      <c r="R239" t="s">
        <v>1404</v>
      </c>
      <c r="S239" t="s">
        <v>1411</v>
      </c>
      <c r="T239" t="s">
        <v>105</v>
      </c>
      <c r="U239">
        <v>9</v>
      </c>
      <c r="V239">
        <v>9</v>
      </c>
      <c r="W239">
        <v>0</v>
      </c>
      <c r="X239">
        <v>42.812015699999996</v>
      </c>
      <c r="Y239">
        <v>42.340462899999999</v>
      </c>
      <c r="Z239">
        <v>52.463744800000001</v>
      </c>
      <c r="AA239">
        <v>2</v>
      </c>
      <c r="AB239">
        <v>0</v>
      </c>
      <c r="AC239" t="s">
        <v>170</v>
      </c>
      <c r="AD239">
        <v>9</v>
      </c>
      <c r="AE239" t="s">
        <v>1418</v>
      </c>
      <c r="AF239">
        <v>0</v>
      </c>
      <c r="AG239" t="s">
        <v>310</v>
      </c>
      <c r="AH239">
        <v>1601.46</v>
      </c>
      <c r="AI239">
        <v>0</v>
      </c>
    </row>
    <row r="240" spans="1:35" x14ac:dyDescent="0.3">
      <c r="A240">
        <v>2443</v>
      </c>
      <c r="B240" t="s">
        <v>368</v>
      </c>
      <c r="C240">
        <v>46</v>
      </c>
      <c r="D240" s="3">
        <v>45373.695630208334</v>
      </c>
      <c r="E240" t="s">
        <v>316</v>
      </c>
      <c r="F240" t="s">
        <v>317</v>
      </c>
      <c r="G240">
        <v>0</v>
      </c>
      <c r="H240" t="s">
        <v>310</v>
      </c>
      <c r="I240">
        <v>0</v>
      </c>
      <c r="J240">
        <v>0</v>
      </c>
      <c r="K240">
        <v>0</v>
      </c>
      <c r="L240" t="s">
        <v>310</v>
      </c>
      <c r="M240" t="s">
        <v>310</v>
      </c>
      <c r="N240">
        <v>0</v>
      </c>
      <c r="O240" t="s">
        <v>1393</v>
      </c>
      <c r="P240" t="s">
        <v>101</v>
      </c>
      <c r="Q240" t="s">
        <v>1400</v>
      </c>
      <c r="R240" t="s">
        <v>1405</v>
      </c>
      <c r="S240" t="s">
        <v>202</v>
      </c>
      <c r="T240" t="s">
        <v>1407</v>
      </c>
      <c r="U240">
        <v>0</v>
      </c>
      <c r="V240">
        <v>0</v>
      </c>
      <c r="W240">
        <v>5.759563</v>
      </c>
      <c r="X240">
        <v>27.711103999999999</v>
      </c>
      <c r="Y240">
        <v>19.288258599999999</v>
      </c>
      <c r="Z240">
        <v>81.195148599999996</v>
      </c>
      <c r="AA240">
        <v>0</v>
      </c>
      <c r="AB240">
        <v>1</v>
      </c>
      <c r="AC240" t="s">
        <v>174</v>
      </c>
      <c r="AD240">
        <v>9</v>
      </c>
      <c r="AE240" t="s">
        <v>1414</v>
      </c>
      <c r="AF240">
        <v>30000000</v>
      </c>
      <c r="AG240" t="s">
        <v>310</v>
      </c>
      <c r="AH240">
        <v>6401.46</v>
      </c>
      <c r="AI240">
        <v>0</v>
      </c>
    </row>
    <row r="241" spans="1:35" x14ac:dyDescent="0.3">
      <c r="A241">
        <v>2444</v>
      </c>
      <c r="B241" t="s">
        <v>367</v>
      </c>
      <c r="C241">
        <v>46</v>
      </c>
      <c r="D241" s="3">
        <v>45373.695630324073</v>
      </c>
      <c r="E241" t="s">
        <v>316</v>
      </c>
      <c r="F241" t="s">
        <v>317</v>
      </c>
      <c r="G241">
        <v>0</v>
      </c>
      <c r="H241" t="s">
        <v>310</v>
      </c>
      <c r="I241">
        <v>0</v>
      </c>
      <c r="J241">
        <v>0</v>
      </c>
      <c r="K241">
        <v>0</v>
      </c>
      <c r="L241" t="s">
        <v>310</v>
      </c>
      <c r="M241" t="s">
        <v>310</v>
      </c>
      <c r="N241">
        <v>0</v>
      </c>
      <c r="O241" t="s">
        <v>1389</v>
      </c>
      <c r="P241" t="s">
        <v>1401</v>
      </c>
      <c r="Q241" t="s">
        <v>1399</v>
      </c>
      <c r="R241" t="s">
        <v>1405</v>
      </c>
      <c r="S241" t="s">
        <v>202</v>
      </c>
      <c r="T241" t="s">
        <v>1407</v>
      </c>
      <c r="U241">
        <v>0</v>
      </c>
      <c r="V241">
        <v>0</v>
      </c>
      <c r="W241">
        <v>12.099801099999999</v>
      </c>
      <c r="X241">
        <v>28.517518799999998</v>
      </c>
      <c r="Y241">
        <v>11.196951799999999</v>
      </c>
      <c r="Z241">
        <v>71.102768699999999</v>
      </c>
      <c r="AA241">
        <v>0</v>
      </c>
      <c r="AB241">
        <v>0</v>
      </c>
      <c r="AC241" t="s">
        <v>174</v>
      </c>
      <c r="AD241">
        <v>0</v>
      </c>
      <c r="AE241" t="s">
        <v>1417</v>
      </c>
      <c r="AF241">
        <v>60000000</v>
      </c>
      <c r="AG241" t="s">
        <v>310</v>
      </c>
      <c r="AH241">
        <v>5016.46</v>
      </c>
      <c r="AI241">
        <v>0</v>
      </c>
    </row>
    <row r="242" spans="1:35" x14ac:dyDescent="0.3">
      <c r="A242">
        <v>2445</v>
      </c>
      <c r="B242" t="s">
        <v>1303</v>
      </c>
      <c r="C242">
        <v>46</v>
      </c>
      <c r="D242" s="3">
        <v>45373.695630439812</v>
      </c>
      <c r="E242" t="s">
        <v>316</v>
      </c>
      <c r="F242" t="s">
        <v>317</v>
      </c>
      <c r="G242">
        <v>1</v>
      </c>
      <c r="H242" t="s">
        <v>310</v>
      </c>
      <c r="I242">
        <v>0</v>
      </c>
      <c r="J242">
        <v>0</v>
      </c>
      <c r="K242">
        <v>0</v>
      </c>
      <c r="L242" t="s">
        <v>310</v>
      </c>
      <c r="M242" t="s">
        <v>310</v>
      </c>
      <c r="N242">
        <v>0</v>
      </c>
      <c r="O242" t="s">
        <v>1395</v>
      </c>
      <c r="P242" t="s">
        <v>240</v>
      </c>
      <c r="Q242" t="s">
        <v>1400</v>
      </c>
      <c r="R242" t="s">
        <v>1405</v>
      </c>
      <c r="S242" t="s">
        <v>202</v>
      </c>
      <c r="T242" t="s">
        <v>1406</v>
      </c>
      <c r="U242">
        <v>0</v>
      </c>
      <c r="V242">
        <v>0</v>
      </c>
      <c r="W242">
        <v>13.0429336</v>
      </c>
      <c r="X242">
        <v>19.160761099999998</v>
      </c>
      <c r="Y242">
        <v>9.7076055999999991</v>
      </c>
      <c r="Z242">
        <v>87.079179199999999</v>
      </c>
      <c r="AA242">
        <v>0</v>
      </c>
      <c r="AB242">
        <v>0</v>
      </c>
      <c r="AC242" t="s">
        <v>173</v>
      </c>
      <c r="AD242">
        <v>9</v>
      </c>
      <c r="AE242" t="s">
        <v>1412</v>
      </c>
      <c r="AF242">
        <v>60001000</v>
      </c>
      <c r="AG242" t="s">
        <v>310</v>
      </c>
      <c r="AH242">
        <v>7605.46</v>
      </c>
      <c r="AI242">
        <v>0</v>
      </c>
    </row>
    <row r="243" spans="1:35" x14ac:dyDescent="0.3">
      <c r="A243">
        <v>2494</v>
      </c>
      <c r="B243" t="s">
        <v>1302</v>
      </c>
      <c r="C243">
        <v>47</v>
      </c>
      <c r="D243" s="3">
        <v>45373.702140706017</v>
      </c>
      <c r="E243" t="s">
        <v>316</v>
      </c>
      <c r="F243" t="s">
        <v>317</v>
      </c>
      <c r="G243">
        <v>1</v>
      </c>
      <c r="H243" t="s">
        <v>310</v>
      </c>
      <c r="I243">
        <v>0</v>
      </c>
      <c r="J243">
        <v>0</v>
      </c>
      <c r="K243">
        <v>0</v>
      </c>
      <c r="L243" t="s">
        <v>310</v>
      </c>
      <c r="M243" t="s">
        <v>310</v>
      </c>
      <c r="N243">
        <v>0</v>
      </c>
      <c r="O243" t="s">
        <v>311</v>
      </c>
      <c r="P243" t="s">
        <v>320</v>
      </c>
      <c r="Q243" t="s">
        <v>1400</v>
      </c>
      <c r="R243" t="s">
        <v>321</v>
      </c>
      <c r="S243" t="s">
        <v>1411</v>
      </c>
      <c r="T243" t="s">
        <v>105</v>
      </c>
      <c r="U243">
        <v>9</v>
      </c>
      <c r="V243">
        <v>9</v>
      </c>
      <c r="W243">
        <v>0</v>
      </c>
      <c r="X243">
        <v>9.0078801999999989</v>
      </c>
      <c r="Y243">
        <v>109.5465643</v>
      </c>
      <c r="Z243">
        <v>18.157693899999998</v>
      </c>
      <c r="AA243">
        <v>0</v>
      </c>
      <c r="AB243">
        <v>0</v>
      </c>
      <c r="AC243" t="s">
        <v>167</v>
      </c>
      <c r="AD243">
        <v>9</v>
      </c>
      <c r="AE243" t="s">
        <v>1413</v>
      </c>
      <c r="AF243">
        <v>0</v>
      </c>
      <c r="AG243" t="s">
        <v>310</v>
      </c>
      <c r="AH243">
        <v>2095.4699999999998</v>
      </c>
      <c r="AI243">
        <v>0</v>
      </c>
    </row>
    <row r="244" spans="1:35" x14ac:dyDescent="0.3">
      <c r="A244">
        <v>2495</v>
      </c>
      <c r="B244" t="s">
        <v>1305</v>
      </c>
      <c r="C244">
        <v>47</v>
      </c>
      <c r="D244" s="3">
        <v>45373.702141122689</v>
      </c>
      <c r="E244" t="s">
        <v>316</v>
      </c>
      <c r="F244" t="s">
        <v>317</v>
      </c>
      <c r="G244">
        <v>1</v>
      </c>
      <c r="H244" t="s">
        <v>310</v>
      </c>
      <c r="I244">
        <v>0</v>
      </c>
      <c r="J244">
        <v>0</v>
      </c>
      <c r="K244">
        <v>0</v>
      </c>
      <c r="L244" t="s">
        <v>310</v>
      </c>
      <c r="M244" t="s">
        <v>310</v>
      </c>
      <c r="N244">
        <v>0</v>
      </c>
      <c r="O244" t="s">
        <v>1391</v>
      </c>
      <c r="P244" t="s">
        <v>101</v>
      </c>
      <c r="Q244" t="s">
        <v>1400</v>
      </c>
      <c r="R244" t="s">
        <v>1404</v>
      </c>
      <c r="S244" t="s">
        <v>1411</v>
      </c>
      <c r="T244" t="s">
        <v>105</v>
      </c>
      <c r="U244">
        <v>9</v>
      </c>
      <c r="V244">
        <v>9</v>
      </c>
      <c r="W244">
        <v>0</v>
      </c>
      <c r="X244">
        <v>36.836976999999997</v>
      </c>
      <c r="Y244">
        <v>36.6732163</v>
      </c>
      <c r="Z244">
        <v>61.509726899999997</v>
      </c>
      <c r="AA244">
        <v>0</v>
      </c>
      <c r="AB244">
        <v>3</v>
      </c>
      <c r="AC244" t="s">
        <v>174</v>
      </c>
      <c r="AD244">
        <v>9</v>
      </c>
      <c r="AE244" t="s">
        <v>1416</v>
      </c>
      <c r="AF244">
        <v>140001000</v>
      </c>
      <c r="AG244" t="s">
        <v>310</v>
      </c>
      <c r="AH244">
        <v>3173.47</v>
      </c>
      <c r="AI244">
        <v>0</v>
      </c>
    </row>
    <row r="245" spans="1:35" x14ac:dyDescent="0.3">
      <c r="A245">
        <v>2496</v>
      </c>
      <c r="B245" t="s">
        <v>1309</v>
      </c>
      <c r="C245">
        <v>47</v>
      </c>
      <c r="D245" s="3">
        <v>45373.702141203707</v>
      </c>
      <c r="E245" t="s">
        <v>316</v>
      </c>
      <c r="F245" t="s">
        <v>317</v>
      </c>
      <c r="G245">
        <v>0</v>
      </c>
      <c r="H245" t="s">
        <v>310</v>
      </c>
      <c r="I245">
        <v>0</v>
      </c>
      <c r="J245">
        <v>0</v>
      </c>
      <c r="K245">
        <v>0</v>
      </c>
      <c r="L245" t="s">
        <v>310</v>
      </c>
      <c r="M245" t="s">
        <v>310</v>
      </c>
      <c r="N245">
        <v>0</v>
      </c>
      <c r="O245" t="s">
        <v>319</v>
      </c>
      <c r="P245" t="s">
        <v>1401</v>
      </c>
      <c r="Q245" t="s">
        <v>1399</v>
      </c>
      <c r="R245" t="s">
        <v>321</v>
      </c>
      <c r="S245" t="s">
        <v>1411</v>
      </c>
      <c r="T245" t="s">
        <v>105</v>
      </c>
      <c r="U245">
        <v>9</v>
      </c>
      <c r="V245">
        <v>9</v>
      </c>
      <c r="W245">
        <v>0</v>
      </c>
      <c r="X245">
        <v>0</v>
      </c>
      <c r="Y245">
        <v>0.18445159999999999</v>
      </c>
      <c r="Z245">
        <v>136.40757209999998</v>
      </c>
      <c r="AA245">
        <v>0</v>
      </c>
      <c r="AB245">
        <v>0</v>
      </c>
      <c r="AC245" t="s">
        <v>167</v>
      </c>
      <c r="AD245">
        <v>0</v>
      </c>
      <c r="AE245" t="s">
        <v>1414</v>
      </c>
      <c r="AF245">
        <v>0</v>
      </c>
      <c r="AG245" t="s">
        <v>310</v>
      </c>
      <c r="AH245">
        <v>3550.47</v>
      </c>
      <c r="AI245">
        <v>0</v>
      </c>
    </row>
    <row r="246" spans="1:35" x14ac:dyDescent="0.3">
      <c r="A246">
        <v>2497</v>
      </c>
      <c r="B246" t="s">
        <v>1290</v>
      </c>
      <c r="C246">
        <v>47</v>
      </c>
      <c r="D246" s="3">
        <v>45373.702141319445</v>
      </c>
      <c r="E246" t="s">
        <v>316</v>
      </c>
      <c r="F246" t="s">
        <v>317</v>
      </c>
      <c r="G246">
        <v>1</v>
      </c>
      <c r="H246" t="s">
        <v>310</v>
      </c>
      <c r="I246">
        <v>0</v>
      </c>
      <c r="J246">
        <v>0</v>
      </c>
      <c r="K246">
        <v>0</v>
      </c>
      <c r="L246" t="s">
        <v>310</v>
      </c>
      <c r="M246" t="s">
        <v>310</v>
      </c>
      <c r="N246">
        <v>0</v>
      </c>
      <c r="O246" t="s">
        <v>1393</v>
      </c>
      <c r="P246" t="s">
        <v>101</v>
      </c>
      <c r="Q246" t="s">
        <v>1400</v>
      </c>
      <c r="R246" t="s">
        <v>1404</v>
      </c>
      <c r="S246" t="s">
        <v>322</v>
      </c>
      <c r="T246" t="s">
        <v>105</v>
      </c>
      <c r="U246">
        <v>9</v>
      </c>
      <c r="V246">
        <v>9</v>
      </c>
      <c r="W246">
        <v>2.8781466999999998</v>
      </c>
      <c r="X246">
        <v>36.787252699999996</v>
      </c>
      <c r="Y246">
        <v>31.111257599999998</v>
      </c>
      <c r="Z246">
        <v>60.992992999999998</v>
      </c>
      <c r="AA246">
        <v>1</v>
      </c>
      <c r="AB246">
        <v>0</v>
      </c>
      <c r="AC246" t="s">
        <v>174</v>
      </c>
      <c r="AD246">
        <v>9</v>
      </c>
      <c r="AE246" t="s">
        <v>1418</v>
      </c>
      <c r="AF246">
        <v>70000000</v>
      </c>
      <c r="AG246" t="s">
        <v>310</v>
      </c>
      <c r="AH246">
        <v>5881.47</v>
      </c>
      <c r="AI246">
        <v>0</v>
      </c>
    </row>
    <row r="247" spans="1:35" x14ac:dyDescent="0.3">
      <c r="A247">
        <v>2498</v>
      </c>
      <c r="B247" t="s">
        <v>365</v>
      </c>
      <c r="C247">
        <v>47</v>
      </c>
      <c r="D247" s="3">
        <v>45373.702141435184</v>
      </c>
      <c r="E247" t="s">
        <v>316</v>
      </c>
      <c r="F247" t="s">
        <v>317</v>
      </c>
      <c r="G247">
        <v>1</v>
      </c>
      <c r="H247" t="s">
        <v>310</v>
      </c>
      <c r="I247">
        <v>0</v>
      </c>
      <c r="J247">
        <v>0</v>
      </c>
      <c r="K247">
        <v>0</v>
      </c>
      <c r="L247" t="s">
        <v>310</v>
      </c>
      <c r="M247" t="s">
        <v>310</v>
      </c>
      <c r="N247">
        <v>0</v>
      </c>
      <c r="O247" t="s">
        <v>1389</v>
      </c>
      <c r="P247" t="s">
        <v>240</v>
      </c>
      <c r="Q247" t="s">
        <v>1399</v>
      </c>
      <c r="R247" t="s">
        <v>1404</v>
      </c>
      <c r="S247" t="s">
        <v>322</v>
      </c>
      <c r="T247" t="s">
        <v>105</v>
      </c>
      <c r="U247">
        <v>9</v>
      </c>
      <c r="V247">
        <v>9</v>
      </c>
      <c r="W247">
        <v>5.9478928</v>
      </c>
      <c r="X247">
        <v>34.023590499999997</v>
      </c>
      <c r="Y247">
        <v>19.188161099999999</v>
      </c>
      <c r="Z247">
        <v>76.9906012</v>
      </c>
      <c r="AA247">
        <v>0</v>
      </c>
      <c r="AB247">
        <v>0</v>
      </c>
      <c r="AC247" t="s">
        <v>174</v>
      </c>
      <c r="AD247">
        <v>0</v>
      </c>
      <c r="AE247" t="s">
        <v>1417</v>
      </c>
      <c r="AF247">
        <v>60000000</v>
      </c>
      <c r="AG247" t="s">
        <v>310</v>
      </c>
      <c r="AH247">
        <v>3171.47</v>
      </c>
      <c r="AI247">
        <v>0</v>
      </c>
    </row>
    <row r="248" spans="1:35" x14ac:dyDescent="0.3">
      <c r="A248">
        <v>2499</v>
      </c>
      <c r="B248" t="s">
        <v>1301</v>
      </c>
      <c r="C248">
        <v>47</v>
      </c>
      <c r="D248" s="3">
        <v>45373.702141516202</v>
      </c>
      <c r="E248" t="s">
        <v>316</v>
      </c>
      <c r="F248" t="s">
        <v>317</v>
      </c>
      <c r="G248">
        <v>0</v>
      </c>
      <c r="H248" t="s">
        <v>310</v>
      </c>
      <c r="I248">
        <v>0</v>
      </c>
      <c r="J248">
        <v>0</v>
      </c>
      <c r="K248">
        <v>0</v>
      </c>
      <c r="L248" t="s">
        <v>310</v>
      </c>
      <c r="M248" t="s">
        <v>310</v>
      </c>
      <c r="N248">
        <v>0</v>
      </c>
      <c r="O248" t="s">
        <v>1395</v>
      </c>
      <c r="P248" t="s">
        <v>320</v>
      </c>
      <c r="Q248" t="s">
        <v>1400</v>
      </c>
      <c r="R248" t="s">
        <v>1404</v>
      </c>
      <c r="S248" t="s">
        <v>1411</v>
      </c>
      <c r="T248" t="s">
        <v>105</v>
      </c>
      <c r="U248">
        <v>9</v>
      </c>
      <c r="V248">
        <v>9</v>
      </c>
      <c r="W248">
        <v>0</v>
      </c>
      <c r="X248">
        <v>4.4978166999999996</v>
      </c>
      <c r="Y248">
        <v>71.162833300000003</v>
      </c>
      <c r="Z248">
        <v>60.367061899999996</v>
      </c>
      <c r="AA248">
        <v>1</v>
      </c>
      <c r="AB248">
        <v>0</v>
      </c>
      <c r="AC248" t="s">
        <v>170</v>
      </c>
      <c r="AD248">
        <v>9</v>
      </c>
      <c r="AE248" t="s">
        <v>1412</v>
      </c>
      <c r="AF248">
        <v>0</v>
      </c>
      <c r="AG248" t="s">
        <v>310</v>
      </c>
      <c r="AH248">
        <v>7031.47</v>
      </c>
      <c r="AI248">
        <v>0</v>
      </c>
    </row>
    <row r="249" spans="1:35" x14ac:dyDescent="0.3">
      <c r="A249">
        <v>2539</v>
      </c>
      <c r="B249" t="s">
        <v>1278</v>
      </c>
      <c r="C249">
        <v>48</v>
      </c>
      <c r="D249" s="3">
        <v>45373.707706909721</v>
      </c>
      <c r="E249" t="s">
        <v>316</v>
      </c>
      <c r="F249" t="s">
        <v>317</v>
      </c>
      <c r="G249">
        <v>1</v>
      </c>
      <c r="H249" t="s">
        <v>310</v>
      </c>
      <c r="I249">
        <v>0</v>
      </c>
      <c r="J249">
        <v>0</v>
      </c>
      <c r="K249">
        <v>0</v>
      </c>
      <c r="L249" t="s">
        <v>310</v>
      </c>
      <c r="M249" t="s">
        <v>310</v>
      </c>
      <c r="N249">
        <v>0</v>
      </c>
      <c r="O249" t="s">
        <v>311</v>
      </c>
      <c r="P249" t="s">
        <v>240</v>
      </c>
      <c r="Q249" t="s">
        <v>1400</v>
      </c>
      <c r="R249" t="s">
        <v>1404</v>
      </c>
      <c r="S249" t="s">
        <v>322</v>
      </c>
      <c r="T249" t="s">
        <v>105</v>
      </c>
      <c r="U249">
        <v>9</v>
      </c>
      <c r="V249">
        <v>9</v>
      </c>
      <c r="W249">
        <v>18.292381299999999</v>
      </c>
      <c r="X249">
        <v>8.8118368</v>
      </c>
      <c r="Y249">
        <v>4.9286408999999995</v>
      </c>
      <c r="Z249">
        <v>104.69723119999999</v>
      </c>
      <c r="AA249">
        <v>0</v>
      </c>
      <c r="AB249">
        <v>0</v>
      </c>
      <c r="AC249" t="s">
        <v>173</v>
      </c>
      <c r="AD249">
        <v>9</v>
      </c>
      <c r="AE249" t="s">
        <v>1412</v>
      </c>
      <c r="AF249">
        <v>70000000</v>
      </c>
      <c r="AG249" t="s">
        <v>310</v>
      </c>
      <c r="AH249">
        <v>3951.48</v>
      </c>
      <c r="AI249">
        <v>0</v>
      </c>
    </row>
    <row r="250" spans="1:35" x14ac:dyDescent="0.3">
      <c r="A250">
        <v>2540</v>
      </c>
      <c r="B250" t="s">
        <v>362</v>
      </c>
      <c r="C250">
        <v>48</v>
      </c>
      <c r="D250" s="3">
        <v>45373.707707060188</v>
      </c>
      <c r="E250" t="s">
        <v>316</v>
      </c>
      <c r="F250" t="s">
        <v>317</v>
      </c>
      <c r="G250">
        <v>1</v>
      </c>
      <c r="H250" t="s">
        <v>310</v>
      </c>
      <c r="I250">
        <v>0</v>
      </c>
      <c r="J250">
        <v>0</v>
      </c>
      <c r="K250">
        <v>0</v>
      </c>
      <c r="L250" t="s">
        <v>310</v>
      </c>
      <c r="M250" t="s">
        <v>310</v>
      </c>
      <c r="N250">
        <v>0</v>
      </c>
      <c r="O250" t="s">
        <v>1391</v>
      </c>
      <c r="P250" t="s">
        <v>320</v>
      </c>
      <c r="Q250" t="s">
        <v>1399</v>
      </c>
      <c r="R250" t="s">
        <v>1404</v>
      </c>
      <c r="S250" t="s">
        <v>1411</v>
      </c>
      <c r="T250" t="s">
        <v>105</v>
      </c>
      <c r="U250">
        <v>9</v>
      </c>
      <c r="V250">
        <v>9</v>
      </c>
      <c r="W250">
        <v>0</v>
      </c>
      <c r="X250">
        <v>0</v>
      </c>
      <c r="Y250">
        <v>58.367042699999999</v>
      </c>
      <c r="Z250">
        <v>77.926428999999999</v>
      </c>
      <c r="AA250">
        <v>0</v>
      </c>
      <c r="AB250">
        <v>0</v>
      </c>
      <c r="AC250" t="s">
        <v>174</v>
      </c>
      <c r="AD250">
        <v>2</v>
      </c>
      <c r="AE250" t="s">
        <v>1416</v>
      </c>
      <c r="AF250">
        <v>50003000</v>
      </c>
      <c r="AG250" t="s">
        <v>310</v>
      </c>
      <c r="AH250">
        <v>250.48</v>
      </c>
      <c r="AI250">
        <v>0</v>
      </c>
    </row>
    <row r="251" spans="1:35" x14ac:dyDescent="0.3">
      <c r="A251">
        <v>2541</v>
      </c>
      <c r="B251" t="s">
        <v>1289</v>
      </c>
      <c r="C251">
        <v>48</v>
      </c>
      <c r="D251" s="3">
        <v>45373.707707210648</v>
      </c>
      <c r="E251" t="s">
        <v>316</v>
      </c>
      <c r="F251" t="s">
        <v>317</v>
      </c>
      <c r="G251">
        <v>1</v>
      </c>
      <c r="H251" t="s">
        <v>310</v>
      </c>
      <c r="I251">
        <v>0</v>
      </c>
      <c r="J251">
        <v>0</v>
      </c>
      <c r="K251">
        <v>0</v>
      </c>
      <c r="L251" t="s">
        <v>310</v>
      </c>
      <c r="M251" t="s">
        <v>310</v>
      </c>
      <c r="N251">
        <v>0</v>
      </c>
      <c r="O251" t="s">
        <v>319</v>
      </c>
      <c r="P251" t="s">
        <v>101</v>
      </c>
      <c r="Q251" t="s">
        <v>1400</v>
      </c>
      <c r="R251" t="s">
        <v>1404</v>
      </c>
      <c r="S251" t="s">
        <v>1411</v>
      </c>
      <c r="T251" t="s">
        <v>105</v>
      </c>
      <c r="U251">
        <v>9</v>
      </c>
      <c r="V251">
        <v>9</v>
      </c>
      <c r="W251">
        <v>0</v>
      </c>
      <c r="X251">
        <v>0</v>
      </c>
      <c r="Y251">
        <v>64.950355099999996</v>
      </c>
      <c r="Z251">
        <v>69.621656899999991</v>
      </c>
      <c r="AA251">
        <v>0</v>
      </c>
      <c r="AB251">
        <v>0</v>
      </c>
      <c r="AC251" t="s">
        <v>167</v>
      </c>
      <c r="AD251">
        <v>9</v>
      </c>
      <c r="AE251" t="s">
        <v>1414</v>
      </c>
      <c r="AF251">
        <v>0</v>
      </c>
      <c r="AG251" t="s">
        <v>310</v>
      </c>
      <c r="AH251">
        <v>6648.48</v>
      </c>
      <c r="AI251">
        <v>0</v>
      </c>
    </row>
    <row r="252" spans="1:35" x14ac:dyDescent="0.3">
      <c r="A252">
        <v>2542</v>
      </c>
      <c r="B252" t="s">
        <v>372</v>
      </c>
      <c r="C252">
        <v>48</v>
      </c>
      <c r="D252" s="3">
        <v>45373.707707557871</v>
      </c>
      <c r="E252" t="s">
        <v>316</v>
      </c>
      <c r="F252" t="s">
        <v>317</v>
      </c>
      <c r="G252">
        <v>1</v>
      </c>
      <c r="H252" t="s">
        <v>310</v>
      </c>
      <c r="I252">
        <v>0</v>
      </c>
      <c r="J252">
        <v>0</v>
      </c>
      <c r="K252">
        <v>0</v>
      </c>
      <c r="L252" t="s">
        <v>310</v>
      </c>
      <c r="M252" t="s">
        <v>310</v>
      </c>
      <c r="N252">
        <v>0</v>
      </c>
      <c r="O252" t="s">
        <v>1393</v>
      </c>
      <c r="P252" t="s">
        <v>240</v>
      </c>
      <c r="Q252" t="s">
        <v>1400</v>
      </c>
      <c r="R252" t="s">
        <v>1405</v>
      </c>
      <c r="S252" t="s">
        <v>202</v>
      </c>
      <c r="T252" t="s">
        <v>1407</v>
      </c>
      <c r="U252">
        <v>0</v>
      </c>
      <c r="V252">
        <v>0</v>
      </c>
      <c r="W252">
        <v>7.3199608999999999</v>
      </c>
      <c r="X252">
        <v>56.6673665</v>
      </c>
      <c r="Y252">
        <v>0</v>
      </c>
      <c r="Z252">
        <v>62.836517000000001</v>
      </c>
      <c r="AA252">
        <v>0</v>
      </c>
      <c r="AB252">
        <v>0</v>
      </c>
      <c r="AC252" t="s">
        <v>174</v>
      </c>
      <c r="AD252">
        <v>9</v>
      </c>
      <c r="AE252" t="s">
        <v>1418</v>
      </c>
      <c r="AF252">
        <v>50000000</v>
      </c>
      <c r="AG252" t="s">
        <v>310</v>
      </c>
      <c r="AH252">
        <v>7504.48</v>
      </c>
      <c r="AI252">
        <v>0</v>
      </c>
    </row>
    <row r="253" spans="1:35" x14ac:dyDescent="0.3">
      <c r="A253">
        <v>2543</v>
      </c>
      <c r="B253" t="s">
        <v>369</v>
      </c>
      <c r="C253">
        <v>48</v>
      </c>
      <c r="D253" s="3">
        <v>45373.707707719906</v>
      </c>
      <c r="E253" t="s">
        <v>316</v>
      </c>
      <c r="F253" t="s">
        <v>317</v>
      </c>
      <c r="G253">
        <v>0</v>
      </c>
      <c r="H253" t="s">
        <v>310</v>
      </c>
      <c r="I253">
        <v>0</v>
      </c>
      <c r="J253">
        <v>0</v>
      </c>
      <c r="K253">
        <v>0</v>
      </c>
      <c r="L253" t="s">
        <v>310</v>
      </c>
      <c r="M253" t="s">
        <v>310</v>
      </c>
      <c r="N253">
        <v>0</v>
      </c>
      <c r="O253" t="s">
        <v>1389</v>
      </c>
      <c r="P253" t="s">
        <v>320</v>
      </c>
      <c r="Q253" t="s">
        <v>1399</v>
      </c>
      <c r="R253" t="s">
        <v>321</v>
      </c>
      <c r="S253" t="s">
        <v>1411</v>
      </c>
      <c r="T253" t="s">
        <v>105</v>
      </c>
      <c r="U253">
        <v>9</v>
      </c>
      <c r="V253">
        <v>9</v>
      </c>
      <c r="W253">
        <v>0</v>
      </c>
      <c r="X253">
        <v>1.1803859999999999</v>
      </c>
      <c r="Y253">
        <v>135.1507967</v>
      </c>
      <c r="Z253">
        <v>4.9237373</v>
      </c>
      <c r="AA253">
        <v>0</v>
      </c>
      <c r="AB253">
        <v>0</v>
      </c>
      <c r="AC253" t="s">
        <v>167</v>
      </c>
      <c r="AD253">
        <v>0</v>
      </c>
      <c r="AE253" t="s">
        <v>1417</v>
      </c>
      <c r="AF253">
        <v>0</v>
      </c>
      <c r="AG253" t="s">
        <v>310</v>
      </c>
      <c r="AH253">
        <v>6463.48</v>
      </c>
      <c r="AI253">
        <v>0</v>
      </c>
    </row>
    <row r="254" spans="1:35" x14ac:dyDescent="0.3">
      <c r="A254">
        <v>2544</v>
      </c>
      <c r="B254" t="s">
        <v>1285</v>
      </c>
      <c r="C254">
        <v>48</v>
      </c>
      <c r="D254" s="3">
        <v>45373.707707986112</v>
      </c>
      <c r="E254" t="s">
        <v>316</v>
      </c>
      <c r="F254" t="s">
        <v>317</v>
      </c>
      <c r="G254">
        <v>0</v>
      </c>
      <c r="H254" t="s">
        <v>310</v>
      </c>
      <c r="I254">
        <v>0</v>
      </c>
      <c r="J254">
        <v>0</v>
      </c>
      <c r="K254">
        <v>0</v>
      </c>
      <c r="L254" t="s">
        <v>310</v>
      </c>
      <c r="M254" t="s">
        <v>310</v>
      </c>
      <c r="N254">
        <v>0</v>
      </c>
      <c r="O254" t="s">
        <v>1395</v>
      </c>
      <c r="P254" t="s">
        <v>1401</v>
      </c>
      <c r="Q254" t="s">
        <v>1400</v>
      </c>
      <c r="R254" t="s">
        <v>1404</v>
      </c>
      <c r="S254" t="s">
        <v>1411</v>
      </c>
      <c r="T254" t="s">
        <v>105</v>
      </c>
      <c r="U254">
        <v>9</v>
      </c>
      <c r="V254">
        <v>9</v>
      </c>
      <c r="W254">
        <v>0</v>
      </c>
      <c r="X254">
        <v>0.30931729999999996</v>
      </c>
      <c r="Y254">
        <v>3.8057434999999997</v>
      </c>
      <c r="Z254">
        <v>129.46604589999998</v>
      </c>
      <c r="AA254">
        <v>0</v>
      </c>
      <c r="AB254">
        <v>0</v>
      </c>
      <c r="AC254" t="s">
        <v>174</v>
      </c>
      <c r="AD254">
        <v>9</v>
      </c>
      <c r="AE254" t="s">
        <v>1413</v>
      </c>
      <c r="AF254">
        <v>10000000</v>
      </c>
      <c r="AG254" t="s">
        <v>310</v>
      </c>
      <c r="AH254">
        <v>5993.48</v>
      </c>
      <c r="AI254">
        <v>0</v>
      </c>
    </row>
    <row r="255" spans="1:35" x14ac:dyDescent="0.3">
      <c r="A255">
        <v>2611</v>
      </c>
      <c r="B255" t="s">
        <v>1288</v>
      </c>
      <c r="C255">
        <v>49</v>
      </c>
      <c r="D255" s="3">
        <v>45373.712758449074</v>
      </c>
      <c r="E255" t="s">
        <v>316</v>
      </c>
      <c r="F255" t="s">
        <v>317</v>
      </c>
      <c r="G255">
        <v>1</v>
      </c>
      <c r="H255" t="s">
        <v>310</v>
      </c>
      <c r="I255">
        <v>0</v>
      </c>
      <c r="J255">
        <v>0</v>
      </c>
      <c r="K255">
        <v>0</v>
      </c>
      <c r="L255" t="s">
        <v>310</v>
      </c>
      <c r="M255" t="s">
        <v>310</v>
      </c>
      <c r="N255">
        <v>0</v>
      </c>
      <c r="O255" t="s">
        <v>311</v>
      </c>
      <c r="P255" t="s">
        <v>1401</v>
      </c>
      <c r="Q255" t="s">
        <v>1400</v>
      </c>
      <c r="R255" t="s">
        <v>321</v>
      </c>
      <c r="S255" t="s">
        <v>1411</v>
      </c>
      <c r="T255" t="s">
        <v>105</v>
      </c>
      <c r="U255">
        <v>9</v>
      </c>
      <c r="V255">
        <v>9</v>
      </c>
      <c r="W255">
        <v>0</v>
      </c>
      <c r="X255">
        <v>38.981957600000001</v>
      </c>
      <c r="Y255">
        <v>23.8232961</v>
      </c>
      <c r="Z255">
        <v>75.777307399999998</v>
      </c>
      <c r="AA255">
        <v>0</v>
      </c>
      <c r="AB255">
        <v>0</v>
      </c>
      <c r="AC255" t="s">
        <v>173</v>
      </c>
      <c r="AD255">
        <v>9</v>
      </c>
      <c r="AE255" t="s">
        <v>1412</v>
      </c>
      <c r="AF255">
        <v>110000000</v>
      </c>
      <c r="AG255" t="s">
        <v>310</v>
      </c>
      <c r="AH255">
        <v>3181.49</v>
      </c>
      <c r="AI255">
        <v>0</v>
      </c>
    </row>
    <row r="256" spans="1:35" x14ac:dyDescent="0.3">
      <c r="A256">
        <v>2612</v>
      </c>
      <c r="B256" t="s">
        <v>1282</v>
      </c>
      <c r="C256">
        <v>49</v>
      </c>
      <c r="D256" s="3">
        <v>45373.712758761576</v>
      </c>
      <c r="E256" t="s">
        <v>316</v>
      </c>
      <c r="F256" t="s">
        <v>317</v>
      </c>
      <c r="G256">
        <v>0</v>
      </c>
      <c r="H256" t="s">
        <v>310</v>
      </c>
      <c r="I256">
        <v>0</v>
      </c>
      <c r="J256">
        <v>0</v>
      </c>
      <c r="K256">
        <v>0</v>
      </c>
      <c r="L256" t="s">
        <v>310</v>
      </c>
      <c r="M256" t="s">
        <v>310</v>
      </c>
      <c r="N256">
        <v>0</v>
      </c>
      <c r="O256" t="s">
        <v>1391</v>
      </c>
      <c r="P256" t="s">
        <v>240</v>
      </c>
      <c r="Q256" t="s">
        <v>1400</v>
      </c>
      <c r="R256" t="s">
        <v>1404</v>
      </c>
      <c r="S256" t="s">
        <v>322</v>
      </c>
      <c r="T256" t="s">
        <v>105</v>
      </c>
      <c r="U256">
        <v>9</v>
      </c>
      <c r="V256">
        <v>9</v>
      </c>
      <c r="W256">
        <v>0.44043060000000001</v>
      </c>
      <c r="X256">
        <v>51.517323699999999</v>
      </c>
      <c r="Y256">
        <v>11.120442499999999</v>
      </c>
      <c r="Z256">
        <v>75.383773199999993</v>
      </c>
      <c r="AA256">
        <v>0</v>
      </c>
      <c r="AB256">
        <v>1</v>
      </c>
      <c r="AC256" t="s">
        <v>174</v>
      </c>
      <c r="AD256">
        <v>9</v>
      </c>
      <c r="AE256" t="s">
        <v>1418</v>
      </c>
      <c r="AF256">
        <v>60000000</v>
      </c>
      <c r="AG256" t="s">
        <v>310</v>
      </c>
      <c r="AH256">
        <v>333.49</v>
      </c>
      <c r="AI256">
        <v>0</v>
      </c>
    </row>
    <row r="257" spans="1:35" x14ac:dyDescent="0.3">
      <c r="A257">
        <v>2613</v>
      </c>
      <c r="B257" t="s">
        <v>1279</v>
      </c>
      <c r="C257">
        <v>49</v>
      </c>
      <c r="D257" s="3">
        <v>45373.712758912035</v>
      </c>
      <c r="E257" t="s">
        <v>316</v>
      </c>
      <c r="F257" t="s">
        <v>317</v>
      </c>
      <c r="G257">
        <v>1</v>
      </c>
      <c r="H257" t="s">
        <v>310</v>
      </c>
      <c r="I257">
        <v>0</v>
      </c>
      <c r="J257">
        <v>0</v>
      </c>
      <c r="K257">
        <v>0</v>
      </c>
      <c r="L257" t="s">
        <v>310</v>
      </c>
      <c r="M257" t="s">
        <v>310</v>
      </c>
      <c r="N257">
        <v>0</v>
      </c>
      <c r="O257" t="s">
        <v>319</v>
      </c>
      <c r="P257" t="s">
        <v>101</v>
      </c>
      <c r="Q257" t="s">
        <v>1399</v>
      </c>
      <c r="R257" t="s">
        <v>1404</v>
      </c>
      <c r="S257" t="s">
        <v>1411</v>
      </c>
      <c r="T257" t="s">
        <v>105</v>
      </c>
      <c r="U257">
        <v>9</v>
      </c>
      <c r="V257">
        <v>9</v>
      </c>
      <c r="W257">
        <v>0</v>
      </c>
      <c r="X257">
        <v>0</v>
      </c>
      <c r="Y257">
        <v>38.977489299999995</v>
      </c>
      <c r="Z257">
        <v>109.9290254</v>
      </c>
      <c r="AA257">
        <v>3</v>
      </c>
      <c r="AB257">
        <v>0</v>
      </c>
      <c r="AC257" t="s">
        <v>170</v>
      </c>
      <c r="AD257">
        <v>0</v>
      </c>
      <c r="AE257" t="s">
        <v>1413</v>
      </c>
      <c r="AF257">
        <v>10000000</v>
      </c>
      <c r="AG257" t="s">
        <v>310</v>
      </c>
      <c r="AH257">
        <v>5149.49</v>
      </c>
      <c r="AI257">
        <v>0</v>
      </c>
    </row>
    <row r="258" spans="1:35" x14ac:dyDescent="0.3">
      <c r="A258">
        <v>2614</v>
      </c>
      <c r="B258" t="s">
        <v>1314</v>
      </c>
      <c r="C258">
        <v>49</v>
      </c>
      <c r="D258" s="3">
        <v>45373.712758993053</v>
      </c>
      <c r="E258" t="s">
        <v>316</v>
      </c>
      <c r="F258" t="s">
        <v>317</v>
      </c>
      <c r="G258">
        <v>1</v>
      </c>
      <c r="H258" t="s">
        <v>310</v>
      </c>
      <c r="I258">
        <v>0</v>
      </c>
      <c r="J258">
        <v>0</v>
      </c>
      <c r="K258">
        <v>0</v>
      </c>
      <c r="L258" t="s">
        <v>310</v>
      </c>
      <c r="M258" t="s">
        <v>310</v>
      </c>
      <c r="N258">
        <v>0</v>
      </c>
      <c r="O258" t="s">
        <v>1393</v>
      </c>
      <c r="P258" t="s">
        <v>1401</v>
      </c>
      <c r="Q258" t="s">
        <v>1400</v>
      </c>
      <c r="R258" t="s">
        <v>321</v>
      </c>
      <c r="S258" t="s">
        <v>1411</v>
      </c>
      <c r="T258" t="s">
        <v>105</v>
      </c>
      <c r="U258">
        <v>9</v>
      </c>
      <c r="V258">
        <v>9</v>
      </c>
      <c r="W258">
        <v>0</v>
      </c>
      <c r="X258">
        <v>35.364224299999997</v>
      </c>
      <c r="Y258">
        <v>16.6539538</v>
      </c>
      <c r="Z258">
        <v>83.575168300000001</v>
      </c>
      <c r="AA258">
        <v>0</v>
      </c>
      <c r="AB258">
        <v>0</v>
      </c>
      <c r="AC258" t="s">
        <v>174</v>
      </c>
      <c r="AD258">
        <v>9</v>
      </c>
      <c r="AE258" t="s">
        <v>1416</v>
      </c>
      <c r="AF258">
        <v>80000000</v>
      </c>
      <c r="AG258" t="s">
        <v>310</v>
      </c>
      <c r="AH258">
        <v>3419.49</v>
      </c>
      <c r="AI258">
        <v>0</v>
      </c>
    </row>
    <row r="259" spans="1:35" x14ac:dyDescent="0.3">
      <c r="A259">
        <v>2615</v>
      </c>
      <c r="B259" t="s">
        <v>1308</v>
      </c>
      <c r="C259">
        <v>49</v>
      </c>
      <c r="D259" s="3">
        <v>45373.712759108799</v>
      </c>
      <c r="E259" t="s">
        <v>316</v>
      </c>
      <c r="F259" t="s">
        <v>317</v>
      </c>
      <c r="G259">
        <v>0</v>
      </c>
      <c r="H259" t="s">
        <v>310</v>
      </c>
      <c r="I259">
        <v>0</v>
      </c>
      <c r="J259">
        <v>0</v>
      </c>
      <c r="K259">
        <v>0</v>
      </c>
      <c r="L259" t="s">
        <v>310</v>
      </c>
      <c r="M259" t="s">
        <v>310</v>
      </c>
      <c r="N259">
        <v>0</v>
      </c>
      <c r="O259" t="s">
        <v>1389</v>
      </c>
      <c r="P259" t="s">
        <v>101</v>
      </c>
      <c r="Q259" t="s">
        <v>1399</v>
      </c>
      <c r="R259" t="s">
        <v>1405</v>
      </c>
      <c r="S259" t="s">
        <v>202</v>
      </c>
      <c r="T259" t="s">
        <v>1407</v>
      </c>
      <c r="U259">
        <v>0</v>
      </c>
      <c r="V259">
        <v>1</v>
      </c>
      <c r="W259">
        <v>1.3730921</v>
      </c>
      <c r="X259">
        <v>30.467596799999999</v>
      </c>
      <c r="Y259">
        <v>24.787464199999999</v>
      </c>
      <c r="Z259">
        <v>80.047275799999994</v>
      </c>
      <c r="AA259">
        <v>0</v>
      </c>
      <c r="AB259">
        <v>1</v>
      </c>
      <c r="AC259" t="s">
        <v>174</v>
      </c>
      <c r="AD259">
        <v>1</v>
      </c>
      <c r="AE259" t="s">
        <v>1414</v>
      </c>
      <c r="AF259">
        <v>110000000</v>
      </c>
      <c r="AG259" t="s">
        <v>310</v>
      </c>
      <c r="AH259">
        <v>3799.49</v>
      </c>
      <c r="AI259">
        <v>0</v>
      </c>
    </row>
    <row r="260" spans="1:35" x14ac:dyDescent="0.3">
      <c r="A260">
        <v>2616</v>
      </c>
      <c r="B260" t="s">
        <v>1306</v>
      </c>
      <c r="C260">
        <v>49</v>
      </c>
      <c r="D260" s="3">
        <v>45373.712759259259</v>
      </c>
      <c r="E260" t="s">
        <v>316</v>
      </c>
      <c r="F260" t="s">
        <v>317</v>
      </c>
      <c r="G260">
        <v>1</v>
      </c>
      <c r="H260" t="s">
        <v>310</v>
      </c>
      <c r="I260">
        <v>0</v>
      </c>
      <c r="J260">
        <v>0</v>
      </c>
      <c r="K260">
        <v>0</v>
      </c>
      <c r="L260" t="s">
        <v>310</v>
      </c>
      <c r="M260" t="s">
        <v>310</v>
      </c>
      <c r="N260">
        <v>0</v>
      </c>
      <c r="O260" t="s">
        <v>1395</v>
      </c>
      <c r="P260" t="s">
        <v>320</v>
      </c>
      <c r="Q260" t="s">
        <v>1400</v>
      </c>
      <c r="R260" t="s">
        <v>1405</v>
      </c>
      <c r="S260" t="s">
        <v>202</v>
      </c>
      <c r="T260" t="s">
        <v>1406</v>
      </c>
      <c r="U260">
        <v>0</v>
      </c>
      <c r="V260">
        <v>0</v>
      </c>
      <c r="W260">
        <v>8.298503199999999</v>
      </c>
      <c r="X260">
        <v>32.1402967</v>
      </c>
      <c r="Y260">
        <v>25.424280799999998</v>
      </c>
      <c r="Z260">
        <v>70.168298800000002</v>
      </c>
      <c r="AA260">
        <v>0</v>
      </c>
      <c r="AB260">
        <v>0</v>
      </c>
      <c r="AC260" t="s">
        <v>174</v>
      </c>
      <c r="AD260">
        <v>9</v>
      </c>
      <c r="AE260" t="s">
        <v>1417</v>
      </c>
      <c r="AF260">
        <v>80000000</v>
      </c>
      <c r="AG260" t="s">
        <v>310</v>
      </c>
      <c r="AH260">
        <v>3986.49</v>
      </c>
      <c r="AI260">
        <v>0</v>
      </c>
    </row>
    <row r="261" spans="1:35" x14ac:dyDescent="0.3">
      <c r="A261">
        <v>2675</v>
      </c>
      <c r="B261" t="s">
        <v>1280</v>
      </c>
      <c r="C261">
        <v>50</v>
      </c>
      <c r="D261" s="3">
        <v>45373.718733136571</v>
      </c>
      <c r="E261" t="s">
        <v>316</v>
      </c>
      <c r="F261" t="s">
        <v>317</v>
      </c>
      <c r="G261">
        <v>0</v>
      </c>
      <c r="H261" t="s">
        <v>310</v>
      </c>
      <c r="I261">
        <v>0</v>
      </c>
      <c r="J261">
        <v>0</v>
      </c>
      <c r="K261">
        <v>0</v>
      </c>
      <c r="L261" t="s">
        <v>310</v>
      </c>
      <c r="M261" t="s">
        <v>310</v>
      </c>
      <c r="N261">
        <v>0</v>
      </c>
      <c r="O261" t="s">
        <v>311</v>
      </c>
      <c r="P261" t="s">
        <v>101</v>
      </c>
      <c r="Q261" t="s">
        <v>1400</v>
      </c>
      <c r="R261" t="s">
        <v>1405</v>
      </c>
      <c r="S261" t="s">
        <v>202</v>
      </c>
      <c r="T261" t="s">
        <v>1407</v>
      </c>
      <c r="U261">
        <v>0</v>
      </c>
      <c r="V261">
        <v>0</v>
      </c>
      <c r="W261">
        <v>6.1143332999999993</v>
      </c>
      <c r="X261">
        <v>9.7504007999999995</v>
      </c>
      <c r="Y261">
        <v>22.704057499999998</v>
      </c>
      <c r="Z261">
        <v>93.060256099999989</v>
      </c>
      <c r="AA261">
        <v>2</v>
      </c>
      <c r="AB261">
        <v>1</v>
      </c>
      <c r="AC261" t="s">
        <v>167</v>
      </c>
      <c r="AD261">
        <v>9</v>
      </c>
      <c r="AE261" t="s">
        <v>1394</v>
      </c>
      <c r="AF261">
        <v>0</v>
      </c>
      <c r="AG261" t="s">
        <v>310</v>
      </c>
      <c r="AH261">
        <v>1559.5</v>
      </c>
      <c r="AI261">
        <v>0</v>
      </c>
    </row>
    <row r="262" spans="1:35" x14ac:dyDescent="0.3">
      <c r="A262">
        <v>2676</v>
      </c>
      <c r="B262" t="s">
        <v>1318</v>
      </c>
      <c r="C262">
        <v>50</v>
      </c>
      <c r="D262" s="3">
        <v>45373.718733333335</v>
      </c>
      <c r="E262" t="s">
        <v>316</v>
      </c>
      <c r="F262" t="s">
        <v>317</v>
      </c>
      <c r="G262">
        <v>1</v>
      </c>
      <c r="H262" t="s">
        <v>310</v>
      </c>
      <c r="I262">
        <v>0</v>
      </c>
      <c r="J262">
        <v>0</v>
      </c>
      <c r="K262">
        <v>0</v>
      </c>
      <c r="L262" t="s">
        <v>310</v>
      </c>
      <c r="M262" t="s">
        <v>310</v>
      </c>
      <c r="N262">
        <v>0</v>
      </c>
      <c r="O262" t="s">
        <v>1391</v>
      </c>
      <c r="P262" t="s">
        <v>240</v>
      </c>
      <c r="Q262" t="s">
        <v>1400</v>
      </c>
      <c r="R262" t="s">
        <v>321</v>
      </c>
      <c r="S262" t="s">
        <v>1411</v>
      </c>
      <c r="T262" t="s">
        <v>105</v>
      </c>
      <c r="U262">
        <v>9</v>
      </c>
      <c r="V262">
        <v>9</v>
      </c>
      <c r="W262">
        <v>0</v>
      </c>
      <c r="X262">
        <v>46.001134899999997</v>
      </c>
      <c r="Y262">
        <v>24.7116407</v>
      </c>
      <c r="Z262">
        <v>65.738538699999992</v>
      </c>
      <c r="AA262">
        <v>0</v>
      </c>
      <c r="AB262">
        <v>0</v>
      </c>
      <c r="AC262" t="s">
        <v>174</v>
      </c>
      <c r="AD262">
        <v>9</v>
      </c>
      <c r="AE262" t="s">
        <v>1418</v>
      </c>
      <c r="AF262">
        <v>120000000</v>
      </c>
      <c r="AG262" t="s">
        <v>310</v>
      </c>
      <c r="AH262">
        <v>7709.5</v>
      </c>
      <c r="AI262">
        <v>0</v>
      </c>
    </row>
    <row r="263" spans="1:35" x14ac:dyDescent="0.3">
      <c r="A263">
        <v>2677</v>
      </c>
      <c r="B263" t="s">
        <v>1284</v>
      </c>
      <c r="C263">
        <v>50</v>
      </c>
      <c r="D263" s="3">
        <v>45373.718733414353</v>
      </c>
      <c r="E263" t="s">
        <v>316</v>
      </c>
      <c r="F263" t="s">
        <v>317</v>
      </c>
      <c r="G263">
        <v>1</v>
      </c>
      <c r="H263" t="s">
        <v>310</v>
      </c>
      <c r="I263">
        <v>0</v>
      </c>
      <c r="J263">
        <v>0</v>
      </c>
      <c r="K263">
        <v>0</v>
      </c>
      <c r="L263" t="s">
        <v>310</v>
      </c>
      <c r="M263" t="s">
        <v>310</v>
      </c>
      <c r="N263">
        <v>0</v>
      </c>
      <c r="O263" t="s">
        <v>319</v>
      </c>
      <c r="P263" t="s">
        <v>1401</v>
      </c>
      <c r="Q263" t="s">
        <v>1399</v>
      </c>
      <c r="R263" t="s">
        <v>1404</v>
      </c>
      <c r="S263" t="s">
        <v>322</v>
      </c>
      <c r="T263" t="s">
        <v>105</v>
      </c>
      <c r="U263">
        <v>9</v>
      </c>
      <c r="V263">
        <v>9</v>
      </c>
      <c r="W263">
        <v>4.4387714999999996</v>
      </c>
      <c r="X263">
        <v>0</v>
      </c>
      <c r="Y263">
        <v>52.975585199999998</v>
      </c>
      <c r="Z263">
        <v>78.179600399999998</v>
      </c>
      <c r="AA263">
        <v>3</v>
      </c>
      <c r="AB263">
        <v>0</v>
      </c>
      <c r="AC263" t="s">
        <v>170</v>
      </c>
      <c r="AD263">
        <v>1</v>
      </c>
      <c r="AE263" t="s">
        <v>1387</v>
      </c>
      <c r="AF263">
        <v>10000000</v>
      </c>
      <c r="AG263" t="s">
        <v>310</v>
      </c>
      <c r="AH263">
        <v>5590.5</v>
      </c>
      <c r="AI263">
        <v>0</v>
      </c>
    </row>
    <row r="264" spans="1:35" x14ac:dyDescent="0.3">
      <c r="A264">
        <v>2678</v>
      </c>
      <c r="B264" t="s">
        <v>1312</v>
      </c>
      <c r="C264">
        <v>50</v>
      </c>
      <c r="D264" s="3">
        <v>45373.718733530091</v>
      </c>
      <c r="E264" t="s">
        <v>316</v>
      </c>
      <c r="F264" t="s">
        <v>317</v>
      </c>
      <c r="G264">
        <v>1</v>
      </c>
      <c r="H264" t="s">
        <v>310</v>
      </c>
      <c r="I264">
        <v>0</v>
      </c>
      <c r="J264">
        <v>0</v>
      </c>
      <c r="K264">
        <v>0</v>
      </c>
      <c r="L264" t="s">
        <v>310</v>
      </c>
      <c r="M264" t="s">
        <v>310</v>
      </c>
      <c r="N264">
        <v>0</v>
      </c>
      <c r="O264" t="s">
        <v>1393</v>
      </c>
      <c r="P264" t="s">
        <v>320</v>
      </c>
      <c r="Q264" t="s">
        <v>1400</v>
      </c>
      <c r="R264" t="s">
        <v>1404</v>
      </c>
      <c r="S264" t="s">
        <v>322</v>
      </c>
      <c r="T264" t="s">
        <v>105</v>
      </c>
      <c r="U264">
        <v>9</v>
      </c>
      <c r="V264">
        <v>9</v>
      </c>
      <c r="W264">
        <v>19.178200699999998</v>
      </c>
      <c r="X264">
        <v>22.521358799999998</v>
      </c>
      <c r="Y264">
        <v>11.312211699999999</v>
      </c>
      <c r="Z264">
        <v>80.621051600000001</v>
      </c>
      <c r="AA264">
        <v>0</v>
      </c>
      <c r="AB264">
        <v>3</v>
      </c>
      <c r="AC264" t="s">
        <v>174</v>
      </c>
      <c r="AD264">
        <v>9</v>
      </c>
      <c r="AE264" t="s">
        <v>1392</v>
      </c>
      <c r="AF264">
        <v>70000000</v>
      </c>
      <c r="AG264" t="s">
        <v>310</v>
      </c>
      <c r="AH264">
        <v>2053.5</v>
      </c>
      <c r="AI264">
        <v>0</v>
      </c>
    </row>
    <row r="265" spans="1:35" x14ac:dyDescent="0.3">
      <c r="A265">
        <v>2679</v>
      </c>
      <c r="B265" t="s">
        <v>1292</v>
      </c>
      <c r="C265">
        <v>50</v>
      </c>
      <c r="D265" s="3">
        <v>45373.71873364583</v>
      </c>
      <c r="E265" t="s">
        <v>316</v>
      </c>
      <c r="F265" t="s">
        <v>317</v>
      </c>
      <c r="G265">
        <v>0</v>
      </c>
      <c r="H265" t="s">
        <v>310</v>
      </c>
      <c r="I265">
        <v>0</v>
      </c>
      <c r="J265">
        <v>0</v>
      </c>
      <c r="K265">
        <v>0</v>
      </c>
      <c r="L265" t="s">
        <v>310</v>
      </c>
      <c r="M265" t="s">
        <v>310</v>
      </c>
      <c r="N265">
        <v>0</v>
      </c>
      <c r="O265" t="s">
        <v>1389</v>
      </c>
      <c r="P265" t="s">
        <v>101</v>
      </c>
      <c r="Q265" t="s">
        <v>1400</v>
      </c>
      <c r="R265" t="s">
        <v>1404</v>
      </c>
      <c r="S265" t="s">
        <v>322</v>
      </c>
      <c r="T265" t="s">
        <v>105</v>
      </c>
      <c r="U265">
        <v>9</v>
      </c>
      <c r="V265">
        <v>9</v>
      </c>
      <c r="W265">
        <v>10.8744345</v>
      </c>
      <c r="X265">
        <v>0</v>
      </c>
      <c r="Y265">
        <v>43.008052499999998</v>
      </c>
      <c r="Z265">
        <v>80.133718599999995</v>
      </c>
      <c r="AA265">
        <v>0</v>
      </c>
      <c r="AB265">
        <v>0</v>
      </c>
      <c r="AC265" t="s">
        <v>174</v>
      </c>
      <c r="AD265">
        <v>9</v>
      </c>
      <c r="AE265" t="s">
        <v>1417</v>
      </c>
      <c r="AF265">
        <v>0</v>
      </c>
      <c r="AG265" t="s">
        <v>310</v>
      </c>
      <c r="AH265">
        <v>7030.5</v>
      </c>
      <c r="AI265">
        <v>0</v>
      </c>
    </row>
    <row r="266" spans="1:35" x14ac:dyDescent="0.3">
      <c r="A266">
        <v>2680</v>
      </c>
      <c r="B266" t="s">
        <v>360</v>
      </c>
      <c r="C266">
        <v>50</v>
      </c>
      <c r="D266" s="3">
        <v>45373.718733715279</v>
      </c>
      <c r="E266" t="s">
        <v>316</v>
      </c>
      <c r="F266" t="s">
        <v>317</v>
      </c>
      <c r="G266">
        <v>1</v>
      </c>
      <c r="H266" t="s">
        <v>310</v>
      </c>
      <c r="I266">
        <v>0</v>
      </c>
      <c r="J266">
        <v>0</v>
      </c>
      <c r="K266">
        <v>0</v>
      </c>
      <c r="L266" t="s">
        <v>310</v>
      </c>
      <c r="M266" t="s">
        <v>310</v>
      </c>
      <c r="N266">
        <v>0</v>
      </c>
      <c r="O266" t="s">
        <v>1395</v>
      </c>
      <c r="P266" t="s">
        <v>240</v>
      </c>
      <c r="Q266" t="s">
        <v>1399</v>
      </c>
      <c r="R266" t="s">
        <v>1404</v>
      </c>
      <c r="S266" t="s">
        <v>322</v>
      </c>
      <c r="T266" t="s">
        <v>105</v>
      </c>
      <c r="U266">
        <v>9</v>
      </c>
      <c r="V266">
        <v>9</v>
      </c>
      <c r="W266">
        <v>8.0548912000000001</v>
      </c>
      <c r="X266">
        <v>33.923058599999997</v>
      </c>
      <c r="Y266">
        <v>16.719453399999999</v>
      </c>
      <c r="Z266">
        <v>52.893091999999996</v>
      </c>
      <c r="AA266">
        <v>0</v>
      </c>
      <c r="AB266">
        <v>3</v>
      </c>
      <c r="AC266" t="s">
        <v>174</v>
      </c>
      <c r="AD266">
        <v>0</v>
      </c>
      <c r="AE266" t="s">
        <v>1416</v>
      </c>
      <c r="AF266">
        <v>140003000</v>
      </c>
      <c r="AG266" t="s">
        <v>310</v>
      </c>
      <c r="AH266">
        <v>1796.5</v>
      </c>
      <c r="AI266">
        <v>0</v>
      </c>
    </row>
    <row r="267" spans="1:35" x14ac:dyDescent="0.3">
      <c r="A267">
        <v>2736</v>
      </c>
      <c r="B267" t="s">
        <v>1315</v>
      </c>
      <c r="C267">
        <v>51</v>
      </c>
      <c r="D267" s="3">
        <v>45373.723759224536</v>
      </c>
      <c r="E267" t="s">
        <v>316</v>
      </c>
      <c r="F267" t="s">
        <v>317</v>
      </c>
      <c r="G267">
        <v>1</v>
      </c>
      <c r="H267" t="s">
        <v>310</v>
      </c>
      <c r="I267">
        <v>0</v>
      </c>
      <c r="J267">
        <v>0</v>
      </c>
      <c r="K267">
        <v>0</v>
      </c>
      <c r="L267" t="s">
        <v>310</v>
      </c>
      <c r="M267" t="s">
        <v>310</v>
      </c>
      <c r="N267">
        <v>0</v>
      </c>
      <c r="O267" t="s">
        <v>311</v>
      </c>
      <c r="P267" t="s">
        <v>1401</v>
      </c>
      <c r="Q267" t="s">
        <v>1400</v>
      </c>
      <c r="R267" t="s">
        <v>1405</v>
      </c>
      <c r="S267" t="s">
        <v>202</v>
      </c>
      <c r="T267" t="s">
        <v>1406</v>
      </c>
      <c r="U267">
        <v>0</v>
      </c>
      <c r="V267">
        <v>0</v>
      </c>
      <c r="W267">
        <v>11.936545499999999</v>
      </c>
      <c r="X267">
        <v>27.3291732</v>
      </c>
      <c r="Y267">
        <v>17.981054999999998</v>
      </c>
      <c r="Z267">
        <v>71.186097599999997</v>
      </c>
      <c r="AA267">
        <v>0</v>
      </c>
      <c r="AB267">
        <v>0</v>
      </c>
      <c r="AC267" t="s">
        <v>174</v>
      </c>
      <c r="AD267">
        <v>9</v>
      </c>
      <c r="AE267" t="s">
        <v>1392</v>
      </c>
      <c r="AF267">
        <v>80000000</v>
      </c>
      <c r="AG267" t="s">
        <v>310</v>
      </c>
      <c r="AH267">
        <v>1511.51</v>
      </c>
      <c r="AI267">
        <v>0</v>
      </c>
    </row>
    <row r="268" spans="1:35" x14ac:dyDescent="0.3">
      <c r="A268">
        <v>2737</v>
      </c>
      <c r="B268" t="s">
        <v>1294</v>
      </c>
      <c r="C268">
        <v>51</v>
      </c>
      <c r="D268" s="3">
        <v>45373.723759409724</v>
      </c>
      <c r="E268" t="s">
        <v>316</v>
      </c>
      <c r="F268" t="s">
        <v>317</v>
      </c>
      <c r="G268">
        <v>1</v>
      </c>
      <c r="H268" t="s">
        <v>310</v>
      </c>
      <c r="I268">
        <v>0</v>
      </c>
      <c r="J268">
        <v>0</v>
      </c>
      <c r="K268">
        <v>0</v>
      </c>
      <c r="L268" t="s">
        <v>310</v>
      </c>
      <c r="M268" t="s">
        <v>310</v>
      </c>
      <c r="N268">
        <v>0</v>
      </c>
      <c r="O268" t="s">
        <v>1391</v>
      </c>
      <c r="P268" t="s">
        <v>320</v>
      </c>
      <c r="Q268" t="s">
        <v>1399</v>
      </c>
      <c r="R268" t="s">
        <v>1404</v>
      </c>
      <c r="S268" t="s">
        <v>1411</v>
      </c>
      <c r="T268" t="s">
        <v>105</v>
      </c>
      <c r="U268">
        <v>9</v>
      </c>
      <c r="V268">
        <v>9</v>
      </c>
      <c r="W268">
        <v>0</v>
      </c>
      <c r="X268">
        <v>0</v>
      </c>
      <c r="Y268">
        <v>1.2437593999999998</v>
      </c>
      <c r="Z268">
        <v>0</v>
      </c>
      <c r="AA268">
        <v>0</v>
      </c>
      <c r="AB268">
        <v>0</v>
      </c>
      <c r="AC268" t="s">
        <v>174</v>
      </c>
      <c r="AD268">
        <v>0</v>
      </c>
      <c r="AE268" t="s">
        <v>1418</v>
      </c>
      <c r="AF268">
        <v>40000000</v>
      </c>
      <c r="AG268" t="s">
        <v>310</v>
      </c>
      <c r="AH268">
        <v>9076.51</v>
      </c>
      <c r="AI268">
        <v>0</v>
      </c>
    </row>
    <row r="269" spans="1:35" x14ac:dyDescent="0.3">
      <c r="A269">
        <v>2738</v>
      </c>
      <c r="B269" t="s">
        <v>1275</v>
      </c>
      <c r="C269">
        <v>51</v>
      </c>
      <c r="D269" s="3">
        <v>45373.723759525463</v>
      </c>
      <c r="E269" t="s">
        <v>316</v>
      </c>
      <c r="F269" t="s">
        <v>317</v>
      </c>
      <c r="G269">
        <v>1</v>
      </c>
      <c r="H269" t="s">
        <v>310</v>
      </c>
      <c r="I269">
        <v>0</v>
      </c>
      <c r="J269">
        <v>0</v>
      </c>
      <c r="K269">
        <v>0</v>
      </c>
      <c r="L269" t="s">
        <v>310</v>
      </c>
      <c r="M269" t="s">
        <v>310</v>
      </c>
      <c r="N269">
        <v>0</v>
      </c>
      <c r="O269" t="s">
        <v>319</v>
      </c>
      <c r="P269" t="s">
        <v>101</v>
      </c>
      <c r="Q269" t="s">
        <v>1400</v>
      </c>
      <c r="R269" t="s">
        <v>321</v>
      </c>
      <c r="S269" t="s">
        <v>1411</v>
      </c>
      <c r="T269" t="s">
        <v>105</v>
      </c>
      <c r="U269">
        <v>9</v>
      </c>
      <c r="V269">
        <v>9</v>
      </c>
      <c r="W269">
        <v>0</v>
      </c>
      <c r="X269">
        <v>20.312870699999998</v>
      </c>
      <c r="Y269">
        <v>8.1776208999999991</v>
      </c>
      <c r="Z269">
        <v>108.44502229999999</v>
      </c>
      <c r="AA269">
        <v>0</v>
      </c>
      <c r="AB269">
        <v>0</v>
      </c>
      <c r="AC269" t="s">
        <v>174</v>
      </c>
      <c r="AD269">
        <v>9</v>
      </c>
      <c r="AE269" t="s">
        <v>1387</v>
      </c>
      <c r="AF269">
        <v>0</v>
      </c>
      <c r="AG269" t="s">
        <v>310</v>
      </c>
      <c r="AH269">
        <v>1880.51</v>
      </c>
      <c r="AI269">
        <v>0</v>
      </c>
    </row>
    <row r="270" spans="1:35" x14ac:dyDescent="0.3">
      <c r="A270">
        <v>2739</v>
      </c>
      <c r="B270" t="s">
        <v>364</v>
      </c>
      <c r="C270">
        <v>51</v>
      </c>
      <c r="D270" s="3">
        <v>45373.723759606481</v>
      </c>
      <c r="E270" t="s">
        <v>316</v>
      </c>
      <c r="F270" t="s">
        <v>317</v>
      </c>
      <c r="G270">
        <v>1</v>
      </c>
      <c r="H270" t="s">
        <v>310</v>
      </c>
      <c r="I270">
        <v>0</v>
      </c>
      <c r="J270">
        <v>0</v>
      </c>
      <c r="K270">
        <v>0</v>
      </c>
      <c r="L270" t="s">
        <v>310</v>
      </c>
      <c r="M270" t="s">
        <v>310</v>
      </c>
      <c r="N270">
        <v>0</v>
      </c>
      <c r="O270" t="s">
        <v>1393</v>
      </c>
      <c r="P270" t="s">
        <v>1401</v>
      </c>
      <c r="Q270" t="s">
        <v>1400</v>
      </c>
      <c r="R270" t="s">
        <v>1405</v>
      </c>
      <c r="S270" t="s">
        <v>202</v>
      </c>
      <c r="T270" t="s">
        <v>1407</v>
      </c>
      <c r="U270">
        <v>1</v>
      </c>
      <c r="V270">
        <v>0</v>
      </c>
      <c r="W270">
        <v>3.1108807000000001</v>
      </c>
      <c r="X270">
        <v>29.9758228</v>
      </c>
      <c r="Y270">
        <v>19.600413700000001</v>
      </c>
      <c r="Z270">
        <v>74.988194499999992</v>
      </c>
      <c r="AA270">
        <v>0</v>
      </c>
      <c r="AB270">
        <v>0</v>
      </c>
      <c r="AC270" t="s">
        <v>174</v>
      </c>
      <c r="AD270">
        <v>9</v>
      </c>
      <c r="AE270" t="s">
        <v>1394</v>
      </c>
      <c r="AF270">
        <v>100000000</v>
      </c>
      <c r="AG270" t="s">
        <v>310</v>
      </c>
      <c r="AH270">
        <v>2791.51</v>
      </c>
      <c r="AI270">
        <v>0</v>
      </c>
    </row>
    <row r="271" spans="1:35" x14ac:dyDescent="0.3">
      <c r="A271">
        <v>2740</v>
      </c>
      <c r="B271" t="s">
        <v>1296</v>
      </c>
      <c r="C271">
        <v>51</v>
      </c>
      <c r="D271" s="3">
        <v>45373.723759722219</v>
      </c>
      <c r="E271" t="s">
        <v>316</v>
      </c>
      <c r="F271" t="s">
        <v>317</v>
      </c>
      <c r="G271">
        <v>0</v>
      </c>
      <c r="H271" t="s">
        <v>310</v>
      </c>
      <c r="I271">
        <v>0</v>
      </c>
      <c r="J271">
        <v>0</v>
      </c>
      <c r="K271">
        <v>0</v>
      </c>
      <c r="L271" t="s">
        <v>310</v>
      </c>
      <c r="M271" t="s">
        <v>310</v>
      </c>
      <c r="N271">
        <v>0</v>
      </c>
      <c r="O271" t="s">
        <v>1389</v>
      </c>
      <c r="P271" t="s">
        <v>101</v>
      </c>
      <c r="Q271" t="s">
        <v>1399</v>
      </c>
      <c r="R271" t="s">
        <v>1404</v>
      </c>
      <c r="S271" t="s">
        <v>1411</v>
      </c>
      <c r="T271" t="s">
        <v>105</v>
      </c>
      <c r="U271">
        <v>9</v>
      </c>
      <c r="V271">
        <v>9</v>
      </c>
      <c r="W271">
        <v>0</v>
      </c>
      <c r="X271">
        <v>17.923590699999998</v>
      </c>
      <c r="Y271">
        <v>66.675459500000002</v>
      </c>
      <c r="Z271">
        <v>50.214010899999998</v>
      </c>
      <c r="AA271">
        <v>3</v>
      </c>
      <c r="AB271">
        <v>0</v>
      </c>
      <c r="AC271" t="s">
        <v>170</v>
      </c>
      <c r="AD271">
        <v>0</v>
      </c>
      <c r="AE271" t="s">
        <v>1416</v>
      </c>
      <c r="AF271">
        <v>0</v>
      </c>
      <c r="AG271" t="s">
        <v>310</v>
      </c>
      <c r="AH271">
        <v>3003.51</v>
      </c>
      <c r="AI271">
        <v>0</v>
      </c>
    </row>
    <row r="272" spans="1:35" x14ac:dyDescent="0.3">
      <c r="A272">
        <v>2741</v>
      </c>
      <c r="B272" t="s">
        <v>1300</v>
      </c>
      <c r="C272">
        <v>51</v>
      </c>
      <c r="D272" s="3">
        <v>45373.723759803244</v>
      </c>
      <c r="E272" t="s">
        <v>316</v>
      </c>
      <c r="F272" t="s">
        <v>317</v>
      </c>
      <c r="G272">
        <v>0</v>
      </c>
      <c r="H272" t="s">
        <v>310</v>
      </c>
      <c r="I272">
        <v>0</v>
      </c>
      <c r="J272">
        <v>0</v>
      </c>
      <c r="K272">
        <v>0</v>
      </c>
      <c r="L272" t="s">
        <v>310</v>
      </c>
      <c r="M272" t="s">
        <v>310</v>
      </c>
      <c r="N272">
        <v>0</v>
      </c>
      <c r="O272" t="s">
        <v>1395</v>
      </c>
      <c r="P272" t="s">
        <v>240</v>
      </c>
      <c r="Q272" t="s">
        <v>1400</v>
      </c>
      <c r="R272" t="s">
        <v>1405</v>
      </c>
      <c r="S272" t="s">
        <v>202</v>
      </c>
      <c r="T272" t="s">
        <v>1407</v>
      </c>
      <c r="U272">
        <v>1</v>
      </c>
      <c r="V272">
        <v>0</v>
      </c>
      <c r="W272">
        <v>7.3785480999999997</v>
      </c>
      <c r="X272">
        <v>19.764181000000001</v>
      </c>
      <c r="Y272">
        <v>16.410803699999999</v>
      </c>
      <c r="Z272">
        <v>82.377286299999994</v>
      </c>
      <c r="AA272">
        <v>0</v>
      </c>
      <c r="AB272">
        <v>0</v>
      </c>
      <c r="AC272" t="s">
        <v>173</v>
      </c>
      <c r="AD272">
        <v>9</v>
      </c>
      <c r="AE272" t="s">
        <v>1417</v>
      </c>
      <c r="AF272">
        <v>120000000</v>
      </c>
      <c r="AG272" t="s">
        <v>310</v>
      </c>
      <c r="AH272">
        <v>3044.51</v>
      </c>
      <c r="AI272">
        <v>0</v>
      </c>
    </row>
    <row r="273" spans="1:35" x14ac:dyDescent="0.3">
      <c r="A273">
        <v>2793</v>
      </c>
      <c r="B273" t="s">
        <v>1290</v>
      </c>
      <c r="C273">
        <v>52</v>
      </c>
      <c r="D273" s="3">
        <v>45373.729440972224</v>
      </c>
      <c r="E273" t="s">
        <v>316</v>
      </c>
      <c r="F273" t="s">
        <v>317</v>
      </c>
      <c r="G273">
        <v>1</v>
      </c>
      <c r="H273" t="s">
        <v>310</v>
      </c>
      <c r="I273">
        <v>0</v>
      </c>
      <c r="J273">
        <v>0</v>
      </c>
      <c r="K273">
        <v>0</v>
      </c>
      <c r="L273" t="s">
        <v>310</v>
      </c>
      <c r="M273" t="s">
        <v>310</v>
      </c>
      <c r="N273">
        <v>0</v>
      </c>
      <c r="O273" t="s">
        <v>311</v>
      </c>
      <c r="P273" t="s">
        <v>240</v>
      </c>
      <c r="Q273" t="s">
        <v>1400</v>
      </c>
      <c r="R273" t="s">
        <v>1404</v>
      </c>
      <c r="S273" t="s">
        <v>322</v>
      </c>
      <c r="T273" t="s">
        <v>105</v>
      </c>
      <c r="U273">
        <v>9</v>
      </c>
      <c r="V273">
        <v>9</v>
      </c>
      <c r="W273">
        <v>13.5096335</v>
      </c>
      <c r="X273">
        <v>35.953234299999998</v>
      </c>
      <c r="Y273">
        <v>16.225257799999998</v>
      </c>
      <c r="Z273">
        <v>64.005624799999993</v>
      </c>
      <c r="AA273">
        <v>0</v>
      </c>
      <c r="AB273">
        <v>0</v>
      </c>
      <c r="AC273" t="s">
        <v>174</v>
      </c>
      <c r="AD273">
        <v>9</v>
      </c>
      <c r="AE273" t="s">
        <v>1417</v>
      </c>
      <c r="AF273">
        <v>60000000</v>
      </c>
      <c r="AG273" t="s">
        <v>310</v>
      </c>
      <c r="AH273">
        <v>5881.52</v>
      </c>
      <c r="AI273">
        <v>0</v>
      </c>
    </row>
    <row r="274" spans="1:35" x14ac:dyDescent="0.3">
      <c r="A274">
        <v>2794</v>
      </c>
      <c r="B274" t="s">
        <v>370</v>
      </c>
      <c r="C274">
        <v>52</v>
      </c>
      <c r="D274" s="3">
        <v>45373.729441087962</v>
      </c>
      <c r="E274" t="s">
        <v>316</v>
      </c>
      <c r="F274" t="s">
        <v>317</v>
      </c>
      <c r="G274">
        <v>1</v>
      </c>
      <c r="H274" t="s">
        <v>310</v>
      </c>
      <c r="I274">
        <v>0</v>
      </c>
      <c r="J274">
        <v>0</v>
      </c>
      <c r="K274">
        <v>0</v>
      </c>
      <c r="L274" t="s">
        <v>310</v>
      </c>
      <c r="M274" t="s">
        <v>310</v>
      </c>
      <c r="N274">
        <v>0</v>
      </c>
      <c r="O274" t="s">
        <v>1391</v>
      </c>
      <c r="P274" t="s">
        <v>1401</v>
      </c>
      <c r="Q274" t="s">
        <v>1399</v>
      </c>
      <c r="R274" t="s">
        <v>1405</v>
      </c>
      <c r="S274" t="s">
        <v>202</v>
      </c>
      <c r="T274" t="s">
        <v>1407</v>
      </c>
      <c r="U274">
        <v>0</v>
      </c>
      <c r="V274">
        <v>0</v>
      </c>
      <c r="W274">
        <v>5.0569587999999994</v>
      </c>
      <c r="X274">
        <v>31.702180799999997</v>
      </c>
      <c r="Y274">
        <v>16.051063499999998</v>
      </c>
      <c r="Z274">
        <v>67.115443400000004</v>
      </c>
      <c r="AA274">
        <v>0</v>
      </c>
      <c r="AB274">
        <v>0</v>
      </c>
      <c r="AC274" t="s">
        <v>174</v>
      </c>
      <c r="AD274">
        <v>0</v>
      </c>
      <c r="AE274" t="s">
        <v>1418</v>
      </c>
      <c r="AF274">
        <v>90100000</v>
      </c>
      <c r="AG274" t="s">
        <v>310</v>
      </c>
      <c r="AH274">
        <v>6911.52</v>
      </c>
      <c r="AI274">
        <v>0</v>
      </c>
    </row>
    <row r="275" spans="1:35" x14ac:dyDescent="0.3">
      <c r="A275">
        <v>2795</v>
      </c>
      <c r="B275" t="s">
        <v>373</v>
      </c>
      <c r="C275">
        <v>52</v>
      </c>
      <c r="D275" s="3">
        <v>45373.729441203701</v>
      </c>
      <c r="E275" t="s">
        <v>316</v>
      </c>
      <c r="F275" t="s">
        <v>317</v>
      </c>
      <c r="G275">
        <v>1</v>
      </c>
      <c r="H275" t="s">
        <v>310</v>
      </c>
      <c r="I275">
        <v>0</v>
      </c>
      <c r="J275">
        <v>0</v>
      </c>
      <c r="K275">
        <v>0</v>
      </c>
      <c r="L275" t="s">
        <v>310</v>
      </c>
      <c r="M275" t="s">
        <v>310</v>
      </c>
      <c r="N275">
        <v>0</v>
      </c>
      <c r="O275" t="s">
        <v>319</v>
      </c>
      <c r="P275" t="s">
        <v>320</v>
      </c>
      <c r="Q275" t="s">
        <v>1400</v>
      </c>
      <c r="R275" t="s">
        <v>1404</v>
      </c>
      <c r="S275" t="s">
        <v>322</v>
      </c>
      <c r="T275" t="s">
        <v>105</v>
      </c>
      <c r="U275">
        <v>9</v>
      </c>
      <c r="V275">
        <v>9</v>
      </c>
      <c r="W275">
        <v>16.509644899999998</v>
      </c>
      <c r="X275">
        <v>8.9625786999999999</v>
      </c>
      <c r="Y275">
        <v>63.029697499999997</v>
      </c>
      <c r="Z275">
        <v>28.700633099999997</v>
      </c>
      <c r="AA275">
        <v>3</v>
      </c>
      <c r="AB275">
        <v>0</v>
      </c>
      <c r="AC275" t="s">
        <v>170</v>
      </c>
      <c r="AD275">
        <v>9</v>
      </c>
      <c r="AE275" t="s">
        <v>1387</v>
      </c>
      <c r="AF275">
        <v>0</v>
      </c>
      <c r="AG275" t="s">
        <v>310</v>
      </c>
      <c r="AH275">
        <v>7718.52</v>
      </c>
      <c r="AI275">
        <v>0</v>
      </c>
    </row>
    <row r="276" spans="1:35" x14ac:dyDescent="0.3">
      <c r="A276">
        <v>2796</v>
      </c>
      <c r="B276" t="s">
        <v>1317</v>
      </c>
      <c r="C276">
        <v>52</v>
      </c>
      <c r="D276" s="3">
        <v>45373.729441319447</v>
      </c>
      <c r="E276" t="s">
        <v>316</v>
      </c>
      <c r="F276" t="s">
        <v>317</v>
      </c>
      <c r="G276">
        <v>1</v>
      </c>
      <c r="H276" t="s">
        <v>310</v>
      </c>
      <c r="I276">
        <v>0</v>
      </c>
      <c r="J276">
        <v>0</v>
      </c>
      <c r="K276">
        <v>0</v>
      </c>
      <c r="L276" t="s">
        <v>310</v>
      </c>
      <c r="M276" t="s">
        <v>310</v>
      </c>
      <c r="N276">
        <v>0</v>
      </c>
      <c r="O276" t="s">
        <v>1393</v>
      </c>
      <c r="P276" t="s">
        <v>1401</v>
      </c>
      <c r="Q276" t="s">
        <v>1400</v>
      </c>
      <c r="R276" t="s">
        <v>1404</v>
      </c>
      <c r="S276" t="s">
        <v>322</v>
      </c>
      <c r="T276" t="s">
        <v>105</v>
      </c>
      <c r="U276">
        <v>9</v>
      </c>
      <c r="V276">
        <v>9</v>
      </c>
      <c r="W276">
        <v>18.124646299999998</v>
      </c>
      <c r="X276">
        <v>30.744060399999999</v>
      </c>
      <c r="Y276">
        <v>32.017046499999999</v>
      </c>
      <c r="Z276">
        <v>53.615037399999999</v>
      </c>
      <c r="AA276">
        <v>0</v>
      </c>
      <c r="AB276">
        <v>2</v>
      </c>
      <c r="AC276" t="s">
        <v>174</v>
      </c>
      <c r="AD276">
        <v>9</v>
      </c>
      <c r="AE276" t="s">
        <v>1394</v>
      </c>
      <c r="AF276">
        <v>60000000</v>
      </c>
      <c r="AG276" t="s">
        <v>310</v>
      </c>
      <c r="AH276">
        <v>296.52</v>
      </c>
      <c r="AI276">
        <v>0</v>
      </c>
    </row>
    <row r="277" spans="1:35" x14ac:dyDescent="0.3">
      <c r="A277">
        <v>2797</v>
      </c>
      <c r="B277" t="s">
        <v>1303</v>
      </c>
      <c r="C277">
        <v>52</v>
      </c>
      <c r="D277" s="3">
        <v>45373.729441400465</v>
      </c>
      <c r="E277" t="s">
        <v>316</v>
      </c>
      <c r="F277" t="s">
        <v>317</v>
      </c>
      <c r="G277">
        <v>1</v>
      </c>
      <c r="H277" t="s">
        <v>143</v>
      </c>
      <c r="I277">
        <v>0</v>
      </c>
      <c r="J277">
        <v>0</v>
      </c>
      <c r="K277">
        <v>0</v>
      </c>
      <c r="L277" t="s">
        <v>310</v>
      </c>
      <c r="M277" t="s">
        <v>310</v>
      </c>
      <c r="N277">
        <v>0</v>
      </c>
      <c r="O277" t="s">
        <v>1389</v>
      </c>
      <c r="P277" t="s">
        <v>101</v>
      </c>
      <c r="Q277" t="s">
        <v>1400</v>
      </c>
      <c r="R277" t="s">
        <v>321</v>
      </c>
      <c r="S277" t="s">
        <v>1411</v>
      </c>
      <c r="T277" t="s">
        <v>105</v>
      </c>
      <c r="U277">
        <v>9</v>
      </c>
      <c r="V277">
        <v>9</v>
      </c>
      <c r="W277">
        <v>0</v>
      </c>
      <c r="X277">
        <v>0</v>
      </c>
      <c r="Y277">
        <v>0</v>
      </c>
      <c r="Z277">
        <v>133.808797</v>
      </c>
      <c r="AA277">
        <v>0</v>
      </c>
      <c r="AB277">
        <v>0</v>
      </c>
      <c r="AC277" t="s">
        <v>167</v>
      </c>
      <c r="AD277">
        <v>9</v>
      </c>
      <c r="AE277" t="s">
        <v>1392</v>
      </c>
      <c r="AF277">
        <v>0</v>
      </c>
      <c r="AG277" t="s">
        <v>310</v>
      </c>
      <c r="AH277">
        <v>7605.52</v>
      </c>
      <c r="AI277">
        <v>0</v>
      </c>
    </row>
    <row r="278" spans="1:35" x14ac:dyDescent="0.3">
      <c r="A278">
        <v>2798</v>
      </c>
      <c r="B278" t="s">
        <v>361</v>
      </c>
      <c r="C278">
        <v>52</v>
      </c>
      <c r="D278" s="3">
        <v>45373.729441516203</v>
      </c>
      <c r="E278" t="s">
        <v>316</v>
      </c>
      <c r="F278" t="s">
        <v>317</v>
      </c>
      <c r="G278">
        <v>0</v>
      </c>
      <c r="H278" t="s">
        <v>310</v>
      </c>
      <c r="I278">
        <v>0</v>
      </c>
      <c r="J278">
        <v>0</v>
      </c>
      <c r="K278">
        <v>0</v>
      </c>
      <c r="L278" t="s">
        <v>310</v>
      </c>
      <c r="M278" t="s">
        <v>310</v>
      </c>
      <c r="N278">
        <v>0</v>
      </c>
      <c r="O278" t="s">
        <v>1395</v>
      </c>
      <c r="P278" t="s">
        <v>240</v>
      </c>
      <c r="Q278" t="s">
        <v>1399</v>
      </c>
      <c r="R278" t="s">
        <v>1404</v>
      </c>
      <c r="S278" t="s">
        <v>322</v>
      </c>
      <c r="T278" t="s">
        <v>105</v>
      </c>
      <c r="U278">
        <v>9</v>
      </c>
      <c r="V278">
        <v>9</v>
      </c>
      <c r="W278">
        <v>4.6283333999999998</v>
      </c>
      <c r="X278">
        <v>31.7686818</v>
      </c>
      <c r="Y278">
        <v>22.677737499999999</v>
      </c>
      <c r="Z278">
        <v>76.293426400000001</v>
      </c>
      <c r="AA278">
        <v>0</v>
      </c>
      <c r="AB278">
        <v>0</v>
      </c>
      <c r="AC278" t="s">
        <v>174</v>
      </c>
      <c r="AD278">
        <v>0</v>
      </c>
      <c r="AE278" t="s">
        <v>1416</v>
      </c>
      <c r="AF278">
        <v>70100000</v>
      </c>
      <c r="AG278" t="s">
        <v>310</v>
      </c>
      <c r="AH278">
        <v>20.52</v>
      </c>
      <c r="AI278">
        <v>0</v>
      </c>
    </row>
    <row r="279" spans="1:35" x14ac:dyDescent="0.3">
      <c r="A279">
        <v>2852</v>
      </c>
      <c r="B279" t="s">
        <v>1291</v>
      </c>
      <c r="C279">
        <v>53</v>
      </c>
      <c r="D279" s="3">
        <v>45373.736094791668</v>
      </c>
      <c r="E279" t="s">
        <v>316</v>
      </c>
      <c r="F279" t="s">
        <v>317</v>
      </c>
      <c r="G279">
        <v>1</v>
      </c>
      <c r="H279" t="s">
        <v>310</v>
      </c>
      <c r="I279">
        <v>0</v>
      </c>
      <c r="J279">
        <v>0</v>
      </c>
      <c r="K279">
        <v>0</v>
      </c>
      <c r="L279" t="s">
        <v>310</v>
      </c>
      <c r="M279" t="s">
        <v>310</v>
      </c>
      <c r="N279">
        <v>0</v>
      </c>
      <c r="O279" t="s">
        <v>311</v>
      </c>
      <c r="P279" t="s">
        <v>240</v>
      </c>
      <c r="Q279" t="s">
        <v>1400</v>
      </c>
      <c r="R279" t="s">
        <v>1404</v>
      </c>
      <c r="S279" t="s">
        <v>1411</v>
      </c>
      <c r="T279" t="s">
        <v>105</v>
      </c>
      <c r="U279">
        <v>9</v>
      </c>
      <c r="V279">
        <v>9</v>
      </c>
      <c r="W279">
        <v>0</v>
      </c>
      <c r="X279">
        <v>78.037042499999998</v>
      </c>
      <c r="Y279">
        <v>51.5325104</v>
      </c>
      <c r="Z279">
        <v>7.4308228999999999</v>
      </c>
      <c r="AA279">
        <v>0</v>
      </c>
      <c r="AB279">
        <v>0</v>
      </c>
      <c r="AC279" t="s">
        <v>171</v>
      </c>
      <c r="AD279">
        <v>9</v>
      </c>
      <c r="AE279" t="s">
        <v>1417</v>
      </c>
      <c r="AF279">
        <v>30000000</v>
      </c>
      <c r="AG279" t="s">
        <v>310</v>
      </c>
      <c r="AH279">
        <v>1493.53</v>
      </c>
      <c r="AI279">
        <v>0</v>
      </c>
    </row>
    <row r="280" spans="1:35" x14ac:dyDescent="0.3">
      <c r="A280">
        <v>2853</v>
      </c>
      <c r="B280" t="s">
        <v>366</v>
      </c>
      <c r="C280">
        <v>53</v>
      </c>
      <c r="D280" s="3">
        <v>45373.736094942127</v>
      </c>
      <c r="E280" t="s">
        <v>316</v>
      </c>
      <c r="F280" t="s">
        <v>317</v>
      </c>
      <c r="G280">
        <v>0</v>
      </c>
      <c r="H280" t="s">
        <v>310</v>
      </c>
      <c r="I280">
        <v>0</v>
      </c>
      <c r="J280">
        <v>0</v>
      </c>
      <c r="K280">
        <v>0</v>
      </c>
      <c r="L280" t="s">
        <v>310</v>
      </c>
      <c r="M280" t="s">
        <v>310</v>
      </c>
      <c r="N280">
        <v>0</v>
      </c>
      <c r="O280" t="s">
        <v>1391</v>
      </c>
      <c r="P280" t="s">
        <v>101</v>
      </c>
      <c r="Q280" t="s">
        <v>1400</v>
      </c>
      <c r="R280" t="s">
        <v>1404</v>
      </c>
      <c r="S280" t="s">
        <v>1411</v>
      </c>
      <c r="T280" t="s">
        <v>105</v>
      </c>
      <c r="U280">
        <v>9</v>
      </c>
      <c r="V280">
        <v>9</v>
      </c>
      <c r="W280">
        <v>0</v>
      </c>
      <c r="X280">
        <v>51.070351799999997</v>
      </c>
      <c r="Y280">
        <v>73.812935400000001</v>
      </c>
      <c r="Z280">
        <v>11.990338999999999</v>
      </c>
      <c r="AA280">
        <v>0</v>
      </c>
      <c r="AB280">
        <v>3</v>
      </c>
      <c r="AC280" t="s">
        <v>171</v>
      </c>
      <c r="AD280">
        <v>9</v>
      </c>
      <c r="AE280" t="s">
        <v>1418</v>
      </c>
      <c r="AF280">
        <v>140000000</v>
      </c>
      <c r="AG280" t="s">
        <v>310</v>
      </c>
      <c r="AH280">
        <v>4122.53</v>
      </c>
      <c r="AI280">
        <v>0</v>
      </c>
    </row>
    <row r="281" spans="1:35" x14ac:dyDescent="0.3">
      <c r="A281">
        <v>2854</v>
      </c>
      <c r="B281" t="s">
        <v>1295</v>
      </c>
      <c r="C281">
        <v>53</v>
      </c>
      <c r="D281" s="3">
        <v>45373.736095057873</v>
      </c>
      <c r="E281" t="s">
        <v>316</v>
      </c>
      <c r="F281" t="s">
        <v>317</v>
      </c>
      <c r="G281">
        <v>1</v>
      </c>
      <c r="H281" t="s">
        <v>310</v>
      </c>
      <c r="I281">
        <v>0</v>
      </c>
      <c r="J281">
        <v>0</v>
      </c>
      <c r="K281">
        <v>0</v>
      </c>
      <c r="L281" t="s">
        <v>310</v>
      </c>
      <c r="M281" t="s">
        <v>310</v>
      </c>
      <c r="N281">
        <v>0</v>
      </c>
      <c r="O281" t="s">
        <v>319</v>
      </c>
      <c r="P281" t="s">
        <v>1401</v>
      </c>
      <c r="Q281" t="s">
        <v>1399</v>
      </c>
      <c r="R281" t="s">
        <v>1404</v>
      </c>
      <c r="S281" t="s">
        <v>1411</v>
      </c>
      <c r="T281" t="s">
        <v>105</v>
      </c>
      <c r="U281">
        <v>9</v>
      </c>
      <c r="V281">
        <v>9</v>
      </c>
      <c r="W281">
        <v>0</v>
      </c>
      <c r="X281">
        <v>18.7096543</v>
      </c>
      <c r="Y281">
        <v>18.3458416</v>
      </c>
      <c r="Z281">
        <v>97.81227659999999</v>
      </c>
      <c r="AA281">
        <v>0</v>
      </c>
      <c r="AB281">
        <v>0</v>
      </c>
      <c r="AC281" t="s">
        <v>174</v>
      </c>
      <c r="AD281">
        <v>0</v>
      </c>
      <c r="AE281" t="s">
        <v>1394</v>
      </c>
      <c r="AF281">
        <v>140000000</v>
      </c>
      <c r="AG281" t="s">
        <v>310</v>
      </c>
      <c r="AH281">
        <v>6300.53</v>
      </c>
      <c r="AI281">
        <v>0</v>
      </c>
    </row>
    <row r="282" spans="1:35" x14ac:dyDescent="0.3">
      <c r="A282">
        <v>2855</v>
      </c>
      <c r="B282" t="s">
        <v>1311</v>
      </c>
      <c r="C282">
        <v>53</v>
      </c>
      <c r="D282" s="3">
        <v>45373.736095173612</v>
      </c>
      <c r="E282" t="s">
        <v>316</v>
      </c>
      <c r="F282" t="s">
        <v>317</v>
      </c>
      <c r="G282">
        <v>1</v>
      </c>
      <c r="H282" t="s">
        <v>310</v>
      </c>
      <c r="I282">
        <v>0</v>
      </c>
      <c r="J282">
        <v>0</v>
      </c>
      <c r="K282">
        <v>0</v>
      </c>
      <c r="L282" t="s">
        <v>310</v>
      </c>
      <c r="M282" t="s">
        <v>310</v>
      </c>
      <c r="N282">
        <v>0</v>
      </c>
      <c r="O282" t="s">
        <v>1393</v>
      </c>
      <c r="P282" t="s">
        <v>320</v>
      </c>
      <c r="Q282" t="s">
        <v>1399</v>
      </c>
      <c r="R282" t="s">
        <v>1404</v>
      </c>
      <c r="S282" t="s">
        <v>1411</v>
      </c>
      <c r="T282" t="s">
        <v>105</v>
      </c>
      <c r="U282">
        <v>9</v>
      </c>
      <c r="V282">
        <v>9</v>
      </c>
      <c r="W282">
        <v>0</v>
      </c>
      <c r="X282">
        <v>70.2355546</v>
      </c>
      <c r="Y282">
        <v>19.6230525</v>
      </c>
      <c r="Z282">
        <v>45.450961399999997</v>
      </c>
      <c r="AA282">
        <v>3</v>
      </c>
      <c r="AB282">
        <v>0</v>
      </c>
      <c r="AC282" t="s">
        <v>170</v>
      </c>
      <c r="AD282">
        <v>0</v>
      </c>
      <c r="AE282" t="s">
        <v>1387</v>
      </c>
      <c r="AF282">
        <v>0</v>
      </c>
      <c r="AG282" t="s">
        <v>310</v>
      </c>
      <c r="AH282">
        <v>2234.5300000000002</v>
      </c>
      <c r="AI282">
        <v>0</v>
      </c>
    </row>
    <row r="283" spans="1:35" x14ac:dyDescent="0.3">
      <c r="A283">
        <v>2856</v>
      </c>
      <c r="B283" t="s">
        <v>1276</v>
      </c>
      <c r="C283">
        <v>53</v>
      </c>
      <c r="D283" s="3">
        <v>45373.73609525463</v>
      </c>
      <c r="E283" t="s">
        <v>316</v>
      </c>
      <c r="F283" t="s">
        <v>317</v>
      </c>
      <c r="G283">
        <v>1</v>
      </c>
      <c r="H283" t="s">
        <v>310</v>
      </c>
      <c r="I283">
        <v>0</v>
      </c>
      <c r="J283">
        <v>0</v>
      </c>
      <c r="K283">
        <v>0</v>
      </c>
      <c r="L283" t="s">
        <v>310</v>
      </c>
      <c r="M283" t="s">
        <v>310</v>
      </c>
      <c r="N283">
        <v>0</v>
      </c>
      <c r="O283" t="s">
        <v>1389</v>
      </c>
      <c r="P283" t="s">
        <v>1401</v>
      </c>
      <c r="Q283" t="s">
        <v>1400</v>
      </c>
      <c r="R283" t="s">
        <v>1404</v>
      </c>
      <c r="S283" t="s">
        <v>322</v>
      </c>
      <c r="T283" t="s">
        <v>105</v>
      </c>
      <c r="U283">
        <v>9</v>
      </c>
      <c r="V283">
        <v>9</v>
      </c>
      <c r="W283">
        <v>7.0061968999999999</v>
      </c>
      <c r="X283">
        <v>0</v>
      </c>
      <c r="Y283">
        <v>0</v>
      </c>
      <c r="Z283">
        <v>126.87142179999999</v>
      </c>
      <c r="AA283">
        <v>3</v>
      </c>
      <c r="AB283">
        <v>0</v>
      </c>
      <c r="AC283" t="s">
        <v>170</v>
      </c>
      <c r="AD283">
        <v>9</v>
      </c>
      <c r="AE283" t="s">
        <v>1392</v>
      </c>
      <c r="AF283">
        <v>0</v>
      </c>
      <c r="AG283" t="s">
        <v>310</v>
      </c>
      <c r="AH283">
        <v>229.53</v>
      </c>
      <c r="AI283">
        <v>0</v>
      </c>
    </row>
    <row r="284" spans="1:35" x14ac:dyDescent="0.3">
      <c r="A284">
        <v>2857</v>
      </c>
      <c r="B284" t="s">
        <v>1302</v>
      </c>
      <c r="C284">
        <v>53</v>
      </c>
      <c r="D284" s="3">
        <v>45373.736095370368</v>
      </c>
      <c r="E284" t="s">
        <v>316</v>
      </c>
      <c r="F284" t="s">
        <v>317</v>
      </c>
      <c r="G284">
        <v>1</v>
      </c>
      <c r="H284" t="s">
        <v>310</v>
      </c>
      <c r="I284">
        <v>0</v>
      </c>
      <c r="J284">
        <v>0</v>
      </c>
      <c r="K284">
        <v>0</v>
      </c>
      <c r="L284" t="s">
        <v>310</v>
      </c>
      <c r="M284" t="s">
        <v>310</v>
      </c>
      <c r="N284">
        <v>0</v>
      </c>
      <c r="O284" t="s">
        <v>1395</v>
      </c>
      <c r="P284" t="s">
        <v>101</v>
      </c>
      <c r="Q284" t="s">
        <v>1400</v>
      </c>
      <c r="R284" t="s">
        <v>1404</v>
      </c>
      <c r="S284" t="s">
        <v>322</v>
      </c>
      <c r="T284" t="s">
        <v>105</v>
      </c>
      <c r="U284">
        <v>9</v>
      </c>
      <c r="V284">
        <v>9</v>
      </c>
      <c r="W284">
        <v>9.2688949999999988</v>
      </c>
      <c r="X284">
        <v>56.917738899999996</v>
      </c>
      <c r="Y284">
        <v>17.408561799999998</v>
      </c>
      <c r="Z284">
        <v>51.029434299999998</v>
      </c>
      <c r="AA284">
        <v>0</v>
      </c>
      <c r="AB284">
        <v>0</v>
      </c>
      <c r="AC284" t="s">
        <v>174</v>
      </c>
      <c r="AD284">
        <v>9</v>
      </c>
      <c r="AE284" t="s">
        <v>1416</v>
      </c>
      <c r="AF284">
        <v>20000000</v>
      </c>
      <c r="AG284" t="s">
        <v>310</v>
      </c>
      <c r="AH284">
        <v>2095.5300000000002</v>
      </c>
      <c r="AI284">
        <v>0</v>
      </c>
    </row>
    <row r="285" spans="1:35" x14ac:dyDescent="0.3">
      <c r="A285">
        <v>2896</v>
      </c>
      <c r="B285" t="s">
        <v>1283</v>
      </c>
      <c r="C285">
        <v>54</v>
      </c>
      <c r="D285" s="3">
        <v>45373.741290891201</v>
      </c>
      <c r="E285" t="s">
        <v>316</v>
      </c>
      <c r="F285" t="s">
        <v>317</v>
      </c>
      <c r="G285">
        <v>1</v>
      </c>
      <c r="H285" t="s">
        <v>310</v>
      </c>
      <c r="I285">
        <v>0</v>
      </c>
      <c r="J285">
        <v>0</v>
      </c>
      <c r="K285">
        <v>0</v>
      </c>
      <c r="L285" t="s">
        <v>310</v>
      </c>
      <c r="M285" t="s">
        <v>310</v>
      </c>
      <c r="N285">
        <v>0</v>
      </c>
      <c r="O285" t="s">
        <v>311</v>
      </c>
      <c r="P285" t="s">
        <v>1401</v>
      </c>
      <c r="Q285" t="s">
        <v>1400</v>
      </c>
      <c r="R285" t="s">
        <v>1404</v>
      </c>
      <c r="S285" t="s">
        <v>1411</v>
      </c>
      <c r="T285" t="s">
        <v>105</v>
      </c>
      <c r="U285">
        <v>9</v>
      </c>
      <c r="V285">
        <v>9</v>
      </c>
      <c r="W285">
        <v>0</v>
      </c>
      <c r="X285">
        <v>0.99210599999999993</v>
      </c>
      <c r="Y285">
        <v>71.893429699999999</v>
      </c>
      <c r="Z285">
        <v>62.254224099999995</v>
      </c>
      <c r="AA285">
        <v>3</v>
      </c>
      <c r="AB285">
        <v>0</v>
      </c>
      <c r="AC285" t="s">
        <v>170</v>
      </c>
      <c r="AD285">
        <v>9</v>
      </c>
      <c r="AE285" t="s">
        <v>1388</v>
      </c>
      <c r="AF285">
        <v>0</v>
      </c>
      <c r="AG285" t="s">
        <v>310</v>
      </c>
      <c r="AH285">
        <v>1601.54</v>
      </c>
      <c r="AI285">
        <v>0</v>
      </c>
    </row>
    <row r="286" spans="1:35" x14ac:dyDescent="0.3">
      <c r="A286">
        <v>2897</v>
      </c>
      <c r="B286" t="s">
        <v>365</v>
      </c>
      <c r="C286">
        <v>54</v>
      </c>
      <c r="D286" s="3">
        <v>45373.741291053244</v>
      </c>
      <c r="E286" t="s">
        <v>316</v>
      </c>
      <c r="F286" t="s">
        <v>317</v>
      </c>
      <c r="G286">
        <v>1</v>
      </c>
      <c r="H286" t="s">
        <v>310</v>
      </c>
      <c r="I286">
        <v>0</v>
      </c>
      <c r="J286">
        <v>0</v>
      </c>
      <c r="K286">
        <v>0</v>
      </c>
      <c r="L286" t="s">
        <v>310</v>
      </c>
      <c r="M286" t="s">
        <v>310</v>
      </c>
      <c r="N286">
        <v>0</v>
      </c>
      <c r="O286" t="s">
        <v>1391</v>
      </c>
      <c r="P286" t="s">
        <v>240</v>
      </c>
      <c r="Q286" t="s">
        <v>1399</v>
      </c>
      <c r="R286" t="s">
        <v>1404</v>
      </c>
      <c r="S286" t="s">
        <v>1411</v>
      </c>
      <c r="T286" t="s">
        <v>105</v>
      </c>
      <c r="U286">
        <v>9</v>
      </c>
      <c r="V286">
        <v>9</v>
      </c>
      <c r="W286">
        <v>0</v>
      </c>
      <c r="X286">
        <v>24.786199</v>
      </c>
      <c r="Y286">
        <v>24.5039944</v>
      </c>
      <c r="Z286">
        <v>87.402903099999989</v>
      </c>
      <c r="AA286">
        <v>0</v>
      </c>
      <c r="AB286">
        <v>0</v>
      </c>
      <c r="AC286" t="s">
        <v>174</v>
      </c>
      <c r="AD286">
        <v>1</v>
      </c>
      <c r="AE286" t="s">
        <v>1418</v>
      </c>
      <c r="AF286">
        <v>120100000</v>
      </c>
      <c r="AG286" t="s">
        <v>310</v>
      </c>
      <c r="AH286">
        <v>3171.54</v>
      </c>
      <c r="AI286">
        <v>0</v>
      </c>
    </row>
    <row r="287" spans="1:35" x14ac:dyDescent="0.3">
      <c r="A287">
        <v>2898</v>
      </c>
      <c r="B287" t="s">
        <v>369</v>
      </c>
      <c r="C287">
        <v>54</v>
      </c>
      <c r="D287" s="3">
        <v>45373.741291122686</v>
      </c>
      <c r="E287" t="s">
        <v>316</v>
      </c>
      <c r="F287" t="s">
        <v>317</v>
      </c>
      <c r="G287">
        <v>0</v>
      </c>
      <c r="H287" t="s">
        <v>310</v>
      </c>
      <c r="I287">
        <v>0</v>
      </c>
      <c r="J287">
        <v>0</v>
      </c>
      <c r="K287">
        <v>0</v>
      </c>
      <c r="L287" t="s">
        <v>310</v>
      </c>
      <c r="M287" t="s">
        <v>310</v>
      </c>
      <c r="N287">
        <v>0</v>
      </c>
      <c r="O287" t="s">
        <v>319</v>
      </c>
      <c r="P287" t="s">
        <v>320</v>
      </c>
      <c r="Q287" t="s">
        <v>1400</v>
      </c>
      <c r="R287" t="s">
        <v>1404</v>
      </c>
      <c r="S287" t="s">
        <v>1411</v>
      </c>
      <c r="T287" t="s">
        <v>105</v>
      </c>
      <c r="U287">
        <v>9</v>
      </c>
      <c r="V287">
        <v>9</v>
      </c>
      <c r="W287">
        <v>0</v>
      </c>
      <c r="X287">
        <v>0</v>
      </c>
      <c r="Y287">
        <v>116.6771249</v>
      </c>
      <c r="Z287">
        <v>19.209479099999999</v>
      </c>
      <c r="AA287">
        <v>2</v>
      </c>
      <c r="AB287">
        <v>0</v>
      </c>
      <c r="AC287" t="s">
        <v>170</v>
      </c>
      <c r="AD287">
        <v>9</v>
      </c>
      <c r="AE287" t="s">
        <v>1394</v>
      </c>
      <c r="AF287">
        <v>0</v>
      </c>
      <c r="AG287" t="s">
        <v>310</v>
      </c>
      <c r="AH287">
        <v>6463.54</v>
      </c>
      <c r="AI287">
        <v>0</v>
      </c>
    </row>
    <row r="288" spans="1:35" x14ac:dyDescent="0.3">
      <c r="A288">
        <v>2899</v>
      </c>
      <c r="B288" t="s">
        <v>1298</v>
      </c>
      <c r="C288">
        <v>54</v>
      </c>
      <c r="D288" s="3">
        <v>45373.741291238424</v>
      </c>
      <c r="E288" t="s">
        <v>316</v>
      </c>
      <c r="F288" t="s">
        <v>317</v>
      </c>
      <c r="G288">
        <v>1</v>
      </c>
      <c r="H288" t="s">
        <v>310</v>
      </c>
      <c r="I288">
        <v>0</v>
      </c>
      <c r="J288">
        <v>0</v>
      </c>
      <c r="K288">
        <v>0</v>
      </c>
      <c r="L288" t="s">
        <v>310</v>
      </c>
      <c r="M288" t="s">
        <v>310</v>
      </c>
      <c r="N288">
        <v>0</v>
      </c>
      <c r="O288" t="s">
        <v>1393</v>
      </c>
      <c r="P288" t="s">
        <v>240</v>
      </c>
      <c r="Q288" t="s">
        <v>1399</v>
      </c>
      <c r="R288" t="s">
        <v>1405</v>
      </c>
      <c r="S288" t="s">
        <v>202</v>
      </c>
      <c r="T288" t="s">
        <v>1407</v>
      </c>
      <c r="U288">
        <v>0</v>
      </c>
      <c r="V288">
        <v>0</v>
      </c>
      <c r="W288">
        <v>9.4548904999999994</v>
      </c>
      <c r="X288">
        <v>31.935668999999997</v>
      </c>
      <c r="Y288">
        <v>24.172845599999999</v>
      </c>
      <c r="Z288">
        <v>69.197861199999991</v>
      </c>
      <c r="AA288">
        <v>0</v>
      </c>
      <c r="AB288">
        <v>0</v>
      </c>
      <c r="AC288" t="s">
        <v>174</v>
      </c>
      <c r="AD288">
        <v>0</v>
      </c>
      <c r="AE288" t="s">
        <v>1387</v>
      </c>
      <c r="AF288">
        <v>80000000</v>
      </c>
      <c r="AG288" t="s">
        <v>310</v>
      </c>
      <c r="AH288">
        <v>9624.5400000000009</v>
      </c>
      <c r="AI288">
        <v>0</v>
      </c>
    </row>
    <row r="289" spans="1:35" x14ac:dyDescent="0.3">
      <c r="A289">
        <v>2900</v>
      </c>
      <c r="B289" t="s">
        <v>1279</v>
      </c>
      <c r="C289">
        <v>54</v>
      </c>
      <c r="D289" s="3">
        <v>45373.74129135417</v>
      </c>
      <c r="E289" t="s">
        <v>316</v>
      </c>
      <c r="F289" t="s">
        <v>317</v>
      </c>
      <c r="G289">
        <v>1</v>
      </c>
      <c r="H289" t="s">
        <v>310</v>
      </c>
      <c r="I289">
        <v>0</v>
      </c>
      <c r="J289">
        <v>0</v>
      </c>
      <c r="K289">
        <v>0</v>
      </c>
      <c r="L289" t="s">
        <v>310</v>
      </c>
      <c r="M289" t="s">
        <v>310</v>
      </c>
      <c r="N289">
        <v>0</v>
      </c>
      <c r="O289" t="s">
        <v>1389</v>
      </c>
      <c r="P289" t="s">
        <v>320</v>
      </c>
      <c r="Q289" t="s">
        <v>1400</v>
      </c>
      <c r="R289" t="s">
        <v>1404</v>
      </c>
      <c r="S289" t="s">
        <v>1411</v>
      </c>
      <c r="T289" t="s">
        <v>105</v>
      </c>
      <c r="U289">
        <v>9</v>
      </c>
      <c r="V289">
        <v>9</v>
      </c>
      <c r="W289">
        <v>0</v>
      </c>
      <c r="X289">
        <v>0</v>
      </c>
      <c r="Y289">
        <v>61.383293099999996</v>
      </c>
      <c r="Z289">
        <v>71.882269499999992</v>
      </c>
      <c r="AA289">
        <v>3</v>
      </c>
      <c r="AB289">
        <v>0</v>
      </c>
      <c r="AC289" t="s">
        <v>170</v>
      </c>
      <c r="AD289">
        <v>9</v>
      </c>
      <c r="AE289" t="s">
        <v>1392</v>
      </c>
      <c r="AF289">
        <v>0</v>
      </c>
      <c r="AG289" t="s">
        <v>310</v>
      </c>
      <c r="AH289">
        <v>5149.54</v>
      </c>
      <c r="AI289">
        <v>0</v>
      </c>
    </row>
    <row r="290" spans="1:35" x14ac:dyDescent="0.3">
      <c r="A290">
        <v>2901</v>
      </c>
      <c r="B290" t="s">
        <v>371</v>
      </c>
      <c r="C290">
        <v>54</v>
      </c>
      <c r="D290" s="3">
        <v>45373.741291469909</v>
      </c>
      <c r="E290" t="s">
        <v>316</v>
      </c>
      <c r="F290" t="s">
        <v>317</v>
      </c>
      <c r="G290">
        <v>0</v>
      </c>
      <c r="H290" t="s">
        <v>310</v>
      </c>
      <c r="I290">
        <v>0</v>
      </c>
      <c r="J290">
        <v>0</v>
      </c>
      <c r="K290">
        <v>0</v>
      </c>
      <c r="L290" t="s">
        <v>310</v>
      </c>
      <c r="M290" t="s">
        <v>310</v>
      </c>
      <c r="N290">
        <v>0</v>
      </c>
      <c r="O290" t="s">
        <v>1395</v>
      </c>
      <c r="P290" t="s">
        <v>1401</v>
      </c>
      <c r="Q290" t="s">
        <v>1400</v>
      </c>
      <c r="R290" t="s">
        <v>1404</v>
      </c>
      <c r="S290" t="s">
        <v>1411</v>
      </c>
      <c r="T290" t="s">
        <v>105</v>
      </c>
      <c r="U290">
        <v>9</v>
      </c>
      <c r="V290">
        <v>9</v>
      </c>
      <c r="W290">
        <v>0</v>
      </c>
      <c r="X290">
        <v>0</v>
      </c>
      <c r="Y290">
        <v>8.301196899999999</v>
      </c>
      <c r="Z290">
        <v>129.4111661</v>
      </c>
      <c r="AA290">
        <v>1</v>
      </c>
      <c r="AB290">
        <v>0</v>
      </c>
      <c r="AC290" t="s">
        <v>174</v>
      </c>
      <c r="AD290">
        <v>9</v>
      </c>
      <c r="AE290" t="s">
        <v>1416</v>
      </c>
      <c r="AF290">
        <v>20000000</v>
      </c>
      <c r="AG290" t="s">
        <v>310</v>
      </c>
      <c r="AH290">
        <v>6969.54</v>
      </c>
      <c r="AI290">
        <v>0</v>
      </c>
    </row>
    <row r="291" spans="1:35" x14ac:dyDescent="0.3">
      <c r="A291">
        <v>2960</v>
      </c>
      <c r="B291" t="s">
        <v>363</v>
      </c>
      <c r="C291">
        <v>55</v>
      </c>
      <c r="D291" s="3">
        <v>45373.748176307869</v>
      </c>
      <c r="E291" t="s">
        <v>316</v>
      </c>
      <c r="F291" t="s">
        <v>317</v>
      </c>
      <c r="G291">
        <v>1</v>
      </c>
      <c r="H291" t="s">
        <v>310</v>
      </c>
      <c r="I291">
        <v>0</v>
      </c>
      <c r="J291">
        <v>0</v>
      </c>
      <c r="K291">
        <v>0</v>
      </c>
      <c r="L291" t="s">
        <v>310</v>
      </c>
      <c r="M291" t="s">
        <v>310</v>
      </c>
      <c r="N291">
        <v>0</v>
      </c>
      <c r="O291" t="s">
        <v>311</v>
      </c>
      <c r="P291" t="s">
        <v>1401</v>
      </c>
      <c r="Q291" t="s">
        <v>1399</v>
      </c>
      <c r="R291" t="s">
        <v>1404</v>
      </c>
      <c r="S291" t="s">
        <v>322</v>
      </c>
      <c r="T291" t="s">
        <v>105</v>
      </c>
      <c r="U291">
        <v>9</v>
      </c>
      <c r="V291">
        <v>9</v>
      </c>
      <c r="W291">
        <v>0.43908469999999999</v>
      </c>
      <c r="X291">
        <v>18.762364599999998</v>
      </c>
      <c r="Y291">
        <v>26.561134799999998</v>
      </c>
      <c r="Z291">
        <v>90.729024499999994</v>
      </c>
      <c r="AA291">
        <v>0</v>
      </c>
      <c r="AB291">
        <v>0</v>
      </c>
      <c r="AC291" t="s">
        <v>174</v>
      </c>
      <c r="AD291">
        <v>1</v>
      </c>
      <c r="AE291" t="s">
        <v>1394</v>
      </c>
      <c r="AF291">
        <v>70000000</v>
      </c>
      <c r="AG291" t="s">
        <v>310</v>
      </c>
      <c r="AH291">
        <v>2601.5500000000002</v>
      </c>
      <c r="AI291">
        <v>0</v>
      </c>
    </row>
    <row r="292" spans="1:35" x14ac:dyDescent="0.3">
      <c r="A292">
        <v>2961</v>
      </c>
      <c r="B292" t="s">
        <v>1284</v>
      </c>
      <c r="C292">
        <v>55</v>
      </c>
      <c r="D292" s="3">
        <v>45373.748176469904</v>
      </c>
      <c r="E292" t="s">
        <v>316</v>
      </c>
      <c r="F292" t="s">
        <v>317</v>
      </c>
      <c r="G292">
        <v>1</v>
      </c>
      <c r="H292" t="s">
        <v>310</v>
      </c>
      <c r="I292">
        <v>0</v>
      </c>
      <c r="J292">
        <v>0</v>
      </c>
      <c r="K292">
        <v>0</v>
      </c>
      <c r="L292" t="s">
        <v>310</v>
      </c>
      <c r="M292" t="s">
        <v>310</v>
      </c>
      <c r="N292">
        <v>0</v>
      </c>
      <c r="O292" t="s">
        <v>1391</v>
      </c>
      <c r="P292" t="s">
        <v>101</v>
      </c>
      <c r="Q292" t="s">
        <v>1400</v>
      </c>
      <c r="R292" t="s">
        <v>1404</v>
      </c>
      <c r="S292" t="s">
        <v>322</v>
      </c>
      <c r="T292" t="s">
        <v>105</v>
      </c>
      <c r="U292">
        <v>9</v>
      </c>
      <c r="V292">
        <v>9</v>
      </c>
      <c r="W292">
        <v>1.3176307999999999</v>
      </c>
      <c r="X292">
        <v>38.141259099999999</v>
      </c>
      <c r="Y292">
        <v>19.705374899999999</v>
      </c>
      <c r="Z292">
        <v>67.772801200000004</v>
      </c>
      <c r="AA292">
        <v>0</v>
      </c>
      <c r="AB292">
        <v>0</v>
      </c>
      <c r="AC292" t="s">
        <v>174</v>
      </c>
      <c r="AD292">
        <v>9</v>
      </c>
      <c r="AE292" t="s">
        <v>1418</v>
      </c>
      <c r="AF292">
        <v>50100000</v>
      </c>
      <c r="AG292" t="s">
        <v>310</v>
      </c>
      <c r="AH292">
        <v>5590.55</v>
      </c>
      <c r="AI292">
        <v>0</v>
      </c>
    </row>
    <row r="293" spans="1:35" x14ac:dyDescent="0.3">
      <c r="A293">
        <v>2962</v>
      </c>
      <c r="B293" t="s">
        <v>1312</v>
      </c>
      <c r="C293">
        <v>55</v>
      </c>
      <c r="D293" s="3">
        <v>45373.74817658565</v>
      </c>
      <c r="E293" t="s">
        <v>316</v>
      </c>
      <c r="F293" t="s">
        <v>317</v>
      </c>
      <c r="G293">
        <v>0</v>
      </c>
      <c r="H293" t="s">
        <v>310</v>
      </c>
      <c r="I293">
        <v>0</v>
      </c>
      <c r="J293">
        <v>0</v>
      </c>
      <c r="K293">
        <v>0</v>
      </c>
      <c r="L293" t="s">
        <v>310</v>
      </c>
      <c r="M293" t="s">
        <v>310</v>
      </c>
      <c r="N293">
        <v>0</v>
      </c>
      <c r="O293" t="s">
        <v>319</v>
      </c>
      <c r="P293" t="s">
        <v>240</v>
      </c>
      <c r="Q293" t="s">
        <v>1400</v>
      </c>
      <c r="R293" t="s">
        <v>321</v>
      </c>
      <c r="S293" t="s">
        <v>1411</v>
      </c>
      <c r="T293" t="s">
        <v>105</v>
      </c>
      <c r="U293">
        <v>9</v>
      </c>
      <c r="V293">
        <v>9</v>
      </c>
      <c r="W293">
        <v>0</v>
      </c>
      <c r="X293">
        <v>5.6244245999999993</v>
      </c>
      <c r="Y293">
        <v>74.658526100000003</v>
      </c>
      <c r="Z293">
        <v>53.966858699999996</v>
      </c>
      <c r="AA293">
        <v>0</v>
      </c>
      <c r="AB293">
        <v>0</v>
      </c>
      <c r="AC293" t="s">
        <v>174</v>
      </c>
      <c r="AD293">
        <v>9</v>
      </c>
      <c r="AE293" t="s">
        <v>1392</v>
      </c>
      <c r="AF293">
        <v>50100000</v>
      </c>
      <c r="AG293" t="s">
        <v>310</v>
      </c>
      <c r="AH293">
        <v>2053.5500000000002</v>
      </c>
      <c r="AI293">
        <v>0</v>
      </c>
    </row>
    <row r="294" spans="1:35" x14ac:dyDescent="0.3">
      <c r="A294">
        <v>2963</v>
      </c>
      <c r="B294" t="s">
        <v>1297</v>
      </c>
      <c r="C294">
        <v>55</v>
      </c>
      <c r="D294" s="3">
        <v>45373.748176655092</v>
      </c>
      <c r="E294" t="s">
        <v>316</v>
      </c>
      <c r="F294" t="s">
        <v>317</v>
      </c>
      <c r="G294">
        <v>0</v>
      </c>
      <c r="H294" t="s">
        <v>310</v>
      </c>
      <c r="I294">
        <v>0</v>
      </c>
      <c r="J294">
        <v>0</v>
      </c>
      <c r="K294">
        <v>0</v>
      </c>
      <c r="L294" t="s">
        <v>310</v>
      </c>
      <c r="M294" t="s">
        <v>310</v>
      </c>
      <c r="N294">
        <v>0</v>
      </c>
      <c r="O294" t="s">
        <v>1393</v>
      </c>
      <c r="P294" t="s">
        <v>320</v>
      </c>
      <c r="Q294" t="s">
        <v>1400</v>
      </c>
      <c r="R294" t="s">
        <v>1404</v>
      </c>
      <c r="S294" t="s">
        <v>1411</v>
      </c>
      <c r="T294" t="s">
        <v>105</v>
      </c>
      <c r="U294">
        <v>9</v>
      </c>
      <c r="V294">
        <v>9</v>
      </c>
      <c r="W294">
        <v>0</v>
      </c>
      <c r="X294">
        <v>39.0320277</v>
      </c>
      <c r="Y294">
        <v>13.0461843</v>
      </c>
      <c r="Z294">
        <v>83.907532500000002</v>
      </c>
      <c r="AA294">
        <v>0</v>
      </c>
      <c r="AB294">
        <v>0</v>
      </c>
      <c r="AC294" t="s">
        <v>174</v>
      </c>
      <c r="AD294">
        <v>9</v>
      </c>
      <c r="AE294" t="s">
        <v>1387</v>
      </c>
      <c r="AF294">
        <v>30000000</v>
      </c>
      <c r="AG294" t="s">
        <v>310</v>
      </c>
      <c r="AH294">
        <v>9750.5499999999993</v>
      </c>
      <c r="AI294">
        <v>0</v>
      </c>
    </row>
    <row r="295" spans="1:35" x14ac:dyDescent="0.3">
      <c r="A295">
        <v>2964</v>
      </c>
      <c r="B295" t="s">
        <v>1288</v>
      </c>
      <c r="C295">
        <v>55</v>
      </c>
      <c r="D295" s="3">
        <v>45373.74817677083</v>
      </c>
      <c r="E295" t="s">
        <v>316</v>
      </c>
      <c r="F295" t="s">
        <v>317</v>
      </c>
      <c r="G295">
        <v>1</v>
      </c>
      <c r="H295" t="s">
        <v>310</v>
      </c>
      <c r="I295">
        <v>0</v>
      </c>
      <c r="J295">
        <v>0</v>
      </c>
      <c r="K295">
        <v>0</v>
      </c>
      <c r="L295" t="s">
        <v>310</v>
      </c>
      <c r="M295" t="s">
        <v>310</v>
      </c>
      <c r="N295">
        <v>0</v>
      </c>
      <c r="O295" t="s">
        <v>1389</v>
      </c>
      <c r="P295" t="s">
        <v>1401</v>
      </c>
      <c r="Q295" t="s">
        <v>1400</v>
      </c>
      <c r="R295" t="s">
        <v>1404</v>
      </c>
      <c r="S295" t="s">
        <v>322</v>
      </c>
      <c r="T295" t="s">
        <v>105</v>
      </c>
      <c r="U295">
        <v>9</v>
      </c>
      <c r="V295">
        <v>9</v>
      </c>
      <c r="W295">
        <v>13.5802438</v>
      </c>
      <c r="X295">
        <v>43.792423499999998</v>
      </c>
      <c r="Y295">
        <v>25.770038</v>
      </c>
      <c r="Z295">
        <v>47.056760499999996</v>
      </c>
      <c r="AA295">
        <v>0</v>
      </c>
      <c r="AB295">
        <v>0</v>
      </c>
      <c r="AC295" t="s">
        <v>174</v>
      </c>
      <c r="AD295">
        <v>9</v>
      </c>
      <c r="AE295" t="s">
        <v>1417</v>
      </c>
      <c r="AF295">
        <v>90000000</v>
      </c>
      <c r="AG295" t="s">
        <v>310</v>
      </c>
      <c r="AH295">
        <v>3181.55</v>
      </c>
      <c r="AI295">
        <v>0</v>
      </c>
    </row>
    <row r="296" spans="1:35" x14ac:dyDescent="0.3">
      <c r="A296">
        <v>2965</v>
      </c>
      <c r="B296" t="s">
        <v>362</v>
      </c>
      <c r="C296">
        <v>55</v>
      </c>
      <c r="D296" s="3">
        <v>45373.748176851848</v>
      </c>
      <c r="E296" t="s">
        <v>316</v>
      </c>
      <c r="F296" t="s">
        <v>317</v>
      </c>
      <c r="G296">
        <v>1</v>
      </c>
      <c r="H296" t="s">
        <v>310</v>
      </c>
      <c r="I296">
        <v>0</v>
      </c>
      <c r="J296">
        <v>0</v>
      </c>
      <c r="K296">
        <v>0</v>
      </c>
      <c r="L296" t="s">
        <v>310</v>
      </c>
      <c r="M296" t="s">
        <v>310</v>
      </c>
      <c r="N296">
        <v>0</v>
      </c>
      <c r="O296" t="s">
        <v>1395</v>
      </c>
      <c r="P296" t="s">
        <v>101</v>
      </c>
      <c r="Q296" t="s">
        <v>1399</v>
      </c>
      <c r="R296" t="s">
        <v>1404</v>
      </c>
      <c r="S296" t="s">
        <v>1411</v>
      </c>
      <c r="T296" t="s">
        <v>105</v>
      </c>
      <c r="U296">
        <v>9</v>
      </c>
      <c r="V296">
        <v>9</v>
      </c>
      <c r="W296">
        <v>0</v>
      </c>
      <c r="X296">
        <v>34.819195399999998</v>
      </c>
      <c r="Y296">
        <v>21.635214899999998</v>
      </c>
      <c r="Z296">
        <v>79.352347600000002</v>
      </c>
      <c r="AA296">
        <v>0</v>
      </c>
      <c r="AB296">
        <v>1</v>
      </c>
      <c r="AC296" t="s">
        <v>174</v>
      </c>
      <c r="AD296">
        <v>1</v>
      </c>
      <c r="AE296" t="s">
        <v>1416</v>
      </c>
      <c r="AF296">
        <v>60000000</v>
      </c>
      <c r="AG296" t="s">
        <v>310</v>
      </c>
      <c r="AH296">
        <v>250.55</v>
      </c>
      <c r="AI296">
        <v>0</v>
      </c>
    </row>
    <row r="297" spans="1:35" x14ac:dyDescent="0.3">
      <c r="A297">
        <v>3032</v>
      </c>
      <c r="B297" t="s">
        <v>1286</v>
      </c>
      <c r="C297">
        <v>56</v>
      </c>
      <c r="D297" s="3">
        <v>45373.753245949076</v>
      </c>
      <c r="E297" t="s">
        <v>316</v>
      </c>
      <c r="F297" t="s">
        <v>317</v>
      </c>
      <c r="G297">
        <v>1</v>
      </c>
      <c r="H297" t="s">
        <v>310</v>
      </c>
      <c r="I297">
        <v>0</v>
      </c>
      <c r="J297">
        <v>0</v>
      </c>
      <c r="K297">
        <v>0</v>
      </c>
      <c r="L297" t="s">
        <v>310</v>
      </c>
      <c r="M297" t="s">
        <v>310</v>
      </c>
      <c r="N297">
        <v>0</v>
      </c>
      <c r="O297" t="s">
        <v>311</v>
      </c>
      <c r="P297" t="s">
        <v>240</v>
      </c>
      <c r="Q297" t="s">
        <v>1400</v>
      </c>
      <c r="R297" t="s">
        <v>1404</v>
      </c>
      <c r="S297" t="s">
        <v>1411</v>
      </c>
      <c r="T297" t="s">
        <v>105</v>
      </c>
      <c r="U297">
        <v>9</v>
      </c>
      <c r="V297">
        <v>9</v>
      </c>
      <c r="W297">
        <v>0</v>
      </c>
      <c r="X297">
        <v>59.9325951</v>
      </c>
      <c r="Y297">
        <v>39.030764499999997</v>
      </c>
      <c r="Z297">
        <v>36.397482400000001</v>
      </c>
      <c r="AA297">
        <v>0</v>
      </c>
      <c r="AB297">
        <v>1</v>
      </c>
      <c r="AC297" t="s">
        <v>174</v>
      </c>
      <c r="AD297">
        <v>9</v>
      </c>
      <c r="AE297" t="s">
        <v>1394</v>
      </c>
      <c r="AF297">
        <v>90000000</v>
      </c>
      <c r="AG297" t="s">
        <v>310</v>
      </c>
      <c r="AH297">
        <v>1591.56</v>
      </c>
      <c r="AI297">
        <v>0</v>
      </c>
    </row>
    <row r="298" spans="1:35" x14ac:dyDescent="0.3">
      <c r="A298">
        <v>3033</v>
      </c>
      <c r="B298" t="s">
        <v>367</v>
      </c>
      <c r="C298">
        <v>56</v>
      </c>
      <c r="D298" s="3">
        <v>45373.753246099535</v>
      </c>
      <c r="E298" t="s">
        <v>316</v>
      </c>
      <c r="F298" t="s">
        <v>317</v>
      </c>
      <c r="G298">
        <v>0</v>
      </c>
      <c r="H298" t="s">
        <v>310</v>
      </c>
      <c r="I298">
        <v>0</v>
      </c>
      <c r="J298">
        <v>0</v>
      </c>
      <c r="K298">
        <v>0</v>
      </c>
      <c r="L298" t="s">
        <v>310</v>
      </c>
      <c r="M298" t="s">
        <v>310</v>
      </c>
      <c r="N298">
        <v>0</v>
      </c>
      <c r="O298" t="s">
        <v>1391</v>
      </c>
      <c r="P298" t="s">
        <v>101</v>
      </c>
      <c r="Q298" t="s">
        <v>1400</v>
      </c>
      <c r="R298" t="s">
        <v>1405</v>
      </c>
      <c r="S298" t="s">
        <v>202</v>
      </c>
      <c r="T298" t="s">
        <v>1406</v>
      </c>
      <c r="U298">
        <v>0</v>
      </c>
      <c r="V298">
        <v>0</v>
      </c>
      <c r="W298">
        <v>2.9963015999999998</v>
      </c>
      <c r="X298">
        <v>51.0143007</v>
      </c>
      <c r="Y298">
        <v>20.203918699999999</v>
      </c>
      <c r="Z298">
        <v>57.4645066</v>
      </c>
      <c r="AA298">
        <v>0</v>
      </c>
      <c r="AB298">
        <v>0</v>
      </c>
      <c r="AC298" t="s">
        <v>174</v>
      </c>
      <c r="AD298">
        <v>9</v>
      </c>
      <c r="AE298" t="s">
        <v>1418</v>
      </c>
      <c r="AF298">
        <v>60000000</v>
      </c>
      <c r="AG298" t="s">
        <v>310</v>
      </c>
      <c r="AH298">
        <v>5016.5600000000004</v>
      </c>
      <c r="AI298">
        <v>0</v>
      </c>
    </row>
    <row r="299" spans="1:35" x14ac:dyDescent="0.3">
      <c r="A299">
        <v>3034</v>
      </c>
      <c r="B299" t="s">
        <v>364</v>
      </c>
      <c r="C299">
        <v>56</v>
      </c>
      <c r="D299" s="3">
        <v>45373.753246180553</v>
      </c>
      <c r="E299" t="s">
        <v>316</v>
      </c>
      <c r="F299" t="s">
        <v>317</v>
      </c>
      <c r="G299">
        <v>1</v>
      </c>
      <c r="H299" t="s">
        <v>310</v>
      </c>
      <c r="I299">
        <v>0</v>
      </c>
      <c r="J299">
        <v>0</v>
      </c>
      <c r="K299">
        <v>0</v>
      </c>
      <c r="L299" t="s">
        <v>310</v>
      </c>
      <c r="M299" t="s">
        <v>310</v>
      </c>
      <c r="N299">
        <v>0</v>
      </c>
      <c r="O299" t="s">
        <v>319</v>
      </c>
      <c r="P299" t="s">
        <v>1401</v>
      </c>
      <c r="Q299" t="s">
        <v>1399</v>
      </c>
      <c r="R299" t="s">
        <v>1404</v>
      </c>
      <c r="S299" t="s">
        <v>322</v>
      </c>
      <c r="T299" t="s">
        <v>105</v>
      </c>
      <c r="U299">
        <v>9</v>
      </c>
      <c r="V299">
        <v>9</v>
      </c>
      <c r="W299">
        <v>3.0160380999999998</v>
      </c>
      <c r="X299">
        <v>55.524466199999999</v>
      </c>
      <c r="Y299">
        <v>54.396792899999994</v>
      </c>
      <c r="Z299">
        <v>22.999843599999998</v>
      </c>
      <c r="AA299">
        <v>1</v>
      </c>
      <c r="AB299">
        <v>0</v>
      </c>
      <c r="AC299" t="s">
        <v>174</v>
      </c>
      <c r="AD299">
        <v>1</v>
      </c>
      <c r="AE299" t="s">
        <v>1392</v>
      </c>
      <c r="AF299">
        <v>20000000</v>
      </c>
      <c r="AG299" t="s">
        <v>310</v>
      </c>
      <c r="AH299">
        <v>2791.56</v>
      </c>
      <c r="AI299">
        <v>0</v>
      </c>
    </row>
    <row r="300" spans="1:35" x14ac:dyDescent="0.3">
      <c r="A300">
        <v>3035</v>
      </c>
      <c r="B300" t="s">
        <v>1285</v>
      </c>
      <c r="C300">
        <v>56</v>
      </c>
      <c r="D300" s="3">
        <v>45373.753246296299</v>
      </c>
      <c r="E300" t="s">
        <v>316</v>
      </c>
      <c r="F300" t="s">
        <v>317</v>
      </c>
      <c r="G300">
        <v>0</v>
      </c>
      <c r="H300" t="s">
        <v>310</v>
      </c>
      <c r="I300">
        <v>0</v>
      </c>
      <c r="J300">
        <v>0</v>
      </c>
      <c r="K300">
        <v>0</v>
      </c>
      <c r="L300" t="s">
        <v>310</v>
      </c>
      <c r="M300" t="s">
        <v>310</v>
      </c>
      <c r="N300">
        <v>0</v>
      </c>
      <c r="O300" t="s">
        <v>1393</v>
      </c>
      <c r="P300" t="s">
        <v>1401</v>
      </c>
      <c r="Q300" t="s">
        <v>1400</v>
      </c>
      <c r="R300" t="s">
        <v>1404</v>
      </c>
      <c r="S300" t="s">
        <v>1411</v>
      </c>
      <c r="T300" t="s">
        <v>105</v>
      </c>
      <c r="U300">
        <v>9</v>
      </c>
      <c r="V300">
        <v>9</v>
      </c>
      <c r="W300">
        <v>0</v>
      </c>
      <c r="X300">
        <v>28.454418199999999</v>
      </c>
      <c r="Y300">
        <v>10.7553067</v>
      </c>
      <c r="Z300">
        <v>95.958966199999992</v>
      </c>
      <c r="AA300">
        <v>0</v>
      </c>
      <c r="AB300">
        <v>0</v>
      </c>
      <c r="AC300" t="s">
        <v>174</v>
      </c>
      <c r="AD300">
        <v>9</v>
      </c>
      <c r="AE300" t="s">
        <v>1387</v>
      </c>
      <c r="AF300">
        <v>20100000</v>
      </c>
      <c r="AG300" t="s">
        <v>310</v>
      </c>
      <c r="AH300">
        <v>5993.56</v>
      </c>
      <c r="AI300">
        <v>0</v>
      </c>
    </row>
    <row r="301" spans="1:35" x14ac:dyDescent="0.3">
      <c r="A301">
        <v>3036</v>
      </c>
      <c r="B301" t="s">
        <v>1280</v>
      </c>
      <c r="C301">
        <v>56</v>
      </c>
      <c r="D301" s="3">
        <v>45373.753246562497</v>
      </c>
      <c r="E301" t="s">
        <v>316</v>
      </c>
      <c r="F301" t="s">
        <v>317</v>
      </c>
      <c r="G301">
        <v>1</v>
      </c>
      <c r="H301" t="s">
        <v>310</v>
      </c>
      <c r="I301">
        <v>0</v>
      </c>
      <c r="J301">
        <v>0</v>
      </c>
      <c r="K301">
        <v>0</v>
      </c>
      <c r="L301" t="s">
        <v>310</v>
      </c>
      <c r="M301" t="s">
        <v>310</v>
      </c>
      <c r="N301">
        <v>0</v>
      </c>
      <c r="O301" t="s">
        <v>1389</v>
      </c>
      <c r="P301" t="s">
        <v>320</v>
      </c>
      <c r="Q301" t="s">
        <v>1400</v>
      </c>
      <c r="R301" t="s">
        <v>1405</v>
      </c>
      <c r="S301" t="s">
        <v>202</v>
      </c>
      <c r="T301" t="s">
        <v>1406</v>
      </c>
      <c r="U301">
        <v>0</v>
      </c>
      <c r="V301">
        <v>0</v>
      </c>
      <c r="W301">
        <v>11.684659199999999</v>
      </c>
      <c r="X301">
        <v>27.915877399999999</v>
      </c>
      <c r="Y301">
        <v>20.795648199999999</v>
      </c>
      <c r="Z301">
        <v>71.207546399999998</v>
      </c>
      <c r="AA301">
        <v>0</v>
      </c>
      <c r="AB301">
        <v>1</v>
      </c>
      <c r="AC301" t="s">
        <v>174</v>
      </c>
      <c r="AD301">
        <v>9</v>
      </c>
      <c r="AE301" t="s">
        <v>1417</v>
      </c>
      <c r="AF301">
        <v>81000000</v>
      </c>
      <c r="AG301" t="s">
        <v>310</v>
      </c>
      <c r="AH301">
        <v>1559.56</v>
      </c>
      <c r="AI301">
        <v>0</v>
      </c>
    </row>
    <row r="302" spans="1:35" x14ac:dyDescent="0.3">
      <c r="A302">
        <v>3037</v>
      </c>
      <c r="B302" t="s">
        <v>1305</v>
      </c>
      <c r="C302">
        <v>56</v>
      </c>
      <c r="D302" s="3">
        <v>45373.753246678243</v>
      </c>
      <c r="E302" t="s">
        <v>316</v>
      </c>
      <c r="F302" t="s">
        <v>317</v>
      </c>
      <c r="G302">
        <v>1</v>
      </c>
      <c r="H302" t="s">
        <v>310</v>
      </c>
      <c r="I302">
        <v>0</v>
      </c>
      <c r="J302">
        <v>0</v>
      </c>
      <c r="K302">
        <v>0</v>
      </c>
      <c r="L302" t="s">
        <v>310</v>
      </c>
      <c r="M302" t="s">
        <v>310</v>
      </c>
      <c r="N302">
        <v>0</v>
      </c>
      <c r="O302" t="s">
        <v>1395</v>
      </c>
      <c r="P302" t="s">
        <v>101</v>
      </c>
      <c r="Q302" t="s">
        <v>1399</v>
      </c>
      <c r="R302" t="s">
        <v>1404</v>
      </c>
      <c r="S302" t="s">
        <v>1411</v>
      </c>
      <c r="T302" t="s">
        <v>105</v>
      </c>
      <c r="U302">
        <v>9</v>
      </c>
      <c r="V302">
        <v>9</v>
      </c>
      <c r="W302">
        <v>0</v>
      </c>
      <c r="X302">
        <v>36.4008501</v>
      </c>
      <c r="Y302">
        <v>36.270195099999995</v>
      </c>
      <c r="Z302">
        <v>62.556812199999996</v>
      </c>
      <c r="AA302">
        <v>0</v>
      </c>
      <c r="AB302">
        <v>1</v>
      </c>
      <c r="AC302" t="s">
        <v>174</v>
      </c>
      <c r="AD302">
        <v>1</v>
      </c>
      <c r="AE302" t="s">
        <v>1416</v>
      </c>
      <c r="AF302">
        <v>150000000</v>
      </c>
      <c r="AG302" t="s">
        <v>310</v>
      </c>
      <c r="AH302">
        <v>3173.56</v>
      </c>
      <c r="AI302">
        <v>0</v>
      </c>
    </row>
    <row r="303" spans="1:35" x14ac:dyDescent="0.3">
      <c r="A303">
        <v>3094</v>
      </c>
      <c r="B303" t="s">
        <v>1309</v>
      </c>
      <c r="C303">
        <v>57</v>
      </c>
      <c r="D303" s="3">
        <v>45374.374691979167</v>
      </c>
      <c r="E303" t="s">
        <v>316</v>
      </c>
      <c r="F303" t="s">
        <v>317</v>
      </c>
      <c r="G303">
        <v>1</v>
      </c>
      <c r="H303" t="s">
        <v>310</v>
      </c>
      <c r="I303">
        <v>0</v>
      </c>
      <c r="J303">
        <v>0</v>
      </c>
      <c r="K303">
        <v>0</v>
      </c>
      <c r="L303" t="s">
        <v>310</v>
      </c>
      <c r="M303" t="s">
        <v>310</v>
      </c>
      <c r="N303">
        <v>0</v>
      </c>
      <c r="O303" t="s">
        <v>311</v>
      </c>
      <c r="P303" t="s">
        <v>101</v>
      </c>
      <c r="Q303" t="s">
        <v>1399</v>
      </c>
      <c r="R303" t="s">
        <v>1405</v>
      </c>
      <c r="S303" t="s">
        <v>202</v>
      </c>
      <c r="T303" t="s">
        <v>1407</v>
      </c>
      <c r="U303">
        <v>0</v>
      </c>
      <c r="V303">
        <v>0</v>
      </c>
      <c r="W303">
        <v>11.240914099999999</v>
      </c>
      <c r="X303">
        <v>27.544165999999997</v>
      </c>
      <c r="Y303">
        <v>28.153101399999997</v>
      </c>
      <c r="Z303">
        <v>64.719172799999996</v>
      </c>
      <c r="AA303">
        <v>0</v>
      </c>
      <c r="AB303">
        <v>3</v>
      </c>
      <c r="AC303" t="s">
        <v>174</v>
      </c>
      <c r="AD303">
        <v>0</v>
      </c>
      <c r="AE303" t="s">
        <v>1388</v>
      </c>
      <c r="AF303">
        <v>90000000</v>
      </c>
      <c r="AG303" t="s">
        <v>310</v>
      </c>
      <c r="AH303">
        <v>3550.57</v>
      </c>
      <c r="AI303">
        <v>0</v>
      </c>
    </row>
    <row r="304" spans="1:35" x14ac:dyDescent="0.3">
      <c r="A304">
        <v>3096</v>
      </c>
      <c r="B304" t="s">
        <v>1282</v>
      </c>
      <c r="C304">
        <v>57</v>
      </c>
      <c r="D304" s="3">
        <v>45374.374692164354</v>
      </c>
      <c r="E304" t="s">
        <v>316</v>
      </c>
      <c r="F304" t="s">
        <v>317</v>
      </c>
      <c r="G304">
        <v>1</v>
      </c>
      <c r="H304" t="s">
        <v>310</v>
      </c>
      <c r="I304">
        <v>0</v>
      </c>
      <c r="J304">
        <v>0</v>
      </c>
      <c r="K304">
        <v>0</v>
      </c>
      <c r="L304" t="s">
        <v>310</v>
      </c>
      <c r="M304" t="s">
        <v>310</v>
      </c>
      <c r="N304">
        <v>0</v>
      </c>
      <c r="O304" t="s">
        <v>319</v>
      </c>
      <c r="P304" t="s">
        <v>240</v>
      </c>
      <c r="Q304" t="s">
        <v>1400</v>
      </c>
      <c r="R304" t="s">
        <v>1404</v>
      </c>
      <c r="S304" t="s">
        <v>322</v>
      </c>
      <c r="T304" t="s">
        <v>105</v>
      </c>
      <c r="U304">
        <v>9</v>
      </c>
      <c r="V304">
        <v>9</v>
      </c>
      <c r="W304">
        <v>11.609421599999999</v>
      </c>
      <c r="X304">
        <v>50.645934699999998</v>
      </c>
      <c r="Y304">
        <v>29.185576599999997</v>
      </c>
      <c r="Z304">
        <v>38.718741299999998</v>
      </c>
      <c r="AA304">
        <v>0</v>
      </c>
      <c r="AB304">
        <v>0</v>
      </c>
      <c r="AC304" t="s">
        <v>174</v>
      </c>
      <c r="AD304">
        <v>9</v>
      </c>
      <c r="AE304" t="s">
        <v>1390</v>
      </c>
      <c r="AF304">
        <v>40000000</v>
      </c>
      <c r="AG304" t="s">
        <v>310</v>
      </c>
      <c r="AH304">
        <v>333.57</v>
      </c>
      <c r="AI304">
        <v>0</v>
      </c>
    </row>
    <row r="305" spans="1:35" x14ac:dyDescent="0.3">
      <c r="A305">
        <v>3095</v>
      </c>
      <c r="B305" t="s">
        <v>1314</v>
      </c>
      <c r="C305">
        <v>57</v>
      </c>
      <c r="D305" s="3">
        <v>45374.374692164354</v>
      </c>
      <c r="E305" t="s">
        <v>316</v>
      </c>
      <c r="F305" t="s">
        <v>317</v>
      </c>
      <c r="G305">
        <v>1</v>
      </c>
      <c r="H305" t="s">
        <v>310</v>
      </c>
      <c r="I305">
        <v>0</v>
      </c>
      <c r="J305">
        <v>0</v>
      </c>
      <c r="K305">
        <v>0</v>
      </c>
      <c r="L305" t="s">
        <v>310</v>
      </c>
      <c r="M305" t="s">
        <v>310</v>
      </c>
      <c r="N305">
        <v>0</v>
      </c>
      <c r="O305" t="s">
        <v>1391</v>
      </c>
      <c r="P305" t="s">
        <v>1401</v>
      </c>
      <c r="Q305" t="s">
        <v>1400</v>
      </c>
      <c r="R305" t="s">
        <v>1404</v>
      </c>
      <c r="S305" t="s">
        <v>322</v>
      </c>
      <c r="T305" t="s">
        <v>105</v>
      </c>
      <c r="U305">
        <v>9</v>
      </c>
      <c r="V305">
        <v>9</v>
      </c>
      <c r="W305">
        <v>21.447724999999998</v>
      </c>
      <c r="X305">
        <v>27.0289371</v>
      </c>
      <c r="Y305">
        <v>22.929611299999998</v>
      </c>
      <c r="Z305">
        <v>58.445789399999995</v>
      </c>
      <c r="AA305">
        <v>0</v>
      </c>
      <c r="AB305">
        <v>0</v>
      </c>
      <c r="AC305" t="s">
        <v>174</v>
      </c>
      <c r="AD305">
        <v>9</v>
      </c>
      <c r="AE305" t="s">
        <v>1394</v>
      </c>
      <c r="AF305">
        <v>110000000</v>
      </c>
      <c r="AG305" t="s">
        <v>310</v>
      </c>
      <c r="AH305">
        <v>3419.57</v>
      </c>
      <c r="AI305">
        <v>0</v>
      </c>
    </row>
    <row r="306" spans="1:35" x14ac:dyDescent="0.3">
      <c r="A306">
        <v>3097</v>
      </c>
      <c r="B306" t="s">
        <v>1277</v>
      </c>
      <c r="C306">
        <v>57</v>
      </c>
      <c r="D306" s="3">
        <v>45374.374692361111</v>
      </c>
      <c r="E306" t="s">
        <v>316</v>
      </c>
      <c r="F306" t="s">
        <v>317</v>
      </c>
      <c r="G306">
        <v>1</v>
      </c>
      <c r="H306" t="s">
        <v>310</v>
      </c>
      <c r="I306">
        <v>0</v>
      </c>
      <c r="J306">
        <v>0</v>
      </c>
      <c r="K306">
        <v>0</v>
      </c>
      <c r="L306" t="s">
        <v>310</v>
      </c>
      <c r="M306" t="s">
        <v>310</v>
      </c>
      <c r="N306">
        <v>0</v>
      </c>
      <c r="O306" t="s">
        <v>1393</v>
      </c>
      <c r="P306" t="s">
        <v>240</v>
      </c>
      <c r="Q306" t="s">
        <v>1399</v>
      </c>
      <c r="R306" t="s">
        <v>1404</v>
      </c>
      <c r="S306" t="s">
        <v>1411</v>
      </c>
      <c r="T306" t="s">
        <v>105</v>
      </c>
      <c r="U306">
        <v>9</v>
      </c>
      <c r="V306">
        <v>9</v>
      </c>
      <c r="W306">
        <v>0</v>
      </c>
      <c r="X306">
        <v>36.3364014</v>
      </c>
      <c r="Y306">
        <v>21.645558099999999</v>
      </c>
      <c r="Z306">
        <v>76.912975199999991</v>
      </c>
      <c r="AA306">
        <v>0</v>
      </c>
      <c r="AB306">
        <v>0</v>
      </c>
      <c r="AC306" t="s">
        <v>174</v>
      </c>
      <c r="AD306">
        <v>0</v>
      </c>
      <c r="AE306" t="s">
        <v>1392</v>
      </c>
      <c r="AF306">
        <v>70000000</v>
      </c>
      <c r="AG306" t="s">
        <v>310</v>
      </c>
      <c r="AH306">
        <v>3360.57</v>
      </c>
      <c r="AI306">
        <v>0</v>
      </c>
    </row>
    <row r="307" spans="1:35" x14ac:dyDescent="0.3">
      <c r="A307">
        <v>3098</v>
      </c>
      <c r="B307" t="s">
        <v>1294</v>
      </c>
      <c r="C307">
        <v>57</v>
      </c>
      <c r="D307" s="3">
        <v>45374.374692361111</v>
      </c>
      <c r="E307" t="s">
        <v>316</v>
      </c>
      <c r="F307" t="s">
        <v>317</v>
      </c>
      <c r="G307">
        <v>1</v>
      </c>
      <c r="H307" t="s">
        <v>310</v>
      </c>
      <c r="I307">
        <v>0</v>
      </c>
      <c r="J307">
        <v>0</v>
      </c>
      <c r="K307">
        <v>0</v>
      </c>
      <c r="L307" t="s">
        <v>310</v>
      </c>
      <c r="M307" t="s">
        <v>310</v>
      </c>
      <c r="N307">
        <v>0</v>
      </c>
      <c r="O307" t="s">
        <v>1389</v>
      </c>
      <c r="P307" t="s">
        <v>320</v>
      </c>
      <c r="Q307" t="s">
        <v>1400</v>
      </c>
      <c r="R307" t="s">
        <v>1404</v>
      </c>
      <c r="S307" t="s">
        <v>1411</v>
      </c>
      <c r="T307" t="s">
        <v>105</v>
      </c>
      <c r="U307">
        <v>9</v>
      </c>
      <c r="V307">
        <v>9</v>
      </c>
      <c r="W307">
        <v>0</v>
      </c>
      <c r="X307">
        <v>27.6572514</v>
      </c>
      <c r="Y307">
        <v>11.6828605</v>
      </c>
      <c r="Z307">
        <v>94.126435099999995</v>
      </c>
      <c r="AA307">
        <v>0</v>
      </c>
      <c r="AB307">
        <v>0</v>
      </c>
      <c r="AC307" t="s">
        <v>174</v>
      </c>
      <c r="AD307">
        <v>9</v>
      </c>
      <c r="AE307" t="s">
        <v>1387</v>
      </c>
      <c r="AF307">
        <v>40000000</v>
      </c>
      <c r="AG307" t="s">
        <v>310</v>
      </c>
      <c r="AH307">
        <v>9076.57</v>
      </c>
      <c r="AI307">
        <v>0</v>
      </c>
    </row>
    <row r="308" spans="1:35" x14ac:dyDescent="0.3">
      <c r="A308">
        <v>3099</v>
      </c>
      <c r="B308" t="s">
        <v>1289</v>
      </c>
      <c r="C308">
        <v>57</v>
      </c>
      <c r="D308" s="3">
        <v>45374.374692557867</v>
      </c>
      <c r="E308" t="s">
        <v>316</v>
      </c>
      <c r="F308" t="s">
        <v>317</v>
      </c>
      <c r="G308">
        <v>1</v>
      </c>
      <c r="H308" t="s">
        <v>310</v>
      </c>
      <c r="I308">
        <v>0</v>
      </c>
      <c r="J308">
        <v>0</v>
      </c>
      <c r="K308">
        <v>0</v>
      </c>
      <c r="L308" t="s">
        <v>310</v>
      </c>
      <c r="M308" t="s">
        <v>310</v>
      </c>
      <c r="N308">
        <v>0</v>
      </c>
      <c r="O308" t="s">
        <v>1395</v>
      </c>
      <c r="P308" t="s">
        <v>101</v>
      </c>
      <c r="Q308" t="s">
        <v>1400</v>
      </c>
      <c r="R308" t="s">
        <v>1404</v>
      </c>
      <c r="S308" t="s">
        <v>1411</v>
      </c>
      <c r="T308" t="s">
        <v>105</v>
      </c>
      <c r="U308">
        <v>9</v>
      </c>
      <c r="V308">
        <v>9</v>
      </c>
      <c r="W308">
        <v>0</v>
      </c>
      <c r="X308">
        <v>0</v>
      </c>
      <c r="Y308">
        <v>77.398450299999993</v>
      </c>
      <c r="Z308">
        <v>60.7026532</v>
      </c>
      <c r="AA308">
        <v>2</v>
      </c>
      <c r="AB308">
        <v>0</v>
      </c>
      <c r="AC308" t="s">
        <v>170</v>
      </c>
      <c r="AD308">
        <v>9</v>
      </c>
      <c r="AE308" t="s">
        <v>1396</v>
      </c>
      <c r="AF308">
        <v>0</v>
      </c>
      <c r="AG308" t="s">
        <v>310</v>
      </c>
      <c r="AH308">
        <v>6648.57</v>
      </c>
      <c r="AI308">
        <v>0</v>
      </c>
    </row>
    <row r="309" spans="1:35" x14ac:dyDescent="0.3">
      <c r="A309">
        <v>3170</v>
      </c>
      <c r="B309" t="s">
        <v>360</v>
      </c>
      <c r="C309">
        <v>58</v>
      </c>
      <c r="D309" s="3">
        <v>45374.380187581017</v>
      </c>
      <c r="E309" t="s">
        <v>316</v>
      </c>
      <c r="F309" t="s">
        <v>317</v>
      </c>
      <c r="G309">
        <v>1</v>
      </c>
      <c r="H309" t="s">
        <v>310</v>
      </c>
      <c r="I309">
        <v>0</v>
      </c>
      <c r="J309">
        <v>0</v>
      </c>
      <c r="K309">
        <v>0</v>
      </c>
      <c r="L309" t="s">
        <v>310</v>
      </c>
      <c r="M309" t="s">
        <v>310</v>
      </c>
      <c r="N309">
        <v>0</v>
      </c>
      <c r="O309" t="s">
        <v>311</v>
      </c>
      <c r="P309" t="s">
        <v>240</v>
      </c>
      <c r="Q309" t="s">
        <v>1399</v>
      </c>
      <c r="R309" t="s">
        <v>1405</v>
      </c>
      <c r="S309" t="s">
        <v>202</v>
      </c>
      <c r="T309" t="s">
        <v>1407</v>
      </c>
      <c r="U309">
        <v>0</v>
      </c>
      <c r="V309">
        <v>0</v>
      </c>
      <c r="W309">
        <v>13.1281964</v>
      </c>
      <c r="X309">
        <v>32.235783999999995</v>
      </c>
      <c r="Y309">
        <v>24.980235999999998</v>
      </c>
      <c r="Z309">
        <v>49.414670799999996</v>
      </c>
      <c r="AA309">
        <v>0</v>
      </c>
      <c r="AB309">
        <v>1</v>
      </c>
      <c r="AC309" t="s">
        <v>1408</v>
      </c>
      <c r="AD309">
        <v>0</v>
      </c>
      <c r="AE309" t="s">
        <v>1388</v>
      </c>
      <c r="AF309">
        <v>140003000</v>
      </c>
      <c r="AG309" t="s">
        <v>310</v>
      </c>
      <c r="AH309">
        <v>1796.58</v>
      </c>
      <c r="AI309">
        <v>0</v>
      </c>
    </row>
    <row r="310" spans="1:35" x14ac:dyDescent="0.3">
      <c r="A310">
        <v>3171</v>
      </c>
      <c r="B310" t="s">
        <v>1308</v>
      </c>
      <c r="C310">
        <v>58</v>
      </c>
      <c r="D310" s="3">
        <v>45374.380187581017</v>
      </c>
      <c r="E310" t="s">
        <v>316</v>
      </c>
      <c r="F310" t="s">
        <v>317</v>
      </c>
      <c r="G310">
        <v>1</v>
      </c>
      <c r="H310" t="s">
        <v>310</v>
      </c>
      <c r="I310">
        <v>0</v>
      </c>
      <c r="J310">
        <v>0</v>
      </c>
      <c r="K310">
        <v>0</v>
      </c>
      <c r="L310" t="s">
        <v>310</v>
      </c>
      <c r="M310" t="s">
        <v>310</v>
      </c>
      <c r="N310">
        <v>0</v>
      </c>
      <c r="O310" t="s">
        <v>1391</v>
      </c>
      <c r="P310" t="s">
        <v>1401</v>
      </c>
      <c r="Q310" t="s">
        <v>1400</v>
      </c>
      <c r="R310" t="s">
        <v>1405</v>
      </c>
      <c r="S310" t="s">
        <v>202</v>
      </c>
      <c r="T310" t="s">
        <v>1406</v>
      </c>
      <c r="U310">
        <v>0</v>
      </c>
      <c r="V310">
        <v>0</v>
      </c>
      <c r="W310">
        <v>7.0943575000000001</v>
      </c>
      <c r="X310">
        <v>38.656035299999999</v>
      </c>
      <c r="Y310">
        <v>33.141525000000001</v>
      </c>
      <c r="Z310">
        <v>52.575509999999994</v>
      </c>
      <c r="AA310">
        <v>0</v>
      </c>
      <c r="AB310">
        <v>0</v>
      </c>
      <c r="AC310" t="s">
        <v>174</v>
      </c>
      <c r="AD310">
        <v>9</v>
      </c>
      <c r="AE310" t="s">
        <v>1394</v>
      </c>
      <c r="AF310">
        <v>80000000</v>
      </c>
      <c r="AG310" t="s">
        <v>310</v>
      </c>
      <c r="AH310">
        <v>3799.58</v>
      </c>
      <c r="AI310">
        <v>0</v>
      </c>
    </row>
    <row r="311" spans="1:35" x14ac:dyDescent="0.3">
      <c r="A311">
        <v>3173</v>
      </c>
      <c r="B311" t="s">
        <v>1300</v>
      </c>
      <c r="C311">
        <v>58</v>
      </c>
      <c r="D311" s="3">
        <v>45374.380187731484</v>
      </c>
      <c r="E311" t="s">
        <v>316</v>
      </c>
      <c r="F311" t="s">
        <v>317</v>
      </c>
      <c r="G311">
        <v>1</v>
      </c>
      <c r="H311" t="s">
        <v>310</v>
      </c>
      <c r="I311">
        <v>0</v>
      </c>
      <c r="J311">
        <v>0</v>
      </c>
      <c r="K311">
        <v>0</v>
      </c>
      <c r="L311" t="s">
        <v>310</v>
      </c>
      <c r="M311" t="s">
        <v>310</v>
      </c>
      <c r="N311">
        <v>0</v>
      </c>
      <c r="O311" t="s">
        <v>1393</v>
      </c>
      <c r="P311" t="s">
        <v>1401</v>
      </c>
      <c r="Q311" t="s">
        <v>1400</v>
      </c>
      <c r="R311" t="s">
        <v>1405</v>
      </c>
      <c r="S311" t="s">
        <v>202</v>
      </c>
      <c r="T311" t="s">
        <v>1407</v>
      </c>
      <c r="U311">
        <v>0</v>
      </c>
      <c r="V311">
        <v>0</v>
      </c>
      <c r="W311">
        <v>14.996260099999999</v>
      </c>
      <c r="X311">
        <v>26.650759399999998</v>
      </c>
      <c r="Y311">
        <v>12.807680899999999</v>
      </c>
      <c r="Z311">
        <v>76.799261700000002</v>
      </c>
      <c r="AA311">
        <v>0</v>
      </c>
      <c r="AB311">
        <v>0</v>
      </c>
      <c r="AC311" t="s">
        <v>173</v>
      </c>
      <c r="AD311">
        <v>9</v>
      </c>
      <c r="AE311" t="s">
        <v>1392</v>
      </c>
      <c r="AF311">
        <v>90000000</v>
      </c>
      <c r="AG311" t="s">
        <v>310</v>
      </c>
      <c r="AH311">
        <v>3044.58</v>
      </c>
      <c r="AI311">
        <v>0</v>
      </c>
    </row>
    <row r="312" spans="1:35" x14ac:dyDescent="0.3">
      <c r="A312">
        <v>3172</v>
      </c>
      <c r="B312" t="s">
        <v>318</v>
      </c>
      <c r="C312">
        <v>58</v>
      </c>
      <c r="D312" s="3">
        <v>45374.380187731484</v>
      </c>
      <c r="E312" t="s">
        <v>316</v>
      </c>
      <c r="F312" t="s">
        <v>317</v>
      </c>
      <c r="G312">
        <v>0</v>
      </c>
      <c r="H312" t="s">
        <v>310</v>
      </c>
      <c r="I312">
        <v>0</v>
      </c>
      <c r="J312">
        <v>0</v>
      </c>
      <c r="K312">
        <v>0</v>
      </c>
      <c r="L312" t="s">
        <v>310</v>
      </c>
      <c r="M312" t="s">
        <v>310</v>
      </c>
      <c r="N312">
        <v>0</v>
      </c>
      <c r="O312" t="s">
        <v>319</v>
      </c>
      <c r="P312" t="s">
        <v>101</v>
      </c>
      <c r="Q312" t="s">
        <v>1400</v>
      </c>
      <c r="R312" t="s">
        <v>1404</v>
      </c>
      <c r="S312" t="s">
        <v>322</v>
      </c>
      <c r="T312" t="s">
        <v>105</v>
      </c>
      <c r="U312">
        <v>9</v>
      </c>
      <c r="V312">
        <v>9</v>
      </c>
      <c r="W312">
        <v>14.004151199999999</v>
      </c>
      <c r="X312">
        <v>34.501123399999997</v>
      </c>
      <c r="Y312">
        <v>25.0187439</v>
      </c>
      <c r="Z312">
        <v>56.750688599999997</v>
      </c>
      <c r="AA312">
        <v>0</v>
      </c>
      <c r="AB312">
        <v>0</v>
      </c>
      <c r="AC312" t="s">
        <v>174</v>
      </c>
      <c r="AD312">
        <v>9</v>
      </c>
      <c r="AE312" t="s">
        <v>1390</v>
      </c>
      <c r="AF312">
        <v>70000000</v>
      </c>
      <c r="AG312" t="s">
        <v>310</v>
      </c>
      <c r="AH312">
        <v>639.58000000000004</v>
      </c>
      <c r="AI312">
        <v>0</v>
      </c>
    </row>
    <row r="313" spans="1:35" x14ac:dyDescent="0.3">
      <c r="A313">
        <v>3174</v>
      </c>
      <c r="B313" t="s">
        <v>1315</v>
      </c>
      <c r="C313">
        <v>58</v>
      </c>
      <c r="D313" s="3">
        <v>45374.38018792824</v>
      </c>
      <c r="E313" t="s">
        <v>316</v>
      </c>
      <c r="F313" t="s">
        <v>317</v>
      </c>
      <c r="G313">
        <v>1</v>
      </c>
      <c r="H313" t="s">
        <v>310</v>
      </c>
      <c r="I313">
        <v>0</v>
      </c>
      <c r="J313">
        <v>0</v>
      </c>
      <c r="K313">
        <v>0</v>
      </c>
      <c r="L313" t="s">
        <v>310</v>
      </c>
      <c r="M313" t="s">
        <v>310</v>
      </c>
      <c r="N313">
        <v>0</v>
      </c>
      <c r="O313" t="s">
        <v>1389</v>
      </c>
      <c r="P313" t="s">
        <v>101</v>
      </c>
      <c r="Q313" t="s">
        <v>1399</v>
      </c>
      <c r="R313" t="s">
        <v>321</v>
      </c>
      <c r="S313" t="s">
        <v>1411</v>
      </c>
      <c r="T313" t="s">
        <v>105</v>
      </c>
      <c r="U313">
        <v>9</v>
      </c>
      <c r="V313">
        <v>9</v>
      </c>
      <c r="W313">
        <v>0</v>
      </c>
      <c r="X313">
        <v>0</v>
      </c>
      <c r="Y313">
        <v>0.38510839999999996</v>
      </c>
      <c r="Z313">
        <v>138.57851890000001</v>
      </c>
      <c r="AA313">
        <v>0</v>
      </c>
      <c r="AB313">
        <v>0</v>
      </c>
      <c r="AC313" t="s">
        <v>167</v>
      </c>
      <c r="AD313">
        <v>1</v>
      </c>
      <c r="AE313" t="s">
        <v>1387</v>
      </c>
      <c r="AF313">
        <v>10000000</v>
      </c>
      <c r="AG313" t="s">
        <v>310</v>
      </c>
      <c r="AH313">
        <v>1511.58</v>
      </c>
      <c r="AI313">
        <v>0</v>
      </c>
    </row>
    <row r="314" spans="1:35" x14ac:dyDescent="0.3">
      <c r="A314">
        <v>3175</v>
      </c>
      <c r="B314" t="s">
        <v>1278</v>
      </c>
      <c r="C314">
        <v>58</v>
      </c>
      <c r="D314" s="3">
        <v>45374.38018792824</v>
      </c>
      <c r="E314" t="s">
        <v>316</v>
      </c>
      <c r="F314" t="s">
        <v>317</v>
      </c>
      <c r="G314">
        <v>1</v>
      </c>
      <c r="H314" t="s">
        <v>310</v>
      </c>
      <c r="I314">
        <v>0</v>
      </c>
      <c r="J314">
        <v>0</v>
      </c>
      <c r="K314">
        <v>0</v>
      </c>
      <c r="L314" t="s">
        <v>310</v>
      </c>
      <c r="M314" t="s">
        <v>310</v>
      </c>
      <c r="N314">
        <v>0</v>
      </c>
      <c r="O314" t="s">
        <v>1395</v>
      </c>
      <c r="P314" t="s">
        <v>240</v>
      </c>
      <c r="Q314" t="s">
        <v>1400</v>
      </c>
      <c r="R314" t="s">
        <v>1405</v>
      </c>
      <c r="S314" t="s">
        <v>202</v>
      </c>
      <c r="T314" t="s">
        <v>1406</v>
      </c>
      <c r="U314">
        <v>0</v>
      </c>
      <c r="V314">
        <v>0</v>
      </c>
      <c r="W314">
        <v>4.7620125999999994</v>
      </c>
      <c r="X314">
        <v>20.011029300000001</v>
      </c>
      <c r="Y314">
        <v>11.864922199999999</v>
      </c>
      <c r="Z314">
        <v>91.44412109999999</v>
      </c>
      <c r="AA314">
        <v>0</v>
      </c>
      <c r="AB314">
        <v>0</v>
      </c>
      <c r="AC314" t="s">
        <v>174</v>
      </c>
      <c r="AD314">
        <v>9</v>
      </c>
      <c r="AE314" t="s">
        <v>1396</v>
      </c>
      <c r="AF314">
        <v>30000000</v>
      </c>
      <c r="AG314" t="s">
        <v>310</v>
      </c>
      <c r="AH314">
        <v>3951.58</v>
      </c>
      <c r="AI314">
        <v>0</v>
      </c>
    </row>
    <row r="315" spans="1:35" x14ac:dyDescent="0.3">
      <c r="A315">
        <v>3233</v>
      </c>
      <c r="B315" t="s">
        <v>1292</v>
      </c>
      <c r="C315">
        <v>59</v>
      </c>
      <c r="D315" s="3">
        <v>45374.385579780093</v>
      </c>
      <c r="E315" t="s">
        <v>316</v>
      </c>
      <c r="F315" t="s">
        <v>317</v>
      </c>
      <c r="G315">
        <v>0</v>
      </c>
      <c r="H315" t="s">
        <v>310</v>
      </c>
      <c r="I315">
        <v>0</v>
      </c>
      <c r="J315">
        <v>0</v>
      </c>
      <c r="K315">
        <v>0</v>
      </c>
      <c r="L315" t="s">
        <v>310</v>
      </c>
      <c r="M315" t="s">
        <v>310</v>
      </c>
      <c r="N315">
        <v>0</v>
      </c>
      <c r="O315" t="s">
        <v>311</v>
      </c>
      <c r="P315" t="s">
        <v>101</v>
      </c>
      <c r="Q315" t="s">
        <v>1400</v>
      </c>
      <c r="R315" t="s">
        <v>1404</v>
      </c>
      <c r="S315" t="s">
        <v>1411</v>
      </c>
      <c r="T315" t="s">
        <v>105</v>
      </c>
      <c r="U315">
        <v>9</v>
      </c>
      <c r="V315">
        <v>9</v>
      </c>
      <c r="W315">
        <v>0</v>
      </c>
      <c r="X315">
        <v>0</v>
      </c>
      <c r="Y315">
        <v>73.472605799999997</v>
      </c>
      <c r="Z315">
        <v>59.139141299999999</v>
      </c>
      <c r="AA315">
        <v>3</v>
      </c>
      <c r="AB315">
        <v>0</v>
      </c>
      <c r="AC315" t="s">
        <v>170</v>
      </c>
      <c r="AD315">
        <v>9</v>
      </c>
      <c r="AE315" t="s">
        <v>1392</v>
      </c>
      <c r="AF315">
        <v>0</v>
      </c>
      <c r="AG315" t="s">
        <v>310</v>
      </c>
      <c r="AH315">
        <v>7030.59</v>
      </c>
      <c r="AI315">
        <v>0</v>
      </c>
    </row>
    <row r="316" spans="1:35" x14ac:dyDescent="0.3">
      <c r="A316">
        <v>3235</v>
      </c>
      <c r="B316" t="s">
        <v>372</v>
      </c>
      <c r="C316">
        <v>59</v>
      </c>
      <c r="D316" s="3">
        <v>45374.38557997685</v>
      </c>
      <c r="E316" t="s">
        <v>316</v>
      </c>
      <c r="F316" t="s">
        <v>317</v>
      </c>
      <c r="G316">
        <v>1</v>
      </c>
      <c r="H316" t="s">
        <v>310</v>
      </c>
      <c r="I316">
        <v>0</v>
      </c>
      <c r="J316">
        <v>0</v>
      </c>
      <c r="K316">
        <v>0</v>
      </c>
      <c r="L316" t="s">
        <v>310</v>
      </c>
      <c r="M316" t="s">
        <v>310</v>
      </c>
      <c r="N316">
        <v>0</v>
      </c>
      <c r="O316" t="s">
        <v>319</v>
      </c>
      <c r="P316" t="s">
        <v>240</v>
      </c>
      <c r="Q316" t="s">
        <v>1399</v>
      </c>
      <c r="R316" t="s">
        <v>321</v>
      </c>
      <c r="S316" t="s">
        <v>1411</v>
      </c>
      <c r="T316" t="s">
        <v>105</v>
      </c>
      <c r="U316">
        <v>9</v>
      </c>
      <c r="V316">
        <v>9</v>
      </c>
      <c r="W316">
        <v>0</v>
      </c>
      <c r="X316">
        <v>48.326951299999998</v>
      </c>
      <c r="Y316">
        <v>28.834246799999999</v>
      </c>
      <c r="Z316">
        <v>56.836567099999996</v>
      </c>
      <c r="AA316">
        <v>0</v>
      </c>
      <c r="AB316">
        <v>2</v>
      </c>
      <c r="AC316" t="s">
        <v>174</v>
      </c>
      <c r="AD316">
        <v>0</v>
      </c>
      <c r="AE316" t="s">
        <v>1390</v>
      </c>
      <c r="AF316">
        <v>100000000</v>
      </c>
      <c r="AG316" t="s">
        <v>310</v>
      </c>
      <c r="AH316">
        <v>7504.59</v>
      </c>
      <c r="AI316">
        <v>0</v>
      </c>
    </row>
    <row r="317" spans="1:35" x14ac:dyDescent="0.3">
      <c r="A317">
        <v>3234</v>
      </c>
      <c r="B317" t="s">
        <v>1318</v>
      </c>
      <c r="C317">
        <v>59</v>
      </c>
      <c r="D317" s="3">
        <v>45374.38557997685</v>
      </c>
      <c r="E317" t="s">
        <v>316</v>
      </c>
      <c r="F317" t="s">
        <v>317</v>
      </c>
      <c r="G317">
        <v>1</v>
      </c>
      <c r="H317" t="s">
        <v>310</v>
      </c>
      <c r="I317">
        <v>0</v>
      </c>
      <c r="J317">
        <v>0</v>
      </c>
      <c r="K317">
        <v>0</v>
      </c>
      <c r="L317" t="s">
        <v>310</v>
      </c>
      <c r="M317" t="s">
        <v>310</v>
      </c>
      <c r="N317">
        <v>0</v>
      </c>
      <c r="O317" t="s">
        <v>1391</v>
      </c>
      <c r="P317" t="s">
        <v>1401</v>
      </c>
      <c r="Q317" t="s">
        <v>1400</v>
      </c>
      <c r="R317" t="s">
        <v>1404</v>
      </c>
      <c r="S317" t="s">
        <v>322</v>
      </c>
      <c r="T317" t="s">
        <v>105</v>
      </c>
      <c r="U317">
        <v>9</v>
      </c>
      <c r="V317">
        <v>9</v>
      </c>
      <c r="W317">
        <v>7.2960471999999994</v>
      </c>
      <c r="X317">
        <v>39.536515600000001</v>
      </c>
      <c r="Y317">
        <v>43.512230500000001</v>
      </c>
      <c r="Z317">
        <v>44.856912999999999</v>
      </c>
      <c r="AA317">
        <v>0</v>
      </c>
      <c r="AB317">
        <v>1</v>
      </c>
      <c r="AC317" t="s">
        <v>174</v>
      </c>
      <c r="AD317">
        <v>9</v>
      </c>
      <c r="AE317" t="s">
        <v>1394</v>
      </c>
      <c r="AF317">
        <v>80000000</v>
      </c>
      <c r="AG317" t="s">
        <v>310</v>
      </c>
      <c r="AH317">
        <v>7709.59</v>
      </c>
      <c r="AI317">
        <v>0</v>
      </c>
    </row>
    <row r="318" spans="1:35" x14ac:dyDescent="0.3">
      <c r="A318">
        <v>3237</v>
      </c>
      <c r="B318" t="s">
        <v>1275</v>
      </c>
      <c r="C318">
        <v>59</v>
      </c>
      <c r="D318" s="3">
        <v>45374.385580173614</v>
      </c>
      <c r="E318" t="s">
        <v>316</v>
      </c>
      <c r="F318" t="s">
        <v>317</v>
      </c>
      <c r="G318">
        <v>1</v>
      </c>
      <c r="H318" t="s">
        <v>310</v>
      </c>
      <c r="I318">
        <v>0</v>
      </c>
      <c r="J318">
        <v>0</v>
      </c>
      <c r="K318">
        <v>0</v>
      </c>
      <c r="L318" t="s">
        <v>310</v>
      </c>
      <c r="M318" t="s">
        <v>310</v>
      </c>
      <c r="N318">
        <v>0</v>
      </c>
      <c r="O318" t="s">
        <v>1389</v>
      </c>
      <c r="P318" t="s">
        <v>1401</v>
      </c>
      <c r="Q318" t="s">
        <v>1400</v>
      </c>
      <c r="R318" t="s">
        <v>321</v>
      </c>
      <c r="S318" t="s">
        <v>1411</v>
      </c>
      <c r="T318" t="s">
        <v>105</v>
      </c>
      <c r="U318">
        <v>9</v>
      </c>
      <c r="V318">
        <v>9</v>
      </c>
      <c r="W318">
        <v>0</v>
      </c>
      <c r="X318">
        <v>36.801583799999996</v>
      </c>
      <c r="Y318">
        <v>35.437008899999995</v>
      </c>
      <c r="Z318">
        <v>65.443035999999992</v>
      </c>
      <c r="AA318">
        <v>0</v>
      </c>
      <c r="AB318">
        <v>3</v>
      </c>
      <c r="AC318" t="s">
        <v>174</v>
      </c>
      <c r="AD318">
        <v>9</v>
      </c>
      <c r="AE318" t="s">
        <v>1387</v>
      </c>
      <c r="AF318">
        <v>50000000</v>
      </c>
      <c r="AG318" t="s">
        <v>310</v>
      </c>
      <c r="AH318">
        <v>1880.59</v>
      </c>
      <c r="AI318">
        <v>0</v>
      </c>
    </row>
    <row r="319" spans="1:35" x14ac:dyDescent="0.3">
      <c r="A319">
        <v>3236</v>
      </c>
      <c r="B319" t="s">
        <v>1296</v>
      </c>
      <c r="C319">
        <v>59</v>
      </c>
      <c r="D319" s="3">
        <v>45374.385580173614</v>
      </c>
      <c r="E319" t="s">
        <v>316</v>
      </c>
      <c r="F319" t="s">
        <v>317</v>
      </c>
      <c r="G319">
        <v>1</v>
      </c>
      <c r="H319" t="s">
        <v>310</v>
      </c>
      <c r="I319">
        <v>0</v>
      </c>
      <c r="J319">
        <v>0</v>
      </c>
      <c r="K319">
        <v>0</v>
      </c>
      <c r="L319" t="s">
        <v>310</v>
      </c>
      <c r="M319" t="s">
        <v>310</v>
      </c>
      <c r="N319">
        <v>0</v>
      </c>
      <c r="O319" t="s">
        <v>1393</v>
      </c>
      <c r="P319" t="s">
        <v>240</v>
      </c>
      <c r="Q319" t="s">
        <v>1399</v>
      </c>
      <c r="R319" t="s">
        <v>321</v>
      </c>
      <c r="S319" t="s">
        <v>1411</v>
      </c>
      <c r="T319" t="s">
        <v>105</v>
      </c>
      <c r="U319">
        <v>9</v>
      </c>
      <c r="V319">
        <v>9</v>
      </c>
      <c r="W319">
        <v>0</v>
      </c>
      <c r="X319">
        <v>34.375756099999997</v>
      </c>
      <c r="Y319">
        <v>30.350142499999997</v>
      </c>
      <c r="Z319">
        <v>70.708508100000003</v>
      </c>
      <c r="AA319">
        <v>0</v>
      </c>
      <c r="AB319">
        <v>3</v>
      </c>
      <c r="AC319" t="s">
        <v>174</v>
      </c>
      <c r="AD319">
        <v>0</v>
      </c>
      <c r="AE319" t="s">
        <v>1388</v>
      </c>
      <c r="AF319">
        <v>130000000</v>
      </c>
      <c r="AG319" t="s">
        <v>310</v>
      </c>
      <c r="AH319">
        <v>3003.59</v>
      </c>
      <c r="AI319">
        <v>0</v>
      </c>
    </row>
    <row r="320" spans="1:35" x14ac:dyDescent="0.3">
      <c r="A320">
        <v>3238</v>
      </c>
      <c r="B320" t="s">
        <v>368</v>
      </c>
      <c r="C320">
        <v>59</v>
      </c>
      <c r="D320" s="3">
        <v>45374.385580324073</v>
      </c>
      <c r="E320" t="s">
        <v>316</v>
      </c>
      <c r="F320" t="s">
        <v>317</v>
      </c>
      <c r="G320">
        <v>0</v>
      </c>
      <c r="H320" t="s">
        <v>310</v>
      </c>
      <c r="I320">
        <v>0</v>
      </c>
      <c r="J320">
        <v>0</v>
      </c>
      <c r="K320">
        <v>0</v>
      </c>
      <c r="L320" t="s">
        <v>310</v>
      </c>
      <c r="M320" t="s">
        <v>310</v>
      </c>
      <c r="N320">
        <v>0</v>
      </c>
      <c r="O320" t="s">
        <v>1395</v>
      </c>
      <c r="P320" t="s">
        <v>101</v>
      </c>
      <c r="Q320" t="s">
        <v>1400</v>
      </c>
      <c r="R320" t="s">
        <v>321</v>
      </c>
      <c r="S320" t="s">
        <v>1411</v>
      </c>
      <c r="T320" t="s">
        <v>105</v>
      </c>
      <c r="U320">
        <v>9</v>
      </c>
      <c r="V320">
        <v>9</v>
      </c>
      <c r="W320">
        <v>0</v>
      </c>
      <c r="X320">
        <v>17.6633569</v>
      </c>
      <c r="Y320">
        <v>49.494733599999996</v>
      </c>
      <c r="Z320">
        <v>68.783486299999993</v>
      </c>
      <c r="AA320">
        <v>2</v>
      </c>
      <c r="AB320">
        <v>1</v>
      </c>
      <c r="AC320" t="s">
        <v>174</v>
      </c>
      <c r="AD320">
        <v>9</v>
      </c>
      <c r="AE320" t="s">
        <v>1396</v>
      </c>
      <c r="AF320">
        <v>30000000</v>
      </c>
      <c r="AG320" t="s">
        <v>310</v>
      </c>
      <c r="AH320">
        <v>6401.59</v>
      </c>
      <c r="AI320">
        <v>0</v>
      </c>
    </row>
    <row r="321" spans="1:35" x14ac:dyDescent="0.3">
      <c r="A321">
        <v>3302</v>
      </c>
      <c r="B321" t="s">
        <v>1306</v>
      </c>
      <c r="C321">
        <v>60</v>
      </c>
      <c r="D321" s="3">
        <v>45374.391679398148</v>
      </c>
      <c r="E321" t="s">
        <v>316</v>
      </c>
      <c r="F321" t="s">
        <v>317</v>
      </c>
      <c r="G321">
        <v>0</v>
      </c>
      <c r="H321" t="s">
        <v>310</v>
      </c>
      <c r="I321">
        <v>0</v>
      </c>
      <c r="J321">
        <v>0</v>
      </c>
      <c r="K321">
        <v>0</v>
      </c>
      <c r="L321" t="s">
        <v>310</v>
      </c>
      <c r="M321" t="s">
        <v>310</v>
      </c>
      <c r="N321">
        <v>0</v>
      </c>
      <c r="O321" t="s">
        <v>311</v>
      </c>
      <c r="P321" t="s">
        <v>320</v>
      </c>
      <c r="Q321" t="s">
        <v>1399</v>
      </c>
      <c r="R321" t="s">
        <v>1404</v>
      </c>
      <c r="S321" t="s">
        <v>322</v>
      </c>
      <c r="T321" t="s">
        <v>105</v>
      </c>
      <c r="U321">
        <v>9</v>
      </c>
      <c r="V321">
        <v>9</v>
      </c>
      <c r="W321">
        <v>16.8695533</v>
      </c>
      <c r="X321">
        <v>31.7638575</v>
      </c>
      <c r="Y321">
        <v>20.534724000000001</v>
      </c>
      <c r="Z321">
        <v>65.748240299999992</v>
      </c>
      <c r="AA321">
        <v>0</v>
      </c>
      <c r="AB321">
        <v>2</v>
      </c>
      <c r="AC321" t="s">
        <v>174</v>
      </c>
      <c r="AD321">
        <v>0</v>
      </c>
      <c r="AE321" t="s">
        <v>1388</v>
      </c>
      <c r="AF321">
        <v>90000000</v>
      </c>
      <c r="AG321" t="s">
        <v>310</v>
      </c>
      <c r="AH321">
        <v>3986.6</v>
      </c>
      <c r="AI321">
        <v>0</v>
      </c>
    </row>
    <row r="322" spans="1:35" x14ac:dyDescent="0.3">
      <c r="A322">
        <v>3303</v>
      </c>
      <c r="B322" t="s">
        <v>1317</v>
      </c>
      <c r="C322">
        <v>60</v>
      </c>
      <c r="D322" s="3">
        <v>45374.391679594904</v>
      </c>
      <c r="E322" t="s">
        <v>316</v>
      </c>
      <c r="F322" t="s">
        <v>317</v>
      </c>
      <c r="G322">
        <v>1</v>
      </c>
      <c r="H322" t="s">
        <v>310</v>
      </c>
      <c r="I322">
        <v>0</v>
      </c>
      <c r="J322">
        <v>0</v>
      </c>
      <c r="K322">
        <v>0</v>
      </c>
      <c r="L322" t="s">
        <v>310</v>
      </c>
      <c r="M322" t="s">
        <v>310</v>
      </c>
      <c r="N322">
        <v>0</v>
      </c>
      <c r="O322" t="s">
        <v>1391</v>
      </c>
      <c r="P322" t="s">
        <v>240</v>
      </c>
      <c r="Q322" t="s">
        <v>1400</v>
      </c>
      <c r="R322" t="s">
        <v>1405</v>
      </c>
      <c r="S322" t="s">
        <v>202</v>
      </c>
      <c r="T322" t="s">
        <v>1407</v>
      </c>
      <c r="U322">
        <v>0</v>
      </c>
      <c r="V322">
        <v>0</v>
      </c>
      <c r="W322">
        <v>8.8911470000000001</v>
      </c>
      <c r="X322">
        <v>49.699808599999997</v>
      </c>
      <c r="Y322">
        <v>20.243685299999999</v>
      </c>
      <c r="Z322">
        <v>54.852237299999999</v>
      </c>
      <c r="AA322">
        <v>0</v>
      </c>
      <c r="AB322">
        <v>1</v>
      </c>
      <c r="AC322" t="s">
        <v>174</v>
      </c>
      <c r="AD322">
        <v>9</v>
      </c>
      <c r="AE322" t="s">
        <v>1396</v>
      </c>
      <c r="AF322">
        <v>70000000</v>
      </c>
      <c r="AG322" t="s">
        <v>310</v>
      </c>
      <c r="AH322">
        <v>296.60000000000002</v>
      </c>
      <c r="AI322">
        <v>0</v>
      </c>
    </row>
    <row r="323" spans="1:35" x14ac:dyDescent="0.3">
      <c r="A323">
        <v>3304</v>
      </c>
      <c r="B323" t="s">
        <v>1295</v>
      </c>
      <c r="C323">
        <v>60</v>
      </c>
      <c r="D323" s="3">
        <v>45374.391679780092</v>
      </c>
      <c r="E323" t="s">
        <v>316</v>
      </c>
      <c r="F323" t="s">
        <v>317</v>
      </c>
      <c r="G323">
        <v>1</v>
      </c>
      <c r="H323" t="s">
        <v>310</v>
      </c>
      <c r="I323">
        <v>0</v>
      </c>
      <c r="J323">
        <v>0</v>
      </c>
      <c r="K323">
        <v>0</v>
      </c>
      <c r="L323" t="s">
        <v>310</v>
      </c>
      <c r="M323" t="s">
        <v>310</v>
      </c>
      <c r="N323">
        <v>0</v>
      </c>
      <c r="O323" t="s">
        <v>319</v>
      </c>
      <c r="P323" t="s">
        <v>1401</v>
      </c>
      <c r="Q323" t="s">
        <v>1400</v>
      </c>
      <c r="R323" t="s">
        <v>1404</v>
      </c>
      <c r="S323" t="s">
        <v>322</v>
      </c>
      <c r="T323" t="s">
        <v>105</v>
      </c>
      <c r="U323">
        <v>9</v>
      </c>
      <c r="V323">
        <v>9</v>
      </c>
      <c r="W323">
        <v>3.5688410999999998</v>
      </c>
      <c r="X323">
        <v>36.058241299999999</v>
      </c>
      <c r="Y323">
        <v>25.9449398</v>
      </c>
      <c r="Z323">
        <v>71.291944099999995</v>
      </c>
      <c r="AA323">
        <v>0</v>
      </c>
      <c r="AB323">
        <v>0</v>
      </c>
      <c r="AC323" t="s">
        <v>174</v>
      </c>
      <c r="AD323">
        <v>9</v>
      </c>
      <c r="AE323" t="s">
        <v>1394</v>
      </c>
      <c r="AF323">
        <v>120000000</v>
      </c>
      <c r="AG323" t="s">
        <v>310</v>
      </c>
      <c r="AH323">
        <v>6300.6</v>
      </c>
      <c r="AI323">
        <v>0</v>
      </c>
    </row>
    <row r="324" spans="1:35" x14ac:dyDescent="0.3">
      <c r="A324">
        <v>3305</v>
      </c>
      <c r="B324" t="s">
        <v>1310</v>
      </c>
      <c r="C324">
        <v>60</v>
      </c>
      <c r="D324" s="3">
        <v>45374.391679780092</v>
      </c>
      <c r="E324" t="s">
        <v>316</v>
      </c>
      <c r="F324" t="s">
        <v>317</v>
      </c>
      <c r="G324">
        <v>1</v>
      </c>
      <c r="H324" t="s">
        <v>310</v>
      </c>
      <c r="I324">
        <v>0</v>
      </c>
      <c r="J324">
        <v>0</v>
      </c>
      <c r="K324">
        <v>0</v>
      </c>
      <c r="L324" t="s">
        <v>310</v>
      </c>
      <c r="M324" t="s">
        <v>310</v>
      </c>
      <c r="N324">
        <v>0</v>
      </c>
      <c r="O324" t="s">
        <v>1393</v>
      </c>
      <c r="P324" t="s">
        <v>101</v>
      </c>
      <c r="Q324" t="s">
        <v>1399</v>
      </c>
      <c r="R324" t="s">
        <v>1405</v>
      </c>
      <c r="S324" t="s">
        <v>202</v>
      </c>
      <c r="T324" t="s">
        <v>1406</v>
      </c>
      <c r="U324">
        <v>0</v>
      </c>
      <c r="V324">
        <v>0</v>
      </c>
      <c r="W324">
        <v>14.286563999999998</v>
      </c>
      <c r="X324">
        <v>0</v>
      </c>
      <c r="Y324">
        <v>44.643958900000001</v>
      </c>
      <c r="Z324">
        <v>74.136611399999992</v>
      </c>
      <c r="AA324">
        <v>3</v>
      </c>
      <c r="AB324">
        <v>0</v>
      </c>
      <c r="AC324" t="s">
        <v>170</v>
      </c>
      <c r="AD324">
        <v>1</v>
      </c>
      <c r="AE324" t="s">
        <v>1390</v>
      </c>
      <c r="AF324">
        <v>0</v>
      </c>
      <c r="AG324" t="s">
        <v>310</v>
      </c>
      <c r="AH324">
        <v>6621.6</v>
      </c>
      <c r="AI324">
        <v>0</v>
      </c>
    </row>
    <row r="325" spans="1:35" x14ac:dyDescent="0.3">
      <c r="A325">
        <v>3307</v>
      </c>
      <c r="B325" t="s">
        <v>370</v>
      </c>
      <c r="C325">
        <v>60</v>
      </c>
      <c r="D325" s="3">
        <v>45374.391679942128</v>
      </c>
      <c r="E325" t="s">
        <v>316</v>
      </c>
      <c r="F325" t="s">
        <v>317</v>
      </c>
      <c r="G325">
        <v>1</v>
      </c>
      <c r="H325" t="s">
        <v>310</v>
      </c>
      <c r="I325">
        <v>0</v>
      </c>
      <c r="J325">
        <v>0</v>
      </c>
      <c r="K325">
        <v>0</v>
      </c>
      <c r="L325" t="s">
        <v>310</v>
      </c>
      <c r="M325" t="s">
        <v>310</v>
      </c>
      <c r="N325">
        <v>0</v>
      </c>
      <c r="O325" t="s">
        <v>1395</v>
      </c>
      <c r="P325" t="s">
        <v>1401</v>
      </c>
      <c r="Q325" t="s">
        <v>1400</v>
      </c>
      <c r="R325" t="s">
        <v>1404</v>
      </c>
      <c r="S325" t="s">
        <v>322</v>
      </c>
      <c r="T325" t="s">
        <v>105</v>
      </c>
      <c r="U325">
        <v>9</v>
      </c>
      <c r="V325">
        <v>9</v>
      </c>
      <c r="W325">
        <v>12.336155699999999</v>
      </c>
      <c r="X325">
        <v>34.566149500000002</v>
      </c>
      <c r="Y325">
        <v>21.6985335</v>
      </c>
      <c r="Z325">
        <v>68.383692799999992</v>
      </c>
      <c r="AA325">
        <v>0</v>
      </c>
      <c r="AB325">
        <v>0</v>
      </c>
      <c r="AC325" t="s">
        <v>174</v>
      </c>
      <c r="AD325">
        <v>9</v>
      </c>
      <c r="AE325" t="s">
        <v>1387</v>
      </c>
      <c r="AF325">
        <v>110000000</v>
      </c>
      <c r="AG325" t="s">
        <v>310</v>
      </c>
      <c r="AH325">
        <v>6911.6</v>
      </c>
      <c r="AI325">
        <v>0</v>
      </c>
    </row>
    <row r="326" spans="1:35" x14ac:dyDescent="0.3">
      <c r="A326">
        <v>3306</v>
      </c>
      <c r="B326" t="s">
        <v>1301</v>
      </c>
      <c r="C326">
        <v>60</v>
      </c>
      <c r="D326" s="3">
        <v>45374.391679942128</v>
      </c>
      <c r="E326" t="s">
        <v>316</v>
      </c>
      <c r="F326" t="s">
        <v>317</v>
      </c>
      <c r="G326">
        <v>0</v>
      </c>
      <c r="H326" t="s">
        <v>310</v>
      </c>
      <c r="I326">
        <v>0</v>
      </c>
      <c r="J326">
        <v>0</v>
      </c>
      <c r="K326">
        <v>0</v>
      </c>
      <c r="L326" t="s">
        <v>310</v>
      </c>
      <c r="M326" t="s">
        <v>310</v>
      </c>
      <c r="N326">
        <v>0</v>
      </c>
      <c r="O326" t="s">
        <v>1389</v>
      </c>
      <c r="P326" t="s">
        <v>320</v>
      </c>
      <c r="Q326" t="s">
        <v>1400</v>
      </c>
      <c r="R326" t="s">
        <v>1404</v>
      </c>
      <c r="S326" t="s">
        <v>1411</v>
      </c>
      <c r="T326" t="s">
        <v>105</v>
      </c>
      <c r="U326">
        <v>9</v>
      </c>
      <c r="V326">
        <v>9</v>
      </c>
      <c r="W326">
        <v>0</v>
      </c>
      <c r="X326">
        <v>26.930705699999997</v>
      </c>
      <c r="Y326">
        <v>33.487005099999998</v>
      </c>
      <c r="Z326">
        <v>70.206314699999993</v>
      </c>
      <c r="AA326">
        <v>0</v>
      </c>
      <c r="AB326">
        <v>0</v>
      </c>
      <c r="AC326" t="s">
        <v>174</v>
      </c>
      <c r="AD326">
        <v>9</v>
      </c>
      <c r="AE326" t="s">
        <v>1392</v>
      </c>
      <c r="AF326">
        <v>0</v>
      </c>
      <c r="AG326" t="s">
        <v>310</v>
      </c>
      <c r="AH326">
        <v>7031.6</v>
      </c>
      <c r="AI326">
        <v>0</v>
      </c>
    </row>
    <row r="327" spans="1:35" x14ac:dyDescent="0.3">
      <c r="A327">
        <v>3357</v>
      </c>
      <c r="B327" t="s">
        <v>369</v>
      </c>
      <c r="C327">
        <v>61</v>
      </c>
      <c r="D327" s="3">
        <v>45374.397076388886</v>
      </c>
      <c r="E327" t="s">
        <v>316</v>
      </c>
      <c r="F327" t="s">
        <v>317</v>
      </c>
      <c r="G327">
        <v>0</v>
      </c>
      <c r="H327" t="s">
        <v>310</v>
      </c>
      <c r="I327">
        <v>0</v>
      </c>
      <c r="J327">
        <v>0</v>
      </c>
      <c r="K327">
        <v>0</v>
      </c>
      <c r="L327" t="s">
        <v>310</v>
      </c>
      <c r="M327" t="s">
        <v>310</v>
      </c>
      <c r="N327">
        <v>0</v>
      </c>
      <c r="O327" t="s">
        <v>311</v>
      </c>
      <c r="P327" t="s">
        <v>320</v>
      </c>
      <c r="Q327" t="s">
        <v>1399</v>
      </c>
      <c r="R327" t="s">
        <v>321</v>
      </c>
      <c r="S327" t="s">
        <v>1411</v>
      </c>
      <c r="T327" t="s">
        <v>105</v>
      </c>
      <c r="U327">
        <v>9</v>
      </c>
      <c r="V327">
        <v>9</v>
      </c>
      <c r="W327">
        <v>0</v>
      </c>
      <c r="X327">
        <v>0</v>
      </c>
      <c r="Y327">
        <v>110.28591139999999</v>
      </c>
      <c r="Z327">
        <v>26.409513799999999</v>
      </c>
      <c r="AA327">
        <v>0</v>
      </c>
      <c r="AB327">
        <v>0</v>
      </c>
      <c r="AC327" t="s">
        <v>167</v>
      </c>
      <c r="AD327">
        <v>0</v>
      </c>
      <c r="AE327" t="s">
        <v>1388</v>
      </c>
      <c r="AF327">
        <v>0</v>
      </c>
      <c r="AG327" t="s">
        <v>310</v>
      </c>
      <c r="AH327">
        <v>6463.61</v>
      </c>
      <c r="AI327">
        <v>0</v>
      </c>
    </row>
    <row r="328" spans="1:35" x14ac:dyDescent="0.3">
      <c r="A328">
        <v>3359</v>
      </c>
      <c r="B328" t="s">
        <v>1305</v>
      </c>
      <c r="C328">
        <v>61</v>
      </c>
      <c r="D328" s="3">
        <v>45374.39707658565</v>
      </c>
      <c r="E328" t="s">
        <v>316</v>
      </c>
      <c r="F328" t="s">
        <v>317</v>
      </c>
      <c r="G328">
        <v>1</v>
      </c>
      <c r="H328" t="s">
        <v>310</v>
      </c>
      <c r="I328">
        <v>0</v>
      </c>
      <c r="J328">
        <v>0</v>
      </c>
      <c r="K328">
        <v>0</v>
      </c>
      <c r="L328" t="s">
        <v>310</v>
      </c>
      <c r="M328" t="s">
        <v>310</v>
      </c>
      <c r="N328">
        <v>0</v>
      </c>
      <c r="O328" t="s">
        <v>319</v>
      </c>
      <c r="P328" t="s">
        <v>101</v>
      </c>
      <c r="Q328" t="s">
        <v>1400</v>
      </c>
      <c r="R328" t="s">
        <v>1404</v>
      </c>
      <c r="S328" t="s">
        <v>1411</v>
      </c>
      <c r="T328" t="s">
        <v>105</v>
      </c>
      <c r="U328">
        <v>9</v>
      </c>
      <c r="V328">
        <v>9</v>
      </c>
      <c r="W328">
        <v>0</v>
      </c>
      <c r="X328">
        <v>37.872864899999996</v>
      </c>
      <c r="Y328">
        <v>20.745625999999998</v>
      </c>
      <c r="Z328">
        <v>76.994848500000003</v>
      </c>
      <c r="AA328">
        <v>0</v>
      </c>
      <c r="AB328">
        <v>1</v>
      </c>
      <c r="AC328" t="s">
        <v>174</v>
      </c>
      <c r="AD328">
        <v>9</v>
      </c>
      <c r="AE328" t="s">
        <v>1394</v>
      </c>
      <c r="AF328">
        <v>130000000</v>
      </c>
      <c r="AG328" t="s">
        <v>310</v>
      </c>
      <c r="AH328">
        <v>3173.61</v>
      </c>
      <c r="AI328">
        <v>0</v>
      </c>
    </row>
    <row r="329" spans="1:35" x14ac:dyDescent="0.3">
      <c r="A329">
        <v>3358</v>
      </c>
      <c r="B329" t="s">
        <v>371</v>
      </c>
      <c r="C329">
        <v>61</v>
      </c>
      <c r="D329" s="3">
        <v>45374.39707658565</v>
      </c>
      <c r="E329" t="s">
        <v>316</v>
      </c>
      <c r="F329" t="s">
        <v>317</v>
      </c>
      <c r="G329">
        <v>0</v>
      </c>
      <c r="H329" t="s">
        <v>310</v>
      </c>
      <c r="I329">
        <v>0</v>
      </c>
      <c r="J329">
        <v>0</v>
      </c>
      <c r="K329">
        <v>0</v>
      </c>
      <c r="L329" t="s">
        <v>310</v>
      </c>
      <c r="M329" t="s">
        <v>310</v>
      </c>
      <c r="N329">
        <v>0</v>
      </c>
      <c r="O329" t="s">
        <v>1391</v>
      </c>
      <c r="P329" t="s">
        <v>1401</v>
      </c>
      <c r="Q329" t="s">
        <v>1400</v>
      </c>
      <c r="R329" t="s">
        <v>321</v>
      </c>
      <c r="S329" t="s">
        <v>1411</v>
      </c>
      <c r="T329" t="s">
        <v>105</v>
      </c>
      <c r="U329">
        <v>9</v>
      </c>
      <c r="V329">
        <v>9</v>
      </c>
      <c r="W329">
        <v>0</v>
      </c>
      <c r="X329">
        <v>12.346283999999999</v>
      </c>
      <c r="Y329">
        <v>12.987367299999999</v>
      </c>
      <c r="Z329">
        <v>112.03208649999999</v>
      </c>
      <c r="AA329">
        <v>0</v>
      </c>
      <c r="AB329">
        <v>1</v>
      </c>
      <c r="AC329" t="s">
        <v>174</v>
      </c>
      <c r="AD329">
        <v>9</v>
      </c>
      <c r="AE329" t="s">
        <v>1396</v>
      </c>
      <c r="AF329">
        <v>30000000</v>
      </c>
      <c r="AG329" t="s">
        <v>310</v>
      </c>
      <c r="AH329">
        <v>6969.61</v>
      </c>
      <c r="AI329">
        <v>0</v>
      </c>
    </row>
    <row r="330" spans="1:35" x14ac:dyDescent="0.3">
      <c r="A330">
        <v>3360</v>
      </c>
      <c r="B330" t="s">
        <v>1291</v>
      </c>
      <c r="C330">
        <v>61</v>
      </c>
      <c r="D330" s="3">
        <v>45374.397076770831</v>
      </c>
      <c r="E330" t="s">
        <v>316</v>
      </c>
      <c r="F330" t="s">
        <v>317</v>
      </c>
      <c r="G330">
        <v>1</v>
      </c>
      <c r="H330" t="s">
        <v>310</v>
      </c>
      <c r="I330">
        <v>0</v>
      </c>
      <c r="J330">
        <v>0</v>
      </c>
      <c r="K330">
        <v>0</v>
      </c>
      <c r="L330" t="s">
        <v>310</v>
      </c>
      <c r="M330" t="s">
        <v>310</v>
      </c>
      <c r="N330">
        <v>0</v>
      </c>
      <c r="O330" t="s">
        <v>1393</v>
      </c>
      <c r="P330" t="s">
        <v>240</v>
      </c>
      <c r="Q330" t="s">
        <v>1400</v>
      </c>
      <c r="R330" t="s">
        <v>321</v>
      </c>
      <c r="S330" t="s">
        <v>1411</v>
      </c>
      <c r="T330" t="s">
        <v>105</v>
      </c>
      <c r="U330">
        <v>9</v>
      </c>
      <c r="V330">
        <v>9</v>
      </c>
      <c r="W330">
        <v>0</v>
      </c>
      <c r="X330">
        <v>31.412668099999998</v>
      </c>
      <c r="Y330">
        <v>34.383530100000002</v>
      </c>
      <c r="Z330">
        <v>69.4425746</v>
      </c>
      <c r="AA330">
        <v>0</v>
      </c>
      <c r="AB330">
        <v>1</v>
      </c>
      <c r="AC330" t="s">
        <v>174</v>
      </c>
      <c r="AD330">
        <v>9</v>
      </c>
      <c r="AE330" t="s">
        <v>1390</v>
      </c>
      <c r="AF330">
        <v>140000000</v>
      </c>
      <c r="AG330" t="s">
        <v>310</v>
      </c>
      <c r="AH330">
        <v>1493.61</v>
      </c>
      <c r="AI330">
        <v>0</v>
      </c>
    </row>
    <row r="331" spans="1:35" x14ac:dyDescent="0.3">
      <c r="A331">
        <v>3362</v>
      </c>
      <c r="B331" t="s">
        <v>1276</v>
      </c>
      <c r="C331">
        <v>61</v>
      </c>
      <c r="D331" s="3">
        <v>45374.397076932873</v>
      </c>
      <c r="E331" t="s">
        <v>316</v>
      </c>
      <c r="F331" t="s">
        <v>317</v>
      </c>
      <c r="G331">
        <v>0</v>
      </c>
      <c r="H331" t="s">
        <v>310</v>
      </c>
      <c r="I331">
        <v>0</v>
      </c>
      <c r="J331">
        <v>0</v>
      </c>
      <c r="K331">
        <v>0</v>
      </c>
      <c r="L331" t="s">
        <v>310</v>
      </c>
      <c r="M331" t="s">
        <v>310</v>
      </c>
      <c r="N331">
        <v>0</v>
      </c>
      <c r="O331" t="s">
        <v>1395</v>
      </c>
      <c r="P331" t="s">
        <v>101</v>
      </c>
      <c r="Q331" t="s">
        <v>1400</v>
      </c>
      <c r="R331" t="s">
        <v>321</v>
      </c>
      <c r="S331" t="s">
        <v>1411</v>
      </c>
      <c r="T331" t="s">
        <v>105</v>
      </c>
      <c r="U331">
        <v>9</v>
      </c>
      <c r="V331">
        <v>9</v>
      </c>
      <c r="W331">
        <v>0</v>
      </c>
      <c r="X331">
        <v>65.462534899999994</v>
      </c>
      <c r="Y331">
        <v>33.816823599999999</v>
      </c>
      <c r="Z331">
        <v>38.5838629</v>
      </c>
      <c r="AA331">
        <v>2</v>
      </c>
      <c r="AB331">
        <v>0</v>
      </c>
      <c r="AC331" t="s">
        <v>167</v>
      </c>
      <c r="AD331">
        <v>9</v>
      </c>
      <c r="AE331" t="s">
        <v>1387</v>
      </c>
      <c r="AF331">
        <v>0</v>
      </c>
      <c r="AG331" t="s">
        <v>310</v>
      </c>
      <c r="AH331">
        <v>229.61</v>
      </c>
      <c r="AI331">
        <v>0</v>
      </c>
    </row>
    <row r="332" spans="1:35" x14ac:dyDescent="0.3">
      <c r="A332">
        <v>3361</v>
      </c>
      <c r="B332" t="s">
        <v>373</v>
      </c>
      <c r="C332">
        <v>61</v>
      </c>
      <c r="D332" s="3">
        <v>45374.397076932873</v>
      </c>
      <c r="E332" t="s">
        <v>316</v>
      </c>
      <c r="F332" t="s">
        <v>317</v>
      </c>
      <c r="G332">
        <v>0</v>
      </c>
      <c r="H332" t="s">
        <v>310</v>
      </c>
      <c r="I332">
        <v>0</v>
      </c>
      <c r="J332">
        <v>0</v>
      </c>
      <c r="K332">
        <v>0</v>
      </c>
      <c r="L332" t="s">
        <v>310</v>
      </c>
      <c r="M332" t="s">
        <v>310</v>
      </c>
      <c r="N332">
        <v>0</v>
      </c>
      <c r="O332" t="s">
        <v>1389</v>
      </c>
      <c r="P332" t="s">
        <v>1401</v>
      </c>
      <c r="Q332" t="s">
        <v>1399</v>
      </c>
      <c r="R332" t="s">
        <v>321</v>
      </c>
      <c r="S332" t="s">
        <v>1411</v>
      </c>
      <c r="T332" t="s">
        <v>105</v>
      </c>
      <c r="U332">
        <v>9</v>
      </c>
      <c r="V332">
        <v>9</v>
      </c>
      <c r="W332">
        <v>0</v>
      </c>
      <c r="X332">
        <v>0</v>
      </c>
      <c r="Y332">
        <v>75.791726999999995</v>
      </c>
      <c r="Z332">
        <v>61.205528199999996</v>
      </c>
      <c r="AA332">
        <v>3</v>
      </c>
      <c r="AB332">
        <v>0</v>
      </c>
      <c r="AC332" t="s">
        <v>170</v>
      </c>
      <c r="AD332">
        <v>0</v>
      </c>
      <c r="AE332" t="s">
        <v>1392</v>
      </c>
      <c r="AF332">
        <v>0</v>
      </c>
      <c r="AG332" t="s">
        <v>310</v>
      </c>
      <c r="AH332">
        <v>7718.61</v>
      </c>
      <c r="AI332">
        <v>0</v>
      </c>
    </row>
    <row r="333" spans="1:35" x14ac:dyDescent="0.3">
      <c r="A333">
        <v>3422</v>
      </c>
      <c r="B333" t="s">
        <v>1290</v>
      </c>
      <c r="C333">
        <v>62</v>
      </c>
      <c r="D333" s="3">
        <v>45374.405771064812</v>
      </c>
      <c r="E333" t="s">
        <v>316</v>
      </c>
      <c r="F333" t="s">
        <v>317</v>
      </c>
      <c r="G333">
        <v>0</v>
      </c>
      <c r="H333" t="s">
        <v>310</v>
      </c>
      <c r="I333">
        <v>0</v>
      </c>
      <c r="J333">
        <v>0</v>
      </c>
      <c r="K333">
        <v>0</v>
      </c>
      <c r="L333" t="s">
        <v>310</v>
      </c>
      <c r="M333" t="s">
        <v>310</v>
      </c>
      <c r="N333">
        <v>0</v>
      </c>
      <c r="O333" t="s">
        <v>1391</v>
      </c>
      <c r="P333" t="s">
        <v>101</v>
      </c>
      <c r="Q333" t="s">
        <v>1400</v>
      </c>
      <c r="R333" t="s">
        <v>1404</v>
      </c>
      <c r="S333" t="s">
        <v>1411</v>
      </c>
      <c r="T333" t="s">
        <v>105</v>
      </c>
      <c r="U333">
        <v>9</v>
      </c>
      <c r="V333">
        <v>9</v>
      </c>
      <c r="W333">
        <v>0</v>
      </c>
      <c r="X333">
        <v>29.929039799999998</v>
      </c>
      <c r="Y333">
        <v>16.389625899999999</v>
      </c>
      <c r="Z333">
        <v>89.663852699999993</v>
      </c>
      <c r="AA333">
        <v>0</v>
      </c>
      <c r="AB333">
        <v>0</v>
      </c>
      <c r="AC333" t="s">
        <v>174</v>
      </c>
      <c r="AD333">
        <v>9</v>
      </c>
      <c r="AE333" t="s">
        <v>1396</v>
      </c>
      <c r="AF333">
        <v>100000000</v>
      </c>
      <c r="AG333" t="s">
        <v>310</v>
      </c>
      <c r="AH333">
        <v>5881.62</v>
      </c>
      <c r="AI333">
        <v>0</v>
      </c>
    </row>
    <row r="334" spans="1:35" x14ac:dyDescent="0.3">
      <c r="A334">
        <v>3421</v>
      </c>
      <c r="B334" t="s">
        <v>1285</v>
      </c>
      <c r="C334">
        <v>62</v>
      </c>
      <c r="D334" s="3">
        <v>45374.405771064812</v>
      </c>
      <c r="E334" t="s">
        <v>316</v>
      </c>
      <c r="F334" t="s">
        <v>317</v>
      </c>
      <c r="G334">
        <v>0</v>
      </c>
      <c r="H334" t="s">
        <v>310</v>
      </c>
      <c r="I334">
        <v>0</v>
      </c>
      <c r="J334">
        <v>0</v>
      </c>
      <c r="K334">
        <v>0</v>
      </c>
      <c r="L334" t="s">
        <v>310</v>
      </c>
      <c r="M334" t="s">
        <v>310</v>
      </c>
      <c r="N334">
        <v>0</v>
      </c>
      <c r="O334" t="s">
        <v>311</v>
      </c>
      <c r="P334" t="s">
        <v>1401</v>
      </c>
      <c r="Q334" t="s">
        <v>1399</v>
      </c>
      <c r="R334" t="s">
        <v>1404</v>
      </c>
      <c r="S334" t="s">
        <v>322</v>
      </c>
      <c r="T334" t="s">
        <v>105</v>
      </c>
      <c r="U334">
        <v>9</v>
      </c>
      <c r="V334">
        <v>9</v>
      </c>
      <c r="W334">
        <v>12.411978999999999</v>
      </c>
      <c r="X334">
        <v>0</v>
      </c>
      <c r="Y334">
        <v>104.8774487</v>
      </c>
      <c r="Z334">
        <v>18.158403799999999</v>
      </c>
      <c r="AA334">
        <v>3</v>
      </c>
      <c r="AB334">
        <v>0</v>
      </c>
      <c r="AC334" t="s">
        <v>170</v>
      </c>
      <c r="AD334">
        <v>0</v>
      </c>
      <c r="AE334" t="s">
        <v>1388</v>
      </c>
      <c r="AF334">
        <v>0</v>
      </c>
      <c r="AG334" t="s">
        <v>310</v>
      </c>
      <c r="AH334">
        <v>5993.62</v>
      </c>
      <c r="AI334">
        <v>0</v>
      </c>
    </row>
    <row r="335" spans="1:35" x14ac:dyDescent="0.3">
      <c r="A335">
        <v>3424</v>
      </c>
      <c r="B335" t="s">
        <v>1277</v>
      </c>
      <c r="C335">
        <v>62</v>
      </c>
      <c r="D335" s="3">
        <v>45374.405771215279</v>
      </c>
      <c r="E335" t="s">
        <v>316</v>
      </c>
      <c r="F335" t="s">
        <v>317</v>
      </c>
      <c r="G335">
        <v>1</v>
      </c>
      <c r="H335" t="s">
        <v>310</v>
      </c>
      <c r="I335">
        <v>0</v>
      </c>
      <c r="J335">
        <v>0</v>
      </c>
      <c r="K335">
        <v>0</v>
      </c>
      <c r="L335" t="s">
        <v>310</v>
      </c>
      <c r="M335" t="s">
        <v>310</v>
      </c>
      <c r="N335">
        <v>0</v>
      </c>
      <c r="O335" t="s">
        <v>1393</v>
      </c>
      <c r="P335" t="s">
        <v>240</v>
      </c>
      <c r="Q335" t="s">
        <v>1399</v>
      </c>
      <c r="R335" t="s">
        <v>1404</v>
      </c>
      <c r="S335" t="s">
        <v>322</v>
      </c>
      <c r="T335" t="s">
        <v>105</v>
      </c>
      <c r="U335">
        <v>9</v>
      </c>
      <c r="V335">
        <v>9</v>
      </c>
      <c r="W335">
        <v>9.4540814999999991</v>
      </c>
      <c r="X335">
        <v>41.897734700000001</v>
      </c>
      <c r="Y335">
        <v>28.897130099999998</v>
      </c>
      <c r="Z335">
        <v>54.735122699999998</v>
      </c>
      <c r="AA335">
        <v>0</v>
      </c>
      <c r="AB335">
        <v>3</v>
      </c>
      <c r="AC335" t="s">
        <v>174</v>
      </c>
      <c r="AD335">
        <v>0</v>
      </c>
      <c r="AE335" t="s">
        <v>1390</v>
      </c>
      <c r="AF335">
        <v>80000000</v>
      </c>
      <c r="AG335" t="s">
        <v>310</v>
      </c>
      <c r="AH335">
        <v>3360.62</v>
      </c>
      <c r="AI335">
        <v>0</v>
      </c>
    </row>
    <row r="336" spans="1:35" x14ac:dyDescent="0.3">
      <c r="A336">
        <v>3423</v>
      </c>
      <c r="B336" t="s">
        <v>366</v>
      </c>
      <c r="C336">
        <v>62</v>
      </c>
      <c r="D336" s="3">
        <v>45374.405771215279</v>
      </c>
      <c r="E336" t="s">
        <v>316</v>
      </c>
      <c r="F336" t="s">
        <v>317</v>
      </c>
      <c r="G336">
        <v>1</v>
      </c>
      <c r="H336" t="s">
        <v>310</v>
      </c>
      <c r="I336">
        <v>0</v>
      </c>
      <c r="J336">
        <v>0</v>
      </c>
      <c r="K336">
        <v>0</v>
      </c>
      <c r="L336" t="s">
        <v>310</v>
      </c>
      <c r="M336" t="s">
        <v>310</v>
      </c>
      <c r="N336">
        <v>0</v>
      </c>
      <c r="O336" t="s">
        <v>319</v>
      </c>
      <c r="P336" t="s">
        <v>240</v>
      </c>
      <c r="Q336" t="s">
        <v>1400</v>
      </c>
      <c r="R336" t="s">
        <v>1404</v>
      </c>
      <c r="S336" t="s">
        <v>1411</v>
      </c>
      <c r="T336" t="s">
        <v>105</v>
      </c>
      <c r="U336">
        <v>9</v>
      </c>
      <c r="V336">
        <v>9</v>
      </c>
      <c r="W336">
        <v>0</v>
      </c>
      <c r="X336">
        <v>35.252171699999998</v>
      </c>
      <c r="Y336">
        <v>25.905849</v>
      </c>
      <c r="Z336">
        <v>69.617427699999993</v>
      </c>
      <c r="AA336">
        <v>0</v>
      </c>
      <c r="AB336">
        <v>0</v>
      </c>
      <c r="AC336" t="s">
        <v>174</v>
      </c>
      <c r="AD336">
        <v>9</v>
      </c>
      <c r="AE336" t="s">
        <v>1392</v>
      </c>
      <c r="AF336">
        <v>150000000</v>
      </c>
      <c r="AG336" t="s">
        <v>310</v>
      </c>
      <c r="AH336">
        <v>4122.62</v>
      </c>
      <c r="AI336">
        <v>0</v>
      </c>
    </row>
    <row r="337" spans="1:35" x14ac:dyDescent="0.3">
      <c r="A337">
        <v>3425</v>
      </c>
      <c r="B337" t="s">
        <v>1312</v>
      </c>
      <c r="C337">
        <v>62</v>
      </c>
      <c r="D337" s="3">
        <v>45374.405771412035</v>
      </c>
      <c r="E337" t="s">
        <v>316</v>
      </c>
      <c r="F337" t="s">
        <v>317</v>
      </c>
      <c r="G337">
        <v>1</v>
      </c>
      <c r="H337" t="s">
        <v>310</v>
      </c>
      <c r="I337">
        <v>0</v>
      </c>
      <c r="J337">
        <v>0</v>
      </c>
      <c r="K337">
        <v>0</v>
      </c>
      <c r="L337" t="s">
        <v>310</v>
      </c>
      <c r="M337" t="s">
        <v>310</v>
      </c>
      <c r="N337">
        <v>0</v>
      </c>
      <c r="O337" t="s">
        <v>1389</v>
      </c>
      <c r="P337" t="s">
        <v>320</v>
      </c>
      <c r="Q337" t="s">
        <v>1400</v>
      </c>
      <c r="R337" t="s">
        <v>1405</v>
      </c>
      <c r="S337" t="s">
        <v>202</v>
      </c>
      <c r="T337" t="s">
        <v>1407</v>
      </c>
      <c r="U337">
        <v>0</v>
      </c>
      <c r="V337">
        <v>0</v>
      </c>
      <c r="W337">
        <v>1.1460752999999999</v>
      </c>
      <c r="X337">
        <v>7.6649024999999993</v>
      </c>
      <c r="Y337">
        <v>0</v>
      </c>
      <c r="Z337">
        <v>13.758668199999999</v>
      </c>
      <c r="AA337">
        <v>0</v>
      </c>
      <c r="AB337">
        <v>1</v>
      </c>
      <c r="AC337" t="s">
        <v>174</v>
      </c>
      <c r="AD337">
        <v>9</v>
      </c>
      <c r="AE337" t="s">
        <v>1394</v>
      </c>
      <c r="AF337">
        <v>70000000</v>
      </c>
      <c r="AG337" t="s">
        <v>310</v>
      </c>
      <c r="AH337">
        <v>2053.62</v>
      </c>
      <c r="AI337">
        <v>0</v>
      </c>
    </row>
    <row r="338" spans="1:35" x14ac:dyDescent="0.3">
      <c r="A338">
        <v>3426</v>
      </c>
      <c r="B338" t="s">
        <v>1279</v>
      </c>
      <c r="C338">
        <v>62</v>
      </c>
      <c r="D338" s="3">
        <v>45374.405771412035</v>
      </c>
      <c r="E338" t="s">
        <v>316</v>
      </c>
      <c r="F338" t="s">
        <v>317</v>
      </c>
      <c r="G338">
        <v>0</v>
      </c>
      <c r="H338" t="s">
        <v>310</v>
      </c>
      <c r="I338">
        <v>0</v>
      </c>
      <c r="J338">
        <v>0</v>
      </c>
      <c r="K338">
        <v>0</v>
      </c>
      <c r="L338" t="s">
        <v>310</v>
      </c>
      <c r="M338" t="s">
        <v>310</v>
      </c>
      <c r="N338">
        <v>0</v>
      </c>
      <c r="O338" t="s">
        <v>1395</v>
      </c>
      <c r="P338" t="s">
        <v>101</v>
      </c>
      <c r="Q338" t="s">
        <v>1400</v>
      </c>
      <c r="R338" t="s">
        <v>1404</v>
      </c>
      <c r="S338" t="s">
        <v>1411</v>
      </c>
      <c r="T338" t="s">
        <v>105</v>
      </c>
      <c r="U338">
        <v>9</v>
      </c>
      <c r="V338">
        <v>9</v>
      </c>
      <c r="W338">
        <v>0</v>
      </c>
      <c r="X338">
        <v>0</v>
      </c>
      <c r="Y338">
        <v>29.5197714</v>
      </c>
      <c r="Z338">
        <v>106.6759337</v>
      </c>
      <c r="AA338">
        <v>3</v>
      </c>
      <c r="AB338">
        <v>0</v>
      </c>
      <c r="AC338" t="s">
        <v>170</v>
      </c>
      <c r="AD338">
        <v>9</v>
      </c>
      <c r="AE338" t="s">
        <v>1387</v>
      </c>
      <c r="AF338">
        <v>0</v>
      </c>
      <c r="AG338" t="s">
        <v>310</v>
      </c>
      <c r="AH338">
        <v>5149.62</v>
      </c>
      <c r="AI338">
        <v>0</v>
      </c>
    </row>
    <row r="339" spans="1:35" x14ac:dyDescent="0.3">
      <c r="A339">
        <v>3489</v>
      </c>
      <c r="B339" t="s">
        <v>1309</v>
      </c>
      <c r="C339">
        <v>63</v>
      </c>
      <c r="D339" s="3">
        <v>45374.410210451388</v>
      </c>
      <c r="E339" t="s">
        <v>316</v>
      </c>
      <c r="F339" t="s">
        <v>317</v>
      </c>
      <c r="G339">
        <v>1</v>
      </c>
      <c r="H339" t="s">
        <v>310</v>
      </c>
      <c r="I339">
        <v>0</v>
      </c>
      <c r="J339">
        <v>0</v>
      </c>
      <c r="K339">
        <v>0</v>
      </c>
      <c r="L339" t="s">
        <v>310</v>
      </c>
      <c r="M339" t="s">
        <v>310</v>
      </c>
      <c r="N339">
        <v>0</v>
      </c>
      <c r="O339" t="s">
        <v>311</v>
      </c>
      <c r="P339" t="s">
        <v>101</v>
      </c>
      <c r="Q339" t="s">
        <v>1399</v>
      </c>
      <c r="R339" t="s">
        <v>1405</v>
      </c>
      <c r="S339" t="s">
        <v>202</v>
      </c>
      <c r="T339" t="s">
        <v>1406</v>
      </c>
      <c r="U339">
        <v>0</v>
      </c>
      <c r="V339">
        <v>0</v>
      </c>
      <c r="W339">
        <v>12.354309899999999</v>
      </c>
      <c r="X339">
        <v>31.234405499999998</v>
      </c>
      <c r="Y339">
        <v>26.345760599999998</v>
      </c>
      <c r="Z339">
        <v>53.063474399999997</v>
      </c>
      <c r="AA339">
        <v>0</v>
      </c>
      <c r="AB339">
        <v>1</v>
      </c>
      <c r="AC339" t="s">
        <v>174</v>
      </c>
      <c r="AD339">
        <v>0</v>
      </c>
      <c r="AE339" t="s">
        <v>1388</v>
      </c>
      <c r="AF339">
        <v>80101000</v>
      </c>
      <c r="AG339" t="s">
        <v>310</v>
      </c>
      <c r="AH339">
        <v>3550.63</v>
      </c>
      <c r="AI339">
        <v>0</v>
      </c>
    </row>
    <row r="340" spans="1:35" x14ac:dyDescent="0.3">
      <c r="A340">
        <v>3491</v>
      </c>
      <c r="B340" t="s">
        <v>1284</v>
      </c>
      <c r="C340">
        <v>63</v>
      </c>
      <c r="D340" s="3">
        <v>45374.410210648151</v>
      </c>
      <c r="E340" t="s">
        <v>316</v>
      </c>
      <c r="F340" t="s">
        <v>317</v>
      </c>
      <c r="G340">
        <v>1</v>
      </c>
      <c r="H340" t="s">
        <v>310</v>
      </c>
      <c r="I340">
        <v>0</v>
      </c>
      <c r="J340">
        <v>0</v>
      </c>
      <c r="K340">
        <v>0</v>
      </c>
      <c r="L340" t="s">
        <v>310</v>
      </c>
      <c r="M340" t="s">
        <v>310</v>
      </c>
      <c r="N340">
        <v>0</v>
      </c>
      <c r="O340" t="s">
        <v>319</v>
      </c>
      <c r="P340" t="s">
        <v>240</v>
      </c>
      <c r="Q340" t="s">
        <v>1400</v>
      </c>
      <c r="R340" t="s">
        <v>1404</v>
      </c>
      <c r="S340" t="s">
        <v>322</v>
      </c>
      <c r="T340" t="s">
        <v>105</v>
      </c>
      <c r="U340">
        <v>9</v>
      </c>
      <c r="V340">
        <v>9</v>
      </c>
      <c r="W340">
        <v>19.890083199999999</v>
      </c>
      <c r="X340">
        <v>40.825781999999997</v>
      </c>
      <c r="Y340">
        <v>32.417315199999997</v>
      </c>
      <c r="Z340">
        <v>39.658229299999995</v>
      </c>
      <c r="AA340">
        <v>0</v>
      </c>
      <c r="AB340">
        <v>0</v>
      </c>
      <c r="AC340" t="s">
        <v>174</v>
      </c>
      <c r="AD340">
        <v>9</v>
      </c>
      <c r="AE340" t="s">
        <v>1392</v>
      </c>
      <c r="AF340">
        <v>60000000</v>
      </c>
      <c r="AG340" t="s">
        <v>310</v>
      </c>
      <c r="AH340">
        <v>5590.63</v>
      </c>
      <c r="AI340">
        <v>0</v>
      </c>
    </row>
    <row r="341" spans="1:35" x14ac:dyDescent="0.3">
      <c r="A341">
        <v>3490</v>
      </c>
      <c r="B341" t="s">
        <v>1298</v>
      </c>
      <c r="C341">
        <v>63</v>
      </c>
      <c r="D341" s="3">
        <v>45374.410210648151</v>
      </c>
      <c r="E341" t="s">
        <v>316</v>
      </c>
      <c r="F341" t="s">
        <v>317</v>
      </c>
      <c r="G341">
        <v>0</v>
      </c>
      <c r="H341" t="s">
        <v>310</v>
      </c>
      <c r="I341">
        <v>0</v>
      </c>
      <c r="J341">
        <v>0</v>
      </c>
      <c r="K341">
        <v>0</v>
      </c>
      <c r="L341" t="s">
        <v>310</v>
      </c>
      <c r="M341" t="s">
        <v>310</v>
      </c>
      <c r="N341">
        <v>0</v>
      </c>
      <c r="O341" t="s">
        <v>1391</v>
      </c>
      <c r="P341" t="s">
        <v>1401</v>
      </c>
      <c r="Q341" t="s">
        <v>1400</v>
      </c>
      <c r="R341" t="s">
        <v>1404</v>
      </c>
      <c r="S341" t="s">
        <v>1411</v>
      </c>
      <c r="T341" t="s">
        <v>105</v>
      </c>
      <c r="U341">
        <v>9</v>
      </c>
      <c r="V341">
        <v>9</v>
      </c>
      <c r="W341">
        <v>0</v>
      </c>
      <c r="X341">
        <v>25.315451599999999</v>
      </c>
      <c r="Y341">
        <v>27.6735452</v>
      </c>
      <c r="Z341">
        <v>81.974243299999998</v>
      </c>
      <c r="AA341">
        <v>0</v>
      </c>
      <c r="AB341">
        <v>0</v>
      </c>
      <c r="AC341" t="s">
        <v>174</v>
      </c>
      <c r="AD341">
        <v>9</v>
      </c>
      <c r="AE341" t="s">
        <v>1396</v>
      </c>
      <c r="AF341">
        <v>50000000</v>
      </c>
      <c r="AG341" t="s">
        <v>310</v>
      </c>
      <c r="AH341">
        <v>9624.6299999999992</v>
      </c>
      <c r="AI341">
        <v>0</v>
      </c>
    </row>
    <row r="342" spans="1:35" x14ac:dyDescent="0.3">
      <c r="A342">
        <v>3492</v>
      </c>
      <c r="B342" t="s">
        <v>1280</v>
      </c>
      <c r="C342">
        <v>63</v>
      </c>
      <c r="D342" s="3">
        <v>45374.410210798611</v>
      </c>
      <c r="E342" t="s">
        <v>316</v>
      </c>
      <c r="F342" t="s">
        <v>317</v>
      </c>
      <c r="G342">
        <v>1</v>
      </c>
      <c r="H342" t="s">
        <v>310</v>
      </c>
      <c r="I342">
        <v>0</v>
      </c>
      <c r="J342">
        <v>0</v>
      </c>
      <c r="K342">
        <v>0</v>
      </c>
      <c r="L342" t="s">
        <v>310</v>
      </c>
      <c r="M342" t="s">
        <v>310</v>
      </c>
      <c r="N342">
        <v>0</v>
      </c>
      <c r="O342" t="s">
        <v>1393</v>
      </c>
      <c r="P342" t="s">
        <v>1401</v>
      </c>
      <c r="Q342" t="s">
        <v>1400</v>
      </c>
      <c r="R342" t="s">
        <v>1405</v>
      </c>
      <c r="S342" t="s">
        <v>202</v>
      </c>
      <c r="T342" t="s">
        <v>1407</v>
      </c>
      <c r="U342">
        <v>0</v>
      </c>
      <c r="V342">
        <v>0</v>
      </c>
      <c r="W342">
        <v>12.355657599999999</v>
      </c>
      <c r="X342">
        <v>26.654353199999999</v>
      </c>
      <c r="Y342">
        <v>18.688604399999999</v>
      </c>
      <c r="Z342">
        <v>61.338413799999998</v>
      </c>
      <c r="AA342">
        <v>0</v>
      </c>
      <c r="AB342">
        <v>0</v>
      </c>
      <c r="AC342" t="s">
        <v>174</v>
      </c>
      <c r="AD342">
        <v>9</v>
      </c>
      <c r="AE342" t="s">
        <v>1390</v>
      </c>
      <c r="AF342">
        <v>80000000</v>
      </c>
      <c r="AG342" t="s">
        <v>310</v>
      </c>
      <c r="AH342">
        <v>1559.63</v>
      </c>
      <c r="AI342">
        <v>0</v>
      </c>
    </row>
    <row r="343" spans="1:35" x14ac:dyDescent="0.3">
      <c r="A343">
        <v>3493</v>
      </c>
      <c r="B343" t="s">
        <v>1302</v>
      </c>
      <c r="C343">
        <v>63</v>
      </c>
      <c r="D343" s="3">
        <v>45374.410210798611</v>
      </c>
      <c r="E343" t="s">
        <v>316</v>
      </c>
      <c r="F343" t="s">
        <v>317</v>
      </c>
      <c r="G343">
        <v>0</v>
      </c>
      <c r="H343" t="s">
        <v>310</v>
      </c>
      <c r="I343">
        <v>0</v>
      </c>
      <c r="J343">
        <v>0</v>
      </c>
      <c r="K343">
        <v>0</v>
      </c>
      <c r="L343" t="s">
        <v>310</v>
      </c>
      <c r="M343" t="s">
        <v>310</v>
      </c>
      <c r="N343">
        <v>0</v>
      </c>
      <c r="O343" t="s">
        <v>1389</v>
      </c>
      <c r="P343" t="s">
        <v>101</v>
      </c>
      <c r="Q343" t="s">
        <v>1399</v>
      </c>
      <c r="R343" t="s">
        <v>1404</v>
      </c>
      <c r="S343" t="s">
        <v>322</v>
      </c>
      <c r="T343" t="s">
        <v>105</v>
      </c>
      <c r="U343">
        <v>9</v>
      </c>
      <c r="V343">
        <v>9</v>
      </c>
      <c r="W343">
        <v>11.240321699999999</v>
      </c>
      <c r="X343">
        <v>25.076358199999998</v>
      </c>
      <c r="Y343">
        <v>15.187712099999999</v>
      </c>
      <c r="Z343">
        <v>83.861109900000002</v>
      </c>
      <c r="AA343">
        <v>10</v>
      </c>
      <c r="AB343">
        <v>10</v>
      </c>
      <c r="AC343" t="s">
        <v>315</v>
      </c>
      <c r="AD343">
        <v>10</v>
      </c>
      <c r="AE343" t="s">
        <v>1394</v>
      </c>
      <c r="AF343">
        <v>30000040</v>
      </c>
      <c r="AG343" t="s">
        <v>310</v>
      </c>
      <c r="AH343">
        <v>2095.63</v>
      </c>
      <c r="AI343">
        <v>0</v>
      </c>
    </row>
    <row r="344" spans="1:35" x14ac:dyDescent="0.3">
      <c r="A344">
        <v>3494</v>
      </c>
      <c r="B344" t="s">
        <v>1300</v>
      </c>
      <c r="C344">
        <v>63</v>
      </c>
      <c r="D344" s="3">
        <v>45374.410210995367</v>
      </c>
      <c r="E344" t="s">
        <v>316</v>
      </c>
      <c r="F344" t="s">
        <v>317</v>
      </c>
      <c r="G344">
        <v>1</v>
      </c>
      <c r="H344" t="s">
        <v>310</v>
      </c>
      <c r="I344">
        <v>0</v>
      </c>
      <c r="J344">
        <v>0</v>
      </c>
      <c r="K344">
        <v>0</v>
      </c>
      <c r="L344" t="s">
        <v>310</v>
      </c>
      <c r="M344" t="s">
        <v>310</v>
      </c>
      <c r="N344">
        <v>0</v>
      </c>
      <c r="O344" t="s">
        <v>1395</v>
      </c>
      <c r="P344" t="s">
        <v>240</v>
      </c>
      <c r="Q344" t="s">
        <v>1400</v>
      </c>
      <c r="R344" t="s">
        <v>1404</v>
      </c>
      <c r="S344" t="s">
        <v>322</v>
      </c>
      <c r="T344" t="s">
        <v>105</v>
      </c>
      <c r="U344">
        <v>9</v>
      </c>
      <c r="V344">
        <v>9</v>
      </c>
      <c r="W344">
        <v>10.6645526</v>
      </c>
      <c r="X344">
        <v>13.204357799999999</v>
      </c>
      <c r="Y344">
        <v>9.7225488999999996</v>
      </c>
      <c r="Z344">
        <v>100.6226985</v>
      </c>
      <c r="AA344">
        <v>0</v>
      </c>
      <c r="AB344">
        <v>0</v>
      </c>
      <c r="AC344" t="s">
        <v>174</v>
      </c>
      <c r="AD344">
        <v>9</v>
      </c>
      <c r="AE344" t="s">
        <v>1387</v>
      </c>
      <c r="AF344">
        <v>120000000</v>
      </c>
      <c r="AG344" t="s">
        <v>310</v>
      </c>
      <c r="AH344">
        <v>3044.63</v>
      </c>
      <c r="AI344">
        <v>0</v>
      </c>
    </row>
    <row r="345" spans="1:35" x14ac:dyDescent="0.3">
      <c r="A345">
        <v>3557</v>
      </c>
      <c r="B345" t="s">
        <v>1315</v>
      </c>
      <c r="C345">
        <v>64</v>
      </c>
      <c r="D345" s="3">
        <v>45374.416528090274</v>
      </c>
      <c r="E345" t="s">
        <v>316</v>
      </c>
      <c r="F345" t="s">
        <v>317</v>
      </c>
      <c r="G345">
        <v>1</v>
      </c>
      <c r="H345" t="s">
        <v>310</v>
      </c>
      <c r="I345">
        <v>0</v>
      </c>
      <c r="J345">
        <v>0</v>
      </c>
      <c r="K345">
        <v>0</v>
      </c>
      <c r="L345" t="s">
        <v>310</v>
      </c>
      <c r="M345" t="s">
        <v>310</v>
      </c>
      <c r="N345">
        <v>0</v>
      </c>
      <c r="O345" t="s">
        <v>311</v>
      </c>
      <c r="P345" t="s">
        <v>240</v>
      </c>
      <c r="Q345" t="s">
        <v>1400</v>
      </c>
      <c r="R345" t="s">
        <v>1405</v>
      </c>
      <c r="S345" t="s">
        <v>202</v>
      </c>
      <c r="T345" t="s">
        <v>1406</v>
      </c>
      <c r="U345">
        <v>1</v>
      </c>
      <c r="V345">
        <v>0</v>
      </c>
      <c r="W345">
        <v>8.4748289000000003</v>
      </c>
      <c r="X345">
        <v>28.0744553</v>
      </c>
      <c r="Y345">
        <v>18.9578904</v>
      </c>
      <c r="Z345">
        <v>71.202267399999997</v>
      </c>
      <c r="AA345">
        <v>0</v>
      </c>
      <c r="AB345">
        <v>0</v>
      </c>
      <c r="AC345" t="s">
        <v>174</v>
      </c>
      <c r="AD345">
        <v>9</v>
      </c>
      <c r="AE345" t="s">
        <v>1390</v>
      </c>
      <c r="AF345">
        <v>70100000</v>
      </c>
      <c r="AG345" t="s">
        <v>310</v>
      </c>
      <c r="AH345">
        <v>1511.64</v>
      </c>
      <c r="AI345">
        <v>0</v>
      </c>
    </row>
    <row r="346" spans="1:35" x14ac:dyDescent="0.3">
      <c r="A346">
        <v>3558</v>
      </c>
      <c r="B346" t="s">
        <v>1286</v>
      </c>
      <c r="C346">
        <v>64</v>
      </c>
      <c r="D346" s="3">
        <v>45374.416528159723</v>
      </c>
      <c r="E346" t="s">
        <v>316</v>
      </c>
      <c r="F346" t="s">
        <v>317</v>
      </c>
      <c r="G346">
        <v>1</v>
      </c>
      <c r="H346" t="s">
        <v>310</v>
      </c>
      <c r="I346">
        <v>0</v>
      </c>
      <c r="J346">
        <v>0</v>
      </c>
      <c r="K346">
        <v>0</v>
      </c>
      <c r="L346" t="s">
        <v>310</v>
      </c>
      <c r="M346" t="s">
        <v>310</v>
      </c>
      <c r="N346">
        <v>0</v>
      </c>
      <c r="O346" t="s">
        <v>1391</v>
      </c>
      <c r="P346" t="s">
        <v>1401</v>
      </c>
      <c r="Q346" t="s">
        <v>1400</v>
      </c>
      <c r="R346" t="s">
        <v>1405</v>
      </c>
      <c r="S346" t="s">
        <v>202</v>
      </c>
      <c r="T346" t="s">
        <v>1407</v>
      </c>
      <c r="U346">
        <v>0</v>
      </c>
      <c r="V346">
        <v>0</v>
      </c>
      <c r="W346">
        <v>7.6329423999999992</v>
      </c>
      <c r="X346">
        <v>39.383007200000002</v>
      </c>
      <c r="Y346">
        <v>22.739495299999998</v>
      </c>
      <c r="Z346">
        <v>46.082457999999995</v>
      </c>
      <c r="AA346">
        <v>0</v>
      </c>
      <c r="AB346">
        <v>0</v>
      </c>
      <c r="AC346" t="s">
        <v>174</v>
      </c>
      <c r="AD346">
        <v>9</v>
      </c>
      <c r="AE346" t="s">
        <v>1388</v>
      </c>
      <c r="AF346">
        <v>130001000</v>
      </c>
      <c r="AG346" t="s">
        <v>310</v>
      </c>
      <c r="AH346">
        <v>1591.64</v>
      </c>
      <c r="AI346">
        <v>0</v>
      </c>
    </row>
    <row r="347" spans="1:35" x14ac:dyDescent="0.3">
      <c r="A347">
        <v>3559</v>
      </c>
      <c r="B347" t="s">
        <v>1314</v>
      </c>
      <c r="C347">
        <v>64</v>
      </c>
      <c r="D347" s="3">
        <v>45374.416528159723</v>
      </c>
      <c r="E347" t="s">
        <v>316</v>
      </c>
      <c r="F347" t="s">
        <v>317</v>
      </c>
      <c r="G347">
        <v>1</v>
      </c>
      <c r="H347" t="s">
        <v>310</v>
      </c>
      <c r="I347">
        <v>0</v>
      </c>
      <c r="J347">
        <v>0</v>
      </c>
      <c r="K347">
        <v>0</v>
      </c>
      <c r="L347" t="s">
        <v>310</v>
      </c>
      <c r="M347" t="s">
        <v>310</v>
      </c>
      <c r="N347">
        <v>0</v>
      </c>
      <c r="O347" t="s">
        <v>319</v>
      </c>
      <c r="P347" t="s">
        <v>101</v>
      </c>
      <c r="Q347" t="s">
        <v>1399</v>
      </c>
      <c r="R347" t="s">
        <v>1405</v>
      </c>
      <c r="S347" t="s">
        <v>202</v>
      </c>
      <c r="T347" t="s">
        <v>1406</v>
      </c>
      <c r="U347">
        <v>1</v>
      </c>
      <c r="V347">
        <v>0</v>
      </c>
      <c r="W347">
        <v>30.791149399999998</v>
      </c>
      <c r="X347">
        <v>35.496314499999997</v>
      </c>
      <c r="Y347">
        <v>16.276857199999998</v>
      </c>
      <c r="Z347">
        <v>45.376485299999999</v>
      </c>
      <c r="AA347">
        <v>0</v>
      </c>
      <c r="AB347">
        <v>0</v>
      </c>
      <c r="AC347" t="s">
        <v>174</v>
      </c>
      <c r="AD347">
        <v>0</v>
      </c>
      <c r="AE347" t="s">
        <v>1396</v>
      </c>
      <c r="AF347">
        <v>90001000</v>
      </c>
      <c r="AG347" t="s">
        <v>310</v>
      </c>
      <c r="AH347">
        <v>3419.64</v>
      </c>
      <c r="AI347">
        <v>0</v>
      </c>
    </row>
    <row r="348" spans="1:35" x14ac:dyDescent="0.3">
      <c r="A348">
        <v>3561</v>
      </c>
      <c r="B348" t="s">
        <v>372</v>
      </c>
      <c r="C348">
        <v>64</v>
      </c>
      <c r="D348" s="3">
        <v>45374.41652835648</v>
      </c>
      <c r="E348" t="s">
        <v>316</v>
      </c>
      <c r="F348" t="s">
        <v>317</v>
      </c>
      <c r="G348">
        <v>0</v>
      </c>
      <c r="H348" t="s">
        <v>310</v>
      </c>
      <c r="I348">
        <v>0</v>
      </c>
      <c r="J348">
        <v>0</v>
      </c>
      <c r="K348">
        <v>0</v>
      </c>
      <c r="L348" t="s">
        <v>310</v>
      </c>
      <c r="M348" t="s">
        <v>310</v>
      </c>
      <c r="N348">
        <v>0</v>
      </c>
      <c r="O348" t="s">
        <v>1389</v>
      </c>
      <c r="P348" t="s">
        <v>1401</v>
      </c>
      <c r="Q348" t="s">
        <v>1400</v>
      </c>
      <c r="R348" t="s">
        <v>321</v>
      </c>
      <c r="S348" t="s">
        <v>1411</v>
      </c>
      <c r="T348" t="s">
        <v>105</v>
      </c>
      <c r="U348">
        <v>9</v>
      </c>
      <c r="V348">
        <v>9</v>
      </c>
      <c r="W348">
        <v>0</v>
      </c>
      <c r="X348">
        <v>20.346125000000001</v>
      </c>
      <c r="Y348">
        <v>17.083783499999999</v>
      </c>
      <c r="Z348">
        <v>85.179817</v>
      </c>
      <c r="AA348">
        <v>0</v>
      </c>
      <c r="AB348">
        <v>0</v>
      </c>
      <c r="AC348" t="s">
        <v>174</v>
      </c>
      <c r="AD348">
        <v>9</v>
      </c>
      <c r="AE348" t="s">
        <v>1413</v>
      </c>
      <c r="AF348">
        <v>60100000</v>
      </c>
      <c r="AG348" t="s">
        <v>310</v>
      </c>
      <c r="AH348">
        <v>7504.64</v>
      </c>
      <c r="AI348">
        <v>0</v>
      </c>
    </row>
    <row r="349" spans="1:35" x14ac:dyDescent="0.3">
      <c r="A349">
        <v>3560</v>
      </c>
      <c r="B349" t="s">
        <v>1303</v>
      </c>
      <c r="C349">
        <v>64</v>
      </c>
      <c r="D349" s="3">
        <v>45374.41652835648</v>
      </c>
      <c r="E349" t="s">
        <v>316</v>
      </c>
      <c r="F349" t="s">
        <v>317</v>
      </c>
      <c r="G349">
        <v>0</v>
      </c>
      <c r="H349" t="s">
        <v>310</v>
      </c>
      <c r="I349">
        <v>0</v>
      </c>
      <c r="J349">
        <v>0</v>
      </c>
      <c r="K349">
        <v>0</v>
      </c>
      <c r="L349" t="s">
        <v>310</v>
      </c>
      <c r="M349" t="s">
        <v>310</v>
      </c>
      <c r="N349">
        <v>0</v>
      </c>
      <c r="O349" t="s">
        <v>1393</v>
      </c>
      <c r="P349" t="s">
        <v>240</v>
      </c>
      <c r="Q349" t="s">
        <v>1400</v>
      </c>
      <c r="R349" t="s">
        <v>321</v>
      </c>
      <c r="S349" t="s">
        <v>1411</v>
      </c>
      <c r="T349" t="s">
        <v>105</v>
      </c>
      <c r="U349">
        <v>9</v>
      </c>
      <c r="V349">
        <v>9</v>
      </c>
      <c r="W349">
        <v>0</v>
      </c>
      <c r="X349">
        <v>90.419969299999991</v>
      </c>
      <c r="Y349">
        <v>9.5209253999999994</v>
      </c>
      <c r="Z349">
        <v>35.747746599999999</v>
      </c>
      <c r="AA349">
        <v>0</v>
      </c>
      <c r="AB349">
        <v>0</v>
      </c>
      <c r="AC349" t="s">
        <v>167</v>
      </c>
      <c r="AD349">
        <v>9</v>
      </c>
      <c r="AE349" t="s">
        <v>1412</v>
      </c>
      <c r="AF349">
        <v>0</v>
      </c>
      <c r="AG349" t="s">
        <v>310</v>
      </c>
      <c r="AH349">
        <v>7605.64</v>
      </c>
      <c r="AI349">
        <v>0</v>
      </c>
    </row>
    <row r="350" spans="1:35" x14ac:dyDescent="0.3">
      <c r="A350">
        <v>3562</v>
      </c>
      <c r="B350" t="s">
        <v>1297</v>
      </c>
      <c r="C350">
        <v>64</v>
      </c>
      <c r="D350" s="3">
        <v>45374.416528553244</v>
      </c>
      <c r="E350" t="s">
        <v>316</v>
      </c>
      <c r="F350" t="s">
        <v>317</v>
      </c>
      <c r="G350">
        <v>1</v>
      </c>
      <c r="H350" t="s">
        <v>310</v>
      </c>
      <c r="I350">
        <v>0</v>
      </c>
      <c r="J350">
        <v>0</v>
      </c>
      <c r="K350">
        <v>0</v>
      </c>
      <c r="L350" t="s">
        <v>310</v>
      </c>
      <c r="M350" t="s">
        <v>310</v>
      </c>
      <c r="N350">
        <v>0</v>
      </c>
      <c r="O350" t="s">
        <v>1395</v>
      </c>
      <c r="P350" t="s">
        <v>320</v>
      </c>
      <c r="Q350" t="s">
        <v>1399</v>
      </c>
      <c r="R350" t="s">
        <v>321</v>
      </c>
      <c r="S350" t="s">
        <v>1411</v>
      </c>
      <c r="T350" t="s">
        <v>105</v>
      </c>
      <c r="U350">
        <v>9</v>
      </c>
      <c r="V350">
        <v>9</v>
      </c>
      <c r="W350">
        <v>0</v>
      </c>
      <c r="X350">
        <v>16.841213499999999</v>
      </c>
      <c r="Y350">
        <v>22.7227389</v>
      </c>
      <c r="Z350">
        <v>95.662641899999997</v>
      </c>
      <c r="AA350">
        <v>0</v>
      </c>
      <c r="AB350">
        <v>2</v>
      </c>
      <c r="AC350" t="s">
        <v>174</v>
      </c>
      <c r="AD350">
        <v>0</v>
      </c>
      <c r="AE350" t="s">
        <v>1414</v>
      </c>
      <c r="AF350">
        <v>40000000</v>
      </c>
      <c r="AG350" t="s">
        <v>310</v>
      </c>
      <c r="AH350">
        <v>9750.64</v>
      </c>
      <c r="AI350">
        <v>0</v>
      </c>
    </row>
    <row r="351" spans="1:35" x14ac:dyDescent="0.3">
      <c r="A351">
        <v>3620</v>
      </c>
      <c r="B351" t="s">
        <v>1282</v>
      </c>
      <c r="C351">
        <v>65</v>
      </c>
      <c r="D351" s="3">
        <v>45374.41990601852</v>
      </c>
      <c r="E351" t="s">
        <v>316</v>
      </c>
      <c r="F351" t="s">
        <v>317</v>
      </c>
      <c r="G351">
        <v>1</v>
      </c>
      <c r="H351" t="s">
        <v>310</v>
      </c>
      <c r="I351">
        <v>0</v>
      </c>
      <c r="J351">
        <v>0</v>
      </c>
      <c r="K351">
        <v>0</v>
      </c>
      <c r="L351" t="s">
        <v>310</v>
      </c>
      <c r="M351" t="s">
        <v>310</v>
      </c>
      <c r="N351">
        <v>0</v>
      </c>
      <c r="O351" t="s">
        <v>311</v>
      </c>
      <c r="P351" t="s">
        <v>1401</v>
      </c>
      <c r="Q351" t="s">
        <v>1400</v>
      </c>
      <c r="R351" t="s">
        <v>1404</v>
      </c>
      <c r="S351" t="s">
        <v>1411</v>
      </c>
      <c r="T351" t="s">
        <v>105</v>
      </c>
      <c r="U351">
        <v>9</v>
      </c>
      <c r="V351">
        <v>9</v>
      </c>
      <c r="W351">
        <v>0</v>
      </c>
      <c r="X351">
        <v>28.9619556</v>
      </c>
      <c r="Y351">
        <v>22.2393465</v>
      </c>
      <c r="Z351">
        <v>105.2396778</v>
      </c>
      <c r="AA351">
        <v>0</v>
      </c>
      <c r="AB351">
        <v>3</v>
      </c>
      <c r="AC351" t="s">
        <v>174</v>
      </c>
      <c r="AD351">
        <v>9</v>
      </c>
      <c r="AE351" t="s">
        <v>1390</v>
      </c>
      <c r="AF351">
        <v>50000000</v>
      </c>
      <c r="AG351" t="s">
        <v>310</v>
      </c>
      <c r="AH351">
        <v>333.65</v>
      </c>
      <c r="AI351">
        <v>0</v>
      </c>
    </row>
    <row r="352" spans="1:35" x14ac:dyDescent="0.3">
      <c r="A352">
        <v>3621</v>
      </c>
      <c r="B352" t="s">
        <v>318</v>
      </c>
      <c r="C352">
        <v>65</v>
      </c>
      <c r="D352" s="3">
        <v>45374.41990601852</v>
      </c>
      <c r="E352" t="s">
        <v>316</v>
      </c>
      <c r="F352" t="s">
        <v>317</v>
      </c>
      <c r="G352">
        <v>1</v>
      </c>
      <c r="H352" t="s">
        <v>310</v>
      </c>
      <c r="I352">
        <v>0</v>
      </c>
      <c r="J352">
        <v>0</v>
      </c>
      <c r="K352">
        <v>0</v>
      </c>
      <c r="L352" t="s">
        <v>310</v>
      </c>
      <c r="M352" t="s">
        <v>310</v>
      </c>
      <c r="N352">
        <v>0</v>
      </c>
      <c r="O352" t="s">
        <v>1391</v>
      </c>
      <c r="P352" t="s">
        <v>101</v>
      </c>
      <c r="Q352" t="s">
        <v>1400</v>
      </c>
      <c r="R352" t="s">
        <v>1404</v>
      </c>
      <c r="S352" t="s">
        <v>1411</v>
      </c>
      <c r="T352" t="s">
        <v>105</v>
      </c>
      <c r="U352">
        <v>9</v>
      </c>
      <c r="V352">
        <v>9</v>
      </c>
      <c r="W352">
        <v>0</v>
      </c>
      <c r="X352">
        <v>21.467318299999999</v>
      </c>
      <c r="Y352">
        <v>16.0560823</v>
      </c>
      <c r="Z352">
        <v>97.1929126</v>
      </c>
      <c r="AA352">
        <v>0</v>
      </c>
      <c r="AB352">
        <v>2</v>
      </c>
      <c r="AC352" t="s">
        <v>174</v>
      </c>
      <c r="AD352">
        <v>9</v>
      </c>
      <c r="AE352" t="s">
        <v>1388</v>
      </c>
      <c r="AF352">
        <v>80000000</v>
      </c>
      <c r="AG352" t="s">
        <v>310</v>
      </c>
      <c r="AH352">
        <v>639.65</v>
      </c>
      <c r="AI352">
        <v>0</v>
      </c>
    </row>
    <row r="353" spans="1:35" x14ac:dyDescent="0.3">
      <c r="A353">
        <v>3623</v>
      </c>
      <c r="B353" t="s">
        <v>362</v>
      </c>
      <c r="C353">
        <v>65</v>
      </c>
      <c r="D353" s="3">
        <v>45374.419906215277</v>
      </c>
      <c r="E353" t="s">
        <v>316</v>
      </c>
      <c r="F353" t="s">
        <v>317</v>
      </c>
      <c r="G353">
        <v>1</v>
      </c>
      <c r="H353" t="s">
        <v>310</v>
      </c>
      <c r="I353">
        <v>0</v>
      </c>
      <c r="J353">
        <v>0</v>
      </c>
      <c r="K353">
        <v>0</v>
      </c>
      <c r="L353" t="s">
        <v>310</v>
      </c>
      <c r="M353" t="s">
        <v>310</v>
      </c>
      <c r="N353">
        <v>0</v>
      </c>
      <c r="O353" t="s">
        <v>1393</v>
      </c>
      <c r="P353" t="s">
        <v>320</v>
      </c>
      <c r="Q353" t="s">
        <v>1400</v>
      </c>
      <c r="R353" t="s">
        <v>1404</v>
      </c>
      <c r="S353" t="s">
        <v>1411</v>
      </c>
      <c r="T353" t="s">
        <v>105</v>
      </c>
      <c r="U353">
        <v>9</v>
      </c>
      <c r="V353">
        <v>9</v>
      </c>
      <c r="W353">
        <v>0</v>
      </c>
      <c r="X353">
        <v>56.355662199999998</v>
      </c>
      <c r="Y353">
        <v>61.560040199999996</v>
      </c>
      <c r="Z353">
        <v>17.173154499999999</v>
      </c>
      <c r="AA353">
        <v>2</v>
      </c>
      <c r="AB353">
        <v>0</v>
      </c>
      <c r="AC353" t="s">
        <v>170</v>
      </c>
      <c r="AD353">
        <v>9</v>
      </c>
      <c r="AE353" t="s">
        <v>1412</v>
      </c>
      <c r="AF353">
        <v>10000000</v>
      </c>
      <c r="AG353" t="s">
        <v>310</v>
      </c>
      <c r="AH353">
        <v>250.65</v>
      </c>
      <c r="AI353">
        <v>0</v>
      </c>
    </row>
    <row r="354" spans="1:35" x14ac:dyDescent="0.3">
      <c r="A354">
        <v>3622</v>
      </c>
      <c r="B354" t="s">
        <v>365</v>
      </c>
      <c r="C354">
        <v>65</v>
      </c>
      <c r="D354" s="3">
        <v>45374.419906215277</v>
      </c>
      <c r="E354" t="s">
        <v>316</v>
      </c>
      <c r="F354" t="s">
        <v>317</v>
      </c>
      <c r="G354">
        <v>1</v>
      </c>
      <c r="H354" t="s">
        <v>310</v>
      </c>
      <c r="I354">
        <v>0</v>
      </c>
      <c r="J354">
        <v>0</v>
      </c>
      <c r="K354">
        <v>0</v>
      </c>
      <c r="L354" t="s">
        <v>310</v>
      </c>
      <c r="M354" t="s">
        <v>310</v>
      </c>
      <c r="N354">
        <v>0</v>
      </c>
      <c r="O354" t="s">
        <v>319</v>
      </c>
      <c r="P354" t="s">
        <v>240</v>
      </c>
      <c r="Q354" t="s">
        <v>1399</v>
      </c>
      <c r="R354" t="s">
        <v>1404</v>
      </c>
      <c r="S354" t="s">
        <v>322</v>
      </c>
      <c r="T354" t="s">
        <v>105</v>
      </c>
      <c r="U354">
        <v>9</v>
      </c>
      <c r="V354">
        <v>9</v>
      </c>
      <c r="W354">
        <v>3.0302259</v>
      </c>
      <c r="X354">
        <v>43.4885886</v>
      </c>
      <c r="Y354">
        <v>19.4301545</v>
      </c>
      <c r="Z354">
        <v>69.638155699999999</v>
      </c>
      <c r="AA354">
        <v>0</v>
      </c>
      <c r="AB354">
        <v>1</v>
      </c>
      <c r="AC354" t="s">
        <v>174</v>
      </c>
      <c r="AD354">
        <v>0</v>
      </c>
      <c r="AE354" t="s">
        <v>1396</v>
      </c>
      <c r="AF354">
        <v>90000000</v>
      </c>
      <c r="AG354" t="s">
        <v>310</v>
      </c>
      <c r="AH354">
        <v>3171.65</v>
      </c>
      <c r="AI354">
        <v>0</v>
      </c>
    </row>
    <row r="355" spans="1:35" x14ac:dyDescent="0.3">
      <c r="A355">
        <v>3624</v>
      </c>
      <c r="B355" t="s">
        <v>1292</v>
      </c>
      <c r="C355">
        <v>65</v>
      </c>
      <c r="D355" s="3">
        <v>45374.419906365743</v>
      </c>
      <c r="E355" t="s">
        <v>316</v>
      </c>
      <c r="F355" t="s">
        <v>317</v>
      </c>
      <c r="G355">
        <v>0</v>
      </c>
      <c r="H355" t="s">
        <v>310</v>
      </c>
      <c r="I355">
        <v>0</v>
      </c>
      <c r="J355">
        <v>0</v>
      </c>
      <c r="K355">
        <v>0</v>
      </c>
      <c r="L355" t="s">
        <v>310</v>
      </c>
      <c r="M355" t="s">
        <v>310</v>
      </c>
      <c r="N355">
        <v>0</v>
      </c>
      <c r="O355" t="s">
        <v>1389</v>
      </c>
      <c r="P355" t="s">
        <v>1401</v>
      </c>
      <c r="Q355" t="s">
        <v>1400</v>
      </c>
      <c r="R355" t="s">
        <v>1404</v>
      </c>
      <c r="S355" t="s">
        <v>1411</v>
      </c>
      <c r="T355" t="s">
        <v>105</v>
      </c>
      <c r="U355">
        <v>9</v>
      </c>
      <c r="V355">
        <v>9</v>
      </c>
      <c r="W355">
        <v>0</v>
      </c>
      <c r="X355">
        <v>0</v>
      </c>
      <c r="Y355">
        <v>3.9095844</v>
      </c>
      <c r="Z355">
        <v>132.3052879</v>
      </c>
      <c r="AA355">
        <v>3</v>
      </c>
      <c r="AB355">
        <v>0</v>
      </c>
      <c r="AC355" t="s">
        <v>170</v>
      </c>
      <c r="AD355">
        <v>9</v>
      </c>
      <c r="AE355" t="s">
        <v>1413</v>
      </c>
      <c r="AF355">
        <v>0</v>
      </c>
      <c r="AG355" t="s">
        <v>310</v>
      </c>
      <c r="AH355">
        <v>7030.65</v>
      </c>
      <c r="AI355">
        <v>0</v>
      </c>
    </row>
    <row r="356" spans="1:35" x14ac:dyDescent="0.3">
      <c r="A356">
        <v>3625</v>
      </c>
      <c r="B356" t="s">
        <v>1310</v>
      </c>
      <c r="C356">
        <v>65</v>
      </c>
      <c r="D356" s="3">
        <v>45374.4199065625</v>
      </c>
      <c r="E356" t="s">
        <v>316</v>
      </c>
      <c r="F356" t="s">
        <v>317</v>
      </c>
      <c r="G356">
        <v>1</v>
      </c>
      <c r="H356" t="s">
        <v>310</v>
      </c>
      <c r="I356">
        <v>0</v>
      </c>
      <c r="J356">
        <v>0</v>
      </c>
      <c r="K356">
        <v>0</v>
      </c>
      <c r="L356" t="s">
        <v>310</v>
      </c>
      <c r="M356" t="s">
        <v>310</v>
      </c>
      <c r="N356">
        <v>0</v>
      </c>
      <c r="O356" t="s">
        <v>1395</v>
      </c>
      <c r="P356" t="s">
        <v>101</v>
      </c>
      <c r="Q356" t="s">
        <v>1399</v>
      </c>
      <c r="R356" t="s">
        <v>1404</v>
      </c>
      <c r="S356" t="s">
        <v>322</v>
      </c>
      <c r="T356" t="s">
        <v>105</v>
      </c>
      <c r="U356">
        <v>9</v>
      </c>
      <c r="V356">
        <v>9</v>
      </c>
      <c r="W356">
        <v>0.17262819999999998</v>
      </c>
      <c r="X356">
        <v>34.529524599999995</v>
      </c>
      <c r="Y356">
        <v>22.4331827</v>
      </c>
      <c r="Z356">
        <v>77.889682199999996</v>
      </c>
      <c r="AA356">
        <v>0</v>
      </c>
      <c r="AB356">
        <v>1</v>
      </c>
      <c r="AC356" t="s">
        <v>174</v>
      </c>
      <c r="AD356">
        <v>0</v>
      </c>
      <c r="AE356" t="s">
        <v>1414</v>
      </c>
      <c r="AF356">
        <v>110000000</v>
      </c>
      <c r="AG356" t="s">
        <v>310</v>
      </c>
      <c r="AH356">
        <v>6621.65</v>
      </c>
      <c r="AI356">
        <v>0</v>
      </c>
    </row>
    <row r="357" spans="1:35" x14ac:dyDescent="0.3">
      <c r="A357">
        <v>3670</v>
      </c>
      <c r="B357" t="s">
        <v>368</v>
      </c>
      <c r="C357">
        <v>66</v>
      </c>
      <c r="D357" s="3">
        <v>45374.426114467591</v>
      </c>
      <c r="E357" t="s">
        <v>316</v>
      </c>
      <c r="F357" t="s">
        <v>317</v>
      </c>
      <c r="G357">
        <v>0</v>
      </c>
      <c r="H357" t="s">
        <v>310</v>
      </c>
      <c r="I357">
        <v>0</v>
      </c>
      <c r="J357">
        <v>0</v>
      </c>
      <c r="K357">
        <v>0</v>
      </c>
      <c r="L357" t="s">
        <v>310</v>
      </c>
      <c r="M357" t="s">
        <v>310</v>
      </c>
      <c r="N357">
        <v>0</v>
      </c>
      <c r="O357" t="s">
        <v>1391</v>
      </c>
      <c r="P357" t="s">
        <v>1401</v>
      </c>
      <c r="Q357" t="s">
        <v>1399</v>
      </c>
      <c r="R357" t="s">
        <v>1405</v>
      </c>
      <c r="S357" t="s">
        <v>202</v>
      </c>
      <c r="T357" t="s">
        <v>1406</v>
      </c>
      <c r="U357">
        <v>0</v>
      </c>
      <c r="V357">
        <v>0</v>
      </c>
      <c r="W357">
        <v>12.5484589</v>
      </c>
      <c r="X357">
        <v>0</v>
      </c>
      <c r="Y357">
        <v>21.924125799999999</v>
      </c>
      <c r="Z357">
        <v>94.4726699</v>
      </c>
      <c r="AA357">
        <v>0</v>
      </c>
      <c r="AB357">
        <v>2</v>
      </c>
      <c r="AC357" t="s">
        <v>174</v>
      </c>
      <c r="AD357">
        <v>0</v>
      </c>
      <c r="AE357" t="s">
        <v>1390</v>
      </c>
      <c r="AF357">
        <v>40000000</v>
      </c>
      <c r="AG357" t="s">
        <v>310</v>
      </c>
      <c r="AH357">
        <v>6401.66</v>
      </c>
      <c r="AI357">
        <v>0</v>
      </c>
    </row>
    <row r="358" spans="1:35" x14ac:dyDescent="0.3">
      <c r="A358">
        <v>3669</v>
      </c>
      <c r="B358" t="s">
        <v>1301</v>
      </c>
      <c r="C358">
        <v>66</v>
      </c>
      <c r="D358" s="3">
        <v>45374.426114467591</v>
      </c>
      <c r="E358" t="s">
        <v>316</v>
      </c>
      <c r="F358" t="s">
        <v>317</v>
      </c>
      <c r="G358">
        <v>0</v>
      </c>
      <c r="H358" t="s">
        <v>310</v>
      </c>
      <c r="I358">
        <v>0</v>
      </c>
      <c r="J358">
        <v>0</v>
      </c>
      <c r="K358">
        <v>0</v>
      </c>
      <c r="L358" t="s">
        <v>310</v>
      </c>
      <c r="M358" t="s">
        <v>310</v>
      </c>
      <c r="N358">
        <v>0</v>
      </c>
      <c r="O358" t="s">
        <v>311</v>
      </c>
      <c r="P358" t="s">
        <v>320</v>
      </c>
      <c r="Q358" t="s">
        <v>1400</v>
      </c>
      <c r="R358" t="s">
        <v>1404</v>
      </c>
      <c r="S358" t="s">
        <v>1411</v>
      </c>
      <c r="T358" t="s">
        <v>105</v>
      </c>
      <c r="U358">
        <v>9</v>
      </c>
      <c r="V358">
        <v>9</v>
      </c>
      <c r="W358">
        <v>0</v>
      </c>
      <c r="X358">
        <v>0</v>
      </c>
      <c r="Y358">
        <v>26.192103899999999</v>
      </c>
      <c r="Z358">
        <v>107.71223169999999</v>
      </c>
      <c r="AA358">
        <v>3</v>
      </c>
      <c r="AB358">
        <v>0</v>
      </c>
      <c r="AC358" t="s">
        <v>170</v>
      </c>
      <c r="AD358">
        <v>9</v>
      </c>
      <c r="AE358" t="s">
        <v>1388</v>
      </c>
      <c r="AF358">
        <v>0</v>
      </c>
      <c r="AG358" t="s">
        <v>310</v>
      </c>
      <c r="AH358">
        <v>7031.66</v>
      </c>
      <c r="AI358">
        <v>0</v>
      </c>
    </row>
    <row r="359" spans="1:35" x14ac:dyDescent="0.3">
      <c r="A359">
        <v>3671</v>
      </c>
      <c r="B359" t="s">
        <v>1278</v>
      </c>
      <c r="C359">
        <v>66</v>
      </c>
      <c r="D359" s="3">
        <v>45374.426114618058</v>
      </c>
      <c r="E359" t="s">
        <v>316</v>
      </c>
      <c r="F359" t="s">
        <v>317</v>
      </c>
      <c r="G359">
        <v>1</v>
      </c>
      <c r="H359" t="s">
        <v>310</v>
      </c>
      <c r="I359">
        <v>0</v>
      </c>
      <c r="J359">
        <v>0</v>
      </c>
      <c r="K359">
        <v>0</v>
      </c>
      <c r="L359" t="s">
        <v>310</v>
      </c>
      <c r="M359" t="s">
        <v>310</v>
      </c>
      <c r="N359">
        <v>0</v>
      </c>
      <c r="O359" t="s">
        <v>319</v>
      </c>
      <c r="P359" t="s">
        <v>240</v>
      </c>
      <c r="Q359" t="s">
        <v>1400</v>
      </c>
      <c r="R359" t="s">
        <v>1404</v>
      </c>
      <c r="S359" t="s">
        <v>322</v>
      </c>
      <c r="T359" t="s">
        <v>105</v>
      </c>
      <c r="U359">
        <v>9</v>
      </c>
      <c r="V359">
        <v>9</v>
      </c>
      <c r="W359">
        <v>9.6098976</v>
      </c>
      <c r="X359">
        <v>0.37623429999999997</v>
      </c>
      <c r="Y359">
        <v>36.755859699999995</v>
      </c>
      <c r="Z359">
        <v>76.510609299999999</v>
      </c>
      <c r="AA359">
        <v>0</v>
      </c>
      <c r="AB359">
        <v>0</v>
      </c>
      <c r="AC359" t="s">
        <v>173</v>
      </c>
      <c r="AD359">
        <v>9</v>
      </c>
      <c r="AE359" t="s">
        <v>1396</v>
      </c>
      <c r="AF359">
        <v>70000000</v>
      </c>
      <c r="AG359" t="s">
        <v>310</v>
      </c>
      <c r="AH359">
        <v>3951.66</v>
      </c>
      <c r="AI359">
        <v>0</v>
      </c>
    </row>
    <row r="360" spans="1:35" x14ac:dyDescent="0.3">
      <c r="A360">
        <v>3673</v>
      </c>
      <c r="B360" t="s">
        <v>1311</v>
      </c>
      <c r="C360">
        <v>66</v>
      </c>
      <c r="D360" s="3">
        <v>45374.426114814814</v>
      </c>
      <c r="E360" t="s">
        <v>316</v>
      </c>
      <c r="F360" t="s">
        <v>317</v>
      </c>
      <c r="G360">
        <v>1</v>
      </c>
      <c r="H360" t="s">
        <v>310</v>
      </c>
      <c r="I360">
        <v>0</v>
      </c>
      <c r="J360">
        <v>0</v>
      </c>
      <c r="K360">
        <v>0</v>
      </c>
      <c r="L360" t="s">
        <v>310</v>
      </c>
      <c r="M360" t="s">
        <v>310</v>
      </c>
      <c r="N360">
        <v>0</v>
      </c>
      <c r="O360" t="s">
        <v>1389</v>
      </c>
      <c r="P360" t="s">
        <v>320</v>
      </c>
      <c r="Q360" t="s">
        <v>1400</v>
      </c>
      <c r="R360" t="s">
        <v>1404</v>
      </c>
      <c r="S360" t="s">
        <v>1411</v>
      </c>
      <c r="T360" t="s">
        <v>105</v>
      </c>
      <c r="U360">
        <v>9</v>
      </c>
      <c r="V360">
        <v>9</v>
      </c>
      <c r="W360">
        <v>0</v>
      </c>
      <c r="X360">
        <v>72.9605806</v>
      </c>
      <c r="Y360">
        <v>38.157578600000001</v>
      </c>
      <c r="Z360">
        <v>29.047408999999998</v>
      </c>
      <c r="AA360">
        <v>3</v>
      </c>
      <c r="AB360">
        <v>0</v>
      </c>
      <c r="AC360" t="s">
        <v>170</v>
      </c>
      <c r="AD360">
        <v>9</v>
      </c>
      <c r="AE360" t="s">
        <v>1413</v>
      </c>
      <c r="AF360">
        <v>0</v>
      </c>
      <c r="AG360" t="s">
        <v>310</v>
      </c>
      <c r="AH360">
        <v>2234.66</v>
      </c>
      <c r="AI360">
        <v>0</v>
      </c>
    </row>
    <row r="361" spans="1:35" x14ac:dyDescent="0.3">
      <c r="A361">
        <v>3672</v>
      </c>
      <c r="B361" t="s">
        <v>1288</v>
      </c>
      <c r="C361">
        <v>66</v>
      </c>
      <c r="D361" s="3">
        <v>45374.426114814814</v>
      </c>
      <c r="E361" t="s">
        <v>316</v>
      </c>
      <c r="F361" t="s">
        <v>317</v>
      </c>
      <c r="G361">
        <v>1</v>
      </c>
      <c r="H361" t="s">
        <v>310</v>
      </c>
      <c r="I361">
        <v>0</v>
      </c>
      <c r="J361">
        <v>0</v>
      </c>
      <c r="K361">
        <v>0</v>
      </c>
      <c r="L361" t="s">
        <v>310</v>
      </c>
      <c r="M361" t="s">
        <v>310</v>
      </c>
      <c r="N361">
        <v>0</v>
      </c>
      <c r="O361" t="s">
        <v>1393</v>
      </c>
      <c r="P361" t="s">
        <v>1401</v>
      </c>
      <c r="Q361" t="s">
        <v>1399</v>
      </c>
      <c r="R361" t="s">
        <v>1404</v>
      </c>
      <c r="S361" t="s">
        <v>322</v>
      </c>
      <c r="T361" t="s">
        <v>105</v>
      </c>
      <c r="U361">
        <v>9</v>
      </c>
      <c r="V361">
        <v>9</v>
      </c>
      <c r="W361">
        <v>8.6130166999999993</v>
      </c>
      <c r="X361">
        <v>15.5193023</v>
      </c>
      <c r="Y361">
        <v>12.2315434</v>
      </c>
      <c r="Z361">
        <v>101.03613249999999</v>
      </c>
      <c r="AA361">
        <v>0</v>
      </c>
      <c r="AB361">
        <v>1</v>
      </c>
      <c r="AC361" t="s">
        <v>173</v>
      </c>
      <c r="AD361">
        <v>0</v>
      </c>
      <c r="AE361" t="s">
        <v>1412</v>
      </c>
      <c r="AF361">
        <v>80000000</v>
      </c>
      <c r="AG361" t="s">
        <v>310</v>
      </c>
      <c r="AH361">
        <v>3181.66</v>
      </c>
      <c r="AI361">
        <v>0</v>
      </c>
    </row>
    <row r="362" spans="1:35" x14ac:dyDescent="0.3">
      <c r="A362">
        <v>3674</v>
      </c>
      <c r="B362" t="s">
        <v>1294</v>
      </c>
      <c r="C362">
        <v>66</v>
      </c>
      <c r="D362" s="3">
        <v>45374.426115011571</v>
      </c>
      <c r="E362" t="s">
        <v>316</v>
      </c>
      <c r="F362" t="s">
        <v>317</v>
      </c>
      <c r="G362">
        <v>1</v>
      </c>
      <c r="H362" t="s">
        <v>310</v>
      </c>
      <c r="I362">
        <v>0</v>
      </c>
      <c r="J362">
        <v>0</v>
      </c>
      <c r="K362">
        <v>0</v>
      </c>
      <c r="L362" t="s">
        <v>310</v>
      </c>
      <c r="M362" t="s">
        <v>310</v>
      </c>
      <c r="N362">
        <v>0</v>
      </c>
      <c r="O362" t="s">
        <v>1395</v>
      </c>
      <c r="P362" t="s">
        <v>101</v>
      </c>
      <c r="Q362" t="s">
        <v>1400</v>
      </c>
      <c r="R362" t="s">
        <v>1404</v>
      </c>
      <c r="S362" t="s">
        <v>1411</v>
      </c>
      <c r="T362" t="s">
        <v>105</v>
      </c>
      <c r="U362">
        <v>9</v>
      </c>
      <c r="V362">
        <v>9</v>
      </c>
      <c r="W362">
        <v>0</v>
      </c>
      <c r="X362">
        <v>27.314828499999997</v>
      </c>
      <c r="Y362">
        <v>46.050087900000001</v>
      </c>
      <c r="Z362">
        <v>60.973220399999995</v>
      </c>
      <c r="AA362">
        <v>0</v>
      </c>
      <c r="AB362">
        <v>2</v>
      </c>
      <c r="AC362" t="s">
        <v>174</v>
      </c>
      <c r="AD362">
        <v>9</v>
      </c>
      <c r="AE362" t="s">
        <v>1414</v>
      </c>
      <c r="AF362">
        <v>40100000</v>
      </c>
      <c r="AG362" t="s">
        <v>310</v>
      </c>
      <c r="AH362">
        <v>9076.66</v>
      </c>
      <c r="AI362">
        <v>0</v>
      </c>
    </row>
    <row r="363" spans="1:35" x14ac:dyDescent="0.3">
      <c r="A363">
        <v>3722</v>
      </c>
      <c r="B363" t="s">
        <v>1283</v>
      </c>
      <c r="C363">
        <v>67</v>
      </c>
      <c r="D363" s="3">
        <v>45374.431231863426</v>
      </c>
      <c r="E363" t="s">
        <v>316</v>
      </c>
      <c r="F363" t="s">
        <v>317</v>
      </c>
      <c r="G363">
        <v>0</v>
      </c>
      <c r="H363" t="s">
        <v>310</v>
      </c>
      <c r="I363">
        <v>0</v>
      </c>
      <c r="J363">
        <v>0</v>
      </c>
      <c r="K363">
        <v>0</v>
      </c>
      <c r="L363" t="s">
        <v>310</v>
      </c>
      <c r="M363" t="s">
        <v>310</v>
      </c>
      <c r="N363">
        <v>0</v>
      </c>
      <c r="O363" t="s">
        <v>311</v>
      </c>
      <c r="P363" t="s">
        <v>320</v>
      </c>
      <c r="Q363" t="s">
        <v>1400</v>
      </c>
      <c r="R363" t="s">
        <v>1404</v>
      </c>
      <c r="S363" t="s">
        <v>322</v>
      </c>
      <c r="T363" t="s">
        <v>105</v>
      </c>
      <c r="U363">
        <v>9</v>
      </c>
      <c r="V363">
        <v>9</v>
      </c>
      <c r="W363">
        <v>2.7698651000000001</v>
      </c>
      <c r="X363">
        <v>67.459558399999992</v>
      </c>
      <c r="Y363">
        <v>14.6231215</v>
      </c>
      <c r="Z363">
        <v>46.449013699999995</v>
      </c>
      <c r="AA363">
        <v>3</v>
      </c>
      <c r="AB363">
        <v>0</v>
      </c>
      <c r="AC363" t="s">
        <v>170</v>
      </c>
      <c r="AD363">
        <v>9</v>
      </c>
      <c r="AE363" t="s">
        <v>1413</v>
      </c>
      <c r="AF363">
        <v>0</v>
      </c>
      <c r="AG363" t="s">
        <v>310</v>
      </c>
      <c r="AH363">
        <v>1601.67</v>
      </c>
      <c r="AI363">
        <v>0</v>
      </c>
    </row>
    <row r="364" spans="1:35" x14ac:dyDescent="0.3">
      <c r="A364">
        <v>3723</v>
      </c>
      <c r="B364" t="s">
        <v>1289</v>
      </c>
      <c r="C364">
        <v>67</v>
      </c>
      <c r="D364" s="3">
        <v>45374.431232060182</v>
      </c>
      <c r="E364" t="s">
        <v>316</v>
      </c>
      <c r="F364" t="s">
        <v>317</v>
      </c>
      <c r="G364">
        <v>0</v>
      </c>
      <c r="H364" t="s">
        <v>310</v>
      </c>
      <c r="I364">
        <v>0</v>
      </c>
      <c r="J364">
        <v>0</v>
      </c>
      <c r="K364">
        <v>0</v>
      </c>
      <c r="L364" t="s">
        <v>310</v>
      </c>
      <c r="M364" t="s">
        <v>310</v>
      </c>
      <c r="N364">
        <v>0</v>
      </c>
      <c r="O364" t="s">
        <v>1391</v>
      </c>
      <c r="P364" t="s">
        <v>101</v>
      </c>
      <c r="Q364" t="s">
        <v>1399</v>
      </c>
      <c r="R364" t="s">
        <v>1404</v>
      </c>
      <c r="S364" t="s">
        <v>322</v>
      </c>
      <c r="T364" t="s">
        <v>105</v>
      </c>
      <c r="U364">
        <v>9</v>
      </c>
      <c r="V364">
        <v>9</v>
      </c>
      <c r="W364">
        <v>8.8266134999999988</v>
      </c>
      <c r="X364">
        <v>0</v>
      </c>
      <c r="Y364">
        <v>39.759867899999996</v>
      </c>
      <c r="Z364">
        <v>87.838827699999996</v>
      </c>
      <c r="AA364">
        <v>3</v>
      </c>
      <c r="AB364">
        <v>0</v>
      </c>
      <c r="AC364" t="s">
        <v>170</v>
      </c>
      <c r="AD364">
        <v>0</v>
      </c>
      <c r="AE364" t="s">
        <v>1390</v>
      </c>
      <c r="AF364">
        <v>0</v>
      </c>
      <c r="AG364" t="s">
        <v>310</v>
      </c>
      <c r="AH364">
        <v>6648.67</v>
      </c>
      <c r="AI364">
        <v>0</v>
      </c>
    </row>
    <row r="365" spans="1:35" x14ac:dyDescent="0.3">
      <c r="A365">
        <v>3724</v>
      </c>
      <c r="B365" t="s">
        <v>1308</v>
      </c>
      <c r="C365">
        <v>67</v>
      </c>
      <c r="D365" s="3">
        <v>45374.431232256946</v>
      </c>
      <c r="E365" t="s">
        <v>316</v>
      </c>
      <c r="F365" t="s">
        <v>317</v>
      </c>
      <c r="G365">
        <v>1</v>
      </c>
      <c r="H365" t="s">
        <v>310</v>
      </c>
      <c r="I365">
        <v>0</v>
      </c>
      <c r="J365">
        <v>0</v>
      </c>
      <c r="K365">
        <v>0</v>
      </c>
      <c r="L365" t="s">
        <v>310</v>
      </c>
      <c r="M365" t="s">
        <v>310</v>
      </c>
      <c r="N365">
        <v>0</v>
      </c>
      <c r="O365" t="s">
        <v>319</v>
      </c>
      <c r="P365" t="s">
        <v>1401</v>
      </c>
      <c r="Q365" t="s">
        <v>1400</v>
      </c>
      <c r="R365" t="s">
        <v>1404</v>
      </c>
      <c r="S365" t="s">
        <v>322</v>
      </c>
      <c r="T365" t="s">
        <v>105</v>
      </c>
      <c r="U365">
        <v>9</v>
      </c>
      <c r="V365">
        <v>9</v>
      </c>
      <c r="W365">
        <v>5.7224497999999997</v>
      </c>
      <c r="X365">
        <v>29.412867599999998</v>
      </c>
      <c r="Y365">
        <v>30.949431699999998</v>
      </c>
      <c r="Z365">
        <v>69.417230799999999</v>
      </c>
      <c r="AA365">
        <v>0</v>
      </c>
      <c r="AB365">
        <v>2</v>
      </c>
      <c r="AC365" t="s">
        <v>174</v>
      </c>
      <c r="AD365">
        <v>9</v>
      </c>
      <c r="AE365" t="s">
        <v>1396</v>
      </c>
      <c r="AF365">
        <v>120000000</v>
      </c>
      <c r="AG365" t="s">
        <v>310</v>
      </c>
      <c r="AH365">
        <v>3799.67</v>
      </c>
      <c r="AI365">
        <v>0</v>
      </c>
    </row>
    <row r="366" spans="1:35" x14ac:dyDescent="0.3">
      <c r="A366">
        <v>3725</v>
      </c>
      <c r="B366" t="s">
        <v>1318</v>
      </c>
      <c r="C366">
        <v>67</v>
      </c>
      <c r="D366" s="3">
        <v>45374.431232256946</v>
      </c>
      <c r="E366" t="s">
        <v>316</v>
      </c>
      <c r="F366" t="s">
        <v>317</v>
      </c>
      <c r="G366">
        <v>0</v>
      </c>
      <c r="H366" t="s">
        <v>310</v>
      </c>
      <c r="I366">
        <v>0</v>
      </c>
      <c r="J366">
        <v>0</v>
      </c>
      <c r="K366">
        <v>0</v>
      </c>
      <c r="L366" t="s">
        <v>310</v>
      </c>
      <c r="M366" t="s">
        <v>310</v>
      </c>
      <c r="N366">
        <v>0</v>
      </c>
      <c r="O366" t="s">
        <v>1393</v>
      </c>
      <c r="P366" t="s">
        <v>101</v>
      </c>
      <c r="Q366" t="s">
        <v>1400</v>
      </c>
      <c r="R366" t="s">
        <v>1404</v>
      </c>
      <c r="S366" t="s">
        <v>322</v>
      </c>
      <c r="T366" t="s">
        <v>105</v>
      </c>
      <c r="U366">
        <v>9</v>
      </c>
      <c r="V366">
        <v>9</v>
      </c>
      <c r="W366">
        <v>6.3567428000000001</v>
      </c>
      <c r="X366">
        <v>25.631568999999999</v>
      </c>
      <c r="Y366">
        <v>23.817588199999999</v>
      </c>
      <c r="Z366">
        <v>79.619253999999998</v>
      </c>
      <c r="AA366">
        <v>0</v>
      </c>
      <c r="AB366">
        <v>0</v>
      </c>
      <c r="AC366" t="s">
        <v>173</v>
      </c>
      <c r="AD366">
        <v>9</v>
      </c>
      <c r="AE366" t="s">
        <v>1412</v>
      </c>
      <c r="AF366">
        <v>90100000</v>
      </c>
      <c r="AG366" t="s">
        <v>310</v>
      </c>
      <c r="AH366">
        <v>7709.67</v>
      </c>
      <c r="AI366">
        <v>0</v>
      </c>
    </row>
    <row r="367" spans="1:35" x14ac:dyDescent="0.3">
      <c r="A367">
        <v>3726</v>
      </c>
      <c r="B367" t="s">
        <v>361</v>
      </c>
      <c r="C367">
        <v>67</v>
      </c>
      <c r="D367" s="3">
        <v>45374.431232407405</v>
      </c>
      <c r="E367" t="s">
        <v>316</v>
      </c>
      <c r="F367" t="s">
        <v>317</v>
      </c>
      <c r="G367">
        <v>1</v>
      </c>
      <c r="H367" t="s">
        <v>310</v>
      </c>
      <c r="I367">
        <v>0</v>
      </c>
      <c r="J367">
        <v>0</v>
      </c>
      <c r="K367">
        <v>0</v>
      </c>
      <c r="L367" t="s">
        <v>310</v>
      </c>
      <c r="M367" t="s">
        <v>310</v>
      </c>
      <c r="N367">
        <v>0</v>
      </c>
      <c r="O367" t="s">
        <v>1389</v>
      </c>
      <c r="P367" t="s">
        <v>1401</v>
      </c>
      <c r="Q367" t="s">
        <v>1399</v>
      </c>
      <c r="R367" t="s">
        <v>321</v>
      </c>
      <c r="S367" t="s">
        <v>1411</v>
      </c>
      <c r="T367" t="s">
        <v>105</v>
      </c>
      <c r="U367">
        <v>9</v>
      </c>
      <c r="V367">
        <v>9</v>
      </c>
      <c r="W367">
        <v>0</v>
      </c>
      <c r="X367">
        <v>63.900251599999997</v>
      </c>
      <c r="Y367">
        <v>32.199458999999997</v>
      </c>
      <c r="Z367">
        <v>39.400950199999997</v>
      </c>
      <c r="AA367">
        <v>0</v>
      </c>
      <c r="AB367">
        <v>3</v>
      </c>
      <c r="AC367" t="s">
        <v>174</v>
      </c>
      <c r="AD367">
        <v>0</v>
      </c>
      <c r="AE367" t="s">
        <v>1388</v>
      </c>
      <c r="AF367">
        <v>60001000</v>
      </c>
      <c r="AG367" t="s">
        <v>310</v>
      </c>
      <c r="AH367">
        <v>20.67</v>
      </c>
      <c r="AI367">
        <v>0</v>
      </c>
    </row>
    <row r="368" spans="1:35" x14ac:dyDescent="0.3">
      <c r="A368">
        <v>3727</v>
      </c>
      <c r="B368" t="s">
        <v>1296</v>
      </c>
      <c r="C368">
        <v>67</v>
      </c>
      <c r="D368" s="3">
        <v>45374.431232407405</v>
      </c>
      <c r="E368" t="s">
        <v>316</v>
      </c>
      <c r="F368" t="s">
        <v>317</v>
      </c>
      <c r="G368">
        <v>1</v>
      </c>
      <c r="H368" t="s">
        <v>310</v>
      </c>
      <c r="I368">
        <v>0</v>
      </c>
      <c r="J368">
        <v>0</v>
      </c>
      <c r="K368">
        <v>0</v>
      </c>
      <c r="L368" t="s">
        <v>310</v>
      </c>
      <c r="M368" t="s">
        <v>310</v>
      </c>
      <c r="N368">
        <v>0</v>
      </c>
      <c r="O368" t="s">
        <v>1395</v>
      </c>
      <c r="P368" t="s">
        <v>240</v>
      </c>
      <c r="Q368" t="s">
        <v>1400</v>
      </c>
      <c r="R368" t="s">
        <v>1404</v>
      </c>
      <c r="S368" t="s">
        <v>1411</v>
      </c>
      <c r="T368" t="s">
        <v>105</v>
      </c>
      <c r="U368">
        <v>9</v>
      </c>
      <c r="V368">
        <v>9</v>
      </c>
      <c r="W368">
        <v>0</v>
      </c>
      <c r="X368">
        <v>2.1509719999999999</v>
      </c>
      <c r="Y368">
        <v>52.105562499999998</v>
      </c>
      <c r="Z368">
        <v>78.114127600000003</v>
      </c>
      <c r="AA368">
        <v>2</v>
      </c>
      <c r="AB368">
        <v>1</v>
      </c>
      <c r="AC368" t="s">
        <v>170</v>
      </c>
      <c r="AD368">
        <v>9</v>
      </c>
      <c r="AE368" t="s">
        <v>1414</v>
      </c>
      <c r="AF368">
        <v>0</v>
      </c>
      <c r="AG368" t="s">
        <v>310</v>
      </c>
      <c r="AH368">
        <v>3003.67</v>
      </c>
      <c r="AI368">
        <v>0</v>
      </c>
    </row>
    <row r="369" spans="1:35" x14ac:dyDescent="0.3">
      <c r="A369">
        <v>3800</v>
      </c>
      <c r="B369" t="s">
        <v>364</v>
      </c>
      <c r="C369">
        <v>68</v>
      </c>
      <c r="D369" s="3">
        <v>45374.439488310185</v>
      </c>
      <c r="E369" t="s">
        <v>316</v>
      </c>
      <c r="F369" t="s">
        <v>317</v>
      </c>
      <c r="G369">
        <v>1</v>
      </c>
      <c r="H369" t="s">
        <v>310</v>
      </c>
      <c r="I369">
        <v>0</v>
      </c>
      <c r="J369">
        <v>0</v>
      </c>
      <c r="K369">
        <v>0</v>
      </c>
      <c r="L369" t="s">
        <v>310</v>
      </c>
      <c r="M369" t="s">
        <v>310</v>
      </c>
      <c r="N369">
        <v>0</v>
      </c>
      <c r="O369" t="s">
        <v>311</v>
      </c>
      <c r="P369" t="s">
        <v>1401</v>
      </c>
      <c r="Q369" t="s">
        <v>1400</v>
      </c>
      <c r="R369" t="s">
        <v>1405</v>
      </c>
      <c r="S369" t="s">
        <v>202</v>
      </c>
      <c r="T369" t="s">
        <v>1407</v>
      </c>
      <c r="U369">
        <v>0</v>
      </c>
      <c r="V369">
        <v>0</v>
      </c>
      <c r="W369">
        <v>15.362407599999999</v>
      </c>
      <c r="X369">
        <v>34.174449799999998</v>
      </c>
      <c r="Y369">
        <v>18.4261731</v>
      </c>
      <c r="Z369">
        <v>62.813494499999997</v>
      </c>
      <c r="AA369">
        <v>0</v>
      </c>
      <c r="AB369">
        <v>1</v>
      </c>
      <c r="AC369" t="s">
        <v>174</v>
      </c>
      <c r="AD369">
        <v>9</v>
      </c>
      <c r="AE369" t="s">
        <v>1412</v>
      </c>
      <c r="AF369">
        <v>70000000</v>
      </c>
      <c r="AG369" t="s">
        <v>310</v>
      </c>
      <c r="AH369">
        <v>2791.68</v>
      </c>
      <c r="AI369">
        <v>0</v>
      </c>
    </row>
    <row r="370" spans="1:35" x14ac:dyDescent="0.3">
      <c r="A370">
        <v>3801</v>
      </c>
      <c r="B370" t="s">
        <v>1275</v>
      </c>
      <c r="C370">
        <v>68</v>
      </c>
      <c r="D370" s="3">
        <v>45374.439488460652</v>
      </c>
      <c r="E370" t="s">
        <v>316</v>
      </c>
      <c r="F370" t="s">
        <v>317</v>
      </c>
      <c r="G370">
        <v>0</v>
      </c>
      <c r="H370" t="s">
        <v>310</v>
      </c>
      <c r="I370">
        <v>0</v>
      </c>
      <c r="J370">
        <v>0</v>
      </c>
      <c r="K370">
        <v>0</v>
      </c>
      <c r="L370" t="s">
        <v>310</v>
      </c>
      <c r="M370" t="s">
        <v>310</v>
      </c>
      <c r="N370">
        <v>0</v>
      </c>
      <c r="O370" t="s">
        <v>1391</v>
      </c>
      <c r="P370" t="s">
        <v>101</v>
      </c>
      <c r="Q370" t="s">
        <v>1400</v>
      </c>
      <c r="R370" t="s">
        <v>1404</v>
      </c>
      <c r="S370" t="s">
        <v>322</v>
      </c>
      <c r="T370" t="s">
        <v>105</v>
      </c>
      <c r="U370">
        <v>9</v>
      </c>
      <c r="V370">
        <v>9</v>
      </c>
      <c r="W370">
        <v>12.4381249</v>
      </c>
      <c r="X370">
        <v>29.948388299999998</v>
      </c>
      <c r="Y370">
        <v>19.7867991</v>
      </c>
      <c r="Z370">
        <v>73.288763799999998</v>
      </c>
      <c r="AA370">
        <v>1</v>
      </c>
      <c r="AB370">
        <v>0</v>
      </c>
      <c r="AC370" t="s">
        <v>174</v>
      </c>
      <c r="AD370">
        <v>9</v>
      </c>
      <c r="AE370" t="s">
        <v>1390</v>
      </c>
      <c r="AF370">
        <v>40000000</v>
      </c>
      <c r="AG370" t="s">
        <v>310</v>
      </c>
      <c r="AH370">
        <v>1880.68</v>
      </c>
      <c r="AI370">
        <v>0</v>
      </c>
    </row>
    <row r="371" spans="1:35" x14ac:dyDescent="0.3">
      <c r="A371">
        <v>3802</v>
      </c>
      <c r="B371" t="s">
        <v>360</v>
      </c>
      <c r="C371">
        <v>68</v>
      </c>
      <c r="D371" s="3">
        <v>45374.439488657408</v>
      </c>
      <c r="E371" t="s">
        <v>316</v>
      </c>
      <c r="F371" t="s">
        <v>317</v>
      </c>
      <c r="G371">
        <v>1</v>
      </c>
      <c r="H371" t="s">
        <v>310</v>
      </c>
      <c r="I371">
        <v>0</v>
      </c>
      <c r="J371">
        <v>0</v>
      </c>
      <c r="K371">
        <v>0</v>
      </c>
      <c r="L371" t="s">
        <v>310</v>
      </c>
      <c r="M371" t="s">
        <v>310</v>
      </c>
      <c r="N371">
        <v>0</v>
      </c>
      <c r="O371" t="s">
        <v>319</v>
      </c>
      <c r="P371" t="s">
        <v>240</v>
      </c>
      <c r="Q371" t="s">
        <v>1399</v>
      </c>
      <c r="R371" t="s">
        <v>1405</v>
      </c>
      <c r="S371" t="s">
        <v>202</v>
      </c>
      <c r="T371" t="s">
        <v>1406</v>
      </c>
      <c r="U371">
        <v>0</v>
      </c>
      <c r="V371">
        <v>0</v>
      </c>
      <c r="W371">
        <v>16.1838379</v>
      </c>
      <c r="X371">
        <v>29.919134499999998</v>
      </c>
      <c r="Y371">
        <v>22.786539099999999</v>
      </c>
      <c r="Z371">
        <v>44.194136999999998</v>
      </c>
      <c r="AA371">
        <v>0</v>
      </c>
      <c r="AB371">
        <v>0</v>
      </c>
      <c r="AC371" t="s">
        <v>174</v>
      </c>
      <c r="AD371">
        <v>0</v>
      </c>
      <c r="AE371" t="s">
        <v>1396</v>
      </c>
      <c r="AF371">
        <v>120003000</v>
      </c>
      <c r="AG371" t="s">
        <v>310</v>
      </c>
      <c r="AH371">
        <v>1796.68</v>
      </c>
      <c r="AI371">
        <v>0</v>
      </c>
    </row>
    <row r="372" spans="1:35" x14ac:dyDescent="0.3">
      <c r="A372">
        <v>3803</v>
      </c>
      <c r="B372" t="s">
        <v>367</v>
      </c>
      <c r="C372">
        <v>68</v>
      </c>
      <c r="D372" s="3">
        <v>45374.439488657408</v>
      </c>
      <c r="E372" t="s">
        <v>316</v>
      </c>
      <c r="F372" t="s">
        <v>317</v>
      </c>
      <c r="G372">
        <v>0</v>
      </c>
      <c r="H372" t="s">
        <v>310</v>
      </c>
      <c r="I372">
        <v>0</v>
      </c>
      <c r="J372">
        <v>0</v>
      </c>
      <c r="K372">
        <v>0</v>
      </c>
      <c r="L372" t="s">
        <v>310</v>
      </c>
      <c r="M372" t="s">
        <v>310</v>
      </c>
      <c r="N372">
        <v>0</v>
      </c>
      <c r="O372" t="s">
        <v>1393</v>
      </c>
      <c r="P372" t="s">
        <v>101</v>
      </c>
      <c r="Q372" t="s">
        <v>1400</v>
      </c>
      <c r="R372" t="s">
        <v>1405</v>
      </c>
      <c r="S372" t="s">
        <v>202</v>
      </c>
      <c r="T372" t="s">
        <v>1409</v>
      </c>
      <c r="U372">
        <v>0</v>
      </c>
      <c r="V372">
        <v>1</v>
      </c>
      <c r="W372">
        <v>1.7018078999999999</v>
      </c>
      <c r="X372">
        <v>0</v>
      </c>
      <c r="Y372">
        <v>66.386357500000003</v>
      </c>
      <c r="Z372">
        <v>66.505557600000003</v>
      </c>
      <c r="AA372">
        <v>0</v>
      </c>
      <c r="AB372">
        <v>0</v>
      </c>
      <c r="AC372" t="s">
        <v>174</v>
      </c>
      <c r="AD372">
        <v>9</v>
      </c>
      <c r="AE372" t="s">
        <v>1413</v>
      </c>
      <c r="AF372">
        <v>40001000</v>
      </c>
      <c r="AG372" t="s">
        <v>310</v>
      </c>
      <c r="AH372">
        <v>5016.68</v>
      </c>
      <c r="AI372">
        <v>0</v>
      </c>
    </row>
    <row r="373" spans="1:35" x14ac:dyDescent="0.3">
      <c r="A373">
        <v>3805</v>
      </c>
      <c r="B373" t="s">
        <v>363</v>
      </c>
      <c r="C373">
        <v>68</v>
      </c>
      <c r="D373" s="3">
        <v>45374.439488854165</v>
      </c>
      <c r="E373" t="s">
        <v>316</v>
      </c>
      <c r="F373" t="s">
        <v>317</v>
      </c>
      <c r="G373">
        <v>1</v>
      </c>
      <c r="H373" t="s">
        <v>310</v>
      </c>
      <c r="I373">
        <v>0</v>
      </c>
      <c r="J373">
        <v>0</v>
      </c>
      <c r="K373">
        <v>0</v>
      </c>
      <c r="L373" t="s">
        <v>310</v>
      </c>
      <c r="M373" t="s">
        <v>310</v>
      </c>
      <c r="N373">
        <v>0</v>
      </c>
      <c r="O373" t="s">
        <v>1395</v>
      </c>
      <c r="P373" t="s">
        <v>240</v>
      </c>
      <c r="Q373" t="s">
        <v>1399</v>
      </c>
      <c r="R373" t="s">
        <v>1405</v>
      </c>
      <c r="S373" t="s">
        <v>202</v>
      </c>
      <c r="T373" t="s">
        <v>1406</v>
      </c>
      <c r="U373">
        <v>0</v>
      </c>
      <c r="V373">
        <v>1</v>
      </c>
      <c r="W373">
        <v>1.7633478</v>
      </c>
      <c r="X373">
        <v>17.532693200000001</v>
      </c>
      <c r="Y373">
        <v>18.161575899999999</v>
      </c>
      <c r="Z373">
        <v>96.005044400000003</v>
      </c>
      <c r="AA373">
        <v>0</v>
      </c>
      <c r="AB373">
        <v>1</v>
      </c>
      <c r="AC373" t="s">
        <v>174</v>
      </c>
      <c r="AD373">
        <v>2</v>
      </c>
      <c r="AE373" t="s">
        <v>1414</v>
      </c>
      <c r="AF373">
        <v>140200000</v>
      </c>
      <c r="AG373" t="s">
        <v>310</v>
      </c>
      <c r="AH373">
        <v>2601.6799999999998</v>
      </c>
      <c r="AI373">
        <v>0</v>
      </c>
    </row>
    <row r="374" spans="1:35" x14ac:dyDescent="0.3">
      <c r="A374">
        <v>3804</v>
      </c>
      <c r="B374" t="s">
        <v>1306</v>
      </c>
      <c r="C374">
        <v>68</v>
      </c>
      <c r="D374" s="3">
        <v>45374.439488854165</v>
      </c>
      <c r="E374" t="s">
        <v>316</v>
      </c>
      <c r="F374" t="s">
        <v>317</v>
      </c>
      <c r="G374">
        <v>1</v>
      </c>
      <c r="H374" t="s">
        <v>310</v>
      </c>
      <c r="I374">
        <v>0</v>
      </c>
      <c r="J374">
        <v>0</v>
      </c>
      <c r="K374">
        <v>0</v>
      </c>
      <c r="L374" t="s">
        <v>310</v>
      </c>
      <c r="M374" t="s">
        <v>310</v>
      </c>
      <c r="N374">
        <v>0</v>
      </c>
      <c r="O374" t="s">
        <v>1389</v>
      </c>
      <c r="P374" t="s">
        <v>320</v>
      </c>
      <c r="Q374" t="s">
        <v>1400</v>
      </c>
      <c r="R374" t="s">
        <v>1405</v>
      </c>
      <c r="S374" t="s">
        <v>202</v>
      </c>
      <c r="T374" t="s">
        <v>1407</v>
      </c>
      <c r="U374">
        <v>0</v>
      </c>
      <c r="V374">
        <v>0</v>
      </c>
      <c r="W374">
        <v>8.3597731</v>
      </c>
      <c r="X374">
        <v>33.160255599999999</v>
      </c>
      <c r="Y374">
        <v>24.433704599999999</v>
      </c>
      <c r="Z374">
        <v>69.433065799999994</v>
      </c>
      <c r="AA374">
        <v>2</v>
      </c>
      <c r="AB374">
        <v>0</v>
      </c>
      <c r="AC374" t="s">
        <v>174</v>
      </c>
      <c r="AD374">
        <v>9</v>
      </c>
      <c r="AE374" t="s">
        <v>1388</v>
      </c>
      <c r="AF374">
        <v>40000000</v>
      </c>
      <c r="AG374" t="s">
        <v>310</v>
      </c>
      <c r="AH374">
        <v>3986.68</v>
      </c>
      <c r="AI374">
        <v>0</v>
      </c>
    </row>
    <row r="375" spans="1:35" x14ac:dyDescent="0.3">
      <c r="A375">
        <v>3874</v>
      </c>
      <c r="B375" t="s">
        <v>370</v>
      </c>
      <c r="C375">
        <v>69</v>
      </c>
      <c r="D375" s="3">
        <v>45374.444611423613</v>
      </c>
      <c r="E375" t="s">
        <v>316</v>
      </c>
      <c r="F375" t="s">
        <v>317</v>
      </c>
      <c r="G375">
        <v>1</v>
      </c>
      <c r="H375" t="s">
        <v>310</v>
      </c>
      <c r="I375">
        <v>0</v>
      </c>
      <c r="J375">
        <v>0</v>
      </c>
      <c r="K375">
        <v>0</v>
      </c>
      <c r="L375" t="s">
        <v>310</v>
      </c>
      <c r="M375" t="s">
        <v>310</v>
      </c>
      <c r="N375">
        <v>0</v>
      </c>
      <c r="O375" t="s">
        <v>311</v>
      </c>
      <c r="P375" t="s">
        <v>101</v>
      </c>
      <c r="Q375" t="s">
        <v>1399</v>
      </c>
      <c r="R375" t="s">
        <v>1404</v>
      </c>
      <c r="S375" t="s">
        <v>1411</v>
      </c>
      <c r="T375" t="s">
        <v>105</v>
      </c>
      <c r="U375">
        <v>9</v>
      </c>
      <c r="V375">
        <v>9</v>
      </c>
      <c r="W375">
        <v>0</v>
      </c>
      <c r="X375">
        <v>56.437924299999999</v>
      </c>
      <c r="Y375">
        <v>20.938907499999999</v>
      </c>
      <c r="Z375">
        <v>58.028312700000001</v>
      </c>
      <c r="AA375">
        <v>0</v>
      </c>
      <c r="AB375">
        <v>1</v>
      </c>
      <c r="AC375" t="s">
        <v>174</v>
      </c>
      <c r="AD375">
        <v>0</v>
      </c>
      <c r="AE375" t="s">
        <v>1412</v>
      </c>
      <c r="AF375">
        <v>90000000</v>
      </c>
      <c r="AG375" t="s">
        <v>310</v>
      </c>
      <c r="AH375">
        <v>6911.69</v>
      </c>
      <c r="AI375">
        <v>0</v>
      </c>
    </row>
    <row r="376" spans="1:35" x14ac:dyDescent="0.3">
      <c r="A376">
        <v>3876</v>
      </c>
      <c r="B376" t="s">
        <v>1291</v>
      </c>
      <c r="C376">
        <v>69</v>
      </c>
      <c r="D376" s="3">
        <v>45374.444611608793</v>
      </c>
      <c r="E376" t="s">
        <v>316</v>
      </c>
      <c r="F376" t="s">
        <v>317</v>
      </c>
      <c r="G376">
        <v>0</v>
      </c>
      <c r="H376" t="s">
        <v>310</v>
      </c>
      <c r="I376">
        <v>0</v>
      </c>
      <c r="J376">
        <v>0</v>
      </c>
      <c r="K376">
        <v>0</v>
      </c>
      <c r="L376" t="s">
        <v>310</v>
      </c>
      <c r="M376" t="s">
        <v>310</v>
      </c>
      <c r="N376">
        <v>0</v>
      </c>
      <c r="O376" t="s">
        <v>319</v>
      </c>
      <c r="P376" t="s">
        <v>240</v>
      </c>
      <c r="Q376" t="s">
        <v>1400</v>
      </c>
      <c r="R376" t="s">
        <v>321</v>
      </c>
      <c r="S376" t="s">
        <v>1411</v>
      </c>
      <c r="T376" t="s">
        <v>105</v>
      </c>
      <c r="U376">
        <v>9</v>
      </c>
      <c r="V376">
        <v>9</v>
      </c>
      <c r="W376">
        <v>0</v>
      </c>
      <c r="X376">
        <v>27.735351399999999</v>
      </c>
      <c r="Y376">
        <v>36.2672113</v>
      </c>
      <c r="Z376">
        <v>71.725360699999996</v>
      </c>
      <c r="AA376">
        <v>0</v>
      </c>
      <c r="AB376">
        <v>0</v>
      </c>
      <c r="AC376" t="s">
        <v>174</v>
      </c>
      <c r="AD376">
        <v>9</v>
      </c>
      <c r="AE376" t="s">
        <v>1396</v>
      </c>
      <c r="AF376">
        <v>130000000</v>
      </c>
      <c r="AG376" t="s">
        <v>310</v>
      </c>
      <c r="AH376">
        <v>1493.69</v>
      </c>
      <c r="AI376">
        <v>0</v>
      </c>
    </row>
    <row r="377" spans="1:35" x14ac:dyDescent="0.3">
      <c r="A377">
        <v>3875</v>
      </c>
      <c r="B377" t="s">
        <v>1300</v>
      </c>
      <c r="C377">
        <v>69</v>
      </c>
      <c r="D377" s="3">
        <v>45374.444611608793</v>
      </c>
      <c r="E377" t="s">
        <v>316</v>
      </c>
      <c r="F377" t="s">
        <v>317</v>
      </c>
      <c r="G377">
        <v>1</v>
      </c>
      <c r="H377" t="s">
        <v>310</v>
      </c>
      <c r="I377">
        <v>0</v>
      </c>
      <c r="J377">
        <v>0</v>
      </c>
      <c r="K377">
        <v>0</v>
      </c>
      <c r="L377" t="s">
        <v>310</v>
      </c>
      <c r="M377" t="s">
        <v>310</v>
      </c>
      <c r="N377">
        <v>0</v>
      </c>
      <c r="O377" t="s">
        <v>1391</v>
      </c>
      <c r="P377" t="s">
        <v>1401</v>
      </c>
      <c r="Q377" t="s">
        <v>1400</v>
      </c>
      <c r="R377" t="s">
        <v>1405</v>
      </c>
      <c r="S377" t="s">
        <v>202</v>
      </c>
      <c r="T377" t="s">
        <v>1407</v>
      </c>
      <c r="U377">
        <v>0</v>
      </c>
      <c r="V377">
        <v>0</v>
      </c>
      <c r="W377">
        <v>11.131641199999999</v>
      </c>
      <c r="X377">
        <v>19.344835099999997</v>
      </c>
      <c r="Y377">
        <v>15.434882399999999</v>
      </c>
      <c r="Z377">
        <v>78.162193000000002</v>
      </c>
      <c r="AA377">
        <v>1</v>
      </c>
      <c r="AB377">
        <v>0</v>
      </c>
      <c r="AC377" t="s">
        <v>174</v>
      </c>
      <c r="AD377">
        <v>9</v>
      </c>
      <c r="AE377" t="s">
        <v>1390</v>
      </c>
      <c r="AF377">
        <v>60000000</v>
      </c>
      <c r="AG377" t="s">
        <v>310</v>
      </c>
      <c r="AH377">
        <v>3044.69</v>
      </c>
      <c r="AI377">
        <v>0</v>
      </c>
    </row>
    <row r="378" spans="1:35" x14ac:dyDescent="0.3">
      <c r="A378">
        <v>3877</v>
      </c>
      <c r="B378" t="s">
        <v>1280</v>
      </c>
      <c r="C378">
        <v>69</v>
      </c>
      <c r="D378" s="3">
        <v>45374.444611770836</v>
      </c>
      <c r="E378" t="s">
        <v>316</v>
      </c>
      <c r="F378" t="s">
        <v>317</v>
      </c>
      <c r="G378">
        <v>0</v>
      </c>
      <c r="H378" t="s">
        <v>310</v>
      </c>
      <c r="I378">
        <v>0</v>
      </c>
      <c r="J378">
        <v>0</v>
      </c>
      <c r="K378">
        <v>0</v>
      </c>
      <c r="L378" t="s">
        <v>310</v>
      </c>
      <c r="M378" t="s">
        <v>310</v>
      </c>
      <c r="N378">
        <v>0</v>
      </c>
      <c r="O378" t="s">
        <v>1393</v>
      </c>
      <c r="P378" t="s">
        <v>101</v>
      </c>
      <c r="Q378" t="s">
        <v>1400</v>
      </c>
      <c r="R378" t="s">
        <v>321</v>
      </c>
      <c r="S378" t="s">
        <v>1411</v>
      </c>
      <c r="T378" t="s">
        <v>105</v>
      </c>
      <c r="U378">
        <v>9</v>
      </c>
      <c r="V378">
        <v>9</v>
      </c>
      <c r="W378">
        <v>0</v>
      </c>
      <c r="X378">
        <v>0</v>
      </c>
      <c r="Y378">
        <v>98.856291399999989</v>
      </c>
      <c r="Z378">
        <v>39.146832499999995</v>
      </c>
      <c r="AA378">
        <v>0</v>
      </c>
      <c r="AB378">
        <v>0</v>
      </c>
      <c r="AC378" t="s">
        <v>167</v>
      </c>
      <c r="AD378">
        <v>9</v>
      </c>
      <c r="AE378" t="s">
        <v>1413</v>
      </c>
      <c r="AF378">
        <v>0</v>
      </c>
      <c r="AG378" t="s">
        <v>310</v>
      </c>
      <c r="AH378">
        <v>1559.69</v>
      </c>
      <c r="AI378">
        <v>0</v>
      </c>
    </row>
    <row r="379" spans="1:35" x14ac:dyDescent="0.3">
      <c r="A379">
        <v>3878</v>
      </c>
      <c r="B379" t="s">
        <v>1314</v>
      </c>
      <c r="C379">
        <v>69</v>
      </c>
      <c r="D379" s="3">
        <v>45374.444611770836</v>
      </c>
      <c r="E379" t="s">
        <v>316</v>
      </c>
      <c r="F379" t="s">
        <v>317</v>
      </c>
      <c r="G379">
        <v>1</v>
      </c>
      <c r="H379" t="s">
        <v>310</v>
      </c>
      <c r="I379">
        <v>0</v>
      </c>
      <c r="J379">
        <v>0</v>
      </c>
      <c r="K379">
        <v>0</v>
      </c>
      <c r="L379" t="s">
        <v>310</v>
      </c>
      <c r="M379" t="s">
        <v>310</v>
      </c>
      <c r="N379">
        <v>0</v>
      </c>
      <c r="O379" t="s">
        <v>1389</v>
      </c>
      <c r="P379" t="s">
        <v>1401</v>
      </c>
      <c r="Q379" t="s">
        <v>1400</v>
      </c>
      <c r="R379" t="s">
        <v>1405</v>
      </c>
      <c r="S379" t="s">
        <v>202</v>
      </c>
      <c r="T379" t="s">
        <v>1406</v>
      </c>
      <c r="U379">
        <v>0</v>
      </c>
      <c r="V379">
        <v>1</v>
      </c>
      <c r="W379">
        <v>8.5360893000000004</v>
      </c>
      <c r="X379">
        <v>34.390270699999995</v>
      </c>
      <c r="Y379">
        <v>29.8902745</v>
      </c>
      <c r="Z379">
        <v>61.286323199999998</v>
      </c>
      <c r="AA379">
        <v>0</v>
      </c>
      <c r="AB379">
        <v>0</v>
      </c>
      <c r="AC379" t="s">
        <v>174</v>
      </c>
      <c r="AD379">
        <v>9</v>
      </c>
      <c r="AE379" t="s">
        <v>1388</v>
      </c>
      <c r="AF379">
        <v>100001000</v>
      </c>
      <c r="AG379" t="s">
        <v>310</v>
      </c>
      <c r="AH379">
        <v>3419.69</v>
      </c>
      <c r="AI379">
        <v>0</v>
      </c>
    </row>
    <row r="380" spans="1:35" x14ac:dyDescent="0.3">
      <c r="A380">
        <v>3879</v>
      </c>
      <c r="B380" t="s">
        <v>372</v>
      </c>
      <c r="C380">
        <v>69</v>
      </c>
      <c r="D380" s="3">
        <v>45374.444611956016</v>
      </c>
      <c r="E380" t="s">
        <v>316</v>
      </c>
      <c r="F380" t="s">
        <v>317</v>
      </c>
      <c r="G380">
        <v>1</v>
      </c>
      <c r="H380" t="s">
        <v>310</v>
      </c>
      <c r="I380">
        <v>0</v>
      </c>
      <c r="J380">
        <v>0</v>
      </c>
      <c r="K380">
        <v>0</v>
      </c>
      <c r="L380" t="s">
        <v>310</v>
      </c>
      <c r="M380" t="s">
        <v>310</v>
      </c>
      <c r="N380">
        <v>0</v>
      </c>
      <c r="O380" t="s">
        <v>1395</v>
      </c>
      <c r="P380" t="s">
        <v>240</v>
      </c>
      <c r="Q380" t="s">
        <v>1399</v>
      </c>
      <c r="R380" t="s">
        <v>1404</v>
      </c>
      <c r="S380" t="s">
        <v>322</v>
      </c>
      <c r="T380" t="s">
        <v>105</v>
      </c>
      <c r="U380">
        <v>9</v>
      </c>
      <c r="V380">
        <v>9</v>
      </c>
      <c r="W380">
        <v>0.4964113</v>
      </c>
      <c r="X380">
        <v>23.0210653</v>
      </c>
      <c r="Y380">
        <v>21.6397172</v>
      </c>
      <c r="Z380">
        <v>90.189939199999998</v>
      </c>
      <c r="AA380">
        <v>0</v>
      </c>
      <c r="AB380">
        <v>1</v>
      </c>
      <c r="AC380" t="s">
        <v>174</v>
      </c>
      <c r="AD380">
        <v>1</v>
      </c>
      <c r="AE380" t="s">
        <v>1414</v>
      </c>
      <c r="AF380">
        <v>70000000</v>
      </c>
      <c r="AG380" t="s">
        <v>310</v>
      </c>
      <c r="AH380">
        <v>7504.69</v>
      </c>
      <c r="AI380">
        <v>0</v>
      </c>
    </row>
    <row r="381" spans="1:35" x14ac:dyDescent="0.3">
      <c r="A381">
        <v>3927</v>
      </c>
      <c r="B381" t="s">
        <v>1305</v>
      </c>
      <c r="C381">
        <v>70</v>
      </c>
      <c r="D381" s="3">
        <v>45374.449855671293</v>
      </c>
      <c r="E381" t="s">
        <v>316</v>
      </c>
      <c r="F381" t="s">
        <v>317</v>
      </c>
      <c r="G381">
        <v>1</v>
      </c>
      <c r="H381" t="s">
        <v>310</v>
      </c>
      <c r="I381">
        <v>0</v>
      </c>
      <c r="J381">
        <v>0</v>
      </c>
      <c r="K381">
        <v>0</v>
      </c>
      <c r="L381" t="s">
        <v>310</v>
      </c>
      <c r="M381" t="s">
        <v>310</v>
      </c>
      <c r="N381">
        <v>0</v>
      </c>
      <c r="O381" t="s">
        <v>311</v>
      </c>
      <c r="P381" t="s">
        <v>101</v>
      </c>
      <c r="Q381" t="s">
        <v>1399</v>
      </c>
      <c r="R381" t="s">
        <v>321</v>
      </c>
      <c r="S381" t="s">
        <v>1411</v>
      </c>
      <c r="T381" t="s">
        <v>105</v>
      </c>
      <c r="U381">
        <v>9</v>
      </c>
      <c r="V381">
        <v>9</v>
      </c>
      <c r="W381">
        <v>0</v>
      </c>
      <c r="X381">
        <v>37.738016899999998</v>
      </c>
      <c r="Y381">
        <v>37.477556299999996</v>
      </c>
      <c r="Z381">
        <v>61.791904099999996</v>
      </c>
      <c r="AA381">
        <v>0</v>
      </c>
      <c r="AB381">
        <v>1</v>
      </c>
      <c r="AC381" t="s">
        <v>174</v>
      </c>
      <c r="AD381">
        <v>0</v>
      </c>
      <c r="AE381" t="s">
        <v>1412</v>
      </c>
      <c r="AF381">
        <v>140000000</v>
      </c>
      <c r="AG381" t="s">
        <v>310</v>
      </c>
      <c r="AH381">
        <v>3173.7</v>
      </c>
      <c r="AI381">
        <v>0</v>
      </c>
    </row>
    <row r="382" spans="1:35" x14ac:dyDescent="0.3">
      <c r="A382">
        <v>3929</v>
      </c>
      <c r="B382" t="s">
        <v>1317</v>
      </c>
      <c r="C382">
        <v>70</v>
      </c>
      <c r="D382" s="3">
        <v>45374.449855787039</v>
      </c>
      <c r="E382" t="s">
        <v>316</v>
      </c>
      <c r="F382" t="s">
        <v>317</v>
      </c>
      <c r="G382">
        <v>1</v>
      </c>
      <c r="H382" t="s">
        <v>310</v>
      </c>
      <c r="I382">
        <v>0</v>
      </c>
      <c r="J382">
        <v>0</v>
      </c>
      <c r="K382">
        <v>0</v>
      </c>
      <c r="L382" t="s">
        <v>310</v>
      </c>
      <c r="M382" t="s">
        <v>310</v>
      </c>
      <c r="N382">
        <v>0</v>
      </c>
      <c r="O382" t="s">
        <v>319</v>
      </c>
      <c r="P382" t="s">
        <v>1401</v>
      </c>
      <c r="Q382" t="s">
        <v>1400</v>
      </c>
      <c r="R382" t="s">
        <v>1405</v>
      </c>
      <c r="S382" t="s">
        <v>202</v>
      </c>
      <c r="T382" t="s">
        <v>1406</v>
      </c>
      <c r="U382">
        <v>0</v>
      </c>
      <c r="V382">
        <v>0</v>
      </c>
      <c r="W382">
        <v>8.9650616999999997</v>
      </c>
      <c r="X382">
        <v>53.554953399999995</v>
      </c>
      <c r="Y382">
        <v>31.791526099999999</v>
      </c>
      <c r="Z382">
        <v>37.2803842</v>
      </c>
      <c r="AA382">
        <v>0</v>
      </c>
      <c r="AB382">
        <v>0</v>
      </c>
      <c r="AC382" t="s">
        <v>174</v>
      </c>
      <c r="AD382">
        <v>9</v>
      </c>
      <c r="AE382" t="s">
        <v>1388</v>
      </c>
      <c r="AF382">
        <v>40000000</v>
      </c>
      <c r="AG382" t="s">
        <v>310</v>
      </c>
      <c r="AH382">
        <v>296.7</v>
      </c>
      <c r="AI382">
        <v>0</v>
      </c>
    </row>
    <row r="383" spans="1:35" x14ac:dyDescent="0.3">
      <c r="A383">
        <v>3928</v>
      </c>
      <c r="B383" t="s">
        <v>1279</v>
      </c>
      <c r="C383">
        <v>70</v>
      </c>
      <c r="D383" s="3">
        <v>45374.449855787039</v>
      </c>
      <c r="E383" t="s">
        <v>316</v>
      </c>
      <c r="F383" t="s">
        <v>317</v>
      </c>
      <c r="G383">
        <v>1</v>
      </c>
      <c r="H383" t="s">
        <v>310</v>
      </c>
      <c r="I383">
        <v>0</v>
      </c>
      <c r="J383">
        <v>0</v>
      </c>
      <c r="K383">
        <v>0</v>
      </c>
      <c r="L383" t="s">
        <v>310</v>
      </c>
      <c r="M383" t="s">
        <v>310</v>
      </c>
      <c r="N383">
        <v>0</v>
      </c>
      <c r="O383" t="s">
        <v>1391</v>
      </c>
      <c r="P383" t="s">
        <v>320</v>
      </c>
      <c r="Q383" t="s">
        <v>1400</v>
      </c>
      <c r="R383" t="s">
        <v>1404</v>
      </c>
      <c r="S383" t="s">
        <v>1411</v>
      </c>
      <c r="T383" t="s">
        <v>105</v>
      </c>
      <c r="U383">
        <v>9</v>
      </c>
      <c r="V383">
        <v>9</v>
      </c>
      <c r="W383">
        <v>0</v>
      </c>
      <c r="X383">
        <v>0</v>
      </c>
      <c r="Y383">
        <v>17.809543299999998</v>
      </c>
      <c r="Z383">
        <v>108.94808669999999</v>
      </c>
      <c r="AA383">
        <v>3</v>
      </c>
      <c r="AB383">
        <v>0</v>
      </c>
      <c r="AC383" t="s">
        <v>170</v>
      </c>
      <c r="AD383">
        <v>9</v>
      </c>
      <c r="AE383" t="s">
        <v>1390</v>
      </c>
      <c r="AF383">
        <v>0</v>
      </c>
      <c r="AG383" t="s">
        <v>310</v>
      </c>
      <c r="AH383">
        <v>5149.7</v>
      </c>
      <c r="AI383">
        <v>0</v>
      </c>
    </row>
    <row r="384" spans="1:35" x14ac:dyDescent="0.3">
      <c r="A384">
        <v>3930</v>
      </c>
      <c r="B384" t="s">
        <v>1282</v>
      </c>
      <c r="C384">
        <v>70</v>
      </c>
      <c r="D384" s="3">
        <v>45374.449855937499</v>
      </c>
      <c r="E384" t="s">
        <v>316</v>
      </c>
      <c r="F384" t="s">
        <v>317</v>
      </c>
      <c r="G384">
        <v>0</v>
      </c>
      <c r="H384" t="s">
        <v>310</v>
      </c>
      <c r="I384">
        <v>0</v>
      </c>
      <c r="J384">
        <v>0</v>
      </c>
      <c r="K384">
        <v>0</v>
      </c>
      <c r="L384" t="s">
        <v>310</v>
      </c>
      <c r="M384" t="s">
        <v>310</v>
      </c>
      <c r="N384">
        <v>0</v>
      </c>
      <c r="O384" t="s">
        <v>1393</v>
      </c>
      <c r="P384" t="s">
        <v>240</v>
      </c>
      <c r="Q384" t="s">
        <v>1400</v>
      </c>
      <c r="R384" t="s">
        <v>1404</v>
      </c>
      <c r="S384" t="s">
        <v>1411</v>
      </c>
      <c r="T384" t="s">
        <v>105</v>
      </c>
      <c r="U384">
        <v>9</v>
      </c>
      <c r="V384">
        <v>9</v>
      </c>
      <c r="W384">
        <v>0</v>
      </c>
      <c r="X384">
        <v>24.733522300000001</v>
      </c>
      <c r="Y384">
        <v>3.3667499999999997</v>
      </c>
      <c r="Z384">
        <v>110.0782438</v>
      </c>
      <c r="AA384">
        <v>0</v>
      </c>
      <c r="AB384">
        <v>0</v>
      </c>
      <c r="AC384" t="s">
        <v>174</v>
      </c>
      <c r="AD384">
        <v>9</v>
      </c>
      <c r="AE384" t="s">
        <v>1413</v>
      </c>
      <c r="AF384">
        <v>80000000</v>
      </c>
      <c r="AG384" t="s">
        <v>310</v>
      </c>
      <c r="AH384">
        <v>333.7</v>
      </c>
      <c r="AI384">
        <v>0</v>
      </c>
    </row>
    <row r="385" spans="1:35" x14ac:dyDescent="0.3">
      <c r="A385">
        <v>3931</v>
      </c>
      <c r="B385" t="s">
        <v>371</v>
      </c>
      <c r="C385">
        <v>70</v>
      </c>
      <c r="D385" s="3">
        <v>45374.449855937499</v>
      </c>
      <c r="E385" t="s">
        <v>316</v>
      </c>
      <c r="F385" t="s">
        <v>317</v>
      </c>
      <c r="G385">
        <v>0</v>
      </c>
      <c r="H385" t="s">
        <v>310</v>
      </c>
      <c r="I385">
        <v>0</v>
      </c>
      <c r="J385">
        <v>0</v>
      </c>
      <c r="K385">
        <v>0</v>
      </c>
      <c r="L385" t="s">
        <v>310</v>
      </c>
      <c r="M385" t="s">
        <v>310</v>
      </c>
      <c r="N385">
        <v>0</v>
      </c>
      <c r="O385" t="s">
        <v>1389</v>
      </c>
      <c r="P385" t="s">
        <v>1401</v>
      </c>
      <c r="Q385" t="s">
        <v>1399</v>
      </c>
      <c r="R385" t="s">
        <v>321</v>
      </c>
      <c r="S385" t="s">
        <v>1411</v>
      </c>
      <c r="T385" t="s">
        <v>105</v>
      </c>
      <c r="U385">
        <v>9</v>
      </c>
      <c r="V385">
        <v>9</v>
      </c>
      <c r="W385">
        <v>0</v>
      </c>
      <c r="X385">
        <v>0</v>
      </c>
      <c r="Y385">
        <v>0.3809439</v>
      </c>
      <c r="Z385">
        <v>135.49078969999999</v>
      </c>
      <c r="AA385">
        <v>0</v>
      </c>
      <c r="AB385">
        <v>0</v>
      </c>
      <c r="AC385" t="s">
        <v>167</v>
      </c>
      <c r="AD385">
        <v>0</v>
      </c>
      <c r="AE385" t="s">
        <v>1396</v>
      </c>
      <c r="AF385">
        <v>0</v>
      </c>
      <c r="AG385" t="s">
        <v>310</v>
      </c>
      <c r="AH385">
        <v>6969.7</v>
      </c>
      <c r="AI385">
        <v>0</v>
      </c>
    </row>
    <row r="386" spans="1:35" x14ac:dyDescent="0.3">
      <c r="A386">
        <v>3932</v>
      </c>
      <c r="B386" t="s">
        <v>1292</v>
      </c>
      <c r="C386">
        <v>70</v>
      </c>
      <c r="D386" s="3">
        <v>45374.449856134263</v>
      </c>
      <c r="E386" t="s">
        <v>316</v>
      </c>
      <c r="F386" t="s">
        <v>317</v>
      </c>
      <c r="G386">
        <v>0</v>
      </c>
      <c r="H386" t="s">
        <v>310</v>
      </c>
      <c r="I386">
        <v>0</v>
      </c>
      <c r="J386">
        <v>0</v>
      </c>
      <c r="K386">
        <v>0</v>
      </c>
      <c r="L386" t="s">
        <v>310</v>
      </c>
      <c r="M386" t="s">
        <v>310</v>
      </c>
      <c r="N386">
        <v>0</v>
      </c>
      <c r="O386" t="s">
        <v>1395</v>
      </c>
      <c r="P386" t="s">
        <v>320</v>
      </c>
      <c r="Q386" t="s">
        <v>1400</v>
      </c>
      <c r="R386" t="s">
        <v>321</v>
      </c>
      <c r="S386" t="s">
        <v>1411</v>
      </c>
      <c r="T386" t="s">
        <v>105</v>
      </c>
      <c r="U386">
        <v>9</v>
      </c>
      <c r="V386">
        <v>9</v>
      </c>
      <c r="W386">
        <v>0</v>
      </c>
      <c r="X386">
        <v>14.320271799999999</v>
      </c>
      <c r="Y386">
        <v>38.5827393</v>
      </c>
      <c r="Z386">
        <v>81.908984500000003</v>
      </c>
      <c r="AA386">
        <v>1</v>
      </c>
      <c r="AB386">
        <v>0</v>
      </c>
      <c r="AC386" t="s">
        <v>170</v>
      </c>
      <c r="AD386">
        <v>9</v>
      </c>
      <c r="AE386" t="s">
        <v>1414</v>
      </c>
      <c r="AF386">
        <v>0</v>
      </c>
      <c r="AG386" t="s">
        <v>310</v>
      </c>
      <c r="AH386">
        <v>7030.7</v>
      </c>
      <c r="AI386">
        <v>0</v>
      </c>
    </row>
    <row r="387" spans="1:35" x14ac:dyDescent="0.3">
      <c r="A387">
        <v>3995</v>
      </c>
      <c r="B387" t="s">
        <v>1277</v>
      </c>
      <c r="C387">
        <v>71</v>
      </c>
      <c r="D387" s="3">
        <v>45374.461364733797</v>
      </c>
      <c r="E387" t="s">
        <v>316</v>
      </c>
      <c r="F387" t="s">
        <v>317</v>
      </c>
      <c r="G387">
        <v>1</v>
      </c>
      <c r="H387" t="s">
        <v>310</v>
      </c>
      <c r="I387">
        <v>0</v>
      </c>
      <c r="J387">
        <v>0</v>
      </c>
      <c r="K387">
        <v>0</v>
      </c>
      <c r="L387" t="s">
        <v>310</v>
      </c>
      <c r="M387" t="s">
        <v>310</v>
      </c>
      <c r="N387">
        <v>0</v>
      </c>
      <c r="O387" t="s">
        <v>311</v>
      </c>
      <c r="P387" t="s">
        <v>240</v>
      </c>
      <c r="Q387" t="s">
        <v>1399</v>
      </c>
      <c r="R387" t="s">
        <v>1405</v>
      </c>
      <c r="S387" t="s">
        <v>202</v>
      </c>
      <c r="T387" t="s">
        <v>1406</v>
      </c>
      <c r="U387">
        <v>0</v>
      </c>
      <c r="V387">
        <v>0</v>
      </c>
      <c r="W387">
        <v>6.5879366999999993</v>
      </c>
      <c r="X387">
        <v>18.938772099999998</v>
      </c>
      <c r="Y387">
        <v>28.3133795</v>
      </c>
      <c r="Z387">
        <v>74.590425400000001</v>
      </c>
      <c r="AA387">
        <v>0</v>
      </c>
      <c r="AB387">
        <v>1</v>
      </c>
      <c r="AC387" t="s">
        <v>173</v>
      </c>
      <c r="AD387">
        <v>0</v>
      </c>
      <c r="AE387" t="s">
        <v>1412</v>
      </c>
      <c r="AF387">
        <v>100000000</v>
      </c>
      <c r="AG387" t="s">
        <v>310</v>
      </c>
      <c r="AH387">
        <v>3360.71</v>
      </c>
      <c r="AI387">
        <v>0</v>
      </c>
    </row>
    <row r="388" spans="1:35" x14ac:dyDescent="0.3">
      <c r="A388">
        <v>3996</v>
      </c>
      <c r="B388" t="s">
        <v>1285</v>
      </c>
      <c r="C388">
        <v>71</v>
      </c>
      <c r="D388" s="3">
        <v>45374.461364733797</v>
      </c>
      <c r="E388" t="s">
        <v>316</v>
      </c>
      <c r="F388" t="s">
        <v>317</v>
      </c>
      <c r="G388">
        <v>0</v>
      </c>
      <c r="H388" t="s">
        <v>310</v>
      </c>
      <c r="I388">
        <v>0</v>
      </c>
      <c r="J388">
        <v>0</v>
      </c>
      <c r="K388">
        <v>0</v>
      </c>
      <c r="L388" t="s">
        <v>310</v>
      </c>
      <c r="M388" t="s">
        <v>310</v>
      </c>
      <c r="N388">
        <v>0</v>
      </c>
      <c r="O388" t="s">
        <v>1391</v>
      </c>
      <c r="P388" t="s">
        <v>101</v>
      </c>
      <c r="Q388" t="s">
        <v>1400</v>
      </c>
      <c r="R388" t="s">
        <v>321</v>
      </c>
      <c r="S388" t="s">
        <v>1411</v>
      </c>
      <c r="T388" t="s">
        <v>105</v>
      </c>
      <c r="U388">
        <v>9</v>
      </c>
      <c r="V388">
        <v>9</v>
      </c>
      <c r="W388">
        <v>0</v>
      </c>
      <c r="X388">
        <v>0</v>
      </c>
      <c r="Y388">
        <v>129.72510459999998</v>
      </c>
      <c r="Z388">
        <v>6.2036072999999998</v>
      </c>
      <c r="AA388">
        <v>0</v>
      </c>
      <c r="AB388">
        <v>0</v>
      </c>
      <c r="AC388" t="s">
        <v>167</v>
      </c>
      <c r="AD388">
        <v>9</v>
      </c>
      <c r="AE388" t="s">
        <v>1417</v>
      </c>
      <c r="AF388">
        <v>0</v>
      </c>
      <c r="AG388" t="s">
        <v>310</v>
      </c>
      <c r="AH388">
        <v>5993.71</v>
      </c>
      <c r="AI388">
        <v>0</v>
      </c>
    </row>
    <row r="389" spans="1:35" x14ac:dyDescent="0.3">
      <c r="A389">
        <v>3997</v>
      </c>
      <c r="B389" t="s">
        <v>1288</v>
      </c>
      <c r="C389">
        <v>71</v>
      </c>
      <c r="D389" s="3">
        <v>45374.461364930554</v>
      </c>
      <c r="E389" t="s">
        <v>316</v>
      </c>
      <c r="F389" t="s">
        <v>317</v>
      </c>
      <c r="G389">
        <v>1</v>
      </c>
      <c r="H389" t="s">
        <v>310</v>
      </c>
      <c r="I389">
        <v>0</v>
      </c>
      <c r="J389">
        <v>0</v>
      </c>
      <c r="K389">
        <v>0</v>
      </c>
      <c r="L389" t="s">
        <v>310</v>
      </c>
      <c r="M389" t="s">
        <v>310</v>
      </c>
      <c r="N389">
        <v>0</v>
      </c>
      <c r="O389" t="s">
        <v>319</v>
      </c>
      <c r="P389" t="s">
        <v>1401</v>
      </c>
      <c r="Q389" t="s">
        <v>1400</v>
      </c>
      <c r="R389" t="s">
        <v>1405</v>
      </c>
      <c r="S389" t="s">
        <v>202</v>
      </c>
      <c r="T389" t="s">
        <v>1407</v>
      </c>
      <c r="U389">
        <v>0</v>
      </c>
      <c r="V389">
        <v>0</v>
      </c>
      <c r="W389">
        <v>4.0348085999999999</v>
      </c>
      <c r="X389">
        <v>31.112119699999997</v>
      </c>
      <c r="Y389">
        <v>12.2938733</v>
      </c>
      <c r="Z389">
        <v>87.42398949999999</v>
      </c>
      <c r="AA389">
        <v>0</v>
      </c>
      <c r="AB389">
        <v>1</v>
      </c>
      <c r="AC389" t="s">
        <v>174</v>
      </c>
      <c r="AD389">
        <v>9</v>
      </c>
      <c r="AE389" t="s">
        <v>1416</v>
      </c>
      <c r="AF389">
        <v>50000000</v>
      </c>
      <c r="AG389" t="s">
        <v>310</v>
      </c>
      <c r="AH389">
        <v>3181.71</v>
      </c>
      <c r="AI389">
        <v>0</v>
      </c>
    </row>
    <row r="390" spans="1:35" x14ac:dyDescent="0.3">
      <c r="A390">
        <v>3998</v>
      </c>
      <c r="B390" t="s">
        <v>318</v>
      </c>
      <c r="C390">
        <v>71</v>
      </c>
      <c r="D390" s="3">
        <v>45374.461364930554</v>
      </c>
      <c r="E390" t="s">
        <v>316</v>
      </c>
      <c r="F390" t="s">
        <v>317</v>
      </c>
      <c r="G390">
        <v>0</v>
      </c>
      <c r="H390" t="s">
        <v>310</v>
      </c>
      <c r="I390">
        <v>0</v>
      </c>
      <c r="J390">
        <v>0</v>
      </c>
      <c r="K390">
        <v>0</v>
      </c>
      <c r="L390" t="s">
        <v>310</v>
      </c>
      <c r="M390" t="s">
        <v>310</v>
      </c>
      <c r="N390">
        <v>0</v>
      </c>
      <c r="O390" t="s">
        <v>1393</v>
      </c>
      <c r="P390" t="s">
        <v>1401</v>
      </c>
      <c r="Q390" t="s">
        <v>1400</v>
      </c>
      <c r="R390" t="s">
        <v>1404</v>
      </c>
      <c r="S390" t="s">
        <v>1411</v>
      </c>
      <c r="T390" t="s">
        <v>105</v>
      </c>
      <c r="U390">
        <v>9</v>
      </c>
      <c r="V390">
        <v>9</v>
      </c>
      <c r="W390">
        <v>0</v>
      </c>
      <c r="X390">
        <v>60.8862223</v>
      </c>
      <c r="Y390">
        <v>37.669882099999995</v>
      </c>
      <c r="Z390">
        <v>37.435241599999998</v>
      </c>
      <c r="AA390">
        <v>0</v>
      </c>
      <c r="AB390">
        <v>1</v>
      </c>
      <c r="AC390" t="s">
        <v>174</v>
      </c>
      <c r="AD390">
        <v>9</v>
      </c>
      <c r="AE390" t="s">
        <v>1413</v>
      </c>
      <c r="AF390">
        <v>80000000</v>
      </c>
      <c r="AG390" t="s">
        <v>310</v>
      </c>
      <c r="AH390">
        <v>639.71</v>
      </c>
      <c r="AI390">
        <v>0</v>
      </c>
    </row>
    <row r="391" spans="1:35" x14ac:dyDescent="0.3">
      <c r="A391">
        <v>3999</v>
      </c>
      <c r="B391" t="s">
        <v>1315</v>
      </c>
      <c r="C391">
        <v>71</v>
      </c>
      <c r="D391" s="3">
        <v>45374.461365127318</v>
      </c>
      <c r="E391" t="s">
        <v>316</v>
      </c>
      <c r="F391" t="s">
        <v>317</v>
      </c>
      <c r="G391">
        <v>1</v>
      </c>
      <c r="H391" t="s">
        <v>310</v>
      </c>
      <c r="I391">
        <v>0</v>
      </c>
      <c r="J391">
        <v>0</v>
      </c>
      <c r="K391">
        <v>0</v>
      </c>
      <c r="L391" t="s">
        <v>310</v>
      </c>
      <c r="M391" t="s">
        <v>310</v>
      </c>
      <c r="N391">
        <v>0</v>
      </c>
      <c r="O391" t="s">
        <v>1389</v>
      </c>
      <c r="P391" t="s">
        <v>101</v>
      </c>
      <c r="Q391" t="s">
        <v>1399</v>
      </c>
      <c r="R391" t="s">
        <v>321</v>
      </c>
      <c r="S391" t="s">
        <v>1411</v>
      </c>
      <c r="T391" t="s">
        <v>105</v>
      </c>
      <c r="U391">
        <v>9</v>
      </c>
      <c r="V391">
        <v>9</v>
      </c>
      <c r="W391">
        <v>0</v>
      </c>
      <c r="X391">
        <v>31.921446999999997</v>
      </c>
      <c r="Y391">
        <v>21.6678149</v>
      </c>
      <c r="Z391">
        <v>81.686165899999992</v>
      </c>
      <c r="AA391">
        <v>0</v>
      </c>
      <c r="AB391">
        <v>0</v>
      </c>
      <c r="AC391" t="s">
        <v>174</v>
      </c>
      <c r="AD391">
        <v>0</v>
      </c>
      <c r="AE391" t="s">
        <v>1418</v>
      </c>
      <c r="AF391">
        <v>80000000</v>
      </c>
      <c r="AG391" t="s">
        <v>310</v>
      </c>
      <c r="AH391">
        <v>1511.71</v>
      </c>
      <c r="AI391">
        <v>0</v>
      </c>
    </row>
    <row r="392" spans="1:35" x14ac:dyDescent="0.3">
      <c r="A392">
        <v>4000</v>
      </c>
      <c r="B392" t="s">
        <v>1298</v>
      </c>
      <c r="C392">
        <v>71</v>
      </c>
      <c r="D392" s="3">
        <v>45374.461365127318</v>
      </c>
      <c r="E392" t="s">
        <v>316</v>
      </c>
      <c r="F392" t="s">
        <v>317</v>
      </c>
      <c r="G392">
        <v>1</v>
      </c>
      <c r="H392" t="s">
        <v>310</v>
      </c>
      <c r="I392">
        <v>0</v>
      </c>
      <c r="J392">
        <v>0</v>
      </c>
      <c r="K392">
        <v>0</v>
      </c>
      <c r="L392" t="s">
        <v>310</v>
      </c>
      <c r="M392" t="s">
        <v>310</v>
      </c>
      <c r="N392">
        <v>0</v>
      </c>
      <c r="O392" t="s">
        <v>1395</v>
      </c>
      <c r="P392" t="s">
        <v>240</v>
      </c>
      <c r="Q392" t="s">
        <v>1400</v>
      </c>
      <c r="R392" t="s">
        <v>321</v>
      </c>
      <c r="S392" t="s">
        <v>1411</v>
      </c>
      <c r="T392" t="s">
        <v>105</v>
      </c>
      <c r="U392">
        <v>9</v>
      </c>
      <c r="V392">
        <v>9</v>
      </c>
      <c r="W392">
        <v>0</v>
      </c>
      <c r="X392">
        <v>35.198196500000002</v>
      </c>
      <c r="Y392">
        <v>22.311861999999998</v>
      </c>
      <c r="Z392">
        <v>79.338140699999997</v>
      </c>
      <c r="AA392">
        <v>0</v>
      </c>
      <c r="AB392">
        <v>0</v>
      </c>
      <c r="AC392" t="s">
        <v>1408</v>
      </c>
      <c r="AD392">
        <v>9</v>
      </c>
      <c r="AE392" t="s">
        <v>1414</v>
      </c>
      <c r="AF392">
        <v>60000000</v>
      </c>
      <c r="AG392" t="s">
        <v>310</v>
      </c>
      <c r="AH392">
        <v>9624.7099999999991</v>
      </c>
      <c r="AI392">
        <v>0</v>
      </c>
    </row>
    <row r="393" spans="1:35" x14ac:dyDescent="0.3">
      <c r="A393">
        <v>4047</v>
      </c>
      <c r="B393" t="s">
        <v>1311</v>
      </c>
      <c r="C393">
        <v>72</v>
      </c>
      <c r="D393" s="3">
        <v>45374.466399618053</v>
      </c>
      <c r="E393" t="s">
        <v>316</v>
      </c>
      <c r="F393" t="s">
        <v>317</v>
      </c>
      <c r="G393">
        <v>1</v>
      </c>
      <c r="H393" t="s">
        <v>310</v>
      </c>
      <c r="I393">
        <v>0</v>
      </c>
      <c r="J393">
        <v>0</v>
      </c>
      <c r="K393">
        <v>0</v>
      </c>
      <c r="L393" t="s">
        <v>310</v>
      </c>
      <c r="M393" t="s">
        <v>310</v>
      </c>
      <c r="N393">
        <v>0</v>
      </c>
      <c r="O393" t="s">
        <v>311</v>
      </c>
      <c r="P393" t="s">
        <v>101</v>
      </c>
      <c r="Q393" t="s">
        <v>1400</v>
      </c>
      <c r="R393" t="s">
        <v>1404</v>
      </c>
      <c r="S393" t="s">
        <v>1411</v>
      </c>
      <c r="T393" t="s">
        <v>105</v>
      </c>
      <c r="U393">
        <v>9</v>
      </c>
      <c r="V393">
        <v>9</v>
      </c>
      <c r="W393">
        <v>0</v>
      </c>
      <c r="X393">
        <v>41.690499299999999</v>
      </c>
      <c r="Y393">
        <v>12.489763</v>
      </c>
      <c r="Z393">
        <v>82.556450400000003</v>
      </c>
      <c r="AA393">
        <v>0</v>
      </c>
      <c r="AB393">
        <v>0</v>
      </c>
      <c r="AC393" t="s">
        <v>173</v>
      </c>
      <c r="AD393">
        <v>9</v>
      </c>
      <c r="AE393" t="s">
        <v>1418</v>
      </c>
      <c r="AF393">
        <v>100000</v>
      </c>
      <c r="AG393" t="s">
        <v>310</v>
      </c>
      <c r="AH393">
        <v>2234.7199999999998</v>
      </c>
      <c r="AI393">
        <v>0</v>
      </c>
    </row>
    <row r="394" spans="1:35" x14ac:dyDescent="0.3">
      <c r="A394">
        <v>4048</v>
      </c>
      <c r="B394" t="s">
        <v>361</v>
      </c>
      <c r="C394">
        <v>72</v>
      </c>
      <c r="D394" s="3">
        <v>45374.466399733799</v>
      </c>
      <c r="E394" t="s">
        <v>316</v>
      </c>
      <c r="F394" t="s">
        <v>317</v>
      </c>
      <c r="G394">
        <v>1</v>
      </c>
      <c r="H394" t="s">
        <v>310</v>
      </c>
      <c r="I394">
        <v>0</v>
      </c>
      <c r="J394">
        <v>0</v>
      </c>
      <c r="K394">
        <v>0</v>
      </c>
      <c r="L394" t="s">
        <v>310</v>
      </c>
      <c r="M394" t="s">
        <v>310</v>
      </c>
      <c r="N394">
        <v>0</v>
      </c>
      <c r="O394" t="s">
        <v>1391</v>
      </c>
      <c r="P394" t="s">
        <v>1401</v>
      </c>
      <c r="Q394" t="s">
        <v>1400</v>
      </c>
      <c r="R394" t="s">
        <v>1404</v>
      </c>
      <c r="S394" t="s">
        <v>1411</v>
      </c>
      <c r="T394" t="s">
        <v>105</v>
      </c>
      <c r="U394">
        <v>9</v>
      </c>
      <c r="V394">
        <v>9</v>
      </c>
      <c r="W394">
        <v>0</v>
      </c>
      <c r="X394">
        <v>28.5761255</v>
      </c>
      <c r="Y394">
        <v>60.2838274</v>
      </c>
      <c r="Z394">
        <v>46.4049859</v>
      </c>
      <c r="AA394">
        <v>0</v>
      </c>
      <c r="AB394">
        <v>0</v>
      </c>
      <c r="AC394" t="s">
        <v>174</v>
      </c>
      <c r="AD394">
        <v>9</v>
      </c>
      <c r="AE394" t="s">
        <v>1416</v>
      </c>
      <c r="AF394">
        <v>60001000</v>
      </c>
      <c r="AG394" t="s">
        <v>310</v>
      </c>
      <c r="AH394">
        <v>20.72</v>
      </c>
      <c r="AI394">
        <v>0</v>
      </c>
    </row>
    <row r="395" spans="1:35" x14ac:dyDescent="0.3">
      <c r="A395">
        <v>4049</v>
      </c>
      <c r="B395" t="s">
        <v>365</v>
      </c>
      <c r="C395">
        <v>72</v>
      </c>
      <c r="D395" s="3">
        <v>45374.466399803241</v>
      </c>
      <c r="E395" t="s">
        <v>316</v>
      </c>
      <c r="F395" t="s">
        <v>317</v>
      </c>
      <c r="G395">
        <v>0</v>
      </c>
      <c r="H395" t="s">
        <v>310</v>
      </c>
      <c r="I395">
        <v>0</v>
      </c>
      <c r="J395">
        <v>0</v>
      </c>
      <c r="K395">
        <v>0</v>
      </c>
      <c r="L395" t="s">
        <v>310</v>
      </c>
      <c r="M395" t="s">
        <v>310</v>
      </c>
      <c r="N395">
        <v>0</v>
      </c>
      <c r="O395" t="s">
        <v>319</v>
      </c>
      <c r="P395" t="s">
        <v>240</v>
      </c>
      <c r="Q395" t="s">
        <v>1399</v>
      </c>
      <c r="R395" t="s">
        <v>1405</v>
      </c>
      <c r="S395" t="s">
        <v>202</v>
      </c>
      <c r="T395" t="s">
        <v>1406</v>
      </c>
      <c r="U395">
        <v>0</v>
      </c>
      <c r="V395">
        <v>1</v>
      </c>
      <c r="W395">
        <v>13.5096042</v>
      </c>
      <c r="X395">
        <v>32.641095299999996</v>
      </c>
      <c r="Y395">
        <v>17.963912199999999</v>
      </c>
      <c r="Z395">
        <v>65.941638999999995</v>
      </c>
      <c r="AA395">
        <v>0</v>
      </c>
      <c r="AB395">
        <v>0</v>
      </c>
      <c r="AC395" t="s">
        <v>174</v>
      </c>
      <c r="AD395">
        <v>1</v>
      </c>
      <c r="AE395" t="s">
        <v>1417</v>
      </c>
      <c r="AF395">
        <v>50000000</v>
      </c>
      <c r="AG395" t="s">
        <v>310</v>
      </c>
      <c r="AH395">
        <v>3171.72</v>
      </c>
      <c r="AI395">
        <v>0</v>
      </c>
    </row>
    <row r="396" spans="1:35" x14ac:dyDescent="0.3">
      <c r="A396">
        <v>4051</v>
      </c>
      <c r="B396" t="s">
        <v>1296</v>
      </c>
      <c r="C396">
        <v>72</v>
      </c>
      <c r="D396" s="3">
        <v>45374.46639991898</v>
      </c>
      <c r="E396" t="s">
        <v>316</v>
      </c>
      <c r="F396" t="s">
        <v>317</v>
      </c>
      <c r="G396">
        <v>1</v>
      </c>
      <c r="H396" t="s">
        <v>310</v>
      </c>
      <c r="I396">
        <v>0</v>
      </c>
      <c r="J396">
        <v>0</v>
      </c>
      <c r="K396">
        <v>0</v>
      </c>
      <c r="L396" t="s">
        <v>310</v>
      </c>
      <c r="M396" t="s">
        <v>310</v>
      </c>
      <c r="N396">
        <v>0</v>
      </c>
      <c r="O396" t="s">
        <v>1389</v>
      </c>
      <c r="P396" t="s">
        <v>240</v>
      </c>
      <c r="Q396" t="s">
        <v>1400</v>
      </c>
      <c r="R396" t="s">
        <v>1404</v>
      </c>
      <c r="S396" t="s">
        <v>1411</v>
      </c>
      <c r="T396" t="s">
        <v>105</v>
      </c>
      <c r="U396">
        <v>9</v>
      </c>
      <c r="V396">
        <v>9</v>
      </c>
      <c r="W396">
        <v>0</v>
      </c>
      <c r="X396">
        <v>22.420525999999999</v>
      </c>
      <c r="Y396">
        <v>35.165785999999997</v>
      </c>
      <c r="Z396">
        <v>78.28951099999999</v>
      </c>
      <c r="AA396">
        <v>0</v>
      </c>
      <c r="AB396">
        <v>1</v>
      </c>
      <c r="AC396" t="s">
        <v>174</v>
      </c>
      <c r="AD396">
        <v>9</v>
      </c>
      <c r="AE396" t="s">
        <v>1412</v>
      </c>
      <c r="AF396">
        <v>100000000</v>
      </c>
      <c r="AG396" t="s">
        <v>310</v>
      </c>
      <c r="AH396">
        <v>3003.72</v>
      </c>
      <c r="AI396">
        <v>0</v>
      </c>
    </row>
    <row r="397" spans="1:35" x14ac:dyDescent="0.3">
      <c r="A397">
        <v>4050</v>
      </c>
      <c r="B397" t="s">
        <v>1284</v>
      </c>
      <c r="C397">
        <v>72</v>
      </c>
      <c r="D397" s="3">
        <v>45374.46639991898</v>
      </c>
      <c r="E397" t="s">
        <v>316</v>
      </c>
      <c r="F397" t="s">
        <v>317</v>
      </c>
      <c r="G397">
        <v>1</v>
      </c>
      <c r="H397" t="s">
        <v>310</v>
      </c>
      <c r="I397">
        <v>0</v>
      </c>
      <c r="J397">
        <v>0</v>
      </c>
      <c r="K397">
        <v>0</v>
      </c>
      <c r="L397" t="s">
        <v>310</v>
      </c>
      <c r="M397" t="s">
        <v>310</v>
      </c>
      <c r="N397">
        <v>0</v>
      </c>
      <c r="O397" t="s">
        <v>1393</v>
      </c>
      <c r="P397" t="s">
        <v>1401</v>
      </c>
      <c r="Q397" t="s">
        <v>1399</v>
      </c>
      <c r="R397" t="s">
        <v>1404</v>
      </c>
      <c r="S397" t="s">
        <v>322</v>
      </c>
      <c r="T397" t="s">
        <v>105</v>
      </c>
      <c r="U397">
        <v>9</v>
      </c>
      <c r="V397">
        <v>9</v>
      </c>
      <c r="W397">
        <v>7.4175703999999998</v>
      </c>
      <c r="X397">
        <v>38.3290863</v>
      </c>
      <c r="Y397">
        <v>16.944041500000001</v>
      </c>
      <c r="Z397">
        <v>72.960456499999992</v>
      </c>
      <c r="AA397">
        <v>0</v>
      </c>
      <c r="AB397">
        <v>0</v>
      </c>
      <c r="AC397" t="s">
        <v>174</v>
      </c>
      <c r="AD397">
        <v>0</v>
      </c>
      <c r="AE397" t="s">
        <v>1413</v>
      </c>
      <c r="AF397">
        <v>50100000</v>
      </c>
      <c r="AG397" t="s">
        <v>310</v>
      </c>
      <c r="AH397">
        <v>5590.72</v>
      </c>
      <c r="AI397">
        <v>0</v>
      </c>
    </row>
    <row r="398" spans="1:35" x14ac:dyDescent="0.3">
      <c r="A398">
        <v>4052</v>
      </c>
      <c r="B398" t="s">
        <v>369</v>
      </c>
      <c r="C398">
        <v>72</v>
      </c>
      <c r="D398" s="3">
        <v>45374.466400081015</v>
      </c>
      <c r="E398" t="s">
        <v>316</v>
      </c>
      <c r="F398" t="s">
        <v>317</v>
      </c>
      <c r="G398">
        <v>0</v>
      </c>
      <c r="H398" t="s">
        <v>310</v>
      </c>
      <c r="I398">
        <v>0</v>
      </c>
      <c r="J398">
        <v>0</v>
      </c>
      <c r="K398">
        <v>0</v>
      </c>
      <c r="L398" t="s">
        <v>310</v>
      </c>
      <c r="M398" t="s">
        <v>310</v>
      </c>
      <c r="N398">
        <v>0</v>
      </c>
      <c r="O398" t="s">
        <v>1395</v>
      </c>
      <c r="P398" t="s">
        <v>320</v>
      </c>
      <c r="Q398" t="s">
        <v>1399</v>
      </c>
      <c r="R398" t="s">
        <v>1404</v>
      </c>
      <c r="S398" t="s">
        <v>322</v>
      </c>
      <c r="T398" t="s">
        <v>105</v>
      </c>
      <c r="U398">
        <v>9</v>
      </c>
      <c r="V398">
        <v>9</v>
      </c>
      <c r="W398">
        <v>2.1313133</v>
      </c>
      <c r="X398">
        <v>0</v>
      </c>
      <c r="Y398">
        <v>17.111178799999998</v>
      </c>
      <c r="Z398">
        <v>118.83054089999999</v>
      </c>
      <c r="AA398">
        <v>1</v>
      </c>
      <c r="AB398">
        <v>0</v>
      </c>
      <c r="AC398" t="s">
        <v>174</v>
      </c>
      <c r="AD398">
        <v>0</v>
      </c>
      <c r="AE398" t="s">
        <v>1414</v>
      </c>
      <c r="AF398">
        <v>0</v>
      </c>
      <c r="AG398" t="s">
        <v>310</v>
      </c>
      <c r="AH398">
        <v>6463.72</v>
      </c>
      <c r="AI398">
        <v>0</v>
      </c>
    </row>
    <row r="399" spans="1:35" x14ac:dyDescent="0.3">
      <c r="A399">
        <v>4114</v>
      </c>
      <c r="B399" t="s">
        <v>1302</v>
      </c>
      <c r="C399">
        <v>73</v>
      </c>
      <c r="D399" s="3">
        <v>45374.47413116898</v>
      </c>
      <c r="E399" t="s">
        <v>316</v>
      </c>
      <c r="F399" t="s">
        <v>317</v>
      </c>
      <c r="G399">
        <v>1</v>
      </c>
      <c r="H399" t="s">
        <v>310</v>
      </c>
      <c r="I399">
        <v>0</v>
      </c>
      <c r="J399">
        <v>0</v>
      </c>
      <c r="K399">
        <v>0</v>
      </c>
      <c r="L399" t="s">
        <v>310</v>
      </c>
      <c r="M399" t="s">
        <v>310</v>
      </c>
      <c r="N399">
        <v>0</v>
      </c>
      <c r="O399" t="s">
        <v>311</v>
      </c>
      <c r="P399" t="s">
        <v>320</v>
      </c>
      <c r="Q399" t="s">
        <v>1400</v>
      </c>
      <c r="R399" t="s">
        <v>321</v>
      </c>
      <c r="S399" t="s">
        <v>1411</v>
      </c>
      <c r="T399" t="s">
        <v>105</v>
      </c>
      <c r="U399">
        <v>9</v>
      </c>
      <c r="V399">
        <v>9</v>
      </c>
      <c r="W399">
        <v>0</v>
      </c>
      <c r="X399">
        <v>0</v>
      </c>
      <c r="Y399">
        <v>65.459938800000003</v>
      </c>
      <c r="Z399">
        <v>70.044446800000003</v>
      </c>
      <c r="AA399">
        <v>0</v>
      </c>
      <c r="AB399">
        <v>1</v>
      </c>
      <c r="AC399" t="s">
        <v>167</v>
      </c>
      <c r="AD399">
        <v>9</v>
      </c>
      <c r="AE399" t="s">
        <v>1418</v>
      </c>
      <c r="AF399">
        <v>0</v>
      </c>
      <c r="AG399" t="s">
        <v>310</v>
      </c>
      <c r="AH399">
        <v>2095.73</v>
      </c>
      <c r="AI399">
        <v>0</v>
      </c>
    </row>
    <row r="400" spans="1:35" x14ac:dyDescent="0.3">
      <c r="A400">
        <v>4115</v>
      </c>
      <c r="B400" t="s">
        <v>1297</v>
      </c>
      <c r="C400">
        <v>73</v>
      </c>
      <c r="D400" s="3">
        <v>45374.47413116898</v>
      </c>
      <c r="E400" t="s">
        <v>316</v>
      </c>
      <c r="F400" t="s">
        <v>317</v>
      </c>
      <c r="G400">
        <v>0</v>
      </c>
      <c r="H400" t="s">
        <v>310</v>
      </c>
      <c r="I400">
        <v>0</v>
      </c>
      <c r="J400">
        <v>0</v>
      </c>
      <c r="K400">
        <v>0</v>
      </c>
      <c r="L400" t="s">
        <v>310</v>
      </c>
      <c r="M400" t="s">
        <v>310</v>
      </c>
      <c r="N400">
        <v>0</v>
      </c>
      <c r="O400" t="s">
        <v>1391</v>
      </c>
      <c r="P400" t="s">
        <v>320</v>
      </c>
      <c r="Q400" t="s">
        <v>1399</v>
      </c>
      <c r="R400" t="s">
        <v>1404</v>
      </c>
      <c r="S400" t="s">
        <v>1411</v>
      </c>
      <c r="T400" t="s">
        <v>105</v>
      </c>
      <c r="U400">
        <v>9</v>
      </c>
      <c r="V400">
        <v>9</v>
      </c>
      <c r="W400">
        <v>0</v>
      </c>
      <c r="X400">
        <v>31.462568299999997</v>
      </c>
      <c r="Y400">
        <v>15.2791409</v>
      </c>
      <c r="Z400">
        <v>90.743288899999996</v>
      </c>
      <c r="AA400">
        <v>0</v>
      </c>
      <c r="AB400">
        <v>1</v>
      </c>
      <c r="AC400" t="s">
        <v>174</v>
      </c>
      <c r="AD400">
        <v>2</v>
      </c>
      <c r="AE400" t="s">
        <v>1413</v>
      </c>
      <c r="AF400">
        <v>40100000</v>
      </c>
      <c r="AG400" t="s">
        <v>310</v>
      </c>
      <c r="AH400">
        <v>9750.73</v>
      </c>
      <c r="AI400">
        <v>0</v>
      </c>
    </row>
    <row r="401" spans="1:35" x14ac:dyDescent="0.3">
      <c r="A401">
        <v>4117</v>
      </c>
      <c r="B401" t="s">
        <v>360</v>
      </c>
      <c r="C401">
        <v>73</v>
      </c>
      <c r="D401" s="3">
        <v>45374.474131365743</v>
      </c>
      <c r="E401" t="s">
        <v>316</v>
      </c>
      <c r="F401" t="s">
        <v>317</v>
      </c>
      <c r="G401">
        <v>0</v>
      </c>
      <c r="H401" t="s">
        <v>310</v>
      </c>
      <c r="I401">
        <v>0</v>
      </c>
      <c r="J401">
        <v>0</v>
      </c>
      <c r="K401">
        <v>0</v>
      </c>
      <c r="L401" t="s">
        <v>310</v>
      </c>
      <c r="M401" t="s">
        <v>310</v>
      </c>
      <c r="N401">
        <v>0</v>
      </c>
      <c r="O401" t="s">
        <v>1393</v>
      </c>
      <c r="P401" t="s">
        <v>240</v>
      </c>
      <c r="Q401" t="s">
        <v>1399</v>
      </c>
      <c r="R401" t="s">
        <v>1405</v>
      </c>
      <c r="S401" t="s">
        <v>202</v>
      </c>
      <c r="T401" t="s">
        <v>1407</v>
      </c>
      <c r="U401">
        <v>0</v>
      </c>
      <c r="V401">
        <v>0</v>
      </c>
      <c r="W401">
        <v>3.3251912999999997</v>
      </c>
      <c r="X401">
        <v>33.344702699999999</v>
      </c>
      <c r="Y401">
        <v>22.121398499999998</v>
      </c>
      <c r="Z401">
        <v>61.765656399999997</v>
      </c>
      <c r="AA401">
        <v>0</v>
      </c>
      <c r="AB401">
        <v>1</v>
      </c>
      <c r="AC401" t="s">
        <v>174</v>
      </c>
      <c r="AD401">
        <v>0</v>
      </c>
      <c r="AE401" t="s">
        <v>1414</v>
      </c>
      <c r="AF401">
        <v>160002000</v>
      </c>
      <c r="AG401" t="s">
        <v>310</v>
      </c>
      <c r="AH401">
        <v>1796.73</v>
      </c>
      <c r="AI401">
        <v>0</v>
      </c>
    </row>
    <row r="402" spans="1:35" x14ac:dyDescent="0.3">
      <c r="A402">
        <v>4116</v>
      </c>
      <c r="B402" t="s">
        <v>1308</v>
      </c>
      <c r="C402">
        <v>73</v>
      </c>
      <c r="D402" s="3">
        <v>45374.474131365743</v>
      </c>
      <c r="E402" t="s">
        <v>316</v>
      </c>
      <c r="F402" t="s">
        <v>317</v>
      </c>
      <c r="G402">
        <v>1</v>
      </c>
      <c r="H402" t="s">
        <v>310</v>
      </c>
      <c r="I402">
        <v>0</v>
      </c>
      <c r="J402">
        <v>0</v>
      </c>
      <c r="K402">
        <v>0</v>
      </c>
      <c r="L402" t="s">
        <v>310</v>
      </c>
      <c r="M402" t="s">
        <v>310</v>
      </c>
      <c r="N402">
        <v>0</v>
      </c>
      <c r="O402" t="s">
        <v>319</v>
      </c>
      <c r="P402" t="s">
        <v>1401</v>
      </c>
      <c r="Q402" t="s">
        <v>1400</v>
      </c>
      <c r="R402" t="s">
        <v>1405</v>
      </c>
      <c r="S402" t="s">
        <v>202</v>
      </c>
      <c r="T402" t="s">
        <v>1406</v>
      </c>
      <c r="U402">
        <v>0</v>
      </c>
      <c r="V402">
        <v>1</v>
      </c>
      <c r="W402">
        <v>5.0199534999999997</v>
      </c>
      <c r="X402">
        <v>40.121324000000001</v>
      </c>
      <c r="Y402">
        <v>33.306532900000001</v>
      </c>
      <c r="Z402">
        <v>46.075220099999996</v>
      </c>
      <c r="AA402">
        <v>0</v>
      </c>
      <c r="AB402">
        <v>0</v>
      </c>
      <c r="AC402" t="s">
        <v>174</v>
      </c>
      <c r="AD402">
        <v>9</v>
      </c>
      <c r="AE402" t="s">
        <v>1416</v>
      </c>
      <c r="AF402">
        <v>100000000</v>
      </c>
      <c r="AG402" t="s">
        <v>310</v>
      </c>
      <c r="AH402">
        <v>3799.73</v>
      </c>
      <c r="AI402">
        <v>0</v>
      </c>
    </row>
    <row r="403" spans="1:35" x14ac:dyDescent="0.3">
      <c r="A403">
        <v>4118</v>
      </c>
      <c r="B403" t="s">
        <v>1303</v>
      </c>
      <c r="C403">
        <v>73</v>
      </c>
      <c r="D403" s="3">
        <v>45374.474131631941</v>
      </c>
      <c r="E403" t="s">
        <v>316</v>
      </c>
      <c r="F403" t="s">
        <v>317</v>
      </c>
      <c r="G403">
        <v>0</v>
      </c>
      <c r="H403" t="s">
        <v>310</v>
      </c>
      <c r="I403">
        <v>0</v>
      </c>
      <c r="J403">
        <v>0</v>
      </c>
      <c r="K403">
        <v>0</v>
      </c>
      <c r="L403" t="s">
        <v>310</v>
      </c>
      <c r="M403" t="s">
        <v>310</v>
      </c>
      <c r="N403">
        <v>0</v>
      </c>
      <c r="O403" t="s">
        <v>1389</v>
      </c>
      <c r="P403" t="s">
        <v>1401</v>
      </c>
      <c r="Q403" t="s">
        <v>1400</v>
      </c>
      <c r="R403" t="s">
        <v>321</v>
      </c>
      <c r="S403" t="s">
        <v>1411</v>
      </c>
      <c r="T403" t="s">
        <v>105</v>
      </c>
      <c r="U403">
        <v>9</v>
      </c>
      <c r="V403">
        <v>9</v>
      </c>
      <c r="W403">
        <v>0</v>
      </c>
      <c r="X403">
        <v>52.0550256</v>
      </c>
      <c r="Y403">
        <v>25.8401557</v>
      </c>
      <c r="Z403">
        <v>58.354999599999999</v>
      </c>
      <c r="AA403">
        <v>0</v>
      </c>
      <c r="AB403">
        <v>1</v>
      </c>
      <c r="AC403" t="s">
        <v>174</v>
      </c>
      <c r="AD403">
        <v>9</v>
      </c>
      <c r="AE403" t="s">
        <v>1412</v>
      </c>
      <c r="AF403">
        <v>30000000</v>
      </c>
      <c r="AG403" t="s">
        <v>310</v>
      </c>
      <c r="AH403">
        <v>7605.73</v>
      </c>
      <c r="AI403">
        <v>0</v>
      </c>
    </row>
    <row r="404" spans="1:35" x14ac:dyDescent="0.3">
      <c r="A404">
        <v>4119</v>
      </c>
      <c r="B404" t="s">
        <v>1309</v>
      </c>
      <c r="C404">
        <v>73</v>
      </c>
      <c r="D404" s="3">
        <v>45374.474131747687</v>
      </c>
      <c r="E404" t="s">
        <v>316</v>
      </c>
      <c r="F404" t="s">
        <v>317</v>
      </c>
      <c r="G404">
        <v>0</v>
      </c>
      <c r="H404" t="s">
        <v>310</v>
      </c>
      <c r="I404">
        <v>0</v>
      </c>
      <c r="J404">
        <v>0</v>
      </c>
      <c r="K404">
        <v>0</v>
      </c>
      <c r="L404" t="s">
        <v>310</v>
      </c>
      <c r="M404" t="s">
        <v>310</v>
      </c>
      <c r="N404">
        <v>0</v>
      </c>
      <c r="O404" t="s">
        <v>1395</v>
      </c>
      <c r="P404" t="s">
        <v>101</v>
      </c>
      <c r="Q404" t="s">
        <v>1400</v>
      </c>
      <c r="R404" t="s">
        <v>1405</v>
      </c>
      <c r="S404" t="s">
        <v>202</v>
      </c>
      <c r="T404" t="s">
        <v>1409</v>
      </c>
      <c r="U404">
        <v>0</v>
      </c>
      <c r="V404">
        <v>0</v>
      </c>
      <c r="W404">
        <v>6.0312655999999993</v>
      </c>
      <c r="X404">
        <v>38.3160667</v>
      </c>
      <c r="Y404">
        <v>27.5301112</v>
      </c>
      <c r="Z404">
        <v>55.216977799999995</v>
      </c>
      <c r="AA404">
        <v>0</v>
      </c>
      <c r="AB404">
        <v>0</v>
      </c>
      <c r="AC404" t="s">
        <v>174</v>
      </c>
      <c r="AD404">
        <v>9</v>
      </c>
      <c r="AE404" t="s">
        <v>1417</v>
      </c>
      <c r="AF404">
        <v>70000000</v>
      </c>
      <c r="AG404" t="s">
        <v>310</v>
      </c>
      <c r="AH404">
        <v>3550.73</v>
      </c>
      <c r="AI404">
        <v>0</v>
      </c>
    </row>
    <row r="405" spans="1:35" x14ac:dyDescent="0.3">
      <c r="A405">
        <v>4175</v>
      </c>
      <c r="B405" t="s">
        <v>373</v>
      </c>
      <c r="C405">
        <v>74</v>
      </c>
      <c r="D405" s="3">
        <v>45374.478134293982</v>
      </c>
      <c r="E405" t="s">
        <v>316</v>
      </c>
      <c r="F405" t="s">
        <v>317</v>
      </c>
      <c r="G405">
        <v>1</v>
      </c>
      <c r="H405" t="s">
        <v>310</v>
      </c>
      <c r="I405">
        <v>0</v>
      </c>
      <c r="J405">
        <v>0</v>
      </c>
      <c r="K405">
        <v>0</v>
      </c>
      <c r="L405" t="s">
        <v>310</v>
      </c>
      <c r="M405" t="s">
        <v>310</v>
      </c>
      <c r="N405">
        <v>0</v>
      </c>
      <c r="O405" t="s">
        <v>311</v>
      </c>
      <c r="P405" t="s">
        <v>1401</v>
      </c>
      <c r="Q405" t="s">
        <v>1400</v>
      </c>
      <c r="R405" t="s">
        <v>1404</v>
      </c>
      <c r="S405" t="s">
        <v>1411</v>
      </c>
      <c r="T405" t="s">
        <v>105</v>
      </c>
      <c r="U405">
        <v>9</v>
      </c>
      <c r="V405">
        <v>9</v>
      </c>
      <c r="W405">
        <v>0</v>
      </c>
      <c r="X405">
        <v>14.180791899999999</v>
      </c>
      <c r="Y405">
        <v>62.198602899999997</v>
      </c>
      <c r="Z405">
        <v>56.335370999999995</v>
      </c>
      <c r="AA405">
        <v>2</v>
      </c>
      <c r="AB405">
        <v>0</v>
      </c>
      <c r="AC405" t="s">
        <v>171</v>
      </c>
      <c r="AD405">
        <v>9</v>
      </c>
      <c r="AE405" t="s">
        <v>1418</v>
      </c>
      <c r="AF405">
        <v>10000000</v>
      </c>
      <c r="AG405" t="s">
        <v>310</v>
      </c>
      <c r="AH405">
        <v>7718.74</v>
      </c>
      <c r="AI405">
        <v>0</v>
      </c>
    </row>
    <row r="406" spans="1:35" x14ac:dyDescent="0.3">
      <c r="A406">
        <v>4176</v>
      </c>
      <c r="B406" t="s">
        <v>1294</v>
      </c>
      <c r="C406">
        <v>74</v>
      </c>
      <c r="D406" s="3">
        <v>45374.478134571757</v>
      </c>
      <c r="E406" t="s">
        <v>316</v>
      </c>
      <c r="F406" t="s">
        <v>317</v>
      </c>
      <c r="G406">
        <v>0</v>
      </c>
      <c r="H406" t="s">
        <v>310</v>
      </c>
      <c r="I406">
        <v>0</v>
      </c>
      <c r="J406">
        <v>0</v>
      </c>
      <c r="K406">
        <v>0</v>
      </c>
      <c r="L406" t="s">
        <v>310</v>
      </c>
      <c r="M406" t="s">
        <v>310</v>
      </c>
      <c r="N406">
        <v>0</v>
      </c>
      <c r="O406" t="s">
        <v>1391</v>
      </c>
      <c r="P406" t="s">
        <v>101</v>
      </c>
      <c r="Q406" t="s">
        <v>1400</v>
      </c>
      <c r="R406" t="s">
        <v>1404</v>
      </c>
      <c r="S406" t="s">
        <v>1411</v>
      </c>
      <c r="T406" t="s">
        <v>105</v>
      </c>
      <c r="U406">
        <v>9</v>
      </c>
      <c r="V406">
        <v>9</v>
      </c>
      <c r="W406">
        <v>0</v>
      </c>
      <c r="X406">
        <v>7.2205695999999993</v>
      </c>
      <c r="Y406">
        <v>10.1163475</v>
      </c>
      <c r="Z406">
        <v>114.8168616</v>
      </c>
      <c r="AA406">
        <v>0</v>
      </c>
      <c r="AB406">
        <v>0</v>
      </c>
      <c r="AC406" t="s">
        <v>173</v>
      </c>
      <c r="AD406">
        <v>9</v>
      </c>
      <c r="AE406" t="s">
        <v>1413</v>
      </c>
      <c r="AF406">
        <v>70000000</v>
      </c>
      <c r="AG406" t="s">
        <v>310</v>
      </c>
      <c r="AH406">
        <v>9076.74</v>
      </c>
      <c r="AI406">
        <v>0</v>
      </c>
    </row>
    <row r="407" spans="1:35" x14ac:dyDescent="0.3">
      <c r="A407">
        <v>4177</v>
      </c>
      <c r="B407" t="s">
        <v>1318</v>
      </c>
      <c r="C407">
        <v>74</v>
      </c>
      <c r="D407" s="3">
        <v>45374.478134641206</v>
      </c>
      <c r="E407" t="s">
        <v>316</v>
      </c>
      <c r="F407" t="s">
        <v>317</v>
      </c>
      <c r="G407">
        <v>1</v>
      </c>
      <c r="H407" t="s">
        <v>310</v>
      </c>
      <c r="I407">
        <v>0</v>
      </c>
      <c r="J407">
        <v>0</v>
      </c>
      <c r="K407">
        <v>0</v>
      </c>
      <c r="L407" t="s">
        <v>310</v>
      </c>
      <c r="M407" t="s">
        <v>310</v>
      </c>
      <c r="N407">
        <v>0</v>
      </c>
      <c r="O407" t="s">
        <v>319</v>
      </c>
      <c r="P407" t="s">
        <v>240</v>
      </c>
      <c r="Q407" t="s">
        <v>1399</v>
      </c>
      <c r="R407" t="s">
        <v>1405</v>
      </c>
      <c r="S407" t="s">
        <v>202</v>
      </c>
      <c r="T407" t="s">
        <v>1406</v>
      </c>
      <c r="U407">
        <v>0</v>
      </c>
      <c r="V407">
        <v>0</v>
      </c>
      <c r="W407">
        <v>8.709955299999999</v>
      </c>
      <c r="X407">
        <v>34.357908500000001</v>
      </c>
      <c r="Y407">
        <v>34.220766300000001</v>
      </c>
      <c r="Z407">
        <v>56.576416500000001</v>
      </c>
      <c r="AA407">
        <v>0</v>
      </c>
      <c r="AB407">
        <v>0</v>
      </c>
      <c r="AC407" t="s">
        <v>1408</v>
      </c>
      <c r="AD407">
        <v>0</v>
      </c>
      <c r="AE407" t="s">
        <v>1416</v>
      </c>
      <c r="AF407">
        <v>100000000</v>
      </c>
      <c r="AG407" t="s">
        <v>310</v>
      </c>
      <c r="AH407">
        <v>7709.74</v>
      </c>
      <c r="AI407">
        <v>0</v>
      </c>
    </row>
    <row r="408" spans="1:35" x14ac:dyDescent="0.3">
      <c r="A408">
        <v>4178</v>
      </c>
      <c r="B408" t="s">
        <v>366</v>
      </c>
      <c r="C408">
        <v>74</v>
      </c>
      <c r="D408" s="3">
        <v>45374.478134756944</v>
      </c>
      <c r="E408" t="s">
        <v>316</v>
      </c>
      <c r="F408" t="s">
        <v>317</v>
      </c>
      <c r="G408">
        <v>1</v>
      </c>
      <c r="H408" t="s">
        <v>310</v>
      </c>
      <c r="I408">
        <v>0</v>
      </c>
      <c r="J408">
        <v>0</v>
      </c>
      <c r="K408">
        <v>0</v>
      </c>
      <c r="L408" t="s">
        <v>310</v>
      </c>
      <c r="M408" t="s">
        <v>310</v>
      </c>
      <c r="N408">
        <v>0</v>
      </c>
      <c r="O408" t="s">
        <v>1393</v>
      </c>
      <c r="P408" t="s">
        <v>240</v>
      </c>
      <c r="Q408" t="s">
        <v>315</v>
      </c>
      <c r="R408" t="s">
        <v>1404</v>
      </c>
      <c r="S408" t="s">
        <v>1411</v>
      </c>
      <c r="T408" t="s">
        <v>105</v>
      </c>
      <c r="U408">
        <v>9</v>
      </c>
      <c r="V408">
        <v>9</v>
      </c>
      <c r="W408">
        <v>0</v>
      </c>
      <c r="X408">
        <v>38.304992499999997</v>
      </c>
      <c r="Y408">
        <v>19.0112989</v>
      </c>
      <c r="Z408">
        <v>74.910900099999992</v>
      </c>
      <c r="AA408">
        <v>1</v>
      </c>
      <c r="AB408">
        <v>0</v>
      </c>
      <c r="AC408" t="s">
        <v>174</v>
      </c>
      <c r="AD408">
        <v>0</v>
      </c>
      <c r="AE408" t="s">
        <v>1414</v>
      </c>
      <c r="AF408">
        <v>130000001</v>
      </c>
      <c r="AG408" t="s">
        <v>310</v>
      </c>
      <c r="AH408">
        <v>4122.74</v>
      </c>
      <c r="AI408">
        <v>0</v>
      </c>
    </row>
    <row r="409" spans="1:35" x14ac:dyDescent="0.3">
      <c r="A409">
        <v>4179</v>
      </c>
      <c r="B409" t="s">
        <v>1310</v>
      </c>
      <c r="C409">
        <v>74</v>
      </c>
      <c r="D409" s="3">
        <v>45374.478134837962</v>
      </c>
      <c r="E409" t="s">
        <v>316</v>
      </c>
      <c r="F409" t="s">
        <v>317</v>
      </c>
      <c r="G409">
        <v>0</v>
      </c>
      <c r="H409" t="s">
        <v>310</v>
      </c>
      <c r="I409">
        <v>0</v>
      </c>
      <c r="J409">
        <v>0</v>
      </c>
      <c r="K409">
        <v>0</v>
      </c>
      <c r="L409" t="s">
        <v>310</v>
      </c>
      <c r="M409" t="s">
        <v>310</v>
      </c>
      <c r="N409">
        <v>0</v>
      </c>
      <c r="O409" t="s">
        <v>1389</v>
      </c>
      <c r="P409" t="s">
        <v>101</v>
      </c>
      <c r="Q409" t="s">
        <v>1400</v>
      </c>
      <c r="R409" t="s">
        <v>321</v>
      </c>
      <c r="S409" t="s">
        <v>1411</v>
      </c>
      <c r="T409" t="s">
        <v>105</v>
      </c>
      <c r="U409">
        <v>9</v>
      </c>
      <c r="V409">
        <v>9</v>
      </c>
      <c r="W409">
        <v>0</v>
      </c>
      <c r="X409">
        <v>0</v>
      </c>
      <c r="Y409">
        <v>0</v>
      </c>
      <c r="Z409">
        <v>134.7971598</v>
      </c>
      <c r="AA409">
        <v>0</v>
      </c>
      <c r="AB409">
        <v>0</v>
      </c>
      <c r="AC409" t="s">
        <v>167</v>
      </c>
      <c r="AD409">
        <v>9</v>
      </c>
      <c r="AE409" t="s">
        <v>1412</v>
      </c>
      <c r="AF409">
        <v>0</v>
      </c>
      <c r="AG409" t="s">
        <v>310</v>
      </c>
      <c r="AH409">
        <v>6621.74</v>
      </c>
      <c r="AI409">
        <v>0</v>
      </c>
    </row>
    <row r="410" spans="1:35" x14ac:dyDescent="0.3">
      <c r="A410">
        <v>4180</v>
      </c>
      <c r="B410" t="s">
        <v>367</v>
      </c>
      <c r="C410">
        <v>74</v>
      </c>
      <c r="D410" s="3">
        <v>45374.47813491898</v>
      </c>
      <c r="E410" t="s">
        <v>316</v>
      </c>
      <c r="F410" t="s">
        <v>317</v>
      </c>
      <c r="G410">
        <v>0</v>
      </c>
      <c r="H410" t="s">
        <v>310</v>
      </c>
      <c r="I410">
        <v>0</v>
      </c>
      <c r="J410">
        <v>0</v>
      </c>
      <c r="K410">
        <v>0</v>
      </c>
      <c r="L410" t="s">
        <v>310</v>
      </c>
      <c r="M410" t="s">
        <v>310</v>
      </c>
      <c r="N410">
        <v>0</v>
      </c>
      <c r="O410" t="s">
        <v>1395</v>
      </c>
      <c r="P410" t="s">
        <v>1401</v>
      </c>
      <c r="Q410" t="s">
        <v>1400</v>
      </c>
      <c r="R410" t="s">
        <v>1404</v>
      </c>
      <c r="S410" t="s">
        <v>322</v>
      </c>
      <c r="T410" t="s">
        <v>105</v>
      </c>
      <c r="U410">
        <v>9</v>
      </c>
      <c r="V410">
        <v>9</v>
      </c>
      <c r="W410">
        <v>5.8433741999999995</v>
      </c>
      <c r="X410">
        <v>49.0961164</v>
      </c>
      <c r="Y410">
        <v>16.466494600000001</v>
      </c>
      <c r="Z410">
        <v>64.139207599999992</v>
      </c>
      <c r="AA410">
        <v>0</v>
      </c>
      <c r="AB410">
        <v>0</v>
      </c>
      <c r="AC410" t="s">
        <v>174</v>
      </c>
      <c r="AD410">
        <v>9</v>
      </c>
      <c r="AE410" t="s">
        <v>1417</v>
      </c>
      <c r="AF410">
        <v>60000000</v>
      </c>
      <c r="AG410" t="s">
        <v>310</v>
      </c>
      <c r="AH410">
        <v>5016.74</v>
      </c>
      <c r="AI410">
        <v>0</v>
      </c>
    </row>
    <row r="411" spans="1:35" x14ac:dyDescent="0.3">
      <c r="A411">
        <v>4234</v>
      </c>
      <c r="B411" t="s">
        <v>1276</v>
      </c>
      <c r="C411">
        <v>75</v>
      </c>
      <c r="D411" s="3">
        <v>45374.484301701392</v>
      </c>
      <c r="E411" t="s">
        <v>316</v>
      </c>
      <c r="F411" t="s">
        <v>317</v>
      </c>
      <c r="G411">
        <v>1</v>
      </c>
      <c r="H411" t="s">
        <v>310</v>
      </c>
      <c r="I411">
        <v>0</v>
      </c>
      <c r="J411">
        <v>0</v>
      </c>
      <c r="K411">
        <v>0</v>
      </c>
      <c r="L411" t="s">
        <v>310</v>
      </c>
      <c r="M411" t="s">
        <v>310</v>
      </c>
      <c r="N411">
        <v>0</v>
      </c>
      <c r="O411" t="s">
        <v>311</v>
      </c>
      <c r="P411" t="s">
        <v>320</v>
      </c>
      <c r="Q411" t="s">
        <v>1399</v>
      </c>
      <c r="R411" t="s">
        <v>1404</v>
      </c>
      <c r="S411" t="s">
        <v>1411</v>
      </c>
      <c r="T411" t="s">
        <v>105</v>
      </c>
      <c r="U411">
        <v>9</v>
      </c>
      <c r="V411">
        <v>9</v>
      </c>
      <c r="W411">
        <v>0</v>
      </c>
      <c r="X411">
        <v>0</v>
      </c>
      <c r="Y411">
        <v>33.521504</v>
      </c>
      <c r="Z411">
        <v>102.3606363</v>
      </c>
      <c r="AA411">
        <v>0</v>
      </c>
      <c r="AB411">
        <v>0</v>
      </c>
      <c r="AC411" t="s">
        <v>167</v>
      </c>
      <c r="AD411">
        <v>0</v>
      </c>
      <c r="AE411" t="s">
        <v>1418</v>
      </c>
      <c r="AF411">
        <v>0</v>
      </c>
      <c r="AG411" t="s">
        <v>310</v>
      </c>
      <c r="AH411">
        <v>229.75</v>
      </c>
      <c r="AI411">
        <v>0</v>
      </c>
    </row>
    <row r="412" spans="1:35" x14ac:dyDescent="0.3">
      <c r="A412">
        <v>4235</v>
      </c>
      <c r="B412" t="s">
        <v>1283</v>
      </c>
      <c r="C412">
        <v>75</v>
      </c>
      <c r="D412" s="3">
        <v>45374.484301851851</v>
      </c>
      <c r="E412" t="s">
        <v>316</v>
      </c>
      <c r="F412" t="s">
        <v>317</v>
      </c>
      <c r="G412">
        <v>0</v>
      </c>
      <c r="H412" t="s">
        <v>310</v>
      </c>
      <c r="I412">
        <v>0</v>
      </c>
      <c r="J412">
        <v>0</v>
      </c>
      <c r="K412">
        <v>0</v>
      </c>
      <c r="L412" t="s">
        <v>310</v>
      </c>
      <c r="M412" t="s">
        <v>310</v>
      </c>
      <c r="N412">
        <v>0</v>
      </c>
      <c r="O412" t="s">
        <v>1391</v>
      </c>
      <c r="P412" t="s">
        <v>320</v>
      </c>
      <c r="Q412" t="s">
        <v>1400</v>
      </c>
      <c r="R412" t="s">
        <v>1405</v>
      </c>
      <c r="S412" t="s">
        <v>202</v>
      </c>
      <c r="T412" t="s">
        <v>1407</v>
      </c>
      <c r="U412">
        <v>0</v>
      </c>
      <c r="V412">
        <v>0</v>
      </c>
      <c r="W412">
        <v>3.9575829999999996</v>
      </c>
      <c r="X412">
        <v>33.984183399999999</v>
      </c>
      <c r="Y412">
        <v>40.308189899999995</v>
      </c>
      <c r="Z412">
        <v>38.899009999999997</v>
      </c>
      <c r="AA412">
        <v>0</v>
      </c>
      <c r="AB412">
        <v>0</v>
      </c>
      <c r="AC412" t="s">
        <v>174</v>
      </c>
      <c r="AD412">
        <v>9</v>
      </c>
      <c r="AE412" t="s">
        <v>1413</v>
      </c>
      <c r="AF412">
        <v>10000000</v>
      </c>
      <c r="AG412" t="s">
        <v>310</v>
      </c>
      <c r="AH412">
        <v>1601.75</v>
      </c>
      <c r="AI412">
        <v>0</v>
      </c>
    </row>
    <row r="413" spans="1:35" x14ac:dyDescent="0.3">
      <c r="A413">
        <v>4236</v>
      </c>
      <c r="B413" t="s">
        <v>1306</v>
      </c>
      <c r="C413">
        <v>75</v>
      </c>
      <c r="D413" s="3">
        <v>45374.484301851851</v>
      </c>
      <c r="E413" t="s">
        <v>316</v>
      </c>
      <c r="F413" t="s">
        <v>317</v>
      </c>
      <c r="G413">
        <v>1</v>
      </c>
      <c r="H413" t="s">
        <v>310</v>
      </c>
      <c r="I413">
        <v>0</v>
      </c>
      <c r="J413">
        <v>0</v>
      </c>
      <c r="K413">
        <v>0</v>
      </c>
      <c r="L413" t="s">
        <v>310</v>
      </c>
      <c r="M413" t="s">
        <v>310</v>
      </c>
      <c r="N413">
        <v>0</v>
      </c>
      <c r="O413" t="s">
        <v>319</v>
      </c>
      <c r="P413" t="s">
        <v>1401</v>
      </c>
      <c r="Q413" t="s">
        <v>1400</v>
      </c>
      <c r="R413" t="s">
        <v>321</v>
      </c>
      <c r="S413" t="s">
        <v>1411</v>
      </c>
      <c r="T413" t="s">
        <v>105</v>
      </c>
      <c r="U413">
        <v>9</v>
      </c>
      <c r="V413">
        <v>9</v>
      </c>
      <c r="W413">
        <v>0</v>
      </c>
      <c r="X413">
        <v>41.701616899999998</v>
      </c>
      <c r="Y413">
        <v>34.509940100000001</v>
      </c>
      <c r="Z413">
        <v>60.940931499999998</v>
      </c>
      <c r="AA413">
        <v>0</v>
      </c>
      <c r="AB413">
        <v>1</v>
      </c>
      <c r="AC413" t="s">
        <v>174</v>
      </c>
      <c r="AD413">
        <v>9</v>
      </c>
      <c r="AE413" t="s">
        <v>1416</v>
      </c>
      <c r="AF413">
        <v>90000000</v>
      </c>
      <c r="AG413" t="s">
        <v>310</v>
      </c>
      <c r="AH413">
        <v>3986.75</v>
      </c>
      <c r="AI413">
        <v>0</v>
      </c>
    </row>
    <row r="414" spans="1:35" x14ac:dyDescent="0.3">
      <c r="A414">
        <v>4237</v>
      </c>
      <c r="B414" t="s">
        <v>362</v>
      </c>
      <c r="C414">
        <v>75</v>
      </c>
      <c r="D414" s="3">
        <v>45374.484302048608</v>
      </c>
      <c r="E414" t="s">
        <v>316</v>
      </c>
      <c r="F414" t="s">
        <v>317</v>
      </c>
      <c r="G414">
        <v>0</v>
      </c>
      <c r="H414" t="s">
        <v>310</v>
      </c>
      <c r="I414">
        <v>0</v>
      </c>
      <c r="J414">
        <v>0</v>
      </c>
      <c r="K414">
        <v>0</v>
      </c>
      <c r="L414" t="s">
        <v>310</v>
      </c>
      <c r="M414" t="s">
        <v>310</v>
      </c>
      <c r="N414">
        <v>0</v>
      </c>
      <c r="O414" t="s">
        <v>1393</v>
      </c>
      <c r="P414" t="s">
        <v>320</v>
      </c>
      <c r="Q414" t="s">
        <v>1400</v>
      </c>
      <c r="R414" t="s">
        <v>1404</v>
      </c>
      <c r="S414" t="s">
        <v>1411</v>
      </c>
      <c r="T414" t="s">
        <v>105</v>
      </c>
      <c r="U414">
        <v>9</v>
      </c>
      <c r="V414">
        <v>9</v>
      </c>
      <c r="W414">
        <v>0</v>
      </c>
      <c r="X414">
        <v>26.5295527</v>
      </c>
      <c r="Y414">
        <v>40.1480891</v>
      </c>
      <c r="Z414">
        <v>69.57169979999999</v>
      </c>
      <c r="AA414">
        <v>1</v>
      </c>
      <c r="AB414">
        <v>0</v>
      </c>
      <c r="AC414" t="s">
        <v>174</v>
      </c>
      <c r="AD414">
        <v>9</v>
      </c>
      <c r="AE414" t="s">
        <v>1414</v>
      </c>
      <c r="AF414">
        <v>60002000</v>
      </c>
      <c r="AG414" t="s">
        <v>310</v>
      </c>
      <c r="AH414">
        <v>250.75</v>
      </c>
      <c r="AI414">
        <v>0</v>
      </c>
    </row>
    <row r="415" spans="1:35" x14ac:dyDescent="0.3">
      <c r="A415">
        <v>4238</v>
      </c>
      <c r="B415" t="s">
        <v>1290</v>
      </c>
      <c r="C415">
        <v>75</v>
      </c>
      <c r="D415" s="3">
        <v>45374.484302048608</v>
      </c>
      <c r="E415" t="s">
        <v>316</v>
      </c>
      <c r="F415" t="s">
        <v>317</v>
      </c>
      <c r="G415">
        <v>0</v>
      </c>
      <c r="H415" t="s">
        <v>310</v>
      </c>
      <c r="I415">
        <v>0</v>
      </c>
      <c r="J415">
        <v>0</v>
      </c>
      <c r="K415">
        <v>0</v>
      </c>
      <c r="L415" t="s">
        <v>310</v>
      </c>
      <c r="M415" t="s">
        <v>310</v>
      </c>
      <c r="N415">
        <v>0</v>
      </c>
      <c r="O415" t="s">
        <v>1389</v>
      </c>
      <c r="P415" t="s">
        <v>101</v>
      </c>
      <c r="Q415" t="s">
        <v>1400</v>
      </c>
      <c r="R415" t="s">
        <v>1404</v>
      </c>
      <c r="S415" t="s">
        <v>1411</v>
      </c>
      <c r="T415" t="s">
        <v>105</v>
      </c>
      <c r="U415">
        <v>9</v>
      </c>
      <c r="V415">
        <v>9</v>
      </c>
      <c r="W415">
        <v>0</v>
      </c>
      <c r="X415">
        <v>48.003048799999995</v>
      </c>
      <c r="Y415">
        <v>29.241100899999999</v>
      </c>
      <c r="Z415">
        <v>60.585858899999998</v>
      </c>
      <c r="AA415">
        <v>0</v>
      </c>
      <c r="AB415">
        <v>0</v>
      </c>
      <c r="AC415" t="s">
        <v>171</v>
      </c>
      <c r="AD415">
        <v>9</v>
      </c>
      <c r="AE415" t="s">
        <v>1417</v>
      </c>
      <c r="AF415">
        <v>10000000</v>
      </c>
      <c r="AG415" t="s">
        <v>310</v>
      </c>
      <c r="AH415">
        <v>5881.75</v>
      </c>
      <c r="AI415">
        <v>0</v>
      </c>
    </row>
    <row r="416" spans="1:35" x14ac:dyDescent="0.3">
      <c r="A416">
        <v>4239</v>
      </c>
      <c r="B416" t="s">
        <v>363</v>
      </c>
      <c r="C416">
        <v>75</v>
      </c>
      <c r="D416" s="3">
        <v>45374.484302233795</v>
      </c>
      <c r="E416" t="s">
        <v>316</v>
      </c>
      <c r="F416" t="s">
        <v>317</v>
      </c>
      <c r="G416">
        <v>1</v>
      </c>
      <c r="H416" t="s">
        <v>310</v>
      </c>
      <c r="I416">
        <v>0</v>
      </c>
      <c r="J416">
        <v>0</v>
      </c>
      <c r="K416">
        <v>0</v>
      </c>
      <c r="L416" t="s">
        <v>310</v>
      </c>
      <c r="M416" t="s">
        <v>310</v>
      </c>
      <c r="N416">
        <v>0</v>
      </c>
      <c r="O416" t="s">
        <v>1395</v>
      </c>
      <c r="P416" t="s">
        <v>240</v>
      </c>
      <c r="Q416" t="s">
        <v>1399</v>
      </c>
      <c r="R416" t="s">
        <v>1405</v>
      </c>
      <c r="S416" t="s">
        <v>202</v>
      </c>
      <c r="T416" t="s">
        <v>1406</v>
      </c>
      <c r="U416">
        <v>0</v>
      </c>
      <c r="V416">
        <v>0</v>
      </c>
      <c r="W416">
        <v>8.0411628999999998</v>
      </c>
      <c r="X416">
        <v>19.638236599999999</v>
      </c>
      <c r="Y416">
        <v>31.147205</v>
      </c>
      <c r="Z416">
        <v>77.256840400000002</v>
      </c>
      <c r="AA416">
        <v>0</v>
      </c>
      <c r="AB416">
        <v>1</v>
      </c>
      <c r="AC416" t="s">
        <v>174</v>
      </c>
      <c r="AD416">
        <v>0</v>
      </c>
      <c r="AE416" t="s">
        <v>1412</v>
      </c>
      <c r="AF416">
        <v>140000000</v>
      </c>
      <c r="AG416" t="s">
        <v>310</v>
      </c>
      <c r="AH416">
        <v>2601.75</v>
      </c>
      <c r="AI416">
        <v>0</v>
      </c>
    </row>
    <row r="417" spans="1:35" x14ac:dyDescent="0.3">
      <c r="A417">
        <v>4301</v>
      </c>
      <c r="B417" t="s">
        <v>1289</v>
      </c>
      <c r="C417">
        <v>76</v>
      </c>
      <c r="D417" s="3">
        <v>45374.489923298614</v>
      </c>
      <c r="E417" t="s">
        <v>316</v>
      </c>
      <c r="F417" t="s">
        <v>317</v>
      </c>
      <c r="G417">
        <v>1</v>
      </c>
      <c r="H417" t="s">
        <v>310</v>
      </c>
      <c r="I417">
        <v>0</v>
      </c>
      <c r="J417">
        <v>0</v>
      </c>
      <c r="K417">
        <v>0</v>
      </c>
      <c r="L417" t="s">
        <v>310</v>
      </c>
      <c r="M417" t="s">
        <v>310</v>
      </c>
      <c r="N417">
        <v>0</v>
      </c>
      <c r="O417" t="s">
        <v>311</v>
      </c>
      <c r="P417" t="s">
        <v>320</v>
      </c>
      <c r="Q417" t="s">
        <v>1400</v>
      </c>
      <c r="R417" t="s">
        <v>1405</v>
      </c>
      <c r="S417" t="s">
        <v>202</v>
      </c>
      <c r="T417" t="s">
        <v>1407</v>
      </c>
      <c r="U417">
        <v>0</v>
      </c>
      <c r="V417">
        <v>0</v>
      </c>
      <c r="W417">
        <v>0.3729267</v>
      </c>
      <c r="X417">
        <v>0</v>
      </c>
      <c r="Y417">
        <v>40.980703599999998</v>
      </c>
      <c r="Z417">
        <v>84.483252199999995</v>
      </c>
      <c r="AA417">
        <v>1</v>
      </c>
      <c r="AB417">
        <v>0</v>
      </c>
      <c r="AC417" t="s">
        <v>170</v>
      </c>
      <c r="AD417">
        <v>9</v>
      </c>
      <c r="AE417" t="s">
        <v>1418</v>
      </c>
      <c r="AF417">
        <v>0</v>
      </c>
      <c r="AG417" t="s">
        <v>310</v>
      </c>
      <c r="AH417">
        <v>6648.76</v>
      </c>
      <c r="AI417">
        <v>0</v>
      </c>
    </row>
    <row r="418" spans="1:35" x14ac:dyDescent="0.3">
      <c r="A418">
        <v>4302</v>
      </c>
      <c r="B418" t="s">
        <v>1275</v>
      </c>
      <c r="C418">
        <v>76</v>
      </c>
      <c r="D418" s="3">
        <v>45374.48992349537</v>
      </c>
      <c r="E418" t="s">
        <v>316</v>
      </c>
      <c r="F418" t="s">
        <v>317</v>
      </c>
      <c r="G418">
        <v>1</v>
      </c>
      <c r="H418" t="s">
        <v>310</v>
      </c>
      <c r="I418">
        <v>0</v>
      </c>
      <c r="J418">
        <v>0</v>
      </c>
      <c r="K418">
        <v>0</v>
      </c>
      <c r="L418" t="s">
        <v>310</v>
      </c>
      <c r="M418" t="s">
        <v>310</v>
      </c>
      <c r="N418">
        <v>0</v>
      </c>
      <c r="O418" t="s">
        <v>1391</v>
      </c>
      <c r="P418" t="s">
        <v>1401</v>
      </c>
      <c r="Q418" t="s">
        <v>1400</v>
      </c>
      <c r="R418" t="s">
        <v>321</v>
      </c>
      <c r="S418" t="s">
        <v>1411</v>
      </c>
      <c r="T418" t="s">
        <v>105</v>
      </c>
      <c r="U418">
        <v>9</v>
      </c>
      <c r="V418">
        <v>9</v>
      </c>
      <c r="W418">
        <v>0</v>
      </c>
      <c r="X418">
        <v>58.522793699999994</v>
      </c>
      <c r="Y418">
        <v>18.9900816</v>
      </c>
      <c r="Z418">
        <v>58.971914499999997</v>
      </c>
      <c r="AA418">
        <v>0</v>
      </c>
      <c r="AB418">
        <v>0</v>
      </c>
      <c r="AC418" t="s">
        <v>174</v>
      </c>
      <c r="AD418">
        <v>9</v>
      </c>
      <c r="AE418" t="s">
        <v>1413</v>
      </c>
      <c r="AF418">
        <v>40000000</v>
      </c>
      <c r="AG418" t="s">
        <v>310</v>
      </c>
      <c r="AH418">
        <v>1880.76</v>
      </c>
      <c r="AI418">
        <v>0</v>
      </c>
    </row>
    <row r="419" spans="1:35" x14ac:dyDescent="0.3">
      <c r="A419">
        <v>4303</v>
      </c>
      <c r="B419" t="s">
        <v>1312</v>
      </c>
      <c r="C419">
        <v>76</v>
      </c>
      <c r="D419" s="3">
        <v>45374.489923692126</v>
      </c>
      <c r="E419" t="s">
        <v>316</v>
      </c>
      <c r="F419" t="s">
        <v>317</v>
      </c>
      <c r="G419">
        <v>1</v>
      </c>
      <c r="H419" t="s">
        <v>310</v>
      </c>
      <c r="I419">
        <v>0</v>
      </c>
      <c r="J419">
        <v>0</v>
      </c>
      <c r="K419">
        <v>0</v>
      </c>
      <c r="L419" t="s">
        <v>310</v>
      </c>
      <c r="M419" t="s">
        <v>310</v>
      </c>
      <c r="N419">
        <v>0</v>
      </c>
      <c r="O419" t="s">
        <v>319</v>
      </c>
      <c r="P419" t="s">
        <v>240</v>
      </c>
      <c r="Q419" t="s">
        <v>1399</v>
      </c>
      <c r="R419" t="s">
        <v>1405</v>
      </c>
      <c r="S419" t="s">
        <v>202</v>
      </c>
      <c r="T419" t="s">
        <v>1406</v>
      </c>
      <c r="U419">
        <v>0</v>
      </c>
      <c r="V419">
        <v>1</v>
      </c>
      <c r="W419">
        <v>7.5099057999999994</v>
      </c>
      <c r="X419">
        <v>42.519655499999999</v>
      </c>
      <c r="Y419">
        <v>24.060066799999998</v>
      </c>
      <c r="Z419">
        <v>51.384464699999995</v>
      </c>
      <c r="AA419">
        <v>0</v>
      </c>
      <c r="AB419">
        <v>0</v>
      </c>
      <c r="AC419" t="s">
        <v>174</v>
      </c>
      <c r="AD419">
        <v>1</v>
      </c>
      <c r="AE419" t="s">
        <v>1416</v>
      </c>
      <c r="AF419">
        <v>110000000</v>
      </c>
      <c r="AG419" t="s">
        <v>310</v>
      </c>
      <c r="AH419">
        <v>2053.7600000000002</v>
      </c>
      <c r="AI419">
        <v>0</v>
      </c>
    </row>
    <row r="420" spans="1:35" x14ac:dyDescent="0.3">
      <c r="A420">
        <v>4304</v>
      </c>
      <c r="B420" t="s">
        <v>1295</v>
      </c>
      <c r="C420">
        <v>76</v>
      </c>
      <c r="D420" s="3">
        <v>45374.489923877314</v>
      </c>
      <c r="E420" t="s">
        <v>316</v>
      </c>
      <c r="F420" t="s">
        <v>317</v>
      </c>
      <c r="G420">
        <v>1</v>
      </c>
      <c r="H420" t="s">
        <v>310</v>
      </c>
      <c r="I420">
        <v>0</v>
      </c>
      <c r="J420">
        <v>0</v>
      </c>
      <c r="K420">
        <v>0</v>
      </c>
      <c r="L420" t="s">
        <v>310</v>
      </c>
      <c r="M420" t="s">
        <v>310</v>
      </c>
      <c r="N420">
        <v>0</v>
      </c>
      <c r="O420" t="s">
        <v>1393</v>
      </c>
      <c r="P420" t="s">
        <v>1401</v>
      </c>
      <c r="Q420" t="s">
        <v>1399</v>
      </c>
      <c r="R420" t="s">
        <v>1405</v>
      </c>
      <c r="S420" t="s">
        <v>202</v>
      </c>
      <c r="T420" t="s">
        <v>1407</v>
      </c>
      <c r="U420">
        <v>0</v>
      </c>
      <c r="V420">
        <v>0</v>
      </c>
      <c r="W420">
        <v>4.1841276000000001</v>
      </c>
      <c r="X420">
        <v>46.483920699999999</v>
      </c>
      <c r="Y420">
        <v>15.550419699999999</v>
      </c>
      <c r="Z420">
        <v>67.897711399999991</v>
      </c>
      <c r="AA420">
        <v>0</v>
      </c>
      <c r="AB420">
        <v>1</v>
      </c>
      <c r="AC420" t="s">
        <v>174</v>
      </c>
      <c r="AD420">
        <v>0</v>
      </c>
      <c r="AE420" t="s">
        <v>1412</v>
      </c>
      <c r="AF420">
        <v>90000000</v>
      </c>
      <c r="AG420" t="s">
        <v>310</v>
      </c>
      <c r="AH420">
        <v>6300.76</v>
      </c>
      <c r="AI420">
        <v>0</v>
      </c>
    </row>
    <row r="421" spans="1:35" x14ac:dyDescent="0.3">
      <c r="A421">
        <v>4305</v>
      </c>
      <c r="B421" t="s">
        <v>1301</v>
      </c>
      <c r="C421">
        <v>76</v>
      </c>
      <c r="D421" s="3">
        <v>45374.48992403935</v>
      </c>
      <c r="E421" t="s">
        <v>316</v>
      </c>
      <c r="F421" t="s">
        <v>317</v>
      </c>
      <c r="G421">
        <v>0</v>
      </c>
      <c r="H421" t="s">
        <v>310</v>
      </c>
      <c r="I421">
        <v>0</v>
      </c>
      <c r="J421">
        <v>0</v>
      </c>
      <c r="K421">
        <v>0</v>
      </c>
      <c r="L421" t="s">
        <v>310</v>
      </c>
      <c r="M421" t="s">
        <v>310</v>
      </c>
      <c r="N421">
        <v>0</v>
      </c>
      <c r="O421" t="s">
        <v>1389</v>
      </c>
      <c r="P421" t="s">
        <v>101</v>
      </c>
      <c r="Q421" t="s">
        <v>1400</v>
      </c>
      <c r="R421" t="s">
        <v>1404</v>
      </c>
      <c r="S421" t="s">
        <v>1411</v>
      </c>
      <c r="T421" t="s">
        <v>105</v>
      </c>
      <c r="U421">
        <v>9</v>
      </c>
      <c r="V421">
        <v>9</v>
      </c>
      <c r="W421">
        <v>0</v>
      </c>
      <c r="X421">
        <v>0</v>
      </c>
      <c r="Y421">
        <v>73.235573899999991</v>
      </c>
      <c r="Z421">
        <v>61.316415899999996</v>
      </c>
      <c r="AA421">
        <v>1</v>
      </c>
      <c r="AB421">
        <v>0</v>
      </c>
      <c r="AC421" t="s">
        <v>170</v>
      </c>
      <c r="AD421">
        <v>9</v>
      </c>
      <c r="AE421" t="s">
        <v>1414</v>
      </c>
      <c r="AF421">
        <v>0</v>
      </c>
      <c r="AG421" t="s">
        <v>310</v>
      </c>
      <c r="AH421">
        <v>7031.76</v>
      </c>
      <c r="AI421">
        <v>0</v>
      </c>
    </row>
    <row r="422" spans="1:35" x14ac:dyDescent="0.3">
      <c r="A422">
        <v>4306</v>
      </c>
      <c r="B422" t="s">
        <v>1286</v>
      </c>
      <c r="C422">
        <v>76</v>
      </c>
      <c r="D422" s="3">
        <v>45374.489924224537</v>
      </c>
      <c r="E422" t="s">
        <v>316</v>
      </c>
      <c r="F422" t="s">
        <v>317</v>
      </c>
      <c r="G422">
        <v>1</v>
      </c>
      <c r="H422" t="s">
        <v>310</v>
      </c>
      <c r="I422">
        <v>0</v>
      </c>
      <c r="J422">
        <v>0</v>
      </c>
      <c r="K422">
        <v>0</v>
      </c>
      <c r="L422" t="s">
        <v>310</v>
      </c>
      <c r="M422" t="s">
        <v>310</v>
      </c>
      <c r="N422">
        <v>0</v>
      </c>
      <c r="O422" t="s">
        <v>1395</v>
      </c>
      <c r="P422" t="s">
        <v>240</v>
      </c>
      <c r="Q422" t="s">
        <v>1400</v>
      </c>
      <c r="R422" t="s">
        <v>1405</v>
      </c>
      <c r="S422" t="s">
        <v>202</v>
      </c>
      <c r="T422" t="s">
        <v>1406</v>
      </c>
      <c r="U422">
        <v>0</v>
      </c>
      <c r="V422">
        <v>0</v>
      </c>
      <c r="W422">
        <v>3.7595118999999997</v>
      </c>
      <c r="X422">
        <v>51.986603699999996</v>
      </c>
      <c r="Y422">
        <v>26.229976300000001</v>
      </c>
      <c r="Z422">
        <v>39.2500231</v>
      </c>
      <c r="AA422">
        <v>0</v>
      </c>
      <c r="AB422">
        <v>0</v>
      </c>
      <c r="AC422" t="s">
        <v>174</v>
      </c>
      <c r="AD422">
        <v>9</v>
      </c>
      <c r="AE422" t="s">
        <v>1417</v>
      </c>
      <c r="AF422">
        <v>140000000</v>
      </c>
      <c r="AG422" t="s">
        <v>310</v>
      </c>
      <c r="AH422">
        <v>1591.76</v>
      </c>
      <c r="AI422">
        <v>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E158C-AAA9-477D-907B-B542C91DFE43}">
  <sheetPr codeName="Sheet12">
    <tabColor rgb="FF7030A0"/>
  </sheetPr>
  <dimension ref="A1:AJ53"/>
  <sheetViews>
    <sheetView topLeftCell="Q1" workbookViewId="0">
      <pane ySplit="2" topLeftCell="A3" activePane="bottomLeft" state="frozen"/>
      <selection pane="bottomLeft" activeCell="AC3" sqref="AC3"/>
    </sheetView>
  </sheetViews>
  <sheetFormatPr defaultRowHeight="14.4" x14ac:dyDescent="0.3"/>
  <cols>
    <col min="1" max="1" width="8.21875" bestFit="1" customWidth="1"/>
    <col min="2" max="2" width="9.6640625" style="1" bestFit="1" customWidth="1"/>
    <col min="3" max="3" width="7.88671875" style="1" bestFit="1" customWidth="1"/>
    <col min="4" max="4" width="7.6640625" bestFit="1" customWidth="1"/>
    <col min="5" max="5" width="11.88671875" style="66" bestFit="1" customWidth="1"/>
    <col min="6" max="6" width="11.6640625" style="66" bestFit="1" customWidth="1"/>
    <col min="7" max="7" width="11.77734375" bestFit="1" customWidth="1"/>
    <col min="8" max="8" width="11.21875" style="66" bestFit="1" customWidth="1"/>
    <col min="9" max="9" width="11" style="66" bestFit="1" customWidth="1"/>
    <col min="10" max="10" width="11.109375" bestFit="1" customWidth="1"/>
    <col min="11" max="11" width="11" style="66" bestFit="1" customWidth="1"/>
    <col min="12" max="12" width="10.77734375" style="66" bestFit="1" customWidth="1"/>
    <col min="13" max="13" width="10.88671875" bestFit="1" customWidth="1"/>
    <col min="14" max="14" width="10.88671875" style="66" bestFit="1" customWidth="1"/>
    <col min="15" max="15" width="10.6640625" style="66" bestFit="1" customWidth="1"/>
    <col min="16" max="16" width="10.77734375" bestFit="1" customWidth="1"/>
    <col min="17" max="17" width="12.109375" style="66" bestFit="1" customWidth="1"/>
    <col min="18" max="18" width="11.88671875" style="66" bestFit="1" customWidth="1"/>
    <col min="19" max="19" width="12" bestFit="1" customWidth="1"/>
    <col min="20" max="20" width="11.88671875" style="66" bestFit="1" customWidth="1"/>
    <col min="21" max="21" width="11.6640625" style="66" bestFit="1" customWidth="1"/>
    <col min="22" max="22" width="11.77734375" style="59" bestFit="1" customWidth="1"/>
    <col min="23" max="23" width="12.21875" style="66" bestFit="1" customWidth="1"/>
    <col min="24" max="24" width="12" style="66" bestFit="1" customWidth="1"/>
    <col min="25" max="25" width="11.88671875" style="66" bestFit="1" customWidth="1"/>
    <col min="26" max="26" width="12" bestFit="1" customWidth="1"/>
    <col min="27" max="27" width="11.77734375" bestFit="1" customWidth="1"/>
    <col min="28" max="28" width="11.6640625" bestFit="1" customWidth="1"/>
    <col min="29" max="31" width="8.44140625" bestFit="1" customWidth="1"/>
    <col min="32" max="32" width="8.44140625" customWidth="1"/>
    <col min="33" max="36" width="8.44140625" bestFit="1" customWidth="1"/>
  </cols>
  <sheetData>
    <row r="1" spans="1:36" x14ac:dyDescent="0.3">
      <c r="A1" s="190" t="s">
        <v>323</v>
      </c>
      <c r="B1" s="190"/>
      <c r="C1" s="190"/>
      <c r="D1" s="190"/>
      <c r="E1" s="191" t="s">
        <v>324</v>
      </c>
      <c r="F1" s="191"/>
      <c r="G1" s="191"/>
      <c r="H1" s="191"/>
      <c r="I1" s="191"/>
      <c r="J1" s="191"/>
      <c r="K1" s="191"/>
      <c r="L1" s="191"/>
      <c r="M1" s="191"/>
      <c r="N1" s="191"/>
      <c r="O1" s="191"/>
      <c r="P1" s="191"/>
      <c r="Q1" s="191"/>
      <c r="R1" s="191"/>
      <c r="S1" s="191"/>
      <c r="T1" s="191"/>
      <c r="U1" s="191"/>
      <c r="V1" s="192"/>
      <c r="W1" s="94"/>
      <c r="AC1" s="191" t="s">
        <v>325</v>
      </c>
      <c r="AD1" s="191"/>
      <c r="AE1" s="191"/>
      <c r="AF1" s="191"/>
      <c r="AG1" s="191"/>
      <c r="AH1" s="191"/>
      <c r="AI1" s="191"/>
      <c r="AJ1" s="191"/>
    </row>
    <row r="2" spans="1:36" x14ac:dyDescent="0.3">
      <c r="A2" t="s">
        <v>326</v>
      </c>
      <c r="B2" s="1" t="s">
        <v>95</v>
      </c>
      <c r="C2" t="s">
        <v>141</v>
      </c>
      <c r="D2" s="1" t="s">
        <v>327</v>
      </c>
      <c r="E2" s="110" t="s">
        <v>328</v>
      </c>
      <c r="F2" s="110" t="s">
        <v>329</v>
      </c>
      <c r="G2" s="68" t="s">
        <v>330</v>
      </c>
      <c r="H2" s="110" t="s">
        <v>331</v>
      </c>
      <c r="I2" s="110" t="s">
        <v>332</v>
      </c>
      <c r="J2" s="68" t="s">
        <v>333</v>
      </c>
      <c r="K2" s="110" t="s">
        <v>334</v>
      </c>
      <c r="L2" s="110" t="s">
        <v>335</v>
      </c>
      <c r="M2" s="68" t="s">
        <v>336</v>
      </c>
      <c r="N2" s="110" t="s">
        <v>337</v>
      </c>
      <c r="O2" s="110" t="s">
        <v>338</v>
      </c>
      <c r="P2" s="68" t="s">
        <v>339</v>
      </c>
      <c r="Q2" s="110" t="s">
        <v>340</v>
      </c>
      <c r="R2" s="110" t="s">
        <v>341</v>
      </c>
      <c r="S2" s="68" t="s">
        <v>342</v>
      </c>
      <c r="T2" s="110" t="s">
        <v>343</v>
      </c>
      <c r="U2" s="110" t="s">
        <v>344</v>
      </c>
      <c r="V2" s="69" t="s">
        <v>345</v>
      </c>
      <c r="W2" s="110" t="s">
        <v>346</v>
      </c>
      <c r="X2" s="110" t="s">
        <v>347</v>
      </c>
      <c r="Y2" s="110" t="s">
        <v>348</v>
      </c>
      <c r="Z2" s="117" t="s">
        <v>349</v>
      </c>
      <c r="AA2" s="117" t="s">
        <v>350</v>
      </c>
      <c r="AB2" s="117" t="s">
        <v>351</v>
      </c>
      <c r="AC2" t="s">
        <v>352</v>
      </c>
      <c r="AD2" t="s">
        <v>353</v>
      </c>
      <c r="AE2" t="s">
        <v>354</v>
      </c>
      <c r="AF2" t="s">
        <v>355</v>
      </c>
      <c r="AG2" t="s">
        <v>356</v>
      </c>
      <c r="AH2" t="s">
        <v>357</v>
      </c>
      <c r="AI2" t="s">
        <v>358</v>
      </c>
      <c r="AJ2" t="s">
        <v>359</v>
      </c>
    </row>
    <row r="3" spans="1:36" x14ac:dyDescent="0.3">
      <c r="A3" t="s">
        <v>1419</v>
      </c>
      <c r="B3" s="1">
        <v>5</v>
      </c>
      <c r="C3" t="s">
        <v>1286</v>
      </c>
      <c r="D3" s="1">
        <v>931</v>
      </c>
      <c r="E3" s="66">
        <f>IFERROR(AVERAGEIFS(TBA_Matches_All[Score], TBA_Matches_All[Team],TBA_Rankings[[#This Row],[Team]],TBA_Matches_All[Scouted],"&gt;0"),0)</f>
        <v>75</v>
      </c>
      <c r="F3" s="66">
        <f>IFERROR(AVERAGEIFS(TBA_Matches_All[TotptsC], TBA_Matches_All[Team],TBA_Rankings[[#This Row],[Team]],TBA_Matches_All[Scouted],"&gt;0"),0)</f>
        <v>41.0625</v>
      </c>
      <c r="G3" s="59">
        <f>IFERROR(TBA_Rankings[[#This Row],[avescoreT]]/TBA_Rankings[[#This Row],[avescoreA]],0)</f>
        <v>0.54749999999999999</v>
      </c>
      <c r="H3" s="66">
        <f>IFERROR(SUM(AVERAGEIFS(TBA_Matches_All[Aamp],TBA_Matches_All[Team],TBA_Rankings[[#This Row],[Team]],TBA_Matches_All[Scouted],"&gt;0")+AVERAGEIFS(TBA_Matches_All[Tamp],TBA_Matches_All[Team],TBA_Rankings[[#This Row],[Team]],TBA_Matches_All[Scouted],"&gt;0")),0)</f>
        <v>1.5714285714285714</v>
      </c>
      <c r="I3" s="66">
        <f>IFERROR(SUM(AVERAGEIFS(TBA_Matches_All[AampT],TBA_Matches_All[Team],TBA_Rankings[[#This Row],[Team]],TBA_Matches_All[Scouted],"&gt;0")+AVERAGEIFS(TBA_Matches_All[TampT],TBA_Matches_All[Team],TBA_Rankings[[#This Row],[Team]],TBA_Matches_All[Scouted],"&gt;0")),0)</f>
        <v>1.1428571428571428</v>
      </c>
      <c r="J3" s="59">
        <f>IFERROR(TBA_Rankings[[#This Row],[aveampT]]/TBA_Rankings[[#This Row],[aveampA]],0)</f>
        <v>0.72727272727272729</v>
      </c>
      <c r="K3" s="66">
        <f>IFERROR(SUM(AVERAGEIFS(TBA_Matches_All[Aspkr],TBA_Matches_All[Team],TBA_Rankings[[#This Row],[Team]],TBA_Matches_All[Scouted],"&gt;0")+AVERAGEIFS(TBA_Matches_All[Tspkr],TBA_Matches_All[Team],TBA_Rankings[[#This Row],[Team]],TBA_Matches_All[Scouted],"&gt;0")),0)</f>
        <v>20.142857142857142</v>
      </c>
      <c r="L3" s="66">
        <f>IFERROR(SUM(AVERAGEIFS(TBA_Matches_All[AspkrT],TBA_Matches_All[Team],TBA_Rankings[[#This Row],[Team]],TBA_Matches_All[Scouted],"&gt;0")+AVERAGEIFS(TBA_Matches_All[TspkrT],TBA_Matches_All[Team],TBA_Rankings[[#This Row],[Team]],TBA_Matches_All[Scouted],"&gt;0")),0)</f>
        <v>12.285714285714285</v>
      </c>
      <c r="M3" s="59">
        <f>IFERROR(TBA_Rankings[[#This Row],[avespkrT]]/TBA_Rankings[[#This Row],[avespkrA]],0)</f>
        <v>0.60992907801418439</v>
      </c>
      <c r="N3" s="66">
        <f>IFERROR(AVERAGEIFS(TBA_Matches_All[Trap],TBA_Matches_All[Team],TBA_Rankings[[#This Row],[Team]],TBA_Matches_All[Scouted],"&gt;0"),0)</f>
        <v>0</v>
      </c>
      <c r="O3" s="66">
        <f>IFERROR(SUM(AVERAGEIFS(TBA_Matches_All[AtrapT],TBA_Matches_All[Team],TBA_Rankings[[#This Row],[Team]],TBA_Matches_All[Scouted],"&gt;0")+AVERAGEIFS(TBA_Matches_All[TtrapT],TBA_Matches_All[Team],TBA_Rankings[[#This Row],[Team]],TBA_Matches_All[Scouted],"&gt;0")),0)</f>
        <v>0</v>
      </c>
      <c r="P3" s="59">
        <f>IFERROR(TBA_Rankings[[#This Row],[avetrapT]]/TBA_Rankings[[#This Row],[avetrapA]],0)</f>
        <v>0</v>
      </c>
      <c r="Q3" s="66">
        <f>IFERROR(AVERAGEIFS(TBA_Matches_All[TotNotes],TBA_Matches_All[Team],TBA_Rankings[[#This Row],[Team]],TBA_Matches_All[Scouted],"&gt;0"),0)</f>
        <v>21.714285714285715</v>
      </c>
      <c r="R3" s="66">
        <f>IFERROR(AVERAGEIFS(TBA_Matches_All[TotNotesT],TBA_Matches_All[Team],TBA_Rankings[[#This Row],[Team]],TBA_Matches_All[Scouted],"&gt;0"),0)</f>
        <v>13.428571428571429</v>
      </c>
      <c r="S3" s="59">
        <f>IFERROR(TBA_Rankings[[#This Row],[avenotesT]]/TBA_Rankings[[#This Row],[avenotesA]],0)</f>
        <v>0.61842105263157898</v>
      </c>
      <c r="T3" s="66">
        <f>IFERROR(AVERAGEIFS(TBA_Matches_All[StagePts],TBA_Matches_All[Team],TBA_Rankings[[#This Row],[Team]],TBA_Matches_All[Scouted],"&gt;0"),0)</f>
        <v>7.7142857142857144</v>
      </c>
      <c r="U3" s="66">
        <f>IFERROR(AVERAGEIFS(TBA_Matches_All[stageptsT],TBA_Matches_All[Team],TBA_Rankings[[#This Row],[Team]],TBA_Matches_All[Scouted],"&gt;0"),0)</f>
        <v>3</v>
      </c>
      <c r="V3" s="59">
        <f>IFERROR(TBA_Rankings[[#This Row],[avestageT]]/TBA_Rankings[[#This Row],[avestageA]],0)</f>
        <v>0.3888888888888889</v>
      </c>
      <c r="W3" s="66">
        <f>IFERROR(AVERAGEIFS(TBA_Matches_All[AampT],TBA_Matches_All[Team],TBA_Rankings[[#This Row],[Team]],TBA_Matches_All[Scouted],"&gt;0"),0)</f>
        <v>0</v>
      </c>
      <c r="X3" s="66">
        <f>IFERROR(AVERAGEIFS(TBA_Matches_All[AspkrT],TBA_Matches_All[Team],TBA_Rankings[[#This Row],[Team]],TBA_Matches_All[Scouted],"&gt;0"),0)</f>
        <v>3.1428571428571428</v>
      </c>
      <c r="Y3" s="66">
        <f>IFERROR(AVERAGEIFS(TBA_Matches_All[AtrapT],TBA_Matches_All[Team],TBA_Rankings[[#This Row],[Team]],TBA_Matches_All[Scouted],"&gt;0"),0)</f>
        <v>0</v>
      </c>
      <c r="Z3" s="66">
        <f>IFERROR(AVERAGEIFS(TBA_Matches_All[TampT],TBA_Matches_All[Team],TBA_Rankings[[#This Row],[Team]],TBA_Matches_All[Scouted],"&gt;0"),0)</f>
        <v>1.1428571428571428</v>
      </c>
      <c r="AA3" s="66">
        <f>IFERROR(AVERAGEIFS(TBA_Matches_All[TspkrT],TBA_Matches_All[Team],TBA_Rankings[[#This Row],[Team]],TBA_Matches_All[Scouted],"&gt;0"),0)</f>
        <v>9.1428571428571423</v>
      </c>
      <c r="AB3" s="66">
        <f>IFERROR(AVERAGEIFS(TBA_Matches_All[TtrapT],TBA_Matches_All[Team],TBA_Rankings[[#This Row],[Team]],TBA_Matches_All[Scouted],"&gt;0"),0)</f>
        <v>0</v>
      </c>
      <c r="AC3" s="66">
        <f>IFERROR(AVERAGEIFS(TBA_Matches_All[ATTNDDiff],TBA_Matches_All[Team],TBA_Rankings[[#This Row],[Team]],TBA_Matches_All[Defense],3,TBA_Matches_All[Scouted],"&gt;0"),0)</f>
        <v>0</v>
      </c>
      <c r="AD3" s="66">
        <f>IFERROR(AVERAGEIFS(TBA_Matches_All[ATTNDDiff],TBA_Matches_All[Team],TBA_Rankings[[#This Row],[Team]],TBA_Matches_All[Defense],2,TBA_Matches_All[Scouted],"&gt;0"),0)</f>
        <v>0</v>
      </c>
      <c r="AE3" s="66">
        <f>IFERROR(AVERAGEIFS(TBA_Matches_All[ATTNDDiff],TBA_Matches_All[Team],TBA_Rankings[[#This Row],[Team]],TBA_Matches_All[Defense],1,TBA_Matches_All[Scouted],"&gt;0"),0)</f>
        <v>0</v>
      </c>
      <c r="AF3" s="66">
        <f>IFERROR(AVERAGEIFS(TBA_Matches_All[ATTNDDiff],TBA_Matches_All[Team],TBA_Rankings[[#This Row],[Team]],TBA_Matches_All[Defense],0,TBA_Matches_All[Scouted],"&gt;0"),0)</f>
        <v>0</v>
      </c>
      <c r="AG3" s="66">
        <f>IFERROR(AVERAGEIFS(TBA_Matches_All[ATTNDDiff],TBA_Matches_All[Team],TBA_Rankings[[#This Row],[Team]],TBA_Matches_All[Avoid],3,TBA_Matches_All[Scouted],"&gt;0"),0)</f>
        <v>0</v>
      </c>
      <c r="AH3" s="66">
        <f>IFERROR(AVERAGEIFS(TBA_Matches_All[ATTNDDiff],TBA_Matches_All[Team],TBA_Rankings[[#This Row],[Team]],TBA_Matches_All[Avoid],2,TBA_Matches_All[Scouted],"&gt;0"),0)</f>
        <v>0</v>
      </c>
      <c r="AI3" s="66">
        <f>IFERROR(AVERAGEIFS(TBA_Matches_All[ATTNDDiff],TBA_Matches_All[Team],TBA_Rankings[[#This Row],[Team]],TBA_Matches_All[Avoid],1,TBA_Matches_All[Scouted],"&gt;0"),0)</f>
        <v>-2.088541666666667</v>
      </c>
      <c r="AJ3" s="66">
        <f>IFERROR(AVERAGEIFS(TBA_Matches_All[ATTNDDiff],TBA_Matches_All[Team],TBA_Rankings[[#This Row],[Team]],TBA_Matches_All[Avoid],0,TBA_Matches_All[Scouted],"&gt;0"),0)</f>
        <v>2.7847222222222228</v>
      </c>
    </row>
    <row r="4" spans="1:36" x14ac:dyDescent="0.3">
      <c r="A4" t="s">
        <v>1419</v>
      </c>
      <c r="B4" s="1">
        <v>3</v>
      </c>
      <c r="C4" t="s">
        <v>1308</v>
      </c>
      <c r="D4" s="1">
        <v>612</v>
      </c>
      <c r="E4" s="66">
        <f>IFERROR(AVERAGEIFS(TBA_Matches_All[Score], TBA_Matches_All[Team],TBA_Rankings[[#This Row],[Team]],TBA_Matches_All[Scouted],"&gt;0"),0)</f>
        <v>75.2</v>
      </c>
      <c r="F4" s="66">
        <f>IFERROR(AVERAGEIFS(TBA_Matches_All[TotptsC], TBA_Matches_All[Team],TBA_Rankings[[#This Row],[Team]],TBA_Matches_All[Scouted],"&gt;0"),0)</f>
        <v>31.39160839160839</v>
      </c>
      <c r="G4" s="59">
        <f>IFERROR(TBA_Rankings[[#This Row],[avescoreT]]/TBA_Rankings[[#This Row],[avescoreA]],0)</f>
        <v>0.4174416009522392</v>
      </c>
      <c r="H4" s="66">
        <f>IFERROR(SUM(AVERAGEIFS(TBA_Matches_All[Aamp],TBA_Matches_All[Team],TBA_Rankings[[#This Row],[Team]],TBA_Matches_All[Scouted],"&gt;0")+AVERAGEIFS(TBA_Matches_All[Tamp],TBA_Matches_All[Team],TBA_Rankings[[#This Row],[Team]],TBA_Matches_All[Scouted],"&gt;0")),0)</f>
        <v>3.4</v>
      </c>
      <c r="I4" s="66">
        <f>IFERROR(SUM(AVERAGEIFS(TBA_Matches_All[AampT],TBA_Matches_All[Team],TBA_Rankings[[#This Row],[Team]],TBA_Matches_All[Scouted],"&gt;0")+AVERAGEIFS(TBA_Matches_All[TampT],TBA_Matches_All[Team],TBA_Rankings[[#This Row],[Team]],TBA_Matches_All[Scouted],"&gt;0")),0)</f>
        <v>0.6</v>
      </c>
      <c r="J4" s="59">
        <f>IFERROR(TBA_Rankings[[#This Row],[aveampT]]/TBA_Rankings[[#This Row],[aveampA]],0)</f>
        <v>0.17647058823529413</v>
      </c>
      <c r="K4" s="66">
        <f>IFERROR(SUM(AVERAGEIFS(TBA_Matches_All[Aspkr],TBA_Matches_All[Team],TBA_Rankings[[#This Row],[Team]],TBA_Matches_All[Scouted],"&gt;0")+AVERAGEIFS(TBA_Matches_All[Tspkr],TBA_Matches_All[Team],TBA_Rankings[[#This Row],[Team]],TBA_Matches_All[Scouted],"&gt;0")),0)</f>
        <v>18</v>
      </c>
      <c r="L4" s="66">
        <f>IFERROR(SUM(AVERAGEIFS(TBA_Matches_All[AspkrT],TBA_Matches_All[Team],TBA_Rankings[[#This Row],[Team]],TBA_Matches_All[Scouted],"&gt;0")+AVERAGEIFS(TBA_Matches_All[TspkrT],TBA_Matches_All[Team],TBA_Rankings[[#This Row],[Team]],TBA_Matches_All[Scouted],"&gt;0")),0)</f>
        <v>9.3999999999999986</v>
      </c>
      <c r="M4" s="59">
        <f>IFERROR(TBA_Rankings[[#This Row],[avespkrT]]/TBA_Rankings[[#This Row],[avespkrA]],0)</f>
        <v>0.52222222222222214</v>
      </c>
      <c r="N4" s="66">
        <f>IFERROR(AVERAGEIFS(TBA_Matches_All[Trap],TBA_Matches_All[Team],TBA_Rankings[[#This Row],[Team]],TBA_Matches_All[Scouted],"&gt;0"),0)</f>
        <v>0</v>
      </c>
      <c r="O4" s="66">
        <f>IFERROR(SUM(AVERAGEIFS(TBA_Matches_All[AtrapT],TBA_Matches_All[Team],TBA_Rankings[[#This Row],[Team]],TBA_Matches_All[Scouted],"&gt;0")+AVERAGEIFS(TBA_Matches_All[TtrapT],TBA_Matches_All[Team],TBA_Rankings[[#This Row],[Team]],TBA_Matches_All[Scouted],"&gt;0")),0)</f>
        <v>0</v>
      </c>
      <c r="P4" s="59">
        <f>IFERROR(TBA_Rankings[[#This Row],[avetrapT]]/TBA_Rankings[[#This Row],[avetrapA]],0)</f>
        <v>0</v>
      </c>
      <c r="Q4" s="66">
        <f>IFERROR(AVERAGEIFS(TBA_Matches_All[TotNotes],TBA_Matches_All[Team],TBA_Rankings[[#This Row],[Team]],TBA_Matches_All[Scouted],"&gt;0"),0)</f>
        <v>21.4</v>
      </c>
      <c r="R4" s="66">
        <f>IFERROR(AVERAGEIFS(TBA_Matches_All[TotNotesT],TBA_Matches_All[Team],TBA_Rankings[[#This Row],[Team]],TBA_Matches_All[Scouted],"&gt;0"),0)</f>
        <v>10</v>
      </c>
      <c r="S4" s="59">
        <f>IFERROR(TBA_Rankings[[#This Row],[avenotesT]]/TBA_Rankings[[#This Row],[avenotesA]],0)</f>
        <v>0.46728971962616828</v>
      </c>
      <c r="T4" s="66">
        <f>IFERROR(AVERAGEIFS(TBA_Matches_All[StagePts],TBA_Matches_All[Team],TBA_Rankings[[#This Row],[Team]],TBA_Matches_All[Scouted],"&gt;0"),0)</f>
        <v>9.6</v>
      </c>
      <c r="U4" s="66">
        <f>IFERROR(AVERAGEIFS(TBA_Matches_All[stageptsT],TBA_Matches_All[Team],TBA_Rankings[[#This Row],[Team]],TBA_Matches_All[Scouted],"&gt;0"),0)</f>
        <v>4</v>
      </c>
      <c r="V4" s="59">
        <f>IFERROR(TBA_Rankings[[#This Row],[avestageT]]/TBA_Rankings[[#This Row],[avestageA]],0)</f>
        <v>0.41666666666666669</v>
      </c>
      <c r="W4" s="66">
        <f>IFERROR(AVERAGEIFS(TBA_Matches_All[AampT],TBA_Matches_All[Team],TBA_Rankings[[#This Row],[Team]],TBA_Matches_All[Scouted],"&gt;0"),0)</f>
        <v>0</v>
      </c>
      <c r="X4" s="66">
        <f>IFERROR(AVERAGEIFS(TBA_Matches_All[AspkrT],TBA_Matches_All[Team],TBA_Rankings[[#This Row],[Team]],TBA_Matches_All[Scouted],"&gt;0"),0)</f>
        <v>1.2</v>
      </c>
      <c r="Y4" s="66">
        <f>IFERROR(AVERAGEIFS(TBA_Matches_All[AtrapT],TBA_Matches_All[Team],TBA_Rankings[[#This Row],[Team]],TBA_Matches_All[Scouted],"&gt;0"),0)</f>
        <v>0</v>
      </c>
      <c r="Z4" s="66">
        <f>IFERROR(AVERAGEIFS(TBA_Matches_All[TampT],TBA_Matches_All[Team],TBA_Rankings[[#This Row],[Team]],TBA_Matches_All[Scouted],"&gt;0"),0)</f>
        <v>0.6</v>
      </c>
      <c r="AA4" s="66">
        <f>IFERROR(AVERAGEIFS(TBA_Matches_All[TspkrT],TBA_Matches_All[Team],TBA_Rankings[[#This Row],[Team]],TBA_Matches_All[Scouted],"&gt;0"),0)</f>
        <v>8.1999999999999993</v>
      </c>
      <c r="AB4" s="66">
        <f>IFERROR(AVERAGEIFS(TBA_Matches_All[TtrapT],TBA_Matches_All[Team],TBA_Rankings[[#This Row],[Team]],TBA_Matches_All[Scouted],"&gt;0"),0)</f>
        <v>0</v>
      </c>
      <c r="AC4" s="66">
        <f>IFERROR(AVERAGEIFS(TBA_Matches_All[ATTNDDiff],TBA_Matches_All[Team],TBA_Rankings[[#This Row],[Team]],TBA_Matches_All[Defense],3,TBA_Matches_All[Scouted],"&gt;0"),0)</f>
        <v>0</v>
      </c>
      <c r="AD4" s="66">
        <f>IFERROR(AVERAGEIFS(TBA_Matches_All[ATTNDDiff],TBA_Matches_All[Team],TBA_Rankings[[#This Row],[Team]],TBA_Matches_All[Defense],2,TBA_Matches_All[Scouted],"&gt;0"),0)</f>
        <v>0</v>
      </c>
      <c r="AE4" s="66">
        <f>IFERROR(AVERAGEIFS(TBA_Matches_All[ATTNDDiff],TBA_Matches_All[Team],TBA_Rankings[[#This Row],[Team]],TBA_Matches_All[Defense],1,TBA_Matches_All[Scouted],"&gt;0"),0)</f>
        <v>-5.11451048951049</v>
      </c>
      <c r="AF4" s="66">
        <f>IFERROR(AVERAGEIFS(TBA_Matches_All[ATTNDDiff],TBA_Matches_All[Team],TBA_Rankings[[#This Row],[Team]],TBA_Matches_All[Defense],0,TBA_Matches_All[Scouted],"&gt;0"),0)</f>
        <v>3.4096736596736612</v>
      </c>
      <c r="AG4" s="66">
        <f>IFERROR(AVERAGEIFS(TBA_Matches_All[ATTNDDiff],TBA_Matches_All[Team],TBA_Rankings[[#This Row],[Team]],TBA_Matches_All[Avoid],3,TBA_Matches_All[Scouted],"&gt;0"),0)</f>
        <v>0</v>
      </c>
      <c r="AH4" s="66">
        <f>IFERROR(AVERAGEIFS(TBA_Matches_All[ATTNDDiff],TBA_Matches_All[Team],TBA_Rankings[[#This Row],[Team]],TBA_Matches_All[Avoid],2,TBA_Matches_All[Scouted],"&gt;0"),0)</f>
        <v>0</v>
      </c>
      <c r="AI4" s="66">
        <f>IFERROR(AVERAGEIFS(TBA_Matches_All[ATTNDDiff],TBA_Matches_All[Team],TBA_Rankings[[#This Row],[Team]],TBA_Matches_All[Avoid],1,TBA_Matches_All[Scouted],"&gt;0"),0)</f>
        <v>-2.9364801864801868</v>
      </c>
      <c r="AJ4" s="66">
        <f>IFERROR(AVERAGEIFS(TBA_Matches_All[ATTNDDiff],TBA_Matches_All[Team],TBA_Rankings[[#This Row],[Team]],TBA_Matches_All[Avoid],0,TBA_Matches_All[Scouted],"&gt;0"),0)</f>
        <v>4.4047202797202818</v>
      </c>
    </row>
    <row r="5" spans="1:36" x14ac:dyDescent="0.3">
      <c r="A5" t="s">
        <v>1419</v>
      </c>
      <c r="B5" s="1">
        <v>26</v>
      </c>
      <c r="C5" t="s">
        <v>1300</v>
      </c>
      <c r="D5" s="1">
        <v>360</v>
      </c>
      <c r="E5" s="66">
        <f>IFERROR(AVERAGEIFS(TBA_Matches_All[Score], TBA_Matches_All[Team],TBA_Rankings[[#This Row],[Team]],TBA_Matches_All[Scouted],"&gt;0"),0)</f>
        <v>53.166666666666664</v>
      </c>
      <c r="F5" s="66">
        <f>IFERROR(AVERAGEIFS(TBA_Matches_All[TotptsC], TBA_Matches_All[Team],TBA_Rankings[[#This Row],[Team]],TBA_Matches_All[Scouted],"&gt;0"),0)</f>
        <v>28.80952380952381</v>
      </c>
      <c r="G5" s="59">
        <f>IFERROR(TBA_Rankings[[#This Row],[avescoreT]]/TBA_Rankings[[#This Row],[avescoreA]],0)</f>
        <v>0.54187192118226601</v>
      </c>
      <c r="H5" s="66">
        <f>IFERROR(SUM(AVERAGEIFS(TBA_Matches_All[Aamp],TBA_Matches_All[Team],TBA_Rankings[[#This Row],[Team]],TBA_Matches_All[Scouted],"&gt;0")+AVERAGEIFS(TBA_Matches_All[Tamp],TBA_Matches_All[Team],TBA_Rankings[[#This Row],[Team]],TBA_Matches_All[Scouted],"&gt;0")),0)</f>
        <v>1.5</v>
      </c>
      <c r="I5" s="66">
        <f>IFERROR(SUM(AVERAGEIFS(TBA_Matches_All[AampT],TBA_Matches_All[Team],TBA_Rankings[[#This Row],[Team]],TBA_Matches_All[Scouted],"&gt;0")+AVERAGEIFS(TBA_Matches_All[TampT],TBA_Matches_All[Team],TBA_Rankings[[#This Row],[Team]],TBA_Matches_All[Scouted],"&gt;0")),0)</f>
        <v>0.16666666666666666</v>
      </c>
      <c r="J5" s="59">
        <f>IFERROR(TBA_Rankings[[#This Row],[aveampT]]/TBA_Rankings[[#This Row],[aveampA]],0)</f>
        <v>0.1111111111111111</v>
      </c>
      <c r="K5" s="66">
        <f>IFERROR(SUM(AVERAGEIFS(TBA_Matches_All[Aspkr],TBA_Matches_All[Team],TBA_Rankings[[#This Row],[Team]],TBA_Matches_All[Scouted],"&gt;0")+AVERAGEIFS(TBA_Matches_All[Tspkr],TBA_Matches_All[Team],TBA_Rankings[[#This Row],[Team]],TBA_Matches_All[Scouted],"&gt;0")),0)</f>
        <v>12.333333333333332</v>
      </c>
      <c r="L5" s="66">
        <f>IFERROR(SUM(AVERAGEIFS(TBA_Matches_All[AspkrT],TBA_Matches_All[Team],TBA_Rankings[[#This Row],[Team]],TBA_Matches_All[Scouted],"&gt;0")+AVERAGEIFS(TBA_Matches_All[TspkrT],TBA_Matches_All[Team],TBA_Rankings[[#This Row],[Team]],TBA_Matches_All[Scouted],"&gt;0")),0)</f>
        <v>8.5</v>
      </c>
      <c r="M5" s="59">
        <f>IFERROR(TBA_Rankings[[#This Row],[avespkrT]]/TBA_Rankings[[#This Row],[avespkrA]],0)</f>
        <v>0.68918918918918926</v>
      </c>
      <c r="N5" s="66">
        <f>IFERROR(AVERAGEIFS(TBA_Matches_All[Trap],TBA_Matches_All[Team],TBA_Rankings[[#This Row],[Team]],TBA_Matches_All[Scouted],"&gt;0"),0)</f>
        <v>0</v>
      </c>
      <c r="O5" s="66">
        <f>IFERROR(SUM(AVERAGEIFS(TBA_Matches_All[AtrapT],TBA_Matches_All[Team],TBA_Rankings[[#This Row],[Team]],TBA_Matches_All[Scouted],"&gt;0")+AVERAGEIFS(TBA_Matches_All[TtrapT],TBA_Matches_All[Team],TBA_Rankings[[#This Row],[Team]],TBA_Matches_All[Scouted],"&gt;0")),0)</f>
        <v>0</v>
      </c>
      <c r="P5" s="59">
        <f>IFERROR(TBA_Rankings[[#This Row],[avetrapT]]/TBA_Rankings[[#This Row],[avetrapA]],0)</f>
        <v>0</v>
      </c>
      <c r="Q5" s="66">
        <f>IFERROR(AVERAGEIFS(TBA_Matches_All[TotNotes],TBA_Matches_All[Team],TBA_Rankings[[#This Row],[Team]],TBA_Matches_All[Scouted],"&gt;0"),0)</f>
        <v>13.833333333333334</v>
      </c>
      <c r="R5" s="66">
        <f>IFERROR(AVERAGEIFS(TBA_Matches_All[TotNotesT],TBA_Matches_All[Team],TBA_Rankings[[#This Row],[Team]],TBA_Matches_All[Scouted],"&gt;0"),0)</f>
        <v>8.6666666666666661</v>
      </c>
      <c r="S5" s="59">
        <f>IFERROR(TBA_Rankings[[#This Row],[avenotesT]]/TBA_Rankings[[#This Row],[avenotesA]],0)</f>
        <v>0.62650602409638545</v>
      </c>
      <c r="T5" s="66">
        <f>IFERROR(AVERAGEIFS(TBA_Matches_All[StagePts],TBA_Matches_All[Team],TBA_Rankings[[#This Row],[Team]],TBA_Matches_All[Scouted],"&gt;0"),0)</f>
        <v>5.666666666666667</v>
      </c>
      <c r="U5" s="66">
        <f>IFERROR(AVERAGEIFS(TBA_Matches_All[stageptsT],TBA_Matches_All[Team],TBA_Rankings[[#This Row],[Team]],TBA_Matches_All[Scouted],"&gt;0"),0)</f>
        <v>2.3333333333333335</v>
      </c>
      <c r="V5" s="59">
        <f>IFERROR(TBA_Rankings[[#This Row],[avestageT]]/TBA_Rankings[[#This Row],[avestageA]],0)</f>
        <v>0.41176470588235292</v>
      </c>
      <c r="W5" s="66">
        <f>IFERROR(AVERAGEIFS(TBA_Matches_All[AampT],TBA_Matches_All[Team],TBA_Rankings[[#This Row],[Team]],TBA_Matches_All[Scouted],"&gt;0"),0)</f>
        <v>0</v>
      </c>
      <c r="X5" s="66">
        <f>IFERROR(AVERAGEIFS(TBA_Matches_All[AspkrT],TBA_Matches_All[Team],TBA_Rankings[[#This Row],[Team]],TBA_Matches_All[Scouted],"&gt;0"),0)</f>
        <v>2.3333333333333335</v>
      </c>
      <c r="Y5" s="66">
        <f>IFERROR(AVERAGEIFS(TBA_Matches_All[AtrapT],TBA_Matches_All[Team],TBA_Rankings[[#This Row],[Team]],TBA_Matches_All[Scouted],"&gt;0"),0)</f>
        <v>0</v>
      </c>
      <c r="Z5" s="66">
        <f>IFERROR(AVERAGEIFS(TBA_Matches_All[TampT],TBA_Matches_All[Team],TBA_Rankings[[#This Row],[Team]],TBA_Matches_All[Scouted],"&gt;0"),0)</f>
        <v>0.16666666666666666</v>
      </c>
      <c r="AA5" s="66">
        <f>IFERROR(AVERAGEIFS(TBA_Matches_All[TspkrT],TBA_Matches_All[Team],TBA_Rankings[[#This Row],[Team]],TBA_Matches_All[Scouted],"&gt;0"),0)</f>
        <v>6.166666666666667</v>
      </c>
      <c r="AB5" s="66">
        <f>IFERROR(AVERAGEIFS(TBA_Matches_All[TtrapT],TBA_Matches_All[Team],TBA_Rankings[[#This Row],[Team]],TBA_Matches_All[Scouted],"&gt;0"),0)</f>
        <v>0</v>
      </c>
      <c r="AC5" s="66">
        <f>IFERROR(AVERAGEIFS(TBA_Matches_All[ATTNDDiff],TBA_Matches_All[Team],TBA_Rankings[[#This Row],[Team]],TBA_Matches_All[Defense],3,TBA_Matches_All[Scouted],"&gt;0"),0)</f>
        <v>0</v>
      </c>
      <c r="AD5" s="66">
        <f>IFERROR(AVERAGEIFS(TBA_Matches_All[ATTNDDiff],TBA_Matches_All[Team],TBA_Rankings[[#This Row],[Team]],TBA_Matches_All[Defense],2,TBA_Matches_All[Scouted],"&gt;0"),0)</f>
        <v>0</v>
      </c>
      <c r="AE5" s="66">
        <f>IFERROR(AVERAGEIFS(TBA_Matches_All[ATTNDDiff],TBA_Matches_All[Team],TBA_Rankings[[#This Row],[Team]],TBA_Matches_All[Defense],1,TBA_Matches_All[Scouted],"&gt;0"),0)</f>
        <v>0</v>
      </c>
      <c r="AF5" s="66">
        <f>IFERROR(AVERAGEIFS(TBA_Matches_All[ATTNDDiff],TBA_Matches_All[Team],TBA_Rankings[[#This Row],[Team]],TBA_Matches_All[Defense],0,TBA_Matches_All[Scouted],"&gt;0"),0)</f>
        <v>0</v>
      </c>
      <c r="AG5" s="66">
        <f>IFERROR(AVERAGEIFS(TBA_Matches_All[ATTNDDiff],TBA_Matches_All[Team],TBA_Rankings[[#This Row],[Team]],TBA_Matches_All[Avoid],3,TBA_Matches_All[Scouted],"&gt;0"),0)</f>
        <v>0</v>
      </c>
      <c r="AH5" s="66">
        <f>IFERROR(AVERAGEIFS(TBA_Matches_All[ATTNDDiff],TBA_Matches_All[Team],TBA_Rankings[[#This Row],[Team]],TBA_Matches_All[Avoid],2,TBA_Matches_All[Scouted],"&gt;0"),0)</f>
        <v>-4.9714285714285715</v>
      </c>
      <c r="AI5" s="66">
        <f>IFERROR(AVERAGEIFS(TBA_Matches_All[ATTNDDiff],TBA_Matches_All[Team],TBA_Rankings[[#This Row],[Team]],TBA_Matches_All[Avoid],1,TBA_Matches_All[Scouted],"&gt;0"),0)</f>
        <v>5.8285714285714292</v>
      </c>
      <c r="AJ5" s="66">
        <f>IFERROR(AVERAGEIFS(TBA_Matches_All[ATTNDDiff],TBA_Matches_All[Team],TBA_Rankings[[#This Row],[Team]],TBA_Matches_All[Avoid],0,TBA_Matches_All[Scouted],"&gt;0"),0)</f>
        <v>-0.21428571428571441</v>
      </c>
    </row>
    <row r="6" spans="1:36" x14ac:dyDescent="0.3">
      <c r="A6" t="s">
        <v>1419</v>
      </c>
      <c r="B6" s="1">
        <v>2</v>
      </c>
      <c r="C6" t="s">
        <v>1305</v>
      </c>
      <c r="D6" s="1">
        <v>980</v>
      </c>
      <c r="E6" s="66">
        <f>IFERROR(AVERAGEIFS(TBA_Matches_All[Score], TBA_Matches_All[Team],TBA_Rankings[[#This Row],[Team]],TBA_Matches_All[Scouted],"&gt;0"),0)</f>
        <v>73.599999999999994</v>
      </c>
      <c r="F6" s="66">
        <f>IFERROR(AVERAGEIFS(TBA_Matches_All[TotptsC], TBA_Matches_All[Team],TBA_Rankings[[#This Row],[Team]],TBA_Matches_All[Scouted],"&gt;0"),0)</f>
        <v>40.52335164835165</v>
      </c>
      <c r="G6" s="59">
        <f>IFERROR(TBA_Rankings[[#This Row],[avescoreT]]/TBA_Rankings[[#This Row],[avescoreA]],0)</f>
        <v>0.55058901696129958</v>
      </c>
      <c r="H6" s="66">
        <f>IFERROR(SUM(AVERAGEIFS(TBA_Matches_All[Aamp],TBA_Matches_All[Team],TBA_Rankings[[#This Row],[Team]],TBA_Matches_All[Scouted],"&gt;0")+AVERAGEIFS(TBA_Matches_All[Tamp],TBA_Matches_All[Team],TBA_Rankings[[#This Row],[Team]],TBA_Matches_All[Scouted],"&gt;0")),0)</f>
        <v>4.8</v>
      </c>
      <c r="I6" s="66">
        <f>IFERROR(SUM(AVERAGEIFS(TBA_Matches_All[AampT],TBA_Matches_All[Team],TBA_Rankings[[#This Row],[Team]],TBA_Matches_All[Scouted],"&gt;0")+AVERAGEIFS(TBA_Matches_All[TampT],TBA_Matches_All[Team],TBA_Rankings[[#This Row],[Team]],TBA_Matches_All[Scouted],"&gt;0")),0)</f>
        <v>5.2</v>
      </c>
      <c r="J6" s="59">
        <f>IFERROR(TBA_Rankings[[#This Row],[aveampT]]/TBA_Rankings[[#This Row],[aveampA]],0)</f>
        <v>1.0833333333333335</v>
      </c>
      <c r="K6" s="66">
        <f>IFERROR(SUM(AVERAGEIFS(TBA_Matches_All[Aspkr],TBA_Matches_All[Team],TBA_Rankings[[#This Row],[Team]],TBA_Matches_All[Scouted],"&gt;0")+AVERAGEIFS(TBA_Matches_All[Tspkr],TBA_Matches_All[Team],TBA_Rankings[[#This Row],[Team]],TBA_Matches_All[Scouted],"&gt;0")),0)</f>
        <v>15</v>
      </c>
      <c r="L6" s="66">
        <f>IFERROR(SUM(AVERAGEIFS(TBA_Matches_All[AspkrT],TBA_Matches_All[Team],TBA_Rankings[[#This Row],[Team]],TBA_Matches_All[Scouted],"&gt;0")+AVERAGEIFS(TBA_Matches_All[TspkrT],TBA_Matches_All[Team],TBA_Rankings[[#This Row],[Team]],TBA_Matches_All[Scouted],"&gt;0")),0)</f>
        <v>8.4</v>
      </c>
      <c r="M6" s="59">
        <f>IFERROR(TBA_Rankings[[#This Row],[avespkrT]]/TBA_Rankings[[#This Row],[avespkrA]],0)</f>
        <v>0.56000000000000005</v>
      </c>
      <c r="N6" s="66">
        <f>IFERROR(AVERAGEIFS(TBA_Matches_All[Trap],TBA_Matches_All[Team],TBA_Rankings[[#This Row],[Team]],TBA_Matches_All[Scouted],"&gt;0"),0)</f>
        <v>0</v>
      </c>
      <c r="O6" s="66">
        <f>IFERROR(SUM(AVERAGEIFS(TBA_Matches_All[AtrapT],TBA_Matches_All[Team],TBA_Rankings[[#This Row],[Team]],TBA_Matches_All[Scouted],"&gt;0")+AVERAGEIFS(TBA_Matches_All[TtrapT],TBA_Matches_All[Team],TBA_Rankings[[#This Row],[Team]],TBA_Matches_All[Scouted],"&gt;0")),0)</f>
        <v>0</v>
      </c>
      <c r="P6" s="59">
        <f>IFERROR(TBA_Rankings[[#This Row],[avetrapT]]/TBA_Rankings[[#This Row],[avetrapA]],0)</f>
        <v>0</v>
      </c>
      <c r="Q6" s="66">
        <f>IFERROR(AVERAGEIFS(TBA_Matches_All[TotNotes],TBA_Matches_All[Team],TBA_Rankings[[#This Row],[Team]],TBA_Matches_All[Scouted],"&gt;0"),0)</f>
        <v>19.8</v>
      </c>
      <c r="R6" s="66">
        <f>IFERROR(AVERAGEIFS(TBA_Matches_All[TotNotesT],TBA_Matches_All[Team],TBA_Rankings[[#This Row],[Team]],TBA_Matches_All[Scouted],"&gt;0"),0)</f>
        <v>13.6</v>
      </c>
      <c r="S6" s="59">
        <f>IFERROR(TBA_Rankings[[#This Row],[avenotesT]]/TBA_Rankings[[#This Row],[avenotesA]],0)</f>
        <v>0.68686868686868685</v>
      </c>
      <c r="T6" s="66">
        <f>IFERROR(AVERAGEIFS(TBA_Matches_All[StagePts],TBA_Matches_All[Team],TBA_Rankings[[#This Row],[Team]],TBA_Matches_All[Scouted],"&gt;0"),0)</f>
        <v>3.2</v>
      </c>
      <c r="U6" s="66">
        <f>IFERROR(AVERAGEIFS(TBA_Matches_All[stageptsT],TBA_Matches_All[Team],TBA_Rankings[[#This Row],[Team]],TBA_Matches_All[Scouted],"&gt;0"),0)</f>
        <v>0.8</v>
      </c>
      <c r="V6" s="59">
        <f>IFERROR(TBA_Rankings[[#This Row],[avestageT]]/TBA_Rankings[[#This Row],[avestageA]],0)</f>
        <v>0.25</v>
      </c>
      <c r="W6" s="66">
        <f>IFERROR(AVERAGEIFS(TBA_Matches_All[AampT],TBA_Matches_All[Team],TBA_Rankings[[#This Row],[Team]],TBA_Matches_All[Scouted],"&gt;0"),0)</f>
        <v>0</v>
      </c>
      <c r="X6" s="66">
        <f>IFERROR(AVERAGEIFS(TBA_Matches_All[AspkrT],TBA_Matches_All[Team],TBA_Rankings[[#This Row],[Team]],TBA_Matches_All[Scouted],"&gt;0"),0)</f>
        <v>3.6</v>
      </c>
      <c r="Y6" s="66">
        <f>IFERROR(AVERAGEIFS(TBA_Matches_All[AtrapT],TBA_Matches_All[Team],TBA_Rankings[[#This Row],[Team]],TBA_Matches_All[Scouted],"&gt;0"),0)</f>
        <v>0</v>
      </c>
      <c r="Z6" s="66">
        <f>IFERROR(AVERAGEIFS(TBA_Matches_All[TampT],TBA_Matches_All[Team],TBA_Rankings[[#This Row],[Team]],TBA_Matches_All[Scouted],"&gt;0"),0)</f>
        <v>5.2</v>
      </c>
      <c r="AA6" s="66">
        <f>IFERROR(AVERAGEIFS(TBA_Matches_All[TspkrT],TBA_Matches_All[Team],TBA_Rankings[[#This Row],[Team]],TBA_Matches_All[Scouted],"&gt;0"),0)</f>
        <v>4.8</v>
      </c>
      <c r="AB6" s="66">
        <f>IFERROR(AVERAGEIFS(TBA_Matches_All[TtrapT],TBA_Matches_All[Team],TBA_Rankings[[#This Row],[Team]],TBA_Matches_All[Scouted],"&gt;0"),0)</f>
        <v>0</v>
      </c>
      <c r="AC6" s="66">
        <f>IFERROR(AVERAGEIFS(TBA_Matches_All[ATTNDDiff],TBA_Matches_All[Team],TBA_Rankings[[#This Row],[Team]],TBA_Matches_All[Defense],3,TBA_Matches_All[Scouted],"&gt;0"),0)</f>
        <v>0</v>
      </c>
      <c r="AD6" s="66">
        <f>IFERROR(AVERAGEIFS(TBA_Matches_All[ATTNDDiff],TBA_Matches_All[Team],TBA_Rankings[[#This Row],[Team]],TBA_Matches_All[Defense],2,TBA_Matches_All[Scouted],"&gt;0"),0)</f>
        <v>0</v>
      </c>
      <c r="AE6" s="66">
        <f>IFERROR(AVERAGEIFS(TBA_Matches_All[ATTNDDiff],TBA_Matches_All[Team],TBA_Rankings[[#This Row],[Team]],TBA_Matches_All[Defense],1,TBA_Matches_All[Scouted],"&gt;0"),0)</f>
        <v>-9.6734203296703303</v>
      </c>
      <c r="AF6" s="66">
        <f>IFERROR(AVERAGEIFS(TBA_Matches_All[ATTNDDiff],TBA_Matches_All[Team],TBA_Rankings[[#This Row],[Team]],TBA_Matches_All[Defense],0,TBA_Matches_All[Scouted],"&gt;0"),0)</f>
        <v>2.4183550824175812</v>
      </c>
      <c r="AG6" s="66">
        <f>IFERROR(AVERAGEIFS(TBA_Matches_All[ATTNDDiff],TBA_Matches_All[Team],TBA_Rankings[[#This Row],[Team]],TBA_Matches_All[Avoid],3,TBA_Matches_All[Scouted],"&gt;0"),0)</f>
        <v>8.439560439560438</v>
      </c>
      <c r="AH6" s="66">
        <f>IFERROR(AVERAGEIFS(TBA_Matches_All[ATTNDDiff],TBA_Matches_All[Team],TBA_Rankings[[#This Row],[Team]],TBA_Matches_All[Avoid],2,TBA_Matches_All[Scouted],"&gt;0"),0)</f>
        <v>0</v>
      </c>
      <c r="AI6" s="66">
        <f>IFERROR(AVERAGEIFS(TBA_Matches_All[ATTNDDiff],TBA_Matches_All[Team],TBA_Rankings[[#This Row],[Team]],TBA_Matches_All[Avoid],1,TBA_Matches_All[Scouted],"&gt;0"),0)</f>
        <v>4.220810439560438</v>
      </c>
      <c r="AJ6" s="66">
        <f>IFERROR(AVERAGEIFS(TBA_Matches_All[ATTNDDiff],TBA_Matches_All[Team],TBA_Rankings[[#This Row],[Team]],TBA_Matches_All[Avoid],0,TBA_Matches_All[Scouted],"&gt;0"),0)</f>
        <v>-4.2201236263736268</v>
      </c>
    </row>
    <row r="7" spans="1:36" x14ac:dyDescent="0.3">
      <c r="A7" t="s">
        <v>1419</v>
      </c>
      <c r="B7" s="1">
        <v>24</v>
      </c>
      <c r="C7" t="s">
        <v>363</v>
      </c>
      <c r="D7" s="1">
        <v>588</v>
      </c>
      <c r="E7" s="66">
        <f>IFERROR(AVERAGEIFS(TBA_Matches_All[Score], TBA_Matches_All[Team],TBA_Rankings[[#This Row],[Team]],TBA_Matches_All[Scouted],"&gt;0"),0)</f>
        <v>68.166666666666671</v>
      </c>
      <c r="F7" s="66">
        <f>IFERROR(AVERAGEIFS(TBA_Matches_All[TotptsC], TBA_Matches_All[Team],TBA_Rankings[[#This Row],[Team]],TBA_Matches_All[Scouted],"&gt;0"),0)</f>
        <v>26.532783882783885</v>
      </c>
      <c r="G7" s="59">
        <f>IFERROR(TBA_Rankings[[#This Row],[avescoreT]]/TBA_Rankings[[#This Row],[avescoreA]],0)</f>
        <v>0.3892339933904726</v>
      </c>
      <c r="H7" s="66">
        <f>IFERROR(SUM(AVERAGEIFS(TBA_Matches_All[Aamp],TBA_Matches_All[Team],TBA_Rankings[[#This Row],[Team]],TBA_Matches_All[Scouted],"&gt;0")+AVERAGEIFS(TBA_Matches_All[Tamp],TBA_Matches_All[Team],TBA_Rankings[[#This Row],[Team]],TBA_Matches_All[Scouted],"&gt;0")),0)</f>
        <v>2.6666666666666665</v>
      </c>
      <c r="I7" s="66">
        <f>IFERROR(SUM(AVERAGEIFS(TBA_Matches_All[AampT],TBA_Matches_All[Team],TBA_Rankings[[#This Row],[Team]],TBA_Matches_All[Scouted],"&gt;0")+AVERAGEIFS(TBA_Matches_All[TampT],TBA_Matches_All[Team],TBA_Rankings[[#This Row],[Team]],TBA_Matches_All[Scouted],"&gt;0")),0)</f>
        <v>0.16666666666666666</v>
      </c>
      <c r="J7" s="59">
        <f>IFERROR(TBA_Rankings[[#This Row],[aveampT]]/TBA_Rankings[[#This Row],[aveampA]],0)</f>
        <v>6.25E-2</v>
      </c>
      <c r="K7" s="66">
        <f>IFERROR(SUM(AVERAGEIFS(TBA_Matches_All[Aspkr],TBA_Matches_All[Team],TBA_Rankings[[#This Row],[Team]],TBA_Matches_All[Scouted],"&gt;0")+AVERAGEIFS(TBA_Matches_All[Tspkr],TBA_Matches_All[Team],TBA_Rankings[[#This Row],[Team]],TBA_Matches_All[Scouted],"&gt;0")),0)</f>
        <v>16.5</v>
      </c>
      <c r="L7" s="66">
        <f>IFERROR(SUM(AVERAGEIFS(TBA_Matches_All[AspkrT],TBA_Matches_All[Team],TBA_Rankings[[#This Row],[Team]],TBA_Matches_All[Scouted],"&gt;0")+AVERAGEIFS(TBA_Matches_All[TspkrT],TBA_Matches_All[Team],TBA_Rankings[[#This Row],[Team]],TBA_Matches_All[Scouted],"&gt;0")),0)</f>
        <v>8.3333333333333339</v>
      </c>
      <c r="M7" s="59">
        <f>IFERROR(TBA_Rankings[[#This Row],[avespkrT]]/TBA_Rankings[[#This Row],[avespkrA]],0)</f>
        <v>0.50505050505050508</v>
      </c>
      <c r="N7" s="66">
        <f>IFERROR(AVERAGEIFS(TBA_Matches_All[Trap],TBA_Matches_All[Team],TBA_Rankings[[#This Row],[Team]],TBA_Matches_All[Scouted],"&gt;0"),0)</f>
        <v>0</v>
      </c>
      <c r="O7" s="66">
        <f>IFERROR(SUM(AVERAGEIFS(TBA_Matches_All[AtrapT],TBA_Matches_All[Team],TBA_Rankings[[#This Row],[Team]],TBA_Matches_All[Scouted],"&gt;0")+AVERAGEIFS(TBA_Matches_All[TtrapT],TBA_Matches_All[Team],TBA_Rankings[[#This Row],[Team]],TBA_Matches_All[Scouted],"&gt;0")),0)</f>
        <v>0</v>
      </c>
      <c r="P7" s="59">
        <f>IFERROR(TBA_Rankings[[#This Row],[avetrapT]]/TBA_Rankings[[#This Row],[avetrapA]],0)</f>
        <v>0</v>
      </c>
      <c r="Q7" s="66">
        <f>IFERROR(AVERAGEIFS(TBA_Matches_All[TotNotes],TBA_Matches_All[Team],TBA_Rankings[[#This Row],[Team]],TBA_Matches_All[Scouted],"&gt;0"),0)</f>
        <v>19.166666666666668</v>
      </c>
      <c r="R7" s="66">
        <f>IFERROR(AVERAGEIFS(TBA_Matches_All[TotNotesT],TBA_Matches_All[Team],TBA_Rankings[[#This Row],[Team]],TBA_Matches_All[Scouted],"&gt;0"),0)</f>
        <v>8.5</v>
      </c>
      <c r="S7" s="59">
        <f>IFERROR(TBA_Rankings[[#This Row],[avenotesT]]/TBA_Rankings[[#This Row],[avenotesA]],0)</f>
        <v>0.44347826086956521</v>
      </c>
      <c r="T7" s="66">
        <f>IFERROR(AVERAGEIFS(TBA_Matches_All[StagePts],TBA_Matches_All[Team],TBA_Rankings[[#This Row],[Team]],TBA_Matches_All[Scouted],"&gt;0"),0)</f>
        <v>6.166666666666667</v>
      </c>
      <c r="U7" s="66">
        <f>IFERROR(AVERAGEIFS(TBA_Matches_All[stageptsT],TBA_Matches_All[Team],TBA_Rankings[[#This Row],[Team]],TBA_Matches_All[Scouted],"&gt;0"),0)</f>
        <v>2.3333333333333335</v>
      </c>
      <c r="V7" s="59">
        <f>IFERROR(TBA_Rankings[[#This Row],[avestageT]]/TBA_Rankings[[#This Row],[avestageA]],0)</f>
        <v>0.3783783783783784</v>
      </c>
      <c r="W7" s="66">
        <f>IFERROR(AVERAGEIFS(TBA_Matches_All[AampT],TBA_Matches_All[Team],TBA_Rankings[[#This Row],[Team]],TBA_Matches_All[Scouted],"&gt;0"),0)</f>
        <v>0</v>
      </c>
      <c r="X7" s="66">
        <f>IFERROR(AVERAGEIFS(TBA_Matches_All[AspkrT],TBA_Matches_All[Team],TBA_Rankings[[#This Row],[Team]],TBA_Matches_All[Scouted],"&gt;0"),0)</f>
        <v>1.1666666666666667</v>
      </c>
      <c r="Y7" s="66">
        <f>IFERROR(AVERAGEIFS(TBA_Matches_All[AtrapT],TBA_Matches_All[Team],TBA_Rankings[[#This Row],[Team]],TBA_Matches_All[Scouted],"&gt;0"),0)</f>
        <v>0</v>
      </c>
      <c r="Z7" s="66">
        <f>IFERROR(AVERAGEIFS(TBA_Matches_All[TampT],TBA_Matches_All[Team],TBA_Rankings[[#This Row],[Team]],TBA_Matches_All[Scouted],"&gt;0"),0)</f>
        <v>0.16666666666666666</v>
      </c>
      <c r="AA7" s="66">
        <f>IFERROR(AVERAGEIFS(TBA_Matches_All[TspkrT],TBA_Matches_All[Team],TBA_Rankings[[#This Row],[Team]],TBA_Matches_All[Scouted],"&gt;0"),0)</f>
        <v>7.166666666666667</v>
      </c>
      <c r="AB7" s="66">
        <f>IFERROR(AVERAGEIFS(TBA_Matches_All[TtrapT],TBA_Matches_All[Team],TBA_Rankings[[#This Row],[Team]],TBA_Matches_All[Scouted],"&gt;0"),0)</f>
        <v>0</v>
      </c>
      <c r="AC7" s="66">
        <f>IFERROR(AVERAGEIFS(TBA_Matches_All[ATTNDDiff],TBA_Matches_All[Team],TBA_Rankings[[#This Row],[Team]],TBA_Matches_All[Defense],3,TBA_Matches_All[Scouted],"&gt;0"),0)</f>
        <v>0</v>
      </c>
      <c r="AD7" s="66">
        <f>IFERROR(AVERAGEIFS(TBA_Matches_All[ATTNDDiff],TBA_Matches_All[Team],TBA_Rankings[[#This Row],[Team]],TBA_Matches_All[Defense],2,TBA_Matches_All[Scouted],"&gt;0"),0)</f>
        <v>0</v>
      </c>
      <c r="AE7" s="66">
        <f>IFERROR(AVERAGEIFS(TBA_Matches_All[ATTNDDiff],TBA_Matches_All[Team],TBA_Rankings[[#This Row],[Team]],TBA_Matches_All[Defense],1,TBA_Matches_All[Scouted],"&gt;0"),0)</f>
        <v>0</v>
      </c>
      <c r="AF7" s="66">
        <f>IFERROR(AVERAGEIFS(TBA_Matches_All[ATTNDDiff],TBA_Matches_All[Team],TBA_Rankings[[#This Row],[Team]],TBA_Matches_All[Defense],0,TBA_Matches_All[Scouted],"&gt;0"),0)</f>
        <v>-8.8817841970012523E-16</v>
      </c>
      <c r="AG7" s="66">
        <f>IFERROR(AVERAGEIFS(TBA_Matches_All[ATTNDDiff],TBA_Matches_All[Team],TBA_Rankings[[#This Row],[Team]],TBA_Matches_All[Avoid],3,TBA_Matches_All[Scouted],"&gt;0"),0)</f>
        <v>0</v>
      </c>
      <c r="AH7" s="66">
        <f>IFERROR(AVERAGEIFS(TBA_Matches_All[ATTNDDiff],TBA_Matches_All[Team],TBA_Rankings[[#This Row],[Team]],TBA_Matches_All[Avoid],2,TBA_Matches_All[Scouted],"&gt;0"),0)</f>
        <v>0</v>
      </c>
      <c r="AI7" s="66">
        <f>IFERROR(AVERAGEIFS(TBA_Matches_All[ATTNDDiff],TBA_Matches_All[Team],TBA_Rankings[[#This Row],[Team]],TBA_Matches_All[Avoid],1,TBA_Matches_All[Scouted],"&gt;0"),0)</f>
        <v>3.934065934065837E-2</v>
      </c>
      <c r="AJ7" s="66">
        <f>IFERROR(AVERAGEIFS(TBA_Matches_All[ATTNDDiff],TBA_Matches_All[Team],TBA_Rankings[[#This Row],[Team]],TBA_Matches_All[Avoid],0,TBA_Matches_All[Scouted],"&gt;0"),0)</f>
        <v>-3.9340659340660146E-2</v>
      </c>
    </row>
    <row r="8" spans="1:36" x14ac:dyDescent="0.3">
      <c r="A8" t="s">
        <v>1419</v>
      </c>
      <c r="B8" s="1">
        <v>1</v>
      </c>
      <c r="C8" t="s">
        <v>360</v>
      </c>
      <c r="D8" s="1">
        <v>648</v>
      </c>
      <c r="E8" s="66">
        <f>IFERROR(AVERAGEIFS(TBA_Matches_All[Score], TBA_Matches_All[Team],TBA_Rankings[[#This Row],[Team]],TBA_Matches_All[Scouted],"&gt;0"),0)</f>
        <v>75.599999999999994</v>
      </c>
      <c r="F8" s="66">
        <f>IFERROR(AVERAGEIFS(TBA_Matches_All[TotptsC], TBA_Matches_All[Team],TBA_Rankings[[#This Row],[Team]],TBA_Matches_All[Scouted],"&gt;0"),0)</f>
        <v>48.25</v>
      </c>
      <c r="G8" s="59">
        <f>IFERROR(TBA_Rankings[[#This Row],[avescoreT]]/TBA_Rankings[[#This Row],[avescoreA]],0)</f>
        <v>0.63822751322751325</v>
      </c>
      <c r="H8" s="66">
        <f>IFERROR(SUM(AVERAGEIFS(TBA_Matches_All[Aamp],TBA_Matches_All[Team],TBA_Rankings[[#This Row],[Team]],TBA_Matches_All[Scouted],"&gt;0")+AVERAGEIFS(TBA_Matches_All[Tamp],TBA_Matches_All[Team],TBA_Rankings[[#This Row],[Team]],TBA_Matches_All[Scouted],"&gt;0")),0)</f>
        <v>5.8</v>
      </c>
      <c r="I8" s="66">
        <f>IFERROR(SUM(AVERAGEIFS(TBA_Matches_All[AampT],TBA_Matches_All[Team],TBA_Rankings[[#This Row],[Team]],TBA_Matches_All[Scouted],"&gt;0")+AVERAGEIFS(TBA_Matches_All[TampT],TBA_Matches_All[Team],TBA_Rankings[[#This Row],[Team]],TBA_Matches_All[Scouted],"&gt;0")),0)</f>
        <v>3.8</v>
      </c>
      <c r="J8" s="59">
        <f>IFERROR(TBA_Rankings[[#This Row],[aveampT]]/TBA_Rankings[[#This Row],[aveampA]],0)</f>
        <v>0.65517241379310343</v>
      </c>
      <c r="K8" s="66">
        <f>IFERROR(SUM(AVERAGEIFS(TBA_Matches_All[Aspkr],TBA_Matches_All[Team],TBA_Rankings[[#This Row],[Team]],TBA_Matches_All[Scouted],"&gt;0")+AVERAGEIFS(TBA_Matches_All[Tspkr],TBA_Matches_All[Team],TBA_Rankings[[#This Row],[Team]],TBA_Matches_All[Scouted],"&gt;0")),0)</f>
        <v>12.4</v>
      </c>
      <c r="L8" s="66">
        <f>IFERROR(SUM(AVERAGEIFS(TBA_Matches_All[AspkrT],TBA_Matches_All[Team],TBA_Rankings[[#This Row],[Team]],TBA_Matches_All[Scouted],"&gt;0")+AVERAGEIFS(TBA_Matches_All[TspkrT],TBA_Matches_All[Team],TBA_Rankings[[#This Row],[Team]],TBA_Matches_All[Scouted],"&gt;0")),0)</f>
        <v>7.8</v>
      </c>
      <c r="M8" s="59">
        <f>IFERROR(TBA_Rankings[[#This Row],[avespkrT]]/TBA_Rankings[[#This Row],[avespkrA]],0)</f>
        <v>0.62903225806451613</v>
      </c>
      <c r="N8" s="66">
        <f>IFERROR(AVERAGEIFS(TBA_Matches_All[Trap],TBA_Matches_All[Team],TBA_Rankings[[#This Row],[Team]],TBA_Matches_All[Scouted],"&gt;0"),0)</f>
        <v>0.8</v>
      </c>
      <c r="O8" s="66">
        <f>IFERROR(SUM(AVERAGEIFS(TBA_Matches_All[AtrapT],TBA_Matches_All[Team],TBA_Rankings[[#This Row],[Team]],TBA_Matches_All[Scouted],"&gt;0")+AVERAGEIFS(TBA_Matches_All[TtrapT],TBA_Matches_All[Team],TBA_Rankings[[#This Row],[Team]],TBA_Matches_All[Scouted],"&gt;0")),0)</f>
        <v>0.8</v>
      </c>
      <c r="P8" s="59">
        <f>IFERROR(TBA_Rankings[[#This Row],[avetrapT]]/TBA_Rankings[[#This Row],[avetrapA]],0)</f>
        <v>1</v>
      </c>
      <c r="Q8" s="66">
        <f>IFERROR(AVERAGEIFS(TBA_Matches_All[TotNotes],TBA_Matches_All[Team],TBA_Rankings[[#This Row],[Team]],TBA_Matches_All[Scouted],"&gt;0"),0)</f>
        <v>18.2</v>
      </c>
      <c r="R8" s="66">
        <f>IFERROR(AVERAGEIFS(TBA_Matches_All[TotNotesT],TBA_Matches_All[Team],TBA_Rankings[[#This Row],[Team]],TBA_Matches_All[Scouted],"&gt;0"),0)</f>
        <v>12.4</v>
      </c>
      <c r="S8" s="59">
        <f>IFERROR(TBA_Rankings[[#This Row],[avenotesT]]/TBA_Rankings[[#This Row],[avenotesA]],0)</f>
        <v>0.68131868131868134</v>
      </c>
      <c r="T8" s="66">
        <f>IFERROR(AVERAGEIFS(TBA_Matches_All[StagePts],TBA_Matches_All[Team],TBA_Rankings[[#This Row],[Team]],TBA_Matches_All[Scouted],"&gt;0"),0)</f>
        <v>9.4</v>
      </c>
      <c r="U8" s="66">
        <f>IFERROR(AVERAGEIFS(TBA_Matches_All[stageptsT],TBA_Matches_All[Team],TBA_Rankings[[#This Row],[Team]],TBA_Matches_All[Scouted],"&gt;0"),0)</f>
        <v>2.6</v>
      </c>
      <c r="V8" s="59">
        <f>IFERROR(TBA_Rankings[[#This Row],[avestageT]]/TBA_Rankings[[#This Row],[avestageA]],0)</f>
        <v>0.27659574468085107</v>
      </c>
      <c r="W8" s="66">
        <f>IFERROR(AVERAGEIFS(TBA_Matches_All[AampT],TBA_Matches_All[Team],TBA_Rankings[[#This Row],[Team]],TBA_Matches_All[Scouted],"&gt;0"),0)</f>
        <v>0</v>
      </c>
      <c r="X8" s="66">
        <f>IFERROR(AVERAGEIFS(TBA_Matches_All[AspkrT],TBA_Matches_All[Team],TBA_Rankings[[#This Row],[Team]],TBA_Matches_All[Scouted],"&gt;0"),0)</f>
        <v>5</v>
      </c>
      <c r="Y8" s="66">
        <f>IFERROR(AVERAGEIFS(TBA_Matches_All[AtrapT],TBA_Matches_All[Team],TBA_Rankings[[#This Row],[Team]],TBA_Matches_All[Scouted],"&gt;0"),0)</f>
        <v>0</v>
      </c>
      <c r="Z8" s="66">
        <f>IFERROR(AVERAGEIFS(TBA_Matches_All[TampT],TBA_Matches_All[Team],TBA_Rankings[[#This Row],[Team]],TBA_Matches_All[Scouted],"&gt;0"),0)</f>
        <v>3.8</v>
      </c>
      <c r="AA8" s="66">
        <f>IFERROR(AVERAGEIFS(TBA_Matches_All[TspkrT],TBA_Matches_All[Team],TBA_Rankings[[#This Row],[Team]],TBA_Matches_All[Scouted],"&gt;0"),0)</f>
        <v>2.8</v>
      </c>
      <c r="AB8" s="66">
        <f>IFERROR(AVERAGEIFS(TBA_Matches_All[TtrapT],TBA_Matches_All[Team],TBA_Rankings[[#This Row],[Team]],TBA_Matches_All[Scouted],"&gt;0"),0)</f>
        <v>0.8</v>
      </c>
      <c r="AC8" s="66">
        <f>IFERROR(AVERAGEIFS(TBA_Matches_All[ATTNDDiff],TBA_Matches_All[Team],TBA_Rankings[[#This Row],[Team]],TBA_Matches_All[Defense],3,TBA_Matches_All[Scouted],"&gt;0"),0)</f>
        <v>0</v>
      </c>
      <c r="AD8" s="66">
        <f>IFERROR(AVERAGEIFS(TBA_Matches_All[ATTNDDiff],TBA_Matches_All[Team],TBA_Rankings[[#This Row],[Team]],TBA_Matches_All[Defense],2,TBA_Matches_All[Scouted],"&gt;0"),0)</f>
        <v>0</v>
      </c>
      <c r="AE8" s="66">
        <f>IFERROR(AVERAGEIFS(TBA_Matches_All[ATTNDDiff],TBA_Matches_All[Team],TBA_Rankings[[#This Row],[Team]],TBA_Matches_All[Defense],1,TBA_Matches_All[Scouted],"&gt;0"),0)</f>
        <v>0</v>
      </c>
      <c r="AF8" s="66">
        <f>IFERROR(AVERAGEIFS(TBA_Matches_All[ATTNDDiff],TBA_Matches_All[Team],TBA_Rankings[[#This Row],[Team]],TBA_Matches_All[Defense],0,TBA_Matches_All[Scouted],"&gt;0"),0)</f>
        <v>0</v>
      </c>
      <c r="AG8" s="66">
        <f>IFERROR(AVERAGEIFS(TBA_Matches_All[ATTNDDiff],TBA_Matches_All[Team],TBA_Rankings[[#This Row],[Team]],TBA_Matches_All[Avoid],3,TBA_Matches_All[Scouted],"&gt;0"),0)</f>
        <v>9.1875</v>
      </c>
      <c r="AH8" s="66">
        <f>IFERROR(AVERAGEIFS(TBA_Matches_All[ATTNDDiff],TBA_Matches_All[Team],TBA_Rankings[[#This Row],[Team]],TBA_Matches_All[Avoid],2,TBA_Matches_All[Scouted],"&gt;0"),0)</f>
        <v>0</v>
      </c>
      <c r="AI8" s="66">
        <f>IFERROR(AVERAGEIFS(TBA_Matches_All[ATTNDDiff],TBA_Matches_All[Team],TBA_Rankings[[#This Row],[Team]],TBA_Matches_All[Avoid],1,TBA_Matches_All[Scouted],"&gt;0"),0)</f>
        <v>9.1875</v>
      </c>
      <c r="AJ8" s="66">
        <f>IFERROR(AVERAGEIFS(TBA_Matches_All[ATTNDDiff],TBA_Matches_All[Team],TBA_Rankings[[#This Row],[Team]],TBA_Matches_All[Avoid],0,TBA_Matches_All[Scouted],"&gt;0"),0)</f>
        <v>-6.125</v>
      </c>
    </row>
    <row r="9" spans="1:36" x14ac:dyDescent="0.3">
      <c r="A9" t="s">
        <v>1419</v>
      </c>
      <c r="B9" s="1">
        <v>8</v>
      </c>
      <c r="C9" t="s">
        <v>1314</v>
      </c>
      <c r="D9" s="1">
        <v>540</v>
      </c>
      <c r="E9" s="66">
        <f>IFERROR(AVERAGEIFS(TBA_Matches_All[Score], TBA_Matches_All[Team],TBA_Rankings[[#This Row],[Team]],TBA_Matches_All[Scouted],"&gt;0"),0)</f>
        <v>63</v>
      </c>
      <c r="F9" s="66">
        <f>IFERROR(AVERAGEIFS(TBA_Matches_All[TotptsC], TBA_Matches_All[Team],TBA_Rankings[[#This Row],[Team]],TBA_Matches_All[Scouted],"&gt;0"),0)</f>
        <v>27.704545454545457</v>
      </c>
      <c r="G9" s="59">
        <f>IFERROR(TBA_Rankings[[#This Row],[avescoreT]]/TBA_Rankings[[#This Row],[avescoreA]],0)</f>
        <v>0.43975468975468979</v>
      </c>
      <c r="H9" s="66">
        <f>IFERROR(SUM(AVERAGEIFS(TBA_Matches_All[Aamp],TBA_Matches_All[Team],TBA_Rankings[[#This Row],[Team]],TBA_Matches_All[Scouted],"&gt;0")+AVERAGEIFS(TBA_Matches_All[Tamp],TBA_Matches_All[Team],TBA_Rankings[[#This Row],[Team]],TBA_Matches_All[Scouted],"&gt;0")),0)</f>
        <v>3</v>
      </c>
      <c r="I9" s="66">
        <f>IFERROR(SUM(AVERAGEIFS(TBA_Matches_All[AampT],TBA_Matches_All[Team],TBA_Rankings[[#This Row],[Team]],TBA_Matches_All[Scouted],"&gt;0")+AVERAGEIFS(TBA_Matches_All[TampT],TBA_Matches_All[Team],TBA_Rankings[[#This Row],[Team]],TBA_Matches_All[Scouted],"&gt;0")),0)</f>
        <v>1.4</v>
      </c>
      <c r="J9" s="59">
        <f>IFERROR(TBA_Rankings[[#This Row],[aveampT]]/TBA_Rankings[[#This Row],[aveampA]],0)</f>
        <v>0.46666666666666662</v>
      </c>
      <c r="K9" s="66">
        <f>IFERROR(SUM(AVERAGEIFS(TBA_Matches_All[Aspkr],TBA_Matches_All[Team],TBA_Rankings[[#This Row],[Team]],TBA_Matches_All[Scouted],"&gt;0")+AVERAGEIFS(TBA_Matches_All[Tspkr],TBA_Matches_All[Team],TBA_Rankings[[#This Row],[Team]],TBA_Matches_All[Scouted],"&gt;0")),0)</f>
        <v>14.6</v>
      </c>
      <c r="L9" s="66">
        <f>IFERROR(SUM(AVERAGEIFS(TBA_Matches_All[AspkrT],TBA_Matches_All[Team],TBA_Rankings[[#This Row],[Team]],TBA_Matches_All[Scouted],"&gt;0")+AVERAGEIFS(TBA_Matches_All[TspkrT],TBA_Matches_All[Team],TBA_Rankings[[#This Row],[Team]],TBA_Matches_All[Scouted],"&gt;0")),0)</f>
        <v>7.8</v>
      </c>
      <c r="M9" s="59">
        <f>IFERROR(TBA_Rankings[[#This Row],[avespkrT]]/TBA_Rankings[[#This Row],[avespkrA]],0)</f>
        <v>0.53424657534246578</v>
      </c>
      <c r="N9" s="66">
        <f>IFERROR(AVERAGEIFS(TBA_Matches_All[Trap],TBA_Matches_All[Team],TBA_Rankings[[#This Row],[Team]],TBA_Matches_All[Scouted],"&gt;0"),0)</f>
        <v>0.2</v>
      </c>
      <c r="O9" s="66">
        <f>IFERROR(SUM(AVERAGEIFS(TBA_Matches_All[AtrapT],TBA_Matches_All[Team],TBA_Rankings[[#This Row],[Team]],TBA_Matches_All[Scouted],"&gt;0")+AVERAGEIFS(TBA_Matches_All[TtrapT],TBA_Matches_All[Team],TBA_Rankings[[#This Row],[Team]],TBA_Matches_All[Scouted],"&gt;0")),0)</f>
        <v>0</v>
      </c>
      <c r="P9" s="59">
        <f>IFERROR(TBA_Rankings[[#This Row],[avetrapT]]/TBA_Rankings[[#This Row],[avetrapA]],0)</f>
        <v>0</v>
      </c>
      <c r="Q9" s="66">
        <f>IFERROR(AVERAGEIFS(TBA_Matches_All[TotNotes],TBA_Matches_All[Team],TBA_Rankings[[#This Row],[Team]],TBA_Matches_All[Scouted],"&gt;0"),0)</f>
        <v>17.600000000000001</v>
      </c>
      <c r="R9" s="66">
        <f>IFERROR(AVERAGEIFS(TBA_Matches_All[TotNotesT],TBA_Matches_All[Team],TBA_Rankings[[#This Row],[Team]],TBA_Matches_All[Scouted],"&gt;0"),0)</f>
        <v>9.1999999999999993</v>
      </c>
      <c r="S9" s="59">
        <f>IFERROR(TBA_Rankings[[#This Row],[avenotesT]]/TBA_Rankings[[#This Row],[avenotesA]],0)</f>
        <v>0.5227272727272726</v>
      </c>
      <c r="T9" s="66">
        <f>IFERROR(AVERAGEIFS(TBA_Matches_All[StagePts],TBA_Matches_All[Team],TBA_Rankings[[#This Row],[Team]],TBA_Matches_All[Scouted],"&gt;0"),0)</f>
        <v>7.2</v>
      </c>
      <c r="U9" s="66">
        <f>IFERROR(AVERAGEIFS(TBA_Matches_All[stageptsT],TBA_Matches_All[Team],TBA_Rankings[[#This Row],[Team]],TBA_Matches_All[Scouted],"&gt;0"),0)</f>
        <v>1.6</v>
      </c>
      <c r="V9" s="59">
        <f>IFERROR(TBA_Rankings[[#This Row],[avestageT]]/TBA_Rankings[[#This Row],[avestageA]],0)</f>
        <v>0.22222222222222224</v>
      </c>
      <c r="W9" s="66">
        <f>IFERROR(AVERAGEIFS(TBA_Matches_All[AampT],TBA_Matches_All[Team],TBA_Rankings[[#This Row],[Team]],TBA_Matches_All[Scouted],"&gt;0"),0)</f>
        <v>0</v>
      </c>
      <c r="X9" s="66">
        <f>IFERROR(AVERAGEIFS(TBA_Matches_All[AspkrT],TBA_Matches_All[Team],TBA_Rankings[[#This Row],[Team]],TBA_Matches_All[Scouted],"&gt;0"),0)</f>
        <v>1.8</v>
      </c>
      <c r="Y9" s="66">
        <f>IFERROR(AVERAGEIFS(TBA_Matches_All[AtrapT],TBA_Matches_All[Team],TBA_Rankings[[#This Row],[Team]],TBA_Matches_All[Scouted],"&gt;0"),0)</f>
        <v>0</v>
      </c>
      <c r="Z9" s="66">
        <f>IFERROR(AVERAGEIFS(TBA_Matches_All[TampT],TBA_Matches_All[Team],TBA_Rankings[[#This Row],[Team]],TBA_Matches_All[Scouted],"&gt;0"),0)</f>
        <v>1.4</v>
      </c>
      <c r="AA9" s="66">
        <f>IFERROR(AVERAGEIFS(TBA_Matches_All[TspkrT],TBA_Matches_All[Team],TBA_Rankings[[#This Row],[Team]],TBA_Matches_All[Scouted],"&gt;0"),0)</f>
        <v>6</v>
      </c>
      <c r="AB9" s="66">
        <f>IFERROR(AVERAGEIFS(TBA_Matches_All[TtrapT],TBA_Matches_All[Team],TBA_Rankings[[#This Row],[Team]],TBA_Matches_All[Scouted],"&gt;0"),0)</f>
        <v>0</v>
      </c>
      <c r="AC9" s="66">
        <f>IFERROR(AVERAGEIFS(TBA_Matches_All[ATTNDDiff],TBA_Matches_All[Team],TBA_Rankings[[#This Row],[Team]],TBA_Matches_All[Defense],3,TBA_Matches_All[Scouted],"&gt;0"),0)</f>
        <v>0</v>
      </c>
      <c r="AD9" s="66">
        <f>IFERROR(AVERAGEIFS(TBA_Matches_All[ATTNDDiff],TBA_Matches_All[Team],TBA_Rankings[[#This Row],[Team]],TBA_Matches_All[Defense],2,TBA_Matches_All[Scouted],"&gt;0"),0)</f>
        <v>0</v>
      </c>
      <c r="AE9" s="66">
        <f>IFERROR(AVERAGEIFS(TBA_Matches_All[ATTNDDiff],TBA_Matches_All[Team],TBA_Rankings[[#This Row],[Team]],TBA_Matches_All[Defense],1,TBA_Matches_All[Scouted],"&gt;0"),0)</f>
        <v>0</v>
      </c>
      <c r="AF9" s="66">
        <f>IFERROR(AVERAGEIFS(TBA_Matches_All[ATTNDDiff],TBA_Matches_All[Team],TBA_Rankings[[#This Row],[Team]],TBA_Matches_All[Defense],0,TBA_Matches_All[Scouted],"&gt;0"),0)</f>
        <v>0</v>
      </c>
      <c r="AG9" s="66">
        <f>IFERROR(AVERAGEIFS(TBA_Matches_All[ATTNDDiff],TBA_Matches_All[Team],TBA_Rankings[[#This Row],[Team]],TBA_Matches_All[Avoid],3,TBA_Matches_All[Scouted],"&gt;0"),0)</f>
        <v>0</v>
      </c>
      <c r="AH9" s="66">
        <f>IFERROR(AVERAGEIFS(TBA_Matches_All[ATTNDDiff],TBA_Matches_All[Team],TBA_Rankings[[#This Row],[Team]],TBA_Matches_All[Avoid],2,TBA_Matches_All[Scouted],"&gt;0"),0)</f>
        <v>0</v>
      </c>
      <c r="AI9" s="66">
        <f>IFERROR(AVERAGEIFS(TBA_Matches_All[ATTNDDiff],TBA_Matches_All[Team],TBA_Rankings[[#This Row],[Team]],TBA_Matches_All[Avoid],1,TBA_Matches_All[Scouted],"&gt;0"),0)</f>
        <v>0</v>
      </c>
      <c r="AJ9" s="66">
        <f>IFERROR(AVERAGEIFS(TBA_Matches_All[ATTNDDiff],TBA_Matches_All[Team],TBA_Rankings[[#This Row],[Team]],TBA_Matches_All[Avoid],0,TBA_Matches_All[Scouted],"&gt;0"),0)</f>
        <v>0</v>
      </c>
    </row>
    <row r="10" spans="1:36" x14ac:dyDescent="0.3">
      <c r="A10" t="s">
        <v>1419</v>
      </c>
      <c r="B10" s="1">
        <v>14</v>
      </c>
      <c r="C10" t="s">
        <v>1303</v>
      </c>
      <c r="D10" s="1">
        <v>686</v>
      </c>
      <c r="E10" s="66">
        <f>IFERROR(AVERAGEIFS(TBA_Matches_All[Score], TBA_Matches_All[Team],TBA_Rankings[[#This Row],[Team]],TBA_Matches_All[Scouted],"&gt;0"),0)</f>
        <v>60.833333333333336</v>
      </c>
      <c r="F10" s="66">
        <f>IFERROR(AVERAGEIFS(TBA_Matches_All[TotptsC], TBA_Matches_All[Team],TBA_Rankings[[#This Row],[Team]],TBA_Matches_All[Scouted],"&gt;0"),0)</f>
        <v>31.322222222222223</v>
      </c>
      <c r="G10" s="59">
        <f>IFERROR(TBA_Rankings[[#This Row],[avescoreT]]/TBA_Rankings[[#This Row],[avescoreA]],0)</f>
        <v>0.51488584474885846</v>
      </c>
      <c r="H10" s="66">
        <f>IFERROR(SUM(AVERAGEIFS(TBA_Matches_All[Aamp],TBA_Matches_All[Team],TBA_Rankings[[#This Row],[Team]],TBA_Matches_All[Scouted],"&gt;0")+AVERAGEIFS(TBA_Matches_All[Tamp],TBA_Matches_All[Team],TBA_Rankings[[#This Row],[Team]],TBA_Matches_All[Scouted],"&gt;0")),0)</f>
        <v>2.8333333333333335</v>
      </c>
      <c r="I10" s="66">
        <f>IFERROR(SUM(AVERAGEIFS(TBA_Matches_All[AampT],TBA_Matches_All[Team],TBA_Rankings[[#This Row],[Team]],TBA_Matches_All[Scouted],"&gt;0")+AVERAGEIFS(TBA_Matches_All[TampT],TBA_Matches_All[Team],TBA_Rankings[[#This Row],[Team]],TBA_Matches_All[Scouted],"&gt;0")),0)</f>
        <v>1</v>
      </c>
      <c r="J10" s="59">
        <f>IFERROR(TBA_Rankings[[#This Row],[aveampT]]/TBA_Rankings[[#This Row],[aveampA]],0)</f>
        <v>0.3529411764705882</v>
      </c>
      <c r="K10" s="66">
        <f>IFERROR(SUM(AVERAGEIFS(TBA_Matches_All[Aspkr],TBA_Matches_All[Team],TBA_Rankings[[#This Row],[Team]],TBA_Matches_All[Scouted],"&gt;0")+AVERAGEIFS(TBA_Matches_All[Tspkr],TBA_Matches_All[Team],TBA_Rankings[[#This Row],[Team]],TBA_Matches_All[Scouted],"&gt;0")),0)</f>
        <v>12.333333333333332</v>
      </c>
      <c r="L10" s="66">
        <f>IFERROR(SUM(AVERAGEIFS(TBA_Matches_All[AspkrT],TBA_Matches_All[Team],TBA_Rankings[[#This Row],[Team]],TBA_Matches_All[Scouted],"&gt;0")+AVERAGEIFS(TBA_Matches_All[TspkrT],TBA_Matches_All[Team],TBA_Rankings[[#This Row],[Team]],TBA_Matches_All[Scouted],"&gt;0")),0)</f>
        <v>7.3333333333333339</v>
      </c>
      <c r="M10" s="59">
        <f>IFERROR(TBA_Rankings[[#This Row],[avespkrT]]/TBA_Rankings[[#This Row],[avespkrA]],0)</f>
        <v>0.59459459459459474</v>
      </c>
      <c r="N10" s="66">
        <f>IFERROR(AVERAGEIFS(TBA_Matches_All[Trap],TBA_Matches_All[Team],TBA_Rankings[[#This Row],[Team]],TBA_Matches_All[Scouted],"&gt;0"),0)</f>
        <v>0.33333333333333331</v>
      </c>
      <c r="O10" s="66">
        <f>IFERROR(SUM(AVERAGEIFS(TBA_Matches_All[AtrapT],TBA_Matches_All[Team],TBA_Rankings[[#This Row],[Team]],TBA_Matches_All[Scouted],"&gt;0")+AVERAGEIFS(TBA_Matches_All[TtrapT],TBA_Matches_All[Team],TBA_Rankings[[#This Row],[Team]],TBA_Matches_All[Scouted],"&gt;0")),0)</f>
        <v>0.33333333333333331</v>
      </c>
      <c r="P10" s="59">
        <f>IFERROR(TBA_Rankings[[#This Row],[avetrapT]]/TBA_Rankings[[#This Row],[avetrapA]],0)</f>
        <v>1</v>
      </c>
      <c r="Q10" s="66">
        <f>IFERROR(AVERAGEIFS(TBA_Matches_All[TotNotes],TBA_Matches_All[Team],TBA_Rankings[[#This Row],[Team]],TBA_Matches_All[Scouted],"&gt;0"),0)</f>
        <v>15.166666666666666</v>
      </c>
      <c r="R10" s="66">
        <f>IFERROR(AVERAGEIFS(TBA_Matches_All[TotNotesT],TBA_Matches_All[Team],TBA_Rankings[[#This Row],[Team]],TBA_Matches_All[Scouted],"&gt;0"),0)</f>
        <v>8.6666666666666661</v>
      </c>
      <c r="S10" s="59">
        <f>IFERROR(TBA_Rankings[[#This Row],[avenotesT]]/TBA_Rankings[[#This Row],[avenotesA]],0)</f>
        <v>0.5714285714285714</v>
      </c>
      <c r="T10" s="66">
        <f>IFERROR(AVERAGEIFS(TBA_Matches_All[StagePts],TBA_Matches_All[Team],TBA_Rankings[[#This Row],[Team]],TBA_Matches_All[Scouted],"&gt;0"),0)</f>
        <v>8</v>
      </c>
      <c r="U10" s="66">
        <f>IFERROR(AVERAGEIFS(TBA_Matches_All[stageptsT],TBA_Matches_All[Team],TBA_Rankings[[#This Row],[Team]],TBA_Matches_All[Scouted],"&gt;0"),0)</f>
        <v>2</v>
      </c>
      <c r="V10" s="59">
        <f>IFERROR(TBA_Rankings[[#This Row],[avestageT]]/TBA_Rankings[[#This Row],[avestageA]],0)</f>
        <v>0.25</v>
      </c>
      <c r="W10" s="66">
        <f>IFERROR(AVERAGEIFS(TBA_Matches_All[AampT],TBA_Matches_All[Team],TBA_Rankings[[#This Row],[Team]],TBA_Matches_All[Scouted],"&gt;0"),0)</f>
        <v>0</v>
      </c>
      <c r="X10" s="66">
        <f>IFERROR(AVERAGEIFS(TBA_Matches_All[AspkrT],TBA_Matches_All[Team],TBA_Rankings[[#This Row],[Team]],TBA_Matches_All[Scouted],"&gt;0"),0)</f>
        <v>2.8333333333333335</v>
      </c>
      <c r="Y10" s="66">
        <f>IFERROR(AVERAGEIFS(TBA_Matches_All[AtrapT],TBA_Matches_All[Team],TBA_Rankings[[#This Row],[Team]],TBA_Matches_All[Scouted],"&gt;0"),0)</f>
        <v>0</v>
      </c>
      <c r="Z10" s="66">
        <f>IFERROR(AVERAGEIFS(TBA_Matches_All[TampT],TBA_Matches_All[Team],TBA_Rankings[[#This Row],[Team]],TBA_Matches_All[Scouted],"&gt;0"),0)</f>
        <v>1</v>
      </c>
      <c r="AA10" s="66">
        <f>IFERROR(AVERAGEIFS(TBA_Matches_All[TspkrT],TBA_Matches_All[Team],TBA_Rankings[[#This Row],[Team]],TBA_Matches_All[Scouted],"&gt;0"),0)</f>
        <v>4.5</v>
      </c>
      <c r="AB10" s="66">
        <f>IFERROR(AVERAGEIFS(TBA_Matches_All[TtrapT],TBA_Matches_All[Team],TBA_Rankings[[#This Row],[Team]],TBA_Matches_All[Scouted],"&gt;0"),0)</f>
        <v>0.33333333333333331</v>
      </c>
      <c r="AC10" s="66">
        <f>IFERROR(AVERAGEIFS(TBA_Matches_All[ATTNDDiff],TBA_Matches_All[Team],TBA_Rankings[[#This Row],[Team]],TBA_Matches_All[Defense],3,TBA_Matches_All[Scouted],"&gt;0"),0)</f>
        <v>0</v>
      </c>
      <c r="AD10" s="66">
        <f>IFERROR(AVERAGEIFS(TBA_Matches_All[ATTNDDiff],TBA_Matches_All[Team],TBA_Rankings[[#This Row],[Team]],TBA_Matches_All[Defense],2,TBA_Matches_All[Scouted],"&gt;0"),0)</f>
        <v>0</v>
      </c>
      <c r="AE10" s="66">
        <f>IFERROR(AVERAGEIFS(TBA_Matches_All[ATTNDDiff],TBA_Matches_All[Team],TBA_Rankings[[#This Row],[Team]],TBA_Matches_All[Defense],1,TBA_Matches_All[Scouted],"&gt;0"),0)</f>
        <v>0</v>
      </c>
      <c r="AF10" s="66">
        <f>IFERROR(AVERAGEIFS(TBA_Matches_All[ATTNDDiff],TBA_Matches_All[Team],TBA_Rankings[[#This Row],[Team]],TBA_Matches_All[Defense],0,TBA_Matches_All[Scouted],"&gt;0"),0)</f>
        <v>2.9605947323337506E-16</v>
      </c>
      <c r="AG10" s="66">
        <f>IFERROR(AVERAGEIFS(TBA_Matches_All[ATTNDDiff],TBA_Matches_All[Team],TBA_Rankings[[#This Row],[Team]],TBA_Matches_All[Avoid],3,TBA_Matches_All[Scouted],"&gt;0"),0)</f>
        <v>0</v>
      </c>
      <c r="AH10" s="66">
        <f>IFERROR(AVERAGEIFS(TBA_Matches_All[ATTNDDiff],TBA_Matches_All[Team],TBA_Rankings[[#This Row],[Team]],TBA_Matches_All[Avoid],2,TBA_Matches_All[Scouted],"&gt;0"),0)</f>
        <v>0</v>
      </c>
      <c r="AI10" s="66">
        <f>IFERROR(AVERAGEIFS(TBA_Matches_All[ATTNDDiff],TBA_Matches_All[Team],TBA_Rankings[[#This Row],[Team]],TBA_Matches_All[Avoid],1,TBA_Matches_All[Scouted],"&gt;0"),0)</f>
        <v>3.373333333333334</v>
      </c>
      <c r="AJ10" s="66">
        <f>IFERROR(AVERAGEIFS(TBA_Matches_All[ATTNDDiff],TBA_Matches_All[Team],TBA_Rankings[[#This Row],[Team]],TBA_Matches_All[Avoid],0,TBA_Matches_All[Scouted],"&gt;0"),0)</f>
        <v>-1.6866666666666665</v>
      </c>
    </row>
    <row r="11" spans="1:36" x14ac:dyDescent="0.3">
      <c r="A11" t="s">
        <v>1419</v>
      </c>
      <c r="B11" s="1">
        <v>36</v>
      </c>
      <c r="C11" t="s">
        <v>370</v>
      </c>
      <c r="D11" s="1">
        <v>252</v>
      </c>
      <c r="E11" s="66">
        <f>IFERROR(AVERAGEIFS(TBA_Matches_All[Score], TBA_Matches_All[Team],TBA_Rankings[[#This Row],[Team]],TBA_Matches_All[Scouted],"&gt;0"),0)</f>
        <v>54.333333333333336</v>
      </c>
      <c r="F11" s="66">
        <f>IFERROR(AVERAGEIFS(TBA_Matches_All[TotptsC], TBA_Matches_All[Team],TBA_Rankings[[#This Row],[Team]],TBA_Matches_All[Scouted],"&gt;0"),0)</f>
        <v>23.083333333333332</v>
      </c>
      <c r="G11" s="59">
        <f>IFERROR(TBA_Rankings[[#This Row],[avescoreT]]/TBA_Rankings[[#This Row],[avescoreA]],0)</f>
        <v>0.4248466257668711</v>
      </c>
      <c r="H11" s="66">
        <f>IFERROR(SUM(AVERAGEIFS(TBA_Matches_All[Aamp],TBA_Matches_All[Team],TBA_Rankings[[#This Row],[Team]],TBA_Matches_All[Scouted],"&gt;0")+AVERAGEIFS(TBA_Matches_All[Tamp],TBA_Matches_All[Team],TBA_Rankings[[#This Row],[Team]],TBA_Matches_All[Scouted],"&gt;0")),0)</f>
        <v>2.5</v>
      </c>
      <c r="I11" s="66">
        <f>IFERROR(SUM(AVERAGEIFS(TBA_Matches_All[AampT],TBA_Matches_All[Team],TBA_Rankings[[#This Row],[Team]],TBA_Matches_All[Scouted],"&gt;0")+AVERAGEIFS(TBA_Matches_All[TampT],TBA_Matches_All[Team],TBA_Rankings[[#This Row],[Team]],TBA_Matches_All[Scouted],"&gt;0")),0)</f>
        <v>0</v>
      </c>
      <c r="J11" s="59">
        <f>IFERROR(TBA_Rankings[[#This Row],[aveampT]]/TBA_Rankings[[#This Row],[aveampA]],0)</f>
        <v>0</v>
      </c>
      <c r="K11" s="66">
        <f>IFERROR(SUM(AVERAGEIFS(TBA_Matches_All[Aspkr],TBA_Matches_All[Team],TBA_Rankings[[#This Row],[Team]],TBA_Matches_All[Scouted],"&gt;0")+AVERAGEIFS(TBA_Matches_All[Tspkr],TBA_Matches_All[Team],TBA_Rankings[[#This Row],[Team]],TBA_Matches_All[Scouted],"&gt;0")),0)</f>
        <v>13</v>
      </c>
      <c r="L11" s="66">
        <f>IFERROR(SUM(AVERAGEIFS(TBA_Matches_All[AspkrT],TBA_Matches_All[Team],TBA_Rankings[[#This Row],[Team]],TBA_Matches_All[Scouted],"&gt;0")+AVERAGEIFS(TBA_Matches_All[TspkrT],TBA_Matches_All[Team],TBA_Rankings[[#This Row],[Team]],TBA_Matches_All[Scouted],"&gt;0")),0)</f>
        <v>7</v>
      </c>
      <c r="M11" s="59">
        <f>IFERROR(TBA_Rankings[[#This Row],[avespkrT]]/TBA_Rankings[[#This Row],[avespkrA]],0)</f>
        <v>0.53846153846153844</v>
      </c>
      <c r="N11" s="66">
        <f>IFERROR(AVERAGEIFS(TBA_Matches_All[Trap],TBA_Matches_All[Team],TBA_Rankings[[#This Row],[Team]],TBA_Matches_All[Scouted],"&gt;0"),0)</f>
        <v>0</v>
      </c>
      <c r="O11" s="66">
        <f>IFERROR(SUM(AVERAGEIFS(TBA_Matches_All[AtrapT],TBA_Matches_All[Team],TBA_Rankings[[#This Row],[Team]],TBA_Matches_All[Scouted],"&gt;0")+AVERAGEIFS(TBA_Matches_All[TtrapT],TBA_Matches_All[Team],TBA_Rankings[[#This Row],[Team]],TBA_Matches_All[Scouted],"&gt;0")),0)</f>
        <v>0</v>
      </c>
      <c r="P11" s="59">
        <f>IFERROR(TBA_Rankings[[#This Row],[avetrapT]]/TBA_Rankings[[#This Row],[avetrapA]],0)</f>
        <v>0</v>
      </c>
      <c r="Q11" s="66">
        <f>IFERROR(AVERAGEIFS(TBA_Matches_All[TotNotes],TBA_Matches_All[Team],TBA_Rankings[[#This Row],[Team]],TBA_Matches_All[Scouted],"&gt;0"),0)</f>
        <v>15.5</v>
      </c>
      <c r="R11" s="66">
        <f>IFERROR(AVERAGEIFS(TBA_Matches_All[TotNotesT],TBA_Matches_All[Team],TBA_Rankings[[#This Row],[Team]],TBA_Matches_All[Scouted],"&gt;0"),0)</f>
        <v>7</v>
      </c>
      <c r="S11" s="59">
        <f>IFERROR(TBA_Rankings[[#This Row],[avenotesT]]/TBA_Rankings[[#This Row],[avenotesA]],0)</f>
        <v>0.45161290322580644</v>
      </c>
      <c r="T11" s="66">
        <f>IFERROR(AVERAGEIFS(TBA_Matches_All[StagePts],TBA_Matches_All[Team],TBA_Rankings[[#This Row],[Team]],TBA_Matches_All[Scouted],"&gt;0"),0)</f>
        <v>7.666666666666667</v>
      </c>
      <c r="U11" s="66">
        <f>IFERROR(AVERAGEIFS(TBA_Matches_All[stageptsT],TBA_Matches_All[Team],TBA_Rankings[[#This Row],[Team]],TBA_Matches_All[Scouted],"&gt;0"),0)</f>
        <v>3.5</v>
      </c>
      <c r="V11" s="59">
        <f>IFERROR(TBA_Rankings[[#This Row],[avestageT]]/TBA_Rankings[[#This Row],[avestageA]],0)</f>
        <v>0.45652173913043476</v>
      </c>
      <c r="W11" s="66">
        <f>IFERROR(AVERAGEIFS(TBA_Matches_All[AampT],TBA_Matches_All[Team],TBA_Rankings[[#This Row],[Team]],TBA_Matches_All[Scouted],"&gt;0"),0)</f>
        <v>0</v>
      </c>
      <c r="X11" s="66">
        <f>IFERROR(AVERAGEIFS(TBA_Matches_All[AspkrT],TBA_Matches_All[Team],TBA_Rankings[[#This Row],[Team]],TBA_Matches_All[Scouted],"&gt;0"),0)</f>
        <v>0.66666666666666663</v>
      </c>
      <c r="Y11" s="66">
        <f>IFERROR(AVERAGEIFS(TBA_Matches_All[AtrapT],TBA_Matches_All[Team],TBA_Rankings[[#This Row],[Team]],TBA_Matches_All[Scouted],"&gt;0"),0)</f>
        <v>0</v>
      </c>
      <c r="Z11" s="66">
        <f>IFERROR(AVERAGEIFS(TBA_Matches_All[TampT],TBA_Matches_All[Team],TBA_Rankings[[#This Row],[Team]],TBA_Matches_All[Scouted],"&gt;0"),0)</f>
        <v>0</v>
      </c>
      <c r="AA11" s="66">
        <f>IFERROR(AVERAGEIFS(TBA_Matches_All[TspkrT],TBA_Matches_All[Team],TBA_Rankings[[#This Row],[Team]],TBA_Matches_All[Scouted],"&gt;0"),0)</f>
        <v>6.333333333333333</v>
      </c>
      <c r="AB11" s="66">
        <f>IFERROR(AVERAGEIFS(TBA_Matches_All[TtrapT],TBA_Matches_All[Team],TBA_Rankings[[#This Row],[Team]],TBA_Matches_All[Scouted],"&gt;0"),0)</f>
        <v>0</v>
      </c>
      <c r="AC11" s="66">
        <f>IFERROR(AVERAGEIFS(TBA_Matches_All[ATTNDDiff],TBA_Matches_All[Team],TBA_Rankings[[#This Row],[Team]],TBA_Matches_All[Defense],3,TBA_Matches_All[Scouted],"&gt;0"),0)</f>
        <v>0</v>
      </c>
      <c r="AD11" s="66">
        <f>IFERROR(AVERAGEIFS(TBA_Matches_All[ATTNDDiff],TBA_Matches_All[Team],TBA_Rankings[[#This Row],[Team]],TBA_Matches_All[Defense],2,TBA_Matches_All[Scouted],"&gt;0"),0)</f>
        <v>0</v>
      </c>
      <c r="AE11" s="66">
        <f>IFERROR(AVERAGEIFS(TBA_Matches_All[ATTNDDiff],TBA_Matches_All[Team],TBA_Rankings[[#This Row],[Team]],TBA_Matches_All[Defense],1,TBA_Matches_All[Scouted],"&gt;0"),0)</f>
        <v>0</v>
      </c>
      <c r="AF11" s="66">
        <f>IFERROR(AVERAGEIFS(TBA_Matches_All[ATTNDDiff],TBA_Matches_All[Team],TBA_Rankings[[#This Row],[Team]],TBA_Matches_All[Defense],0,TBA_Matches_All[Scouted],"&gt;0"),0)</f>
        <v>2.9605947323337506E-16</v>
      </c>
      <c r="AG11" s="66">
        <f>IFERROR(AVERAGEIFS(TBA_Matches_All[ATTNDDiff],TBA_Matches_All[Team],TBA_Rankings[[#This Row],[Team]],TBA_Matches_All[Avoid],3,TBA_Matches_All[Scouted],"&gt;0"),0)</f>
        <v>0</v>
      </c>
      <c r="AH11" s="66">
        <f>IFERROR(AVERAGEIFS(TBA_Matches_All[ATTNDDiff],TBA_Matches_All[Team],TBA_Rankings[[#This Row],[Team]],TBA_Matches_All[Avoid],2,TBA_Matches_All[Scouted],"&gt;0"),0)</f>
        <v>0</v>
      </c>
      <c r="AI11" s="66">
        <f>IFERROR(AVERAGEIFS(TBA_Matches_All[ATTNDDiff],TBA_Matches_All[Team],TBA_Rankings[[#This Row],[Team]],TBA_Matches_All[Avoid],1,TBA_Matches_All[Scouted],"&gt;0"),0)</f>
        <v>3.9000000000000004</v>
      </c>
      <c r="AJ11" s="66">
        <f>IFERROR(AVERAGEIFS(TBA_Matches_All[ATTNDDiff],TBA_Matches_All[Team],TBA_Rankings[[#This Row],[Team]],TBA_Matches_All[Avoid],0,TBA_Matches_All[Scouted],"&gt;0"),0)</f>
        <v>-3.9</v>
      </c>
    </row>
    <row r="12" spans="1:36" x14ac:dyDescent="0.3">
      <c r="A12" t="s">
        <v>1419</v>
      </c>
      <c r="B12" s="1">
        <v>7</v>
      </c>
      <c r="C12" t="s">
        <v>318</v>
      </c>
      <c r="D12" s="1">
        <v>540</v>
      </c>
      <c r="E12" s="66">
        <f>IFERROR(AVERAGEIFS(TBA_Matches_All[Score], TBA_Matches_All[Team],TBA_Rankings[[#This Row],[Team]],TBA_Matches_All[Scouted],"&gt;0"),0)</f>
        <v>65.75</v>
      </c>
      <c r="F12" s="66">
        <f>IFERROR(AVERAGEIFS(TBA_Matches_All[TotptsC], TBA_Matches_All[Team],TBA_Rankings[[#This Row],[Team]],TBA_Matches_All[Scouted],"&gt;0"),0)</f>
        <v>20.803571428571431</v>
      </c>
      <c r="G12" s="59">
        <f>IFERROR(TBA_Rankings[[#This Row],[avescoreT]]/TBA_Rankings[[#This Row],[avescoreA]],0)</f>
        <v>0.31640412819120045</v>
      </c>
      <c r="H12" s="66">
        <f>IFERROR(SUM(AVERAGEIFS(TBA_Matches_All[Aamp],TBA_Matches_All[Team],TBA_Rankings[[#This Row],[Team]],TBA_Matches_All[Scouted],"&gt;0")+AVERAGEIFS(TBA_Matches_All[Tamp],TBA_Matches_All[Team],TBA_Rankings[[#This Row],[Team]],TBA_Matches_All[Scouted],"&gt;0")),0)</f>
        <v>4.75</v>
      </c>
      <c r="I12" s="66">
        <f>IFERROR(SUM(AVERAGEIFS(TBA_Matches_All[AampT],TBA_Matches_All[Team],TBA_Rankings[[#This Row],[Team]],TBA_Matches_All[Scouted],"&gt;0")+AVERAGEIFS(TBA_Matches_All[TampT],TBA_Matches_All[Team],TBA_Rankings[[#This Row],[Team]],TBA_Matches_All[Scouted],"&gt;0")),0)</f>
        <v>0</v>
      </c>
      <c r="J12" s="59">
        <f>IFERROR(TBA_Rankings[[#This Row],[aveampT]]/TBA_Rankings[[#This Row],[aveampA]],0)</f>
        <v>0</v>
      </c>
      <c r="K12" s="66">
        <f>IFERROR(SUM(AVERAGEIFS(TBA_Matches_All[Aspkr],TBA_Matches_All[Team],TBA_Rankings[[#This Row],[Team]],TBA_Matches_All[Scouted],"&gt;0")+AVERAGEIFS(TBA_Matches_All[Tspkr],TBA_Matches_All[Team],TBA_Rankings[[#This Row],[Team]],TBA_Matches_All[Scouted],"&gt;0")),0)</f>
        <v>15.25</v>
      </c>
      <c r="L12" s="66">
        <f>IFERROR(SUM(AVERAGEIFS(TBA_Matches_All[AspkrT],TBA_Matches_All[Team],TBA_Rankings[[#This Row],[Team]],TBA_Matches_All[Scouted],"&gt;0")+AVERAGEIFS(TBA_Matches_All[TspkrT],TBA_Matches_All[Team],TBA_Rankings[[#This Row],[Team]],TBA_Matches_All[Scouted],"&gt;0")),0)</f>
        <v>6.75</v>
      </c>
      <c r="M12" s="59">
        <f>IFERROR(TBA_Rankings[[#This Row],[avespkrT]]/TBA_Rankings[[#This Row],[avespkrA]],0)</f>
        <v>0.44262295081967212</v>
      </c>
      <c r="N12" s="66">
        <f>IFERROR(AVERAGEIFS(TBA_Matches_All[Trap],TBA_Matches_All[Team],TBA_Rankings[[#This Row],[Team]],TBA_Matches_All[Scouted],"&gt;0"),0)</f>
        <v>0</v>
      </c>
      <c r="O12" s="66">
        <f>IFERROR(SUM(AVERAGEIFS(TBA_Matches_All[AtrapT],TBA_Matches_All[Team],TBA_Rankings[[#This Row],[Team]],TBA_Matches_All[Scouted],"&gt;0")+AVERAGEIFS(TBA_Matches_All[TtrapT],TBA_Matches_All[Team],TBA_Rankings[[#This Row],[Team]],TBA_Matches_All[Scouted],"&gt;0")),0)</f>
        <v>0</v>
      </c>
      <c r="P12" s="59">
        <f>IFERROR(TBA_Rankings[[#This Row],[avetrapT]]/TBA_Rankings[[#This Row],[avetrapA]],0)</f>
        <v>0</v>
      </c>
      <c r="Q12" s="66">
        <f>IFERROR(AVERAGEIFS(TBA_Matches_All[TotNotes],TBA_Matches_All[Team],TBA_Rankings[[#This Row],[Team]],TBA_Matches_All[Scouted],"&gt;0"),0)</f>
        <v>20</v>
      </c>
      <c r="R12" s="66">
        <f>IFERROR(AVERAGEIFS(TBA_Matches_All[TotNotesT],TBA_Matches_All[Team],TBA_Rankings[[#This Row],[Team]],TBA_Matches_All[Scouted],"&gt;0"),0)</f>
        <v>6.75</v>
      </c>
      <c r="S12" s="59">
        <f>IFERROR(TBA_Rankings[[#This Row],[avenotesT]]/TBA_Rankings[[#This Row],[avenotesA]],0)</f>
        <v>0.33750000000000002</v>
      </c>
      <c r="T12" s="66">
        <f>IFERROR(AVERAGEIFS(TBA_Matches_All[StagePts],TBA_Matches_All[Team],TBA_Rankings[[#This Row],[Team]],TBA_Matches_All[Scouted],"&gt;0"),0)</f>
        <v>4.25</v>
      </c>
      <c r="U12" s="66">
        <f>IFERROR(AVERAGEIFS(TBA_Matches_All[stageptsT],TBA_Matches_All[Team],TBA_Rankings[[#This Row],[Team]],TBA_Matches_All[Scouted],"&gt;0"),0)</f>
        <v>1.25</v>
      </c>
      <c r="V12" s="59">
        <f>IFERROR(TBA_Rankings[[#This Row],[avestageT]]/TBA_Rankings[[#This Row],[avestageA]],0)</f>
        <v>0.29411764705882354</v>
      </c>
      <c r="W12" s="66">
        <f>IFERROR(AVERAGEIFS(TBA_Matches_All[AampT],TBA_Matches_All[Team],TBA_Rankings[[#This Row],[Team]],TBA_Matches_All[Scouted],"&gt;0"),0)</f>
        <v>0</v>
      </c>
      <c r="X12" s="66">
        <f>IFERROR(AVERAGEIFS(TBA_Matches_All[AspkrT],TBA_Matches_All[Team],TBA_Rankings[[#This Row],[Team]],TBA_Matches_All[Scouted],"&gt;0"),0)</f>
        <v>0.25</v>
      </c>
      <c r="Y12" s="66">
        <f>IFERROR(AVERAGEIFS(TBA_Matches_All[AtrapT],TBA_Matches_All[Team],TBA_Rankings[[#This Row],[Team]],TBA_Matches_All[Scouted],"&gt;0"),0)</f>
        <v>0</v>
      </c>
      <c r="Z12" s="66">
        <f>IFERROR(AVERAGEIFS(TBA_Matches_All[TampT],TBA_Matches_All[Team],TBA_Rankings[[#This Row],[Team]],TBA_Matches_All[Scouted],"&gt;0"),0)</f>
        <v>0</v>
      </c>
      <c r="AA12" s="66">
        <f>IFERROR(AVERAGEIFS(TBA_Matches_All[TspkrT],TBA_Matches_All[Team],TBA_Rankings[[#This Row],[Team]],TBA_Matches_All[Scouted],"&gt;0"),0)</f>
        <v>6.5</v>
      </c>
      <c r="AB12" s="66">
        <f>IFERROR(AVERAGEIFS(TBA_Matches_All[TtrapT],TBA_Matches_All[Team],TBA_Rankings[[#This Row],[Team]],TBA_Matches_All[Scouted],"&gt;0"),0)</f>
        <v>0</v>
      </c>
      <c r="AC12" s="66">
        <f>IFERROR(AVERAGEIFS(TBA_Matches_All[ATTNDDiff],TBA_Matches_All[Team],TBA_Rankings[[#This Row],[Team]],TBA_Matches_All[Defense],3,TBA_Matches_All[Scouted],"&gt;0"),0)</f>
        <v>0</v>
      </c>
      <c r="AD12" s="66">
        <f>IFERROR(AVERAGEIFS(TBA_Matches_All[ATTNDDiff],TBA_Matches_All[Team],TBA_Rankings[[#This Row],[Team]],TBA_Matches_All[Defense],2,TBA_Matches_All[Scouted],"&gt;0"),0)</f>
        <v>0</v>
      </c>
      <c r="AE12" s="66">
        <f>IFERROR(AVERAGEIFS(TBA_Matches_All[ATTNDDiff],TBA_Matches_All[Team],TBA_Rankings[[#This Row],[Team]],TBA_Matches_All[Defense],1,TBA_Matches_All[Scouted],"&gt;0"),0)</f>
        <v>0</v>
      </c>
      <c r="AF12" s="66">
        <f>IFERROR(AVERAGEIFS(TBA_Matches_All[ATTNDDiff],TBA_Matches_All[Team],TBA_Rankings[[#This Row],[Team]],TBA_Matches_All[Defense],0,TBA_Matches_All[Scouted],"&gt;0"),0)</f>
        <v>-8.8817841970012523E-16</v>
      </c>
      <c r="AG12" s="66">
        <f>IFERROR(AVERAGEIFS(TBA_Matches_All[ATTNDDiff],TBA_Matches_All[Team],TBA_Rankings[[#This Row],[Team]],TBA_Matches_All[Avoid],3,TBA_Matches_All[Scouted],"&gt;0"),0)</f>
        <v>0</v>
      </c>
      <c r="AH12" s="66">
        <f>IFERROR(AVERAGEIFS(TBA_Matches_All[ATTNDDiff],TBA_Matches_All[Team],TBA_Rankings[[#This Row],[Team]],TBA_Matches_All[Avoid],2,TBA_Matches_All[Scouted],"&gt;0"),0)</f>
        <v>0</v>
      </c>
      <c r="AI12" s="66">
        <f>IFERROR(AVERAGEIFS(TBA_Matches_All[ATTNDDiff],TBA_Matches_All[Team],TBA_Rankings[[#This Row],[Team]],TBA_Matches_All[Avoid],1,TBA_Matches_All[Scouted],"&gt;0"),0)</f>
        <v>-0.16666666666666785</v>
      </c>
      <c r="AJ12" s="66">
        <f>IFERROR(AVERAGEIFS(TBA_Matches_All[ATTNDDiff],TBA_Matches_All[Team],TBA_Rankings[[#This Row],[Team]],TBA_Matches_All[Avoid],0,TBA_Matches_All[Scouted],"&gt;0"),0)</f>
        <v>0.16666666666666607</v>
      </c>
    </row>
    <row r="13" spans="1:36" x14ac:dyDescent="0.3">
      <c r="A13" t="s">
        <v>1419</v>
      </c>
      <c r="B13" s="1">
        <v>9</v>
      </c>
      <c r="C13" t="s">
        <v>1318</v>
      </c>
      <c r="D13" s="1">
        <v>504</v>
      </c>
      <c r="E13" s="66">
        <f>IFERROR(AVERAGEIFS(TBA_Matches_All[Score], TBA_Matches_All[Team],TBA_Rankings[[#This Row],[Team]],TBA_Matches_All[Scouted],"&gt;0"),0)</f>
        <v>49.2</v>
      </c>
      <c r="F13" s="66">
        <f>IFERROR(AVERAGEIFS(TBA_Matches_All[TotptsC], TBA_Matches_All[Team],TBA_Rankings[[#This Row],[Team]],TBA_Matches_All[Scouted],"&gt;0"),0)</f>
        <v>20.919999999999998</v>
      </c>
      <c r="G13" s="59">
        <f>IFERROR(TBA_Rankings[[#This Row],[avescoreT]]/TBA_Rankings[[#This Row],[avescoreA]],0)</f>
        <v>0.42520325203252024</v>
      </c>
      <c r="H13" s="66">
        <f>IFERROR(SUM(AVERAGEIFS(TBA_Matches_All[Aamp],TBA_Matches_All[Team],TBA_Rankings[[#This Row],[Team]],TBA_Matches_All[Scouted],"&gt;0")+AVERAGEIFS(TBA_Matches_All[Tamp],TBA_Matches_All[Team],TBA_Rankings[[#This Row],[Team]],TBA_Matches_All[Scouted],"&gt;0")),0)</f>
        <v>3.2</v>
      </c>
      <c r="I13" s="66">
        <f>IFERROR(SUM(AVERAGEIFS(TBA_Matches_All[AampT],TBA_Matches_All[Team],TBA_Rankings[[#This Row],[Team]],TBA_Matches_All[Scouted],"&gt;0")+AVERAGEIFS(TBA_Matches_All[TampT],TBA_Matches_All[Team],TBA_Rankings[[#This Row],[Team]],TBA_Matches_All[Scouted],"&gt;0")),0)</f>
        <v>1.6</v>
      </c>
      <c r="J13" s="59">
        <f>IFERROR(TBA_Rankings[[#This Row],[aveampT]]/TBA_Rankings[[#This Row],[aveampA]],0)</f>
        <v>0.5</v>
      </c>
      <c r="K13" s="66">
        <f>IFERROR(SUM(AVERAGEIFS(TBA_Matches_All[Aspkr],TBA_Matches_All[Team],TBA_Rankings[[#This Row],[Team]],TBA_Matches_All[Scouted],"&gt;0")+AVERAGEIFS(TBA_Matches_All[Tspkr],TBA_Matches_All[Team],TBA_Rankings[[#This Row],[Team]],TBA_Matches_All[Scouted],"&gt;0")),0)</f>
        <v>11.6</v>
      </c>
      <c r="L13" s="66">
        <f>IFERROR(SUM(AVERAGEIFS(TBA_Matches_All[AspkrT],TBA_Matches_All[Team],TBA_Rankings[[#This Row],[Team]],TBA_Matches_All[Scouted],"&gt;0")+AVERAGEIFS(TBA_Matches_All[TspkrT],TBA_Matches_All[Team],TBA_Rankings[[#This Row],[Team]],TBA_Matches_All[Scouted],"&gt;0")),0)</f>
        <v>6.4</v>
      </c>
      <c r="M13" s="59">
        <f>IFERROR(TBA_Rankings[[#This Row],[avespkrT]]/TBA_Rankings[[#This Row],[avespkrA]],0)</f>
        <v>0.55172413793103448</v>
      </c>
      <c r="N13" s="66">
        <f>IFERROR(AVERAGEIFS(TBA_Matches_All[Trap],TBA_Matches_All[Team],TBA_Rankings[[#This Row],[Team]],TBA_Matches_All[Scouted],"&gt;0"),0)</f>
        <v>0</v>
      </c>
      <c r="O13" s="66">
        <f>IFERROR(SUM(AVERAGEIFS(TBA_Matches_All[AtrapT],TBA_Matches_All[Team],TBA_Rankings[[#This Row],[Team]],TBA_Matches_All[Scouted],"&gt;0")+AVERAGEIFS(TBA_Matches_All[TtrapT],TBA_Matches_All[Team],TBA_Rankings[[#This Row],[Team]],TBA_Matches_All[Scouted],"&gt;0")),0)</f>
        <v>0</v>
      </c>
      <c r="P13" s="59">
        <f>IFERROR(TBA_Rankings[[#This Row],[avetrapT]]/TBA_Rankings[[#This Row],[avetrapA]],0)</f>
        <v>0</v>
      </c>
      <c r="Q13" s="66">
        <f>IFERROR(AVERAGEIFS(TBA_Matches_All[TotNotes],TBA_Matches_All[Team],TBA_Rankings[[#This Row],[Team]],TBA_Matches_All[Scouted],"&gt;0"),0)</f>
        <v>14.8</v>
      </c>
      <c r="R13" s="66">
        <f>IFERROR(AVERAGEIFS(TBA_Matches_All[TotNotesT],TBA_Matches_All[Team],TBA_Rankings[[#This Row],[Team]],TBA_Matches_All[Scouted],"&gt;0"),0)</f>
        <v>8</v>
      </c>
      <c r="S13" s="59">
        <f>IFERROR(TBA_Rankings[[#This Row],[avenotesT]]/TBA_Rankings[[#This Row],[avenotesA]],0)</f>
        <v>0.54054054054054046</v>
      </c>
      <c r="T13" s="66">
        <f>IFERROR(AVERAGEIFS(TBA_Matches_All[StagePts],TBA_Matches_All[Team],TBA_Rankings[[#This Row],[Team]],TBA_Matches_All[Scouted],"&gt;0"),0)</f>
        <v>3.8</v>
      </c>
      <c r="U13" s="66">
        <f>IFERROR(AVERAGEIFS(TBA_Matches_All[stageptsT],TBA_Matches_All[Team],TBA_Rankings[[#This Row],[Team]],TBA_Matches_All[Scouted],"&gt;0"),0)</f>
        <v>0.8</v>
      </c>
      <c r="V13" s="59">
        <f>IFERROR(TBA_Rankings[[#This Row],[avestageT]]/TBA_Rankings[[#This Row],[avestageA]],0)</f>
        <v>0.2105263157894737</v>
      </c>
      <c r="W13" s="66">
        <f>IFERROR(AVERAGEIFS(TBA_Matches_All[AampT],TBA_Matches_All[Team],TBA_Rankings[[#This Row],[Team]],TBA_Matches_All[Scouted],"&gt;0"),0)</f>
        <v>0</v>
      </c>
      <c r="X13" s="66">
        <f>IFERROR(AVERAGEIFS(TBA_Matches_All[AspkrT],TBA_Matches_All[Team],TBA_Rankings[[#This Row],[Team]],TBA_Matches_All[Scouted],"&gt;0"),0)</f>
        <v>1</v>
      </c>
      <c r="Y13" s="66">
        <f>IFERROR(AVERAGEIFS(TBA_Matches_All[AtrapT],TBA_Matches_All[Team],TBA_Rankings[[#This Row],[Team]],TBA_Matches_All[Scouted],"&gt;0"),0)</f>
        <v>0</v>
      </c>
      <c r="Z13" s="66">
        <f>IFERROR(AVERAGEIFS(TBA_Matches_All[TampT],TBA_Matches_All[Team],TBA_Rankings[[#This Row],[Team]],TBA_Matches_All[Scouted],"&gt;0"),0)</f>
        <v>1.6</v>
      </c>
      <c r="AA13" s="66">
        <f>IFERROR(AVERAGEIFS(TBA_Matches_All[TspkrT],TBA_Matches_All[Team],TBA_Rankings[[#This Row],[Team]],TBA_Matches_All[Scouted],"&gt;0"),0)</f>
        <v>5.4</v>
      </c>
      <c r="AB13" s="66">
        <f>IFERROR(AVERAGEIFS(TBA_Matches_All[TtrapT],TBA_Matches_All[Team],TBA_Rankings[[#This Row],[Team]],TBA_Matches_All[Scouted],"&gt;0"),0)</f>
        <v>0</v>
      </c>
      <c r="AC13" s="66">
        <f>IFERROR(AVERAGEIFS(TBA_Matches_All[ATTNDDiff],TBA_Matches_All[Team],TBA_Rankings[[#This Row],[Team]],TBA_Matches_All[Defense],3,TBA_Matches_All[Scouted],"&gt;0"),0)</f>
        <v>0</v>
      </c>
      <c r="AD13" s="66">
        <f>IFERROR(AVERAGEIFS(TBA_Matches_All[ATTNDDiff],TBA_Matches_All[Team],TBA_Rankings[[#This Row],[Team]],TBA_Matches_All[Defense],2,TBA_Matches_All[Scouted],"&gt;0"),0)</f>
        <v>0</v>
      </c>
      <c r="AE13" s="66">
        <f>IFERROR(AVERAGEIFS(TBA_Matches_All[ATTNDDiff],TBA_Matches_All[Team],TBA_Rankings[[#This Row],[Team]],TBA_Matches_All[Defense],1,TBA_Matches_All[Scouted],"&gt;0"),0)</f>
        <v>2.0999999999999996</v>
      </c>
      <c r="AF13" s="66">
        <f>IFERROR(AVERAGEIFS(TBA_Matches_All[ATTNDDiff],TBA_Matches_All[Team],TBA_Rankings[[#This Row],[Team]],TBA_Matches_All[Defense],0,TBA_Matches_All[Scouted],"&gt;0"),0)</f>
        <v>-0.52500000000000036</v>
      </c>
      <c r="AG13" s="66">
        <f>IFERROR(AVERAGEIFS(TBA_Matches_All[ATTNDDiff],TBA_Matches_All[Team],TBA_Rankings[[#This Row],[Team]],TBA_Matches_All[Avoid],3,TBA_Matches_All[Scouted],"&gt;0"),0)</f>
        <v>0</v>
      </c>
      <c r="AH13" s="66">
        <f>IFERROR(AVERAGEIFS(TBA_Matches_All[ATTNDDiff],TBA_Matches_All[Team],TBA_Rankings[[#This Row],[Team]],TBA_Matches_All[Avoid],2,TBA_Matches_All[Scouted],"&gt;0"),0)</f>
        <v>0</v>
      </c>
      <c r="AI13" s="66">
        <f>IFERROR(AVERAGEIFS(TBA_Matches_All[ATTNDDiff],TBA_Matches_All[Team],TBA_Rankings[[#This Row],[Team]],TBA_Matches_All[Avoid],1,TBA_Matches_All[Scouted],"&gt;0"),0)</f>
        <v>-8.65</v>
      </c>
      <c r="AJ13" s="66">
        <f>IFERROR(AVERAGEIFS(TBA_Matches_All[ATTNDDiff],TBA_Matches_All[Team],TBA_Rankings[[#This Row],[Team]],TBA_Matches_All[Avoid],0,TBA_Matches_All[Scouted],"&gt;0"),0)</f>
        <v>2.1624999999999996</v>
      </c>
    </row>
    <row r="14" spans="1:36" x14ac:dyDescent="0.3">
      <c r="A14" t="s">
        <v>1419</v>
      </c>
      <c r="B14" s="1">
        <v>21</v>
      </c>
      <c r="C14" t="s">
        <v>1291</v>
      </c>
      <c r="D14" s="1">
        <v>396</v>
      </c>
      <c r="E14" s="66">
        <f>IFERROR(AVERAGEIFS(TBA_Matches_All[Score], TBA_Matches_All[Team],TBA_Rankings[[#This Row],[Team]],TBA_Matches_All[Scouted],"&gt;0"),0)</f>
        <v>59.714285714285715</v>
      </c>
      <c r="F14" s="66">
        <f>IFERROR(AVERAGEIFS(TBA_Matches_All[TotptsC], TBA_Matches_All[Team],TBA_Rankings[[#This Row],[Team]],TBA_Matches_All[Scouted],"&gt;0"),0)</f>
        <v>24.675510204081636</v>
      </c>
      <c r="G14" s="59">
        <f>IFERROR(TBA_Rankings[[#This Row],[avescoreT]]/TBA_Rankings[[#This Row],[avescoreA]],0)</f>
        <v>0.41322624743677383</v>
      </c>
      <c r="H14" s="66">
        <f>IFERROR(SUM(AVERAGEIFS(TBA_Matches_All[Aamp],TBA_Matches_All[Team],TBA_Rankings[[#This Row],[Team]],TBA_Matches_All[Scouted],"&gt;0")+AVERAGEIFS(TBA_Matches_All[Tamp],TBA_Matches_All[Team],TBA_Rankings[[#This Row],[Team]],TBA_Matches_All[Scouted],"&gt;0")),0)</f>
        <v>4</v>
      </c>
      <c r="I14" s="66">
        <f>IFERROR(SUM(AVERAGEIFS(TBA_Matches_All[AampT],TBA_Matches_All[Team],TBA_Rankings[[#This Row],[Team]],TBA_Matches_All[Scouted],"&gt;0")+AVERAGEIFS(TBA_Matches_All[TampT],TBA_Matches_All[Team],TBA_Rankings[[#This Row],[Team]],TBA_Matches_All[Scouted],"&gt;0")),0)</f>
        <v>1.7142857142857142</v>
      </c>
      <c r="J14" s="59">
        <f>IFERROR(TBA_Rankings[[#This Row],[aveampT]]/TBA_Rankings[[#This Row],[aveampA]],0)</f>
        <v>0.42857142857142855</v>
      </c>
      <c r="K14" s="66">
        <f>IFERROR(SUM(AVERAGEIFS(TBA_Matches_All[Aspkr],TBA_Matches_All[Team],TBA_Rankings[[#This Row],[Team]],TBA_Matches_All[Scouted],"&gt;0")+AVERAGEIFS(TBA_Matches_All[Tspkr],TBA_Matches_All[Team],TBA_Rankings[[#This Row],[Team]],TBA_Matches_All[Scouted],"&gt;0")),0)</f>
        <v>13</v>
      </c>
      <c r="L14" s="66">
        <f>IFERROR(SUM(AVERAGEIFS(TBA_Matches_All[AspkrT],TBA_Matches_All[Team],TBA_Rankings[[#This Row],[Team]],TBA_Matches_All[Scouted],"&gt;0")+AVERAGEIFS(TBA_Matches_All[TspkrT],TBA_Matches_All[Team],TBA_Rankings[[#This Row],[Team]],TBA_Matches_All[Scouted],"&gt;0")),0)</f>
        <v>6.2857142857142856</v>
      </c>
      <c r="M14" s="59">
        <f>IFERROR(TBA_Rankings[[#This Row],[avespkrT]]/TBA_Rankings[[#This Row],[avespkrA]],0)</f>
        <v>0.48351648351648352</v>
      </c>
      <c r="N14" s="66">
        <f>IFERROR(AVERAGEIFS(TBA_Matches_All[Trap],TBA_Matches_All[Team],TBA_Rankings[[#This Row],[Team]],TBA_Matches_All[Scouted],"&gt;0"),0)</f>
        <v>0</v>
      </c>
      <c r="O14" s="66">
        <f>IFERROR(SUM(AVERAGEIFS(TBA_Matches_All[AtrapT],TBA_Matches_All[Team],TBA_Rankings[[#This Row],[Team]],TBA_Matches_All[Scouted],"&gt;0")+AVERAGEIFS(TBA_Matches_All[TtrapT],TBA_Matches_All[Team],TBA_Rankings[[#This Row],[Team]],TBA_Matches_All[Scouted],"&gt;0")),0)</f>
        <v>0</v>
      </c>
      <c r="P14" s="59">
        <f>IFERROR(TBA_Rankings[[#This Row],[avetrapT]]/TBA_Rankings[[#This Row],[avetrapA]],0)</f>
        <v>0</v>
      </c>
      <c r="Q14" s="66">
        <f>IFERROR(AVERAGEIFS(TBA_Matches_All[TotNotes],TBA_Matches_All[Team],TBA_Rankings[[#This Row],[Team]],TBA_Matches_All[Scouted],"&gt;0"),0)</f>
        <v>17</v>
      </c>
      <c r="R14" s="66">
        <f>IFERROR(AVERAGEIFS(TBA_Matches_All[TotNotesT],TBA_Matches_All[Team],TBA_Rankings[[#This Row],[Team]],TBA_Matches_All[Scouted],"&gt;0"),0)</f>
        <v>8</v>
      </c>
      <c r="S14" s="59">
        <f>IFERROR(TBA_Rankings[[#This Row],[avenotesT]]/TBA_Rankings[[#This Row],[avenotesA]],0)</f>
        <v>0.47058823529411764</v>
      </c>
      <c r="T14" s="66">
        <f>IFERROR(AVERAGEIFS(TBA_Matches_All[StagePts],TBA_Matches_All[Team],TBA_Rankings[[#This Row],[Team]],TBA_Matches_All[Scouted],"&gt;0"),0)</f>
        <v>2.2857142857142856</v>
      </c>
      <c r="U14" s="66">
        <f>IFERROR(AVERAGEIFS(TBA_Matches_All[stageptsT],TBA_Matches_All[Team],TBA_Rankings[[#This Row],[Team]],TBA_Matches_All[Scouted],"&gt;0"),0)</f>
        <v>0.5714285714285714</v>
      </c>
      <c r="V14" s="59">
        <f>IFERROR(TBA_Rankings[[#This Row],[avestageT]]/TBA_Rankings[[#This Row],[avestageA]],0)</f>
        <v>0.25</v>
      </c>
      <c r="W14" s="66">
        <f>IFERROR(AVERAGEIFS(TBA_Matches_All[AampT],TBA_Matches_All[Team],TBA_Rankings[[#This Row],[Team]],TBA_Matches_All[Scouted],"&gt;0"),0)</f>
        <v>0</v>
      </c>
      <c r="X14" s="66">
        <f>IFERROR(AVERAGEIFS(TBA_Matches_All[AspkrT],TBA_Matches_All[Team],TBA_Rankings[[#This Row],[Team]],TBA_Matches_All[Scouted],"&gt;0"),0)</f>
        <v>2</v>
      </c>
      <c r="Y14" s="66">
        <f>IFERROR(AVERAGEIFS(TBA_Matches_All[AtrapT],TBA_Matches_All[Team],TBA_Rankings[[#This Row],[Team]],TBA_Matches_All[Scouted],"&gt;0"),0)</f>
        <v>0</v>
      </c>
      <c r="Z14" s="66">
        <f>IFERROR(AVERAGEIFS(TBA_Matches_All[TampT],TBA_Matches_All[Team],TBA_Rankings[[#This Row],[Team]],TBA_Matches_All[Scouted],"&gt;0"),0)</f>
        <v>1.7142857142857142</v>
      </c>
      <c r="AA14" s="66">
        <f>IFERROR(AVERAGEIFS(TBA_Matches_All[TspkrT],TBA_Matches_All[Team],TBA_Rankings[[#This Row],[Team]],TBA_Matches_All[Scouted],"&gt;0"),0)</f>
        <v>4.2857142857142856</v>
      </c>
      <c r="AB14" s="66">
        <f>IFERROR(AVERAGEIFS(TBA_Matches_All[TtrapT],TBA_Matches_All[Team],TBA_Rankings[[#This Row],[Team]],TBA_Matches_All[Scouted],"&gt;0"),0)</f>
        <v>0</v>
      </c>
      <c r="AC14" s="66">
        <f>IFERROR(AVERAGEIFS(TBA_Matches_All[ATTNDDiff],TBA_Matches_All[Team],TBA_Rankings[[#This Row],[Team]],TBA_Matches_All[Defense],3,TBA_Matches_All[Scouted],"&gt;0"),0)</f>
        <v>0</v>
      </c>
      <c r="AD14" s="66">
        <f>IFERROR(AVERAGEIFS(TBA_Matches_All[ATTNDDiff],TBA_Matches_All[Team],TBA_Rankings[[#This Row],[Team]],TBA_Matches_All[Defense],2,TBA_Matches_All[Scouted],"&gt;0"),0)</f>
        <v>0</v>
      </c>
      <c r="AE14" s="66">
        <f>IFERROR(AVERAGEIFS(TBA_Matches_All[ATTNDDiff],TBA_Matches_All[Team],TBA_Rankings[[#This Row],[Team]],TBA_Matches_All[Defense],1,TBA_Matches_All[Scouted],"&gt;0"),0)</f>
        <v>0</v>
      </c>
      <c r="AF14" s="66">
        <f>IFERROR(AVERAGEIFS(TBA_Matches_All[ATTNDDiff],TBA_Matches_All[Team],TBA_Rankings[[#This Row],[Team]],TBA_Matches_All[Defense],0,TBA_Matches_All[Scouted],"&gt;0"),0)</f>
        <v>-2.5376526277146434E-16</v>
      </c>
      <c r="AG14" s="66">
        <f>IFERROR(AVERAGEIFS(TBA_Matches_All[ATTNDDiff],TBA_Matches_All[Team],TBA_Rankings[[#This Row],[Team]],TBA_Matches_All[Avoid],3,TBA_Matches_All[Scouted],"&gt;0"),0)</f>
        <v>-1.446428571428573</v>
      </c>
      <c r="AH14" s="66">
        <f>IFERROR(AVERAGEIFS(TBA_Matches_All[ATTNDDiff],TBA_Matches_All[Team],TBA_Rankings[[#This Row],[Team]],TBA_Matches_All[Avoid],2,TBA_Matches_All[Scouted],"&gt;0"),0)</f>
        <v>0</v>
      </c>
      <c r="AI14" s="66">
        <f>IFERROR(AVERAGEIFS(TBA_Matches_All[ATTNDDiff],TBA_Matches_All[Team],TBA_Rankings[[#This Row],[Team]],TBA_Matches_All[Avoid],1,TBA_Matches_All[Scouted],"&gt;0"),0)</f>
        <v>0</v>
      </c>
      <c r="AJ14" s="66">
        <f>IFERROR(AVERAGEIFS(TBA_Matches_All[ATTNDDiff],TBA_Matches_All[Team],TBA_Rankings[[#This Row],[Team]],TBA_Matches_All[Avoid],0,TBA_Matches_All[Scouted],"&gt;0"),0)</f>
        <v>0.57857142857142918</v>
      </c>
    </row>
    <row r="15" spans="1:36" x14ac:dyDescent="0.3">
      <c r="A15" t="s">
        <v>1419</v>
      </c>
      <c r="B15" s="1">
        <v>11</v>
      </c>
      <c r="C15" t="s">
        <v>361</v>
      </c>
      <c r="D15" s="1">
        <v>784</v>
      </c>
      <c r="E15" s="66">
        <f>IFERROR(AVERAGEIFS(TBA_Matches_All[Score], TBA_Matches_All[Team],TBA_Rankings[[#This Row],[Team]],TBA_Matches_All[Scouted],"&gt;0"),0)</f>
        <v>64.285714285714292</v>
      </c>
      <c r="F15" s="66">
        <f>IFERROR(AVERAGEIFS(TBA_Matches_All[TotptsC], TBA_Matches_All[Team],TBA_Rankings[[#This Row],[Team]],TBA_Matches_All[Scouted],"&gt;0"),0)</f>
        <v>26.489448051948052</v>
      </c>
      <c r="G15" s="59">
        <f>IFERROR(TBA_Rankings[[#This Row],[avescoreT]]/TBA_Rankings[[#This Row],[avescoreA]],0)</f>
        <v>0.41205808080808076</v>
      </c>
      <c r="H15" s="66">
        <f>IFERROR(SUM(AVERAGEIFS(TBA_Matches_All[Aamp],TBA_Matches_All[Team],TBA_Rankings[[#This Row],[Team]],TBA_Matches_All[Scouted],"&gt;0")+AVERAGEIFS(TBA_Matches_All[Tamp],TBA_Matches_All[Team],TBA_Rankings[[#This Row],[Team]],TBA_Matches_All[Scouted],"&gt;0")),0)</f>
        <v>4.1428571428571432</v>
      </c>
      <c r="I15" s="66">
        <f>IFERROR(SUM(AVERAGEIFS(TBA_Matches_All[AampT],TBA_Matches_All[Team],TBA_Rankings[[#This Row],[Team]],TBA_Matches_All[Scouted],"&gt;0")+AVERAGEIFS(TBA_Matches_All[TampT],TBA_Matches_All[Team],TBA_Rankings[[#This Row],[Team]],TBA_Matches_All[Scouted],"&gt;0")),0)</f>
        <v>2.1428571428571428</v>
      </c>
      <c r="J15" s="59">
        <f>IFERROR(TBA_Rankings[[#This Row],[aveampT]]/TBA_Rankings[[#This Row],[aveampA]],0)</f>
        <v>0.51724137931034475</v>
      </c>
      <c r="K15" s="66">
        <f>IFERROR(SUM(AVERAGEIFS(TBA_Matches_All[Aspkr],TBA_Matches_All[Team],TBA_Rankings[[#This Row],[Team]],TBA_Matches_All[Scouted],"&gt;0")+AVERAGEIFS(TBA_Matches_All[Tspkr],TBA_Matches_All[Team],TBA_Rankings[[#This Row],[Team]],TBA_Matches_All[Scouted],"&gt;0")),0)</f>
        <v>14.142857142857142</v>
      </c>
      <c r="L15" s="66">
        <f>IFERROR(SUM(AVERAGEIFS(TBA_Matches_All[AspkrT],TBA_Matches_All[Team],TBA_Rankings[[#This Row],[Team]],TBA_Matches_All[Scouted],"&gt;0")+AVERAGEIFS(TBA_Matches_All[TspkrT],TBA_Matches_All[Team],TBA_Rankings[[#This Row],[Team]],TBA_Matches_All[Scouted],"&gt;0")),0)</f>
        <v>5.8571428571428577</v>
      </c>
      <c r="M15" s="59">
        <f>IFERROR(TBA_Rankings[[#This Row],[avespkrT]]/TBA_Rankings[[#This Row],[avespkrA]],0)</f>
        <v>0.4141414141414142</v>
      </c>
      <c r="N15" s="66">
        <f>IFERROR(AVERAGEIFS(TBA_Matches_All[Trap],TBA_Matches_All[Team],TBA_Rankings[[#This Row],[Team]],TBA_Matches_All[Scouted],"&gt;0"),0)</f>
        <v>0</v>
      </c>
      <c r="O15" s="66">
        <f>IFERROR(SUM(AVERAGEIFS(TBA_Matches_All[AtrapT],TBA_Matches_All[Team],TBA_Rankings[[#This Row],[Team]],TBA_Matches_All[Scouted],"&gt;0")+AVERAGEIFS(TBA_Matches_All[TtrapT],TBA_Matches_All[Team],TBA_Rankings[[#This Row],[Team]],TBA_Matches_All[Scouted],"&gt;0")),0)</f>
        <v>0</v>
      </c>
      <c r="P15" s="59">
        <f>IFERROR(TBA_Rankings[[#This Row],[avetrapT]]/TBA_Rankings[[#This Row],[avetrapA]],0)</f>
        <v>0</v>
      </c>
      <c r="Q15" s="66">
        <f>IFERROR(AVERAGEIFS(TBA_Matches_All[TotNotes],TBA_Matches_All[Team],TBA_Rankings[[#This Row],[Team]],TBA_Matches_All[Scouted],"&gt;0"),0)</f>
        <v>18.285714285714285</v>
      </c>
      <c r="R15" s="66">
        <f>IFERROR(AVERAGEIFS(TBA_Matches_All[TotNotesT],TBA_Matches_All[Team],TBA_Rankings[[#This Row],[Team]],TBA_Matches_All[Scouted],"&gt;0"),0)</f>
        <v>8</v>
      </c>
      <c r="S15" s="59">
        <f>IFERROR(TBA_Rankings[[#This Row],[avenotesT]]/TBA_Rankings[[#This Row],[avenotesA]],0)</f>
        <v>0.4375</v>
      </c>
      <c r="T15" s="66">
        <f>IFERROR(AVERAGEIFS(TBA_Matches_All[StagePts],TBA_Matches_All[Team],TBA_Rankings[[#This Row],[Team]],TBA_Matches_All[Scouted],"&gt;0"),0)</f>
        <v>4.1428571428571432</v>
      </c>
      <c r="U15" s="66">
        <f>IFERROR(AVERAGEIFS(TBA_Matches_All[stageptsT],TBA_Matches_All[Team],TBA_Rankings[[#This Row],[Team]],TBA_Matches_All[Scouted],"&gt;0"),0)</f>
        <v>1.7142857142857142</v>
      </c>
      <c r="V15" s="59">
        <f>IFERROR(TBA_Rankings[[#This Row],[avestageT]]/TBA_Rankings[[#This Row],[avestageA]],0)</f>
        <v>0.4137931034482758</v>
      </c>
      <c r="W15" s="66">
        <f>IFERROR(AVERAGEIFS(TBA_Matches_All[AampT],TBA_Matches_All[Team],TBA_Rankings[[#This Row],[Team]],TBA_Matches_All[Scouted],"&gt;0"),0)</f>
        <v>0</v>
      </c>
      <c r="X15" s="66">
        <f>IFERROR(AVERAGEIFS(TBA_Matches_All[AspkrT],TBA_Matches_All[Team],TBA_Rankings[[#This Row],[Team]],TBA_Matches_All[Scouted],"&gt;0"),0)</f>
        <v>1.7142857142857142</v>
      </c>
      <c r="Y15" s="66">
        <f>IFERROR(AVERAGEIFS(TBA_Matches_All[AtrapT],TBA_Matches_All[Team],TBA_Rankings[[#This Row],[Team]],TBA_Matches_All[Scouted],"&gt;0"),0)</f>
        <v>0</v>
      </c>
      <c r="Z15" s="66">
        <f>IFERROR(AVERAGEIFS(TBA_Matches_All[TampT],TBA_Matches_All[Team],TBA_Rankings[[#This Row],[Team]],TBA_Matches_All[Scouted],"&gt;0"),0)</f>
        <v>2.1428571428571428</v>
      </c>
      <c r="AA15" s="66">
        <f>IFERROR(AVERAGEIFS(TBA_Matches_All[TspkrT],TBA_Matches_All[Team],TBA_Rankings[[#This Row],[Team]],TBA_Matches_All[Scouted],"&gt;0"),0)</f>
        <v>4.1428571428571432</v>
      </c>
      <c r="AB15" s="66">
        <f>IFERROR(AVERAGEIFS(TBA_Matches_All[TtrapT],TBA_Matches_All[Team],TBA_Rankings[[#This Row],[Team]],TBA_Matches_All[Scouted],"&gt;0"),0)</f>
        <v>0</v>
      </c>
      <c r="AC15" s="66">
        <f>IFERROR(AVERAGEIFS(TBA_Matches_All[ATTNDDiff],TBA_Matches_All[Team],TBA_Rankings[[#This Row],[Team]],TBA_Matches_All[Defense],3,TBA_Matches_All[Scouted],"&gt;0"),0)</f>
        <v>0</v>
      </c>
      <c r="AD15" s="66">
        <f>IFERROR(AVERAGEIFS(TBA_Matches_All[ATTNDDiff],TBA_Matches_All[Team],TBA_Rankings[[#This Row],[Team]],TBA_Matches_All[Defense],2,TBA_Matches_All[Scouted],"&gt;0"),0)</f>
        <v>0</v>
      </c>
      <c r="AE15" s="66">
        <f>IFERROR(AVERAGEIFS(TBA_Matches_All[ATTNDDiff],TBA_Matches_All[Team],TBA_Rankings[[#This Row],[Team]],TBA_Matches_All[Defense],1,TBA_Matches_All[Scouted],"&gt;0"),0)</f>
        <v>0</v>
      </c>
      <c r="AF15" s="66">
        <f>IFERROR(AVERAGEIFS(TBA_Matches_All[ATTNDDiff],TBA_Matches_All[Team],TBA_Rankings[[#This Row],[Team]],TBA_Matches_All[Defense],0,TBA_Matches_All[Scouted],"&gt;0"),0)</f>
        <v>7.6129578831439301E-16</v>
      </c>
      <c r="AG15" s="66">
        <f>IFERROR(AVERAGEIFS(TBA_Matches_All[ATTNDDiff],TBA_Matches_All[Team],TBA_Rankings[[#This Row],[Team]],TBA_Matches_All[Avoid],3,TBA_Matches_All[Scouted],"&gt;0"),0)</f>
        <v>0</v>
      </c>
      <c r="AH15" s="66">
        <f>IFERROR(AVERAGEIFS(TBA_Matches_All[ATTNDDiff],TBA_Matches_All[Team],TBA_Rankings[[#This Row],[Team]],TBA_Matches_All[Avoid],2,TBA_Matches_All[Scouted],"&gt;0"),0)</f>
        <v>0</v>
      </c>
      <c r="AI15" s="66">
        <f>IFERROR(AVERAGEIFS(TBA_Matches_All[ATTNDDiff],TBA_Matches_All[Team],TBA_Rankings[[#This Row],[Team]],TBA_Matches_All[Avoid],1,TBA_Matches_All[Scouted],"&gt;0"),0)</f>
        <v>3.1815025252525246</v>
      </c>
      <c r="AJ15" s="66">
        <f>IFERROR(AVERAGEIFS(TBA_Matches_All[ATTNDDiff],TBA_Matches_All[Team],TBA_Rankings[[#This Row],[Team]],TBA_Matches_All[Avoid],0,TBA_Matches_All[Scouted],"&gt;0"),0)</f>
        <v>-2.3861268939393923</v>
      </c>
    </row>
    <row r="16" spans="1:36" x14ac:dyDescent="0.3">
      <c r="A16" t="s">
        <v>1419</v>
      </c>
      <c r="B16" s="1">
        <v>20</v>
      </c>
      <c r="C16" t="s">
        <v>365</v>
      </c>
      <c r="D16" s="1">
        <v>396</v>
      </c>
      <c r="E16" s="66">
        <f>IFERROR(AVERAGEIFS(TBA_Matches_All[Score], TBA_Matches_All[Team],TBA_Rankings[[#This Row],[Team]],TBA_Matches_All[Scouted],"&gt;0"),0)</f>
        <v>63.166666666666664</v>
      </c>
      <c r="F16" s="66">
        <f>IFERROR(AVERAGEIFS(TBA_Matches_All[TotptsC], TBA_Matches_All[Team],TBA_Rankings[[#This Row],[Team]],TBA_Matches_All[Scouted],"&gt;0"),0)</f>
        <v>25.0474358974359</v>
      </c>
      <c r="G16" s="59">
        <f>IFERROR(TBA_Rankings[[#This Row],[avescoreT]]/TBA_Rankings[[#This Row],[avescoreA]],0)</f>
        <v>0.39652932819159736</v>
      </c>
      <c r="H16" s="66">
        <f>IFERROR(SUM(AVERAGEIFS(TBA_Matches_All[Aamp],TBA_Matches_All[Team],TBA_Rankings[[#This Row],[Team]],TBA_Matches_All[Scouted],"&gt;0")+AVERAGEIFS(TBA_Matches_All[Tamp],TBA_Matches_All[Team],TBA_Rankings[[#This Row],[Team]],TBA_Matches_All[Scouted],"&gt;0")),0)</f>
        <v>3.1666666666666665</v>
      </c>
      <c r="I16" s="66">
        <f>IFERROR(SUM(AVERAGEIFS(TBA_Matches_All[AampT],TBA_Matches_All[Team],TBA_Rankings[[#This Row],[Team]],TBA_Matches_All[Scouted],"&gt;0")+AVERAGEIFS(TBA_Matches_All[TampT],TBA_Matches_All[Team],TBA_Rankings[[#This Row],[Team]],TBA_Matches_All[Scouted],"&gt;0")),0)</f>
        <v>2</v>
      </c>
      <c r="J16" s="59">
        <f>IFERROR(TBA_Rankings[[#This Row],[aveampT]]/TBA_Rankings[[#This Row],[aveampA]],0)</f>
        <v>0.63157894736842113</v>
      </c>
      <c r="K16" s="66">
        <f>IFERROR(SUM(AVERAGEIFS(TBA_Matches_All[Aspkr],TBA_Matches_All[Team],TBA_Rankings[[#This Row],[Team]],TBA_Matches_All[Scouted],"&gt;0")+AVERAGEIFS(TBA_Matches_All[Tspkr],TBA_Matches_All[Team],TBA_Rankings[[#This Row],[Team]],TBA_Matches_All[Scouted],"&gt;0")),0)</f>
        <v>13.666666666666666</v>
      </c>
      <c r="L16" s="66">
        <f>IFERROR(SUM(AVERAGEIFS(TBA_Matches_All[AspkrT],TBA_Matches_All[Team],TBA_Rankings[[#This Row],[Team]],TBA_Matches_All[Scouted],"&gt;0")+AVERAGEIFS(TBA_Matches_All[TspkrT],TBA_Matches_All[Team],TBA_Rankings[[#This Row],[Team]],TBA_Matches_All[Scouted],"&gt;0")),0)</f>
        <v>5.8333333333333339</v>
      </c>
      <c r="M16" s="59">
        <f>IFERROR(TBA_Rankings[[#This Row],[avespkrT]]/TBA_Rankings[[#This Row],[avespkrA]],0)</f>
        <v>0.42682926829268297</v>
      </c>
      <c r="N16" s="66">
        <f>IFERROR(AVERAGEIFS(TBA_Matches_All[Trap],TBA_Matches_All[Team],TBA_Rankings[[#This Row],[Team]],TBA_Matches_All[Scouted],"&gt;0"),0)</f>
        <v>0</v>
      </c>
      <c r="O16" s="66">
        <f>IFERROR(SUM(AVERAGEIFS(TBA_Matches_All[AtrapT],TBA_Matches_All[Team],TBA_Rankings[[#This Row],[Team]],TBA_Matches_All[Scouted],"&gt;0")+AVERAGEIFS(TBA_Matches_All[TtrapT],TBA_Matches_All[Team],TBA_Rankings[[#This Row],[Team]],TBA_Matches_All[Scouted],"&gt;0")),0)</f>
        <v>0</v>
      </c>
      <c r="P16" s="59">
        <f>IFERROR(TBA_Rankings[[#This Row],[avetrapT]]/TBA_Rankings[[#This Row],[avetrapA]],0)</f>
        <v>0</v>
      </c>
      <c r="Q16" s="66">
        <f>IFERROR(AVERAGEIFS(TBA_Matches_All[TotNotes],TBA_Matches_All[Team],TBA_Rankings[[#This Row],[Team]],TBA_Matches_All[Scouted],"&gt;0"),0)</f>
        <v>16.833333333333332</v>
      </c>
      <c r="R16" s="66">
        <f>IFERROR(AVERAGEIFS(TBA_Matches_All[TotNotesT],TBA_Matches_All[Team],TBA_Rankings[[#This Row],[Team]],TBA_Matches_All[Scouted],"&gt;0"),0)</f>
        <v>7.833333333333333</v>
      </c>
      <c r="S16" s="59">
        <f>IFERROR(TBA_Rankings[[#This Row],[avenotesT]]/TBA_Rankings[[#This Row],[avenotesA]],0)</f>
        <v>0.46534653465346537</v>
      </c>
      <c r="T16" s="66">
        <f>IFERROR(AVERAGEIFS(TBA_Matches_All[StagePts],TBA_Matches_All[Team],TBA_Rankings[[#This Row],[Team]],TBA_Matches_All[Scouted],"&gt;0"),0)</f>
        <v>4.333333333333333</v>
      </c>
      <c r="U16" s="66">
        <f>IFERROR(AVERAGEIFS(TBA_Matches_All[stageptsT],TBA_Matches_All[Team],TBA_Rankings[[#This Row],[Team]],TBA_Matches_All[Scouted],"&gt;0"),0)</f>
        <v>1.3333333333333333</v>
      </c>
      <c r="V16" s="59">
        <f>IFERROR(TBA_Rankings[[#This Row],[avestageT]]/TBA_Rankings[[#This Row],[avestageA]],0)</f>
        <v>0.30769230769230771</v>
      </c>
      <c r="W16" s="66">
        <f>IFERROR(AVERAGEIFS(TBA_Matches_All[AampT],TBA_Matches_All[Team],TBA_Rankings[[#This Row],[Team]],TBA_Matches_All[Scouted],"&gt;0"),0)</f>
        <v>0</v>
      </c>
      <c r="X16" s="66">
        <f>IFERROR(AVERAGEIFS(TBA_Matches_All[AspkrT],TBA_Matches_All[Team],TBA_Rankings[[#This Row],[Team]],TBA_Matches_All[Scouted],"&gt;0"),0)</f>
        <v>2</v>
      </c>
      <c r="Y16" s="66">
        <f>IFERROR(AVERAGEIFS(TBA_Matches_All[AtrapT],TBA_Matches_All[Team],TBA_Rankings[[#This Row],[Team]],TBA_Matches_All[Scouted],"&gt;0"),0)</f>
        <v>0</v>
      </c>
      <c r="Z16" s="66">
        <f>IFERROR(AVERAGEIFS(TBA_Matches_All[TampT],TBA_Matches_All[Team],TBA_Rankings[[#This Row],[Team]],TBA_Matches_All[Scouted],"&gt;0"),0)</f>
        <v>2</v>
      </c>
      <c r="AA16" s="66">
        <f>IFERROR(AVERAGEIFS(TBA_Matches_All[TspkrT],TBA_Matches_All[Team],TBA_Rankings[[#This Row],[Team]],TBA_Matches_All[Scouted],"&gt;0"),0)</f>
        <v>3.8333333333333335</v>
      </c>
      <c r="AB16" s="66">
        <f>IFERROR(AVERAGEIFS(TBA_Matches_All[TtrapT],TBA_Matches_All[Team],TBA_Rankings[[#This Row],[Team]],TBA_Matches_All[Scouted],"&gt;0"),0)</f>
        <v>0</v>
      </c>
      <c r="AC16" s="66">
        <f>IFERROR(AVERAGEIFS(TBA_Matches_All[ATTNDDiff],TBA_Matches_All[Team],TBA_Rankings[[#This Row],[Team]],TBA_Matches_All[Defense],3,TBA_Matches_All[Scouted],"&gt;0"),0)</f>
        <v>0</v>
      </c>
      <c r="AD16" s="66">
        <f>IFERROR(AVERAGEIFS(TBA_Matches_All[ATTNDDiff],TBA_Matches_All[Team],TBA_Rankings[[#This Row],[Team]],TBA_Matches_All[Defense],2,TBA_Matches_All[Scouted],"&gt;0"),0)</f>
        <v>0</v>
      </c>
      <c r="AE16" s="66">
        <f>IFERROR(AVERAGEIFS(TBA_Matches_All[ATTNDDiff],TBA_Matches_All[Team],TBA_Rankings[[#This Row],[Team]],TBA_Matches_All[Defense],1,TBA_Matches_All[Scouted],"&gt;0"),0)</f>
        <v>0</v>
      </c>
      <c r="AF16" s="66">
        <f>IFERROR(AVERAGEIFS(TBA_Matches_All[ATTNDDiff],TBA_Matches_All[Team],TBA_Rankings[[#This Row],[Team]],TBA_Matches_All[Defense],0,TBA_Matches_All[Scouted],"&gt;0"),0)</f>
        <v>2.9605947323337506E-16</v>
      </c>
      <c r="AG16" s="66">
        <f>IFERROR(AVERAGEIFS(TBA_Matches_All[ATTNDDiff],TBA_Matches_All[Team],TBA_Rankings[[#This Row],[Team]],TBA_Matches_All[Avoid],3,TBA_Matches_All[Scouted],"&gt;0"),0)</f>
        <v>0</v>
      </c>
      <c r="AH16" s="66">
        <f>IFERROR(AVERAGEIFS(TBA_Matches_All[ATTNDDiff],TBA_Matches_All[Team],TBA_Rankings[[#This Row],[Team]],TBA_Matches_All[Avoid],2,TBA_Matches_All[Scouted],"&gt;0"),0)</f>
        <v>0</v>
      </c>
      <c r="AI16" s="66">
        <f>IFERROR(AVERAGEIFS(TBA_Matches_All[ATTNDDiff],TBA_Matches_All[Team],TBA_Rankings[[#This Row],[Team]],TBA_Matches_All[Avoid],1,TBA_Matches_All[Scouted],"&gt;0"),0)</f>
        <v>0</v>
      </c>
      <c r="AJ16" s="66">
        <f>IFERROR(AVERAGEIFS(TBA_Matches_All[ATTNDDiff],TBA_Matches_All[Team],TBA_Rankings[[#This Row],[Team]],TBA_Matches_All[Avoid],0,TBA_Matches_All[Scouted],"&gt;0"),0)</f>
        <v>2.9605947323337506E-16</v>
      </c>
    </row>
    <row r="17" spans="1:36" x14ac:dyDescent="0.3">
      <c r="A17" t="s">
        <v>1419</v>
      </c>
      <c r="B17" s="1">
        <v>18</v>
      </c>
      <c r="C17" t="s">
        <v>366</v>
      </c>
      <c r="D17" s="1">
        <v>637</v>
      </c>
      <c r="E17" s="66">
        <f>IFERROR(AVERAGEIFS(TBA_Matches_All[Score], TBA_Matches_All[Team],TBA_Rankings[[#This Row],[Team]],TBA_Matches_All[Scouted],"&gt;0"),0)</f>
        <v>62.142857142857146</v>
      </c>
      <c r="F17" s="66">
        <f>IFERROR(AVERAGEIFS(TBA_Matches_All[TotptsC], TBA_Matches_All[Team],TBA_Rankings[[#This Row],[Team]],TBA_Matches_All[Scouted],"&gt;0"),0)</f>
        <v>15.586734693877551</v>
      </c>
      <c r="G17" s="59">
        <f>IFERROR(TBA_Rankings[[#This Row],[avescoreT]]/TBA_Rankings[[#This Row],[avescoreA]],0)</f>
        <v>0.25082101806239737</v>
      </c>
      <c r="H17" s="66">
        <f>IFERROR(SUM(AVERAGEIFS(TBA_Matches_All[Aamp],TBA_Matches_All[Team],TBA_Rankings[[#This Row],[Team]],TBA_Matches_All[Scouted],"&gt;0")+AVERAGEIFS(TBA_Matches_All[Tamp],TBA_Matches_All[Team],TBA_Rankings[[#This Row],[Team]],TBA_Matches_All[Scouted],"&gt;0")),0)</f>
        <v>3</v>
      </c>
      <c r="I17" s="66">
        <f>IFERROR(SUM(AVERAGEIFS(TBA_Matches_All[AampT],TBA_Matches_All[Team],TBA_Rankings[[#This Row],[Team]],TBA_Matches_All[Scouted],"&gt;0")+AVERAGEIFS(TBA_Matches_All[TampT],TBA_Matches_All[Team],TBA_Rankings[[#This Row],[Team]],TBA_Matches_All[Scouted],"&gt;0")),0)</f>
        <v>0</v>
      </c>
      <c r="J17" s="59">
        <f>IFERROR(TBA_Rankings[[#This Row],[aveampT]]/TBA_Rankings[[#This Row],[aveampA]],0)</f>
        <v>0</v>
      </c>
      <c r="K17" s="66">
        <f>IFERROR(SUM(AVERAGEIFS(TBA_Matches_All[Aspkr],TBA_Matches_All[Team],TBA_Rankings[[#This Row],[Team]],TBA_Matches_All[Scouted],"&gt;0")+AVERAGEIFS(TBA_Matches_All[Tspkr],TBA_Matches_All[Team],TBA_Rankings[[#This Row],[Team]],TBA_Matches_All[Scouted],"&gt;0")),0)</f>
        <v>14</v>
      </c>
      <c r="L17" s="66">
        <f>IFERROR(SUM(AVERAGEIFS(TBA_Matches_All[AspkrT],TBA_Matches_All[Team],TBA_Rankings[[#This Row],[Team]],TBA_Matches_All[Scouted],"&gt;0")+AVERAGEIFS(TBA_Matches_All[TspkrT],TBA_Matches_All[Team],TBA_Rankings[[#This Row],[Team]],TBA_Matches_All[Scouted],"&gt;0")),0)</f>
        <v>5.7142857142857144</v>
      </c>
      <c r="M17" s="59">
        <f>IFERROR(TBA_Rankings[[#This Row],[avespkrT]]/TBA_Rankings[[#This Row],[avespkrA]],0)</f>
        <v>0.40816326530612246</v>
      </c>
      <c r="N17" s="66">
        <f>IFERROR(AVERAGEIFS(TBA_Matches_All[Trap],TBA_Matches_All[Team],TBA_Rankings[[#This Row],[Team]],TBA_Matches_All[Scouted],"&gt;0"),0)</f>
        <v>0.14285714285714285</v>
      </c>
      <c r="O17" s="66">
        <f>IFERROR(SUM(AVERAGEIFS(TBA_Matches_All[AtrapT],TBA_Matches_All[Team],TBA_Rankings[[#This Row],[Team]],TBA_Matches_All[Scouted],"&gt;0")+AVERAGEIFS(TBA_Matches_All[TtrapT],TBA_Matches_All[Team],TBA_Rankings[[#This Row],[Team]],TBA_Matches_All[Scouted],"&gt;0")),0)</f>
        <v>0</v>
      </c>
      <c r="P17" s="59">
        <f>IFERROR(TBA_Rankings[[#This Row],[avetrapT]]/TBA_Rankings[[#This Row],[avetrapA]],0)</f>
        <v>0</v>
      </c>
      <c r="Q17" s="66">
        <f>IFERROR(AVERAGEIFS(TBA_Matches_All[TotNotes],TBA_Matches_All[Team],TBA_Rankings[[#This Row],[Team]],TBA_Matches_All[Scouted],"&gt;0"),0)</f>
        <v>17</v>
      </c>
      <c r="R17" s="66">
        <f>IFERROR(AVERAGEIFS(TBA_Matches_All[TotNotesT],TBA_Matches_All[Team],TBA_Rankings[[#This Row],[Team]],TBA_Matches_All[Scouted],"&gt;0"),0)</f>
        <v>5.7142857142857144</v>
      </c>
      <c r="S17" s="59">
        <f>IFERROR(TBA_Rankings[[#This Row],[avenotesT]]/TBA_Rankings[[#This Row],[avenotesA]],0)</f>
        <v>0.33613445378151263</v>
      </c>
      <c r="T17" s="66">
        <f>IFERROR(AVERAGEIFS(TBA_Matches_All[StagePts],TBA_Matches_All[Team],TBA_Rankings[[#This Row],[Team]],TBA_Matches_All[Scouted],"&gt;0"),0)</f>
        <v>4.2857142857142856</v>
      </c>
      <c r="U17" s="66">
        <f>IFERROR(AVERAGEIFS(TBA_Matches_All[stageptsT],TBA_Matches_All[Team],TBA_Rankings[[#This Row],[Team]],TBA_Matches_All[Scouted],"&gt;0"),0)</f>
        <v>0.7142857142857143</v>
      </c>
      <c r="V17" s="59">
        <f>IFERROR(TBA_Rankings[[#This Row],[avestageT]]/TBA_Rankings[[#This Row],[avestageA]],0)</f>
        <v>0.16666666666666669</v>
      </c>
      <c r="W17" s="66">
        <f>IFERROR(AVERAGEIFS(TBA_Matches_All[AampT],TBA_Matches_All[Team],TBA_Rankings[[#This Row],[Team]],TBA_Matches_All[Scouted],"&gt;0"),0)</f>
        <v>0</v>
      </c>
      <c r="X17" s="66">
        <f>IFERROR(AVERAGEIFS(TBA_Matches_All[AspkrT],TBA_Matches_All[Team],TBA_Rankings[[#This Row],[Team]],TBA_Matches_All[Scouted],"&gt;0"),0)</f>
        <v>0.7142857142857143</v>
      </c>
      <c r="Y17" s="66">
        <f>IFERROR(AVERAGEIFS(TBA_Matches_All[AtrapT],TBA_Matches_All[Team],TBA_Rankings[[#This Row],[Team]],TBA_Matches_All[Scouted],"&gt;0"),0)</f>
        <v>0</v>
      </c>
      <c r="Z17" s="66">
        <f>IFERROR(AVERAGEIFS(TBA_Matches_All[TampT],TBA_Matches_All[Team],TBA_Rankings[[#This Row],[Team]],TBA_Matches_All[Scouted],"&gt;0"),0)</f>
        <v>0</v>
      </c>
      <c r="AA17" s="66">
        <f>IFERROR(AVERAGEIFS(TBA_Matches_All[TspkrT],TBA_Matches_All[Team],TBA_Rankings[[#This Row],[Team]],TBA_Matches_All[Scouted],"&gt;0"),0)</f>
        <v>5</v>
      </c>
      <c r="AB17" s="66">
        <f>IFERROR(AVERAGEIFS(TBA_Matches_All[TtrapT],TBA_Matches_All[Team],TBA_Rankings[[#This Row],[Team]],TBA_Matches_All[Scouted],"&gt;0"),0)</f>
        <v>0</v>
      </c>
      <c r="AC17" s="66">
        <f>IFERROR(AVERAGEIFS(TBA_Matches_All[ATTNDDiff],TBA_Matches_All[Team],TBA_Rankings[[#This Row],[Team]],TBA_Matches_All[Defense],3,TBA_Matches_All[Scouted],"&gt;0"),0)</f>
        <v>0</v>
      </c>
      <c r="AD17" s="66">
        <f>IFERROR(AVERAGEIFS(TBA_Matches_All[ATTNDDiff],TBA_Matches_All[Team],TBA_Rankings[[#This Row],[Team]],TBA_Matches_All[Defense],2,TBA_Matches_All[Scouted],"&gt;0"),0)</f>
        <v>-6.7678571428571441</v>
      </c>
      <c r="AE17" s="66">
        <f>IFERROR(AVERAGEIFS(TBA_Matches_All[ATTNDDiff],TBA_Matches_All[Team],TBA_Rankings[[#This Row],[Team]],TBA_Matches_All[Defense],1,TBA_Matches_All[Scouted],"&gt;0"),0)</f>
        <v>0</v>
      </c>
      <c r="AF17" s="66">
        <f>IFERROR(AVERAGEIFS(TBA_Matches_All[ATTNDDiff],TBA_Matches_All[Team],TBA_Rankings[[#This Row],[Team]],TBA_Matches_All[Defense],0,TBA_Matches_All[Scouted],"&gt;0"),0)</f>
        <v>1.1279761904761902</v>
      </c>
      <c r="AG17" s="66">
        <f>IFERROR(AVERAGEIFS(TBA_Matches_All[ATTNDDiff],TBA_Matches_All[Team],TBA_Rankings[[#This Row],[Team]],TBA_Matches_All[Avoid],3,TBA_Matches_All[Scouted],"&gt;0"),0)</f>
        <v>-4.0178571428571432</v>
      </c>
      <c r="AH17" s="66">
        <f>IFERROR(AVERAGEIFS(TBA_Matches_All[ATTNDDiff],TBA_Matches_All[Team],TBA_Rankings[[#This Row],[Team]],TBA_Matches_All[Avoid],2,TBA_Matches_All[Scouted],"&gt;0"),0)</f>
        <v>0</v>
      </c>
      <c r="AI17" s="66">
        <f>IFERROR(AVERAGEIFS(TBA_Matches_All[ATTNDDiff],TBA_Matches_All[Team],TBA_Rankings[[#This Row],[Team]],TBA_Matches_All[Avoid],1,TBA_Matches_All[Scouted],"&gt;0"),0)</f>
        <v>-7.6428571428571441</v>
      </c>
      <c r="AJ17" s="66">
        <f>IFERROR(AVERAGEIFS(TBA_Matches_All[ATTNDDiff],TBA_Matches_All[Team],TBA_Rankings[[#This Row],[Team]],TBA_Matches_All[Avoid],0,TBA_Matches_All[Scouted],"&gt;0"),0)</f>
        <v>2.3321428571428569</v>
      </c>
    </row>
    <row r="18" spans="1:36" x14ac:dyDescent="0.3">
      <c r="A18" t="s">
        <v>1419</v>
      </c>
      <c r="B18" s="1">
        <v>17</v>
      </c>
      <c r="C18" t="s">
        <v>1298</v>
      </c>
      <c r="D18" s="1">
        <v>637</v>
      </c>
      <c r="E18" s="66">
        <f>IFERROR(AVERAGEIFS(TBA_Matches_All[Score], TBA_Matches_All[Team],TBA_Rankings[[#This Row],[Team]],TBA_Matches_All[Scouted],"&gt;0"),0)</f>
        <v>54.666666666666664</v>
      </c>
      <c r="F18" s="66">
        <f>IFERROR(AVERAGEIFS(TBA_Matches_All[TotptsC], TBA_Matches_All[Team],TBA_Rankings[[#This Row],[Team]],TBA_Matches_All[Scouted],"&gt;0"),0)</f>
        <v>20.21875</v>
      </c>
      <c r="G18" s="59">
        <f>IFERROR(TBA_Rankings[[#This Row],[avescoreT]]/TBA_Rankings[[#This Row],[avescoreA]],0)</f>
        <v>0.36985518292682928</v>
      </c>
      <c r="H18" s="66">
        <f>IFERROR(SUM(AVERAGEIFS(TBA_Matches_All[Aamp],TBA_Matches_All[Team],TBA_Rankings[[#This Row],[Team]],TBA_Matches_All[Scouted],"&gt;0")+AVERAGEIFS(TBA_Matches_All[Tamp],TBA_Matches_All[Team],TBA_Rankings[[#This Row],[Team]],TBA_Matches_All[Scouted],"&gt;0")),0)</f>
        <v>2.5</v>
      </c>
      <c r="I18" s="66">
        <f>IFERROR(SUM(AVERAGEIFS(TBA_Matches_All[AampT],TBA_Matches_All[Team],TBA_Rankings[[#This Row],[Team]],TBA_Matches_All[Scouted],"&gt;0")+AVERAGEIFS(TBA_Matches_All[TampT],TBA_Matches_All[Team],TBA_Rankings[[#This Row],[Team]],TBA_Matches_All[Scouted],"&gt;0")),0)</f>
        <v>0.33333333333333331</v>
      </c>
      <c r="J18" s="59">
        <f>IFERROR(TBA_Rankings[[#This Row],[aveampT]]/TBA_Rankings[[#This Row],[aveampA]],0)</f>
        <v>0.13333333333333333</v>
      </c>
      <c r="K18" s="66">
        <f>IFERROR(SUM(AVERAGEIFS(TBA_Matches_All[Aspkr],TBA_Matches_All[Team],TBA_Rankings[[#This Row],[Team]],TBA_Matches_All[Scouted],"&gt;0")+AVERAGEIFS(TBA_Matches_All[Tspkr],TBA_Matches_All[Team],TBA_Rankings[[#This Row],[Team]],TBA_Matches_All[Scouted],"&gt;0")),0)</f>
        <v>11.833333333333334</v>
      </c>
      <c r="L18" s="66">
        <f>IFERROR(SUM(AVERAGEIFS(TBA_Matches_All[AspkrT],TBA_Matches_All[Team],TBA_Rankings[[#This Row],[Team]],TBA_Matches_All[Scouted],"&gt;0")+AVERAGEIFS(TBA_Matches_All[TspkrT],TBA_Matches_All[Team],TBA_Rankings[[#This Row],[Team]],TBA_Matches_All[Scouted],"&gt;0")),0)</f>
        <v>5.6666666666666661</v>
      </c>
      <c r="M18" s="59">
        <f>IFERROR(TBA_Rankings[[#This Row],[avespkrT]]/TBA_Rankings[[#This Row],[avespkrA]],0)</f>
        <v>0.47887323943661964</v>
      </c>
      <c r="N18" s="66">
        <f>IFERROR(AVERAGEIFS(TBA_Matches_All[Trap],TBA_Matches_All[Team],TBA_Rankings[[#This Row],[Team]],TBA_Matches_All[Scouted],"&gt;0"),0)</f>
        <v>0.16666666666666666</v>
      </c>
      <c r="O18" s="66">
        <f>IFERROR(SUM(AVERAGEIFS(TBA_Matches_All[AtrapT],TBA_Matches_All[Team],TBA_Rankings[[#This Row],[Team]],TBA_Matches_All[Scouted],"&gt;0")+AVERAGEIFS(TBA_Matches_All[TtrapT],TBA_Matches_All[Team],TBA_Rankings[[#This Row],[Team]],TBA_Matches_All[Scouted],"&gt;0")),0)</f>
        <v>0</v>
      </c>
      <c r="P18" s="59">
        <f>IFERROR(TBA_Rankings[[#This Row],[avetrapT]]/TBA_Rankings[[#This Row],[avetrapA]],0)</f>
        <v>0</v>
      </c>
      <c r="Q18" s="66">
        <f>IFERROR(AVERAGEIFS(TBA_Matches_All[TotNotes],TBA_Matches_All[Team],TBA_Rankings[[#This Row],[Team]],TBA_Matches_All[Scouted],"&gt;0"),0)</f>
        <v>14.333333333333334</v>
      </c>
      <c r="R18" s="66">
        <f>IFERROR(AVERAGEIFS(TBA_Matches_All[TotNotesT],TBA_Matches_All[Team],TBA_Rankings[[#This Row],[Team]],TBA_Matches_All[Scouted],"&gt;0"),0)</f>
        <v>6</v>
      </c>
      <c r="S18" s="59">
        <f>IFERROR(TBA_Rankings[[#This Row],[avenotesT]]/TBA_Rankings[[#This Row],[avenotesA]],0)</f>
        <v>0.41860465116279066</v>
      </c>
      <c r="T18" s="66">
        <f>IFERROR(AVERAGEIFS(TBA_Matches_All[StagePts],TBA_Matches_All[Team],TBA_Rankings[[#This Row],[Team]],TBA_Matches_All[Scouted],"&gt;0"),0)</f>
        <v>7.5</v>
      </c>
      <c r="U18" s="66">
        <f>IFERROR(AVERAGEIFS(TBA_Matches_All[stageptsT],TBA_Matches_All[Team],TBA_Rankings[[#This Row],[Team]],TBA_Matches_All[Scouted],"&gt;0"),0)</f>
        <v>2</v>
      </c>
      <c r="V18" s="59">
        <f>IFERROR(TBA_Rankings[[#This Row],[avestageT]]/TBA_Rankings[[#This Row],[avestageA]],0)</f>
        <v>0.26666666666666666</v>
      </c>
      <c r="W18" s="66">
        <f>IFERROR(AVERAGEIFS(TBA_Matches_All[AampT],TBA_Matches_All[Team],TBA_Rankings[[#This Row],[Team]],TBA_Matches_All[Scouted],"&gt;0"),0)</f>
        <v>0</v>
      </c>
      <c r="X18" s="66">
        <f>IFERROR(AVERAGEIFS(TBA_Matches_All[AspkrT],TBA_Matches_All[Team],TBA_Rankings[[#This Row],[Team]],TBA_Matches_All[Scouted],"&gt;0"),0)</f>
        <v>1.3333333333333333</v>
      </c>
      <c r="Y18" s="66">
        <f>IFERROR(AVERAGEIFS(TBA_Matches_All[AtrapT],TBA_Matches_All[Team],TBA_Rankings[[#This Row],[Team]],TBA_Matches_All[Scouted],"&gt;0"),0)</f>
        <v>0</v>
      </c>
      <c r="Z18" s="66">
        <f>IFERROR(AVERAGEIFS(TBA_Matches_All[TampT],TBA_Matches_All[Team],TBA_Rankings[[#This Row],[Team]],TBA_Matches_All[Scouted],"&gt;0"),0)</f>
        <v>0.33333333333333331</v>
      </c>
      <c r="AA18" s="66">
        <f>IFERROR(AVERAGEIFS(TBA_Matches_All[TspkrT],TBA_Matches_All[Team],TBA_Rankings[[#This Row],[Team]],TBA_Matches_All[Scouted],"&gt;0"),0)</f>
        <v>4.333333333333333</v>
      </c>
      <c r="AB18" s="66">
        <f>IFERROR(AVERAGEIFS(TBA_Matches_All[TtrapT],TBA_Matches_All[Team],TBA_Rankings[[#This Row],[Team]],TBA_Matches_All[Scouted],"&gt;0"),0)</f>
        <v>0</v>
      </c>
      <c r="AC18" s="66">
        <f>IFERROR(AVERAGEIFS(TBA_Matches_All[ATTNDDiff],TBA_Matches_All[Team],TBA_Rankings[[#This Row],[Team]],TBA_Matches_All[Defense],3,TBA_Matches_All[Scouted],"&gt;0"),0)</f>
        <v>0</v>
      </c>
      <c r="AD18" s="66">
        <f>IFERROR(AVERAGEIFS(TBA_Matches_All[ATTNDDiff],TBA_Matches_All[Team],TBA_Rankings[[#This Row],[Team]],TBA_Matches_All[Defense],2,TBA_Matches_All[Scouted],"&gt;0"),0)</f>
        <v>0</v>
      </c>
      <c r="AE18" s="66">
        <f>IFERROR(AVERAGEIFS(TBA_Matches_All[ATTNDDiff],TBA_Matches_All[Team],TBA_Rankings[[#This Row],[Team]],TBA_Matches_All[Defense],1,TBA_Matches_All[Scouted],"&gt;0"),0)</f>
        <v>0</v>
      </c>
      <c r="AF18" s="66">
        <f>IFERROR(AVERAGEIFS(TBA_Matches_All[ATTNDDiff],TBA_Matches_All[Team],TBA_Rankings[[#This Row],[Team]],TBA_Matches_All[Defense],0,TBA_Matches_All[Scouted],"&gt;0"),0)</f>
        <v>0</v>
      </c>
      <c r="AG18" s="66">
        <f>IFERROR(AVERAGEIFS(TBA_Matches_All[ATTNDDiff],TBA_Matches_All[Team],TBA_Rankings[[#This Row],[Team]],TBA_Matches_All[Avoid],3,TBA_Matches_All[Scouted],"&gt;0"),0)</f>
        <v>0</v>
      </c>
      <c r="AH18" s="66">
        <f>IFERROR(AVERAGEIFS(TBA_Matches_All[ATTNDDiff],TBA_Matches_All[Team],TBA_Rankings[[#This Row],[Team]],TBA_Matches_All[Avoid],2,TBA_Matches_All[Scouted],"&gt;0"),0)</f>
        <v>0</v>
      </c>
      <c r="AI18" s="66">
        <f>IFERROR(AVERAGEIFS(TBA_Matches_All[ATTNDDiff],TBA_Matches_All[Team],TBA_Rankings[[#This Row],[Team]],TBA_Matches_All[Avoid],1,TBA_Matches_All[Scouted],"&gt;0"),0)</f>
        <v>3.1375000000000011</v>
      </c>
      <c r="AJ18" s="66">
        <f>IFERROR(AVERAGEIFS(TBA_Matches_All[ATTNDDiff],TBA_Matches_All[Team],TBA_Rankings[[#This Row],[Team]],TBA_Matches_All[Avoid],0,TBA_Matches_All[Scouted],"&gt;0"),0)</f>
        <v>-0.62750000000000017</v>
      </c>
    </row>
    <row r="19" spans="1:36" x14ac:dyDescent="0.3">
      <c r="A19" t="s">
        <v>1419</v>
      </c>
      <c r="B19" s="1">
        <v>6</v>
      </c>
      <c r="C19" t="s">
        <v>1296</v>
      </c>
      <c r="D19" s="1">
        <v>576</v>
      </c>
      <c r="E19" s="66">
        <f>IFERROR(AVERAGEIFS(TBA_Matches_All[Score], TBA_Matches_All[Team],TBA_Rankings[[#This Row],[Team]],TBA_Matches_All[Scouted],"&gt;0"),0)</f>
        <v>57.8</v>
      </c>
      <c r="F19" s="66">
        <f>IFERROR(AVERAGEIFS(TBA_Matches_All[TotptsC], TBA_Matches_All[Team],TBA_Rankings[[#This Row],[Team]],TBA_Matches_All[Scouted],"&gt;0"),0)</f>
        <v>17.436363636363637</v>
      </c>
      <c r="G19" s="59">
        <f>IFERROR(TBA_Rankings[[#This Row],[avescoreT]]/TBA_Rankings[[#This Row],[avescoreA]],0)</f>
        <v>0.30166719094054739</v>
      </c>
      <c r="H19" s="66">
        <f>IFERROR(SUM(AVERAGEIFS(TBA_Matches_All[Aamp],TBA_Matches_All[Team],TBA_Rankings[[#This Row],[Team]],TBA_Matches_All[Scouted],"&gt;0")+AVERAGEIFS(TBA_Matches_All[Tamp],TBA_Matches_All[Team],TBA_Rankings[[#This Row],[Team]],TBA_Matches_All[Scouted],"&gt;0")),0)</f>
        <v>2.2000000000000002</v>
      </c>
      <c r="I19" s="66">
        <f>IFERROR(SUM(AVERAGEIFS(TBA_Matches_All[AampT],TBA_Matches_All[Team],TBA_Rankings[[#This Row],[Team]],TBA_Matches_All[Scouted],"&gt;0")+AVERAGEIFS(TBA_Matches_All[TampT],TBA_Matches_All[Team],TBA_Rankings[[#This Row],[Team]],TBA_Matches_All[Scouted],"&gt;0")),0)</f>
        <v>0.2</v>
      </c>
      <c r="J19" s="59">
        <f>IFERROR(TBA_Rankings[[#This Row],[aveampT]]/TBA_Rankings[[#This Row],[aveampA]],0)</f>
        <v>9.0909090909090912E-2</v>
      </c>
      <c r="K19" s="66">
        <f>IFERROR(SUM(AVERAGEIFS(TBA_Matches_All[Aspkr],TBA_Matches_All[Team],TBA_Rankings[[#This Row],[Team]],TBA_Matches_All[Scouted],"&gt;0")+AVERAGEIFS(TBA_Matches_All[Tspkr],TBA_Matches_All[Team],TBA_Rankings[[#This Row],[Team]],TBA_Matches_All[Scouted],"&gt;0")),0)</f>
        <v>15.2</v>
      </c>
      <c r="L19" s="66">
        <f>IFERROR(SUM(AVERAGEIFS(TBA_Matches_All[AspkrT],TBA_Matches_All[Team],TBA_Rankings[[#This Row],[Team]],TBA_Matches_All[Scouted],"&gt;0")+AVERAGEIFS(TBA_Matches_All[TspkrT],TBA_Matches_All[Team],TBA_Rankings[[#This Row],[Team]],TBA_Matches_All[Scouted],"&gt;0")),0)</f>
        <v>5.6</v>
      </c>
      <c r="M19" s="59">
        <f>IFERROR(TBA_Rankings[[#This Row],[avespkrT]]/TBA_Rankings[[#This Row],[avespkrA]],0)</f>
        <v>0.36842105263157893</v>
      </c>
      <c r="N19" s="66">
        <f>IFERROR(AVERAGEIFS(TBA_Matches_All[Trap],TBA_Matches_All[Team],TBA_Rankings[[#This Row],[Team]],TBA_Matches_All[Scouted],"&gt;0"),0)</f>
        <v>0.2</v>
      </c>
      <c r="O19" s="66">
        <f>IFERROR(SUM(AVERAGEIFS(TBA_Matches_All[AtrapT],TBA_Matches_All[Team],TBA_Rankings[[#This Row],[Team]],TBA_Matches_All[Scouted],"&gt;0")+AVERAGEIFS(TBA_Matches_All[TtrapT],TBA_Matches_All[Team],TBA_Rankings[[#This Row],[Team]],TBA_Matches_All[Scouted],"&gt;0")),0)</f>
        <v>0</v>
      </c>
      <c r="P19" s="59">
        <f>IFERROR(TBA_Rankings[[#This Row],[avetrapT]]/TBA_Rankings[[#This Row],[avetrapA]],0)</f>
        <v>0</v>
      </c>
      <c r="Q19" s="66">
        <f>IFERROR(AVERAGEIFS(TBA_Matches_All[TotNotes],TBA_Matches_All[Team],TBA_Rankings[[#This Row],[Team]],TBA_Matches_All[Scouted],"&gt;0"),0)</f>
        <v>17.399999999999999</v>
      </c>
      <c r="R19" s="66">
        <f>IFERROR(AVERAGEIFS(TBA_Matches_All[TotNotesT],TBA_Matches_All[Team],TBA_Rankings[[#This Row],[Team]],TBA_Matches_All[Scouted],"&gt;0"),0)</f>
        <v>5.8</v>
      </c>
      <c r="S19" s="59">
        <f>IFERROR(TBA_Rankings[[#This Row],[avenotesT]]/TBA_Rankings[[#This Row],[avenotesA]],0)</f>
        <v>0.33333333333333337</v>
      </c>
      <c r="T19" s="66">
        <f>IFERROR(AVERAGEIFS(TBA_Matches_All[StagePts],TBA_Matches_All[Team],TBA_Rankings[[#This Row],[Team]],TBA_Matches_All[Scouted],"&gt;0"),0)</f>
        <v>5.8</v>
      </c>
      <c r="U19" s="66">
        <f>IFERROR(AVERAGEIFS(TBA_Matches_All[stageptsT],TBA_Matches_All[Team],TBA_Rankings[[#This Row],[Team]],TBA_Matches_All[Scouted],"&gt;0"),0)</f>
        <v>1</v>
      </c>
      <c r="V19" s="59">
        <f>IFERROR(TBA_Rankings[[#This Row],[avestageT]]/TBA_Rankings[[#This Row],[avestageA]],0)</f>
        <v>0.17241379310344829</v>
      </c>
      <c r="W19" s="66">
        <f>IFERROR(AVERAGEIFS(TBA_Matches_All[AampT],TBA_Matches_All[Team],TBA_Rankings[[#This Row],[Team]],TBA_Matches_All[Scouted],"&gt;0"),0)</f>
        <v>0</v>
      </c>
      <c r="X19" s="66">
        <f>IFERROR(AVERAGEIFS(TBA_Matches_All[AspkrT],TBA_Matches_All[Team],TBA_Rankings[[#This Row],[Team]],TBA_Matches_All[Scouted],"&gt;0"),0)</f>
        <v>1</v>
      </c>
      <c r="Y19" s="66">
        <f>IFERROR(AVERAGEIFS(TBA_Matches_All[AtrapT],TBA_Matches_All[Team],TBA_Rankings[[#This Row],[Team]],TBA_Matches_All[Scouted],"&gt;0"),0)</f>
        <v>0</v>
      </c>
      <c r="Z19" s="66">
        <f>IFERROR(AVERAGEIFS(TBA_Matches_All[TampT],TBA_Matches_All[Team],TBA_Rankings[[#This Row],[Team]],TBA_Matches_All[Scouted],"&gt;0"),0)</f>
        <v>0.2</v>
      </c>
      <c r="AA19" s="66">
        <f>IFERROR(AVERAGEIFS(TBA_Matches_All[TspkrT],TBA_Matches_All[Team],TBA_Rankings[[#This Row],[Team]],TBA_Matches_All[Scouted],"&gt;0"),0)</f>
        <v>4.5999999999999996</v>
      </c>
      <c r="AB19" s="66">
        <f>IFERROR(AVERAGEIFS(TBA_Matches_All[TtrapT],TBA_Matches_All[Team],TBA_Rankings[[#This Row],[Team]],TBA_Matches_All[Scouted],"&gt;0"),0)</f>
        <v>0</v>
      </c>
      <c r="AC19" s="66">
        <f>IFERROR(AVERAGEIFS(TBA_Matches_All[ATTNDDiff],TBA_Matches_All[Team],TBA_Rankings[[#This Row],[Team]],TBA_Matches_All[Defense],3,TBA_Matches_All[Scouted],"&gt;0"),0)</f>
        <v>-12.795454545454545</v>
      </c>
      <c r="AD19" s="66">
        <f>IFERROR(AVERAGEIFS(TBA_Matches_All[ATTNDDiff],TBA_Matches_All[Team],TBA_Rankings[[#This Row],[Team]],TBA_Matches_All[Defense],2,TBA_Matches_All[Scouted],"&gt;0"),0)</f>
        <v>0</v>
      </c>
      <c r="AE19" s="66">
        <f>IFERROR(AVERAGEIFS(TBA_Matches_All[ATTNDDiff],TBA_Matches_All[Team],TBA_Rankings[[#This Row],[Team]],TBA_Matches_All[Defense],1,TBA_Matches_All[Scouted],"&gt;0"),0)</f>
        <v>0</v>
      </c>
      <c r="AF19" s="66">
        <f>IFERROR(AVERAGEIFS(TBA_Matches_All[ATTNDDiff],TBA_Matches_All[Team],TBA_Rankings[[#This Row],[Team]],TBA_Matches_All[Defense],0,TBA_Matches_All[Scouted],"&gt;0"),0)</f>
        <v>3.1988636363636367</v>
      </c>
      <c r="AG19" s="66">
        <f>IFERROR(AVERAGEIFS(TBA_Matches_All[ATTNDDiff],TBA_Matches_All[Team],TBA_Rankings[[#This Row],[Team]],TBA_Matches_All[Avoid],3,TBA_Matches_All[Scouted],"&gt;0"),0)</f>
        <v>9.704545454545455</v>
      </c>
      <c r="AH19" s="66">
        <f>IFERROR(AVERAGEIFS(TBA_Matches_All[ATTNDDiff],TBA_Matches_All[Team],TBA_Rankings[[#This Row],[Team]],TBA_Matches_All[Avoid],2,TBA_Matches_All[Scouted],"&gt;0"),0)</f>
        <v>0</v>
      </c>
      <c r="AI19" s="66">
        <f>IFERROR(AVERAGEIFS(TBA_Matches_All[ATTNDDiff],TBA_Matches_All[Team],TBA_Rankings[[#This Row],[Team]],TBA_Matches_All[Avoid],1,TBA_Matches_All[Scouted],"&gt;0"),0)</f>
        <v>1.579545454545455</v>
      </c>
      <c r="AJ19" s="66">
        <f>IFERROR(AVERAGEIFS(TBA_Matches_All[ATTNDDiff],TBA_Matches_All[Team],TBA_Rankings[[#This Row],[Team]],TBA_Matches_All[Avoid],0,TBA_Matches_All[Scouted],"&gt;0"),0)</f>
        <v>-6.4318181818181817</v>
      </c>
    </row>
    <row r="20" spans="1:36" x14ac:dyDescent="0.3">
      <c r="A20" t="s">
        <v>1419</v>
      </c>
      <c r="B20" s="1">
        <v>16</v>
      </c>
      <c r="C20" t="s">
        <v>1295</v>
      </c>
      <c r="D20" s="1">
        <v>637</v>
      </c>
      <c r="E20" s="66">
        <f>IFERROR(AVERAGEIFS(TBA_Matches_All[Score], TBA_Matches_All[Team],TBA_Rankings[[#This Row],[Team]],TBA_Matches_All[Scouted],"&gt;0"),0)</f>
        <v>68.333333333333329</v>
      </c>
      <c r="F20" s="66">
        <f>IFERROR(AVERAGEIFS(TBA_Matches_All[TotptsC], TBA_Matches_All[Team],TBA_Rankings[[#This Row],[Team]],TBA_Matches_All[Scouted],"&gt;0"),0)</f>
        <v>26.387518037518035</v>
      </c>
      <c r="G20" s="59">
        <f>IFERROR(TBA_Rankings[[#This Row],[avescoreT]]/TBA_Rankings[[#This Row],[avescoreA]],0)</f>
        <v>0.38615880054904445</v>
      </c>
      <c r="H20" s="66">
        <f>IFERROR(SUM(AVERAGEIFS(TBA_Matches_All[Aamp],TBA_Matches_All[Team],TBA_Rankings[[#This Row],[Team]],TBA_Matches_All[Scouted],"&gt;0")+AVERAGEIFS(TBA_Matches_All[Tamp],TBA_Matches_All[Team],TBA_Rankings[[#This Row],[Team]],TBA_Matches_All[Scouted],"&gt;0")),0)</f>
        <v>5.166666666666667</v>
      </c>
      <c r="I20" s="66">
        <f>IFERROR(SUM(AVERAGEIFS(TBA_Matches_All[AampT],TBA_Matches_All[Team],TBA_Rankings[[#This Row],[Team]],TBA_Matches_All[Scouted],"&gt;0")+AVERAGEIFS(TBA_Matches_All[TampT],TBA_Matches_All[Team],TBA_Rankings[[#This Row],[Team]],TBA_Matches_All[Scouted],"&gt;0")),0)</f>
        <v>5.166666666666667</v>
      </c>
      <c r="J20" s="59">
        <f>IFERROR(TBA_Rankings[[#This Row],[aveampT]]/TBA_Rankings[[#This Row],[aveampA]],0)</f>
        <v>1</v>
      </c>
      <c r="K20" s="66">
        <f>IFERROR(SUM(AVERAGEIFS(TBA_Matches_All[Aspkr],TBA_Matches_All[Team],TBA_Rankings[[#This Row],[Team]],TBA_Matches_All[Scouted],"&gt;0")+AVERAGEIFS(TBA_Matches_All[Tspkr],TBA_Matches_All[Team],TBA_Rankings[[#This Row],[Team]],TBA_Matches_All[Scouted],"&gt;0")),0)</f>
        <v>13.5</v>
      </c>
      <c r="L20" s="66">
        <f>IFERROR(SUM(AVERAGEIFS(TBA_Matches_All[AspkrT],TBA_Matches_All[Team],TBA_Rankings[[#This Row],[Team]],TBA_Matches_All[Scouted],"&gt;0")+AVERAGEIFS(TBA_Matches_All[TspkrT],TBA_Matches_All[Team],TBA_Rankings[[#This Row],[Team]],TBA_Matches_All[Scouted],"&gt;0")),0)</f>
        <v>5.166666666666667</v>
      </c>
      <c r="M20" s="59">
        <f>IFERROR(TBA_Rankings[[#This Row],[avespkrT]]/TBA_Rankings[[#This Row],[avespkrA]],0)</f>
        <v>0.38271604938271608</v>
      </c>
      <c r="N20" s="66">
        <f>IFERROR(AVERAGEIFS(TBA_Matches_All[Trap],TBA_Matches_All[Team],TBA_Rankings[[#This Row],[Team]],TBA_Matches_All[Scouted],"&gt;0"),0)</f>
        <v>0</v>
      </c>
      <c r="O20" s="66">
        <f>IFERROR(SUM(AVERAGEIFS(TBA_Matches_All[AtrapT],TBA_Matches_All[Team],TBA_Rankings[[#This Row],[Team]],TBA_Matches_All[Scouted],"&gt;0")+AVERAGEIFS(TBA_Matches_All[TtrapT],TBA_Matches_All[Team],TBA_Rankings[[#This Row],[Team]],TBA_Matches_All[Scouted],"&gt;0")),0)</f>
        <v>0</v>
      </c>
      <c r="P20" s="59">
        <f>IFERROR(TBA_Rankings[[#This Row],[avetrapT]]/TBA_Rankings[[#This Row],[avetrapA]],0)</f>
        <v>0</v>
      </c>
      <c r="Q20" s="66">
        <f>IFERROR(AVERAGEIFS(TBA_Matches_All[TotNotes],TBA_Matches_All[Team],TBA_Rankings[[#This Row],[Team]],TBA_Matches_All[Scouted],"&gt;0"),0)</f>
        <v>18.666666666666668</v>
      </c>
      <c r="R20" s="66">
        <f>IFERROR(AVERAGEIFS(TBA_Matches_All[TotNotesT],TBA_Matches_All[Team],TBA_Rankings[[#This Row],[Team]],TBA_Matches_All[Scouted],"&gt;0"),0)</f>
        <v>10.333333333333334</v>
      </c>
      <c r="S20" s="59">
        <f>IFERROR(TBA_Rankings[[#This Row],[avenotesT]]/TBA_Rankings[[#This Row],[avenotesA]],0)</f>
        <v>0.5535714285714286</v>
      </c>
      <c r="T20" s="66">
        <f>IFERROR(AVERAGEIFS(TBA_Matches_All[StagePts],TBA_Matches_All[Team],TBA_Rankings[[#This Row],[Team]],TBA_Matches_All[Scouted],"&gt;0"),0)</f>
        <v>3.1666666666666665</v>
      </c>
      <c r="U20" s="66">
        <f>IFERROR(AVERAGEIFS(TBA_Matches_All[stageptsT],TBA_Matches_All[Team],TBA_Rankings[[#This Row],[Team]],TBA_Matches_All[Scouted],"&gt;0"),0)</f>
        <v>1.6666666666666667</v>
      </c>
      <c r="V20" s="59">
        <f>IFERROR(TBA_Rankings[[#This Row],[avestageT]]/TBA_Rankings[[#This Row],[avestageA]],0)</f>
        <v>0.52631578947368429</v>
      </c>
      <c r="W20" s="66">
        <f>IFERROR(AVERAGEIFS(TBA_Matches_All[AampT],TBA_Matches_All[Team],TBA_Rankings[[#This Row],[Team]],TBA_Matches_All[Scouted],"&gt;0"),0)</f>
        <v>0</v>
      </c>
      <c r="X20" s="66">
        <f>IFERROR(AVERAGEIFS(TBA_Matches_All[AspkrT],TBA_Matches_All[Team],TBA_Rankings[[#This Row],[Team]],TBA_Matches_All[Scouted],"&gt;0"),0)</f>
        <v>1.1666666666666667</v>
      </c>
      <c r="Y20" s="66">
        <f>IFERROR(AVERAGEIFS(TBA_Matches_All[AtrapT],TBA_Matches_All[Team],TBA_Rankings[[#This Row],[Team]],TBA_Matches_All[Scouted],"&gt;0"),0)</f>
        <v>0</v>
      </c>
      <c r="Z20" s="66">
        <f>IFERROR(AVERAGEIFS(TBA_Matches_All[TampT],TBA_Matches_All[Team],TBA_Rankings[[#This Row],[Team]],TBA_Matches_All[Scouted],"&gt;0"),0)</f>
        <v>5.166666666666667</v>
      </c>
      <c r="AA20" s="66">
        <f>IFERROR(AVERAGEIFS(TBA_Matches_All[TspkrT],TBA_Matches_All[Team],TBA_Rankings[[#This Row],[Team]],TBA_Matches_All[Scouted],"&gt;0"),0)</f>
        <v>4</v>
      </c>
      <c r="AB20" s="66">
        <f>IFERROR(AVERAGEIFS(TBA_Matches_All[TtrapT],TBA_Matches_All[Team],TBA_Rankings[[#This Row],[Team]],TBA_Matches_All[Scouted],"&gt;0"),0)</f>
        <v>0</v>
      </c>
      <c r="AC20" s="66">
        <f>IFERROR(AVERAGEIFS(TBA_Matches_All[ATTNDDiff],TBA_Matches_All[Team],TBA_Rankings[[#This Row],[Team]],TBA_Matches_All[Defense],3,TBA_Matches_All[Scouted],"&gt;0"),0)</f>
        <v>0</v>
      </c>
      <c r="AD20" s="66">
        <f>IFERROR(AVERAGEIFS(TBA_Matches_All[ATTNDDiff],TBA_Matches_All[Team],TBA_Rankings[[#This Row],[Team]],TBA_Matches_All[Defense],2,TBA_Matches_All[Scouted],"&gt;0"),0)</f>
        <v>0</v>
      </c>
      <c r="AE20" s="66">
        <f>IFERROR(AVERAGEIFS(TBA_Matches_All[ATTNDDiff],TBA_Matches_All[Team],TBA_Rankings[[#This Row],[Team]],TBA_Matches_All[Defense],1,TBA_Matches_All[Scouted],"&gt;0"),0)</f>
        <v>0</v>
      </c>
      <c r="AF20" s="66">
        <f>IFERROR(AVERAGEIFS(TBA_Matches_All[ATTNDDiff],TBA_Matches_All[Team],TBA_Rankings[[#This Row],[Team]],TBA_Matches_All[Defense],0,TBA_Matches_All[Scouted],"&gt;0"),0)</f>
        <v>-5.9211894646675012E-16</v>
      </c>
      <c r="AG20" s="66">
        <f>IFERROR(AVERAGEIFS(TBA_Matches_All[ATTNDDiff],TBA_Matches_All[Team],TBA_Rankings[[#This Row],[Team]],TBA_Matches_All[Avoid],3,TBA_Matches_All[Scouted],"&gt;0"),0)</f>
        <v>0</v>
      </c>
      <c r="AH20" s="66">
        <f>IFERROR(AVERAGEIFS(TBA_Matches_All[ATTNDDiff],TBA_Matches_All[Team],TBA_Rankings[[#This Row],[Team]],TBA_Matches_All[Avoid],2,TBA_Matches_All[Scouted],"&gt;0"),0)</f>
        <v>0</v>
      </c>
      <c r="AI20" s="66">
        <f>IFERROR(AVERAGEIFS(TBA_Matches_All[ATTNDDiff],TBA_Matches_All[Team],TBA_Rankings[[#This Row],[Team]],TBA_Matches_All[Avoid],1,TBA_Matches_All[Scouted],"&gt;0"),0)</f>
        <v>0</v>
      </c>
      <c r="AJ20" s="66">
        <f>IFERROR(AVERAGEIFS(TBA_Matches_All[ATTNDDiff],TBA_Matches_All[Team],TBA_Rankings[[#This Row],[Team]],TBA_Matches_All[Avoid],0,TBA_Matches_All[Scouted],"&gt;0"),0)</f>
        <v>-5.9211894646675012E-16</v>
      </c>
    </row>
    <row r="21" spans="1:36" x14ac:dyDescent="0.3">
      <c r="A21" t="s">
        <v>1419</v>
      </c>
      <c r="B21" s="1">
        <v>31</v>
      </c>
      <c r="C21" t="s">
        <v>1288</v>
      </c>
      <c r="D21" s="1">
        <v>490</v>
      </c>
      <c r="E21" s="66">
        <f>IFERROR(AVERAGEIFS(TBA_Matches_All[Score], TBA_Matches_All[Team],TBA_Rankings[[#This Row],[Team]],TBA_Matches_All[Scouted],"&gt;0"),0)</f>
        <v>50.428571428571431</v>
      </c>
      <c r="F21" s="66">
        <f>IFERROR(AVERAGEIFS(TBA_Matches_All[TotptsC], TBA_Matches_All[Team],TBA_Rankings[[#This Row],[Team]],TBA_Matches_All[Scouted],"&gt;0"),0)</f>
        <v>20.217532467532468</v>
      </c>
      <c r="G21" s="59">
        <f>IFERROR(TBA_Rankings[[#This Row],[avescoreT]]/TBA_Rankings[[#This Row],[avescoreA]],0)</f>
        <v>0.40091424156579963</v>
      </c>
      <c r="H21" s="66">
        <f>IFERROR(SUM(AVERAGEIFS(TBA_Matches_All[Aamp],TBA_Matches_All[Team],TBA_Rankings[[#This Row],[Team]],TBA_Matches_All[Scouted],"&gt;0")+AVERAGEIFS(TBA_Matches_All[Tamp],TBA_Matches_All[Team],TBA_Rankings[[#This Row],[Team]],TBA_Matches_All[Scouted],"&gt;0")),0)</f>
        <v>1.5714285714285714</v>
      </c>
      <c r="I21" s="66">
        <f>IFERROR(SUM(AVERAGEIFS(TBA_Matches_All[AampT],TBA_Matches_All[Team],TBA_Rankings[[#This Row],[Team]],TBA_Matches_All[Scouted],"&gt;0")+AVERAGEIFS(TBA_Matches_All[TampT],TBA_Matches_All[Team],TBA_Rankings[[#This Row],[Team]],TBA_Matches_All[Scouted],"&gt;0")),0)</f>
        <v>0.42857142857142855</v>
      </c>
      <c r="J21" s="59">
        <f>IFERROR(TBA_Rankings[[#This Row],[aveampT]]/TBA_Rankings[[#This Row],[aveampA]],0)</f>
        <v>0.27272727272727271</v>
      </c>
      <c r="K21" s="66">
        <f>IFERROR(SUM(AVERAGEIFS(TBA_Matches_All[Aspkr],TBA_Matches_All[Team],TBA_Rankings[[#This Row],[Team]],TBA_Matches_All[Scouted],"&gt;0")+AVERAGEIFS(TBA_Matches_All[Tspkr],TBA_Matches_All[Team],TBA_Rankings[[#This Row],[Team]],TBA_Matches_All[Scouted],"&gt;0")),0)</f>
        <v>12.571428571428571</v>
      </c>
      <c r="L21" s="66">
        <f>IFERROR(SUM(AVERAGEIFS(TBA_Matches_All[AspkrT],TBA_Matches_All[Team],TBA_Rankings[[#This Row],[Team]],TBA_Matches_All[Scouted],"&gt;0")+AVERAGEIFS(TBA_Matches_All[TspkrT],TBA_Matches_All[Team],TBA_Rankings[[#This Row],[Team]],TBA_Matches_All[Scouted],"&gt;0")),0)</f>
        <v>4.8571428571428568</v>
      </c>
      <c r="M21" s="59">
        <f>IFERROR(TBA_Rankings[[#This Row],[avespkrT]]/TBA_Rankings[[#This Row],[avespkrA]],0)</f>
        <v>0.38636363636363635</v>
      </c>
      <c r="N21" s="66">
        <f>IFERROR(AVERAGEIFS(TBA_Matches_All[Trap],TBA_Matches_All[Team],TBA_Rankings[[#This Row],[Team]],TBA_Matches_All[Scouted],"&gt;0"),0)</f>
        <v>0</v>
      </c>
      <c r="O21" s="66">
        <f>IFERROR(SUM(AVERAGEIFS(TBA_Matches_All[AtrapT],TBA_Matches_All[Team],TBA_Rankings[[#This Row],[Team]],TBA_Matches_All[Scouted],"&gt;0")+AVERAGEIFS(TBA_Matches_All[TtrapT],TBA_Matches_All[Team],TBA_Rankings[[#This Row],[Team]],TBA_Matches_All[Scouted],"&gt;0")),0)</f>
        <v>0</v>
      </c>
      <c r="P21" s="59">
        <f>IFERROR(TBA_Rankings[[#This Row],[avetrapT]]/TBA_Rankings[[#This Row],[avetrapA]],0)</f>
        <v>0</v>
      </c>
      <c r="Q21" s="66">
        <f>IFERROR(AVERAGEIFS(TBA_Matches_All[TotNotes],TBA_Matches_All[Team],TBA_Rankings[[#This Row],[Team]],TBA_Matches_All[Scouted],"&gt;0"),0)</f>
        <v>14.142857142857142</v>
      </c>
      <c r="R21" s="66">
        <f>IFERROR(AVERAGEIFS(TBA_Matches_All[TotNotesT],TBA_Matches_All[Team],TBA_Rankings[[#This Row],[Team]],TBA_Matches_All[Scouted],"&gt;0"),0)</f>
        <v>5.2857142857142856</v>
      </c>
      <c r="S21" s="59">
        <f>IFERROR(TBA_Rankings[[#This Row],[avenotesT]]/TBA_Rankings[[#This Row],[avenotesA]],0)</f>
        <v>0.37373737373737376</v>
      </c>
      <c r="T21" s="66">
        <f>IFERROR(AVERAGEIFS(TBA_Matches_All[StagePts],TBA_Matches_All[Team],TBA_Rankings[[#This Row],[Team]],TBA_Matches_All[Scouted],"&gt;0"),0)</f>
        <v>5.5714285714285712</v>
      </c>
      <c r="U21" s="66">
        <f>IFERROR(AVERAGEIFS(TBA_Matches_All[stageptsT],TBA_Matches_All[Team],TBA_Rankings[[#This Row],[Team]],TBA_Matches_All[Scouted],"&gt;0"),0)</f>
        <v>2.1428571428571428</v>
      </c>
      <c r="V21" s="59">
        <f>IFERROR(TBA_Rankings[[#This Row],[avestageT]]/TBA_Rankings[[#This Row],[avestageA]],0)</f>
        <v>0.38461538461538464</v>
      </c>
      <c r="W21" s="66">
        <f>IFERROR(AVERAGEIFS(TBA_Matches_All[AampT],TBA_Matches_All[Team],TBA_Rankings[[#This Row],[Team]],TBA_Matches_All[Scouted],"&gt;0"),0)</f>
        <v>0</v>
      </c>
      <c r="X21" s="66">
        <f>IFERROR(AVERAGEIFS(TBA_Matches_All[AspkrT],TBA_Matches_All[Team],TBA_Rankings[[#This Row],[Team]],TBA_Matches_All[Scouted],"&gt;0"),0)</f>
        <v>1.5714285714285714</v>
      </c>
      <c r="Y21" s="66">
        <f>IFERROR(AVERAGEIFS(TBA_Matches_All[AtrapT],TBA_Matches_All[Team],TBA_Rankings[[#This Row],[Team]],TBA_Matches_All[Scouted],"&gt;0"),0)</f>
        <v>0</v>
      </c>
      <c r="Z21" s="66">
        <f>IFERROR(AVERAGEIFS(TBA_Matches_All[TampT],TBA_Matches_All[Team],TBA_Rankings[[#This Row],[Team]],TBA_Matches_All[Scouted],"&gt;0"),0)</f>
        <v>0.42857142857142855</v>
      </c>
      <c r="AA21" s="66">
        <f>IFERROR(AVERAGEIFS(TBA_Matches_All[TspkrT],TBA_Matches_All[Team],TBA_Rankings[[#This Row],[Team]],TBA_Matches_All[Scouted],"&gt;0"),0)</f>
        <v>3.2857142857142856</v>
      </c>
      <c r="AB21" s="66">
        <f>IFERROR(AVERAGEIFS(TBA_Matches_All[TtrapT],TBA_Matches_All[Team],TBA_Rankings[[#This Row],[Team]],TBA_Matches_All[Scouted],"&gt;0"),0)</f>
        <v>0</v>
      </c>
      <c r="AC21" s="66">
        <f>IFERROR(AVERAGEIFS(TBA_Matches_All[ATTNDDiff],TBA_Matches_All[Team],TBA_Rankings[[#This Row],[Team]],TBA_Matches_All[Defense],3,TBA_Matches_All[Scouted],"&gt;0"),0)</f>
        <v>-9.5871212121212128</v>
      </c>
      <c r="AD21" s="66">
        <f>IFERROR(AVERAGEIFS(TBA_Matches_All[ATTNDDiff],TBA_Matches_All[Team],TBA_Rankings[[#This Row],[Team]],TBA_Matches_All[Defense],2,TBA_Matches_All[Scouted],"&gt;0"),0)</f>
        <v>-9.5871212121212128</v>
      </c>
      <c r="AE21" s="66">
        <f>IFERROR(AVERAGEIFS(TBA_Matches_All[ATTNDDiff],TBA_Matches_All[Team],TBA_Rankings[[#This Row],[Team]],TBA_Matches_All[Defense],1,TBA_Matches_All[Scouted],"&gt;0"),0)</f>
        <v>0</v>
      </c>
      <c r="AF21" s="66">
        <f>IFERROR(AVERAGEIFS(TBA_Matches_All[ATTNDDiff],TBA_Matches_All[Team],TBA_Rankings[[#This Row],[Team]],TBA_Matches_All[Defense],0,TBA_Matches_All[Scouted],"&gt;0"),0)</f>
        <v>7.1903409090909092</v>
      </c>
      <c r="AG21" s="66">
        <f>IFERROR(AVERAGEIFS(TBA_Matches_All[ATTNDDiff],TBA_Matches_All[Team],TBA_Rankings[[#This Row],[Team]],TBA_Matches_All[Avoid],3,TBA_Matches_All[Scouted],"&gt;0"),0)</f>
        <v>0</v>
      </c>
      <c r="AH21" s="66">
        <f>IFERROR(AVERAGEIFS(TBA_Matches_All[ATTNDDiff],TBA_Matches_All[Team],TBA_Rankings[[#This Row],[Team]],TBA_Matches_All[Avoid],2,TBA_Matches_All[Scouted],"&gt;0"),0)</f>
        <v>0</v>
      </c>
      <c r="AI21" s="66">
        <f>IFERROR(AVERAGEIFS(TBA_Matches_All[ATTNDDiff],TBA_Matches_All[Team],TBA_Rankings[[#This Row],[Team]],TBA_Matches_All[Avoid],1,TBA_Matches_All[Scouted],"&gt;0"),0)</f>
        <v>4.7310606060606073</v>
      </c>
      <c r="AJ21" s="66">
        <f>IFERROR(AVERAGEIFS(TBA_Matches_All[ATTNDDiff],TBA_Matches_All[Team],TBA_Rankings[[#This Row],[Team]],TBA_Matches_All[Avoid],0,TBA_Matches_All[Scouted],"&gt;0"),0)</f>
        <v>-0.7885101010101021</v>
      </c>
    </row>
    <row r="22" spans="1:36" x14ac:dyDescent="0.3">
      <c r="A22" t="s">
        <v>1419</v>
      </c>
      <c r="B22" s="1">
        <v>30</v>
      </c>
      <c r="C22" t="s">
        <v>1317</v>
      </c>
      <c r="D22" s="1">
        <v>490</v>
      </c>
      <c r="E22" s="66">
        <f>IFERROR(AVERAGEIFS(TBA_Matches_All[Score], TBA_Matches_All[Team],TBA_Rankings[[#This Row],[Team]],TBA_Matches_All[Scouted],"&gt;0"),0)</f>
        <v>41.833333333333336</v>
      </c>
      <c r="F22" s="66">
        <f>IFERROR(AVERAGEIFS(TBA_Matches_All[TotptsC], TBA_Matches_All[Team],TBA_Rankings[[#This Row],[Team]],TBA_Matches_All[Scouted],"&gt;0"),0)</f>
        <v>17.857142857142858</v>
      </c>
      <c r="G22" s="59">
        <f>IFERROR(TBA_Rankings[[#This Row],[avescoreT]]/TBA_Rankings[[#This Row],[avescoreA]],0)</f>
        <v>0.42686397268070575</v>
      </c>
      <c r="H22" s="66">
        <f>IFERROR(SUM(AVERAGEIFS(TBA_Matches_All[Aamp],TBA_Matches_All[Team],TBA_Rankings[[#This Row],[Team]],TBA_Matches_All[Scouted],"&gt;0")+AVERAGEIFS(TBA_Matches_All[Tamp],TBA_Matches_All[Team],TBA_Rankings[[#This Row],[Team]],TBA_Matches_All[Scouted],"&gt;0")),0)</f>
        <v>2.1666666666666665</v>
      </c>
      <c r="I22" s="66">
        <f>IFERROR(SUM(AVERAGEIFS(TBA_Matches_All[AampT],TBA_Matches_All[Team],TBA_Rankings[[#This Row],[Team]],TBA_Matches_All[Scouted],"&gt;0")+AVERAGEIFS(TBA_Matches_All[TampT],TBA_Matches_All[Team],TBA_Rankings[[#This Row],[Team]],TBA_Matches_All[Scouted],"&gt;0")),0)</f>
        <v>0</v>
      </c>
      <c r="J22" s="59">
        <f>IFERROR(TBA_Rankings[[#This Row],[aveampT]]/TBA_Rankings[[#This Row],[aveampA]],0)</f>
        <v>0</v>
      </c>
      <c r="K22" s="66">
        <f>IFERROR(SUM(AVERAGEIFS(TBA_Matches_All[Aspkr],TBA_Matches_All[Team],TBA_Rankings[[#This Row],[Team]],TBA_Matches_All[Scouted],"&gt;0")+AVERAGEIFS(TBA_Matches_All[Tspkr],TBA_Matches_All[Team],TBA_Rankings[[#This Row],[Team]],TBA_Matches_All[Scouted],"&gt;0")),0)</f>
        <v>9.5</v>
      </c>
      <c r="L22" s="66">
        <f>IFERROR(SUM(AVERAGEIFS(TBA_Matches_All[AspkrT],TBA_Matches_All[Team],TBA_Rankings[[#This Row],[Team]],TBA_Matches_All[Scouted],"&gt;0")+AVERAGEIFS(TBA_Matches_All[TspkrT],TBA_Matches_All[Team],TBA_Rankings[[#This Row],[Team]],TBA_Matches_All[Scouted],"&gt;0")),0)</f>
        <v>4.833333333333333</v>
      </c>
      <c r="M22" s="59">
        <f>IFERROR(TBA_Rankings[[#This Row],[avespkrT]]/TBA_Rankings[[#This Row],[avespkrA]],0)</f>
        <v>0.50877192982456132</v>
      </c>
      <c r="N22" s="66">
        <f>IFERROR(AVERAGEIFS(TBA_Matches_All[Trap],TBA_Matches_All[Team],TBA_Rankings[[#This Row],[Team]],TBA_Matches_All[Scouted],"&gt;0"),0)</f>
        <v>0</v>
      </c>
      <c r="O22" s="66">
        <f>IFERROR(SUM(AVERAGEIFS(TBA_Matches_All[AtrapT],TBA_Matches_All[Team],TBA_Rankings[[#This Row],[Team]],TBA_Matches_All[Scouted],"&gt;0")+AVERAGEIFS(TBA_Matches_All[TtrapT],TBA_Matches_All[Team],TBA_Rankings[[#This Row],[Team]],TBA_Matches_All[Scouted],"&gt;0")),0)</f>
        <v>0</v>
      </c>
      <c r="P22" s="59">
        <f>IFERROR(TBA_Rankings[[#This Row],[avetrapT]]/TBA_Rankings[[#This Row],[avetrapA]],0)</f>
        <v>0</v>
      </c>
      <c r="Q22" s="66">
        <f>IFERROR(AVERAGEIFS(TBA_Matches_All[TotNotes],TBA_Matches_All[Team],TBA_Rankings[[#This Row],[Team]],TBA_Matches_All[Scouted],"&gt;0"),0)</f>
        <v>11.666666666666666</v>
      </c>
      <c r="R22" s="66">
        <f>IFERROR(AVERAGEIFS(TBA_Matches_All[TotNotesT],TBA_Matches_All[Team],TBA_Rankings[[#This Row],[Team]],TBA_Matches_All[Scouted],"&gt;0"),0)</f>
        <v>4.833333333333333</v>
      </c>
      <c r="S22" s="59">
        <f>IFERROR(TBA_Rankings[[#This Row],[avenotesT]]/TBA_Rankings[[#This Row],[avenotesA]],0)</f>
        <v>0.41428571428571426</v>
      </c>
      <c r="T22" s="66">
        <f>IFERROR(AVERAGEIFS(TBA_Matches_All[StagePts],TBA_Matches_All[Team],TBA_Rankings[[#This Row],[Team]],TBA_Matches_All[Scouted],"&gt;0"),0)</f>
        <v>4.5</v>
      </c>
      <c r="U22" s="66">
        <f>IFERROR(AVERAGEIFS(TBA_Matches_All[stageptsT],TBA_Matches_All[Team],TBA_Rankings[[#This Row],[Team]],TBA_Matches_All[Scouted],"&gt;0"),0)</f>
        <v>1.6666666666666667</v>
      </c>
      <c r="V22" s="59">
        <f>IFERROR(TBA_Rankings[[#This Row],[avestageT]]/TBA_Rankings[[#This Row],[avestageA]],0)</f>
        <v>0.37037037037037041</v>
      </c>
      <c r="W22" s="66">
        <f>IFERROR(AVERAGEIFS(TBA_Matches_All[AampT],TBA_Matches_All[Team],TBA_Rankings[[#This Row],[Team]],TBA_Matches_All[Scouted],"&gt;0"),0)</f>
        <v>0</v>
      </c>
      <c r="X22" s="66">
        <f>IFERROR(AVERAGEIFS(TBA_Matches_All[AspkrT],TBA_Matches_All[Team],TBA_Rankings[[#This Row],[Team]],TBA_Matches_All[Scouted],"&gt;0"),0)</f>
        <v>1.1666666666666667</v>
      </c>
      <c r="Y22" s="66">
        <f>IFERROR(AVERAGEIFS(TBA_Matches_All[AtrapT],TBA_Matches_All[Team],TBA_Rankings[[#This Row],[Team]],TBA_Matches_All[Scouted],"&gt;0"),0)</f>
        <v>0</v>
      </c>
      <c r="Z22" s="66">
        <f>IFERROR(AVERAGEIFS(TBA_Matches_All[TampT],TBA_Matches_All[Team],TBA_Rankings[[#This Row],[Team]],TBA_Matches_All[Scouted],"&gt;0"),0)</f>
        <v>0</v>
      </c>
      <c r="AA22" s="66">
        <f>IFERROR(AVERAGEIFS(TBA_Matches_All[TspkrT],TBA_Matches_All[Team],TBA_Rankings[[#This Row],[Team]],TBA_Matches_All[Scouted],"&gt;0"),0)</f>
        <v>3.6666666666666665</v>
      </c>
      <c r="AB22" s="66">
        <f>IFERROR(AVERAGEIFS(TBA_Matches_All[TtrapT],TBA_Matches_All[Team],TBA_Rankings[[#This Row],[Team]],TBA_Matches_All[Scouted],"&gt;0"),0)</f>
        <v>0</v>
      </c>
      <c r="AC22" s="66">
        <f>IFERROR(AVERAGEIFS(TBA_Matches_All[ATTNDDiff],TBA_Matches_All[Team],TBA_Rankings[[#This Row],[Team]],TBA_Matches_All[Defense],3,TBA_Matches_All[Scouted],"&gt;0"),0)</f>
        <v>0</v>
      </c>
      <c r="AD22" s="66">
        <f>IFERROR(AVERAGEIFS(TBA_Matches_All[ATTNDDiff],TBA_Matches_All[Team],TBA_Rankings[[#This Row],[Team]],TBA_Matches_All[Defense],2,TBA_Matches_All[Scouted],"&gt;0"),0)</f>
        <v>0</v>
      </c>
      <c r="AE22" s="66">
        <f>IFERROR(AVERAGEIFS(TBA_Matches_All[ATTNDDiff],TBA_Matches_All[Team],TBA_Rankings[[#This Row],[Team]],TBA_Matches_All[Defense],1,TBA_Matches_All[Scouted],"&gt;0"),0)</f>
        <v>0</v>
      </c>
      <c r="AF22" s="66">
        <f>IFERROR(AVERAGEIFS(TBA_Matches_All[ATTNDDiff],TBA_Matches_All[Team],TBA_Rankings[[#This Row],[Team]],TBA_Matches_All[Defense],0,TBA_Matches_All[Scouted],"&gt;0"),0)</f>
        <v>5.9211894646675012E-16</v>
      </c>
      <c r="AG22" s="66">
        <f>IFERROR(AVERAGEIFS(TBA_Matches_All[ATTNDDiff],TBA_Matches_All[Team],TBA_Rankings[[#This Row],[Team]],TBA_Matches_All[Avoid],3,TBA_Matches_All[Scouted],"&gt;0"),0)</f>
        <v>-6.0285714285714285</v>
      </c>
      <c r="AH22" s="66">
        <f>IFERROR(AVERAGEIFS(TBA_Matches_All[ATTNDDiff],TBA_Matches_All[Team],TBA_Rankings[[#This Row],[Team]],TBA_Matches_All[Avoid],2,TBA_Matches_All[Scouted],"&gt;0"),0)</f>
        <v>9.742857142857142</v>
      </c>
      <c r="AI22" s="66">
        <f>IFERROR(AVERAGEIFS(TBA_Matches_All[ATTNDDiff],TBA_Matches_All[Team],TBA_Rankings[[#This Row],[Team]],TBA_Matches_All[Avoid],1,TBA_Matches_All[Scouted],"&gt;0"),0)</f>
        <v>-6.0285714285714276</v>
      </c>
      <c r="AJ22" s="66">
        <f>IFERROR(AVERAGEIFS(TBA_Matches_All[ATTNDDiff],TBA_Matches_All[Team],TBA_Rankings[[#This Row],[Team]],TBA_Matches_All[Avoid],0,TBA_Matches_All[Scouted],"&gt;0"),0)</f>
        <v>4.1714285714285726</v>
      </c>
    </row>
    <row r="23" spans="1:36" x14ac:dyDescent="0.3">
      <c r="A23" t="s">
        <v>1419</v>
      </c>
      <c r="B23" s="1">
        <v>19</v>
      </c>
      <c r="C23" t="s">
        <v>1277</v>
      </c>
      <c r="D23" s="1">
        <v>396</v>
      </c>
      <c r="E23" s="66">
        <f>IFERROR(AVERAGEIFS(TBA_Matches_All[Score], TBA_Matches_All[Team],TBA_Rankings[[#This Row],[Team]],TBA_Matches_All[Scouted],"&gt;0"),0)</f>
        <v>56.5</v>
      </c>
      <c r="F23" s="66">
        <f>IFERROR(AVERAGEIFS(TBA_Matches_All[TotptsC], TBA_Matches_All[Team],TBA_Rankings[[#This Row],[Team]],TBA_Matches_All[Scouted],"&gt;0"),0)</f>
        <v>24.861111111111111</v>
      </c>
      <c r="G23" s="59">
        <f>IFERROR(TBA_Rankings[[#This Row],[avescoreT]]/TBA_Rankings[[#This Row],[avescoreA]],0)</f>
        <v>0.44001966568338247</v>
      </c>
      <c r="H23" s="66">
        <f>IFERROR(SUM(AVERAGEIFS(TBA_Matches_All[Aamp],TBA_Matches_All[Team],TBA_Rankings[[#This Row],[Team]],TBA_Matches_All[Scouted],"&gt;0")+AVERAGEIFS(TBA_Matches_All[Tamp],TBA_Matches_All[Team],TBA_Rankings[[#This Row],[Team]],TBA_Matches_All[Scouted],"&gt;0")),0)</f>
        <v>4.333333333333333</v>
      </c>
      <c r="I23" s="66">
        <f>IFERROR(SUM(AVERAGEIFS(TBA_Matches_All[AampT],TBA_Matches_All[Team],TBA_Rankings[[#This Row],[Team]],TBA_Matches_All[Scouted],"&gt;0")+AVERAGEIFS(TBA_Matches_All[TampT],TBA_Matches_All[Team],TBA_Rankings[[#This Row],[Team]],TBA_Matches_All[Scouted],"&gt;0")),0)</f>
        <v>2.5</v>
      </c>
      <c r="J23" s="59">
        <f>IFERROR(TBA_Rankings[[#This Row],[aveampT]]/TBA_Rankings[[#This Row],[aveampA]],0)</f>
        <v>0.57692307692307698</v>
      </c>
      <c r="K23" s="66">
        <f>IFERROR(SUM(AVERAGEIFS(TBA_Matches_All[Aspkr],TBA_Matches_All[Team],TBA_Rankings[[#This Row],[Team]],TBA_Matches_All[Scouted],"&gt;0")+AVERAGEIFS(TBA_Matches_All[Tspkr],TBA_Matches_All[Team],TBA_Rankings[[#This Row],[Team]],TBA_Matches_All[Scouted],"&gt;0")),0)</f>
        <v>11.333333333333334</v>
      </c>
      <c r="L23" s="66">
        <f>IFERROR(SUM(AVERAGEIFS(TBA_Matches_All[AspkrT],TBA_Matches_All[Team],TBA_Rankings[[#This Row],[Team]],TBA_Matches_All[Scouted],"&gt;0")+AVERAGEIFS(TBA_Matches_All[TspkrT],TBA_Matches_All[Team],TBA_Rankings[[#This Row],[Team]],TBA_Matches_All[Scouted],"&gt;0")),0)</f>
        <v>4.833333333333333</v>
      </c>
      <c r="M23" s="59">
        <f>IFERROR(TBA_Rankings[[#This Row],[avespkrT]]/TBA_Rankings[[#This Row],[avespkrA]],0)</f>
        <v>0.42647058823529405</v>
      </c>
      <c r="N23" s="66">
        <f>IFERROR(AVERAGEIFS(TBA_Matches_All[Trap],TBA_Matches_All[Team],TBA_Rankings[[#This Row],[Team]],TBA_Matches_All[Scouted],"&gt;0"),0)</f>
        <v>0</v>
      </c>
      <c r="O23" s="66">
        <f>IFERROR(SUM(AVERAGEIFS(TBA_Matches_All[AtrapT],TBA_Matches_All[Team],TBA_Rankings[[#This Row],[Team]],TBA_Matches_All[Scouted],"&gt;0")+AVERAGEIFS(TBA_Matches_All[TtrapT],TBA_Matches_All[Team],TBA_Rankings[[#This Row],[Team]],TBA_Matches_All[Scouted],"&gt;0")),0)</f>
        <v>0</v>
      </c>
      <c r="P23" s="59">
        <f>IFERROR(TBA_Rankings[[#This Row],[avetrapT]]/TBA_Rankings[[#This Row],[avetrapA]],0)</f>
        <v>0</v>
      </c>
      <c r="Q23" s="66">
        <f>IFERROR(AVERAGEIFS(TBA_Matches_All[TotNotes],TBA_Matches_All[Team],TBA_Rankings[[#This Row],[Team]],TBA_Matches_All[Scouted],"&gt;0"),0)</f>
        <v>15.666666666666666</v>
      </c>
      <c r="R23" s="66">
        <f>IFERROR(AVERAGEIFS(TBA_Matches_All[TotNotesT],TBA_Matches_All[Team],TBA_Rankings[[#This Row],[Team]],TBA_Matches_All[Scouted],"&gt;0"),0)</f>
        <v>7.333333333333333</v>
      </c>
      <c r="S23" s="59">
        <f>IFERROR(TBA_Rankings[[#This Row],[avenotesT]]/TBA_Rankings[[#This Row],[avenotesA]],0)</f>
        <v>0.46808510638297873</v>
      </c>
      <c r="T23" s="66">
        <f>IFERROR(AVERAGEIFS(TBA_Matches_All[StagePts],TBA_Matches_All[Team],TBA_Rankings[[#This Row],[Team]],TBA_Matches_All[Scouted],"&gt;0"),0)</f>
        <v>4.833333333333333</v>
      </c>
      <c r="U23" s="66">
        <f>IFERROR(AVERAGEIFS(TBA_Matches_All[stageptsT],TBA_Matches_All[Team],TBA_Rankings[[#This Row],[Team]],TBA_Matches_All[Scouted],"&gt;0"),0)</f>
        <v>1.3333333333333333</v>
      </c>
      <c r="V23" s="59">
        <f>IFERROR(TBA_Rankings[[#This Row],[avestageT]]/TBA_Rankings[[#This Row],[avestageA]],0)</f>
        <v>0.27586206896551724</v>
      </c>
      <c r="W23" s="66">
        <f>IFERROR(AVERAGEIFS(TBA_Matches_All[AampT],TBA_Matches_All[Team],TBA_Rankings[[#This Row],[Team]],TBA_Matches_All[Scouted],"&gt;0"),0)</f>
        <v>0.16666666666666666</v>
      </c>
      <c r="X23" s="66">
        <f>IFERROR(AVERAGEIFS(TBA_Matches_All[AspkrT],TBA_Matches_All[Team],TBA_Rankings[[#This Row],[Team]],TBA_Matches_All[Scouted],"&gt;0"),0)</f>
        <v>2.1666666666666665</v>
      </c>
      <c r="Y23" s="66">
        <f>IFERROR(AVERAGEIFS(TBA_Matches_All[AtrapT],TBA_Matches_All[Team],TBA_Rankings[[#This Row],[Team]],TBA_Matches_All[Scouted],"&gt;0"),0)</f>
        <v>0</v>
      </c>
      <c r="Z23" s="66">
        <f>IFERROR(AVERAGEIFS(TBA_Matches_All[TampT],TBA_Matches_All[Team],TBA_Rankings[[#This Row],[Team]],TBA_Matches_All[Scouted],"&gt;0"),0)</f>
        <v>2.3333333333333335</v>
      </c>
      <c r="AA23" s="66">
        <f>IFERROR(AVERAGEIFS(TBA_Matches_All[TspkrT],TBA_Matches_All[Team],TBA_Rankings[[#This Row],[Team]],TBA_Matches_All[Scouted],"&gt;0"),0)</f>
        <v>2.6666666666666665</v>
      </c>
      <c r="AB23" s="66">
        <f>IFERROR(AVERAGEIFS(TBA_Matches_All[TtrapT],TBA_Matches_All[Team],TBA_Rankings[[#This Row],[Team]],TBA_Matches_All[Scouted],"&gt;0"),0)</f>
        <v>0</v>
      </c>
      <c r="AC23" s="66">
        <f>IFERROR(AVERAGEIFS(TBA_Matches_All[ATTNDDiff],TBA_Matches_All[Team],TBA_Rankings[[#This Row],[Team]],TBA_Matches_All[Defense],3,TBA_Matches_All[Scouted],"&gt;0"),0)</f>
        <v>-13.633333333333333</v>
      </c>
      <c r="AD23" s="66">
        <f>IFERROR(AVERAGEIFS(TBA_Matches_All[ATTNDDiff],TBA_Matches_All[Team],TBA_Rankings[[#This Row],[Team]],TBA_Matches_All[Defense],2,TBA_Matches_All[Scouted],"&gt;0"),0)</f>
        <v>0</v>
      </c>
      <c r="AE23" s="66">
        <f>IFERROR(AVERAGEIFS(TBA_Matches_All[ATTNDDiff],TBA_Matches_All[Team],TBA_Rankings[[#This Row],[Team]],TBA_Matches_All[Defense],1,TBA_Matches_All[Scouted],"&gt;0"),0)</f>
        <v>0</v>
      </c>
      <c r="AF23" s="66">
        <f>IFERROR(AVERAGEIFS(TBA_Matches_All[ATTNDDiff],TBA_Matches_All[Team],TBA_Rankings[[#This Row],[Team]],TBA_Matches_All[Defense],0,TBA_Matches_All[Scouted],"&gt;0"),0)</f>
        <v>2.7266666666666666</v>
      </c>
      <c r="AG23" s="66">
        <f>IFERROR(AVERAGEIFS(TBA_Matches_All[ATTNDDiff],TBA_Matches_All[Team],TBA_Rankings[[#This Row],[Team]],TBA_Matches_All[Avoid],3,TBA_Matches_All[Scouted],"&gt;0"),0)</f>
        <v>0</v>
      </c>
      <c r="AH23" s="66">
        <f>IFERROR(AVERAGEIFS(TBA_Matches_All[ATTNDDiff],TBA_Matches_All[Team],TBA_Rankings[[#This Row],[Team]],TBA_Matches_All[Avoid],2,TBA_Matches_All[Scouted],"&gt;0"),0)</f>
        <v>0</v>
      </c>
      <c r="AI23" s="66">
        <f>IFERROR(AVERAGEIFS(TBA_Matches_All[ATTNDDiff],TBA_Matches_All[Team],TBA_Rankings[[#This Row],[Team]],TBA_Matches_All[Avoid],1,TBA_Matches_All[Scouted],"&gt;0"),0)</f>
        <v>5.5666666666666664</v>
      </c>
      <c r="AJ23" s="66">
        <f>IFERROR(AVERAGEIFS(TBA_Matches_All[ATTNDDiff],TBA_Matches_All[Team],TBA_Rankings[[#This Row],[Team]],TBA_Matches_All[Avoid],0,TBA_Matches_All[Scouted],"&gt;0"),0)</f>
        <v>-1.1133333333333333</v>
      </c>
    </row>
    <row r="24" spans="1:36" x14ac:dyDescent="0.3">
      <c r="A24" t="s">
        <v>1419</v>
      </c>
      <c r="B24" s="1">
        <v>4</v>
      </c>
      <c r="C24" t="s">
        <v>364</v>
      </c>
      <c r="D24" s="1">
        <v>931</v>
      </c>
      <c r="E24" s="66">
        <f>IFERROR(AVERAGEIFS(TBA_Matches_All[Score], TBA_Matches_All[Team],TBA_Rankings[[#This Row],[Team]],TBA_Matches_All[Scouted],"&gt;0"),0)</f>
        <v>61.333333333333336</v>
      </c>
      <c r="F24" s="66">
        <f>IFERROR(AVERAGEIFS(TBA_Matches_All[TotptsC], TBA_Matches_All[Team],TBA_Rankings[[#This Row],[Team]],TBA_Matches_All[Scouted],"&gt;0"),0)</f>
        <v>18.633333333333333</v>
      </c>
      <c r="G24" s="59">
        <f>IFERROR(TBA_Rankings[[#This Row],[avescoreT]]/TBA_Rankings[[#This Row],[avescoreA]],0)</f>
        <v>0.30380434782608695</v>
      </c>
      <c r="H24" s="66">
        <f>IFERROR(SUM(AVERAGEIFS(TBA_Matches_All[Aamp],TBA_Matches_All[Team],TBA_Rankings[[#This Row],[Team]],TBA_Matches_All[Scouted],"&gt;0")+AVERAGEIFS(TBA_Matches_All[Tamp],TBA_Matches_All[Team],TBA_Rankings[[#This Row],[Team]],TBA_Matches_All[Scouted],"&gt;0")),0)</f>
        <v>2.6666666666666665</v>
      </c>
      <c r="I24" s="66">
        <f>IFERROR(SUM(AVERAGEIFS(TBA_Matches_All[AampT],TBA_Matches_All[Team],TBA_Rankings[[#This Row],[Team]],TBA_Matches_All[Scouted],"&gt;0")+AVERAGEIFS(TBA_Matches_All[TampT],TBA_Matches_All[Team],TBA_Rankings[[#This Row],[Team]],TBA_Matches_All[Scouted],"&gt;0")),0)</f>
        <v>1.1666666666666667</v>
      </c>
      <c r="J24" s="59">
        <f>IFERROR(TBA_Rankings[[#This Row],[aveampT]]/TBA_Rankings[[#This Row],[aveampA]],0)</f>
        <v>0.43750000000000006</v>
      </c>
      <c r="K24" s="66">
        <f>IFERROR(SUM(AVERAGEIFS(TBA_Matches_All[Aspkr],TBA_Matches_All[Team],TBA_Rankings[[#This Row],[Team]],TBA_Matches_All[Scouted],"&gt;0")+AVERAGEIFS(TBA_Matches_All[Tspkr],TBA_Matches_All[Team],TBA_Rankings[[#This Row],[Team]],TBA_Matches_All[Scouted],"&gt;0")),0)</f>
        <v>13.5</v>
      </c>
      <c r="L24" s="66">
        <f>IFERROR(SUM(AVERAGEIFS(TBA_Matches_All[AspkrT],TBA_Matches_All[Team],TBA_Rankings[[#This Row],[Team]],TBA_Matches_All[Scouted],"&gt;0")+AVERAGEIFS(TBA_Matches_All[TspkrT],TBA_Matches_All[Team],TBA_Rankings[[#This Row],[Team]],TBA_Matches_All[Scouted],"&gt;0")),0)</f>
        <v>4.666666666666667</v>
      </c>
      <c r="M24" s="59">
        <f>IFERROR(TBA_Rankings[[#This Row],[avespkrT]]/TBA_Rankings[[#This Row],[avespkrA]],0)</f>
        <v>0.34567901234567905</v>
      </c>
      <c r="N24" s="66">
        <f>IFERROR(AVERAGEIFS(TBA_Matches_All[Trap],TBA_Matches_All[Team],TBA_Rankings[[#This Row],[Team]],TBA_Matches_All[Scouted],"&gt;0"),0)</f>
        <v>0</v>
      </c>
      <c r="O24" s="66">
        <f>IFERROR(SUM(AVERAGEIFS(TBA_Matches_All[AtrapT],TBA_Matches_All[Team],TBA_Rankings[[#This Row],[Team]],TBA_Matches_All[Scouted],"&gt;0")+AVERAGEIFS(TBA_Matches_All[TtrapT],TBA_Matches_All[Team],TBA_Rankings[[#This Row],[Team]],TBA_Matches_All[Scouted],"&gt;0")),0)</f>
        <v>0</v>
      </c>
      <c r="P24" s="59">
        <f>IFERROR(TBA_Rankings[[#This Row],[avetrapT]]/TBA_Rankings[[#This Row],[avetrapA]],0)</f>
        <v>0</v>
      </c>
      <c r="Q24" s="66">
        <f>IFERROR(AVERAGEIFS(TBA_Matches_All[TotNotes],TBA_Matches_All[Team],TBA_Rankings[[#This Row],[Team]],TBA_Matches_All[Scouted],"&gt;0"),0)</f>
        <v>16.166666666666668</v>
      </c>
      <c r="R24" s="66">
        <f>IFERROR(AVERAGEIFS(TBA_Matches_All[TotNotesT],TBA_Matches_All[Team],TBA_Rankings[[#This Row],[Team]],TBA_Matches_All[Scouted],"&gt;0"),0)</f>
        <v>5.833333333333333</v>
      </c>
      <c r="S24" s="59">
        <f>IFERROR(TBA_Rankings[[#This Row],[avenotesT]]/TBA_Rankings[[#This Row],[avenotesA]],0)</f>
        <v>0.36082474226804118</v>
      </c>
      <c r="T24" s="66">
        <f>IFERROR(AVERAGEIFS(TBA_Matches_All[StagePts],TBA_Matches_All[Team],TBA_Rankings[[#This Row],[Team]],TBA_Matches_All[Scouted],"&gt;0"),0)</f>
        <v>8.1666666666666661</v>
      </c>
      <c r="U24" s="66">
        <f>IFERROR(AVERAGEIFS(TBA_Matches_All[stageptsT],TBA_Matches_All[Team],TBA_Rankings[[#This Row],[Team]],TBA_Matches_All[Scouted],"&gt;0"),0)</f>
        <v>3.1666666666666665</v>
      </c>
      <c r="V24" s="59">
        <f>IFERROR(TBA_Rankings[[#This Row],[avestageT]]/TBA_Rankings[[#This Row],[avestageA]],0)</f>
        <v>0.38775510204081631</v>
      </c>
      <c r="W24" s="66">
        <f>IFERROR(AVERAGEIFS(TBA_Matches_All[AampT],TBA_Matches_All[Team],TBA_Rankings[[#This Row],[Team]],TBA_Matches_All[Scouted],"&gt;0"),0)</f>
        <v>0</v>
      </c>
      <c r="X24" s="66">
        <f>IFERROR(AVERAGEIFS(TBA_Matches_All[AspkrT],TBA_Matches_All[Team],TBA_Rankings[[#This Row],[Team]],TBA_Matches_All[Scouted],"&gt;0"),0)</f>
        <v>0.83333333333333337</v>
      </c>
      <c r="Y24" s="66">
        <f>IFERROR(AVERAGEIFS(TBA_Matches_All[AtrapT],TBA_Matches_All[Team],TBA_Rankings[[#This Row],[Team]],TBA_Matches_All[Scouted],"&gt;0"),0)</f>
        <v>0</v>
      </c>
      <c r="Z24" s="66">
        <f>IFERROR(AVERAGEIFS(TBA_Matches_All[TampT],TBA_Matches_All[Team],TBA_Rankings[[#This Row],[Team]],TBA_Matches_All[Scouted],"&gt;0"),0)</f>
        <v>1.1666666666666667</v>
      </c>
      <c r="AA24" s="66">
        <f>IFERROR(AVERAGEIFS(TBA_Matches_All[TspkrT],TBA_Matches_All[Team],TBA_Rankings[[#This Row],[Team]],TBA_Matches_All[Scouted],"&gt;0"),0)</f>
        <v>3.8333333333333335</v>
      </c>
      <c r="AB24" s="66">
        <f>IFERROR(AVERAGEIFS(TBA_Matches_All[TtrapT],TBA_Matches_All[Team],TBA_Rankings[[#This Row],[Team]],TBA_Matches_All[Scouted],"&gt;0"),0)</f>
        <v>0</v>
      </c>
      <c r="AC24" s="66">
        <f>IFERROR(AVERAGEIFS(TBA_Matches_All[ATTNDDiff],TBA_Matches_All[Team],TBA_Rankings[[#This Row],[Team]],TBA_Matches_All[Defense],3,TBA_Matches_All[Scouted],"&gt;0"),0)</f>
        <v>0</v>
      </c>
      <c r="AD24" s="66">
        <f>IFERROR(AVERAGEIFS(TBA_Matches_All[ATTNDDiff],TBA_Matches_All[Team],TBA_Rankings[[#This Row],[Team]],TBA_Matches_All[Defense],2,TBA_Matches_All[Scouted],"&gt;0"),0)</f>
        <v>-11.56</v>
      </c>
      <c r="AE24" s="66">
        <f>IFERROR(AVERAGEIFS(TBA_Matches_All[ATTNDDiff],TBA_Matches_All[Team],TBA_Rankings[[#This Row],[Team]],TBA_Matches_All[Defense],1,TBA_Matches_All[Scouted],"&gt;0"),0)</f>
        <v>-9.16</v>
      </c>
      <c r="AF24" s="66">
        <f>IFERROR(AVERAGEIFS(TBA_Matches_All[ATTNDDiff],TBA_Matches_All[Team],TBA_Rankings[[#This Row],[Team]],TBA_Matches_All[Defense],0,TBA_Matches_All[Scouted],"&gt;0"),0)</f>
        <v>5.18</v>
      </c>
      <c r="AG24" s="66">
        <f>IFERROR(AVERAGEIFS(TBA_Matches_All[ATTNDDiff],TBA_Matches_All[Team],TBA_Rankings[[#This Row],[Team]],TBA_Matches_All[Avoid],3,TBA_Matches_All[Scouted],"&gt;0"),0)</f>
        <v>0</v>
      </c>
      <c r="AH24" s="66">
        <f>IFERROR(AVERAGEIFS(TBA_Matches_All[ATTNDDiff],TBA_Matches_All[Team],TBA_Rankings[[#This Row],[Team]],TBA_Matches_All[Avoid],2,TBA_Matches_All[Scouted],"&gt;0"),0)</f>
        <v>0</v>
      </c>
      <c r="AI24" s="66">
        <f>IFERROR(AVERAGEIFS(TBA_Matches_All[ATTNDDiff],TBA_Matches_All[Team],TBA_Rankings[[#This Row],[Team]],TBA_Matches_All[Avoid],1,TBA_Matches_All[Scouted],"&gt;0"),0)</f>
        <v>2.7200000000000006</v>
      </c>
      <c r="AJ24" s="66">
        <f>IFERROR(AVERAGEIFS(TBA_Matches_All[ATTNDDiff],TBA_Matches_All[Team],TBA_Rankings[[#This Row],[Team]],TBA_Matches_All[Avoid],0,TBA_Matches_All[Scouted],"&gt;0"),0)</f>
        <v>-1.3599999999999999</v>
      </c>
    </row>
    <row r="25" spans="1:36" x14ac:dyDescent="0.3">
      <c r="A25" t="s">
        <v>1419</v>
      </c>
      <c r="B25" s="1">
        <v>38</v>
      </c>
      <c r="C25" t="s">
        <v>1312</v>
      </c>
      <c r="D25" s="1">
        <v>392</v>
      </c>
      <c r="E25" s="66">
        <f>IFERROR(AVERAGEIFS(TBA_Matches_All[Score], TBA_Matches_All[Team],TBA_Rankings[[#This Row],[Team]],TBA_Matches_All[Scouted],"&gt;0"),0)</f>
        <v>46.857142857142854</v>
      </c>
      <c r="F25" s="66">
        <f>IFERROR(AVERAGEIFS(TBA_Matches_All[TotptsC], TBA_Matches_All[Team],TBA_Rankings[[#This Row],[Team]],TBA_Matches_All[Scouted],"&gt;0"),0)</f>
        <v>19.2</v>
      </c>
      <c r="G25" s="59">
        <f>IFERROR(TBA_Rankings[[#This Row],[avescoreT]]/TBA_Rankings[[#This Row],[avescoreA]],0)</f>
        <v>0.40975609756097564</v>
      </c>
      <c r="H25" s="66">
        <f>IFERROR(SUM(AVERAGEIFS(TBA_Matches_All[Aamp],TBA_Matches_All[Team],TBA_Rankings[[#This Row],[Team]],TBA_Matches_All[Scouted],"&gt;0")+AVERAGEIFS(TBA_Matches_All[Tamp],TBA_Matches_All[Team],TBA_Rankings[[#This Row],[Team]],TBA_Matches_All[Scouted],"&gt;0")),0)</f>
        <v>4</v>
      </c>
      <c r="I25" s="66">
        <f>IFERROR(SUM(AVERAGEIFS(TBA_Matches_All[AampT],TBA_Matches_All[Team],TBA_Rankings[[#This Row],[Team]],TBA_Matches_All[Scouted],"&gt;0")+AVERAGEIFS(TBA_Matches_All[TampT],TBA_Matches_All[Team],TBA_Rankings[[#This Row],[Team]],TBA_Matches_All[Scouted],"&gt;0")),0)</f>
        <v>2.4285714285714284</v>
      </c>
      <c r="J25" s="59">
        <f>IFERROR(TBA_Rankings[[#This Row],[aveampT]]/TBA_Rankings[[#This Row],[aveampA]],0)</f>
        <v>0.6071428571428571</v>
      </c>
      <c r="K25" s="66">
        <f>IFERROR(SUM(AVERAGEIFS(TBA_Matches_All[Aspkr],TBA_Matches_All[Team],TBA_Rankings[[#This Row],[Team]],TBA_Matches_All[Scouted],"&gt;0")+AVERAGEIFS(TBA_Matches_All[Tspkr],TBA_Matches_All[Team],TBA_Rankings[[#This Row],[Team]],TBA_Matches_All[Scouted],"&gt;0")),0)</f>
        <v>8.4285714285714288</v>
      </c>
      <c r="L25" s="66">
        <f>IFERROR(SUM(AVERAGEIFS(TBA_Matches_All[AspkrT],TBA_Matches_All[Team],TBA_Rankings[[#This Row],[Team]],TBA_Matches_All[Scouted],"&gt;0")+AVERAGEIFS(TBA_Matches_All[TspkrT],TBA_Matches_All[Team],TBA_Rankings[[#This Row],[Team]],TBA_Matches_All[Scouted],"&gt;0")),0)</f>
        <v>4.2857142857142856</v>
      </c>
      <c r="M25" s="59">
        <f>IFERROR(TBA_Rankings[[#This Row],[avespkrT]]/TBA_Rankings[[#This Row],[avespkrA]],0)</f>
        <v>0.50847457627118642</v>
      </c>
      <c r="N25" s="66">
        <f>IFERROR(AVERAGEIFS(TBA_Matches_All[Trap],TBA_Matches_All[Team],TBA_Rankings[[#This Row],[Team]],TBA_Matches_All[Scouted],"&gt;0"),0)</f>
        <v>0.14285714285714285</v>
      </c>
      <c r="O25" s="66">
        <f>IFERROR(SUM(AVERAGEIFS(TBA_Matches_All[AtrapT],TBA_Matches_All[Team],TBA_Rankings[[#This Row],[Team]],TBA_Matches_All[Scouted],"&gt;0")+AVERAGEIFS(TBA_Matches_All[TtrapT],TBA_Matches_All[Team],TBA_Rankings[[#This Row],[Team]],TBA_Matches_All[Scouted],"&gt;0")),0)</f>
        <v>0</v>
      </c>
      <c r="P25" s="59">
        <f>IFERROR(TBA_Rankings[[#This Row],[avetrapT]]/TBA_Rankings[[#This Row],[avetrapA]],0)</f>
        <v>0</v>
      </c>
      <c r="Q25" s="66">
        <f>IFERROR(AVERAGEIFS(TBA_Matches_All[TotNotes],TBA_Matches_All[Team],TBA_Rankings[[#This Row],[Team]],TBA_Matches_All[Scouted],"&gt;0"),0)</f>
        <v>12.428571428571429</v>
      </c>
      <c r="R25" s="66">
        <f>IFERROR(AVERAGEIFS(TBA_Matches_All[TotNotesT],TBA_Matches_All[Team],TBA_Rankings[[#This Row],[Team]],TBA_Matches_All[Scouted],"&gt;0"),0)</f>
        <v>6.7142857142857144</v>
      </c>
      <c r="S25" s="59">
        <f>IFERROR(TBA_Rankings[[#This Row],[avenotesT]]/TBA_Rankings[[#This Row],[avenotesA]],0)</f>
        <v>0.54022988505747127</v>
      </c>
      <c r="T25" s="66">
        <f>IFERROR(AVERAGEIFS(TBA_Matches_All[StagePts],TBA_Matches_All[Team],TBA_Rankings[[#This Row],[Team]],TBA_Matches_All[Scouted],"&gt;0"),0)</f>
        <v>4.1428571428571432</v>
      </c>
      <c r="U25" s="66">
        <f>IFERROR(AVERAGEIFS(TBA_Matches_All[stageptsT],TBA_Matches_All[Team],TBA_Rankings[[#This Row],[Team]],TBA_Matches_All[Scouted],"&gt;0"),0)</f>
        <v>1</v>
      </c>
      <c r="V25" s="59">
        <f>IFERROR(TBA_Rankings[[#This Row],[avestageT]]/TBA_Rankings[[#This Row],[avestageA]],0)</f>
        <v>0.24137931034482757</v>
      </c>
      <c r="W25" s="66">
        <f>IFERROR(AVERAGEIFS(TBA_Matches_All[AampT],TBA_Matches_All[Team],TBA_Rankings[[#This Row],[Team]],TBA_Matches_All[Scouted],"&gt;0"),0)</f>
        <v>0</v>
      </c>
      <c r="X25" s="66">
        <f>IFERROR(AVERAGEIFS(TBA_Matches_All[AspkrT],TBA_Matches_All[Team],TBA_Rankings[[#This Row],[Team]],TBA_Matches_All[Scouted],"&gt;0"),0)</f>
        <v>1.2857142857142858</v>
      </c>
      <c r="Y25" s="66">
        <f>IFERROR(AVERAGEIFS(TBA_Matches_All[AtrapT],TBA_Matches_All[Team],TBA_Rankings[[#This Row],[Team]],TBA_Matches_All[Scouted],"&gt;0"),0)</f>
        <v>0</v>
      </c>
      <c r="Z25" s="66">
        <f>IFERROR(AVERAGEIFS(TBA_Matches_All[TampT],TBA_Matches_All[Team],TBA_Rankings[[#This Row],[Team]],TBA_Matches_All[Scouted],"&gt;0"),0)</f>
        <v>2.4285714285714284</v>
      </c>
      <c r="AA25" s="66">
        <f>IFERROR(AVERAGEIFS(TBA_Matches_All[TspkrT],TBA_Matches_All[Team],TBA_Rankings[[#This Row],[Team]],TBA_Matches_All[Scouted],"&gt;0"),0)</f>
        <v>3</v>
      </c>
      <c r="AB25" s="66">
        <f>IFERROR(AVERAGEIFS(TBA_Matches_All[TtrapT],TBA_Matches_All[Team],TBA_Rankings[[#This Row],[Team]],TBA_Matches_All[Scouted],"&gt;0"),0)</f>
        <v>0</v>
      </c>
      <c r="AC25" s="66">
        <f>IFERROR(AVERAGEIFS(TBA_Matches_All[ATTNDDiff],TBA_Matches_All[Team],TBA_Rankings[[#This Row],[Team]],TBA_Matches_All[Defense],3,TBA_Matches_All[Scouted],"&gt;0"),0)</f>
        <v>0</v>
      </c>
      <c r="AD25" s="66">
        <f>IFERROR(AVERAGEIFS(TBA_Matches_All[ATTNDDiff],TBA_Matches_All[Team],TBA_Rankings[[#This Row],[Team]],TBA_Matches_All[Defense],2,TBA_Matches_All[Scouted],"&gt;0"),0)</f>
        <v>0</v>
      </c>
      <c r="AE25" s="66">
        <f>IFERROR(AVERAGEIFS(TBA_Matches_All[ATTNDDiff],TBA_Matches_All[Team],TBA_Rankings[[#This Row],[Team]],TBA_Matches_All[Defense],1,TBA_Matches_All[Scouted],"&gt;0"),0)</f>
        <v>2.8499999999999996</v>
      </c>
      <c r="AF25" s="66">
        <f>IFERROR(AVERAGEIFS(TBA_Matches_All[ATTNDDiff],TBA_Matches_All[Team],TBA_Rankings[[#This Row],[Team]],TBA_Matches_All[Defense],0,TBA_Matches_All[Scouted],"&gt;0"),0)</f>
        <v>-1.1400000000000001</v>
      </c>
      <c r="AG25" s="66">
        <f>IFERROR(AVERAGEIFS(TBA_Matches_All[ATTNDDiff],TBA_Matches_All[Team],TBA_Rankings[[#This Row],[Team]],TBA_Matches_All[Avoid],3,TBA_Matches_All[Scouted],"&gt;0"),0)</f>
        <v>-5.9</v>
      </c>
      <c r="AH25" s="66">
        <f>IFERROR(AVERAGEIFS(TBA_Matches_All[ATTNDDiff],TBA_Matches_All[Team],TBA_Rankings[[#This Row],[Team]],TBA_Matches_All[Avoid],2,TBA_Matches_All[Scouted],"&gt;0"),0)</f>
        <v>0</v>
      </c>
      <c r="AI25" s="66">
        <f>IFERROR(AVERAGEIFS(TBA_Matches_All[ATTNDDiff],TBA_Matches_All[Team],TBA_Rankings[[#This Row],[Team]],TBA_Matches_All[Avoid],1,TBA_Matches_All[Scouted],"&gt;0"),0)</f>
        <v>0</v>
      </c>
      <c r="AJ25" s="66">
        <f>IFERROR(AVERAGEIFS(TBA_Matches_All[ATTNDDiff],TBA_Matches_All[Team],TBA_Rankings[[#This Row],[Team]],TBA_Matches_All[Avoid],0,TBA_Matches_All[Scouted],"&gt;0"),0)</f>
        <v>0.98333333333333306</v>
      </c>
    </row>
    <row r="26" spans="1:36" x14ac:dyDescent="0.3">
      <c r="A26" t="s">
        <v>1419</v>
      </c>
      <c r="B26" s="1">
        <v>35</v>
      </c>
      <c r="C26" t="s">
        <v>1310</v>
      </c>
      <c r="D26" s="1">
        <v>252</v>
      </c>
      <c r="E26" s="66">
        <f>IFERROR(AVERAGEIFS(TBA_Matches_All[Score], TBA_Matches_All[Team],TBA_Rankings[[#This Row],[Team]],TBA_Matches_All[Scouted],"&gt;0"),0)</f>
        <v>55.333333333333336</v>
      </c>
      <c r="F26" s="66">
        <f>IFERROR(AVERAGEIFS(TBA_Matches_All[TotptsC], TBA_Matches_All[Team],TBA_Rankings[[#This Row],[Team]],TBA_Matches_All[Scouted],"&gt;0"),0)</f>
        <v>15.012820512820513</v>
      </c>
      <c r="G26" s="59">
        <f>IFERROR(TBA_Rankings[[#This Row],[avescoreT]]/TBA_Rankings[[#This Row],[avescoreA]],0)</f>
        <v>0.27131603336422611</v>
      </c>
      <c r="H26" s="66">
        <f>IFERROR(SUM(AVERAGEIFS(TBA_Matches_All[Aamp],TBA_Matches_All[Team],TBA_Rankings[[#This Row],[Team]],TBA_Matches_All[Scouted],"&gt;0")+AVERAGEIFS(TBA_Matches_All[Tamp],TBA_Matches_All[Team],TBA_Rankings[[#This Row],[Team]],TBA_Matches_All[Scouted],"&gt;0")),0)</f>
        <v>2.1666666666666665</v>
      </c>
      <c r="I26" s="66">
        <f>IFERROR(SUM(AVERAGEIFS(TBA_Matches_All[AampT],TBA_Matches_All[Team],TBA_Rankings[[#This Row],[Team]],TBA_Matches_All[Scouted],"&gt;0")+AVERAGEIFS(TBA_Matches_All[TampT],TBA_Matches_All[Team],TBA_Rankings[[#This Row],[Team]],TBA_Matches_All[Scouted],"&gt;0")),0)</f>
        <v>1.1666666666666667</v>
      </c>
      <c r="J26" s="59">
        <f>IFERROR(TBA_Rankings[[#This Row],[aveampT]]/TBA_Rankings[[#This Row],[aveampA]],0)</f>
        <v>0.53846153846153855</v>
      </c>
      <c r="K26" s="66">
        <f>IFERROR(SUM(AVERAGEIFS(TBA_Matches_All[Aspkr],TBA_Matches_All[Team],TBA_Rankings[[#This Row],[Team]],TBA_Matches_All[Scouted],"&gt;0")+AVERAGEIFS(TBA_Matches_All[Tspkr],TBA_Matches_All[Team],TBA_Rankings[[#This Row],[Team]],TBA_Matches_All[Scouted],"&gt;0")),0)</f>
        <v>10</v>
      </c>
      <c r="L26" s="66">
        <f>IFERROR(SUM(AVERAGEIFS(TBA_Matches_All[AspkrT],TBA_Matches_All[Team],TBA_Rankings[[#This Row],[Team]],TBA_Matches_All[Scouted],"&gt;0")+AVERAGEIFS(TBA_Matches_All[TspkrT],TBA_Matches_All[Team],TBA_Rankings[[#This Row],[Team]],TBA_Matches_All[Scouted],"&gt;0")),0)</f>
        <v>4.1666666666666661</v>
      </c>
      <c r="M26" s="59">
        <f>IFERROR(TBA_Rankings[[#This Row],[avespkrT]]/TBA_Rankings[[#This Row],[avespkrA]],0)</f>
        <v>0.41666666666666663</v>
      </c>
      <c r="N26" s="66">
        <f>IFERROR(AVERAGEIFS(TBA_Matches_All[Trap],TBA_Matches_All[Team],TBA_Rankings[[#This Row],[Team]],TBA_Matches_All[Scouted],"&gt;0"),0)</f>
        <v>0.16666666666666666</v>
      </c>
      <c r="O26" s="66">
        <f>IFERROR(SUM(AVERAGEIFS(TBA_Matches_All[AtrapT],TBA_Matches_All[Team],TBA_Rankings[[#This Row],[Team]],TBA_Matches_All[Scouted],"&gt;0")+AVERAGEIFS(TBA_Matches_All[TtrapT],TBA_Matches_All[Team],TBA_Rankings[[#This Row],[Team]],TBA_Matches_All[Scouted],"&gt;0")),0)</f>
        <v>0</v>
      </c>
      <c r="P26" s="59">
        <f>IFERROR(TBA_Rankings[[#This Row],[avetrapT]]/TBA_Rankings[[#This Row],[avetrapA]],0)</f>
        <v>0</v>
      </c>
      <c r="Q26" s="66">
        <f>IFERROR(AVERAGEIFS(TBA_Matches_All[TotNotes],TBA_Matches_All[Team],TBA_Rankings[[#This Row],[Team]],TBA_Matches_All[Scouted],"&gt;0"),0)</f>
        <v>12.166666666666666</v>
      </c>
      <c r="R26" s="66">
        <f>IFERROR(AVERAGEIFS(TBA_Matches_All[TotNotesT],TBA_Matches_All[Team],TBA_Rankings[[#This Row],[Team]],TBA_Matches_All[Scouted],"&gt;0"),0)</f>
        <v>5.333333333333333</v>
      </c>
      <c r="S26" s="59">
        <f>IFERROR(TBA_Rankings[[#This Row],[avenotesT]]/TBA_Rankings[[#This Row],[avenotesA]],0)</f>
        <v>0.43835616438356162</v>
      </c>
      <c r="T26" s="66">
        <f>IFERROR(AVERAGEIFS(TBA_Matches_All[StagePts],TBA_Matches_All[Team],TBA_Rankings[[#This Row],[Team]],TBA_Matches_All[Scouted],"&gt;0"),0)</f>
        <v>6</v>
      </c>
      <c r="U26" s="66">
        <f>IFERROR(AVERAGEIFS(TBA_Matches_All[stageptsT],TBA_Matches_All[Team],TBA_Rankings[[#This Row],[Team]],TBA_Matches_All[Scouted],"&gt;0"),0)</f>
        <v>2.1666666666666665</v>
      </c>
      <c r="V26" s="59">
        <f>IFERROR(TBA_Rankings[[#This Row],[avestageT]]/TBA_Rankings[[#This Row],[avestageA]],0)</f>
        <v>0.3611111111111111</v>
      </c>
      <c r="W26" s="66">
        <f>IFERROR(AVERAGEIFS(TBA_Matches_All[AampT],TBA_Matches_All[Team],TBA_Rankings[[#This Row],[Team]],TBA_Matches_All[Scouted],"&gt;0"),0)</f>
        <v>0</v>
      </c>
      <c r="X26" s="66">
        <f>IFERROR(AVERAGEIFS(TBA_Matches_All[AspkrT],TBA_Matches_All[Team],TBA_Rankings[[#This Row],[Team]],TBA_Matches_All[Scouted],"&gt;0"),0)</f>
        <v>0.5</v>
      </c>
      <c r="Y26" s="66">
        <f>IFERROR(AVERAGEIFS(TBA_Matches_All[AtrapT],TBA_Matches_All[Team],TBA_Rankings[[#This Row],[Team]],TBA_Matches_All[Scouted],"&gt;0"),0)</f>
        <v>0</v>
      </c>
      <c r="Z26" s="66">
        <f>IFERROR(AVERAGEIFS(TBA_Matches_All[TampT],TBA_Matches_All[Team],TBA_Rankings[[#This Row],[Team]],TBA_Matches_All[Scouted],"&gt;0"),0)</f>
        <v>1.1666666666666667</v>
      </c>
      <c r="AA26" s="66">
        <f>IFERROR(AVERAGEIFS(TBA_Matches_All[TspkrT],TBA_Matches_All[Team],TBA_Rankings[[#This Row],[Team]],TBA_Matches_All[Scouted],"&gt;0"),0)</f>
        <v>3.6666666666666665</v>
      </c>
      <c r="AB26" s="66">
        <f>IFERROR(AVERAGEIFS(TBA_Matches_All[TtrapT],TBA_Matches_All[Team],TBA_Rankings[[#This Row],[Team]],TBA_Matches_All[Scouted],"&gt;0"),0)</f>
        <v>0</v>
      </c>
      <c r="AC26" s="66">
        <f>IFERROR(AVERAGEIFS(TBA_Matches_All[ATTNDDiff],TBA_Matches_All[Team],TBA_Rankings[[#This Row],[Team]],TBA_Matches_All[Defense],3,TBA_Matches_All[Scouted],"&gt;0"),0)</f>
        <v>0</v>
      </c>
      <c r="AD26" s="66">
        <f>IFERROR(AVERAGEIFS(TBA_Matches_All[ATTNDDiff],TBA_Matches_All[Team],TBA_Rankings[[#This Row],[Team]],TBA_Matches_All[Defense],2,TBA_Matches_All[Scouted],"&gt;0"),0)</f>
        <v>-4.0153846153846171</v>
      </c>
      <c r="AE26" s="66">
        <f>IFERROR(AVERAGEIFS(TBA_Matches_All[ATTNDDiff],TBA_Matches_All[Team],TBA_Rankings[[#This Row],[Team]],TBA_Matches_All[Defense],1,TBA_Matches_All[Scouted],"&gt;0"),0)</f>
        <v>3.184615384615384</v>
      </c>
      <c r="AF26" s="66">
        <f>IFERROR(AVERAGEIFS(TBA_Matches_All[ATTNDDiff],TBA_Matches_All[Team],TBA_Rankings[[#This Row],[Team]],TBA_Matches_All[Defense],0,TBA_Matches_All[Scouted],"&gt;0"),0)</f>
        <v>0.20769230769230695</v>
      </c>
      <c r="AG26" s="66">
        <f>IFERROR(AVERAGEIFS(TBA_Matches_All[ATTNDDiff],TBA_Matches_All[Team],TBA_Rankings[[#This Row],[Team]],TBA_Matches_All[Avoid],3,TBA_Matches_All[Scouted],"&gt;0"),0)</f>
        <v>-6.4153846153846157</v>
      </c>
      <c r="AH26" s="66">
        <f>IFERROR(AVERAGEIFS(TBA_Matches_All[ATTNDDiff],TBA_Matches_All[Team],TBA_Rankings[[#This Row],[Team]],TBA_Matches_All[Avoid],2,TBA_Matches_All[Scouted],"&gt;0"),0)</f>
        <v>0</v>
      </c>
      <c r="AI26" s="66">
        <f>IFERROR(AVERAGEIFS(TBA_Matches_All[ATTNDDiff],TBA_Matches_All[Team],TBA_Rankings[[#This Row],[Team]],TBA_Matches_All[Avoid],1,TBA_Matches_All[Scouted],"&gt;0"),0)</f>
        <v>-4.0153846153846171</v>
      </c>
      <c r="AJ26" s="66">
        <f>IFERROR(AVERAGEIFS(TBA_Matches_All[ATTNDDiff],TBA_Matches_All[Team],TBA_Rankings[[#This Row],[Team]],TBA_Matches_All[Avoid],0,TBA_Matches_All[Scouted],"&gt;0"),0)</f>
        <v>2.6076923076923069</v>
      </c>
    </row>
    <row r="27" spans="1:36" x14ac:dyDescent="0.3">
      <c r="A27" t="s">
        <v>1419</v>
      </c>
      <c r="B27" s="1">
        <v>29</v>
      </c>
      <c r="C27" t="s">
        <v>367</v>
      </c>
      <c r="D27" s="1">
        <v>490</v>
      </c>
      <c r="E27" s="66">
        <f>IFERROR(AVERAGEIFS(TBA_Matches_All[Score], TBA_Matches_All[Team],TBA_Rankings[[#This Row],[Team]],TBA_Matches_All[Scouted],"&gt;0"),0)</f>
        <v>53.166666666666664</v>
      </c>
      <c r="F27" s="66">
        <f>IFERROR(AVERAGEIFS(TBA_Matches_All[TotptsC], TBA_Matches_All[Team],TBA_Rankings[[#This Row],[Team]],TBA_Matches_All[Scouted],"&gt;0"),0)</f>
        <v>15.03888888888889</v>
      </c>
      <c r="G27" s="59">
        <f>IFERROR(TBA_Rankings[[#This Row],[avescoreT]]/TBA_Rankings[[#This Row],[avescoreA]],0)</f>
        <v>0.28286311389759666</v>
      </c>
      <c r="H27" s="66">
        <f>IFERROR(SUM(AVERAGEIFS(TBA_Matches_All[Aamp],TBA_Matches_All[Team],TBA_Rankings[[#This Row],[Team]],TBA_Matches_All[Scouted],"&gt;0")+AVERAGEIFS(TBA_Matches_All[Tamp],TBA_Matches_All[Team],TBA_Rankings[[#This Row],[Team]],TBA_Matches_All[Scouted],"&gt;0")),0)</f>
        <v>2.8333333333333335</v>
      </c>
      <c r="I27" s="66">
        <f>IFERROR(SUM(AVERAGEIFS(TBA_Matches_All[AampT],TBA_Matches_All[Team],TBA_Rankings[[#This Row],[Team]],TBA_Matches_All[Scouted],"&gt;0")+AVERAGEIFS(TBA_Matches_All[TampT],TBA_Matches_All[Team],TBA_Rankings[[#This Row],[Team]],TBA_Matches_All[Scouted],"&gt;0")),0)</f>
        <v>0.33333333333333331</v>
      </c>
      <c r="J27" s="59">
        <f>IFERROR(TBA_Rankings[[#This Row],[aveampT]]/TBA_Rankings[[#This Row],[aveampA]],0)</f>
        <v>0.1176470588235294</v>
      </c>
      <c r="K27" s="66">
        <f>IFERROR(SUM(AVERAGEIFS(TBA_Matches_All[Aspkr],TBA_Matches_All[Team],TBA_Rankings[[#This Row],[Team]],TBA_Matches_All[Scouted],"&gt;0")+AVERAGEIFS(TBA_Matches_All[Tspkr],TBA_Matches_All[Team],TBA_Rankings[[#This Row],[Team]],TBA_Matches_All[Scouted],"&gt;0")),0)</f>
        <v>11.5</v>
      </c>
      <c r="L27" s="66">
        <f>IFERROR(SUM(AVERAGEIFS(TBA_Matches_All[AspkrT],TBA_Matches_All[Team],TBA_Rankings[[#This Row],[Team]],TBA_Matches_All[Scouted],"&gt;0")+AVERAGEIFS(TBA_Matches_All[TspkrT],TBA_Matches_All[Team],TBA_Rankings[[#This Row],[Team]],TBA_Matches_All[Scouted],"&gt;0")),0)</f>
        <v>4</v>
      </c>
      <c r="M27" s="59">
        <f>IFERROR(TBA_Rankings[[#This Row],[avespkrT]]/TBA_Rankings[[#This Row],[avespkrA]],0)</f>
        <v>0.34782608695652173</v>
      </c>
      <c r="N27" s="66">
        <f>IFERROR(AVERAGEIFS(TBA_Matches_All[Trap],TBA_Matches_All[Team],TBA_Rankings[[#This Row],[Team]],TBA_Matches_All[Scouted],"&gt;0"),0)</f>
        <v>0</v>
      </c>
      <c r="O27" s="66">
        <f>IFERROR(SUM(AVERAGEIFS(TBA_Matches_All[AtrapT],TBA_Matches_All[Team],TBA_Rankings[[#This Row],[Team]],TBA_Matches_All[Scouted],"&gt;0")+AVERAGEIFS(TBA_Matches_All[TtrapT],TBA_Matches_All[Team],TBA_Rankings[[#This Row],[Team]],TBA_Matches_All[Scouted],"&gt;0")),0)</f>
        <v>0</v>
      </c>
      <c r="P27" s="59">
        <f>IFERROR(TBA_Rankings[[#This Row],[avetrapT]]/TBA_Rankings[[#This Row],[avetrapA]],0)</f>
        <v>0</v>
      </c>
      <c r="Q27" s="66">
        <f>IFERROR(AVERAGEIFS(TBA_Matches_All[TotNotes],TBA_Matches_All[Team],TBA_Rankings[[#This Row],[Team]],TBA_Matches_All[Scouted],"&gt;0"),0)</f>
        <v>14.333333333333334</v>
      </c>
      <c r="R27" s="66">
        <f>IFERROR(AVERAGEIFS(TBA_Matches_All[TotNotesT],TBA_Matches_All[Team],TBA_Rankings[[#This Row],[Team]],TBA_Matches_All[Scouted],"&gt;0"),0)</f>
        <v>4.333333333333333</v>
      </c>
      <c r="S27" s="59">
        <f>IFERROR(TBA_Rankings[[#This Row],[avenotesT]]/TBA_Rankings[[#This Row],[avenotesA]],0)</f>
        <v>0.30232558139534882</v>
      </c>
      <c r="T27" s="66">
        <f>IFERROR(AVERAGEIFS(TBA_Matches_All[StagePts],TBA_Matches_All[Team],TBA_Rankings[[#This Row],[Team]],TBA_Matches_All[Scouted],"&gt;0"),0)</f>
        <v>5.333333333333333</v>
      </c>
      <c r="U27" s="66">
        <f>IFERROR(AVERAGEIFS(TBA_Matches_All[stageptsT],TBA_Matches_All[Team],TBA_Rankings[[#This Row],[Team]],TBA_Matches_All[Scouted],"&gt;0"),0)</f>
        <v>2.6666666666666665</v>
      </c>
      <c r="V27" s="59">
        <f>IFERROR(TBA_Rankings[[#This Row],[avestageT]]/TBA_Rankings[[#This Row],[avestageA]],0)</f>
        <v>0.5</v>
      </c>
      <c r="W27" s="66">
        <f>IFERROR(AVERAGEIFS(TBA_Matches_All[AampT],TBA_Matches_All[Team],TBA_Rankings[[#This Row],[Team]],TBA_Matches_All[Scouted],"&gt;0"),0)</f>
        <v>0</v>
      </c>
      <c r="X27" s="66">
        <f>IFERROR(AVERAGEIFS(TBA_Matches_All[AspkrT],TBA_Matches_All[Team],TBA_Rankings[[#This Row],[Team]],TBA_Matches_All[Scouted],"&gt;0"),0)</f>
        <v>0.66666666666666663</v>
      </c>
      <c r="Y27" s="66">
        <f>IFERROR(AVERAGEIFS(TBA_Matches_All[AtrapT],TBA_Matches_All[Team],TBA_Rankings[[#This Row],[Team]],TBA_Matches_All[Scouted],"&gt;0"),0)</f>
        <v>0</v>
      </c>
      <c r="Z27" s="66">
        <f>IFERROR(AVERAGEIFS(TBA_Matches_All[TampT],TBA_Matches_All[Team],TBA_Rankings[[#This Row],[Team]],TBA_Matches_All[Scouted],"&gt;0"),0)</f>
        <v>0.33333333333333331</v>
      </c>
      <c r="AA27" s="66">
        <f>IFERROR(AVERAGEIFS(TBA_Matches_All[TspkrT],TBA_Matches_All[Team],TBA_Rankings[[#This Row],[Team]],TBA_Matches_All[Scouted],"&gt;0"),0)</f>
        <v>3.3333333333333335</v>
      </c>
      <c r="AB27" s="66">
        <f>IFERROR(AVERAGEIFS(TBA_Matches_All[TtrapT],TBA_Matches_All[Team],TBA_Rankings[[#This Row],[Team]],TBA_Matches_All[Scouted],"&gt;0"),0)</f>
        <v>0</v>
      </c>
      <c r="AC27" s="66">
        <f>IFERROR(AVERAGEIFS(TBA_Matches_All[ATTNDDiff],TBA_Matches_All[Team],TBA_Rankings[[#This Row],[Team]],TBA_Matches_All[Defense],3,TBA_Matches_All[Scouted],"&gt;0"),0)</f>
        <v>0</v>
      </c>
      <c r="AD27" s="66">
        <f>IFERROR(AVERAGEIFS(TBA_Matches_All[ATTNDDiff],TBA_Matches_All[Team],TBA_Rankings[[#This Row],[Team]],TBA_Matches_All[Defense],2,TBA_Matches_All[Scouted],"&gt;0"),0)</f>
        <v>-10.446666666666667</v>
      </c>
      <c r="AE27" s="66">
        <f>IFERROR(AVERAGEIFS(TBA_Matches_All[ATTNDDiff],TBA_Matches_All[Team],TBA_Rankings[[#This Row],[Team]],TBA_Matches_All[Defense],1,TBA_Matches_All[Scouted],"&gt;0"),0)</f>
        <v>0</v>
      </c>
      <c r="AF27" s="66">
        <f>IFERROR(AVERAGEIFS(TBA_Matches_All[ATTNDDiff],TBA_Matches_All[Team],TBA_Rankings[[#This Row],[Team]],TBA_Matches_All[Defense],0,TBA_Matches_All[Scouted],"&gt;0"),0)</f>
        <v>2.0893333333333333</v>
      </c>
      <c r="AG27" s="66">
        <f>IFERROR(AVERAGEIFS(TBA_Matches_All[ATTNDDiff],TBA_Matches_All[Team],TBA_Rankings[[#This Row],[Team]],TBA_Matches_All[Avoid],3,TBA_Matches_All[Scouted],"&gt;0"),0)</f>
        <v>0</v>
      </c>
      <c r="AH27" s="66">
        <f>IFERROR(AVERAGEIFS(TBA_Matches_All[ATTNDDiff],TBA_Matches_All[Team],TBA_Rankings[[#This Row],[Team]],TBA_Matches_All[Avoid],2,TBA_Matches_All[Scouted],"&gt;0"),0)</f>
        <v>-2.1666666666666687</v>
      </c>
      <c r="AI27" s="66">
        <f>IFERROR(AVERAGEIFS(TBA_Matches_All[ATTNDDiff],TBA_Matches_All[Team],TBA_Rankings[[#This Row],[Team]],TBA_Matches_All[Avoid],1,TBA_Matches_All[Scouted],"&gt;0"),0)</f>
        <v>9.5533333333333346</v>
      </c>
      <c r="AJ27" s="66">
        <f>IFERROR(AVERAGEIFS(TBA_Matches_All[ATTNDDiff],TBA_Matches_All[Team],TBA_Rankings[[#This Row],[Team]],TBA_Matches_All[Avoid],0,TBA_Matches_All[Scouted],"&gt;0"),0)</f>
        <v>-1.8466666666666667</v>
      </c>
    </row>
    <row r="28" spans="1:36" x14ac:dyDescent="0.3">
      <c r="A28" t="s">
        <v>1419</v>
      </c>
      <c r="B28" s="1">
        <v>49</v>
      </c>
      <c r="C28" t="s">
        <v>1290</v>
      </c>
      <c r="D28" s="1">
        <v>196</v>
      </c>
      <c r="E28" s="66">
        <f>IFERROR(AVERAGEIFS(TBA_Matches_All[Score], TBA_Matches_All[Team],TBA_Rankings[[#This Row],[Team]],TBA_Matches_All[Scouted],"&gt;0"),0)</f>
        <v>48.166666666666664</v>
      </c>
      <c r="F28" s="66">
        <f>IFERROR(AVERAGEIFS(TBA_Matches_All[TotptsC], TBA_Matches_All[Team],TBA_Rankings[[#This Row],[Team]],TBA_Matches_All[Scouted],"&gt;0"),0)</f>
        <v>15.727272727272727</v>
      </c>
      <c r="G28" s="59">
        <f>IFERROR(TBA_Rankings[[#This Row],[avescoreT]]/TBA_Rankings[[#This Row],[avescoreA]],0)</f>
        <v>0.32651777288455491</v>
      </c>
      <c r="H28" s="66">
        <f>IFERROR(SUM(AVERAGEIFS(TBA_Matches_All[Aamp],TBA_Matches_All[Team],TBA_Rankings[[#This Row],[Team]],TBA_Matches_All[Scouted],"&gt;0")+AVERAGEIFS(TBA_Matches_All[Tamp],TBA_Matches_All[Team],TBA_Rankings[[#This Row],[Team]],TBA_Matches_All[Scouted],"&gt;0")),0)</f>
        <v>2.3333333333333335</v>
      </c>
      <c r="I28" s="66">
        <f>IFERROR(SUM(AVERAGEIFS(TBA_Matches_All[AampT],TBA_Matches_All[Team],TBA_Rankings[[#This Row],[Team]],TBA_Matches_All[Scouted],"&gt;0")+AVERAGEIFS(TBA_Matches_All[TampT],TBA_Matches_All[Team],TBA_Rankings[[#This Row],[Team]],TBA_Matches_All[Scouted],"&gt;0")),0)</f>
        <v>0</v>
      </c>
      <c r="J28" s="59">
        <f>IFERROR(TBA_Rankings[[#This Row],[aveampT]]/TBA_Rankings[[#This Row],[aveampA]],0)</f>
        <v>0</v>
      </c>
      <c r="K28" s="66">
        <f>IFERROR(SUM(AVERAGEIFS(TBA_Matches_All[Aspkr],TBA_Matches_All[Team],TBA_Rankings[[#This Row],[Team]],TBA_Matches_All[Scouted],"&gt;0")+AVERAGEIFS(TBA_Matches_All[Tspkr],TBA_Matches_All[Team],TBA_Rankings[[#This Row],[Team]],TBA_Matches_All[Scouted],"&gt;0")),0)</f>
        <v>9.5</v>
      </c>
      <c r="L28" s="66">
        <f>IFERROR(SUM(AVERAGEIFS(TBA_Matches_All[AspkrT],TBA_Matches_All[Team],TBA_Rankings[[#This Row],[Team]],TBA_Matches_All[Scouted],"&gt;0")+AVERAGEIFS(TBA_Matches_All[TspkrT],TBA_Matches_All[Team],TBA_Rankings[[#This Row],[Team]],TBA_Matches_All[Scouted],"&gt;0")),0)</f>
        <v>4</v>
      </c>
      <c r="M28" s="59">
        <f>IFERROR(TBA_Rankings[[#This Row],[avespkrT]]/TBA_Rankings[[#This Row],[avespkrA]],0)</f>
        <v>0.42105263157894735</v>
      </c>
      <c r="N28" s="66">
        <f>IFERROR(AVERAGEIFS(TBA_Matches_All[Trap],TBA_Matches_All[Team],TBA_Rankings[[#This Row],[Team]],TBA_Matches_All[Scouted],"&gt;0"),0)</f>
        <v>0</v>
      </c>
      <c r="O28" s="66">
        <f>IFERROR(SUM(AVERAGEIFS(TBA_Matches_All[AtrapT],TBA_Matches_All[Team],TBA_Rankings[[#This Row],[Team]],TBA_Matches_All[Scouted],"&gt;0")+AVERAGEIFS(TBA_Matches_All[TtrapT],TBA_Matches_All[Team],TBA_Rankings[[#This Row],[Team]],TBA_Matches_All[Scouted],"&gt;0")),0)</f>
        <v>0</v>
      </c>
      <c r="P28" s="59">
        <f>IFERROR(TBA_Rankings[[#This Row],[avetrapT]]/TBA_Rankings[[#This Row],[avetrapA]],0)</f>
        <v>0</v>
      </c>
      <c r="Q28" s="66">
        <f>IFERROR(AVERAGEIFS(TBA_Matches_All[TotNotes],TBA_Matches_All[Team],TBA_Rankings[[#This Row],[Team]],TBA_Matches_All[Scouted],"&gt;0"),0)</f>
        <v>11.833333333333334</v>
      </c>
      <c r="R28" s="66">
        <f>IFERROR(AVERAGEIFS(TBA_Matches_All[TotNotesT],TBA_Matches_All[Team],TBA_Rankings[[#This Row],[Team]],TBA_Matches_All[Scouted],"&gt;0"),0)</f>
        <v>4</v>
      </c>
      <c r="S28" s="59">
        <f>IFERROR(TBA_Rankings[[#This Row],[avenotesT]]/TBA_Rankings[[#This Row],[avenotesA]],0)</f>
        <v>0.3380281690140845</v>
      </c>
      <c r="T28" s="66">
        <f>IFERROR(AVERAGEIFS(TBA_Matches_All[StagePts],TBA_Matches_All[Team],TBA_Rankings[[#This Row],[Team]],TBA_Matches_All[Scouted],"&gt;0"),0)</f>
        <v>3.8333333333333335</v>
      </c>
      <c r="U28" s="66">
        <f>IFERROR(AVERAGEIFS(TBA_Matches_All[stageptsT],TBA_Matches_All[Team],TBA_Rankings[[#This Row],[Team]],TBA_Matches_All[Scouted],"&gt;0"),0)</f>
        <v>1.5</v>
      </c>
      <c r="V28" s="59">
        <f>IFERROR(TBA_Rankings[[#This Row],[avestageT]]/TBA_Rankings[[#This Row],[avestageA]],0)</f>
        <v>0.39130434782608692</v>
      </c>
      <c r="W28" s="66">
        <f>IFERROR(AVERAGEIFS(TBA_Matches_All[AampT],TBA_Matches_All[Team],TBA_Rankings[[#This Row],[Team]],TBA_Matches_All[Scouted],"&gt;0"),0)</f>
        <v>0</v>
      </c>
      <c r="X28" s="66">
        <f>IFERROR(AVERAGEIFS(TBA_Matches_All[AspkrT],TBA_Matches_All[Team],TBA_Rankings[[#This Row],[Team]],TBA_Matches_All[Scouted],"&gt;0"),0)</f>
        <v>1.1666666666666667</v>
      </c>
      <c r="Y28" s="66">
        <f>IFERROR(AVERAGEIFS(TBA_Matches_All[AtrapT],TBA_Matches_All[Team],TBA_Rankings[[#This Row],[Team]],TBA_Matches_All[Scouted],"&gt;0"),0)</f>
        <v>0</v>
      </c>
      <c r="Z28" s="66">
        <f>IFERROR(AVERAGEIFS(TBA_Matches_All[TampT],TBA_Matches_All[Team],TBA_Rankings[[#This Row],[Team]],TBA_Matches_All[Scouted],"&gt;0"),0)</f>
        <v>0</v>
      </c>
      <c r="AA28" s="66">
        <f>IFERROR(AVERAGEIFS(TBA_Matches_All[TspkrT],TBA_Matches_All[Team],TBA_Rankings[[#This Row],[Team]],TBA_Matches_All[Scouted],"&gt;0"),0)</f>
        <v>2.8333333333333335</v>
      </c>
      <c r="AB28" s="66">
        <f>IFERROR(AVERAGEIFS(TBA_Matches_All[TtrapT],TBA_Matches_All[Team],TBA_Rankings[[#This Row],[Team]],TBA_Matches_All[Scouted],"&gt;0"),0)</f>
        <v>0</v>
      </c>
      <c r="AC28" s="66">
        <f>IFERROR(AVERAGEIFS(TBA_Matches_All[ATTNDDiff],TBA_Matches_All[Team],TBA_Rankings[[#This Row],[Team]],TBA_Matches_All[Defense],3,TBA_Matches_All[Scouted],"&gt;0"),0)</f>
        <v>0</v>
      </c>
      <c r="AD28" s="66">
        <f>IFERROR(AVERAGEIFS(TBA_Matches_All[ATTNDDiff],TBA_Matches_All[Team],TBA_Rankings[[#This Row],[Team]],TBA_Matches_All[Defense],2,TBA_Matches_All[Scouted],"&gt;0"),0)</f>
        <v>0</v>
      </c>
      <c r="AE28" s="66">
        <f>IFERROR(AVERAGEIFS(TBA_Matches_All[ATTNDDiff],TBA_Matches_All[Team],TBA_Rankings[[#This Row],[Team]],TBA_Matches_All[Defense],1,TBA_Matches_All[Scouted],"&gt;0"),0)</f>
        <v>-1.272727272727272</v>
      </c>
      <c r="AF28" s="66">
        <f>IFERROR(AVERAGEIFS(TBA_Matches_All[ATTNDDiff],TBA_Matches_All[Team],TBA_Rankings[[#This Row],[Team]],TBA_Matches_All[Defense],0,TBA_Matches_All[Scouted],"&gt;0"),0)</f>
        <v>0.63636363636363691</v>
      </c>
      <c r="AG28" s="66">
        <f>IFERROR(AVERAGEIFS(TBA_Matches_All[ATTNDDiff],TBA_Matches_All[Team],TBA_Rankings[[#This Row],[Team]],TBA_Matches_All[Avoid],3,TBA_Matches_All[Scouted],"&gt;0"),0)</f>
        <v>0</v>
      </c>
      <c r="AH28" s="66">
        <f>IFERROR(AVERAGEIFS(TBA_Matches_All[ATTNDDiff],TBA_Matches_All[Team],TBA_Rankings[[#This Row],[Team]],TBA_Matches_All[Avoid],2,TBA_Matches_All[Scouted],"&gt;0"),0)</f>
        <v>0</v>
      </c>
      <c r="AI28" s="66">
        <f>IFERROR(AVERAGEIFS(TBA_Matches_All[ATTNDDiff],TBA_Matches_All[Team],TBA_Rankings[[#This Row],[Team]],TBA_Matches_All[Avoid],1,TBA_Matches_All[Scouted],"&gt;0"),0)</f>
        <v>2.327272727272728</v>
      </c>
      <c r="AJ28" s="66">
        <f>IFERROR(AVERAGEIFS(TBA_Matches_All[ATTNDDiff],TBA_Matches_All[Team],TBA_Rankings[[#This Row],[Team]],TBA_Matches_All[Avoid],0,TBA_Matches_All[Scouted],"&gt;0"),0)</f>
        <v>-0.4654545454545449</v>
      </c>
    </row>
    <row r="29" spans="1:36" x14ac:dyDescent="0.3">
      <c r="A29" t="s">
        <v>1419</v>
      </c>
      <c r="B29" s="1">
        <v>15</v>
      </c>
      <c r="C29" t="s">
        <v>372</v>
      </c>
      <c r="D29" s="1">
        <v>432</v>
      </c>
      <c r="E29" s="66">
        <f>IFERROR(AVERAGEIFS(TBA_Matches_All[Score], TBA_Matches_All[Team],TBA_Rankings[[#This Row],[Team]],TBA_Matches_All[Scouted],"&gt;0"),0)</f>
        <v>55.4</v>
      </c>
      <c r="F29" s="66">
        <f>IFERROR(AVERAGEIFS(TBA_Matches_All[TotptsC], TBA_Matches_All[Team],TBA_Rankings[[#This Row],[Team]],TBA_Matches_All[Scouted],"&gt;0"),0)</f>
        <v>20.607142857142854</v>
      </c>
      <c r="G29" s="59">
        <f>IFERROR(TBA_Rankings[[#This Row],[avescoreT]]/TBA_Rankings[[#This Row],[avescoreA]],0)</f>
        <v>0.37197008767405876</v>
      </c>
      <c r="H29" s="66">
        <f>IFERROR(SUM(AVERAGEIFS(TBA_Matches_All[Aamp],TBA_Matches_All[Team],TBA_Rankings[[#This Row],[Team]],TBA_Matches_All[Scouted],"&gt;0")+AVERAGEIFS(TBA_Matches_All[Tamp],TBA_Matches_All[Team],TBA_Rankings[[#This Row],[Team]],TBA_Matches_All[Scouted],"&gt;0")),0)</f>
        <v>3.2</v>
      </c>
      <c r="I29" s="66">
        <f>IFERROR(SUM(AVERAGEIFS(TBA_Matches_All[AampT],TBA_Matches_All[Team],TBA_Rankings[[#This Row],[Team]],TBA_Matches_All[Scouted],"&gt;0")+AVERAGEIFS(TBA_Matches_All[TampT],TBA_Matches_All[Team],TBA_Rankings[[#This Row],[Team]],TBA_Matches_All[Scouted],"&gt;0")),0)</f>
        <v>2.6</v>
      </c>
      <c r="J29" s="59">
        <f>IFERROR(TBA_Rankings[[#This Row],[aveampT]]/TBA_Rankings[[#This Row],[aveampA]],0)</f>
        <v>0.8125</v>
      </c>
      <c r="K29" s="66">
        <f>IFERROR(SUM(AVERAGEIFS(TBA_Matches_All[Aspkr],TBA_Matches_All[Team],TBA_Rankings[[#This Row],[Team]],TBA_Matches_All[Scouted],"&gt;0")+AVERAGEIFS(TBA_Matches_All[Tspkr],TBA_Matches_All[Team],TBA_Rankings[[#This Row],[Team]],TBA_Matches_All[Scouted],"&gt;0")),0)</f>
        <v>11.6</v>
      </c>
      <c r="L29" s="66">
        <f>IFERROR(SUM(AVERAGEIFS(TBA_Matches_All[AspkrT],TBA_Matches_All[Team],TBA_Rankings[[#This Row],[Team]],TBA_Matches_All[Scouted],"&gt;0")+AVERAGEIFS(TBA_Matches_All[TspkrT],TBA_Matches_All[Team],TBA_Rankings[[#This Row],[Team]],TBA_Matches_All[Scouted],"&gt;0")),0)</f>
        <v>3.8</v>
      </c>
      <c r="M29" s="59">
        <f>IFERROR(TBA_Rankings[[#This Row],[avespkrT]]/TBA_Rankings[[#This Row],[avespkrA]],0)</f>
        <v>0.32758620689655171</v>
      </c>
      <c r="N29" s="66">
        <f>IFERROR(AVERAGEIFS(TBA_Matches_All[Trap],TBA_Matches_All[Team],TBA_Rankings[[#This Row],[Team]],TBA_Matches_All[Scouted],"&gt;0"),0)</f>
        <v>0</v>
      </c>
      <c r="O29" s="66">
        <f>IFERROR(SUM(AVERAGEIFS(TBA_Matches_All[AtrapT],TBA_Matches_All[Team],TBA_Rankings[[#This Row],[Team]],TBA_Matches_All[Scouted],"&gt;0")+AVERAGEIFS(TBA_Matches_All[TtrapT],TBA_Matches_All[Team],TBA_Rankings[[#This Row],[Team]],TBA_Matches_All[Scouted],"&gt;0")),0)</f>
        <v>0.2</v>
      </c>
      <c r="P29" s="59">
        <f>IFERROR(TBA_Rankings[[#This Row],[avetrapT]]/TBA_Rankings[[#This Row],[avetrapA]],0)</f>
        <v>0</v>
      </c>
      <c r="Q29" s="66">
        <f>IFERROR(AVERAGEIFS(TBA_Matches_All[TotNotes],TBA_Matches_All[Team],TBA_Rankings[[#This Row],[Team]],TBA_Matches_All[Scouted],"&gt;0"),0)</f>
        <v>14.8</v>
      </c>
      <c r="R29" s="66">
        <f>IFERROR(AVERAGEIFS(TBA_Matches_All[TotNotesT],TBA_Matches_All[Team],TBA_Rankings[[#This Row],[Team]],TBA_Matches_All[Scouted],"&gt;0"),0)</f>
        <v>6.6</v>
      </c>
      <c r="S29" s="59">
        <f>IFERROR(TBA_Rankings[[#This Row],[avenotesT]]/TBA_Rankings[[#This Row],[avenotesA]],0)</f>
        <v>0.44594594594594589</v>
      </c>
      <c r="T29" s="66">
        <f>IFERROR(AVERAGEIFS(TBA_Matches_All[StagePts],TBA_Matches_All[Team],TBA_Rankings[[#This Row],[Team]],TBA_Matches_All[Scouted],"&gt;0"),0)</f>
        <v>5.2</v>
      </c>
      <c r="U29" s="66">
        <f>IFERROR(AVERAGEIFS(TBA_Matches_All[stageptsT],TBA_Matches_All[Team],TBA_Rankings[[#This Row],[Team]],TBA_Matches_All[Scouted],"&gt;0"),0)</f>
        <v>2.4</v>
      </c>
      <c r="V29" s="59">
        <f>IFERROR(TBA_Rankings[[#This Row],[avestageT]]/TBA_Rankings[[#This Row],[avestageA]],0)</f>
        <v>0.46153846153846151</v>
      </c>
      <c r="W29" s="66">
        <f>IFERROR(AVERAGEIFS(TBA_Matches_All[AampT],TBA_Matches_All[Team],TBA_Rankings[[#This Row],[Team]],TBA_Matches_All[Scouted],"&gt;0"),0)</f>
        <v>0.2</v>
      </c>
      <c r="X29" s="66">
        <f>IFERROR(AVERAGEIFS(TBA_Matches_All[AspkrT],TBA_Matches_All[Team],TBA_Rankings[[#This Row],[Team]],TBA_Matches_All[Scouted],"&gt;0"),0)</f>
        <v>1.2</v>
      </c>
      <c r="Y29" s="66">
        <f>IFERROR(AVERAGEIFS(TBA_Matches_All[AtrapT],TBA_Matches_All[Team],TBA_Rankings[[#This Row],[Team]],TBA_Matches_All[Scouted],"&gt;0"),0)</f>
        <v>0</v>
      </c>
      <c r="Z29" s="66">
        <f>IFERROR(AVERAGEIFS(TBA_Matches_All[TampT],TBA_Matches_All[Team],TBA_Rankings[[#This Row],[Team]],TBA_Matches_All[Scouted],"&gt;0"),0)</f>
        <v>2.4</v>
      </c>
      <c r="AA29" s="66">
        <f>IFERROR(AVERAGEIFS(TBA_Matches_All[TspkrT],TBA_Matches_All[Team],TBA_Rankings[[#This Row],[Team]],TBA_Matches_All[Scouted],"&gt;0"),0)</f>
        <v>2.6</v>
      </c>
      <c r="AB29" s="66">
        <f>IFERROR(AVERAGEIFS(TBA_Matches_All[TtrapT],TBA_Matches_All[Team],TBA_Rankings[[#This Row],[Team]],TBA_Matches_All[Scouted],"&gt;0"),0)</f>
        <v>0.2</v>
      </c>
      <c r="AC29" s="66">
        <f>IFERROR(AVERAGEIFS(TBA_Matches_All[ATTNDDiff],TBA_Matches_All[Team],TBA_Rankings[[#This Row],[Team]],TBA_Matches_All[Defense],3,TBA_Matches_All[Scouted],"&gt;0"),0)</f>
        <v>0</v>
      </c>
      <c r="AD29" s="66">
        <f>IFERROR(AVERAGEIFS(TBA_Matches_All[ATTNDDiff],TBA_Matches_All[Team],TBA_Rankings[[#This Row],[Team]],TBA_Matches_All[Defense],2,TBA_Matches_All[Scouted],"&gt;0"),0)</f>
        <v>0</v>
      </c>
      <c r="AE29" s="66">
        <f>IFERROR(AVERAGEIFS(TBA_Matches_All[ATTNDDiff],TBA_Matches_All[Team],TBA_Rankings[[#This Row],[Team]],TBA_Matches_All[Defense],1,TBA_Matches_All[Scouted],"&gt;0"),0)</f>
        <v>0</v>
      </c>
      <c r="AF29" s="66">
        <f>IFERROR(AVERAGEIFS(TBA_Matches_All[ATTNDDiff],TBA_Matches_All[Team],TBA_Rankings[[#This Row],[Team]],TBA_Matches_All[Defense],0,TBA_Matches_All[Scouted],"&gt;0"),0)</f>
        <v>0</v>
      </c>
      <c r="AG29" s="66">
        <f>IFERROR(AVERAGEIFS(TBA_Matches_All[ATTNDDiff],TBA_Matches_All[Team],TBA_Rankings[[#This Row],[Team]],TBA_Matches_All[Avoid],3,TBA_Matches_All[Scouted],"&gt;0"),0)</f>
        <v>0</v>
      </c>
      <c r="AH29" s="66">
        <f>IFERROR(AVERAGEIFS(TBA_Matches_All[ATTNDDiff],TBA_Matches_All[Team],TBA_Rankings[[#This Row],[Team]],TBA_Matches_All[Avoid],2,TBA_Matches_All[Scouted],"&gt;0"),0)</f>
        <v>-6.5089285714285712</v>
      </c>
      <c r="AI29" s="66">
        <f>IFERROR(AVERAGEIFS(TBA_Matches_All[ATTNDDiff],TBA_Matches_All[Team],TBA_Rankings[[#This Row],[Team]],TBA_Matches_All[Avoid],1,TBA_Matches_All[Scouted],"&gt;0"),0)</f>
        <v>-1.8214285714285712</v>
      </c>
      <c r="AJ29" s="66">
        <f>IFERROR(AVERAGEIFS(TBA_Matches_All[ATTNDDiff],TBA_Matches_All[Team],TBA_Rankings[[#This Row],[Team]],TBA_Matches_All[Avoid],0,TBA_Matches_All[Scouted],"&gt;0"),0)</f>
        <v>2.776785714285714</v>
      </c>
    </row>
    <row r="30" spans="1:36" x14ac:dyDescent="0.3">
      <c r="A30" t="s">
        <v>1419</v>
      </c>
      <c r="B30" s="1">
        <v>28</v>
      </c>
      <c r="C30" t="s">
        <v>1315</v>
      </c>
      <c r="D30" s="1">
        <v>324</v>
      </c>
      <c r="E30" s="66">
        <f>IFERROR(AVERAGEIFS(TBA_Matches_All[Score], TBA_Matches_All[Team],TBA_Rankings[[#This Row],[Team]],TBA_Matches_All[Scouted],"&gt;0"),0)</f>
        <v>62.333333333333336</v>
      </c>
      <c r="F30" s="66">
        <f>IFERROR(AVERAGEIFS(TBA_Matches_All[TotptsC], TBA_Matches_All[Team],TBA_Rankings[[#This Row],[Team]],TBA_Matches_All[Scouted],"&gt;0"),0)</f>
        <v>20.777777777777779</v>
      </c>
      <c r="G30" s="59">
        <f>IFERROR(TBA_Rankings[[#This Row],[avescoreT]]/TBA_Rankings[[#This Row],[avescoreA]],0)</f>
        <v>0.33333333333333331</v>
      </c>
      <c r="H30" s="66">
        <f>IFERROR(SUM(AVERAGEIFS(TBA_Matches_All[Aamp],TBA_Matches_All[Team],TBA_Rankings[[#This Row],[Team]],TBA_Matches_All[Scouted],"&gt;0")+AVERAGEIFS(TBA_Matches_All[Tamp],TBA_Matches_All[Team],TBA_Rankings[[#This Row],[Team]],TBA_Matches_All[Scouted],"&gt;0")),0)</f>
        <v>5.333333333333333</v>
      </c>
      <c r="I30" s="66">
        <f>IFERROR(SUM(AVERAGEIFS(TBA_Matches_All[AampT],TBA_Matches_All[Team],TBA_Rankings[[#This Row],[Team]],TBA_Matches_All[Scouted],"&gt;0")+AVERAGEIFS(TBA_Matches_All[TampT],TBA_Matches_All[Team],TBA_Rankings[[#This Row],[Team]],TBA_Matches_All[Scouted],"&gt;0")),0)</f>
        <v>3.1666666666666665</v>
      </c>
      <c r="J30" s="59">
        <f>IFERROR(TBA_Rankings[[#This Row],[aveampT]]/TBA_Rankings[[#This Row],[aveampA]],0)</f>
        <v>0.59375</v>
      </c>
      <c r="K30" s="66">
        <f>IFERROR(SUM(AVERAGEIFS(TBA_Matches_All[Aspkr],TBA_Matches_All[Team],TBA_Rankings[[#This Row],[Team]],TBA_Matches_All[Scouted],"&gt;0")+AVERAGEIFS(TBA_Matches_All[Tspkr],TBA_Matches_All[Team],TBA_Rankings[[#This Row],[Team]],TBA_Matches_All[Scouted],"&gt;0")),0)</f>
        <v>10.666666666666666</v>
      </c>
      <c r="L30" s="66">
        <f>IFERROR(SUM(AVERAGEIFS(TBA_Matches_All[AspkrT],TBA_Matches_All[Team],TBA_Rankings[[#This Row],[Team]],TBA_Matches_All[Scouted],"&gt;0")+AVERAGEIFS(TBA_Matches_All[TspkrT],TBA_Matches_All[Team],TBA_Rankings[[#This Row],[Team]],TBA_Matches_All[Scouted],"&gt;0")),0)</f>
        <v>3.6666666666666665</v>
      </c>
      <c r="M30" s="59">
        <f>IFERROR(TBA_Rankings[[#This Row],[avespkrT]]/TBA_Rankings[[#This Row],[avespkrA]],0)</f>
        <v>0.34375</v>
      </c>
      <c r="N30" s="66">
        <f>IFERROR(AVERAGEIFS(TBA_Matches_All[Trap],TBA_Matches_All[Team],TBA_Rankings[[#This Row],[Team]],TBA_Matches_All[Scouted],"&gt;0"),0)</f>
        <v>0</v>
      </c>
      <c r="O30" s="66">
        <f>IFERROR(SUM(AVERAGEIFS(TBA_Matches_All[AtrapT],TBA_Matches_All[Team],TBA_Rankings[[#This Row],[Team]],TBA_Matches_All[Scouted],"&gt;0")+AVERAGEIFS(TBA_Matches_All[TtrapT],TBA_Matches_All[Team],TBA_Rankings[[#This Row],[Team]],TBA_Matches_All[Scouted],"&gt;0")),0)</f>
        <v>0</v>
      </c>
      <c r="P30" s="59">
        <f>IFERROR(TBA_Rankings[[#This Row],[avetrapT]]/TBA_Rankings[[#This Row],[avetrapA]],0)</f>
        <v>0</v>
      </c>
      <c r="Q30" s="66">
        <f>IFERROR(AVERAGEIFS(TBA_Matches_All[TotNotes],TBA_Matches_All[Team],TBA_Rankings[[#This Row],[Team]],TBA_Matches_All[Scouted],"&gt;0"),0)</f>
        <v>16</v>
      </c>
      <c r="R30" s="66">
        <f>IFERROR(AVERAGEIFS(TBA_Matches_All[TotNotesT],TBA_Matches_All[Team],TBA_Rankings[[#This Row],[Team]],TBA_Matches_All[Scouted],"&gt;0"),0)</f>
        <v>6.833333333333333</v>
      </c>
      <c r="S30" s="59">
        <f>IFERROR(TBA_Rankings[[#This Row],[avenotesT]]/TBA_Rankings[[#This Row],[avenotesA]],0)</f>
        <v>0.42708333333333331</v>
      </c>
      <c r="T30" s="66">
        <f>IFERROR(AVERAGEIFS(TBA_Matches_All[StagePts],TBA_Matches_All[Team],TBA_Rankings[[#This Row],[Team]],TBA_Matches_All[Scouted],"&gt;0"),0)</f>
        <v>3.6666666666666665</v>
      </c>
      <c r="U30" s="66">
        <f>IFERROR(AVERAGEIFS(TBA_Matches_All[stageptsT],TBA_Matches_All[Team],TBA_Rankings[[#This Row],[Team]],TBA_Matches_All[Scouted],"&gt;0"),0)</f>
        <v>1.6666666666666667</v>
      </c>
      <c r="V30" s="59">
        <f>IFERROR(TBA_Rankings[[#This Row],[avestageT]]/TBA_Rankings[[#This Row],[avestageA]],0)</f>
        <v>0.45454545454545459</v>
      </c>
      <c r="W30" s="66">
        <f>IFERROR(AVERAGEIFS(TBA_Matches_All[AampT],TBA_Matches_All[Team],TBA_Rankings[[#This Row],[Team]],TBA_Matches_All[Scouted],"&gt;0"),0)</f>
        <v>0</v>
      </c>
      <c r="X30" s="66">
        <f>IFERROR(AVERAGEIFS(TBA_Matches_All[AspkrT],TBA_Matches_All[Team],TBA_Rankings[[#This Row],[Team]],TBA_Matches_All[Scouted],"&gt;0"),0)</f>
        <v>1.5</v>
      </c>
      <c r="Y30" s="66">
        <f>IFERROR(AVERAGEIFS(TBA_Matches_All[AtrapT],TBA_Matches_All[Team],TBA_Rankings[[#This Row],[Team]],TBA_Matches_All[Scouted],"&gt;0"),0)</f>
        <v>0</v>
      </c>
      <c r="Z30" s="66">
        <f>IFERROR(AVERAGEIFS(TBA_Matches_All[TampT],TBA_Matches_All[Team],TBA_Rankings[[#This Row],[Team]],TBA_Matches_All[Scouted],"&gt;0"),0)</f>
        <v>3.1666666666666665</v>
      </c>
      <c r="AA30" s="66">
        <f>IFERROR(AVERAGEIFS(TBA_Matches_All[TspkrT],TBA_Matches_All[Team],TBA_Rankings[[#This Row],[Team]],TBA_Matches_All[Scouted],"&gt;0"),0)</f>
        <v>2.1666666666666665</v>
      </c>
      <c r="AB30" s="66">
        <f>IFERROR(AVERAGEIFS(TBA_Matches_All[TtrapT],TBA_Matches_All[Team],TBA_Rankings[[#This Row],[Team]],TBA_Matches_All[Scouted],"&gt;0"),0)</f>
        <v>0</v>
      </c>
      <c r="AC30" s="66">
        <f>IFERROR(AVERAGEIFS(TBA_Matches_All[ATTNDDiff],TBA_Matches_All[Team],TBA_Rankings[[#This Row],[Team]],TBA_Matches_All[Defense],3,TBA_Matches_All[Scouted],"&gt;0"),0)</f>
        <v>0</v>
      </c>
      <c r="AD30" s="66">
        <f>IFERROR(AVERAGEIFS(TBA_Matches_All[ATTNDDiff],TBA_Matches_All[Team],TBA_Rankings[[#This Row],[Team]],TBA_Matches_All[Defense],2,TBA_Matches_All[Scouted],"&gt;0"),0)</f>
        <v>0</v>
      </c>
      <c r="AE30" s="66">
        <f>IFERROR(AVERAGEIFS(TBA_Matches_All[ATTNDDiff],TBA_Matches_All[Team],TBA_Rankings[[#This Row],[Team]],TBA_Matches_All[Defense],1,TBA_Matches_All[Scouted],"&gt;0"),0)</f>
        <v>0</v>
      </c>
      <c r="AF30" s="66">
        <f>IFERROR(AVERAGEIFS(TBA_Matches_All[ATTNDDiff],TBA_Matches_All[Team],TBA_Rankings[[#This Row],[Team]],TBA_Matches_All[Defense],0,TBA_Matches_All[Scouted],"&gt;0"),0)</f>
        <v>5.9211894646675012E-16</v>
      </c>
      <c r="AG30" s="66">
        <f>IFERROR(AVERAGEIFS(TBA_Matches_All[ATTNDDiff],TBA_Matches_All[Team],TBA_Rankings[[#This Row],[Team]],TBA_Matches_All[Avoid],3,TBA_Matches_All[Scouted],"&gt;0"),0)</f>
        <v>0</v>
      </c>
      <c r="AH30" s="66">
        <f>IFERROR(AVERAGEIFS(TBA_Matches_All[ATTNDDiff],TBA_Matches_All[Team],TBA_Rankings[[#This Row],[Team]],TBA_Matches_All[Avoid],2,TBA_Matches_All[Scouted],"&gt;0"),0)</f>
        <v>0</v>
      </c>
      <c r="AI30" s="66">
        <f>IFERROR(AVERAGEIFS(TBA_Matches_All[ATTNDDiff],TBA_Matches_All[Team],TBA_Rankings[[#This Row],[Team]],TBA_Matches_All[Avoid],1,TBA_Matches_All[Scouted],"&gt;0"),0)</f>
        <v>8.8666666666666671</v>
      </c>
      <c r="AJ30" s="66">
        <f>IFERROR(AVERAGEIFS(TBA_Matches_All[ATTNDDiff],TBA_Matches_All[Team],TBA_Rankings[[#This Row],[Team]],TBA_Matches_All[Avoid],0,TBA_Matches_All[Scouted],"&gt;0"),0)</f>
        <v>-4.4333333333333318</v>
      </c>
    </row>
    <row r="31" spans="1:36" x14ac:dyDescent="0.3">
      <c r="A31" t="s">
        <v>1419</v>
      </c>
      <c r="B31" s="1">
        <v>45</v>
      </c>
      <c r="C31" t="s">
        <v>1306</v>
      </c>
      <c r="D31" s="1">
        <v>180</v>
      </c>
      <c r="E31" s="66">
        <f>IFERROR(AVERAGEIFS(TBA_Matches_All[Score], TBA_Matches_All[Team],TBA_Rankings[[#This Row],[Team]],TBA_Matches_All[Scouted],"&gt;0"),0)</f>
        <v>46.5</v>
      </c>
      <c r="F31" s="66">
        <f>IFERROR(AVERAGEIFS(TBA_Matches_All[TotptsC], TBA_Matches_All[Team],TBA_Rankings[[#This Row],[Team]],TBA_Matches_All[Scouted],"&gt;0"),0)</f>
        <v>13.196969696969697</v>
      </c>
      <c r="G31" s="59">
        <f>IFERROR(TBA_Rankings[[#This Row],[avescoreT]]/TBA_Rankings[[#This Row],[avescoreA]],0)</f>
        <v>0.28380579993483218</v>
      </c>
      <c r="H31" s="66">
        <f>IFERROR(SUM(AVERAGEIFS(TBA_Matches_All[Aamp],TBA_Matches_All[Team],TBA_Rankings[[#This Row],[Team]],TBA_Matches_All[Scouted],"&gt;0")+AVERAGEIFS(TBA_Matches_All[Tamp],TBA_Matches_All[Team],TBA_Rankings[[#This Row],[Team]],TBA_Matches_All[Scouted],"&gt;0")),0)</f>
        <v>3.5</v>
      </c>
      <c r="I31" s="66">
        <f>IFERROR(SUM(AVERAGEIFS(TBA_Matches_All[AampT],TBA_Matches_All[Team],TBA_Rankings[[#This Row],[Team]],TBA_Matches_All[Scouted],"&gt;0")+AVERAGEIFS(TBA_Matches_All[TampT],TBA_Matches_All[Team],TBA_Rankings[[#This Row],[Team]],TBA_Matches_All[Scouted],"&gt;0")),0)</f>
        <v>0.16666666666666666</v>
      </c>
      <c r="J31" s="59">
        <f>IFERROR(TBA_Rankings[[#This Row],[aveampT]]/TBA_Rankings[[#This Row],[aveampA]],0)</f>
        <v>4.7619047619047616E-2</v>
      </c>
      <c r="K31" s="66">
        <f>IFERROR(SUM(AVERAGEIFS(TBA_Matches_All[Aspkr],TBA_Matches_All[Team],TBA_Rankings[[#This Row],[Team]],TBA_Matches_All[Scouted],"&gt;0")+AVERAGEIFS(TBA_Matches_All[Tspkr],TBA_Matches_All[Team],TBA_Rankings[[#This Row],[Team]],TBA_Matches_All[Scouted],"&gt;0")),0)</f>
        <v>9.8333333333333321</v>
      </c>
      <c r="L31" s="66">
        <f>IFERROR(SUM(AVERAGEIFS(TBA_Matches_All[AspkrT],TBA_Matches_All[Team],TBA_Rankings[[#This Row],[Team]],TBA_Matches_All[Scouted],"&gt;0")+AVERAGEIFS(TBA_Matches_All[TspkrT],TBA_Matches_All[Team],TBA_Rankings[[#This Row],[Team]],TBA_Matches_All[Scouted],"&gt;0")),0)</f>
        <v>3.3333333333333335</v>
      </c>
      <c r="M31" s="59">
        <f>IFERROR(TBA_Rankings[[#This Row],[avespkrT]]/TBA_Rankings[[#This Row],[avespkrA]],0)</f>
        <v>0.33898305084745767</v>
      </c>
      <c r="N31" s="66">
        <f>IFERROR(AVERAGEIFS(TBA_Matches_All[Trap],TBA_Matches_All[Team],TBA_Rankings[[#This Row],[Team]],TBA_Matches_All[Scouted],"&gt;0"),0)</f>
        <v>0</v>
      </c>
      <c r="O31" s="66">
        <f>IFERROR(SUM(AVERAGEIFS(TBA_Matches_All[AtrapT],TBA_Matches_All[Team],TBA_Rankings[[#This Row],[Team]],TBA_Matches_All[Scouted],"&gt;0")+AVERAGEIFS(TBA_Matches_All[TtrapT],TBA_Matches_All[Team],TBA_Rankings[[#This Row],[Team]],TBA_Matches_All[Scouted],"&gt;0")),0)</f>
        <v>0</v>
      </c>
      <c r="P31" s="59">
        <f>IFERROR(TBA_Rankings[[#This Row],[avetrapT]]/TBA_Rankings[[#This Row],[avetrapA]],0)</f>
        <v>0</v>
      </c>
      <c r="Q31" s="66">
        <f>IFERROR(AVERAGEIFS(TBA_Matches_All[TotNotes],TBA_Matches_All[Team],TBA_Rankings[[#This Row],[Team]],TBA_Matches_All[Scouted],"&gt;0"),0)</f>
        <v>13.333333333333334</v>
      </c>
      <c r="R31" s="66">
        <f>IFERROR(AVERAGEIFS(TBA_Matches_All[TotNotesT],TBA_Matches_All[Team],TBA_Rankings[[#This Row],[Team]],TBA_Matches_All[Scouted],"&gt;0"),0)</f>
        <v>3.5</v>
      </c>
      <c r="S31" s="59">
        <f>IFERROR(TBA_Rankings[[#This Row],[avenotesT]]/TBA_Rankings[[#This Row],[avenotesA]],0)</f>
        <v>0.26250000000000001</v>
      </c>
      <c r="T31" s="66">
        <f>IFERROR(AVERAGEIFS(TBA_Matches_All[StagePts],TBA_Matches_All[Team],TBA_Rankings[[#This Row],[Team]],TBA_Matches_All[Scouted],"&gt;0"),0)</f>
        <v>4.833333333333333</v>
      </c>
      <c r="U31" s="66">
        <f>IFERROR(AVERAGEIFS(TBA_Matches_All[stageptsT],TBA_Matches_All[Team],TBA_Rankings[[#This Row],[Team]],TBA_Matches_All[Scouted],"&gt;0"),0)</f>
        <v>2.1666666666666665</v>
      </c>
      <c r="V31" s="59">
        <f>IFERROR(TBA_Rankings[[#This Row],[avestageT]]/TBA_Rankings[[#This Row],[avestageA]],0)</f>
        <v>0.44827586206896552</v>
      </c>
      <c r="W31" s="66">
        <f>IFERROR(AVERAGEIFS(TBA_Matches_All[AampT],TBA_Matches_All[Team],TBA_Rankings[[#This Row],[Team]],TBA_Matches_All[Scouted],"&gt;0"),0)</f>
        <v>0</v>
      </c>
      <c r="X31" s="66">
        <f>IFERROR(AVERAGEIFS(TBA_Matches_All[AspkrT],TBA_Matches_All[Team],TBA_Rankings[[#This Row],[Team]],TBA_Matches_All[Scouted],"&gt;0"),0)</f>
        <v>0.33333333333333331</v>
      </c>
      <c r="Y31" s="66">
        <f>IFERROR(AVERAGEIFS(TBA_Matches_All[AtrapT],TBA_Matches_All[Team],TBA_Rankings[[#This Row],[Team]],TBA_Matches_All[Scouted],"&gt;0"),0)</f>
        <v>0</v>
      </c>
      <c r="Z31" s="66">
        <f>IFERROR(AVERAGEIFS(TBA_Matches_All[TampT],TBA_Matches_All[Team],TBA_Rankings[[#This Row],[Team]],TBA_Matches_All[Scouted],"&gt;0"),0)</f>
        <v>0.16666666666666666</v>
      </c>
      <c r="AA31" s="66">
        <f>IFERROR(AVERAGEIFS(TBA_Matches_All[TspkrT],TBA_Matches_All[Team],TBA_Rankings[[#This Row],[Team]],TBA_Matches_All[Scouted],"&gt;0"),0)</f>
        <v>3</v>
      </c>
      <c r="AB31" s="66">
        <f>IFERROR(AVERAGEIFS(TBA_Matches_All[TtrapT],TBA_Matches_All[Team],TBA_Rankings[[#This Row],[Team]],TBA_Matches_All[Scouted],"&gt;0"),0)</f>
        <v>0</v>
      </c>
      <c r="AC31" s="66">
        <f>IFERROR(AVERAGEIFS(TBA_Matches_All[ATTNDDiff],TBA_Matches_All[Team],TBA_Rankings[[#This Row],[Team]],TBA_Matches_All[Defense],3,TBA_Matches_All[Scouted],"&gt;0"),0)</f>
        <v>-9.2363636363636363</v>
      </c>
      <c r="AD31" s="66">
        <f>IFERROR(AVERAGEIFS(TBA_Matches_All[ATTNDDiff],TBA_Matches_All[Team],TBA_Rankings[[#This Row],[Team]],TBA_Matches_All[Defense],2,TBA_Matches_All[Scouted],"&gt;0"),0)</f>
        <v>0</v>
      </c>
      <c r="AE31" s="66">
        <f>IFERROR(AVERAGEIFS(TBA_Matches_All[ATTNDDiff],TBA_Matches_All[Team],TBA_Rankings[[#This Row],[Team]],TBA_Matches_All[Defense],1,TBA_Matches_All[Scouted],"&gt;0"),0)</f>
        <v>0</v>
      </c>
      <c r="AF31" s="66">
        <f>IFERROR(AVERAGEIFS(TBA_Matches_All[ATTNDDiff],TBA_Matches_All[Team],TBA_Rankings[[#This Row],[Team]],TBA_Matches_All[Defense],0,TBA_Matches_All[Scouted],"&gt;0"),0)</f>
        <v>1.847272727272727</v>
      </c>
      <c r="AG31" s="66">
        <f>IFERROR(AVERAGEIFS(TBA_Matches_All[ATTNDDiff],TBA_Matches_All[Team],TBA_Rankings[[#This Row],[Team]],TBA_Matches_All[Avoid],3,TBA_Matches_All[Scouted],"&gt;0"),0)</f>
        <v>0</v>
      </c>
      <c r="AH31" s="66">
        <f>IFERROR(AVERAGEIFS(TBA_Matches_All[ATTNDDiff],TBA_Matches_All[Team],TBA_Rankings[[#This Row],[Team]],TBA_Matches_All[Avoid],2,TBA_Matches_All[Scouted],"&gt;0"),0)</f>
        <v>-3.2363636363636363</v>
      </c>
      <c r="AI31" s="66">
        <f>IFERROR(AVERAGEIFS(TBA_Matches_All[ATTNDDiff],TBA_Matches_All[Team],TBA_Rankings[[#This Row],[Team]],TBA_Matches_All[Avoid],1,TBA_Matches_All[Scouted],"&gt;0"),0)</f>
        <v>1.5636363636363626</v>
      </c>
      <c r="AJ31" s="66">
        <f>IFERROR(AVERAGEIFS(TBA_Matches_All[ATTNDDiff],TBA_Matches_All[Team],TBA_Rankings[[#This Row],[Team]],TBA_Matches_All[Avoid],0,TBA_Matches_All[Scouted],"&gt;0"),0)</f>
        <v>0.41818181818181799</v>
      </c>
    </row>
    <row r="32" spans="1:36" x14ac:dyDescent="0.3">
      <c r="A32" t="s">
        <v>1419</v>
      </c>
      <c r="B32" s="1">
        <v>10</v>
      </c>
      <c r="C32" t="s">
        <v>1284</v>
      </c>
      <c r="D32" s="1">
        <v>784</v>
      </c>
      <c r="E32" s="66">
        <f>IFERROR(AVERAGEIFS(TBA_Matches_All[Score], TBA_Matches_All[Team],TBA_Rankings[[#This Row],[Team]],TBA_Matches_All[Scouted],"&gt;0"),0)</f>
        <v>61.166666666666664</v>
      </c>
      <c r="F32" s="66">
        <f>IFERROR(AVERAGEIFS(TBA_Matches_All[TotptsC], TBA_Matches_All[Team],TBA_Rankings[[#This Row],[Team]],TBA_Matches_All[Scouted],"&gt;0"),0)</f>
        <v>11.428571428571429</v>
      </c>
      <c r="G32" s="59">
        <f>IFERROR(TBA_Rankings[[#This Row],[avescoreT]]/TBA_Rankings[[#This Row],[avescoreA]],0)</f>
        <v>0.18684312962242119</v>
      </c>
      <c r="H32" s="66">
        <f>IFERROR(SUM(AVERAGEIFS(TBA_Matches_All[Aamp],TBA_Matches_All[Team],TBA_Rankings[[#This Row],[Team]],TBA_Matches_All[Scouted],"&gt;0")+AVERAGEIFS(TBA_Matches_All[Tamp],TBA_Matches_All[Team],TBA_Rankings[[#This Row],[Team]],TBA_Matches_All[Scouted],"&gt;0")),0)</f>
        <v>2</v>
      </c>
      <c r="I32" s="66">
        <f>IFERROR(SUM(AVERAGEIFS(TBA_Matches_All[AampT],TBA_Matches_All[Team],TBA_Rankings[[#This Row],[Team]],TBA_Matches_All[Scouted],"&gt;0")+AVERAGEIFS(TBA_Matches_All[TampT],TBA_Matches_All[Team],TBA_Rankings[[#This Row],[Team]],TBA_Matches_All[Scouted],"&gt;0")),0)</f>
        <v>0</v>
      </c>
      <c r="J32" s="59">
        <f>IFERROR(TBA_Rankings[[#This Row],[aveampT]]/TBA_Rankings[[#This Row],[aveampA]],0)</f>
        <v>0</v>
      </c>
      <c r="K32" s="66">
        <f>IFERROR(SUM(AVERAGEIFS(TBA_Matches_All[Aspkr],TBA_Matches_All[Team],TBA_Rankings[[#This Row],[Team]],TBA_Matches_All[Scouted],"&gt;0")+AVERAGEIFS(TBA_Matches_All[Tspkr],TBA_Matches_All[Team],TBA_Rankings[[#This Row],[Team]],TBA_Matches_All[Scouted],"&gt;0")),0)</f>
        <v>15.166666666666666</v>
      </c>
      <c r="L32" s="66">
        <f>IFERROR(SUM(AVERAGEIFS(TBA_Matches_All[AspkrT],TBA_Matches_All[Team],TBA_Rankings[[#This Row],[Team]],TBA_Matches_All[Scouted],"&gt;0")+AVERAGEIFS(TBA_Matches_All[TspkrT],TBA_Matches_All[Team],TBA_Rankings[[#This Row],[Team]],TBA_Matches_All[Scouted],"&gt;0")),0)</f>
        <v>3.1666666666666665</v>
      </c>
      <c r="M32" s="59">
        <f>IFERROR(TBA_Rankings[[#This Row],[avespkrT]]/TBA_Rankings[[#This Row],[avespkrA]],0)</f>
        <v>0.2087912087912088</v>
      </c>
      <c r="N32" s="66">
        <f>IFERROR(AVERAGEIFS(TBA_Matches_All[Trap],TBA_Matches_All[Team],TBA_Rankings[[#This Row],[Team]],TBA_Matches_All[Scouted],"&gt;0"),0)</f>
        <v>0</v>
      </c>
      <c r="O32" s="66">
        <f>IFERROR(SUM(AVERAGEIFS(TBA_Matches_All[AtrapT],TBA_Matches_All[Team],TBA_Rankings[[#This Row],[Team]],TBA_Matches_All[Scouted],"&gt;0")+AVERAGEIFS(TBA_Matches_All[TtrapT],TBA_Matches_All[Team],TBA_Rankings[[#This Row],[Team]],TBA_Matches_All[Scouted],"&gt;0")),0)</f>
        <v>0</v>
      </c>
      <c r="P32" s="59">
        <f>IFERROR(TBA_Rankings[[#This Row],[avetrapT]]/TBA_Rankings[[#This Row],[avetrapA]],0)</f>
        <v>0</v>
      </c>
      <c r="Q32" s="66">
        <f>IFERROR(AVERAGEIFS(TBA_Matches_All[TotNotes],TBA_Matches_All[Team],TBA_Rankings[[#This Row],[Team]],TBA_Matches_All[Scouted],"&gt;0"),0)</f>
        <v>17.166666666666668</v>
      </c>
      <c r="R32" s="66">
        <f>IFERROR(AVERAGEIFS(TBA_Matches_All[TotNotesT],TBA_Matches_All[Team],TBA_Rankings[[#This Row],[Team]],TBA_Matches_All[Scouted],"&gt;0"),0)</f>
        <v>3.1666666666666665</v>
      </c>
      <c r="S32" s="59">
        <f>IFERROR(TBA_Rankings[[#This Row],[avenotesT]]/TBA_Rankings[[#This Row],[avenotesA]],0)</f>
        <v>0.1844660194174757</v>
      </c>
      <c r="T32" s="66">
        <f>IFERROR(AVERAGEIFS(TBA_Matches_All[StagePts],TBA_Matches_All[Team],TBA_Rankings[[#This Row],[Team]],TBA_Matches_All[Scouted],"&gt;0"),0)</f>
        <v>4.666666666666667</v>
      </c>
      <c r="U32" s="66">
        <f>IFERROR(AVERAGEIFS(TBA_Matches_All[stageptsT],TBA_Matches_All[Team],TBA_Rankings[[#This Row],[Team]],TBA_Matches_All[Scouted],"&gt;0"),0)</f>
        <v>0.83333333333333337</v>
      </c>
      <c r="V32" s="59">
        <f>IFERROR(TBA_Rankings[[#This Row],[avestageT]]/TBA_Rankings[[#This Row],[avestageA]],0)</f>
        <v>0.17857142857142858</v>
      </c>
      <c r="W32" s="66">
        <f>IFERROR(AVERAGEIFS(TBA_Matches_All[AampT],TBA_Matches_All[Team],TBA_Rankings[[#This Row],[Team]],TBA_Matches_All[Scouted],"&gt;0"),0)</f>
        <v>0</v>
      </c>
      <c r="X32" s="66">
        <f>IFERROR(AVERAGEIFS(TBA_Matches_All[AspkrT],TBA_Matches_All[Team],TBA_Rankings[[#This Row],[Team]],TBA_Matches_All[Scouted],"&gt;0"),0)</f>
        <v>0.5</v>
      </c>
      <c r="Y32" s="66">
        <f>IFERROR(AVERAGEIFS(TBA_Matches_All[AtrapT],TBA_Matches_All[Team],TBA_Rankings[[#This Row],[Team]],TBA_Matches_All[Scouted],"&gt;0"),0)</f>
        <v>0</v>
      </c>
      <c r="Z32" s="66">
        <f>IFERROR(AVERAGEIFS(TBA_Matches_All[TampT],TBA_Matches_All[Team],TBA_Rankings[[#This Row],[Team]],TBA_Matches_All[Scouted],"&gt;0"),0)</f>
        <v>0</v>
      </c>
      <c r="AA32" s="66">
        <f>IFERROR(AVERAGEIFS(TBA_Matches_All[TspkrT],TBA_Matches_All[Team],TBA_Rankings[[#This Row],[Team]],TBA_Matches_All[Scouted],"&gt;0"),0)</f>
        <v>2.6666666666666665</v>
      </c>
      <c r="AB32" s="66">
        <f>IFERROR(AVERAGEIFS(TBA_Matches_All[TtrapT],TBA_Matches_All[Team],TBA_Rankings[[#This Row],[Team]],TBA_Matches_All[Scouted],"&gt;0"),0)</f>
        <v>0</v>
      </c>
      <c r="AC32" s="66">
        <f>IFERROR(AVERAGEIFS(TBA_Matches_All[ATTNDDiff],TBA_Matches_All[Team],TBA_Rankings[[#This Row],[Team]],TBA_Matches_All[Defense],3,TBA_Matches_All[Scouted],"&gt;0"),0)</f>
        <v>-7.3142857142857141</v>
      </c>
      <c r="AD32" s="66">
        <f>IFERROR(AVERAGEIFS(TBA_Matches_All[ATTNDDiff],TBA_Matches_All[Team],TBA_Rankings[[#This Row],[Team]],TBA_Matches_All[Defense],2,TBA_Matches_All[Scouted],"&gt;0"),0)</f>
        <v>0</v>
      </c>
      <c r="AE32" s="66">
        <f>IFERROR(AVERAGEIFS(TBA_Matches_All[ATTNDDiff],TBA_Matches_All[Team],TBA_Rankings[[#This Row],[Team]],TBA_Matches_All[Defense],1,TBA_Matches_All[Scouted],"&gt;0"),0)</f>
        <v>0</v>
      </c>
      <c r="AF32" s="66">
        <f>IFERROR(AVERAGEIFS(TBA_Matches_All[ATTNDDiff],TBA_Matches_All[Team],TBA_Rankings[[#This Row],[Team]],TBA_Matches_All[Defense],0,TBA_Matches_All[Scouted],"&gt;0"),0)</f>
        <v>1.4628571428571435</v>
      </c>
      <c r="AG32" s="66">
        <f>IFERROR(AVERAGEIFS(TBA_Matches_All[ATTNDDiff],TBA_Matches_All[Team],TBA_Rankings[[#This Row],[Team]],TBA_Matches_All[Avoid],3,TBA_Matches_All[Scouted],"&gt;0"),0)</f>
        <v>0</v>
      </c>
      <c r="AH32" s="66">
        <f>IFERROR(AVERAGEIFS(TBA_Matches_All[ATTNDDiff],TBA_Matches_All[Team],TBA_Rankings[[#This Row],[Team]],TBA_Matches_All[Avoid],2,TBA_Matches_All[Scouted],"&gt;0"),0)</f>
        <v>0</v>
      </c>
      <c r="AI32" s="66">
        <f>IFERROR(AVERAGEIFS(TBA_Matches_All[ATTNDDiff],TBA_Matches_All[Team],TBA_Rankings[[#This Row],[Team]],TBA_Matches_All[Avoid],1,TBA_Matches_All[Scouted],"&gt;0"),0)</f>
        <v>1.7142857142857144</v>
      </c>
      <c r="AJ32" s="66">
        <f>IFERROR(AVERAGEIFS(TBA_Matches_All[ATTNDDiff],TBA_Matches_All[Team],TBA_Rankings[[#This Row],[Team]],TBA_Matches_All[Avoid],0,TBA_Matches_All[Scouted],"&gt;0"),0)</f>
        <v>-1.7142857142857135</v>
      </c>
    </row>
    <row r="33" spans="1:36" x14ac:dyDescent="0.3">
      <c r="A33" t="s">
        <v>1419</v>
      </c>
      <c r="B33" s="1">
        <v>23</v>
      </c>
      <c r="C33" t="s">
        <v>1280</v>
      </c>
      <c r="D33" s="1">
        <v>588</v>
      </c>
      <c r="E33" s="66">
        <f>IFERROR(AVERAGEIFS(TBA_Matches_All[Score], TBA_Matches_All[Team],TBA_Rankings[[#This Row],[Team]],TBA_Matches_All[Scouted],"&gt;0"),0)</f>
        <v>57.166666666666664</v>
      </c>
      <c r="F33" s="66">
        <f>IFERROR(AVERAGEIFS(TBA_Matches_All[TotptsC], TBA_Matches_All[Team],TBA_Rankings[[#This Row],[Team]],TBA_Matches_All[Scouted],"&gt;0"),0)</f>
        <v>14.591666666666667</v>
      </c>
      <c r="G33" s="59">
        <f>IFERROR(TBA_Rankings[[#This Row],[avescoreT]]/TBA_Rankings[[#This Row],[avescoreA]],0)</f>
        <v>0.25524781341107872</v>
      </c>
      <c r="H33" s="66">
        <f>IFERROR(SUM(AVERAGEIFS(TBA_Matches_All[Aamp],TBA_Matches_All[Team],TBA_Rankings[[#This Row],[Team]],TBA_Matches_All[Scouted],"&gt;0")+AVERAGEIFS(TBA_Matches_All[Tamp],TBA_Matches_All[Team],TBA_Rankings[[#This Row],[Team]],TBA_Matches_All[Scouted],"&gt;0")),0)</f>
        <v>3.8333333333333335</v>
      </c>
      <c r="I33" s="66">
        <f>IFERROR(SUM(AVERAGEIFS(TBA_Matches_All[AampT],TBA_Matches_All[Team],TBA_Rankings[[#This Row],[Team]],TBA_Matches_All[Scouted],"&gt;0")+AVERAGEIFS(TBA_Matches_All[TampT],TBA_Matches_All[Team],TBA_Rankings[[#This Row],[Team]],TBA_Matches_All[Scouted],"&gt;0")),0)</f>
        <v>0</v>
      </c>
      <c r="J33" s="59">
        <f>IFERROR(TBA_Rankings[[#This Row],[aveampT]]/TBA_Rankings[[#This Row],[aveampA]],0)</f>
        <v>0</v>
      </c>
      <c r="K33" s="66">
        <f>IFERROR(SUM(AVERAGEIFS(TBA_Matches_All[Aspkr],TBA_Matches_All[Team],TBA_Rankings[[#This Row],[Team]],TBA_Matches_All[Scouted],"&gt;0")+AVERAGEIFS(TBA_Matches_All[Tspkr],TBA_Matches_All[Team],TBA_Rankings[[#This Row],[Team]],TBA_Matches_All[Scouted],"&gt;0")),0)</f>
        <v>11.5</v>
      </c>
      <c r="L33" s="66">
        <f>IFERROR(SUM(AVERAGEIFS(TBA_Matches_All[AspkrT],TBA_Matches_All[Team],TBA_Rankings[[#This Row],[Team]],TBA_Matches_All[Scouted],"&gt;0")+AVERAGEIFS(TBA_Matches_All[TspkrT],TBA_Matches_All[Team],TBA_Rankings[[#This Row],[Team]],TBA_Matches_All[Scouted],"&gt;0")),0)</f>
        <v>2.833333333333333</v>
      </c>
      <c r="M33" s="59">
        <f>IFERROR(TBA_Rankings[[#This Row],[avespkrT]]/TBA_Rankings[[#This Row],[avespkrA]],0)</f>
        <v>0.24637681159420288</v>
      </c>
      <c r="N33" s="66">
        <f>IFERROR(AVERAGEIFS(TBA_Matches_All[Trap],TBA_Matches_All[Team],TBA_Rankings[[#This Row],[Team]],TBA_Matches_All[Scouted],"&gt;0"),0)</f>
        <v>0.16666666666666666</v>
      </c>
      <c r="O33" s="66">
        <f>IFERROR(SUM(AVERAGEIFS(TBA_Matches_All[AtrapT],TBA_Matches_All[Team],TBA_Rankings[[#This Row],[Team]],TBA_Matches_All[Scouted],"&gt;0")+AVERAGEIFS(TBA_Matches_All[TtrapT],TBA_Matches_All[Team],TBA_Rankings[[#This Row],[Team]],TBA_Matches_All[Scouted],"&gt;0")),0)</f>
        <v>0</v>
      </c>
      <c r="P33" s="59">
        <f>IFERROR(TBA_Rankings[[#This Row],[avetrapT]]/TBA_Rankings[[#This Row],[avetrapA]],0)</f>
        <v>0</v>
      </c>
      <c r="Q33" s="66">
        <f>IFERROR(AVERAGEIFS(TBA_Matches_All[TotNotes],TBA_Matches_All[Team],TBA_Rankings[[#This Row],[Team]],TBA_Matches_All[Scouted],"&gt;0"),0)</f>
        <v>15.333333333333334</v>
      </c>
      <c r="R33" s="66">
        <f>IFERROR(AVERAGEIFS(TBA_Matches_All[TotNotesT],TBA_Matches_All[Team],TBA_Rankings[[#This Row],[Team]],TBA_Matches_All[Scouted],"&gt;0"),0)</f>
        <v>2.8333333333333335</v>
      </c>
      <c r="S33" s="59">
        <f>IFERROR(TBA_Rankings[[#This Row],[avenotesT]]/TBA_Rankings[[#This Row],[avenotesA]],0)</f>
        <v>0.18478260869565219</v>
      </c>
      <c r="T33" s="66">
        <f>IFERROR(AVERAGEIFS(TBA_Matches_All[StagePts],TBA_Matches_All[Team],TBA_Rankings[[#This Row],[Team]],TBA_Matches_All[Scouted],"&gt;0"),0)</f>
        <v>6.166666666666667</v>
      </c>
      <c r="U33" s="66">
        <f>IFERROR(AVERAGEIFS(TBA_Matches_All[stageptsT],TBA_Matches_All[Team],TBA_Rankings[[#This Row],[Team]],TBA_Matches_All[Scouted],"&gt;0"),0)</f>
        <v>3.1666666666666665</v>
      </c>
      <c r="V33" s="59">
        <f>IFERROR(TBA_Rankings[[#This Row],[avestageT]]/TBA_Rankings[[#This Row],[avestageA]],0)</f>
        <v>0.51351351351351349</v>
      </c>
      <c r="W33" s="66">
        <f>IFERROR(AVERAGEIFS(TBA_Matches_All[AampT],TBA_Matches_All[Team],TBA_Rankings[[#This Row],[Team]],TBA_Matches_All[Scouted],"&gt;0"),0)</f>
        <v>0</v>
      </c>
      <c r="X33" s="66">
        <f>IFERROR(AVERAGEIFS(TBA_Matches_All[AspkrT],TBA_Matches_All[Team],TBA_Rankings[[#This Row],[Team]],TBA_Matches_All[Scouted],"&gt;0"),0)</f>
        <v>0.16666666666666666</v>
      </c>
      <c r="Y33" s="66">
        <f>IFERROR(AVERAGEIFS(TBA_Matches_All[AtrapT],TBA_Matches_All[Team],TBA_Rankings[[#This Row],[Team]],TBA_Matches_All[Scouted],"&gt;0"),0)</f>
        <v>0</v>
      </c>
      <c r="Z33" s="66">
        <f>IFERROR(AVERAGEIFS(TBA_Matches_All[TampT],TBA_Matches_All[Team],TBA_Rankings[[#This Row],[Team]],TBA_Matches_All[Scouted],"&gt;0"),0)</f>
        <v>0</v>
      </c>
      <c r="AA33" s="66">
        <f>IFERROR(AVERAGEIFS(TBA_Matches_All[TspkrT],TBA_Matches_All[Team],TBA_Rankings[[#This Row],[Team]],TBA_Matches_All[Scouted],"&gt;0"),0)</f>
        <v>2.6666666666666665</v>
      </c>
      <c r="AB33" s="66">
        <f>IFERROR(AVERAGEIFS(TBA_Matches_All[TtrapT],TBA_Matches_All[Team],TBA_Rankings[[#This Row],[Team]],TBA_Matches_All[Scouted],"&gt;0"),0)</f>
        <v>0</v>
      </c>
      <c r="AC33" s="66">
        <f>IFERROR(AVERAGEIFS(TBA_Matches_All[ATTNDDiff],TBA_Matches_All[Team],TBA_Rankings[[#This Row],[Team]],TBA_Matches_All[Defense],3,TBA_Matches_All[Scouted],"&gt;0"),0)</f>
        <v>-11.11</v>
      </c>
      <c r="AD33" s="66">
        <f>IFERROR(AVERAGEIFS(TBA_Matches_All[ATTNDDiff],TBA_Matches_All[Team],TBA_Rankings[[#This Row],[Team]],TBA_Matches_All[Defense],2,TBA_Matches_All[Scouted],"&gt;0"),0)</f>
        <v>-11.11</v>
      </c>
      <c r="AE33" s="66">
        <f>IFERROR(AVERAGEIFS(TBA_Matches_All[ATTNDDiff],TBA_Matches_All[Team],TBA_Rankings[[#This Row],[Team]],TBA_Matches_All[Defense],1,TBA_Matches_All[Scouted],"&gt;0"),0)</f>
        <v>-1.7500000000000009</v>
      </c>
      <c r="AF33" s="66">
        <f>IFERROR(AVERAGEIFS(TBA_Matches_All[ATTNDDiff],TBA_Matches_All[Team],TBA_Rankings[[#This Row],[Team]],TBA_Matches_All[Defense],0,TBA_Matches_All[Scouted],"&gt;0"),0)</f>
        <v>7.9900000000000011</v>
      </c>
      <c r="AG33" s="66">
        <f>IFERROR(AVERAGEIFS(TBA_Matches_All[ATTNDDiff],TBA_Matches_All[Team],TBA_Rankings[[#This Row],[Team]],TBA_Matches_All[Avoid],3,TBA_Matches_All[Scouted],"&gt;0"),0)</f>
        <v>0</v>
      </c>
      <c r="AH33" s="66">
        <f>IFERROR(AVERAGEIFS(TBA_Matches_All[ATTNDDiff],TBA_Matches_All[Team],TBA_Rankings[[#This Row],[Team]],TBA_Matches_All[Avoid],2,TBA_Matches_All[Scouted],"&gt;0"),0)</f>
        <v>4.1900000000000013</v>
      </c>
      <c r="AI33" s="66">
        <f>IFERROR(AVERAGEIFS(TBA_Matches_All[ATTNDDiff],TBA_Matches_All[Team],TBA_Rankings[[#This Row],[Team]],TBA_Matches_All[Avoid],1,TBA_Matches_All[Scouted],"&gt;0"),0)</f>
        <v>-0.60999999999999943</v>
      </c>
      <c r="AJ33" s="66">
        <f>IFERROR(AVERAGEIFS(TBA_Matches_All[ATTNDDiff],TBA_Matches_All[Team],TBA_Rankings[[#This Row],[Team]],TBA_Matches_All[Avoid],0,TBA_Matches_All[Scouted],"&gt;0"),0)</f>
        <v>-0.98999999999999966</v>
      </c>
    </row>
    <row r="34" spans="1:36" x14ac:dyDescent="0.3">
      <c r="A34" t="s">
        <v>1419</v>
      </c>
      <c r="B34" s="1">
        <v>33</v>
      </c>
      <c r="C34" t="s">
        <v>1275</v>
      </c>
      <c r="D34" s="1">
        <v>288</v>
      </c>
      <c r="E34" s="66">
        <f>IFERROR(AVERAGEIFS(TBA_Matches_All[Score], TBA_Matches_All[Team],TBA_Rankings[[#This Row],[Team]],TBA_Matches_All[Scouted],"&gt;0"),0)</f>
        <v>57.5</v>
      </c>
      <c r="F34" s="66">
        <f>IFERROR(AVERAGEIFS(TBA_Matches_All[TotptsC], TBA_Matches_All[Team],TBA_Rankings[[#This Row],[Team]],TBA_Matches_All[Scouted],"&gt;0"),0)</f>
        <v>11.6387987012987</v>
      </c>
      <c r="G34" s="59">
        <f>IFERROR(TBA_Rankings[[#This Row],[avescoreT]]/TBA_Rankings[[#This Row],[avescoreA]],0)</f>
        <v>0.20241389045736871</v>
      </c>
      <c r="H34" s="66">
        <f>IFERROR(SUM(AVERAGEIFS(TBA_Matches_All[Aamp],TBA_Matches_All[Team],TBA_Rankings[[#This Row],[Team]],TBA_Matches_All[Scouted],"&gt;0")+AVERAGEIFS(TBA_Matches_All[Tamp],TBA_Matches_All[Team],TBA_Rankings[[#This Row],[Team]],TBA_Matches_All[Scouted],"&gt;0")),0)</f>
        <v>4</v>
      </c>
      <c r="I34" s="66">
        <f>IFERROR(SUM(AVERAGEIFS(TBA_Matches_All[AampT],TBA_Matches_All[Team],TBA_Rankings[[#This Row],[Team]],TBA_Matches_All[Scouted],"&gt;0")+AVERAGEIFS(TBA_Matches_All[TampT],TBA_Matches_All[Team],TBA_Rankings[[#This Row],[Team]],TBA_Matches_All[Scouted],"&gt;0")),0)</f>
        <v>0.25</v>
      </c>
      <c r="J34" s="59">
        <f>IFERROR(TBA_Rankings[[#This Row],[aveampT]]/TBA_Rankings[[#This Row],[aveampA]],0)</f>
        <v>6.25E-2</v>
      </c>
      <c r="K34" s="66">
        <f>IFERROR(SUM(AVERAGEIFS(TBA_Matches_All[Aspkr],TBA_Matches_All[Team],TBA_Rankings[[#This Row],[Team]],TBA_Matches_All[Scouted],"&gt;0")+AVERAGEIFS(TBA_Matches_All[Tspkr],TBA_Matches_All[Team],TBA_Rankings[[#This Row],[Team]],TBA_Matches_All[Scouted],"&gt;0")),0)</f>
        <v>11.5</v>
      </c>
      <c r="L34" s="66">
        <f>IFERROR(SUM(AVERAGEIFS(TBA_Matches_All[AspkrT],TBA_Matches_All[Team],TBA_Rankings[[#This Row],[Team]],TBA_Matches_All[Scouted],"&gt;0")+AVERAGEIFS(TBA_Matches_All[TspkrT],TBA_Matches_All[Team],TBA_Rankings[[#This Row],[Team]],TBA_Matches_All[Scouted],"&gt;0")),0)</f>
        <v>2.75</v>
      </c>
      <c r="M34" s="59">
        <f>IFERROR(TBA_Rankings[[#This Row],[avespkrT]]/TBA_Rankings[[#This Row],[avespkrA]],0)</f>
        <v>0.2391304347826087</v>
      </c>
      <c r="N34" s="66">
        <f>IFERROR(AVERAGEIFS(TBA_Matches_All[Trap],TBA_Matches_All[Team],TBA_Rankings[[#This Row],[Team]],TBA_Matches_All[Scouted],"&gt;0"),0)</f>
        <v>0</v>
      </c>
      <c r="O34" s="66">
        <f>IFERROR(SUM(AVERAGEIFS(TBA_Matches_All[AtrapT],TBA_Matches_All[Team],TBA_Rankings[[#This Row],[Team]],TBA_Matches_All[Scouted],"&gt;0")+AVERAGEIFS(TBA_Matches_All[TtrapT],TBA_Matches_All[Team],TBA_Rankings[[#This Row],[Team]],TBA_Matches_All[Scouted],"&gt;0")),0)</f>
        <v>0</v>
      </c>
      <c r="P34" s="59">
        <f>IFERROR(TBA_Rankings[[#This Row],[avetrapT]]/TBA_Rankings[[#This Row],[avetrapA]],0)</f>
        <v>0</v>
      </c>
      <c r="Q34" s="66">
        <f>IFERROR(AVERAGEIFS(TBA_Matches_All[TotNotes],TBA_Matches_All[Team],TBA_Rankings[[#This Row],[Team]],TBA_Matches_All[Scouted],"&gt;0"),0)</f>
        <v>15.5</v>
      </c>
      <c r="R34" s="66">
        <f>IFERROR(AVERAGEIFS(TBA_Matches_All[TotNotesT],TBA_Matches_All[Team],TBA_Rankings[[#This Row],[Team]],TBA_Matches_All[Scouted],"&gt;0"),0)</f>
        <v>3</v>
      </c>
      <c r="S34" s="59">
        <f>IFERROR(TBA_Rankings[[#This Row],[avenotesT]]/TBA_Rankings[[#This Row],[avenotesA]],0)</f>
        <v>0.19354838709677419</v>
      </c>
      <c r="T34" s="66">
        <f>IFERROR(AVERAGEIFS(TBA_Matches_All[StagePts],TBA_Matches_All[Team],TBA_Rankings[[#This Row],[Team]],TBA_Matches_All[Scouted],"&gt;0"),0)</f>
        <v>1.75</v>
      </c>
      <c r="U34" s="66">
        <f>IFERROR(AVERAGEIFS(TBA_Matches_All[stageptsT],TBA_Matches_All[Team],TBA_Rankings[[#This Row],[Team]],TBA_Matches_All[Scouted],"&gt;0"),0)</f>
        <v>0.25</v>
      </c>
      <c r="V34" s="59">
        <f>IFERROR(TBA_Rankings[[#This Row],[avestageT]]/TBA_Rankings[[#This Row],[avestageA]],0)</f>
        <v>0.14285714285714285</v>
      </c>
      <c r="W34" s="66">
        <f>IFERROR(AVERAGEIFS(TBA_Matches_All[AampT],TBA_Matches_All[Team],TBA_Rankings[[#This Row],[Team]],TBA_Matches_All[Scouted],"&gt;0"),0)</f>
        <v>0</v>
      </c>
      <c r="X34" s="66">
        <f>IFERROR(AVERAGEIFS(TBA_Matches_All[AspkrT],TBA_Matches_All[Team],TBA_Rankings[[#This Row],[Team]],TBA_Matches_All[Scouted],"&gt;0"),0)</f>
        <v>1</v>
      </c>
      <c r="Y34" s="66">
        <f>IFERROR(AVERAGEIFS(TBA_Matches_All[AtrapT],TBA_Matches_All[Team],TBA_Rankings[[#This Row],[Team]],TBA_Matches_All[Scouted],"&gt;0"),0)</f>
        <v>0</v>
      </c>
      <c r="Z34" s="66">
        <f>IFERROR(AVERAGEIFS(TBA_Matches_All[TampT],TBA_Matches_All[Team],TBA_Rankings[[#This Row],[Team]],TBA_Matches_All[Scouted],"&gt;0"),0)</f>
        <v>0.25</v>
      </c>
      <c r="AA34" s="66">
        <f>IFERROR(AVERAGEIFS(TBA_Matches_All[TspkrT],TBA_Matches_All[Team],TBA_Rankings[[#This Row],[Team]],TBA_Matches_All[Scouted],"&gt;0"),0)</f>
        <v>1.75</v>
      </c>
      <c r="AB34" s="66">
        <f>IFERROR(AVERAGEIFS(TBA_Matches_All[TtrapT],TBA_Matches_All[Team],TBA_Rankings[[#This Row],[Team]],TBA_Matches_All[Scouted],"&gt;0"),0)</f>
        <v>0</v>
      </c>
      <c r="AC34" s="66">
        <f>IFERROR(AVERAGEIFS(TBA_Matches_All[ATTNDDiff],TBA_Matches_All[Team],TBA_Rankings[[#This Row],[Team]],TBA_Matches_All[Defense],3,TBA_Matches_All[Scouted],"&gt;0"),0)</f>
        <v>0</v>
      </c>
      <c r="AD34" s="66">
        <f>IFERROR(AVERAGEIFS(TBA_Matches_All[ATTNDDiff],TBA_Matches_All[Team],TBA_Rankings[[#This Row],[Team]],TBA_Matches_All[Defense],2,TBA_Matches_All[Scouted],"&gt;0"),0)</f>
        <v>0</v>
      </c>
      <c r="AE34" s="66">
        <f>IFERROR(AVERAGEIFS(TBA_Matches_All[ATTNDDiff],TBA_Matches_All[Team],TBA_Rankings[[#This Row],[Team]],TBA_Matches_All[Defense],1,TBA_Matches_All[Scouted],"&gt;0"),0)</f>
        <v>0</v>
      </c>
      <c r="AF34" s="66">
        <f>IFERROR(AVERAGEIFS(TBA_Matches_All[ATTNDDiff],TBA_Matches_All[Team],TBA_Rankings[[#This Row],[Team]],TBA_Matches_All[Defense],0,TBA_Matches_All[Scouted],"&gt;0"),0)</f>
        <v>-2.2204460492503131E-16</v>
      </c>
      <c r="AG34" s="66">
        <f>IFERROR(AVERAGEIFS(TBA_Matches_All[ATTNDDiff],TBA_Matches_All[Team],TBA_Rankings[[#This Row],[Team]],TBA_Matches_All[Avoid],3,TBA_Matches_All[Scouted],"&gt;0"),0)</f>
        <v>0</v>
      </c>
      <c r="AH34" s="66">
        <f>IFERROR(AVERAGEIFS(TBA_Matches_All[ATTNDDiff],TBA_Matches_All[Team],TBA_Rankings[[#This Row],[Team]],TBA_Matches_All[Avoid],2,TBA_Matches_All[Scouted],"&gt;0"),0)</f>
        <v>-0.18506493506493538</v>
      </c>
      <c r="AI34" s="66">
        <f>IFERROR(AVERAGEIFS(TBA_Matches_All[ATTNDDiff],TBA_Matches_All[Team],TBA_Rankings[[#This Row],[Team]],TBA_Matches_All[Avoid],1,TBA_Matches_All[Scouted],"&gt;0"),0)</f>
        <v>3.6850649350649349</v>
      </c>
      <c r="AJ34" s="66">
        <f>IFERROR(AVERAGEIFS(TBA_Matches_All[ATTNDDiff],TBA_Matches_All[Team],TBA_Rankings[[#This Row],[Team]],TBA_Matches_All[Avoid],0,TBA_Matches_All[Scouted],"&gt;0"),0)</f>
        <v>-7.1850649350649345</v>
      </c>
    </row>
    <row r="35" spans="1:36" x14ac:dyDescent="0.3">
      <c r="A35" t="s">
        <v>1419</v>
      </c>
      <c r="B35" s="1">
        <v>42</v>
      </c>
      <c r="C35" t="s">
        <v>1282</v>
      </c>
      <c r="D35" s="1">
        <v>216</v>
      </c>
      <c r="E35" s="66">
        <f>IFERROR(AVERAGEIFS(TBA_Matches_All[Score], TBA_Matches_All[Team],TBA_Rankings[[#This Row],[Team]],TBA_Matches_All[Scouted],"&gt;0"),0)</f>
        <v>47.5</v>
      </c>
      <c r="F35" s="66">
        <f>IFERROR(AVERAGEIFS(TBA_Matches_All[TotptsC], TBA_Matches_All[Team],TBA_Rankings[[#This Row],[Team]],TBA_Matches_All[Scouted],"&gt;0"),0)</f>
        <v>11.055555555555557</v>
      </c>
      <c r="G35" s="59">
        <f>IFERROR(TBA_Rankings[[#This Row],[avescoreT]]/TBA_Rankings[[#This Row],[avescoreA]],0)</f>
        <v>0.23274853801169593</v>
      </c>
      <c r="H35" s="66">
        <f>IFERROR(SUM(AVERAGEIFS(TBA_Matches_All[Aamp],TBA_Matches_All[Team],TBA_Rankings[[#This Row],[Team]],TBA_Matches_All[Scouted],"&gt;0")+AVERAGEIFS(TBA_Matches_All[Tamp],TBA_Matches_All[Team],TBA_Rankings[[#This Row],[Team]],TBA_Matches_All[Scouted],"&gt;0")),0)</f>
        <v>3.1666666666666665</v>
      </c>
      <c r="I35" s="66">
        <f>IFERROR(SUM(AVERAGEIFS(TBA_Matches_All[AampT],TBA_Matches_All[Team],TBA_Rankings[[#This Row],[Team]],TBA_Matches_All[Scouted],"&gt;0")+AVERAGEIFS(TBA_Matches_All[TampT],TBA_Matches_All[Team],TBA_Rankings[[#This Row],[Team]],TBA_Matches_All[Scouted],"&gt;0")),0)</f>
        <v>1</v>
      </c>
      <c r="J35" s="59">
        <f>IFERROR(TBA_Rankings[[#This Row],[aveampT]]/TBA_Rankings[[#This Row],[aveampA]],0)</f>
        <v>0.31578947368421056</v>
      </c>
      <c r="K35" s="66">
        <f>IFERROR(SUM(AVERAGEIFS(TBA_Matches_All[Aspkr],TBA_Matches_All[Team],TBA_Rankings[[#This Row],[Team]],TBA_Matches_All[Scouted],"&gt;0")+AVERAGEIFS(TBA_Matches_All[Tspkr],TBA_Matches_All[Team],TBA_Rankings[[#This Row],[Team]],TBA_Matches_All[Scouted],"&gt;0")),0)</f>
        <v>10.333333333333334</v>
      </c>
      <c r="L35" s="66">
        <f>IFERROR(SUM(AVERAGEIFS(TBA_Matches_All[AspkrT],TBA_Matches_All[Team],TBA_Rankings[[#This Row],[Team]],TBA_Matches_All[Scouted],"&gt;0")+AVERAGEIFS(TBA_Matches_All[TspkrT],TBA_Matches_All[Team],TBA_Rankings[[#This Row],[Team]],TBA_Matches_All[Scouted],"&gt;0")),0)</f>
        <v>2.5</v>
      </c>
      <c r="M35" s="59">
        <f>IFERROR(TBA_Rankings[[#This Row],[avespkrT]]/TBA_Rankings[[#This Row],[avespkrA]],0)</f>
        <v>0.24193548387096772</v>
      </c>
      <c r="N35" s="66">
        <f>IFERROR(AVERAGEIFS(TBA_Matches_All[Trap],TBA_Matches_All[Team],TBA_Rankings[[#This Row],[Team]],TBA_Matches_All[Scouted],"&gt;0"),0)</f>
        <v>0</v>
      </c>
      <c r="O35" s="66">
        <f>IFERROR(SUM(AVERAGEIFS(TBA_Matches_All[AtrapT],TBA_Matches_All[Team],TBA_Rankings[[#This Row],[Team]],TBA_Matches_All[Scouted],"&gt;0")+AVERAGEIFS(TBA_Matches_All[TtrapT],TBA_Matches_All[Team],TBA_Rankings[[#This Row],[Team]],TBA_Matches_All[Scouted],"&gt;0")),0)</f>
        <v>0</v>
      </c>
      <c r="P35" s="59">
        <f>IFERROR(TBA_Rankings[[#This Row],[avetrapT]]/TBA_Rankings[[#This Row],[avetrapA]],0)</f>
        <v>0</v>
      </c>
      <c r="Q35" s="66">
        <f>IFERROR(AVERAGEIFS(TBA_Matches_All[TotNotes],TBA_Matches_All[Team],TBA_Rankings[[#This Row],[Team]],TBA_Matches_All[Scouted],"&gt;0"),0)</f>
        <v>13.5</v>
      </c>
      <c r="R35" s="66">
        <f>IFERROR(AVERAGEIFS(TBA_Matches_All[TotNotesT],TBA_Matches_All[Team],TBA_Rankings[[#This Row],[Team]],TBA_Matches_All[Scouted],"&gt;0"),0)</f>
        <v>3.5</v>
      </c>
      <c r="S35" s="59">
        <f>IFERROR(TBA_Rankings[[#This Row],[avenotesT]]/TBA_Rankings[[#This Row],[avenotesA]],0)</f>
        <v>0.25925925925925924</v>
      </c>
      <c r="T35" s="66">
        <f>IFERROR(AVERAGEIFS(TBA_Matches_All[StagePts],TBA_Matches_All[Team],TBA_Rankings[[#This Row],[Team]],TBA_Matches_All[Scouted],"&gt;0"),0)</f>
        <v>4</v>
      </c>
      <c r="U35" s="66">
        <f>IFERROR(AVERAGEIFS(TBA_Matches_All[stageptsT],TBA_Matches_All[Team],TBA_Rankings[[#This Row],[Team]],TBA_Matches_All[Scouted],"&gt;0"),0)</f>
        <v>0.83333333333333337</v>
      </c>
      <c r="V35" s="59">
        <f>IFERROR(TBA_Rankings[[#This Row],[avestageT]]/TBA_Rankings[[#This Row],[avestageA]],0)</f>
        <v>0.20833333333333334</v>
      </c>
      <c r="W35" s="66">
        <f>IFERROR(AVERAGEIFS(TBA_Matches_All[AampT],TBA_Matches_All[Team],TBA_Rankings[[#This Row],[Team]],TBA_Matches_All[Scouted],"&gt;0"),0)</f>
        <v>0</v>
      </c>
      <c r="X35" s="66">
        <f>IFERROR(AVERAGEIFS(TBA_Matches_All[AspkrT],TBA_Matches_All[Team],TBA_Rankings[[#This Row],[Team]],TBA_Matches_All[Scouted],"&gt;0"),0)</f>
        <v>0.66666666666666663</v>
      </c>
      <c r="Y35" s="66">
        <f>IFERROR(AVERAGEIFS(TBA_Matches_All[AtrapT],TBA_Matches_All[Team],TBA_Rankings[[#This Row],[Team]],TBA_Matches_All[Scouted],"&gt;0"),0)</f>
        <v>0</v>
      </c>
      <c r="Z35" s="66">
        <f>IFERROR(AVERAGEIFS(TBA_Matches_All[TampT],TBA_Matches_All[Team],TBA_Rankings[[#This Row],[Team]],TBA_Matches_All[Scouted],"&gt;0"),0)</f>
        <v>1</v>
      </c>
      <c r="AA35" s="66">
        <f>IFERROR(AVERAGEIFS(TBA_Matches_All[TspkrT],TBA_Matches_All[Team],TBA_Rankings[[#This Row],[Team]],TBA_Matches_All[Scouted],"&gt;0"),0)</f>
        <v>1.8333333333333333</v>
      </c>
      <c r="AB35" s="66">
        <f>IFERROR(AVERAGEIFS(TBA_Matches_All[TtrapT],TBA_Matches_All[Team],TBA_Rankings[[#This Row],[Team]],TBA_Matches_All[Scouted],"&gt;0"),0)</f>
        <v>0</v>
      </c>
      <c r="AC35" s="66">
        <f>IFERROR(AVERAGEIFS(TBA_Matches_All[ATTNDDiff],TBA_Matches_All[Team],TBA_Rankings[[#This Row],[Team]],TBA_Matches_All[Defense],3,TBA_Matches_All[Scouted],"&gt;0"),0)</f>
        <v>0</v>
      </c>
      <c r="AD35" s="66">
        <f>IFERROR(AVERAGEIFS(TBA_Matches_All[ATTNDDiff],TBA_Matches_All[Team],TBA_Rankings[[#This Row],[Team]],TBA_Matches_All[Defense],2,TBA_Matches_All[Scouted],"&gt;0"),0)</f>
        <v>0</v>
      </c>
      <c r="AE35" s="66">
        <f>IFERROR(AVERAGEIFS(TBA_Matches_All[ATTNDDiff],TBA_Matches_All[Team],TBA_Rankings[[#This Row],[Team]],TBA_Matches_All[Defense],1,TBA_Matches_All[Scouted],"&gt;0"),0)</f>
        <v>0</v>
      </c>
      <c r="AF35" s="66">
        <f>IFERROR(AVERAGEIFS(TBA_Matches_All[ATTNDDiff],TBA_Matches_All[Team],TBA_Rankings[[#This Row],[Team]],TBA_Matches_All[Defense],0,TBA_Matches_All[Scouted],"&gt;0"),0)</f>
        <v>-2.9605947323337506E-16</v>
      </c>
      <c r="AG35" s="66">
        <f>IFERROR(AVERAGEIFS(TBA_Matches_All[ATTNDDiff],TBA_Matches_All[Team],TBA_Rankings[[#This Row],[Team]],TBA_Matches_All[Avoid],3,TBA_Matches_All[Scouted],"&gt;0"),0)</f>
        <v>-4.4666666666666668</v>
      </c>
      <c r="AH35" s="66">
        <f>IFERROR(AVERAGEIFS(TBA_Matches_All[ATTNDDiff],TBA_Matches_All[Team],TBA_Rankings[[#This Row],[Team]],TBA_Matches_All[Avoid],2,TBA_Matches_All[Scouted],"&gt;0"),0)</f>
        <v>0</v>
      </c>
      <c r="AI35" s="66">
        <f>IFERROR(AVERAGEIFS(TBA_Matches_All[ATTNDDiff],TBA_Matches_All[Team],TBA_Rankings[[#This Row],[Team]],TBA_Matches_All[Avoid],1,TBA_Matches_All[Scouted],"&gt;0"),0)</f>
        <v>3.333333333333333</v>
      </c>
      <c r="AJ35" s="66">
        <f>IFERROR(AVERAGEIFS(TBA_Matches_All[ATTNDDiff],TBA_Matches_All[Team],TBA_Rankings[[#This Row],[Team]],TBA_Matches_All[Avoid],0,TBA_Matches_All[Scouted],"&gt;0"),0)</f>
        <v>1.8666666666666665</v>
      </c>
    </row>
    <row r="36" spans="1:36" x14ac:dyDescent="0.3">
      <c r="A36" t="s">
        <v>1419</v>
      </c>
      <c r="B36" s="1">
        <v>43</v>
      </c>
      <c r="C36" t="s">
        <v>1294</v>
      </c>
      <c r="D36" s="1">
        <v>216</v>
      </c>
      <c r="E36" s="66">
        <f>IFERROR(AVERAGEIFS(TBA_Matches_All[Score], TBA_Matches_All[Team],TBA_Rankings[[#This Row],[Team]],TBA_Matches_All[Scouted],"&gt;0"),0)</f>
        <v>48.8</v>
      </c>
      <c r="F36" s="66">
        <f>IFERROR(AVERAGEIFS(TBA_Matches_All[TotptsC], TBA_Matches_All[Team],TBA_Rankings[[#This Row],[Team]],TBA_Matches_All[Scouted],"&gt;0"),0)</f>
        <v>8.1118881118881117</v>
      </c>
      <c r="G36" s="59">
        <f>IFERROR(TBA_Rankings[[#This Row],[avescoreT]]/TBA_Rankings[[#This Row],[avescoreA]],0)</f>
        <v>0.16622721540754329</v>
      </c>
      <c r="H36" s="66">
        <f>IFERROR(SUM(AVERAGEIFS(TBA_Matches_All[Aamp],TBA_Matches_All[Team],TBA_Rankings[[#This Row],[Team]],TBA_Matches_All[Scouted],"&gt;0")+AVERAGEIFS(TBA_Matches_All[Tamp],TBA_Matches_All[Team],TBA_Rankings[[#This Row],[Team]],TBA_Matches_All[Scouted],"&gt;0")),0)</f>
        <v>2.4</v>
      </c>
      <c r="I36" s="66">
        <f>IFERROR(SUM(AVERAGEIFS(TBA_Matches_All[AampT],TBA_Matches_All[Team],TBA_Rankings[[#This Row],[Team]],TBA_Matches_All[Scouted],"&gt;0")+AVERAGEIFS(TBA_Matches_All[TampT],TBA_Matches_All[Team],TBA_Rankings[[#This Row],[Team]],TBA_Matches_All[Scouted],"&gt;0")),0)</f>
        <v>0.2</v>
      </c>
      <c r="J36" s="59">
        <f>IFERROR(TBA_Rankings[[#This Row],[aveampT]]/TBA_Rankings[[#This Row],[aveampA]],0)</f>
        <v>8.3333333333333343E-2</v>
      </c>
      <c r="K36" s="66">
        <f>IFERROR(SUM(AVERAGEIFS(TBA_Matches_All[Aspkr],TBA_Matches_All[Team],TBA_Rankings[[#This Row],[Team]],TBA_Matches_All[Scouted],"&gt;0")+AVERAGEIFS(TBA_Matches_All[Tspkr],TBA_Matches_All[Team],TBA_Rankings[[#This Row],[Team]],TBA_Matches_All[Scouted],"&gt;0")),0)</f>
        <v>9.4</v>
      </c>
      <c r="L36" s="66">
        <f>IFERROR(SUM(AVERAGEIFS(TBA_Matches_All[AspkrT],TBA_Matches_All[Team],TBA_Rankings[[#This Row],[Team]],TBA_Matches_All[Scouted],"&gt;0")+AVERAGEIFS(TBA_Matches_All[TspkrT],TBA_Matches_All[Team],TBA_Rankings[[#This Row],[Team]],TBA_Matches_All[Scouted],"&gt;0")),0)</f>
        <v>2.4000000000000004</v>
      </c>
      <c r="M36" s="59">
        <f>IFERROR(TBA_Rankings[[#This Row],[avespkrT]]/TBA_Rankings[[#This Row],[avespkrA]],0)</f>
        <v>0.25531914893617025</v>
      </c>
      <c r="N36" s="66">
        <f>IFERROR(AVERAGEIFS(TBA_Matches_All[Trap],TBA_Matches_All[Team],TBA_Rankings[[#This Row],[Team]],TBA_Matches_All[Scouted],"&gt;0"),0)</f>
        <v>0</v>
      </c>
      <c r="O36" s="66">
        <f>IFERROR(SUM(AVERAGEIFS(TBA_Matches_All[AtrapT],TBA_Matches_All[Team],TBA_Rankings[[#This Row],[Team]],TBA_Matches_All[Scouted],"&gt;0")+AVERAGEIFS(TBA_Matches_All[TtrapT],TBA_Matches_All[Team],TBA_Rankings[[#This Row],[Team]],TBA_Matches_All[Scouted],"&gt;0")),0)</f>
        <v>0</v>
      </c>
      <c r="P36" s="59">
        <f>IFERROR(TBA_Rankings[[#This Row],[avetrapT]]/TBA_Rankings[[#This Row],[avetrapA]],0)</f>
        <v>0</v>
      </c>
      <c r="Q36" s="66">
        <f>IFERROR(AVERAGEIFS(TBA_Matches_All[TotNotes],TBA_Matches_All[Team],TBA_Rankings[[#This Row],[Team]],TBA_Matches_All[Scouted],"&gt;0"),0)</f>
        <v>11.8</v>
      </c>
      <c r="R36" s="66">
        <f>IFERROR(AVERAGEIFS(TBA_Matches_All[TotNotesT],TBA_Matches_All[Team],TBA_Rankings[[#This Row],[Team]],TBA_Matches_All[Scouted],"&gt;0"),0)</f>
        <v>2.6</v>
      </c>
      <c r="S36" s="59">
        <f>IFERROR(TBA_Rankings[[#This Row],[avenotesT]]/TBA_Rankings[[#This Row],[avenotesA]],0)</f>
        <v>0.22033898305084745</v>
      </c>
      <c r="T36" s="66">
        <f>IFERROR(AVERAGEIFS(TBA_Matches_All[StagePts],TBA_Matches_All[Team],TBA_Rankings[[#This Row],[Team]],TBA_Matches_All[Scouted],"&gt;0"),0)</f>
        <v>3.2</v>
      </c>
      <c r="U36" s="66">
        <f>IFERROR(AVERAGEIFS(TBA_Matches_All[stageptsT],TBA_Matches_All[Team],TBA_Rankings[[#This Row],[Team]],TBA_Matches_All[Scouted],"&gt;0"),0)</f>
        <v>0.6</v>
      </c>
      <c r="V36" s="59">
        <f>IFERROR(TBA_Rankings[[#This Row],[avestageT]]/TBA_Rankings[[#This Row],[avestageA]],0)</f>
        <v>0.18749999999999997</v>
      </c>
      <c r="W36" s="66">
        <f>IFERROR(AVERAGEIFS(TBA_Matches_All[AampT],TBA_Matches_All[Team],TBA_Rankings[[#This Row],[Team]],TBA_Matches_All[Scouted],"&gt;0"),0)</f>
        <v>0.2</v>
      </c>
      <c r="X36" s="66">
        <f>IFERROR(AVERAGEIFS(TBA_Matches_All[AspkrT],TBA_Matches_All[Team],TBA_Rankings[[#This Row],[Team]],TBA_Matches_All[Scouted],"&gt;0"),0)</f>
        <v>0.2</v>
      </c>
      <c r="Y36" s="66">
        <f>IFERROR(AVERAGEIFS(TBA_Matches_All[AtrapT],TBA_Matches_All[Team],TBA_Rankings[[#This Row],[Team]],TBA_Matches_All[Scouted],"&gt;0"),0)</f>
        <v>0</v>
      </c>
      <c r="Z36" s="66">
        <f>IFERROR(AVERAGEIFS(TBA_Matches_All[TampT],TBA_Matches_All[Team],TBA_Rankings[[#This Row],[Team]],TBA_Matches_All[Scouted],"&gt;0"),0)</f>
        <v>0</v>
      </c>
      <c r="AA36" s="66">
        <f>IFERROR(AVERAGEIFS(TBA_Matches_All[TspkrT],TBA_Matches_All[Team],TBA_Rankings[[#This Row],[Team]],TBA_Matches_All[Scouted],"&gt;0"),0)</f>
        <v>2.2000000000000002</v>
      </c>
      <c r="AB36" s="66">
        <f>IFERROR(AVERAGEIFS(TBA_Matches_All[TtrapT],TBA_Matches_All[Team],TBA_Rankings[[#This Row],[Team]],TBA_Matches_All[Scouted],"&gt;0"),0)</f>
        <v>0</v>
      </c>
      <c r="AC36" s="66">
        <f>IFERROR(AVERAGEIFS(TBA_Matches_All[ATTNDDiff],TBA_Matches_All[Team],TBA_Rankings[[#This Row],[Team]],TBA_Matches_All[Defense],3,TBA_Matches_All[Scouted],"&gt;0"),0)</f>
        <v>0</v>
      </c>
      <c r="AD36" s="66">
        <f>IFERROR(AVERAGEIFS(TBA_Matches_All[ATTNDDiff],TBA_Matches_All[Team],TBA_Rankings[[#This Row],[Team]],TBA_Matches_All[Defense],2,TBA_Matches_All[Scouted],"&gt;0"),0)</f>
        <v>0</v>
      </c>
      <c r="AE36" s="66">
        <f>IFERROR(AVERAGEIFS(TBA_Matches_All[ATTNDDiff],TBA_Matches_All[Team],TBA_Rankings[[#This Row],[Team]],TBA_Matches_All[Defense],1,TBA_Matches_All[Scouted],"&gt;0"),0)</f>
        <v>0</v>
      </c>
      <c r="AF36" s="66">
        <f>IFERROR(AVERAGEIFS(TBA_Matches_All[ATTNDDiff],TBA_Matches_All[Team],TBA_Rankings[[#This Row],[Team]],TBA_Matches_All[Defense],0,TBA_Matches_All[Scouted],"&gt;0"),0)</f>
        <v>-1.7763568394002506E-16</v>
      </c>
      <c r="AG36" s="66">
        <f>IFERROR(AVERAGEIFS(TBA_Matches_All[ATTNDDiff],TBA_Matches_All[Team],TBA_Rankings[[#This Row],[Team]],TBA_Matches_All[Avoid],3,TBA_Matches_All[Scouted],"&gt;0"),0)</f>
        <v>0</v>
      </c>
      <c r="AH36" s="66">
        <f>IFERROR(AVERAGEIFS(TBA_Matches_All[ATTNDDiff],TBA_Matches_All[Team],TBA_Rankings[[#This Row],[Team]],TBA_Matches_All[Avoid],2,TBA_Matches_All[Scouted],"&gt;0"),0)</f>
        <v>0</v>
      </c>
      <c r="AI36" s="66">
        <f>IFERROR(AVERAGEIFS(TBA_Matches_All[ATTNDDiff],TBA_Matches_All[Team],TBA_Rankings[[#This Row],[Team]],TBA_Matches_All[Avoid],1,TBA_Matches_All[Scouted],"&gt;0"),0)</f>
        <v>8.86013986013986</v>
      </c>
      <c r="AJ36" s="66">
        <f>IFERROR(AVERAGEIFS(TBA_Matches_All[ATTNDDiff],TBA_Matches_All[Team],TBA_Rankings[[#This Row],[Team]],TBA_Matches_All[Avoid],0,TBA_Matches_All[Scouted],"&gt;0"),0)</f>
        <v>-2.215034965034965</v>
      </c>
    </row>
    <row r="37" spans="1:36" x14ac:dyDescent="0.3">
      <c r="A37" t="s">
        <v>1419</v>
      </c>
      <c r="B37" s="1">
        <v>32</v>
      </c>
      <c r="C37" t="s">
        <v>368</v>
      </c>
      <c r="D37" s="1">
        <v>288</v>
      </c>
      <c r="E37" s="66">
        <f>IFERROR(AVERAGEIFS(TBA_Matches_All[Score], TBA_Matches_All[Team],TBA_Rankings[[#This Row],[Team]],TBA_Matches_All[Scouted],"&gt;0"),0)</f>
        <v>56.666666666666664</v>
      </c>
      <c r="F37" s="66">
        <f>IFERROR(AVERAGEIFS(TBA_Matches_All[TotptsC], TBA_Matches_All[Team],TBA_Rankings[[#This Row],[Team]],TBA_Matches_All[Scouted],"&gt;0"),0)</f>
        <v>9.6333333333333329</v>
      </c>
      <c r="G37" s="59">
        <f>IFERROR(TBA_Rankings[[#This Row],[avescoreT]]/TBA_Rankings[[#This Row],[avescoreA]],0)</f>
        <v>0.17</v>
      </c>
      <c r="H37" s="66">
        <f>IFERROR(SUM(AVERAGEIFS(TBA_Matches_All[Aamp],TBA_Matches_All[Team],TBA_Rankings[[#This Row],[Team]],TBA_Matches_All[Scouted],"&gt;0")+AVERAGEIFS(TBA_Matches_All[Tamp],TBA_Matches_All[Team],TBA_Rankings[[#This Row],[Team]],TBA_Matches_All[Scouted],"&gt;0")),0)</f>
        <v>3.1666666666666665</v>
      </c>
      <c r="I37" s="66">
        <f>IFERROR(SUM(AVERAGEIFS(TBA_Matches_All[AampT],TBA_Matches_All[Team],TBA_Rankings[[#This Row],[Team]],TBA_Matches_All[Scouted],"&gt;0")+AVERAGEIFS(TBA_Matches_All[TampT],TBA_Matches_All[Team],TBA_Rankings[[#This Row],[Team]],TBA_Matches_All[Scouted],"&gt;0")),0)</f>
        <v>0</v>
      </c>
      <c r="J37" s="59">
        <f>IFERROR(TBA_Rankings[[#This Row],[aveampT]]/TBA_Rankings[[#This Row],[aveampA]],0)</f>
        <v>0</v>
      </c>
      <c r="K37" s="66">
        <f>IFERROR(SUM(AVERAGEIFS(TBA_Matches_All[Aspkr],TBA_Matches_All[Team],TBA_Rankings[[#This Row],[Team]],TBA_Matches_All[Scouted],"&gt;0")+AVERAGEIFS(TBA_Matches_All[Tspkr],TBA_Matches_All[Team],TBA_Rankings[[#This Row],[Team]],TBA_Matches_All[Scouted],"&gt;0")),0)</f>
        <v>10.833333333333334</v>
      </c>
      <c r="L37" s="66">
        <f>IFERROR(SUM(AVERAGEIFS(TBA_Matches_All[AspkrT],TBA_Matches_All[Team],TBA_Rankings[[#This Row],[Team]],TBA_Matches_All[Scouted],"&gt;0")+AVERAGEIFS(TBA_Matches_All[TspkrT],TBA_Matches_All[Team],TBA_Rankings[[#This Row],[Team]],TBA_Matches_All[Scouted],"&gt;0")),0)</f>
        <v>2.166666666666667</v>
      </c>
      <c r="M37" s="59">
        <f>IFERROR(TBA_Rankings[[#This Row],[avespkrT]]/TBA_Rankings[[#This Row],[avespkrA]],0)</f>
        <v>0.2</v>
      </c>
      <c r="N37" s="66">
        <f>IFERROR(AVERAGEIFS(TBA_Matches_All[Trap],TBA_Matches_All[Team],TBA_Rankings[[#This Row],[Team]],TBA_Matches_All[Scouted],"&gt;0"),0)</f>
        <v>0</v>
      </c>
      <c r="O37" s="66">
        <f>IFERROR(SUM(AVERAGEIFS(TBA_Matches_All[AtrapT],TBA_Matches_All[Team],TBA_Rankings[[#This Row],[Team]],TBA_Matches_All[Scouted],"&gt;0")+AVERAGEIFS(TBA_Matches_All[TtrapT],TBA_Matches_All[Team],TBA_Rankings[[#This Row],[Team]],TBA_Matches_All[Scouted],"&gt;0")),0)</f>
        <v>0</v>
      </c>
      <c r="P37" s="59">
        <f>IFERROR(TBA_Rankings[[#This Row],[avetrapT]]/TBA_Rankings[[#This Row],[avetrapA]],0)</f>
        <v>0</v>
      </c>
      <c r="Q37" s="66">
        <f>IFERROR(AVERAGEIFS(TBA_Matches_All[TotNotes],TBA_Matches_All[Team],TBA_Rankings[[#This Row],[Team]],TBA_Matches_All[Scouted],"&gt;0"),0)</f>
        <v>14</v>
      </c>
      <c r="R37" s="66">
        <f>IFERROR(AVERAGEIFS(TBA_Matches_All[TotNotesT],TBA_Matches_All[Team],TBA_Rankings[[#This Row],[Team]],TBA_Matches_All[Scouted],"&gt;0"),0)</f>
        <v>2.1666666666666665</v>
      </c>
      <c r="S37" s="59">
        <f>IFERROR(TBA_Rankings[[#This Row],[avenotesT]]/TBA_Rankings[[#This Row],[avenotesA]],0)</f>
        <v>0.15476190476190474</v>
      </c>
      <c r="T37" s="66">
        <f>IFERROR(AVERAGEIFS(TBA_Matches_All[StagePts],TBA_Matches_All[Team],TBA_Rankings[[#This Row],[Team]],TBA_Matches_All[Scouted],"&gt;0"),0)</f>
        <v>7.166666666666667</v>
      </c>
      <c r="U37" s="66">
        <f>IFERROR(AVERAGEIFS(TBA_Matches_All[stageptsT],TBA_Matches_All[Team],TBA_Rankings[[#This Row],[Team]],TBA_Matches_All[Scouted],"&gt;0"),0)</f>
        <v>2.1666666666666665</v>
      </c>
      <c r="V37" s="59">
        <f>IFERROR(TBA_Rankings[[#This Row],[avestageT]]/TBA_Rankings[[#This Row],[avestageA]],0)</f>
        <v>0.30232558139534882</v>
      </c>
      <c r="W37" s="66">
        <f>IFERROR(AVERAGEIFS(TBA_Matches_All[AampT],TBA_Matches_All[Team],TBA_Rankings[[#This Row],[Team]],TBA_Matches_All[Scouted],"&gt;0"),0)</f>
        <v>0</v>
      </c>
      <c r="X37" s="66">
        <f>IFERROR(AVERAGEIFS(TBA_Matches_All[AspkrT],TBA_Matches_All[Team],TBA_Rankings[[#This Row],[Team]],TBA_Matches_All[Scouted],"&gt;0"),0)</f>
        <v>0.5</v>
      </c>
      <c r="Y37" s="66">
        <f>IFERROR(AVERAGEIFS(TBA_Matches_All[AtrapT],TBA_Matches_All[Team],TBA_Rankings[[#This Row],[Team]],TBA_Matches_All[Scouted],"&gt;0"),0)</f>
        <v>0</v>
      </c>
      <c r="Z37" s="66">
        <f>IFERROR(AVERAGEIFS(TBA_Matches_All[TampT],TBA_Matches_All[Team],TBA_Rankings[[#This Row],[Team]],TBA_Matches_All[Scouted],"&gt;0"),0)</f>
        <v>0</v>
      </c>
      <c r="AA37" s="66">
        <f>IFERROR(AVERAGEIFS(TBA_Matches_All[TspkrT],TBA_Matches_All[Team],TBA_Rankings[[#This Row],[Team]],TBA_Matches_All[Scouted],"&gt;0"),0)</f>
        <v>1.6666666666666667</v>
      </c>
      <c r="AB37" s="66">
        <f>IFERROR(AVERAGEIFS(TBA_Matches_All[TtrapT],TBA_Matches_All[Team],TBA_Rankings[[#This Row],[Team]],TBA_Matches_All[Scouted],"&gt;0"),0)</f>
        <v>0</v>
      </c>
      <c r="AC37" s="66">
        <f>IFERROR(AVERAGEIFS(TBA_Matches_All[ATTNDDiff],TBA_Matches_All[Team],TBA_Rankings[[#This Row],[Team]],TBA_Matches_All[Defense],3,TBA_Matches_All[Scouted],"&gt;0"),0)</f>
        <v>-0.96</v>
      </c>
      <c r="AD37" s="66">
        <f>IFERROR(AVERAGEIFS(TBA_Matches_All[ATTNDDiff],TBA_Matches_All[Team],TBA_Rankings[[#This Row],[Team]],TBA_Matches_All[Defense],2,TBA_Matches_All[Scouted],"&gt;0"),0)</f>
        <v>0</v>
      </c>
      <c r="AE37" s="66">
        <f>IFERROR(AVERAGEIFS(TBA_Matches_All[ATTNDDiff],TBA_Matches_All[Team],TBA_Rankings[[#This Row],[Team]],TBA_Matches_All[Defense],1,TBA_Matches_All[Scouted],"&gt;0"),0)</f>
        <v>0</v>
      </c>
      <c r="AF37" s="66">
        <f>IFERROR(AVERAGEIFS(TBA_Matches_All[ATTNDDiff],TBA_Matches_All[Team],TBA_Rankings[[#This Row],[Team]],TBA_Matches_All[Defense],0,TBA_Matches_All[Scouted],"&gt;0"),0)</f>
        <v>0.19199999999999981</v>
      </c>
      <c r="AG37" s="66">
        <f>IFERROR(AVERAGEIFS(TBA_Matches_All[ATTNDDiff],TBA_Matches_All[Team],TBA_Rankings[[#This Row],[Team]],TBA_Matches_All[Avoid],3,TBA_Matches_All[Scouted],"&gt;0"),0)</f>
        <v>2.04</v>
      </c>
      <c r="AH37" s="66">
        <f>IFERROR(AVERAGEIFS(TBA_Matches_All[ATTNDDiff],TBA_Matches_All[Team],TBA_Rankings[[#This Row],[Team]],TBA_Matches_All[Avoid],2,TBA_Matches_All[Scouted],"&gt;0"),0)</f>
        <v>-5.16</v>
      </c>
      <c r="AI37" s="66">
        <f>IFERROR(AVERAGEIFS(TBA_Matches_All[ATTNDDiff],TBA_Matches_All[Team],TBA_Rankings[[#This Row],[Team]],TBA_Matches_All[Avoid],1,TBA_Matches_All[Scouted],"&gt;0"),0)</f>
        <v>3.2399999999999998</v>
      </c>
      <c r="AJ37" s="66">
        <f>IFERROR(AVERAGEIFS(TBA_Matches_All[ATTNDDiff],TBA_Matches_All[Team],TBA_Rankings[[#This Row],[Team]],TBA_Matches_All[Avoid],0,TBA_Matches_All[Scouted],"&gt;0"),0)</f>
        <v>-1.68</v>
      </c>
    </row>
    <row r="38" spans="1:36" x14ac:dyDescent="0.3">
      <c r="A38" t="s">
        <v>1419</v>
      </c>
      <c r="B38" s="1">
        <v>27</v>
      </c>
      <c r="C38" t="s">
        <v>1302</v>
      </c>
      <c r="D38" s="1">
        <v>539</v>
      </c>
      <c r="E38" s="66">
        <f>IFERROR(AVERAGEIFS(TBA_Matches_All[Score], TBA_Matches_All[Team],TBA_Rankings[[#This Row],[Team]],TBA_Matches_All[Scouted],"&gt;0"),0)</f>
        <v>46.333333333333336</v>
      </c>
      <c r="F38" s="66">
        <f>IFERROR(AVERAGEIFS(TBA_Matches_All[TotptsC], TBA_Matches_All[Team],TBA_Rankings[[#This Row],[Team]],TBA_Matches_All[Scouted],"&gt;0"),0)</f>
        <v>7.8268939393939396</v>
      </c>
      <c r="G38" s="59">
        <f>IFERROR(TBA_Rankings[[#This Row],[avescoreT]]/TBA_Rankings[[#This Row],[avescoreA]],0)</f>
        <v>0.1689257684761282</v>
      </c>
      <c r="H38" s="66">
        <f>IFERROR(SUM(AVERAGEIFS(TBA_Matches_All[Aamp],TBA_Matches_All[Team],TBA_Rankings[[#This Row],[Team]],TBA_Matches_All[Scouted],"&gt;0")+AVERAGEIFS(TBA_Matches_All[Tamp],TBA_Matches_All[Team],TBA_Rankings[[#This Row],[Team]],TBA_Matches_All[Scouted],"&gt;0")),0)</f>
        <v>2</v>
      </c>
      <c r="I38" s="66">
        <f>IFERROR(SUM(AVERAGEIFS(TBA_Matches_All[AampT],TBA_Matches_All[Team],TBA_Rankings[[#This Row],[Team]],TBA_Matches_All[Scouted],"&gt;0")+AVERAGEIFS(TBA_Matches_All[TampT],TBA_Matches_All[Team],TBA_Rankings[[#This Row],[Team]],TBA_Matches_All[Scouted],"&gt;0")),0)</f>
        <v>0</v>
      </c>
      <c r="J38" s="59">
        <f>IFERROR(TBA_Rankings[[#This Row],[aveampT]]/TBA_Rankings[[#This Row],[aveampA]],0)</f>
        <v>0</v>
      </c>
      <c r="K38" s="66">
        <f>IFERROR(SUM(AVERAGEIFS(TBA_Matches_All[Aspkr],TBA_Matches_All[Team],TBA_Rankings[[#This Row],[Team]],TBA_Matches_All[Scouted],"&gt;0")+AVERAGEIFS(TBA_Matches_All[Tspkr],TBA_Matches_All[Team],TBA_Rankings[[#This Row],[Team]],TBA_Matches_All[Scouted],"&gt;0")),0)</f>
        <v>9.8333333333333339</v>
      </c>
      <c r="L38" s="66">
        <f>IFERROR(SUM(AVERAGEIFS(TBA_Matches_All[AspkrT],TBA_Matches_All[Team],TBA_Rankings[[#This Row],[Team]],TBA_Matches_All[Scouted],"&gt;0")+AVERAGEIFS(TBA_Matches_All[TspkrT],TBA_Matches_All[Team],TBA_Rankings[[#This Row],[Team]],TBA_Matches_All[Scouted],"&gt;0")),0)</f>
        <v>2.1666666666666665</v>
      </c>
      <c r="M38" s="59">
        <f>IFERROR(TBA_Rankings[[#This Row],[avespkrT]]/TBA_Rankings[[#This Row],[avespkrA]],0)</f>
        <v>0.22033898305084743</v>
      </c>
      <c r="N38" s="66">
        <f>IFERROR(AVERAGEIFS(TBA_Matches_All[Trap],TBA_Matches_All[Team],TBA_Rankings[[#This Row],[Team]],TBA_Matches_All[Scouted],"&gt;0"),0)</f>
        <v>0.16666666666666666</v>
      </c>
      <c r="O38" s="66">
        <f>IFERROR(SUM(AVERAGEIFS(TBA_Matches_All[AtrapT],TBA_Matches_All[Team],TBA_Rankings[[#This Row],[Team]],TBA_Matches_All[Scouted],"&gt;0")+AVERAGEIFS(TBA_Matches_All[TtrapT],TBA_Matches_All[Team],TBA_Rankings[[#This Row],[Team]],TBA_Matches_All[Scouted],"&gt;0")),0)</f>
        <v>0</v>
      </c>
      <c r="P38" s="59">
        <f>IFERROR(TBA_Rankings[[#This Row],[avetrapT]]/TBA_Rankings[[#This Row],[avetrapA]],0)</f>
        <v>0</v>
      </c>
      <c r="Q38" s="66">
        <f>IFERROR(AVERAGEIFS(TBA_Matches_All[TotNotes],TBA_Matches_All[Team],TBA_Rankings[[#This Row],[Team]],TBA_Matches_All[Scouted],"&gt;0"),0)</f>
        <v>11.833333333333334</v>
      </c>
      <c r="R38" s="66">
        <f>IFERROR(AVERAGEIFS(TBA_Matches_All[TotNotesT],TBA_Matches_All[Team],TBA_Rankings[[#This Row],[Team]],TBA_Matches_All[Scouted],"&gt;0"),0)</f>
        <v>2.1666666666666665</v>
      </c>
      <c r="S38" s="59">
        <f>IFERROR(TBA_Rankings[[#This Row],[avenotesT]]/TBA_Rankings[[#This Row],[avenotesA]],0)</f>
        <v>0.18309859154929575</v>
      </c>
      <c r="T38" s="66">
        <f>IFERROR(AVERAGEIFS(TBA_Matches_All[StagePts],TBA_Matches_All[Team],TBA_Rankings[[#This Row],[Team]],TBA_Matches_All[Scouted],"&gt;0"),0)</f>
        <v>4.166666666666667</v>
      </c>
      <c r="U38" s="66">
        <f>IFERROR(AVERAGEIFS(TBA_Matches_All[stageptsT],TBA_Matches_All[Team],TBA_Rankings[[#This Row],[Team]],TBA_Matches_All[Scouted],"&gt;0"),0)</f>
        <v>0.83333333333333337</v>
      </c>
      <c r="V38" s="59">
        <f>IFERROR(TBA_Rankings[[#This Row],[avestageT]]/TBA_Rankings[[#This Row],[avestageA]],0)</f>
        <v>0.19999999999999998</v>
      </c>
      <c r="W38" s="66">
        <f>IFERROR(AVERAGEIFS(TBA_Matches_All[AampT],TBA_Matches_All[Team],TBA_Rankings[[#This Row],[Team]],TBA_Matches_All[Scouted],"&gt;0"),0)</f>
        <v>0</v>
      </c>
      <c r="X38" s="66">
        <f>IFERROR(AVERAGEIFS(TBA_Matches_All[AspkrT],TBA_Matches_All[Team],TBA_Rankings[[#This Row],[Team]],TBA_Matches_All[Scouted],"&gt;0"),0)</f>
        <v>0</v>
      </c>
      <c r="Y38" s="66">
        <f>IFERROR(AVERAGEIFS(TBA_Matches_All[AtrapT],TBA_Matches_All[Team],TBA_Rankings[[#This Row],[Team]],TBA_Matches_All[Scouted],"&gt;0"),0)</f>
        <v>0</v>
      </c>
      <c r="Z38" s="66">
        <f>IFERROR(AVERAGEIFS(TBA_Matches_All[TampT],TBA_Matches_All[Team],TBA_Rankings[[#This Row],[Team]],TBA_Matches_All[Scouted],"&gt;0"),0)</f>
        <v>0</v>
      </c>
      <c r="AA38" s="66">
        <f>IFERROR(AVERAGEIFS(TBA_Matches_All[TspkrT],TBA_Matches_All[Team],TBA_Rankings[[#This Row],[Team]],TBA_Matches_All[Scouted],"&gt;0"),0)</f>
        <v>2.1666666666666665</v>
      </c>
      <c r="AB38" s="66">
        <f>IFERROR(AVERAGEIFS(TBA_Matches_All[TtrapT],TBA_Matches_All[Team],TBA_Rankings[[#This Row],[Team]],TBA_Matches_All[Scouted],"&gt;0"),0)</f>
        <v>0</v>
      </c>
      <c r="AC38" s="66">
        <f>IFERROR(AVERAGEIFS(TBA_Matches_All[ATTNDDiff],TBA_Matches_All[Team],TBA_Rankings[[#This Row],[Team]],TBA_Matches_All[Defense],3,TBA_Matches_All[Scouted],"&gt;0"),0)</f>
        <v>0</v>
      </c>
      <c r="AD38" s="66">
        <f>IFERROR(AVERAGEIFS(TBA_Matches_All[ATTNDDiff],TBA_Matches_All[Team],TBA_Rankings[[#This Row],[Team]],TBA_Matches_All[Defense],2,TBA_Matches_All[Scouted],"&gt;0"),0)</f>
        <v>0.77136363636363647</v>
      </c>
      <c r="AE38" s="66">
        <f>IFERROR(AVERAGEIFS(TBA_Matches_All[ATTNDDiff],TBA_Matches_All[Team],TBA_Rankings[[#This Row],[Team]],TBA_Matches_All[Defense],1,TBA_Matches_All[Scouted],"&gt;0"),0)</f>
        <v>0</v>
      </c>
      <c r="AF38" s="66">
        <f>IFERROR(AVERAGEIFS(TBA_Matches_All[ATTNDDiff],TBA_Matches_All[Team],TBA_Rankings[[#This Row],[Team]],TBA_Matches_All[Defense],0,TBA_Matches_All[Scouted],"&gt;0"),0)</f>
        <v>-0.15427272727272712</v>
      </c>
      <c r="AG38" s="66">
        <f>IFERROR(AVERAGEIFS(TBA_Matches_All[ATTNDDiff],TBA_Matches_All[Team],TBA_Rankings[[#This Row],[Team]],TBA_Matches_All[Avoid],3,TBA_Matches_All[Scouted],"&gt;0"),0)</f>
        <v>1.207727272727273</v>
      </c>
      <c r="AH38" s="66">
        <f>IFERROR(AVERAGEIFS(TBA_Matches_All[ATTNDDiff],TBA_Matches_All[Team],TBA_Rankings[[#This Row],[Team]],TBA_Matches_All[Avoid],2,TBA_Matches_All[Scouted],"&gt;0"),0)</f>
        <v>1.207727272727273</v>
      </c>
      <c r="AI38" s="66">
        <f>IFERROR(AVERAGEIFS(TBA_Matches_All[ATTNDDiff],TBA_Matches_All[Team],TBA_Rankings[[#This Row],[Team]],TBA_Matches_All[Avoid],1,TBA_Matches_All[Scouted],"&gt;0"),0)</f>
        <v>0</v>
      </c>
      <c r="AJ38" s="66">
        <f>IFERROR(AVERAGEIFS(TBA_Matches_All[ATTNDDiff],TBA_Matches_All[Team],TBA_Rankings[[#This Row],[Team]],TBA_Matches_All[Avoid],0,TBA_Matches_All[Scouted],"&gt;0"),0)</f>
        <v>-0.60386363636363627</v>
      </c>
    </row>
    <row r="39" spans="1:36" x14ac:dyDescent="0.3">
      <c r="A39" t="s">
        <v>1419</v>
      </c>
      <c r="B39" s="1">
        <v>12</v>
      </c>
      <c r="C39" t="s">
        <v>1309</v>
      </c>
      <c r="D39" s="1">
        <v>468</v>
      </c>
      <c r="E39" s="66">
        <f>IFERROR(AVERAGEIFS(TBA_Matches_All[Score], TBA_Matches_All[Team],TBA_Rankings[[#This Row],[Team]],TBA_Matches_All[Scouted],"&gt;0"),0)</f>
        <v>55.2</v>
      </c>
      <c r="F39" s="66">
        <f>IFERROR(AVERAGEIFS(TBA_Matches_All[TotptsC], TBA_Matches_All[Team],TBA_Rankings[[#This Row],[Team]],TBA_Matches_All[Scouted],"&gt;0"),0)</f>
        <v>10.513846153846155</v>
      </c>
      <c r="G39" s="59">
        <f>IFERROR(TBA_Rankings[[#This Row],[avescoreT]]/TBA_Rankings[[#This Row],[avescoreA]],0)</f>
        <v>0.19046822742474917</v>
      </c>
      <c r="H39" s="66">
        <f>IFERROR(SUM(AVERAGEIFS(TBA_Matches_All[Aamp],TBA_Matches_All[Team],TBA_Rankings[[#This Row],[Team]],TBA_Matches_All[Scouted],"&gt;0")+AVERAGEIFS(TBA_Matches_All[Tamp],TBA_Matches_All[Team],TBA_Rankings[[#This Row],[Team]],TBA_Matches_All[Scouted],"&gt;0")),0)</f>
        <v>3.2</v>
      </c>
      <c r="I39" s="66">
        <f>IFERROR(SUM(AVERAGEIFS(TBA_Matches_All[AampT],TBA_Matches_All[Team],TBA_Rankings[[#This Row],[Team]],TBA_Matches_All[Scouted],"&gt;0")+AVERAGEIFS(TBA_Matches_All[TampT],TBA_Matches_All[Team],TBA_Rankings[[#This Row],[Team]],TBA_Matches_All[Scouted],"&gt;0")),0)</f>
        <v>1.2</v>
      </c>
      <c r="J39" s="59">
        <f>IFERROR(TBA_Rankings[[#This Row],[aveampT]]/TBA_Rankings[[#This Row],[aveampA]],0)</f>
        <v>0.37499999999999994</v>
      </c>
      <c r="K39" s="66">
        <f>IFERROR(SUM(AVERAGEIFS(TBA_Matches_All[Aspkr],TBA_Matches_All[Team],TBA_Rankings[[#This Row],[Team]],TBA_Matches_All[Scouted],"&gt;0")+AVERAGEIFS(TBA_Matches_All[Tspkr],TBA_Matches_All[Team],TBA_Rankings[[#This Row],[Team]],TBA_Matches_All[Scouted],"&gt;0")),0)</f>
        <v>11.399999999999999</v>
      </c>
      <c r="L39" s="66">
        <f>IFERROR(SUM(AVERAGEIFS(TBA_Matches_All[AspkrT],TBA_Matches_All[Team],TBA_Rankings[[#This Row],[Team]],TBA_Matches_All[Scouted],"&gt;0")+AVERAGEIFS(TBA_Matches_All[TspkrT],TBA_Matches_All[Team],TBA_Rankings[[#This Row],[Team]],TBA_Matches_All[Scouted],"&gt;0")),0)</f>
        <v>2</v>
      </c>
      <c r="M39" s="59">
        <f>IFERROR(TBA_Rankings[[#This Row],[avespkrT]]/TBA_Rankings[[#This Row],[avespkrA]],0)</f>
        <v>0.17543859649122809</v>
      </c>
      <c r="N39" s="66">
        <f>IFERROR(AVERAGEIFS(TBA_Matches_All[Trap],TBA_Matches_All[Team],TBA_Rankings[[#This Row],[Team]],TBA_Matches_All[Scouted],"&gt;0"),0)</f>
        <v>0</v>
      </c>
      <c r="O39" s="66">
        <f>IFERROR(SUM(AVERAGEIFS(TBA_Matches_All[AtrapT],TBA_Matches_All[Team],TBA_Rankings[[#This Row],[Team]],TBA_Matches_All[Scouted],"&gt;0")+AVERAGEIFS(TBA_Matches_All[TtrapT],TBA_Matches_All[Team],TBA_Rankings[[#This Row],[Team]],TBA_Matches_All[Scouted],"&gt;0")),0)</f>
        <v>0</v>
      </c>
      <c r="P39" s="59">
        <f>IFERROR(TBA_Rankings[[#This Row],[avetrapT]]/TBA_Rankings[[#This Row],[avetrapA]],0)</f>
        <v>0</v>
      </c>
      <c r="Q39" s="66">
        <f>IFERROR(AVERAGEIFS(TBA_Matches_All[TotNotes],TBA_Matches_All[Team],TBA_Rankings[[#This Row],[Team]],TBA_Matches_All[Scouted],"&gt;0"),0)</f>
        <v>14.6</v>
      </c>
      <c r="R39" s="66">
        <f>IFERROR(AVERAGEIFS(TBA_Matches_All[TotNotesT],TBA_Matches_All[Team],TBA_Rankings[[#This Row],[Team]],TBA_Matches_All[Scouted],"&gt;0"),0)</f>
        <v>3.2</v>
      </c>
      <c r="S39" s="59">
        <f>IFERROR(TBA_Rankings[[#This Row],[avenotesT]]/TBA_Rankings[[#This Row],[avenotesA]],0)</f>
        <v>0.21917808219178084</v>
      </c>
      <c r="T39" s="66">
        <f>IFERROR(AVERAGEIFS(TBA_Matches_All[StagePts],TBA_Matches_All[Team],TBA_Rankings[[#This Row],[Team]],TBA_Matches_All[Scouted],"&gt;0"),0)</f>
        <v>3.8</v>
      </c>
      <c r="U39" s="66">
        <f>IFERROR(AVERAGEIFS(TBA_Matches_All[stageptsT],TBA_Matches_All[Team],TBA_Rankings[[#This Row],[Team]],TBA_Matches_All[Scouted],"&gt;0"),0)</f>
        <v>1.2</v>
      </c>
      <c r="V39" s="59">
        <f>IFERROR(TBA_Rankings[[#This Row],[avestageT]]/TBA_Rankings[[#This Row],[avestageA]],0)</f>
        <v>0.31578947368421051</v>
      </c>
      <c r="W39" s="66">
        <f>IFERROR(AVERAGEIFS(TBA_Matches_All[AampT],TBA_Matches_All[Team],TBA_Rankings[[#This Row],[Team]],TBA_Matches_All[Scouted],"&gt;0"),0)</f>
        <v>0</v>
      </c>
      <c r="X39" s="66">
        <f>IFERROR(AVERAGEIFS(TBA_Matches_All[AspkrT],TBA_Matches_All[Team],TBA_Rankings[[#This Row],[Team]],TBA_Matches_All[Scouted],"&gt;0"),0)</f>
        <v>0.6</v>
      </c>
      <c r="Y39" s="66">
        <f>IFERROR(AVERAGEIFS(TBA_Matches_All[AtrapT],TBA_Matches_All[Team],TBA_Rankings[[#This Row],[Team]],TBA_Matches_All[Scouted],"&gt;0"),0)</f>
        <v>0</v>
      </c>
      <c r="Z39" s="66">
        <f>IFERROR(AVERAGEIFS(TBA_Matches_All[TampT],TBA_Matches_All[Team],TBA_Rankings[[#This Row],[Team]],TBA_Matches_All[Scouted],"&gt;0"),0)</f>
        <v>1.2</v>
      </c>
      <c r="AA39" s="66">
        <f>IFERROR(AVERAGEIFS(TBA_Matches_All[TspkrT],TBA_Matches_All[Team],TBA_Rankings[[#This Row],[Team]],TBA_Matches_All[Scouted],"&gt;0"),0)</f>
        <v>1.4</v>
      </c>
      <c r="AB39" s="66">
        <f>IFERROR(AVERAGEIFS(TBA_Matches_All[TtrapT],TBA_Matches_All[Team],TBA_Rankings[[#This Row],[Team]],TBA_Matches_All[Scouted],"&gt;0"),0)</f>
        <v>0</v>
      </c>
      <c r="AC39" s="66">
        <f>IFERROR(AVERAGEIFS(TBA_Matches_All[ATTNDDiff],TBA_Matches_All[Team],TBA_Rankings[[#This Row],[Team]],TBA_Matches_All[Defense],3,TBA_Matches_All[Scouted],"&gt;0"),0)</f>
        <v>0</v>
      </c>
      <c r="AD39" s="66">
        <f>IFERROR(AVERAGEIFS(TBA_Matches_All[ATTNDDiff],TBA_Matches_All[Team],TBA_Rankings[[#This Row],[Team]],TBA_Matches_All[Defense],2,TBA_Matches_All[Scouted],"&gt;0"),0)</f>
        <v>0</v>
      </c>
      <c r="AE39" s="66">
        <f>IFERROR(AVERAGEIFS(TBA_Matches_All[ATTNDDiff],TBA_Matches_All[Team],TBA_Rankings[[#This Row],[Team]],TBA_Matches_All[Defense],1,TBA_Matches_All[Scouted],"&gt;0"),0)</f>
        <v>-6.8923076923076927</v>
      </c>
      <c r="AF39" s="66">
        <f>IFERROR(AVERAGEIFS(TBA_Matches_All[ATTNDDiff],TBA_Matches_All[Team],TBA_Rankings[[#This Row],[Team]],TBA_Matches_All[Defense],0,TBA_Matches_All[Scouted],"&gt;0"),0)</f>
        <v>1.7230769230769232</v>
      </c>
      <c r="AG39" s="66">
        <f>IFERROR(AVERAGEIFS(TBA_Matches_All[ATTNDDiff],TBA_Matches_All[Team],TBA_Rankings[[#This Row],[Team]],TBA_Matches_All[Avoid],3,TBA_Matches_All[Scouted],"&gt;0"),0)</f>
        <v>0</v>
      </c>
      <c r="AH39" s="66">
        <f>IFERROR(AVERAGEIFS(TBA_Matches_All[ATTNDDiff],TBA_Matches_All[Team],TBA_Rankings[[#This Row],[Team]],TBA_Matches_All[Avoid],2,TBA_Matches_All[Scouted],"&gt;0"),0)</f>
        <v>0</v>
      </c>
      <c r="AI39" s="66">
        <f>IFERROR(AVERAGEIFS(TBA_Matches_All[ATTNDDiff],TBA_Matches_All[Team],TBA_Rankings[[#This Row],[Team]],TBA_Matches_All[Avoid],1,TBA_Matches_All[Scouted],"&gt;0"),0)</f>
        <v>10.357692307692307</v>
      </c>
      <c r="AJ39" s="66">
        <f>IFERROR(AVERAGEIFS(TBA_Matches_All[ATTNDDiff],TBA_Matches_All[Team],TBA_Rankings[[#This Row],[Team]],TBA_Matches_All[Avoid],0,TBA_Matches_All[Scouted],"&gt;0"),0)</f>
        <v>-2.5894230769230768</v>
      </c>
    </row>
    <row r="40" spans="1:36" x14ac:dyDescent="0.3">
      <c r="A40" t="s">
        <v>1419</v>
      </c>
      <c r="B40" s="1">
        <v>46</v>
      </c>
      <c r="C40" t="s">
        <v>1278</v>
      </c>
      <c r="D40" s="1">
        <v>180</v>
      </c>
      <c r="E40" s="66">
        <f>IFERROR(AVERAGEIFS(TBA_Matches_All[Score], TBA_Matches_All[Team],TBA_Rankings[[#This Row],[Team]],TBA_Matches_All[Scouted],"&gt;0"),0)</f>
        <v>38</v>
      </c>
      <c r="F40" s="66">
        <f>IFERROR(AVERAGEIFS(TBA_Matches_All[TotptsC], TBA_Matches_All[Team],TBA_Rankings[[#This Row],[Team]],TBA_Matches_All[Scouted],"&gt;0"),0)</f>
        <v>15.040000000000001</v>
      </c>
      <c r="G40" s="59">
        <f>IFERROR(TBA_Rankings[[#This Row],[avescoreT]]/TBA_Rankings[[#This Row],[avescoreA]],0)</f>
        <v>0.39578947368421052</v>
      </c>
      <c r="H40" s="66">
        <f>IFERROR(SUM(AVERAGEIFS(TBA_Matches_All[Aamp],TBA_Matches_All[Team],TBA_Rankings[[#This Row],[Team]],TBA_Matches_All[Scouted],"&gt;0")+AVERAGEIFS(TBA_Matches_All[Tamp],TBA_Matches_All[Team],TBA_Rankings[[#This Row],[Team]],TBA_Matches_All[Scouted],"&gt;0")),0)</f>
        <v>2.6</v>
      </c>
      <c r="I40" s="66">
        <f>IFERROR(SUM(AVERAGEIFS(TBA_Matches_All[AampT],TBA_Matches_All[Team],TBA_Rankings[[#This Row],[Team]],TBA_Matches_All[Scouted],"&gt;0")+AVERAGEIFS(TBA_Matches_All[TampT],TBA_Matches_All[Team],TBA_Rankings[[#This Row],[Team]],TBA_Matches_All[Scouted],"&gt;0")),0)</f>
        <v>3</v>
      </c>
      <c r="J40" s="59">
        <f>IFERROR(TBA_Rankings[[#This Row],[aveampT]]/TBA_Rankings[[#This Row],[aveampA]],0)</f>
        <v>1.1538461538461537</v>
      </c>
      <c r="K40" s="66">
        <f>IFERROR(SUM(AVERAGEIFS(TBA_Matches_All[Aspkr],TBA_Matches_All[Team],TBA_Rankings[[#This Row],[Team]],TBA_Matches_All[Scouted],"&gt;0")+AVERAGEIFS(TBA_Matches_All[Tspkr],TBA_Matches_All[Team],TBA_Rankings[[#This Row],[Team]],TBA_Matches_All[Scouted],"&gt;0")),0)</f>
        <v>8.6</v>
      </c>
      <c r="L40" s="66">
        <f>IFERROR(SUM(AVERAGEIFS(TBA_Matches_All[AspkrT],TBA_Matches_All[Team],TBA_Rankings[[#This Row],[Team]],TBA_Matches_All[Scouted],"&gt;0")+AVERAGEIFS(TBA_Matches_All[TspkrT],TBA_Matches_All[Team],TBA_Rankings[[#This Row],[Team]],TBA_Matches_All[Scouted],"&gt;0")),0)</f>
        <v>2</v>
      </c>
      <c r="M40" s="59">
        <f>IFERROR(TBA_Rankings[[#This Row],[avespkrT]]/TBA_Rankings[[#This Row],[avespkrA]],0)</f>
        <v>0.23255813953488372</v>
      </c>
      <c r="N40" s="66">
        <f>IFERROR(AVERAGEIFS(TBA_Matches_All[Trap],TBA_Matches_All[Team],TBA_Rankings[[#This Row],[Team]],TBA_Matches_All[Scouted],"&gt;0"),0)</f>
        <v>0</v>
      </c>
      <c r="O40" s="66">
        <f>IFERROR(SUM(AVERAGEIFS(TBA_Matches_All[AtrapT],TBA_Matches_All[Team],TBA_Rankings[[#This Row],[Team]],TBA_Matches_All[Scouted],"&gt;0")+AVERAGEIFS(TBA_Matches_All[TtrapT],TBA_Matches_All[Team],TBA_Rankings[[#This Row],[Team]],TBA_Matches_All[Scouted],"&gt;0")),0)</f>
        <v>0</v>
      </c>
      <c r="P40" s="59">
        <f>IFERROR(TBA_Rankings[[#This Row],[avetrapT]]/TBA_Rankings[[#This Row],[avetrapA]],0)</f>
        <v>0</v>
      </c>
      <c r="Q40" s="66">
        <f>IFERROR(AVERAGEIFS(TBA_Matches_All[TotNotes],TBA_Matches_All[Team],TBA_Rankings[[#This Row],[Team]],TBA_Matches_All[Scouted],"&gt;0"),0)</f>
        <v>11.2</v>
      </c>
      <c r="R40" s="66">
        <f>IFERROR(AVERAGEIFS(TBA_Matches_All[TotNotesT],TBA_Matches_All[Team],TBA_Rankings[[#This Row],[Team]],TBA_Matches_All[Scouted],"&gt;0"),0)</f>
        <v>5</v>
      </c>
      <c r="S40" s="59">
        <f>IFERROR(TBA_Rankings[[#This Row],[avenotesT]]/TBA_Rankings[[#This Row],[avenotesA]],0)</f>
        <v>0.44642857142857145</v>
      </c>
      <c r="T40" s="66">
        <f>IFERROR(AVERAGEIFS(TBA_Matches_All[StagePts],TBA_Matches_All[Team],TBA_Rankings[[#This Row],[Team]],TBA_Matches_All[Scouted],"&gt;0"),0)</f>
        <v>4.2</v>
      </c>
      <c r="U40" s="66">
        <f>IFERROR(AVERAGEIFS(TBA_Matches_All[stageptsT],TBA_Matches_All[Team],TBA_Rankings[[#This Row],[Team]],TBA_Matches_All[Scouted],"&gt;0"),0)</f>
        <v>1.4</v>
      </c>
      <c r="V40" s="59">
        <f>IFERROR(TBA_Rankings[[#This Row],[avestageT]]/TBA_Rankings[[#This Row],[avestageA]],0)</f>
        <v>0.33333333333333331</v>
      </c>
      <c r="W40" s="66">
        <f>IFERROR(AVERAGEIFS(TBA_Matches_All[AampT],TBA_Matches_All[Team],TBA_Rankings[[#This Row],[Team]],TBA_Matches_All[Scouted],"&gt;0"),0)</f>
        <v>0</v>
      </c>
      <c r="X40" s="66">
        <f>IFERROR(AVERAGEIFS(TBA_Matches_All[AspkrT],TBA_Matches_All[Team],TBA_Rankings[[#This Row],[Team]],TBA_Matches_All[Scouted],"&gt;0"),0)</f>
        <v>1.6</v>
      </c>
      <c r="Y40" s="66">
        <f>IFERROR(AVERAGEIFS(TBA_Matches_All[AtrapT],TBA_Matches_All[Team],TBA_Rankings[[#This Row],[Team]],TBA_Matches_All[Scouted],"&gt;0"),0)</f>
        <v>0</v>
      </c>
      <c r="Z40" s="66">
        <f>IFERROR(AVERAGEIFS(TBA_Matches_All[TampT],TBA_Matches_All[Team],TBA_Rankings[[#This Row],[Team]],TBA_Matches_All[Scouted],"&gt;0"),0)</f>
        <v>3</v>
      </c>
      <c r="AA40" s="66">
        <f>IFERROR(AVERAGEIFS(TBA_Matches_All[TspkrT],TBA_Matches_All[Team],TBA_Rankings[[#This Row],[Team]],TBA_Matches_All[Scouted],"&gt;0"),0)</f>
        <v>0.4</v>
      </c>
      <c r="AB40" s="66">
        <f>IFERROR(AVERAGEIFS(TBA_Matches_All[TtrapT],TBA_Matches_All[Team],TBA_Rankings[[#This Row],[Team]],TBA_Matches_All[Scouted],"&gt;0"),0)</f>
        <v>0</v>
      </c>
      <c r="AC40" s="66">
        <f>IFERROR(AVERAGEIFS(TBA_Matches_All[ATTNDDiff],TBA_Matches_All[Team],TBA_Rankings[[#This Row],[Team]],TBA_Matches_All[Defense],3,TBA_Matches_All[Scouted],"&gt;0"),0)</f>
        <v>-5.05</v>
      </c>
      <c r="AD40" s="66">
        <f>IFERROR(AVERAGEIFS(TBA_Matches_All[ATTNDDiff],TBA_Matches_All[Team],TBA_Rankings[[#This Row],[Team]],TBA_Matches_All[Defense],2,TBA_Matches_All[Scouted],"&gt;0"),0)</f>
        <v>-2.5499999999999998</v>
      </c>
      <c r="AE40" s="66">
        <f>IFERROR(AVERAGEIFS(TBA_Matches_All[ATTNDDiff],TBA_Matches_All[Team],TBA_Rankings[[#This Row],[Team]],TBA_Matches_All[Defense],1,TBA_Matches_All[Scouted],"&gt;0"),0)</f>
        <v>0</v>
      </c>
      <c r="AF40" s="66">
        <f>IFERROR(AVERAGEIFS(TBA_Matches_All[ATTNDDiff],TBA_Matches_All[Team],TBA_Rankings[[#This Row],[Team]],TBA_Matches_All[Defense],0,TBA_Matches_All[Scouted],"&gt;0"),0)</f>
        <v>2.5333333333333332</v>
      </c>
      <c r="AG40" s="66">
        <f>IFERROR(AVERAGEIFS(TBA_Matches_All[ATTNDDiff],TBA_Matches_All[Team],TBA_Rankings[[#This Row],[Team]],TBA_Matches_All[Avoid],3,TBA_Matches_All[Scouted],"&gt;0"),0)</f>
        <v>0</v>
      </c>
      <c r="AH40" s="66">
        <f>IFERROR(AVERAGEIFS(TBA_Matches_All[ATTNDDiff],TBA_Matches_All[Team],TBA_Rankings[[#This Row],[Team]],TBA_Matches_All[Avoid],2,TBA_Matches_All[Scouted],"&gt;0"),0)</f>
        <v>0</v>
      </c>
      <c r="AI40" s="66">
        <f>IFERROR(AVERAGEIFS(TBA_Matches_All[ATTNDDiff],TBA_Matches_All[Team],TBA_Rankings[[#This Row],[Team]],TBA_Matches_All[Avoid],1,TBA_Matches_All[Scouted],"&gt;0"),0)</f>
        <v>0</v>
      </c>
      <c r="AJ40" s="66">
        <f>IFERROR(AVERAGEIFS(TBA_Matches_All[ATTNDDiff],TBA_Matches_All[Team],TBA_Rankings[[#This Row],[Team]],TBA_Matches_All[Avoid],0,TBA_Matches_All[Scouted],"&gt;0"),0)</f>
        <v>0</v>
      </c>
    </row>
    <row r="41" spans="1:36" x14ac:dyDescent="0.3">
      <c r="A41" t="s">
        <v>1419</v>
      </c>
      <c r="B41" s="1">
        <v>39</v>
      </c>
      <c r="C41" t="s">
        <v>362</v>
      </c>
      <c r="D41" s="1">
        <v>392</v>
      </c>
      <c r="E41" s="66">
        <f>IFERROR(AVERAGEIFS(TBA_Matches_All[Score], TBA_Matches_All[Team],TBA_Rankings[[#This Row],[Team]],TBA_Matches_All[Scouted],"&gt;0"),0)</f>
        <v>41.142857142857146</v>
      </c>
      <c r="F41" s="66">
        <f>IFERROR(AVERAGEIFS(TBA_Matches_All[TotptsC], TBA_Matches_All[Team],TBA_Rankings[[#This Row],[Team]],TBA_Matches_All[Scouted],"&gt;0"),0)</f>
        <v>6.6071428571428568</v>
      </c>
      <c r="G41" s="59">
        <f>IFERROR(TBA_Rankings[[#This Row],[avescoreT]]/TBA_Rankings[[#This Row],[avescoreA]],0)</f>
        <v>0.16059027777777776</v>
      </c>
      <c r="H41" s="66">
        <f>IFERROR(SUM(AVERAGEIFS(TBA_Matches_All[Aamp],TBA_Matches_All[Team],TBA_Rankings[[#This Row],[Team]],TBA_Matches_All[Scouted],"&gt;0")+AVERAGEIFS(TBA_Matches_All[Tamp],TBA_Matches_All[Team],TBA_Rankings[[#This Row],[Team]],TBA_Matches_All[Scouted],"&gt;0")),0)</f>
        <v>2.1428571428571428</v>
      </c>
      <c r="I41" s="66">
        <f>IFERROR(SUM(AVERAGEIFS(TBA_Matches_All[AampT],TBA_Matches_All[Team],TBA_Rankings[[#This Row],[Team]],TBA_Matches_All[Scouted],"&gt;0")+AVERAGEIFS(TBA_Matches_All[TampT],TBA_Matches_All[Team],TBA_Rankings[[#This Row],[Team]],TBA_Matches_All[Scouted],"&gt;0")),0)</f>
        <v>0</v>
      </c>
      <c r="J41" s="59">
        <f>IFERROR(TBA_Rankings[[#This Row],[aveampT]]/TBA_Rankings[[#This Row],[aveampA]],0)</f>
        <v>0</v>
      </c>
      <c r="K41" s="66">
        <f>IFERROR(SUM(AVERAGEIFS(TBA_Matches_All[Aspkr],TBA_Matches_All[Team],TBA_Rankings[[#This Row],[Team]],TBA_Matches_All[Scouted],"&gt;0")+AVERAGEIFS(TBA_Matches_All[Tspkr],TBA_Matches_All[Team],TBA_Rankings[[#This Row],[Team]],TBA_Matches_All[Scouted],"&gt;0")),0)</f>
        <v>8.7142857142857135</v>
      </c>
      <c r="L41" s="66">
        <f>IFERROR(SUM(AVERAGEIFS(TBA_Matches_All[AspkrT],TBA_Matches_All[Team],TBA_Rankings[[#This Row],[Team]],TBA_Matches_All[Scouted],"&gt;0")+AVERAGEIFS(TBA_Matches_All[TspkrT],TBA_Matches_All[Team],TBA_Rankings[[#This Row],[Team]],TBA_Matches_All[Scouted],"&gt;0")),0)</f>
        <v>1.5714285714285714</v>
      </c>
      <c r="M41" s="59">
        <f>IFERROR(TBA_Rankings[[#This Row],[avespkrT]]/TBA_Rankings[[#This Row],[avespkrA]],0)</f>
        <v>0.18032786885245902</v>
      </c>
      <c r="N41" s="66">
        <f>IFERROR(AVERAGEIFS(TBA_Matches_All[Trap],TBA_Matches_All[Team],TBA_Rankings[[#This Row],[Team]],TBA_Matches_All[Scouted],"&gt;0"),0)</f>
        <v>0</v>
      </c>
      <c r="O41" s="66">
        <f>IFERROR(SUM(AVERAGEIFS(TBA_Matches_All[AtrapT],TBA_Matches_All[Team],TBA_Rankings[[#This Row],[Team]],TBA_Matches_All[Scouted],"&gt;0")+AVERAGEIFS(TBA_Matches_All[TtrapT],TBA_Matches_All[Team],TBA_Rankings[[#This Row],[Team]],TBA_Matches_All[Scouted],"&gt;0")),0)</f>
        <v>0</v>
      </c>
      <c r="P41" s="59">
        <f>IFERROR(TBA_Rankings[[#This Row],[avetrapT]]/TBA_Rankings[[#This Row],[avetrapA]],0)</f>
        <v>0</v>
      </c>
      <c r="Q41" s="66">
        <f>IFERROR(AVERAGEIFS(TBA_Matches_All[TotNotes],TBA_Matches_All[Team],TBA_Rankings[[#This Row],[Team]],TBA_Matches_All[Scouted],"&gt;0"),0)</f>
        <v>10.857142857142858</v>
      </c>
      <c r="R41" s="66">
        <f>IFERROR(AVERAGEIFS(TBA_Matches_All[TotNotesT],TBA_Matches_All[Team],TBA_Rankings[[#This Row],[Team]],TBA_Matches_All[Scouted],"&gt;0"),0)</f>
        <v>1.5714285714285714</v>
      </c>
      <c r="S41" s="59">
        <f>IFERROR(TBA_Rankings[[#This Row],[avenotesT]]/TBA_Rankings[[#This Row],[avenotesA]],0)</f>
        <v>0.14473684210526314</v>
      </c>
      <c r="T41" s="66">
        <f>IFERROR(AVERAGEIFS(TBA_Matches_All[StagePts],TBA_Matches_All[Team],TBA_Rankings[[#This Row],[Team]],TBA_Matches_All[Scouted],"&gt;0"),0)</f>
        <v>3.2857142857142856</v>
      </c>
      <c r="U41" s="66">
        <f>IFERROR(AVERAGEIFS(TBA_Matches_All[stageptsT],TBA_Matches_All[Team],TBA_Rankings[[#This Row],[Team]],TBA_Matches_All[Scouted],"&gt;0"),0)</f>
        <v>0.8571428571428571</v>
      </c>
      <c r="V41" s="59">
        <f>IFERROR(TBA_Rankings[[#This Row],[avestageT]]/TBA_Rankings[[#This Row],[avestageA]],0)</f>
        <v>0.2608695652173913</v>
      </c>
      <c r="W41" s="66">
        <f>IFERROR(AVERAGEIFS(TBA_Matches_All[AampT],TBA_Matches_All[Team],TBA_Rankings[[#This Row],[Team]],TBA_Matches_All[Scouted],"&gt;0"),0)</f>
        <v>0</v>
      </c>
      <c r="X41" s="66">
        <f>IFERROR(AVERAGEIFS(TBA_Matches_All[AspkrT],TBA_Matches_All[Team],TBA_Rankings[[#This Row],[Team]],TBA_Matches_All[Scouted],"&gt;0"),0)</f>
        <v>0</v>
      </c>
      <c r="Y41" s="66">
        <f>IFERROR(AVERAGEIFS(TBA_Matches_All[AtrapT],TBA_Matches_All[Team],TBA_Rankings[[#This Row],[Team]],TBA_Matches_All[Scouted],"&gt;0"),0)</f>
        <v>0</v>
      </c>
      <c r="Z41" s="66">
        <f>IFERROR(AVERAGEIFS(TBA_Matches_All[TampT],TBA_Matches_All[Team],TBA_Rankings[[#This Row],[Team]],TBA_Matches_All[Scouted],"&gt;0"),0)</f>
        <v>0</v>
      </c>
      <c r="AA41" s="66">
        <f>IFERROR(AVERAGEIFS(TBA_Matches_All[TspkrT],TBA_Matches_All[Team],TBA_Rankings[[#This Row],[Team]],TBA_Matches_All[Scouted],"&gt;0"),0)</f>
        <v>1.5714285714285714</v>
      </c>
      <c r="AB41" s="66">
        <f>IFERROR(AVERAGEIFS(TBA_Matches_All[TtrapT],TBA_Matches_All[Team],TBA_Rankings[[#This Row],[Team]],TBA_Matches_All[Scouted],"&gt;0"),0)</f>
        <v>0</v>
      </c>
      <c r="AC41" s="66">
        <f>IFERROR(AVERAGEIFS(TBA_Matches_All[ATTNDDiff],TBA_Matches_All[Team],TBA_Rankings[[#This Row],[Team]],TBA_Matches_All[Defense],3,TBA_Matches_All[Scouted],"&gt;0"),0)</f>
        <v>-1.7500000000000002</v>
      </c>
      <c r="AD41" s="66">
        <f>IFERROR(AVERAGEIFS(TBA_Matches_All[ATTNDDiff],TBA_Matches_All[Team],TBA_Rankings[[#This Row],[Team]],TBA_Matches_All[Defense],2,TBA_Matches_All[Scouted],"&gt;0"),0)</f>
        <v>0.29166666666666652</v>
      </c>
      <c r="AE41" s="66">
        <f>IFERROR(AVERAGEIFS(TBA_Matches_All[ATTNDDiff],TBA_Matches_All[Team],TBA_Rankings[[#This Row],[Team]],TBA_Matches_All[Defense],1,TBA_Matches_All[Scouted],"&gt;0"),0)</f>
        <v>-4.375</v>
      </c>
      <c r="AF41" s="66">
        <f>IFERROR(AVERAGEIFS(TBA_Matches_All[ATTNDDiff],TBA_Matches_All[Team],TBA_Rankings[[#This Row],[Team]],TBA_Matches_All[Defense],0,TBA_Matches_All[Scouted],"&gt;0"),0)</f>
        <v>2.5277777777777772</v>
      </c>
      <c r="AG41" s="66">
        <f>IFERROR(AVERAGEIFS(TBA_Matches_All[ATTNDDiff],TBA_Matches_All[Team],TBA_Rankings[[#This Row],[Team]],TBA_Matches_All[Avoid],3,TBA_Matches_All[Scouted],"&gt;0"),0)</f>
        <v>0</v>
      </c>
      <c r="AH41" s="66">
        <f>IFERROR(AVERAGEIFS(TBA_Matches_All[ATTNDDiff],TBA_Matches_All[Team],TBA_Rankings[[#This Row],[Team]],TBA_Matches_All[Avoid],2,TBA_Matches_All[Scouted],"&gt;0"),0)</f>
        <v>0</v>
      </c>
      <c r="AI41" s="66">
        <f>IFERROR(AVERAGEIFS(TBA_Matches_All[ATTNDDiff],TBA_Matches_All[Team],TBA_Rankings[[#This Row],[Team]],TBA_Matches_All[Avoid],1,TBA_Matches_All[Scouted],"&gt;0"),0)</f>
        <v>11.666666666666666</v>
      </c>
      <c r="AJ41" s="66">
        <f>IFERROR(AVERAGEIFS(TBA_Matches_All[ATTNDDiff],TBA_Matches_All[Team],TBA_Rankings[[#This Row],[Team]],TBA_Matches_All[Avoid],0,TBA_Matches_All[Scouted],"&gt;0"),0)</f>
        <v>-1.9444444444444446</v>
      </c>
    </row>
    <row r="42" spans="1:36" x14ac:dyDescent="0.3">
      <c r="A42" t="s">
        <v>1419</v>
      </c>
      <c r="B42" s="1">
        <v>37</v>
      </c>
      <c r="C42" t="s">
        <v>1285</v>
      </c>
      <c r="D42" s="1">
        <v>392</v>
      </c>
      <c r="E42" s="66">
        <f>IFERROR(AVERAGEIFS(TBA_Matches_All[Score], TBA_Matches_All[Team],TBA_Rankings[[#This Row],[Team]],TBA_Matches_All[Scouted],"&gt;0"),0)</f>
        <v>49.5</v>
      </c>
      <c r="F42" s="66">
        <f>IFERROR(AVERAGEIFS(TBA_Matches_All[TotptsC], TBA_Matches_All[Team],TBA_Rankings[[#This Row],[Team]],TBA_Matches_All[Scouted],"&gt;0"),0)</f>
        <v>7.7</v>
      </c>
      <c r="G42" s="59">
        <f>IFERROR(TBA_Rankings[[#This Row],[avescoreT]]/TBA_Rankings[[#This Row],[avescoreA]],0)</f>
        <v>0.15555555555555556</v>
      </c>
      <c r="H42" s="66">
        <f>IFERROR(SUM(AVERAGEIFS(TBA_Matches_All[Aamp],TBA_Matches_All[Team],TBA_Rankings[[#This Row],[Team]],TBA_Matches_All[Scouted],"&gt;0")+AVERAGEIFS(TBA_Matches_All[Tamp],TBA_Matches_All[Team],TBA_Rankings[[#This Row],[Team]],TBA_Matches_All[Scouted],"&gt;0")),0)</f>
        <v>2.6666666666666665</v>
      </c>
      <c r="I42" s="66">
        <f>IFERROR(SUM(AVERAGEIFS(TBA_Matches_All[AampT],TBA_Matches_All[Team],TBA_Rankings[[#This Row],[Team]],TBA_Matches_All[Scouted],"&gt;0")+AVERAGEIFS(TBA_Matches_All[TampT],TBA_Matches_All[Team],TBA_Rankings[[#This Row],[Team]],TBA_Matches_All[Scouted],"&gt;0")),0)</f>
        <v>0.83333333333333337</v>
      </c>
      <c r="J42" s="59">
        <f>IFERROR(TBA_Rankings[[#This Row],[aveampT]]/TBA_Rankings[[#This Row],[aveampA]],0)</f>
        <v>0.31250000000000006</v>
      </c>
      <c r="K42" s="66">
        <f>IFERROR(SUM(AVERAGEIFS(TBA_Matches_All[Aspkr],TBA_Matches_All[Team],TBA_Rankings[[#This Row],[Team]],TBA_Matches_All[Scouted],"&gt;0")+AVERAGEIFS(TBA_Matches_All[Tspkr],TBA_Matches_All[Team],TBA_Rankings[[#This Row],[Team]],TBA_Matches_All[Scouted],"&gt;0")),0)</f>
        <v>10.666666666666668</v>
      </c>
      <c r="L42" s="66">
        <f>IFERROR(SUM(AVERAGEIFS(TBA_Matches_All[AspkrT],TBA_Matches_All[Team],TBA_Rankings[[#This Row],[Team]],TBA_Matches_All[Scouted],"&gt;0")+AVERAGEIFS(TBA_Matches_All[TspkrT],TBA_Matches_All[Team],TBA_Rankings[[#This Row],[Team]],TBA_Matches_All[Scouted],"&gt;0")),0)</f>
        <v>1.5</v>
      </c>
      <c r="M42" s="59">
        <f>IFERROR(TBA_Rankings[[#This Row],[avespkrT]]/TBA_Rankings[[#This Row],[avespkrA]],0)</f>
        <v>0.14062499999999997</v>
      </c>
      <c r="N42" s="66">
        <f>IFERROR(AVERAGEIFS(TBA_Matches_All[Trap],TBA_Matches_All[Team],TBA_Rankings[[#This Row],[Team]],TBA_Matches_All[Scouted],"&gt;0"),0)</f>
        <v>0</v>
      </c>
      <c r="O42" s="66">
        <f>IFERROR(SUM(AVERAGEIFS(TBA_Matches_All[AtrapT],TBA_Matches_All[Team],TBA_Rankings[[#This Row],[Team]],TBA_Matches_All[Scouted],"&gt;0")+AVERAGEIFS(TBA_Matches_All[TtrapT],TBA_Matches_All[Team],TBA_Rankings[[#This Row],[Team]],TBA_Matches_All[Scouted],"&gt;0")),0)</f>
        <v>0</v>
      </c>
      <c r="P42" s="59">
        <f>IFERROR(TBA_Rankings[[#This Row],[avetrapT]]/TBA_Rankings[[#This Row],[avetrapA]],0)</f>
        <v>0</v>
      </c>
      <c r="Q42" s="66">
        <f>IFERROR(AVERAGEIFS(TBA_Matches_All[TotNotes],TBA_Matches_All[Team],TBA_Rankings[[#This Row],[Team]],TBA_Matches_All[Scouted],"&gt;0"),0)</f>
        <v>13.333333333333334</v>
      </c>
      <c r="R42" s="66">
        <f>IFERROR(AVERAGEIFS(TBA_Matches_All[TotNotesT],TBA_Matches_All[Team],TBA_Rankings[[#This Row],[Team]],TBA_Matches_All[Scouted],"&gt;0"),0)</f>
        <v>2.3333333333333335</v>
      </c>
      <c r="S42" s="59">
        <f>IFERROR(TBA_Rankings[[#This Row],[avenotesT]]/TBA_Rankings[[#This Row],[avenotesA]],0)</f>
        <v>0.17500000000000002</v>
      </c>
      <c r="T42" s="66">
        <f>IFERROR(AVERAGEIFS(TBA_Matches_All[StagePts],TBA_Matches_All[Team],TBA_Rankings[[#This Row],[Team]],TBA_Matches_All[Scouted],"&gt;0"),0)</f>
        <v>4</v>
      </c>
      <c r="U42" s="66">
        <f>IFERROR(AVERAGEIFS(TBA_Matches_All[stageptsT],TBA_Matches_All[Team],TBA_Rankings[[#This Row],[Team]],TBA_Matches_All[Scouted],"&gt;0"),0)</f>
        <v>1.3333333333333333</v>
      </c>
      <c r="V42" s="59">
        <f>IFERROR(TBA_Rankings[[#This Row],[avestageT]]/TBA_Rankings[[#This Row],[avestageA]],0)</f>
        <v>0.33333333333333331</v>
      </c>
      <c r="W42" s="66">
        <f>IFERROR(AVERAGEIFS(TBA_Matches_All[AampT],TBA_Matches_All[Team],TBA_Rankings[[#This Row],[Team]],TBA_Matches_All[Scouted],"&gt;0"),0)</f>
        <v>0</v>
      </c>
      <c r="X42" s="66">
        <f>IFERROR(AVERAGEIFS(TBA_Matches_All[AspkrT],TBA_Matches_All[Team],TBA_Rankings[[#This Row],[Team]],TBA_Matches_All[Scouted],"&gt;0"),0)</f>
        <v>0.5</v>
      </c>
      <c r="Y42" s="66">
        <f>IFERROR(AVERAGEIFS(TBA_Matches_All[AtrapT],TBA_Matches_All[Team],TBA_Rankings[[#This Row],[Team]],TBA_Matches_All[Scouted],"&gt;0"),0)</f>
        <v>0</v>
      </c>
      <c r="Z42" s="66">
        <f>IFERROR(AVERAGEIFS(TBA_Matches_All[TampT],TBA_Matches_All[Team],TBA_Rankings[[#This Row],[Team]],TBA_Matches_All[Scouted],"&gt;0"),0)</f>
        <v>0.83333333333333337</v>
      </c>
      <c r="AA42" s="66">
        <f>IFERROR(AVERAGEIFS(TBA_Matches_All[TspkrT],TBA_Matches_All[Team],TBA_Rankings[[#This Row],[Team]],TBA_Matches_All[Scouted],"&gt;0"),0)</f>
        <v>1</v>
      </c>
      <c r="AB42" s="66">
        <f>IFERROR(AVERAGEIFS(TBA_Matches_All[TtrapT],TBA_Matches_All[Team],TBA_Rankings[[#This Row],[Team]],TBA_Matches_All[Scouted],"&gt;0"),0)</f>
        <v>0</v>
      </c>
      <c r="AC42" s="66">
        <f>IFERROR(AVERAGEIFS(TBA_Matches_All[ATTNDDiff],TBA_Matches_All[Team],TBA_Rankings[[#This Row],[Team]],TBA_Matches_All[Defense],3,TBA_Matches_All[Scouted],"&gt;0"),0)</f>
        <v>0</v>
      </c>
      <c r="AD42" s="66">
        <f>IFERROR(AVERAGEIFS(TBA_Matches_All[ATTNDDiff],TBA_Matches_All[Team],TBA_Rankings[[#This Row],[Team]],TBA_Matches_All[Defense],2,TBA_Matches_All[Scouted],"&gt;0"),0)</f>
        <v>-4.24</v>
      </c>
      <c r="AE42" s="66">
        <f>IFERROR(AVERAGEIFS(TBA_Matches_All[ATTNDDiff],TBA_Matches_All[Team],TBA_Rankings[[#This Row],[Team]],TBA_Matches_All[Defense],1,TBA_Matches_All[Scouted],"&gt;0"),0)</f>
        <v>0</v>
      </c>
      <c r="AF42" s="66">
        <f>IFERROR(AVERAGEIFS(TBA_Matches_All[ATTNDDiff],TBA_Matches_All[Team],TBA_Rankings[[#This Row],[Team]],TBA_Matches_All[Defense],0,TBA_Matches_All[Scouted],"&gt;0"),0)</f>
        <v>0.84800000000000009</v>
      </c>
      <c r="AG42" s="66">
        <f>IFERROR(AVERAGEIFS(TBA_Matches_All[ATTNDDiff],TBA_Matches_All[Team],TBA_Rankings[[#This Row],[Team]],TBA_Matches_All[Avoid],3,TBA_Matches_All[Scouted],"&gt;0"),0)</f>
        <v>0</v>
      </c>
      <c r="AH42" s="66">
        <f>IFERROR(AVERAGEIFS(TBA_Matches_All[ATTNDDiff],TBA_Matches_All[Team],TBA_Rankings[[#This Row],[Team]],TBA_Matches_All[Avoid],2,TBA_Matches_All[Scouted],"&gt;0"),0)</f>
        <v>0</v>
      </c>
      <c r="AI42" s="66">
        <f>IFERROR(AVERAGEIFS(TBA_Matches_All[ATTNDDiff],TBA_Matches_All[Team],TBA_Rankings[[#This Row],[Team]],TBA_Matches_All[Avoid],1,TBA_Matches_All[Scouted],"&gt;0"),0)</f>
        <v>0</v>
      </c>
      <c r="AJ42" s="66">
        <f>IFERROR(AVERAGEIFS(TBA_Matches_All[ATTNDDiff],TBA_Matches_All[Team],TBA_Rankings[[#This Row],[Team]],TBA_Matches_All[Avoid],0,TBA_Matches_All[Scouted],"&gt;0"),0)</f>
        <v>0</v>
      </c>
    </row>
    <row r="43" spans="1:36" x14ac:dyDescent="0.3">
      <c r="A43" t="s">
        <v>1419</v>
      </c>
      <c r="B43" s="1">
        <v>41</v>
      </c>
      <c r="C43" t="s">
        <v>371</v>
      </c>
      <c r="D43" s="1">
        <v>343</v>
      </c>
      <c r="E43" s="66">
        <f>IFERROR(AVERAGEIFS(TBA_Matches_All[Score], TBA_Matches_All[Team],TBA_Rankings[[#This Row],[Team]],TBA_Matches_All[Scouted],"&gt;0"),0)</f>
        <v>46.142857142857146</v>
      </c>
      <c r="F43" s="66">
        <f>IFERROR(AVERAGEIFS(TBA_Matches_All[TotptsC], TBA_Matches_All[Team],TBA_Rankings[[#This Row],[Team]],TBA_Matches_All[Scouted],"&gt;0"),0)</f>
        <v>2.4285714285714284</v>
      </c>
      <c r="G43" s="59">
        <f>IFERROR(TBA_Rankings[[#This Row],[avescoreT]]/TBA_Rankings[[#This Row],[avescoreA]],0)</f>
        <v>5.2631578947368411E-2</v>
      </c>
      <c r="H43" s="66">
        <f>IFERROR(SUM(AVERAGEIFS(TBA_Matches_All[Aamp],TBA_Matches_All[Team],TBA_Rankings[[#This Row],[Team]],TBA_Matches_All[Scouted],"&gt;0")+AVERAGEIFS(TBA_Matches_All[Tamp],TBA_Matches_All[Team],TBA_Rankings[[#This Row],[Team]],TBA_Matches_All[Scouted],"&gt;0")),0)</f>
        <v>0.8571428571428571</v>
      </c>
      <c r="I43" s="66">
        <f>IFERROR(SUM(AVERAGEIFS(TBA_Matches_All[AampT],TBA_Matches_All[Team],TBA_Rankings[[#This Row],[Team]],TBA_Matches_All[Scouted],"&gt;0")+AVERAGEIFS(TBA_Matches_All[TampT],TBA_Matches_All[Team],TBA_Rankings[[#This Row],[Team]],TBA_Matches_All[Scouted],"&gt;0")),0)</f>
        <v>0</v>
      </c>
      <c r="J43" s="59">
        <f>IFERROR(TBA_Rankings[[#This Row],[aveampT]]/TBA_Rankings[[#This Row],[aveampA]],0)</f>
        <v>0</v>
      </c>
      <c r="K43" s="66">
        <f>IFERROR(SUM(AVERAGEIFS(TBA_Matches_All[Aspkr],TBA_Matches_All[Team],TBA_Rankings[[#This Row],[Team]],TBA_Matches_All[Scouted],"&gt;0")+AVERAGEIFS(TBA_Matches_All[Tspkr],TBA_Matches_All[Team],TBA_Rankings[[#This Row],[Team]],TBA_Matches_All[Scouted],"&gt;0")),0)</f>
        <v>12.857142857142858</v>
      </c>
      <c r="L43" s="66">
        <f>IFERROR(SUM(AVERAGEIFS(TBA_Matches_All[AspkrT],TBA_Matches_All[Team],TBA_Rankings[[#This Row],[Team]],TBA_Matches_All[Scouted],"&gt;0")+AVERAGEIFS(TBA_Matches_All[TspkrT],TBA_Matches_All[Team],TBA_Rankings[[#This Row],[Team]],TBA_Matches_All[Scouted],"&gt;0")),0)</f>
        <v>0.5714285714285714</v>
      </c>
      <c r="M43" s="59">
        <f>IFERROR(TBA_Rankings[[#This Row],[avespkrT]]/TBA_Rankings[[#This Row],[avespkrA]],0)</f>
        <v>4.4444444444444439E-2</v>
      </c>
      <c r="N43" s="66">
        <f>IFERROR(AVERAGEIFS(TBA_Matches_All[Trap],TBA_Matches_All[Team],TBA_Rankings[[#This Row],[Team]],TBA_Matches_All[Scouted],"&gt;0"),0)</f>
        <v>0</v>
      </c>
      <c r="O43" s="66">
        <f>IFERROR(SUM(AVERAGEIFS(TBA_Matches_All[AtrapT],TBA_Matches_All[Team],TBA_Rankings[[#This Row],[Team]],TBA_Matches_All[Scouted],"&gt;0")+AVERAGEIFS(TBA_Matches_All[TtrapT],TBA_Matches_All[Team],TBA_Rankings[[#This Row],[Team]],TBA_Matches_All[Scouted],"&gt;0")),0)</f>
        <v>0</v>
      </c>
      <c r="P43" s="59">
        <f>IFERROR(TBA_Rankings[[#This Row],[avetrapT]]/TBA_Rankings[[#This Row],[avetrapA]],0)</f>
        <v>0</v>
      </c>
      <c r="Q43" s="66">
        <f>IFERROR(AVERAGEIFS(TBA_Matches_All[TotNotes],TBA_Matches_All[Team],TBA_Rankings[[#This Row],[Team]],TBA_Matches_All[Scouted],"&gt;0"),0)</f>
        <v>13.714285714285714</v>
      </c>
      <c r="R43" s="66">
        <f>IFERROR(AVERAGEIFS(TBA_Matches_All[TotNotesT],TBA_Matches_All[Team],TBA_Rankings[[#This Row],[Team]],TBA_Matches_All[Scouted],"&gt;0"),0)</f>
        <v>0.5714285714285714</v>
      </c>
      <c r="S43" s="59">
        <f>IFERROR(TBA_Rankings[[#This Row],[avenotesT]]/TBA_Rankings[[#This Row],[avenotesA]],0)</f>
        <v>4.1666666666666664E-2</v>
      </c>
      <c r="T43" s="66">
        <f>IFERROR(AVERAGEIFS(TBA_Matches_All[StagePts],TBA_Matches_All[Team],TBA_Rankings[[#This Row],[Team]],TBA_Matches_All[Scouted],"&gt;0"),0)</f>
        <v>3.1428571428571428</v>
      </c>
      <c r="U43" s="66">
        <f>IFERROR(AVERAGEIFS(TBA_Matches_All[stageptsT],TBA_Matches_All[Team],TBA_Rankings[[#This Row],[Team]],TBA_Matches_All[Scouted],"&gt;0"),0)</f>
        <v>0.8571428571428571</v>
      </c>
      <c r="V43" s="59">
        <f>IFERROR(TBA_Rankings[[#This Row],[avestageT]]/TBA_Rankings[[#This Row],[avestageA]],0)</f>
        <v>0.27272727272727271</v>
      </c>
      <c r="W43" s="66">
        <f>IFERROR(AVERAGEIFS(TBA_Matches_All[AampT],TBA_Matches_All[Team],TBA_Rankings[[#This Row],[Team]],TBA_Matches_All[Scouted],"&gt;0"),0)</f>
        <v>0</v>
      </c>
      <c r="X43" s="66">
        <f>IFERROR(AVERAGEIFS(TBA_Matches_All[AspkrT],TBA_Matches_All[Team],TBA_Rankings[[#This Row],[Team]],TBA_Matches_All[Scouted],"&gt;0"),0)</f>
        <v>0.14285714285714285</v>
      </c>
      <c r="Y43" s="66">
        <f>IFERROR(AVERAGEIFS(TBA_Matches_All[AtrapT],TBA_Matches_All[Team],TBA_Rankings[[#This Row],[Team]],TBA_Matches_All[Scouted],"&gt;0"),0)</f>
        <v>0</v>
      </c>
      <c r="Z43" s="66">
        <f>IFERROR(AVERAGEIFS(TBA_Matches_All[TampT],TBA_Matches_All[Team],TBA_Rankings[[#This Row],[Team]],TBA_Matches_All[Scouted],"&gt;0"),0)</f>
        <v>0</v>
      </c>
      <c r="AA43" s="66">
        <f>IFERROR(AVERAGEIFS(TBA_Matches_All[TspkrT],TBA_Matches_All[Team],TBA_Rankings[[#This Row],[Team]],TBA_Matches_All[Scouted],"&gt;0"),0)</f>
        <v>0.42857142857142855</v>
      </c>
      <c r="AB43" s="66">
        <f>IFERROR(AVERAGEIFS(TBA_Matches_All[TtrapT],TBA_Matches_All[Team],TBA_Rankings[[#This Row],[Team]],TBA_Matches_All[Scouted],"&gt;0"),0)</f>
        <v>0</v>
      </c>
      <c r="AC43" s="66">
        <f>IFERROR(AVERAGEIFS(TBA_Matches_All[ATTNDDiff],TBA_Matches_All[Team],TBA_Rankings[[#This Row],[Team]],TBA_Matches_All[Defense],3,TBA_Matches_All[Scouted],"&gt;0"),0)</f>
        <v>0</v>
      </c>
      <c r="AD43" s="66">
        <f>IFERROR(AVERAGEIFS(TBA_Matches_All[ATTNDDiff],TBA_Matches_All[Team],TBA_Rankings[[#This Row],[Team]],TBA_Matches_All[Defense],2,TBA_Matches_All[Scouted],"&gt;0"),0)</f>
        <v>0</v>
      </c>
      <c r="AE43" s="66">
        <f>IFERROR(AVERAGEIFS(TBA_Matches_All[ATTNDDiff],TBA_Matches_All[Team],TBA_Rankings[[#This Row],[Team]],TBA_Matches_All[Defense],1,TBA_Matches_All[Scouted],"&gt;0"),0)</f>
        <v>-1</v>
      </c>
      <c r="AF43" s="66">
        <f>IFERROR(AVERAGEIFS(TBA_Matches_All[ATTNDDiff],TBA_Matches_All[Team],TBA_Rankings[[#This Row],[Team]],TBA_Matches_All[Defense],0,TBA_Matches_All[Scouted],"&gt;0"),0)</f>
        <v>0.75</v>
      </c>
      <c r="AG43" s="66">
        <f>IFERROR(AVERAGEIFS(TBA_Matches_All[ATTNDDiff],TBA_Matches_All[Team],TBA_Rankings[[#This Row],[Team]],TBA_Matches_All[Avoid],3,TBA_Matches_All[Scouted],"&gt;0"),0)</f>
        <v>0</v>
      </c>
      <c r="AH43" s="66">
        <f>IFERROR(AVERAGEIFS(TBA_Matches_All[ATTNDDiff],TBA_Matches_All[Team],TBA_Rankings[[#This Row],[Team]],TBA_Matches_All[Avoid],2,TBA_Matches_All[Scouted],"&gt;0"),0)</f>
        <v>-1</v>
      </c>
      <c r="AI43" s="66">
        <f>IFERROR(AVERAGEIFS(TBA_Matches_All[ATTNDDiff],TBA_Matches_All[Team],TBA_Rankings[[#This Row],[Team]],TBA_Matches_All[Avoid],1,TBA_Matches_All[Scouted],"&gt;0"),0)</f>
        <v>-1</v>
      </c>
      <c r="AJ43" s="66">
        <f>IFERROR(AVERAGEIFS(TBA_Matches_All[ATTNDDiff],TBA_Matches_All[Team],TBA_Rankings[[#This Row],[Team]],TBA_Matches_All[Avoid],0,TBA_Matches_All[Scouted],"&gt;0"),0)</f>
        <v>0.4</v>
      </c>
    </row>
    <row r="44" spans="1:36" x14ac:dyDescent="0.3">
      <c r="A44" t="s">
        <v>1419</v>
      </c>
      <c r="B44" s="1">
        <v>40</v>
      </c>
      <c r="C44" t="s">
        <v>1283</v>
      </c>
      <c r="D44" s="1">
        <v>343</v>
      </c>
      <c r="E44" s="66">
        <f>IFERROR(AVERAGEIFS(TBA_Matches_All[Score], TBA_Matches_All[Team],TBA_Rankings[[#This Row],[Team]],TBA_Matches_All[Scouted],"&gt;0"),0)</f>
        <v>39.833333333333336</v>
      </c>
      <c r="F44" s="66">
        <f>IFERROR(AVERAGEIFS(TBA_Matches_All[TotptsC], TBA_Matches_All[Team],TBA_Rankings[[#This Row],[Team]],TBA_Matches_All[Scouted],"&gt;0"),0)</f>
        <v>4.833333333333333</v>
      </c>
      <c r="G44" s="59">
        <f>IFERROR(TBA_Rankings[[#This Row],[avescoreT]]/TBA_Rankings[[#This Row],[avescoreA]],0)</f>
        <v>0.1213389121338912</v>
      </c>
      <c r="H44" s="66">
        <f>IFERROR(SUM(AVERAGEIFS(TBA_Matches_All[Aamp],TBA_Matches_All[Team],TBA_Rankings[[#This Row],[Team]],TBA_Matches_All[Scouted],"&gt;0")+AVERAGEIFS(TBA_Matches_All[Tamp],TBA_Matches_All[Team],TBA_Rankings[[#This Row],[Team]],TBA_Matches_All[Scouted],"&gt;0")),0)</f>
        <v>2.3333333333333335</v>
      </c>
      <c r="I44" s="66">
        <f>IFERROR(SUM(AVERAGEIFS(TBA_Matches_All[AampT],TBA_Matches_All[Team],TBA_Rankings[[#This Row],[Team]],TBA_Matches_All[Scouted],"&gt;0")+AVERAGEIFS(TBA_Matches_All[TampT],TBA_Matches_All[Team],TBA_Rankings[[#This Row],[Team]],TBA_Matches_All[Scouted],"&gt;0")),0)</f>
        <v>0</v>
      </c>
      <c r="J44" s="59">
        <f>IFERROR(TBA_Rankings[[#This Row],[aveampT]]/TBA_Rankings[[#This Row],[aveampA]],0)</f>
        <v>0</v>
      </c>
      <c r="K44" s="66">
        <f>IFERROR(SUM(AVERAGEIFS(TBA_Matches_All[Aspkr],TBA_Matches_All[Team],TBA_Rankings[[#This Row],[Team]],TBA_Matches_All[Scouted],"&gt;0")+AVERAGEIFS(TBA_Matches_All[Tspkr],TBA_Matches_All[Team],TBA_Rankings[[#This Row],[Team]],TBA_Matches_All[Scouted],"&gt;0")),0)</f>
        <v>8.1666666666666661</v>
      </c>
      <c r="L44" s="66">
        <f>IFERROR(SUM(AVERAGEIFS(TBA_Matches_All[AspkrT],TBA_Matches_All[Team],TBA_Rankings[[#This Row],[Team]],TBA_Matches_All[Scouted],"&gt;0")+AVERAGEIFS(TBA_Matches_All[TspkrT],TBA_Matches_All[Team],TBA_Rankings[[#This Row],[Team]],TBA_Matches_All[Scouted],"&gt;0")),0)</f>
        <v>0.33333333333333331</v>
      </c>
      <c r="M44" s="59">
        <f>IFERROR(TBA_Rankings[[#This Row],[avespkrT]]/TBA_Rankings[[#This Row],[avespkrA]],0)</f>
        <v>4.0816326530612249E-2</v>
      </c>
      <c r="N44" s="66">
        <f>IFERROR(AVERAGEIFS(TBA_Matches_All[Trap],TBA_Matches_All[Team],TBA_Rankings[[#This Row],[Team]],TBA_Matches_All[Scouted],"&gt;0"),0)</f>
        <v>0</v>
      </c>
      <c r="O44" s="66">
        <f>IFERROR(SUM(AVERAGEIFS(TBA_Matches_All[AtrapT],TBA_Matches_All[Team],TBA_Rankings[[#This Row],[Team]],TBA_Matches_All[Scouted],"&gt;0")+AVERAGEIFS(TBA_Matches_All[TtrapT],TBA_Matches_All[Team],TBA_Rankings[[#This Row],[Team]],TBA_Matches_All[Scouted],"&gt;0")),0)</f>
        <v>0</v>
      </c>
      <c r="P44" s="59">
        <f>IFERROR(TBA_Rankings[[#This Row],[avetrapT]]/TBA_Rankings[[#This Row],[avetrapA]],0)</f>
        <v>0</v>
      </c>
      <c r="Q44" s="66">
        <f>IFERROR(AVERAGEIFS(TBA_Matches_All[TotNotes],TBA_Matches_All[Team],TBA_Rankings[[#This Row],[Team]],TBA_Matches_All[Scouted],"&gt;0"),0)</f>
        <v>10.5</v>
      </c>
      <c r="R44" s="66">
        <f>IFERROR(AVERAGEIFS(TBA_Matches_All[TotNotesT],TBA_Matches_All[Team],TBA_Rankings[[#This Row],[Team]],TBA_Matches_All[Scouted],"&gt;0"),0)</f>
        <v>0.33333333333333331</v>
      </c>
      <c r="S44" s="59">
        <f>IFERROR(TBA_Rankings[[#This Row],[avenotesT]]/TBA_Rankings[[#This Row],[avenotesA]],0)</f>
        <v>3.1746031746031744E-2</v>
      </c>
      <c r="T44" s="66">
        <f>IFERROR(AVERAGEIFS(TBA_Matches_All[StagePts],TBA_Matches_All[Team],TBA_Rankings[[#This Row],[Team]],TBA_Matches_All[Scouted],"&gt;0"),0)</f>
        <v>4.166666666666667</v>
      </c>
      <c r="U44" s="66">
        <f>IFERROR(AVERAGEIFS(TBA_Matches_All[stageptsT],TBA_Matches_All[Team],TBA_Rankings[[#This Row],[Team]],TBA_Matches_All[Scouted],"&gt;0"),0)</f>
        <v>1.8333333333333333</v>
      </c>
      <c r="V44" s="59">
        <f>IFERROR(TBA_Rankings[[#This Row],[avestageT]]/TBA_Rankings[[#This Row],[avestageA]],0)</f>
        <v>0.43999999999999995</v>
      </c>
      <c r="W44" s="66">
        <f>IFERROR(AVERAGEIFS(TBA_Matches_All[AampT],TBA_Matches_All[Team],TBA_Rankings[[#This Row],[Team]],TBA_Matches_All[Scouted],"&gt;0"),0)</f>
        <v>0</v>
      </c>
      <c r="X44" s="66">
        <f>IFERROR(AVERAGEIFS(TBA_Matches_All[AspkrT],TBA_Matches_All[Team],TBA_Rankings[[#This Row],[Team]],TBA_Matches_All[Scouted],"&gt;0"),0)</f>
        <v>0.16666666666666666</v>
      </c>
      <c r="Y44" s="66">
        <f>IFERROR(AVERAGEIFS(TBA_Matches_All[AtrapT],TBA_Matches_All[Team],TBA_Rankings[[#This Row],[Team]],TBA_Matches_All[Scouted],"&gt;0"),0)</f>
        <v>0</v>
      </c>
      <c r="Z44" s="66">
        <f>IFERROR(AVERAGEIFS(TBA_Matches_All[TampT],TBA_Matches_All[Team],TBA_Rankings[[#This Row],[Team]],TBA_Matches_All[Scouted],"&gt;0"),0)</f>
        <v>0</v>
      </c>
      <c r="AA44" s="66">
        <f>IFERROR(AVERAGEIFS(TBA_Matches_All[TspkrT],TBA_Matches_All[Team],TBA_Rankings[[#This Row],[Team]],TBA_Matches_All[Scouted],"&gt;0"),0)</f>
        <v>0.16666666666666666</v>
      </c>
      <c r="AB44" s="66">
        <f>IFERROR(AVERAGEIFS(TBA_Matches_All[TtrapT],TBA_Matches_All[Team],TBA_Rankings[[#This Row],[Team]],TBA_Matches_All[Scouted],"&gt;0"),0)</f>
        <v>0</v>
      </c>
      <c r="AC44" s="66">
        <f>IFERROR(AVERAGEIFS(TBA_Matches_All[ATTNDDiff],TBA_Matches_All[Team],TBA_Rankings[[#This Row],[Team]],TBA_Matches_All[Defense],3,TBA_Matches_All[Scouted],"&gt;0"),0)</f>
        <v>-0.6</v>
      </c>
      <c r="AD44" s="66">
        <f>IFERROR(AVERAGEIFS(TBA_Matches_All[ATTNDDiff],TBA_Matches_All[Team],TBA_Rankings[[#This Row],[Team]],TBA_Matches_All[Defense],2,TBA_Matches_All[Scouted],"&gt;0"),0)</f>
        <v>1.2</v>
      </c>
      <c r="AE44" s="66">
        <f>IFERROR(AVERAGEIFS(TBA_Matches_All[ATTNDDiff],TBA_Matches_All[Team],TBA_Rankings[[#This Row],[Team]],TBA_Matches_All[Defense],1,TBA_Matches_All[Scouted],"&gt;0"),0)</f>
        <v>0</v>
      </c>
      <c r="AF44" s="66">
        <f>IFERROR(AVERAGEIFS(TBA_Matches_All[ATTNDDiff],TBA_Matches_All[Team],TBA_Rankings[[#This Row],[Team]],TBA_Matches_All[Defense],0,TBA_Matches_All[Scouted],"&gt;0"),0)</f>
        <v>-0.6</v>
      </c>
      <c r="AG44" s="66">
        <f>IFERROR(AVERAGEIFS(TBA_Matches_All[ATTNDDiff],TBA_Matches_All[Team],TBA_Rankings[[#This Row],[Team]],TBA_Matches_All[Avoid],3,TBA_Matches_All[Scouted],"&gt;0"),0)</f>
        <v>0</v>
      </c>
      <c r="AH44" s="66">
        <f>IFERROR(AVERAGEIFS(TBA_Matches_All[ATTNDDiff],TBA_Matches_All[Team],TBA_Rankings[[#This Row],[Team]],TBA_Matches_All[Avoid],2,TBA_Matches_All[Scouted],"&gt;0"),0)</f>
        <v>0</v>
      </c>
      <c r="AI44" s="66">
        <f>IFERROR(AVERAGEIFS(TBA_Matches_All[ATTNDDiff],TBA_Matches_All[Team],TBA_Rankings[[#This Row],[Team]],TBA_Matches_All[Avoid],1,TBA_Matches_All[Scouted],"&gt;0"),0)</f>
        <v>0</v>
      </c>
      <c r="AJ44" s="66">
        <f>IFERROR(AVERAGEIFS(TBA_Matches_All[ATTNDDiff],TBA_Matches_All[Team],TBA_Rankings[[#This Row],[Team]],TBA_Matches_All[Avoid],0,TBA_Matches_All[Scouted],"&gt;0"),0)</f>
        <v>1.8503717077085941E-17</v>
      </c>
    </row>
    <row r="45" spans="1:36" x14ac:dyDescent="0.3">
      <c r="A45" t="s">
        <v>1419</v>
      </c>
      <c r="B45" s="1">
        <v>50</v>
      </c>
      <c r="C45" t="s">
        <v>1279</v>
      </c>
      <c r="D45" s="1">
        <v>147</v>
      </c>
      <c r="E45" s="66">
        <f>IFERROR(AVERAGEIFS(TBA_Matches_All[Score], TBA_Matches_All[Team],TBA_Rankings[[#This Row],[Team]],TBA_Matches_All[Scouted],"&gt;0"),0)</f>
        <v>41.166666666666664</v>
      </c>
      <c r="F45" s="66">
        <f>IFERROR(AVERAGEIFS(TBA_Matches_All[TotptsC], TBA_Matches_All[Team],TBA_Rankings[[#This Row],[Team]],TBA_Matches_All[Scouted],"&gt;0"),0)</f>
        <v>3</v>
      </c>
      <c r="G45" s="59">
        <f>IFERROR(TBA_Rankings[[#This Row],[avescoreT]]/TBA_Rankings[[#This Row],[avescoreA]],0)</f>
        <v>7.2874493927125514E-2</v>
      </c>
      <c r="H45" s="66">
        <f>IFERROR(SUM(AVERAGEIFS(TBA_Matches_All[Aamp],TBA_Matches_All[Team],TBA_Rankings[[#This Row],[Team]],TBA_Matches_All[Scouted],"&gt;0")+AVERAGEIFS(TBA_Matches_All[Tamp],TBA_Matches_All[Team],TBA_Rankings[[#This Row],[Team]],TBA_Matches_All[Scouted],"&gt;0")),0)</f>
        <v>2.1666666666666665</v>
      </c>
      <c r="I45" s="66">
        <f>IFERROR(SUM(AVERAGEIFS(TBA_Matches_All[AampT],TBA_Matches_All[Team],TBA_Rankings[[#This Row],[Team]],TBA_Matches_All[Scouted],"&gt;0")+AVERAGEIFS(TBA_Matches_All[TampT],TBA_Matches_All[Team],TBA_Rankings[[#This Row],[Team]],TBA_Matches_All[Scouted],"&gt;0")),0)</f>
        <v>0</v>
      </c>
      <c r="J45" s="59">
        <f>IFERROR(TBA_Rankings[[#This Row],[aveampT]]/TBA_Rankings[[#This Row],[aveampA]],0)</f>
        <v>0</v>
      </c>
      <c r="K45" s="66">
        <f>IFERROR(SUM(AVERAGEIFS(TBA_Matches_All[Aspkr],TBA_Matches_All[Team],TBA_Rankings[[#This Row],[Team]],TBA_Matches_All[Scouted],"&gt;0")+AVERAGEIFS(TBA_Matches_All[Tspkr],TBA_Matches_All[Team],TBA_Rankings[[#This Row],[Team]],TBA_Matches_All[Scouted],"&gt;0")),0)</f>
        <v>9.8333333333333339</v>
      </c>
      <c r="L45" s="66">
        <f>IFERROR(SUM(AVERAGEIFS(TBA_Matches_All[AspkrT],TBA_Matches_All[Team],TBA_Rankings[[#This Row],[Team]],TBA_Matches_All[Scouted],"&gt;0")+AVERAGEIFS(TBA_Matches_All[TspkrT],TBA_Matches_All[Team],TBA_Rankings[[#This Row],[Team]],TBA_Matches_All[Scouted],"&gt;0")),0)</f>
        <v>0.16666666666666666</v>
      </c>
      <c r="M45" s="59">
        <f>IFERROR(TBA_Rankings[[#This Row],[avespkrT]]/TBA_Rankings[[#This Row],[avespkrA]],0)</f>
        <v>1.6949152542372878E-2</v>
      </c>
      <c r="N45" s="66">
        <f>IFERROR(AVERAGEIFS(TBA_Matches_All[Trap],TBA_Matches_All[Team],TBA_Rankings[[#This Row],[Team]],TBA_Matches_All[Scouted],"&gt;0"),0)</f>
        <v>0</v>
      </c>
      <c r="O45" s="66">
        <f>IFERROR(SUM(AVERAGEIFS(TBA_Matches_All[AtrapT],TBA_Matches_All[Team],TBA_Rankings[[#This Row],[Team]],TBA_Matches_All[Scouted],"&gt;0")+AVERAGEIFS(TBA_Matches_All[TtrapT],TBA_Matches_All[Team],TBA_Rankings[[#This Row],[Team]],TBA_Matches_All[Scouted],"&gt;0")),0)</f>
        <v>0</v>
      </c>
      <c r="P45" s="59">
        <f>IFERROR(TBA_Rankings[[#This Row],[avetrapT]]/TBA_Rankings[[#This Row],[avetrapA]],0)</f>
        <v>0</v>
      </c>
      <c r="Q45" s="66">
        <f>IFERROR(AVERAGEIFS(TBA_Matches_All[TotNotes],TBA_Matches_All[Team],TBA_Rankings[[#This Row],[Team]],TBA_Matches_All[Scouted],"&gt;0"),0)</f>
        <v>12</v>
      </c>
      <c r="R45" s="66">
        <f>IFERROR(AVERAGEIFS(TBA_Matches_All[TotNotesT],TBA_Matches_All[Team],TBA_Rankings[[#This Row],[Team]],TBA_Matches_All[Scouted],"&gt;0"),0)</f>
        <v>0.16666666666666666</v>
      </c>
      <c r="S45" s="59">
        <f>IFERROR(TBA_Rankings[[#This Row],[avenotesT]]/TBA_Rankings[[#This Row],[avenotesA]],0)</f>
        <v>1.3888888888888888E-2</v>
      </c>
      <c r="T45" s="66">
        <f>IFERROR(AVERAGEIFS(TBA_Matches_All[StagePts],TBA_Matches_All[Team],TBA_Rankings[[#This Row],[Team]],TBA_Matches_All[Scouted],"&gt;0"),0)</f>
        <v>3.8333333333333335</v>
      </c>
      <c r="U45" s="66">
        <f>IFERROR(AVERAGEIFS(TBA_Matches_All[stageptsT],TBA_Matches_All[Team],TBA_Rankings[[#This Row],[Team]],TBA_Matches_All[Scouted],"&gt;0"),0)</f>
        <v>0.5</v>
      </c>
      <c r="V45" s="59">
        <f>IFERROR(TBA_Rankings[[#This Row],[avestageT]]/TBA_Rankings[[#This Row],[avestageA]],0)</f>
        <v>0.13043478260869565</v>
      </c>
      <c r="W45" s="66">
        <f>IFERROR(AVERAGEIFS(TBA_Matches_All[AampT],TBA_Matches_All[Team],TBA_Rankings[[#This Row],[Team]],TBA_Matches_All[Scouted],"&gt;0"),0)</f>
        <v>0</v>
      </c>
      <c r="X45" s="66">
        <f>IFERROR(AVERAGEIFS(TBA_Matches_All[AspkrT],TBA_Matches_All[Team],TBA_Rankings[[#This Row],[Team]],TBA_Matches_All[Scouted],"&gt;0"),0)</f>
        <v>0.16666666666666666</v>
      </c>
      <c r="Y45" s="66">
        <f>IFERROR(AVERAGEIFS(TBA_Matches_All[AtrapT],TBA_Matches_All[Team],TBA_Rankings[[#This Row],[Team]],TBA_Matches_All[Scouted],"&gt;0"),0)</f>
        <v>0</v>
      </c>
      <c r="Z45" s="66">
        <f>IFERROR(AVERAGEIFS(TBA_Matches_All[TampT],TBA_Matches_All[Team],TBA_Rankings[[#This Row],[Team]],TBA_Matches_All[Scouted],"&gt;0"),0)</f>
        <v>0</v>
      </c>
      <c r="AA45" s="66">
        <f>IFERROR(AVERAGEIFS(TBA_Matches_All[TspkrT],TBA_Matches_All[Team],TBA_Rankings[[#This Row],[Team]],TBA_Matches_All[Scouted],"&gt;0"),0)</f>
        <v>0</v>
      </c>
      <c r="AB45" s="66">
        <f>IFERROR(AVERAGEIFS(TBA_Matches_All[TtrapT],TBA_Matches_All[Team],TBA_Rankings[[#This Row],[Team]],TBA_Matches_All[Scouted],"&gt;0"),0)</f>
        <v>0</v>
      </c>
      <c r="AC45" s="66">
        <f>IFERROR(AVERAGEIFS(TBA_Matches_All[ATTNDDiff],TBA_Matches_All[Team],TBA_Rankings[[#This Row],[Team]],TBA_Matches_All[Defense],3,TBA_Matches_All[Scouted],"&gt;0"),0)</f>
        <v>0</v>
      </c>
      <c r="AD45" s="66">
        <f>IFERROR(AVERAGEIFS(TBA_Matches_All[ATTNDDiff],TBA_Matches_All[Team],TBA_Rankings[[#This Row],[Team]],TBA_Matches_All[Defense],2,TBA_Matches_All[Scouted],"&gt;0"),0)</f>
        <v>0</v>
      </c>
      <c r="AE45" s="66">
        <f>IFERROR(AVERAGEIFS(TBA_Matches_All[ATTNDDiff],TBA_Matches_All[Team],TBA_Rankings[[#This Row],[Team]],TBA_Matches_All[Defense],1,TBA_Matches_All[Scouted],"&gt;0"),0)</f>
        <v>0</v>
      </c>
      <c r="AF45" s="66">
        <f>IFERROR(AVERAGEIFS(TBA_Matches_All[ATTNDDiff],TBA_Matches_All[Team],TBA_Rankings[[#This Row],[Team]],TBA_Matches_All[Defense],0,TBA_Matches_All[Scouted],"&gt;0"),0)</f>
        <v>0</v>
      </c>
      <c r="AG45" s="66">
        <f>IFERROR(AVERAGEIFS(TBA_Matches_All[ATTNDDiff],TBA_Matches_All[Team],TBA_Rankings[[#This Row],[Team]],TBA_Matches_All[Avoid],3,TBA_Matches_All[Scouted],"&gt;0"),0)</f>
        <v>0</v>
      </c>
      <c r="AH45" s="66">
        <f>IFERROR(AVERAGEIFS(TBA_Matches_All[ATTNDDiff],TBA_Matches_All[Team],TBA_Rankings[[#This Row],[Team]],TBA_Matches_All[Avoid],2,TBA_Matches_All[Scouted],"&gt;0"),0)</f>
        <v>0</v>
      </c>
      <c r="AI45" s="66">
        <f>IFERROR(AVERAGEIFS(TBA_Matches_All[ATTNDDiff],TBA_Matches_All[Team],TBA_Rankings[[#This Row],[Team]],TBA_Matches_All[Avoid],1,TBA_Matches_All[Scouted],"&gt;0"),0)</f>
        <v>0</v>
      </c>
      <c r="AJ45" s="66">
        <f>IFERROR(AVERAGEIFS(TBA_Matches_All[ATTNDDiff],TBA_Matches_All[Team],TBA_Rankings[[#This Row],[Team]],TBA_Matches_All[Avoid],0,TBA_Matches_All[Scouted],"&gt;0"),0)</f>
        <v>0</v>
      </c>
    </row>
    <row r="46" spans="1:36" x14ac:dyDescent="0.3">
      <c r="A46" t="s">
        <v>1419</v>
      </c>
      <c r="B46" s="1">
        <v>44</v>
      </c>
      <c r="C46" t="s">
        <v>1311</v>
      </c>
      <c r="D46" s="1">
        <v>294</v>
      </c>
      <c r="E46" s="66">
        <f>IFERROR(AVERAGEIFS(TBA_Matches_All[Score], TBA_Matches_All[Team],TBA_Rankings[[#This Row],[Team]],TBA_Matches_All[Scouted],"&gt;0"),0)</f>
        <v>41.833333333333336</v>
      </c>
      <c r="F46" s="66">
        <f>IFERROR(AVERAGEIFS(TBA_Matches_All[TotptsC], TBA_Matches_All[Team],TBA_Rankings[[#This Row],[Team]],TBA_Matches_All[Scouted],"&gt;0"),0)</f>
        <v>4</v>
      </c>
      <c r="G46" s="59">
        <f>IFERROR(TBA_Rankings[[#This Row],[avescoreT]]/TBA_Rankings[[#This Row],[avescoreA]],0)</f>
        <v>9.5617529880478086E-2</v>
      </c>
      <c r="H46" s="66">
        <f>IFERROR(SUM(AVERAGEIFS(TBA_Matches_All[Aamp],TBA_Matches_All[Team],TBA_Rankings[[#This Row],[Team]],TBA_Matches_All[Scouted],"&gt;0")+AVERAGEIFS(TBA_Matches_All[Tamp],TBA_Matches_All[Team],TBA_Rankings[[#This Row],[Team]],TBA_Matches_All[Scouted],"&gt;0")),0)</f>
        <v>2.3333333333333335</v>
      </c>
      <c r="I46" s="66">
        <f>IFERROR(SUM(AVERAGEIFS(TBA_Matches_All[AampT],TBA_Matches_All[Team],TBA_Rankings[[#This Row],[Team]],TBA_Matches_All[Scouted],"&gt;0")+AVERAGEIFS(TBA_Matches_All[TampT],TBA_Matches_All[Team],TBA_Rankings[[#This Row],[Team]],TBA_Matches_All[Scouted],"&gt;0")),0)</f>
        <v>1.1666666666666667</v>
      </c>
      <c r="J46" s="59">
        <f>IFERROR(TBA_Rankings[[#This Row],[aveampT]]/TBA_Rankings[[#This Row],[aveampA]],0)</f>
        <v>0.5</v>
      </c>
      <c r="K46" s="66">
        <f>IFERROR(SUM(AVERAGEIFS(TBA_Matches_All[Aspkr],TBA_Matches_All[Team],TBA_Rankings[[#This Row],[Team]],TBA_Matches_All[Scouted],"&gt;0")+AVERAGEIFS(TBA_Matches_All[Tspkr],TBA_Matches_All[Team],TBA_Rankings[[#This Row],[Team]],TBA_Matches_All[Scouted],"&gt;0")),0)</f>
        <v>7.666666666666667</v>
      </c>
      <c r="L46" s="66">
        <f>IFERROR(SUM(AVERAGEIFS(TBA_Matches_All[AspkrT],TBA_Matches_All[Team],TBA_Rankings[[#This Row],[Team]],TBA_Matches_All[Scouted],"&gt;0")+AVERAGEIFS(TBA_Matches_All[TspkrT],TBA_Matches_All[Team],TBA_Rankings[[#This Row],[Team]],TBA_Matches_All[Scouted],"&gt;0")),0)</f>
        <v>0</v>
      </c>
      <c r="M46" s="59">
        <f>IFERROR(TBA_Rankings[[#This Row],[avespkrT]]/TBA_Rankings[[#This Row],[avespkrA]],0)</f>
        <v>0</v>
      </c>
      <c r="N46" s="66">
        <f>IFERROR(AVERAGEIFS(TBA_Matches_All[Trap],TBA_Matches_All[Team],TBA_Rankings[[#This Row],[Team]],TBA_Matches_All[Scouted],"&gt;0"),0)</f>
        <v>0</v>
      </c>
      <c r="O46" s="66">
        <f>IFERROR(SUM(AVERAGEIFS(TBA_Matches_All[AtrapT],TBA_Matches_All[Team],TBA_Rankings[[#This Row],[Team]],TBA_Matches_All[Scouted],"&gt;0")+AVERAGEIFS(TBA_Matches_All[TtrapT],TBA_Matches_All[Team],TBA_Rankings[[#This Row],[Team]],TBA_Matches_All[Scouted],"&gt;0")),0)</f>
        <v>0</v>
      </c>
      <c r="P46" s="59">
        <f>IFERROR(TBA_Rankings[[#This Row],[avetrapT]]/TBA_Rankings[[#This Row],[avetrapA]],0)</f>
        <v>0</v>
      </c>
      <c r="Q46" s="66">
        <f>IFERROR(AVERAGEIFS(TBA_Matches_All[TotNotes],TBA_Matches_All[Team],TBA_Rankings[[#This Row],[Team]],TBA_Matches_All[Scouted],"&gt;0"),0)</f>
        <v>10</v>
      </c>
      <c r="R46" s="66">
        <f>IFERROR(AVERAGEIFS(TBA_Matches_All[TotNotesT],TBA_Matches_All[Team],TBA_Rankings[[#This Row],[Team]],TBA_Matches_All[Scouted],"&gt;0"),0)</f>
        <v>1.1666666666666667</v>
      </c>
      <c r="S46" s="59">
        <f>IFERROR(TBA_Rankings[[#This Row],[avenotesT]]/TBA_Rankings[[#This Row],[avenotesA]],0)</f>
        <v>0.11666666666666667</v>
      </c>
      <c r="T46" s="66">
        <f>IFERROR(AVERAGEIFS(TBA_Matches_All[StagePts],TBA_Matches_All[Team],TBA_Rankings[[#This Row],[Team]],TBA_Matches_All[Scouted],"&gt;0"),0)</f>
        <v>4</v>
      </c>
      <c r="U46" s="66">
        <f>IFERROR(AVERAGEIFS(TBA_Matches_All[stageptsT],TBA_Matches_All[Team],TBA_Rankings[[#This Row],[Team]],TBA_Matches_All[Scouted],"&gt;0"),0)</f>
        <v>1.1666666666666667</v>
      </c>
      <c r="V46" s="59">
        <f>IFERROR(TBA_Rankings[[#This Row],[avestageT]]/TBA_Rankings[[#This Row],[avestageA]],0)</f>
        <v>0.29166666666666669</v>
      </c>
      <c r="W46" s="66">
        <f>IFERROR(AVERAGEIFS(TBA_Matches_All[AampT],TBA_Matches_All[Team],TBA_Rankings[[#This Row],[Team]],TBA_Matches_All[Scouted],"&gt;0"),0)</f>
        <v>0</v>
      </c>
      <c r="X46" s="66">
        <f>IFERROR(AVERAGEIFS(TBA_Matches_All[AspkrT],TBA_Matches_All[Team],TBA_Rankings[[#This Row],[Team]],TBA_Matches_All[Scouted],"&gt;0"),0)</f>
        <v>0</v>
      </c>
      <c r="Y46" s="66">
        <f>IFERROR(AVERAGEIFS(TBA_Matches_All[AtrapT],TBA_Matches_All[Team],TBA_Rankings[[#This Row],[Team]],TBA_Matches_All[Scouted],"&gt;0"),0)</f>
        <v>0</v>
      </c>
      <c r="Z46" s="66">
        <f>IFERROR(AVERAGEIFS(TBA_Matches_All[TampT],TBA_Matches_All[Team],TBA_Rankings[[#This Row],[Team]],TBA_Matches_All[Scouted],"&gt;0"),0)</f>
        <v>1.1666666666666667</v>
      </c>
      <c r="AA46" s="66">
        <f>IFERROR(AVERAGEIFS(TBA_Matches_All[TspkrT],TBA_Matches_All[Team],TBA_Rankings[[#This Row],[Team]],TBA_Matches_All[Scouted],"&gt;0"),0)</f>
        <v>0</v>
      </c>
      <c r="AB46" s="66">
        <f>IFERROR(AVERAGEIFS(TBA_Matches_All[TtrapT],TBA_Matches_All[Team],TBA_Rankings[[#This Row],[Team]],TBA_Matches_All[Scouted],"&gt;0"),0)</f>
        <v>0</v>
      </c>
      <c r="AC46" s="66">
        <f>IFERROR(AVERAGEIFS(TBA_Matches_All[ATTNDDiff],TBA_Matches_All[Team],TBA_Rankings[[#This Row],[Team]],TBA_Matches_All[Defense],3,TBA_Matches_All[Scouted],"&gt;0"),0)</f>
        <v>-1.3999999999999997</v>
      </c>
      <c r="AD46" s="66">
        <f>IFERROR(AVERAGEIFS(TBA_Matches_All[ATTNDDiff],TBA_Matches_All[Team],TBA_Rankings[[#This Row],[Team]],TBA_Matches_All[Defense],2,TBA_Matches_All[Scouted],"&gt;0"),0)</f>
        <v>0</v>
      </c>
      <c r="AE46" s="66">
        <f>IFERROR(AVERAGEIFS(TBA_Matches_All[ATTNDDiff],TBA_Matches_All[Team],TBA_Rankings[[#This Row],[Team]],TBA_Matches_All[Defense],1,TBA_Matches_All[Scouted],"&gt;0"),0)</f>
        <v>0</v>
      </c>
      <c r="AF46" s="66">
        <f>IFERROR(AVERAGEIFS(TBA_Matches_All[ATTNDDiff],TBA_Matches_All[Team],TBA_Rankings[[#This Row],[Team]],TBA_Matches_All[Defense],0,TBA_Matches_All[Scouted],"&gt;0"),0)</f>
        <v>1.4000000000000001</v>
      </c>
      <c r="AG46" s="66">
        <f>IFERROR(AVERAGEIFS(TBA_Matches_All[ATTNDDiff],TBA_Matches_All[Team],TBA_Rankings[[#This Row],[Team]],TBA_Matches_All[Avoid],3,TBA_Matches_All[Scouted],"&gt;0"),0)</f>
        <v>0</v>
      </c>
      <c r="AH46" s="66">
        <f>IFERROR(AVERAGEIFS(TBA_Matches_All[ATTNDDiff],TBA_Matches_All[Team],TBA_Rankings[[#This Row],[Team]],TBA_Matches_All[Avoid],2,TBA_Matches_All[Scouted],"&gt;0"),0)</f>
        <v>-0.19999999999999996</v>
      </c>
      <c r="AI46" s="66">
        <f>IFERROR(AVERAGEIFS(TBA_Matches_All[ATTNDDiff],TBA_Matches_All[Team],TBA_Rankings[[#This Row],[Team]],TBA_Matches_All[Avoid],1,TBA_Matches_All[Scouted],"&gt;0"),0)</f>
        <v>2.2000000000000002</v>
      </c>
      <c r="AJ46" s="66">
        <f>IFERROR(AVERAGEIFS(TBA_Matches_All[ATTNDDiff],TBA_Matches_All[Team],TBA_Rankings[[#This Row],[Team]],TBA_Matches_All[Avoid],0,TBA_Matches_All[Scouted],"&gt;0"),0)</f>
        <v>-0.49999999999999989</v>
      </c>
    </row>
    <row r="47" spans="1:36" x14ac:dyDescent="0.3">
      <c r="A47" t="s">
        <v>1419</v>
      </c>
      <c r="B47" s="1">
        <v>48</v>
      </c>
      <c r="C47" t="s">
        <v>1276</v>
      </c>
      <c r="D47" s="1">
        <v>245</v>
      </c>
      <c r="E47" s="66">
        <f>IFERROR(AVERAGEIFS(TBA_Matches_All[Score], TBA_Matches_All[Team],TBA_Rankings[[#This Row],[Team]],TBA_Matches_All[Scouted],"&gt;0"),0)</f>
        <v>32.666666666666664</v>
      </c>
      <c r="F47" s="66">
        <f>IFERROR(AVERAGEIFS(TBA_Matches_All[TotptsC], TBA_Matches_All[Team],TBA_Rankings[[#This Row],[Team]],TBA_Matches_All[Scouted],"&gt;0"),0)</f>
        <v>2.5</v>
      </c>
      <c r="G47" s="59">
        <f>IFERROR(TBA_Rankings[[#This Row],[avescoreT]]/TBA_Rankings[[#This Row],[avescoreA]],0)</f>
        <v>7.6530612244897961E-2</v>
      </c>
      <c r="H47" s="66">
        <f>IFERROR(SUM(AVERAGEIFS(TBA_Matches_All[Aamp],TBA_Matches_All[Team],TBA_Rankings[[#This Row],[Team]],TBA_Matches_All[Scouted],"&gt;0")+AVERAGEIFS(TBA_Matches_All[Tamp],TBA_Matches_All[Team],TBA_Rankings[[#This Row],[Team]],TBA_Matches_All[Scouted],"&gt;0")),0)</f>
        <v>2</v>
      </c>
      <c r="I47" s="66">
        <f>IFERROR(SUM(AVERAGEIFS(TBA_Matches_All[AampT],TBA_Matches_All[Team],TBA_Rankings[[#This Row],[Team]],TBA_Matches_All[Scouted],"&gt;0")+AVERAGEIFS(TBA_Matches_All[TampT],TBA_Matches_All[Team],TBA_Rankings[[#This Row],[Team]],TBA_Matches_All[Scouted],"&gt;0")),0)</f>
        <v>0</v>
      </c>
      <c r="J47" s="59">
        <f>IFERROR(TBA_Rankings[[#This Row],[aveampT]]/TBA_Rankings[[#This Row],[aveampA]],0)</f>
        <v>0</v>
      </c>
      <c r="K47" s="66">
        <f>IFERROR(SUM(AVERAGEIFS(TBA_Matches_All[Aspkr],TBA_Matches_All[Team],TBA_Rankings[[#This Row],[Team]],TBA_Matches_All[Scouted],"&gt;0")+AVERAGEIFS(TBA_Matches_All[Tspkr],TBA_Matches_All[Team],TBA_Rankings[[#This Row],[Team]],TBA_Matches_All[Scouted],"&gt;0")),0)</f>
        <v>6.833333333333333</v>
      </c>
      <c r="L47" s="66">
        <f>IFERROR(SUM(AVERAGEIFS(TBA_Matches_All[AspkrT],TBA_Matches_All[Team],TBA_Rankings[[#This Row],[Team]],TBA_Matches_All[Scouted],"&gt;0")+AVERAGEIFS(TBA_Matches_All[TspkrT],TBA_Matches_All[Team],TBA_Rankings[[#This Row],[Team]],TBA_Matches_All[Scouted],"&gt;0")),0)</f>
        <v>0</v>
      </c>
      <c r="M47" s="59">
        <f>IFERROR(TBA_Rankings[[#This Row],[avespkrT]]/TBA_Rankings[[#This Row],[avespkrA]],0)</f>
        <v>0</v>
      </c>
      <c r="N47" s="66">
        <f>IFERROR(AVERAGEIFS(TBA_Matches_All[Trap],TBA_Matches_All[Team],TBA_Rankings[[#This Row],[Team]],TBA_Matches_All[Scouted],"&gt;0"),0)</f>
        <v>0</v>
      </c>
      <c r="O47" s="66">
        <f>IFERROR(SUM(AVERAGEIFS(TBA_Matches_All[AtrapT],TBA_Matches_All[Team],TBA_Rankings[[#This Row],[Team]],TBA_Matches_All[Scouted],"&gt;0")+AVERAGEIFS(TBA_Matches_All[TtrapT],TBA_Matches_All[Team],TBA_Rankings[[#This Row],[Team]],TBA_Matches_All[Scouted],"&gt;0")),0)</f>
        <v>0</v>
      </c>
      <c r="P47" s="59">
        <f>IFERROR(TBA_Rankings[[#This Row],[avetrapT]]/TBA_Rankings[[#This Row],[avetrapA]],0)</f>
        <v>0</v>
      </c>
      <c r="Q47" s="66">
        <f>IFERROR(AVERAGEIFS(TBA_Matches_All[TotNotes],TBA_Matches_All[Team],TBA_Rankings[[#This Row],[Team]],TBA_Matches_All[Scouted],"&gt;0"),0)</f>
        <v>8.8333333333333339</v>
      </c>
      <c r="R47" s="66">
        <f>IFERROR(AVERAGEIFS(TBA_Matches_All[TotNotesT],TBA_Matches_All[Team],TBA_Rankings[[#This Row],[Team]],TBA_Matches_All[Scouted],"&gt;0"),0)</f>
        <v>0</v>
      </c>
      <c r="S47" s="59">
        <f>IFERROR(TBA_Rankings[[#This Row],[avenotesT]]/TBA_Rankings[[#This Row],[avenotesA]],0)</f>
        <v>0</v>
      </c>
      <c r="T47" s="66">
        <f>IFERROR(AVERAGEIFS(TBA_Matches_All[StagePts],TBA_Matches_All[Team],TBA_Rankings[[#This Row],[Team]],TBA_Matches_All[Scouted],"&gt;0"),0)</f>
        <v>3</v>
      </c>
      <c r="U47" s="66">
        <f>IFERROR(AVERAGEIFS(TBA_Matches_All[stageptsT],TBA_Matches_All[Team],TBA_Rankings[[#This Row],[Team]],TBA_Matches_All[Scouted],"&gt;0"),0)</f>
        <v>0.83333333333333337</v>
      </c>
      <c r="V47" s="59">
        <f>IFERROR(TBA_Rankings[[#This Row],[avestageT]]/TBA_Rankings[[#This Row],[avestageA]],0)</f>
        <v>0.27777777777777779</v>
      </c>
      <c r="W47" s="66">
        <f>IFERROR(AVERAGEIFS(TBA_Matches_All[AampT],TBA_Matches_All[Team],TBA_Rankings[[#This Row],[Team]],TBA_Matches_All[Scouted],"&gt;0"),0)</f>
        <v>0</v>
      </c>
      <c r="X47" s="66">
        <f>IFERROR(AVERAGEIFS(TBA_Matches_All[AspkrT],TBA_Matches_All[Team],TBA_Rankings[[#This Row],[Team]],TBA_Matches_All[Scouted],"&gt;0"),0)</f>
        <v>0</v>
      </c>
      <c r="Y47" s="66">
        <f>IFERROR(AVERAGEIFS(TBA_Matches_All[AtrapT],TBA_Matches_All[Team],TBA_Rankings[[#This Row],[Team]],TBA_Matches_All[Scouted],"&gt;0"),0)</f>
        <v>0</v>
      </c>
      <c r="Z47" s="66">
        <f>IFERROR(AVERAGEIFS(TBA_Matches_All[TampT],TBA_Matches_All[Team],TBA_Rankings[[#This Row],[Team]],TBA_Matches_All[Scouted],"&gt;0"),0)</f>
        <v>0</v>
      </c>
      <c r="AA47" s="66">
        <f>IFERROR(AVERAGEIFS(TBA_Matches_All[TspkrT],TBA_Matches_All[Team],TBA_Rankings[[#This Row],[Team]],TBA_Matches_All[Scouted],"&gt;0"),0)</f>
        <v>0</v>
      </c>
      <c r="AB47" s="66">
        <f>IFERROR(AVERAGEIFS(TBA_Matches_All[TtrapT],TBA_Matches_All[Team],TBA_Rankings[[#This Row],[Team]],TBA_Matches_All[Scouted],"&gt;0"),0)</f>
        <v>0</v>
      </c>
      <c r="AC47" s="66">
        <f>IFERROR(AVERAGEIFS(TBA_Matches_All[ATTNDDiff],TBA_Matches_All[Team],TBA_Rankings[[#This Row],[Team]],TBA_Matches_All[Defense],3,TBA_Matches_All[Scouted],"&gt;0"),0)</f>
        <v>0</v>
      </c>
      <c r="AD47" s="66">
        <f>IFERROR(AVERAGEIFS(TBA_Matches_All[ATTNDDiff],TBA_Matches_All[Team],TBA_Rankings[[#This Row],[Team]],TBA_Matches_All[Defense],2,TBA_Matches_All[Scouted],"&gt;0"),0)</f>
        <v>0</v>
      </c>
      <c r="AE47" s="66">
        <f>IFERROR(AVERAGEIFS(TBA_Matches_All[ATTNDDiff],TBA_Matches_All[Team],TBA_Rankings[[#This Row],[Team]],TBA_Matches_All[Defense],1,TBA_Matches_All[Scouted],"&gt;0"),0)</f>
        <v>0</v>
      </c>
      <c r="AF47" s="66">
        <f>IFERROR(AVERAGEIFS(TBA_Matches_All[ATTNDDiff],TBA_Matches_All[Team],TBA_Rankings[[#This Row],[Team]],TBA_Matches_All[Defense],0,TBA_Matches_All[Scouted],"&gt;0"),0)</f>
        <v>0</v>
      </c>
      <c r="AG47" s="66">
        <f>IFERROR(AVERAGEIFS(TBA_Matches_All[ATTNDDiff],TBA_Matches_All[Team],TBA_Rankings[[#This Row],[Team]],TBA_Matches_All[Avoid],3,TBA_Matches_All[Scouted],"&gt;0"),0)</f>
        <v>0</v>
      </c>
      <c r="AH47" s="66">
        <f>IFERROR(AVERAGEIFS(TBA_Matches_All[ATTNDDiff],TBA_Matches_All[Team],TBA_Rankings[[#This Row],[Team]],TBA_Matches_All[Avoid],2,TBA_Matches_All[Scouted],"&gt;0"),0)</f>
        <v>0</v>
      </c>
      <c r="AI47" s="66">
        <f>IFERROR(AVERAGEIFS(TBA_Matches_All[ATTNDDiff],TBA_Matches_All[Team],TBA_Rankings[[#This Row],[Team]],TBA_Matches_All[Avoid],1,TBA_Matches_All[Scouted],"&gt;0"),0)</f>
        <v>0</v>
      </c>
      <c r="AJ47" s="66">
        <f>IFERROR(AVERAGEIFS(TBA_Matches_All[ATTNDDiff],TBA_Matches_All[Team],TBA_Rankings[[#This Row],[Team]],TBA_Matches_All[Avoid],0,TBA_Matches_All[Scouted],"&gt;0"),0)</f>
        <v>0</v>
      </c>
    </row>
    <row r="48" spans="1:36" x14ac:dyDescent="0.3">
      <c r="A48" t="s">
        <v>1419</v>
      </c>
      <c r="B48" s="1">
        <v>51</v>
      </c>
      <c r="C48" t="s">
        <v>369</v>
      </c>
      <c r="D48" s="1">
        <v>98</v>
      </c>
      <c r="E48" s="66">
        <f>IFERROR(AVERAGEIFS(TBA_Matches_All[Score], TBA_Matches_All[Team],TBA_Rankings[[#This Row],[Team]],TBA_Matches_All[Scouted],"&gt;0"),0)</f>
        <v>31.666666666666668</v>
      </c>
      <c r="F48" s="66">
        <f>IFERROR(AVERAGEIFS(TBA_Matches_All[TotptsC], TBA_Matches_All[Team],TBA_Rankings[[#This Row],[Team]],TBA_Matches_All[Scouted],"&gt;0"),0)</f>
        <v>1.1666666666666667</v>
      </c>
      <c r="G48" s="59">
        <f>IFERROR(TBA_Rankings[[#This Row],[avescoreT]]/TBA_Rankings[[#This Row],[avescoreA]],0)</f>
        <v>3.6842105263157898E-2</v>
      </c>
      <c r="H48" s="66">
        <f>IFERROR(SUM(AVERAGEIFS(TBA_Matches_All[Aamp],TBA_Matches_All[Team],TBA_Rankings[[#This Row],[Team]],TBA_Matches_All[Scouted],"&gt;0")+AVERAGEIFS(TBA_Matches_All[Tamp],TBA_Matches_All[Team],TBA_Rankings[[#This Row],[Team]],TBA_Matches_All[Scouted],"&gt;0")),0)</f>
        <v>1.3333333333333333</v>
      </c>
      <c r="I48" s="66">
        <f>IFERROR(SUM(AVERAGEIFS(TBA_Matches_All[AampT],TBA_Matches_All[Team],TBA_Rankings[[#This Row],[Team]],TBA_Matches_All[Scouted],"&gt;0")+AVERAGEIFS(TBA_Matches_All[TampT],TBA_Matches_All[Team],TBA_Rankings[[#This Row],[Team]],TBA_Matches_All[Scouted],"&gt;0")),0)</f>
        <v>0</v>
      </c>
      <c r="J48" s="59">
        <f>IFERROR(TBA_Rankings[[#This Row],[aveampT]]/TBA_Rankings[[#This Row],[aveampA]],0)</f>
        <v>0</v>
      </c>
      <c r="K48" s="66">
        <f>IFERROR(SUM(AVERAGEIFS(TBA_Matches_All[Aspkr],TBA_Matches_All[Team],TBA_Rankings[[#This Row],[Team]],TBA_Matches_All[Scouted],"&gt;0")+AVERAGEIFS(TBA_Matches_All[Tspkr],TBA_Matches_All[Team],TBA_Rankings[[#This Row],[Team]],TBA_Matches_All[Scouted],"&gt;0")),0)</f>
        <v>7.666666666666667</v>
      </c>
      <c r="L48" s="66">
        <f>IFERROR(SUM(AVERAGEIFS(TBA_Matches_All[AspkrT],TBA_Matches_All[Team],TBA_Rankings[[#This Row],[Team]],TBA_Matches_All[Scouted],"&gt;0")+AVERAGEIFS(TBA_Matches_All[TspkrT],TBA_Matches_All[Team],TBA_Rankings[[#This Row],[Team]],TBA_Matches_All[Scouted],"&gt;0")),0)</f>
        <v>0</v>
      </c>
      <c r="M48" s="59">
        <f>IFERROR(TBA_Rankings[[#This Row],[avespkrT]]/TBA_Rankings[[#This Row],[avespkrA]],0)</f>
        <v>0</v>
      </c>
      <c r="N48" s="66">
        <f>IFERROR(AVERAGEIFS(TBA_Matches_All[Trap],TBA_Matches_All[Team],TBA_Rankings[[#This Row],[Team]],TBA_Matches_All[Scouted],"&gt;0"),0)</f>
        <v>0</v>
      </c>
      <c r="O48" s="66">
        <f>IFERROR(SUM(AVERAGEIFS(TBA_Matches_All[AtrapT],TBA_Matches_All[Team],TBA_Rankings[[#This Row],[Team]],TBA_Matches_All[Scouted],"&gt;0")+AVERAGEIFS(TBA_Matches_All[TtrapT],TBA_Matches_All[Team],TBA_Rankings[[#This Row],[Team]],TBA_Matches_All[Scouted],"&gt;0")),0)</f>
        <v>0</v>
      </c>
      <c r="P48" s="59">
        <f>IFERROR(TBA_Rankings[[#This Row],[avetrapT]]/TBA_Rankings[[#This Row],[avetrapA]],0)</f>
        <v>0</v>
      </c>
      <c r="Q48" s="66">
        <f>IFERROR(AVERAGEIFS(TBA_Matches_All[TotNotes],TBA_Matches_All[Team],TBA_Rankings[[#This Row],[Team]],TBA_Matches_All[Scouted],"&gt;0"),0)</f>
        <v>9</v>
      </c>
      <c r="R48" s="66">
        <f>IFERROR(AVERAGEIFS(TBA_Matches_All[TotNotesT],TBA_Matches_All[Team],TBA_Rankings[[#This Row],[Team]],TBA_Matches_All[Scouted],"&gt;0"),0)</f>
        <v>0</v>
      </c>
      <c r="S48" s="59">
        <f>IFERROR(TBA_Rankings[[#This Row],[avenotesT]]/TBA_Rankings[[#This Row],[avenotesA]],0)</f>
        <v>0</v>
      </c>
      <c r="T48" s="66">
        <f>IFERROR(AVERAGEIFS(TBA_Matches_All[StagePts],TBA_Matches_All[Team],TBA_Rankings[[#This Row],[Team]],TBA_Matches_All[Scouted],"&gt;0"),0)</f>
        <v>3.5</v>
      </c>
      <c r="U48" s="66">
        <f>IFERROR(AVERAGEIFS(TBA_Matches_All[stageptsT],TBA_Matches_All[Team],TBA_Rankings[[#This Row],[Team]],TBA_Matches_All[Scouted],"&gt;0"),0)</f>
        <v>0.5</v>
      </c>
      <c r="V48" s="59">
        <f>IFERROR(TBA_Rankings[[#This Row],[avestageT]]/TBA_Rankings[[#This Row],[avestageA]],0)</f>
        <v>0.14285714285714285</v>
      </c>
      <c r="W48" s="66">
        <f>IFERROR(AVERAGEIFS(TBA_Matches_All[AampT],TBA_Matches_All[Team],TBA_Rankings[[#This Row],[Team]],TBA_Matches_All[Scouted],"&gt;0"),0)</f>
        <v>0</v>
      </c>
      <c r="X48" s="66">
        <f>IFERROR(AVERAGEIFS(TBA_Matches_All[AspkrT],TBA_Matches_All[Team],TBA_Rankings[[#This Row],[Team]],TBA_Matches_All[Scouted],"&gt;0"),0)</f>
        <v>0</v>
      </c>
      <c r="Y48" s="66">
        <f>IFERROR(AVERAGEIFS(TBA_Matches_All[AtrapT],TBA_Matches_All[Team],TBA_Rankings[[#This Row],[Team]],TBA_Matches_All[Scouted],"&gt;0"),0)</f>
        <v>0</v>
      </c>
      <c r="Z48" s="66">
        <f>IFERROR(AVERAGEIFS(TBA_Matches_All[TampT],TBA_Matches_All[Team],TBA_Rankings[[#This Row],[Team]],TBA_Matches_All[Scouted],"&gt;0"),0)</f>
        <v>0</v>
      </c>
      <c r="AA48" s="66">
        <f>IFERROR(AVERAGEIFS(TBA_Matches_All[TspkrT],TBA_Matches_All[Team],TBA_Rankings[[#This Row],[Team]],TBA_Matches_All[Scouted],"&gt;0"),0)</f>
        <v>0</v>
      </c>
      <c r="AB48" s="66">
        <f>IFERROR(AVERAGEIFS(TBA_Matches_All[TtrapT],TBA_Matches_All[Team],TBA_Rankings[[#This Row],[Team]],TBA_Matches_All[Scouted],"&gt;0"),0)</f>
        <v>0</v>
      </c>
      <c r="AC48" s="66">
        <f>IFERROR(AVERAGEIFS(TBA_Matches_All[ATTNDDiff],TBA_Matches_All[Team],TBA_Rankings[[#This Row],[Team]],TBA_Matches_All[Defense],3,TBA_Matches_All[Scouted],"&gt;0"),0)</f>
        <v>0</v>
      </c>
      <c r="AD48" s="66">
        <f>IFERROR(AVERAGEIFS(TBA_Matches_All[ATTNDDiff],TBA_Matches_All[Team],TBA_Rankings[[#This Row],[Team]],TBA_Matches_All[Defense],2,TBA_Matches_All[Scouted],"&gt;0"),0)</f>
        <v>0</v>
      </c>
      <c r="AE48" s="66">
        <f>IFERROR(AVERAGEIFS(TBA_Matches_All[ATTNDDiff],TBA_Matches_All[Team],TBA_Rankings[[#This Row],[Team]],TBA_Matches_All[Defense],1,TBA_Matches_All[Scouted],"&gt;0"),0)</f>
        <v>0</v>
      </c>
      <c r="AF48" s="66">
        <f>IFERROR(AVERAGEIFS(TBA_Matches_All[ATTNDDiff],TBA_Matches_All[Team],TBA_Rankings[[#This Row],[Team]],TBA_Matches_All[Defense],0,TBA_Matches_All[Scouted],"&gt;0"),0)</f>
        <v>0</v>
      </c>
      <c r="AG48" s="66">
        <f>IFERROR(AVERAGEIFS(TBA_Matches_All[ATTNDDiff],TBA_Matches_All[Team],TBA_Rankings[[#This Row],[Team]],TBA_Matches_All[Avoid],3,TBA_Matches_All[Scouted],"&gt;0"),0)</f>
        <v>0</v>
      </c>
      <c r="AH48" s="66">
        <f>IFERROR(AVERAGEIFS(TBA_Matches_All[ATTNDDiff],TBA_Matches_All[Team],TBA_Rankings[[#This Row],[Team]],TBA_Matches_All[Avoid],2,TBA_Matches_All[Scouted],"&gt;0"),0)</f>
        <v>0</v>
      </c>
      <c r="AI48" s="66">
        <f>IFERROR(AVERAGEIFS(TBA_Matches_All[ATTNDDiff],TBA_Matches_All[Team],TBA_Rankings[[#This Row],[Team]],TBA_Matches_All[Avoid],1,TBA_Matches_All[Scouted],"&gt;0"),0)</f>
        <v>0</v>
      </c>
      <c r="AJ48" s="66">
        <f>IFERROR(AVERAGEIFS(TBA_Matches_All[ATTNDDiff],TBA_Matches_All[Team],TBA_Rankings[[#This Row],[Team]],TBA_Matches_All[Avoid],0,TBA_Matches_All[Scouted],"&gt;0"),0)</f>
        <v>0</v>
      </c>
    </row>
    <row r="49" spans="1:36" x14ac:dyDescent="0.3">
      <c r="A49" t="s">
        <v>1419</v>
      </c>
      <c r="B49" s="1">
        <v>47</v>
      </c>
      <c r="C49" t="s">
        <v>1289</v>
      </c>
      <c r="D49" s="1">
        <v>180</v>
      </c>
      <c r="E49" s="66">
        <f>IFERROR(AVERAGEIFS(TBA_Matches_All[Score], TBA_Matches_All[Team],TBA_Rankings[[#This Row],[Team]],TBA_Matches_All[Scouted],"&gt;0"),0)</f>
        <v>39</v>
      </c>
      <c r="F49" s="66">
        <f>IFERROR(AVERAGEIFS(TBA_Matches_All[TotptsC], TBA_Matches_All[Team],TBA_Rankings[[#This Row],[Team]],TBA_Matches_All[Scouted],"&gt;0"),0)</f>
        <v>2.6666666666666665</v>
      </c>
      <c r="G49" s="59">
        <f>IFERROR(TBA_Rankings[[#This Row],[avescoreT]]/TBA_Rankings[[#This Row],[avescoreA]],0)</f>
        <v>6.8376068376068369E-2</v>
      </c>
      <c r="H49" s="66">
        <f>IFERROR(SUM(AVERAGEIFS(TBA_Matches_All[Aamp],TBA_Matches_All[Team],TBA_Rankings[[#This Row],[Team]],TBA_Matches_All[Scouted],"&gt;0")+AVERAGEIFS(TBA_Matches_All[Tamp],TBA_Matches_All[Team],TBA_Rankings[[#This Row],[Team]],TBA_Matches_All[Scouted],"&gt;0")),0)</f>
        <v>1.5</v>
      </c>
      <c r="I49" s="66">
        <f>IFERROR(SUM(AVERAGEIFS(TBA_Matches_All[AampT],TBA_Matches_All[Team],TBA_Rankings[[#This Row],[Team]],TBA_Matches_All[Scouted],"&gt;0")+AVERAGEIFS(TBA_Matches_All[TampT],TBA_Matches_All[Team],TBA_Rankings[[#This Row],[Team]],TBA_Matches_All[Scouted],"&gt;0")),0)</f>
        <v>0.33333333333333331</v>
      </c>
      <c r="J49" s="59">
        <f>IFERROR(TBA_Rankings[[#This Row],[aveampT]]/TBA_Rankings[[#This Row],[aveampA]],0)</f>
        <v>0.22222222222222221</v>
      </c>
      <c r="K49" s="66">
        <f>IFERROR(SUM(AVERAGEIFS(TBA_Matches_All[Aspkr],TBA_Matches_All[Team],TBA_Rankings[[#This Row],[Team]],TBA_Matches_All[Scouted],"&gt;0")+AVERAGEIFS(TBA_Matches_All[Tspkr],TBA_Matches_All[Team],TBA_Rankings[[#This Row],[Team]],TBA_Matches_All[Scouted],"&gt;0")),0)</f>
        <v>7.666666666666667</v>
      </c>
      <c r="L49" s="66">
        <f>IFERROR(SUM(AVERAGEIFS(TBA_Matches_All[AspkrT],TBA_Matches_All[Team],TBA_Rankings[[#This Row],[Team]],TBA_Matches_All[Scouted],"&gt;0")+AVERAGEIFS(TBA_Matches_All[TspkrT],TBA_Matches_All[Team],TBA_Rankings[[#This Row],[Team]],TBA_Matches_All[Scouted],"&gt;0")),0)</f>
        <v>0</v>
      </c>
      <c r="M49" s="59">
        <f>IFERROR(TBA_Rankings[[#This Row],[avespkrT]]/TBA_Rankings[[#This Row],[avespkrA]],0)</f>
        <v>0</v>
      </c>
      <c r="N49" s="66">
        <f>IFERROR(AVERAGEIFS(TBA_Matches_All[Trap],TBA_Matches_All[Team],TBA_Rankings[[#This Row],[Team]],TBA_Matches_All[Scouted],"&gt;0"),0)</f>
        <v>0</v>
      </c>
      <c r="O49" s="66">
        <f>IFERROR(SUM(AVERAGEIFS(TBA_Matches_All[AtrapT],TBA_Matches_All[Team],TBA_Rankings[[#This Row],[Team]],TBA_Matches_All[Scouted],"&gt;0")+AVERAGEIFS(TBA_Matches_All[TtrapT],TBA_Matches_All[Team],TBA_Rankings[[#This Row],[Team]],TBA_Matches_All[Scouted],"&gt;0")),0)</f>
        <v>0</v>
      </c>
      <c r="P49" s="59">
        <f>IFERROR(TBA_Rankings[[#This Row],[avetrapT]]/TBA_Rankings[[#This Row],[avetrapA]],0)</f>
        <v>0</v>
      </c>
      <c r="Q49" s="66">
        <f>IFERROR(AVERAGEIFS(TBA_Matches_All[TotNotes],TBA_Matches_All[Team],TBA_Rankings[[#This Row],[Team]],TBA_Matches_All[Scouted],"&gt;0"),0)</f>
        <v>9.1666666666666661</v>
      </c>
      <c r="R49" s="66">
        <f>IFERROR(AVERAGEIFS(TBA_Matches_All[TotNotesT],TBA_Matches_All[Team],TBA_Rankings[[#This Row],[Team]],TBA_Matches_All[Scouted],"&gt;0"),0)</f>
        <v>0.33333333333333331</v>
      </c>
      <c r="S49" s="59">
        <f>IFERROR(TBA_Rankings[[#This Row],[avenotesT]]/TBA_Rankings[[#This Row],[avenotesA]],0)</f>
        <v>3.6363636363636362E-2</v>
      </c>
      <c r="T49" s="66">
        <f>IFERROR(AVERAGEIFS(TBA_Matches_All[StagePts],TBA_Matches_All[Team],TBA_Rankings[[#This Row],[Team]],TBA_Matches_All[Scouted],"&gt;0"),0)</f>
        <v>4.166666666666667</v>
      </c>
      <c r="U49" s="66">
        <f>IFERROR(AVERAGEIFS(TBA_Matches_All[stageptsT],TBA_Matches_All[Team],TBA_Rankings[[#This Row],[Team]],TBA_Matches_All[Scouted],"&gt;0"),0)</f>
        <v>1.3333333333333333</v>
      </c>
      <c r="V49" s="59">
        <f>IFERROR(TBA_Rankings[[#This Row],[avestageT]]/TBA_Rankings[[#This Row],[avestageA]],0)</f>
        <v>0.31999999999999995</v>
      </c>
      <c r="W49" s="66">
        <f>IFERROR(AVERAGEIFS(TBA_Matches_All[AampT],TBA_Matches_All[Team],TBA_Rankings[[#This Row],[Team]],TBA_Matches_All[Scouted],"&gt;0"),0)</f>
        <v>0</v>
      </c>
      <c r="X49" s="66">
        <f>IFERROR(AVERAGEIFS(TBA_Matches_All[AspkrT],TBA_Matches_All[Team],TBA_Rankings[[#This Row],[Team]],TBA_Matches_All[Scouted],"&gt;0"),0)</f>
        <v>0</v>
      </c>
      <c r="Y49" s="66">
        <f>IFERROR(AVERAGEIFS(TBA_Matches_All[AtrapT],TBA_Matches_All[Team],TBA_Rankings[[#This Row],[Team]],TBA_Matches_All[Scouted],"&gt;0"),0)</f>
        <v>0</v>
      </c>
      <c r="Z49" s="66">
        <f>IFERROR(AVERAGEIFS(TBA_Matches_All[TampT],TBA_Matches_All[Team],TBA_Rankings[[#This Row],[Team]],TBA_Matches_All[Scouted],"&gt;0"),0)</f>
        <v>0.33333333333333331</v>
      </c>
      <c r="AA49" s="66">
        <f>IFERROR(AVERAGEIFS(TBA_Matches_All[TspkrT],TBA_Matches_All[Team],TBA_Rankings[[#This Row],[Team]],TBA_Matches_All[Scouted],"&gt;0"),0)</f>
        <v>0</v>
      </c>
      <c r="AB49" s="66">
        <f>IFERROR(AVERAGEIFS(TBA_Matches_All[TtrapT],TBA_Matches_All[Team],TBA_Rankings[[#This Row],[Team]],TBA_Matches_All[Scouted],"&gt;0"),0)</f>
        <v>0</v>
      </c>
      <c r="AC49" s="66">
        <f>IFERROR(AVERAGEIFS(TBA_Matches_All[ATTNDDiff],TBA_Matches_All[Team],TBA_Rankings[[#This Row],[Team]],TBA_Matches_All[Defense],3,TBA_Matches_All[Scouted],"&gt;0"),0)</f>
        <v>0.2</v>
      </c>
      <c r="AD49" s="66">
        <f>IFERROR(AVERAGEIFS(TBA_Matches_All[ATTNDDiff],TBA_Matches_All[Team],TBA_Rankings[[#This Row],[Team]],TBA_Matches_All[Defense],2,TBA_Matches_All[Scouted],"&gt;0"),0)</f>
        <v>0.8</v>
      </c>
      <c r="AE49" s="66">
        <f>IFERROR(AVERAGEIFS(TBA_Matches_All[ATTNDDiff],TBA_Matches_All[Team],TBA_Rankings[[#This Row],[Team]],TBA_Matches_All[Defense],1,TBA_Matches_All[Scouted],"&gt;0"),0)</f>
        <v>0</v>
      </c>
      <c r="AF49" s="66">
        <f>IFERROR(AVERAGEIFS(TBA_Matches_All[ATTNDDiff],TBA_Matches_All[Team],TBA_Rankings[[#This Row],[Team]],TBA_Matches_All[Defense],0,TBA_Matches_All[Scouted],"&gt;0"),0)</f>
        <v>-0.40000000000000008</v>
      </c>
      <c r="AG49" s="66">
        <f>IFERROR(AVERAGEIFS(TBA_Matches_All[ATTNDDiff],TBA_Matches_All[Team],TBA_Rankings[[#This Row],[Team]],TBA_Matches_All[Avoid],3,TBA_Matches_All[Scouted],"&gt;0"),0)</f>
        <v>-0.4</v>
      </c>
      <c r="AH49" s="66">
        <f>IFERROR(AVERAGEIFS(TBA_Matches_All[ATTNDDiff],TBA_Matches_All[Team],TBA_Rankings[[#This Row],[Team]],TBA_Matches_All[Avoid],2,TBA_Matches_All[Scouted],"&gt;0"),0)</f>
        <v>0</v>
      </c>
      <c r="AI49" s="66">
        <f>IFERROR(AVERAGEIFS(TBA_Matches_All[ATTNDDiff],TBA_Matches_All[Team],TBA_Rankings[[#This Row],[Team]],TBA_Matches_All[Avoid],1,TBA_Matches_All[Scouted],"&gt;0"),0)</f>
        <v>0</v>
      </c>
      <c r="AJ49" s="66">
        <f>IFERROR(AVERAGEIFS(TBA_Matches_All[ATTNDDiff],TBA_Matches_All[Team],TBA_Rankings[[#This Row],[Team]],TBA_Matches_All[Avoid],0,TBA_Matches_All[Scouted],"&gt;0"),0)</f>
        <v>8.0000000000000029E-2</v>
      </c>
    </row>
    <row r="50" spans="1:36" x14ac:dyDescent="0.3">
      <c r="A50" t="s">
        <v>1419</v>
      </c>
      <c r="B50" s="1">
        <v>22</v>
      </c>
      <c r="C50" t="s">
        <v>1292</v>
      </c>
      <c r="D50" s="1">
        <v>396</v>
      </c>
      <c r="E50" s="66">
        <f>IFERROR(AVERAGEIFS(TBA_Matches_All[Score], TBA_Matches_All[Team],TBA_Rankings[[#This Row],[Team]],TBA_Matches_All[Scouted],"&gt;0"),0)</f>
        <v>51</v>
      </c>
      <c r="F50" s="66">
        <f>IFERROR(AVERAGEIFS(TBA_Matches_All[TotptsC], TBA_Matches_All[Team],TBA_Rankings[[#This Row],[Team]],TBA_Matches_All[Scouted],"&gt;0"),0)</f>
        <v>1</v>
      </c>
      <c r="G50" s="59">
        <f>IFERROR(TBA_Rankings[[#This Row],[avescoreT]]/TBA_Rankings[[#This Row],[avescoreA]],0)</f>
        <v>1.9607843137254902E-2</v>
      </c>
      <c r="H50" s="66">
        <f>IFERROR(SUM(AVERAGEIFS(TBA_Matches_All[Aamp],TBA_Matches_All[Team],TBA_Rankings[[#This Row],[Team]],TBA_Matches_All[Scouted],"&gt;0")+AVERAGEIFS(TBA_Matches_All[Tamp],TBA_Matches_All[Team],TBA_Rankings[[#This Row],[Team]],TBA_Matches_All[Scouted],"&gt;0")),0)</f>
        <v>3.1666666666666665</v>
      </c>
      <c r="I50" s="66">
        <f>IFERROR(SUM(AVERAGEIFS(TBA_Matches_All[AampT],TBA_Matches_All[Team],TBA_Rankings[[#This Row],[Team]],TBA_Matches_All[Scouted],"&gt;0")+AVERAGEIFS(TBA_Matches_All[TampT],TBA_Matches_All[Team],TBA_Rankings[[#This Row],[Team]],TBA_Matches_All[Scouted],"&gt;0")),0)</f>
        <v>0</v>
      </c>
      <c r="J50" s="59">
        <f>IFERROR(TBA_Rankings[[#This Row],[aveampT]]/TBA_Rankings[[#This Row],[aveampA]],0)</f>
        <v>0</v>
      </c>
      <c r="K50" s="66">
        <f>IFERROR(SUM(AVERAGEIFS(TBA_Matches_All[Aspkr],TBA_Matches_All[Team],TBA_Rankings[[#This Row],[Team]],TBA_Matches_All[Scouted],"&gt;0")+AVERAGEIFS(TBA_Matches_All[Tspkr],TBA_Matches_All[Team],TBA_Rankings[[#This Row],[Team]],TBA_Matches_All[Scouted],"&gt;0")),0)</f>
        <v>9.3333333333333321</v>
      </c>
      <c r="L50" s="66">
        <f>IFERROR(SUM(AVERAGEIFS(TBA_Matches_All[AspkrT],TBA_Matches_All[Team],TBA_Rankings[[#This Row],[Team]],TBA_Matches_All[Scouted],"&gt;0")+AVERAGEIFS(TBA_Matches_All[TspkrT],TBA_Matches_All[Team],TBA_Rankings[[#This Row],[Team]],TBA_Matches_All[Scouted],"&gt;0")),0)</f>
        <v>0</v>
      </c>
      <c r="M50" s="59">
        <f>IFERROR(TBA_Rankings[[#This Row],[avespkrT]]/TBA_Rankings[[#This Row],[avespkrA]],0)</f>
        <v>0</v>
      </c>
      <c r="N50" s="66">
        <f>IFERROR(AVERAGEIFS(TBA_Matches_All[Trap],TBA_Matches_All[Team],TBA_Rankings[[#This Row],[Team]],TBA_Matches_All[Scouted],"&gt;0"),0)</f>
        <v>0.16666666666666666</v>
      </c>
      <c r="O50" s="66">
        <f>IFERROR(SUM(AVERAGEIFS(TBA_Matches_All[AtrapT],TBA_Matches_All[Team],TBA_Rankings[[#This Row],[Team]],TBA_Matches_All[Scouted],"&gt;0")+AVERAGEIFS(TBA_Matches_All[TtrapT],TBA_Matches_All[Team],TBA_Rankings[[#This Row],[Team]],TBA_Matches_All[Scouted],"&gt;0")),0)</f>
        <v>0</v>
      </c>
      <c r="P50" s="59">
        <f>IFERROR(TBA_Rankings[[#This Row],[avetrapT]]/TBA_Rankings[[#This Row],[avetrapA]],0)</f>
        <v>0</v>
      </c>
      <c r="Q50" s="66">
        <f>IFERROR(AVERAGEIFS(TBA_Matches_All[TotNotes],TBA_Matches_All[Team],TBA_Rankings[[#This Row],[Team]],TBA_Matches_All[Scouted],"&gt;0"),0)</f>
        <v>12.5</v>
      </c>
      <c r="R50" s="66">
        <f>IFERROR(AVERAGEIFS(TBA_Matches_All[TotNotesT],TBA_Matches_All[Team],TBA_Rankings[[#This Row],[Team]],TBA_Matches_All[Scouted],"&gt;0"),0)</f>
        <v>0</v>
      </c>
      <c r="S50" s="59">
        <f>IFERROR(TBA_Rankings[[#This Row],[avenotesT]]/TBA_Rankings[[#This Row],[avenotesA]],0)</f>
        <v>0</v>
      </c>
      <c r="T50" s="66">
        <f>IFERROR(AVERAGEIFS(TBA_Matches_All[StagePts],TBA_Matches_All[Team],TBA_Rankings[[#This Row],[Team]],TBA_Matches_All[Scouted],"&gt;0"),0)</f>
        <v>3.5</v>
      </c>
      <c r="U50" s="66">
        <f>IFERROR(AVERAGEIFS(TBA_Matches_All[stageptsT],TBA_Matches_All[Team],TBA_Rankings[[#This Row],[Team]],TBA_Matches_All[Scouted],"&gt;0"),0)</f>
        <v>1</v>
      </c>
      <c r="V50" s="59">
        <f>IFERROR(TBA_Rankings[[#This Row],[avestageT]]/TBA_Rankings[[#This Row],[avestageA]],0)</f>
        <v>0.2857142857142857</v>
      </c>
      <c r="W50" s="66">
        <f>IFERROR(AVERAGEIFS(TBA_Matches_All[AampT],TBA_Matches_All[Team],TBA_Rankings[[#This Row],[Team]],TBA_Matches_All[Scouted],"&gt;0"),0)</f>
        <v>0</v>
      </c>
      <c r="X50" s="66">
        <f>IFERROR(AVERAGEIFS(TBA_Matches_All[AspkrT],TBA_Matches_All[Team],TBA_Rankings[[#This Row],[Team]],TBA_Matches_All[Scouted],"&gt;0"),0)</f>
        <v>0</v>
      </c>
      <c r="Y50" s="66">
        <f>IFERROR(AVERAGEIFS(TBA_Matches_All[AtrapT],TBA_Matches_All[Team],TBA_Rankings[[#This Row],[Team]],TBA_Matches_All[Scouted],"&gt;0"),0)</f>
        <v>0</v>
      </c>
      <c r="Z50" s="66">
        <f>IFERROR(AVERAGEIFS(TBA_Matches_All[TampT],TBA_Matches_All[Team],TBA_Rankings[[#This Row],[Team]],TBA_Matches_All[Scouted],"&gt;0"),0)</f>
        <v>0</v>
      </c>
      <c r="AA50" s="66">
        <f>IFERROR(AVERAGEIFS(TBA_Matches_All[TspkrT],TBA_Matches_All[Team],TBA_Rankings[[#This Row],[Team]],TBA_Matches_All[Scouted],"&gt;0"),0)</f>
        <v>0</v>
      </c>
      <c r="AB50" s="66">
        <f>IFERROR(AVERAGEIFS(TBA_Matches_All[TtrapT],TBA_Matches_All[Team],TBA_Rankings[[#This Row],[Team]],TBA_Matches_All[Scouted],"&gt;0"),0)</f>
        <v>0</v>
      </c>
      <c r="AC50" s="66">
        <f>IFERROR(AVERAGEIFS(TBA_Matches_All[ATTNDDiff],TBA_Matches_All[Team],TBA_Rankings[[#This Row],[Team]],TBA_Matches_All[Defense],3,TBA_Matches_All[Scouted],"&gt;0"),0)</f>
        <v>0</v>
      </c>
      <c r="AD50" s="66">
        <f>IFERROR(AVERAGEIFS(TBA_Matches_All[ATTNDDiff],TBA_Matches_All[Team],TBA_Rankings[[#This Row],[Team]],TBA_Matches_All[Defense],2,TBA_Matches_All[Scouted],"&gt;0"),0)</f>
        <v>0</v>
      </c>
      <c r="AE50" s="66">
        <f>IFERROR(AVERAGEIFS(TBA_Matches_All[ATTNDDiff],TBA_Matches_All[Team],TBA_Rankings[[#This Row],[Team]],TBA_Matches_All[Defense],1,TBA_Matches_All[Scouted],"&gt;0"),0)</f>
        <v>0</v>
      </c>
      <c r="AF50" s="66">
        <f>IFERROR(AVERAGEIFS(TBA_Matches_All[ATTNDDiff],TBA_Matches_All[Team],TBA_Rankings[[#This Row],[Team]],TBA_Matches_All[Defense],0,TBA_Matches_All[Scouted],"&gt;0"),0)</f>
        <v>0</v>
      </c>
      <c r="AG50" s="66">
        <f>IFERROR(AVERAGEIFS(TBA_Matches_All[ATTNDDiff],TBA_Matches_All[Team],TBA_Rankings[[#This Row],[Team]],TBA_Matches_All[Avoid],3,TBA_Matches_All[Scouted],"&gt;0"),0)</f>
        <v>0</v>
      </c>
      <c r="AH50" s="66">
        <f>IFERROR(AVERAGEIFS(TBA_Matches_All[ATTNDDiff],TBA_Matches_All[Team],TBA_Rankings[[#This Row],[Team]],TBA_Matches_All[Avoid],2,TBA_Matches_All[Scouted],"&gt;0"),0)</f>
        <v>0</v>
      </c>
      <c r="AI50" s="66">
        <f>IFERROR(AVERAGEIFS(TBA_Matches_All[ATTNDDiff],TBA_Matches_All[Team],TBA_Rankings[[#This Row],[Team]],TBA_Matches_All[Avoid],1,TBA_Matches_All[Scouted],"&gt;0"),0)</f>
        <v>0</v>
      </c>
      <c r="AJ50" s="66">
        <f>IFERROR(AVERAGEIFS(TBA_Matches_All[ATTNDDiff],TBA_Matches_All[Team],TBA_Rankings[[#This Row],[Team]],TBA_Matches_All[Avoid],0,TBA_Matches_All[Scouted],"&gt;0"),0)</f>
        <v>0</v>
      </c>
    </row>
    <row r="51" spans="1:36" x14ac:dyDescent="0.3">
      <c r="A51" t="s">
        <v>1419</v>
      </c>
      <c r="B51" s="1">
        <v>25</v>
      </c>
      <c r="C51" t="s">
        <v>1301</v>
      </c>
      <c r="D51" s="1">
        <v>360</v>
      </c>
      <c r="E51" s="66">
        <f>IFERROR(AVERAGEIFS(TBA_Matches_All[Score], TBA_Matches_All[Team],TBA_Rankings[[#This Row],[Team]],TBA_Matches_All[Scouted],"&gt;0"),0)</f>
        <v>56.166666666666664</v>
      </c>
      <c r="F51" s="66">
        <f>IFERROR(AVERAGEIFS(TBA_Matches_All[TotptsC], TBA_Matches_All[Team],TBA_Rankings[[#This Row],[Team]],TBA_Matches_All[Scouted],"&gt;0"),0)</f>
        <v>0.66666666666666663</v>
      </c>
      <c r="G51" s="59">
        <f>IFERROR(TBA_Rankings[[#This Row],[avescoreT]]/TBA_Rankings[[#This Row],[avescoreA]],0)</f>
        <v>1.1869436201780416E-2</v>
      </c>
      <c r="H51" s="66">
        <f>IFERROR(SUM(AVERAGEIFS(TBA_Matches_All[Aamp],TBA_Matches_All[Team],TBA_Rankings[[#This Row],[Team]],TBA_Matches_All[Scouted],"&gt;0")+AVERAGEIFS(TBA_Matches_All[Tamp],TBA_Matches_All[Team],TBA_Rankings[[#This Row],[Team]],TBA_Matches_All[Scouted],"&gt;0")),0)</f>
        <v>3.1666666666666665</v>
      </c>
      <c r="I51" s="66">
        <f>IFERROR(SUM(AVERAGEIFS(TBA_Matches_All[AampT],TBA_Matches_All[Team],TBA_Rankings[[#This Row],[Team]],TBA_Matches_All[Scouted],"&gt;0")+AVERAGEIFS(TBA_Matches_All[TampT],TBA_Matches_All[Team],TBA_Rankings[[#This Row],[Team]],TBA_Matches_All[Scouted],"&gt;0")),0)</f>
        <v>0</v>
      </c>
      <c r="J51" s="59">
        <f>IFERROR(TBA_Rankings[[#This Row],[aveampT]]/TBA_Rankings[[#This Row],[aveampA]],0)</f>
        <v>0</v>
      </c>
      <c r="K51" s="66">
        <f>IFERROR(SUM(AVERAGEIFS(TBA_Matches_All[Aspkr],TBA_Matches_All[Team],TBA_Rankings[[#This Row],[Team]],TBA_Matches_All[Scouted],"&gt;0")+AVERAGEIFS(TBA_Matches_All[Tspkr],TBA_Matches_All[Team],TBA_Rankings[[#This Row],[Team]],TBA_Matches_All[Scouted],"&gt;0")),0)</f>
        <v>10.333333333333332</v>
      </c>
      <c r="L51" s="66">
        <f>IFERROR(SUM(AVERAGEIFS(TBA_Matches_All[AspkrT],TBA_Matches_All[Team],TBA_Rankings[[#This Row],[Team]],TBA_Matches_All[Scouted],"&gt;0")+AVERAGEIFS(TBA_Matches_All[TspkrT],TBA_Matches_All[Team],TBA_Rankings[[#This Row],[Team]],TBA_Matches_All[Scouted],"&gt;0")),0)</f>
        <v>0</v>
      </c>
      <c r="M51" s="59">
        <f>IFERROR(TBA_Rankings[[#This Row],[avespkrT]]/TBA_Rankings[[#This Row],[avespkrA]],0)</f>
        <v>0</v>
      </c>
      <c r="N51" s="66">
        <f>IFERROR(AVERAGEIFS(TBA_Matches_All[Trap],TBA_Matches_All[Team],TBA_Rankings[[#This Row],[Team]],TBA_Matches_All[Scouted],"&gt;0"),0)</f>
        <v>0.33333333333333331</v>
      </c>
      <c r="O51" s="66">
        <f>IFERROR(SUM(AVERAGEIFS(TBA_Matches_All[AtrapT],TBA_Matches_All[Team],TBA_Rankings[[#This Row],[Team]],TBA_Matches_All[Scouted],"&gt;0")+AVERAGEIFS(TBA_Matches_All[TtrapT],TBA_Matches_All[Team],TBA_Rankings[[#This Row],[Team]],TBA_Matches_All[Scouted],"&gt;0")),0)</f>
        <v>0</v>
      </c>
      <c r="P51" s="59">
        <f>IFERROR(TBA_Rankings[[#This Row],[avetrapT]]/TBA_Rankings[[#This Row],[avetrapA]],0)</f>
        <v>0</v>
      </c>
      <c r="Q51" s="66">
        <f>IFERROR(AVERAGEIFS(TBA_Matches_All[TotNotes],TBA_Matches_All[Team],TBA_Rankings[[#This Row],[Team]],TBA_Matches_All[Scouted],"&gt;0"),0)</f>
        <v>13.5</v>
      </c>
      <c r="R51" s="66">
        <f>IFERROR(AVERAGEIFS(TBA_Matches_All[TotNotesT],TBA_Matches_All[Team],TBA_Rankings[[#This Row],[Team]],TBA_Matches_All[Scouted],"&gt;0"),0)</f>
        <v>0</v>
      </c>
      <c r="S51" s="59">
        <f>IFERROR(TBA_Rankings[[#This Row],[avenotesT]]/TBA_Rankings[[#This Row],[avenotesA]],0)</f>
        <v>0</v>
      </c>
      <c r="T51" s="66">
        <f>IFERROR(AVERAGEIFS(TBA_Matches_All[StagePts],TBA_Matches_All[Team],TBA_Rankings[[#This Row],[Team]],TBA_Matches_All[Scouted],"&gt;0"),0)</f>
        <v>6.833333333333333</v>
      </c>
      <c r="U51" s="66">
        <f>IFERROR(AVERAGEIFS(TBA_Matches_All[stageptsT],TBA_Matches_All[Team],TBA_Rankings[[#This Row],[Team]],TBA_Matches_All[Scouted],"&gt;0"),0)</f>
        <v>0.66666666666666663</v>
      </c>
      <c r="V51" s="59">
        <f>IFERROR(TBA_Rankings[[#This Row],[avestageT]]/TBA_Rankings[[#This Row],[avestageA]],0)</f>
        <v>9.7560975609756101E-2</v>
      </c>
      <c r="W51" s="66">
        <f>IFERROR(AVERAGEIFS(TBA_Matches_All[AampT],TBA_Matches_All[Team],TBA_Rankings[[#This Row],[Team]],TBA_Matches_All[Scouted],"&gt;0"),0)</f>
        <v>0</v>
      </c>
      <c r="X51" s="66">
        <f>IFERROR(AVERAGEIFS(TBA_Matches_All[AspkrT],TBA_Matches_All[Team],TBA_Rankings[[#This Row],[Team]],TBA_Matches_All[Scouted],"&gt;0"),0)</f>
        <v>0</v>
      </c>
      <c r="Y51" s="66">
        <f>IFERROR(AVERAGEIFS(TBA_Matches_All[AtrapT],TBA_Matches_All[Team],TBA_Rankings[[#This Row],[Team]],TBA_Matches_All[Scouted],"&gt;0"),0)</f>
        <v>0</v>
      </c>
      <c r="Z51" s="66">
        <f>IFERROR(AVERAGEIFS(TBA_Matches_All[TampT],TBA_Matches_All[Team],TBA_Rankings[[#This Row],[Team]],TBA_Matches_All[Scouted],"&gt;0"),0)</f>
        <v>0</v>
      </c>
      <c r="AA51" s="66">
        <f>IFERROR(AVERAGEIFS(TBA_Matches_All[TspkrT],TBA_Matches_All[Team],TBA_Rankings[[#This Row],[Team]],TBA_Matches_All[Scouted],"&gt;0"),0)</f>
        <v>0</v>
      </c>
      <c r="AB51" s="66">
        <f>IFERROR(AVERAGEIFS(TBA_Matches_All[TtrapT],TBA_Matches_All[Team],TBA_Rankings[[#This Row],[Team]],TBA_Matches_All[Scouted],"&gt;0"),0)</f>
        <v>0</v>
      </c>
      <c r="AC51" s="66">
        <f>IFERROR(AVERAGEIFS(TBA_Matches_All[ATTNDDiff],TBA_Matches_All[Team],TBA_Rankings[[#This Row],[Team]],TBA_Matches_All[Defense],3,TBA_Matches_All[Scouted],"&gt;0"),0)</f>
        <v>0</v>
      </c>
      <c r="AD51" s="66">
        <f>IFERROR(AVERAGEIFS(TBA_Matches_All[ATTNDDiff],TBA_Matches_All[Team],TBA_Rankings[[#This Row],[Team]],TBA_Matches_All[Defense],2,TBA_Matches_All[Scouted],"&gt;0"),0)</f>
        <v>0</v>
      </c>
      <c r="AE51" s="66">
        <f>IFERROR(AVERAGEIFS(TBA_Matches_All[ATTNDDiff],TBA_Matches_All[Team],TBA_Rankings[[#This Row],[Team]],TBA_Matches_All[Defense],1,TBA_Matches_All[Scouted],"&gt;0"),0)</f>
        <v>0</v>
      </c>
      <c r="AF51" s="66">
        <f>IFERROR(AVERAGEIFS(TBA_Matches_All[ATTNDDiff],TBA_Matches_All[Team],TBA_Rankings[[#This Row],[Team]],TBA_Matches_All[Defense],0,TBA_Matches_All[Scouted],"&gt;0"),0)</f>
        <v>0</v>
      </c>
      <c r="AG51" s="66">
        <f>IFERROR(AVERAGEIFS(TBA_Matches_All[ATTNDDiff],TBA_Matches_All[Team],TBA_Rankings[[#This Row],[Team]],TBA_Matches_All[Avoid],3,TBA_Matches_All[Scouted],"&gt;0"),0)</f>
        <v>0</v>
      </c>
      <c r="AH51" s="66">
        <f>IFERROR(AVERAGEIFS(TBA_Matches_All[ATTNDDiff],TBA_Matches_All[Team],TBA_Rankings[[#This Row],[Team]],TBA_Matches_All[Avoid],2,TBA_Matches_All[Scouted],"&gt;0"),0)</f>
        <v>0</v>
      </c>
      <c r="AI51" s="66">
        <f>IFERROR(AVERAGEIFS(TBA_Matches_All[ATTNDDiff],TBA_Matches_All[Team],TBA_Rankings[[#This Row],[Team]],TBA_Matches_All[Avoid],1,TBA_Matches_All[Scouted],"&gt;0"),0)</f>
        <v>0</v>
      </c>
      <c r="AJ51" s="66">
        <f>IFERROR(AVERAGEIFS(TBA_Matches_All[ATTNDDiff],TBA_Matches_All[Team],TBA_Rankings[[#This Row],[Team]],TBA_Matches_All[Avoid],0,TBA_Matches_All[Scouted],"&gt;0"),0)</f>
        <v>0</v>
      </c>
    </row>
    <row r="52" spans="1:36" x14ac:dyDescent="0.3">
      <c r="A52" t="s">
        <v>1419</v>
      </c>
      <c r="B52" s="1">
        <v>34</v>
      </c>
      <c r="C52" t="s">
        <v>373</v>
      </c>
      <c r="D52" s="1">
        <v>441</v>
      </c>
      <c r="E52" s="66">
        <f>IFERROR(AVERAGEIFS(TBA_Matches_All[Score], TBA_Matches_All[Team],TBA_Rankings[[#This Row],[Team]],TBA_Matches_All[Scouted],"&gt;0"),0)</f>
        <v>45.833333333333336</v>
      </c>
      <c r="F52" s="66">
        <f>IFERROR(AVERAGEIFS(TBA_Matches_All[TotptsC], TBA_Matches_All[Team],TBA_Rankings[[#This Row],[Team]],TBA_Matches_All[Scouted],"&gt;0"),0)</f>
        <v>2</v>
      </c>
      <c r="G52" s="59">
        <f>IFERROR(TBA_Rankings[[#This Row],[avescoreT]]/TBA_Rankings[[#This Row],[avescoreA]],0)</f>
        <v>4.3636363636363633E-2</v>
      </c>
      <c r="H52" s="66">
        <f>IFERROR(SUM(AVERAGEIFS(TBA_Matches_All[Aamp],TBA_Matches_All[Team],TBA_Rankings[[#This Row],[Team]],TBA_Matches_All[Scouted],"&gt;0")+AVERAGEIFS(TBA_Matches_All[Tamp],TBA_Matches_All[Team],TBA_Rankings[[#This Row],[Team]],TBA_Matches_All[Scouted],"&gt;0")),0)</f>
        <v>4.333333333333333</v>
      </c>
      <c r="I52" s="66">
        <f>IFERROR(SUM(AVERAGEIFS(TBA_Matches_All[AampT],TBA_Matches_All[Team],TBA_Rankings[[#This Row],[Team]],TBA_Matches_All[Scouted],"&gt;0")+AVERAGEIFS(TBA_Matches_All[TampT],TBA_Matches_All[Team],TBA_Rankings[[#This Row],[Team]],TBA_Matches_All[Scouted],"&gt;0")),0)</f>
        <v>0</v>
      </c>
      <c r="J52" s="59">
        <f>IFERROR(TBA_Rankings[[#This Row],[aveampT]]/TBA_Rankings[[#This Row],[aveampA]],0)</f>
        <v>0</v>
      </c>
      <c r="K52" s="66">
        <f>IFERROR(SUM(AVERAGEIFS(TBA_Matches_All[Aspkr],TBA_Matches_All[Team],TBA_Rankings[[#This Row],[Team]],TBA_Matches_All[Scouted],"&gt;0")+AVERAGEIFS(TBA_Matches_All[Tspkr],TBA_Matches_All[Team],TBA_Rankings[[#This Row],[Team]],TBA_Matches_All[Scouted],"&gt;0")),0)</f>
        <v>8.5</v>
      </c>
      <c r="L52" s="66">
        <f>IFERROR(SUM(AVERAGEIFS(TBA_Matches_All[AspkrT],TBA_Matches_All[Team],TBA_Rankings[[#This Row],[Team]],TBA_Matches_All[Scouted],"&gt;0")+AVERAGEIFS(TBA_Matches_All[TspkrT],TBA_Matches_All[Team],TBA_Rankings[[#This Row],[Team]],TBA_Matches_All[Scouted],"&gt;0")),0)</f>
        <v>0</v>
      </c>
      <c r="M52" s="59">
        <f>IFERROR(TBA_Rankings[[#This Row],[avespkrT]]/TBA_Rankings[[#This Row],[avespkrA]],0)</f>
        <v>0</v>
      </c>
      <c r="N52" s="66">
        <f>IFERROR(AVERAGEIFS(TBA_Matches_All[Trap],TBA_Matches_All[Team],TBA_Rankings[[#This Row],[Team]],TBA_Matches_All[Scouted],"&gt;0"),0)</f>
        <v>0</v>
      </c>
      <c r="O52" s="66">
        <f>IFERROR(SUM(AVERAGEIFS(TBA_Matches_All[AtrapT],TBA_Matches_All[Team],TBA_Rankings[[#This Row],[Team]],TBA_Matches_All[Scouted],"&gt;0")+AVERAGEIFS(TBA_Matches_All[TtrapT],TBA_Matches_All[Team],TBA_Rankings[[#This Row],[Team]],TBA_Matches_All[Scouted],"&gt;0")),0)</f>
        <v>0</v>
      </c>
      <c r="P52" s="59">
        <f>IFERROR(TBA_Rankings[[#This Row],[avetrapT]]/TBA_Rankings[[#This Row],[avetrapA]],0)</f>
        <v>0</v>
      </c>
      <c r="Q52" s="66">
        <f>IFERROR(AVERAGEIFS(TBA_Matches_All[TotNotes],TBA_Matches_All[Team],TBA_Rankings[[#This Row],[Team]],TBA_Matches_All[Scouted],"&gt;0"),0)</f>
        <v>12.833333333333334</v>
      </c>
      <c r="R52" s="66">
        <f>IFERROR(AVERAGEIFS(TBA_Matches_All[TotNotesT],TBA_Matches_All[Team],TBA_Rankings[[#This Row],[Team]],TBA_Matches_All[Scouted],"&gt;0"),0)</f>
        <v>0</v>
      </c>
      <c r="S52" s="59">
        <f>IFERROR(TBA_Rankings[[#This Row],[avenotesT]]/TBA_Rankings[[#This Row],[avenotesA]],0)</f>
        <v>0</v>
      </c>
      <c r="T52" s="66">
        <f>IFERROR(AVERAGEIFS(TBA_Matches_All[StagePts],TBA_Matches_All[Team],TBA_Rankings[[#This Row],[Team]],TBA_Matches_All[Scouted],"&gt;0"),0)</f>
        <v>4.666666666666667</v>
      </c>
      <c r="U52" s="66">
        <f>IFERROR(AVERAGEIFS(TBA_Matches_All[stageptsT],TBA_Matches_All[Team],TBA_Rankings[[#This Row],[Team]],TBA_Matches_All[Scouted],"&gt;0"),0)</f>
        <v>1</v>
      </c>
      <c r="V52" s="59">
        <f>IFERROR(TBA_Rankings[[#This Row],[avestageT]]/TBA_Rankings[[#This Row],[avestageA]],0)</f>
        <v>0.21428571428571427</v>
      </c>
      <c r="W52" s="66">
        <f>IFERROR(AVERAGEIFS(TBA_Matches_All[AampT],TBA_Matches_All[Team],TBA_Rankings[[#This Row],[Team]],TBA_Matches_All[Scouted],"&gt;0"),0)</f>
        <v>0</v>
      </c>
      <c r="X52" s="66">
        <f>IFERROR(AVERAGEIFS(TBA_Matches_All[AspkrT],TBA_Matches_All[Team],TBA_Rankings[[#This Row],[Team]],TBA_Matches_All[Scouted],"&gt;0"),0)</f>
        <v>0</v>
      </c>
      <c r="Y52" s="66">
        <f>IFERROR(AVERAGEIFS(TBA_Matches_All[AtrapT],TBA_Matches_All[Team],TBA_Rankings[[#This Row],[Team]],TBA_Matches_All[Scouted],"&gt;0"),0)</f>
        <v>0</v>
      </c>
      <c r="Z52" s="66">
        <f>IFERROR(AVERAGEIFS(TBA_Matches_All[TampT],TBA_Matches_All[Team],TBA_Rankings[[#This Row],[Team]],TBA_Matches_All[Scouted],"&gt;0"),0)</f>
        <v>0</v>
      </c>
      <c r="AA52" s="66">
        <f>IFERROR(AVERAGEIFS(TBA_Matches_All[TspkrT],TBA_Matches_All[Team],TBA_Rankings[[#This Row],[Team]],TBA_Matches_All[Scouted],"&gt;0"),0)</f>
        <v>0</v>
      </c>
      <c r="AB52" s="66">
        <f>IFERROR(AVERAGEIFS(TBA_Matches_All[TtrapT],TBA_Matches_All[Team],TBA_Rankings[[#This Row],[Team]],TBA_Matches_All[Scouted],"&gt;0"),0)</f>
        <v>0</v>
      </c>
      <c r="AC52" s="66">
        <f>IFERROR(AVERAGEIFS(TBA_Matches_All[ATTNDDiff],TBA_Matches_All[Team],TBA_Rankings[[#This Row],[Team]],TBA_Matches_All[Defense],3,TBA_Matches_All[Scouted],"&gt;0"),0)</f>
        <v>0</v>
      </c>
      <c r="AD52" s="66">
        <f>IFERROR(AVERAGEIFS(TBA_Matches_All[ATTNDDiff],TBA_Matches_All[Team],TBA_Rankings[[#This Row],[Team]],TBA_Matches_All[Defense],2,TBA_Matches_All[Scouted],"&gt;0"),0)</f>
        <v>0</v>
      </c>
      <c r="AE52" s="66">
        <f>IFERROR(AVERAGEIFS(TBA_Matches_All[ATTNDDiff],TBA_Matches_All[Team],TBA_Rankings[[#This Row],[Team]],TBA_Matches_All[Defense],1,TBA_Matches_All[Scouted],"&gt;0"),0)</f>
        <v>0</v>
      </c>
      <c r="AF52" s="66">
        <f>IFERROR(AVERAGEIFS(TBA_Matches_All[ATTNDDiff],TBA_Matches_All[Team],TBA_Rankings[[#This Row],[Team]],TBA_Matches_All[Defense],0,TBA_Matches_All[Scouted],"&gt;0"),0)</f>
        <v>0</v>
      </c>
      <c r="AG52" s="66">
        <f>IFERROR(AVERAGEIFS(TBA_Matches_All[ATTNDDiff],TBA_Matches_All[Team],TBA_Rankings[[#This Row],[Team]],TBA_Matches_All[Avoid],3,TBA_Matches_All[Scouted],"&gt;0"),0)</f>
        <v>0</v>
      </c>
      <c r="AH52" s="66">
        <f>IFERROR(AVERAGEIFS(TBA_Matches_All[ATTNDDiff],TBA_Matches_All[Team],TBA_Rankings[[#This Row],[Team]],TBA_Matches_All[Avoid],2,TBA_Matches_All[Scouted],"&gt;0"),0)</f>
        <v>0</v>
      </c>
      <c r="AI52" s="66">
        <f>IFERROR(AVERAGEIFS(TBA_Matches_All[ATTNDDiff],TBA_Matches_All[Team],TBA_Rankings[[#This Row],[Team]],TBA_Matches_All[Avoid],1,TBA_Matches_All[Scouted],"&gt;0"),0)</f>
        <v>0</v>
      </c>
      <c r="AJ52" s="66">
        <f>IFERROR(AVERAGEIFS(TBA_Matches_All[ATTNDDiff],TBA_Matches_All[Team],TBA_Rankings[[#This Row],[Team]],TBA_Matches_All[Avoid],0,TBA_Matches_All[Scouted],"&gt;0"),0)</f>
        <v>0</v>
      </c>
    </row>
    <row r="53" spans="1:36" x14ac:dyDescent="0.3">
      <c r="A53" t="s">
        <v>1419</v>
      </c>
      <c r="B53" s="1">
        <v>13</v>
      </c>
      <c r="C53" t="s">
        <v>1297</v>
      </c>
      <c r="D53" s="1">
        <v>686</v>
      </c>
      <c r="E53" s="66">
        <f>IFERROR(AVERAGEIFS(TBA_Matches_All[Score], TBA_Matches_All[Team],TBA_Rankings[[#This Row],[Team]],TBA_Matches_All[Scouted],"&gt;0"),0)</f>
        <v>60.333333333333336</v>
      </c>
      <c r="F53" s="66">
        <f>IFERROR(AVERAGEIFS(TBA_Matches_All[TotptsC], TBA_Matches_All[Team],TBA_Rankings[[#This Row],[Team]],TBA_Matches_All[Scouted],"&gt;0"),0)</f>
        <v>5.333333333333333</v>
      </c>
      <c r="G53" s="59">
        <f>IFERROR(TBA_Rankings[[#This Row],[avescoreT]]/TBA_Rankings[[#This Row],[avescoreA]],0)</f>
        <v>8.8397790055248615E-2</v>
      </c>
      <c r="H53" s="66">
        <f>IFERROR(SUM(AVERAGEIFS(TBA_Matches_All[Aamp],TBA_Matches_All[Team],TBA_Rankings[[#This Row],[Team]],TBA_Matches_All[Scouted],"&gt;0")+AVERAGEIFS(TBA_Matches_All[Tamp],TBA_Matches_All[Team],TBA_Rankings[[#This Row],[Team]],TBA_Matches_All[Scouted],"&gt;0")),0)</f>
        <v>4.833333333333333</v>
      </c>
      <c r="I53" s="66">
        <f>IFERROR(SUM(AVERAGEIFS(TBA_Matches_All[AampT],TBA_Matches_All[Team],TBA_Rankings[[#This Row],[Team]],TBA_Matches_All[Scouted],"&gt;0")+AVERAGEIFS(TBA_Matches_All[TampT],TBA_Matches_All[Team],TBA_Rankings[[#This Row],[Team]],TBA_Matches_All[Scouted],"&gt;0")),0)</f>
        <v>4.5</v>
      </c>
      <c r="J53" s="59">
        <f>IFERROR(TBA_Rankings[[#This Row],[aveampT]]/TBA_Rankings[[#This Row],[aveampA]],0)</f>
        <v>0.93103448275862077</v>
      </c>
      <c r="K53" s="66">
        <f>IFERROR(SUM(AVERAGEIFS(TBA_Matches_All[Aspkr],TBA_Matches_All[Team],TBA_Rankings[[#This Row],[Team]],TBA_Matches_All[Scouted],"&gt;0")+AVERAGEIFS(TBA_Matches_All[Tspkr],TBA_Matches_All[Team],TBA_Rankings[[#This Row],[Team]],TBA_Matches_All[Scouted],"&gt;0")),0)</f>
        <v>13.166666666666666</v>
      </c>
      <c r="L53" s="66">
        <f>IFERROR(SUM(AVERAGEIFS(TBA_Matches_All[AspkrT],TBA_Matches_All[Team],TBA_Rankings[[#This Row],[Team]],TBA_Matches_All[Scouted],"&gt;0")+AVERAGEIFS(TBA_Matches_All[TspkrT],TBA_Matches_All[Team],TBA_Rankings[[#This Row],[Team]],TBA_Matches_All[Scouted],"&gt;0")),0)</f>
        <v>0</v>
      </c>
      <c r="M53" s="59">
        <f>IFERROR(TBA_Rankings[[#This Row],[avespkrT]]/TBA_Rankings[[#This Row],[avespkrA]],0)</f>
        <v>0</v>
      </c>
      <c r="N53" s="66">
        <f>IFERROR(AVERAGEIFS(TBA_Matches_All[Trap],TBA_Matches_All[Team],TBA_Rankings[[#This Row],[Team]],TBA_Matches_All[Scouted],"&gt;0"),0)</f>
        <v>0.16666666666666666</v>
      </c>
      <c r="O53" s="66">
        <f>IFERROR(SUM(AVERAGEIFS(TBA_Matches_All[AtrapT],TBA_Matches_All[Team],TBA_Rankings[[#This Row],[Team]],TBA_Matches_All[Scouted],"&gt;0")+AVERAGEIFS(TBA_Matches_All[TtrapT],TBA_Matches_All[Team],TBA_Rankings[[#This Row],[Team]],TBA_Matches_All[Scouted],"&gt;0")),0)</f>
        <v>0</v>
      </c>
      <c r="P53" s="59">
        <f>IFERROR(TBA_Rankings[[#This Row],[avetrapT]]/TBA_Rankings[[#This Row],[avetrapA]],0)</f>
        <v>0</v>
      </c>
      <c r="Q53" s="66">
        <f>IFERROR(AVERAGEIFS(TBA_Matches_All[TotNotes],TBA_Matches_All[Team],TBA_Rankings[[#This Row],[Team]],TBA_Matches_All[Scouted],"&gt;0"),0)</f>
        <v>18</v>
      </c>
      <c r="R53" s="66">
        <f>IFERROR(AVERAGEIFS(TBA_Matches_All[TotNotesT],TBA_Matches_All[Team],TBA_Rankings[[#This Row],[Team]],TBA_Matches_All[Scouted],"&gt;0"),0)</f>
        <v>4.5</v>
      </c>
      <c r="S53" s="59">
        <f>IFERROR(TBA_Rankings[[#This Row],[avenotesT]]/TBA_Rankings[[#This Row],[avenotesA]],0)</f>
        <v>0.25</v>
      </c>
      <c r="T53" s="66">
        <f>IFERROR(AVERAGEIFS(TBA_Matches_All[StagePts],TBA_Matches_All[Team],TBA_Rankings[[#This Row],[Team]],TBA_Matches_All[Scouted],"&gt;0"),0)</f>
        <v>6.5</v>
      </c>
      <c r="U53" s="66">
        <f>IFERROR(AVERAGEIFS(TBA_Matches_All[stageptsT],TBA_Matches_All[Team],TBA_Rankings[[#This Row],[Team]],TBA_Matches_All[Scouted],"&gt;0"),0)</f>
        <v>0.83333333333333337</v>
      </c>
      <c r="V53" s="59">
        <f>IFERROR(TBA_Rankings[[#This Row],[avestageT]]/TBA_Rankings[[#This Row],[avestageA]],0)</f>
        <v>0.12820512820512822</v>
      </c>
      <c r="W53" s="66">
        <f>IFERROR(AVERAGEIFS(TBA_Matches_All[AampT],TBA_Matches_All[Team],TBA_Rankings[[#This Row],[Team]],TBA_Matches_All[Scouted],"&gt;0"),0)</f>
        <v>0</v>
      </c>
      <c r="X53" s="66">
        <f>IFERROR(AVERAGEIFS(TBA_Matches_All[AspkrT],TBA_Matches_All[Team],TBA_Rankings[[#This Row],[Team]],TBA_Matches_All[Scouted],"&gt;0"),0)</f>
        <v>0</v>
      </c>
      <c r="Y53" s="66">
        <f>IFERROR(AVERAGEIFS(TBA_Matches_All[AtrapT],TBA_Matches_All[Team],TBA_Rankings[[#This Row],[Team]],TBA_Matches_All[Scouted],"&gt;0"),0)</f>
        <v>0</v>
      </c>
      <c r="Z53" s="66">
        <f>IFERROR(AVERAGEIFS(TBA_Matches_All[TampT],TBA_Matches_All[Team],TBA_Rankings[[#This Row],[Team]],TBA_Matches_All[Scouted],"&gt;0"),0)</f>
        <v>4.5</v>
      </c>
      <c r="AA53" s="66">
        <f>IFERROR(AVERAGEIFS(TBA_Matches_All[TspkrT],TBA_Matches_All[Team],TBA_Rankings[[#This Row],[Team]],TBA_Matches_All[Scouted],"&gt;0"),0)</f>
        <v>0</v>
      </c>
      <c r="AB53" s="66">
        <f>IFERROR(AVERAGEIFS(TBA_Matches_All[TtrapT],TBA_Matches_All[Team],TBA_Rankings[[#This Row],[Team]],TBA_Matches_All[Scouted],"&gt;0"),0)</f>
        <v>0</v>
      </c>
      <c r="AC53" s="66">
        <f>IFERROR(AVERAGEIFS(TBA_Matches_All[ATTNDDiff],TBA_Matches_All[Team],TBA_Rankings[[#This Row],[Team]],TBA_Matches_All[Defense],3,TBA_Matches_All[Scouted],"&gt;0"),0)</f>
        <v>0</v>
      </c>
      <c r="AD53" s="66">
        <f>IFERROR(AVERAGEIFS(TBA_Matches_All[ATTNDDiff],TBA_Matches_All[Team],TBA_Rankings[[#This Row],[Team]],TBA_Matches_All[Defense],2,TBA_Matches_All[Scouted],"&gt;0"),0)</f>
        <v>0</v>
      </c>
      <c r="AE53" s="66">
        <f>IFERROR(AVERAGEIFS(TBA_Matches_All[ATTNDDiff],TBA_Matches_All[Team],TBA_Rankings[[#This Row],[Team]],TBA_Matches_All[Defense],1,TBA_Matches_All[Scouted],"&gt;0"),0)</f>
        <v>0</v>
      </c>
      <c r="AF53" s="66">
        <f>IFERROR(AVERAGEIFS(TBA_Matches_All[ATTNDDiff],TBA_Matches_All[Team],TBA_Rankings[[#This Row],[Team]],TBA_Matches_All[Defense],0,TBA_Matches_All[Scouted],"&gt;0"),0)</f>
        <v>-1.4802973661668753E-16</v>
      </c>
      <c r="AG53" s="66">
        <f>IFERROR(AVERAGEIFS(TBA_Matches_All[ATTNDDiff],TBA_Matches_All[Team],TBA_Rankings[[#This Row],[Team]],TBA_Matches_All[Avoid],3,TBA_Matches_All[Scouted],"&gt;0"),0)</f>
        <v>0</v>
      </c>
      <c r="AH53" s="66">
        <f>IFERROR(AVERAGEIFS(TBA_Matches_All[ATTNDDiff],TBA_Matches_All[Team],TBA_Rankings[[#This Row],[Team]],TBA_Matches_All[Avoid],2,TBA_Matches_All[Scouted],"&gt;0"),0)</f>
        <v>0</v>
      </c>
      <c r="AI53" s="66">
        <f>IFERROR(AVERAGEIFS(TBA_Matches_All[ATTNDDiff],TBA_Matches_All[Team],TBA_Rankings[[#This Row],[Team]],TBA_Matches_All[Avoid],1,TBA_Matches_All[Scouted],"&gt;0"),0)</f>
        <v>1.7999999999999998</v>
      </c>
      <c r="AJ53" s="66">
        <f>IFERROR(AVERAGEIFS(TBA_Matches_All[ATTNDDiff],TBA_Matches_All[Team],TBA_Rankings[[#This Row],[Team]],TBA_Matches_All[Avoid],0,TBA_Matches_All[Scouted],"&gt;0"),0)</f>
        <v>-0.36000000000000015</v>
      </c>
    </row>
  </sheetData>
  <mergeCells count="3">
    <mergeCell ref="A1:D1"/>
    <mergeCell ref="E1:V1"/>
    <mergeCell ref="AC1:AJ1"/>
  </mergeCells>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69ED3-7C39-452D-8DB0-F5470F1AFA52}">
  <sheetPr codeName="Sheet13">
    <tabColor rgb="FFFF00FF"/>
  </sheetPr>
  <dimension ref="A1:DD722"/>
  <sheetViews>
    <sheetView topLeftCell="AJ1" workbookViewId="0">
      <pane ySplit="2" topLeftCell="A3" activePane="bottomLeft" state="frozen"/>
      <selection pane="bottomLeft" activeCell="AW4" sqref="AW4"/>
    </sheetView>
  </sheetViews>
  <sheetFormatPr defaultRowHeight="14.4" x14ac:dyDescent="0.3"/>
  <cols>
    <col min="1" max="1" width="12.109375" bestFit="1" customWidth="1"/>
    <col min="2" max="2" width="13.5546875" bestFit="1" customWidth="1"/>
    <col min="3" max="3" width="13.88671875" bestFit="1" customWidth="1"/>
    <col min="4" max="4" width="16.6640625" bestFit="1" customWidth="1"/>
    <col min="5" max="5" width="9.77734375" bestFit="1" customWidth="1"/>
    <col min="6" max="6" width="9.21875" bestFit="1" customWidth="1"/>
    <col min="7" max="7" width="7.33203125" bestFit="1" customWidth="1"/>
    <col min="8" max="8" width="7.88671875" bestFit="1" customWidth="1"/>
    <col min="9" max="9" width="13.77734375" bestFit="1" customWidth="1"/>
    <col min="10" max="10" width="7.88671875" bestFit="1" customWidth="1"/>
    <col min="11" max="11" width="11.88671875" bestFit="1" customWidth="1"/>
    <col min="12" max="12" width="13.5546875" bestFit="1" customWidth="1"/>
    <col min="13" max="13" width="12.88671875" bestFit="1" customWidth="1"/>
    <col min="14" max="14" width="8.21875" bestFit="1" customWidth="1"/>
    <col min="15" max="15" width="8" bestFit="1" customWidth="1"/>
    <col min="16" max="16" width="11.109375" bestFit="1" customWidth="1"/>
    <col min="17" max="17" width="9.88671875" bestFit="1" customWidth="1"/>
    <col min="18" max="18" width="8" bestFit="1" customWidth="1"/>
    <col min="19" max="19" width="8.77734375" bestFit="1" customWidth="1"/>
    <col min="20" max="20" width="9.88671875" bestFit="1" customWidth="1"/>
    <col min="21" max="21" width="11.33203125" bestFit="1" customWidth="1"/>
    <col min="22" max="22" width="12.44140625" bestFit="1" customWidth="1"/>
    <col min="23" max="23" width="7.77734375" bestFit="1" customWidth="1"/>
    <col min="24" max="24" width="10.33203125" bestFit="1" customWidth="1"/>
    <col min="25" max="25" width="10.88671875" bestFit="1" customWidth="1"/>
    <col min="26" max="26" width="9.5546875" bestFit="1" customWidth="1"/>
    <col min="27" max="27" width="7" bestFit="1" customWidth="1"/>
    <col min="28" max="28" width="10.88671875" bestFit="1" customWidth="1"/>
    <col min="29" max="29" width="9.88671875" bestFit="1" customWidth="1"/>
    <col min="30" max="30" width="10.44140625" customWidth="1"/>
    <col min="31" max="31" width="12" bestFit="1" customWidth="1"/>
    <col min="32" max="33" width="9.33203125" bestFit="1" customWidth="1"/>
    <col min="34" max="34" width="8.109375" bestFit="1" customWidth="1"/>
    <col min="35" max="35" width="9.21875" bestFit="1" customWidth="1"/>
    <col min="36" max="36" width="9" bestFit="1" customWidth="1"/>
    <col min="37" max="37" width="8.88671875" bestFit="1" customWidth="1"/>
    <col min="38" max="38" width="9" bestFit="1" customWidth="1"/>
    <col min="39" max="39" width="8.77734375" bestFit="1" customWidth="1"/>
    <col min="40" max="40" width="8.6640625" bestFit="1" customWidth="1"/>
    <col min="41" max="41" width="11.88671875" bestFit="1" customWidth="1"/>
    <col min="42" max="42" width="10.33203125" bestFit="1" customWidth="1"/>
    <col min="43" max="43" width="11.109375" bestFit="1" customWidth="1"/>
    <col min="44" max="44" width="11" bestFit="1" customWidth="1"/>
    <col min="45" max="49" width="10.77734375" bestFit="1" customWidth="1"/>
    <col min="50" max="50" width="8.77734375" bestFit="1" customWidth="1"/>
    <col min="51" max="51" width="10.88671875" bestFit="1" customWidth="1"/>
    <col min="52" max="52" width="8.5546875" bestFit="1" customWidth="1"/>
    <col min="53" max="53" width="10.6640625" style="60" bestFit="1" customWidth="1"/>
    <col min="54" max="54" width="8.44140625" bestFit="1" customWidth="1"/>
    <col min="55" max="55" width="10.5546875" bestFit="1" customWidth="1"/>
    <col min="56" max="56" width="8.44140625" bestFit="1" customWidth="1"/>
    <col min="57" max="57" width="8" bestFit="1" customWidth="1"/>
    <col min="58" max="58" width="8.33203125" bestFit="1" customWidth="1"/>
    <col min="59" max="59" width="8" bestFit="1" customWidth="1"/>
    <col min="60" max="60" width="8.33203125" bestFit="1" customWidth="1"/>
    <col min="61" max="61" width="9.109375" bestFit="1" customWidth="1"/>
    <col min="62" max="62" width="8.44140625" bestFit="1" customWidth="1"/>
    <col min="63" max="63" width="8.33203125" bestFit="1" customWidth="1"/>
    <col min="64" max="64" width="9.109375" bestFit="1" customWidth="1"/>
    <col min="65" max="65" width="8.44140625" bestFit="1" customWidth="1"/>
    <col min="66" max="66" width="8.21875" bestFit="1" customWidth="1"/>
    <col min="67" max="67" width="9" bestFit="1" customWidth="1"/>
    <col min="68" max="68" width="8.33203125" bestFit="1" customWidth="1"/>
    <col min="69" max="69" width="8.88671875" bestFit="1" customWidth="1"/>
    <col min="70" max="70" width="9.6640625" bestFit="1" customWidth="1"/>
    <col min="71" max="71" width="9" bestFit="1" customWidth="1"/>
    <col min="72" max="73" width="9.88671875" bestFit="1" customWidth="1"/>
    <col min="74" max="74" width="9.77734375" bestFit="1" customWidth="1"/>
    <col min="75" max="75" width="12.21875" bestFit="1" customWidth="1"/>
    <col min="76" max="76" width="10" bestFit="1" customWidth="1"/>
    <col min="77" max="79" width="12" bestFit="1" customWidth="1"/>
    <col min="80" max="80" width="11.5546875" bestFit="1" customWidth="1"/>
    <col min="81" max="81" width="11" bestFit="1" customWidth="1"/>
    <col min="82" max="82" width="10.21875" bestFit="1" customWidth="1"/>
    <col min="83" max="83" width="10.5546875" bestFit="1" customWidth="1"/>
    <col min="84" max="84" width="11" bestFit="1" customWidth="1"/>
    <col min="85" max="85" width="8.6640625" bestFit="1" customWidth="1"/>
    <col min="86" max="86" width="10.44140625" bestFit="1" customWidth="1"/>
    <col min="87" max="87" width="10" bestFit="1" customWidth="1"/>
    <col min="88" max="88" width="8.109375" bestFit="1" customWidth="1"/>
    <col min="89" max="89" width="12.88671875" bestFit="1" customWidth="1"/>
    <col min="90" max="90" width="10.88671875" style="74" bestFit="1" customWidth="1"/>
    <col min="91" max="91" width="8" bestFit="1" customWidth="1"/>
    <col min="92" max="92" width="8.109375" style="82" bestFit="1" customWidth="1"/>
    <col min="93" max="93" width="10.21875" bestFit="1" customWidth="1"/>
    <col min="94" max="94" width="9.109375" style="59" bestFit="1" customWidth="1"/>
    <col min="95" max="95" width="8.88671875" style="59" bestFit="1" customWidth="1"/>
    <col min="96" max="96" width="12" bestFit="1" customWidth="1"/>
    <col min="97" max="97" width="8.77734375" bestFit="1" customWidth="1"/>
    <col min="98" max="98" width="11.77734375" bestFit="1" customWidth="1"/>
    <col min="99" max="99" width="10.6640625" bestFit="1" customWidth="1"/>
    <col min="100" max="100" width="10.77734375" bestFit="1" customWidth="1"/>
    <col min="101" max="101" width="11.21875" style="66" bestFit="1" customWidth="1"/>
    <col min="102" max="102" width="11.33203125" bestFit="1" customWidth="1"/>
    <col min="103" max="103" width="12" bestFit="1" customWidth="1"/>
    <col min="104" max="104" width="9.6640625" style="59" bestFit="1" customWidth="1"/>
    <col min="105" max="105" width="19.88671875" style="74" bestFit="1" customWidth="1"/>
    <col min="106" max="106" width="18.6640625" style="74" bestFit="1" customWidth="1"/>
    <col min="107" max="107" width="12" style="59" bestFit="1" customWidth="1"/>
    <col min="108" max="108" width="12.21875" bestFit="1" customWidth="1"/>
    <col min="109" max="113" width="8.44140625" bestFit="1" customWidth="1"/>
  </cols>
  <sheetData>
    <row r="1" spans="1:108" x14ac:dyDescent="0.3">
      <c r="A1" s="190" t="s">
        <v>374</v>
      </c>
      <c r="B1" s="190"/>
      <c r="C1" s="19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62" t="s">
        <v>375</v>
      </c>
      <c r="AF1" s="191" t="s">
        <v>376</v>
      </c>
      <c r="AG1" s="192"/>
      <c r="AH1" s="62" t="s">
        <v>377</v>
      </c>
      <c r="AI1" s="193" t="s">
        <v>378</v>
      </c>
      <c r="AJ1" s="191"/>
      <c r="AK1" s="192"/>
      <c r="AL1" s="191" t="s">
        <v>379</v>
      </c>
      <c r="AM1" s="191"/>
      <c r="AN1" s="191"/>
      <c r="AO1" s="63" t="s">
        <v>380</v>
      </c>
      <c r="AP1" s="193" t="s">
        <v>381</v>
      </c>
      <c r="AQ1" s="192"/>
      <c r="AR1" s="62"/>
      <c r="AS1" s="191" t="s">
        <v>382</v>
      </c>
      <c r="AT1" s="191"/>
      <c r="AU1" s="191"/>
      <c r="AV1" s="191"/>
      <c r="AW1" s="191"/>
      <c r="AX1" s="193" t="s">
        <v>383</v>
      </c>
      <c r="AY1" s="191"/>
      <c r="AZ1" s="191"/>
      <c r="BA1" s="191"/>
      <c r="BB1" s="191"/>
      <c r="BC1" s="191"/>
      <c r="BD1" s="191"/>
      <c r="BE1" s="191"/>
      <c r="BF1" s="191"/>
      <c r="BG1" s="192"/>
      <c r="BH1" s="193" t="s">
        <v>384</v>
      </c>
      <c r="BI1" s="191"/>
      <c r="BJ1" s="191"/>
      <c r="BK1" s="191"/>
      <c r="BL1" s="191"/>
      <c r="BM1" s="191"/>
      <c r="BN1" s="191"/>
      <c r="BO1" s="191"/>
      <c r="BP1" s="191"/>
      <c r="BQ1" s="191"/>
      <c r="BR1" s="191"/>
      <c r="BS1" s="192"/>
      <c r="BT1" s="193" t="s">
        <v>385</v>
      </c>
      <c r="BU1" s="191"/>
      <c r="BV1" s="191"/>
      <c r="BW1" s="191"/>
      <c r="BX1" s="192"/>
      <c r="BY1" s="193" t="s">
        <v>386</v>
      </c>
      <c r="BZ1" s="191"/>
      <c r="CA1" s="192"/>
      <c r="CB1" s="193" t="s">
        <v>387</v>
      </c>
      <c r="CC1" s="191"/>
      <c r="CD1" s="191"/>
      <c r="CE1" s="191"/>
      <c r="CF1" s="191"/>
      <c r="CG1" s="191"/>
      <c r="CH1" s="193" t="s">
        <v>388</v>
      </c>
      <c r="CI1" s="191"/>
      <c r="CJ1" s="192"/>
      <c r="CK1" s="191" t="s">
        <v>389</v>
      </c>
      <c r="CL1" s="191"/>
      <c r="CM1" s="191"/>
      <c r="CN1" s="191"/>
      <c r="CO1" s="191"/>
      <c r="CP1" s="191"/>
      <c r="CQ1" s="191"/>
      <c r="CR1" s="191"/>
      <c r="CS1" s="191"/>
      <c r="CT1" s="191"/>
      <c r="CU1" s="191"/>
      <c r="CV1" s="191"/>
      <c r="CW1" s="191"/>
      <c r="CX1" s="191"/>
      <c r="CY1" s="191"/>
      <c r="CZ1" s="191"/>
      <c r="DC1"/>
    </row>
    <row r="2" spans="1:108" x14ac:dyDescent="0.3">
      <c r="A2" t="s">
        <v>390</v>
      </c>
      <c r="B2" t="s">
        <v>391</v>
      </c>
      <c r="C2" t="s">
        <v>392</v>
      </c>
      <c r="D2" t="s">
        <v>393</v>
      </c>
      <c r="E2" t="s">
        <v>99</v>
      </c>
      <c r="F2" t="s">
        <v>394</v>
      </c>
      <c r="G2" t="s">
        <v>395</v>
      </c>
      <c r="H2" t="s">
        <v>141</v>
      </c>
      <c r="I2" t="s">
        <v>396</v>
      </c>
      <c r="J2" t="s">
        <v>96</v>
      </c>
      <c r="K2" t="s">
        <v>397</v>
      </c>
      <c r="L2" t="s">
        <v>398</v>
      </c>
      <c r="M2" t="s">
        <v>399</v>
      </c>
      <c r="N2" t="s">
        <v>400</v>
      </c>
      <c r="O2" t="s">
        <v>401</v>
      </c>
      <c r="P2" t="s">
        <v>402</v>
      </c>
      <c r="Q2" t="s">
        <v>403</v>
      </c>
      <c r="R2" t="s">
        <v>404</v>
      </c>
      <c r="S2" t="s">
        <v>405</v>
      </c>
      <c r="T2" t="s">
        <v>406</v>
      </c>
      <c r="U2" t="s">
        <v>407</v>
      </c>
      <c r="V2" t="s">
        <v>408</v>
      </c>
      <c r="W2" t="s">
        <v>409</v>
      </c>
      <c r="X2" t="s">
        <v>410</v>
      </c>
      <c r="Y2" t="s">
        <v>411</v>
      </c>
      <c r="Z2" t="s">
        <v>412</v>
      </c>
      <c r="AA2" t="s">
        <v>153</v>
      </c>
      <c r="AB2" t="s">
        <v>413</v>
      </c>
      <c r="AC2" t="s">
        <v>414</v>
      </c>
      <c r="AD2" t="s">
        <v>415</v>
      </c>
      <c r="AE2" t="s">
        <v>94</v>
      </c>
      <c r="AF2" s="58" t="s">
        <v>416</v>
      </c>
      <c r="AG2" s="58" t="s">
        <v>417</v>
      </c>
      <c r="AH2" s="58" t="s">
        <v>284</v>
      </c>
      <c r="AI2" s="58" t="s">
        <v>418</v>
      </c>
      <c r="AJ2" s="58" t="s">
        <v>419</v>
      </c>
      <c r="AK2" s="58" t="s">
        <v>420</v>
      </c>
      <c r="AL2" s="58" t="s">
        <v>421</v>
      </c>
      <c r="AM2" s="58" t="s">
        <v>422</v>
      </c>
      <c r="AN2" s="58" t="s">
        <v>423</v>
      </c>
      <c r="AO2" s="58" t="s">
        <v>424</v>
      </c>
      <c r="AP2" s="58" t="s">
        <v>425</v>
      </c>
      <c r="AQ2" s="58" t="s">
        <v>426</v>
      </c>
      <c r="AR2" s="58" t="s">
        <v>427</v>
      </c>
      <c r="AS2" s="58" t="s">
        <v>428</v>
      </c>
      <c r="AT2" s="58" t="s">
        <v>429</v>
      </c>
      <c r="AU2" s="58" t="s">
        <v>430</v>
      </c>
      <c r="AV2" s="58" t="s">
        <v>431</v>
      </c>
      <c r="AW2" s="58" t="s">
        <v>432</v>
      </c>
      <c r="AX2" s="58" t="s">
        <v>433</v>
      </c>
      <c r="AY2" s="61" t="s">
        <v>434</v>
      </c>
      <c r="AZ2" s="58" t="s">
        <v>435</v>
      </c>
      <c r="BA2" s="58" t="s">
        <v>436</v>
      </c>
      <c r="BB2" s="58" t="s">
        <v>437</v>
      </c>
      <c r="BC2" s="58" t="s">
        <v>438</v>
      </c>
      <c r="BD2" s="58" t="s">
        <v>439</v>
      </c>
      <c r="BE2" s="58" t="s">
        <v>440</v>
      </c>
      <c r="BF2" s="58" t="s">
        <v>441</v>
      </c>
      <c r="BG2" s="58" t="s">
        <v>442</v>
      </c>
      <c r="BH2" s="58" t="s">
        <v>443</v>
      </c>
      <c r="BI2" s="58" t="s">
        <v>444</v>
      </c>
      <c r="BJ2" s="58" t="s">
        <v>445</v>
      </c>
      <c r="BK2" s="58" t="s">
        <v>446</v>
      </c>
      <c r="BL2" s="58" t="s">
        <v>447</v>
      </c>
      <c r="BM2" s="58" t="s">
        <v>448</v>
      </c>
      <c r="BN2" s="58" t="s">
        <v>449</v>
      </c>
      <c r="BO2" s="58" t="s">
        <v>450</v>
      </c>
      <c r="BP2" s="58" t="s">
        <v>451</v>
      </c>
      <c r="BQ2" s="58" t="s">
        <v>452</v>
      </c>
      <c r="BR2" s="58" t="s">
        <v>453</v>
      </c>
      <c r="BS2" s="58" t="s">
        <v>454</v>
      </c>
      <c r="BT2" s="58" t="s">
        <v>455</v>
      </c>
      <c r="BU2" s="58" t="s">
        <v>456</v>
      </c>
      <c r="BV2" s="58" t="s">
        <v>457</v>
      </c>
      <c r="BW2" s="58" t="s">
        <v>458</v>
      </c>
      <c r="BX2" s="58" t="s">
        <v>459</v>
      </c>
      <c r="BY2" s="58" t="s">
        <v>460</v>
      </c>
      <c r="BZ2" s="58" t="s">
        <v>461</v>
      </c>
      <c r="CA2" s="58" t="s">
        <v>462</v>
      </c>
      <c r="CB2" s="58" t="s">
        <v>463</v>
      </c>
      <c r="CC2" s="58" t="s">
        <v>464</v>
      </c>
      <c r="CD2" s="113" t="s">
        <v>465</v>
      </c>
      <c r="CE2" s="113" t="s">
        <v>466</v>
      </c>
      <c r="CF2" s="58" t="s">
        <v>259</v>
      </c>
      <c r="CG2" s="58" t="s">
        <v>260</v>
      </c>
      <c r="CH2" s="113" t="s">
        <v>467</v>
      </c>
      <c r="CI2" s="58" t="s">
        <v>170</v>
      </c>
      <c r="CJ2" s="58" t="s">
        <v>468</v>
      </c>
      <c r="CK2" s="83" t="s">
        <v>469</v>
      </c>
      <c r="CL2" s="112" t="s">
        <v>306</v>
      </c>
      <c r="CM2" s="64" t="s">
        <v>470</v>
      </c>
      <c r="CN2" s="65" t="s">
        <v>471</v>
      </c>
      <c r="CO2" s="65" t="s">
        <v>472</v>
      </c>
      <c r="CP2" s="64" t="s">
        <v>473</v>
      </c>
      <c r="CQ2" s="64" t="s">
        <v>474</v>
      </c>
      <c r="CR2" s="64" t="s">
        <v>475</v>
      </c>
      <c r="CS2" s="64" t="s">
        <v>476</v>
      </c>
      <c r="CT2" s="64" t="s">
        <v>477</v>
      </c>
      <c r="CU2" s="67" t="s">
        <v>478</v>
      </c>
      <c r="CV2" s="64" t="s">
        <v>479</v>
      </c>
      <c r="CW2" s="64" t="s">
        <v>480</v>
      </c>
      <c r="CX2" s="65" t="s">
        <v>481</v>
      </c>
      <c r="CY2" s="64" t="s">
        <v>482</v>
      </c>
      <c r="CZ2" s="65" t="s">
        <v>483</v>
      </c>
      <c r="DA2" s="74" t="s">
        <v>484</v>
      </c>
      <c r="DB2" s="74" t="s">
        <v>485</v>
      </c>
      <c r="DC2" t="s">
        <v>486</v>
      </c>
      <c r="DD2" t="s">
        <v>487</v>
      </c>
    </row>
    <row r="3" spans="1:108" x14ac:dyDescent="0.3">
      <c r="A3" t="s">
        <v>1042</v>
      </c>
      <c r="B3" t="s">
        <v>489</v>
      </c>
      <c r="C3" t="s">
        <v>1274</v>
      </c>
      <c r="D3">
        <v>1</v>
      </c>
      <c r="E3" t="s">
        <v>1420</v>
      </c>
      <c r="F3" t="s">
        <v>1421</v>
      </c>
      <c r="G3" t="s">
        <v>164</v>
      </c>
      <c r="H3" t="s">
        <v>1277</v>
      </c>
      <c r="I3" t="b">
        <v>1</v>
      </c>
      <c r="J3">
        <v>41</v>
      </c>
      <c r="K3">
        <v>0</v>
      </c>
      <c r="L3">
        <v>0</v>
      </c>
      <c r="M3">
        <v>5</v>
      </c>
      <c r="N3">
        <v>0</v>
      </c>
      <c r="O3">
        <v>3</v>
      </c>
      <c r="P3">
        <v>15</v>
      </c>
      <c r="Q3">
        <v>17</v>
      </c>
      <c r="R3">
        <v>5</v>
      </c>
      <c r="S3">
        <v>3</v>
      </c>
      <c r="T3">
        <v>1</v>
      </c>
      <c r="U3">
        <v>15</v>
      </c>
      <c r="V3">
        <v>2</v>
      </c>
      <c r="W3">
        <v>4</v>
      </c>
      <c r="X3">
        <v>17</v>
      </c>
      <c r="Y3">
        <v>22</v>
      </c>
      <c r="Z3">
        <v>0</v>
      </c>
      <c r="AA3">
        <v>0</v>
      </c>
      <c r="AB3">
        <v>12</v>
      </c>
      <c r="AC3">
        <v>37</v>
      </c>
      <c r="AD3">
        <v>2</v>
      </c>
      <c r="AE3">
        <f>IFERROR(6/(COUNTIF(Dyno_EndMatch[Match],TBA_Matches_All[[#This Row],[Match_Number]])),0)</f>
        <v>0.8571428571428571</v>
      </c>
      <c r="AF3">
        <f>COUNTIFS(Dyno_Data[Team],TBA_Matches_All[[#This Row],[Team]],Dyno_Data[Match],TBA_Matches_All[[#This Row],[Match_Number]],Dyno_Data[RecordType],"EndMatch",Dyno_Data[HPAmp],"Y")</f>
        <v>1</v>
      </c>
      <c r="AG3">
        <f>SUMIFS(Dyno_Data[Mics], Dyno_Data[Team],TBA_Matches_All[[#This Row],[Team]],Dyno_Data[Match],TBA_Matches_All[[#This Row],[Match_Number]],Dyno_Data[RecordType],"EndMatch",Dyno_Data[HPAmp],"Y")</f>
        <v>0</v>
      </c>
      <c r="AH3">
        <f>SUMIFS(Dyno_Data[Leave], Dyno_Data[Team],TBA_Matches_All[[#This Row],[Team]],Dyno_Data[Match],TBA_Matches_All[[#This Row],[Match_Number]],Dyno_Data[RecordType],"EndAuto")</f>
        <v>1</v>
      </c>
      <c r="AI3">
        <f>COUNTIFS(Dyno_Data[Team],TBA_Matches_All[[#This Row],[Team]],Dyno_Data[Match],TBA_Matches_All[[#This Row],[Match_Number]],Dyno_Data[RecordType],"Activities",Dyno_Data[DelDest],"Amp", Dyno_Data[DelMiss],"0", Dyno_Data[Mode],"Auto")</f>
        <v>0</v>
      </c>
      <c r="AJ3">
        <f>COUNTIFS(Dyno_Data[Team],TBA_Matches_All[[#This Row],[Team]],Dyno_Data[Match],TBA_Matches_All[[#This Row],[Match_Number]],Dyno_Data[RecordType],"Activities",Dyno_Data[DelDest],"Spkr", Dyno_Data[DelMiss],"0", Dyno_Data[Mode],"Auto")</f>
        <v>3</v>
      </c>
      <c r="AK3">
        <f>COUNTIFS(Dyno_Data[Team],TBA_Matches_All[[#This Row],[Team]],Dyno_Data[Match],TBA_Matches_All[[#This Row],[Match_Number]],Dyno_Data[RecordType],"Activities",Dyno_Data[DelDest],"Trap", Dyno_Data[DelMiss],"0", Dyno_Data[Mode],"Auto")</f>
        <v>0</v>
      </c>
      <c r="AL3">
        <f>COUNTIFS(Dyno_Data[Team],TBA_Matches_All[[#This Row],[Team]],Dyno_Data[Match],TBA_Matches_All[[#This Row],[Match_Number]],Dyno_Data[RecordType],"Activities",Dyno_Data[DelDest],"Amp", Dyno_Data[DelMiss],"0", Dyno_Data[Mode],"Teleop")</f>
        <v>5</v>
      </c>
      <c r="AM3">
        <f>COUNTIFS(Dyno_Data[Team],TBA_Matches_All[[#This Row],[Team]],Dyno_Data[Match],TBA_Matches_All[[#This Row],[Match_Number]],Dyno_Data[RecordType],"Activities",Dyno_Data[DelDest],"Spkr", Dyno_Data[DelMiss],"0", Dyno_Data[Mode],"Teleop")</f>
        <v>2</v>
      </c>
      <c r="AN3">
        <f>COUNTIFS(Dyno_Data[Team],TBA_Matches_All[[#This Row],[Team]],Dyno_Data[Match],TBA_Matches_All[[#This Row],[Match_Number]],Dyno_Data[RecordType],"Activities",Dyno_Data[DelDest],"Trap", Dyno_Data[DelMiss],"0", Dyno_Data[Mode],"&lt;&gt;Auto")</f>
        <v>0</v>
      </c>
      <c r="AO3">
        <f>SUM(TBA_Matches_All[[#This Row],[AampT]]+TBA_Matches_All[[#This Row],[AspkrT]]+TBA_Matches_All[[#This Row],[AtrapT]]+TBA_Matches_All[[#This Row],[TampT]]+TBA_Matches_All[[#This Row],[TspkrT]]+TBA_Matches_All[[#This Row],[TtrapT]])</f>
        <v>10</v>
      </c>
      <c r="AP3">
        <f>COUNTIFS(Dyno_Data[Team],TBA_Matches_All[[#This Row],[Team]],Dyno_Data[Match],TBA_Matches_All[[#This Row],[Match_Number]],Dyno_Data[RecordType],"Activities",Dyno_Data[DelDest],"Neut", Dyno_Data[DelMiss],"0")</f>
        <v>0</v>
      </c>
      <c r="AQ3">
        <f>COUNTIFS(Dyno_Data[Team],TBA_Matches_All[[#This Row],[Team]],Dyno_Data[Match],TBA_Matches_All[[#This Row],[Match_Number]],Dyno_Data[RecordType],"Activities",Dyno_Data[DelDest],"AllyW", Dyno_Data[DelMiss],"0")</f>
        <v>0</v>
      </c>
      <c r="AR3" t="str">
        <f>_xlfn.XLOOKUP(SUM(MID(TBA_Matches_All[[#This Row],[Team]],4,5),(TBA_Matches_All[[#This Row],[Match_Number]]/100)),Dyno_EndMatch[teammat],Dyno_EndMatch[RobotSta],"_",0,1)</f>
        <v>SubW</v>
      </c>
      <c r="AS3">
        <f>SUMIFS(Dyno_Data[AcqDis], Dyno_Data[Team],TBA_Matches_All[[#This Row],[Team]],Dyno_Data[Match],TBA_Matches_All[[#This Row],[Match_Number]],Dyno_Data[RecordType],"Activities", Dyno_Data[AcqCenter],1,Dyno_Data[Mode],"Auto")</f>
        <v>0</v>
      </c>
      <c r="AT3">
        <f>SUMIFS(Dyno_Data[AcqDis], Dyno_Data[Team],TBA_Matches_All[[#This Row],[Team]],Dyno_Data[Match],TBA_Matches_All[[#This Row],[Match_Number]],Dyno_Data[RecordType],"Activities", Dyno_Data[AcqCenter],2,Dyno_Data[Mode],"Auto")</f>
        <v>0</v>
      </c>
      <c r="AU3">
        <f>SUMIFS(Dyno_Data[AcqDis], Dyno_Data[Team],TBA_Matches_All[[#This Row],[Team]],Dyno_Data[Match],TBA_Matches_All[[#This Row],[Match_Number]],Dyno_Data[RecordType],"Activities", Dyno_Data[AcqCenter],3,Dyno_Data[Mode],"Auto")</f>
        <v>0</v>
      </c>
      <c r="AV3">
        <f>SUMIFS(Dyno_Data[AcqDis], Dyno_Data[Team],TBA_Matches_All[[#This Row],[Team]],Dyno_Data[Match],TBA_Matches_All[[#This Row],[Match_Number]],Dyno_Data[RecordType],"Activities", Dyno_Data[AcqCenter],4,Dyno_Data[Mode],"Auto")</f>
        <v>0</v>
      </c>
      <c r="AW3">
        <f>SUMIFS(Dyno_Data[AcqDis], Dyno_Data[Team],TBA_Matches_All[[#This Row],[Team]],Dyno_Data[Match],TBA_Matches_All[[#This Row],[Match_Number]],Dyno_Data[RecordType],"Activities", Dyno_Data[AcqCenter],5,Dyno_Data[Mode],"Auto")</f>
        <v>0</v>
      </c>
      <c r="AX3">
        <f>SUMIFS(Dyno_Data[DelMiss], Dyno_Data[Team],TBA_Matches_All[[#This Row],[Team]],Dyno_Data[Match],TBA_Matches_All[[#This Row],[Match_Number]],Dyno_Data[RecordType],"Activities", Dyno_Data[DelDest],"Amp")</f>
        <v>0</v>
      </c>
      <c r="AY3" s="60">
        <f>IFERROR(SUM((TBA_Matches_All[[#This Row],[AampT]]+TBA_Matches_All[[#This Row],[TampT]])/(TBA_Matches_All[[#This Row],[AampT]]+TBA_Matches_All[[#This Row],[TampT]]+TBA_Matches_All[[#This Row],[ampM]])),0)</f>
        <v>1</v>
      </c>
      <c r="AZ3">
        <f>SUMIFS(Dyno_Data[DelMiss], Dyno_Data[Team],TBA_Matches_All[[#This Row],[Team]],Dyno_Data[Match],TBA_Matches_All[[#This Row],[Match_Number]],Dyno_Data[RecordType],"Activities", Dyno_Data[DelDest],"Spkr")</f>
        <v>0</v>
      </c>
      <c r="BA3" s="60">
        <f>IFERROR(SUM((TBA_Matches_All[[#This Row],[AspkrT]]+TBA_Matches_All[[#This Row],[TspkrT]])/(TBA_Matches_All[[#This Row],[AspkrT]]+TBA_Matches_All[[#This Row],[TspkrT]]+TBA_Matches_All[[#This Row],[spkrM]])),0)</f>
        <v>1</v>
      </c>
      <c r="BB3">
        <f>SUMIFS(Dyno_Data[DelMiss], Dyno_Data[Team],TBA_Matches_All[[#This Row],[Team]],Dyno_Data[Match],TBA_Matches_All[[#This Row],[Match_Number]],Dyno_Data[RecordType],"Activities", Dyno_Data[DelDest],"Trap")</f>
        <v>0</v>
      </c>
      <c r="BC3" s="60">
        <f>IFERROR((TBA_Matches_All[[#This Row],[AtrapT]]+TBA_Matches_All[[#This Row],[TtrapT]])/(TBA_Matches_All[[#This Row],[AtrapT]]+TBA_Matches_All[[#This Row],[TtrapT]]+TBA_Matches_All[[#This Row],[trapM]]),0)</f>
        <v>0</v>
      </c>
      <c r="BD3">
        <f>COUNTIFS(Dyno_Data[Team],TBA_Matches_All[[#This Row],[Team]],Dyno_Data[Match],TBA_Matches_All[[#This Row],[Match_Number]],Dyno_Data[RecordType],"Activities",Dyno_Data[DelDest],"Neut", Dyno_Data[DelMiss],1)</f>
        <v>0</v>
      </c>
      <c r="BE3" s="60">
        <f>IFERROR(SUM((TBA_Matches_All[[#This Row],[NeutFlrT]])/(TBA_Matches_All[[#This Row],[NeutFlrT]]+TBA_Matches_All[[#This Row],[NZflM]])),0)</f>
        <v>0</v>
      </c>
      <c r="BF3">
        <f>COUNTIFS(Dyno_Data[Team],TBA_Matches_All[[#This Row],[Team]],Dyno_Data[Match],TBA_Matches_All[[#This Row],[Match_Number]],Dyno_Data[RecordType],"Activities",Dyno_Data[DelDest],"AllyW", Dyno_Data[DelMiss],1)</f>
        <v>0</v>
      </c>
      <c r="BG3" s="60">
        <f>IFERROR(SUM((TBA_Matches_All[[#This Row],[AllyWFlrT]])/(TBA_Matches_All[[#This Row],[AllyWFlrT]]+TBA_Matches_All[[#This Row],[AZflM]])),0)</f>
        <v>0</v>
      </c>
      <c r="BH3">
        <f>COUNTIFS(Dyno_Data[Team],TBA_Matches_All[[#This Row],[Team]],Dyno_Data[Match],TBA_Matches_All[[#This Row],[Match_Number]],Dyno_Data[RecordType],"Activities",Dyno_Data[DelOrig],"OppW", Dyno_Data[DelMiss],"0")</f>
        <v>0</v>
      </c>
      <c r="BI3">
        <f>COUNTIFS(Dyno_Data[Team],TBA_Matches_All[[#This Row],[Team]],Dyno_Data[Match],TBA_Matches_All[[#This Row],[Match_Number]],Dyno_Data[RecordType],"Activities",Dyno_Data[DelOrig],"OppW", Dyno_Data[DelMiss],"1")</f>
        <v>0</v>
      </c>
      <c r="BJ3" s="60">
        <f>IFERROR(SUM((TBA_Matches_All[[#This Row],[OZflrT]])/(TBA_Matches_All[[#This Row],[OZflrT]]+TBA_Matches_All[[#This Row],[OZflrM]])),0)</f>
        <v>0</v>
      </c>
      <c r="BK3">
        <f>COUNTIFS(Dyno_Data[Team],TBA_Matches_All[[#This Row],[Team]],Dyno_Data[Match],TBA_Matches_All[[#This Row],[Match_Number]],Dyno_Data[RecordType],"Activities",Dyno_Data[DelOrig],"Neut", Dyno_Data[DelMiss],"0")</f>
        <v>0</v>
      </c>
      <c r="BL3">
        <f>COUNTIFS(Dyno_Data[Team],TBA_Matches_All[[#This Row],[Team]],Dyno_Data[Match],TBA_Matches_All[[#This Row],[Match_Number]],Dyno_Data[RecordType],"Activities",Dyno_Data[DelOrig],"Neut", Dyno_Data[DelMiss],"1")</f>
        <v>0</v>
      </c>
      <c r="BM3" s="60">
        <f>IFERROR(SUM((TBA_Matches_All[[#This Row],[NZflrT]])/(TBA_Matches_All[[#This Row],[NZflrT]]+TBA_Matches_All[[#This Row],[NZflrM]])),0)</f>
        <v>0</v>
      </c>
      <c r="BN3">
        <f>COUNTIFS(Dyno_Data[Team],TBA_Matches_All[[#This Row],[Team]],Dyno_Data[Match],TBA_Matches_All[[#This Row],[Match_Number]],Dyno_Data[RecordType],"Activities",Dyno_Data[DelOrig],"AllyW", Dyno_Data[DelMiss],"0")</f>
        <v>5</v>
      </c>
      <c r="BO3">
        <f>COUNTIFS(Dyno_Data[Team],TBA_Matches_All[[#This Row],[Team]],Dyno_Data[Match],TBA_Matches_All[[#This Row],[Match_Number]],Dyno_Data[RecordType],"Activities",Dyno_Data[DelOrig],"AllyW", Dyno_Data[DelMiss],"1")</f>
        <v>0</v>
      </c>
      <c r="BP3" s="60">
        <f>IFERROR(SUM((TBA_Matches_All[[#This Row],[AZflrT]])/(TBA_Matches_All[[#This Row],[AZflrT]]+TBA_Matches_All[[#This Row],[AZflrM]])),0)</f>
        <v>1</v>
      </c>
      <c r="BQ3">
        <f>COUNTIFS(Dyno_Data[Team],TBA_Matches_All[[#This Row],[Team]],Dyno_Data[Match],TBA_Matches_All[[#This Row],[Match_Number]],Dyno_Data[RecordType],"Activities",Dyno_Data[DelOrig],"SubW", Dyno_Data[DelMiss],"0")</f>
        <v>5</v>
      </c>
      <c r="BR3">
        <f>COUNTIFS(Dyno_Data[Team],TBA_Matches_All[[#This Row],[Team]],Dyno_Data[Match],TBA_Matches_All[[#This Row],[Match_Number]],Dyno_Data[RecordType],"Activities",Dyno_Data[DelOrig],"SubW", Dyno_Data[DelMiss],"1")</f>
        <v>0</v>
      </c>
      <c r="BS3" s="60">
        <f>IFERROR(SUM((TBA_Matches_All[[#This Row],[SubwT]])/(TBA_Matches_All[[#This Row],[SubwT]]+TBA_Matches_All[[#This Row],[SubwM]])),0)</f>
        <v>1</v>
      </c>
      <c r="BT3">
        <f>COUNTIFS(Dyno_Data[Team],TBA_Matches_All[[#This Row],[Team]],Dyno_Data[Match],TBA_Matches_All[[#This Row],[Match_Number]],Dyno_Data[RecordType],"Activities", Dyno_Data[AcqLoc],"OppWing")</f>
        <v>0</v>
      </c>
      <c r="BU3">
        <f>COUNTIFS(Dyno_Data[Team],TBA_Matches_All[[#This Row],[Team]],Dyno_Data[Match],TBA_Matches_All[[#This Row],[Match_Number]],Dyno_Data[RecordType],"Activities", Dyno_Data[AcqLoc],"Neutral")</f>
        <v>0</v>
      </c>
      <c r="BV3">
        <f>COUNTIFS(Dyno_Data[Team],TBA_Matches_All[[#This Row],[Team]],Dyno_Data[Match],TBA_Matches_All[[#This Row],[Match_Number]],Dyno_Data[RecordType],"Activities", Dyno_Data[AcqLoc],"AllyWing")</f>
        <v>0</v>
      </c>
      <c r="BW3">
        <f>COUNTIFS(Dyno_Data[Team],TBA_Matches_All[[#This Row],[Team]],Dyno_Data[Match],TBA_Matches_All[[#This Row],[Match_Number]],Dyno_Data[RecordType],"Activities", Dyno_Data[AcqLoc],"Source")</f>
        <v>0</v>
      </c>
      <c r="BX3">
        <f>SUMIFS(Dyno_Data[AcqDrp], Dyno_Data[Team],TBA_Matches_All[[#This Row],[Team]],Dyno_Data[Match],TBA_Matches_All[[#This Row],[Match_Number]],Dyno_Data[RecordType],"Activities", Dyno_Data[AcqLoc],"Source")</f>
        <v>0</v>
      </c>
      <c r="BY3">
        <f>SUMIFS(Dyno_Data[OZTime], Dyno_Data[Team],TBA_Matches_All[[#This Row],[Team]],Dyno_Data[Match],TBA_Matches_All[[#This Row],[Match_Number]],Dyno_Data[RecordType],"EndMatch")</f>
        <v>29.347347199999998</v>
      </c>
      <c r="BZ3">
        <f>SUMIFS(Dyno_Data[NZTime], Dyno_Data[Team],TBA_Matches_All[[#This Row],[Team]],Dyno_Data[Match],TBA_Matches_All[[#This Row],[Match_Number]],Dyno_Data[RecordType],"EndMatch")</f>
        <v>24.940870499999999</v>
      </c>
      <c r="CA3">
        <f>SUMIFS(Dyno_Data[AZTime], Dyno_Data[Team],TBA_Matches_All[[#This Row],[Team]],Dyno_Data[Match],TBA_Matches_All[[#This Row],[Match_Number]],Dyno_Data[RecordType],"EndMatch")</f>
        <v>72.106753099999992</v>
      </c>
      <c r="CB3">
        <f>SUMIFS(Dyno_Data[ClimbT], Dyno_Data[Team],TBA_Matches_All[[#This Row],[Team]],Dyno_Data[Match],TBA_Matches_All[[#This Row],[Match_Number]],Dyno_Data[RecordType],"EndMatch")</f>
        <v>4.0140547</v>
      </c>
      <c r="CC3" t="str">
        <f>_xlfn.XLOOKUP(SUM(MID(TBA_Matches_All[[#This Row],[Team]],4,5),(TBA_Matches_All[[#This Row],[Match_Number]]/100)),Dyno_EndMatch[teammat],Dyno_EndMatch[StageStat],"_",0,1)</f>
        <v>Park</v>
      </c>
      <c r="CD3" t="str">
        <f>_xlfn.XLOOKUP(TBA_Matches_All[[#This Row],[teammat]],Dyno_EndMatch[teammat],Dyno_EndMatch[StageAtt],"_",0,1)</f>
        <v>-1</v>
      </c>
      <c r="CE3" t="str">
        <f>_xlfn.XLOOKUP(TBA_Matches_All[[#This Row],[teammat]],Dyno_EndMatch[teammat],Dyno_EndMatch[StageLoc],"_",0,1)</f>
        <v>A</v>
      </c>
      <c r="CF3">
        <f>SUMIFS(Dyno_Data[Harmony], Dyno_Data[Team],TBA_Matches_All[[#This Row],[Team]],Dyno_Data[Match],TBA_Matches_All[[#This Row],[Match_Number]],Dyno_Data[RecordType],"EndMatch", Dyno_Data[StageStat],"On",Dyno_Data[Harmony],"&lt;&gt;9")</f>
        <v>0</v>
      </c>
      <c r="CG3">
        <f>SUMIFS(Dyno_Data[Spotlit], Dyno_Data[Team],TBA_Matches_All[[#This Row],[Team]],Dyno_Data[Match],TBA_Matches_All[[#This Row],[Match_Number]],Dyno_Data[RecordType],"EndMatch", Dyno_Data[StageStat],"On",Dyno_Data[Spotlit],"&lt;&gt;9")</f>
        <v>0</v>
      </c>
      <c r="CH3" t="str">
        <f>_xlfn.XLOOKUP(TBA_Matches_All[[#This Row],[teammat]],Dyno_EndMatch[teammat],Dyno_EndMatch[Strategy],"_",0,1)</f>
        <v>Hybrid</v>
      </c>
      <c r="CI3">
        <f>SUMIFS(Dyno_Data[Defense], Dyno_Data[Team],TBA_Matches_All[[#This Row],[Team]],Dyno_Data[Match],TBA_Matches_All[[#This Row],[Match_Number]],Dyno_Data[RecordType],"EndMatch",Dyno_Data[Defense],"&lt;&gt;9")</f>
        <v>0</v>
      </c>
      <c r="CJ3">
        <f>SUMIFS(Dyno_Data[Avoidance], Dyno_Data[Team],TBA_Matches_All[[#This Row],[Team]],Dyno_Data[Match],TBA_Matches_All[[#This Row],[Match_Number]],Dyno_Data[RecordType],"EndMatch",Dyno_Data[Avoidance],"&lt;&gt;9")</f>
        <v>0</v>
      </c>
      <c r="CK3" s="82">
        <f>COUNTIF($H$2:TBA_Matches_All[[#This Row],[Team]],TBA_Matches_All[[#This Row],[Team]])</f>
        <v>1</v>
      </c>
      <c r="CL3" s="111">
        <f>SUM(MID(TBA_Matches_All[[#This Row],[Team]],4,5)+TBA_Matches_All[[#This Row],[Match_Number]]/100)</f>
        <v>3360.01</v>
      </c>
      <c r="CM3">
        <f>SUM((TBA_Matches_All[[#This Row],[Leave]]*2)+(TBA_Matches_All[[#This Row],[AampT]]*2)+(TBA_Matches_All[[#This Row],[AspkrT]]*5)+(TBA_Matches_All[[#This Row],[AtrapT]]*5))</f>
        <v>17</v>
      </c>
      <c r="CN3" s="59">
        <f>IFERROR(SUM(TBA_Matches_All[[#This Row],[AptsT]]/TBA_Matches_All[[#This Row],[AutoPts]]),0)</f>
        <v>1</v>
      </c>
      <c r="CO3" s="59">
        <f>IFERROR(SUM(TBA_Matches_All[[#This Row],[AampT]]+TBA_Matches_All[[#This Row],[AspkrT]]+TBA_Matches_All[[#This Row],[AtrapT]]/TBA_Matches_All[[#This Row],[Aamp]]+TBA_Matches_All[[#This Row],[Aspkr]]+TBA_Matches_All[[#This Row],[AtrapT]]),0)</f>
        <v>0</v>
      </c>
      <c r="CP3" s="59">
        <f>IFERROR(SUM(TBA_Matches_All[[#This Row],[TampT]]/TBA_Matches_All[[#This Row],[Tamp]]),0)</f>
        <v>1</v>
      </c>
      <c r="CQ3" s="59">
        <f>IFERROR(SUM(TBA_Matches_All[[#This Row],[TspkrT]]/TBA_Matches_All[[#This Row],[Tspkr]]),0)</f>
        <v>0.5</v>
      </c>
      <c r="CR3">
        <f>SUM(TBA_Matches_All[[#This Row],[TspkrPts]]*TBA_Matches_All[[#This Row],[TspkrP]])</f>
        <v>8.5</v>
      </c>
      <c r="CS3" s="59">
        <f>IFERROR(SUM(TBA_Matches_All[[#This Row],[TtrapT]]/TBA_Matches_All[[#This Row],[Trap]]),0)</f>
        <v>0</v>
      </c>
      <c r="CT3" s="59">
        <f>IFERROR(SUM(TBA_Matches_All[[#This Row],[TotNotesT]]/TBA_Matches_All[[#This Row],[TotNotes]]),0)</f>
        <v>0.83333333333333337</v>
      </c>
      <c r="CU3" s="66">
        <f>SUM((TBA_Matches_All[[#This Row],[AampT]]*2)+(TBA_Matches_All[[#This Row],[AspkrT]]*5)+(TBA_Matches_All[[#This Row],[AtrapT]]*5)+(TBA_Matches_All[[#This Row],[TampT]]*1)+(TBA_Matches_All[[#This Row],[TspkrptsC]]))</f>
        <v>28.5</v>
      </c>
      <c r="CV3" s="59">
        <f>IFERROR(TBA_Matches_All[[#This Row],[noteptsT]]/TBA_Matches_All[[#This Row],[NotePts]],0)</f>
        <v>0.77027027027027029</v>
      </c>
      <c r="CW3">
        <f>SUM(IF(TBA_Matches_All[[#This Row],[stageStat]]="On",3,0),IF(TBA_Matches_All[[#This Row],[stageStat]]="Park",1,0),SUMIFS(TBA_Matches_All[[#This Row],[Spotlit]],TBA_Matches_All[[#This Row],[stageStat]],"On"),SUMIFS(TBA_Matches_All[[#This Row],[Harmony]],TBA_Matches_All[[#This Row],[stageStat]],"On"))</f>
        <v>1</v>
      </c>
      <c r="CX3" s="59">
        <f>IFERROR(TBA_Matches_All[[#This Row],[stageptsT]]/TBA_Matches_All[[#This Row],[StagePts]],0)</f>
        <v>0.5</v>
      </c>
      <c r="CY3">
        <f>SUM((TBA_Matches_All[[#This Row],[AptsT]]+TBA_Matches_All[[#This Row],[TampT]]+TBA_Matches_All[[#This Row],[TspkrptsC]]+(TBA_Matches_All[[#This Row],[TtrapT]]*5)+TBA_Matches_All[[#This Row],[stageptsT]]))</f>
        <v>31.5</v>
      </c>
      <c r="CZ3" s="59">
        <f>IFERROR(SUM(TBA_Matches_All[[#This Row],[TotptsC]]/TBA_Matches_All[[#This Row],[Score]]),0)</f>
        <v>0.76829268292682928</v>
      </c>
      <c r="DA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10.933333333333334</v>
      </c>
      <c r="DB3" s="74">
        <f>SUMIFS(TBA_Matches_All[AveTeamTNoteDels],TBA_Matches_All[Match_Number],TBA_Matches_All[[#This Row],[Match_Number]],TBA_Matches_All[Alliance],"&lt;&gt;"&amp;TBA_Matches_All[[#This Row],[Alliance]],TBA_Matches_All[Scouted],"&gt;0")</f>
        <v>12.3</v>
      </c>
      <c r="DC3" s="74">
        <f>(TBA_Matches_All[[#This Row],[TampT]]+TBA_Matches_All[[#This Row],[TspkrptsC]])-TBA_Matches_All[[#This Row],[AveTeamTNoteDels]]</f>
        <v>2.5666666666666664</v>
      </c>
      <c r="DD3" s="74">
        <f>SUMIFS(TBA_Matches_All[AveTeamTNoteDels],TBA_Matches_All[Match_Number],TBA_Matches_All[[#This Row],[Match_Number]],TBA_Matches_All[Alliance],"&lt;&gt;"&amp;TBA_Matches_All[[#This Row],[Alliance]])-TBA_Matches_All[[#This Row],[AveOppTNoteDels]]</f>
        <v>0</v>
      </c>
    </row>
    <row r="4" spans="1:108" x14ac:dyDescent="0.3">
      <c r="A4" t="s">
        <v>1042</v>
      </c>
      <c r="B4" t="s">
        <v>489</v>
      </c>
      <c r="C4" t="s">
        <v>1274</v>
      </c>
      <c r="D4">
        <v>1</v>
      </c>
      <c r="E4" t="s">
        <v>1406</v>
      </c>
      <c r="F4" t="s">
        <v>1422</v>
      </c>
      <c r="G4" t="s">
        <v>105</v>
      </c>
      <c r="H4" t="s">
        <v>1280</v>
      </c>
      <c r="I4" t="b">
        <v>1</v>
      </c>
      <c r="J4">
        <v>32</v>
      </c>
      <c r="K4">
        <v>0</v>
      </c>
      <c r="L4">
        <v>0</v>
      </c>
      <c r="M4">
        <v>0</v>
      </c>
      <c r="N4">
        <v>0</v>
      </c>
      <c r="O4">
        <v>0</v>
      </c>
      <c r="P4">
        <v>0</v>
      </c>
      <c r="Q4">
        <v>6</v>
      </c>
      <c r="R4">
        <v>4</v>
      </c>
      <c r="S4">
        <v>1</v>
      </c>
      <c r="T4">
        <v>4</v>
      </c>
      <c r="U4">
        <v>5</v>
      </c>
      <c r="V4">
        <v>8</v>
      </c>
      <c r="W4">
        <v>5</v>
      </c>
      <c r="X4">
        <v>13</v>
      </c>
      <c r="Y4">
        <v>17</v>
      </c>
      <c r="Z4">
        <v>0</v>
      </c>
      <c r="AA4">
        <v>0</v>
      </c>
      <c r="AB4">
        <v>9</v>
      </c>
      <c r="AC4">
        <v>17</v>
      </c>
      <c r="AD4">
        <v>4</v>
      </c>
      <c r="AE4">
        <f>IFERROR(6/(COUNTIF(Dyno_EndMatch[Match],TBA_Matches_All[[#This Row],[Match_Number]])),0)</f>
        <v>0.8571428571428571</v>
      </c>
      <c r="AF4">
        <f>COUNTIFS(Dyno_Data[Team],TBA_Matches_All[[#This Row],[Team]],Dyno_Data[Match],TBA_Matches_All[[#This Row],[Match_Number]],Dyno_Data[RecordType],"EndMatch",Dyno_Data[HPAmp],"Y")</f>
        <v>1</v>
      </c>
      <c r="AG4">
        <f>SUMIFS(Dyno_Data[Mics], Dyno_Data[Team],TBA_Matches_All[[#This Row],[Team]],Dyno_Data[Match],TBA_Matches_All[[#This Row],[Match_Number]],Dyno_Data[RecordType],"EndMatch",Dyno_Data[HPAmp],"Y")</f>
        <v>0</v>
      </c>
      <c r="AH4">
        <f>SUMIFS(Dyno_Data[Leave], Dyno_Data[Team],TBA_Matches_All[[#This Row],[Team]],Dyno_Data[Match],TBA_Matches_All[[#This Row],[Match_Number]],Dyno_Data[RecordType],"EndAuto")</f>
        <v>1</v>
      </c>
      <c r="AI4">
        <f>COUNTIFS(Dyno_Data[Team],TBA_Matches_All[[#This Row],[Team]],Dyno_Data[Match],TBA_Matches_All[[#This Row],[Match_Number]],Dyno_Data[RecordType],"Activities",Dyno_Data[DelDest],"Amp", Dyno_Data[DelMiss],"0", Dyno_Data[Mode],"Auto")</f>
        <v>0</v>
      </c>
      <c r="AJ4">
        <f>COUNTIFS(Dyno_Data[Team],TBA_Matches_All[[#This Row],[Team]],Dyno_Data[Match],TBA_Matches_All[[#This Row],[Match_Number]],Dyno_Data[RecordType],"Activities",Dyno_Data[DelDest],"Spkr", Dyno_Data[DelMiss],"0", Dyno_Data[Mode],"Auto")</f>
        <v>0</v>
      </c>
      <c r="AK4">
        <f>COUNTIFS(Dyno_Data[Team],TBA_Matches_All[[#This Row],[Team]],Dyno_Data[Match],TBA_Matches_All[[#This Row],[Match_Number]],Dyno_Data[RecordType],"Activities",Dyno_Data[DelDest],"Trap", Dyno_Data[DelMiss],"0", Dyno_Data[Mode],"Auto")</f>
        <v>0</v>
      </c>
      <c r="AL4">
        <f>COUNTIFS(Dyno_Data[Team],TBA_Matches_All[[#This Row],[Team]],Dyno_Data[Match],TBA_Matches_All[[#This Row],[Match_Number]],Dyno_Data[RecordType],"Activities",Dyno_Data[DelDest],"Amp", Dyno_Data[DelMiss],"0", Dyno_Data[Mode],"Teleop")</f>
        <v>0</v>
      </c>
      <c r="AM4">
        <f>COUNTIFS(Dyno_Data[Team],TBA_Matches_All[[#This Row],[Team]],Dyno_Data[Match],TBA_Matches_All[[#This Row],[Match_Number]],Dyno_Data[RecordType],"Activities",Dyno_Data[DelDest],"Spkr", Dyno_Data[DelMiss],"0", Dyno_Data[Mode],"Teleop")</f>
        <v>3</v>
      </c>
      <c r="AN4">
        <f>COUNTIFS(Dyno_Data[Team],TBA_Matches_All[[#This Row],[Team]],Dyno_Data[Match],TBA_Matches_All[[#This Row],[Match_Number]],Dyno_Data[RecordType],"Activities",Dyno_Data[DelDest],"Trap", Dyno_Data[DelMiss],"0", Dyno_Data[Mode],"&lt;&gt;Auto")</f>
        <v>0</v>
      </c>
      <c r="AO4">
        <f>SUM(TBA_Matches_All[[#This Row],[AampT]]+TBA_Matches_All[[#This Row],[AspkrT]]+TBA_Matches_All[[#This Row],[AtrapT]]+TBA_Matches_All[[#This Row],[TampT]]+TBA_Matches_All[[#This Row],[TspkrT]]+TBA_Matches_All[[#This Row],[TtrapT]])</f>
        <v>3</v>
      </c>
      <c r="AP4">
        <f>COUNTIFS(Dyno_Data[Team],TBA_Matches_All[[#This Row],[Team]],Dyno_Data[Match],TBA_Matches_All[[#This Row],[Match_Number]],Dyno_Data[RecordType],"Activities",Dyno_Data[DelDest],"Neut", Dyno_Data[DelMiss],"0")</f>
        <v>0</v>
      </c>
      <c r="AQ4">
        <f>COUNTIFS(Dyno_Data[Team],TBA_Matches_All[[#This Row],[Team]],Dyno_Data[Match],TBA_Matches_All[[#This Row],[Match_Number]],Dyno_Data[RecordType],"Activities",Dyno_Data[DelDest],"AllyW", Dyno_Data[DelMiss],"0")</f>
        <v>0</v>
      </c>
      <c r="AR4" t="str">
        <f>_xlfn.XLOOKUP(SUM(MID(TBA_Matches_All[[#This Row],[Team]],4,5),(TBA_Matches_All[[#This Row],[Match_Number]]/100)),Dyno_EndMatch[teammat],Dyno_EndMatch[RobotSta],"_",0,1)</f>
        <v>Amp</v>
      </c>
      <c r="AS4">
        <f>SUMIFS(Dyno_Data[AcqDis], Dyno_Data[Team],TBA_Matches_All[[#This Row],[Team]],Dyno_Data[Match],TBA_Matches_All[[#This Row],[Match_Number]],Dyno_Data[RecordType],"Activities", Dyno_Data[AcqCenter],1,Dyno_Data[Mode],"Auto")</f>
        <v>0</v>
      </c>
      <c r="AT4">
        <f>SUMIFS(Dyno_Data[AcqDis], Dyno_Data[Team],TBA_Matches_All[[#This Row],[Team]],Dyno_Data[Match],TBA_Matches_All[[#This Row],[Match_Number]],Dyno_Data[RecordType],"Activities", Dyno_Data[AcqCenter],2,Dyno_Data[Mode],"Auto")</f>
        <v>0</v>
      </c>
      <c r="AU4">
        <f>SUMIFS(Dyno_Data[AcqDis], Dyno_Data[Team],TBA_Matches_All[[#This Row],[Team]],Dyno_Data[Match],TBA_Matches_All[[#This Row],[Match_Number]],Dyno_Data[RecordType],"Activities", Dyno_Data[AcqCenter],3,Dyno_Data[Mode],"Auto")</f>
        <v>0</v>
      </c>
      <c r="AV4">
        <f>SUMIFS(Dyno_Data[AcqDis], Dyno_Data[Team],TBA_Matches_All[[#This Row],[Team]],Dyno_Data[Match],TBA_Matches_All[[#This Row],[Match_Number]],Dyno_Data[RecordType],"Activities", Dyno_Data[AcqCenter],4,Dyno_Data[Mode],"Auto")</f>
        <v>0</v>
      </c>
      <c r="AW4">
        <f>SUMIFS(Dyno_Data[AcqDis], Dyno_Data[Team],TBA_Matches_All[[#This Row],[Team]],Dyno_Data[Match],TBA_Matches_All[[#This Row],[Match_Number]],Dyno_Data[RecordType],"Activities", Dyno_Data[AcqCenter],5,Dyno_Data[Mode],"Auto")</f>
        <v>-1</v>
      </c>
      <c r="AX4">
        <f>SUMIFS(Dyno_Data[DelMiss], Dyno_Data[Team],TBA_Matches_All[[#This Row],[Team]],Dyno_Data[Match],TBA_Matches_All[[#This Row],[Match_Number]],Dyno_Data[RecordType],"Activities", Dyno_Data[DelDest],"Amp")</f>
        <v>0</v>
      </c>
      <c r="AY4" s="60">
        <f>IFERROR(SUM((TBA_Matches_All[[#This Row],[AampT]]+TBA_Matches_All[[#This Row],[TampT]])/(TBA_Matches_All[[#This Row],[AampT]]+TBA_Matches_All[[#This Row],[TampT]]+TBA_Matches_All[[#This Row],[ampM]])),0)</f>
        <v>0</v>
      </c>
      <c r="AZ4">
        <f>SUMIFS(Dyno_Data[DelMiss], Dyno_Data[Team],TBA_Matches_All[[#This Row],[Team]],Dyno_Data[Match],TBA_Matches_All[[#This Row],[Match_Number]],Dyno_Data[RecordType],"Activities", Dyno_Data[DelDest],"Spkr")</f>
        <v>3</v>
      </c>
      <c r="BA4" s="60">
        <f>IFERROR(SUM((TBA_Matches_All[[#This Row],[AspkrT]]+TBA_Matches_All[[#This Row],[TspkrT]])/(TBA_Matches_All[[#This Row],[AspkrT]]+TBA_Matches_All[[#This Row],[TspkrT]]+TBA_Matches_All[[#This Row],[spkrM]])),0)</f>
        <v>0.5</v>
      </c>
      <c r="BB4">
        <f>SUMIFS(Dyno_Data[DelMiss], Dyno_Data[Team],TBA_Matches_All[[#This Row],[Team]],Dyno_Data[Match],TBA_Matches_All[[#This Row],[Match_Number]],Dyno_Data[RecordType],"Activities", Dyno_Data[DelDest],"Trap")</f>
        <v>0</v>
      </c>
      <c r="BC4" s="60">
        <f>IFERROR((TBA_Matches_All[[#This Row],[AtrapT]]+TBA_Matches_All[[#This Row],[TtrapT]])/(TBA_Matches_All[[#This Row],[AtrapT]]+TBA_Matches_All[[#This Row],[TtrapT]]+TBA_Matches_All[[#This Row],[trapM]]),0)</f>
        <v>0</v>
      </c>
      <c r="BD4">
        <f>COUNTIFS(Dyno_Data[Team],TBA_Matches_All[[#This Row],[Team]],Dyno_Data[Match],TBA_Matches_All[[#This Row],[Match_Number]],Dyno_Data[RecordType],"Activities",Dyno_Data[DelDest],"Neut", Dyno_Data[DelMiss],1)</f>
        <v>0</v>
      </c>
      <c r="BE4" s="60">
        <f>IFERROR(SUM((TBA_Matches_All[[#This Row],[NeutFlrT]])/(TBA_Matches_All[[#This Row],[NeutFlrT]]+TBA_Matches_All[[#This Row],[NZflM]])),0)</f>
        <v>0</v>
      </c>
      <c r="BF4">
        <f>COUNTIFS(Dyno_Data[Team],TBA_Matches_All[[#This Row],[Team]],Dyno_Data[Match],TBA_Matches_All[[#This Row],[Match_Number]],Dyno_Data[RecordType],"Activities",Dyno_Data[DelDest],"AllyW", Dyno_Data[DelMiss],1)</f>
        <v>0</v>
      </c>
      <c r="BG4" s="60">
        <f>IFERROR(SUM((TBA_Matches_All[[#This Row],[AllyWFlrT]])/(TBA_Matches_All[[#This Row],[AllyWFlrT]]+TBA_Matches_All[[#This Row],[AZflM]])),0)</f>
        <v>0</v>
      </c>
      <c r="BH4">
        <f>COUNTIFS(Dyno_Data[Team],TBA_Matches_All[[#This Row],[Team]],Dyno_Data[Match],TBA_Matches_All[[#This Row],[Match_Number]],Dyno_Data[RecordType],"Activities",Dyno_Data[DelOrig],"OppW", Dyno_Data[DelMiss],"0")</f>
        <v>0</v>
      </c>
      <c r="BI4">
        <f>COUNTIFS(Dyno_Data[Team],TBA_Matches_All[[#This Row],[Team]],Dyno_Data[Match],TBA_Matches_All[[#This Row],[Match_Number]],Dyno_Data[RecordType],"Activities",Dyno_Data[DelOrig],"OppW", Dyno_Data[DelMiss],"1")</f>
        <v>0</v>
      </c>
      <c r="BJ4" s="60">
        <f>IFERROR(SUM((TBA_Matches_All[[#This Row],[OZflrT]])/(TBA_Matches_All[[#This Row],[OZflrT]]+TBA_Matches_All[[#This Row],[OZflrM]])),0)</f>
        <v>0</v>
      </c>
      <c r="BK4">
        <f>COUNTIFS(Dyno_Data[Team],TBA_Matches_All[[#This Row],[Team]],Dyno_Data[Match],TBA_Matches_All[[#This Row],[Match_Number]],Dyno_Data[RecordType],"Activities",Dyno_Data[DelOrig],"Neut", Dyno_Data[DelMiss],"0")</f>
        <v>0</v>
      </c>
      <c r="BL4">
        <f>COUNTIFS(Dyno_Data[Team],TBA_Matches_All[[#This Row],[Team]],Dyno_Data[Match],TBA_Matches_All[[#This Row],[Match_Number]],Dyno_Data[RecordType],"Activities",Dyno_Data[DelOrig],"Neut", Dyno_Data[DelMiss],"1")</f>
        <v>0</v>
      </c>
      <c r="BM4" s="60">
        <f>IFERROR(SUM((TBA_Matches_All[[#This Row],[NZflrT]])/(TBA_Matches_All[[#This Row],[NZflrT]]+TBA_Matches_All[[#This Row],[NZflrM]])),0)</f>
        <v>0</v>
      </c>
      <c r="BN4">
        <f>COUNTIFS(Dyno_Data[Team],TBA_Matches_All[[#This Row],[Team]],Dyno_Data[Match],TBA_Matches_All[[#This Row],[Match_Number]],Dyno_Data[RecordType],"Activities",Dyno_Data[DelOrig],"AllyW", Dyno_Data[DelMiss],"0")</f>
        <v>3</v>
      </c>
      <c r="BO4">
        <f>COUNTIFS(Dyno_Data[Team],TBA_Matches_All[[#This Row],[Team]],Dyno_Data[Match],TBA_Matches_All[[#This Row],[Match_Number]],Dyno_Data[RecordType],"Activities",Dyno_Data[DelOrig],"AllyW", Dyno_Data[DelMiss],"1")</f>
        <v>3</v>
      </c>
      <c r="BP4" s="60">
        <f>IFERROR(SUM((TBA_Matches_All[[#This Row],[AZflrT]])/(TBA_Matches_All[[#This Row],[AZflrT]]+TBA_Matches_All[[#This Row],[AZflrM]])),0)</f>
        <v>0.5</v>
      </c>
      <c r="BQ4">
        <f>COUNTIFS(Dyno_Data[Team],TBA_Matches_All[[#This Row],[Team]],Dyno_Data[Match],TBA_Matches_All[[#This Row],[Match_Number]],Dyno_Data[RecordType],"Activities",Dyno_Data[DelOrig],"SubW", Dyno_Data[DelMiss],"0")</f>
        <v>0</v>
      </c>
      <c r="BR4">
        <f>COUNTIFS(Dyno_Data[Team],TBA_Matches_All[[#This Row],[Team]],Dyno_Data[Match],TBA_Matches_All[[#This Row],[Match_Number]],Dyno_Data[RecordType],"Activities",Dyno_Data[DelOrig],"SubW", Dyno_Data[DelMiss],"1")</f>
        <v>0</v>
      </c>
      <c r="BS4" s="60">
        <f>IFERROR(SUM((TBA_Matches_All[[#This Row],[SubwT]])/(TBA_Matches_All[[#This Row],[SubwT]]+TBA_Matches_All[[#This Row],[SubwM]])),0)</f>
        <v>0</v>
      </c>
      <c r="BT4">
        <f>COUNTIFS(Dyno_Data[Team],TBA_Matches_All[[#This Row],[Team]],Dyno_Data[Match],TBA_Matches_All[[#This Row],[Match_Number]],Dyno_Data[RecordType],"Activities", Dyno_Data[AcqLoc],"OppWing")</f>
        <v>0</v>
      </c>
      <c r="BU4">
        <f>COUNTIFS(Dyno_Data[Team],TBA_Matches_All[[#This Row],[Team]],Dyno_Data[Match],TBA_Matches_All[[#This Row],[Match_Number]],Dyno_Data[RecordType],"Activities", Dyno_Data[AcqLoc],"Neutral")</f>
        <v>2</v>
      </c>
      <c r="BV4">
        <f>COUNTIFS(Dyno_Data[Team],TBA_Matches_All[[#This Row],[Team]],Dyno_Data[Match],TBA_Matches_All[[#This Row],[Match_Number]],Dyno_Data[RecordType],"Activities", Dyno_Data[AcqLoc],"AllyWing")</f>
        <v>0</v>
      </c>
      <c r="BW4">
        <f>COUNTIFS(Dyno_Data[Team],TBA_Matches_All[[#This Row],[Team]],Dyno_Data[Match],TBA_Matches_All[[#This Row],[Match_Number]],Dyno_Data[RecordType],"Activities", Dyno_Data[AcqLoc],"Source")</f>
        <v>0</v>
      </c>
      <c r="BX4">
        <f>SUMIFS(Dyno_Data[AcqDrp], Dyno_Data[Team],TBA_Matches_All[[#This Row],[Team]],Dyno_Data[Match],TBA_Matches_All[[#This Row],[Match_Number]],Dyno_Data[RecordType],"Activities", Dyno_Data[AcqLoc],"Source")</f>
        <v>0</v>
      </c>
      <c r="BY4">
        <f>SUMIFS(Dyno_Data[OZTime], Dyno_Data[Team],TBA_Matches_All[[#This Row],[Team]],Dyno_Data[Match],TBA_Matches_All[[#This Row],[Match_Number]],Dyno_Data[RecordType],"EndMatch")</f>
        <v>20.387862200000001</v>
      </c>
      <c r="BZ4">
        <f>SUMIFS(Dyno_Data[NZTime], Dyno_Data[Team],TBA_Matches_All[[#This Row],[Team]],Dyno_Data[Match],TBA_Matches_All[[#This Row],[Match_Number]],Dyno_Data[RecordType],"EndMatch")</f>
        <v>27.5385873</v>
      </c>
      <c r="CA4">
        <f>SUMIFS(Dyno_Data[AZTime], Dyno_Data[Team],TBA_Matches_All[[#This Row],[Team]],Dyno_Data[Match],TBA_Matches_All[[#This Row],[Match_Number]],Dyno_Data[RecordType],"EndMatch")</f>
        <v>71.426788299999998</v>
      </c>
      <c r="CB4">
        <f>SUMIFS(Dyno_Data[ClimbT], Dyno_Data[Team],TBA_Matches_All[[#This Row],[Team]],Dyno_Data[Match],TBA_Matches_All[[#This Row],[Match_Number]],Dyno_Data[RecordType],"EndMatch")</f>
        <v>6.5699774999999994</v>
      </c>
      <c r="CC4" t="str">
        <f>_xlfn.XLOOKUP(SUM(MID(TBA_Matches_All[[#This Row],[Team]],4,5),(TBA_Matches_All[[#This Row],[Match_Number]]/100)),Dyno_EndMatch[teammat],Dyno_EndMatch[StageStat],"_",0,1)</f>
        <v>On</v>
      </c>
      <c r="CD4" t="str">
        <f>_xlfn.XLOOKUP(TBA_Matches_All[[#This Row],[teammat]],Dyno_EndMatch[teammat],Dyno_EndMatch[StageAtt],"_",0,1)</f>
        <v>1</v>
      </c>
      <c r="CE4" t="str">
        <f>_xlfn.XLOOKUP(TBA_Matches_All[[#This Row],[teammat]],Dyno_EndMatch[teammat],Dyno_EndMatch[StageLoc],"_",0,1)</f>
        <v>R</v>
      </c>
      <c r="CF4">
        <f>SUMIFS(Dyno_Data[Harmony], Dyno_Data[Team],TBA_Matches_All[[#This Row],[Team]],Dyno_Data[Match],TBA_Matches_All[[#This Row],[Match_Number]],Dyno_Data[RecordType],"EndMatch", Dyno_Data[StageStat],"On",Dyno_Data[Harmony],"&lt;&gt;9")</f>
        <v>0</v>
      </c>
      <c r="CG4">
        <f>SUMIFS(Dyno_Data[Spotlit], Dyno_Data[Team],TBA_Matches_All[[#This Row],[Team]],Dyno_Data[Match],TBA_Matches_All[[#This Row],[Match_Number]],Dyno_Data[RecordType],"EndMatch", Dyno_Data[StageStat],"On",Dyno_Data[Spotlit],"&lt;&gt;9")</f>
        <v>0</v>
      </c>
      <c r="CH4" t="str">
        <f>_xlfn.XLOOKUP(TBA_Matches_All[[#This Row],[teammat]],Dyno_EndMatch[teammat],Dyno_EndMatch[Strategy],"_",0,1)</f>
        <v>Shooter</v>
      </c>
      <c r="CI4">
        <f>SUMIFS(Dyno_Data[Defense], Dyno_Data[Team],TBA_Matches_All[[#This Row],[Team]],Dyno_Data[Match],TBA_Matches_All[[#This Row],[Match_Number]],Dyno_Data[RecordType],"EndMatch",Dyno_Data[Defense],"&lt;&gt;9")</f>
        <v>1</v>
      </c>
      <c r="CJ4">
        <f>SUMIFS(Dyno_Data[Avoidance], Dyno_Data[Team],TBA_Matches_All[[#This Row],[Team]],Dyno_Data[Match],TBA_Matches_All[[#This Row],[Match_Number]],Dyno_Data[RecordType],"EndMatch",Dyno_Data[Avoidance],"&lt;&gt;9")</f>
        <v>0</v>
      </c>
      <c r="CK4" s="82">
        <f>COUNTIF($H$2:TBA_Matches_All[[#This Row],[Team]],TBA_Matches_All[[#This Row],[Team]])</f>
        <v>1</v>
      </c>
      <c r="CL4" s="111">
        <f>SUM(MID(TBA_Matches_All[[#This Row],[Team]],4,5)+TBA_Matches_All[[#This Row],[Match_Number]]/100)</f>
        <v>1559.01</v>
      </c>
      <c r="CM4">
        <f>SUM((TBA_Matches_All[[#This Row],[Leave]]*2)+(TBA_Matches_All[[#This Row],[AampT]]*2)+(TBA_Matches_All[[#This Row],[AspkrT]]*5)+(TBA_Matches_All[[#This Row],[AtrapT]]*5))</f>
        <v>2</v>
      </c>
      <c r="CN4" s="59">
        <f>IFERROR(SUM(TBA_Matches_All[[#This Row],[AptsT]]/TBA_Matches_All[[#This Row],[AutoPts]]),0)</f>
        <v>0.33333333333333331</v>
      </c>
      <c r="CO4" s="59">
        <f>IFERROR(SUM(TBA_Matches_All[[#This Row],[AampT]]+TBA_Matches_All[[#This Row],[AspkrT]]+TBA_Matches_All[[#This Row],[AtrapT]]/TBA_Matches_All[[#This Row],[Aamp]]+TBA_Matches_All[[#This Row],[Aspkr]]+TBA_Matches_All[[#This Row],[AtrapT]]),0)</f>
        <v>0</v>
      </c>
      <c r="CP4" s="59">
        <f>IFERROR(SUM(TBA_Matches_All[[#This Row],[TampT]]/TBA_Matches_All[[#This Row],[Tamp]]),0)</f>
        <v>0</v>
      </c>
      <c r="CQ4" s="59">
        <f>IFERROR(SUM(TBA_Matches_All[[#This Row],[TspkrT]]/TBA_Matches_All[[#This Row],[Tspkr]]),0)</f>
        <v>0.6</v>
      </c>
      <c r="CR4">
        <f>SUM(TBA_Matches_All[[#This Row],[TspkrPts]]*TBA_Matches_All[[#This Row],[TspkrP]])</f>
        <v>7.8</v>
      </c>
      <c r="CS4" s="59">
        <f>IFERROR(SUM(TBA_Matches_All[[#This Row],[TtrapT]]/TBA_Matches_All[[#This Row],[Trap]]),0)</f>
        <v>0</v>
      </c>
      <c r="CT4" s="59">
        <f>IFERROR(SUM(TBA_Matches_All[[#This Row],[TotNotesT]]/TBA_Matches_All[[#This Row],[TotNotes]]),0)</f>
        <v>0.33333333333333331</v>
      </c>
      <c r="CU4" s="66">
        <f>SUM((TBA_Matches_All[[#This Row],[AampT]]*2)+(TBA_Matches_All[[#This Row],[AspkrT]]*5)+(TBA_Matches_All[[#This Row],[AtrapT]]*5)+(TBA_Matches_All[[#This Row],[TampT]]*1)+(TBA_Matches_All[[#This Row],[TspkrptsC]]))</f>
        <v>7.8</v>
      </c>
      <c r="CV4" s="59">
        <f>IFERROR(TBA_Matches_All[[#This Row],[noteptsT]]/TBA_Matches_All[[#This Row],[NotePts]],0)</f>
        <v>0.45882352941176469</v>
      </c>
      <c r="CW4">
        <f>SUM(IF(TBA_Matches_All[[#This Row],[stageStat]]="On",3,0),IF(TBA_Matches_All[[#This Row],[stageStat]]="Park",1,0),SUMIFS(TBA_Matches_All[[#This Row],[Spotlit]],TBA_Matches_All[[#This Row],[stageStat]],"On"),SUMIFS(TBA_Matches_All[[#This Row],[Harmony]],TBA_Matches_All[[#This Row],[stageStat]],"On"))</f>
        <v>3</v>
      </c>
      <c r="CX4" s="59">
        <f>IFERROR(TBA_Matches_All[[#This Row],[stageptsT]]/TBA_Matches_All[[#This Row],[StagePts]],0)</f>
        <v>0.75</v>
      </c>
      <c r="CY4">
        <f>SUM((TBA_Matches_All[[#This Row],[AptsT]]+TBA_Matches_All[[#This Row],[TampT]]+TBA_Matches_All[[#This Row],[TspkrptsC]]+(TBA_Matches_All[[#This Row],[TtrapT]]*5)+TBA_Matches_All[[#This Row],[stageptsT]]))</f>
        <v>12.8</v>
      </c>
      <c r="CZ4" s="59">
        <f>IFERROR(SUM(TBA_Matches_All[[#This Row],[TotptsC]]/TBA_Matches_All[[#This Row],[Score]]),0)</f>
        <v>0.4</v>
      </c>
      <c r="DA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9.5500000000000007</v>
      </c>
      <c r="DB4" s="74">
        <f>SUMIFS(TBA_Matches_All[AveTeamTNoteDels],TBA_Matches_All[Match_Number],TBA_Matches_All[[#This Row],[Match_Number]],TBA_Matches_All[Alliance],"&lt;&gt;"&amp;TBA_Matches_All[[#This Row],[Alliance]],TBA_Matches_All[Scouted],"&gt;0")</f>
        <v>16.36839826839827</v>
      </c>
      <c r="DC4" s="74">
        <f>(TBA_Matches_All[[#This Row],[TampT]]+TBA_Matches_All[[#This Row],[TspkrptsC]])-TBA_Matches_All[[#This Row],[AveTeamTNoteDels]]</f>
        <v>-1.7500000000000009</v>
      </c>
      <c r="DD4" s="74">
        <f>SUMIFS(TBA_Matches_All[AveTeamTNoteDels],TBA_Matches_All[Match_Number],TBA_Matches_All[[#This Row],[Match_Number]],TBA_Matches_All[Alliance],"&lt;&gt;"&amp;TBA_Matches_All[[#This Row],[Alliance]])-TBA_Matches_All[[#This Row],[AveOppTNoteDels]]</f>
        <v>0</v>
      </c>
    </row>
    <row r="5" spans="1:108" x14ac:dyDescent="0.3">
      <c r="A5" t="s">
        <v>1042</v>
      </c>
      <c r="B5" t="s">
        <v>489</v>
      </c>
      <c r="C5" t="s">
        <v>1274</v>
      </c>
      <c r="D5">
        <v>1</v>
      </c>
      <c r="E5" t="s">
        <v>1420</v>
      </c>
      <c r="F5" t="s">
        <v>1423</v>
      </c>
      <c r="G5" t="s">
        <v>1409</v>
      </c>
      <c r="H5" t="s">
        <v>1276</v>
      </c>
      <c r="I5" t="b">
        <v>1</v>
      </c>
      <c r="J5">
        <v>41</v>
      </c>
      <c r="K5">
        <v>0</v>
      </c>
      <c r="L5">
        <v>0</v>
      </c>
      <c r="M5">
        <v>5</v>
      </c>
      <c r="N5">
        <v>0</v>
      </c>
      <c r="O5">
        <v>3</v>
      </c>
      <c r="P5">
        <v>15</v>
      </c>
      <c r="Q5">
        <v>17</v>
      </c>
      <c r="R5">
        <v>5</v>
      </c>
      <c r="S5">
        <v>3</v>
      </c>
      <c r="T5">
        <v>1</v>
      </c>
      <c r="U5">
        <v>15</v>
      </c>
      <c r="V5">
        <v>2</v>
      </c>
      <c r="W5">
        <v>4</v>
      </c>
      <c r="X5">
        <v>17</v>
      </c>
      <c r="Y5">
        <v>22</v>
      </c>
      <c r="Z5">
        <v>0</v>
      </c>
      <c r="AA5">
        <v>0</v>
      </c>
      <c r="AB5">
        <v>12</v>
      </c>
      <c r="AC5">
        <v>37</v>
      </c>
      <c r="AD5">
        <v>2</v>
      </c>
      <c r="AE5">
        <f>IFERROR(6/(COUNTIF(Dyno_EndMatch[Match],TBA_Matches_All[[#This Row],[Match_Number]])),0)</f>
        <v>0.8571428571428571</v>
      </c>
      <c r="AF5">
        <f>COUNTIFS(Dyno_Data[Team],TBA_Matches_All[[#This Row],[Team]],Dyno_Data[Match],TBA_Matches_All[[#This Row],[Match_Number]],Dyno_Data[RecordType],"EndMatch",Dyno_Data[HPAmp],"Y")</f>
        <v>0</v>
      </c>
      <c r="AG5">
        <f>SUMIFS(Dyno_Data[Mics], Dyno_Data[Team],TBA_Matches_All[[#This Row],[Team]],Dyno_Data[Match],TBA_Matches_All[[#This Row],[Match_Number]],Dyno_Data[RecordType],"EndMatch",Dyno_Data[HPAmp],"Y")</f>
        <v>0</v>
      </c>
      <c r="AH5">
        <f>SUMIFS(Dyno_Data[Leave], Dyno_Data[Team],TBA_Matches_All[[#This Row],[Team]],Dyno_Data[Match],TBA_Matches_All[[#This Row],[Match_Number]],Dyno_Data[RecordType],"EndAuto")</f>
        <v>0</v>
      </c>
      <c r="AI5">
        <f>COUNTIFS(Dyno_Data[Team],TBA_Matches_All[[#This Row],[Team]],Dyno_Data[Match],TBA_Matches_All[[#This Row],[Match_Number]],Dyno_Data[RecordType],"Activities",Dyno_Data[DelDest],"Amp", Dyno_Data[DelMiss],"0", Dyno_Data[Mode],"Auto")</f>
        <v>0</v>
      </c>
      <c r="AJ5">
        <f>COUNTIFS(Dyno_Data[Team],TBA_Matches_All[[#This Row],[Team]],Dyno_Data[Match],TBA_Matches_All[[#This Row],[Match_Number]],Dyno_Data[RecordType],"Activities",Dyno_Data[DelDest],"Spkr", Dyno_Data[DelMiss],"0", Dyno_Data[Mode],"Auto")</f>
        <v>0</v>
      </c>
      <c r="AK5">
        <f>COUNTIFS(Dyno_Data[Team],TBA_Matches_All[[#This Row],[Team]],Dyno_Data[Match],TBA_Matches_All[[#This Row],[Match_Number]],Dyno_Data[RecordType],"Activities",Dyno_Data[DelDest],"Trap", Dyno_Data[DelMiss],"0", Dyno_Data[Mode],"Auto")</f>
        <v>0</v>
      </c>
      <c r="AL5">
        <f>COUNTIFS(Dyno_Data[Team],TBA_Matches_All[[#This Row],[Team]],Dyno_Data[Match],TBA_Matches_All[[#This Row],[Match_Number]],Dyno_Data[RecordType],"Activities",Dyno_Data[DelDest],"Amp", Dyno_Data[DelMiss],"0", Dyno_Data[Mode],"Teleop")</f>
        <v>0</v>
      </c>
      <c r="AM5">
        <f>COUNTIFS(Dyno_Data[Team],TBA_Matches_All[[#This Row],[Team]],Dyno_Data[Match],TBA_Matches_All[[#This Row],[Match_Number]],Dyno_Data[RecordType],"Activities",Dyno_Data[DelDest],"Spkr", Dyno_Data[DelMiss],"0", Dyno_Data[Mode],"Teleop")</f>
        <v>0</v>
      </c>
      <c r="AN5">
        <f>COUNTIFS(Dyno_Data[Team],TBA_Matches_All[[#This Row],[Team]],Dyno_Data[Match],TBA_Matches_All[[#This Row],[Match_Number]],Dyno_Data[RecordType],"Activities",Dyno_Data[DelDest],"Trap", Dyno_Data[DelMiss],"0", Dyno_Data[Mode],"&lt;&gt;Auto")</f>
        <v>0</v>
      </c>
      <c r="AO5">
        <f>SUM(TBA_Matches_All[[#This Row],[AampT]]+TBA_Matches_All[[#This Row],[AspkrT]]+TBA_Matches_All[[#This Row],[AtrapT]]+TBA_Matches_All[[#This Row],[TampT]]+TBA_Matches_All[[#This Row],[TspkrT]]+TBA_Matches_All[[#This Row],[TtrapT]])</f>
        <v>0</v>
      </c>
      <c r="AP5">
        <f>COUNTIFS(Dyno_Data[Team],TBA_Matches_All[[#This Row],[Team]],Dyno_Data[Match],TBA_Matches_All[[#This Row],[Match_Number]],Dyno_Data[RecordType],"Activities",Dyno_Data[DelDest],"Neut", Dyno_Data[DelMiss],"0")</f>
        <v>0</v>
      </c>
      <c r="AQ5">
        <f>COUNTIFS(Dyno_Data[Team],TBA_Matches_All[[#This Row],[Team]],Dyno_Data[Match],TBA_Matches_All[[#This Row],[Match_Number]],Dyno_Data[RecordType],"Activities",Dyno_Data[DelDest],"AllyW", Dyno_Data[DelMiss],"0")</f>
        <v>0</v>
      </c>
      <c r="AR5" t="str">
        <f>_xlfn.XLOOKUP(SUM(MID(TBA_Matches_All[[#This Row],[Team]],4,5),(TBA_Matches_All[[#This Row],[Match_Number]]/100)),Dyno_EndMatch[teammat],Dyno_EndMatch[RobotSta],"_",0,1)</f>
        <v>OppS</v>
      </c>
      <c r="AS5">
        <f>SUMIFS(Dyno_Data[AcqDis], Dyno_Data[Team],TBA_Matches_All[[#This Row],[Team]],Dyno_Data[Match],TBA_Matches_All[[#This Row],[Match_Number]],Dyno_Data[RecordType],"Activities", Dyno_Data[AcqCenter],1,Dyno_Data[Mode],"Auto")</f>
        <v>0</v>
      </c>
      <c r="AT5">
        <f>SUMIFS(Dyno_Data[AcqDis], Dyno_Data[Team],TBA_Matches_All[[#This Row],[Team]],Dyno_Data[Match],TBA_Matches_All[[#This Row],[Match_Number]],Dyno_Data[RecordType],"Activities", Dyno_Data[AcqCenter],2,Dyno_Data[Mode],"Auto")</f>
        <v>0</v>
      </c>
      <c r="AU5">
        <f>SUMIFS(Dyno_Data[AcqDis], Dyno_Data[Team],TBA_Matches_All[[#This Row],[Team]],Dyno_Data[Match],TBA_Matches_All[[#This Row],[Match_Number]],Dyno_Data[RecordType],"Activities", Dyno_Data[AcqCenter],3,Dyno_Data[Mode],"Auto")</f>
        <v>0</v>
      </c>
      <c r="AV5">
        <f>SUMIFS(Dyno_Data[AcqDis], Dyno_Data[Team],TBA_Matches_All[[#This Row],[Team]],Dyno_Data[Match],TBA_Matches_All[[#This Row],[Match_Number]],Dyno_Data[RecordType],"Activities", Dyno_Data[AcqCenter],4,Dyno_Data[Mode],"Auto")</f>
        <v>0</v>
      </c>
      <c r="AW5">
        <f>SUMIFS(Dyno_Data[AcqDis], Dyno_Data[Team],TBA_Matches_All[[#This Row],[Team]],Dyno_Data[Match],TBA_Matches_All[[#This Row],[Match_Number]],Dyno_Data[RecordType],"Activities", Dyno_Data[AcqCenter],5,Dyno_Data[Mode],"Auto")</f>
        <v>0</v>
      </c>
      <c r="AX5">
        <f>SUMIFS(Dyno_Data[DelMiss], Dyno_Data[Team],TBA_Matches_All[[#This Row],[Team]],Dyno_Data[Match],TBA_Matches_All[[#This Row],[Match_Number]],Dyno_Data[RecordType],"Activities", Dyno_Data[DelDest],"Amp")</f>
        <v>0</v>
      </c>
      <c r="AY5" s="60">
        <f>IFERROR(SUM((TBA_Matches_All[[#This Row],[AampT]]+TBA_Matches_All[[#This Row],[TampT]])/(TBA_Matches_All[[#This Row],[AampT]]+TBA_Matches_All[[#This Row],[TampT]]+TBA_Matches_All[[#This Row],[ampM]])),0)</f>
        <v>0</v>
      </c>
      <c r="AZ5">
        <f>SUMIFS(Dyno_Data[DelMiss], Dyno_Data[Team],TBA_Matches_All[[#This Row],[Team]],Dyno_Data[Match],TBA_Matches_All[[#This Row],[Match_Number]],Dyno_Data[RecordType],"Activities", Dyno_Data[DelDest],"Spkr")</f>
        <v>0</v>
      </c>
      <c r="BA5" s="60">
        <f>IFERROR(SUM((TBA_Matches_All[[#This Row],[AspkrT]]+TBA_Matches_All[[#This Row],[TspkrT]])/(TBA_Matches_All[[#This Row],[AspkrT]]+TBA_Matches_All[[#This Row],[TspkrT]]+TBA_Matches_All[[#This Row],[spkrM]])),0)</f>
        <v>0</v>
      </c>
      <c r="BB5">
        <f>SUMIFS(Dyno_Data[DelMiss], Dyno_Data[Team],TBA_Matches_All[[#This Row],[Team]],Dyno_Data[Match],TBA_Matches_All[[#This Row],[Match_Number]],Dyno_Data[RecordType],"Activities", Dyno_Data[DelDest],"Trap")</f>
        <v>0</v>
      </c>
      <c r="BC5" s="60">
        <f>IFERROR((TBA_Matches_All[[#This Row],[AtrapT]]+TBA_Matches_All[[#This Row],[TtrapT]])/(TBA_Matches_All[[#This Row],[AtrapT]]+TBA_Matches_All[[#This Row],[TtrapT]]+TBA_Matches_All[[#This Row],[trapM]]),0)</f>
        <v>0</v>
      </c>
      <c r="BD5">
        <f>COUNTIFS(Dyno_Data[Team],TBA_Matches_All[[#This Row],[Team]],Dyno_Data[Match],TBA_Matches_All[[#This Row],[Match_Number]],Dyno_Data[RecordType],"Activities",Dyno_Data[DelDest],"Neut", Dyno_Data[DelMiss],1)</f>
        <v>0</v>
      </c>
      <c r="BE5" s="60">
        <f>IFERROR(SUM((TBA_Matches_All[[#This Row],[NeutFlrT]])/(TBA_Matches_All[[#This Row],[NeutFlrT]]+TBA_Matches_All[[#This Row],[NZflM]])),0)</f>
        <v>0</v>
      </c>
      <c r="BF5">
        <f>COUNTIFS(Dyno_Data[Team],TBA_Matches_All[[#This Row],[Team]],Dyno_Data[Match],TBA_Matches_All[[#This Row],[Match_Number]],Dyno_Data[RecordType],"Activities",Dyno_Data[DelDest],"AllyW", Dyno_Data[DelMiss],1)</f>
        <v>0</v>
      </c>
      <c r="BG5" s="60">
        <f>IFERROR(SUM((TBA_Matches_All[[#This Row],[AllyWFlrT]])/(TBA_Matches_All[[#This Row],[AllyWFlrT]]+TBA_Matches_All[[#This Row],[AZflM]])),0)</f>
        <v>0</v>
      </c>
      <c r="BH5">
        <f>COUNTIFS(Dyno_Data[Team],TBA_Matches_All[[#This Row],[Team]],Dyno_Data[Match],TBA_Matches_All[[#This Row],[Match_Number]],Dyno_Data[RecordType],"Activities",Dyno_Data[DelOrig],"OppW", Dyno_Data[DelMiss],"0")</f>
        <v>0</v>
      </c>
      <c r="BI5">
        <f>COUNTIFS(Dyno_Data[Team],TBA_Matches_All[[#This Row],[Team]],Dyno_Data[Match],TBA_Matches_All[[#This Row],[Match_Number]],Dyno_Data[RecordType],"Activities",Dyno_Data[DelOrig],"OppW", Dyno_Data[DelMiss],"1")</f>
        <v>0</v>
      </c>
      <c r="BJ5" s="60">
        <f>IFERROR(SUM((TBA_Matches_All[[#This Row],[OZflrT]])/(TBA_Matches_All[[#This Row],[OZflrT]]+TBA_Matches_All[[#This Row],[OZflrM]])),0)</f>
        <v>0</v>
      </c>
      <c r="BK5">
        <f>COUNTIFS(Dyno_Data[Team],TBA_Matches_All[[#This Row],[Team]],Dyno_Data[Match],TBA_Matches_All[[#This Row],[Match_Number]],Dyno_Data[RecordType],"Activities",Dyno_Data[DelOrig],"Neut", Dyno_Data[DelMiss],"0")</f>
        <v>0</v>
      </c>
      <c r="BL5">
        <f>COUNTIFS(Dyno_Data[Team],TBA_Matches_All[[#This Row],[Team]],Dyno_Data[Match],TBA_Matches_All[[#This Row],[Match_Number]],Dyno_Data[RecordType],"Activities",Dyno_Data[DelOrig],"Neut", Dyno_Data[DelMiss],"1")</f>
        <v>0</v>
      </c>
      <c r="BM5" s="60">
        <f>IFERROR(SUM((TBA_Matches_All[[#This Row],[NZflrT]])/(TBA_Matches_All[[#This Row],[NZflrT]]+TBA_Matches_All[[#This Row],[NZflrM]])),0)</f>
        <v>0</v>
      </c>
      <c r="BN5">
        <f>COUNTIFS(Dyno_Data[Team],TBA_Matches_All[[#This Row],[Team]],Dyno_Data[Match],TBA_Matches_All[[#This Row],[Match_Number]],Dyno_Data[RecordType],"Activities",Dyno_Data[DelOrig],"AllyW", Dyno_Data[DelMiss],"0")</f>
        <v>0</v>
      </c>
      <c r="BO5">
        <f>COUNTIFS(Dyno_Data[Team],TBA_Matches_All[[#This Row],[Team]],Dyno_Data[Match],TBA_Matches_All[[#This Row],[Match_Number]],Dyno_Data[RecordType],"Activities",Dyno_Data[DelOrig],"AllyW", Dyno_Data[DelMiss],"1")</f>
        <v>0</v>
      </c>
      <c r="BP5" s="60">
        <f>IFERROR(SUM((TBA_Matches_All[[#This Row],[AZflrT]])/(TBA_Matches_All[[#This Row],[AZflrT]]+TBA_Matches_All[[#This Row],[AZflrM]])),0)</f>
        <v>0</v>
      </c>
      <c r="BQ5">
        <f>COUNTIFS(Dyno_Data[Team],TBA_Matches_All[[#This Row],[Team]],Dyno_Data[Match],TBA_Matches_All[[#This Row],[Match_Number]],Dyno_Data[RecordType],"Activities",Dyno_Data[DelOrig],"SubW", Dyno_Data[DelMiss],"0")</f>
        <v>0</v>
      </c>
      <c r="BR5">
        <f>COUNTIFS(Dyno_Data[Team],TBA_Matches_All[[#This Row],[Team]],Dyno_Data[Match],TBA_Matches_All[[#This Row],[Match_Number]],Dyno_Data[RecordType],"Activities",Dyno_Data[DelOrig],"SubW", Dyno_Data[DelMiss],"1")</f>
        <v>0</v>
      </c>
      <c r="BS5" s="60">
        <f>IFERROR(SUM((TBA_Matches_All[[#This Row],[SubwT]])/(TBA_Matches_All[[#This Row],[SubwT]]+TBA_Matches_All[[#This Row],[SubwM]])),0)</f>
        <v>0</v>
      </c>
      <c r="BT5">
        <f>COUNTIFS(Dyno_Data[Team],TBA_Matches_All[[#This Row],[Team]],Dyno_Data[Match],TBA_Matches_All[[#This Row],[Match_Number]],Dyno_Data[RecordType],"Activities", Dyno_Data[AcqLoc],"OppWing")</f>
        <v>0</v>
      </c>
      <c r="BU5">
        <f>COUNTIFS(Dyno_Data[Team],TBA_Matches_All[[#This Row],[Team]],Dyno_Data[Match],TBA_Matches_All[[#This Row],[Match_Number]],Dyno_Data[RecordType],"Activities", Dyno_Data[AcqLoc],"Neutral")</f>
        <v>0</v>
      </c>
      <c r="BV5">
        <f>COUNTIFS(Dyno_Data[Team],TBA_Matches_All[[#This Row],[Team]],Dyno_Data[Match],TBA_Matches_All[[#This Row],[Match_Number]],Dyno_Data[RecordType],"Activities", Dyno_Data[AcqLoc],"AllyWing")</f>
        <v>0</v>
      </c>
      <c r="BW5">
        <f>COUNTIFS(Dyno_Data[Team],TBA_Matches_All[[#This Row],[Team]],Dyno_Data[Match],TBA_Matches_All[[#This Row],[Match_Number]],Dyno_Data[RecordType],"Activities", Dyno_Data[AcqLoc],"Source")</f>
        <v>0</v>
      </c>
      <c r="BX5">
        <f>SUMIFS(Dyno_Data[AcqDrp], Dyno_Data[Team],TBA_Matches_All[[#This Row],[Team]],Dyno_Data[Match],TBA_Matches_All[[#This Row],[Match_Number]],Dyno_Data[RecordType],"Activities", Dyno_Data[AcqLoc],"Source")</f>
        <v>0</v>
      </c>
      <c r="BY5">
        <f>SUMIFS(Dyno_Data[OZTime], Dyno_Data[Team],TBA_Matches_All[[#This Row],[Team]],Dyno_Data[Match],TBA_Matches_All[[#This Row],[Match_Number]],Dyno_Data[RecordType],"EndMatch")</f>
        <v>0</v>
      </c>
      <c r="BZ5">
        <f>SUMIFS(Dyno_Data[NZTime], Dyno_Data[Team],TBA_Matches_All[[#This Row],[Team]],Dyno_Data[Match],TBA_Matches_All[[#This Row],[Match_Number]],Dyno_Data[RecordType],"EndMatch")</f>
        <v>0</v>
      </c>
      <c r="CA5">
        <f>SUMIFS(Dyno_Data[AZTime], Dyno_Data[Team],TBA_Matches_All[[#This Row],[Team]],Dyno_Data[Match],TBA_Matches_All[[#This Row],[Match_Number]],Dyno_Data[RecordType],"EndMatch")</f>
        <v>140.87144480000001</v>
      </c>
      <c r="CB5">
        <f>SUMIFS(Dyno_Data[ClimbT], Dyno_Data[Team],TBA_Matches_All[[#This Row],[Team]],Dyno_Data[Match],TBA_Matches_All[[#This Row],[Match_Number]],Dyno_Data[RecordType],"EndMatch")</f>
        <v>0</v>
      </c>
      <c r="CC5" t="str">
        <f>_xlfn.XLOOKUP(SUM(MID(TBA_Matches_All[[#This Row],[Team]],4,5),(TBA_Matches_All[[#This Row],[Match_Number]]/100)),Dyno_EndMatch[teammat],Dyno_EndMatch[StageStat],"_",0,1)</f>
        <v>Else</v>
      </c>
      <c r="CD5" t="str">
        <f>_xlfn.XLOOKUP(TBA_Matches_All[[#This Row],[teammat]],Dyno_EndMatch[teammat],Dyno_EndMatch[StageAtt],"_",0,1)</f>
        <v>0</v>
      </c>
      <c r="CE5" t="str">
        <f>_xlfn.XLOOKUP(TBA_Matches_All[[#This Row],[teammat]],Dyno_EndMatch[teammat],Dyno_EndMatch[StageLoc],"_",0,1)</f>
        <v>A</v>
      </c>
      <c r="CF5">
        <f>SUMIFS(Dyno_Data[Harmony], Dyno_Data[Team],TBA_Matches_All[[#This Row],[Team]],Dyno_Data[Match],TBA_Matches_All[[#This Row],[Match_Number]],Dyno_Data[RecordType],"EndMatch", Dyno_Data[StageStat],"On",Dyno_Data[Harmony],"&lt;&gt;9")</f>
        <v>0</v>
      </c>
      <c r="CG5">
        <f>SUMIFS(Dyno_Data[Spotlit], Dyno_Data[Team],TBA_Matches_All[[#This Row],[Team]],Dyno_Data[Match],TBA_Matches_All[[#This Row],[Match_Number]],Dyno_Data[RecordType],"EndMatch", Dyno_Data[StageStat],"On",Dyno_Data[Spotlit],"&lt;&gt;9")</f>
        <v>0</v>
      </c>
      <c r="CH5" t="str">
        <f>_xlfn.XLOOKUP(TBA_Matches_All[[#This Row],[teammat]],Dyno_EndMatch[teammat],Dyno_EndMatch[Strategy],"_",0,1)</f>
        <v>None</v>
      </c>
      <c r="CI5">
        <f>SUMIFS(Dyno_Data[Defense], Dyno_Data[Team],TBA_Matches_All[[#This Row],[Team]],Dyno_Data[Match],TBA_Matches_All[[#This Row],[Match_Number]],Dyno_Data[RecordType],"EndMatch",Dyno_Data[Defense],"&lt;&gt;9")</f>
        <v>0</v>
      </c>
      <c r="CJ5">
        <f>SUMIFS(Dyno_Data[Avoidance], Dyno_Data[Team],TBA_Matches_All[[#This Row],[Team]],Dyno_Data[Match],TBA_Matches_All[[#This Row],[Match_Number]],Dyno_Data[RecordType],"EndMatch",Dyno_Data[Avoidance],"&lt;&gt;9")</f>
        <v>0</v>
      </c>
      <c r="CK5" s="82">
        <f>COUNTIF($H$2:TBA_Matches_All[[#This Row],[Team]],TBA_Matches_All[[#This Row],[Team]])</f>
        <v>1</v>
      </c>
      <c r="CL5" s="111">
        <f>SUM(MID(TBA_Matches_All[[#This Row],[Team]],4,5)+TBA_Matches_All[[#This Row],[Match_Number]]/100)</f>
        <v>229.01</v>
      </c>
      <c r="CM5">
        <f>SUM((TBA_Matches_All[[#This Row],[Leave]]*2)+(TBA_Matches_All[[#This Row],[AampT]]*2)+(TBA_Matches_All[[#This Row],[AspkrT]]*5)+(TBA_Matches_All[[#This Row],[AtrapT]]*5))</f>
        <v>0</v>
      </c>
      <c r="CN5" s="59">
        <f>IFERROR(SUM(TBA_Matches_All[[#This Row],[AptsT]]/TBA_Matches_All[[#This Row],[AutoPts]]),0)</f>
        <v>0</v>
      </c>
      <c r="CO5" s="59">
        <f>IFERROR(SUM(TBA_Matches_All[[#This Row],[AampT]]+TBA_Matches_All[[#This Row],[AspkrT]]+TBA_Matches_All[[#This Row],[AtrapT]]/TBA_Matches_All[[#This Row],[Aamp]]+TBA_Matches_All[[#This Row],[Aspkr]]+TBA_Matches_All[[#This Row],[AtrapT]]),0)</f>
        <v>0</v>
      </c>
      <c r="CP5" s="59">
        <f>IFERROR(SUM(TBA_Matches_All[[#This Row],[TampT]]/TBA_Matches_All[[#This Row],[Tamp]]),0)</f>
        <v>0</v>
      </c>
      <c r="CQ5" s="59">
        <f>IFERROR(SUM(TBA_Matches_All[[#This Row],[TspkrT]]/TBA_Matches_All[[#This Row],[Tspkr]]),0)</f>
        <v>0</v>
      </c>
      <c r="CR5">
        <f>SUM(TBA_Matches_All[[#This Row],[TspkrPts]]*TBA_Matches_All[[#This Row],[TspkrP]])</f>
        <v>0</v>
      </c>
      <c r="CS5" s="59">
        <f>IFERROR(SUM(TBA_Matches_All[[#This Row],[TtrapT]]/TBA_Matches_All[[#This Row],[Trap]]),0)</f>
        <v>0</v>
      </c>
      <c r="CT5" s="59">
        <f>IFERROR(SUM(TBA_Matches_All[[#This Row],[TotNotesT]]/TBA_Matches_All[[#This Row],[TotNotes]]),0)</f>
        <v>0</v>
      </c>
      <c r="CU5" s="66">
        <f>SUM((TBA_Matches_All[[#This Row],[AampT]]*2)+(TBA_Matches_All[[#This Row],[AspkrT]]*5)+(TBA_Matches_All[[#This Row],[AtrapT]]*5)+(TBA_Matches_All[[#This Row],[TampT]]*1)+(TBA_Matches_All[[#This Row],[TspkrptsC]]))</f>
        <v>0</v>
      </c>
      <c r="CV5" s="59">
        <f>IFERROR(TBA_Matches_All[[#This Row],[noteptsT]]/TBA_Matches_All[[#This Row],[NotePts]],0)</f>
        <v>0</v>
      </c>
      <c r="CW5">
        <f>SUM(IF(TBA_Matches_All[[#This Row],[stageStat]]="On",3,0),IF(TBA_Matches_All[[#This Row],[stageStat]]="Park",1,0),SUMIFS(TBA_Matches_All[[#This Row],[Spotlit]],TBA_Matches_All[[#This Row],[stageStat]],"On"),SUMIFS(TBA_Matches_All[[#This Row],[Harmony]],TBA_Matches_All[[#This Row],[stageStat]],"On"))</f>
        <v>0</v>
      </c>
      <c r="CX5" s="59">
        <f>IFERROR(TBA_Matches_All[[#This Row],[stageptsT]]/TBA_Matches_All[[#This Row],[StagePts]],0)</f>
        <v>0</v>
      </c>
      <c r="CY5">
        <f>SUM((TBA_Matches_All[[#This Row],[AptsT]]+TBA_Matches_All[[#This Row],[TampT]]+TBA_Matches_All[[#This Row],[TspkrptsC]]+(TBA_Matches_All[[#This Row],[TtrapT]]*5)+TBA_Matches_All[[#This Row],[stageptsT]]))</f>
        <v>0</v>
      </c>
      <c r="CZ5" s="59">
        <f>IFERROR(SUM(TBA_Matches_All[[#This Row],[TotptsC]]/TBA_Matches_All[[#This Row],[Score]]),0)</f>
        <v>0</v>
      </c>
      <c r="DA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5" s="74">
        <f>SUMIFS(TBA_Matches_All[AveTeamTNoteDels],TBA_Matches_All[Match_Number],TBA_Matches_All[[#This Row],[Match_Number]],TBA_Matches_All[Alliance],"&lt;&gt;"&amp;TBA_Matches_All[[#This Row],[Alliance]],TBA_Matches_All[Scouted],"&gt;0")</f>
        <v>12.3</v>
      </c>
      <c r="DC5" s="74">
        <f>(TBA_Matches_All[[#This Row],[TampT]]+TBA_Matches_All[[#This Row],[TspkrptsC]])-TBA_Matches_All[[#This Row],[AveTeamTNoteDels]]</f>
        <v>0</v>
      </c>
      <c r="DD5" s="74">
        <f>SUMIFS(TBA_Matches_All[AveTeamTNoteDels],TBA_Matches_All[Match_Number],TBA_Matches_All[[#This Row],[Match_Number]],TBA_Matches_All[Alliance],"&lt;&gt;"&amp;TBA_Matches_All[[#This Row],[Alliance]])-TBA_Matches_All[[#This Row],[AveOppTNoteDels]]</f>
        <v>0</v>
      </c>
    </row>
    <row r="6" spans="1:108" x14ac:dyDescent="0.3">
      <c r="A6" t="s">
        <v>1042</v>
      </c>
      <c r="B6" t="s">
        <v>489</v>
      </c>
      <c r="C6" t="s">
        <v>1274</v>
      </c>
      <c r="D6">
        <v>1</v>
      </c>
      <c r="E6" t="s">
        <v>1406</v>
      </c>
      <c r="F6" t="s">
        <v>1424</v>
      </c>
      <c r="G6" t="s">
        <v>1409</v>
      </c>
      <c r="H6" t="s">
        <v>1279</v>
      </c>
      <c r="I6" t="b">
        <v>1</v>
      </c>
      <c r="J6">
        <v>32</v>
      </c>
      <c r="K6">
        <v>0</v>
      </c>
      <c r="L6">
        <v>0</v>
      </c>
      <c r="M6">
        <v>0</v>
      </c>
      <c r="N6">
        <v>0</v>
      </c>
      <c r="O6">
        <v>0</v>
      </c>
      <c r="P6">
        <v>0</v>
      </c>
      <c r="Q6">
        <v>6</v>
      </c>
      <c r="R6">
        <v>4</v>
      </c>
      <c r="S6">
        <v>1</v>
      </c>
      <c r="T6">
        <v>4</v>
      </c>
      <c r="U6">
        <v>5</v>
      </c>
      <c r="V6">
        <v>8</v>
      </c>
      <c r="W6">
        <v>5</v>
      </c>
      <c r="X6">
        <v>13</v>
      </c>
      <c r="Y6">
        <v>17</v>
      </c>
      <c r="Z6">
        <v>0</v>
      </c>
      <c r="AA6">
        <v>0</v>
      </c>
      <c r="AB6">
        <v>9</v>
      </c>
      <c r="AC6">
        <v>17</v>
      </c>
      <c r="AD6">
        <v>4</v>
      </c>
      <c r="AE6">
        <f>IFERROR(6/(COUNTIF(Dyno_EndMatch[Match],TBA_Matches_All[[#This Row],[Match_Number]])),0)</f>
        <v>0.8571428571428571</v>
      </c>
      <c r="AF6">
        <f>COUNTIFS(Dyno_Data[Team],TBA_Matches_All[[#This Row],[Team]],Dyno_Data[Match],TBA_Matches_All[[#This Row],[Match_Number]],Dyno_Data[RecordType],"EndMatch",Dyno_Data[HPAmp],"Y")</f>
        <v>0</v>
      </c>
      <c r="AG6">
        <f>SUMIFS(Dyno_Data[Mics], Dyno_Data[Team],TBA_Matches_All[[#This Row],[Team]],Dyno_Data[Match],TBA_Matches_All[[#This Row],[Match_Number]],Dyno_Data[RecordType],"EndMatch",Dyno_Data[HPAmp],"Y")</f>
        <v>0</v>
      </c>
      <c r="AH6">
        <f>SUMIFS(Dyno_Data[Leave], Dyno_Data[Team],TBA_Matches_All[[#This Row],[Team]],Dyno_Data[Match],TBA_Matches_All[[#This Row],[Match_Number]],Dyno_Data[RecordType],"EndAuto")</f>
        <v>1</v>
      </c>
      <c r="AI6">
        <f>COUNTIFS(Dyno_Data[Team],TBA_Matches_All[[#This Row],[Team]],Dyno_Data[Match],TBA_Matches_All[[#This Row],[Match_Number]],Dyno_Data[RecordType],"Activities",Dyno_Data[DelDest],"Amp", Dyno_Data[DelMiss],"0", Dyno_Data[Mode],"Auto")</f>
        <v>0</v>
      </c>
      <c r="AJ6">
        <f>COUNTIFS(Dyno_Data[Team],TBA_Matches_All[[#This Row],[Team]],Dyno_Data[Match],TBA_Matches_All[[#This Row],[Match_Number]],Dyno_Data[RecordType],"Activities",Dyno_Data[DelDest],"Spkr", Dyno_Data[DelMiss],"0", Dyno_Data[Mode],"Auto")</f>
        <v>0</v>
      </c>
      <c r="AK6">
        <f>COUNTIFS(Dyno_Data[Team],TBA_Matches_All[[#This Row],[Team]],Dyno_Data[Match],TBA_Matches_All[[#This Row],[Match_Number]],Dyno_Data[RecordType],"Activities",Dyno_Data[DelDest],"Trap", Dyno_Data[DelMiss],"0", Dyno_Data[Mode],"Auto")</f>
        <v>0</v>
      </c>
      <c r="AL6">
        <f>COUNTIFS(Dyno_Data[Team],TBA_Matches_All[[#This Row],[Team]],Dyno_Data[Match],TBA_Matches_All[[#This Row],[Match_Number]],Dyno_Data[RecordType],"Activities",Dyno_Data[DelDest],"Amp", Dyno_Data[DelMiss],"0", Dyno_Data[Mode],"Teleop")</f>
        <v>0</v>
      </c>
      <c r="AM6">
        <f>COUNTIFS(Dyno_Data[Team],TBA_Matches_All[[#This Row],[Team]],Dyno_Data[Match],TBA_Matches_All[[#This Row],[Match_Number]],Dyno_Data[RecordType],"Activities",Dyno_Data[DelDest],"Spkr", Dyno_Data[DelMiss],"0", Dyno_Data[Mode],"Teleop")</f>
        <v>0</v>
      </c>
      <c r="AN6">
        <f>COUNTIFS(Dyno_Data[Team],TBA_Matches_All[[#This Row],[Team]],Dyno_Data[Match],TBA_Matches_All[[#This Row],[Match_Number]],Dyno_Data[RecordType],"Activities",Dyno_Data[DelDest],"Trap", Dyno_Data[DelMiss],"0", Dyno_Data[Mode],"&lt;&gt;Auto")</f>
        <v>0</v>
      </c>
      <c r="AO6">
        <f>SUM(TBA_Matches_All[[#This Row],[AampT]]+TBA_Matches_All[[#This Row],[AspkrT]]+TBA_Matches_All[[#This Row],[AtrapT]]+TBA_Matches_All[[#This Row],[TampT]]+TBA_Matches_All[[#This Row],[TspkrT]]+TBA_Matches_All[[#This Row],[TtrapT]])</f>
        <v>0</v>
      </c>
      <c r="AP6">
        <f>COUNTIFS(Dyno_Data[Team],TBA_Matches_All[[#This Row],[Team]],Dyno_Data[Match],TBA_Matches_All[[#This Row],[Match_Number]],Dyno_Data[RecordType],"Activities",Dyno_Data[DelDest],"Neut", Dyno_Data[DelMiss],"0")</f>
        <v>0</v>
      </c>
      <c r="AQ6">
        <f>COUNTIFS(Dyno_Data[Team],TBA_Matches_All[[#This Row],[Team]],Dyno_Data[Match],TBA_Matches_All[[#This Row],[Match_Number]],Dyno_Data[RecordType],"Activities",Dyno_Data[DelDest],"AllyW", Dyno_Data[DelMiss],"0")</f>
        <v>0</v>
      </c>
      <c r="AR6" t="str">
        <f>_xlfn.XLOOKUP(SUM(MID(TBA_Matches_All[[#This Row],[Team]],4,5),(TBA_Matches_All[[#This Row],[Match_Number]]/100)),Dyno_EndMatch[teammat],Dyno_EndMatch[RobotSta],"_",0,1)</f>
        <v>OppS</v>
      </c>
      <c r="AS6">
        <f>SUMIFS(Dyno_Data[AcqDis], Dyno_Data[Team],TBA_Matches_All[[#This Row],[Team]],Dyno_Data[Match],TBA_Matches_All[[#This Row],[Match_Number]],Dyno_Data[RecordType],"Activities", Dyno_Data[AcqCenter],1,Dyno_Data[Mode],"Auto")</f>
        <v>0</v>
      </c>
      <c r="AT6">
        <f>SUMIFS(Dyno_Data[AcqDis], Dyno_Data[Team],TBA_Matches_All[[#This Row],[Team]],Dyno_Data[Match],TBA_Matches_All[[#This Row],[Match_Number]],Dyno_Data[RecordType],"Activities", Dyno_Data[AcqCenter],2,Dyno_Data[Mode],"Auto")</f>
        <v>0</v>
      </c>
      <c r="AU6">
        <f>SUMIFS(Dyno_Data[AcqDis], Dyno_Data[Team],TBA_Matches_All[[#This Row],[Team]],Dyno_Data[Match],TBA_Matches_All[[#This Row],[Match_Number]],Dyno_Data[RecordType],"Activities", Dyno_Data[AcqCenter],3,Dyno_Data[Mode],"Auto")</f>
        <v>0</v>
      </c>
      <c r="AV6">
        <f>SUMIFS(Dyno_Data[AcqDis], Dyno_Data[Team],TBA_Matches_All[[#This Row],[Team]],Dyno_Data[Match],TBA_Matches_All[[#This Row],[Match_Number]],Dyno_Data[RecordType],"Activities", Dyno_Data[AcqCenter],4,Dyno_Data[Mode],"Auto")</f>
        <v>0</v>
      </c>
      <c r="AW6">
        <f>SUMIFS(Dyno_Data[AcqDis], Dyno_Data[Team],TBA_Matches_All[[#This Row],[Team]],Dyno_Data[Match],TBA_Matches_All[[#This Row],[Match_Number]],Dyno_Data[RecordType],"Activities", Dyno_Data[AcqCenter],5,Dyno_Data[Mode],"Auto")</f>
        <v>0</v>
      </c>
      <c r="AX6">
        <f>SUMIFS(Dyno_Data[DelMiss], Dyno_Data[Team],TBA_Matches_All[[#This Row],[Team]],Dyno_Data[Match],TBA_Matches_All[[#This Row],[Match_Number]],Dyno_Data[RecordType],"Activities", Dyno_Data[DelDest],"Amp")</f>
        <v>0</v>
      </c>
      <c r="AY6" s="60">
        <f>IFERROR(SUM((TBA_Matches_All[[#This Row],[AampT]]+TBA_Matches_All[[#This Row],[TampT]])/(TBA_Matches_All[[#This Row],[AampT]]+TBA_Matches_All[[#This Row],[TampT]]+TBA_Matches_All[[#This Row],[ampM]])),0)</f>
        <v>0</v>
      </c>
      <c r="AZ6">
        <f>SUMIFS(Dyno_Data[DelMiss], Dyno_Data[Team],TBA_Matches_All[[#This Row],[Team]],Dyno_Data[Match],TBA_Matches_All[[#This Row],[Match_Number]],Dyno_Data[RecordType],"Activities", Dyno_Data[DelDest],"Spkr")</f>
        <v>0</v>
      </c>
      <c r="BA6" s="60">
        <f>IFERROR(SUM((TBA_Matches_All[[#This Row],[AspkrT]]+TBA_Matches_All[[#This Row],[TspkrT]])/(TBA_Matches_All[[#This Row],[AspkrT]]+TBA_Matches_All[[#This Row],[TspkrT]]+TBA_Matches_All[[#This Row],[spkrM]])),0)</f>
        <v>0</v>
      </c>
      <c r="BB6">
        <f>SUMIFS(Dyno_Data[DelMiss], Dyno_Data[Team],TBA_Matches_All[[#This Row],[Team]],Dyno_Data[Match],TBA_Matches_All[[#This Row],[Match_Number]],Dyno_Data[RecordType],"Activities", Dyno_Data[DelDest],"Trap")</f>
        <v>0</v>
      </c>
      <c r="BC6" s="60">
        <f>IFERROR((TBA_Matches_All[[#This Row],[AtrapT]]+TBA_Matches_All[[#This Row],[TtrapT]])/(TBA_Matches_All[[#This Row],[AtrapT]]+TBA_Matches_All[[#This Row],[TtrapT]]+TBA_Matches_All[[#This Row],[trapM]]),0)</f>
        <v>0</v>
      </c>
      <c r="BD6">
        <f>COUNTIFS(Dyno_Data[Team],TBA_Matches_All[[#This Row],[Team]],Dyno_Data[Match],TBA_Matches_All[[#This Row],[Match_Number]],Dyno_Data[RecordType],"Activities",Dyno_Data[DelDest],"Neut", Dyno_Data[DelMiss],1)</f>
        <v>0</v>
      </c>
      <c r="BE6" s="60">
        <f>IFERROR(SUM((TBA_Matches_All[[#This Row],[NeutFlrT]])/(TBA_Matches_All[[#This Row],[NeutFlrT]]+TBA_Matches_All[[#This Row],[NZflM]])),0)</f>
        <v>0</v>
      </c>
      <c r="BF6">
        <f>COUNTIFS(Dyno_Data[Team],TBA_Matches_All[[#This Row],[Team]],Dyno_Data[Match],TBA_Matches_All[[#This Row],[Match_Number]],Dyno_Data[RecordType],"Activities",Dyno_Data[DelDest],"AllyW", Dyno_Data[DelMiss],1)</f>
        <v>0</v>
      </c>
      <c r="BG6" s="60">
        <f>IFERROR(SUM((TBA_Matches_All[[#This Row],[AllyWFlrT]])/(TBA_Matches_All[[#This Row],[AllyWFlrT]]+TBA_Matches_All[[#This Row],[AZflM]])),0)</f>
        <v>0</v>
      </c>
      <c r="BH6">
        <f>COUNTIFS(Dyno_Data[Team],TBA_Matches_All[[#This Row],[Team]],Dyno_Data[Match],TBA_Matches_All[[#This Row],[Match_Number]],Dyno_Data[RecordType],"Activities",Dyno_Data[DelOrig],"OppW", Dyno_Data[DelMiss],"0")</f>
        <v>0</v>
      </c>
      <c r="BI6">
        <f>COUNTIFS(Dyno_Data[Team],TBA_Matches_All[[#This Row],[Team]],Dyno_Data[Match],TBA_Matches_All[[#This Row],[Match_Number]],Dyno_Data[RecordType],"Activities",Dyno_Data[DelOrig],"OppW", Dyno_Data[DelMiss],"1")</f>
        <v>0</v>
      </c>
      <c r="BJ6" s="60">
        <f>IFERROR(SUM((TBA_Matches_All[[#This Row],[OZflrT]])/(TBA_Matches_All[[#This Row],[OZflrT]]+TBA_Matches_All[[#This Row],[OZflrM]])),0)</f>
        <v>0</v>
      </c>
      <c r="BK6">
        <f>COUNTIFS(Dyno_Data[Team],TBA_Matches_All[[#This Row],[Team]],Dyno_Data[Match],TBA_Matches_All[[#This Row],[Match_Number]],Dyno_Data[RecordType],"Activities",Dyno_Data[DelOrig],"Neut", Dyno_Data[DelMiss],"0")</f>
        <v>0</v>
      </c>
      <c r="BL6">
        <f>COUNTIFS(Dyno_Data[Team],TBA_Matches_All[[#This Row],[Team]],Dyno_Data[Match],TBA_Matches_All[[#This Row],[Match_Number]],Dyno_Data[RecordType],"Activities",Dyno_Data[DelOrig],"Neut", Dyno_Data[DelMiss],"1")</f>
        <v>0</v>
      </c>
      <c r="BM6" s="60">
        <f>IFERROR(SUM((TBA_Matches_All[[#This Row],[NZflrT]])/(TBA_Matches_All[[#This Row],[NZflrT]]+TBA_Matches_All[[#This Row],[NZflrM]])),0)</f>
        <v>0</v>
      </c>
      <c r="BN6">
        <f>COUNTIFS(Dyno_Data[Team],TBA_Matches_All[[#This Row],[Team]],Dyno_Data[Match],TBA_Matches_All[[#This Row],[Match_Number]],Dyno_Data[RecordType],"Activities",Dyno_Data[DelOrig],"AllyW", Dyno_Data[DelMiss],"0")</f>
        <v>0</v>
      </c>
      <c r="BO6">
        <f>COUNTIFS(Dyno_Data[Team],TBA_Matches_All[[#This Row],[Team]],Dyno_Data[Match],TBA_Matches_All[[#This Row],[Match_Number]],Dyno_Data[RecordType],"Activities",Dyno_Data[DelOrig],"AllyW", Dyno_Data[DelMiss],"1")</f>
        <v>0</v>
      </c>
      <c r="BP6" s="60">
        <f>IFERROR(SUM((TBA_Matches_All[[#This Row],[AZflrT]])/(TBA_Matches_All[[#This Row],[AZflrT]]+TBA_Matches_All[[#This Row],[AZflrM]])),0)</f>
        <v>0</v>
      </c>
      <c r="BQ6">
        <f>COUNTIFS(Dyno_Data[Team],TBA_Matches_All[[#This Row],[Team]],Dyno_Data[Match],TBA_Matches_All[[#This Row],[Match_Number]],Dyno_Data[RecordType],"Activities",Dyno_Data[DelOrig],"SubW", Dyno_Data[DelMiss],"0")</f>
        <v>0</v>
      </c>
      <c r="BR6">
        <f>COUNTIFS(Dyno_Data[Team],TBA_Matches_All[[#This Row],[Team]],Dyno_Data[Match],TBA_Matches_All[[#This Row],[Match_Number]],Dyno_Data[RecordType],"Activities",Dyno_Data[DelOrig],"SubW", Dyno_Data[DelMiss],"1")</f>
        <v>0</v>
      </c>
      <c r="BS6" s="60">
        <f>IFERROR(SUM((TBA_Matches_All[[#This Row],[SubwT]])/(TBA_Matches_All[[#This Row],[SubwT]]+TBA_Matches_All[[#This Row],[SubwM]])),0)</f>
        <v>0</v>
      </c>
      <c r="BT6">
        <f>COUNTIFS(Dyno_Data[Team],TBA_Matches_All[[#This Row],[Team]],Dyno_Data[Match],TBA_Matches_All[[#This Row],[Match_Number]],Dyno_Data[RecordType],"Activities", Dyno_Data[AcqLoc],"OppWing")</f>
        <v>0</v>
      </c>
      <c r="BU6">
        <f>COUNTIFS(Dyno_Data[Team],TBA_Matches_All[[#This Row],[Team]],Dyno_Data[Match],TBA_Matches_All[[#This Row],[Match_Number]],Dyno_Data[RecordType],"Activities", Dyno_Data[AcqLoc],"Neutral")</f>
        <v>0</v>
      </c>
      <c r="BV6">
        <f>COUNTIFS(Dyno_Data[Team],TBA_Matches_All[[#This Row],[Team]],Dyno_Data[Match],TBA_Matches_All[[#This Row],[Match_Number]],Dyno_Data[RecordType],"Activities", Dyno_Data[AcqLoc],"AllyWing")</f>
        <v>0</v>
      </c>
      <c r="BW6">
        <f>COUNTIFS(Dyno_Data[Team],TBA_Matches_All[[#This Row],[Team]],Dyno_Data[Match],TBA_Matches_All[[#This Row],[Match_Number]],Dyno_Data[RecordType],"Activities", Dyno_Data[AcqLoc],"Source")</f>
        <v>0</v>
      </c>
      <c r="BX6">
        <f>SUMIFS(Dyno_Data[AcqDrp], Dyno_Data[Team],TBA_Matches_All[[#This Row],[Team]],Dyno_Data[Match],TBA_Matches_All[[#This Row],[Match_Number]],Dyno_Data[RecordType],"Activities", Dyno_Data[AcqLoc],"Source")</f>
        <v>0</v>
      </c>
      <c r="BY6">
        <f>SUMIFS(Dyno_Data[OZTime], Dyno_Data[Team],TBA_Matches_All[[#This Row],[Team]],Dyno_Data[Match],TBA_Matches_All[[#This Row],[Match_Number]],Dyno_Data[RecordType],"EndMatch")</f>
        <v>0</v>
      </c>
      <c r="BZ6">
        <f>SUMIFS(Dyno_Data[NZTime], Dyno_Data[Team],TBA_Matches_All[[#This Row],[Team]],Dyno_Data[Match],TBA_Matches_All[[#This Row],[Match_Number]],Dyno_Data[RecordType],"EndMatch")</f>
        <v>43.168610799999996</v>
      </c>
      <c r="CA6">
        <f>SUMIFS(Dyno_Data[AZTime], Dyno_Data[Team],TBA_Matches_All[[#This Row],[Team]],Dyno_Data[Match],TBA_Matches_All[[#This Row],[Match_Number]],Dyno_Data[RecordType],"EndMatch")</f>
        <v>92.502711300000001</v>
      </c>
      <c r="CB6">
        <f>SUMIFS(Dyno_Data[ClimbT], Dyno_Data[Team],TBA_Matches_All[[#This Row],[Team]],Dyno_Data[Match],TBA_Matches_All[[#This Row],[Match_Number]],Dyno_Data[RecordType],"EndMatch")</f>
        <v>0</v>
      </c>
      <c r="CC6" t="str">
        <f>_xlfn.XLOOKUP(SUM(MID(TBA_Matches_All[[#This Row],[Team]],4,5),(TBA_Matches_All[[#This Row],[Match_Number]]/100)),Dyno_EndMatch[teammat],Dyno_EndMatch[StageStat],"_",0,1)</f>
        <v>Else</v>
      </c>
      <c r="CD6" t="str">
        <f>_xlfn.XLOOKUP(TBA_Matches_All[[#This Row],[teammat]],Dyno_EndMatch[teammat],Dyno_EndMatch[StageAtt],"_",0,1)</f>
        <v>0</v>
      </c>
      <c r="CE6" t="str">
        <f>_xlfn.XLOOKUP(TBA_Matches_All[[#This Row],[teammat]],Dyno_EndMatch[teammat],Dyno_EndMatch[StageLoc],"_",0,1)</f>
        <v>A</v>
      </c>
      <c r="CF6">
        <f>SUMIFS(Dyno_Data[Harmony], Dyno_Data[Team],TBA_Matches_All[[#This Row],[Team]],Dyno_Data[Match],TBA_Matches_All[[#This Row],[Match_Number]],Dyno_Data[RecordType],"EndMatch", Dyno_Data[StageStat],"On",Dyno_Data[Harmony],"&lt;&gt;9")</f>
        <v>0</v>
      </c>
      <c r="CG6">
        <f>SUMIFS(Dyno_Data[Spotlit], Dyno_Data[Team],TBA_Matches_All[[#This Row],[Team]],Dyno_Data[Match],TBA_Matches_All[[#This Row],[Match_Number]],Dyno_Data[RecordType],"EndMatch", Dyno_Data[StageStat],"On",Dyno_Data[Spotlit],"&lt;&gt;9")</f>
        <v>0</v>
      </c>
      <c r="CH6" t="str">
        <f>_xlfn.XLOOKUP(TBA_Matches_All[[#This Row],[teammat]],Dyno_EndMatch[teammat],Dyno_EndMatch[Strategy],"_",0,1)</f>
        <v>Defense</v>
      </c>
      <c r="CI6">
        <f>SUMIFS(Dyno_Data[Defense], Dyno_Data[Team],TBA_Matches_All[[#This Row],[Team]],Dyno_Data[Match],TBA_Matches_All[[#This Row],[Match_Number]],Dyno_Data[RecordType],"EndMatch",Dyno_Data[Defense],"&lt;&gt;9")</f>
        <v>3</v>
      </c>
      <c r="CJ6">
        <f>SUMIFS(Dyno_Data[Avoidance], Dyno_Data[Team],TBA_Matches_All[[#This Row],[Team]],Dyno_Data[Match],TBA_Matches_All[[#This Row],[Match_Number]],Dyno_Data[RecordType],"EndMatch",Dyno_Data[Avoidance],"&lt;&gt;9")</f>
        <v>0</v>
      </c>
      <c r="CK6" s="82">
        <f>COUNTIF($H$2:TBA_Matches_All[[#This Row],[Team]],TBA_Matches_All[[#This Row],[Team]])</f>
        <v>1</v>
      </c>
      <c r="CL6" s="111">
        <f>SUM(MID(TBA_Matches_All[[#This Row],[Team]],4,5)+TBA_Matches_All[[#This Row],[Match_Number]]/100)</f>
        <v>5149.01</v>
      </c>
      <c r="CM6">
        <f>SUM((TBA_Matches_All[[#This Row],[Leave]]*2)+(TBA_Matches_All[[#This Row],[AampT]]*2)+(TBA_Matches_All[[#This Row],[AspkrT]]*5)+(TBA_Matches_All[[#This Row],[AtrapT]]*5))</f>
        <v>2</v>
      </c>
      <c r="CN6" s="59">
        <f>IFERROR(SUM(TBA_Matches_All[[#This Row],[AptsT]]/TBA_Matches_All[[#This Row],[AutoPts]]),0)</f>
        <v>0.33333333333333331</v>
      </c>
      <c r="CO6" s="59">
        <f>IFERROR(SUM(TBA_Matches_All[[#This Row],[AampT]]+TBA_Matches_All[[#This Row],[AspkrT]]+TBA_Matches_All[[#This Row],[AtrapT]]/TBA_Matches_All[[#This Row],[Aamp]]+TBA_Matches_All[[#This Row],[Aspkr]]+TBA_Matches_All[[#This Row],[AtrapT]]),0)</f>
        <v>0</v>
      </c>
      <c r="CP6" s="59">
        <f>IFERROR(SUM(TBA_Matches_All[[#This Row],[TampT]]/TBA_Matches_All[[#This Row],[Tamp]]),0)</f>
        <v>0</v>
      </c>
      <c r="CQ6" s="59">
        <f>IFERROR(SUM(TBA_Matches_All[[#This Row],[TspkrT]]/TBA_Matches_All[[#This Row],[Tspkr]]),0)</f>
        <v>0</v>
      </c>
      <c r="CR6">
        <f>SUM(TBA_Matches_All[[#This Row],[TspkrPts]]*TBA_Matches_All[[#This Row],[TspkrP]])</f>
        <v>0</v>
      </c>
      <c r="CS6" s="59">
        <f>IFERROR(SUM(TBA_Matches_All[[#This Row],[TtrapT]]/TBA_Matches_All[[#This Row],[Trap]]),0)</f>
        <v>0</v>
      </c>
      <c r="CT6" s="59">
        <f>IFERROR(SUM(TBA_Matches_All[[#This Row],[TotNotesT]]/TBA_Matches_All[[#This Row],[TotNotes]]),0)</f>
        <v>0</v>
      </c>
      <c r="CU6" s="66">
        <f>SUM((TBA_Matches_All[[#This Row],[AampT]]*2)+(TBA_Matches_All[[#This Row],[AspkrT]]*5)+(TBA_Matches_All[[#This Row],[AtrapT]]*5)+(TBA_Matches_All[[#This Row],[TampT]]*1)+(TBA_Matches_All[[#This Row],[TspkrptsC]]))</f>
        <v>0</v>
      </c>
      <c r="CV6" s="59">
        <f>IFERROR(TBA_Matches_All[[#This Row],[noteptsT]]/TBA_Matches_All[[#This Row],[NotePts]],0)</f>
        <v>0</v>
      </c>
      <c r="CW6">
        <f>SUM(IF(TBA_Matches_All[[#This Row],[stageStat]]="On",3,0),IF(TBA_Matches_All[[#This Row],[stageStat]]="Park",1,0),SUMIFS(TBA_Matches_All[[#This Row],[Spotlit]],TBA_Matches_All[[#This Row],[stageStat]],"On"),SUMIFS(TBA_Matches_All[[#This Row],[Harmony]],TBA_Matches_All[[#This Row],[stageStat]],"On"))</f>
        <v>0</v>
      </c>
      <c r="CX6" s="59">
        <f>IFERROR(TBA_Matches_All[[#This Row],[stageptsT]]/TBA_Matches_All[[#This Row],[StagePts]],0)</f>
        <v>0</v>
      </c>
      <c r="CY6">
        <f>SUM((TBA_Matches_All[[#This Row],[AptsT]]+TBA_Matches_All[[#This Row],[TampT]]+TBA_Matches_All[[#This Row],[TspkrptsC]]+(TBA_Matches_All[[#This Row],[TtrapT]]*5)+TBA_Matches_All[[#This Row],[stageptsT]]))</f>
        <v>2</v>
      </c>
      <c r="CZ6" s="59">
        <f>IFERROR(SUM(TBA_Matches_All[[#This Row],[TotptsC]]/TBA_Matches_All[[#This Row],[Score]]),0)</f>
        <v>6.25E-2</v>
      </c>
      <c r="DA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6" s="74">
        <f>SUMIFS(TBA_Matches_All[AveTeamTNoteDels],TBA_Matches_All[Match_Number],TBA_Matches_All[[#This Row],[Match_Number]],TBA_Matches_All[Alliance],"&lt;&gt;"&amp;TBA_Matches_All[[#This Row],[Alliance]],TBA_Matches_All[Scouted],"&gt;0")</f>
        <v>16.36839826839827</v>
      </c>
      <c r="DC6" s="74">
        <f>(TBA_Matches_All[[#This Row],[TampT]]+TBA_Matches_All[[#This Row],[TspkrptsC]])-TBA_Matches_All[[#This Row],[AveTeamTNoteDels]]</f>
        <v>0</v>
      </c>
      <c r="DD6" s="74">
        <f>SUMIFS(TBA_Matches_All[AveTeamTNoteDels],TBA_Matches_All[Match_Number],TBA_Matches_All[[#This Row],[Match_Number]],TBA_Matches_All[Alliance],"&lt;&gt;"&amp;TBA_Matches_All[[#This Row],[Alliance]])-TBA_Matches_All[[#This Row],[AveOppTNoteDels]]</f>
        <v>0</v>
      </c>
    </row>
    <row r="7" spans="1:108" x14ac:dyDescent="0.3">
      <c r="A7" t="s">
        <v>1042</v>
      </c>
      <c r="B7" t="s">
        <v>489</v>
      </c>
      <c r="C7" t="s">
        <v>1274</v>
      </c>
      <c r="D7">
        <v>1</v>
      </c>
      <c r="E7" t="s">
        <v>1420</v>
      </c>
      <c r="F7" t="s">
        <v>1425</v>
      </c>
      <c r="G7" t="s">
        <v>105</v>
      </c>
      <c r="H7" t="s">
        <v>1275</v>
      </c>
      <c r="I7" t="b">
        <v>1</v>
      </c>
      <c r="J7">
        <v>41</v>
      </c>
      <c r="K7">
        <v>0</v>
      </c>
      <c r="L7">
        <v>0</v>
      </c>
      <c r="M7">
        <v>5</v>
      </c>
      <c r="N7">
        <v>0</v>
      </c>
      <c r="O7">
        <v>3</v>
      </c>
      <c r="P7">
        <v>15</v>
      </c>
      <c r="Q7">
        <v>17</v>
      </c>
      <c r="R7">
        <v>5</v>
      </c>
      <c r="S7">
        <v>3</v>
      </c>
      <c r="T7">
        <v>1</v>
      </c>
      <c r="U7">
        <v>15</v>
      </c>
      <c r="V7">
        <v>2</v>
      </c>
      <c r="W7">
        <v>4</v>
      </c>
      <c r="X7">
        <v>17</v>
      </c>
      <c r="Y7">
        <v>22</v>
      </c>
      <c r="Z7">
        <v>0</v>
      </c>
      <c r="AA7">
        <v>0</v>
      </c>
      <c r="AB7">
        <v>12</v>
      </c>
      <c r="AC7">
        <v>37</v>
      </c>
      <c r="AD7">
        <v>2</v>
      </c>
      <c r="AE7">
        <f>IFERROR(6/(COUNTIF(Dyno_EndMatch[Match],TBA_Matches_All[[#This Row],[Match_Number]])),0)</f>
        <v>0.8571428571428571</v>
      </c>
      <c r="AF7">
        <f>COUNTIFS(Dyno_Data[Team],TBA_Matches_All[[#This Row],[Team]],Dyno_Data[Match],TBA_Matches_All[[#This Row],[Match_Number]],Dyno_Data[RecordType],"EndMatch",Dyno_Data[HPAmp],"Y")</f>
        <v>0</v>
      </c>
      <c r="AG7">
        <f>SUMIFS(Dyno_Data[Mics], Dyno_Data[Team],TBA_Matches_All[[#This Row],[Team]],Dyno_Data[Match],TBA_Matches_All[[#This Row],[Match_Number]],Dyno_Data[RecordType],"EndMatch",Dyno_Data[HPAmp],"Y")</f>
        <v>0</v>
      </c>
      <c r="AH7">
        <f>SUMIFS(Dyno_Data[Leave], Dyno_Data[Team],TBA_Matches_All[[#This Row],[Team]],Dyno_Data[Match],TBA_Matches_All[[#This Row],[Match_Number]],Dyno_Data[RecordType],"EndAuto")</f>
        <v>0</v>
      </c>
      <c r="AI7">
        <f>COUNTIFS(Dyno_Data[Team],TBA_Matches_All[[#This Row],[Team]],Dyno_Data[Match],TBA_Matches_All[[#This Row],[Match_Number]],Dyno_Data[RecordType],"Activities",Dyno_Data[DelDest],"Amp", Dyno_Data[DelMiss],"0", Dyno_Data[Mode],"Auto")</f>
        <v>0</v>
      </c>
      <c r="AJ7">
        <f>COUNTIFS(Dyno_Data[Team],TBA_Matches_All[[#This Row],[Team]],Dyno_Data[Match],TBA_Matches_All[[#This Row],[Match_Number]],Dyno_Data[RecordType],"Activities",Dyno_Data[DelDest],"Spkr", Dyno_Data[DelMiss],"0", Dyno_Data[Mode],"Auto")</f>
        <v>1</v>
      </c>
      <c r="AK7">
        <f>COUNTIFS(Dyno_Data[Team],TBA_Matches_All[[#This Row],[Team]],Dyno_Data[Match],TBA_Matches_All[[#This Row],[Match_Number]],Dyno_Data[RecordType],"Activities",Dyno_Data[DelDest],"Trap", Dyno_Data[DelMiss],"0", Dyno_Data[Mode],"Auto")</f>
        <v>0</v>
      </c>
      <c r="AL7">
        <f>COUNTIFS(Dyno_Data[Team],TBA_Matches_All[[#This Row],[Team]],Dyno_Data[Match],TBA_Matches_All[[#This Row],[Match_Number]],Dyno_Data[RecordType],"Activities",Dyno_Data[DelDest],"Amp", Dyno_Data[DelMiss],"0", Dyno_Data[Mode],"Teleop")</f>
        <v>1</v>
      </c>
      <c r="AM7">
        <f>COUNTIFS(Dyno_Data[Team],TBA_Matches_All[[#This Row],[Team]],Dyno_Data[Match],TBA_Matches_All[[#This Row],[Match_Number]],Dyno_Data[RecordType],"Activities",Dyno_Data[DelDest],"Spkr", Dyno_Data[DelMiss],"0", Dyno_Data[Mode],"Teleop")</f>
        <v>1</v>
      </c>
      <c r="AN7">
        <f>COUNTIFS(Dyno_Data[Team],TBA_Matches_All[[#This Row],[Team]],Dyno_Data[Match],TBA_Matches_All[[#This Row],[Match_Number]],Dyno_Data[RecordType],"Activities",Dyno_Data[DelDest],"Trap", Dyno_Data[DelMiss],"0", Dyno_Data[Mode],"&lt;&gt;Auto")</f>
        <v>0</v>
      </c>
      <c r="AO7">
        <f>SUM(TBA_Matches_All[[#This Row],[AampT]]+TBA_Matches_All[[#This Row],[AspkrT]]+TBA_Matches_All[[#This Row],[AtrapT]]+TBA_Matches_All[[#This Row],[TampT]]+TBA_Matches_All[[#This Row],[TspkrT]]+TBA_Matches_All[[#This Row],[TtrapT]])</f>
        <v>3</v>
      </c>
      <c r="AP7">
        <f>COUNTIFS(Dyno_Data[Team],TBA_Matches_All[[#This Row],[Team]],Dyno_Data[Match],TBA_Matches_All[[#This Row],[Match_Number]],Dyno_Data[RecordType],"Activities",Dyno_Data[DelDest],"Neut", Dyno_Data[DelMiss],"0")</f>
        <v>0</v>
      </c>
      <c r="AQ7">
        <f>COUNTIFS(Dyno_Data[Team],TBA_Matches_All[[#This Row],[Team]],Dyno_Data[Match],TBA_Matches_All[[#This Row],[Match_Number]],Dyno_Data[RecordType],"Activities",Dyno_Data[DelDest],"AllyW", Dyno_Data[DelMiss],"0")</f>
        <v>0</v>
      </c>
      <c r="AR7" t="str">
        <f>_xlfn.XLOOKUP(SUM(MID(TBA_Matches_All[[#This Row],[Team]],4,5),(TBA_Matches_All[[#This Row],[Match_Number]]/100)),Dyno_EndMatch[teammat],Dyno_EndMatch[RobotSta],"_",0,1)</f>
        <v>Podm</v>
      </c>
      <c r="AS7">
        <f>SUMIFS(Dyno_Data[AcqDis], Dyno_Data[Team],TBA_Matches_All[[#This Row],[Team]],Dyno_Data[Match],TBA_Matches_All[[#This Row],[Match_Number]],Dyno_Data[RecordType],"Activities", Dyno_Data[AcqCenter],1,Dyno_Data[Mode],"Auto")</f>
        <v>0</v>
      </c>
      <c r="AT7">
        <f>SUMIFS(Dyno_Data[AcqDis], Dyno_Data[Team],TBA_Matches_All[[#This Row],[Team]],Dyno_Data[Match],TBA_Matches_All[[#This Row],[Match_Number]],Dyno_Data[RecordType],"Activities", Dyno_Data[AcqCenter],2,Dyno_Data[Mode],"Auto")</f>
        <v>0</v>
      </c>
      <c r="AU7">
        <f>SUMIFS(Dyno_Data[AcqDis], Dyno_Data[Team],TBA_Matches_All[[#This Row],[Team]],Dyno_Data[Match],TBA_Matches_All[[#This Row],[Match_Number]],Dyno_Data[RecordType],"Activities", Dyno_Data[AcqCenter],3,Dyno_Data[Mode],"Auto")</f>
        <v>0</v>
      </c>
      <c r="AV7">
        <f>SUMIFS(Dyno_Data[AcqDis], Dyno_Data[Team],TBA_Matches_All[[#This Row],[Team]],Dyno_Data[Match],TBA_Matches_All[[#This Row],[Match_Number]],Dyno_Data[RecordType],"Activities", Dyno_Data[AcqCenter],4,Dyno_Data[Mode],"Auto")</f>
        <v>0</v>
      </c>
      <c r="AW7">
        <f>SUMIFS(Dyno_Data[AcqDis], Dyno_Data[Team],TBA_Matches_All[[#This Row],[Team]],Dyno_Data[Match],TBA_Matches_All[[#This Row],[Match_Number]],Dyno_Data[RecordType],"Activities", Dyno_Data[AcqCenter],5,Dyno_Data[Mode],"Auto")</f>
        <v>0</v>
      </c>
      <c r="AX7">
        <f>SUMIFS(Dyno_Data[DelMiss], Dyno_Data[Team],TBA_Matches_All[[#This Row],[Team]],Dyno_Data[Match],TBA_Matches_All[[#This Row],[Match_Number]],Dyno_Data[RecordType],"Activities", Dyno_Data[DelDest],"Amp")</f>
        <v>0</v>
      </c>
      <c r="AY7" s="60">
        <f>IFERROR(SUM((TBA_Matches_All[[#This Row],[AampT]]+TBA_Matches_All[[#This Row],[TampT]])/(TBA_Matches_All[[#This Row],[AampT]]+TBA_Matches_All[[#This Row],[TampT]]+TBA_Matches_All[[#This Row],[ampM]])),0)</f>
        <v>1</v>
      </c>
      <c r="AZ7">
        <f>SUMIFS(Dyno_Data[DelMiss], Dyno_Data[Team],TBA_Matches_All[[#This Row],[Team]],Dyno_Data[Match],TBA_Matches_All[[#This Row],[Match_Number]],Dyno_Data[RecordType],"Activities", Dyno_Data[DelDest],"Spkr")</f>
        <v>2</v>
      </c>
      <c r="BA7" s="60">
        <f>IFERROR(SUM((TBA_Matches_All[[#This Row],[AspkrT]]+TBA_Matches_All[[#This Row],[TspkrT]])/(TBA_Matches_All[[#This Row],[AspkrT]]+TBA_Matches_All[[#This Row],[TspkrT]]+TBA_Matches_All[[#This Row],[spkrM]])),0)</f>
        <v>0.5</v>
      </c>
      <c r="BB7">
        <f>SUMIFS(Dyno_Data[DelMiss], Dyno_Data[Team],TBA_Matches_All[[#This Row],[Team]],Dyno_Data[Match],TBA_Matches_All[[#This Row],[Match_Number]],Dyno_Data[RecordType],"Activities", Dyno_Data[DelDest],"Trap")</f>
        <v>0</v>
      </c>
      <c r="BC7" s="60">
        <f>IFERROR((TBA_Matches_All[[#This Row],[AtrapT]]+TBA_Matches_All[[#This Row],[TtrapT]])/(TBA_Matches_All[[#This Row],[AtrapT]]+TBA_Matches_All[[#This Row],[TtrapT]]+TBA_Matches_All[[#This Row],[trapM]]),0)</f>
        <v>0</v>
      </c>
      <c r="BD7">
        <f>COUNTIFS(Dyno_Data[Team],TBA_Matches_All[[#This Row],[Team]],Dyno_Data[Match],TBA_Matches_All[[#This Row],[Match_Number]],Dyno_Data[RecordType],"Activities",Dyno_Data[DelDest],"Neut", Dyno_Data[DelMiss],1)</f>
        <v>0</v>
      </c>
      <c r="BE7" s="60">
        <f>IFERROR(SUM((TBA_Matches_All[[#This Row],[NeutFlrT]])/(TBA_Matches_All[[#This Row],[NeutFlrT]]+TBA_Matches_All[[#This Row],[NZflM]])),0)</f>
        <v>0</v>
      </c>
      <c r="BF7">
        <f>COUNTIFS(Dyno_Data[Team],TBA_Matches_All[[#This Row],[Team]],Dyno_Data[Match],TBA_Matches_All[[#This Row],[Match_Number]],Dyno_Data[RecordType],"Activities",Dyno_Data[DelDest],"AllyW", Dyno_Data[DelMiss],1)</f>
        <v>0</v>
      </c>
      <c r="BG7" s="60">
        <f>IFERROR(SUM((TBA_Matches_All[[#This Row],[AllyWFlrT]])/(TBA_Matches_All[[#This Row],[AllyWFlrT]]+TBA_Matches_All[[#This Row],[AZflM]])),0)</f>
        <v>0</v>
      </c>
      <c r="BH7">
        <f>COUNTIFS(Dyno_Data[Team],TBA_Matches_All[[#This Row],[Team]],Dyno_Data[Match],TBA_Matches_All[[#This Row],[Match_Number]],Dyno_Data[RecordType],"Activities",Dyno_Data[DelOrig],"OppW", Dyno_Data[DelMiss],"0")</f>
        <v>0</v>
      </c>
      <c r="BI7">
        <f>COUNTIFS(Dyno_Data[Team],TBA_Matches_All[[#This Row],[Team]],Dyno_Data[Match],TBA_Matches_All[[#This Row],[Match_Number]],Dyno_Data[RecordType],"Activities",Dyno_Data[DelOrig],"OppW", Dyno_Data[DelMiss],"1")</f>
        <v>0</v>
      </c>
      <c r="BJ7" s="60">
        <f>IFERROR(SUM((TBA_Matches_All[[#This Row],[OZflrT]])/(TBA_Matches_All[[#This Row],[OZflrT]]+TBA_Matches_All[[#This Row],[OZflrM]])),0)</f>
        <v>0</v>
      </c>
      <c r="BK7">
        <f>COUNTIFS(Dyno_Data[Team],TBA_Matches_All[[#This Row],[Team]],Dyno_Data[Match],TBA_Matches_All[[#This Row],[Match_Number]],Dyno_Data[RecordType],"Activities",Dyno_Data[DelOrig],"Neut", Dyno_Data[DelMiss],"0")</f>
        <v>0</v>
      </c>
      <c r="BL7">
        <f>COUNTIFS(Dyno_Data[Team],TBA_Matches_All[[#This Row],[Team]],Dyno_Data[Match],TBA_Matches_All[[#This Row],[Match_Number]],Dyno_Data[RecordType],"Activities",Dyno_Data[DelOrig],"Neut", Dyno_Data[DelMiss],"1")</f>
        <v>0</v>
      </c>
      <c r="BM7" s="60">
        <f>IFERROR(SUM((TBA_Matches_All[[#This Row],[NZflrT]])/(TBA_Matches_All[[#This Row],[NZflrT]]+TBA_Matches_All[[#This Row],[NZflrM]])),0)</f>
        <v>0</v>
      </c>
      <c r="BN7">
        <f>COUNTIFS(Dyno_Data[Team],TBA_Matches_All[[#This Row],[Team]],Dyno_Data[Match],TBA_Matches_All[[#This Row],[Match_Number]],Dyno_Data[RecordType],"Activities",Dyno_Data[DelOrig],"AllyW", Dyno_Data[DelMiss],"0")</f>
        <v>3</v>
      </c>
      <c r="BO7">
        <f>COUNTIFS(Dyno_Data[Team],TBA_Matches_All[[#This Row],[Team]],Dyno_Data[Match],TBA_Matches_All[[#This Row],[Match_Number]],Dyno_Data[RecordType],"Activities",Dyno_Data[DelOrig],"AllyW", Dyno_Data[DelMiss],"1")</f>
        <v>0</v>
      </c>
      <c r="BP7" s="60">
        <f>IFERROR(SUM((TBA_Matches_All[[#This Row],[AZflrT]])/(TBA_Matches_All[[#This Row],[AZflrT]]+TBA_Matches_All[[#This Row],[AZflrM]])),0)</f>
        <v>1</v>
      </c>
      <c r="BQ7">
        <f>COUNTIFS(Dyno_Data[Team],TBA_Matches_All[[#This Row],[Team]],Dyno_Data[Match],TBA_Matches_All[[#This Row],[Match_Number]],Dyno_Data[RecordType],"Activities",Dyno_Data[DelOrig],"SubW", Dyno_Data[DelMiss],"0")</f>
        <v>0</v>
      </c>
      <c r="BR7">
        <f>COUNTIFS(Dyno_Data[Team],TBA_Matches_All[[#This Row],[Team]],Dyno_Data[Match],TBA_Matches_All[[#This Row],[Match_Number]],Dyno_Data[RecordType],"Activities",Dyno_Data[DelOrig],"SubW", Dyno_Data[DelMiss],"1")</f>
        <v>2</v>
      </c>
      <c r="BS7" s="60">
        <f>IFERROR(SUM((TBA_Matches_All[[#This Row],[SubwT]])/(TBA_Matches_All[[#This Row],[SubwT]]+TBA_Matches_All[[#This Row],[SubwM]])),0)</f>
        <v>0</v>
      </c>
      <c r="BT7">
        <f>COUNTIFS(Dyno_Data[Team],TBA_Matches_All[[#This Row],[Team]],Dyno_Data[Match],TBA_Matches_All[[#This Row],[Match_Number]],Dyno_Data[RecordType],"Activities", Dyno_Data[AcqLoc],"OppWing")</f>
        <v>0</v>
      </c>
      <c r="BU7">
        <f>COUNTIFS(Dyno_Data[Team],TBA_Matches_All[[#This Row],[Team]],Dyno_Data[Match],TBA_Matches_All[[#This Row],[Match_Number]],Dyno_Data[RecordType],"Activities", Dyno_Data[AcqLoc],"Neutral")</f>
        <v>0</v>
      </c>
      <c r="BV7">
        <f>COUNTIFS(Dyno_Data[Team],TBA_Matches_All[[#This Row],[Team]],Dyno_Data[Match],TBA_Matches_All[[#This Row],[Match_Number]],Dyno_Data[RecordType],"Activities", Dyno_Data[AcqLoc],"AllyWing")</f>
        <v>0</v>
      </c>
      <c r="BW7">
        <f>COUNTIFS(Dyno_Data[Team],TBA_Matches_All[[#This Row],[Team]],Dyno_Data[Match],TBA_Matches_All[[#This Row],[Match_Number]],Dyno_Data[RecordType],"Activities", Dyno_Data[AcqLoc],"Source")</f>
        <v>0</v>
      </c>
      <c r="BX7">
        <f>SUMIFS(Dyno_Data[AcqDrp], Dyno_Data[Team],TBA_Matches_All[[#This Row],[Team]],Dyno_Data[Match],TBA_Matches_All[[#This Row],[Match_Number]],Dyno_Data[RecordType],"Activities", Dyno_Data[AcqLoc],"Source")</f>
        <v>0</v>
      </c>
      <c r="BY7">
        <f>SUMIFS(Dyno_Data[OZTime], Dyno_Data[Team],TBA_Matches_All[[#This Row],[Team]],Dyno_Data[Match],TBA_Matches_All[[#This Row],[Match_Number]],Dyno_Data[RecordType],"EndMatch")</f>
        <v>52.859586</v>
      </c>
      <c r="BZ7">
        <f>SUMIFS(Dyno_Data[NZTime], Dyno_Data[Team],TBA_Matches_All[[#This Row],[Team]],Dyno_Data[Match],TBA_Matches_All[[#This Row],[Match_Number]],Dyno_Data[RecordType],"EndMatch")</f>
        <v>34.683600399999996</v>
      </c>
      <c r="CA7">
        <f>SUMIFS(Dyno_Data[AZTime], Dyno_Data[Team],TBA_Matches_All[[#This Row],[Team]],Dyno_Data[Match],TBA_Matches_All[[#This Row],[Match_Number]],Dyno_Data[RecordType],"EndMatch")</f>
        <v>48.523251500000001</v>
      </c>
      <c r="CB7">
        <f>SUMIFS(Dyno_Data[ClimbT], Dyno_Data[Team],TBA_Matches_All[[#This Row],[Team]],Dyno_Data[Match],TBA_Matches_All[[#This Row],[Match_Number]],Dyno_Data[RecordType],"EndMatch")</f>
        <v>0</v>
      </c>
      <c r="CC7" t="str">
        <f>_xlfn.XLOOKUP(SUM(MID(TBA_Matches_All[[#This Row],[Team]],4,5),(TBA_Matches_All[[#This Row],[Match_Number]]/100)),Dyno_EndMatch[teammat],Dyno_EndMatch[StageStat],"_",0,1)</f>
        <v>Park</v>
      </c>
      <c r="CD7" t="str">
        <f>_xlfn.XLOOKUP(TBA_Matches_All[[#This Row],[teammat]],Dyno_EndMatch[teammat],Dyno_EndMatch[StageAtt],"_",0,1)</f>
        <v>0</v>
      </c>
      <c r="CE7" t="str">
        <f>_xlfn.XLOOKUP(TBA_Matches_All[[#This Row],[teammat]],Dyno_EndMatch[teammat],Dyno_EndMatch[StageLoc],"_",0,1)</f>
        <v>A</v>
      </c>
      <c r="CF7">
        <f>SUMIFS(Dyno_Data[Harmony], Dyno_Data[Team],TBA_Matches_All[[#This Row],[Team]],Dyno_Data[Match],TBA_Matches_All[[#This Row],[Match_Number]],Dyno_Data[RecordType],"EndMatch", Dyno_Data[StageStat],"On",Dyno_Data[Harmony],"&lt;&gt;9")</f>
        <v>0</v>
      </c>
      <c r="CG7">
        <f>SUMIFS(Dyno_Data[Spotlit], Dyno_Data[Team],TBA_Matches_All[[#This Row],[Team]],Dyno_Data[Match],TBA_Matches_All[[#This Row],[Match_Number]],Dyno_Data[RecordType],"EndMatch", Dyno_Data[StageStat],"On",Dyno_Data[Spotlit],"&lt;&gt;9")</f>
        <v>0</v>
      </c>
      <c r="CH7" t="str">
        <f>_xlfn.XLOOKUP(TBA_Matches_All[[#This Row],[teammat]],Dyno_EndMatch[teammat],Dyno_EndMatch[Strategy],"_",0,1)</f>
        <v>Hybrid</v>
      </c>
      <c r="CI7">
        <f>SUMIFS(Dyno_Data[Defense], Dyno_Data[Team],TBA_Matches_All[[#This Row],[Team]],Dyno_Data[Match],TBA_Matches_All[[#This Row],[Match_Number]],Dyno_Data[RecordType],"EndMatch",Dyno_Data[Defense],"&lt;&gt;9")</f>
        <v>0</v>
      </c>
      <c r="CJ7">
        <f>SUMIFS(Dyno_Data[Avoidance], Dyno_Data[Team],TBA_Matches_All[[#This Row],[Team]],Dyno_Data[Match],TBA_Matches_All[[#This Row],[Match_Number]],Dyno_Data[RecordType],"EndMatch",Dyno_Data[Avoidance],"&lt;&gt;9")</f>
        <v>2</v>
      </c>
      <c r="CK7" s="82">
        <f>COUNTIF($H$2:TBA_Matches_All[[#This Row],[Team]],TBA_Matches_All[[#This Row],[Team]])</f>
        <v>1</v>
      </c>
      <c r="CL7" s="111">
        <f>SUM(MID(TBA_Matches_All[[#This Row],[Team]],4,5)+TBA_Matches_All[[#This Row],[Match_Number]]/100)</f>
        <v>1880.01</v>
      </c>
      <c r="CM7">
        <f>SUM((TBA_Matches_All[[#This Row],[Leave]]*2)+(TBA_Matches_All[[#This Row],[AampT]]*2)+(TBA_Matches_All[[#This Row],[AspkrT]]*5)+(TBA_Matches_All[[#This Row],[AtrapT]]*5))</f>
        <v>5</v>
      </c>
      <c r="CN7" s="59">
        <f>IFERROR(SUM(TBA_Matches_All[[#This Row],[AptsT]]/TBA_Matches_All[[#This Row],[AutoPts]]),0)</f>
        <v>0.29411764705882354</v>
      </c>
      <c r="CO7" s="59">
        <f>IFERROR(SUM(TBA_Matches_All[[#This Row],[AampT]]+TBA_Matches_All[[#This Row],[AspkrT]]+TBA_Matches_All[[#This Row],[AtrapT]]/TBA_Matches_All[[#This Row],[Aamp]]+TBA_Matches_All[[#This Row],[Aspkr]]+TBA_Matches_All[[#This Row],[AtrapT]]),0)</f>
        <v>0</v>
      </c>
      <c r="CP7" s="59">
        <f>IFERROR(SUM(TBA_Matches_All[[#This Row],[TampT]]/TBA_Matches_All[[#This Row],[Tamp]]),0)</f>
        <v>0.2</v>
      </c>
      <c r="CQ7" s="59">
        <f>IFERROR(SUM(TBA_Matches_All[[#This Row],[TspkrT]]/TBA_Matches_All[[#This Row],[Tspkr]]),0)</f>
        <v>0.25</v>
      </c>
      <c r="CR7">
        <f>SUM(TBA_Matches_All[[#This Row],[TspkrPts]]*TBA_Matches_All[[#This Row],[TspkrP]])</f>
        <v>4.25</v>
      </c>
      <c r="CS7" s="59">
        <f>IFERROR(SUM(TBA_Matches_All[[#This Row],[TtrapT]]/TBA_Matches_All[[#This Row],[Trap]]),0)</f>
        <v>0</v>
      </c>
      <c r="CT7" s="59">
        <f>IFERROR(SUM(TBA_Matches_All[[#This Row],[TotNotesT]]/TBA_Matches_All[[#This Row],[TotNotes]]),0)</f>
        <v>0.25</v>
      </c>
      <c r="CU7" s="66">
        <f>SUM((TBA_Matches_All[[#This Row],[AampT]]*2)+(TBA_Matches_All[[#This Row],[AspkrT]]*5)+(TBA_Matches_All[[#This Row],[AtrapT]]*5)+(TBA_Matches_All[[#This Row],[TampT]]*1)+(TBA_Matches_All[[#This Row],[TspkrptsC]]))</f>
        <v>10.25</v>
      </c>
      <c r="CV7" s="59">
        <f>IFERROR(TBA_Matches_All[[#This Row],[noteptsT]]/TBA_Matches_All[[#This Row],[NotePts]],0)</f>
        <v>0.27702702702702703</v>
      </c>
      <c r="CW7">
        <f>SUM(IF(TBA_Matches_All[[#This Row],[stageStat]]="On",3,0),IF(TBA_Matches_All[[#This Row],[stageStat]]="Park",1,0),SUMIFS(TBA_Matches_All[[#This Row],[Spotlit]],TBA_Matches_All[[#This Row],[stageStat]],"On"),SUMIFS(TBA_Matches_All[[#This Row],[Harmony]],TBA_Matches_All[[#This Row],[stageStat]],"On"))</f>
        <v>1</v>
      </c>
      <c r="CX7" s="59">
        <f>IFERROR(TBA_Matches_All[[#This Row],[stageptsT]]/TBA_Matches_All[[#This Row],[StagePts]],0)</f>
        <v>0.5</v>
      </c>
      <c r="CY7">
        <f>SUM((TBA_Matches_All[[#This Row],[AptsT]]+TBA_Matches_All[[#This Row],[TampT]]+TBA_Matches_All[[#This Row],[TspkrptsC]]+(TBA_Matches_All[[#This Row],[TtrapT]]*5)+TBA_Matches_All[[#This Row],[stageptsT]]))</f>
        <v>11.25</v>
      </c>
      <c r="CZ7" s="59">
        <f>IFERROR(SUM(TBA_Matches_All[[#This Row],[TotptsC]]/TBA_Matches_All[[#This Row],[Score]]),0)</f>
        <v>0.27439024390243905</v>
      </c>
      <c r="DA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5.4350649350649354</v>
      </c>
      <c r="DB7" s="74">
        <f>SUMIFS(TBA_Matches_All[AveTeamTNoteDels],TBA_Matches_All[Match_Number],TBA_Matches_All[[#This Row],[Match_Number]],TBA_Matches_All[Alliance],"&lt;&gt;"&amp;TBA_Matches_All[[#This Row],[Alliance]],TBA_Matches_All[Scouted],"&gt;0")</f>
        <v>12.3</v>
      </c>
      <c r="DC7" s="74">
        <f>(TBA_Matches_All[[#This Row],[TampT]]+TBA_Matches_All[[#This Row],[TspkrptsC]])-TBA_Matches_All[[#This Row],[AveTeamTNoteDels]]</f>
        <v>-0.18506493506493538</v>
      </c>
      <c r="DD7" s="74">
        <f>SUMIFS(TBA_Matches_All[AveTeamTNoteDels],TBA_Matches_All[Match_Number],TBA_Matches_All[[#This Row],[Match_Number]],TBA_Matches_All[Alliance],"&lt;&gt;"&amp;TBA_Matches_All[[#This Row],[Alliance]])-TBA_Matches_All[[#This Row],[AveOppTNoteDels]]</f>
        <v>0</v>
      </c>
    </row>
    <row r="8" spans="1:108" x14ac:dyDescent="0.3">
      <c r="A8" t="s">
        <v>1042</v>
      </c>
      <c r="B8" t="s">
        <v>489</v>
      </c>
      <c r="C8" t="s">
        <v>1274</v>
      </c>
      <c r="D8">
        <v>1</v>
      </c>
      <c r="E8" t="s">
        <v>1406</v>
      </c>
      <c r="F8" t="s">
        <v>1426</v>
      </c>
      <c r="G8" t="s">
        <v>164</v>
      </c>
      <c r="H8" t="s">
        <v>1278</v>
      </c>
      <c r="I8" t="b">
        <v>1</v>
      </c>
      <c r="J8">
        <v>32</v>
      </c>
      <c r="K8">
        <v>0</v>
      </c>
      <c r="L8">
        <v>0</v>
      </c>
      <c r="M8">
        <v>0</v>
      </c>
      <c r="N8">
        <v>0</v>
      </c>
      <c r="O8">
        <v>0</v>
      </c>
      <c r="P8">
        <v>0</v>
      </c>
      <c r="Q8">
        <v>6</v>
      </c>
      <c r="R8">
        <v>4</v>
      </c>
      <c r="S8">
        <v>1</v>
      </c>
      <c r="T8">
        <v>4</v>
      </c>
      <c r="U8">
        <v>5</v>
      </c>
      <c r="V8">
        <v>8</v>
      </c>
      <c r="W8">
        <v>5</v>
      </c>
      <c r="X8">
        <v>13</v>
      </c>
      <c r="Y8">
        <v>17</v>
      </c>
      <c r="Z8">
        <v>0</v>
      </c>
      <c r="AA8">
        <v>0</v>
      </c>
      <c r="AB8">
        <v>9</v>
      </c>
      <c r="AC8">
        <v>17</v>
      </c>
      <c r="AD8">
        <v>4</v>
      </c>
      <c r="AE8">
        <f>IFERROR(6/(COUNTIF(Dyno_EndMatch[Match],TBA_Matches_All[[#This Row],[Match_Number]])),0)</f>
        <v>0.8571428571428571</v>
      </c>
      <c r="AF8">
        <f>COUNTIFS(Dyno_Data[Team],TBA_Matches_All[[#This Row],[Team]],Dyno_Data[Match],TBA_Matches_All[[#This Row],[Match_Number]],Dyno_Data[RecordType],"EndMatch",Dyno_Data[HPAmp],"Y")</f>
        <v>0</v>
      </c>
      <c r="AG8">
        <f>SUMIFS(Dyno_Data[Mics], Dyno_Data[Team],TBA_Matches_All[[#This Row],[Team]],Dyno_Data[Match],TBA_Matches_All[[#This Row],[Match_Number]],Dyno_Data[RecordType],"EndMatch",Dyno_Data[HPAmp],"Y")</f>
        <v>0</v>
      </c>
      <c r="AH8">
        <f>SUMIFS(Dyno_Data[Leave], Dyno_Data[Team],TBA_Matches_All[[#This Row],[Team]],Dyno_Data[Match],TBA_Matches_All[[#This Row],[Match_Number]],Dyno_Data[RecordType],"EndAuto")</f>
        <v>1</v>
      </c>
      <c r="AI8">
        <f>COUNTIFS(Dyno_Data[Team],TBA_Matches_All[[#This Row],[Team]],Dyno_Data[Match],TBA_Matches_All[[#This Row],[Match_Number]],Dyno_Data[RecordType],"Activities",Dyno_Data[DelDest],"Amp", Dyno_Data[DelMiss],"0", Dyno_Data[Mode],"Auto")</f>
        <v>0</v>
      </c>
      <c r="AJ8">
        <f>COUNTIFS(Dyno_Data[Team],TBA_Matches_All[[#This Row],[Team]],Dyno_Data[Match],TBA_Matches_All[[#This Row],[Match_Number]],Dyno_Data[RecordType],"Activities",Dyno_Data[DelDest],"Spkr", Dyno_Data[DelMiss],"0", Dyno_Data[Mode],"Auto")</f>
        <v>1</v>
      </c>
      <c r="AK8">
        <f>COUNTIFS(Dyno_Data[Team],TBA_Matches_All[[#This Row],[Team]],Dyno_Data[Match],TBA_Matches_All[[#This Row],[Match_Number]],Dyno_Data[RecordType],"Activities",Dyno_Data[DelDest],"Trap", Dyno_Data[DelMiss],"0", Dyno_Data[Mode],"Auto")</f>
        <v>0</v>
      </c>
      <c r="AL8">
        <f>COUNTIFS(Dyno_Data[Team],TBA_Matches_All[[#This Row],[Team]],Dyno_Data[Match],TBA_Matches_All[[#This Row],[Match_Number]],Dyno_Data[RecordType],"Activities",Dyno_Data[DelDest],"Amp", Dyno_Data[DelMiss],"0", Dyno_Data[Mode],"Teleop")</f>
        <v>4</v>
      </c>
      <c r="AM8">
        <f>COUNTIFS(Dyno_Data[Team],TBA_Matches_All[[#This Row],[Team]],Dyno_Data[Match],TBA_Matches_All[[#This Row],[Match_Number]],Dyno_Data[RecordType],"Activities",Dyno_Data[DelDest],"Spkr", Dyno_Data[DelMiss],"0", Dyno_Data[Mode],"Teleop")</f>
        <v>2</v>
      </c>
      <c r="AN8">
        <f>COUNTIFS(Dyno_Data[Team],TBA_Matches_All[[#This Row],[Team]],Dyno_Data[Match],TBA_Matches_All[[#This Row],[Match_Number]],Dyno_Data[RecordType],"Activities",Dyno_Data[DelDest],"Trap", Dyno_Data[DelMiss],"0", Dyno_Data[Mode],"&lt;&gt;Auto")</f>
        <v>0</v>
      </c>
      <c r="AO8">
        <f>SUM(TBA_Matches_All[[#This Row],[AampT]]+TBA_Matches_All[[#This Row],[AspkrT]]+TBA_Matches_All[[#This Row],[AtrapT]]+TBA_Matches_All[[#This Row],[TampT]]+TBA_Matches_All[[#This Row],[TspkrT]]+TBA_Matches_All[[#This Row],[TtrapT]])</f>
        <v>7</v>
      </c>
      <c r="AP8">
        <f>COUNTIFS(Dyno_Data[Team],TBA_Matches_All[[#This Row],[Team]],Dyno_Data[Match],TBA_Matches_All[[#This Row],[Match_Number]],Dyno_Data[RecordType],"Activities",Dyno_Data[DelDest],"Neut", Dyno_Data[DelMiss],"0")</f>
        <v>0</v>
      </c>
      <c r="AQ8">
        <f>COUNTIFS(Dyno_Data[Team],TBA_Matches_All[[#This Row],[Team]],Dyno_Data[Match],TBA_Matches_All[[#This Row],[Match_Number]],Dyno_Data[RecordType],"Activities",Dyno_Data[DelDest],"AllyW", Dyno_Data[DelMiss],"0")</f>
        <v>0</v>
      </c>
      <c r="AR8" t="str">
        <f>_xlfn.XLOOKUP(SUM(MID(TBA_Matches_All[[#This Row],[Team]],4,5),(TBA_Matches_All[[#This Row],[Match_Number]]/100)),Dyno_EndMatch[teammat],Dyno_EndMatch[RobotSta],"_",0,1)</f>
        <v>SubW</v>
      </c>
      <c r="AS8">
        <f>SUMIFS(Dyno_Data[AcqDis], Dyno_Data[Team],TBA_Matches_All[[#This Row],[Team]],Dyno_Data[Match],TBA_Matches_All[[#This Row],[Match_Number]],Dyno_Data[RecordType],"Activities", Dyno_Data[AcqCenter],1,Dyno_Data[Mode],"Auto")</f>
        <v>0</v>
      </c>
      <c r="AT8">
        <f>SUMIFS(Dyno_Data[AcqDis], Dyno_Data[Team],TBA_Matches_All[[#This Row],[Team]],Dyno_Data[Match],TBA_Matches_All[[#This Row],[Match_Number]],Dyno_Data[RecordType],"Activities", Dyno_Data[AcqCenter],2,Dyno_Data[Mode],"Auto")</f>
        <v>0</v>
      </c>
      <c r="AU8">
        <f>SUMIFS(Dyno_Data[AcqDis], Dyno_Data[Team],TBA_Matches_All[[#This Row],[Team]],Dyno_Data[Match],TBA_Matches_All[[#This Row],[Match_Number]],Dyno_Data[RecordType],"Activities", Dyno_Data[AcqCenter],3,Dyno_Data[Mode],"Auto")</f>
        <v>0</v>
      </c>
      <c r="AV8">
        <f>SUMIFS(Dyno_Data[AcqDis], Dyno_Data[Team],TBA_Matches_All[[#This Row],[Team]],Dyno_Data[Match],TBA_Matches_All[[#This Row],[Match_Number]],Dyno_Data[RecordType],"Activities", Dyno_Data[AcqCenter],4,Dyno_Data[Mode],"Auto")</f>
        <v>0</v>
      </c>
      <c r="AW8">
        <f>SUMIFS(Dyno_Data[AcqDis], Dyno_Data[Team],TBA_Matches_All[[#This Row],[Team]],Dyno_Data[Match],TBA_Matches_All[[#This Row],[Match_Number]],Dyno_Data[RecordType],"Activities", Dyno_Data[AcqCenter],5,Dyno_Data[Mode],"Auto")</f>
        <v>0</v>
      </c>
      <c r="AX8">
        <f>SUMIFS(Dyno_Data[DelMiss], Dyno_Data[Team],TBA_Matches_All[[#This Row],[Team]],Dyno_Data[Match],TBA_Matches_All[[#This Row],[Match_Number]],Dyno_Data[RecordType],"Activities", Dyno_Data[DelDest],"Amp")</f>
        <v>0</v>
      </c>
      <c r="AY8" s="60">
        <f>IFERROR(SUM((TBA_Matches_All[[#This Row],[AampT]]+TBA_Matches_All[[#This Row],[TampT]])/(TBA_Matches_All[[#This Row],[AampT]]+TBA_Matches_All[[#This Row],[TampT]]+TBA_Matches_All[[#This Row],[ampM]])),0)</f>
        <v>1</v>
      </c>
      <c r="AZ8">
        <f>SUMIFS(Dyno_Data[DelMiss], Dyno_Data[Team],TBA_Matches_All[[#This Row],[Team]],Dyno_Data[Match],TBA_Matches_All[[#This Row],[Match_Number]],Dyno_Data[RecordType],"Activities", Dyno_Data[DelDest],"Spkr")</f>
        <v>1</v>
      </c>
      <c r="BA8" s="60">
        <f>IFERROR(SUM((TBA_Matches_All[[#This Row],[AspkrT]]+TBA_Matches_All[[#This Row],[TspkrT]])/(TBA_Matches_All[[#This Row],[AspkrT]]+TBA_Matches_All[[#This Row],[TspkrT]]+TBA_Matches_All[[#This Row],[spkrM]])),0)</f>
        <v>0.75</v>
      </c>
      <c r="BB8">
        <f>SUMIFS(Dyno_Data[DelMiss], Dyno_Data[Team],TBA_Matches_All[[#This Row],[Team]],Dyno_Data[Match],TBA_Matches_All[[#This Row],[Match_Number]],Dyno_Data[RecordType],"Activities", Dyno_Data[DelDest],"Trap")</f>
        <v>0</v>
      </c>
      <c r="BC8" s="60">
        <f>IFERROR((TBA_Matches_All[[#This Row],[AtrapT]]+TBA_Matches_All[[#This Row],[TtrapT]])/(TBA_Matches_All[[#This Row],[AtrapT]]+TBA_Matches_All[[#This Row],[TtrapT]]+TBA_Matches_All[[#This Row],[trapM]]),0)</f>
        <v>0</v>
      </c>
      <c r="BD8">
        <f>COUNTIFS(Dyno_Data[Team],TBA_Matches_All[[#This Row],[Team]],Dyno_Data[Match],TBA_Matches_All[[#This Row],[Match_Number]],Dyno_Data[RecordType],"Activities",Dyno_Data[DelDest],"Neut", Dyno_Data[DelMiss],1)</f>
        <v>0</v>
      </c>
      <c r="BE8" s="60">
        <f>IFERROR(SUM((TBA_Matches_All[[#This Row],[NeutFlrT]])/(TBA_Matches_All[[#This Row],[NeutFlrT]]+TBA_Matches_All[[#This Row],[NZflM]])),0)</f>
        <v>0</v>
      </c>
      <c r="BF8">
        <f>COUNTIFS(Dyno_Data[Team],TBA_Matches_All[[#This Row],[Team]],Dyno_Data[Match],TBA_Matches_All[[#This Row],[Match_Number]],Dyno_Data[RecordType],"Activities",Dyno_Data[DelDest],"AllyW", Dyno_Data[DelMiss],1)</f>
        <v>0</v>
      </c>
      <c r="BG8" s="60">
        <f>IFERROR(SUM((TBA_Matches_All[[#This Row],[AllyWFlrT]])/(TBA_Matches_All[[#This Row],[AllyWFlrT]]+TBA_Matches_All[[#This Row],[AZflM]])),0)</f>
        <v>0</v>
      </c>
      <c r="BH8">
        <f>COUNTIFS(Dyno_Data[Team],TBA_Matches_All[[#This Row],[Team]],Dyno_Data[Match],TBA_Matches_All[[#This Row],[Match_Number]],Dyno_Data[RecordType],"Activities",Dyno_Data[DelOrig],"OppW", Dyno_Data[DelMiss],"0")</f>
        <v>0</v>
      </c>
      <c r="BI8">
        <f>COUNTIFS(Dyno_Data[Team],TBA_Matches_All[[#This Row],[Team]],Dyno_Data[Match],TBA_Matches_All[[#This Row],[Match_Number]],Dyno_Data[RecordType],"Activities",Dyno_Data[DelOrig],"OppW", Dyno_Data[DelMiss],"1")</f>
        <v>0</v>
      </c>
      <c r="BJ8" s="60">
        <f>IFERROR(SUM((TBA_Matches_All[[#This Row],[OZflrT]])/(TBA_Matches_All[[#This Row],[OZflrT]]+TBA_Matches_All[[#This Row],[OZflrM]])),0)</f>
        <v>0</v>
      </c>
      <c r="BK8">
        <f>COUNTIFS(Dyno_Data[Team],TBA_Matches_All[[#This Row],[Team]],Dyno_Data[Match],TBA_Matches_All[[#This Row],[Match_Number]],Dyno_Data[RecordType],"Activities",Dyno_Data[DelOrig],"Neut", Dyno_Data[DelMiss],"0")</f>
        <v>0</v>
      </c>
      <c r="BL8">
        <f>COUNTIFS(Dyno_Data[Team],TBA_Matches_All[[#This Row],[Team]],Dyno_Data[Match],TBA_Matches_All[[#This Row],[Match_Number]],Dyno_Data[RecordType],"Activities",Dyno_Data[DelOrig],"Neut", Dyno_Data[DelMiss],"1")</f>
        <v>0</v>
      </c>
      <c r="BM8" s="60">
        <f>IFERROR(SUM((TBA_Matches_All[[#This Row],[NZflrT]])/(TBA_Matches_All[[#This Row],[NZflrT]]+TBA_Matches_All[[#This Row],[NZflrM]])),0)</f>
        <v>0</v>
      </c>
      <c r="BN8">
        <f>COUNTIFS(Dyno_Data[Team],TBA_Matches_All[[#This Row],[Team]],Dyno_Data[Match],TBA_Matches_All[[#This Row],[Match_Number]],Dyno_Data[RecordType],"Activities",Dyno_Data[DelOrig],"AllyW", Dyno_Data[DelMiss],"0")</f>
        <v>4</v>
      </c>
      <c r="BO8">
        <f>COUNTIFS(Dyno_Data[Team],TBA_Matches_All[[#This Row],[Team]],Dyno_Data[Match],TBA_Matches_All[[#This Row],[Match_Number]],Dyno_Data[RecordType],"Activities",Dyno_Data[DelOrig],"AllyW", Dyno_Data[DelMiss],"1")</f>
        <v>0</v>
      </c>
      <c r="BP8" s="60">
        <f>IFERROR(SUM((TBA_Matches_All[[#This Row],[AZflrT]])/(TBA_Matches_All[[#This Row],[AZflrT]]+TBA_Matches_All[[#This Row],[AZflrM]])),0)</f>
        <v>1</v>
      </c>
      <c r="BQ8">
        <f>COUNTIFS(Dyno_Data[Team],TBA_Matches_All[[#This Row],[Team]],Dyno_Data[Match],TBA_Matches_All[[#This Row],[Match_Number]],Dyno_Data[RecordType],"Activities",Dyno_Data[DelOrig],"SubW", Dyno_Data[DelMiss],"0")</f>
        <v>3</v>
      </c>
      <c r="BR8">
        <f>COUNTIFS(Dyno_Data[Team],TBA_Matches_All[[#This Row],[Team]],Dyno_Data[Match],TBA_Matches_All[[#This Row],[Match_Number]],Dyno_Data[RecordType],"Activities",Dyno_Data[DelOrig],"SubW", Dyno_Data[DelMiss],"1")</f>
        <v>1</v>
      </c>
      <c r="BS8" s="60">
        <f>IFERROR(SUM((TBA_Matches_All[[#This Row],[SubwT]])/(TBA_Matches_All[[#This Row],[SubwT]]+TBA_Matches_All[[#This Row],[SubwM]])),0)</f>
        <v>0.75</v>
      </c>
      <c r="BT8">
        <f>COUNTIFS(Dyno_Data[Team],TBA_Matches_All[[#This Row],[Team]],Dyno_Data[Match],TBA_Matches_All[[#This Row],[Match_Number]],Dyno_Data[RecordType],"Activities", Dyno_Data[AcqLoc],"OppWing")</f>
        <v>0</v>
      </c>
      <c r="BU8">
        <f>COUNTIFS(Dyno_Data[Team],TBA_Matches_All[[#This Row],[Team]],Dyno_Data[Match],TBA_Matches_All[[#This Row],[Match_Number]],Dyno_Data[RecordType],"Activities", Dyno_Data[AcqLoc],"Neutral")</f>
        <v>0</v>
      </c>
      <c r="BV8">
        <f>COUNTIFS(Dyno_Data[Team],TBA_Matches_All[[#This Row],[Team]],Dyno_Data[Match],TBA_Matches_All[[#This Row],[Match_Number]],Dyno_Data[RecordType],"Activities", Dyno_Data[AcqLoc],"AllyWing")</f>
        <v>0</v>
      </c>
      <c r="BW8">
        <f>COUNTIFS(Dyno_Data[Team],TBA_Matches_All[[#This Row],[Team]],Dyno_Data[Match],TBA_Matches_All[[#This Row],[Match_Number]],Dyno_Data[RecordType],"Activities", Dyno_Data[AcqLoc],"Source")</f>
        <v>0</v>
      </c>
      <c r="BX8">
        <f>SUMIFS(Dyno_Data[AcqDrp], Dyno_Data[Team],TBA_Matches_All[[#This Row],[Team]],Dyno_Data[Match],TBA_Matches_All[[#This Row],[Match_Number]],Dyno_Data[RecordType],"Activities", Dyno_Data[AcqLoc],"Source")</f>
        <v>0</v>
      </c>
      <c r="BY8">
        <f>SUMIFS(Dyno_Data[OZTime], Dyno_Data[Team],TBA_Matches_All[[#This Row],[Team]],Dyno_Data[Match],TBA_Matches_All[[#This Row],[Match_Number]],Dyno_Data[RecordType],"EndMatch")</f>
        <v>0.49857969999999996</v>
      </c>
      <c r="BZ8">
        <f>SUMIFS(Dyno_Data[NZTime], Dyno_Data[Team],TBA_Matches_All[[#This Row],[Team]],Dyno_Data[Match],TBA_Matches_All[[#This Row],[Match_Number]],Dyno_Data[RecordType],"EndMatch")</f>
        <v>36.336576199999996</v>
      </c>
      <c r="CA8">
        <f>SUMIFS(Dyno_Data[AZTime], Dyno_Data[Team],TBA_Matches_All[[#This Row],[Team]],Dyno_Data[Match],TBA_Matches_All[[#This Row],[Match_Number]],Dyno_Data[RecordType],"EndMatch")</f>
        <v>80.4045962</v>
      </c>
      <c r="CB8">
        <f>SUMIFS(Dyno_Data[ClimbT], Dyno_Data[Team],TBA_Matches_All[[#This Row],[Team]],Dyno_Data[Match],TBA_Matches_All[[#This Row],[Match_Number]],Dyno_Data[RecordType],"EndMatch")</f>
        <v>18.307869799999999</v>
      </c>
      <c r="CC8" t="str">
        <f>_xlfn.XLOOKUP(SUM(MID(TBA_Matches_All[[#This Row],[Team]],4,5),(TBA_Matches_All[[#This Row],[Match_Number]]/100)),Dyno_EndMatch[teammat],Dyno_EndMatch[StageStat],"_",0,1)</f>
        <v>Park</v>
      </c>
      <c r="CD8" t="str">
        <f>_xlfn.XLOOKUP(TBA_Matches_All[[#This Row],[teammat]],Dyno_EndMatch[teammat],Dyno_EndMatch[StageAtt],"_",0,1)</f>
        <v>-1</v>
      </c>
      <c r="CE8" t="str">
        <f>_xlfn.XLOOKUP(TBA_Matches_All[[#This Row],[teammat]],Dyno_EndMatch[teammat],Dyno_EndMatch[StageLoc],"_",0,1)</f>
        <v>A</v>
      </c>
      <c r="CF8">
        <f>SUMIFS(Dyno_Data[Harmony], Dyno_Data[Team],TBA_Matches_All[[#This Row],[Team]],Dyno_Data[Match],TBA_Matches_All[[#This Row],[Match_Number]],Dyno_Data[RecordType],"EndMatch", Dyno_Data[StageStat],"On",Dyno_Data[Harmony],"&lt;&gt;9")</f>
        <v>0</v>
      </c>
      <c r="CG8">
        <f>SUMIFS(Dyno_Data[Spotlit], Dyno_Data[Team],TBA_Matches_All[[#This Row],[Team]],Dyno_Data[Match],TBA_Matches_All[[#This Row],[Match_Number]],Dyno_Data[RecordType],"EndMatch", Dyno_Data[StageStat],"On",Dyno_Data[Spotlit],"&lt;&gt;9")</f>
        <v>0</v>
      </c>
      <c r="CH8" t="str">
        <f>_xlfn.XLOOKUP(TBA_Matches_All[[#This Row],[teammat]],Dyno_EndMatch[teammat],Dyno_EndMatch[Strategy],"_",0,1)</f>
        <v>Shooter</v>
      </c>
      <c r="CI8">
        <f>SUMIFS(Dyno_Data[Defense], Dyno_Data[Team],TBA_Matches_All[[#This Row],[Team]],Dyno_Data[Match],TBA_Matches_All[[#This Row],[Match_Number]],Dyno_Data[RecordType],"EndMatch",Dyno_Data[Defense],"&lt;&gt;9")</f>
        <v>0</v>
      </c>
      <c r="CJ8">
        <f>SUMIFS(Dyno_Data[Avoidance], Dyno_Data[Team],TBA_Matches_All[[#This Row],[Team]],Dyno_Data[Match],TBA_Matches_All[[#This Row],[Match_Number]],Dyno_Data[RecordType],"EndMatch",Dyno_Data[Avoidance],"&lt;&gt;9")</f>
        <v>0</v>
      </c>
      <c r="CK8" s="82">
        <f>COUNTIF($H$2:TBA_Matches_All[[#This Row],[Team]],TBA_Matches_All[[#This Row],[Team]])</f>
        <v>1</v>
      </c>
      <c r="CL8" s="111">
        <f>SUM(MID(TBA_Matches_All[[#This Row],[Team]],4,5)+TBA_Matches_All[[#This Row],[Match_Number]]/100)</f>
        <v>3951.01</v>
      </c>
      <c r="CM8">
        <f>SUM((TBA_Matches_All[[#This Row],[Leave]]*2)+(TBA_Matches_All[[#This Row],[AampT]]*2)+(TBA_Matches_All[[#This Row],[AspkrT]]*5)+(TBA_Matches_All[[#This Row],[AtrapT]]*5))</f>
        <v>7</v>
      </c>
      <c r="CN8" s="59">
        <f>IFERROR(SUM(TBA_Matches_All[[#This Row],[AptsT]]/TBA_Matches_All[[#This Row],[AutoPts]]),0)</f>
        <v>1.1666666666666667</v>
      </c>
      <c r="CO8" s="59">
        <f>IFERROR(SUM(TBA_Matches_All[[#This Row],[AampT]]+TBA_Matches_All[[#This Row],[AspkrT]]+TBA_Matches_All[[#This Row],[AtrapT]]/TBA_Matches_All[[#This Row],[Aamp]]+TBA_Matches_All[[#This Row],[Aspkr]]+TBA_Matches_All[[#This Row],[AtrapT]]),0)</f>
        <v>0</v>
      </c>
      <c r="CP8" s="59">
        <f>IFERROR(SUM(TBA_Matches_All[[#This Row],[TampT]]/TBA_Matches_All[[#This Row],[Tamp]]),0)</f>
        <v>1</v>
      </c>
      <c r="CQ8" s="59">
        <f>IFERROR(SUM(TBA_Matches_All[[#This Row],[TspkrT]]/TBA_Matches_All[[#This Row],[Tspkr]]),0)</f>
        <v>0.4</v>
      </c>
      <c r="CR8">
        <f>SUM(TBA_Matches_All[[#This Row],[TspkrPts]]*TBA_Matches_All[[#This Row],[TspkrP]])</f>
        <v>5.2</v>
      </c>
      <c r="CS8" s="59">
        <f>IFERROR(SUM(TBA_Matches_All[[#This Row],[TtrapT]]/TBA_Matches_All[[#This Row],[Trap]]),0)</f>
        <v>0</v>
      </c>
      <c r="CT8" s="59">
        <f>IFERROR(SUM(TBA_Matches_All[[#This Row],[TotNotesT]]/TBA_Matches_All[[#This Row],[TotNotes]]),0)</f>
        <v>0.77777777777777779</v>
      </c>
      <c r="CU8" s="66">
        <f>SUM((TBA_Matches_All[[#This Row],[AampT]]*2)+(TBA_Matches_All[[#This Row],[AspkrT]]*5)+(TBA_Matches_All[[#This Row],[AtrapT]]*5)+(TBA_Matches_All[[#This Row],[TampT]]*1)+(TBA_Matches_All[[#This Row],[TspkrptsC]]))</f>
        <v>14.2</v>
      </c>
      <c r="CV8" s="59">
        <f>IFERROR(TBA_Matches_All[[#This Row],[noteptsT]]/TBA_Matches_All[[#This Row],[NotePts]],0)</f>
        <v>0.83529411764705874</v>
      </c>
      <c r="CW8">
        <f>SUM(IF(TBA_Matches_All[[#This Row],[stageStat]]="On",3,0),IF(TBA_Matches_All[[#This Row],[stageStat]]="Park",1,0),SUMIFS(TBA_Matches_All[[#This Row],[Spotlit]],TBA_Matches_All[[#This Row],[stageStat]],"On"),SUMIFS(TBA_Matches_All[[#This Row],[Harmony]],TBA_Matches_All[[#This Row],[stageStat]],"On"))</f>
        <v>1</v>
      </c>
      <c r="CX8" s="59">
        <f>IFERROR(TBA_Matches_All[[#This Row],[stageptsT]]/TBA_Matches_All[[#This Row],[StagePts]],0)</f>
        <v>0.25</v>
      </c>
      <c r="CY8">
        <f>SUM((TBA_Matches_All[[#This Row],[AptsT]]+TBA_Matches_All[[#This Row],[TampT]]+TBA_Matches_All[[#This Row],[TspkrptsC]]+(TBA_Matches_All[[#This Row],[TtrapT]]*5)+TBA_Matches_All[[#This Row],[stageptsT]]))</f>
        <v>17.2</v>
      </c>
      <c r="CZ8" s="59">
        <f>IFERROR(SUM(TBA_Matches_All[[#This Row],[TotptsC]]/TBA_Matches_All[[#This Row],[Score]]),0)</f>
        <v>0.53749999999999998</v>
      </c>
      <c r="DA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2.75</v>
      </c>
      <c r="DB8" s="74">
        <f>SUMIFS(TBA_Matches_All[AveTeamTNoteDels],TBA_Matches_All[Match_Number],TBA_Matches_All[[#This Row],[Match_Number]],TBA_Matches_All[Alliance],"&lt;&gt;"&amp;TBA_Matches_All[[#This Row],[Alliance]],TBA_Matches_All[Scouted],"&gt;0")</f>
        <v>16.36839826839827</v>
      </c>
      <c r="DC8" s="74">
        <f>(TBA_Matches_All[[#This Row],[TampT]]+TBA_Matches_All[[#This Row],[TspkrptsC]])-TBA_Matches_All[[#This Row],[AveTeamTNoteDels]]</f>
        <v>6.4499999999999993</v>
      </c>
      <c r="DD8" s="74">
        <f>SUMIFS(TBA_Matches_All[AveTeamTNoteDels],TBA_Matches_All[Match_Number],TBA_Matches_All[[#This Row],[Match_Number]],TBA_Matches_All[Alliance],"&lt;&gt;"&amp;TBA_Matches_All[[#This Row],[Alliance]])-TBA_Matches_All[[#This Row],[AveOppTNoteDels]]</f>
        <v>0</v>
      </c>
    </row>
    <row r="9" spans="1:108" x14ac:dyDescent="0.3">
      <c r="A9" t="s">
        <v>1042</v>
      </c>
      <c r="B9" t="s">
        <v>489</v>
      </c>
      <c r="C9" t="s">
        <v>1281</v>
      </c>
      <c r="D9">
        <v>2</v>
      </c>
      <c r="E9" t="s">
        <v>1420</v>
      </c>
      <c r="F9" t="s">
        <v>1425</v>
      </c>
      <c r="G9" t="s">
        <v>105</v>
      </c>
      <c r="H9" t="s">
        <v>370</v>
      </c>
      <c r="I9" t="b">
        <v>1</v>
      </c>
      <c r="J9">
        <v>30</v>
      </c>
      <c r="K9">
        <v>0</v>
      </c>
      <c r="L9">
        <v>0</v>
      </c>
      <c r="M9">
        <v>4</v>
      </c>
      <c r="N9">
        <v>0</v>
      </c>
      <c r="O9">
        <v>1</v>
      </c>
      <c r="P9">
        <v>5</v>
      </c>
      <c r="Q9">
        <v>9</v>
      </c>
      <c r="R9">
        <v>3</v>
      </c>
      <c r="S9">
        <v>1</v>
      </c>
      <c r="T9">
        <v>3</v>
      </c>
      <c r="U9">
        <v>5</v>
      </c>
      <c r="V9">
        <v>6</v>
      </c>
      <c r="W9">
        <v>4</v>
      </c>
      <c r="X9">
        <v>11</v>
      </c>
      <c r="Y9">
        <v>14</v>
      </c>
      <c r="Z9">
        <v>0</v>
      </c>
      <c r="AA9">
        <v>0</v>
      </c>
      <c r="AB9">
        <v>8</v>
      </c>
      <c r="AC9">
        <v>19</v>
      </c>
      <c r="AD9">
        <v>7</v>
      </c>
      <c r="AE9">
        <f>IFERROR(6/(COUNTIF(Dyno_EndMatch[Match],TBA_Matches_All[[#This Row],[Match_Number]])),0)</f>
        <v>1</v>
      </c>
      <c r="AF9">
        <f>COUNTIFS(Dyno_Data[Team],TBA_Matches_All[[#This Row],[Team]],Dyno_Data[Match],TBA_Matches_All[[#This Row],[Match_Number]],Dyno_Data[RecordType],"EndMatch",Dyno_Data[HPAmp],"Y")</f>
        <v>1</v>
      </c>
      <c r="AG9">
        <f>SUMIFS(Dyno_Data[Mics], Dyno_Data[Team],TBA_Matches_All[[#This Row],[Team]],Dyno_Data[Match],TBA_Matches_All[[#This Row],[Match_Number]],Dyno_Data[RecordType],"EndMatch",Dyno_Data[HPAmp],"Y")</f>
        <v>0</v>
      </c>
      <c r="AH9">
        <f>SUMIFS(Dyno_Data[Leave], Dyno_Data[Team],TBA_Matches_All[[#This Row],[Team]],Dyno_Data[Match],TBA_Matches_All[[#This Row],[Match_Number]],Dyno_Data[RecordType],"EndAuto")</f>
        <v>1</v>
      </c>
      <c r="AI9">
        <f>COUNTIFS(Dyno_Data[Team],TBA_Matches_All[[#This Row],[Team]],Dyno_Data[Match],TBA_Matches_All[[#This Row],[Match_Number]],Dyno_Data[RecordType],"Activities",Dyno_Data[DelDest],"Amp", Dyno_Data[DelMiss],"0", Dyno_Data[Mode],"Auto")</f>
        <v>0</v>
      </c>
      <c r="AJ9">
        <f>COUNTIFS(Dyno_Data[Team],TBA_Matches_All[[#This Row],[Team]],Dyno_Data[Match],TBA_Matches_All[[#This Row],[Match_Number]],Dyno_Data[RecordType],"Activities",Dyno_Data[DelDest],"Spkr", Dyno_Data[DelMiss],"0", Dyno_Data[Mode],"Auto")</f>
        <v>0</v>
      </c>
      <c r="AK9">
        <f>COUNTIFS(Dyno_Data[Team],TBA_Matches_All[[#This Row],[Team]],Dyno_Data[Match],TBA_Matches_All[[#This Row],[Match_Number]],Dyno_Data[RecordType],"Activities",Dyno_Data[DelDest],"Trap", Dyno_Data[DelMiss],"0", Dyno_Data[Mode],"Auto")</f>
        <v>0</v>
      </c>
      <c r="AL9">
        <f>COUNTIFS(Dyno_Data[Team],TBA_Matches_All[[#This Row],[Team]],Dyno_Data[Match],TBA_Matches_All[[#This Row],[Match_Number]],Dyno_Data[RecordType],"Activities",Dyno_Data[DelDest],"Amp", Dyno_Data[DelMiss],"0", Dyno_Data[Mode],"Teleop")</f>
        <v>0</v>
      </c>
      <c r="AM9">
        <f>COUNTIFS(Dyno_Data[Team],TBA_Matches_All[[#This Row],[Team]],Dyno_Data[Match],TBA_Matches_All[[#This Row],[Match_Number]],Dyno_Data[RecordType],"Activities",Dyno_Data[DelDest],"Spkr", Dyno_Data[DelMiss],"0", Dyno_Data[Mode],"Teleop")</f>
        <v>4</v>
      </c>
      <c r="AN9">
        <f>COUNTIFS(Dyno_Data[Team],TBA_Matches_All[[#This Row],[Team]],Dyno_Data[Match],TBA_Matches_All[[#This Row],[Match_Number]],Dyno_Data[RecordType],"Activities",Dyno_Data[DelDest],"Trap", Dyno_Data[DelMiss],"0", Dyno_Data[Mode],"&lt;&gt;Auto")</f>
        <v>0</v>
      </c>
      <c r="AO9">
        <f>SUM(TBA_Matches_All[[#This Row],[AampT]]+TBA_Matches_All[[#This Row],[AspkrT]]+TBA_Matches_All[[#This Row],[AtrapT]]+TBA_Matches_All[[#This Row],[TampT]]+TBA_Matches_All[[#This Row],[TspkrT]]+TBA_Matches_All[[#This Row],[TtrapT]])</f>
        <v>4</v>
      </c>
      <c r="AP9">
        <f>COUNTIFS(Dyno_Data[Team],TBA_Matches_All[[#This Row],[Team]],Dyno_Data[Match],TBA_Matches_All[[#This Row],[Match_Number]],Dyno_Data[RecordType],"Activities",Dyno_Data[DelDest],"Neut", Dyno_Data[DelMiss],"0")</f>
        <v>0</v>
      </c>
      <c r="AQ9">
        <f>COUNTIFS(Dyno_Data[Team],TBA_Matches_All[[#This Row],[Team]],Dyno_Data[Match],TBA_Matches_All[[#This Row],[Match_Number]],Dyno_Data[RecordType],"Activities",Dyno_Data[DelDest],"AllyW", Dyno_Data[DelMiss],"0")</f>
        <v>0</v>
      </c>
      <c r="AR9" t="str">
        <f>_xlfn.XLOOKUP(SUM(MID(TBA_Matches_All[[#This Row],[Team]],4,5),(TBA_Matches_All[[#This Row],[Match_Number]]/100)),Dyno_EndMatch[teammat],Dyno_EndMatch[RobotSta],"_",0,1)</f>
        <v>Amp</v>
      </c>
      <c r="AS9">
        <f>SUMIFS(Dyno_Data[AcqDis], Dyno_Data[Team],TBA_Matches_All[[#This Row],[Team]],Dyno_Data[Match],TBA_Matches_All[[#This Row],[Match_Number]],Dyno_Data[RecordType],"Activities", Dyno_Data[AcqCenter],1,Dyno_Data[Mode],"Auto")</f>
        <v>0</v>
      </c>
      <c r="AT9">
        <f>SUMIFS(Dyno_Data[AcqDis], Dyno_Data[Team],TBA_Matches_All[[#This Row],[Team]],Dyno_Data[Match],TBA_Matches_All[[#This Row],[Match_Number]],Dyno_Data[RecordType],"Activities", Dyno_Data[AcqCenter],2,Dyno_Data[Mode],"Auto")</f>
        <v>0</v>
      </c>
      <c r="AU9">
        <f>SUMIFS(Dyno_Data[AcqDis], Dyno_Data[Team],TBA_Matches_All[[#This Row],[Team]],Dyno_Data[Match],TBA_Matches_All[[#This Row],[Match_Number]],Dyno_Data[RecordType],"Activities", Dyno_Data[AcqCenter],3,Dyno_Data[Mode],"Auto")</f>
        <v>0</v>
      </c>
      <c r="AV9">
        <f>SUMIFS(Dyno_Data[AcqDis], Dyno_Data[Team],TBA_Matches_All[[#This Row],[Team]],Dyno_Data[Match],TBA_Matches_All[[#This Row],[Match_Number]],Dyno_Data[RecordType],"Activities", Dyno_Data[AcqCenter],4,Dyno_Data[Mode],"Auto")</f>
        <v>0</v>
      </c>
      <c r="AW9">
        <f>SUMIFS(Dyno_Data[AcqDis], Dyno_Data[Team],TBA_Matches_All[[#This Row],[Team]],Dyno_Data[Match],TBA_Matches_All[[#This Row],[Match_Number]],Dyno_Data[RecordType],"Activities", Dyno_Data[AcqCenter],5,Dyno_Data[Mode],"Auto")</f>
        <v>0</v>
      </c>
      <c r="AX9">
        <f>SUMIFS(Dyno_Data[DelMiss], Dyno_Data[Team],TBA_Matches_All[[#This Row],[Team]],Dyno_Data[Match],TBA_Matches_All[[#This Row],[Match_Number]],Dyno_Data[RecordType],"Activities", Dyno_Data[DelDest],"Amp")</f>
        <v>0</v>
      </c>
      <c r="AY9" s="60">
        <f>IFERROR(SUM((TBA_Matches_All[[#This Row],[AampT]]+TBA_Matches_All[[#This Row],[TampT]])/(TBA_Matches_All[[#This Row],[AampT]]+TBA_Matches_All[[#This Row],[TampT]]+TBA_Matches_All[[#This Row],[ampM]])),0)</f>
        <v>0</v>
      </c>
      <c r="AZ9">
        <f>SUMIFS(Dyno_Data[DelMiss], Dyno_Data[Team],TBA_Matches_All[[#This Row],[Team]],Dyno_Data[Match],TBA_Matches_All[[#This Row],[Match_Number]],Dyno_Data[RecordType],"Activities", Dyno_Data[DelDest],"Spkr")</f>
        <v>3</v>
      </c>
      <c r="BA9" s="60">
        <f>IFERROR(SUM((TBA_Matches_All[[#This Row],[AspkrT]]+TBA_Matches_All[[#This Row],[TspkrT]])/(TBA_Matches_All[[#This Row],[AspkrT]]+TBA_Matches_All[[#This Row],[TspkrT]]+TBA_Matches_All[[#This Row],[spkrM]])),0)</f>
        <v>0.5714285714285714</v>
      </c>
      <c r="BB9">
        <f>SUMIFS(Dyno_Data[DelMiss], Dyno_Data[Team],TBA_Matches_All[[#This Row],[Team]],Dyno_Data[Match],TBA_Matches_All[[#This Row],[Match_Number]],Dyno_Data[RecordType],"Activities", Dyno_Data[DelDest],"Trap")</f>
        <v>0</v>
      </c>
      <c r="BC9" s="60">
        <f>IFERROR((TBA_Matches_All[[#This Row],[AtrapT]]+TBA_Matches_All[[#This Row],[TtrapT]])/(TBA_Matches_All[[#This Row],[AtrapT]]+TBA_Matches_All[[#This Row],[TtrapT]]+TBA_Matches_All[[#This Row],[trapM]]),0)</f>
        <v>0</v>
      </c>
      <c r="BD9">
        <f>COUNTIFS(Dyno_Data[Team],TBA_Matches_All[[#This Row],[Team]],Dyno_Data[Match],TBA_Matches_All[[#This Row],[Match_Number]],Dyno_Data[RecordType],"Activities",Dyno_Data[DelDest],"Neut", Dyno_Data[DelMiss],1)</f>
        <v>0</v>
      </c>
      <c r="BE9" s="60">
        <f>IFERROR(SUM((TBA_Matches_All[[#This Row],[NeutFlrT]])/(TBA_Matches_All[[#This Row],[NeutFlrT]]+TBA_Matches_All[[#This Row],[NZflM]])),0)</f>
        <v>0</v>
      </c>
      <c r="BF9">
        <f>COUNTIFS(Dyno_Data[Team],TBA_Matches_All[[#This Row],[Team]],Dyno_Data[Match],TBA_Matches_All[[#This Row],[Match_Number]],Dyno_Data[RecordType],"Activities",Dyno_Data[DelDest],"AllyW", Dyno_Data[DelMiss],1)</f>
        <v>0</v>
      </c>
      <c r="BG9" s="60">
        <f>IFERROR(SUM((TBA_Matches_All[[#This Row],[AllyWFlrT]])/(TBA_Matches_All[[#This Row],[AllyWFlrT]]+TBA_Matches_All[[#This Row],[AZflM]])),0)</f>
        <v>0</v>
      </c>
      <c r="BH9">
        <f>COUNTIFS(Dyno_Data[Team],TBA_Matches_All[[#This Row],[Team]],Dyno_Data[Match],TBA_Matches_All[[#This Row],[Match_Number]],Dyno_Data[RecordType],"Activities",Dyno_Data[DelOrig],"OppW", Dyno_Data[DelMiss],"0")</f>
        <v>0</v>
      </c>
      <c r="BI9">
        <f>COUNTIFS(Dyno_Data[Team],TBA_Matches_All[[#This Row],[Team]],Dyno_Data[Match],TBA_Matches_All[[#This Row],[Match_Number]],Dyno_Data[RecordType],"Activities",Dyno_Data[DelOrig],"OppW", Dyno_Data[DelMiss],"1")</f>
        <v>0</v>
      </c>
      <c r="BJ9" s="60">
        <f>IFERROR(SUM((TBA_Matches_All[[#This Row],[OZflrT]])/(TBA_Matches_All[[#This Row],[OZflrT]]+TBA_Matches_All[[#This Row],[OZflrM]])),0)</f>
        <v>0</v>
      </c>
      <c r="BK9">
        <f>COUNTIFS(Dyno_Data[Team],TBA_Matches_All[[#This Row],[Team]],Dyno_Data[Match],TBA_Matches_All[[#This Row],[Match_Number]],Dyno_Data[RecordType],"Activities",Dyno_Data[DelOrig],"Neut", Dyno_Data[DelMiss],"0")</f>
        <v>0</v>
      </c>
      <c r="BL9">
        <f>COUNTIFS(Dyno_Data[Team],TBA_Matches_All[[#This Row],[Team]],Dyno_Data[Match],TBA_Matches_All[[#This Row],[Match_Number]],Dyno_Data[RecordType],"Activities",Dyno_Data[DelOrig],"Neut", Dyno_Data[DelMiss],"1")</f>
        <v>0</v>
      </c>
      <c r="BM9" s="60">
        <f>IFERROR(SUM((TBA_Matches_All[[#This Row],[NZflrT]])/(TBA_Matches_All[[#This Row],[NZflrT]]+TBA_Matches_All[[#This Row],[NZflrM]])),0)</f>
        <v>0</v>
      </c>
      <c r="BN9">
        <f>COUNTIFS(Dyno_Data[Team],TBA_Matches_All[[#This Row],[Team]],Dyno_Data[Match],TBA_Matches_All[[#This Row],[Match_Number]],Dyno_Data[RecordType],"Activities",Dyno_Data[DelOrig],"AllyW", Dyno_Data[DelMiss],"0")</f>
        <v>0</v>
      </c>
      <c r="BO9">
        <f>COUNTIFS(Dyno_Data[Team],TBA_Matches_All[[#This Row],[Team]],Dyno_Data[Match],TBA_Matches_All[[#This Row],[Match_Number]],Dyno_Data[RecordType],"Activities",Dyno_Data[DelOrig],"AllyW", Dyno_Data[DelMiss],"1")</f>
        <v>2</v>
      </c>
      <c r="BP9" s="60">
        <f>IFERROR(SUM((TBA_Matches_All[[#This Row],[AZflrT]])/(TBA_Matches_All[[#This Row],[AZflrT]]+TBA_Matches_All[[#This Row],[AZflrM]])),0)</f>
        <v>0</v>
      </c>
      <c r="BQ9">
        <f>COUNTIFS(Dyno_Data[Team],TBA_Matches_All[[#This Row],[Team]],Dyno_Data[Match],TBA_Matches_All[[#This Row],[Match_Number]],Dyno_Data[RecordType],"Activities",Dyno_Data[DelOrig],"SubW", Dyno_Data[DelMiss],"0")</f>
        <v>4</v>
      </c>
      <c r="BR9">
        <f>COUNTIFS(Dyno_Data[Team],TBA_Matches_All[[#This Row],[Team]],Dyno_Data[Match],TBA_Matches_All[[#This Row],[Match_Number]],Dyno_Data[RecordType],"Activities",Dyno_Data[DelOrig],"SubW", Dyno_Data[DelMiss],"1")</f>
        <v>1</v>
      </c>
      <c r="BS9" s="60">
        <f>IFERROR(SUM((TBA_Matches_All[[#This Row],[SubwT]])/(TBA_Matches_All[[#This Row],[SubwT]]+TBA_Matches_All[[#This Row],[SubwM]])),0)</f>
        <v>0.8</v>
      </c>
      <c r="BT9">
        <f>COUNTIFS(Dyno_Data[Team],TBA_Matches_All[[#This Row],[Team]],Dyno_Data[Match],TBA_Matches_All[[#This Row],[Match_Number]],Dyno_Data[RecordType],"Activities", Dyno_Data[AcqLoc],"OppWing")</f>
        <v>0</v>
      </c>
      <c r="BU9">
        <f>COUNTIFS(Dyno_Data[Team],TBA_Matches_All[[#This Row],[Team]],Dyno_Data[Match],TBA_Matches_All[[#This Row],[Match_Number]],Dyno_Data[RecordType],"Activities", Dyno_Data[AcqLoc],"Neutral")</f>
        <v>0</v>
      </c>
      <c r="BV9">
        <f>COUNTIFS(Dyno_Data[Team],TBA_Matches_All[[#This Row],[Team]],Dyno_Data[Match],TBA_Matches_All[[#This Row],[Match_Number]],Dyno_Data[RecordType],"Activities", Dyno_Data[AcqLoc],"AllyWing")</f>
        <v>0</v>
      </c>
      <c r="BW9">
        <f>COUNTIFS(Dyno_Data[Team],TBA_Matches_All[[#This Row],[Team]],Dyno_Data[Match],TBA_Matches_All[[#This Row],[Match_Number]],Dyno_Data[RecordType],"Activities", Dyno_Data[AcqLoc],"Source")</f>
        <v>0</v>
      </c>
      <c r="BX9">
        <f>SUMIFS(Dyno_Data[AcqDrp], Dyno_Data[Team],TBA_Matches_All[[#This Row],[Team]],Dyno_Data[Match],TBA_Matches_All[[#This Row],[Match_Number]],Dyno_Data[RecordType],"Activities", Dyno_Data[AcqLoc],"Source")</f>
        <v>0</v>
      </c>
      <c r="BY9">
        <f>SUMIFS(Dyno_Data[OZTime], Dyno_Data[Team],TBA_Matches_All[[#This Row],[Team]],Dyno_Data[Match],TBA_Matches_All[[#This Row],[Match_Number]],Dyno_Data[RecordType],"EndMatch")</f>
        <v>28.176390899999998</v>
      </c>
      <c r="BZ9">
        <f>SUMIFS(Dyno_Data[NZTime], Dyno_Data[Team],TBA_Matches_All[[#This Row],[Team]],Dyno_Data[Match],TBA_Matches_All[[#This Row],[Match_Number]],Dyno_Data[RecordType],"EndMatch")</f>
        <v>11.8496066</v>
      </c>
      <c r="CA9">
        <f>SUMIFS(Dyno_Data[AZTime], Dyno_Data[Team],TBA_Matches_All[[#This Row],[Team]],Dyno_Data[Match],TBA_Matches_All[[#This Row],[Match_Number]],Dyno_Data[RecordType],"EndMatch")</f>
        <v>65.619132100000002</v>
      </c>
      <c r="CB9">
        <f>SUMIFS(Dyno_Data[ClimbT], Dyno_Data[Team],TBA_Matches_All[[#This Row],[Team]],Dyno_Data[Match],TBA_Matches_All[[#This Row],[Match_Number]],Dyno_Data[RecordType],"EndMatch")</f>
        <v>25.557519199999998</v>
      </c>
      <c r="CC9" t="str">
        <f>_xlfn.XLOOKUP(SUM(MID(TBA_Matches_All[[#This Row],[Team]],4,5),(TBA_Matches_All[[#This Row],[Match_Number]]/100)),Dyno_EndMatch[teammat],Dyno_EndMatch[StageStat],"_",0,1)</f>
        <v>On</v>
      </c>
      <c r="CD9" t="str">
        <f>_xlfn.XLOOKUP(TBA_Matches_All[[#This Row],[teammat]],Dyno_EndMatch[teammat],Dyno_EndMatch[StageAtt],"_",0,1)</f>
        <v>1</v>
      </c>
      <c r="CE9" t="str">
        <f>_xlfn.XLOOKUP(TBA_Matches_All[[#This Row],[teammat]],Dyno_EndMatch[teammat],Dyno_EndMatch[StageLoc],"_",0,1)</f>
        <v>L</v>
      </c>
      <c r="CF9">
        <f>SUMIFS(Dyno_Data[Harmony], Dyno_Data[Team],TBA_Matches_All[[#This Row],[Team]],Dyno_Data[Match],TBA_Matches_All[[#This Row],[Match_Number]],Dyno_Data[RecordType],"EndMatch", Dyno_Data[StageStat],"On",Dyno_Data[Harmony],"&lt;&gt;9")</f>
        <v>0</v>
      </c>
      <c r="CG9">
        <f>SUMIFS(Dyno_Data[Spotlit], Dyno_Data[Team],TBA_Matches_All[[#This Row],[Team]],Dyno_Data[Match],TBA_Matches_All[[#This Row],[Match_Number]],Dyno_Data[RecordType],"EndMatch", Dyno_Data[StageStat],"On",Dyno_Data[Spotlit],"&lt;&gt;9")</f>
        <v>0</v>
      </c>
      <c r="CH9" t="str">
        <f>_xlfn.XLOOKUP(TBA_Matches_All[[#This Row],[teammat]],Dyno_EndMatch[teammat],Dyno_EndMatch[Strategy],"_",0,1)</f>
        <v>Hybrid</v>
      </c>
      <c r="CI9">
        <f>SUMIFS(Dyno_Data[Defense], Dyno_Data[Team],TBA_Matches_All[[#This Row],[Team]],Dyno_Data[Match],TBA_Matches_All[[#This Row],[Match_Number]],Dyno_Data[RecordType],"EndMatch",Dyno_Data[Defense],"&lt;&gt;9")</f>
        <v>0</v>
      </c>
      <c r="CJ9">
        <f>SUMIFS(Dyno_Data[Avoidance], Dyno_Data[Team],TBA_Matches_All[[#This Row],[Team]],Dyno_Data[Match],TBA_Matches_All[[#This Row],[Match_Number]],Dyno_Data[RecordType],"EndMatch",Dyno_Data[Avoidance],"&lt;&gt;9")</f>
        <v>0</v>
      </c>
      <c r="CK9" s="82">
        <f>COUNTIF($H$2:TBA_Matches_All[[#This Row],[Team]],TBA_Matches_All[[#This Row],[Team]])</f>
        <v>1</v>
      </c>
      <c r="CL9" s="111">
        <f>SUM(MID(TBA_Matches_All[[#This Row],[Team]],4,5)+TBA_Matches_All[[#This Row],[Match_Number]]/100)</f>
        <v>6911.02</v>
      </c>
      <c r="CM9">
        <f>SUM((TBA_Matches_All[[#This Row],[Leave]]*2)+(TBA_Matches_All[[#This Row],[AampT]]*2)+(TBA_Matches_All[[#This Row],[AspkrT]]*5)+(TBA_Matches_All[[#This Row],[AtrapT]]*5))</f>
        <v>2</v>
      </c>
      <c r="CN9" s="59">
        <f>IFERROR(SUM(TBA_Matches_All[[#This Row],[AptsT]]/TBA_Matches_All[[#This Row],[AutoPts]]),0)</f>
        <v>0.22222222222222221</v>
      </c>
      <c r="CO9" s="59">
        <f>IFERROR(SUM(TBA_Matches_All[[#This Row],[AampT]]+TBA_Matches_All[[#This Row],[AspkrT]]+TBA_Matches_All[[#This Row],[AtrapT]]/TBA_Matches_All[[#This Row],[Aamp]]+TBA_Matches_All[[#This Row],[Aspkr]]+TBA_Matches_All[[#This Row],[AtrapT]]),0)</f>
        <v>0</v>
      </c>
      <c r="CP9" s="59">
        <f>IFERROR(SUM(TBA_Matches_All[[#This Row],[TampT]]/TBA_Matches_All[[#This Row],[Tamp]]),0)</f>
        <v>0</v>
      </c>
      <c r="CQ9" s="59">
        <f>IFERROR(SUM(TBA_Matches_All[[#This Row],[TspkrT]]/TBA_Matches_All[[#This Row],[Tspkr]]),0)</f>
        <v>1</v>
      </c>
      <c r="CR9">
        <f>SUM(TBA_Matches_All[[#This Row],[TspkrPts]]*TBA_Matches_All[[#This Row],[TspkrP]])</f>
        <v>11</v>
      </c>
      <c r="CS9" s="59">
        <f>IFERROR(SUM(TBA_Matches_All[[#This Row],[TtrapT]]/TBA_Matches_All[[#This Row],[Trap]]),0)</f>
        <v>0</v>
      </c>
      <c r="CT9" s="59">
        <f>IFERROR(SUM(TBA_Matches_All[[#This Row],[TotNotesT]]/TBA_Matches_All[[#This Row],[TotNotes]]),0)</f>
        <v>0.5</v>
      </c>
      <c r="CU9" s="66">
        <f>SUM((TBA_Matches_All[[#This Row],[AampT]]*2)+(TBA_Matches_All[[#This Row],[AspkrT]]*5)+(TBA_Matches_All[[#This Row],[AtrapT]]*5)+(TBA_Matches_All[[#This Row],[TampT]]*1)+(TBA_Matches_All[[#This Row],[TspkrptsC]]))</f>
        <v>11</v>
      </c>
      <c r="CV9" s="59">
        <f>IFERROR(TBA_Matches_All[[#This Row],[noteptsT]]/TBA_Matches_All[[#This Row],[NotePts]],0)</f>
        <v>0.57894736842105265</v>
      </c>
      <c r="CW9">
        <f>SUM(IF(TBA_Matches_All[[#This Row],[stageStat]]="On",3,0),IF(TBA_Matches_All[[#This Row],[stageStat]]="Park",1,0),SUMIFS(TBA_Matches_All[[#This Row],[Spotlit]],TBA_Matches_All[[#This Row],[stageStat]],"On"),SUMIFS(TBA_Matches_All[[#This Row],[Harmony]],TBA_Matches_All[[#This Row],[stageStat]],"On"))</f>
        <v>3</v>
      </c>
      <c r="CX9" s="59">
        <f>IFERROR(TBA_Matches_All[[#This Row],[stageptsT]]/TBA_Matches_All[[#This Row],[StagePts]],0)</f>
        <v>0.42857142857142855</v>
      </c>
      <c r="CY9">
        <f>SUM((TBA_Matches_All[[#This Row],[AptsT]]+TBA_Matches_All[[#This Row],[TampT]]+TBA_Matches_All[[#This Row],[TspkrptsC]]+(TBA_Matches_All[[#This Row],[TtrapT]]*5)+TBA_Matches_All[[#This Row],[stageptsT]]))</f>
        <v>16</v>
      </c>
      <c r="CZ9" s="59">
        <f>IFERROR(SUM(TBA_Matches_All[[#This Row],[TotptsC]]/TBA_Matches_All[[#This Row],[Score]]),0)</f>
        <v>0.53333333333333333</v>
      </c>
      <c r="DA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15.7</v>
      </c>
      <c r="DB9" s="74">
        <f>SUMIFS(TBA_Matches_All[AveTeamTNoteDels],TBA_Matches_All[Match_Number],TBA_Matches_All[[#This Row],[Match_Number]],TBA_Matches_All[Alliance],"&lt;&gt;"&amp;TBA_Matches_All[[#This Row],[Alliance]],TBA_Matches_All[Scouted],"&gt;0")</f>
        <v>30.92720238095238</v>
      </c>
      <c r="DC9" s="74">
        <f>(TBA_Matches_All[[#This Row],[TampT]]+TBA_Matches_All[[#This Row],[TspkrptsC]])-TBA_Matches_All[[#This Row],[AveTeamTNoteDels]]</f>
        <v>-4.6999999999999993</v>
      </c>
      <c r="DD9" s="74">
        <f>SUMIFS(TBA_Matches_All[AveTeamTNoteDels],TBA_Matches_All[Match_Number],TBA_Matches_All[[#This Row],[Match_Number]],TBA_Matches_All[Alliance],"&lt;&gt;"&amp;TBA_Matches_All[[#This Row],[Alliance]])-TBA_Matches_All[[#This Row],[AveOppTNoteDels]]</f>
        <v>0</v>
      </c>
    </row>
    <row r="10" spans="1:108" x14ac:dyDescent="0.3">
      <c r="A10" t="s">
        <v>1042</v>
      </c>
      <c r="B10" t="s">
        <v>489</v>
      </c>
      <c r="C10" t="s">
        <v>1281</v>
      </c>
      <c r="D10">
        <v>2</v>
      </c>
      <c r="E10" t="s">
        <v>1406</v>
      </c>
      <c r="F10" t="s">
        <v>1426</v>
      </c>
      <c r="G10" t="s">
        <v>164</v>
      </c>
      <c r="H10" t="s">
        <v>1284</v>
      </c>
      <c r="I10" t="b">
        <v>1</v>
      </c>
      <c r="J10">
        <v>70</v>
      </c>
      <c r="K10">
        <v>1</v>
      </c>
      <c r="L10">
        <v>0</v>
      </c>
      <c r="M10">
        <v>0</v>
      </c>
      <c r="N10">
        <v>0</v>
      </c>
      <c r="O10">
        <v>6</v>
      </c>
      <c r="P10">
        <v>30</v>
      </c>
      <c r="Q10">
        <v>34</v>
      </c>
      <c r="R10">
        <v>1</v>
      </c>
      <c r="S10">
        <v>0</v>
      </c>
      <c r="T10">
        <v>13</v>
      </c>
      <c r="U10">
        <v>0</v>
      </c>
      <c r="V10">
        <v>26</v>
      </c>
      <c r="W10">
        <v>13</v>
      </c>
      <c r="X10">
        <v>26</v>
      </c>
      <c r="Y10">
        <v>27</v>
      </c>
      <c r="Z10">
        <v>0</v>
      </c>
      <c r="AA10">
        <v>0</v>
      </c>
      <c r="AB10">
        <v>20</v>
      </c>
      <c r="AC10">
        <v>57</v>
      </c>
      <c r="AD10">
        <v>5</v>
      </c>
      <c r="AE10">
        <f>IFERROR(6/(COUNTIF(Dyno_EndMatch[Match],TBA_Matches_All[[#This Row],[Match_Number]])),0)</f>
        <v>1</v>
      </c>
      <c r="AF10">
        <f>COUNTIFS(Dyno_Data[Team],TBA_Matches_All[[#This Row],[Team]],Dyno_Data[Match],TBA_Matches_All[[#This Row],[Match_Number]],Dyno_Data[RecordType],"EndMatch",Dyno_Data[HPAmp],"Y")</f>
        <v>1</v>
      </c>
      <c r="AG10">
        <f>SUMIFS(Dyno_Data[Mics], Dyno_Data[Team],TBA_Matches_All[[#This Row],[Team]],Dyno_Data[Match],TBA_Matches_All[[#This Row],[Match_Number]],Dyno_Data[RecordType],"EndMatch",Dyno_Data[HPAmp],"Y")</f>
        <v>0</v>
      </c>
      <c r="AH10">
        <f>SUMIFS(Dyno_Data[Leave], Dyno_Data[Team],TBA_Matches_All[[#This Row],[Team]],Dyno_Data[Match],TBA_Matches_All[[#This Row],[Match_Number]],Dyno_Data[RecordType],"EndAuto")</f>
        <v>1</v>
      </c>
      <c r="AI10">
        <f>COUNTIFS(Dyno_Data[Team],TBA_Matches_All[[#This Row],[Team]],Dyno_Data[Match],TBA_Matches_All[[#This Row],[Match_Number]],Dyno_Data[RecordType],"Activities",Dyno_Data[DelDest],"Amp", Dyno_Data[DelMiss],"0", Dyno_Data[Mode],"Auto")</f>
        <v>0</v>
      </c>
      <c r="AJ10">
        <f>COUNTIFS(Dyno_Data[Team],TBA_Matches_All[[#This Row],[Team]],Dyno_Data[Match],TBA_Matches_All[[#This Row],[Match_Number]],Dyno_Data[RecordType],"Activities",Dyno_Data[DelDest],"Spkr", Dyno_Data[DelMiss],"0", Dyno_Data[Mode],"Auto")</f>
        <v>0</v>
      </c>
      <c r="AK10">
        <f>COUNTIFS(Dyno_Data[Team],TBA_Matches_All[[#This Row],[Team]],Dyno_Data[Match],TBA_Matches_All[[#This Row],[Match_Number]],Dyno_Data[RecordType],"Activities",Dyno_Data[DelDest],"Trap", Dyno_Data[DelMiss],"0", Dyno_Data[Mode],"Auto")</f>
        <v>0</v>
      </c>
      <c r="AL10">
        <f>COUNTIFS(Dyno_Data[Team],TBA_Matches_All[[#This Row],[Team]],Dyno_Data[Match],TBA_Matches_All[[#This Row],[Match_Number]],Dyno_Data[RecordType],"Activities",Dyno_Data[DelDest],"Amp", Dyno_Data[DelMiss],"0", Dyno_Data[Mode],"Teleop")</f>
        <v>0</v>
      </c>
      <c r="AM10">
        <f>COUNTIFS(Dyno_Data[Team],TBA_Matches_All[[#This Row],[Team]],Dyno_Data[Match],TBA_Matches_All[[#This Row],[Match_Number]],Dyno_Data[RecordType],"Activities",Dyno_Data[DelDest],"Spkr", Dyno_Data[DelMiss],"0", Dyno_Data[Mode],"Teleop")</f>
        <v>3</v>
      </c>
      <c r="AN10">
        <f>COUNTIFS(Dyno_Data[Team],TBA_Matches_All[[#This Row],[Team]],Dyno_Data[Match],TBA_Matches_All[[#This Row],[Match_Number]],Dyno_Data[RecordType],"Activities",Dyno_Data[DelDest],"Trap", Dyno_Data[DelMiss],"0", Dyno_Data[Mode],"&lt;&gt;Auto")</f>
        <v>0</v>
      </c>
      <c r="AO10">
        <f>SUM(TBA_Matches_All[[#This Row],[AampT]]+TBA_Matches_All[[#This Row],[AspkrT]]+TBA_Matches_All[[#This Row],[AtrapT]]+TBA_Matches_All[[#This Row],[TampT]]+TBA_Matches_All[[#This Row],[TspkrT]]+TBA_Matches_All[[#This Row],[TtrapT]])</f>
        <v>3</v>
      </c>
      <c r="AP10">
        <f>COUNTIFS(Dyno_Data[Team],TBA_Matches_All[[#This Row],[Team]],Dyno_Data[Match],TBA_Matches_All[[#This Row],[Match_Number]],Dyno_Data[RecordType],"Activities",Dyno_Data[DelDest],"Neut", Dyno_Data[DelMiss],"0")</f>
        <v>0</v>
      </c>
      <c r="AQ10">
        <f>COUNTIFS(Dyno_Data[Team],TBA_Matches_All[[#This Row],[Team]],Dyno_Data[Match],TBA_Matches_All[[#This Row],[Match_Number]],Dyno_Data[RecordType],"Activities",Dyno_Data[DelDest],"AllyW", Dyno_Data[DelMiss],"0")</f>
        <v>0</v>
      </c>
      <c r="AR10" t="str">
        <f>_xlfn.XLOOKUP(SUM(MID(TBA_Matches_All[[#This Row],[Team]],4,5),(TBA_Matches_All[[#This Row],[Match_Number]]/100)),Dyno_EndMatch[teammat],Dyno_EndMatch[RobotSta],"_",0,1)</f>
        <v>OppS</v>
      </c>
      <c r="AS10">
        <f>SUMIFS(Dyno_Data[AcqDis], Dyno_Data[Team],TBA_Matches_All[[#This Row],[Team]],Dyno_Data[Match],TBA_Matches_All[[#This Row],[Match_Number]],Dyno_Data[RecordType],"Activities", Dyno_Data[AcqCenter],1,Dyno_Data[Mode],"Auto")</f>
        <v>0</v>
      </c>
      <c r="AT10">
        <f>SUMIFS(Dyno_Data[AcqDis], Dyno_Data[Team],TBA_Matches_All[[#This Row],[Team]],Dyno_Data[Match],TBA_Matches_All[[#This Row],[Match_Number]],Dyno_Data[RecordType],"Activities", Dyno_Data[AcqCenter],2,Dyno_Data[Mode],"Auto")</f>
        <v>0</v>
      </c>
      <c r="AU10">
        <f>SUMIFS(Dyno_Data[AcqDis], Dyno_Data[Team],TBA_Matches_All[[#This Row],[Team]],Dyno_Data[Match],TBA_Matches_All[[#This Row],[Match_Number]],Dyno_Data[RecordType],"Activities", Dyno_Data[AcqCenter],3,Dyno_Data[Mode],"Auto")</f>
        <v>0</v>
      </c>
      <c r="AV10">
        <f>SUMIFS(Dyno_Data[AcqDis], Dyno_Data[Team],TBA_Matches_All[[#This Row],[Team]],Dyno_Data[Match],TBA_Matches_All[[#This Row],[Match_Number]],Dyno_Data[RecordType],"Activities", Dyno_Data[AcqCenter],4,Dyno_Data[Mode],"Auto")</f>
        <v>0</v>
      </c>
      <c r="AW10">
        <f>SUMIFS(Dyno_Data[AcqDis], Dyno_Data[Team],TBA_Matches_All[[#This Row],[Team]],Dyno_Data[Match],TBA_Matches_All[[#This Row],[Match_Number]],Dyno_Data[RecordType],"Activities", Dyno_Data[AcqCenter],5,Dyno_Data[Mode],"Auto")</f>
        <v>0</v>
      </c>
      <c r="AX10">
        <f>SUMIFS(Dyno_Data[DelMiss], Dyno_Data[Team],TBA_Matches_All[[#This Row],[Team]],Dyno_Data[Match],TBA_Matches_All[[#This Row],[Match_Number]],Dyno_Data[RecordType],"Activities", Dyno_Data[DelDest],"Amp")</f>
        <v>0</v>
      </c>
      <c r="AY10" s="60">
        <f>IFERROR(SUM((TBA_Matches_All[[#This Row],[AampT]]+TBA_Matches_All[[#This Row],[TampT]])/(TBA_Matches_All[[#This Row],[AampT]]+TBA_Matches_All[[#This Row],[TampT]]+TBA_Matches_All[[#This Row],[ampM]])),0)</f>
        <v>0</v>
      </c>
      <c r="AZ10">
        <f>SUMIFS(Dyno_Data[DelMiss], Dyno_Data[Team],TBA_Matches_All[[#This Row],[Team]],Dyno_Data[Match],TBA_Matches_All[[#This Row],[Match_Number]],Dyno_Data[RecordType],"Activities", Dyno_Data[DelDest],"Spkr")</f>
        <v>1</v>
      </c>
      <c r="BA10" s="60">
        <f>IFERROR(SUM((TBA_Matches_All[[#This Row],[AspkrT]]+TBA_Matches_All[[#This Row],[TspkrT]])/(TBA_Matches_All[[#This Row],[AspkrT]]+TBA_Matches_All[[#This Row],[TspkrT]]+TBA_Matches_All[[#This Row],[spkrM]])),0)</f>
        <v>0.75</v>
      </c>
      <c r="BB10">
        <f>SUMIFS(Dyno_Data[DelMiss], Dyno_Data[Team],TBA_Matches_All[[#This Row],[Team]],Dyno_Data[Match],TBA_Matches_All[[#This Row],[Match_Number]],Dyno_Data[RecordType],"Activities", Dyno_Data[DelDest],"Trap")</f>
        <v>0</v>
      </c>
      <c r="BC10" s="60">
        <f>IFERROR((TBA_Matches_All[[#This Row],[AtrapT]]+TBA_Matches_All[[#This Row],[TtrapT]])/(TBA_Matches_All[[#This Row],[AtrapT]]+TBA_Matches_All[[#This Row],[TtrapT]]+TBA_Matches_All[[#This Row],[trapM]]),0)</f>
        <v>0</v>
      </c>
      <c r="BD10">
        <f>COUNTIFS(Dyno_Data[Team],TBA_Matches_All[[#This Row],[Team]],Dyno_Data[Match],TBA_Matches_All[[#This Row],[Match_Number]],Dyno_Data[RecordType],"Activities",Dyno_Data[DelDest],"Neut", Dyno_Data[DelMiss],1)</f>
        <v>0</v>
      </c>
      <c r="BE10" s="60">
        <f>IFERROR(SUM((TBA_Matches_All[[#This Row],[NeutFlrT]])/(TBA_Matches_All[[#This Row],[NeutFlrT]]+TBA_Matches_All[[#This Row],[NZflM]])),0)</f>
        <v>0</v>
      </c>
      <c r="BF10">
        <f>COUNTIFS(Dyno_Data[Team],TBA_Matches_All[[#This Row],[Team]],Dyno_Data[Match],TBA_Matches_All[[#This Row],[Match_Number]],Dyno_Data[RecordType],"Activities",Dyno_Data[DelDest],"AllyW", Dyno_Data[DelMiss],1)</f>
        <v>0</v>
      </c>
      <c r="BG10" s="60">
        <f>IFERROR(SUM((TBA_Matches_All[[#This Row],[AllyWFlrT]])/(TBA_Matches_All[[#This Row],[AllyWFlrT]]+TBA_Matches_All[[#This Row],[AZflM]])),0)</f>
        <v>0</v>
      </c>
      <c r="BH10">
        <f>COUNTIFS(Dyno_Data[Team],TBA_Matches_All[[#This Row],[Team]],Dyno_Data[Match],TBA_Matches_All[[#This Row],[Match_Number]],Dyno_Data[RecordType],"Activities",Dyno_Data[DelOrig],"OppW", Dyno_Data[DelMiss],"0")</f>
        <v>0</v>
      </c>
      <c r="BI10">
        <f>COUNTIFS(Dyno_Data[Team],TBA_Matches_All[[#This Row],[Team]],Dyno_Data[Match],TBA_Matches_All[[#This Row],[Match_Number]],Dyno_Data[RecordType],"Activities",Dyno_Data[DelOrig],"OppW", Dyno_Data[DelMiss],"1")</f>
        <v>0</v>
      </c>
      <c r="BJ10" s="60">
        <f>IFERROR(SUM((TBA_Matches_All[[#This Row],[OZflrT]])/(TBA_Matches_All[[#This Row],[OZflrT]]+TBA_Matches_All[[#This Row],[OZflrM]])),0)</f>
        <v>0</v>
      </c>
      <c r="BK10">
        <f>COUNTIFS(Dyno_Data[Team],TBA_Matches_All[[#This Row],[Team]],Dyno_Data[Match],TBA_Matches_All[[#This Row],[Match_Number]],Dyno_Data[RecordType],"Activities",Dyno_Data[DelOrig],"Neut", Dyno_Data[DelMiss],"0")</f>
        <v>0</v>
      </c>
      <c r="BL10">
        <f>COUNTIFS(Dyno_Data[Team],TBA_Matches_All[[#This Row],[Team]],Dyno_Data[Match],TBA_Matches_All[[#This Row],[Match_Number]],Dyno_Data[RecordType],"Activities",Dyno_Data[DelOrig],"Neut", Dyno_Data[DelMiss],"1")</f>
        <v>0</v>
      </c>
      <c r="BM10" s="60">
        <f>IFERROR(SUM((TBA_Matches_All[[#This Row],[NZflrT]])/(TBA_Matches_All[[#This Row],[NZflrT]]+TBA_Matches_All[[#This Row],[NZflrM]])),0)</f>
        <v>0</v>
      </c>
      <c r="BN10">
        <f>COUNTIFS(Dyno_Data[Team],TBA_Matches_All[[#This Row],[Team]],Dyno_Data[Match],TBA_Matches_All[[#This Row],[Match_Number]],Dyno_Data[RecordType],"Activities",Dyno_Data[DelOrig],"AllyW", Dyno_Data[DelMiss],"0")</f>
        <v>1</v>
      </c>
      <c r="BO10">
        <f>COUNTIFS(Dyno_Data[Team],TBA_Matches_All[[#This Row],[Team]],Dyno_Data[Match],TBA_Matches_All[[#This Row],[Match_Number]],Dyno_Data[RecordType],"Activities",Dyno_Data[DelOrig],"AllyW", Dyno_Data[DelMiss],"1")</f>
        <v>1</v>
      </c>
      <c r="BP10" s="60">
        <f>IFERROR(SUM((TBA_Matches_All[[#This Row],[AZflrT]])/(TBA_Matches_All[[#This Row],[AZflrT]]+TBA_Matches_All[[#This Row],[AZflrM]])),0)</f>
        <v>0.5</v>
      </c>
      <c r="BQ10">
        <f>COUNTIFS(Dyno_Data[Team],TBA_Matches_All[[#This Row],[Team]],Dyno_Data[Match],TBA_Matches_All[[#This Row],[Match_Number]],Dyno_Data[RecordType],"Activities",Dyno_Data[DelOrig],"SubW", Dyno_Data[DelMiss],"0")</f>
        <v>2</v>
      </c>
      <c r="BR10">
        <f>COUNTIFS(Dyno_Data[Team],TBA_Matches_All[[#This Row],[Team]],Dyno_Data[Match],TBA_Matches_All[[#This Row],[Match_Number]],Dyno_Data[RecordType],"Activities",Dyno_Data[DelOrig],"SubW", Dyno_Data[DelMiss],"1")</f>
        <v>0</v>
      </c>
      <c r="BS10" s="60">
        <f>IFERROR(SUM((TBA_Matches_All[[#This Row],[SubwT]])/(TBA_Matches_All[[#This Row],[SubwT]]+TBA_Matches_All[[#This Row],[SubwM]])),0)</f>
        <v>1</v>
      </c>
      <c r="BT10">
        <f>COUNTIFS(Dyno_Data[Team],TBA_Matches_All[[#This Row],[Team]],Dyno_Data[Match],TBA_Matches_All[[#This Row],[Match_Number]],Dyno_Data[RecordType],"Activities", Dyno_Data[AcqLoc],"OppWing")</f>
        <v>0</v>
      </c>
      <c r="BU10">
        <f>COUNTIFS(Dyno_Data[Team],TBA_Matches_All[[#This Row],[Team]],Dyno_Data[Match],TBA_Matches_All[[#This Row],[Match_Number]],Dyno_Data[RecordType],"Activities", Dyno_Data[AcqLoc],"Neutral")</f>
        <v>0</v>
      </c>
      <c r="BV10">
        <f>COUNTIFS(Dyno_Data[Team],TBA_Matches_All[[#This Row],[Team]],Dyno_Data[Match],TBA_Matches_All[[#This Row],[Match_Number]],Dyno_Data[RecordType],"Activities", Dyno_Data[AcqLoc],"AllyWing")</f>
        <v>0</v>
      </c>
      <c r="BW10">
        <f>COUNTIFS(Dyno_Data[Team],TBA_Matches_All[[#This Row],[Team]],Dyno_Data[Match],TBA_Matches_All[[#This Row],[Match_Number]],Dyno_Data[RecordType],"Activities", Dyno_Data[AcqLoc],"Source")</f>
        <v>0</v>
      </c>
      <c r="BX10">
        <f>SUMIFS(Dyno_Data[AcqDrp], Dyno_Data[Team],TBA_Matches_All[[#This Row],[Team]],Dyno_Data[Match],TBA_Matches_All[[#This Row],[Match_Number]],Dyno_Data[RecordType],"Activities", Dyno_Data[AcqLoc],"Source")</f>
        <v>0</v>
      </c>
      <c r="BY10">
        <f>SUMIFS(Dyno_Data[OZTime], Dyno_Data[Team],TBA_Matches_All[[#This Row],[Team]],Dyno_Data[Match],TBA_Matches_All[[#This Row],[Match_Number]],Dyno_Data[RecordType],"EndMatch")</f>
        <v>22.375529199999999</v>
      </c>
      <c r="BZ10">
        <f>SUMIFS(Dyno_Data[NZTime], Dyno_Data[Team],TBA_Matches_All[[#This Row],[Team]],Dyno_Data[Match],TBA_Matches_All[[#This Row],[Match_Number]],Dyno_Data[RecordType],"EndMatch")</f>
        <v>20.453565699999999</v>
      </c>
      <c r="CA10">
        <f>SUMIFS(Dyno_Data[AZTime], Dyno_Data[Team],TBA_Matches_All[[#This Row],[Team]],Dyno_Data[Match],TBA_Matches_All[[#This Row],[Match_Number]],Dyno_Data[RecordType],"EndMatch")</f>
        <v>70.90055199999999</v>
      </c>
      <c r="CB10">
        <f>SUMIFS(Dyno_Data[ClimbT], Dyno_Data[Team],TBA_Matches_All[[#This Row],[Team]],Dyno_Data[Match],TBA_Matches_All[[#This Row],[Match_Number]],Dyno_Data[RecordType],"EndMatch")</f>
        <v>21.019356999999999</v>
      </c>
      <c r="CC10" t="str">
        <f>_xlfn.XLOOKUP(SUM(MID(TBA_Matches_All[[#This Row],[Team]],4,5),(TBA_Matches_All[[#This Row],[Match_Number]]/100)),Dyno_EndMatch[teammat],Dyno_EndMatch[StageStat],"_",0,1)</f>
        <v>Park</v>
      </c>
      <c r="CD10" t="str">
        <f>_xlfn.XLOOKUP(TBA_Matches_All[[#This Row],[teammat]],Dyno_EndMatch[teammat],Dyno_EndMatch[StageAtt],"_",0,1)</f>
        <v>-1</v>
      </c>
      <c r="CE10" t="str">
        <f>_xlfn.XLOOKUP(TBA_Matches_All[[#This Row],[teammat]],Dyno_EndMatch[teammat],Dyno_EndMatch[StageLoc],"_",0,1)</f>
        <v>A</v>
      </c>
      <c r="CF10">
        <f>SUMIFS(Dyno_Data[Harmony], Dyno_Data[Team],TBA_Matches_All[[#This Row],[Team]],Dyno_Data[Match],TBA_Matches_All[[#This Row],[Match_Number]],Dyno_Data[RecordType],"EndMatch", Dyno_Data[StageStat],"On",Dyno_Data[Harmony],"&lt;&gt;9")</f>
        <v>0</v>
      </c>
      <c r="CG10">
        <f>SUMIFS(Dyno_Data[Spotlit], Dyno_Data[Team],TBA_Matches_All[[#This Row],[Team]],Dyno_Data[Match],TBA_Matches_All[[#This Row],[Match_Number]],Dyno_Data[RecordType],"EndMatch", Dyno_Data[StageStat],"On",Dyno_Data[Spotlit],"&lt;&gt;9")</f>
        <v>0</v>
      </c>
      <c r="CH10" t="str">
        <f>_xlfn.XLOOKUP(TBA_Matches_All[[#This Row],[teammat]],Dyno_EndMatch[teammat],Dyno_EndMatch[Strategy],"_",0,1)</f>
        <v>Hybrid</v>
      </c>
      <c r="CI10">
        <f>SUMIFS(Dyno_Data[Defense], Dyno_Data[Team],TBA_Matches_All[[#This Row],[Team]],Dyno_Data[Match],TBA_Matches_All[[#This Row],[Match_Number]],Dyno_Data[RecordType],"EndMatch",Dyno_Data[Defense],"&lt;&gt;9")</f>
        <v>0</v>
      </c>
      <c r="CJ10">
        <f>SUMIFS(Dyno_Data[Avoidance], Dyno_Data[Team],TBA_Matches_All[[#This Row],[Team]],Dyno_Data[Match],TBA_Matches_All[[#This Row],[Match_Number]],Dyno_Data[RecordType],"EndMatch",Dyno_Data[Avoidance],"&lt;&gt;9")</f>
        <v>1</v>
      </c>
      <c r="CK10" s="82">
        <f>COUNTIF($H$2:TBA_Matches_All[[#This Row],[Team]],TBA_Matches_All[[#This Row],[Team]])</f>
        <v>1</v>
      </c>
      <c r="CL10" s="111">
        <f>SUM(MID(TBA_Matches_All[[#This Row],[Team]],4,5)+TBA_Matches_All[[#This Row],[Match_Number]]/100)</f>
        <v>5590.02</v>
      </c>
      <c r="CM10">
        <f>SUM((TBA_Matches_All[[#This Row],[Leave]]*2)+(TBA_Matches_All[[#This Row],[AampT]]*2)+(TBA_Matches_All[[#This Row],[AspkrT]]*5)+(TBA_Matches_All[[#This Row],[AtrapT]]*5))</f>
        <v>2</v>
      </c>
      <c r="CN10" s="59">
        <f>IFERROR(SUM(TBA_Matches_All[[#This Row],[AptsT]]/TBA_Matches_All[[#This Row],[AutoPts]]),0)</f>
        <v>5.8823529411764705E-2</v>
      </c>
      <c r="CO10" s="59">
        <f>IFERROR(SUM(TBA_Matches_All[[#This Row],[AampT]]+TBA_Matches_All[[#This Row],[AspkrT]]+TBA_Matches_All[[#This Row],[AtrapT]]/TBA_Matches_All[[#This Row],[Aamp]]+TBA_Matches_All[[#This Row],[Aspkr]]+TBA_Matches_All[[#This Row],[AtrapT]]),0)</f>
        <v>0</v>
      </c>
      <c r="CP10" s="59">
        <f>IFERROR(SUM(TBA_Matches_All[[#This Row],[TampT]]/TBA_Matches_All[[#This Row],[Tamp]]),0)</f>
        <v>0</v>
      </c>
      <c r="CQ10" s="59">
        <f>IFERROR(SUM(TBA_Matches_All[[#This Row],[TspkrT]]/TBA_Matches_All[[#This Row],[Tspkr]]),0)</f>
        <v>0.23076923076923078</v>
      </c>
      <c r="CR10">
        <f>SUM(TBA_Matches_All[[#This Row],[TspkrPts]]*TBA_Matches_All[[#This Row],[TspkrP]])</f>
        <v>6</v>
      </c>
      <c r="CS10" s="59">
        <f>IFERROR(SUM(TBA_Matches_All[[#This Row],[TtrapT]]/TBA_Matches_All[[#This Row],[Trap]]),0)</f>
        <v>0</v>
      </c>
      <c r="CT10" s="59">
        <f>IFERROR(SUM(TBA_Matches_All[[#This Row],[TotNotesT]]/TBA_Matches_All[[#This Row],[TotNotes]]),0)</f>
        <v>0.15</v>
      </c>
      <c r="CU10" s="66">
        <f>SUM((TBA_Matches_All[[#This Row],[AampT]]*2)+(TBA_Matches_All[[#This Row],[AspkrT]]*5)+(TBA_Matches_All[[#This Row],[AtrapT]]*5)+(TBA_Matches_All[[#This Row],[TampT]]*1)+(TBA_Matches_All[[#This Row],[TspkrptsC]]))</f>
        <v>6</v>
      </c>
      <c r="CV10" s="59">
        <f>IFERROR(TBA_Matches_All[[#This Row],[noteptsT]]/TBA_Matches_All[[#This Row],[NotePts]],0)</f>
        <v>0.10526315789473684</v>
      </c>
      <c r="CW10">
        <f>SUM(IF(TBA_Matches_All[[#This Row],[stageStat]]="On",3,0),IF(TBA_Matches_All[[#This Row],[stageStat]]="Park",1,0),SUMIFS(TBA_Matches_All[[#This Row],[Spotlit]],TBA_Matches_All[[#This Row],[stageStat]],"On"),SUMIFS(TBA_Matches_All[[#This Row],[Harmony]],TBA_Matches_All[[#This Row],[stageStat]],"On"))</f>
        <v>1</v>
      </c>
      <c r="CX10" s="59">
        <f>IFERROR(TBA_Matches_All[[#This Row],[stageptsT]]/TBA_Matches_All[[#This Row],[StagePts]],0)</f>
        <v>0.2</v>
      </c>
      <c r="CY10">
        <f>SUM((TBA_Matches_All[[#This Row],[AptsT]]+TBA_Matches_All[[#This Row],[TampT]]+TBA_Matches_All[[#This Row],[TspkrptsC]]+(TBA_Matches_All[[#This Row],[TtrapT]]*5)+TBA_Matches_All[[#This Row],[stageptsT]]))</f>
        <v>9</v>
      </c>
      <c r="CZ10" s="59">
        <f>IFERROR(SUM(TBA_Matches_All[[#This Row],[TotptsC]]/TBA_Matches_All[[#This Row],[Score]]),0)</f>
        <v>0.12857142857142856</v>
      </c>
      <c r="DA1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6.1142857142857139</v>
      </c>
      <c r="DB10" s="74">
        <f>SUMIFS(TBA_Matches_All[AveTeamTNoteDels],TBA_Matches_All[Match_Number],TBA_Matches_All[[#This Row],[Match_Number]],TBA_Matches_All[Alliance],"&lt;&gt;"&amp;TBA_Matches_All[[#This Row],[Alliance]],TBA_Matches_All[Scouted],"&gt;0")</f>
        <v>21.966666666666669</v>
      </c>
      <c r="DC10" s="74">
        <f>(TBA_Matches_All[[#This Row],[TampT]]+TBA_Matches_All[[#This Row],[TspkrptsC]])-TBA_Matches_All[[#This Row],[AveTeamTNoteDels]]</f>
        <v>-0.11428571428571388</v>
      </c>
      <c r="DD10" s="74">
        <f>SUMIFS(TBA_Matches_All[AveTeamTNoteDels],TBA_Matches_All[Match_Number],TBA_Matches_All[[#This Row],[Match_Number]],TBA_Matches_All[Alliance],"&lt;&gt;"&amp;TBA_Matches_All[[#This Row],[Alliance]])-TBA_Matches_All[[#This Row],[AveOppTNoteDels]]</f>
        <v>0</v>
      </c>
    </row>
    <row r="11" spans="1:108" x14ac:dyDescent="0.3">
      <c r="A11" t="s">
        <v>1042</v>
      </c>
      <c r="B11" t="s">
        <v>489</v>
      </c>
      <c r="C11" t="s">
        <v>1281</v>
      </c>
      <c r="D11">
        <v>2</v>
      </c>
      <c r="E11" t="s">
        <v>1420</v>
      </c>
      <c r="F11" t="s">
        <v>1421</v>
      </c>
      <c r="G11" t="s">
        <v>164</v>
      </c>
      <c r="H11" t="s">
        <v>1283</v>
      </c>
      <c r="I11" t="b">
        <v>1</v>
      </c>
      <c r="J11">
        <v>30</v>
      </c>
      <c r="K11">
        <v>0</v>
      </c>
      <c r="L11">
        <v>0</v>
      </c>
      <c r="M11">
        <v>4</v>
      </c>
      <c r="N11">
        <v>0</v>
      </c>
      <c r="O11">
        <v>1</v>
      </c>
      <c r="P11">
        <v>5</v>
      </c>
      <c r="Q11">
        <v>9</v>
      </c>
      <c r="R11">
        <v>3</v>
      </c>
      <c r="S11">
        <v>1</v>
      </c>
      <c r="T11">
        <v>3</v>
      </c>
      <c r="U11">
        <v>5</v>
      </c>
      <c r="V11">
        <v>6</v>
      </c>
      <c r="W11">
        <v>4</v>
      </c>
      <c r="X11">
        <v>11</v>
      </c>
      <c r="Y11">
        <v>14</v>
      </c>
      <c r="Z11">
        <v>0</v>
      </c>
      <c r="AA11">
        <v>0</v>
      </c>
      <c r="AB11">
        <v>8</v>
      </c>
      <c r="AC11">
        <v>19</v>
      </c>
      <c r="AD11">
        <v>7</v>
      </c>
      <c r="AE11">
        <f>IFERROR(6/(COUNTIF(Dyno_EndMatch[Match],TBA_Matches_All[[#This Row],[Match_Number]])),0)</f>
        <v>1</v>
      </c>
      <c r="AF11">
        <f>COUNTIFS(Dyno_Data[Team],TBA_Matches_All[[#This Row],[Team]],Dyno_Data[Match],TBA_Matches_All[[#This Row],[Match_Number]],Dyno_Data[RecordType],"EndMatch",Dyno_Data[HPAmp],"Y")</f>
        <v>0</v>
      </c>
      <c r="AG11">
        <f>SUMIFS(Dyno_Data[Mics], Dyno_Data[Team],TBA_Matches_All[[#This Row],[Team]],Dyno_Data[Match],TBA_Matches_All[[#This Row],[Match_Number]],Dyno_Data[RecordType],"EndMatch",Dyno_Data[HPAmp],"Y")</f>
        <v>0</v>
      </c>
      <c r="AH11">
        <f>SUMIFS(Dyno_Data[Leave], Dyno_Data[Team],TBA_Matches_All[[#This Row],[Team]],Dyno_Data[Match],TBA_Matches_All[[#This Row],[Match_Number]],Dyno_Data[RecordType],"EndAuto")</f>
        <v>1</v>
      </c>
      <c r="AI11">
        <f>COUNTIFS(Dyno_Data[Team],TBA_Matches_All[[#This Row],[Team]],Dyno_Data[Match],TBA_Matches_All[[#This Row],[Match_Number]],Dyno_Data[RecordType],"Activities",Dyno_Data[DelDest],"Amp", Dyno_Data[DelMiss],"0", Dyno_Data[Mode],"Auto")</f>
        <v>0</v>
      </c>
      <c r="AJ11">
        <f>COUNTIFS(Dyno_Data[Team],TBA_Matches_All[[#This Row],[Team]],Dyno_Data[Match],TBA_Matches_All[[#This Row],[Match_Number]],Dyno_Data[RecordType],"Activities",Dyno_Data[DelDest],"Spkr", Dyno_Data[DelMiss],"0", Dyno_Data[Mode],"Auto")</f>
        <v>0</v>
      </c>
      <c r="AK11">
        <f>COUNTIFS(Dyno_Data[Team],TBA_Matches_All[[#This Row],[Team]],Dyno_Data[Match],TBA_Matches_All[[#This Row],[Match_Number]],Dyno_Data[RecordType],"Activities",Dyno_Data[DelDest],"Trap", Dyno_Data[DelMiss],"0", Dyno_Data[Mode],"Auto")</f>
        <v>0</v>
      </c>
      <c r="AL11">
        <f>COUNTIFS(Dyno_Data[Team],TBA_Matches_All[[#This Row],[Team]],Dyno_Data[Match],TBA_Matches_All[[#This Row],[Match_Number]],Dyno_Data[RecordType],"Activities",Dyno_Data[DelDest],"Amp", Dyno_Data[DelMiss],"0", Dyno_Data[Mode],"Teleop")</f>
        <v>0</v>
      </c>
      <c r="AM11">
        <f>COUNTIFS(Dyno_Data[Team],TBA_Matches_All[[#This Row],[Team]],Dyno_Data[Match],TBA_Matches_All[[#This Row],[Match_Number]],Dyno_Data[RecordType],"Activities",Dyno_Data[DelDest],"Spkr", Dyno_Data[DelMiss],"0", Dyno_Data[Mode],"Teleop")</f>
        <v>0</v>
      </c>
      <c r="AN11">
        <f>COUNTIFS(Dyno_Data[Team],TBA_Matches_All[[#This Row],[Team]],Dyno_Data[Match],TBA_Matches_All[[#This Row],[Match_Number]],Dyno_Data[RecordType],"Activities",Dyno_Data[DelDest],"Trap", Dyno_Data[DelMiss],"0", Dyno_Data[Mode],"&lt;&gt;Auto")</f>
        <v>0</v>
      </c>
      <c r="AO11">
        <f>SUM(TBA_Matches_All[[#This Row],[AampT]]+TBA_Matches_All[[#This Row],[AspkrT]]+TBA_Matches_All[[#This Row],[AtrapT]]+TBA_Matches_All[[#This Row],[TampT]]+TBA_Matches_All[[#This Row],[TspkrT]]+TBA_Matches_All[[#This Row],[TtrapT]])</f>
        <v>0</v>
      </c>
      <c r="AP11">
        <f>COUNTIFS(Dyno_Data[Team],TBA_Matches_All[[#This Row],[Team]],Dyno_Data[Match],TBA_Matches_All[[#This Row],[Match_Number]],Dyno_Data[RecordType],"Activities",Dyno_Data[DelDest],"Neut", Dyno_Data[DelMiss],"0")</f>
        <v>0</v>
      </c>
      <c r="AQ11">
        <f>COUNTIFS(Dyno_Data[Team],TBA_Matches_All[[#This Row],[Team]],Dyno_Data[Match],TBA_Matches_All[[#This Row],[Match_Number]],Dyno_Data[RecordType],"Activities",Dyno_Data[DelDest],"AllyW", Dyno_Data[DelMiss],"0")</f>
        <v>0</v>
      </c>
      <c r="AR11" t="str">
        <f>_xlfn.XLOOKUP(SUM(MID(TBA_Matches_All[[#This Row],[Team]],4,5),(TBA_Matches_All[[#This Row],[Match_Number]]/100)),Dyno_EndMatch[teammat],Dyno_EndMatch[RobotSta],"_",0,1)</f>
        <v>OppS</v>
      </c>
      <c r="AS11">
        <f>SUMIFS(Dyno_Data[AcqDis], Dyno_Data[Team],TBA_Matches_All[[#This Row],[Team]],Dyno_Data[Match],TBA_Matches_All[[#This Row],[Match_Number]],Dyno_Data[RecordType],"Activities", Dyno_Data[AcqCenter],1,Dyno_Data[Mode],"Auto")</f>
        <v>0</v>
      </c>
      <c r="AT11">
        <f>SUMIFS(Dyno_Data[AcqDis], Dyno_Data[Team],TBA_Matches_All[[#This Row],[Team]],Dyno_Data[Match],TBA_Matches_All[[#This Row],[Match_Number]],Dyno_Data[RecordType],"Activities", Dyno_Data[AcqCenter],2,Dyno_Data[Mode],"Auto")</f>
        <v>0</v>
      </c>
      <c r="AU11">
        <f>SUMIFS(Dyno_Data[AcqDis], Dyno_Data[Team],TBA_Matches_All[[#This Row],[Team]],Dyno_Data[Match],TBA_Matches_All[[#This Row],[Match_Number]],Dyno_Data[RecordType],"Activities", Dyno_Data[AcqCenter],3,Dyno_Data[Mode],"Auto")</f>
        <v>0</v>
      </c>
      <c r="AV11">
        <f>SUMIFS(Dyno_Data[AcqDis], Dyno_Data[Team],TBA_Matches_All[[#This Row],[Team]],Dyno_Data[Match],TBA_Matches_All[[#This Row],[Match_Number]],Dyno_Data[RecordType],"Activities", Dyno_Data[AcqCenter],4,Dyno_Data[Mode],"Auto")</f>
        <v>0</v>
      </c>
      <c r="AW11">
        <f>SUMIFS(Dyno_Data[AcqDis], Dyno_Data[Team],TBA_Matches_All[[#This Row],[Team]],Dyno_Data[Match],TBA_Matches_All[[#This Row],[Match_Number]],Dyno_Data[RecordType],"Activities", Dyno_Data[AcqCenter],5,Dyno_Data[Mode],"Auto")</f>
        <v>0</v>
      </c>
      <c r="AX11">
        <f>SUMIFS(Dyno_Data[DelMiss], Dyno_Data[Team],TBA_Matches_All[[#This Row],[Team]],Dyno_Data[Match],TBA_Matches_All[[#This Row],[Match_Number]],Dyno_Data[RecordType],"Activities", Dyno_Data[DelDest],"Amp")</f>
        <v>0</v>
      </c>
      <c r="AY11" s="60">
        <f>IFERROR(SUM((TBA_Matches_All[[#This Row],[AampT]]+TBA_Matches_All[[#This Row],[TampT]])/(TBA_Matches_All[[#This Row],[AampT]]+TBA_Matches_All[[#This Row],[TampT]]+TBA_Matches_All[[#This Row],[ampM]])),0)</f>
        <v>0</v>
      </c>
      <c r="AZ11">
        <f>SUMIFS(Dyno_Data[DelMiss], Dyno_Data[Team],TBA_Matches_All[[#This Row],[Team]],Dyno_Data[Match],TBA_Matches_All[[#This Row],[Match_Number]],Dyno_Data[RecordType],"Activities", Dyno_Data[DelDest],"Spkr")</f>
        <v>1</v>
      </c>
      <c r="BA11" s="60">
        <f>IFERROR(SUM((TBA_Matches_All[[#This Row],[AspkrT]]+TBA_Matches_All[[#This Row],[TspkrT]])/(TBA_Matches_All[[#This Row],[AspkrT]]+TBA_Matches_All[[#This Row],[TspkrT]]+TBA_Matches_All[[#This Row],[spkrM]])),0)</f>
        <v>0</v>
      </c>
      <c r="BB11">
        <f>SUMIFS(Dyno_Data[DelMiss], Dyno_Data[Team],TBA_Matches_All[[#This Row],[Team]],Dyno_Data[Match],TBA_Matches_All[[#This Row],[Match_Number]],Dyno_Data[RecordType],"Activities", Dyno_Data[DelDest],"Trap")</f>
        <v>0</v>
      </c>
      <c r="BC11" s="60">
        <f>IFERROR((TBA_Matches_All[[#This Row],[AtrapT]]+TBA_Matches_All[[#This Row],[TtrapT]])/(TBA_Matches_All[[#This Row],[AtrapT]]+TBA_Matches_All[[#This Row],[TtrapT]]+TBA_Matches_All[[#This Row],[trapM]]),0)</f>
        <v>0</v>
      </c>
      <c r="BD11">
        <f>COUNTIFS(Dyno_Data[Team],TBA_Matches_All[[#This Row],[Team]],Dyno_Data[Match],TBA_Matches_All[[#This Row],[Match_Number]],Dyno_Data[RecordType],"Activities",Dyno_Data[DelDest],"Neut", Dyno_Data[DelMiss],1)</f>
        <v>0</v>
      </c>
      <c r="BE11" s="60">
        <f>IFERROR(SUM((TBA_Matches_All[[#This Row],[NeutFlrT]])/(TBA_Matches_All[[#This Row],[NeutFlrT]]+TBA_Matches_All[[#This Row],[NZflM]])),0)</f>
        <v>0</v>
      </c>
      <c r="BF11">
        <f>COUNTIFS(Dyno_Data[Team],TBA_Matches_All[[#This Row],[Team]],Dyno_Data[Match],TBA_Matches_All[[#This Row],[Match_Number]],Dyno_Data[RecordType],"Activities",Dyno_Data[DelDest],"AllyW", Dyno_Data[DelMiss],1)</f>
        <v>0</v>
      </c>
      <c r="BG11" s="60">
        <f>IFERROR(SUM((TBA_Matches_All[[#This Row],[AllyWFlrT]])/(TBA_Matches_All[[#This Row],[AllyWFlrT]]+TBA_Matches_All[[#This Row],[AZflM]])),0)</f>
        <v>0</v>
      </c>
      <c r="BH11">
        <f>COUNTIFS(Dyno_Data[Team],TBA_Matches_All[[#This Row],[Team]],Dyno_Data[Match],TBA_Matches_All[[#This Row],[Match_Number]],Dyno_Data[RecordType],"Activities",Dyno_Data[DelOrig],"OppW", Dyno_Data[DelMiss],"0")</f>
        <v>0</v>
      </c>
      <c r="BI11">
        <f>COUNTIFS(Dyno_Data[Team],TBA_Matches_All[[#This Row],[Team]],Dyno_Data[Match],TBA_Matches_All[[#This Row],[Match_Number]],Dyno_Data[RecordType],"Activities",Dyno_Data[DelOrig],"OppW", Dyno_Data[DelMiss],"1")</f>
        <v>0</v>
      </c>
      <c r="BJ11" s="60">
        <f>IFERROR(SUM((TBA_Matches_All[[#This Row],[OZflrT]])/(TBA_Matches_All[[#This Row],[OZflrT]]+TBA_Matches_All[[#This Row],[OZflrM]])),0)</f>
        <v>0</v>
      </c>
      <c r="BK11">
        <f>COUNTIFS(Dyno_Data[Team],TBA_Matches_All[[#This Row],[Team]],Dyno_Data[Match],TBA_Matches_All[[#This Row],[Match_Number]],Dyno_Data[RecordType],"Activities",Dyno_Data[DelOrig],"Neut", Dyno_Data[DelMiss],"0")</f>
        <v>0</v>
      </c>
      <c r="BL11">
        <f>COUNTIFS(Dyno_Data[Team],TBA_Matches_All[[#This Row],[Team]],Dyno_Data[Match],TBA_Matches_All[[#This Row],[Match_Number]],Dyno_Data[RecordType],"Activities",Dyno_Data[DelOrig],"Neut", Dyno_Data[DelMiss],"1")</f>
        <v>0</v>
      </c>
      <c r="BM11" s="60">
        <f>IFERROR(SUM((TBA_Matches_All[[#This Row],[NZflrT]])/(TBA_Matches_All[[#This Row],[NZflrT]]+TBA_Matches_All[[#This Row],[NZflrM]])),0)</f>
        <v>0</v>
      </c>
      <c r="BN11">
        <f>COUNTIFS(Dyno_Data[Team],TBA_Matches_All[[#This Row],[Team]],Dyno_Data[Match],TBA_Matches_All[[#This Row],[Match_Number]],Dyno_Data[RecordType],"Activities",Dyno_Data[DelOrig],"AllyW", Dyno_Data[DelMiss],"0")</f>
        <v>0</v>
      </c>
      <c r="BO11">
        <f>COUNTIFS(Dyno_Data[Team],TBA_Matches_All[[#This Row],[Team]],Dyno_Data[Match],TBA_Matches_All[[#This Row],[Match_Number]],Dyno_Data[RecordType],"Activities",Dyno_Data[DelOrig],"AllyW", Dyno_Data[DelMiss],"1")</f>
        <v>1</v>
      </c>
      <c r="BP11" s="60">
        <f>IFERROR(SUM((TBA_Matches_All[[#This Row],[AZflrT]])/(TBA_Matches_All[[#This Row],[AZflrT]]+TBA_Matches_All[[#This Row],[AZflrM]])),0)</f>
        <v>0</v>
      </c>
      <c r="BQ11">
        <f>COUNTIFS(Dyno_Data[Team],TBA_Matches_All[[#This Row],[Team]],Dyno_Data[Match],TBA_Matches_All[[#This Row],[Match_Number]],Dyno_Data[RecordType],"Activities",Dyno_Data[DelOrig],"SubW", Dyno_Data[DelMiss],"0")</f>
        <v>0</v>
      </c>
      <c r="BR11">
        <f>COUNTIFS(Dyno_Data[Team],TBA_Matches_All[[#This Row],[Team]],Dyno_Data[Match],TBA_Matches_All[[#This Row],[Match_Number]],Dyno_Data[RecordType],"Activities",Dyno_Data[DelOrig],"SubW", Dyno_Data[DelMiss],"1")</f>
        <v>0</v>
      </c>
      <c r="BS11" s="60">
        <f>IFERROR(SUM((TBA_Matches_All[[#This Row],[SubwT]])/(TBA_Matches_All[[#This Row],[SubwT]]+TBA_Matches_All[[#This Row],[SubwM]])),0)</f>
        <v>0</v>
      </c>
      <c r="BT11">
        <f>COUNTIFS(Dyno_Data[Team],TBA_Matches_All[[#This Row],[Team]],Dyno_Data[Match],TBA_Matches_All[[#This Row],[Match_Number]],Dyno_Data[RecordType],"Activities", Dyno_Data[AcqLoc],"OppWing")</f>
        <v>0</v>
      </c>
      <c r="BU11">
        <f>COUNTIFS(Dyno_Data[Team],TBA_Matches_All[[#This Row],[Team]],Dyno_Data[Match],TBA_Matches_All[[#This Row],[Match_Number]],Dyno_Data[RecordType],"Activities", Dyno_Data[AcqLoc],"Neutral")</f>
        <v>0</v>
      </c>
      <c r="BV11">
        <f>COUNTIFS(Dyno_Data[Team],TBA_Matches_All[[#This Row],[Team]],Dyno_Data[Match],TBA_Matches_All[[#This Row],[Match_Number]],Dyno_Data[RecordType],"Activities", Dyno_Data[AcqLoc],"AllyWing")</f>
        <v>0</v>
      </c>
      <c r="BW11">
        <f>COUNTIFS(Dyno_Data[Team],TBA_Matches_All[[#This Row],[Team]],Dyno_Data[Match],TBA_Matches_All[[#This Row],[Match_Number]],Dyno_Data[RecordType],"Activities", Dyno_Data[AcqLoc],"Source")</f>
        <v>0</v>
      </c>
      <c r="BX11">
        <f>SUMIFS(Dyno_Data[AcqDrp], Dyno_Data[Team],TBA_Matches_All[[#This Row],[Team]],Dyno_Data[Match],TBA_Matches_All[[#This Row],[Match_Number]],Dyno_Data[RecordType],"Activities", Dyno_Data[AcqLoc],"Source")</f>
        <v>0</v>
      </c>
      <c r="BY11">
        <f>SUMIFS(Dyno_Data[OZTime], Dyno_Data[Team],TBA_Matches_All[[#This Row],[Team]],Dyno_Data[Match],TBA_Matches_All[[#This Row],[Match_Number]],Dyno_Data[RecordType],"EndMatch")</f>
        <v>2.7660054999999999</v>
      </c>
      <c r="BZ11">
        <f>SUMIFS(Dyno_Data[NZTime], Dyno_Data[Team],TBA_Matches_All[[#This Row],[Team]],Dyno_Data[Match],TBA_Matches_All[[#This Row],[Match_Number]],Dyno_Data[RecordType],"EndMatch")</f>
        <v>13.939384199999999</v>
      </c>
      <c r="CA11">
        <f>SUMIFS(Dyno_Data[AZTime], Dyno_Data[Team],TBA_Matches_All[[#This Row],[Team]],Dyno_Data[Match],TBA_Matches_All[[#This Row],[Match_Number]],Dyno_Data[RecordType],"EndMatch")</f>
        <v>98.710551899999999</v>
      </c>
      <c r="CB11">
        <f>SUMIFS(Dyno_Data[ClimbT], Dyno_Data[Team],TBA_Matches_All[[#This Row],[Team]],Dyno_Data[Match],TBA_Matches_All[[#This Row],[Match_Number]],Dyno_Data[RecordType],"EndMatch")</f>
        <v>8.0199509999999989</v>
      </c>
      <c r="CC11" t="str">
        <f>_xlfn.XLOOKUP(SUM(MID(TBA_Matches_All[[#This Row],[Team]],4,5),(TBA_Matches_All[[#This Row],[Match_Number]]/100)),Dyno_EndMatch[teammat],Dyno_EndMatch[StageStat],"_",0,1)</f>
        <v>On</v>
      </c>
      <c r="CD11" t="str">
        <f>_xlfn.XLOOKUP(TBA_Matches_All[[#This Row],[teammat]],Dyno_EndMatch[teammat],Dyno_EndMatch[StageAtt],"_",0,1)</f>
        <v>1</v>
      </c>
      <c r="CE11" t="str">
        <f>_xlfn.XLOOKUP(TBA_Matches_All[[#This Row],[teammat]],Dyno_EndMatch[teammat],Dyno_EndMatch[StageLoc],"_",0,1)</f>
        <v>R</v>
      </c>
      <c r="CF11">
        <f>SUMIFS(Dyno_Data[Harmony], Dyno_Data[Team],TBA_Matches_All[[#This Row],[Team]],Dyno_Data[Match],TBA_Matches_All[[#This Row],[Match_Number]],Dyno_Data[RecordType],"EndMatch", Dyno_Data[StageStat],"On",Dyno_Data[Harmony],"&lt;&gt;9")</f>
        <v>0</v>
      </c>
      <c r="CG11">
        <f>SUMIFS(Dyno_Data[Spotlit], Dyno_Data[Team],TBA_Matches_All[[#This Row],[Team]],Dyno_Data[Match],TBA_Matches_All[[#This Row],[Match_Number]],Dyno_Data[RecordType],"EndMatch", Dyno_Data[StageStat],"On",Dyno_Data[Spotlit],"&lt;&gt;9")</f>
        <v>0</v>
      </c>
      <c r="CH11" t="str">
        <f>_xlfn.XLOOKUP(TBA_Matches_All[[#This Row],[teammat]],Dyno_EndMatch[teammat],Dyno_EndMatch[Strategy],"_",0,1)</f>
        <v>Defense</v>
      </c>
      <c r="CI11">
        <f>SUMIFS(Dyno_Data[Defense], Dyno_Data[Team],TBA_Matches_All[[#This Row],[Team]],Dyno_Data[Match],TBA_Matches_All[[#This Row],[Match_Number]],Dyno_Data[RecordType],"EndMatch",Dyno_Data[Defense],"&lt;&gt;9")</f>
        <v>2</v>
      </c>
      <c r="CJ11">
        <f>SUMIFS(Dyno_Data[Avoidance], Dyno_Data[Team],TBA_Matches_All[[#This Row],[Team]],Dyno_Data[Match],TBA_Matches_All[[#This Row],[Match_Number]],Dyno_Data[RecordType],"EndMatch",Dyno_Data[Avoidance],"&lt;&gt;9")</f>
        <v>0</v>
      </c>
      <c r="CK11" s="82">
        <f>COUNTIF($H$2:TBA_Matches_All[[#This Row],[Team]],TBA_Matches_All[[#This Row],[Team]])</f>
        <v>1</v>
      </c>
      <c r="CL11" s="111">
        <f>SUM(MID(TBA_Matches_All[[#This Row],[Team]],4,5)+TBA_Matches_All[[#This Row],[Match_Number]]/100)</f>
        <v>1601.02</v>
      </c>
      <c r="CM11">
        <f>SUM((TBA_Matches_All[[#This Row],[Leave]]*2)+(TBA_Matches_All[[#This Row],[AampT]]*2)+(TBA_Matches_All[[#This Row],[AspkrT]]*5)+(TBA_Matches_All[[#This Row],[AtrapT]]*5))</f>
        <v>2</v>
      </c>
      <c r="CN11" s="59">
        <f>IFERROR(SUM(TBA_Matches_All[[#This Row],[AptsT]]/TBA_Matches_All[[#This Row],[AutoPts]]),0)</f>
        <v>0.22222222222222221</v>
      </c>
      <c r="CO11" s="59">
        <f>IFERROR(SUM(TBA_Matches_All[[#This Row],[AampT]]+TBA_Matches_All[[#This Row],[AspkrT]]+TBA_Matches_All[[#This Row],[AtrapT]]/TBA_Matches_All[[#This Row],[Aamp]]+TBA_Matches_All[[#This Row],[Aspkr]]+TBA_Matches_All[[#This Row],[AtrapT]]),0)</f>
        <v>0</v>
      </c>
      <c r="CP11" s="59">
        <f>IFERROR(SUM(TBA_Matches_All[[#This Row],[TampT]]/TBA_Matches_All[[#This Row],[Tamp]]),0)</f>
        <v>0</v>
      </c>
      <c r="CQ11" s="59">
        <f>IFERROR(SUM(TBA_Matches_All[[#This Row],[TspkrT]]/TBA_Matches_All[[#This Row],[Tspkr]]),0)</f>
        <v>0</v>
      </c>
      <c r="CR11">
        <f>SUM(TBA_Matches_All[[#This Row],[TspkrPts]]*TBA_Matches_All[[#This Row],[TspkrP]])</f>
        <v>0</v>
      </c>
      <c r="CS11" s="59">
        <f>IFERROR(SUM(TBA_Matches_All[[#This Row],[TtrapT]]/TBA_Matches_All[[#This Row],[Trap]]),0)</f>
        <v>0</v>
      </c>
      <c r="CT11" s="59">
        <f>IFERROR(SUM(TBA_Matches_All[[#This Row],[TotNotesT]]/TBA_Matches_All[[#This Row],[TotNotes]]),0)</f>
        <v>0</v>
      </c>
      <c r="CU11" s="66">
        <f>SUM((TBA_Matches_All[[#This Row],[AampT]]*2)+(TBA_Matches_All[[#This Row],[AspkrT]]*5)+(TBA_Matches_All[[#This Row],[AtrapT]]*5)+(TBA_Matches_All[[#This Row],[TampT]]*1)+(TBA_Matches_All[[#This Row],[TspkrptsC]]))</f>
        <v>0</v>
      </c>
      <c r="CV11" s="59">
        <f>IFERROR(TBA_Matches_All[[#This Row],[noteptsT]]/TBA_Matches_All[[#This Row],[NotePts]],0)</f>
        <v>0</v>
      </c>
      <c r="CW11">
        <f>SUM(IF(TBA_Matches_All[[#This Row],[stageStat]]="On",3,0),IF(TBA_Matches_All[[#This Row],[stageStat]]="Park",1,0),SUMIFS(TBA_Matches_All[[#This Row],[Spotlit]],TBA_Matches_All[[#This Row],[stageStat]],"On"),SUMIFS(TBA_Matches_All[[#This Row],[Harmony]],TBA_Matches_All[[#This Row],[stageStat]],"On"))</f>
        <v>3</v>
      </c>
      <c r="CX11" s="59">
        <f>IFERROR(TBA_Matches_All[[#This Row],[stageptsT]]/TBA_Matches_All[[#This Row],[StagePts]],0)</f>
        <v>0.42857142857142855</v>
      </c>
      <c r="CY11">
        <f>SUM((TBA_Matches_All[[#This Row],[AptsT]]+TBA_Matches_All[[#This Row],[TampT]]+TBA_Matches_All[[#This Row],[TspkrptsC]]+(TBA_Matches_All[[#This Row],[TtrapT]]*5)+TBA_Matches_All[[#This Row],[stageptsT]]))</f>
        <v>5</v>
      </c>
      <c r="CZ11" s="59">
        <f>IFERROR(SUM(TBA_Matches_All[[#This Row],[TotptsC]]/TBA_Matches_All[[#This Row],[Score]]),0)</f>
        <v>0.16666666666666666</v>
      </c>
      <c r="DA1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0.6</v>
      </c>
      <c r="DB11" s="74">
        <f>SUMIFS(TBA_Matches_All[AveTeamTNoteDels],TBA_Matches_All[Match_Number],TBA_Matches_All[[#This Row],[Match_Number]],TBA_Matches_All[Alliance],"&lt;&gt;"&amp;TBA_Matches_All[[#This Row],[Alliance]],TBA_Matches_All[Scouted],"&gt;0")</f>
        <v>30.92720238095238</v>
      </c>
      <c r="DC11" s="74">
        <f>(TBA_Matches_All[[#This Row],[TampT]]+TBA_Matches_All[[#This Row],[TspkrptsC]])-TBA_Matches_All[[#This Row],[AveTeamTNoteDels]]</f>
        <v>-0.6</v>
      </c>
      <c r="DD11" s="74">
        <f>SUMIFS(TBA_Matches_All[AveTeamTNoteDels],TBA_Matches_All[Match_Number],TBA_Matches_All[[#This Row],[Match_Number]],TBA_Matches_All[Alliance],"&lt;&gt;"&amp;TBA_Matches_All[[#This Row],[Alliance]])-TBA_Matches_All[[#This Row],[AveOppTNoteDels]]</f>
        <v>0</v>
      </c>
    </row>
    <row r="12" spans="1:108" x14ac:dyDescent="0.3">
      <c r="A12" t="s">
        <v>1042</v>
      </c>
      <c r="B12" t="s">
        <v>489</v>
      </c>
      <c r="C12" t="s">
        <v>1281</v>
      </c>
      <c r="D12">
        <v>2</v>
      </c>
      <c r="E12" t="s">
        <v>1406</v>
      </c>
      <c r="F12" t="s">
        <v>1422</v>
      </c>
      <c r="G12" t="s">
        <v>105</v>
      </c>
      <c r="H12" t="s">
        <v>1286</v>
      </c>
      <c r="I12" t="b">
        <v>1</v>
      </c>
      <c r="J12">
        <v>70</v>
      </c>
      <c r="K12">
        <v>1</v>
      </c>
      <c r="L12">
        <v>0</v>
      </c>
      <c r="M12">
        <v>0</v>
      </c>
      <c r="N12">
        <v>0</v>
      </c>
      <c r="O12">
        <v>6</v>
      </c>
      <c r="P12">
        <v>30</v>
      </c>
      <c r="Q12">
        <v>34</v>
      </c>
      <c r="R12">
        <v>1</v>
      </c>
      <c r="S12">
        <v>0</v>
      </c>
      <c r="T12">
        <v>13</v>
      </c>
      <c r="U12">
        <v>0</v>
      </c>
      <c r="V12">
        <v>26</v>
      </c>
      <c r="W12">
        <v>13</v>
      </c>
      <c r="X12">
        <v>26</v>
      </c>
      <c r="Y12">
        <v>27</v>
      </c>
      <c r="Z12">
        <v>0</v>
      </c>
      <c r="AA12">
        <v>0</v>
      </c>
      <c r="AB12">
        <v>20</v>
      </c>
      <c r="AC12">
        <v>57</v>
      </c>
      <c r="AD12">
        <v>5</v>
      </c>
      <c r="AE12">
        <f>IFERROR(6/(COUNTIF(Dyno_EndMatch[Match],TBA_Matches_All[[#This Row],[Match_Number]])),0)</f>
        <v>1</v>
      </c>
      <c r="AF12">
        <f>COUNTIFS(Dyno_Data[Team],TBA_Matches_All[[#This Row],[Team]],Dyno_Data[Match],TBA_Matches_All[[#This Row],[Match_Number]],Dyno_Data[RecordType],"EndMatch",Dyno_Data[HPAmp],"Y")</f>
        <v>0</v>
      </c>
      <c r="AG12">
        <f>SUMIFS(Dyno_Data[Mics], Dyno_Data[Team],TBA_Matches_All[[#This Row],[Team]],Dyno_Data[Match],TBA_Matches_All[[#This Row],[Match_Number]],Dyno_Data[RecordType],"EndMatch",Dyno_Data[HPAmp],"Y")</f>
        <v>0</v>
      </c>
      <c r="AH12">
        <f>SUMIFS(Dyno_Data[Leave], Dyno_Data[Team],TBA_Matches_All[[#This Row],[Team]],Dyno_Data[Match],TBA_Matches_All[[#This Row],[Match_Number]],Dyno_Data[RecordType],"EndAuto")</f>
        <v>0</v>
      </c>
      <c r="AI12">
        <f>COUNTIFS(Dyno_Data[Team],TBA_Matches_All[[#This Row],[Team]],Dyno_Data[Match],TBA_Matches_All[[#This Row],[Match_Number]],Dyno_Data[RecordType],"Activities",Dyno_Data[DelDest],"Amp", Dyno_Data[DelMiss],"0", Dyno_Data[Mode],"Auto")</f>
        <v>0</v>
      </c>
      <c r="AJ12">
        <f>COUNTIFS(Dyno_Data[Team],TBA_Matches_All[[#This Row],[Team]],Dyno_Data[Match],TBA_Matches_All[[#This Row],[Match_Number]],Dyno_Data[RecordType],"Activities",Dyno_Data[DelDest],"Spkr", Dyno_Data[DelMiss],"0", Dyno_Data[Mode],"Auto")</f>
        <v>5</v>
      </c>
      <c r="AK12">
        <f>COUNTIFS(Dyno_Data[Team],TBA_Matches_All[[#This Row],[Team]],Dyno_Data[Match],TBA_Matches_All[[#This Row],[Match_Number]],Dyno_Data[RecordType],"Activities",Dyno_Data[DelDest],"Trap", Dyno_Data[DelMiss],"0", Dyno_Data[Mode],"Auto")</f>
        <v>0</v>
      </c>
      <c r="AL12">
        <f>COUNTIFS(Dyno_Data[Team],TBA_Matches_All[[#This Row],[Team]],Dyno_Data[Match],TBA_Matches_All[[#This Row],[Match_Number]],Dyno_Data[RecordType],"Activities",Dyno_Data[DelDest],"Amp", Dyno_Data[DelMiss],"0", Dyno_Data[Mode],"Teleop")</f>
        <v>1</v>
      </c>
      <c r="AM12">
        <f>COUNTIFS(Dyno_Data[Team],TBA_Matches_All[[#This Row],[Team]],Dyno_Data[Match],TBA_Matches_All[[#This Row],[Match_Number]],Dyno_Data[RecordType],"Activities",Dyno_Data[DelDest],"Spkr", Dyno_Data[DelMiss],"0", Dyno_Data[Mode],"Teleop")</f>
        <v>10</v>
      </c>
      <c r="AN12">
        <f>COUNTIFS(Dyno_Data[Team],TBA_Matches_All[[#This Row],[Team]],Dyno_Data[Match],TBA_Matches_All[[#This Row],[Match_Number]],Dyno_Data[RecordType],"Activities",Dyno_Data[DelDest],"Trap", Dyno_Data[DelMiss],"0", Dyno_Data[Mode],"&lt;&gt;Auto")</f>
        <v>0</v>
      </c>
      <c r="AO12">
        <f>SUM(TBA_Matches_All[[#This Row],[AampT]]+TBA_Matches_All[[#This Row],[AspkrT]]+TBA_Matches_All[[#This Row],[AtrapT]]+TBA_Matches_All[[#This Row],[TampT]]+TBA_Matches_All[[#This Row],[TspkrT]]+TBA_Matches_All[[#This Row],[TtrapT]])</f>
        <v>16</v>
      </c>
      <c r="AP12">
        <f>COUNTIFS(Dyno_Data[Team],TBA_Matches_All[[#This Row],[Team]],Dyno_Data[Match],TBA_Matches_All[[#This Row],[Match_Number]],Dyno_Data[RecordType],"Activities",Dyno_Data[DelDest],"Neut", Dyno_Data[DelMiss],"0")</f>
        <v>0</v>
      </c>
      <c r="AQ12">
        <f>COUNTIFS(Dyno_Data[Team],TBA_Matches_All[[#This Row],[Team]],Dyno_Data[Match],TBA_Matches_All[[#This Row],[Match_Number]],Dyno_Data[RecordType],"Activities",Dyno_Data[DelDest],"AllyW", Dyno_Data[DelMiss],"0")</f>
        <v>1</v>
      </c>
      <c r="AR12" t="str">
        <f>_xlfn.XLOOKUP(SUM(MID(TBA_Matches_All[[#This Row],[Team]],4,5),(TBA_Matches_All[[#This Row],[Match_Number]]/100)),Dyno_EndMatch[teammat],Dyno_EndMatch[RobotSta],"_",0,1)</f>
        <v>SubW</v>
      </c>
      <c r="AS12">
        <f>SUMIFS(Dyno_Data[AcqDis], Dyno_Data[Team],TBA_Matches_All[[#This Row],[Team]],Dyno_Data[Match],TBA_Matches_All[[#This Row],[Match_Number]],Dyno_Data[RecordType],"Activities", Dyno_Data[AcqCenter],1,Dyno_Data[Mode],"Auto")</f>
        <v>0</v>
      </c>
      <c r="AT12">
        <f>SUMIFS(Dyno_Data[AcqDis], Dyno_Data[Team],TBA_Matches_All[[#This Row],[Team]],Dyno_Data[Match],TBA_Matches_All[[#This Row],[Match_Number]],Dyno_Data[RecordType],"Activities", Dyno_Data[AcqCenter],2,Dyno_Data[Mode],"Auto")</f>
        <v>0</v>
      </c>
      <c r="AU12">
        <f>SUMIFS(Dyno_Data[AcqDis], Dyno_Data[Team],TBA_Matches_All[[#This Row],[Team]],Dyno_Data[Match],TBA_Matches_All[[#This Row],[Match_Number]],Dyno_Data[RecordType],"Activities", Dyno_Data[AcqCenter],3,Dyno_Data[Mode],"Auto")</f>
        <v>0</v>
      </c>
      <c r="AV12">
        <f>SUMIFS(Dyno_Data[AcqDis], Dyno_Data[Team],TBA_Matches_All[[#This Row],[Team]],Dyno_Data[Match],TBA_Matches_All[[#This Row],[Match_Number]],Dyno_Data[RecordType],"Activities", Dyno_Data[AcqCenter],4,Dyno_Data[Mode],"Auto")</f>
        <v>1</v>
      </c>
      <c r="AW12">
        <f>SUMIFS(Dyno_Data[AcqDis], Dyno_Data[Team],TBA_Matches_All[[#This Row],[Team]],Dyno_Data[Match],TBA_Matches_All[[#This Row],[Match_Number]],Dyno_Data[RecordType],"Activities", Dyno_Data[AcqCenter],5,Dyno_Data[Mode],"Auto")</f>
        <v>1</v>
      </c>
      <c r="AX12">
        <f>SUMIFS(Dyno_Data[DelMiss], Dyno_Data[Team],TBA_Matches_All[[#This Row],[Team]],Dyno_Data[Match],TBA_Matches_All[[#This Row],[Match_Number]],Dyno_Data[RecordType],"Activities", Dyno_Data[DelDest],"Amp")</f>
        <v>0</v>
      </c>
      <c r="AY12" s="60">
        <f>IFERROR(SUM((TBA_Matches_All[[#This Row],[AampT]]+TBA_Matches_All[[#This Row],[TampT]])/(TBA_Matches_All[[#This Row],[AampT]]+TBA_Matches_All[[#This Row],[TampT]]+TBA_Matches_All[[#This Row],[ampM]])),0)</f>
        <v>1</v>
      </c>
      <c r="AZ12">
        <f>SUMIFS(Dyno_Data[DelMiss], Dyno_Data[Team],TBA_Matches_All[[#This Row],[Team]],Dyno_Data[Match],TBA_Matches_All[[#This Row],[Match_Number]],Dyno_Data[RecordType],"Activities", Dyno_Data[DelDest],"Spkr")</f>
        <v>0</v>
      </c>
      <c r="BA12" s="60">
        <f>IFERROR(SUM((TBA_Matches_All[[#This Row],[AspkrT]]+TBA_Matches_All[[#This Row],[TspkrT]])/(TBA_Matches_All[[#This Row],[AspkrT]]+TBA_Matches_All[[#This Row],[TspkrT]]+TBA_Matches_All[[#This Row],[spkrM]])),0)</f>
        <v>1</v>
      </c>
      <c r="BB12">
        <f>SUMIFS(Dyno_Data[DelMiss], Dyno_Data[Team],TBA_Matches_All[[#This Row],[Team]],Dyno_Data[Match],TBA_Matches_All[[#This Row],[Match_Number]],Dyno_Data[RecordType],"Activities", Dyno_Data[DelDest],"Trap")</f>
        <v>0</v>
      </c>
      <c r="BC12" s="60">
        <f>IFERROR((TBA_Matches_All[[#This Row],[AtrapT]]+TBA_Matches_All[[#This Row],[TtrapT]])/(TBA_Matches_All[[#This Row],[AtrapT]]+TBA_Matches_All[[#This Row],[TtrapT]]+TBA_Matches_All[[#This Row],[trapM]]),0)</f>
        <v>0</v>
      </c>
      <c r="BD12">
        <f>COUNTIFS(Dyno_Data[Team],TBA_Matches_All[[#This Row],[Team]],Dyno_Data[Match],TBA_Matches_All[[#This Row],[Match_Number]],Dyno_Data[RecordType],"Activities",Dyno_Data[DelDest],"Neut", Dyno_Data[DelMiss],1)</f>
        <v>0</v>
      </c>
      <c r="BE12" s="60">
        <f>IFERROR(SUM((TBA_Matches_All[[#This Row],[NeutFlrT]])/(TBA_Matches_All[[#This Row],[NeutFlrT]]+TBA_Matches_All[[#This Row],[NZflM]])),0)</f>
        <v>0</v>
      </c>
      <c r="BF12">
        <f>COUNTIFS(Dyno_Data[Team],TBA_Matches_All[[#This Row],[Team]],Dyno_Data[Match],TBA_Matches_All[[#This Row],[Match_Number]],Dyno_Data[RecordType],"Activities",Dyno_Data[DelDest],"AllyW", Dyno_Data[DelMiss],1)</f>
        <v>0</v>
      </c>
      <c r="BG12" s="60">
        <f>IFERROR(SUM((TBA_Matches_All[[#This Row],[AllyWFlrT]])/(TBA_Matches_All[[#This Row],[AllyWFlrT]]+TBA_Matches_All[[#This Row],[AZflM]])),0)</f>
        <v>1</v>
      </c>
      <c r="BH12">
        <f>COUNTIFS(Dyno_Data[Team],TBA_Matches_All[[#This Row],[Team]],Dyno_Data[Match],TBA_Matches_All[[#This Row],[Match_Number]],Dyno_Data[RecordType],"Activities",Dyno_Data[DelOrig],"OppW", Dyno_Data[DelMiss],"0")</f>
        <v>0</v>
      </c>
      <c r="BI12">
        <f>COUNTIFS(Dyno_Data[Team],TBA_Matches_All[[#This Row],[Team]],Dyno_Data[Match],TBA_Matches_All[[#This Row],[Match_Number]],Dyno_Data[RecordType],"Activities",Dyno_Data[DelOrig],"OppW", Dyno_Data[DelMiss],"1")</f>
        <v>0</v>
      </c>
      <c r="BJ12" s="60">
        <f>IFERROR(SUM((TBA_Matches_All[[#This Row],[OZflrT]])/(TBA_Matches_All[[#This Row],[OZflrT]]+TBA_Matches_All[[#This Row],[OZflrM]])),0)</f>
        <v>0</v>
      </c>
      <c r="BK12">
        <f>COUNTIFS(Dyno_Data[Team],TBA_Matches_All[[#This Row],[Team]],Dyno_Data[Match],TBA_Matches_All[[#This Row],[Match_Number]],Dyno_Data[RecordType],"Activities",Dyno_Data[DelOrig],"Neut", Dyno_Data[DelMiss],"0")</f>
        <v>0</v>
      </c>
      <c r="BL12">
        <f>COUNTIFS(Dyno_Data[Team],TBA_Matches_All[[#This Row],[Team]],Dyno_Data[Match],TBA_Matches_All[[#This Row],[Match_Number]],Dyno_Data[RecordType],"Activities",Dyno_Data[DelOrig],"Neut", Dyno_Data[DelMiss],"1")</f>
        <v>0</v>
      </c>
      <c r="BM12" s="60">
        <f>IFERROR(SUM((TBA_Matches_All[[#This Row],[NZflrT]])/(TBA_Matches_All[[#This Row],[NZflrT]]+TBA_Matches_All[[#This Row],[NZflrM]])),0)</f>
        <v>0</v>
      </c>
      <c r="BN12">
        <f>COUNTIFS(Dyno_Data[Team],TBA_Matches_All[[#This Row],[Team]],Dyno_Data[Match],TBA_Matches_All[[#This Row],[Match_Number]],Dyno_Data[RecordType],"Activities",Dyno_Data[DelOrig],"AllyW", Dyno_Data[DelMiss],"0")</f>
        <v>16</v>
      </c>
      <c r="BO12">
        <f>COUNTIFS(Dyno_Data[Team],TBA_Matches_All[[#This Row],[Team]],Dyno_Data[Match],TBA_Matches_All[[#This Row],[Match_Number]],Dyno_Data[RecordType],"Activities",Dyno_Data[DelOrig],"AllyW", Dyno_Data[DelMiss],"1")</f>
        <v>0</v>
      </c>
      <c r="BP12" s="60">
        <f>IFERROR(SUM((TBA_Matches_All[[#This Row],[AZflrT]])/(TBA_Matches_All[[#This Row],[AZflrT]]+TBA_Matches_All[[#This Row],[AZflrM]])),0)</f>
        <v>1</v>
      </c>
      <c r="BQ12">
        <f>COUNTIFS(Dyno_Data[Team],TBA_Matches_All[[#This Row],[Team]],Dyno_Data[Match],TBA_Matches_All[[#This Row],[Match_Number]],Dyno_Data[RecordType],"Activities",Dyno_Data[DelOrig],"SubW", Dyno_Data[DelMiss],"0")</f>
        <v>1</v>
      </c>
      <c r="BR12">
        <f>COUNTIFS(Dyno_Data[Team],TBA_Matches_All[[#This Row],[Team]],Dyno_Data[Match],TBA_Matches_All[[#This Row],[Match_Number]],Dyno_Data[RecordType],"Activities",Dyno_Data[DelOrig],"SubW", Dyno_Data[DelMiss],"1")</f>
        <v>0</v>
      </c>
      <c r="BS12" s="60">
        <f>IFERROR(SUM((TBA_Matches_All[[#This Row],[SubwT]])/(TBA_Matches_All[[#This Row],[SubwT]]+TBA_Matches_All[[#This Row],[SubwM]])),0)</f>
        <v>1</v>
      </c>
      <c r="BT12">
        <f>COUNTIFS(Dyno_Data[Team],TBA_Matches_All[[#This Row],[Team]],Dyno_Data[Match],TBA_Matches_All[[#This Row],[Match_Number]],Dyno_Data[RecordType],"Activities", Dyno_Data[AcqLoc],"OppWing")</f>
        <v>0</v>
      </c>
      <c r="BU12">
        <f>COUNTIFS(Dyno_Data[Team],TBA_Matches_All[[#This Row],[Team]],Dyno_Data[Match],TBA_Matches_All[[#This Row],[Match_Number]],Dyno_Data[RecordType],"Activities", Dyno_Data[AcqLoc],"Neutral")</f>
        <v>4</v>
      </c>
      <c r="BV12">
        <f>COUNTIFS(Dyno_Data[Team],TBA_Matches_All[[#This Row],[Team]],Dyno_Data[Match],TBA_Matches_All[[#This Row],[Match_Number]],Dyno_Data[RecordType],"Activities", Dyno_Data[AcqLoc],"AllyWing")</f>
        <v>0</v>
      </c>
      <c r="BW12">
        <f>COUNTIFS(Dyno_Data[Team],TBA_Matches_All[[#This Row],[Team]],Dyno_Data[Match],TBA_Matches_All[[#This Row],[Match_Number]],Dyno_Data[RecordType],"Activities", Dyno_Data[AcqLoc],"Source")</f>
        <v>0</v>
      </c>
      <c r="BX12">
        <f>SUMIFS(Dyno_Data[AcqDrp], Dyno_Data[Team],TBA_Matches_All[[#This Row],[Team]],Dyno_Data[Match],TBA_Matches_All[[#This Row],[Match_Number]],Dyno_Data[RecordType],"Activities", Dyno_Data[AcqLoc],"Source")</f>
        <v>0</v>
      </c>
      <c r="BY12">
        <f>SUMIFS(Dyno_Data[OZTime], Dyno_Data[Team],TBA_Matches_All[[#This Row],[Team]],Dyno_Data[Match],TBA_Matches_All[[#This Row],[Match_Number]],Dyno_Data[RecordType],"EndMatch")</f>
        <v>53.702413199999995</v>
      </c>
      <c r="BZ12">
        <f>SUMIFS(Dyno_Data[NZTime], Dyno_Data[Team],TBA_Matches_All[[#This Row],[Team]],Dyno_Data[Match],TBA_Matches_All[[#This Row],[Match_Number]],Dyno_Data[RecordType],"EndMatch")</f>
        <v>25.271260999999999</v>
      </c>
      <c r="CA12">
        <f>SUMIFS(Dyno_Data[AZTime], Dyno_Data[Team],TBA_Matches_All[[#This Row],[Team]],Dyno_Data[Match],TBA_Matches_All[[#This Row],[Match_Number]],Dyno_Data[RecordType],"EndMatch")</f>
        <v>43.282450900000001</v>
      </c>
      <c r="CB12">
        <f>SUMIFS(Dyno_Data[ClimbT], Dyno_Data[Team],TBA_Matches_All[[#This Row],[Team]],Dyno_Data[Match],TBA_Matches_All[[#This Row],[Match_Number]],Dyno_Data[RecordType],"EndMatch")</f>
        <v>5.6873421999999998</v>
      </c>
      <c r="CC12" t="str">
        <f>_xlfn.XLOOKUP(SUM(MID(TBA_Matches_All[[#This Row],[Team]],4,5),(TBA_Matches_All[[#This Row],[Match_Number]]/100)),Dyno_EndMatch[teammat],Dyno_EndMatch[StageStat],"_",0,1)</f>
        <v>On</v>
      </c>
      <c r="CD12" t="str">
        <f>_xlfn.XLOOKUP(TBA_Matches_All[[#This Row],[teammat]],Dyno_EndMatch[teammat],Dyno_EndMatch[StageAtt],"_",0,1)</f>
        <v>1</v>
      </c>
      <c r="CE12" t="str">
        <f>_xlfn.XLOOKUP(TBA_Matches_All[[#This Row],[teammat]],Dyno_EndMatch[teammat],Dyno_EndMatch[StageLoc],"_",0,1)</f>
        <v>L</v>
      </c>
      <c r="CF12">
        <f>SUMIFS(Dyno_Data[Harmony], Dyno_Data[Team],TBA_Matches_All[[#This Row],[Team]],Dyno_Data[Match],TBA_Matches_All[[#This Row],[Match_Number]],Dyno_Data[RecordType],"EndMatch", Dyno_Data[StageStat],"On",Dyno_Data[Harmony],"&lt;&gt;9")</f>
        <v>0</v>
      </c>
      <c r="CG12">
        <f>SUMIFS(Dyno_Data[Spotlit], Dyno_Data[Team],TBA_Matches_All[[#This Row],[Team]],Dyno_Data[Match],TBA_Matches_All[[#This Row],[Match_Number]],Dyno_Data[RecordType],"EndMatch", Dyno_Data[StageStat],"On",Dyno_Data[Spotlit],"&lt;&gt;9")</f>
        <v>0</v>
      </c>
      <c r="CH12" t="str">
        <f>_xlfn.XLOOKUP(TBA_Matches_All[[#This Row],[teammat]],Dyno_EndMatch[teammat],Dyno_EndMatch[Strategy],"_",0,1)</f>
        <v>Hybrid</v>
      </c>
      <c r="CI12">
        <f>SUMIFS(Dyno_Data[Defense], Dyno_Data[Team],TBA_Matches_All[[#This Row],[Team]],Dyno_Data[Match],TBA_Matches_All[[#This Row],[Match_Number]],Dyno_Data[RecordType],"EndMatch",Dyno_Data[Defense],"&lt;&gt;9")</f>
        <v>0</v>
      </c>
      <c r="CJ12">
        <f>SUMIFS(Dyno_Data[Avoidance], Dyno_Data[Team],TBA_Matches_All[[#This Row],[Team]],Dyno_Data[Match],TBA_Matches_All[[#This Row],[Match_Number]],Dyno_Data[RecordType],"EndMatch",Dyno_Data[Avoidance],"&lt;&gt;9")</f>
        <v>1</v>
      </c>
      <c r="CK12" s="82">
        <f>COUNTIF($H$2:TBA_Matches_All[[#This Row],[Team]],TBA_Matches_All[[#This Row],[Team]])</f>
        <v>1</v>
      </c>
      <c r="CL12" s="111">
        <f>SUM(MID(TBA_Matches_All[[#This Row],[Team]],4,5)+TBA_Matches_All[[#This Row],[Match_Number]]/100)</f>
        <v>1591.02</v>
      </c>
      <c r="CM12">
        <f>SUM((TBA_Matches_All[[#This Row],[Leave]]*2)+(TBA_Matches_All[[#This Row],[AampT]]*2)+(TBA_Matches_All[[#This Row],[AspkrT]]*5)+(TBA_Matches_All[[#This Row],[AtrapT]]*5))</f>
        <v>25</v>
      </c>
      <c r="CN12" s="59">
        <f>IFERROR(SUM(TBA_Matches_All[[#This Row],[AptsT]]/TBA_Matches_All[[#This Row],[AutoPts]]),0)</f>
        <v>0.73529411764705888</v>
      </c>
      <c r="CO12" s="59">
        <f>IFERROR(SUM(TBA_Matches_All[[#This Row],[AampT]]+TBA_Matches_All[[#This Row],[AspkrT]]+TBA_Matches_All[[#This Row],[AtrapT]]/TBA_Matches_All[[#This Row],[Aamp]]+TBA_Matches_All[[#This Row],[Aspkr]]+TBA_Matches_All[[#This Row],[AtrapT]]),0)</f>
        <v>0</v>
      </c>
      <c r="CP12" s="59">
        <f>IFERROR(SUM(TBA_Matches_All[[#This Row],[TampT]]/TBA_Matches_All[[#This Row],[Tamp]]),0)</f>
        <v>1</v>
      </c>
      <c r="CQ12" s="59">
        <f>IFERROR(SUM(TBA_Matches_All[[#This Row],[TspkrT]]/TBA_Matches_All[[#This Row],[Tspkr]]),0)</f>
        <v>0.76923076923076927</v>
      </c>
      <c r="CR12">
        <f>SUM(TBA_Matches_All[[#This Row],[TspkrPts]]*TBA_Matches_All[[#This Row],[TspkrP]])</f>
        <v>20</v>
      </c>
      <c r="CS12" s="59">
        <f>IFERROR(SUM(TBA_Matches_All[[#This Row],[TtrapT]]/TBA_Matches_All[[#This Row],[Trap]]),0)</f>
        <v>0</v>
      </c>
      <c r="CT12" s="59">
        <f>IFERROR(SUM(TBA_Matches_All[[#This Row],[TotNotesT]]/TBA_Matches_All[[#This Row],[TotNotes]]),0)</f>
        <v>0.8</v>
      </c>
      <c r="CU12" s="66">
        <f>SUM((TBA_Matches_All[[#This Row],[AampT]]*2)+(TBA_Matches_All[[#This Row],[AspkrT]]*5)+(TBA_Matches_All[[#This Row],[AtrapT]]*5)+(TBA_Matches_All[[#This Row],[TampT]]*1)+(TBA_Matches_All[[#This Row],[TspkrptsC]]))</f>
        <v>46</v>
      </c>
      <c r="CV12" s="59">
        <f>IFERROR(TBA_Matches_All[[#This Row],[noteptsT]]/TBA_Matches_All[[#This Row],[NotePts]],0)</f>
        <v>0.80701754385964908</v>
      </c>
      <c r="CW12">
        <f>SUM(IF(TBA_Matches_All[[#This Row],[stageStat]]="On",3,0),IF(TBA_Matches_All[[#This Row],[stageStat]]="Park",1,0),SUMIFS(TBA_Matches_All[[#This Row],[Spotlit]],TBA_Matches_All[[#This Row],[stageStat]],"On"),SUMIFS(TBA_Matches_All[[#This Row],[Harmony]],TBA_Matches_All[[#This Row],[stageStat]],"On"))</f>
        <v>3</v>
      </c>
      <c r="CX12" s="59">
        <f>IFERROR(TBA_Matches_All[[#This Row],[stageptsT]]/TBA_Matches_All[[#This Row],[StagePts]],0)</f>
        <v>0.6</v>
      </c>
      <c r="CY12">
        <f>SUM((TBA_Matches_All[[#This Row],[AptsT]]+TBA_Matches_All[[#This Row],[TampT]]+TBA_Matches_All[[#This Row],[TspkrptsC]]+(TBA_Matches_All[[#This Row],[TtrapT]]*5)+TBA_Matches_All[[#This Row],[stageptsT]]))</f>
        <v>49</v>
      </c>
      <c r="CZ12" s="59">
        <f>IFERROR(SUM(TBA_Matches_All[[#This Row],[TotptsC]]/TBA_Matches_All[[#This Row],[Score]]),0)</f>
        <v>0.7</v>
      </c>
      <c r="DA1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20.572916666666668</v>
      </c>
      <c r="DB12" s="74">
        <f>SUMIFS(TBA_Matches_All[AveTeamTNoteDels],TBA_Matches_All[Match_Number],TBA_Matches_All[[#This Row],[Match_Number]],TBA_Matches_All[Alliance],"&lt;&gt;"&amp;TBA_Matches_All[[#This Row],[Alliance]],TBA_Matches_All[Scouted],"&gt;0")</f>
        <v>21.966666666666669</v>
      </c>
      <c r="DC12" s="74">
        <f>(TBA_Matches_All[[#This Row],[TampT]]+TBA_Matches_All[[#This Row],[TspkrptsC]])-TBA_Matches_All[[#This Row],[AveTeamTNoteDels]]</f>
        <v>0.42708333333333215</v>
      </c>
      <c r="DD12" s="74">
        <f>SUMIFS(TBA_Matches_All[AveTeamTNoteDels],TBA_Matches_All[Match_Number],TBA_Matches_All[[#This Row],[Match_Number]],TBA_Matches_All[Alliance],"&lt;&gt;"&amp;TBA_Matches_All[[#This Row],[Alliance]])-TBA_Matches_All[[#This Row],[AveOppTNoteDels]]</f>
        <v>0</v>
      </c>
    </row>
    <row r="13" spans="1:108" x14ac:dyDescent="0.3">
      <c r="A13" t="s">
        <v>1042</v>
      </c>
      <c r="B13" t="s">
        <v>489</v>
      </c>
      <c r="C13" t="s">
        <v>1281</v>
      </c>
      <c r="D13">
        <v>2</v>
      </c>
      <c r="E13" t="s">
        <v>1420</v>
      </c>
      <c r="F13" t="s">
        <v>1423</v>
      </c>
      <c r="G13" t="s">
        <v>1409</v>
      </c>
      <c r="H13" t="s">
        <v>1282</v>
      </c>
      <c r="I13" t="b">
        <v>1</v>
      </c>
      <c r="J13">
        <v>30</v>
      </c>
      <c r="K13">
        <v>0</v>
      </c>
      <c r="L13">
        <v>0</v>
      </c>
      <c r="M13">
        <v>4</v>
      </c>
      <c r="N13">
        <v>0</v>
      </c>
      <c r="O13">
        <v>1</v>
      </c>
      <c r="P13">
        <v>5</v>
      </c>
      <c r="Q13">
        <v>9</v>
      </c>
      <c r="R13">
        <v>3</v>
      </c>
      <c r="S13">
        <v>1</v>
      </c>
      <c r="T13">
        <v>3</v>
      </c>
      <c r="U13">
        <v>5</v>
      </c>
      <c r="V13">
        <v>6</v>
      </c>
      <c r="W13">
        <v>4</v>
      </c>
      <c r="X13">
        <v>11</v>
      </c>
      <c r="Y13">
        <v>14</v>
      </c>
      <c r="Z13">
        <v>0</v>
      </c>
      <c r="AA13">
        <v>0</v>
      </c>
      <c r="AB13">
        <v>8</v>
      </c>
      <c r="AC13">
        <v>19</v>
      </c>
      <c r="AD13">
        <v>7</v>
      </c>
      <c r="AE13">
        <f>IFERROR(6/(COUNTIF(Dyno_EndMatch[Match],TBA_Matches_All[[#This Row],[Match_Number]])),0)</f>
        <v>1</v>
      </c>
      <c r="AF13">
        <f>COUNTIFS(Dyno_Data[Team],TBA_Matches_All[[#This Row],[Team]],Dyno_Data[Match],TBA_Matches_All[[#This Row],[Match_Number]],Dyno_Data[RecordType],"EndMatch",Dyno_Data[HPAmp],"Y")</f>
        <v>0</v>
      </c>
      <c r="AG13">
        <f>SUMIFS(Dyno_Data[Mics], Dyno_Data[Team],TBA_Matches_All[[#This Row],[Team]],Dyno_Data[Match],TBA_Matches_All[[#This Row],[Match_Number]],Dyno_Data[RecordType],"EndMatch",Dyno_Data[HPAmp],"Y")</f>
        <v>0</v>
      </c>
      <c r="AH13">
        <f>SUMIFS(Dyno_Data[Leave], Dyno_Data[Team],TBA_Matches_All[[#This Row],[Team]],Dyno_Data[Match],TBA_Matches_All[[#This Row],[Match_Number]],Dyno_Data[RecordType],"EndAuto")</f>
        <v>1</v>
      </c>
      <c r="AI13">
        <f>COUNTIFS(Dyno_Data[Team],TBA_Matches_All[[#This Row],[Team]],Dyno_Data[Match],TBA_Matches_All[[#This Row],[Match_Number]],Dyno_Data[RecordType],"Activities",Dyno_Data[DelDest],"Amp", Dyno_Data[DelMiss],"0", Dyno_Data[Mode],"Auto")</f>
        <v>0</v>
      </c>
      <c r="AJ13">
        <f>COUNTIFS(Dyno_Data[Team],TBA_Matches_All[[#This Row],[Team]],Dyno_Data[Match],TBA_Matches_All[[#This Row],[Match_Number]],Dyno_Data[RecordType],"Activities",Dyno_Data[DelDest],"Spkr", Dyno_Data[DelMiss],"0", Dyno_Data[Mode],"Auto")</f>
        <v>1</v>
      </c>
      <c r="AK13">
        <f>COUNTIFS(Dyno_Data[Team],TBA_Matches_All[[#This Row],[Team]],Dyno_Data[Match],TBA_Matches_All[[#This Row],[Match_Number]],Dyno_Data[RecordType],"Activities",Dyno_Data[DelDest],"Trap", Dyno_Data[DelMiss],"0", Dyno_Data[Mode],"Auto")</f>
        <v>0</v>
      </c>
      <c r="AL13">
        <f>COUNTIFS(Dyno_Data[Team],TBA_Matches_All[[#This Row],[Team]],Dyno_Data[Match],TBA_Matches_All[[#This Row],[Match_Number]],Dyno_Data[RecordType],"Activities",Dyno_Data[DelDest],"Amp", Dyno_Data[DelMiss],"0", Dyno_Data[Mode],"Teleop")</f>
        <v>3</v>
      </c>
      <c r="AM13">
        <f>COUNTIFS(Dyno_Data[Team],TBA_Matches_All[[#This Row],[Team]],Dyno_Data[Match],TBA_Matches_All[[#This Row],[Match_Number]],Dyno_Data[RecordType],"Activities",Dyno_Data[DelDest],"Spkr", Dyno_Data[DelMiss],"0", Dyno_Data[Mode],"Teleop")</f>
        <v>0</v>
      </c>
      <c r="AN13">
        <f>COUNTIFS(Dyno_Data[Team],TBA_Matches_All[[#This Row],[Team]],Dyno_Data[Match],TBA_Matches_All[[#This Row],[Match_Number]],Dyno_Data[RecordType],"Activities",Dyno_Data[DelDest],"Trap", Dyno_Data[DelMiss],"0", Dyno_Data[Mode],"&lt;&gt;Auto")</f>
        <v>0</v>
      </c>
      <c r="AO13">
        <f>SUM(TBA_Matches_All[[#This Row],[AampT]]+TBA_Matches_All[[#This Row],[AspkrT]]+TBA_Matches_All[[#This Row],[AtrapT]]+TBA_Matches_All[[#This Row],[TampT]]+TBA_Matches_All[[#This Row],[TspkrT]]+TBA_Matches_All[[#This Row],[TtrapT]])</f>
        <v>4</v>
      </c>
      <c r="AP13">
        <f>COUNTIFS(Dyno_Data[Team],TBA_Matches_All[[#This Row],[Team]],Dyno_Data[Match],TBA_Matches_All[[#This Row],[Match_Number]],Dyno_Data[RecordType],"Activities",Dyno_Data[DelDest],"Neut", Dyno_Data[DelMiss],"0")</f>
        <v>0</v>
      </c>
      <c r="AQ13">
        <f>COUNTIFS(Dyno_Data[Team],TBA_Matches_All[[#This Row],[Team]],Dyno_Data[Match],TBA_Matches_All[[#This Row],[Match_Number]],Dyno_Data[RecordType],"Activities",Dyno_Data[DelDest],"AllyW", Dyno_Data[DelMiss],"0")</f>
        <v>0</v>
      </c>
      <c r="AR13" t="str">
        <f>_xlfn.XLOOKUP(SUM(MID(TBA_Matches_All[[#This Row],[Team]],4,5),(TBA_Matches_All[[#This Row],[Match_Number]]/100)),Dyno_EndMatch[teammat],Dyno_EndMatch[RobotSta],"_",0,1)</f>
        <v>SubW</v>
      </c>
      <c r="AS13">
        <f>SUMIFS(Dyno_Data[AcqDis], Dyno_Data[Team],TBA_Matches_All[[#This Row],[Team]],Dyno_Data[Match],TBA_Matches_All[[#This Row],[Match_Number]],Dyno_Data[RecordType],"Activities", Dyno_Data[AcqCenter],1,Dyno_Data[Mode],"Auto")</f>
        <v>0</v>
      </c>
      <c r="AT13">
        <f>SUMIFS(Dyno_Data[AcqDis], Dyno_Data[Team],TBA_Matches_All[[#This Row],[Team]],Dyno_Data[Match],TBA_Matches_All[[#This Row],[Match_Number]],Dyno_Data[RecordType],"Activities", Dyno_Data[AcqCenter],2,Dyno_Data[Mode],"Auto")</f>
        <v>0</v>
      </c>
      <c r="AU13">
        <f>SUMIFS(Dyno_Data[AcqDis], Dyno_Data[Team],TBA_Matches_All[[#This Row],[Team]],Dyno_Data[Match],TBA_Matches_All[[#This Row],[Match_Number]],Dyno_Data[RecordType],"Activities", Dyno_Data[AcqCenter],3,Dyno_Data[Mode],"Auto")</f>
        <v>0</v>
      </c>
      <c r="AV13">
        <f>SUMIFS(Dyno_Data[AcqDis], Dyno_Data[Team],TBA_Matches_All[[#This Row],[Team]],Dyno_Data[Match],TBA_Matches_All[[#This Row],[Match_Number]],Dyno_Data[RecordType],"Activities", Dyno_Data[AcqCenter],4,Dyno_Data[Mode],"Auto")</f>
        <v>0</v>
      </c>
      <c r="AW13">
        <f>SUMIFS(Dyno_Data[AcqDis], Dyno_Data[Team],TBA_Matches_All[[#This Row],[Team]],Dyno_Data[Match],TBA_Matches_All[[#This Row],[Match_Number]],Dyno_Data[RecordType],"Activities", Dyno_Data[AcqCenter],5,Dyno_Data[Mode],"Auto")</f>
        <v>0</v>
      </c>
      <c r="AX13">
        <f>SUMIFS(Dyno_Data[DelMiss], Dyno_Data[Team],TBA_Matches_All[[#This Row],[Team]],Dyno_Data[Match],TBA_Matches_All[[#This Row],[Match_Number]],Dyno_Data[RecordType],"Activities", Dyno_Data[DelDest],"Amp")</f>
        <v>1</v>
      </c>
      <c r="AY13" s="60">
        <f>IFERROR(SUM((TBA_Matches_All[[#This Row],[AampT]]+TBA_Matches_All[[#This Row],[TampT]])/(TBA_Matches_All[[#This Row],[AampT]]+TBA_Matches_All[[#This Row],[TampT]]+TBA_Matches_All[[#This Row],[ampM]])),0)</f>
        <v>0.75</v>
      </c>
      <c r="AZ13">
        <f>SUMIFS(Dyno_Data[DelMiss], Dyno_Data[Team],TBA_Matches_All[[#This Row],[Team]],Dyno_Data[Match],TBA_Matches_All[[#This Row],[Match_Number]],Dyno_Data[RecordType],"Activities", Dyno_Data[DelDest],"Spkr")</f>
        <v>0</v>
      </c>
      <c r="BA13" s="60">
        <f>IFERROR(SUM((TBA_Matches_All[[#This Row],[AspkrT]]+TBA_Matches_All[[#This Row],[TspkrT]])/(TBA_Matches_All[[#This Row],[AspkrT]]+TBA_Matches_All[[#This Row],[TspkrT]]+TBA_Matches_All[[#This Row],[spkrM]])),0)</f>
        <v>1</v>
      </c>
      <c r="BB13">
        <f>SUMIFS(Dyno_Data[DelMiss], Dyno_Data[Team],TBA_Matches_All[[#This Row],[Team]],Dyno_Data[Match],TBA_Matches_All[[#This Row],[Match_Number]],Dyno_Data[RecordType],"Activities", Dyno_Data[DelDest],"Trap")</f>
        <v>0</v>
      </c>
      <c r="BC13" s="60">
        <f>IFERROR((TBA_Matches_All[[#This Row],[AtrapT]]+TBA_Matches_All[[#This Row],[TtrapT]])/(TBA_Matches_All[[#This Row],[AtrapT]]+TBA_Matches_All[[#This Row],[TtrapT]]+TBA_Matches_All[[#This Row],[trapM]]),0)</f>
        <v>0</v>
      </c>
      <c r="BD13">
        <f>COUNTIFS(Dyno_Data[Team],TBA_Matches_All[[#This Row],[Team]],Dyno_Data[Match],TBA_Matches_All[[#This Row],[Match_Number]],Dyno_Data[RecordType],"Activities",Dyno_Data[DelDest],"Neut", Dyno_Data[DelMiss],1)</f>
        <v>0</v>
      </c>
      <c r="BE13" s="60">
        <f>IFERROR(SUM((TBA_Matches_All[[#This Row],[NeutFlrT]])/(TBA_Matches_All[[#This Row],[NeutFlrT]]+TBA_Matches_All[[#This Row],[NZflM]])),0)</f>
        <v>0</v>
      </c>
      <c r="BF13">
        <f>COUNTIFS(Dyno_Data[Team],TBA_Matches_All[[#This Row],[Team]],Dyno_Data[Match],TBA_Matches_All[[#This Row],[Match_Number]],Dyno_Data[RecordType],"Activities",Dyno_Data[DelDest],"AllyW", Dyno_Data[DelMiss],1)</f>
        <v>0</v>
      </c>
      <c r="BG13" s="60">
        <f>IFERROR(SUM((TBA_Matches_All[[#This Row],[AllyWFlrT]])/(TBA_Matches_All[[#This Row],[AllyWFlrT]]+TBA_Matches_All[[#This Row],[AZflM]])),0)</f>
        <v>0</v>
      </c>
      <c r="BH13">
        <f>COUNTIFS(Dyno_Data[Team],TBA_Matches_All[[#This Row],[Team]],Dyno_Data[Match],TBA_Matches_All[[#This Row],[Match_Number]],Dyno_Data[RecordType],"Activities",Dyno_Data[DelOrig],"OppW", Dyno_Data[DelMiss],"0")</f>
        <v>0</v>
      </c>
      <c r="BI13">
        <f>COUNTIFS(Dyno_Data[Team],TBA_Matches_All[[#This Row],[Team]],Dyno_Data[Match],TBA_Matches_All[[#This Row],[Match_Number]],Dyno_Data[RecordType],"Activities",Dyno_Data[DelOrig],"OppW", Dyno_Data[DelMiss],"1")</f>
        <v>0</v>
      </c>
      <c r="BJ13" s="60">
        <f>IFERROR(SUM((TBA_Matches_All[[#This Row],[OZflrT]])/(TBA_Matches_All[[#This Row],[OZflrT]]+TBA_Matches_All[[#This Row],[OZflrM]])),0)</f>
        <v>0</v>
      </c>
      <c r="BK13">
        <f>COUNTIFS(Dyno_Data[Team],TBA_Matches_All[[#This Row],[Team]],Dyno_Data[Match],TBA_Matches_All[[#This Row],[Match_Number]],Dyno_Data[RecordType],"Activities",Dyno_Data[DelOrig],"Neut", Dyno_Data[DelMiss],"0")</f>
        <v>0</v>
      </c>
      <c r="BL13">
        <f>COUNTIFS(Dyno_Data[Team],TBA_Matches_All[[#This Row],[Team]],Dyno_Data[Match],TBA_Matches_All[[#This Row],[Match_Number]],Dyno_Data[RecordType],"Activities",Dyno_Data[DelOrig],"Neut", Dyno_Data[DelMiss],"1")</f>
        <v>0</v>
      </c>
      <c r="BM13" s="60">
        <f>IFERROR(SUM((TBA_Matches_All[[#This Row],[NZflrT]])/(TBA_Matches_All[[#This Row],[NZflrT]]+TBA_Matches_All[[#This Row],[NZflrM]])),0)</f>
        <v>0</v>
      </c>
      <c r="BN13">
        <f>COUNTIFS(Dyno_Data[Team],TBA_Matches_All[[#This Row],[Team]],Dyno_Data[Match],TBA_Matches_All[[#This Row],[Match_Number]],Dyno_Data[RecordType],"Activities",Dyno_Data[DelOrig],"AllyW", Dyno_Data[DelMiss],"0")</f>
        <v>3</v>
      </c>
      <c r="BO13">
        <f>COUNTIFS(Dyno_Data[Team],TBA_Matches_All[[#This Row],[Team]],Dyno_Data[Match],TBA_Matches_All[[#This Row],[Match_Number]],Dyno_Data[RecordType],"Activities",Dyno_Data[DelOrig],"AllyW", Dyno_Data[DelMiss],"1")</f>
        <v>1</v>
      </c>
      <c r="BP13" s="60">
        <f>IFERROR(SUM((TBA_Matches_All[[#This Row],[AZflrT]])/(TBA_Matches_All[[#This Row],[AZflrT]]+TBA_Matches_All[[#This Row],[AZflrM]])),0)</f>
        <v>0.75</v>
      </c>
      <c r="BQ13">
        <f>COUNTIFS(Dyno_Data[Team],TBA_Matches_All[[#This Row],[Team]],Dyno_Data[Match],TBA_Matches_All[[#This Row],[Match_Number]],Dyno_Data[RecordType],"Activities",Dyno_Data[DelOrig],"SubW", Dyno_Data[DelMiss],"0")</f>
        <v>1</v>
      </c>
      <c r="BR13">
        <f>COUNTIFS(Dyno_Data[Team],TBA_Matches_All[[#This Row],[Team]],Dyno_Data[Match],TBA_Matches_All[[#This Row],[Match_Number]],Dyno_Data[RecordType],"Activities",Dyno_Data[DelOrig],"SubW", Dyno_Data[DelMiss],"1")</f>
        <v>0</v>
      </c>
      <c r="BS13" s="60">
        <f>IFERROR(SUM((TBA_Matches_All[[#This Row],[SubwT]])/(TBA_Matches_All[[#This Row],[SubwT]]+TBA_Matches_All[[#This Row],[SubwM]])),0)</f>
        <v>1</v>
      </c>
      <c r="BT13">
        <f>COUNTIFS(Dyno_Data[Team],TBA_Matches_All[[#This Row],[Team]],Dyno_Data[Match],TBA_Matches_All[[#This Row],[Match_Number]],Dyno_Data[RecordType],"Activities", Dyno_Data[AcqLoc],"OppWing")</f>
        <v>0</v>
      </c>
      <c r="BU13">
        <f>COUNTIFS(Dyno_Data[Team],TBA_Matches_All[[#This Row],[Team]],Dyno_Data[Match],TBA_Matches_All[[#This Row],[Match_Number]],Dyno_Data[RecordType],"Activities", Dyno_Data[AcqLoc],"Neutral")</f>
        <v>0</v>
      </c>
      <c r="BV13">
        <f>COUNTIFS(Dyno_Data[Team],TBA_Matches_All[[#This Row],[Team]],Dyno_Data[Match],TBA_Matches_All[[#This Row],[Match_Number]],Dyno_Data[RecordType],"Activities", Dyno_Data[AcqLoc],"AllyWing")</f>
        <v>0</v>
      </c>
      <c r="BW13">
        <f>COUNTIFS(Dyno_Data[Team],TBA_Matches_All[[#This Row],[Team]],Dyno_Data[Match],TBA_Matches_All[[#This Row],[Match_Number]],Dyno_Data[RecordType],"Activities", Dyno_Data[AcqLoc],"Source")</f>
        <v>0</v>
      </c>
      <c r="BX13">
        <f>SUMIFS(Dyno_Data[AcqDrp], Dyno_Data[Team],TBA_Matches_All[[#This Row],[Team]],Dyno_Data[Match],TBA_Matches_All[[#This Row],[Match_Number]],Dyno_Data[RecordType],"Activities", Dyno_Data[AcqLoc],"Source")</f>
        <v>0</v>
      </c>
      <c r="BY13">
        <f>SUMIFS(Dyno_Data[OZTime], Dyno_Data[Team],TBA_Matches_All[[#This Row],[Team]],Dyno_Data[Match],TBA_Matches_All[[#This Row],[Match_Number]],Dyno_Data[RecordType],"EndMatch")</f>
        <v>28.062553299999998</v>
      </c>
      <c r="BZ13">
        <f>SUMIFS(Dyno_Data[NZTime], Dyno_Data[Team],TBA_Matches_All[[#This Row],[Team]],Dyno_Data[Match],TBA_Matches_All[[#This Row],[Match_Number]],Dyno_Data[RecordType],"EndMatch")</f>
        <v>14.8247354</v>
      </c>
      <c r="CA13">
        <f>SUMIFS(Dyno_Data[AZTime], Dyno_Data[Team],TBA_Matches_All[[#This Row],[Team]],Dyno_Data[Match],TBA_Matches_All[[#This Row],[Match_Number]],Dyno_Data[RecordType],"EndMatch")</f>
        <v>79.524485499999997</v>
      </c>
      <c r="CB13">
        <f>SUMIFS(Dyno_Data[ClimbT], Dyno_Data[Team],TBA_Matches_All[[#This Row],[Team]],Dyno_Data[Match],TBA_Matches_All[[#This Row],[Match_Number]],Dyno_Data[RecordType],"EndMatch")</f>
        <v>8.6303912</v>
      </c>
      <c r="CC13" t="str">
        <f>_xlfn.XLOOKUP(SUM(MID(TBA_Matches_All[[#This Row],[Team]],4,5),(TBA_Matches_All[[#This Row],[Match_Number]]/100)),Dyno_EndMatch[teammat],Dyno_EndMatch[StageStat],"_",0,1)</f>
        <v>Park</v>
      </c>
      <c r="CD13" t="str">
        <f>_xlfn.XLOOKUP(TBA_Matches_All[[#This Row],[teammat]],Dyno_EndMatch[teammat],Dyno_EndMatch[StageAtt],"_",0,1)</f>
        <v>-1</v>
      </c>
      <c r="CE13" t="str">
        <f>_xlfn.XLOOKUP(TBA_Matches_All[[#This Row],[teammat]],Dyno_EndMatch[teammat],Dyno_EndMatch[StageLoc],"_",0,1)</f>
        <v>A</v>
      </c>
      <c r="CF13">
        <f>SUMIFS(Dyno_Data[Harmony], Dyno_Data[Team],TBA_Matches_All[[#This Row],[Team]],Dyno_Data[Match],TBA_Matches_All[[#This Row],[Match_Number]],Dyno_Data[RecordType],"EndMatch", Dyno_Data[StageStat],"On",Dyno_Data[Harmony],"&lt;&gt;9")</f>
        <v>0</v>
      </c>
      <c r="CG13">
        <f>SUMIFS(Dyno_Data[Spotlit], Dyno_Data[Team],TBA_Matches_All[[#This Row],[Team]],Dyno_Data[Match],TBA_Matches_All[[#This Row],[Match_Number]],Dyno_Data[RecordType],"EndMatch", Dyno_Data[StageStat],"On",Dyno_Data[Spotlit],"&lt;&gt;9")</f>
        <v>0</v>
      </c>
      <c r="CH13" t="str">
        <f>_xlfn.XLOOKUP(TBA_Matches_All[[#This Row],[teammat]],Dyno_EndMatch[teammat],Dyno_EndMatch[Strategy],"_",0,1)</f>
        <v>Hybrid</v>
      </c>
      <c r="CI13">
        <f>SUMIFS(Dyno_Data[Defense], Dyno_Data[Team],TBA_Matches_All[[#This Row],[Team]],Dyno_Data[Match],TBA_Matches_All[[#This Row],[Match_Number]],Dyno_Data[RecordType],"EndMatch",Dyno_Data[Defense],"&lt;&gt;9")</f>
        <v>0</v>
      </c>
      <c r="CJ13">
        <f>SUMIFS(Dyno_Data[Avoidance], Dyno_Data[Team],TBA_Matches_All[[#This Row],[Team]],Dyno_Data[Match],TBA_Matches_All[[#This Row],[Match_Number]],Dyno_Data[RecordType],"EndMatch",Dyno_Data[Avoidance],"&lt;&gt;9")</f>
        <v>3</v>
      </c>
      <c r="CK13" s="82">
        <f>COUNTIF($H$2:TBA_Matches_All[[#This Row],[Team]],TBA_Matches_All[[#This Row],[Team]])</f>
        <v>1</v>
      </c>
      <c r="CL13" s="111">
        <f>SUM(MID(TBA_Matches_All[[#This Row],[Team]],4,5)+TBA_Matches_All[[#This Row],[Match_Number]]/100)</f>
        <v>333.02</v>
      </c>
      <c r="CM13">
        <f>SUM((TBA_Matches_All[[#This Row],[Leave]]*2)+(TBA_Matches_All[[#This Row],[AampT]]*2)+(TBA_Matches_All[[#This Row],[AspkrT]]*5)+(TBA_Matches_All[[#This Row],[AtrapT]]*5))</f>
        <v>7</v>
      </c>
      <c r="CN13" s="59">
        <f>IFERROR(SUM(TBA_Matches_All[[#This Row],[AptsT]]/TBA_Matches_All[[#This Row],[AutoPts]]),0)</f>
        <v>0.77777777777777779</v>
      </c>
      <c r="CO13" s="59">
        <f>IFERROR(SUM(TBA_Matches_All[[#This Row],[AampT]]+TBA_Matches_All[[#This Row],[AspkrT]]+TBA_Matches_All[[#This Row],[AtrapT]]/TBA_Matches_All[[#This Row],[Aamp]]+TBA_Matches_All[[#This Row],[Aspkr]]+TBA_Matches_All[[#This Row],[AtrapT]]),0)</f>
        <v>0</v>
      </c>
      <c r="CP13" s="59">
        <f>IFERROR(SUM(TBA_Matches_All[[#This Row],[TampT]]/TBA_Matches_All[[#This Row],[Tamp]]),0)</f>
        <v>1</v>
      </c>
      <c r="CQ13" s="59">
        <f>IFERROR(SUM(TBA_Matches_All[[#This Row],[TspkrT]]/TBA_Matches_All[[#This Row],[Tspkr]]),0)</f>
        <v>0</v>
      </c>
      <c r="CR13">
        <f>SUM(TBA_Matches_All[[#This Row],[TspkrPts]]*TBA_Matches_All[[#This Row],[TspkrP]])</f>
        <v>0</v>
      </c>
      <c r="CS13" s="59">
        <f>IFERROR(SUM(TBA_Matches_All[[#This Row],[TtrapT]]/TBA_Matches_All[[#This Row],[Trap]]),0)</f>
        <v>0</v>
      </c>
      <c r="CT13" s="59">
        <f>IFERROR(SUM(TBA_Matches_All[[#This Row],[TotNotesT]]/TBA_Matches_All[[#This Row],[TotNotes]]),0)</f>
        <v>0.5</v>
      </c>
      <c r="CU13" s="66">
        <f>SUM((TBA_Matches_All[[#This Row],[AampT]]*2)+(TBA_Matches_All[[#This Row],[AspkrT]]*5)+(TBA_Matches_All[[#This Row],[AtrapT]]*5)+(TBA_Matches_All[[#This Row],[TampT]]*1)+(TBA_Matches_All[[#This Row],[TspkrptsC]]))</f>
        <v>8</v>
      </c>
      <c r="CV13" s="59">
        <f>IFERROR(TBA_Matches_All[[#This Row],[noteptsT]]/TBA_Matches_All[[#This Row],[NotePts]],0)</f>
        <v>0.42105263157894735</v>
      </c>
      <c r="CW13">
        <f>SUM(IF(TBA_Matches_All[[#This Row],[stageStat]]="On",3,0),IF(TBA_Matches_All[[#This Row],[stageStat]]="Park",1,0),SUMIFS(TBA_Matches_All[[#This Row],[Spotlit]],TBA_Matches_All[[#This Row],[stageStat]],"On"),SUMIFS(TBA_Matches_All[[#This Row],[Harmony]],TBA_Matches_All[[#This Row],[stageStat]],"On"))</f>
        <v>1</v>
      </c>
      <c r="CX13" s="59">
        <f>IFERROR(TBA_Matches_All[[#This Row],[stageptsT]]/TBA_Matches_All[[#This Row],[StagePts]],0)</f>
        <v>0.14285714285714285</v>
      </c>
      <c r="CY13">
        <f>SUM((TBA_Matches_All[[#This Row],[AptsT]]+TBA_Matches_All[[#This Row],[TampT]]+TBA_Matches_All[[#This Row],[TspkrptsC]]+(TBA_Matches_All[[#This Row],[TtrapT]]*5)+TBA_Matches_All[[#This Row],[stageptsT]]))</f>
        <v>11</v>
      </c>
      <c r="CZ13" s="59">
        <f>IFERROR(SUM(TBA_Matches_All[[#This Row],[TotptsC]]/TBA_Matches_All[[#This Row],[Score]]),0)</f>
        <v>0.36666666666666664</v>
      </c>
      <c r="DA1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5.666666666666667</v>
      </c>
      <c r="DB13" s="74">
        <f>SUMIFS(TBA_Matches_All[AveTeamTNoteDels],TBA_Matches_All[Match_Number],TBA_Matches_All[[#This Row],[Match_Number]],TBA_Matches_All[Alliance],"&lt;&gt;"&amp;TBA_Matches_All[[#This Row],[Alliance]],TBA_Matches_All[Scouted],"&gt;0")</f>
        <v>30.92720238095238</v>
      </c>
      <c r="DC13" s="74">
        <f>(TBA_Matches_All[[#This Row],[TampT]]+TBA_Matches_All[[#This Row],[TspkrptsC]])-TBA_Matches_All[[#This Row],[AveTeamTNoteDels]]</f>
        <v>-2.666666666666667</v>
      </c>
      <c r="DD13" s="74">
        <f>SUMIFS(TBA_Matches_All[AveTeamTNoteDels],TBA_Matches_All[Match_Number],TBA_Matches_All[[#This Row],[Match_Number]],TBA_Matches_All[Alliance],"&lt;&gt;"&amp;TBA_Matches_All[[#This Row],[Alliance]])-TBA_Matches_All[[#This Row],[AveOppTNoteDels]]</f>
        <v>0</v>
      </c>
    </row>
    <row r="14" spans="1:108" x14ac:dyDescent="0.3">
      <c r="A14" t="s">
        <v>1042</v>
      </c>
      <c r="B14" t="s">
        <v>489</v>
      </c>
      <c r="C14" t="s">
        <v>1281</v>
      </c>
      <c r="D14">
        <v>2</v>
      </c>
      <c r="E14" t="s">
        <v>1406</v>
      </c>
      <c r="F14" t="s">
        <v>1424</v>
      </c>
      <c r="G14" t="s">
        <v>1409</v>
      </c>
      <c r="H14" t="s">
        <v>1285</v>
      </c>
      <c r="I14" t="b">
        <v>1</v>
      </c>
      <c r="J14">
        <v>70</v>
      </c>
      <c r="K14">
        <v>1</v>
      </c>
      <c r="L14">
        <v>0</v>
      </c>
      <c r="M14">
        <v>0</v>
      </c>
      <c r="N14">
        <v>0</v>
      </c>
      <c r="O14">
        <v>6</v>
      </c>
      <c r="P14">
        <v>30</v>
      </c>
      <c r="Q14">
        <v>34</v>
      </c>
      <c r="R14">
        <v>1</v>
      </c>
      <c r="S14">
        <v>0</v>
      </c>
      <c r="T14">
        <v>13</v>
      </c>
      <c r="U14">
        <v>0</v>
      </c>
      <c r="V14">
        <v>26</v>
      </c>
      <c r="W14">
        <v>13</v>
      </c>
      <c r="X14">
        <v>26</v>
      </c>
      <c r="Y14">
        <v>27</v>
      </c>
      <c r="Z14">
        <v>0</v>
      </c>
      <c r="AA14">
        <v>0</v>
      </c>
      <c r="AB14">
        <v>20</v>
      </c>
      <c r="AC14">
        <v>57</v>
      </c>
      <c r="AD14">
        <v>5</v>
      </c>
      <c r="AE14">
        <f>IFERROR(6/(COUNTIF(Dyno_EndMatch[Match],TBA_Matches_All[[#This Row],[Match_Number]])),0)</f>
        <v>1</v>
      </c>
      <c r="AF14">
        <f>COUNTIFS(Dyno_Data[Team],TBA_Matches_All[[#This Row],[Team]],Dyno_Data[Match],TBA_Matches_All[[#This Row],[Match_Number]],Dyno_Data[RecordType],"EndMatch",Dyno_Data[HPAmp],"Y")</f>
        <v>0</v>
      </c>
      <c r="AG14">
        <f>SUMIFS(Dyno_Data[Mics], Dyno_Data[Team],TBA_Matches_All[[#This Row],[Team]],Dyno_Data[Match],TBA_Matches_All[[#This Row],[Match_Number]],Dyno_Data[RecordType],"EndMatch",Dyno_Data[HPAmp],"Y")</f>
        <v>0</v>
      </c>
      <c r="AH14">
        <f>SUMIFS(Dyno_Data[Leave], Dyno_Data[Team],TBA_Matches_All[[#This Row],[Team]],Dyno_Data[Match],TBA_Matches_All[[#This Row],[Match_Number]],Dyno_Data[RecordType],"EndAuto")</f>
        <v>0</v>
      </c>
      <c r="AI14">
        <f>COUNTIFS(Dyno_Data[Team],TBA_Matches_All[[#This Row],[Team]],Dyno_Data[Match],TBA_Matches_All[[#This Row],[Match_Number]],Dyno_Data[RecordType],"Activities",Dyno_Data[DelDest],"Amp", Dyno_Data[DelMiss],"0", Dyno_Data[Mode],"Auto")</f>
        <v>0</v>
      </c>
      <c r="AJ14">
        <f>COUNTIFS(Dyno_Data[Team],TBA_Matches_All[[#This Row],[Team]],Dyno_Data[Match],TBA_Matches_All[[#This Row],[Match_Number]],Dyno_Data[RecordType],"Activities",Dyno_Data[DelDest],"Spkr", Dyno_Data[DelMiss],"0", Dyno_Data[Mode],"Auto")</f>
        <v>1</v>
      </c>
      <c r="AK14">
        <f>COUNTIFS(Dyno_Data[Team],TBA_Matches_All[[#This Row],[Team]],Dyno_Data[Match],TBA_Matches_All[[#This Row],[Match_Number]],Dyno_Data[RecordType],"Activities",Dyno_Data[DelDest],"Trap", Dyno_Data[DelMiss],"0", Dyno_Data[Mode],"Auto")</f>
        <v>0</v>
      </c>
      <c r="AL14">
        <f>COUNTIFS(Dyno_Data[Team],TBA_Matches_All[[#This Row],[Team]],Dyno_Data[Match],TBA_Matches_All[[#This Row],[Match_Number]],Dyno_Data[RecordType],"Activities",Dyno_Data[DelDest],"Amp", Dyno_Data[DelMiss],"0", Dyno_Data[Mode],"Teleop")</f>
        <v>0</v>
      </c>
      <c r="AM14">
        <f>COUNTIFS(Dyno_Data[Team],TBA_Matches_All[[#This Row],[Team]],Dyno_Data[Match],TBA_Matches_All[[#This Row],[Match_Number]],Dyno_Data[RecordType],"Activities",Dyno_Data[DelDest],"Spkr", Dyno_Data[DelMiss],"0", Dyno_Data[Mode],"Teleop")</f>
        <v>0</v>
      </c>
      <c r="AN14">
        <f>COUNTIFS(Dyno_Data[Team],TBA_Matches_All[[#This Row],[Team]],Dyno_Data[Match],TBA_Matches_All[[#This Row],[Match_Number]],Dyno_Data[RecordType],"Activities",Dyno_Data[DelDest],"Trap", Dyno_Data[DelMiss],"0", Dyno_Data[Mode],"&lt;&gt;Auto")</f>
        <v>0</v>
      </c>
      <c r="AO14">
        <f>SUM(TBA_Matches_All[[#This Row],[AampT]]+TBA_Matches_All[[#This Row],[AspkrT]]+TBA_Matches_All[[#This Row],[AtrapT]]+TBA_Matches_All[[#This Row],[TampT]]+TBA_Matches_All[[#This Row],[TspkrT]]+TBA_Matches_All[[#This Row],[TtrapT]])</f>
        <v>1</v>
      </c>
      <c r="AP14">
        <f>COUNTIFS(Dyno_Data[Team],TBA_Matches_All[[#This Row],[Team]],Dyno_Data[Match],TBA_Matches_All[[#This Row],[Match_Number]],Dyno_Data[RecordType],"Activities",Dyno_Data[DelDest],"Neut", Dyno_Data[DelMiss],"0")</f>
        <v>0</v>
      </c>
      <c r="AQ14">
        <f>COUNTIFS(Dyno_Data[Team],TBA_Matches_All[[#This Row],[Team]],Dyno_Data[Match],TBA_Matches_All[[#This Row],[Match_Number]],Dyno_Data[RecordType],"Activities",Dyno_Data[DelDest],"AllyW", Dyno_Data[DelMiss],"0")</f>
        <v>0</v>
      </c>
      <c r="AR14" t="str">
        <f>_xlfn.XLOOKUP(SUM(MID(TBA_Matches_All[[#This Row],[Team]],4,5),(TBA_Matches_All[[#This Row],[Match_Number]]/100)),Dyno_EndMatch[teammat],Dyno_EndMatch[RobotSta],"_",0,1)</f>
        <v>Amp</v>
      </c>
      <c r="AS14">
        <f>SUMIFS(Dyno_Data[AcqDis], Dyno_Data[Team],TBA_Matches_All[[#This Row],[Team]],Dyno_Data[Match],TBA_Matches_All[[#This Row],[Match_Number]],Dyno_Data[RecordType],"Activities", Dyno_Data[AcqCenter],1,Dyno_Data[Mode],"Auto")</f>
        <v>0</v>
      </c>
      <c r="AT14">
        <f>SUMIFS(Dyno_Data[AcqDis], Dyno_Data[Team],TBA_Matches_All[[#This Row],[Team]],Dyno_Data[Match],TBA_Matches_All[[#This Row],[Match_Number]],Dyno_Data[RecordType],"Activities", Dyno_Data[AcqCenter],2,Dyno_Data[Mode],"Auto")</f>
        <v>0</v>
      </c>
      <c r="AU14">
        <f>SUMIFS(Dyno_Data[AcqDis], Dyno_Data[Team],TBA_Matches_All[[#This Row],[Team]],Dyno_Data[Match],TBA_Matches_All[[#This Row],[Match_Number]],Dyno_Data[RecordType],"Activities", Dyno_Data[AcqCenter],3,Dyno_Data[Mode],"Auto")</f>
        <v>0</v>
      </c>
      <c r="AV14">
        <f>SUMIFS(Dyno_Data[AcqDis], Dyno_Data[Team],TBA_Matches_All[[#This Row],[Team]],Dyno_Data[Match],TBA_Matches_All[[#This Row],[Match_Number]],Dyno_Data[RecordType],"Activities", Dyno_Data[AcqCenter],4,Dyno_Data[Mode],"Auto")</f>
        <v>0</v>
      </c>
      <c r="AW14">
        <f>SUMIFS(Dyno_Data[AcqDis], Dyno_Data[Team],TBA_Matches_All[[#This Row],[Team]],Dyno_Data[Match],TBA_Matches_All[[#This Row],[Match_Number]],Dyno_Data[RecordType],"Activities", Dyno_Data[AcqCenter],5,Dyno_Data[Mode],"Auto")</f>
        <v>0</v>
      </c>
      <c r="AX14">
        <f>SUMIFS(Dyno_Data[DelMiss], Dyno_Data[Team],TBA_Matches_All[[#This Row],[Team]],Dyno_Data[Match],TBA_Matches_All[[#This Row],[Match_Number]],Dyno_Data[RecordType],"Activities", Dyno_Data[DelDest],"Amp")</f>
        <v>0</v>
      </c>
      <c r="AY14" s="60">
        <f>IFERROR(SUM((TBA_Matches_All[[#This Row],[AampT]]+TBA_Matches_All[[#This Row],[TampT]])/(TBA_Matches_All[[#This Row],[AampT]]+TBA_Matches_All[[#This Row],[TampT]]+TBA_Matches_All[[#This Row],[ampM]])),0)</f>
        <v>0</v>
      </c>
      <c r="AZ14">
        <f>SUMIFS(Dyno_Data[DelMiss], Dyno_Data[Team],TBA_Matches_All[[#This Row],[Team]],Dyno_Data[Match],TBA_Matches_All[[#This Row],[Match_Number]],Dyno_Data[RecordType],"Activities", Dyno_Data[DelDest],"Spkr")</f>
        <v>1</v>
      </c>
      <c r="BA14" s="60">
        <f>IFERROR(SUM((TBA_Matches_All[[#This Row],[AspkrT]]+TBA_Matches_All[[#This Row],[TspkrT]])/(TBA_Matches_All[[#This Row],[AspkrT]]+TBA_Matches_All[[#This Row],[TspkrT]]+TBA_Matches_All[[#This Row],[spkrM]])),0)</f>
        <v>0.5</v>
      </c>
      <c r="BB14">
        <f>SUMIFS(Dyno_Data[DelMiss], Dyno_Data[Team],TBA_Matches_All[[#This Row],[Team]],Dyno_Data[Match],TBA_Matches_All[[#This Row],[Match_Number]],Dyno_Data[RecordType],"Activities", Dyno_Data[DelDest],"Trap")</f>
        <v>0</v>
      </c>
      <c r="BC14" s="60">
        <f>IFERROR((TBA_Matches_All[[#This Row],[AtrapT]]+TBA_Matches_All[[#This Row],[TtrapT]])/(TBA_Matches_All[[#This Row],[AtrapT]]+TBA_Matches_All[[#This Row],[TtrapT]]+TBA_Matches_All[[#This Row],[trapM]]),0)</f>
        <v>0</v>
      </c>
      <c r="BD14">
        <f>COUNTIFS(Dyno_Data[Team],TBA_Matches_All[[#This Row],[Team]],Dyno_Data[Match],TBA_Matches_All[[#This Row],[Match_Number]],Dyno_Data[RecordType],"Activities",Dyno_Data[DelDest],"Neut", Dyno_Data[DelMiss],1)</f>
        <v>0</v>
      </c>
      <c r="BE14" s="60">
        <f>IFERROR(SUM((TBA_Matches_All[[#This Row],[NeutFlrT]])/(TBA_Matches_All[[#This Row],[NeutFlrT]]+TBA_Matches_All[[#This Row],[NZflM]])),0)</f>
        <v>0</v>
      </c>
      <c r="BF14">
        <f>COUNTIFS(Dyno_Data[Team],TBA_Matches_All[[#This Row],[Team]],Dyno_Data[Match],TBA_Matches_All[[#This Row],[Match_Number]],Dyno_Data[RecordType],"Activities",Dyno_Data[DelDest],"AllyW", Dyno_Data[DelMiss],1)</f>
        <v>0</v>
      </c>
      <c r="BG14" s="60">
        <f>IFERROR(SUM((TBA_Matches_All[[#This Row],[AllyWFlrT]])/(TBA_Matches_All[[#This Row],[AllyWFlrT]]+TBA_Matches_All[[#This Row],[AZflM]])),0)</f>
        <v>0</v>
      </c>
      <c r="BH14">
        <f>COUNTIFS(Dyno_Data[Team],TBA_Matches_All[[#This Row],[Team]],Dyno_Data[Match],TBA_Matches_All[[#This Row],[Match_Number]],Dyno_Data[RecordType],"Activities",Dyno_Data[DelOrig],"OppW", Dyno_Data[DelMiss],"0")</f>
        <v>0</v>
      </c>
      <c r="BI14">
        <f>COUNTIFS(Dyno_Data[Team],TBA_Matches_All[[#This Row],[Team]],Dyno_Data[Match],TBA_Matches_All[[#This Row],[Match_Number]],Dyno_Data[RecordType],"Activities",Dyno_Data[DelOrig],"OppW", Dyno_Data[DelMiss],"1")</f>
        <v>0</v>
      </c>
      <c r="BJ14" s="60">
        <f>IFERROR(SUM((TBA_Matches_All[[#This Row],[OZflrT]])/(TBA_Matches_All[[#This Row],[OZflrT]]+TBA_Matches_All[[#This Row],[OZflrM]])),0)</f>
        <v>0</v>
      </c>
      <c r="BK14">
        <f>COUNTIFS(Dyno_Data[Team],TBA_Matches_All[[#This Row],[Team]],Dyno_Data[Match],TBA_Matches_All[[#This Row],[Match_Number]],Dyno_Data[RecordType],"Activities",Dyno_Data[DelOrig],"Neut", Dyno_Data[DelMiss],"0")</f>
        <v>0</v>
      </c>
      <c r="BL14">
        <f>COUNTIFS(Dyno_Data[Team],TBA_Matches_All[[#This Row],[Team]],Dyno_Data[Match],TBA_Matches_All[[#This Row],[Match_Number]],Dyno_Data[RecordType],"Activities",Dyno_Data[DelOrig],"Neut", Dyno_Data[DelMiss],"1")</f>
        <v>0</v>
      </c>
      <c r="BM14" s="60">
        <f>IFERROR(SUM((TBA_Matches_All[[#This Row],[NZflrT]])/(TBA_Matches_All[[#This Row],[NZflrT]]+TBA_Matches_All[[#This Row],[NZflrM]])),0)</f>
        <v>0</v>
      </c>
      <c r="BN14">
        <f>COUNTIFS(Dyno_Data[Team],TBA_Matches_All[[#This Row],[Team]],Dyno_Data[Match],TBA_Matches_All[[#This Row],[Match_Number]],Dyno_Data[RecordType],"Activities",Dyno_Data[DelOrig],"AllyW", Dyno_Data[DelMiss],"0")</f>
        <v>1</v>
      </c>
      <c r="BO14">
        <f>COUNTIFS(Dyno_Data[Team],TBA_Matches_All[[#This Row],[Team]],Dyno_Data[Match],TBA_Matches_All[[#This Row],[Match_Number]],Dyno_Data[RecordType],"Activities",Dyno_Data[DelOrig],"AllyW", Dyno_Data[DelMiss],"1")</f>
        <v>0</v>
      </c>
      <c r="BP14" s="60">
        <f>IFERROR(SUM((TBA_Matches_All[[#This Row],[AZflrT]])/(TBA_Matches_All[[#This Row],[AZflrT]]+TBA_Matches_All[[#This Row],[AZflrM]])),0)</f>
        <v>1</v>
      </c>
      <c r="BQ14">
        <f>COUNTIFS(Dyno_Data[Team],TBA_Matches_All[[#This Row],[Team]],Dyno_Data[Match],TBA_Matches_All[[#This Row],[Match_Number]],Dyno_Data[RecordType],"Activities",Dyno_Data[DelOrig],"SubW", Dyno_Data[DelMiss],"0")</f>
        <v>0</v>
      </c>
      <c r="BR14">
        <f>COUNTIFS(Dyno_Data[Team],TBA_Matches_All[[#This Row],[Team]],Dyno_Data[Match],TBA_Matches_All[[#This Row],[Match_Number]],Dyno_Data[RecordType],"Activities",Dyno_Data[DelOrig],"SubW", Dyno_Data[DelMiss],"1")</f>
        <v>1</v>
      </c>
      <c r="BS14" s="60">
        <f>IFERROR(SUM((TBA_Matches_All[[#This Row],[SubwT]])/(TBA_Matches_All[[#This Row],[SubwT]]+TBA_Matches_All[[#This Row],[SubwM]])),0)</f>
        <v>0</v>
      </c>
      <c r="BT14">
        <f>COUNTIFS(Dyno_Data[Team],TBA_Matches_All[[#This Row],[Team]],Dyno_Data[Match],TBA_Matches_All[[#This Row],[Match_Number]],Dyno_Data[RecordType],"Activities", Dyno_Data[AcqLoc],"OppWing")</f>
        <v>0</v>
      </c>
      <c r="BU14">
        <f>COUNTIFS(Dyno_Data[Team],TBA_Matches_All[[#This Row],[Team]],Dyno_Data[Match],TBA_Matches_All[[#This Row],[Match_Number]],Dyno_Data[RecordType],"Activities", Dyno_Data[AcqLoc],"Neutral")</f>
        <v>0</v>
      </c>
      <c r="BV14">
        <f>COUNTIFS(Dyno_Data[Team],TBA_Matches_All[[#This Row],[Team]],Dyno_Data[Match],TBA_Matches_All[[#This Row],[Match_Number]],Dyno_Data[RecordType],"Activities", Dyno_Data[AcqLoc],"AllyWing")</f>
        <v>0</v>
      </c>
      <c r="BW14">
        <f>COUNTIFS(Dyno_Data[Team],TBA_Matches_All[[#This Row],[Team]],Dyno_Data[Match],TBA_Matches_All[[#This Row],[Match_Number]],Dyno_Data[RecordType],"Activities", Dyno_Data[AcqLoc],"Source")</f>
        <v>0</v>
      </c>
      <c r="BX14">
        <f>SUMIFS(Dyno_Data[AcqDrp], Dyno_Data[Team],TBA_Matches_All[[#This Row],[Team]],Dyno_Data[Match],TBA_Matches_All[[#This Row],[Match_Number]],Dyno_Data[RecordType],"Activities", Dyno_Data[AcqLoc],"Source")</f>
        <v>0</v>
      </c>
      <c r="BY14">
        <f>SUMIFS(Dyno_Data[OZTime], Dyno_Data[Team],TBA_Matches_All[[#This Row],[Team]],Dyno_Data[Match],TBA_Matches_All[[#This Row],[Match_Number]],Dyno_Data[RecordType],"EndMatch")</f>
        <v>20.613431299999998</v>
      </c>
      <c r="BZ14">
        <f>SUMIFS(Dyno_Data[NZTime], Dyno_Data[Team],TBA_Matches_All[[#This Row],[Team]],Dyno_Data[Match],TBA_Matches_All[[#This Row],[Match_Number]],Dyno_Data[RecordType],"EndMatch")</f>
        <v>28.055058899999999</v>
      </c>
      <c r="CA14">
        <f>SUMIFS(Dyno_Data[AZTime], Dyno_Data[Team],TBA_Matches_All[[#This Row],[Team]],Dyno_Data[Match],TBA_Matches_All[[#This Row],[Match_Number]],Dyno_Data[RecordType],"EndMatch")</f>
        <v>69.830497699999995</v>
      </c>
      <c r="CB14">
        <f>SUMIFS(Dyno_Data[ClimbT], Dyno_Data[Team],TBA_Matches_All[[#This Row],[Team]],Dyno_Data[Match],TBA_Matches_All[[#This Row],[Match_Number]],Dyno_Data[RecordType],"EndMatch")</f>
        <v>0</v>
      </c>
      <c r="CC14" t="str">
        <f>_xlfn.XLOOKUP(SUM(MID(TBA_Matches_All[[#This Row],[Team]],4,5),(TBA_Matches_All[[#This Row],[Match_Number]]/100)),Dyno_EndMatch[teammat],Dyno_EndMatch[StageStat],"_",0,1)</f>
        <v>Park</v>
      </c>
      <c r="CD14" t="str">
        <f>_xlfn.XLOOKUP(TBA_Matches_All[[#This Row],[teammat]],Dyno_EndMatch[teammat],Dyno_EndMatch[StageAtt],"_",0,1)</f>
        <v>0</v>
      </c>
      <c r="CE14" t="str">
        <f>_xlfn.XLOOKUP(TBA_Matches_All[[#This Row],[teammat]],Dyno_EndMatch[teammat],Dyno_EndMatch[StageLoc],"_",0,1)</f>
        <v>A</v>
      </c>
      <c r="CF14">
        <f>SUMIFS(Dyno_Data[Harmony], Dyno_Data[Team],TBA_Matches_All[[#This Row],[Team]],Dyno_Data[Match],TBA_Matches_All[[#This Row],[Match_Number]],Dyno_Data[RecordType],"EndMatch", Dyno_Data[StageStat],"On",Dyno_Data[Harmony],"&lt;&gt;9")</f>
        <v>0</v>
      </c>
      <c r="CG14">
        <f>SUMIFS(Dyno_Data[Spotlit], Dyno_Data[Team],TBA_Matches_All[[#This Row],[Team]],Dyno_Data[Match],TBA_Matches_All[[#This Row],[Match_Number]],Dyno_Data[RecordType],"EndMatch", Dyno_Data[StageStat],"On",Dyno_Data[Spotlit],"&lt;&gt;9")</f>
        <v>0</v>
      </c>
      <c r="CH14" t="str">
        <f>_xlfn.XLOOKUP(TBA_Matches_All[[#This Row],[teammat]],Dyno_EndMatch[teammat],Dyno_EndMatch[Strategy],"_",0,1)</f>
        <v>Hybrid</v>
      </c>
      <c r="CI14">
        <f>SUMIFS(Dyno_Data[Defense], Dyno_Data[Team],TBA_Matches_All[[#This Row],[Team]],Dyno_Data[Match],TBA_Matches_All[[#This Row],[Match_Number]],Dyno_Data[RecordType],"EndMatch",Dyno_Data[Defense],"&lt;&gt;9")</f>
        <v>2</v>
      </c>
      <c r="CJ14">
        <f>SUMIFS(Dyno_Data[Avoidance], Dyno_Data[Team],TBA_Matches_All[[#This Row],[Team]],Dyno_Data[Match],TBA_Matches_All[[#This Row],[Match_Number]],Dyno_Data[RecordType],"EndMatch",Dyno_Data[Avoidance],"&lt;&gt;9")</f>
        <v>0</v>
      </c>
      <c r="CK14" s="82">
        <f>COUNTIF($H$2:TBA_Matches_All[[#This Row],[Team]],TBA_Matches_All[[#This Row],[Team]])</f>
        <v>1</v>
      </c>
      <c r="CL14" s="111">
        <f>SUM(MID(TBA_Matches_All[[#This Row],[Team]],4,5)+TBA_Matches_All[[#This Row],[Match_Number]]/100)</f>
        <v>5993.02</v>
      </c>
      <c r="CM14">
        <f>SUM((TBA_Matches_All[[#This Row],[Leave]]*2)+(TBA_Matches_All[[#This Row],[AampT]]*2)+(TBA_Matches_All[[#This Row],[AspkrT]]*5)+(TBA_Matches_All[[#This Row],[AtrapT]]*5))</f>
        <v>5</v>
      </c>
      <c r="CN14" s="59">
        <f>IFERROR(SUM(TBA_Matches_All[[#This Row],[AptsT]]/TBA_Matches_All[[#This Row],[AutoPts]]),0)</f>
        <v>0.14705882352941177</v>
      </c>
      <c r="CO14" s="59">
        <f>IFERROR(SUM(TBA_Matches_All[[#This Row],[AampT]]+TBA_Matches_All[[#This Row],[AspkrT]]+TBA_Matches_All[[#This Row],[AtrapT]]/TBA_Matches_All[[#This Row],[Aamp]]+TBA_Matches_All[[#This Row],[Aspkr]]+TBA_Matches_All[[#This Row],[AtrapT]]),0)</f>
        <v>0</v>
      </c>
      <c r="CP14" s="59">
        <f>IFERROR(SUM(TBA_Matches_All[[#This Row],[TampT]]/TBA_Matches_All[[#This Row],[Tamp]]),0)</f>
        <v>0</v>
      </c>
      <c r="CQ14" s="59">
        <f>IFERROR(SUM(TBA_Matches_All[[#This Row],[TspkrT]]/TBA_Matches_All[[#This Row],[Tspkr]]),0)</f>
        <v>0</v>
      </c>
      <c r="CR14">
        <f>SUM(TBA_Matches_All[[#This Row],[TspkrPts]]*TBA_Matches_All[[#This Row],[TspkrP]])</f>
        <v>0</v>
      </c>
      <c r="CS14" s="59">
        <f>IFERROR(SUM(TBA_Matches_All[[#This Row],[TtrapT]]/TBA_Matches_All[[#This Row],[Trap]]),0)</f>
        <v>0</v>
      </c>
      <c r="CT14" s="59">
        <f>IFERROR(SUM(TBA_Matches_All[[#This Row],[TotNotesT]]/TBA_Matches_All[[#This Row],[TotNotes]]),0)</f>
        <v>0.05</v>
      </c>
      <c r="CU14" s="66">
        <f>SUM((TBA_Matches_All[[#This Row],[AampT]]*2)+(TBA_Matches_All[[#This Row],[AspkrT]]*5)+(TBA_Matches_All[[#This Row],[AtrapT]]*5)+(TBA_Matches_All[[#This Row],[TampT]]*1)+(TBA_Matches_All[[#This Row],[TspkrptsC]]))</f>
        <v>5</v>
      </c>
      <c r="CV14" s="59">
        <f>IFERROR(TBA_Matches_All[[#This Row],[noteptsT]]/TBA_Matches_All[[#This Row],[NotePts]],0)</f>
        <v>8.771929824561403E-2</v>
      </c>
      <c r="CW14">
        <f>SUM(IF(TBA_Matches_All[[#This Row],[stageStat]]="On",3,0),IF(TBA_Matches_All[[#This Row],[stageStat]]="Park",1,0),SUMIFS(TBA_Matches_All[[#This Row],[Spotlit]],TBA_Matches_All[[#This Row],[stageStat]],"On"),SUMIFS(TBA_Matches_All[[#This Row],[Harmony]],TBA_Matches_All[[#This Row],[stageStat]],"On"))</f>
        <v>1</v>
      </c>
      <c r="CX14" s="59">
        <f>IFERROR(TBA_Matches_All[[#This Row],[stageptsT]]/TBA_Matches_All[[#This Row],[StagePts]],0)</f>
        <v>0.2</v>
      </c>
      <c r="CY14">
        <f>SUM((TBA_Matches_All[[#This Row],[AptsT]]+TBA_Matches_All[[#This Row],[TampT]]+TBA_Matches_All[[#This Row],[TspkrptsC]]+(TBA_Matches_All[[#This Row],[TtrapT]]*5)+TBA_Matches_All[[#This Row],[stageptsT]]))</f>
        <v>6</v>
      </c>
      <c r="CZ14" s="59">
        <f>IFERROR(SUM(TBA_Matches_All[[#This Row],[TotptsC]]/TBA_Matches_All[[#This Row],[Score]]),0)</f>
        <v>8.5714285714285715E-2</v>
      </c>
      <c r="DA1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4.24</v>
      </c>
      <c r="DB14" s="74">
        <f>SUMIFS(TBA_Matches_All[AveTeamTNoteDels],TBA_Matches_All[Match_Number],TBA_Matches_All[[#This Row],[Match_Number]],TBA_Matches_All[Alliance],"&lt;&gt;"&amp;TBA_Matches_All[[#This Row],[Alliance]],TBA_Matches_All[Scouted],"&gt;0")</f>
        <v>21.966666666666669</v>
      </c>
      <c r="DC14" s="74">
        <f>(TBA_Matches_All[[#This Row],[TampT]]+TBA_Matches_All[[#This Row],[TspkrptsC]])-TBA_Matches_All[[#This Row],[AveTeamTNoteDels]]</f>
        <v>-4.24</v>
      </c>
      <c r="DD14" s="74">
        <f>SUMIFS(TBA_Matches_All[AveTeamTNoteDels],TBA_Matches_All[Match_Number],TBA_Matches_All[[#This Row],[Match_Number]],TBA_Matches_All[Alliance],"&lt;&gt;"&amp;TBA_Matches_All[[#This Row],[Alliance]])-TBA_Matches_All[[#This Row],[AveOppTNoteDels]]</f>
        <v>0</v>
      </c>
    </row>
    <row r="15" spans="1:108" x14ac:dyDescent="0.3">
      <c r="A15" t="s">
        <v>1042</v>
      </c>
      <c r="B15" t="s">
        <v>489</v>
      </c>
      <c r="C15" t="s">
        <v>1287</v>
      </c>
      <c r="D15">
        <v>3</v>
      </c>
      <c r="E15" t="s">
        <v>1420</v>
      </c>
      <c r="F15" t="s">
        <v>1423</v>
      </c>
      <c r="G15" t="s">
        <v>1409</v>
      </c>
      <c r="H15" t="s">
        <v>1289</v>
      </c>
      <c r="I15" t="b">
        <v>0</v>
      </c>
      <c r="J15">
        <v>35</v>
      </c>
      <c r="K15">
        <v>0</v>
      </c>
      <c r="L15">
        <v>0</v>
      </c>
      <c r="M15">
        <v>15</v>
      </c>
      <c r="N15">
        <v>0</v>
      </c>
      <c r="O15">
        <v>2</v>
      </c>
      <c r="P15">
        <v>10</v>
      </c>
      <c r="Q15">
        <v>14</v>
      </c>
      <c r="R15">
        <v>0</v>
      </c>
      <c r="S15">
        <v>0</v>
      </c>
      <c r="T15">
        <v>2</v>
      </c>
      <c r="U15">
        <v>0</v>
      </c>
      <c r="V15">
        <v>4</v>
      </c>
      <c r="W15">
        <v>2</v>
      </c>
      <c r="X15">
        <v>4</v>
      </c>
      <c r="Y15">
        <v>4</v>
      </c>
      <c r="Z15">
        <v>0</v>
      </c>
      <c r="AA15">
        <v>0</v>
      </c>
      <c r="AB15">
        <v>4</v>
      </c>
      <c r="AC15">
        <v>14</v>
      </c>
      <c r="AD15">
        <v>7</v>
      </c>
      <c r="AE15">
        <f>IFERROR(6/(COUNTIF(Dyno_EndMatch[Match],TBA_Matches_All[[#This Row],[Match_Number]])),0)</f>
        <v>1</v>
      </c>
      <c r="AF15">
        <f>COUNTIFS(Dyno_Data[Team],TBA_Matches_All[[#This Row],[Team]],Dyno_Data[Match],TBA_Matches_All[[#This Row],[Match_Number]],Dyno_Data[RecordType],"EndMatch",Dyno_Data[HPAmp],"Y")</f>
        <v>0</v>
      </c>
      <c r="AG15">
        <f>SUMIFS(Dyno_Data[Mics], Dyno_Data[Team],TBA_Matches_All[[#This Row],[Team]],Dyno_Data[Match],TBA_Matches_All[[#This Row],[Match_Number]],Dyno_Data[RecordType],"EndMatch",Dyno_Data[HPAmp],"Y")</f>
        <v>0</v>
      </c>
      <c r="AH15">
        <f>SUMIFS(Dyno_Data[Leave], Dyno_Data[Team],TBA_Matches_All[[#This Row],[Team]],Dyno_Data[Match],TBA_Matches_All[[#This Row],[Match_Number]],Dyno_Data[RecordType],"EndAuto")</f>
        <v>0</v>
      </c>
      <c r="AI15">
        <f>COUNTIFS(Dyno_Data[Team],TBA_Matches_All[[#This Row],[Team]],Dyno_Data[Match],TBA_Matches_All[[#This Row],[Match_Number]],Dyno_Data[RecordType],"Activities",Dyno_Data[DelDest],"Amp", Dyno_Data[DelMiss],"0", Dyno_Data[Mode],"Auto")</f>
        <v>0</v>
      </c>
      <c r="AJ15">
        <f>COUNTIFS(Dyno_Data[Team],TBA_Matches_All[[#This Row],[Team]],Dyno_Data[Match],TBA_Matches_All[[#This Row],[Match_Number]],Dyno_Data[RecordType],"Activities",Dyno_Data[DelDest],"Spkr", Dyno_Data[DelMiss],"0", Dyno_Data[Mode],"Auto")</f>
        <v>0</v>
      </c>
      <c r="AK15">
        <f>COUNTIFS(Dyno_Data[Team],TBA_Matches_All[[#This Row],[Team]],Dyno_Data[Match],TBA_Matches_All[[#This Row],[Match_Number]],Dyno_Data[RecordType],"Activities",Dyno_Data[DelDest],"Trap", Dyno_Data[DelMiss],"0", Dyno_Data[Mode],"Auto")</f>
        <v>0</v>
      </c>
      <c r="AL15">
        <f>COUNTIFS(Dyno_Data[Team],TBA_Matches_All[[#This Row],[Team]],Dyno_Data[Match],TBA_Matches_All[[#This Row],[Match_Number]],Dyno_Data[RecordType],"Activities",Dyno_Data[DelDest],"Amp", Dyno_Data[DelMiss],"0", Dyno_Data[Mode],"Teleop")</f>
        <v>0</v>
      </c>
      <c r="AM15">
        <f>COUNTIFS(Dyno_Data[Team],TBA_Matches_All[[#This Row],[Team]],Dyno_Data[Match],TBA_Matches_All[[#This Row],[Match_Number]],Dyno_Data[RecordType],"Activities",Dyno_Data[DelDest],"Spkr", Dyno_Data[DelMiss],"0", Dyno_Data[Mode],"Teleop")</f>
        <v>0</v>
      </c>
      <c r="AN15">
        <f>COUNTIFS(Dyno_Data[Team],TBA_Matches_All[[#This Row],[Team]],Dyno_Data[Match],TBA_Matches_All[[#This Row],[Match_Number]],Dyno_Data[RecordType],"Activities",Dyno_Data[DelDest],"Trap", Dyno_Data[DelMiss],"0", Dyno_Data[Mode],"&lt;&gt;Auto")</f>
        <v>0</v>
      </c>
      <c r="AO15">
        <f>SUM(TBA_Matches_All[[#This Row],[AampT]]+TBA_Matches_All[[#This Row],[AspkrT]]+TBA_Matches_All[[#This Row],[AtrapT]]+TBA_Matches_All[[#This Row],[TampT]]+TBA_Matches_All[[#This Row],[TspkrT]]+TBA_Matches_All[[#This Row],[TtrapT]])</f>
        <v>0</v>
      </c>
      <c r="AP15">
        <f>COUNTIFS(Dyno_Data[Team],TBA_Matches_All[[#This Row],[Team]],Dyno_Data[Match],TBA_Matches_All[[#This Row],[Match_Number]],Dyno_Data[RecordType],"Activities",Dyno_Data[DelDest],"Neut", Dyno_Data[DelMiss],"0")</f>
        <v>0</v>
      </c>
      <c r="AQ15">
        <f>COUNTIFS(Dyno_Data[Team],TBA_Matches_All[[#This Row],[Team]],Dyno_Data[Match],TBA_Matches_All[[#This Row],[Match_Number]],Dyno_Data[RecordType],"Activities",Dyno_Data[DelDest],"AllyW", Dyno_Data[DelMiss],"0")</f>
        <v>0</v>
      </c>
      <c r="AR15" t="str">
        <f>_xlfn.XLOOKUP(SUM(MID(TBA_Matches_All[[#This Row],[Team]],4,5),(TBA_Matches_All[[#This Row],[Match_Number]]/100)),Dyno_EndMatch[teammat],Dyno_EndMatch[RobotSta],"_",0,1)</f>
        <v>Amp</v>
      </c>
      <c r="AS15">
        <f>SUMIFS(Dyno_Data[AcqDis], Dyno_Data[Team],TBA_Matches_All[[#This Row],[Team]],Dyno_Data[Match],TBA_Matches_All[[#This Row],[Match_Number]],Dyno_Data[RecordType],"Activities", Dyno_Data[AcqCenter],1,Dyno_Data[Mode],"Auto")</f>
        <v>0</v>
      </c>
      <c r="AT15">
        <f>SUMIFS(Dyno_Data[AcqDis], Dyno_Data[Team],TBA_Matches_All[[#This Row],[Team]],Dyno_Data[Match],TBA_Matches_All[[#This Row],[Match_Number]],Dyno_Data[RecordType],"Activities", Dyno_Data[AcqCenter],2,Dyno_Data[Mode],"Auto")</f>
        <v>0</v>
      </c>
      <c r="AU15">
        <f>SUMIFS(Dyno_Data[AcqDis], Dyno_Data[Team],TBA_Matches_All[[#This Row],[Team]],Dyno_Data[Match],TBA_Matches_All[[#This Row],[Match_Number]],Dyno_Data[RecordType],"Activities", Dyno_Data[AcqCenter],3,Dyno_Data[Mode],"Auto")</f>
        <v>0</v>
      </c>
      <c r="AV15">
        <f>SUMIFS(Dyno_Data[AcqDis], Dyno_Data[Team],TBA_Matches_All[[#This Row],[Team]],Dyno_Data[Match],TBA_Matches_All[[#This Row],[Match_Number]],Dyno_Data[RecordType],"Activities", Dyno_Data[AcqCenter],4,Dyno_Data[Mode],"Auto")</f>
        <v>0</v>
      </c>
      <c r="AW15">
        <f>SUMIFS(Dyno_Data[AcqDis], Dyno_Data[Team],TBA_Matches_All[[#This Row],[Team]],Dyno_Data[Match],TBA_Matches_All[[#This Row],[Match_Number]],Dyno_Data[RecordType],"Activities", Dyno_Data[AcqCenter],5,Dyno_Data[Mode],"Auto")</f>
        <v>0</v>
      </c>
      <c r="AX15">
        <f>SUMIFS(Dyno_Data[DelMiss], Dyno_Data[Team],TBA_Matches_All[[#This Row],[Team]],Dyno_Data[Match],TBA_Matches_All[[#This Row],[Match_Number]],Dyno_Data[RecordType],"Activities", Dyno_Data[DelDest],"Amp")</f>
        <v>0</v>
      </c>
      <c r="AY15" s="60">
        <f>IFERROR(SUM((TBA_Matches_All[[#This Row],[AampT]]+TBA_Matches_All[[#This Row],[TampT]])/(TBA_Matches_All[[#This Row],[AampT]]+TBA_Matches_All[[#This Row],[TampT]]+TBA_Matches_All[[#This Row],[ampM]])),0)</f>
        <v>0</v>
      </c>
      <c r="AZ15">
        <f>SUMIFS(Dyno_Data[DelMiss], Dyno_Data[Team],TBA_Matches_All[[#This Row],[Team]],Dyno_Data[Match],TBA_Matches_All[[#This Row],[Match_Number]],Dyno_Data[RecordType],"Activities", Dyno_Data[DelDest],"Spkr")</f>
        <v>1</v>
      </c>
      <c r="BA15" s="60">
        <f>IFERROR(SUM((TBA_Matches_All[[#This Row],[AspkrT]]+TBA_Matches_All[[#This Row],[TspkrT]])/(TBA_Matches_All[[#This Row],[AspkrT]]+TBA_Matches_All[[#This Row],[TspkrT]]+TBA_Matches_All[[#This Row],[spkrM]])),0)</f>
        <v>0</v>
      </c>
      <c r="BB15">
        <f>SUMIFS(Dyno_Data[DelMiss], Dyno_Data[Team],TBA_Matches_All[[#This Row],[Team]],Dyno_Data[Match],TBA_Matches_All[[#This Row],[Match_Number]],Dyno_Data[RecordType],"Activities", Dyno_Data[DelDest],"Trap")</f>
        <v>0</v>
      </c>
      <c r="BC15" s="60">
        <f>IFERROR((TBA_Matches_All[[#This Row],[AtrapT]]+TBA_Matches_All[[#This Row],[TtrapT]])/(TBA_Matches_All[[#This Row],[AtrapT]]+TBA_Matches_All[[#This Row],[TtrapT]]+TBA_Matches_All[[#This Row],[trapM]]),0)</f>
        <v>0</v>
      </c>
      <c r="BD15">
        <f>COUNTIFS(Dyno_Data[Team],TBA_Matches_All[[#This Row],[Team]],Dyno_Data[Match],TBA_Matches_All[[#This Row],[Match_Number]],Dyno_Data[RecordType],"Activities",Dyno_Data[DelDest],"Neut", Dyno_Data[DelMiss],1)</f>
        <v>0</v>
      </c>
      <c r="BE15" s="60">
        <f>IFERROR(SUM((TBA_Matches_All[[#This Row],[NeutFlrT]])/(TBA_Matches_All[[#This Row],[NeutFlrT]]+TBA_Matches_All[[#This Row],[NZflM]])),0)</f>
        <v>0</v>
      </c>
      <c r="BF15">
        <f>COUNTIFS(Dyno_Data[Team],TBA_Matches_All[[#This Row],[Team]],Dyno_Data[Match],TBA_Matches_All[[#This Row],[Match_Number]],Dyno_Data[RecordType],"Activities",Dyno_Data[DelDest],"AllyW", Dyno_Data[DelMiss],1)</f>
        <v>0</v>
      </c>
      <c r="BG15" s="60">
        <f>IFERROR(SUM((TBA_Matches_All[[#This Row],[AllyWFlrT]])/(TBA_Matches_All[[#This Row],[AllyWFlrT]]+TBA_Matches_All[[#This Row],[AZflM]])),0)</f>
        <v>0</v>
      </c>
      <c r="BH15">
        <f>COUNTIFS(Dyno_Data[Team],TBA_Matches_All[[#This Row],[Team]],Dyno_Data[Match],TBA_Matches_All[[#This Row],[Match_Number]],Dyno_Data[RecordType],"Activities",Dyno_Data[DelOrig],"OppW", Dyno_Data[DelMiss],"0")</f>
        <v>0</v>
      </c>
      <c r="BI15">
        <f>COUNTIFS(Dyno_Data[Team],TBA_Matches_All[[#This Row],[Team]],Dyno_Data[Match],TBA_Matches_All[[#This Row],[Match_Number]],Dyno_Data[RecordType],"Activities",Dyno_Data[DelOrig],"OppW", Dyno_Data[DelMiss],"1")</f>
        <v>0</v>
      </c>
      <c r="BJ15" s="60">
        <f>IFERROR(SUM((TBA_Matches_All[[#This Row],[OZflrT]])/(TBA_Matches_All[[#This Row],[OZflrT]]+TBA_Matches_All[[#This Row],[OZflrM]])),0)</f>
        <v>0</v>
      </c>
      <c r="BK15">
        <f>COUNTIFS(Dyno_Data[Team],TBA_Matches_All[[#This Row],[Team]],Dyno_Data[Match],TBA_Matches_All[[#This Row],[Match_Number]],Dyno_Data[RecordType],"Activities",Dyno_Data[DelOrig],"Neut", Dyno_Data[DelMiss],"0")</f>
        <v>0</v>
      </c>
      <c r="BL15">
        <f>COUNTIFS(Dyno_Data[Team],TBA_Matches_All[[#This Row],[Team]],Dyno_Data[Match],TBA_Matches_All[[#This Row],[Match_Number]],Dyno_Data[RecordType],"Activities",Dyno_Data[DelOrig],"Neut", Dyno_Data[DelMiss],"1")</f>
        <v>0</v>
      </c>
      <c r="BM15" s="60">
        <f>IFERROR(SUM((TBA_Matches_All[[#This Row],[NZflrT]])/(TBA_Matches_All[[#This Row],[NZflrT]]+TBA_Matches_All[[#This Row],[NZflrM]])),0)</f>
        <v>0</v>
      </c>
      <c r="BN15">
        <f>COUNTIFS(Dyno_Data[Team],TBA_Matches_All[[#This Row],[Team]],Dyno_Data[Match],TBA_Matches_All[[#This Row],[Match_Number]],Dyno_Data[RecordType],"Activities",Dyno_Data[DelOrig],"AllyW", Dyno_Data[DelMiss],"0")</f>
        <v>0</v>
      </c>
      <c r="BO15">
        <f>COUNTIFS(Dyno_Data[Team],TBA_Matches_All[[#This Row],[Team]],Dyno_Data[Match],TBA_Matches_All[[#This Row],[Match_Number]],Dyno_Data[RecordType],"Activities",Dyno_Data[DelOrig],"AllyW", Dyno_Data[DelMiss],"1")</f>
        <v>1</v>
      </c>
      <c r="BP15" s="60">
        <f>IFERROR(SUM((TBA_Matches_All[[#This Row],[AZflrT]])/(TBA_Matches_All[[#This Row],[AZflrT]]+TBA_Matches_All[[#This Row],[AZflrM]])),0)</f>
        <v>0</v>
      </c>
      <c r="BQ15">
        <f>COUNTIFS(Dyno_Data[Team],TBA_Matches_All[[#This Row],[Team]],Dyno_Data[Match],TBA_Matches_All[[#This Row],[Match_Number]],Dyno_Data[RecordType],"Activities",Dyno_Data[DelOrig],"SubW", Dyno_Data[DelMiss],"0")</f>
        <v>0</v>
      </c>
      <c r="BR15">
        <f>COUNTIFS(Dyno_Data[Team],TBA_Matches_All[[#This Row],[Team]],Dyno_Data[Match],TBA_Matches_All[[#This Row],[Match_Number]],Dyno_Data[RecordType],"Activities",Dyno_Data[DelOrig],"SubW", Dyno_Data[DelMiss],"1")</f>
        <v>0</v>
      </c>
      <c r="BS15" s="60">
        <f>IFERROR(SUM((TBA_Matches_All[[#This Row],[SubwT]])/(TBA_Matches_All[[#This Row],[SubwT]]+TBA_Matches_All[[#This Row],[SubwM]])),0)</f>
        <v>0</v>
      </c>
      <c r="BT15">
        <f>COUNTIFS(Dyno_Data[Team],TBA_Matches_All[[#This Row],[Team]],Dyno_Data[Match],TBA_Matches_All[[#This Row],[Match_Number]],Dyno_Data[RecordType],"Activities", Dyno_Data[AcqLoc],"OppWing")</f>
        <v>0</v>
      </c>
      <c r="BU15">
        <f>COUNTIFS(Dyno_Data[Team],TBA_Matches_All[[#This Row],[Team]],Dyno_Data[Match],TBA_Matches_All[[#This Row],[Match_Number]],Dyno_Data[RecordType],"Activities", Dyno_Data[AcqLoc],"Neutral")</f>
        <v>0</v>
      </c>
      <c r="BV15">
        <f>COUNTIFS(Dyno_Data[Team],TBA_Matches_All[[#This Row],[Team]],Dyno_Data[Match],TBA_Matches_All[[#This Row],[Match_Number]],Dyno_Data[RecordType],"Activities", Dyno_Data[AcqLoc],"AllyWing")</f>
        <v>0</v>
      </c>
      <c r="BW15">
        <f>COUNTIFS(Dyno_Data[Team],TBA_Matches_All[[#This Row],[Team]],Dyno_Data[Match],TBA_Matches_All[[#This Row],[Match_Number]],Dyno_Data[RecordType],"Activities", Dyno_Data[AcqLoc],"Source")</f>
        <v>0</v>
      </c>
      <c r="BX15">
        <f>SUMIFS(Dyno_Data[AcqDrp], Dyno_Data[Team],TBA_Matches_All[[#This Row],[Team]],Dyno_Data[Match],TBA_Matches_All[[#This Row],[Match_Number]],Dyno_Data[RecordType],"Activities", Dyno_Data[AcqLoc],"Source")</f>
        <v>0</v>
      </c>
      <c r="BY15">
        <f>SUMIFS(Dyno_Data[OZTime], Dyno_Data[Team],TBA_Matches_All[[#This Row],[Team]],Dyno_Data[Match],TBA_Matches_All[[#This Row],[Match_Number]],Dyno_Data[RecordType],"EndMatch")</f>
        <v>64.351288400000001</v>
      </c>
      <c r="BZ15">
        <f>SUMIFS(Dyno_Data[NZTime], Dyno_Data[Team],TBA_Matches_All[[#This Row],[Team]],Dyno_Data[Match],TBA_Matches_All[[#This Row],[Match_Number]],Dyno_Data[RecordType],"EndMatch")</f>
        <v>22.8048754</v>
      </c>
      <c r="CA15">
        <f>SUMIFS(Dyno_Data[AZTime], Dyno_Data[Team],TBA_Matches_All[[#This Row],[Team]],Dyno_Data[Match],TBA_Matches_All[[#This Row],[Match_Number]],Dyno_Data[RecordType],"EndMatch")</f>
        <v>39.821249699999996</v>
      </c>
      <c r="CB15">
        <f>SUMIFS(Dyno_Data[ClimbT], Dyno_Data[Team],TBA_Matches_All[[#This Row],[Team]],Dyno_Data[Match],TBA_Matches_All[[#This Row],[Match_Number]],Dyno_Data[RecordType],"EndMatch")</f>
        <v>8.4993935</v>
      </c>
      <c r="CC15" t="str">
        <f>_xlfn.XLOOKUP(SUM(MID(TBA_Matches_All[[#This Row],[Team]],4,5),(TBA_Matches_All[[#This Row],[Match_Number]]/100)),Dyno_EndMatch[teammat],Dyno_EndMatch[StageStat],"_",0,1)</f>
        <v>On</v>
      </c>
      <c r="CD15" t="str">
        <f>_xlfn.XLOOKUP(TBA_Matches_All[[#This Row],[teammat]],Dyno_EndMatch[teammat],Dyno_EndMatch[StageAtt],"_",0,1)</f>
        <v>1</v>
      </c>
      <c r="CE15" t="str">
        <f>_xlfn.XLOOKUP(TBA_Matches_All[[#This Row],[teammat]],Dyno_EndMatch[teammat],Dyno_EndMatch[StageLoc],"_",0,1)</f>
        <v>C</v>
      </c>
      <c r="CF15">
        <f>SUMIFS(Dyno_Data[Harmony], Dyno_Data[Team],TBA_Matches_All[[#This Row],[Team]],Dyno_Data[Match],TBA_Matches_All[[#This Row],[Match_Number]],Dyno_Data[RecordType],"EndMatch", Dyno_Data[StageStat],"On",Dyno_Data[Harmony],"&lt;&gt;9")</f>
        <v>0</v>
      </c>
      <c r="CG15">
        <f>SUMIFS(Dyno_Data[Spotlit], Dyno_Data[Team],TBA_Matches_All[[#This Row],[Team]],Dyno_Data[Match],TBA_Matches_All[[#This Row],[Match_Number]],Dyno_Data[RecordType],"EndMatch", Dyno_Data[StageStat],"On",Dyno_Data[Spotlit],"&lt;&gt;9")</f>
        <v>0</v>
      </c>
      <c r="CH15" t="str">
        <f>_xlfn.XLOOKUP(TBA_Matches_All[[#This Row],[teammat]],Dyno_EndMatch[teammat],Dyno_EndMatch[Strategy],"_",0,1)</f>
        <v>None</v>
      </c>
      <c r="CI15">
        <f>SUMIFS(Dyno_Data[Defense], Dyno_Data[Team],TBA_Matches_All[[#This Row],[Team]],Dyno_Data[Match],TBA_Matches_All[[#This Row],[Match_Number]],Dyno_Data[RecordType],"EndMatch",Dyno_Data[Defense],"&lt;&gt;9")</f>
        <v>0</v>
      </c>
      <c r="CJ15">
        <f>SUMIFS(Dyno_Data[Avoidance], Dyno_Data[Team],TBA_Matches_All[[#This Row],[Team]],Dyno_Data[Match],TBA_Matches_All[[#This Row],[Match_Number]],Dyno_Data[RecordType],"EndMatch",Dyno_Data[Avoidance],"&lt;&gt;9")</f>
        <v>3</v>
      </c>
      <c r="CK15" s="82">
        <f>COUNTIF($H$2:TBA_Matches_All[[#This Row],[Team]],TBA_Matches_All[[#This Row],[Team]])</f>
        <v>1</v>
      </c>
      <c r="CL15" s="111">
        <f>SUM(MID(TBA_Matches_All[[#This Row],[Team]],4,5)+TBA_Matches_All[[#This Row],[Match_Number]]/100)</f>
        <v>6648.03</v>
      </c>
      <c r="CM15">
        <f>SUM((TBA_Matches_All[[#This Row],[Leave]]*2)+(TBA_Matches_All[[#This Row],[AampT]]*2)+(TBA_Matches_All[[#This Row],[AspkrT]]*5)+(TBA_Matches_All[[#This Row],[AtrapT]]*5))</f>
        <v>0</v>
      </c>
      <c r="CN15" s="59">
        <f>IFERROR(SUM(TBA_Matches_All[[#This Row],[AptsT]]/TBA_Matches_All[[#This Row],[AutoPts]]),0)</f>
        <v>0</v>
      </c>
      <c r="CO15" s="59">
        <f>IFERROR(SUM(TBA_Matches_All[[#This Row],[AampT]]+TBA_Matches_All[[#This Row],[AspkrT]]+TBA_Matches_All[[#This Row],[AtrapT]]/TBA_Matches_All[[#This Row],[Aamp]]+TBA_Matches_All[[#This Row],[Aspkr]]+TBA_Matches_All[[#This Row],[AtrapT]]),0)</f>
        <v>0</v>
      </c>
      <c r="CP15" s="59">
        <f>IFERROR(SUM(TBA_Matches_All[[#This Row],[TampT]]/TBA_Matches_All[[#This Row],[Tamp]]),0)</f>
        <v>0</v>
      </c>
      <c r="CQ15" s="59">
        <f>IFERROR(SUM(TBA_Matches_All[[#This Row],[TspkrT]]/TBA_Matches_All[[#This Row],[Tspkr]]),0)</f>
        <v>0</v>
      </c>
      <c r="CR15">
        <f>SUM(TBA_Matches_All[[#This Row],[TspkrPts]]*TBA_Matches_All[[#This Row],[TspkrP]])</f>
        <v>0</v>
      </c>
      <c r="CS15" s="59">
        <f>IFERROR(SUM(TBA_Matches_All[[#This Row],[TtrapT]]/TBA_Matches_All[[#This Row],[Trap]]),0)</f>
        <v>0</v>
      </c>
      <c r="CT15" s="59">
        <f>IFERROR(SUM(TBA_Matches_All[[#This Row],[TotNotesT]]/TBA_Matches_All[[#This Row],[TotNotes]]),0)</f>
        <v>0</v>
      </c>
      <c r="CU15" s="66">
        <f>SUM((TBA_Matches_All[[#This Row],[AampT]]*2)+(TBA_Matches_All[[#This Row],[AspkrT]]*5)+(TBA_Matches_All[[#This Row],[AtrapT]]*5)+(TBA_Matches_All[[#This Row],[TampT]]*1)+(TBA_Matches_All[[#This Row],[TspkrptsC]]))</f>
        <v>0</v>
      </c>
      <c r="CV15" s="59">
        <f>IFERROR(TBA_Matches_All[[#This Row],[noteptsT]]/TBA_Matches_All[[#This Row],[NotePts]],0)</f>
        <v>0</v>
      </c>
      <c r="CW15">
        <f>SUM(IF(TBA_Matches_All[[#This Row],[stageStat]]="On",3,0),IF(TBA_Matches_All[[#This Row],[stageStat]]="Park",1,0),SUMIFS(TBA_Matches_All[[#This Row],[Spotlit]],TBA_Matches_All[[#This Row],[stageStat]],"On"),SUMIFS(TBA_Matches_All[[#This Row],[Harmony]],TBA_Matches_All[[#This Row],[stageStat]],"On"))</f>
        <v>3</v>
      </c>
      <c r="CX15" s="59">
        <f>IFERROR(TBA_Matches_All[[#This Row],[stageptsT]]/TBA_Matches_All[[#This Row],[StagePts]],0)</f>
        <v>0.42857142857142855</v>
      </c>
      <c r="CY15">
        <f>SUM((TBA_Matches_All[[#This Row],[AptsT]]+TBA_Matches_All[[#This Row],[TampT]]+TBA_Matches_All[[#This Row],[TspkrptsC]]+(TBA_Matches_All[[#This Row],[TtrapT]]*5)+TBA_Matches_All[[#This Row],[stageptsT]]))</f>
        <v>3</v>
      </c>
      <c r="CZ15" s="59">
        <f>IFERROR(SUM(TBA_Matches_All[[#This Row],[TotptsC]]/TBA_Matches_All[[#This Row],[Score]]),0)</f>
        <v>8.5714285714285715E-2</v>
      </c>
      <c r="DA1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0.4</v>
      </c>
      <c r="DB15" s="74">
        <f>SUMIFS(TBA_Matches_All[AveTeamTNoteDels],TBA_Matches_All[Match_Number],TBA_Matches_All[[#This Row],[Match_Number]],TBA_Matches_All[Alliance],"&lt;&gt;"&amp;TBA_Matches_All[[#This Row],[Alliance]],TBA_Matches_All[Scouted],"&gt;0")</f>
        <v>20.338095238095242</v>
      </c>
      <c r="DC15" s="74">
        <f>(TBA_Matches_All[[#This Row],[TampT]]+TBA_Matches_All[[#This Row],[TspkrptsC]])-TBA_Matches_All[[#This Row],[AveTeamTNoteDels]]</f>
        <v>-0.4</v>
      </c>
      <c r="DD15" s="74">
        <f>SUMIFS(TBA_Matches_All[AveTeamTNoteDels],TBA_Matches_All[Match_Number],TBA_Matches_All[[#This Row],[Match_Number]],TBA_Matches_All[Alliance],"&lt;&gt;"&amp;TBA_Matches_All[[#This Row],[Alliance]])-TBA_Matches_All[[#This Row],[AveOppTNoteDels]]</f>
        <v>0</v>
      </c>
    </row>
    <row r="16" spans="1:108" x14ac:dyDescent="0.3">
      <c r="A16" t="s">
        <v>1042</v>
      </c>
      <c r="B16" t="s">
        <v>489</v>
      </c>
      <c r="C16" t="s">
        <v>1287</v>
      </c>
      <c r="D16">
        <v>3</v>
      </c>
      <c r="E16" t="s">
        <v>1406</v>
      </c>
      <c r="F16" t="s">
        <v>1424</v>
      </c>
      <c r="G16" t="s">
        <v>1409</v>
      </c>
      <c r="H16" t="s">
        <v>1291</v>
      </c>
      <c r="I16" t="b">
        <v>1</v>
      </c>
      <c r="J16">
        <v>50</v>
      </c>
      <c r="K16">
        <v>0</v>
      </c>
      <c r="L16">
        <v>0</v>
      </c>
      <c r="M16">
        <v>10</v>
      </c>
      <c r="N16">
        <v>0</v>
      </c>
      <c r="O16">
        <v>1</v>
      </c>
      <c r="P16">
        <v>5</v>
      </c>
      <c r="Q16">
        <v>7</v>
      </c>
      <c r="R16">
        <v>3</v>
      </c>
      <c r="S16">
        <v>1</v>
      </c>
      <c r="T16">
        <v>9</v>
      </c>
      <c r="U16">
        <v>5</v>
      </c>
      <c r="V16">
        <v>18</v>
      </c>
      <c r="W16">
        <v>10</v>
      </c>
      <c r="X16">
        <v>23</v>
      </c>
      <c r="Y16">
        <v>26</v>
      </c>
      <c r="Z16">
        <v>0</v>
      </c>
      <c r="AA16">
        <v>0</v>
      </c>
      <c r="AB16">
        <v>14</v>
      </c>
      <c r="AC16">
        <v>31</v>
      </c>
      <c r="AD16">
        <v>2</v>
      </c>
      <c r="AE16">
        <f>IFERROR(6/(COUNTIF(Dyno_EndMatch[Match],TBA_Matches_All[[#This Row],[Match_Number]])),0)</f>
        <v>1</v>
      </c>
      <c r="AF16">
        <f>COUNTIFS(Dyno_Data[Team],TBA_Matches_All[[#This Row],[Team]],Dyno_Data[Match],TBA_Matches_All[[#This Row],[Match_Number]],Dyno_Data[RecordType],"EndMatch",Dyno_Data[HPAmp],"Y")</f>
        <v>0</v>
      </c>
      <c r="AG16">
        <f>SUMIFS(Dyno_Data[Mics], Dyno_Data[Team],TBA_Matches_All[[#This Row],[Team]],Dyno_Data[Match],TBA_Matches_All[[#This Row],[Match_Number]],Dyno_Data[RecordType],"EndMatch",Dyno_Data[HPAmp],"Y")</f>
        <v>0</v>
      </c>
      <c r="AH16">
        <f>SUMIFS(Dyno_Data[Leave], Dyno_Data[Team],TBA_Matches_All[[#This Row],[Team]],Dyno_Data[Match],TBA_Matches_All[[#This Row],[Match_Number]],Dyno_Data[RecordType],"EndAuto")</f>
        <v>1</v>
      </c>
      <c r="AI16">
        <f>COUNTIFS(Dyno_Data[Team],TBA_Matches_All[[#This Row],[Team]],Dyno_Data[Match],TBA_Matches_All[[#This Row],[Match_Number]],Dyno_Data[RecordType],"Activities",Dyno_Data[DelDest],"Amp", Dyno_Data[DelMiss],"0", Dyno_Data[Mode],"Auto")</f>
        <v>0</v>
      </c>
      <c r="AJ16">
        <f>COUNTIFS(Dyno_Data[Team],TBA_Matches_All[[#This Row],[Team]],Dyno_Data[Match],TBA_Matches_All[[#This Row],[Match_Number]],Dyno_Data[RecordType],"Activities",Dyno_Data[DelDest],"Spkr", Dyno_Data[DelMiss],"0", Dyno_Data[Mode],"Auto")</f>
        <v>1</v>
      </c>
      <c r="AK16">
        <f>COUNTIFS(Dyno_Data[Team],TBA_Matches_All[[#This Row],[Team]],Dyno_Data[Match],TBA_Matches_All[[#This Row],[Match_Number]],Dyno_Data[RecordType],"Activities",Dyno_Data[DelDest],"Trap", Dyno_Data[DelMiss],"0", Dyno_Data[Mode],"Auto")</f>
        <v>0</v>
      </c>
      <c r="AL16">
        <f>COUNTIFS(Dyno_Data[Team],TBA_Matches_All[[#This Row],[Team]],Dyno_Data[Match],TBA_Matches_All[[#This Row],[Match_Number]],Dyno_Data[RecordType],"Activities",Dyno_Data[DelDest],"Amp", Dyno_Data[DelMiss],"0", Dyno_Data[Mode],"Teleop")</f>
        <v>3</v>
      </c>
      <c r="AM16">
        <f>COUNTIFS(Dyno_Data[Team],TBA_Matches_All[[#This Row],[Team]],Dyno_Data[Match],TBA_Matches_All[[#This Row],[Match_Number]],Dyno_Data[RecordType],"Activities",Dyno_Data[DelDest],"Spkr", Dyno_Data[DelMiss],"0", Dyno_Data[Mode],"Teleop")</f>
        <v>7</v>
      </c>
      <c r="AN16">
        <f>COUNTIFS(Dyno_Data[Team],TBA_Matches_All[[#This Row],[Team]],Dyno_Data[Match],TBA_Matches_All[[#This Row],[Match_Number]],Dyno_Data[RecordType],"Activities",Dyno_Data[DelDest],"Trap", Dyno_Data[DelMiss],"0", Dyno_Data[Mode],"&lt;&gt;Auto")</f>
        <v>0</v>
      </c>
      <c r="AO16">
        <f>SUM(TBA_Matches_All[[#This Row],[AampT]]+TBA_Matches_All[[#This Row],[AspkrT]]+TBA_Matches_All[[#This Row],[AtrapT]]+TBA_Matches_All[[#This Row],[TampT]]+TBA_Matches_All[[#This Row],[TspkrT]]+TBA_Matches_All[[#This Row],[TtrapT]])</f>
        <v>11</v>
      </c>
      <c r="AP16">
        <f>COUNTIFS(Dyno_Data[Team],TBA_Matches_All[[#This Row],[Team]],Dyno_Data[Match],TBA_Matches_All[[#This Row],[Match_Number]],Dyno_Data[RecordType],"Activities",Dyno_Data[DelDest],"Neut", Dyno_Data[DelMiss],"0")</f>
        <v>0</v>
      </c>
      <c r="AQ16">
        <f>COUNTIFS(Dyno_Data[Team],TBA_Matches_All[[#This Row],[Team]],Dyno_Data[Match],TBA_Matches_All[[#This Row],[Match_Number]],Dyno_Data[RecordType],"Activities",Dyno_Data[DelDest],"AllyW", Dyno_Data[DelMiss],"0")</f>
        <v>0</v>
      </c>
      <c r="AR16" t="str">
        <f>_xlfn.XLOOKUP(SUM(MID(TBA_Matches_All[[#This Row],[Team]],4,5),(TBA_Matches_All[[#This Row],[Match_Number]]/100)),Dyno_EndMatch[teammat],Dyno_EndMatch[RobotSta],"_",0,1)</f>
        <v>SubW</v>
      </c>
      <c r="AS16">
        <f>SUMIFS(Dyno_Data[AcqDis], Dyno_Data[Team],TBA_Matches_All[[#This Row],[Team]],Dyno_Data[Match],TBA_Matches_All[[#This Row],[Match_Number]],Dyno_Data[RecordType],"Activities", Dyno_Data[AcqCenter],1,Dyno_Data[Mode],"Auto")</f>
        <v>0</v>
      </c>
      <c r="AT16">
        <f>SUMIFS(Dyno_Data[AcqDis], Dyno_Data[Team],TBA_Matches_All[[#This Row],[Team]],Dyno_Data[Match],TBA_Matches_All[[#This Row],[Match_Number]],Dyno_Data[RecordType],"Activities", Dyno_Data[AcqCenter],2,Dyno_Data[Mode],"Auto")</f>
        <v>0</v>
      </c>
      <c r="AU16">
        <f>SUMIFS(Dyno_Data[AcqDis], Dyno_Data[Team],TBA_Matches_All[[#This Row],[Team]],Dyno_Data[Match],TBA_Matches_All[[#This Row],[Match_Number]],Dyno_Data[RecordType],"Activities", Dyno_Data[AcqCenter],3,Dyno_Data[Mode],"Auto")</f>
        <v>0</v>
      </c>
      <c r="AV16">
        <f>SUMIFS(Dyno_Data[AcqDis], Dyno_Data[Team],TBA_Matches_All[[#This Row],[Team]],Dyno_Data[Match],TBA_Matches_All[[#This Row],[Match_Number]],Dyno_Data[RecordType],"Activities", Dyno_Data[AcqCenter],4,Dyno_Data[Mode],"Auto")</f>
        <v>0</v>
      </c>
      <c r="AW16">
        <f>SUMIFS(Dyno_Data[AcqDis], Dyno_Data[Team],TBA_Matches_All[[#This Row],[Team]],Dyno_Data[Match],TBA_Matches_All[[#This Row],[Match_Number]],Dyno_Data[RecordType],"Activities", Dyno_Data[AcqCenter],5,Dyno_Data[Mode],"Auto")</f>
        <v>0</v>
      </c>
      <c r="AX16">
        <f>SUMIFS(Dyno_Data[DelMiss], Dyno_Data[Team],TBA_Matches_All[[#This Row],[Team]],Dyno_Data[Match],TBA_Matches_All[[#This Row],[Match_Number]],Dyno_Data[RecordType],"Activities", Dyno_Data[DelDest],"Amp")</f>
        <v>0</v>
      </c>
      <c r="AY16" s="60">
        <f>IFERROR(SUM((TBA_Matches_All[[#This Row],[AampT]]+TBA_Matches_All[[#This Row],[TampT]])/(TBA_Matches_All[[#This Row],[AampT]]+TBA_Matches_All[[#This Row],[TampT]]+TBA_Matches_All[[#This Row],[ampM]])),0)</f>
        <v>1</v>
      </c>
      <c r="AZ16">
        <f>SUMIFS(Dyno_Data[DelMiss], Dyno_Data[Team],TBA_Matches_All[[#This Row],[Team]],Dyno_Data[Match],TBA_Matches_All[[#This Row],[Match_Number]],Dyno_Data[RecordType],"Activities", Dyno_Data[DelDest],"Spkr")</f>
        <v>1</v>
      </c>
      <c r="BA16" s="60">
        <f>IFERROR(SUM((TBA_Matches_All[[#This Row],[AspkrT]]+TBA_Matches_All[[#This Row],[TspkrT]])/(TBA_Matches_All[[#This Row],[AspkrT]]+TBA_Matches_All[[#This Row],[TspkrT]]+TBA_Matches_All[[#This Row],[spkrM]])),0)</f>
        <v>0.88888888888888884</v>
      </c>
      <c r="BB16">
        <f>SUMIFS(Dyno_Data[DelMiss], Dyno_Data[Team],TBA_Matches_All[[#This Row],[Team]],Dyno_Data[Match],TBA_Matches_All[[#This Row],[Match_Number]],Dyno_Data[RecordType],"Activities", Dyno_Data[DelDest],"Trap")</f>
        <v>0</v>
      </c>
      <c r="BC16" s="60">
        <f>IFERROR((TBA_Matches_All[[#This Row],[AtrapT]]+TBA_Matches_All[[#This Row],[TtrapT]])/(TBA_Matches_All[[#This Row],[AtrapT]]+TBA_Matches_All[[#This Row],[TtrapT]]+TBA_Matches_All[[#This Row],[trapM]]),0)</f>
        <v>0</v>
      </c>
      <c r="BD16">
        <f>COUNTIFS(Dyno_Data[Team],TBA_Matches_All[[#This Row],[Team]],Dyno_Data[Match],TBA_Matches_All[[#This Row],[Match_Number]],Dyno_Data[RecordType],"Activities",Dyno_Data[DelDest],"Neut", Dyno_Data[DelMiss],1)</f>
        <v>0</v>
      </c>
      <c r="BE16" s="60">
        <f>IFERROR(SUM((TBA_Matches_All[[#This Row],[NeutFlrT]])/(TBA_Matches_All[[#This Row],[NeutFlrT]]+TBA_Matches_All[[#This Row],[NZflM]])),0)</f>
        <v>0</v>
      </c>
      <c r="BF16">
        <f>COUNTIFS(Dyno_Data[Team],TBA_Matches_All[[#This Row],[Team]],Dyno_Data[Match],TBA_Matches_All[[#This Row],[Match_Number]],Dyno_Data[RecordType],"Activities",Dyno_Data[DelDest],"AllyW", Dyno_Data[DelMiss],1)</f>
        <v>0</v>
      </c>
      <c r="BG16" s="60">
        <f>IFERROR(SUM((TBA_Matches_All[[#This Row],[AllyWFlrT]])/(TBA_Matches_All[[#This Row],[AllyWFlrT]]+TBA_Matches_All[[#This Row],[AZflM]])),0)</f>
        <v>0</v>
      </c>
      <c r="BH16">
        <f>COUNTIFS(Dyno_Data[Team],TBA_Matches_All[[#This Row],[Team]],Dyno_Data[Match],TBA_Matches_All[[#This Row],[Match_Number]],Dyno_Data[RecordType],"Activities",Dyno_Data[DelOrig],"OppW", Dyno_Data[DelMiss],"0")</f>
        <v>0</v>
      </c>
      <c r="BI16">
        <f>COUNTIFS(Dyno_Data[Team],TBA_Matches_All[[#This Row],[Team]],Dyno_Data[Match],TBA_Matches_All[[#This Row],[Match_Number]],Dyno_Data[RecordType],"Activities",Dyno_Data[DelOrig],"OppW", Dyno_Data[DelMiss],"1")</f>
        <v>0</v>
      </c>
      <c r="BJ16" s="60">
        <f>IFERROR(SUM((TBA_Matches_All[[#This Row],[OZflrT]])/(TBA_Matches_All[[#This Row],[OZflrT]]+TBA_Matches_All[[#This Row],[OZflrM]])),0)</f>
        <v>0</v>
      </c>
      <c r="BK16">
        <f>COUNTIFS(Dyno_Data[Team],TBA_Matches_All[[#This Row],[Team]],Dyno_Data[Match],TBA_Matches_All[[#This Row],[Match_Number]],Dyno_Data[RecordType],"Activities",Dyno_Data[DelOrig],"Neut", Dyno_Data[DelMiss],"0")</f>
        <v>0</v>
      </c>
      <c r="BL16">
        <f>COUNTIFS(Dyno_Data[Team],TBA_Matches_All[[#This Row],[Team]],Dyno_Data[Match],TBA_Matches_All[[#This Row],[Match_Number]],Dyno_Data[RecordType],"Activities",Dyno_Data[DelOrig],"Neut", Dyno_Data[DelMiss],"1")</f>
        <v>0</v>
      </c>
      <c r="BM16" s="60">
        <f>IFERROR(SUM((TBA_Matches_All[[#This Row],[NZflrT]])/(TBA_Matches_All[[#This Row],[NZflrT]]+TBA_Matches_All[[#This Row],[NZflrM]])),0)</f>
        <v>0</v>
      </c>
      <c r="BN16">
        <f>COUNTIFS(Dyno_Data[Team],TBA_Matches_All[[#This Row],[Team]],Dyno_Data[Match],TBA_Matches_All[[#This Row],[Match_Number]],Dyno_Data[RecordType],"Activities",Dyno_Data[DelOrig],"AllyW", Dyno_Data[DelMiss],"0")</f>
        <v>4</v>
      </c>
      <c r="BO16">
        <f>COUNTIFS(Dyno_Data[Team],TBA_Matches_All[[#This Row],[Team]],Dyno_Data[Match],TBA_Matches_All[[#This Row],[Match_Number]],Dyno_Data[RecordType],"Activities",Dyno_Data[DelOrig],"AllyW", Dyno_Data[DelMiss],"1")</f>
        <v>0</v>
      </c>
      <c r="BP16" s="60">
        <f>IFERROR(SUM((TBA_Matches_All[[#This Row],[AZflrT]])/(TBA_Matches_All[[#This Row],[AZflrT]]+TBA_Matches_All[[#This Row],[AZflrM]])),0)</f>
        <v>1</v>
      </c>
      <c r="BQ16">
        <f>COUNTIFS(Dyno_Data[Team],TBA_Matches_All[[#This Row],[Team]],Dyno_Data[Match],TBA_Matches_All[[#This Row],[Match_Number]],Dyno_Data[RecordType],"Activities",Dyno_Data[DelOrig],"SubW", Dyno_Data[DelMiss],"0")</f>
        <v>7</v>
      </c>
      <c r="BR16">
        <f>COUNTIFS(Dyno_Data[Team],TBA_Matches_All[[#This Row],[Team]],Dyno_Data[Match],TBA_Matches_All[[#This Row],[Match_Number]],Dyno_Data[RecordType],"Activities",Dyno_Data[DelOrig],"SubW", Dyno_Data[DelMiss],"1")</f>
        <v>1</v>
      </c>
      <c r="BS16" s="60">
        <f>IFERROR(SUM((TBA_Matches_All[[#This Row],[SubwT]])/(TBA_Matches_All[[#This Row],[SubwT]]+TBA_Matches_All[[#This Row],[SubwM]])),0)</f>
        <v>0.875</v>
      </c>
      <c r="BT16">
        <f>COUNTIFS(Dyno_Data[Team],TBA_Matches_All[[#This Row],[Team]],Dyno_Data[Match],TBA_Matches_All[[#This Row],[Match_Number]],Dyno_Data[RecordType],"Activities", Dyno_Data[AcqLoc],"OppWing")</f>
        <v>0</v>
      </c>
      <c r="BU16">
        <f>COUNTIFS(Dyno_Data[Team],TBA_Matches_All[[#This Row],[Team]],Dyno_Data[Match],TBA_Matches_All[[#This Row],[Match_Number]],Dyno_Data[RecordType],"Activities", Dyno_Data[AcqLoc],"Neutral")</f>
        <v>0</v>
      </c>
      <c r="BV16">
        <f>COUNTIFS(Dyno_Data[Team],TBA_Matches_All[[#This Row],[Team]],Dyno_Data[Match],TBA_Matches_All[[#This Row],[Match_Number]],Dyno_Data[RecordType],"Activities", Dyno_Data[AcqLoc],"AllyWing")</f>
        <v>0</v>
      </c>
      <c r="BW16">
        <f>COUNTIFS(Dyno_Data[Team],TBA_Matches_All[[#This Row],[Team]],Dyno_Data[Match],TBA_Matches_All[[#This Row],[Match_Number]],Dyno_Data[RecordType],"Activities", Dyno_Data[AcqLoc],"Source")</f>
        <v>0</v>
      </c>
      <c r="BX16">
        <f>SUMIFS(Dyno_Data[AcqDrp], Dyno_Data[Team],TBA_Matches_All[[#This Row],[Team]],Dyno_Data[Match],TBA_Matches_All[[#This Row],[Match_Number]],Dyno_Data[RecordType],"Activities", Dyno_Data[AcqLoc],"Source")</f>
        <v>0</v>
      </c>
      <c r="BY16">
        <f>SUMIFS(Dyno_Data[OZTime], Dyno_Data[Team],TBA_Matches_All[[#This Row],[Team]],Dyno_Data[Match],TBA_Matches_All[[#This Row],[Match_Number]],Dyno_Data[RecordType],"EndMatch")</f>
        <v>34.465783000000002</v>
      </c>
      <c r="BZ16">
        <f>SUMIFS(Dyno_Data[NZTime], Dyno_Data[Team],TBA_Matches_All[[#This Row],[Team]],Dyno_Data[Match],TBA_Matches_All[[#This Row],[Match_Number]],Dyno_Data[RecordType],"EndMatch")</f>
        <v>25.783023799999999</v>
      </c>
      <c r="CA16">
        <f>SUMIFS(Dyno_Data[AZTime], Dyno_Data[Team],TBA_Matches_All[[#This Row],[Team]],Dyno_Data[Match],TBA_Matches_All[[#This Row],[Match_Number]],Dyno_Data[RecordType],"EndMatch")</f>
        <v>75.970381599999996</v>
      </c>
      <c r="CB16">
        <f>SUMIFS(Dyno_Data[ClimbT], Dyno_Data[Team],TBA_Matches_All[[#This Row],[Team]],Dyno_Data[Match],TBA_Matches_All[[#This Row],[Match_Number]],Dyno_Data[RecordType],"EndMatch")</f>
        <v>0</v>
      </c>
      <c r="CC16" t="str">
        <f>_xlfn.XLOOKUP(SUM(MID(TBA_Matches_All[[#This Row],[Team]],4,5),(TBA_Matches_All[[#This Row],[Match_Number]]/100)),Dyno_EndMatch[teammat],Dyno_EndMatch[StageStat],"_",0,1)</f>
        <v>Else</v>
      </c>
      <c r="CD16" t="str">
        <f>_xlfn.XLOOKUP(TBA_Matches_All[[#This Row],[teammat]],Dyno_EndMatch[teammat],Dyno_EndMatch[StageAtt],"_",0,1)</f>
        <v>0</v>
      </c>
      <c r="CE16" t="str">
        <f>_xlfn.XLOOKUP(TBA_Matches_All[[#This Row],[teammat]],Dyno_EndMatch[teammat],Dyno_EndMatch[StageLoc],"_",0,1)</f>
        <v>A</v>
      </c>
      <c r="CF16">
        <f>SUMIFS(Dyno_Data[Harmony], Dyno_Data[Team],TBA_Matches_All[[#This Row],[Team]],Dyno_Data[Match],TBA_Matches_All[[#This Row],[Match_Number]],Dyno_Data[RecordType],"EndMatch", Dyno_Data[StageStat],"On",Dyno_Data[Harmony],"&lt;&gt;9")</f>
        <v>0</v>
      </c>
      <c r="CG16">
        <f>SUMIFS(Dyno_Data[Spotlit], Dyno_Data[Team],TBA_Matches_All[[#This Row],[Team]],Dyno_Data[Match],TBA_Matches_All[[#This Row],[Match_Number]],Dyno_Data[RecordType],"EndMatch", Dyno_Data[StageStat],"On",Dyno_Data[Spotlit],"&lt;&gt;9")</f>
        <v>0</v>
      </c>
      <c r="CH16" t="str">
        <f>_xlfn.XLOOKUP(TBA_Matches_All[[#This Row],[teammat]],Dyno_EndMatch[teammat],Dyno_EndMatch[Strategy],"_",0,1)</f>
        <v>Hybrid</v>
      </c>
      <c r="CI16">
        <f>SUMIFS(Dyno_Data[Defense], Dyno_Data[Team],TBA_Matches_All[[#This Row],[Team]],Dyno_Data[Match],TBA_Matches_All[[#This Row],[Match_Number]],Dyno_Data[RecordType],"EndMatch",Dyno_Data[Defense],"&lt;&gt;9")</f>
        <v>0</v>
      </c>
      <c r="CJ16">
        <f>SUMIFS(Dyno_Data[Avoidance], Dyno_Data[Team],TBA_Matches_All[[#This Row],[Team]],Dyno_Data[Match],TBA_Matches_All[[#This Row],[Match_Number]],Dyno_Data[RecordType],"EndMatch",Dyno_Data[Avoidance],"&lt;&gt;9")</f>
        <v>3</v>
      </c>
      <c r="CK16" s="82">
        <f>COUNTIF($H$2:TBA_Matches_All[[#This Row],[Team]],TBA_Matches_All[[#This Row],[Team]])</f>
        <v>1</v>
      </c>
      <c r="CL16" s="111">
        <f>SUM(MID(TBA_Matches_All[[#This Row],[Team]],4,5)+TBA_Matches_All[[#This Row],[Match_Number]]/100)</f>
        <v>1493.03</v>
      </c>
      <c r="CM16">
        <f>SUM((TBA_Matches_All[[#This Row],[Leave]]*2)+(TBA_Matches_All[[#This Row],[AampT]]*2)+(TBA_Matches_All[[#This Row],[AspkrT]]*5)+(TBA_Matches_All[[#This Row],[AtrapT]]*5))</f>
        <v>7</v>
      </c>
      <c r="CN16" s="59">
        <f>IFERROR(SUM(TBA_Matches_All[[#This Row],[AptsT]]/TBA_Matches_All[[#This Row],[AutoPts]]),0)</f>
        <v>1</v>
      </c>
      <c r="CO16" s="59">
        <f>IFERROR(SUM(TBA_Matches_All[[#This Row],[AampT]]+TBA_Matches_All[[#This Row],[AspkrT]]+TBA_Matches_All[[#This Row],[AtrapT]]/TBA_Matches_All[[#This Row],[Aamp]]+TBA_Matches_All[[#This Row],[Aspkr]]+TBA_Matches_All[[#This Row],[AtrapT]]),0)</f>
        <v>0</v>
      </c>
      <c r="CP16" s="59">
        <f>IFERROR(SUM(TBA_Matches_All[[#This Row],[TampT]]/TBA_Matches_All[[#This Row],[Tamp]]),0)</f>
        <v>1</v>
      </c>
      <c r="CQ16" s="59">
        <f>IFERROR(SUM(TBA_Matches_All[[#This Row],[TspkrT]]/TBA_Matches_All[[#This Row],[Tspkr]]),0)</f>
        <v>0.7</v>
      </c>
      <c r="CR16">
        <f>SUM(TBA_Matches_All[[#This Row],[TspkrPts]]*TBA_Matches_All[[#This Row],[TspkrP]])</f>
        <v>16.099999999999998</v>
      </c>
      <c r="CS16" s="59">
        <f>IFERROR(SUM(TBA_Matches_All[[#This Row],[TtrapT]]/TBA_Matches_All[[#This Row],[Trap]]),0)</f>
        <v>0</v>
      </c>
      <c r="CT16" s="59">
        <f>IFERROR(SUM(TBA_Matches_All[[#This Row],[TotNotesT]]/TBA_Matches_All[[#This Row],[TotNotes]]),0)</f>
        <v>0.7857142857142857</v>
      </c>
      <c r="CU16" s="66">
        <f>SUM((TBA_Matches_All[[#This Row],[AampT]]*2)+(TBA_Matches_All[[#This Row],[AspkrT]]*5)+(TBA_Matches_All[[#This Row],[AtrapT]]*5)+(TBA_Matches_All[[#This Row],[TampT]]*1)+(TBA_Matches_All[[#This Row],[TspkrptsC]]))</f>
        <v>24.099999999999998</v>
      </c>
      <c r="CV16" s="59">
        <f>IFERROR(TBA_Matches_All[[#This Row],[noteptsT]]/TBA_Matches_All[[#This Row],[NotePts]],0)</f>
        <v>0.77741935483870961</v>
      </c>
      <c r="CW16">
        <f>SUM(IF(TBA_Matches_All[[#This Row],[stageStat]]="On",3,0),IF(TBA_Matches_All[[#This Row],[stageStat]]="Park",1,0),SUMIFS(TBA_Matches_All[[#This Row],[Spotlit]],TBA_Matches_All[[#This Row],[stageStat]],"On"),SUMIFS(TBA_Matches_All[[#This Row],[Harmony]],TBA_Matches_All[[#This Row],[stageStat]],"On"))</f>
        <v>0</v>
      </c>
      <c r="CX16" s="59">
        <f>IFERROR(TBA_Matches_All[[#This Row],[stageptsT]]/TBA_Matches_All[[#This Row],[StagePts]],0)</f>
        <v>0</v>
      </c>
      <c r="CY16">
        <f>SUM((TBA_Matches_All[[#This Row],[AptsT]]+TBA_Matches_All[[#This Row],[TampT]]+TBA_Matches_All[[#This Row],[TspkrptsC]]+(TBA_Matches_All[[#This Row],[TtrapT]]*5)+TBA_Matches_All[[#This Row],[stageptsT]]))</f>
        <v>26.099999999999998</v>
      </c>
      <c r="CZ16" s="59">
        <f>IFERROR(SUM(TBA_Matches_All[[#This Row],[TotptsC]]/TBA_Matches_All[[#This Row],[Score]]),0)</f>
        <v>0.52199999999999991</v>
      </c>
      <c r="DA1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11.271428571428572</v>
      </c>
      <c r="DB16" s="74">
        <f>SUMIFS(TBA_Matches_All[AveTeamTNoteDels],TBA_Matches_All[Match_Number],TBA_Matches_All[[#This Row],[Match_Number]],TBA_Matches_All[Alliance],"&lt;&gt;"&amp;TBA_Matches_All[[#This Row],[Alliance]],TBA_Matches_All[Scouted],"&gt;0")</f>
        <v>17.659848484848485</v>
      </c>
      <c r="DC16" s="74">
        <f>(TBA_Matches_All[[#This Row],[TampT]]+TBA_Matches_All[[#This Row],[TspkrptsC]])-TBA_Matches_All[[#This Row],[AveTeamTNoteDels]]</f>
        <v>7.8285714285714256</v>
      </c>
      <c r="DD16" s="74">
        <f>SUMIFS(TBA_Matches_All[AveTeamTNoteDels],TBA_Matches_All[Match_Number],TBA_Matches_All[[#This Row],[Match_Number]],TBA_Matches_All[Alliance],"&lt;&gt;"&amp;TBA_Matches_All[[#This Row],[Alliance]])-TBA_Matches_All[[#This Row],[AveOppTNoteDels]]</f>
        <v>0</v>
      </c>
    </row>
    <row r="17" spans="1:108" x14ac:dyDescent="0.3">
      <c r="A17" t="s">
        <v>1042</v>
      </c>
      <c r="B17" t="s">
        <v>489</v>
      </c>
      <c r="C17" t="s">
        <v>1287</v>
      </c>
      <c r="D17">
        <v>3</v>
      </c>
      <c r="E17" t="s">
        <v>1420</v>
      </c>
      <c r="F17" t="s">
        <v>1425</v>
      </c>
      <c r="G17" t="s">
        <v>105</v>
      </c>
      <c r="H17" t="s">
        <v>1288</v>
      </c>
      <c r="I17" t="b">
        <v>0</v>
      </c>
      <c r="J17">
        <v>35</v>
      </c>
      <c r="K17">
        <v>0</v>
      </c>
      <c r="L17">
        <v>0</v>
      </c>
      <c r="M17">
        <v>15</v>
      </c>
      <c r="N17">
        <v>0</v>
      </c>
      <c r="O17">
        <v>2</v>
      </c>
      <c r="P17">
        <v>10</v>
      </c>
      <c r="Q17">
        <v>14</v>
      </c>
      <c r="R17">
        <v>0</v>
      </c>
      <c r="S17">
        <v>0</v>
      </c>
      <c r="T17">
        <v>2</v>
      </c>
      <c r="U17">
        <v>0</v>
      </c>
      <c r="V17">
        <v>4</v>
      </c>
      <c r="W17">
        <v>2</v>
      </c>
      <c r="X17">
        <v>4</v>
      </c>
      <c r="Y17">
        <v>4</v>
      </c>
      <c r="Z17">
        <v>0</v>
      </c>
      <c r="AA17">
        <v>0</v>
      </c>
      <c r="AB17">
        <v>4</v>
      </c>
      <c r="AC17">
        <v>14</v>
      </c>
      <c r="AD17">
        <v>7</v>
      </c>
      <c r="AE17">
        <f>IFERROR(6/(COUNTIF(Dyno_EndMatch[Match],TBA_Matches_All[[#This Row],[Match_Number]])),0)</f>
        <v>1</v>
      </c>
      <c r="AF17">
        <f>COUNTIFS(Dyno_Data[Team],TBA_Matches_All[[#This Row],[Team]],Dyno_Data[Match],TBA_Matches_All[[#This Row],[Match_Number]],Dyno_Data[RecordType],"EndMatch",Dyno_Data[HPAmp],"Y")</f>
        <v>1</v>
      </c>
      <c r="AG17">
        <f>SUMIFS(Dyno_Data[Mics], Dyno_Data[Team],TBA_Matches_All[[#This Row],[Team]],Dyno_Data[Match],TBA_Matches_All[[#This Row],[Match_Number]],Dyno_Data[RecordType],"EndMatch",Dyno_Data[HPAmp],"Y")</f>
        <v>0</v>
      </c>
      <c r="AH17">
        <f>SUMIFS(Dyno_Data[Leave], Dyno_Data[Team],TBA_Matches_All[[#This Row],[Team]],Dyno_Data[Match],TBA_Matches_All[[#This Row],[Match_Number]],Dyno_Data[RecordType],"EndAuto")</f>
        <v>1</v>
      </c>
      <c r="AI17">
        <f>COUNTIFS(Dyno_Data[Team],TBA_Matches_All[[#This Row],[Team]],Dyno_Data[Match],TBA_Matches_All[[#This Row],[Match_Number]],Dyno_Data[RecordType],"Activities",Dyno_Data[DelDest],"Amp", Dyno_Data[DelMiss],"0", Dyno_Data[Mode],"Auto")</f>
        <v>0</v>
      </c>
      <c r="AJ17">
        <f>COUNTIFS(Dyno_Data[Team],TBA_Matches_All[[#This Row],[Team]],Dyno_Data[Match],TBA_Matches_All[[#This Row],[Match_Number]],Dyno_Data[RecordType],"Activities",Dyno_Data[DelDest],"Spkr", Dyno_Data[DelMiss],"0", Dyno_Data[Mode],"Auto")</f>
        <v>1</v>
      </c>
      <c r="AK17">
        <f>COUNTIFS(Dyno_Data[Team],TBA_Matches_All[[#This Row],[Team]],Dyno_Data[Match],TBA_Matches_All[[#This Row],[Match_Number]],Dyno_Data[RecordType],"Activities",Dyno_Data[DelDest],"Trap", Dyno_Data[DelMiss],"0", Dyno_Data[Mode],"Auto")</f>
        <v>0</v>
      </c>
      <c r="AL17">
        <f>COUNTIFS(Dyno_Data[Team],TBA_Matches_All[[#This Row],[Team]],Dyno_Data[Match],TBA_Matches_All[[#This Row],[Match_Number]],Dyno_Data[RecordType],"Activities",Dyno_Data[DelDest],"Amp", Dyno_Data[DelMiss],"0", Dyno_Data[Mode],"Teleop")</f>
        <v>0</v>
      </c>
      <c r="AM17">
        <f>COUNTIFS(Dyno_Data[Team],TBA_Matches_All[[#This Row],[Team]],Dyno_Data[Match],TBA_Matches_All[[#This Row],[Match_Number]],Dyno_Data[RecordType],"Activities",Dyno_Data[DelDest],"Spkr", Dyno_Data[DelMiss],"0", Dyno_Data[Mode],"Teleop")</f>
        <v>0</v>
      </c>
      <c r="AN17">
        <f>COUNTIFS(Dyno_Data[Team],TBA_Matches_All[[#This Row],[Team]],Dyno_Data[Match],TBA_Matches_All[[#This Row],[Match_Number]],Dyno_Data[RecordType],"Activities",Dyno_Data[DelDest],"Trap", Dyno_Data[DelMiss],"0", Dyno_Data[Mode],"&lt;&gt;Auto")</f>
        <v>0</v>
      </c>
      <c r="AO17">
        <f>SUM(TBA_Matches_All[[#This Row],[AampT]]+TBA_Matches_All[[#This Row],[AspkrT]]+TBA_Matches_All[[#This Row],[AtrapT]]+TBA_Matches_All[[#This Row],[TampT]]+TBA_Matches_All[[#This Row],[TspkrT]]+TBA_Matches_All[[#This Row],[TtrapT]])</f>
        <v>1</v>
      </c>
      <c r="AP17">
        <f>COUNTIFS(Dyno_Data[Team],TBA_Matches_All[[#This Row],[Team]],Dyno_Data[Match],TBA_Matches_All[[#This Row],[Match_Number]],Dyno_Data[RecordType],"Activities",Dyno_Data[DelDest],"Neut", Dyno_Data[DelMiss],"0")</f>
        <v>0</v>
      </c>
      <c r="AQ17">
        <f>COUNTIFS(Dyno_Data[Team],TBA_Matches_All[[#This Row],[Team]],Dyno_Data[Match],TBA_Matches_All[[#This Row],[Match_Number]],Dyno_Data[RecordType],"Activities",Dyno_Data[DelDest],"AllyW", Dyno_Data[DelMiss],"0")</f>
        <v>0</v>
      </c>
      <c r="AR17" t="str">
        <f>_xlfn.XLOOKUP(SUM(MID(TBA_Matches_All[[#This Row],[Team]],4,5),(TBA_Matches_All[[#This Row],[Match_Number]]/100)),Dyno_EndMatch[teammat],Dyno_EndMatch[RobotSta],"_",0,1)</f>
        <v>Podm</v>
      </c>
      <c r="AS17">
        <f>SUMIFS(Dyno_Data[AcqDis], Dyno_Data[Team],TBA_Matches_All[[#This Row],[Team]],Dyno_Data[Match],TBA_Matches_All[[#This Row],[Match_Number]],Dyno_Data[RecordType],"Activities", Dyno_Data[AcqCenter],1,Dyno_Data[Mode],"Auto")</f>
        <v>0</v>
      </c>
      <c r="AT17">
        <f>SUMIFS(Dyno_Data[AcqDis], Dyno_Data[Team],TBA_Matches_All[[#This Row],[Team]],Dyno_Data[Match],TBA_Matches_All[[#This Row],[Match_Number]],Dyno_Data[RecordType],"Activities", Dyno_Data[AcqCenter],2,Dyno_Data[Mode],"Auto")</f>
        <v>-1</v>
      </c>
      <c r="AU17">
        <f>SUMIFS(Dyno_Data[AcqDis], Dyno_Data[Team],TBA_Matches_All[[#This Row],[Team]],Dyno_Data[Match],TBA_Matches_All[[#This Row],[Match_Number]],Dyno_Data[RecordType],"Activities", Dyno_Data[AcqCenter],3,Dyno_Data[Mode],"Auto")</f>
        <v>0</v>
      </c>
      <c r="AV17">
        <f>SUMIFS(Dyno_Data[AcqDis], Dyno_Data[Team],TBA_Matches_All[[#This Row],[Team]],Dyno_Data[Match],TBA_Matches_All[[#This Row],[Match_Number]],Dyno_Data[RecordType],"Activities", Dyno_Data[AcqCenter],4,Dyno_Data[Mode],"Auto")</f>
        <v>0</v>
      </c>
      <c r="AW17">
        <f>SUMIFS(Dyno_Data[AcqDis], Dyno_Data[Team],TBA_Matches_All[[#This Row],[Team]],Dyno_Data[Match],TBA_Matches_All[[#This Row],[Match_Number]],Dyno_Data[RecordType],"Activities", Dyno_Data[AcqCenter],5,Dyno_Data[Mode],"Auto")</f>
        <v>0</v>
      </c>
      <c r="AX17">
        <f>SUMIFS(Dyno_Data[DelMiss], Dyno_Data[Team],TBA_Matches_All[[#This Row],[Team]],Dyno_Data[Match],TBA_Matches_All[[#This Row],[Match_Number]],Dyno_Data[RecordType],"Activities", Dyno_Data[DelDest],"Amp")</f>
        <v>0</v>
      </c>
      <c r="AY17" s="60">
        <f>IFERROR(SUM((TBA_Matches_All[[#This Row],[AampT]]+TBA_Matches_All[[#This Row],[TampT]])/(TBA_Matches_All[[#This Row],[AampT]]+TBA_Matches_All[[#This Row],[TampT]]+TBA_Matches_All[[#This Row],[ampM]])),0)</f>
        <v>0</v>
      </c>
      <c r="AZ17">
        <f>SUMIFS(Dyno_Data[DelMiss], Dyno_Data[Team],TBA_Matches_All[[#This Row],[Team]],Dyno_Data[Match],TBA_Matches_All[[#This Row],[Match_Number]],Dyno_Data[RecordType],"Activities", Dyno_Data[DelDest],"Spkr")</f>
        <v>0</v>
      </c>
      <c r="BA17" s="60">
        <f>IFERROR(SUM((TBA_Matches_All[[#This Row],[AspkrT]]+TBA_Matches_All[[#This Row],[TspkrT]])/(TBA_Matches_All[[#This Row],[AspkrT]]+TBA_Matches_All[[#This Row],[TspkrT]]+TBA_Matches_All[[#This Row],[spkrM]])),0)</f>
        <v>1</v>
      </c>
      <c r="BB17">
        <f>SUMIFS(Dyno_Data[DelMiss], Dyno_Data[Team],TBA_Matches_All[[#This Row],[Team]],Dyno_Data[Match],TBA_Matches_All[[#This Row],[Match_Number]],Dyno_Data[RecordType],"Activities", Dyno_Data[DelDest],"Trap")</f>
        <v>0</v>
      </c>
      <c r="BC17" s="60">
        <f>IFERROR((TBA_Matches_All[[#This Row],[AtrapT]]+TBA_Matches_All[[#This Row],[TtrapT]])/(TBA_Matches_All[[#This Row],[AtrapT]]+TBA_Matches_All[[#This Row],[TtrapT]]+TBA_Matches_All[[#This Row],[trapM]]),0)</f>
        <v>0</v>
      </c>
      <c r="BD17">
        <f>COUNTIFS(Dyno_Data[Team],TBA_Matches_All[[#This Row],[Team]],Dyno_Data[Match],TBA_Matches_All[[#This Row],[Match_Number]],Dyno_Data[RecordType],"Activities",Dyno_Data[DelDest],"Neut", Dyno_Data[DelMiss],1)</f>
        <v>0</v>
      </c>
      <c r="BE17" s="60">
        <f>IFERROR(SUM((TBA_Matches_All[[#This Row],[NeutFlrT]])/(TBA_Matches_All[[#This Row],[NeutFlrT]]+TBA_Matches_All[[#This Row],[NZflM]])),0)</f>
        <v>0</v>
      </c>
      <c r="BF17">
        <f>COUNTIFS(Dyno_Data[Team],TBA_Matches_All[[#This Row],[Team]],Dyno_Data[Match],TBA_Matches_All[[#This Row],[Match_Number]],Dyno_Data[RecordType],"Activities",Dyno_Data[DelDest],"AllyW", Dyno_Data[DelMiss],1)</f>
        <v>0</v>
      </c>
      <c r="BG17" s="60">
        <f>IFERROR(SUM((TBA_Matches_All[[#This Row],[AllyWFlrT]])/(TBA_Matches_All[[#This Row],[AllyWFlrT]]+TBA_Matches_All[[#This Row],[AZflM]])),0)</f>
        <v>0</v>
      </c>
      <c r="BH17">
        <f>COUNTIFS(Dyno_Data[Team],TBA_Matches_All[[#This Row],[Team]],Dyno_Data[Match],TBA_Matches_All[[#This Row],[Match_Number]],Dyno_Data[RecordType],"Activities",Dyno_Data[DelOrig],"OppW", Dyno_Data[DelMiss],"0")</f>
        <v>0</v>
      </c>
      <c r="BI17">
        <f>COUNTIFS(Dyno_Data[Team],TBA_Matches_All[[#This Row],[Team]],Dyno_Data[Match],TBA_Matches_All[[#This Row],[Match_Number]],Dyno_Data[RecordType],"Activities",Dyno_Data[DelOrig],"OppW", Dyno_Data[DelMiss],"1")</f>
        <v>0</v>
      </c>
      <c r="BJ17" s="60">
        <f>IFERROR(SUM((TBA_Matches_All[[#This Row],[OZflrT]])/(TBA_Matches_All[[#This Row],[OZflrT]]+TBA_Matches_All[[#This Row],[OZflrM]])),0)</f>
        <v>0</v>
      </c>
      <c r="BK17">
        <f>COUNTIFS(Dyno_Data[Team],TBA_Matches_All[[#This Row],[Team]],Dyno_Data[Match],TBA_Matches_All[[#This Row],[Match_Number]],Dyno_Data[RecordType],"Activities",Dyno_Data[DelOrig],"Neut", Dyno_Data[DelMiss],"0")</f>
        <v>0</v>
      </c>
      <c r="BL17">
        <f>COUNTIFS(Dyno_Data[Team],TBA_Matches_All[[#This Row],[Team]],Dyno_Data[Match],TBA_Matches_All[[#This Row],[Match_Number]],Dyno_Data[RecordType],"Activities",Dyno_Data[DelOrig],"Neut", Dyno_Data[DelMiss],"1")</f>
        <v>0</v>
      </c>
      <c r="BM17" s="60">
        <f>IFERROR(SUM((TBA_Matches_All[[#This Row],[NZflrT]])/(TBA_Matches_All[[#This Row],[NZflrT]]+TBA_Matches_All[[#This Row],[NZflrM]])),0)</f>
        <v>0</v>
      </c>
      <c r="BN17">
        <f>COUNTIFS(Dyno_Data[Team],TBA_Matches_All[[#This Row],[Team]],Dyno_Data[Match],TBA_Matches_All[[#This Row],[Match_Number]],Dyno_Data[RecordType],"Activities",Dyno_Data[DelOrig],"AllyW", Dyno_Data[DelMiss],"0")</f>
        <v>1</v>
      </c>
      <c r="BO17">
        <f>COUNTIFS(Dyno_Data[Team],TBA_Matches_All[[#This Row],[Team]],Dyno_Data[Match],TBA_Matches_All[[#This Row],[Match_Number]],Dyno_Data[RecordType],"Activities",Dyno_Data[DelOrig],"AllyW", Dyno_Data[DelMiss],"1")</f>
        <v>0</v>
      </c>
      <c r="BP17" s="60">
        <f>IFERROR(SUM((TBA_Matches_All[[#This Row],[AZflrT]])/(TBA_Matches_All[[#This Row],[AZflrT]]+TBA_Matches_All[[#This Row],[AZflrM]])),0)</f>
        <v>1</v>
      </c>
      <c r="BQ17">
        <f>COUNTIFS(Dyno_Data[Team],TBA_Matches_All[[#This Row],[Team]],Dyno_Data[Match],TBA_Matches_All[[#This Row],[Match_Number]],Dyno_Data[RecordType],"Activities",Dyno_Data[DelOrig],"SubW", Dyno_Data[DelMiss],"0")</f>
        <v>0</v>
      </c>
      <c r="BR17">
        <f>COUNTIFS(Dyno_Data[Team],TBA_Matches_All[[#This Row],[Team]],Dyno_Data[Match],TBA_Matches_All[[#This Row],[Match_Number]],Dyno_Data[RecordType],"Activities",Dyno_Data[DelOrig],"SubW", Dyno_Data[DelMiss],"1")</f>
        <v>0</v>
      </c>
      <c r="BS17" s="60">
        <f>IFERROR(SUM((TBA_Matches_All[[#This Row],[SubwT]])/(TBA_Matches_All[[#This Row],[SubwT]]+TBA_Matches_All[[#This Row],[SubwM]])),0)</f>
        <v>0</v>
      </c>
      <c r="BT17">
        <f>COUNTIFS(Dyno_Data[Team],TBA_Matches_All[[#This Row],[Team]],Dyno_Data[Match],TBA_Matches_All[[#This Row],[Match_Number]],Dyno_Data[RecordType],"Activities", Dyno_Data[AcqLoc],"OppWing")</f>
        <v>0</v>
      </c>
      <c r="BU17">
        <f>COUNTIFS(Dyno_Data[Team],TBA_Matches_All[[#This Row],[Team]],Dyno_Data[Match],TBA_Matches_All[[#This Row],[Match_Number]],Dyno_Data[RecordType],"Activities", Dyno_Data[AcqLoc],"Neutral")</f>
        <v>1</v>
      </c>
      <c r="BV17">
        <f>COUNTIFS(Dyno_Data[Team],TBA_Matches_All[[#This Row],[Team]],Dyno_Data[Match],TBA_Matches_All[[#This Row],[Match_Number]],Dyno_Data[RecordType],"Activities", Dyno_Data[AcqLoc],"AllyWing")</f>
        <v>0</v>
      </c>
      <c r="BW17">
        <f>COUNTIFS(Dyno_Data[Team],TBA_Matches_All[[#This Row],[Team]],Dyno_Data[Match],TBA_Matches_All[[#This Row],[Match_Number]],Dyno_Data[RecordType],"Activities", Dyno_Data[AcqLoc],"Source")</f>
        <v>0</v>
      </c>
      <c r="BX17">
        <f>SUMIFS(Dyno_Data[AcqDrp], Dyno_Data[Team],TBA_Matches_All[[#This Row],[Team]],Dyno_Data[Match],TBA_Matches_All[[#This Row],[Match_Number]],Dyno_Data[RecordType],"Activities", Dyno_Data[AcqLoc],"Source")</f>
        <v>0</v>
      </c>
      <c r="BY17">
        <f>SUMIFS(Dyno_Data[OZTime], Dyno_Data[Team],TBA_Matches_All[[#This Row],[Team]],Dyno_Data[Match],TBA_Matches_All[[#This Row],[Match_Number]],Dyno_Data[RecordType],"EndMatch")</f>
        <v>19.903942499999999</v>
      </c>
      <c r="BZ17">
        <f>SUMIFS(Dyno_Data[NZTime], Dyno_Data[Team],TBA_Matches_All[[#This Row],[Team]],Dyno_Data[Match],TBA_Matches_All[[#This Row],[Match_Number]],Dyno_Data[RecordType],"EndMatch")</f>
        <v>42.064437099999999</v>
      </c>
      <c r="CA17">
        <f>SUMIFS(Dyno_Data[AZTime], Dyno_Data[Team],TBA_Matches_All[[#This Row],[Team]],Dyno_Data[Match],TBA_Matches_All[[#This Row],[Match_Number]],Dyno_Data[RecordType],"EndMatch")</f>
        <v>74.183383499999991</v>
      </c>
      <c r="CB17">
        <f>SUMIFS(Dyno_Data[ClimbT], Dyno_Data[Team],TBA_Matches_All[[#This Row],[Team]],Dyno_Data[Match],TBA_Matches_All[[#This Row],[Match_Number]],Dyno_Data[RecordType],"EndMatch")</f>
        <v>0</v>
      </c>
      <c r="CC17" t="str">
        <f>_xlfn.XLOOKUP(SUM(MID(TBA_Matches_All[[#This Row],[Team]],4,5),(TBA_Matches_All[[#This Row],[Match_Number]]/100)),Dyno_EndMatch[teammat],Dyno_EndMatch[StageStat],"_",0,1)</f>
        <v>Park</v>
      </c>
      <c r="CD17" t="str">
        <f>_xlfn.XLOOKUP(TBA_Matches_All[[#This Row],[teammat]],Dyno_EndMatch[teammat],Dyno_EndMatch[StageAtt],"_",0,1)</f>
        <v>0</v>
      </c>
      <c r="CE17" t="str">
        <f>_xlfn.XLOOKUP(TBA_Matches_All[[#This Row],[teammat]],Dyno_EndMatch[teammat],Dyno_EndMatch[StageLoc],"_",0,1)</f>
        <v>A</v>
      </c>
      <c r="CF17">
        <f>SUMIFS(Dyno_Data[Harmony], Dyno_Data[Team],TBA_Matches_All[[#This Row],[Team]],Dyno_Data[Match],TBA_Matches_All[[#This Row],[Match_Number]],Dyno_Data[RecordType],"EndMatch", Dyno_Data[StageStat],"On",Dyno_Data[Harmony],"&lt;&gt;9")</f>
        <v>0</v>
      </c>
      <c r="CG17">
        <f>SUMIFS(Dyno_Data[Spotlit], Dyno_Data[Team],TBA_Matches_All[[#This Row],[Team]],Dyno_Data[Match],TBA_Matches_All[[#This Row],[Match_Number]],Dyno_Data[RecordType],"EndMatch", Dyno_Data[StageStat],"On",Dyno_Data[Spotlit],"&lt;&gt;9")</f>
        <v>0</v>
      </c>
      <c r="CH17" t="str">
        <f>_xlfn.XLOOKUP(TBA_Matches_All[[#This Row],[teammat]],Dyno_EndMatch[teammat],Dyno_EndMatch[Strategy],"_",0,1)</f>
        <v>Celebity</v>
      </c>
      <c r="CI17">
        <f>SUMIFS(Dyno_Data[Defense], Dyno_Data[Team],TBA_Matches_All[[#This Row],[Team]],Dyno_Data[Match],TBA_Matches_All[[#This Row],[Match_Number]],Dyno_Data[RecordType],"EndMatch",Dyno_Data[Defense],"&lt;&gt;9")</f>
        <v>3</v>
      </c>
      <c r="CJ17">
        <f>SUMIFS(Dyno_Data[Avoidance], Dyno_Data[Team],TBA_Matches_All[[#This Row],[Team]],Dyno_Data[Match],TBA_Matches_All[[#This Row],[Match_Number]],Dyno_Data[RecordType],"EndMatch",Dyno_Data[Avoidance],"&lt;&gt;9")</f>
        <v>0</v>
      </c>
      <c r="CK17" s="82">
        <f>COUNTIF($H$2:TBA_Matches_All[[#This Row],[Team]],TBA_Matches_All[[#This Row],[Team]])</f>
        <v>1</v>
      </c>
      <c r="CL17" s="111">
        <f>SUM(MID(TBA_Matches_All[[#This Row],[Team]],4,5)+TBA_Matches_All[[#This Row],[Match_Number]]/100)</f>
        <v>3181.03</v>
      </c>
      <c r="CM17">
        <f>SUM((TBA_Matches_All[[#This Row],[Leave]]*2)+(TBA_Matches_All[[#This Row],[AampT]]*2)+(TBA_Matches_All[[#This Row],[AspkrT]]*5)+(TBA_Matches_All[[#This Row],[AtrapT]]*5))</f>
        <v>7</v>
      </c>
      <c r="CN17" s="59">
        <f>IFERROR(SUM(TBA_Matches_All[[#This Row],[AptsT]]/TBA_Matches_All[[#This Row],[AutoPts]]),0)</f>
        <v>0.5</v>
      </c>
      <c r="CO17" s="59">
        <f>IFERROR(SUM(TBA_Matches_All[[#This Row],[AampT]]+TBA_Matches_All[[#This Row],[AspkrT]]+TBA_Matches_All[[#This Row],[AtrapT]]/TBA_Matches_All[[#This Row],[Aamp]]+TBA_Matches_All[[#This Row],[Aspkr]]+TBA_Matches_All[[#This Row],[AtrapT]]),0)</f>
        <v>0</v>
      </c>
      <c r="CP17" s="59">
        <f>IFERROR(SUM(TBA_Matches_All[[#This Row],[TampT]]/TBA_Matches_All[[#This Row],[Tamp]]),0)</f>
        <v>0</v>
      </c>
      <c r="CQ17" s="59">
        <f>IFERROR(SUM(TBA_Matches_All[[#This Row],[TspkrT]]/TBA_Matches_All[[#This Row],[Tspkr]]),0)</f>
        <v>0</v>
      </c>
      <c r="CR17">
        <f>SUM(TBA_Matches_All[[#This Row],[TspkrPts]]*TBA_Matches_All[[#This Row],[TspkrP]])</f>
        <v>0</v>
      </c>
      <c r="CS17" s="59">
        <f>IFERROR(SUM(TBA_Matches_All[[#This Row],[TtrapT]]/TBA_Matches_All[[#This Row],[Trap]]),0)</f>
        <v>0</v>
      </c>
      <c r="CT17" s="59">
        <f>IFERROR(SUM(TBA_Matches_All[[#This Row],[TotNotesT]]/TBA_Matches_All[[#This Row],[TotNotes]]),0)</f>
        <v>0.25</v>
      </c>
      <c r="CU17" s="66">
        <f>SUM((TBA_Matches_All[[#This Row],[AampT]]*2)+(TBA_Matches_All[[#This Row],[AspkrT]]*5)+(TBA_Matches_All[[#This Row],[AtrapT]]*5)+(TBA_Matches_All[[#This Row],[TampT]]*1)+(TBA_Matches_All[[#This Row],[TspkrptsC]]))</f>
        <v>5</v>
      </c>
      <c r="CV17" s="59">
        <f>IFERROR(TBA_Matches_All[[#This Row],[noteptsT]]/TBA_Matches_All[[#This Row],[NotePts]],0)</f>
        <v>0.35714285714285715</v>
      </c>
      <c r="CW17">
        <f>SUM(IF(TBA_Matches_All[[#This Row],[stageStat]]="On",3,0),IF(TBA_Matches_All[[#This Row],[stageStat]]="Park",1,0),SUMIFS(TBA_Matches_All[[#This Row],[Spotlit]],TBA_Matches_All[[#This Row],[stageStat]],"On"),SUMIFS(TBA_Matches_All[[#This Row],[Harmony]],TBA_Matches_All[[#This Row],[stageStat]],"On"))</f>
        <v>1</v>
      </c>
      <c r="CX17" s="59">
        <f>IFERROR(TBA_Matches_All[[#This Row],[stageptsT]]/TBA_Matches_All[[#This Row],[StagePts]],0)</f>
        <v>0.14285714285714285</v>
      </c>
      <c r="CY17">
        <f>SUM((TBA_Matches_All[[#This Row],[AptsT]]+TBA_Matches_All[[#This Row],[TampT]]+TBA_Matches_All[[#This Row],[TspkrptsC]]+(TBA_Matches_All[[#This Row],[TtrapT]]*5)+TBA_Matches_All[[#This Row],[stageptsT]]))</f>
        <v>8</v>
      </c>
      <c r="CZ17" s="59">
        <f>IFERROR(SUM(TBA_Matches_All[[#This Row],[TotptsC]]/TBA_Matches_All[[#This Row],[Score]]),0)</f>
        <v>0.22857142857142856</v>
      </c>
      <c r="DA1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9.5871212121212128</v>
      </c>
      <c r="DB17" s="74">
        <f>SUMIFS(TBA_Matches_All[AveTeamTNoteDels],TBA_Matches_All[Match_Number],TBA_Matches_All[[#This Row],[Match_Number]],TBA_Matches_All[Alliance],"&lt;&gt;"&amp;TBA_Matches_All[[#This Row],[Alliance]],TBA_Matches_All[Scouted],"&gt;0")</f>
        <v>20.338095238095242</v>
      </c>
      <c r="DC17" s="74">
        <f>(TBA_Matches_All[[#This Row],[TampT]]+TBA_Matches_All[[#This Row],[TspkrptsC]])-TBA_Matches_All[[#This Row],[AveTeamTNoteDels]]</f>
        <v>-9.5871212121212128</v>
      </c>
      <c r="DD17" s="74">
        <f>SUMIFS(TBA_Matches_All[AveTeamTNoteDels],TBA_Matches_All[Match_Number],TBA_Matches_All[[#This Row],[Match_Number]],TBA_Matches_All[Alliance],"&lt;&gt;"&amp;TBA_Matches_All[[#This Row],[Alliance]])-TBA_Matches_All[[#This Row],[AveOppTNoteDels]]</f>
        <v>0</v>
      </c>
    </row>
    <row r="18" spans="1:108" x14ac:dyDescent="0.3">
      <c r="A18" t="s">
        <v>1042</v>
      </c>
      <c r="B18" t="s">
        <v>489</v>
      </c>
      <c r="C18" t="s">
        <v>1287</v>
      </c>
      <c r="D18">
        <v>3</v>
      </c>
      <c r="E18" t="s">
        <v>1406</v>
      </c>
      <c r="F18" t="s">
        <v>1426</v>
      </c>
      <c r="G18" t="s">
        <v>164</v>
      </c>
      <c r="H18" t="s">
        <v>367</v>
      </c>
      <c r="I18" t="b">
        <v>1</v>
      </c>
      <c r="J18">
        <v>50</v>
      </c>
      <c r="K18">
        <v>0</v>
      </c>
      <c r="L18">
        <v>0</v>
      </c>
      <c r="M18">
        <v>10</v>
      </c>
      <c r="N18">
        <v>0</v>
      </c>
      <c r="O18">
        <v>1</v>
      </c>
      <c r="P18">
        <v>5</v>
      </c>
      <c r="Q18">
        <v>7</v>
      </c>
      <c r="R18">
        <v>3</v>
      </c>
      <c r="S18">
        <v>1</v>
      </c>
      <c r="T18">
        <v>9</v>
      </c>
      <c r="U18">
        <v>5</v>
      </c>
      <c r="V18">
        <v>18</v>
      </c>
      <c r="W18">
        <v>10</v>
      </c>
      <c r="X18">
        <v>23</v>
      </c>
      <c r="Y18">
        <v>26</v>
      </c>
      <c r="Z18">
        <v>0</v>
      </c>
      <c r="AA18">
        <v>0</v>
      </c>
      <c r="AB18">
        <v>14</v>
      </c>
      <c r="AC18">
        <v>31</v>
      </c>
      <c r="AD18">
        <v>2</v>
      </c>
      <c r="AE18">
        <f>IFERROR(6/(COUNTIF(Dyno_EndMatch[Match],TBA_Matches_All[[#This Row],[Match_Number]])),0)</f>
        <v>1</v>
      </c>
      <c r="AF18">
        <f>COUNTIFS(Dyno_Data[Team],TBA_Matches_All[[#This Row],[Team]],Dyno_Data[Match],TBA_Matches_All[[#This Row],[Match_Number]],Dyno_Data[RecordType],"EndMatch",Dyno_Data[HPAmp],"Y")</f>
        <v>1</v>
      </c>
      <c r="AG18">
        <f>SUMIFS(Dyno_Data[Mics], Dyno_Data[Team],TBA_Matches_All[[#This Row],[Team]],Dyno_Data[Match],TBA_Matches_All[[#This Row],[Match_Number]],Dyno_Data[RecordType],"EndMatch",Dyno_Data[HPAmp],"Y")</f>
        <v>0</v>
      </c>
      <c r="AH18">
        <f>SUMIFS(Dyno_Data[Leave], Dyno_Data[Team],TBA_Matches_All[[#This Row],[Team]],Dyno_Data[Match],TBA_Matches_All[[#This Row],[Match_Number]],Dyno_Data[RecordType],"EndAuto")</f>
        <v>0</v>
      </c>
      <c r="AI18">
        <f>COUNTIFS(Dyno_Data[Team],TBA_Matches_All[[#This Row],[Team]],Dyno_Data[Match],TBA_Matches_All[[#This Row],[Match_Number]],Dyno_Data[RecordType],"Activities",Dyno_Data[DelDest],"Amp", Dyno_Data[DelMiss],"0", Dyno_Data[Mode],"Auto")</f>
        <v>0</v>
      </c>
      <c r="AJ18">
        <f>COUNTIFS(Dyno_Data[Team],TBA_Matches_All[[#This Row],[Team]],Dyno_Data[Match],TBA_Matches_All[[#This Row],[Match_Number]],Dyno_Data[RecordType],"Activities",Dyno_Data[DelDest],"Spkr", Dyno_Data[DelMiss],"0", Dyno_Data[Mode],"Auto")</f>
        <v>0</v>
      </c>
      <c r="AK18">
        <f>COUNTIFS(Dyno_Data[Team],TBA_Matches_All[[#This Row],[Team]],Dyno_Data[Match],TBA_Matches_All[[#This Row],[Match_Number]],Dyno_Data[RecordType],"Activities",Dyno_Data[DelDest],"Trap", Dyno_Data[DelMiss],"0", Dyno_Data[Mode],"Auto")</f>
        <v>0</v>
      </c>
      <c r="AL18">
        <f>COUNTIFS(Dyno_Data[Team],TBA_Matches_All[[#This Row],[Team]],Dyno_Data[Match],TBA_Matches_All[[#This Row],[Match_Number]],Dyno_Data[RecordType],"Activities",Dyno_Data[DelDest],"Amp", Dyno_Data[DelMiss],"0", Dyno_Data[Mode],"Teleop")</f>
        <v>0</v>
      </c>
      <c r="AM18">
        <f>COUNTIFS(Dyno_Data[Team],TBA_Matches_All[[#This Row],[Team]],Dyno_Data[Match],TBA_Matches_All[[#This Row],[Match_Number]],Dyno_Data[RecordType],"Activities",Dyno_Data[DelDest],"Spkr", Dyno_Data[DelMiss],"0", Dyno_Data[Mode],"Teleop")</f>
        <v>3</v>
      </c>
      <c r="AN18">
        <f>COUNTIFS(Dyno_Data[Team],TBA_Matches_All[[#This Row],[Team]],Dyno_Data[Match],TBA_Matches_All[[#This Row],[Match_Number]],Dyno_Data[RecordType],"Activities",Dyno_Data[DelDest],"Trap", Dyno_Data[DelMiss],"0", Dyno_Data[Mode],"&lt;&gt;Auto")</f>
        <v>0</v>
      </c>
      <c r="AO18">
        <f>SUM(TBA_Matches_All[[#This Row],[AampT]]+TBA_Matches_All[[#This Row],[AspkrT]]+TBA_Matches_All[[#This Row],[AtrapT]]+TBA_Matches_All[[#This Row],[TampT]]+TBA_Matches_All[[#This Row],[TspkrT]]+TBA_Matches_All[[#This Row],[TtrapT]])</f>
        <v>3</v>
      </c>
      <c r="AP18">
        <f>COUNTIFS(Dyno_Data[Team],TBA_Matches_All[[#This Row],[Team]],Dyno_Data[Match],TBA_Matches_All[[#This Row],[Match_Number]],Dyno_Data[RecordType],"Activities",Dyno_Data[DelDest],"Neut", Dyno_Data[DelMiss],"0")</f>
        <v>0</v>
      </c>
      <c r="AQ18">
        <f>COUNTIFS(Dyno_Data[Team],TBA_Matches_All[[#This Row],[Team]],Dyno_Data[Match],TBA_Matches_All[[#This Row],[Match_Number]],Dyno_Data[RecordType],"Activities",Dyno_Data[DelDest],"AllyW", Dyno_Data[DelMiss],"0")</f>
        <v>0</v>
      </c>
      <c r="AR18" t="str">
        <f>_xlfn.XLOOKUP(SUM(MID(TBA_Matches_All[[#This Row],[Team]],4,5),(TBA_Matches_All[[#This Row],[Match_Number]]/100)),Dyno_EndMatch[teammat],Dyno_EndMatch[RobotSta],"_",0,1)</f>
        <v>Podm</v>
      </c>
      <c r="AS18">
        <f>SUMIFS(Dyno_Data[AcqDis], Dyno_Data[Team],TBA_Matches_All[[#This Row],[Team]],Dyno_Data[Match],TBA_Matches_All[[#This Row],[Match_Number]],Dyno_Data[RecordType],"Activities", Dyno_Data[AcqCenter],1,Dyno_Data[Mode],"Auto")</f>
        <v>0</v>
      </c>
      <c r="AT18">
        <f>SUMIFS(Dyno_Data[AcqDis], Dyno_Data[Team],TBA_Matches_All[[#This Row],[Team]],Dyno_Data[Match],TBA_Matches_All[[#This Row],[Match_Number]],Dyno_Data[RecordType],"Activities", Dyno_Data[AcqCenter],2,Dyno_Data[Mode],"Auto")</f>
        <v>0</v>
      </c>
      <c r="AU18">
        <f>SUMIFS(Dyno_Data[AcqDis], Dyno_Data[Team],TBA_Matches_All[[#This Row],[Team]],Dyno_Data[Match],TBA_Matches_All[[#This Row],[Match_Number]],Dyno_Data[RecordType],"Activities", Dyno_Data[AcqCenter],3,Dyno_Data[Mode],"Auto")</f>
        <v>0</v>
      </c>
      <c r="AV18">
        <f>SUMIFS(Dyno_Data[AcqDis], Dyno_Data[Team],TBA_Matches_All[[#This Row],[Team]],Dyno_Data[Match],TBA_Matches_All[[#This Row],[Match_Number]],Dyno_Data[RecordType],"Activities", Dyno_Data[AcqCenter],4,Dyno_Data[Mode],"Auto")</f>
        <v>0</v>
      </c>
      <c r="AW18">
        <f>SUMIFS(Dyno_Data[AcqDis], Dyno_Data[Team],TBA_Matches_All[[#This Row],[Team]],Dyno_Data[Match],TBA_Matches_All[[#This Row],[Match_Number]],Dyno_Data[RecordType],"Activities", Dyno_Data[AcqCenter],5,Dyno_Data[Mode],"Auto")</f>
        <v>0</v>
      </c>
      <c r="AX18">
        <f>SUMIFS(Dyno_Data[DelMiss], Dyno_Data[Team],TBA_Matches_All[[#This Row],[Team]],Dyno_Data[Match],TBA_Matches_All[[#This Row],[Match_Number]],Dyno_Data[RecordType],"Activities", Dyno_Data[DelDest],"Amp")</f>
        <v>0</v>
      </c>
      <c r="AY18" s="60">
        <f>IFERROR(SUM((TBA_Matches_All[[#This Row],[AampT]]+TBA_Matches_All[[#This Row],[TampT]])/(TBA_Matches_All[[#This Row],[AampT]]+TBA_Matches_All[[#This Row],[TampT]]+TBA_Matches_All[[#This Row],[ampM]])),0)</f>
        <v>0</v>
      </c>
      <c r="AZ18">
        <f>SUMIFS(Dyno_Data[DelMiss], Dyno_Data[Team],TBA_Matches_All[[#This Row],[Team]],Dyno_Data[Match],TBA_Matches_All[[#This Row],[Match_Number]],Dyno_Data[RecordType],"Activities", Dyno_Data[DelDest],"Spkr")</f>
        <v>2</v>
      </c>
      <c r="BA18" s="60">
        <f>IFERROR(SUM((TBA_Matches_All[[#This Row],[AspkrT]]+TBA_Matches_All[[#This Row],[TspkrT]])/(TBA_Matches_All[[#This Row],[AspkrT]]+TBA_Matches_All[[#This Row],[TspkrT]]+TBA_Matches_All[[#This Row],[spkrM]])),0)</f>
        <v>0.6</v>
      </c>
      <c r="BB18">
        <f>SUMIFS(Dyno_Data[DelMiss], Dyno_Data[Team],TBA_Matches_All[[#This Row],[Team]],Dyno_Data[Match],TBA_Matches_All[[#This Row],[Match_Number]],Dyno_Data[RecordType],"Activities", Dyno_Data[DelDest],"Trap")</f>
        <v>0</v>
      </c>
      <c r="BC18" s="60">
        <f>IFERROR((TBA_Matches_All[[#This Row],[AtrapT]]+TBA_Matches_All[[#This Row],[TtrapT]])/(TBA_Matches_All[[#This Row],[AtrapT]]+TBA_Matches_All[[#This Row],[TtrapT]]+TBA_Matches_All[[#This Row],[trapM]]),0)</f>
        <v>0</v>
      </c>
      <c r="BD18">
        <f>COUNTIFS(Dyno_Data[Team],TBA_Matches_All[[#This Row],[Team]],Dyno_Data[Match],TBA_Matches_All[[#This Row],[Match_Number]],Dyno_Data[RecordType],"Activities",Dyno_Data[DelDest],"Neut", Dyno_Data[DelMiss],1)</f>
        <v>0</v>
      </c>
      <c r="BE18" s="60">
        <f>IFERROR(SUM((TBA_Matches_All[[#This Row],[NeutFlrT]])/(TBA_Matches_All[[#This Row],[NeutFlrT]]+TBA_Matches_All[[#This Row],[NZflM]])),0)</f>
        <v>0</v>
      </c>
      <c r="BF18">
        <f>COUNTIFS(Dyno_Data[Team],TBA_Matches_All[[#This Row],[Team]],Dyno_Data[Match],TBA_Matches_All[[#This Row],[Match_Number]],Dyno_Data[RecordType],"Activities",Dyno_Data[DelDest],"AllyW", Dyno_Data[DelMiss],1)</f>
        <v>0</v>
      </c>
      <c r="BG18" s="60">
        <f>IFERROR(SUM((TBA_Matches_All[[#This Row],[AllyWFlrT]])/(TBA_Matches_All[[#This Row],[AllyWFlrT]]+TBA_Matches_All[[#This Row],[AZflM]])),0)</f>
        <v>0</v>
      </c>
      <c r="BH18">
        <f>COUNTIFS(Dyno_Data[Team],TBA_Matches_All[[#This Row],[Team]],Dyno_Data[Match],TBA_Matches_All[[#This Row],[Match_Number]],Dyno_Data[RecordType],"Activities",Dyno_Data[DelOrig],"OppW", Dyno_Data[DelMiss],"0")</f>
        <v>0</v>
      </c>
      <c r="BI18">
        <f>COUNTIFS(Dyno_Data[Team],TBA_Matches_All[[#This Row],[Team]],Dyno_Data[Match],TBA_Matches_All[[#This Row],[Match_Number]],Dyno_Data[RecordType],"Activities",Dyno_Data[DelOrig],"OppW", Dyno_Data[DelMiss],"1")</f>
        <v>0</v>
      </c>
      <c r="BJ18" s="60">
        <f>IFERROR(SUM((TBA_Matches_All[[#This Row],[OZflrT]])/(TBA_Matches_All[[#This Row],[OZflrT]]+TBA_Matches_All[[#This Row],[OZflrM]])),0)</f>
        <v>0</v>
      </c>
      <c r="BK18">
        <f>COUNTIFS(Dyno_Data[Team],TBA_Matches_All[[#This Row],[Team]],Dyno_Data[Match],TBA_Matches_All[[#This Row],[Match_Number]],Dyno_Data[RecordType],"Activities",Dyno_Data[DelOrig],"Neut", Dyno_Data[DelMiss],"0")</f>
        <v>0</v>
      </c>
      <c r="BL18">
        <f>COUNTIFS(Dyno_Data[Team],TBA_Matches_All[[#This Row],[Team]],Dyno_Data[Match],TBA_Matches_All[[#This Row],[Match_Number]],Dyno_Data[RecordType],"Activities",Dyno_Data[DelOrig],"Neut", Dyno_Data[DelMiss],"1")</f>
        <v>0</v>
      </c>
      <c r="BM18" s="60">
        <f>IFERROR(SUM((TBA_Matches_All[[#This Row],[NZflrT]])/(TBA_Matches_All[[#This Row],[NZflrT]]+TBA_Matches_All[[#This Row],[NZflrM]])),0)</f>
        <v>0</v>
      </c>
      <c r="BN18">
        <f>COUNTIFS(Dyno_Data[Team],TBA_Matches_All[[#This Row],[Team]],Dyno_Data[Match],TBA_Matches_All[[#This Row],[Match_Number]],Dyno_Data[RecordType],"Activities",Dyno_Data[DelOrig],"AllyW", Dyno_Data[DelMiss],"0")</f>
        <v>0</v>
      </c>
      <c r="BO18">
        <f>COUNTIFS(Dyno_Data[Team],TBA_Matches_All[[#This Row],[Team]],Dyno_Data[Match],TBA_Matches_All[[#This Row],[Match_Number]],Dyno_Data[RecordType],"Activities",Dyno_Data[DelOrig],"AllyW", Dyno_Data[DelMiss],"1")</f>
        <v>1</v>
      </c>
      <c r="BP18" s="60">
        <f>IFERROR(SUM((TBA_Matches_All[[#This Row],[AZflrT]])/(TBA_Matches_All[[#This Row],[AZflrT]]+TBA_Matches_All[[#This Row],[AZflrM]])),0)</f>
        <v>0</v>
      </c>
      <c r="BQ18">
        <f>COUNTIFS(Dyno_Data[Team],TBA_Matches_All[[#This Row],[Team]],Dyno_Data[Match],TBA_Matches_All[[#This Row],[Match_Number]],Dyno_Data[RecordType],"Activities",Dyno_Data[DelOrig],"SubW", Dyno_Data[DelMiss],"0")</f>
        <v>3</v>
      </c>
      <c r="BR18">
        <f>COUNTIFS(Dyno_Data[Team],TBA_Matches_All[[#This Row],[Team]],Dyno_Data[Match],TBA_Matches_All[[#This Row],[Match_Number]],Dyno_Data[RecordType],"Activities",Dyno_Data[DelOrig],"SubW", Dyno_Data[DelMiss],"1")</f>
        <v>1</v>
      </c>
      <c r="BS18" s="60">
        <f>IFERROR(SUM((TBA_Matches_All[[#This Row],[SubwT]])/(TBA_Matches_All[[#This Row],[SubwT]]+TBA_Matches_All[[#This Row],[SubwM]])),0)</f>
        <v>0.75</v>
      </c>
      <c r="BT18">
        <f>COUNTIFS(Dyno_Data[Team],TBA_Matches_All[[#This Row],[Team]],Dyno_Data[Match],TBA_Matches_All[[#This Row],[Match_Number]],Dyno_Data[RecordType],"Activities", Dyno_Data[AcqLoc],"OppWing")</f>
        <v>0</v>
      </c>
      <c r="BU18">
        <f>COUNTIFS(Dyno_Data[Team],TBA_Matches_All[[#This Row],[Team]],Dyno_Data[Match],TBA_Matches_All[[#This Row],[Match_Number]],Dyno_Data[RecordType],"Activities", Dyno_Data[AcqLoc],"Neutral")</f>
        <v>0</v>
      </c>
      <c r="BV18">
        <f>COUNTIFS(Dyno_Data[Team],TBA_Matches_All[[#This Row],[Team]],Dyno_Data[Match],TBA_Matches_All[[#This Row],[Match_Number]],Dyno_Data[RecordType],"Activities", Dyno_Data[AcqLoc],"AllyWing")</f>
        <v>0</v>
      </c>
      <c r="BW18">
        <f>COUNTIFS(Dyno_Data[Team],TBA_Matches_All[[#This Row],[Team]],Dyno_Data[Match],TBA_Matches_All[[#This Row],[Match_Number]],Dyno_Data[RecordType],"Activities", Dyno_Data[AcqLoc],"Source")</f>
        <v>0</v>
      </c>
      <c r="BX18">
        <f>SUMIFS(Dyno_Data[AcqDrp], Dyno_Data[Team],TBA_Matches_All[[#This Row],[Team]],Dyno_Data[Match],TBA_Matches_All[[#This Row],[Match_Number]],Dyno_Data[RecordType],"Activities", Dyno_Data[AcqLoc],"Source")</f>
        <v>0</v>
      </c>
      <c r="BY18">
        <f>SUMIFS(Dyno_Data[OZTime], Dyno_Data[Team],TBA_Matches_All[[#This Row],[Team]],Dyno_Data[Match],TBA_Matches_All[[#This Row],[Match_Number]],Dyno_Data[RecordType],"EndMatch")</f>
        <v>5.1306761999999999</v>
      </c>
      <c r="BZ18">
        <f>SUMIFS(Dyno_Data[NZTime], Dyno_Data[Team],TBA_Matches_All[[#This Row],[Team]],Dyno_Data[Match],TBA_Matches_All[[#This Row],[Match_Number]],Dyno_Data[RecordType],"EndMatch")</f>
        <v>17.003465899999998</v>
      </c>
      <c r="CA18">
        <f>SUMIFS(Dyno_Data[AZTime], Dyno_Data[Team],TBA_Matches_All[[#This Row],[Team]],Dyno_Data[Match],TBA_Matches_All[[#This Row],[Match_Number]],Dyno_Data[RecordType],"EndMatch")</f>
        <v>107.5259056</v>
      </c>
      <c r="CB18">
        <f>SUMIFS(Dyno_Data[ClimbT], Dyno_Data[Team],TBA_Matches_All[[#This Row],[Team]],Dyno_Data[Match],TBA_Matches_All[[#This Row],[Match_Number]],Dyno_Data[RecordType],"EndMatch")</f>
        <v>4.4317362999999999</v>
      </c>
      <c r="CC18" t="str">
        <f>_xlfn.XLOOKUP(SUM(MID(TBA_Matches_All[[#This Row],[Team]],4,5),(TBA_Matches_All[[#This Row],[Match_Number]]/100)),Dyno_EndMatch[teammat],Dyno_EndMatch[StageStat],"_",0,1)</f>
        <v>Park</v>
      </c>
      <c r="CD18" t="str">
        <f>_xlfn.XLOOKUP(TBA_Matches_All[[#This Row],[teammat]],Dyno_EndMatch[teammat],Dyno_EndMatch[StageAtt],"_",0,1)</f>
        <v>-1</v>
      </c>
      <c r="CE18" t="str">
        <f>_xlfn.XLOOKUP(TBA_Matches_All[[#This Row],[teammat]],Dyno_EndMatch[teammat],Dyno_EndMatch[StageLoc],"_",0,1)</f>
        <v>A</v>
      </c>
      <c r="CF18">
        <f>SUMIFS(Dyno_Data[Harmony], Dyno_Data[Team],TBA_Matches_All[[#This Row],[Team]],Dyno_Data[Match],TBA_Matches_All[[#This Row],[Match_Number]],Dyno_Data[RecordType],"EndMatch", Dyno_Data[StageStat],"On",Dyno_Data[Harmony],"&lt;&gt;9")</f>
        <v>0</v>
      </c>
      <c r="CG18">
        <f>SUMIFS(Dyno_Data[Spotlit], Dyno_Data[Team],TBA_Matches_All[[#This Row],[Team]],Dyno_Data[Match],TBA_Matches_All[[#This Row],[Match_Number]],Dyno_Data[RecordType],"EndMatch", Dyno_Data[StageStat],"On",Dyno_Data[Spotlit],"&lt;&gt;9")</f>
        <v>0</v>
      </c>
      <c r="CH18" t="str">
        <f>_xlfn.XLOOKUP(TBA_Matches_All[[#This Row],[teammat]],Dyno_EndMatch[teammat],Dyno_EndMatch[Strategy],"_",0,1)</f>
        <v>Shooter</v>
      </c>
      <c r="CI18">
        <f>SUMIFS(Dyno_Data[Defense], Dyno_Data[Team],TBA_Matches_All[[#This Row],[Team]],Dyno_Data[Match],TBA_Matches_All[[#This Row],[Match_Number]],Dyno_Data[RecordType],"EndMatch",Dyno_Data[Defense],"&lt;&gt;9")</f>
        <v>0</v>
      </c>
      <c r="CJ18">
        <f>SUMIFS(Dyno_Data[Avoidance], Dyno_Data[Team],TBA_Matches_All[[#This Row],[Team]],Dyno_Data[Match],TBA_Matches_All[[#This Row],[Match_Number]],Dyno_Data[RecordType],"EndMatch",Dyno_Data[Avoidance],"&lt;&gt;9")</f>
        <v>2</v>
      </c>
      <c r="CK18" s="82">
        <f>COUNTIF($H$2:TBA_Matches_All[[#This Row],[Team]],TBA_Matches_All[[#This Row],[Team]])</f>
        <v>1</v>
      </c>
      <c r="CL18" s="111">
        <f>SUM(MID(TBA_Matches_All[[#This Row],[Team]],4,5)+TBA_Matches_All[[#This Row],[Match_Number]]/100)</f>
        <v>5016.03</v>
      </c>
      <c r="CM18">
        <f>SUM((TBA_Matches_All[[#This Row],[Leave]]*2)+(TBA_Matches_All[[#This Row],[AampT]]*2)+(TBA_Matches_All[[#This Row],[AspkrT]]*5)+(TBA_Matches_All[[#This Row],[AtrapT]]*5))</f>
        <v>0</v>
      </c>
      <c r="CN18" s="59">
        <f>IFERROR(SUM(TBA_Matches_All[[#This Row],[AptsT]]/TBA_Matches_All[[#This Row],[AutoPts]]),0)</f>
        <v>0</v>
      </c>
      <c r="CO18" s="59">
        <f>IFERROR(SUM(TBA_Matches_All[[#This Row],[AampT]]+TBA_Matches_All[[#This Row],[AspkrT]]+TBA_Matches_All[[#This Row],[AtrapT]]/TBA_Matches_All[[#This Row],[Aamp]]+TBA_Matches_All[[#This Row],[Aspkr]]+TBA_Matches_All[[#This Row],[AtrapT]]),0)</f>
        <v>0</v>
      </c>
      <c r="CP18" s="59">
        <f>IFERROR(SUM(TBA_Matches_All[[#This Row],[TampT]]/TBA_Matches_All[[#This Row],[Tamp]]),0)</f>
        <v>0</v>
      </c>
      <c r="CQ18" s="59">
        <f>IFERROR(SUM(TBA_Matches_All[[#This Row],[TspkrT]]/TBA_Matches_All[[#This Row],[Tspkr]]),0)</f>
        <v>0.3</v>
      </c>
      <c r="CR18">
        <f>SUM(TBA_Matches_All[[#This Row],[TspkrPts]]*TBA_Matches_All[[#This Row],[TspkrP]])</f>
        <v>6.8999999999999995</v>
      </c>
      <c r="CS18" s="59">
        <f>IFERROR(SUM(TBA_Matches_All[[#This Row],[TtrapT]]/TBA_Matches_All[[#This Row],[Trap]]),0)</f>
        <v>0</v>
      </c>
      <c r="CT18" s="59">
        <f>IFERROR(SUM(TBA_Matches_All[[#This Row],[TotNotesT]]/TBA_Matches_All[[#This Row],[TotNotes]]),0)</f>
        <v>0.21428571428571427</v>
      </c>
      <c r="CU18" s="66">
        <f>SUM((TBA_Matches_All[[#This Row],[AampT]]*2)+(TBA_Matches_All[[#This Row],[AspkrT]]*5)+(TBA_Matches_All[[#This Row],[AtrapT]]*5)+(TBA_Matches_All[[#This Row],[TampT]]*1)+(TBA_Matches_All[[#This Row],[TspkrptsC]]))</f>
        <v>6.8999999999999995</v>
      </c>
      <c r="CV18" s="59">
        <f>IFERROR(TBA_Matches_All[[#This Row],[noteptsT]]/TBA_Matches_All[[#This Row],[NotePts]],0)</f>
        <v>0.22258064516129031</v>
      </c>
      <c r="CW18">
        <f>SUM(IF(TBA_Matches_All[[#This Row],[stageStat]]="On",3,0),IF(TBA_Matches_All[[#This Row],[stageStat]]="Park",1,0),SUMIFS(TBA_Matches_All[[#This Row],[Spotlit]],TBA_Matches_All[[#This Row],[stageStat]],"On"),SUMIFS(TBA_Matches_All[[#This Row],[Harmony]],TBA_Matches_All[[#This Row],[stageStat]],"On"))</f>
        <v>1</v>
      </c>
      <c r="CX18" s="59">
        <f>IFERROR(TBA_Matches_All[[#This Row],[stageptsT]]/TBA_Matches_All[[#This Row],[StagePts]],0)</f>
        <v>0.5</v>
      </c>
      <c r="CY18">
        <f>SUM((TBA_Matches_All[[#This Row],[AptsT]]+TBA_Matches_All[[#This Row],[TampT]]+TBA_Matches_All[[#This Row],[TspkrptsC]]+(TBA_Matches_All[[#This Row],[TtrapT]]*5)+TBA_Matches_All[[#This Row],[stageptsT]]))</f>
        <v>7.8999999999999995</v>
      </c>
      <c r="CZ18" s="59">
        <f>IFERROR(SUM(TBA_Matches_All[[#This Row],[TotptsC]]/TBA_Matches_All[[#This Row],[Score]]),0)</f>
        <v>0.158</v>
      </c>
      <c r="DA1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9.0666666666666682</v>
      </c>
      <c r="DB18" s="74">
        <f>SUMIFS(TBA_Matches_All[AveTeamTNoteDels],TBA_Matches_All[Match_Number],TBA_Matches_All[[#This Row],[Match_Number]],TBA_Matches_All[Alliance],"&lt;&gt;"&amp;TBA_Matches_All[[#This Row],[Alliance]],TBA_Matches_All[Scouted],"&gt;0")</f>
        <v>17.659848484848485</v>
      </c>
      <c r="DC18" s="74">
        <f>(TBA_Matches_All[[#This Row],[TampT]]+TBA_Matches_All[[#This Row],[TspkrptsC]])-TBA_Matches_All[[#This Row],[AveTeamTNoteDels]]</f>
        <v>-2.1666666666666687</v>
      </c>
      <c r="DD18" s="74">
        <f>SUMIFS(TBA_Matches_All[AveTeamTNoteDels],TBA_Matches_All[Match_Number],TBA_Matches_All[[#This Row],[Match_Number]],TBA_Matches_All[Alliance],"&lt;&gt;"&amp;TBA_Matches_All[[#This Row],[Alliance]])-TBA_Matches_All[[#This Row],[AveOppTNoteDels]]</f>
        <v>0</v>
      </c>
    </row>
    <row r="19" spans="1:108" x14ac:dyDescent="0.3">
      <c r="A19" t="s">
        <v>1042</v>
      </c>
      <c r="B19" t="s">
        <v>489</v>
      </c>
      <c r="C19" t="s">
        <v>1287</v>
      </c>
      <c r="D19">
        <v>3</v>
      </c>
      <c r="E19" t="s">
        <v>1420</v>
      </c>
      <c r="F19" t="s">
        <v>1421</v>
      </c>
      <c r="G19" t="s">
        <v>164</v>
      </c>
      <c r="H19" t="s">
        <v>1290</v>
      </c>
      <c r="I19" t="b">
        <v>0</v>
      </c>
      <c r="J19">
        <v>35</v>
      </c>
      <c r="K19">
        <v>0</v>
      </c>
      <c r="L19">
        <v>0</v>
      </c>
      <c r="M19">
        <v>15</v>
      </c>
      <c r="N19">
        <v>0</v>
      </c>
      <c r="O19">
        <v>2</v>
      </c>
      <c r="P19">
        <v>10</v>
      </c>
      <c r="Q19">
        <v>14</v>
      </c>
      <c r="R19">
        <v>0</v>
      </c>
      <c r="S19">
        <v>0</v>
      </c>
      <c r="T19">
        <v>2</v>
      </c>
      <c r="U19">
        <v>0</v>
      </c>
      <c r="V19">
        <v>4</v>
      </c>
      <c r="W19">
        <v>2</v>
      </c>
      <c r="X19">
        <v>4</v>
      </c>
      <c r="Y19">
        <v>4</v>
      </c>
      <c r="Z19">
        <v>0</v>
      </c>
      <c r="AA19">
        <v>0</v>
      </c>
      <c r="AB19">
        <v>4</v>
      </c>
      <c r="AC19">
        <v>14</v>
      </c>
      <c r="AD19">
        <v>7</v>
      </c>
      <c r="AE19">
        <f>IFERROR(6/(COUNTIF(Dyno_EndMatch[Match],TBA_Matches_All[[#This Row],[Match_Number]])),0)</f>
        <v>1</v>
      </c>
      <c r="AF19">
        <f>COUNTIFS(Dyno_Data[Team],TBA_Matches_All[[#This Row],[Team]],Dyno_Data[Match],TBA_Matches_All[[#This Row],[Match_Number]],Dyno_Data[RecordType],"EndMatch",Dyno_Data[HPAmp],"Y")</f>
        <v>0</v>
      </c>
      <c r="AG19">
        <f>SUMIFS(Dyno_Data[Mics], Dyno_Data[Team],TBA_Matches_All[[#This Row],[Team]],Dyno_Data[Match],TBA_Matches_All[[#This Row],[Match_Number]],Dyno_Data[RecordType],"EndMatch",Dyno_Data[HPAmp],"Y")</f>
        <v>0</v>
      </c>
      <c r="AH19">
        <f>SUMIFS(Dyno_Data[Leave], Dyno_Data[Team],TBA_Matches_All[[#This Row],[Team]],Dyno_Data[Match],TBA_Matches_All[[#This Row],[Match_Number]],Dyno_Data[RecordType],"EndAuto")</f>
        <v>1</v>
      </c>
      <c r="AI19">
        <f>COUNTIFS(Dyno_Data[Team],TBA_Matches_All[[#This Row],[Team]],Dyno_Data[Match],TBA_Matches_All[[#This Row],[Match_Number]],Dyno_Data[RecordType],"Activities",Dyno_Data[DelDest],"Amp", Dyno_Data[DelMiss],"0", Dyno_Data[Mode],"Auto")</f>
        <v>0</v>
      </c>
      <c r="AJ19">
        <f>COUNTIFS(Dyno_Data[Team],TBA_Matches_All[[#This Row],[Team]],Dyno_Data[Match],TBA_Matches_All[[#This Row],[Match_Number]],Dyno_Data[RecordType],"Activities",Dyno_Data[DelDest],"Spkr", Dyno_Data[DelMiss],"0", Dyno_Data[Mode],"Auto")</f>
        <v>2</v>
      </c>
      <c r="AK19">
        <f>COUNTIFS(Dyno_Data[Team],TBA_Matches_All[[#This Row],[Team]],Dyno_Data[Match],TBA_Matches_All[[#This Row],[Match_Number]],Dyno_Data[RecordType],"Activities",Dyno_Data[DelDest],"Trap", Dyno_Data[DelMiss],"0", Dyno_Data[Mode],"Auto")</f>
        <v>0</v>
      </c>
      <c r="AL19">
        <f>COUNTIFS(Dyno_Data[Team],TBA_Matches_All[[#This Row],[Team]],Dyno_Data[Match],TBA_Matches_All[[#This Row],[Match_Number]],Dyno_Data[RecordType],"Activities",Dyno_Data[DelDest],"Amp", Dyno_Data[DelMiss],"0", Dyno_Data[Mode],"Teleop")</f>
        <v>0</v>
      </c>
      <c r="AM19">
        <f>COUNTIFS(Dyno_Data[Team],TBA_Matches_All[[#This Row],[Team]],Dyno_Data[Match],TBA_Matches_All[[#This Row],[Match_Number]],Dyno_Data[RecordType],"Activities",Dyno_Data[DelDest],"Spkr", Dyno_Data[DelMiss],"0", Dyno_Data[Mode],"Teleop")</f>
        <v>2</v>
      </c>
      <c r="AN19">
        <f>COUNTIFS(Dyno_Data[Team],TBA_Matches_All[[#This Row],[Team]],Dyno_Data[Match],TBA_Matches_All[[#This Row],[Match_Number]],Dyno_Data[RecordType],"Activities",Dyno_Data[DelDest],"Trap", Dyno_Data[DelMiss],"0", Dyno_Data[Mode],"&lt;&gt;Auto")</f>
        <v>0</v>
      </c>
      <c r="AO19">
        <f>SUM(TBA_Matches_All[[#This Row],[AampT]]+TBA_Matches_All[[#This Row],[AspkrT]]+TBA_Matches_All[[#This Row],[AtrapT]]+TBA_Matches_All[[#This Row],[TampT]]+TBA_Matches_All[[#This Row],[TspkrT]]+TBA_Matches_All[[#This Row],[TtrapT]])</f>
        <v>4</v>
      </c>
      <c r="AP19">
        <f>COUNTIFS(Dyno_Data[Team],TBA_Matches_All[[#This Row],[Team]],Dyno_Data[Match],TBA_Matches_All[[#This Row],[Match_Number]],Dyno_Data[RecordType],"Activities",Dyno_Data[DelDest],"Neut", Dyno_Data[DelMiss],"0")</f>
        <v>0</v>
      </c>
      <c r="AQ19">
        <f>COUNTIFS(Dyno_Data[Team],TBA_Matches_All[[#This Row],[Team]],Dyno_Data[Match],TBA_Matches_All[[#This Row],[Match_Number]],Dyno_Data[RecordType],"Activities",Dyno_Data[DelDest],"AllyW", Dyno_Data[DelMiss],"0")</f>
        <v>0</v>
      </c>
      <c r="AR19" t="str">
        <f>_xlfn.XLOOKUP(SUM(MID(TBA_Matches_All[[#This Row],[Team]],4,5),(TBA_Matches_All[[#This Row],[Match_Number]]/100)),Dyno_EndMatch[teammat],Dyno_EndMatch[RobotSta],"_",0,1)</f>
        <v>SubW</v>
      </c>
      <c r="AS19">
        <f>SUMIFS(Dyno_Data[AcqDis], Dyno_Data[Team],TBA_Matches_All[[#This Row],[Team]],Dyno_Data[Match],TBA_Matches_All[[#This Row],[Match_Number]],Dyno_Data[RecordType],"Activities", Dyno_Data[AcqCenter],1,Dyno_Data[Mode],"Auto")</f>
        <v>0</v>
      </c>
      <c r="AT19">
        <f>SUMIFS(Dyno_Data[AcqDis], Dyno_Data[Team],TBA_Matches_All[[#This Row],[Team]],Dyno_Data[Match],TBA_Matches_All[[#This Row],[Match_Number]],Dyno_Data[RecordType],"Activities", Dyno_Data[AcqCenter],2,Dyno_Data[Mode],"Auto")</f>
        <v>0</v>
      </c>
      <c r="AU19">
        <f>SUMIFS(Dyno_Data[AcqDis], Dyno_Data[Team],TBA_Matches_All[[#This Row],[Team]],Dyno_Data[Match],TBA_Matches_All[[#This Row],[Match_Number]],Dyno_Data[RecordType],"Activities", Dyno_Data[AcqCenter],3,Dyno_Data[Mode],"Auto")</f>
        <v>0</v>
      </c>
      <c r="AV19">
        <f>SUMIFS(Dyno_Data[AcqDis], Dyno_Data[Team],TBA_Matches_All[[#This Row],[Team]],Dyno_Data[Match],TBA_Matches_All[[#This Row],[Match_Number]],Dyno_Data[RecordType],"Activities", Dyno_Data[AcqCenter],4,Dyno_Data[Mode],"Auto")</f>
        <v>0</v>
      </c>
      <c r="AW19">
        <f>SUMIFS(Dyno_Data[AcqDis], Dyno_Data[Team],TBA_Matches_All[[#This Row],[Team]],Dyno_Data[Match],TBA_Matches_All[[#This Row],[Match_Number]],Dyno_Data[RecordType],"Activities", Dyno_Data[AcqCenter],5,Dyno_Data[Mode],"Auto")</f>
        <v>0</v>
      </c>
      <c r="AX19">
        <f>SUMIFS(Dyno_Data[DelMiss], Dyno_Data[Team],TBA_Matches_All[[#This Row],[Team]],Dyno_Data[Match],TBA_Matches_All[[#This Row],[Match_Number]],Dyno_Data[RecordType],"Activities", Dyno_Data[DelDest],"Amp")</f>
        <v>0</v>
      </c>
      <c r="AY19" s="60">
        <f>IFERROR(SUM((TBA_Matches_All[[#This Row],[AampT]]+TBA_Matches_All[[#This Row],[TampT]])/(TBA_Matches_All[[#This Row],[AampT]]+TBA_Matches_All[[#This Row],[TampT]]+TBA_Matches_All[[#This Row],[ampM]])),0)</f>
        <v>0</v>
      </c>
      <c r="AZ19">
        <f>SUMIFS(Dyno_Data[DelMiss], Dyno_Data[Team],TBA_Matches_All[[#This Row],[Team]],Dyno_Data[Match],TBA_Matches_All[[#This Row],[Match_Number]],Dyno_Data[RecordType],"Activities", Dyno_Data[DelDest],"Spkr")</f>
        <v>7</v>
      </c>
      <c r="BA19" s="60">
        <f>IFERROR(SUM((TBA_Matches_All[[#This Row],[AspkrT]]+TBA_Matches_All[[#This Row],[TspkrT]])/(TBA_Matches_All[[#This Row],[AspkrT]]+TBA_Matches_All[[#This Row],[TspkrT]]+TBA_Matches_All[[#This Row],[spkrM]])),0)</f>
        <v>0.36363636363636365</v>
      </c>
      <c r="BB19">
        <f>SUMIFS(Dyno_Data[DelMiss], Dyno_Data[Team],TBA_Matches_All[[#This Row],[Team]],Dyno_Data[Match],TBA_Matches_All[[#This Row],[Match_Number]],Dyno_Data[RecordType],"Activities", Dyno_Data[DelDest],"Trap")</f>
        <v>0</v>
      </c>
      <c r="BC19" s="60">
        <f>IFERROR((TBA_Matches_All[[#This Row],[AtrapT]]+TBA_Matches_All[[#This Row],[TtrapT]])/(TBA_Matches_All[[#This Row],[AtrapT]]+TBA_Matches_All[[#This Row],[TtrapT]]+TBA_Matches_All[[#This Row],[trapM]]),0)</f>
        <v>0</v>
      </c>
      <c r="BD19">
        <f>COUNTIFS(Dyno_Data[Team],TBA_Matches_All[[#This Row],[Team]],Dyno_Data[Match],TBA_Matches_All[[#This Row],[Match_Number]],Dyno_Data[RecordType],"Activities",Dyno_Data[DelDest],"Neut", Dyno_Data[DelMiss],1)</f>
        <v>0</v>
      </c>
      <c r="BE19" s="60">
        <f>IFERROR(SUM((TBA_Matches_All[[#This Row],[NeutFlrT]])/(TBA_Matches_All[[#This Row],[NeutFlrT]]+TBA_Matches_All[[#This Row],[NZflM]])),0)</f>
        <v>0</v>
      </c>
      <c r="BF19">
        <f>COUNTIFS(Dyno_Data[Team],TBA_Matches_All[[#This Row],[Team]],Dyno_Data[Match],TBA_Matches_All[[#This Row],[Match_Number]],Dyno_Data[RecordType],"Activities",Dyno_Data[DelDest],"AllyW", Dyno_Data[DelMiss],1)</f>
        <v>0</v>
      </c>
      <c r="BG19" s="60">
        <f>IFERROR(SUM((TBA_Matches_All[[#This Row],[AllyWFlrT]])/(TBA_Matches_All[[#This Row],[AllyWFlrT]]+TBA_Matches_All[[#This Row],[AZflM]])),0)</f>
        <v>0</v>
      </c>
      <c r="BH19">
        <f>COUNTIFS(Dyno_Data[Team],TBA_Matches_All[[#This Row],[Team]],Dyno_Data[Match],TBA_Matches_All[[#This Row],[Match_Number]],Dyno_Data[RecordType],"Activities",Dyno_Data[DelOrig],"OppW", Dyno_Data[DelMiss],"0")</f>
        <v>0</v>
      </c>
      <c r="BI19">
        <f>COUNTIFS(Dyno_Data[Team],TBA_Matches_All[[#This Row],[Team]],Dyno_Data[Match],TBA_Matches_All[[#This Row],[Match_Number]],Dyno_Data[RecordType],"Activities",Dyno_Data[DelOrig],"OppW", Dyno_Data[DelMiss],"1")</f>
        <v>0</v>
      </c>
      <c r="BJ19" s="60">
        <f>IFERROR(SUM((TBA_Matches_All[[#This Row],[OZflrT]])/(TBA_Matches_All[[#This Row],[OZflrT]]+TBA_Matches_All[[#This Row],[OZflrM]])),0)</f>
        <v>0</v>
      </c>
      <c r="BK19">
        <f>COUNTIFS(Dyno_Data[Team],TBA_Matches_All[[#This Row],[Team]],Dyno_Data[Match],TBA_Matches_All[[#This Row],[Match_Number]],Dyno_Data[RecordType],"Activities",Dyno_Data[DelOrig],"Neut", Dyno_Data[DelMiss],"0")</f>
        <v>0</v>
      </c>
      <c r="BL19">
        <f>COUNTIFS(Dyno_Data[Team],TBA_Matches_All[[#This Row],[Team]],Dyno_Data[Match],TBA_Matches_All[[#This Row],[Match_Number]],Dyno_Data[RecordType],"Activities",Dyno_Data[DelOrig],"Neut", Dyno_Data[DelMiss],"1")</f>
        <v>0</v>
      </c>
      <c r="BM19" s="60">
        <f>IFERROR(SUM((TBA_Matches_All[[#This Row],[NZflrT]])/(TBA_Matches_All[[#This Row],[NZflrT]]+TBA_Matches_All[[#This Row],[NZflrM]])),0)</f>
        <v>0</v>
      </c>
      <c r="BN19">
        <f>COUNTIFS(Dyno_Data[Team],TBA_Matches_All[[#This Row],[Team]],Dyno_Data[Match],TBA_Matches_All[[#This Row],[Match_Number]],Dyno_Data[RecordType],"Activities",Dyno_Data[DelOrig],"AllyW", Dyno_Data[DelMiss],"0")</f>
        <v>2</v>
      </c>
      <c r="BO19">
        <f>COUNTIFS(Dyno_Data[Team],TBA_Matches_All[[#This Row],[Team]],Dyno_Data[Match],TBA_Matches_All[[#This Row],[Match_Number]],Dyno_Data[RecordType],"Activities",Dyno_Data[DelOrig],"AllyW", Dyno_Data[DelMiss],"1")</f>
        <v>1</v>
      </c>
      <c r="BP19" s="60">
        <f>IFERROR(SUM((TBA_Matches_All[[#This Row],[AZflrT]])/(TBA_Matches_All[[#This Row],[AZflrT]]+TBA_Matches_All[[#This Row],[AZflrM]])),0)</f>
        <v>0.66666666666666663</v>
      </c>
      <c r="BQ19">
        <f>COUNTIFS(Dyno_Data[Team],TBA_Matches_All[[#This Row],[Team]],Dyno_Data[Match],TBA_Matches_All[[#This Row],[Match_Number]],Dyno_Data[RecordType],"Activities",Dyno_Data[DelOrig],"SubW", Dyno_Data[DelMiss],"0")</f>
        <v>2</v>
      </c>
      <c r="BR19">
        <f>COUNTIFS(Dyno_Data[Team],TBA_Matches_All[[#This Row],[Team]],Dyno_Data[Match],TBA_Matches_All[[#This Row],[Match_Number]],Dyno_Data[RecordType],"Activities",Dyno_Data[DelOrig],"SubW", Dyno_Data[DelMiss],"1")</f>
        <v>6</v>
      </c>
      <c r="BS19" s="60">
        <f>IFERROR(SUM((TBA_Matches_All[[#This Row],[SubwT]])/(TBA_Matches_All[[#This Row],[SubwT]]+TBA_Matches_All[[#This Row],[SubwM]])),0)</f>
        <v>0.25</v>
      </c>
      <c r="BT19">
        <f>COUNTIFS(Dyno_Data[Team],TBA_Matches_All[[#This Row],[Team]],Dyno_Data[Match],TBA_Matches_All[[#This Row],[Match_Number]],Dyno_Data[RecordType],"Activities", Dyno_Data[AcqLoc],"OppWing")</f>
        <v>0</v>
      </c>
      <c r="BU19">
        <f>COUNTIFS(Dyno_Data[Team],TBA_Matches_All[[#This Row],[Team]],Dyno_Data[Match],TBA_Matches_All[[#This Row],[Match_Number]],Dyno_Data[RecordType],"Activities", Dyno_Data[AcqLoc],"Neutral")</f>
        <v>0</v>
      </c>
      <c r="BV19">
        <f>COUNTIFS(Dyno_Data[Team],TBA_Matches_All[[#This Row],[Team]],Dyno_Data[Match],TBA_Matches_All[[#This Row],[Match_Number]],Dyno_Data[RecordType],"Activities", Dyno_Data[AcqLoc],"AllyWing")</f>
        <v>0</v>
      </c>
      <c r="BW19">
        <f>COUNTIFS(Dyno_Data[Team],TBA_Matches_All[[#This Row],[Team]],Dyno_Data[Match],TBA_Matches_All[[#This Row],[Match_Number]],Dyno_Data[RecordType],"Activities", Dyno_Data[AcqLoc],"Source")</f>
        <v>0</v>
      </c>
      <c r="BX19">
        <f>SUMIFS(Dyno_Data[AcqDrp], Dyno_Data[Team],TBA_Matches_All[[#This Row],[Team]],Dyno_Data[Match],TBA_Matches_All[[#This Row],[Match_Number]],Dyno_Data[RecordType],"Activities", Dyno_Data[AcqLoc],"Source")</f>
        <v>0</v>
      </c>
      <c r="BY19">
        <f>SUMIFS(Dyno_Data[OZTime], Dyno_Data[Team],TBA_Matches_All[[#This Row],[Team]],Dyno_Data[Match],TBA_Matches_All[[#This Row],[Match_Number]],Dyno_Data[RecordType],"EndMatch")</f>
        <v>20.273266899999999</v>
      </c>
      <c r="BZ19">
        <f>SUMIFS(Dyno_Data[NZTime], Dyno_Data[Team],TBA_Matches_All[[#This Row],[Team]],Dyno_Data[Match],TBA_Matches_All[[#This Row],[Match_Number]],Dyno_Data[RecordType],"EndMatch")</f>
        <v>12.838145899999999</v>
      </c>
      <c r="CA19">
        <f>SUMIFS(Dyno_Data[AZTime], Dyno_Data[Team],TBA_Matches_All[[#This Row],[Team]],Dyno_Data[Match],TBA_Matches_All[[#This Row],[Match_Number]],Dyno_Data[RecordType],"EndMatch")</f>
        <v>94.418419499999999</v>
      </c>
      <c r="CB19">
        <f>SUMIFS(Dyno_Data[ClimbT], Dyno_Data[Team],TBA_Matches_All[[#This Row],[Team]],Dyno_Data[Match],TBA_Matches_All[[#This Row],[Match_Number]],Dyno_Data[RecordType],"EndMatch")</f>
        <v>7.5733914999999996</v>
      </c>
      <c r="CC19" t="str">
        <f>_xlfn.XLOOKUP(SUM(MID(TBA_Matches_All[[#This Row],[Team]],4,5),(TBA_Matches_All[[#This Row],[Match_Number]]/100)),Dyno_EndMatch[teammat],Dyno_EndMatch[StageStat],"_",0,1)</f>
        <v>On</v>
      </c>
      <c r="CD19" t="str">
        <f>_xlfn.XLOOKUP(TBA_Matches_All[[#This Row],[teammat]],Dyno_EndMatch[teammat],Dyno_EndMatch[StageAtt],"_",0,1)</f>
        <v>1</v>
      </c>
      <c r="CE19" t="str">
        <f>_xlfn.XLOOKUP(TBA_Matches_All[[#This Row],[teammat]],Dyno_EndMatch[teammat],Dyno_EndMatch[StageLoc],"_",0,1)</f>
        <v>R</v>
      </c>
      <c r="CF19">
        <f>SUMIFS(Dyno_Data[Harmony], Dyno_Data[Team],TBA_Matches_All[[#This Row],[Team]],Dyno_Data[Match],TBA_Matches_All[[#This Row],[Match_Number]],Dyno_Data[RecordType],"EndMatch", Dyno_Data[StageStat],"On",Dyno_Data[Harmony],"&lt;&gt;9")</f>
        <v>0</v>
      </c>
      <c r="CG19">
        <f>SUMIFS(Dyno_Data[Spotlit], Dyno_Data[Team],TBA_Matches_All[[#This Row],[Team]],Dyno_Data[Match],TBA_Matches_All[[#This Row],[Match_Number]],Dyno_Data[RecordType],"EndMatch", Dyno_Data[StageStat],"On",Dyno_Data[Spotlit],"&lt;&gt;9")</f>
        <v>0</v>
      </c>
      <c r="CH19" t="str">
        <f>_xlfn.XLOOKUP(TBA_Matches_All[[#This Row],[teammat]],Dyno_EndMatch[teammat],Dyno_EndMatch[Strategy],"_",0,1)</f>
        <v>Shooter</v>
      </c>
      <c r="CI19">
        <f>SUMIFS(Dyno_Data[Defense], Dyno_Data[Team],TBA_Matches_All[[#This Row],[Team]],Dyno_Data[Match],TBA_Matches_All[[#This Row],[Match_Number]],Dyno_Data[RecordType],"EndMatch",Dyno_Data[Defense],"&lt;&gt;9")</f>
        <v>0</v>
      </c>
      <c r="CJ19">
        <f>SUMIFS(Dyno_Data[Avoidance], Dyno_Data[Team],TBA_Matches_All[[#This Row],[Team]],Dyno_Data[Match],TBA_Matches_All[[#This Row],[Match_Number]],Dyno_Data[RecordType],"EndMatch",Dyno_Data[Avoidance],"&lt;&gt;9")</f>
        <v>0</v>
      </c>
      <c r="CK19" s="82">
        <f>COUNTIF($H$2:TBA_Matches_All[[#This Row],[Team]],TBA_Matches_All[[#This Row],[Team]])</f>
        <v>1</v>
      </c>
      <c r="CL19" s="111">
        <f>SUM(MID(TBA_Matches_All[[#This Row],[Team]],4,5)+TBA_Matches_All[[#This Row],[Match_Number]]/100)</f>
        <v>5881.03</v>
      </c>
      <c r="CM19">
        <f>SUM((TBA_Matches_All[[#This Row],[Leave]]*2)+(TBA_Matches_All[[#This Row],[AampT]]*2)+(TBA_Matches_All[[#This Row],[AspkrT]]*5)+(TBA_Matches_All[[#This Row],[AtrapT]]*5))</f>
        <v>12</v>
      </c>
      <c r="CN19" s="59">
        <f>IFERROR(SUM(TBA_Matches_All[[#This Row],[AptsT]]/TBA_Matches_All[[#This Row],[AutoPts]]),0)</f>
        <v>0.8571428571428571</v>
      </c>
      <c r="CO19" s="59">
        <f>IFERROR(SUM(TBA_Matches_All[[#This Row],[AampT]]+TBA_Matches_All[[#This Row],[AspkrT]]+TBA_Matches_All[[#This Row],[AtrapT]]/TBA_Matches_All[[#This Row],[Aamp]]+TBA_Matches_All[[#This Row],[Aspkr]]+TBA_Matches_All[[#This Row],[AtrapT]]),0)</f>
        <v>0</v>
      </c>
      <c r="CP19" s="59">
        <f>IFERROR(SUM(TBA_Matches_All[[#This Row],[TampT]]/TBA_Matches_All[[#This Row],[Tamp]]),0)</f>
        <v>0</v>
      </c>
      <c r="CQ19" s="59">
        <f>IFERROR(SUM(TBA_Matches_All[[#This Row],[TspkrT]]/TBA_Matches_All[[#This Row],[Tspkr]]),0)</f>
        <v>1</v>
      </c>
      <c r="CR19">
        <f>SUM(TBA_Matches_All[[#This Row],[TspkrPts]]*TBA_Matches_All[[#This Row],[TspkrP]])</f>
        <v>4</v>
      </c>
      <c r="CS19" s="59">
        <f>IFERROR(SUM(TBA_Matches_All[[#This Row],[TtrapT]]/TBA_Matches_All[[#This Row],[Trap]]),0)</f>
        <v>0</v>
      </c>
      <c r="CT19" s="59">
        <f>IFERROR(SUM(TBA_Matches_All[[#This Row],[TotNotesT]]/TBA_Matches_All[[#This Row],[TotNotes]]),0)</f>
        <v>1</v>
      </c>
      <c r="CU19" s="66">
        <f>SUM((TBA_Matches_All[[#This Row],[AampT]]*2)+(TBA_Matches_All[[#This Row],[AspkrT]]*5)+(TBA_Matches_All[[#This Row],[AtrapT]]*5)+(TBA_Matches_All[[#This Row],[TampT]]*1)+(TBA_Matches_All[[#This Row],[TspkrptsC]]))</f>
        <v>14</v>
      </c>
      <c r="CV19" s="59">
        <f>IFERROR(TBA_Matches_All[[#This Row],[noteptsT]]/TBA_Matches_All[[#This Row],[NotePts]],0)</f>
        <v>1</v>
      </c>
      <c r="CW19">
        <f>SUM(IF(TBA_Matches_All[[#This Row],[stageStat]]="On",3,0),IF(TBA_Matches_All[[#This Row],[stageStat]]="Park",1,0),SUMIFS(TBA_Matches_All[[#This Row],[Spotlit]],TBA_Matches_All[[#This Row],[stageStat]],"On"),SUMIFS(TBA_Matches_All[[#This Row],[Harmony]],TBA_Matches_All[[#This Row],[stageStat]],"On"))</f>
        <v>3</v>
      </c>
      <c r="CX19" s="59">
        <f>IFERROR(TBA_Matches_All[[#This Row],[stageptsT]]/TBA_Matches_All[[#This Row],[StagePts]],0)</f>
        <v>0.42857142857142855</v>
      </c>
      <c r="CY19">
        <f>SUM((TBA_Matches_All[[#This Row],[AptsT]]+TBA_Matches_All[[#This Row],[TampT]]+TBA_Matches_All[[#This Row],[TspkrptsC]]+(TBA_Matches_All[[#This Row],[TtrapT]]*5)+TBA_Matches_All[[#This Row],[stageptsT]]))</f>
        <v>19</v>
      </c>
      <c r="CZ19" s="59">
        <f>IFERROR(SUM(TBA_Matches_All[[#This Row],[TotptsC]]/TBA_Matches_All[[#This Row],[Score]]),0)</f>
        <v>0.54285714285714282</v>
      </c>
      <c r="DA1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7.672727272727272</v>
      </c>
      <c r="DB19" s="74">
        <f>SUMIFS(TBA_Matches_All[AveTeamTNoteDels],TBA_Matches_All[Match_Number],TBA_Matches_All[[#This Row],[Match_Number]],TBA_Matches_All[Alliance],"&lt;&gt;"&amp;TBA_Matches_All[[#This Row],[Alliance]],TBA_Matches_All[Scouted],"&gt;0")</f>
        <v>20.338095238095242</v>
      </c>
      <c r="DC19" s="74">
        <f>(TBA_Matches_All[[#This Row],[TampT]]+TBA_Matches_All[[#This Row],[TspkrptsC]])-TBA_Matches_All[[#This Row],[AveTeamTNoteDels]]</f>
        <v>-3.672727272727272</v>
      </c>
      <c r="DD19" s="74">
        <f>SUMIFS(TBA_Matches_All[AveTeamTNoteDels],TBA_Matches_All[Match_Number],TBA_Matches_All[[#This Row],[Match_Number]],TBA_Matches_All[Alliance],"&lt;&gt;"&amp;TBA_Matches_All[[#This Row],[Alliance]])-TBA_Matches_All[[#This Row],[AveOppTNoteDels]]</f>
        <v>0</v>
      </c>
    </row>
    <row r="20" spans="1:108" x14ac:dyDescent="0.3">
      <c r="A20" t="s">
        <v>1042</v>
      </c>
      <c r="B20" t="s">
        <v>489</v>
      </c>
      <c r="C20" t="s">
        <v>1287</v>
      </c>
      <c r="D20">
        <v>3</v>
      </c>
      <c r="E20" t="s">
        <v>1406</v>
      </c>
      <c r="F20" t="s">
        <v>1422</v>
      </c>
      <c r="G20" t="s">
        <v>105</v>
      </c>
      <c r="H20" t="s">
        <v>1292</v>
      </c>
      <c r="I20" t="b">
        <v>1</v>
      </c>
      <c r="J20">
        <v>50</v>
      </c>
      <c r="K20">
        <v>0</v>
      </c>
      <c r="L20">
        <v>0</v>
      </c>
      <c r="M20">
        <v>10</v>
      </c>
      <c r="N20">
        <v>0</v>
      </c>
      <c r="O20">
        <v>1</v>
      </c>
      <c r="P20">
        <v>5</v>
      </c>
      <c r="Q20">
        <v>7</v>
      </c>
      <c r="R20">
        <v>3</v>
      </c>
      <c r="S20">
        <v>1</v>
      </c>
      <c r="T20">
        <v>9</v>
      </c>
      <c r="U20">
        <v>5</v>
      </c>
      <c r="V20">
        <v>18</v>
      </c>
      <c r="W20">
        <v>10</v>
      </c>
      <c r="X20">
        <v>23</v>
      </c>
      <c r="Y20">
        <v>26</v>
      </c>
      <c r="Z20">
        <v>0</v>
      </c>
      <c r="AA20">
        <v>0</v>
      </c>
      <c r="AB20">
        <v>14</v>
      </c>
      <c r="AC20">
        <v>31</v>
      </c>
      <c r="AD20">
        <v>2</v>
      </c>
      <c r="AE20">
        <f>IFERROR(6/(COUNTIF(Dyno_EndMatch[Match],TBA_Matches_All[[#This Row],[Match_Number]])),0)</f>
        <v>1</v>
      </c>
      <c r="AF20">
        <f>COUNTIFS(Dyno_Data[Team],TBA_Matches_All[[#This Row],[Team]],Dyno_Data[Match],TBA_Matches_All[[#This Row],[Match_Number]],Dyno_Data[RecordType],"EndMatch",Dyno_Data[HPAmp],"Y")</f>
        <v>0</v>
      </c>
      <c r="AG20">
        <f>SUMIFS(Dyno_Data[Mics], Dyno_Data[Team],TBA_Matches_All[[#This Row],[Team]],Dyno_Data[Match],TBA_Matches_All[[#This Row],[Match_Number]],Dyno_Data[RecordType],"EndMatch",Dyno_Data[HPAmp],"Y")</f>
        <v>0</v>
      </c>
      <c r="AH20">
        <f>SUMIFS(Dyno_Data[Leave], Dyno_Data[Team],TBA_Matches_All[[#This Row],[Team]],Dyno_Data[Match],TBA_Matches_All[[#This Row],[Match_Number]],Dyno_Data[RecordType],"EndAuto")</f>
        <v>0</v>
      </c>
      <c r="AI20">
        <f>COUNTIFS(Dyno_Data[Team],TBA_Matches_All[[#This Row],[Team]],Dyno_Data[Match],TBA_Matches_All[[#This Row],[Match_Number]],Dyno_Data[RecordType],"Activities",Dyno_Data[DelDest],"Amp", Dyno_Data[DelMiss],"0", Dyno_Data[Mode],"Auto")</f>
        <v>0</v>
      </c>
      <c r="AJ20">
        <f>COUNTIFS(Dyno_Data[Team],TBA_Matches_All[[#This Row],[Team]],Dyno_Data[Match],TBA_Matches_All[[#This Row],[Match_Number]],Dyno_Data[RecordType],"Activities",Dyno_Data[DelDest],"Spkr", Dyno_Data[DelMiss],"0", Dyno_Data[Mode],"Auto")</f>
        <v>0</v>
      </c>
      <c r="AK20">
        <f>COUNTIFS(Dyno_Data[Team],TBA_Matches_All[[#This Row],[Team]],Dyno_Data[Match],TBA_Matches_All[[#This Row],[Match_Number]],Dyno_Data[RecordType],"Activities",Dyno_Data[DelDest],"Trap", Dyno_Data[DelMiss],"0", Dyno_Data[Mode],"Auto")</f>
        <v>0</v>
      </c>
      <c r="AL20">
        <f>COUNTIFS(Dyno_Data[Team],TBA_Matches_All[[#This Row],[Team]],Dyno_Data[Match],TBA_Matches_All[[#This Row],[Match_Number]],Dyno_Data[RecordType],"Activities",Dyno_Data[DelDest],"Amp", Dyno_Data[DelMiss],"0", Dyno_Data[Mode],"Teleop")</f>
        <v>0</v>
      </c>
      <c r="AM20">
        <f>COUNTIFS(Dyno_Data[Team],TBA_Matches_All[[#This Row],[Team]],Dyno_Data[Match],TBA_Matches_All[[#This Row],[Match_Number]],Dyno_Data[RecordType],"Activities",Dyno_Data[DelDest],"Spkr", Dyno_Data[DelMiss],"0", Dyno_Data[Mode],"Teleop")</f>
        <v>0</v>
      </c>
      <c r="AN20">
        <f>COUNTIFS(Dyno_Data[Team],TBA_Matches_All[[#This Row],[Team]],Dyno_Data[Match],TBA_Matches_All[[#This Row],[Match_Number]],Dyno_Data[RecordType],"Activities",Dyno_Data[DelDest],"Trap", Dyno_Data[DelMiss],"0", Dyno_Data[Mode],"&lt;&gt;Auto")</f>
        <v>0</v>
      </c>
      <c r="AO20">
        <f>SUM(TBA_Matches_All[[#This Row],[AampT]]+TBA_Matches_All[[#This Row],[AspkrT]]+TBA_Matches_All[[#This Row],[AtrapT]]+TBA_Matches_All[[#This Row],[TampT]]+TBA_Matches_All[[#This Row],[TspkrT]]+TBA_Matches_All[[#This Row],[TtrapT]])</f>
        <v>0</v>
      </c>
      <c r="AP20">
        <f>COUNTIFS(Dyno_Data[Team],TBA_Matches_All[[#This Row],[Team]],Dyno_Data[Match],TBA_Matches_All[[#This Row],[Match_Number]],Dyno_Data[RecordType],"Activities",Dyno_Data[DelDest],"Neut", Dyno_Data[DelMiss],"0")</f>
        <v>0</v>
      </c>
      <c r="AQ20">
        <f>COUNTIFS(Dyno_Data[Team],TBA_Matches_All[[#This Row],[Team]],Dyno_Data[Match],TBA_Matches_All[[#This Row],[Match_Number]],Dyno_Data[RecordType],"Activities",Dyno_Data[DelDest],"AllyW", Dyno_Data[DelMiss],"0")</f>
        <v>0</v>
      </c>
      <c r="AR20" t="str">
        <f>_xlfn.XLOOKUP(SUM(MID(TBA_Matches_All[[#This Row],[Team]],4,5),(TBA_Matches_All[[#This Row],[Match_Number]]/100)),Dyno_EndMatch[teammat],Dyno_EndMatch[RobotSta],"_",0,1)</f>
        <v>OppS</v>
      </c>
      <c r="AS20">
        <f>SUMIFS(Dyno_Data[AcqDis], Dyno_Data[Team],TBA_Matches_All[[#This Row],[Team]],Dyno_Data[Match],TBA_Matches_All[[#This Row],[Match_Number]],Dyno_Data[RecordType],"Activities", Dyno_Data[AcqCenter],1,Dyno_Data[Mode],"Auto")</f>
        <v>0</v>
      </c>
      <c r="AT20">
        <f>SUMIFS(Dyno_Data[AcqDis], Dyno_Data[Team],TBA_Matches_All[[#This Row],[Team]],Dyno_Data[Match],TBA_Matches_All[[#This Row],[Match_Number]],Dyno_Data[RecordType],"Activities", Dyno_Data[AcqCenter],2,Dyno_Data[Mode],"Auto")</f>
        <v>0</v>
      </c>
      <c r="AU20">
        <f>SUMIFS(Dyno_Data[AcqDis], Dyno_Data[Team],TBA_Matches_All[[#This Row],[Team]],Dyno_Data[Match],TBA_Matches_All[[#This Row],[Match_Number]],Dyno_Data[RecordType],"Activities", Dyno_Data[AcqCenter],3,Dyno_Data[Mode],"Auto")</f>
        <v>0</v>
      </c>
      <c r="AV20">
        <f>SUMIFS(Dyno_Data[AcqDis], Dyno_Data[Team],TBA_Matches_All[[#This Row],[Team]],Dyno_Data[Match],TBA_Matches_All[[#This Row],[Match_Number]],Dyno_Data[RecordType],"Activities", Dyno_Data[AcqCenter],4,Dyno_Data[Mode],"Auto")</f>
        <v>0</v>
      </c>
      <c r="AW20">
        <f>SUMIFS(Dyno_Data[AcqDis], Dyno_Data[Team],TBA_Matches_All[[#This Row],[Team]],Dyno_Data[Match],TBA_Matches_All[[#This Row],[Match_Number]],Dyno_Data[RecordType],"Activities", Dyno_Data[AcqCenter],5,Dyno_Data[Mode],"Auto")</f>
        <v>0</v>
      </c>
      <c r="AX20">
        <f>SUMIFS(Dyno_Data[DelMiss], Dyno_Data[Team],TBA_Matches_All[[#This Row],[Team]],Dyno_Data[Match],TBA_Matches_All[[#This Row],[Match_Number]],Dyno_Data[RecordType],"Activities", Dyno_Data[DelDest],"Amp")</f>
        <v>0</v>
      </c>
      <c r="AY20" s="60">
        <f>IFERROR(SUM((TBA_Matches_All[[#This Row],[AampT]]+TBA_Matches_All[[#This Row],[TampT]])/(TBA_Matches_All[[#This Row],[AampT]]+TBA_Matches_All[[#This Row],[TampT]]+TBA_Matches_All[[#This Row],[ampM]])),0)</f>
        <v>0</v>
      </c>
      <c r="AZ20">
        <f>SUMIFS(Dyno_Data[DelMiss], Dyno_Data[Team],TBA_Matches_All[[#This Row],[Team]],Dyno_Data[Match],TBA_Matches_All[[#This Row],[Match_Number]],Dyno_Data[RecordType],"Activities", Dyno_Data[DelDest],"Spkr")</f>
        <v>1</v>
      </c>
      <c r="BA20" s="60">
        <f>IFERROR(SUM((TBA_Matches_All[[#This Row],[AspkrT]]+TBA_Matches_All[[#This Row],[TspkrT]])/(TBA_Matches_All[[#This Row],[AspkrT]]+TBA_Matches_All[[#This Row],[TspkrT]]+TBA_Matches_All[[#This Row],[spkrM]])),0)</f>
        <v>0</v>
      </c>
      <c r="BB20">
        <f>SUMIFS(Dyno_Data[DelMiss], Dyno_Data[Team],TBA_Matches_All[[#This Row],[Team]],Dyno_Data[Match],TBA_Matches_All[[#This Row],[Match_Number]],Dyno_Data[RecordType],"Activities", Dyno_Data[DelDest],"Trap")</f>
        <v>0</v>
      </c>
      <c r="BC20" s="60">
        <f>IFERROR((TBA_Matches_All[[#This Row],[AtrapT]]+TBA_Matches_All[[#This Row],[TtrapT]])/(TBA_Matches_All[[#This Row],[AtrapT]]+TBA_Matches_All[[#This Row],[TtrapT]]+TBA_Matches_All[[#This Row],[trapM]]),0)</f>
        <v>0</v>
      </c>
      <c r="BD20">
        <f>COUNTIFS(Dyno_Data[Team],TBA_Matches_All[[#This Row],[Team]],Dyno_Data[Match],TBA_Matches_All[[#This Row],[Match_Number]],Dyno_Data[RecordType],"Activities",Dyno_Data[DelDest],"Neut", Dyno_Data[DelMiss],1)</f>
        <v>0</v>
      </c>
      <c r="BE20" s="60">
        <f>IFERROR(SUM((TBA_Matches_All[[#This Row],[NeutFlrT]])/(TBA_Matches_All[[#This Row],[NeutFlrT]]+TBA_Matches_All[[#This Row],[NZflM]])),0)</f>
        <v>0</v>
      </c>
      <c r="BF20">
        <f>COUNTIFS(Dyno_Data[Team],TBA_Matches_All[[#This Row],[Team]],Dyno_Data[Match],TBA_Matches_All[[#This Row],[Match_Number]],Dyno_Data[RecordType],"Activities",Dyno_Data[DelDest],"AllyW", Dyno_Data[DelMiss],1)</f>
        <v>0</v>
      </c>
      <c r="BG20" s="60">
        <f>IFERROR(SUM((TBA_Matches_All[[#This Row],[AllyWFlrT]])/(TBA_Matches_All[[#This Row],[AllyWFlrT]]+TBA_Matches_All[[#This Row],[AZflM]])),0)</f>
        <v>0</v>
      </c>
      <c r="BH20">
        <f>COUNTIFS(Dyno_Data[Team],TBA_Matches_All[[#This Row],[Team]],Dyno_Data[Match],TBA_Matches_All[[#This Row],[Match_Number]],Dyno_Data[RecordType],"Activities",Dyno_Data[DelOrig],"OppW", Dyno_Data[DelMiss],"0")</f>
        <v>0</v>
      </c>
      <c r="BI20">
        <f>COUNTIFS(Dyno_Data[Team],TBA_Matches_All[[#This Row],[Team]],Dyno_Data[Match],TBA_Matches_All[[#This Row],[Match_Number]],Dyno_Data[RecordType],"Activities",Dyno_Data[DelOrig],"OppW", Dyno_Data[DelMiss],"1")</f>
        <v>0</v>
      </c>
      <c r="BJ20" s="60">
        <f>IFERROR(SUM((TBA_Matches_All[[#This Row],[OZflrT]])/(TBA_Matches_All[[#This Row],[OZflrT]]+TBA_Matches_All[[#This Row],[OZflrM]])),0)</f>
        <v>0</v>
      </c>
      <c r="BK20">
        <f>COUNTIFS(Dyno_Data[Team],TBA_Matches_All[[#This Row],[Team]],Dyno_Data[Match],TBA_Matches_All[[#This Row],[Match_Number]],Dyno_Data[RecordType],"Activities",Dyno_Data[DelOrig],"Neut", Dyno_Data[DelMiss],"0")</f>
        <v>0</v>
      </c>
      <c r="BL20">
        <f>COUNTIFS(Dyno_Data[Team],TBA_Matches_All[[#This Row],[Team]],Dyno_Data[Match],TBA_Matches_All[[#This Row],[Match_Number]],Dyno_Data[RecordType],"Activities",Dyno_Data[DelOrig],"Neut", Dyno_Data[DelMiss],"1")</f>
        <v>0</v>
      </c>
      <c r="BM20" s="60">
        <f>IFERROR(SUM((TBA_Matches_All[[#This Row],[NZflrT]])/(TBA_Matches_All[[#This Row],[NZflrT]]+TBA_Matches_All[[#This Row],[NZflrM]])),0)</f>
        <v>0</v>
      </c>
      <c r="BN20">
        <f>COUNTIFS(Dyno_Data[Team],TBA_Matches_All[[#This Row],[Team]],Dyno_Data[Match],TBA_Matches_All[[#This Row],[Match_Number]],Dyno_Data[RecordType],"Activities",Dyno_Data[DelOrig],"AllyW", Dyno_Data[DelMiss],"0")</f>
        <v>0</v>
      </c>
      <c r="BO20">
        <f>COUNTIFS(Dyno_Data[Team],TBA_Matches_All[[#This Row],[Team]],Dyno_Data[Match],TBA_Matches_All[[#This Row],[Match_Number]],Dyno_Data[RecordType],"Activities",Dyno_Data[DelOrig],"AllyW", Dyno_Data[DelMiss],"1")</f>
        <v>0</v>
      </c>
      <c r="BP20" s="60">
        <f>IFERROR(SUM((TBA_Matches_All[[#This Row],[AZflrT]])/(TBA_Matches_All[[#This Row],[AZflrT]]+TBA_Matches_All[[#This Row],[AZflrM]])),0)</f>
        <v>0</v>
      </c>
      <c r="BQ20">
        <f>COUNTIFS(Dyno_Data[Team],TBA_Matches_All[[#This Row],[Team]],Dyno_Data[Match],TBA_Matches_All[[#This Row],[Match_Number]],Dyno_Data[RecordType],"Activities",Dyno_Data[DelOrig],"SubW", Dyno_Data[DelMiss],"0")</f>
        <v>0</v>
      </c>
      <c r="BR20">
        <f>COUNTIFS(Dyno_Data[Team],TBA_Matches_All[[#This Row],[Team]],Dyno_Data[Match],TBA_Matches_All[[#This Row],[Match_Number]],Dyno_Data[RecordType],"Activities",Dyno_Data[DelOrig],"SubW", Dyno_Data[DelMiss],"1")</f>
        <v>1</v>
      </c>
      <c r="BS20" s="60">
        <f>IFERROR(SUM((TBA_Matches_All[[#This Row],[SubwT]])/(TBA_Matches_All[[#This Row],[SubwT]]+TBA_Matches_All[[#This Row],[SubwM]])),0)</f>
        <v>0</v>
      </c>
      <c r="BT20">
        <f>COUNTIFS(Dyno_Data[Team],TBA_Matches_All[[#This Row],[Team]],Dyno_Data[Match],TBA_Matches_All[[#This Row],[Match_Number]],Dyno_Data[RecordType],"Activities", Dyno_Data[AcqLoc],"OppWing")</f>
        <v>0</v>
      </c>
      <c r="BU20">
        <f>COUNTIFS(Dyno_Data[Team],TBA_Matches_All[[#This Row],[Team]],Dyno_Data[Match],TBA_Matches_All[[#This Row],[Match_Number]],Dyno_Data[RecordType],"Activities", Dyno_Data[AcqLoc],"Neutral")</f>
        <v>0</v>
      </c>
      <c r="BV20">
        <f>COUNTIFS(Dyno_Data[Team],TBA_Matches_All[[#This Row],[Team]],Dyno_Data[Match],TBA_Matches_All[[#This Row],[Match_Number]],Dyno_Data[RecordType],"Activities", Dyno_Data[AcqLoc],"AllyWing")</f>
        <v>0</v>
      </c>
      <c r="BW20">
        <f>COUNTIFS(Dyno_Data[Team],TBA_Matches_All[[#This Row],[Team]],Dyno_Data[Match],TBA_Matches_All[[#This Row],[Match_Number]],Dyno_Data[RecordType],"Activities", Dyno_Data[AcqLoc],"Source")</f>
        <v>0</v>
      </c>
      <c r="BX20">
        <f>SUMIFS(Dyno_Data[AcqDrp], Dyno_Data[Team],TBA_Matches_All[[#This Row],[Team]],Dyno_Data[Match],TBA_Matches_All[[#This Row],[Match_Number]],Dyno_Data[RecordType],"Activities", Dyno_Data[AcqLoc],"Source")</f>
        <v>0</v>
      </c>
      <c r="BY20">
        <f>SUMIFS(Dyno_Data[OZTime], Dyno_Data[Team],TBA_Matches_All[[#This Row],[Team]],Dyno_Data[Match],TBA_Matches_All[[#This Row],[Match_Number]],Dyno_Data[RecordType],"EndMatch")</f>
        <v>99.389546599999989</v>
      </c>
      <c r="BZ20">
        <f>SUMIFS(Dyno_Data[NZTime], Dyno_Data[Team],TBA_Matches_All[[#This Row],[Team]],Dyno_Data[Match],TBA_Matches_All[[#This Row],[Match_Number]],Dyno_Data[RecordType],"EndMatch")</f>
        <v>14.691406899999999</v>
      </c>
      <c r="CA20">
        <f>SUMIFS(Dyno_Data[AZTime], Dyno_Data[Team],TBA_Matches_All[[#This Row],[Team]],Dyno_Data[Match],TBA_Matches_All[[#This Row],[Match_Number]],Dyno_Data[RecordType],"EndMatch")</f>
        <v>21.509546699999998</v>
      </c>
      <c r="CB20">
        <f>SUMIFS(Dyno_Data[ClimbT], Dyno_Data[Team],TBA_Matches_All[[#This Row],[Team]],Dyno_Data[Match],TBA_Matches_All[[#This Row],[Match_Number]],Dyno_Data[RecordType],"EndMatch")</f>
        <v>0</v>
      </c>
      <c r="CC20" t="str">
        <f>_xlfn.XLOOKUP(SUM(MID(TBA_Matches_All[[#This Row],[Team]],4,5),(TBA_Matches_All[[#This Row],[Match_Number]]/100)),Dyno_EndMatch[teammat],Dyno_EndMatch[StageStat],"_",0,1)</f>
        <v>Park</v>
      </c>
      <c r="CD20" t="str">
        <f>_xlfn.XLOOKUP(TBA_Matches_All[[#This Row],[teammat]],Dyno_EndMatch[teammat],Dyno_EndMatch[StageAtt],"_",0,1)</f>
        <v>0</v>
      </c>
      <c r="CE20" t="str">
        <f>_xlfn.XLOOKUP(TBA_Matches_All[[#This Row],[teammat]],Dyno_EndMatch[teammat],Dyno_EndMatch[StageLoc],"_",0,1)</f>
        <v>A</v>
      </c>
      <c r="CF20">
        <f>SUMIFS(Dyno_Data[Harmony], Dyno_Data[Team],TBA_Matches_All[[#This Row],[Team]],Dyno_Data[Match],TBA_Matches_All[[#This Row],[Match_Number]],Dyno_Data[RecordType],"EndMatch", Dyno_Data[StageStat],"On",Dyno_Data[Harmony],"&lt;&gt;9")</f>
        <v>0</v>
      </c>
      <c r="CG20">
        <f>SUMIFS(Dyno_Data[Spotlit], Dyno_Data[Team],TBA_Matches_All[[#This Row],[Team]],Dyno_Data[Match],TBA_Matches_All[[#This Row],[Match_Number]],Dyno_Data[RecordType],"EndMatch", Dyno_Data[StageStat],"On",Dyno_Data[Spotlit],"&lt;&gt;9")</f>
        <v>0</v>
      </c>
      <c r="CH20" t="str">
        <f>_xlfn.XLOOKUP(TBA_Matches_All[[#This Row],[teammat]],Dyno_EndMatch[teammat],Dyno_EndMatch[Strategy],"_",0,1)</f>
        <v>Defense</v>
      </c>
      <c r="CI20">
        <f>SUMIFS(Dyno_Data[Defense], Dyno_Data[Team],TBA_Matches_All[[#This Row],[Team]],Dyno_Data[Match],TBA_Matches_All[[#This Row],[Match_Number]],Dyno_Data[RecordType],"EndMatch",Dyno_Data[Defense],"&lt;&gt;9")</f>
        <v>3</v>
      </c>
      <c r="CJ20">
        <f>SUMIFS(Dyno_Data[Avoidance], Dyno_Data[Team],TBA_Matches_All[[#This Row],[Team]],Dyno_Data[Match],TBA_Matches_All[[#This Row],[Match_Number]],Dyno_Data[RecordType],"EndMatch",Dyno_Data[Avoidance],"&lt;&gt;9")</f>
        <v>0</v>
      </c>
      <c r="CK20" s="82">
        <f>COUNTIF($H$2:TBA_Matches_All[[#This Row],[Team]],TBA_Matches_All[[#This Row],[Team]])</f>
        <v>1</v>
      </c>
      <c r="CL20" s="111">
        <f>SUM(MID(TBA_Matches_All[[#This Row],[Team]],4,5)+TBA_Matches_All[[#This Row],[Match_Number]]/100)</f>
        <v>7030.03</v>
      </c>
      <c r="CM20">
        <f>SUM((TBA_Matches_All[[#This Row],[Leave]]*2)+(TBA_Matches_All[[#This Row],[AampT]]*2)+(TBA_Matches_All[[#This Row],[AspkrT]]*5)+(TBA_Matches_All[[#This Row],[AtrapT]]*5))</f>
        <v>0</v>
      </c>
      <c r="CN20" s="59">
        <f>IFERROR(SUM(TBA_Matches_All[[#This Row],[AptsT]]/TBA_Matches_All[[#This Row],[AutoPts]]),0)</f>
        <v>0</v>
      </c>
      <c r="CO20" s="59">
        <f>IFERROR(SUM(TBA_Matches_All[[#This Row],[AampT]]+TBA_Matches_All[[#This Row],[AspkrT]]+TBA_Matches_All[[#This Row],[AtrapT]]/TBA_Matches_All[[#This Row],[Aamp]]+TBA_Matches_All[[#This Row],[Aspkr]]+TBA_Matches_All[[#This Row],[AtrapT]]),0)</f>
        <v>0</v>
      </c>
      <c r="CP20" s="59">
        <f>IFERROR(SUM(TBA_Matches_All[[#This Row],[TampT]]/TBA_Matches_All[[#This Row],[Tamp]]),0)</f>
        <v>0</v>
      </c>
      <c r="CQ20" s="59">
        <f>IFERROR(SUM(TBA_Matches_All[[#This Row],[TspkrT]]/TBA_Matches_All[[#This Row],[Tspkr]]),0)</f>
        <v>0</v>
      </c>
      <c r="CR20">
        <f>SUM(TBA_Matches_All[[#This Row],[TspkrPts]]*TBA_Matches_All[[#This Row],[TspkrP]])</f>
        <v>0</v>
      </c>
      <c r="CS20" s="59">
        <f>IFERROR(SUM(TBA_Matches_All[[#This Row],[TtrapT]]/TBA_Matches_All[[#This Row],[Trap]]),0)</f>
        <v>0</v>
      </c>
      <c r="CT20" s="59">
        <f>IFERROR(SUM(TBA_Matches_All[[#This Row],[TotNotesT]]/TBA_Matches_All[[#This Row],[TotNotes]]),0)</f>
        <v>0</v>
      </c>
      <c r="CU20" s="66">
        <f>SUM((TBA_Matches_All[[#This Row],[AampT]]*2)+(TBA_Matches_All[[#This Row],[AspkrT]]*5)+(TBA_Matches_All[[#This Row],[AtrapT]]*5)+(TBA_Matches_All[[#This Row],[TampT]]*1)+(TBA_Matches_All[[#This Row],[TspkrptsC]]))</f>
        <v>0</v>
      </c>
      <c r="CV20" s="59">
        <f>IFERROR(TBA_Matches_All[[#This Row],[noteptsT]]/TBA_Matches_All[[#This Row],[NotePts]],0)</f>
        <v>0</v>
      </c>
      <c r="CW20">
        <f>SUM(IF(TBA_Matches_All[[#This Row],[stageStat]]="On",3,0),IF(TBA_Matches_All[[#This Row],[stageStat]]="Park",1,0),SUMIFS(TBA_Matches_All[[#This Row],[Spotlit]],TBA_Matches_All[[#This Row],[stageStat]],"On"),SUMIFS(TBA_Matches_All[[#This Row],[Harmony]],TBA_Matches_All[[#This Row],[stageStat]],"On"))</f>
        <v>1</v>
      </c>
      <c r="CX20" s="59">
        <f>IFERROR(TBA_Matches_All[[#This Row],[stageptsT]]/TBA_Matches_All[[#This Row],[StagePts]],0)</f>
        <v>0.5</v>
      </c>
      <c r="CY20">
        <f>SUM((TBA_Matches_All[[#This Row],[AptsT]]+TBA_Matches_All[[#This Row],[TampT]]+TBA_Matches_All[[#This Row],[TspkrptsC]]+(TBA_Matches_All[[#This Row],[TtrapT]]*5)+TBA_Matches_All[[#This Row],[stageptsT]]))</f>
        <v>1</v>
      </c>
      <c r="CZ20" s="59">
        <f>IFERROR(SUM(TBA_Matches_All[[#This Row],[TotptsC]]/TBA_Matches_All[[#This Row],[Score]]),0)</f>
        <v>0.02</v>
      </c>
      <c r="DA2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0" s="74">
        <f>SUMIFS(TBA_Matches_All[AveTeamTNoteDels],TBA_Matches_All[Match_Number],TBA_Matches_All[[#This Row],[Match_Number]],TBA_Matches_All[Alliance],"&lt;&gt;"&amp;TBA_Matches_All[[#This Row],[Alliance]],TBA_Matches_All[Scouted],"&gt;0")</f>
        <v>17.659848484848485</v>
      </c>
      <c r="DC20" s="74">
        <f>(TBA_Matches_All[[#This Row],[TampT]]+TBA_Matches_All[[#This Row],[TspkrptsC]])-TBA_Matches_All[[#This Row],[AveTeamTNoteDels]]</f>
        <v>0</v>
      </c>
      <c r="DD20" s="74">
        <f>SUMIFS(TBA_Matches_All[AveTeamTNoteDels],TBA_Matches_All[Match_Number],TBA_Matches_All[[#This Row],[Match_Number]],TBA_Matches_All[Alliance],"&lt;&gt;"&amp;TBA_Matches_All[[#This Row],[Alliance]])-TBA_Matches_All[[#This Row],[AveOppTNoteDels]]</f>
        <v>0</v>
      </c>
    </row>
    <row r="21" spans="1:108" x14ac:dyDescent="0.3">
      <c r="A21" t="s">
        <v>1042</v>
      </c>
      <c r="B21" t="s">
        <v>489</v>
      </c>
      <c r="C21" t="s">
        <v>1293</v>
      </c>
      <c r="D21">
        <v>4</v>
      </c>
      <c r="E21" t="s">
        <v>1420</v>
      </c>
      <c r="F21" t="s">
        <v>1423</v>
      </c>
      <c r="G21" t="s">
        <v>1409</v>
      </c>
      <c r="H21" t="s">
        <v>1295</v>
      </c>
      <c r="I21" t="b">
        <v>1</v>
      </c>
      <c r="J21">
        <v>55</v>
      </c>
      <c r="K21">
        <v>1</v>
      </c>
      <c r="L21">
        <v>0</v>
      </c>
      <c r="M21">
        <v>0</v>
      </c>
      <c r="N21">
        <v>0</v>
      </c>
      <c r="O21">
        <v>2</v>
      </c>
      <c r="P21">
        <v>10</v>
      </c>
      <c r="Q21">
        <v>14</v>
      </c>
      <c r="R21">
        <v>5</v>
      </c>
      <c r="S21">
        <v>2</v>
      </c>
      <c r="T21">
        <v>9</v>
      </c>
      <c r="U21">
        <v>10</v>
      </c>
      <c r="V21">
        <v>18</v>
      </c>
      <c r="W21">
        <v>11</v>
      </c>
      <c r="X21">
        <v>28</v>
      </c>
      <c r="Y21">
        <v>33</v>
      </c>
      <c r="Z21">
        <v>0</v>
      </c>
      <c r="AA21">
        <v>0</v>
      </c>
      <c r="AB21">
        <v>18</v>
      </c>
      <c r="AC21">
        <v>43</v>
      </c>
      <c r="AD21">
        <v>3</v>
      </c>
      <c r="AE21">
        <f>IFERROR(6/(COUNTIF(Dyno_EndMatch[Match],TBA_Matches_All[[#This Row],[Match_Number]])),0)</f>
        <v>1</v>
      </c>
      <c r="AF21">
        <f>COUNTIFS(Dyno_Data[Team],TBA_Matches_All[[#This Row],[Team]],Dyno_Data[Match],TBA_Matches_All[[#This Row],[Match_Number]],Dyno_Data[RecordType],"EndMatch",Dyno_Data[HPAmp],"Y")</f>
        <v>0</v>
      </c>
      <c r="AG21">
        <f>SUMIFS(Dyno_Data[Mics], Dyno_Data[Team],TBA_Matches_All[[#This Row],[Team]],Dyno_Data[Match],TBA_Matches_All[[#This Row],[Match_Number]],Dyno_Data[RecordType],"EndMatch",Dyno_Data[HPAmp],"Y")</f>
        <v>0</v>
      </c>
      <c r="AH21">
        <f>SUMIFS(Dyno_Data[Leave], Dyno_Data[Team],TBA_Matches_All[[#This Row],[Team]],Dyno_Data[Match],TBA_Matches_All[[#This Row],[Match_Number]],Dyno_Data[RecordType],"EndAuto")</f>
        <v>1</v>
      </c>
      <c r="AI21">
        <f>COUNTIFS(Dyno_Data[Team],TBA_Matches_All[[#This Row],[Team]],Dyno_Data[Match],TBA_Matches_All[[#This Row],[Match_Number]],Dyno_Data[RecordType],"Activities",Dyno_Data[DelDest],"Amp", Dyno_Data[DelMiss],"0", Dyno_Data[Mode],"Auto")</f>
        <v>0</v>
      </c>
      <c r="AJ21">
        <f>COUNTIFS(Dyno_Data[Team],TBA_Matches_All[[#This Row],[Team]],Dyno_Data[Match],TBA_Matches_All[[#This Row],[Match_Number]],Dyno_Data[RecordType],"Activities",Dyno_Data[DelDest],"Spkr", Dyno_Data[DelMiss],"0", Dyno_Data[Mode],"Auto")</f>
        <v>1</v>
      </c>
      <c r="AK21">
        <f>COUNTIFS(Dyno_Data[Team],TBA_Matches_All[[#This Row],[Team]],Dyno_Data[Match],TBA_Matches_All[[#This Row],[Match_Number]],Dyno_Data[RecordType],"Activities",Dyno_Data[DelDest],"Trap", Dyno_Data[DelMiss],"0", Dyno_Data[Mode],"Auto")</f>
        <v>0</v>
      </c>
      <c r="AL21">
        <f>COUNTIFS(Dyno_Data[Team],TBA_Matches_All[[#This Row],[Team]],Dyno_Data[Match],TBA_Matches_All[[#This Row],[Match_Number]],Dyno_Data[RecordType],"Activities",Dyno_Data[DelDest],"Amp", Dyno_Data[DelMiss],"0", Dyno_Data[Mode],"Teleop")</f>
        <v>5</v>
      </c>
      <c r="AM21">
        <f>COUNTIFS(Dyno_Data[Team],TBA_Matches_All[[#This Row],[Team]],Dyno_Data[Match],TBA_Matches_All[[#This Row],[Match_Number]],Dyno_Data[RecordType],"Activities",Dyno_Data[DelDest],"Spkr", Dyno_Data[DelMiss],"0", Dyno_Data[Mode],"Teleop")</f>
        <v>4</v>
      </c>
      <c r="AN21">
        <f>COUNTIFS(Dyno_Data[Team],TBA_Matches_All[[#This Row],[Team]],Dyno_Data[Match],TBA_Matches_All[[#This Row],[Match_Number]],Dyno_Data[RecordType],"Activities",Dyno_Data[DelDest],"Trap", Dyno_Data[DelMiss],"0", Dyno_Data[Mode],"&lt;&gt;Auto")</f>
        <v>0</v>
      </c>
      <c r="AO21">
        <f>SUM(TBA_Matches_All[[#This Row],[AampT]]+TBA_Matches_All[[#This Row],[AspkrT]]+TBA_Matches_All[[#This Row],[AtrapT]]+TBA_Matches_All[[#This Row],[TampT]]+TBA_Matches_All[[#This Row],[TspkrT]]+TBA_Matches_All[[#This Row],[TtrapT]])</f>
        <v>10</v>
      </c>
      <c r="AP21">
        <f>COUNTIFS(Dyno_Data[Team],TBA_Matches_All[[#This Row],[Team]],Dyno_Data[Match],TBA_Matches_All[[#This Row],[Match_Number]],Dyno_Data[RecordType],"Activities",Dyno_Data[DelDest],"Neut", Dyno_Data[DelMiss],"0")</f>
        <v>0</v>
      </c>
      <c r="AQ21">
        <f>COUNTIFS(Dyno_Data[Team],TBA_Matches_All[[#This Row],[Team]],Dyno_Data[Match],TBA_Matches_All[[#This Row],[Match_Number]],Dyno_Data[RecordType],"Activities",Dyno_Data[DelDest],"AllyW", Dyno_Data[DelMiss],"0")</f>
        <v>0</v>
      </c>
      <c r="AR21" t="str">
        <f>_xlfn.XLOOKUP(SUM(MID(TBA_Matches_All[[#This Row],[Team]],4,5),(TBA_Matches_All[[#This Row],[Match_Number]]/100)),Dyno_EndMatch[teammat],Dyno_EndMatch[RobotSta],"_",0,1)</f>
        <v>Podm</v>
      </c>
      <c r="AS21">
        <f>SUMIFS(Dyno_Data[AcqDis], Dyno_Data[Team],TBA_Matches_All[[#This Row],[Team]],Dyno_Data[Match],TBA_Matches_All[[#This Row],[Match_Number]],Dyno_Data[RecordType],"Activities", Dyno_Data[AcqCenter],1,Dyno_Data[Mode],"Auto")</f>
        <v>0</v>
      </c>
      <c r="AT21">
        <f>SUMIFS(Dyno_Data[AcqDis], Dyno_Data[Team],TBA_Matches_All[[#This Row],[Team]],Dyno_Data[Match],TBA_Matches_All[[#This Row],[Match_Number]],Dyno_Data[RecordType],"Activities", Dyno_Data[AcqCenter],2,Dyno_Data[Mode],"Auto")</f>
        <v>-1</v>
      </c>
      <c r="AU21">
        <f>SUMIFS(Dyno_Data[AcqDis], Dyno_Data[Team],TBA_Matches_All[[#This Row],[Team]],Dyno_Data[Match],TBA_Matches_All[[#This Row],[Match_Number]],Dyno_Data[RecordType],"Activities", Dyno_Data[AcqCenter],3,Dyno_Data[Mode],"Auto")</f>
        <v>-1</v>
      </c>
      <c r="AV21">
        <f>SUMIFS(Dyno_Data[AcqDis], Dyno_Data[Team],TBA_Matches_All[[#This Row],[Team]],Dyno_Data[Match],TBA_Matches_All[[#This Row],[Match_Number]],Dyno_Data[RecordType],"Activities", Dyno_Data[AcqCenter],4,Dyno_Data[Mode],"Auto")</f>
        <v>0</v>
      </c>
      <c r="AW21">
        <f>SUMIFS(Dyno_Data[AcqDis], Dyno_Data[Team],TBA_Matches_All[[#This Row],[Team]],Dyno_Data[Match],TBA_Matches_All[[#This Row],[Match_Number]],Dyno_Data[RecordType],"Activities", Dyno_Data[AcqCenter],5,Dyno_Data[Mode],"Auto")</f>
        <v>0</v>
      </c>
      <c r="AX21">
        <f>SUMIFS(Dyno_Data[DelMiss], Dyno_Data[Team],TBA_Matches_All[[#This Row],[Team]],Dyno_Data[Match],TBA_Matches_All[[#This Row],[Match_Number]],Dyno_Data[RecordType],"Activities", Dyno_Data[DelDest],"Amp")</f>
        <v>0</v>
      </c>
      <c r="AY21" s="60">
        <f>IFERROR(SUM((TBA_Matches_All[[#This Row],[AampT]]+TBA_Matches_All[[#This Row],[TampT]])/(TBA_Matches_All[[#This Row],[AampT]]+TBA_Matches_All[[#This Row],[TampT]]+TBA_Matches_All[[#This Row],[ampM]])),0)</f>
        <v>1</v>
      </c>
      <c r="AZ21">
        <f>SUMIFS(Dyno_Data[DelMiss], Dyno_Data[Team],TBA_Matches_All[[#This Row],[Team]],Dyno_Data[Match],TBA_Matches_All[[#This Row],[Match_Number]],Dyno_Data[RecordType],"Activities", Dyno_Data[DelDest],"Spkr")</f>
        <v>1</v>
      </c>
      <c r="BA21" s="60">
        <f>IFERROR(SUM((TBA_Matches_All[[#This Row],[AspkrT]]+TBA_Matches_All[[#This Row],[TspkrT]])/(TBA_Matches_All[[#This Row],[AspkrT]]+TBA_Matches_All[[#This Row],[TspkrT]]+TBA_Matches_All[[#This Row],[spkrM]])),0)</f>
        <v>0.83333333333333337</v>
      </c>
      <c r="BB21">
        <f>SUMIFS(Dyno_Data[DelMiss], Dyno_Data[Team],TBA_Matches_All[[#This Row],[Team]],Dyno_Data[Match],TBA_Matches_All[[#This Row],[Match_Number]],Dyno_Data[RecordType],"Activities", Dyno_Data[DelDest],"Trap")</f>
        <v>0</v>
      </c>
      <c r="BC21" s="60">
        <f>IFERROR((TBA_Matches_All[[#This Row],[AtrapT]]+TBA_Matches_All[[#This Row],[TtrapT]])/(TBA_Matches_All[[#This Row],[AtrapT]]+TBA_Matches_All[[#This Row],[TtrapT]]+TBA_Matches_All[[#This Row],[trapM]]),0)</f>
        <v>0</v>
      </c>
      <c r="BD21">
        <f>COUNTIFS(Dyno_Data[Team],TBA_Matches_All[[#This Row],[Team]],Dyno_Data[Match],TBA_Matches_All[[#This Row],[Match_Number]],Dyno_Data[RecordType],"Activities",Dyno_Data[DelDest],"Neut", Dyno_Data[DelMiss],1)</f>
        <v>0</v>
      </c>
      <c r="BE21" s="60">
        <f>IFERROR(SUM((TBA_Matches_All[[#This Row],[NeutFlrT]])/(TBA_Matches_All[[#This Row],[NeutFlrT]]+TBA_Matches_All[[#This Row],[NZflM]])),0)</f>
        <v>0</v>
      </c>
      <c r="BF21">
        <f>COUNTIFS(Dyno_Data[Team],TBA_Matches_All[[#This Row],[Team]],Dyno_Data[Match],TBA_Matches_All[[#This Row],[Match_Number]],Dyno_Data[RecordType],"Activities",Dyno_Data[DelDest],"AllyW", Dyno_Data[DelMiss],1)</f>
        <v>0</v>
      </c>
      <c r="BG21" s="60">
        <f>IFERROR(SUM((TBA_Matches_All[[#This Row],[AllyWFlrT]])/(TBA_Matches_All[[#This Row],[AllyWFlrT]]+TBA_Matches_All[[#This Row],[AZflM]])),0)</f>
        <v>0</v>
      </c>
      <c r="BH21">
        <f>COUNTIFS(Dyno_Data[Team],TBA_Matches_All[[#This Row],[Team]],Dyno_Data[Match],TBA_Matches_All[[#This Row],[Match_Number]],Dyno_Data[RecordType],"Activities",Dyno_Data[DelOrig],"OppW", Dyno_Data[DelMiss],"0")</f>
        <v>0</v>
      </c>
      <c r="BI21">
        <f>COUNTIFS(Dyno_Data[Team],TBA_Matches_All[[#This Row],[Team]],Dyno_Data[Match],TBA_Matches_All[[#This Row],[Match_Number]],Dyno_Data[RecordType],"Activities",Dyno_Data[DelOrig],"OppW", Dyno_Data[DelMiss],"1")</f>
        <v>0</v>
      </c>
      <c r="BJ21" s="60">
        <f>IFERROR(SUM((TBA_Matches_All[[#This Row],[OZflrT]])/(TBA_Matches_All[[#This Row],[OZflrT]]+TBA_Matches_All[[#This Row],[OZflrM]])),0)</f>
        <v>0</v>
      </c>
      <c r="BK21">
        <f>COUNTIFS(Dyno_Data[Team],TBA_Matches_All[[#This Row],[Team]],Dyno_Data[Match],TBA_Matches_All[[#This Row],[Match_Number]],Dyno_Data[RecordType],"Activities",Dyno_Data[DelOrig],"Neut", Dyno_Data[DelMiss],"0")</f>
        <v>0</v>
      </c>
      <c r="BL21">
        <f>COUNTIFS(Dyno_Data[Team],TBA_Matches_All[[#This Row],[Team]],Dyno_Data[Match],TBA_Matches_All[[#This Row],[Match_Number]],Dyno_Data[RecordType],"Activities",Dyno_Data[DelOrig],"Neut", Dyno_Data[DelMiss],"1")</f>
        <v>0</v>
      </c>
      <c r="BM21" s="60">
        <f>IFERROR(SUM((TBA_Matches_All[[#This Row],[NZflrT]])/(TBA_Matches_All[[#This Row],[NZflrT]]+TBA_Matches_All[[#This Row],[NZflrM]])),0)</f>
        <v>0</v>
      </c>
      <c r="BN21">
        <f>COUNTIFS(Dyno_Data[Team],TBA_Matches_All[[#This Row],[Team]],Dyno_Data[Match],TBA_Matches_All[[#This Row],[Match_Number]],Dyno_Data[RecordType],"Activities",Dyno_Data[DelOrig],"AllyW", Dyno_Data[DelMiss],"0")</f>
        <v>10</v>
      </c>
      <c r="BO21">
        <f>COUNTIFS(Dyno_Data[Team],TBA_Matches_All[[#This Row],[Team]],Dyno_Data[Match],TBA_Matches_All[[#This Row],[Match_Number]],Dyno_Data[RecordType],"Activities",Dyno_Data[DelOrig],"AllyW", Dyno_Data[DelMiss],"1")</f>
        <v>1</v>
      </c>
      <c r="BP21" s="60">
        <f>IFERROR(SUM((TBA_Matches_All[[#This Row],[AZflrT]])/(TBA_Matches_All[[#This Row],[AZflrT]]+TBA_Matches_All[[#This Row],[AZflrM]])),0)</f>
        <v>0.90909090909090906</v>
      </c>
      <c r="BQ21">
        <f>COUNTIFS(Dyno_Data[Team],TBA_Matches_All[[#This Row],[Team]],Dyno_Data[Match],TBA_Matches_All[[#This Row],[Match_Number]],Dyno_Data[RecordType],"Activities",Dyno_Data[DelOrig],"SubW", Dyno_Data[DelMiss],"0")</f>
        <v>0</v>
      </c>
      <c r="BR21">
        <f>COUNTIFS(Dyno_Data[Team],TBA_Matches_All[[#This Row],[Team]],Dyno_Data[Match],TBA_Matches_All[[#This Row],[Match_Number]],Dyno_Data[RecordType],"Activities",Dyno_Data[DelOrig],"SubW", Dyno_Data[DelMiss],"1")</f>
        <v>0</v>
      </c>
      <c r="BS21" s="60">
        <f>IFERROR(SUM((TBA_Matches_All[[#This Row],[SubwT]])/(TBA_Matches_All[[#This Row],[SubwT]]+TBA_Matches_All[[#This Row],[SubwM]])),0)</f>
        <v>0</v>
      </c>
      <c r="BT21">
        <f>COUNTIFS(Dyno_Data[Team],TBA_Matches_All[[#This Row],[Team]],Dyno_Data[Match],TBA_Matches_All[[#This Row],[Match_Number]],Dyno_Data[RecordType],"Activities", Dyno_Data[AcqLoc],"OppWing")</f>
        <v>0</v>
      </c>
      <c r="BU21">
        <f>COUNTIFS(Dyno_Data[Team],TBA_Matches_All[[#This Row],[Team]],Dyno_Data[Match],TBA_Matches_All[[#This Row],[Match_Number]],Dyno_Data[RecordType],"Activities", Dyno_Data[AcqLoc],"Neutral")</f>
        <v>2</v>
      </c>
      <c r="BV21">
        <f>COUNTIFS(Dyno_Data[Team],TBA_Matches_All[[#This Row],[Team]],Dyno_Data[Match],TBA_Matches_All[[#This Row],[Match_Number]],Dyno_Data[RecordType],"Activities", Dyno_Data[AcqLoc],"AllyWing")</f>
        <v>0</v>
      </c>
      <c r="BW21">
        <f>COUNTIFS(Dyno_Data[Team],TBA_Matches_All[[#This Row],[Team]],Dyno_Data[Match],TBA_Matches_All[[#This Row],[Match_Number]],Dyno_Data[RecordType],"Activities", Dyno_Data[AcqLoc],"Source")</f>
        <v>0</v>
      </c>
      <c r="BX21">
        <f>SUMIFS(Dyno_Data[AcqDrp], Dyno_Data[Team],TBA_Matches_All[[#This Row],[Team]],Dyno_Data[Match],TBA_Matches_All[[#This Row],[Match_Number]],Dyno_Data[RecordType],"Activities", Dyno_Data[AcqLoc],"Source")</f>
        <v>0</v>
      </c>
      <c r="BY21">
        <f>SUMIFS(Dyno_Data[OZTime], Dyno_Data[Team],TBA_Matches_All[[#This Row],[Team]],Dyno_Data[Match],TBA_Matches_All[[#This Row],[Match_Number]],Dyno_Data[RecordType],"EndMatch")</f>
        <v>27.299850199999998</v>
      </c>
      <c r="BZ21">
        <f>SUMIFS(Dyno_Data[NZTime], Dyno_Data[Team],TBA_Matches_All[[#This Row],[Team]],Dyno_Data[Match],TBA_Matches_All[[#This Row],[Match_Number]],Dyno_Data[RecordType],"EndMatch")</f>
        <v>25.313591499999998</v>
      </c>
      <c r="CA21">
        <f>SUMIFS(Dyno_Data[AZTime], Dyno_Data[Team],TBA_Matches_All[[#This Row],[Team]],Dyno_Data[Match],TBA_Matches_All[[#This Row],[Match_Number]],Dyno_Data[RecordType],"EndMatch")</f>
        <v>73.138215399999993</v>
      </c>
      <c r="CB21">
        <f>SUMIFS(Dyno_Data[ClimbT], Dyno_Data[Team],TBA_Matches_All[[#This Row],[Team]],Dyno_Data[Match],TBA_Matches_All[[#This Row],[Match_Number]],Dyno_Data[RecordType],"EndMatch")</f>
        <v>4.9842268000000001</v>
      </c>
      <c r="CC21" t="str">
        <f>_xlfn.XLOOKUP(SUM(MID(TBA_Matches_All[[#This Row],[Team]],4,5),(TBA_Matches_All[[#This Row],[Match_Number]]/100)),Dyno_EndMatch[teammat],Dyno_EndMatch[StageStat],"_",0,1)</f>
        <v>On</v>
      </c>
      <c r="CD21" t="str">
        <f>_xlfn.XLOOKUP(TBA_Matches_All[[#This Row],[teammat]],Dyno_EndMatch[teammat],Dyno_EndMatch[StageAtt],"_",0,1)</f>
        <v>1</v>
      </c>
      <c r="CE21" t="str">
        <f>_xlfn.XLOOKUP(TBA_Matches_All[[#This Row],[teammat]],Dyno_EndMatch[teammat],Dyno_EndMatch[StageLoc],"_",0,1)</f>
        <v>C</v>
      </c>
      <c r="CF21">
        <f>SUMIFS(Dyno_Data[Harmony], Dyno_Data[Team],TBA_Matches_All[[#This Row],[Team]],Dyno_Data[Match],TBA_Matches_All[[#This Row],[Match_Number]],Dyno_Data[RecordType],"EndMatch", Dyno_Data[StageStat],"On",Dyno_Data[Harmony],"&lt;&gt;9")</f>
        <v>0</v>
      </c>
      <c r="CG21">
        <f>SUMIFS(Dyno_Data[Spotlit], Dyno_Data[Team],TBA_Matches_All[[#This Row],[Team]],Dyno_Data[Match],TBA_Matches_All[[#This Row],[Match_Number]],Dyno_Data[RecordType],"EndMatch", Dyno_Data[StageStat],"On",Dyno_Data[Spotlit],"&lt;&gt;9")</f>
        <v>0</v>
      </c>
      <c r="CH21" t="str">
        <f>_xlfn.XLOOKUP(TBA_Matches_All[[#This Row],[teammat]],Dyno_EndMatch[teammat],Dyno_EndMatch[Strategy],"_",0,1)</f>
        <v>Hybrid</v>
      </c>
      <c r="CI21">
        <f>SUMIFS(Dyno_Data[Defense], Dyno_Data[Team],TBA_Matches_All[[#This Row],[Team]],Dyno_Data[Match],TBA_Matches_All[[#This Row],[Match_Number]],Dyno_Data[RecordType],"EndMatch",Dyno_Data[Defense],"&lt;&gt;9")</f>
        <v>0</v>
      </c>
      <c r="CJ21">
        <f>SUMIFS(Dyno_Data[Avoidance], Dyno_Data[Team],TBA_Matches_All[[#This Row],[Team]],Dyno_Data[Match],TBA_Matches_All[[#This Row],[Match_Number]],Dyno_Data[RecordType],"EndMatch",Dyno_Data[Avoidance],"&lt;&gt;9")</f>
        <v>0</v>
      </c>
      <c r="CK21" s="82">
        <f>COUNTIF($H$2:TBA_Matches_All[[#This Row],[Team]],TBA_Matches_All[[#This Row],[Team]])</f>
        <v>1</v>
      </c>
      <c r="CL21" s="111">
        <f>SUM(MID(TBA_Matches_All[[#This Row],[Team]],4,5)+TBA_Matches_All[[#This Row],[Match_Number]]/100)</f>
        <v>6300.04</v>
      </c>
      <c r="CM21">
        <f>SUM((TBA_Matches_All[[#This Row],[Leave]]*2)+(TBA_Matches_All[[#This Row],[AampT]]*2)+(TBA_Matches_All[[#This Row],[AspkrT]]*5)+(TBA_Matches_All[[#This Row],[AtrapT]]*5))</f>
        <v>7</v>
      </c>
      <c r="CN21" s="59">
        <f>IFERROR(SUM(TBA_Matches_All[[#This Row],[AptsT]]/TBA_Matches_All[[#This Row],[AutoPts]]),0)</f>
        <v>0.5</v>
      </c>
      <c r="CO21" s="59">
        <f>IFERROR(SUM(TBA_Matches_All[[#This Row],[AampT]]+TBA_Matches_All[[#This Row],[AspkrT]]+TBA_Matches_All[[#This Row],[AtrapT]]/TBA_Matches_All[[#This Row],[Aamp]]+TBA_Matches_All[[#This Row],[Aspkr]]+TBA_Matches_All[[#This Row],[AtrapT]]),0)</f>
        <v>0</v>
      </c>
      <c r="CP21" s="59">
        <f>IFERROR(SUM(TBA_Matches_All[[#This Row],[TampT]]/TBA_Matches_All[[#This Row],[Tamp]]),0)</f>
        <v>1</v>
      </c>
      <c r="CQ21" s="59">
        <f>IFERROR(SUM(TBA_Matches_All[[#This Row],[TspkrT]]/TBA_Matches_All[[#This Row],[Tspkr]]),0)</f>
        <v>0.36363636363636365</v>
      </c>
      <c r="CR21">
        <f>SUM(TBA_Matches_All[[#This Row],[TspkrPts]]*TBA_Matches_All[[#This Row],[TspkrP]])</f>
        <v>10.181818181818182</v>
      </c>
      <c r="CS21" s="59">
        <f>IFERROR(SUM(TBA_Matches_All[[#This Row],[TtrapT]]/TBA_Matches_All[[#This Row],[Trap]]),0)</f>
        <v>0</v>
      </c>
      <c r="CT21" s="59">
        <f>IFERROR(SUM(TBA_Matches_All[[#This Row],[TotNotesT]]/TBA_Matches_All[[#This Row],[TotNotes]]),0)</f>
        <v>0.55555555555555558</v>
      </c>
      <c r="CU21" s="66">
        <f>SUM((TBA_Matches_All[[#This Row],[AampT]]*2)+(TBA_Matches_All[[#This Row],[AspkrT]]*5)+(TBA_Matches_All[[#This Row],[AtrapT]]*5)+(TBA_Matches_All[[#This Row],[TampT]]*1)+(TBA_Matches_All[[#This Row],[TspkrptsC]]))</f>
        <v>20.18181818181818</v>
      </c>
      <c r="CV21" s="59">
        <f>IFERROR(TBA_Matches_All[[#This Row],[noteptsT]]/TBA_Matches_All[[#This Row],[NotePts]],0)</f>
        <v>0.46934460887949253</v>
      </c>
      <c r="CW21">
        <f>SUM(IF(TBA_Matches_All[[#This Row],[stageStat]]="On",3,0),IF(TBA_Matches_All[[#This Row],[stageStat]]="Park",1,0),SUMIFS(TBA_Matches_All[[#This Row],[Spotlit]],TBA_Matches_All[[#This Row],[stageStat]],"On"),SUMIFS(TBA_Matches_All[[#This Row],[Harmony]],TBA_Matches_All[[#This Row],[stageStat]],"On"))</f>
        <v>3</v>
      </c>
      <c r="CX21" s="59">
        <f>IFERROR(TBA_Matches_All[[#This Row],[stageptsT]]/TBA_Matches_All[[#This Row],[StagePts]],0)</f>
        <v>1</v>
      </c>
      <c r="CY21">
        <f>SUM((TBA_Matches_All[[#This Row],[AptsT]]+TBA_Matches_All[[#This Row],[TampT]]+TBA_Matches_All[[#This Row],[TspkrptsC]]+(TBA_Matches_All[[#This Row],[TtrapT]]*5)+TBA_Matches_All[[#This Row],[stageptsT]]))</f>
        <v>25.18181818181818</v>
      </c>
      <c r="CZ21" s="59">
        <f>IFERROR(SUM(TBA_Matches_All[[#This Row],[TotptsC]]/TBA_Matches_All[[#This Row],[Score]]),0)</f>
        <v>0.45785123966942143</v>
      </c>
      <c r="DA2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17.228658008658009</v>
      </c>
      <c r="DB21" s="74">
        <f>SUMIFS(TBA_Matches_All[AveTeamTNoteDels],TBA_Matches_All[Match_Number],TBA_Matches_All[[#This Row],[Match_Number]],TBA_Matches_All[Alliance],"&lt;&gt;"&amp;TBA_Matches_All[[#This Row],[Alliance]],TBA_Matches_All[Scouted],"&gt;0")</f>
        <v>27.275000000000002</v>
      </c>
      <c r="DC21" s="74">
        <f>(TBA_Matches_All[[#This Row],[TampT]]+TBA_Matches_All[[#This Row],[TspkrptsC]])-TBA_Matches_All[[#This Row],[AveTeamTNoteDels]]</f>
        <v>-2.0468398268398271</v>
      </c>
      <c r="DD21" s="74">
        <f>SUMIFS(TBA_Matches_All[AveTeamTNoteDels],TBA_Matches_All[Match_Number],TBA_Matches_All[[#This Row],[Match_Number]],TBA_Matches_All[Alliance],"&lt;&gt;"&amp;TBA_Matches_All[[#This Row],[Alliance]])-TBA_Matches_All[[#This Row],[AveOppTNoteDels]]</f>
        <v>0</v>
      </c>
    </row>
    <row r="22" spans="1:108" x14ac:dyDescent="0.3">
      <c r="A22" t="s">
        <v>1042</v>
      </c>
      <c r="B22" t="s">
        <v>489</v>
      </c>
      <c r="C22" t="s">
        <v>1293</v>
      </c>
      <c r="D22">
        <v>4</v>
      </c>
      <c r="E22" t="s">
        <v>1406</v>
      </c>
      <c r="F22" t="s">
        <v>1424</v>
      </c>
      <c r="G22" t="s">
        <v>1409</v>
      </c>
      <c r="H22" t="s">
        <v>360</v>
      </c>
      <c r="I22" t="b">
        <v>1</v>
      </c>
      <c r="J22">
        <v>91</v>
      </c>
      <c r="K22">
        <v>1</v>
      </c>
      <c r="L22">
        <v>1</v>
      </c>
      <c r="M22">
        <v>5</v>
      </c>
      <c r="N22">
        <v>0</v>
      </c>
      <c r="O22">
        <v>7</v>
      </c>
      <c r="P22">
        <v>35</v>
      </c>
      <c r="Q22">
        <v>37</v>
      </c>
      <c r="R22">
        <v>7</v>
      </c>
      <c r="S22">
        <v>5</v>
      </c>
      <c r="T22">
        <v>5</v>
      </c>
      <c r="U22">
        <v>25</v>
      </c>
      <c r="V22">
        <v>10</v>
      </c>
      <c r="W22">
        <v>10</v>
      </c>
      <c r="X22">
        <v>35</v>
      </c>
      <c r="Y22">
        <v>42</v>
      </c>
      <c r="Z22">
        <v>5</v>
      </c>
      <c r="AA22">
        <v>1</v>
      </c>
      <c r="AB22">
        <v>24</v>
      </c>
      <c r="AC22">
        <v>77</v>
      </c>
      <c r="AD22">
        <v>12</v>
      </c>
      <c r="AE22">
        <f>IFERROR(6/(COUNTIF(Dyno_EndMatch[Match],TBA_Matches_All[[#This Row],[Match_Number]])),0)</f>
        <v>1</v>
      </c>
      <c r="AF22">
        <f>COUNTIFS(Dyno_Data[Team],TBA_Matches_All[[#This Row],[Team]],Dyno_Data[Match],TBA_Matches_All[[#This Row],[Match_Number]],Dyno_Data[RecordType],"EndMatch",Dyno_Data[HPAmp],"Y")</f>
        <v>1</v>
      </c>
      <c r="AG22">
        <f>SUMIFS(Dyno_Data[Mics], Dyno_Data[Team],TBA_Matches_All[[#This Row],[Team]],Dyno_Data[Match],TBA_Matches_All[[#This Row],[Match_Number]],Dyno_Data[RecordType],"EndMatch",Dyno_Data[HPAmp],"Y")</f>
        <v>0</v>
      </c>
      <c r="AH22">
        <f>SUMIFS(Dyno_Data[Leave], Dyno_Data[Team],TBA_Matches_All[[#This Row],[Team]],Dyno_Data[Match],TBA_Matches_All[[#This Row],[Match_Number]],Dyno_Data[RecordType],"EndAuto")</f>
        <v>1</v>
      </c>
      <c r="AI22">
        <f>COUNTIFS(Dyno_Data[Team],TBA_Matches_All[[#This Row],[Team]],Dyno_Data[Match],TBA_Matches_All[[#This Row],[Match_Number]],Dyno_Data[RecordType],"Activities",Dyno_Data[DelDest],"Amp", Dyno_Data[DelMiss],"0", Dyno_Data[Mode],"Auto")</f>
        <v>0</v>
      </c>
      <c r="AJ22">
        <f>COUNTIFS(Dyno_Data[Team],TBA_Matches_All[[#This Row],[Team]],Dyno_Data[Match],TBA_Matches_All[[#This Row],[Match_Number]],Dyno_Data[RecordType],"Activities",Dyno_Data[DelDest],"Spkr", Dyno_Data[DelMiss],"0", Dyno_Data[Mode],"Auto")</f>
        <v>6</v>
      </c>
      <c r="AK22">
        <f>COUNTIFS(Dyno_Data[Team],TBA_Matches_All[[#This Row],[Team]],Dyno_Data[Match],TBA_Matches_All[[#This Row],[Match_Number]],Dyno_Data[RecordType],"Activities",Dyno_Data[DelDest],"Trap", Dyno_Data[DelMiss],"0", Dyno_Data[Mode],"Auto")</f>
        <v>0</v>
      </c>
      <c r="AL22">
        <f>COUNTIFS(Dyno_Data[Team],TBA_Matches_All[[#This Row],[Team]],Dyno_Data[Match],TBA_Matches_All[[#This Row],[Match_Number]],Dyno_Data[RecordType],"Activities",Dyno_Data[DelDest],"Amp", Dyno_Data[DelMiss],"0", Dyno_Data[Mode],"Teleop")</f>
        <v>1</v>
      </c>
      <c r="AM22">
        <f>COUNTIFS(Dyno_Data[Team],TBA_Matches_All[[#This Row],[Team]],Dyno_Data[Match],TBA_Matches_All[[#This Row],[Match_Number]],Dyno_Data[RecordType],"Activities",Dyno_Data[DelDest],"Spkr", Dyno_Data[DelMiss],"0", Dyno_Data[Mode],"Teleop")</f>
        <v>6</v>
      </c>
      <c r="AN22">
        <f>COUNTIFS(Dyno_Data[Team],TBA_Matches_All[[#This Row],[Team]],Dyno_Data[Match],TBA_Matches_All[[#This Row],[Match_Number]],Dyno_Data[RecordType],"Activities",Dyno_Data[DelDest],"Trap", Dyno_Data[DelMiss],"0", Dyno_Data[Mode],"&lt;&gt;Auto")</f>
        <v>1</v>
      </c>
      <c r="AO22">
        <f>SUM(TBA_Matches_All[[#This Row],[AampT]]+TBA_Matches_All[[#This Row],[AspkrT]]+TBA_Matches_All[[#This Row],[AtrapT]]+TBA_Matches_All[[#This Row],[TampT]]+TBA_Matches_All[[#This Row],[TspkrT]]+TBA_Matches_All[[#This Row],[TtrapT]])</f>
        <v>14</v>
      </c>
      <c r="AP22">
        <f>COUNTIFS(Dyno_Data[Team],TBA_Matches_All[[#This Row],[Team]],Dyno_Data[Match],TBA_Matches_All[[#This Row],[Match_Number]],Dyno_Data[RecordType],"Activities",Dyno_Data[DelDest],"Neut", Dyno_Data[DelMiss],"0")</f>
        <v>0</v>
      </c>
      <c r="AQ22">
        <f>COUNTIFS(Dyno_Data[Team],TBA_Matches_All[[#This Row],[Team]],Dyno_Data[Match],TBA_Matches_All[[#This Row],[Match_Number]],Dyno_Data[RecordType],"Activities",Dyno_Data[DelDest],"AllyW", Dyno_Data[DelMiss],"0")</f>
        <v>4</v>
      </c>
      <c r="AR22" t="str">
        <f>_xlfn.XLOOKUP(SUM(MID(TBA_Matches_All[[#This Row],[Team]],4,5),(TBA_Matches_All[[#This Row],[Match_Number]]/100)),Dyno_EndMatch[teammat],Dyno_EndMatch[RobotSta],"_",0,1)</f>
        <v>SubW</v>
      </c>
      <c r="AS22">
        <f>SUMIFS(Dyno_Data[AcqDis], Dyno_Data[Team],TBA_Matches_All[[#This Row],[Team]],Dyno_Data[Match],TBA_Matches_All[[#This Row],[Match_Number]],Dyno_Data[RecordType],"Activities", Dyno_Data[AcqCenter],1,Dyno_Data[Mode],"Auto")</f>
        <v>0</v>
      </c>
      <c r="AT22">
        <f>SUMIFS(Dyno_Data[AcqDis], Dyno_Data[Team],TBA_Matches_All[[#This Row],[Team]],Dyno_Data[Match],TBA_Matches_All[[#This Row],[Match_Number]],Dyno_Data[RecordType],"Activities", Dyno_Data[AcqCenter],2,Dyno_Data[Mode],"Auto")</f>
        <v>0</v>
      </c>
      <c r="AU22">
        <f>SUMIFS(Dyno_Data[AcqDis], Dyno_Data[Team],TBA_Matches_All[[#This Row],[Team]],Dyno_Data[Match],TBA_Matches_All[[#This Row],[Match_Number]],Dyno_Data[RecordType],"Activities", Dyno_Data[AcqCenter],3,Dyno_Data[Mode],"Auto")</f>
        <v>1</v>
      </c>
      <c r="AV22">
        <f>SUMIFS(Dyno_Data[AcqDis], Dyno_Data[Team],TBA_Matches_All[[#This Row],[Team]],Dyno_Data[Match],TBA_Matches_All[[#This Row],[Match_Number]],Dyno_Data[RecordType],"Activities", Dyno_Data[AcqCenter],4,Dyno_Data[Mode],"Auto")</f>
        <v>0</v>
      </c>
      <c r="AW22">
        <f>SUMIFS(Dyno_Data[AcqDis], Dyno_Data[Team],TBA_Matches_All[[#This Row],[Team]],Dyno_Data[Match],TBA_Matches_All[[#This Row],[Match_Number]],Dyno_Data[RecordType],"Activities", Dyno_Data[AcqCenter],5,Dyno_Data[Mode],"Auto")</f>
        <v>1</v>
      </c>
      <c r="AX22">
        <f>SUMIFS(Dyno_Data[DelMiss], Dyno_Data[Team],TBA_Matches_All[[#This Row],[Team]],Dyno_Data[Match],TBA_Matches_All[[#This Row],[Match_Number]],Dyno_Data[RecordType],"Activities", Dyno_Data[DelDest],"Amp")</f>
        <v>0</v>
      </c>
      <c r="AY22" s="60">
        <f>IFERROR(SUM((TBA_Matches_All[[#This Row],[AampT]]+TBA_Matches_All[[#This Row],[TampT]])/(TBA_Matches_All[[#This Row],[AampT]]+TBA_Matches_All[[#This Row],[TampT]]+TBA_Matches_All[[#This Row],[ampM]])),0)</f>
        <v>1</v>
      </c>
      <c r="AZ22">
        <f>SUMIFS(Dyno_Data[DelMiss], Dyno_Data[Team],TBA_Matches_All[[#This Row],[Team]],Dyno_Data[Match],TBA_Matches_All[[#This Row],[Match_Number]],Dyno_Data[RecordType],"Activities", Dyno_Data[DelDest],"Spkr")</f>
        <v>0</v>
      </c>
      <c r="BA22" s="60">
        <f>IFERROR(SUM((TBA_Matches_All[[#This Row],[AspkrT]]+TBA_Matches_All[[#This Row],[TspkrT]])/(TBA_Matches_All[[#This Row],[AspkrT]]+TBA_Matches_All[[#This Row],[TspkrT]]+TBA_Matches_All[[#This Row],[spkrM]])),0)</f>
        <v>1</v>
      </c>
      <c r="BB22">
        <f>SUMIFS(Dyno_Data[DelMiss], Dyno_Data[Team],TBA_Matches_All[[#This Row],[Team]],Dyno_Data[Match],TBA_Matches_All[[#This Row],[Match_Number]],Dyno_Data[RecordType],"Activities", Dyno_Data[DelDest],"Trap")</f>
        <v>0</v>
      </c>
      <c r="BC22" s="60">
        <f>IFERROR((TBA_Matches_All[[#This Row],[AtrapT]]+TBA_Matches_All[[#This Row],[TtrapT]])/(TBA_Matches_All[[#This Row],[AtrapT]]+TBA_Matches_All[[#This Row],[TtrapT]]+TBA_Matches_All[[#This Row],[trapM]]),0)</f>
        <v>1</v>
      </c>
      <c r="BD22">
        <f>COUNTIFS(Dyno_Data[Team],TBA_Matches_All[[#This Row],[Team]],Dyno_Data[Match],TBA_Matches_All[[#This Row],[Match_Number]],Dyno_Data[RecordType],"Activities",Dyno_Data[DelDest],"Neut", Dyno_Data[DelMiss],1)</f>
        <v>0</v>
      </c>
      <c r="BE22" s="60">
        <f>IFERROR(SUM((TBA_Matches_All[[#This Row],[NeutFlrT]])/(TBA_Matches_All[[#This Row],[NeutFlrT]]+TBA_Matches_All[[#This Row],[NZflM]])),0)</f>
        <v>0</v>
      </c>
      <c r="BF22">
        <f>COUNTIFS(Dyno_Data[Team],TBA_Matches_All[[#This Row],[Team]],Dyno_Data[Match],TBA_Matches_All[[#This Row],[Match_Number]],Dyno_Data[RecordType],"Activities",Dyno_Data[DelDest],"AllyW", Dyno_Data[DelMiss],1)</f>
        <v>0</v>
      </c>
      <c r="BG22" s="60">
        <f>IFERROR(SUM((TBA_Matches_All[[#This Row],[AllyWFlrT]])/(TBA_Matches_All[[#This Row],[AllyWFlrT]]+TBA_Matches_All[[#This Row],[AZflM]])),0)</f>
        <v>1</v>
      </c>
      <c r="BH22">
        <f>COUNTIFS(Dyno_Data[Team],TBA_Matches_All[[#This Row],[Team]],Dyno_Data[Match],TBA_Matches_All[[#This Row],[Match_Number]],Dyno_Data[RecordType],"Activities",Dyno_Data[DelOrig],"OppW", Dyno_Data[DelMiss],"0")</f>
        <v>0</v>
      </c>
      <c r="BI22">
        <f>COUNTIFS(Dyno_Data[Team],TBA_Matches_All[[#This Row],[Team]],Dyno_Data[Match],TBA_Matches_All[[#This Row],[Match_Number]],Dyno_Data[RecordType],"Activities",Dyno_Data[DelOrig],"OppW", Dyno_Data[DelMiss],"1")</f>
        <v>0</v>
      </c>
      <c r="BJ22" s="60">
        <f>IFERROR(SUM((TBA_Matches_All[[#This Row],[OZflrT]])/(TBA_Matches_All[[#This Row],[OZflrT]]+TBA_Matches_All[[#This Row],[OZflrM]])),0)</f>
        <v>0</v>
      </c>
      <c r="BK22">
        <f>COUNTIFS(Dyno_Data[Team],TBA_Matches_All[[#This Row],[Team]],Dyno_Data[Match],TBA_Matches_All[[#This Row],[Match_Number]],Dyno_Data[RecordType],"Activities",Dyno_Data[DelOrig],"Neut", Dyno_Data[DelMiss],"0")</f>
        <v>2</v>
      </c>
      <c r="BL22">
        <f>COUNTIFS(Dyno_Data[Team],TBA_Matches_All[[#This Row],[Team]],Dyno_Data[Match],TBA_Matches_All[[#This Row],[Match_Number]],Dyno_Data[RecordType],"Activities",Dyno_Data[DelOrig],"Neut", Dyno_Data[DelMiss],"1")</f>
        <v>0</v>
      </c>
      <c r="BM22" s="60">
        <f>IFERROR(SUM((TBA_Matches_All[[#This Row],[NZflrT]])/(TBA_Matches_All[[#This Row],[NZflrT]]+TBA_Matches_All[[#This Row],[NZflrM]])),0)</f>
        <v>1</v>
      </c>
      <c r="BN22">
        <f>COUNTIFS(Dyno_Data[Team],TBA_Matches_All[[#This Row],[Team]],Dyno_Data[Match],TBA_Matches_All[[#This Row],[Match_Number]],Dyno_Data[RecordType],"Activities",Dyno_Data[DelOrig],"AllyW", Dyno_Data[DelMiss],"0")</f>
        <v>13</v>
      </c>
      <c r="BO22">
        <f>COUNTIFS(Dyno_Data[Team],TBA_Matches_All[[#This Row],[Team]],Dyno_Data[Match],TBA_Matches_All[[#This Row],[Match_Number]],Dyno_Data[RecordType],"Activities",Dyno_Data[DelOrig],"AllyW", Dyno_Data[DelMiss],"1")</f>
        <v>0</v>
      </c>
      <c r="BP22" s="60">
        <f>IFERROR(SUM((TBA_Matches_All[[#This Row],[AZflrT]])/(TBA_Matches_All[[#This Row],[AZflrT]]+TBA_Matches_All[[#This Row],[AZflrM]])),0)</f>
        <v>1</v>
      </c>
      <c r="BQ22">
        <f>COUNTIFS(Dyno_Data[Team],TBA_Matches_All[[#This Row],[Team]],Dyno_Data[Match],TBA_Matches_All[[#This Row],[Match_Number]],Dyno_Data[RecordType],"Activities",Dyno_Data[DelOrig],"SubW", Dyno_Data[DelMiss],"0")</f>
        <v>2</v>
      </c>
      <c r="BR22">
        <f>COUNTIFS(Dyno_Data[Team],TBA_Matches_All[[#This Row],[Team]],Dyno_Data[Match],TBA_Matches_All[[#This Row],[Match_Number]],Dyno_Data[RecordType],"Activities",Dyno_Data[DelOrig],"SubW", Dyno_Data[DelMiss],"1")</f>
        <v>0</v>
      </c>
      <c r="BS22" s="60">
        <f>IFERROR(SUM((TBA_Matches_All[[#This Row],[SubwT]])/(TBA_Matches_All[[#This Row],[SubwT]]+TBA_Matches_All[[#This Row],[SubwM]])),0)</f>
        <v>1</v>
      </c>
      <c r="BT22">
        <f>COUNTIFS(Dyno_Data[Team],TBA_Matches_All[[#This Row],[Team]],Dyno_Data[Match],TBA_Matches_All[[#This Row],[Match_Number]],Dyno_Data[RecordType],"Activities", Dyno_Data[AcqLoc],"OppWing")</f>
        <v>0</v>
      </c>
      <c r="BU22">
        <f>COUNTIFS(Dyno_Data[Team],TBA_Matches_All[[#This Row],[Team]],Dyno_Data[Match],TBA_Matches_All[[#This Row],[Match_Number]],Dyno_Data[RecordType],"Activities", Dyno_Data[AcqLoc],"Neutral")</f>
        <v>4</v>
      </c>
      <c r="BV22">
        <f>COUNTIFS(Dyno_Data[Team],TBA_Matches_All[[#This Row],[Team]],Dyno_Data[Match],TBA_Matches_All[[#This Row],[Match_Number]],Dyno_Data[RecordType],"Activities", Dyno_Data[AcqLoc],"AllyWing")</f>
        <v>0</v>
      </c>
      <c r="BW22">
        <f>COUNTIFS(Dyno_Data[Team],TBA_Matches_All[[#This Row],[Team]],Dyno_Data[Match],TBA_Matches_All[[#This Row],[Match_Number]],Dyno_Data[RecordType],"Activities", Dyno_Data[AcqLoc],"Source")</f>
        <v>0</v>
      </c>
      <c r="BX22">
        <f>SUMIFS(Dyno_Data[AcqDrp], Dyno_Data[Team],TBA_Matches_All[[#This Row],[Team]],Dyno_Data[Match],TBA_Matches_All[[#This Row],[Match_Number]],Dyno_Data[RecordType],"Activities", Dyno_Data[AcqLoc],"Source")</f>
        <v>0</v>
      </c>
      <c r="BY22">
        <f>SUMIFS(Dyno_Data[OZTime], Dyno_Data[Team],TBA_Matches_All[[#This Row],[Team]],Dyno_Data[Match],TBA_Matches_All[[#This Row],[Match_Number]],Dyno_Data[RecordType],"EndMatch")</f>
        <v>38.919807399999996</v>
      </c>
      <c r="BZ22">
        <f>SUMIFS(Dyno_Data[NZTime], Dyno_Data[Team],TBA_Matches_All[[#This Row],[Team]],Dyno_Data[Match],TBA_Matches_All[[#This Row],[Match_Number]],Dyno_Data[RecordType],"EndMatch")</f>
        <v>28.998249599999998</v>
      </c>
      <c r="CA22">
        <f>SUMIFS(Dyno_Data[AZTime], Dyno_Data[Team],TBA_Matches_All[[#This Row],[Team]],Dyno_Data[Match],TBA_Matches_All[[#This Row],[Match_Number]],Dyno_Data[RecordType],"EndMatch")</f>
        <v>33.237506799999998</v>
      </c>
      <c r="CB22">
        <f>SUMIFS(Dyno_Data[ClimbT], Dyno_Data[Team],TBA_Matches_All[[#This Row],[Team]],Dyno_Data[Match],TBA_Matches_All[[#This Row],[Match_Number]],Dyno_Data[RecordType],"EndMatch")</f>
        <v>7.0168685999999996</v>
      </c>
      <c r="CC22" t="str">
        <f>_xlfn.XLOOKUP(SUM(MID(TBA_Matches_All[[#This Row],[Team]],4,5),(TBA_Matches_All[[#This Row],[Match_Number]]/100)),Dyno_EndMatch[teammat],Dyno_EndMatch[StageStat],"_",0,1)</f>
        <v>On</v>
      </c>
      <c r="CD22" t="str">
        <f>_xlfn.XLOOKUP(TBA_Matches_All[[#This Row],[teammat]],Dyno_EndMatch[teammat],Dyno_EndMatch[StageAtt],"_",0,1)</f>
        <v>1</v>
      </c>
      <c r="CE22" t="str">
        <f>_xlfn.XLOOKUP(TBA_Matches_All[[#This Row],[teammat]],Dyno_EndMatch[teammat],Dyno_EndMatch[StageLoc],"_",0,1)</f>
        <v>L</v>
      </c>
      <c r="CF22">
        <f>SUMIFS(Dyno_Data[Harmony], Dyno_Data[Team],TBA_Matches_All[[#This Row],[Team]],Dyno_Data[Match],TBA_Matches_All[[#This Row],[Match_Number]],Dyno_Data[RecordType],"EndMatch", Dyno_Data[StageStat],"On",Dyno_Data[Harmony],"&lt;&gt;9")</f>
        <v>0</v>
      </c>
      <c r="CG22">
        <f>SUMIFS(Dyno_Data[Spotlit], Dyno_Data[Team],TBA_Matches_All[[#This Row],[Team]],Dyno_Data[Match],TBA_Matches_All[[#This Row],[Match_Number]],Dyno_Data[RecordType],"EndMatch", Dyno_Data[StageStat],"On",Dyno_Data[Spotlit],"&lt;&gt;9")</f>
        <v>0</v>
      </c>
      <c r="CH22" t="str">
        <f>_xlfn.XLOOKUP(TBA_Matches_All[[#This Row],[teammat]],Dyno_EndMatch[teammat],Dyno_EndMatch[Strategy],"_",0,1)</f>
        <v>Hybrid</v>
      </c>
      <c r="CI22">
        <f>SUMIFS(Dyno_Data[Defense], Dyno_Data[Team],TBA_Matches_All[[#This Row],[Team]],Dyno_Data[Match],TBA_Matches_All[[#This Row],[Match_Number]],Dyno_Data[RecordType],"EndMatch",Dyno_Data[Defense],"&lt;&gt;9")</f>
        <v>0</v>
      </c>
      <c r="CJ22">
        <f>SUMIFS(Dyno_Data[Avoidance], Dyno_Data[Team],TBA_Matches_All[[#This Row],[Team]],Dyno_Data[Match],TBA_Matches_All[[#This Row],[Match_Number]],Dyno_Data[RecordType],"EndMatch",Dyno_Data[Avoidance],"&lt;&gt;9")</f>
        <v>1</v>
      </c>
      <c r="CK22" s="82">
        <f>COUNTIF($H$2:TBA_Matches_All[[#This Row],[Team]],TBA_Matches_All[[#This Row],[Team]])</f>
        <v>1</v>
      </c>
      <c r="CL22" s="111">
        <f>SUM(MID(TBA_Matches_All[[#This Row],[Team]],4,5)+TBA_Matches_All[[#This Row],[Match_Number]]/100)</f>
        <v>1796.04</v>
      </c>
      <c r="CM22">
        <f>SUM((TBA_Matches_All[[#This Row],[Leave]]*2)+(TBA_Matches_All[[#This Row],[AampT]]*2)+(TBA_Matches_All[[#This Row],[AspkrT]]*5)+(TBA_Matches_All[[#This Row],[AtrapT]]*5))</f>
        <v>32</v>
      </c>
      <c r="CN22" s="59">
        <f>IFERROR(SUM(TBA_Matches_All[[#This Row],[AptsT]]/TBA_Matches_All[[#This Row],[AutoPts]]),0)</f>
        <v>0.86486486486486491</v>
      </c>
      <c r="CO22" s="59">
        <f>IFERROR(SUM(TBA_Matches_All[[#This Row],[AampT]]+TBA_Matches_All[[#This Row],[AspkrT]]+TBA_Matches_All[[#This Row],[AtrapT]]/TBA_Matches_All[[#This Row],[Aamp]]+TBA_Matches_All[[#This Row],[Aspkr]]+TBA_Matches_All[[#This Row],[AtrapT]]),0)</f>
        <v>0</v>
      </c>
      <c r="CP22" s="59">
        <f>IFERROR(SUM(TBA_Matches_All[[#This Row],[TampT]]/TBA_Matches_All[[#This Row],[Tamp]]),0)</f>
        <v>0.14285714285714285</v>
      </c>
      <c r="CQ22" s="59">
        <f>IFERROR(SUM(TBA_Matches_All[[#This Row],[TspkrT]]/TBA_Matches_All[[#This Row],[Tspkr]]),0)</f>
        <v>0.6</v>
      </c>
      <c r="CR22">
        <f>SUM(TBA_Matches_All[[#This Row],[TspkrPts]]*TBA_Matches_All[[#This Row],[TspkrP]])</f>
        <v>21</v>
      </c>
      <c r="CS22" s="59">
        <f>IFERROR(SUM(TBA_Matches_All[[#This Row],[TtrapT]]/TBA_Matches_All[[#This Row],[Trap]]),0)</f>
        <v>1</v>
      </c>
      <c r="CT22" s="59">
        <f>IFERROR(SUM(TBA_Matches_All[[#This Row],[TotNotesT]]/TBA_Matches_All[[#This Row],[TotNotes]]),0)</f>
        <v>0.58333333333333337</v>
      </c>
      <c r="CU22" s="66">
        <f>SUM((TBA_Matches_All[[#This Row],[AampT]]*2)+(TBA_Matches_All[[#This Row],[AspkrT]]*5)+(TBA_Matches_All[[#This Row],[AtrapT]]*5)+(TBA_Matches_All[[#This Row],[TampT]]*1)+(TBA_Matches_All[[#This Row],[TspkrptsC]]))</f>
        <v>52</v>
      </c>
      <c r="CV22" s="59">
        <f>IFERROR(TBA_Matches_All[[#This Row],[noteptsT]]/TBA_Matches_All[[#This Row],[NotePts]],0)</f>
        <v>0.67532467532467533</v>
      </c>
      <c r="CW22">
        <f>SUM(IF(TBA_Matches_All[[#This Row],[stageStat]]="On",3,0),IF(TBA_Matches_All[[#This Row],[stageStat]]="Park",1,0),SUMIFS(TBA_Matches_All[[#This Row],[Spotlit]],TBA_Matches_All[[#This Row],[stageStat]],"On"),SUMIFS(TBA_Matches_All[[#This Row],[Harmony]],TBA_Matches_All[[#This Row],[stageStat]],"On"))</f>
        <v>3</v>
      </c>
      <c r="CX22" s="59">
        <f>IFERROR(TBA_Matches_All[[#This Row],[stageptsT]]/TBA_Matches_All[[#This Row],[StagePts]],0)</f>
        <v>0.25</v>
      </c>
      <c r="CY22">
        <f>SUM((TBA_Matches_All[[#This Row],[AptsT]]+TBA_Matches_All[[#This Row],[TampT]]+TBA_Matches_All[[#This Row],[TspkrptsC]]+(TBA_Matches_All[[#This Row],[TtrapT]]*5)+TBA_Matches_All[[#This Row],[stageptsT]]))</f>
        <v>62</v>
      </c>
      <c r="CZ22" s="59">
        <f>IFERROR(SUM(TBA_Matches_All[[#This Row],[TotptsC]]/TBA_Matches_All[[#This Row],[Score]]),0)</f>
        <v>0.68131868131868134</v>
      </c>
      <c r="DA2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12.8125</v>
      </c>
      <c r="DB22" s="74">
        <f>SUMIFS(TBA_Matches_All[AveTeamTNoteDels],TBA_Matches_All[Match_Number],TBA_Matches_All[[#This Row],[Match_Number]],TBA_Matches_All[Alliance],"&lt;&gt;"&amp;TBA_Matches_All[[#This Row],[Alliance]],TBA_Matches_All[Scouted],"&gt;0")</f>
        <v>31.709427239427239</v>
      </c>
      <c r="DC22" s="74">
        <f>(TBA_Matches_All[[#This Row],[TampT]]+TBA_Matches_All[[#This Row],[TspkrptsC]])-TBA_Matches_All[[#This Row],[AveTeamTNoteDels]]</f>
        <v>9.1875</v>
      </c>
      <c r="DD22" s="74">
        <f>SUMIFS(TBA_Matches_All[AveTeamTNoteDels],TBA_Matches_All[Match_Number],TBA_Matches_All[[#This Row],[Match_Number]],TBA_Matches_All[Alliance],"&lt;&gt;"&amp;TBA_Matches_All[[#This Row],[Alliance]])-TBA_Matches_All[[#This Row],[AveOppTNoteDels]]</f>
        <v>0</v>
      </c>
    </row>
    <row r="23" spans="1:108" x14ac:dyDescent="0.3">
      <c r="A23" t="s">
        <v>1042</v>
      </c>
      <c r="B23" t="s">
        <v>489</v>
      </c>
      <c r="C23" t="s">
        <v>1293</v>
      </c>
      <c r="D23">
        <v>4</v>
      </c>
      <c r="E23" t="s">
        <v>1420</v>
      </c>
      <c r="F23" t="s">
        <v>1421</v>
      </c>
      <c r="G23" t="s">
        <v>164</v>
      </c>
      <c r="H23" t="s">
        <v>1296</v>
      </c>
      <c r="I23" t="b">
        <v>1</v>
      </c>
      <c r="J23">
        <v>55</v>
      </c>
      <c r="K23">
        <v>1</v>
      </c>
      <c r="L23">
        <v>0</v>
      </c>
      <c r="M23">
        <v>0</v>
      </c>
      <c r="N23">
        <v>0</v>
      </c>
      <c r="O23">
        <v>2</v>
      </c>
      <c r="P23">
        <v>10</v>
      </c>
      <c r="Q23">
        <v>14</v>
      </c>
      <c r="R23">
        <v>5</v>
      </c>
      <c r="S23">
        <v>2</v>
      </c>
      <c r="T23">
        <v>9</v>
      </c>
      <c r="U23">
        <v>10</v>
      </c>
      <c r="V23">
        <v>18</v>
      </c>
      <c r="W23">
        <v>11</v>
      </c>
      <c r="X23">
        <v>28</v>
      </c>
      <c r="Y23">
        <v>33</v>
      </c>
      <c r="Z23">
        <v>0</v>
      </c>
      <c r="AA23">
        <v>0</v>
      </c>
      <c r="AB23">
        <v>18</v>
      </c>
      <c r="AC23">
        <v>43</v>
      </c>
      <c r="AD23">
        <v>3</v>
      </c>
      <c r="AE23">
        <f>IFERROR(6/(COUNTIF(Dyno_EndMatch[Match],TBA_Matches_All[[#This Row],[Match_Number]])),0)</f>
        <v>1</v>
      </c>
      <c r="AF23">
        <f>COUNTIFS(Dyno_Data[Team],TBA_Matches_All[[#This Row],[Team]],Dyno_Data[Match],TBA_Matches_All[[#This Row],[Match_Number]],Dyno_Data[RecordType],"EndMatch",Dyno_Data[HPAmp],"Y")</f>
        <v>1</v>
      </c>
      <c r="AG23">
        <f>SUMIFS(Dyno_Data[Mics], Dyno_Data[Team],TBA_Matches_All[[#This Row],[Team]],Dyno_Data[Match],TBA_Matches_All[[#This Row],[Match_Number]],Dyno_Data[RecordType],"EndMatch",Dyno_Data[HPAmp],"Y")</f>
        <v>0</v>
      </c>
      <c r="AH23">
        <f>SUMIFS(Dyno_Data[Leave], Dyno_Data[Team],TBA_Matches_All[[#This Row],[Team]],Dyno_Data[Match],TBA_Matches_All[[#This Row],[Match_Number]],Dyno_Data[RecordType],"EndAuto")</f>
        <v>0</v>
      </c>
      <c r="AI23">
        <f>COUNTIFS(Dyno_Data[Team],TBA_Matches_All[[#This Row],[Team]],Dyno_Data[Match],TBA_Matches_All[[#This Row],[Match_Number]],Dyno_Data[RecordType],"Activities",Dyno_Data[DelDest],"Amp", Dyno_Data[DelMiss],"0", Dyno_Data[Mode],"Auto")</f>
        <v>0</v>
      </c>
      <c r="AJ23">
        <f>COUNTIFS(Dyno_Data[Team],TBA_Matches_All[[#This Row],[Team]],Dyno_Data[Match],TBA_Matches_All[[#This Row],[Match_Number]],Dyno_Data[RecordType],"Activities",Dyno_Data[DelDest],"Spkr", Dyno_Data[DelMiss],"0", Dyno_Data[Mode],"Auto")</f>
        <v>1</v>
      </c>
      <c r="AK23">
        <f>COUNTIFS(Dyno_Data[Team],TBA_Matches_All[[#This Row],[Team]],Dyno_Data[Match],TBA_Matches_All[[#This Row],[Match_Number]],Dyno_Data[RecordType],"Activities",Dyno_Data[DelDest],"Trap", Dyno_Data[DelMiss],"0", Dyno_Data[Mode],"Auto")</f>
        <v>0</v>
      </c>
      <c r="AL23">
        <f>COUNTIFS(Dyno_Data[Team],TBA_Matches_All[[#This Row],[Team]],Dyno_Data[Match],TBA_Matches_All[[#This Row],[Match_Number]],Dyno_Data[RecordType],"Activities",Dyno_Data[DelDest],"Amp", Dyno_Data[DelMiss],"0", Dyno_Data[Mode],"Teleop")</f>
        <v>0</v>
      </c>
      <c r="AM23">
        <f>COUNTIFS(Dyno_Data[Team],TBA_Matches_All[[#This Row],[Team]],Dyno_Data[Match],TBA_Matches_All[[#This Row],[Match_Number]],Dyno_Data[RecordType],"Activities",Dyno_Data[DelDest],"Spkr", Dyno_Data[DelMiss],"0", Dyno_Data[Mode],"Teleop")</f>
        <v>4</v>
      </c>
      <c r="AN23">
        <f>COUNTIFS(Dyno_Data[Team],TBA_Matches_All[[#This Row],[Team]],Dyno_Data[Match],TBA_Matches_All[[#This Row],[Match_Number]],Dyno_Data[RecordType],"Activities",Dyno_Data[DelDest],"Trap", Dyno_Data[DelMiss],"0", Dyno_Data[Mode],"&lt;&gt;Auto")</f>
        <v>0</v>
      </c>
      <c r="AO23">
        <f>SUM(TBA_Matches_All[[#This Row],[AampT]]+TBA_Matches_All[[#This Row],[AspkrT]]+TBA_Matches_All[[#This Row],[AtrapT]]+TBA_Matches_All[[#This Row],[TampT]]+TBA_Matches_All[[#This Row],[TspkrT]]+TBA_Matches_All[[#This Row],[TtrapT]])</f>
        <v>5</v>
      </c>
      <c r="AP23">
        <f>COUNTIFS(Dyno_Data[Team],TBA_Matches_All[[#This Row],[Team]],Dyno_Data[Match],TBA_Matches_All[[#This Row],[Match_Number]],Dyno_Data[RecordType],"Activities",Dyno_Data[DelDest],"Neut", Dyno_Data[DelMiss],"0")</f>
        <v>0</v>
      </c>
      <c r="AQ23">
        <f>COUNTIFS(Dyno_Data[Team],TBA_Matches_All[[#This Row],[Team]],Dyno_Data[Match],TBA_Matches_All[[#This Row],[Match_Number]],Dyno_Data[RecordType],"Activities",Dyno_Data[DelDest],"AllyW", Dyno_Data[DelMiss],"0")</f>
        <v>2</v>
      </c>
      <c r="AR23" t="str">
        <f>_xlfn.XLOOKUP(SUM(MID(TBA_Matches_All[[#This Row],[Team]],4,5),(TBA_Matches_All[[#This Row],[Match_Number]]/100)),Dyno_EndMatch[teammat],Dyno_EndMatch[RobotSta],"_",0,1)</f>
        <v>SubW</v>
      </c>
      <c r="AS23">
        <f>SUMIFS(Dyno_Data[AcqDis], Dyno_Data[Team],TBA_Matches_All[[#This Row],[Team]],Dyno_Data[Match],TBA_Matches_All[[#This Row],[Match_Number]],Dyno_Data[RecordType],"Activities", Dyno_Data[AcqCenter],1,Dyno_Data[Mode],"Auto")</f>
        <v>0</v>
      </c>
      <c r="AT23">
        <f>SUMIFS(Dyno_Data[AcqDis], Dyno_Data[Team],TBA_Matches_All[[#This Row],[Team]],Dyno_Data[Match],TBA_Matches_All[[#This Row],[Match_Number]],Dyno_Data[RecordType],"Activities", Dyno_Data[AcqCenter],2,Dyno_Data[Mode],"Auto")</f>
        <v>0</v>
      </c>
      <c r="AU23">
        <f>SUMIFS(Dyno_Data[AcqDis], Dyno_Data[Team],TBA_Matches_All[[#This Row],[Team]],Dyno_Data[Match],TBA_Matches_All[[#This Row],[Match_Number]],Dyno_Data[RecordType],"Activities", Dyno_Data[AcqCenter],3,Dyno_Data[Mode],"Auto")</f>
        <v>0</v>
      </c>
      <c r="AV23">
        <f>SUMIFS(Dyno_Data[AcqDis], Dyno_Data[Team],TBA_Matches_All[[#This Row],[Team]],Dyno_Data[Match],TBA_Matches_All[[#This Row],[Match_Number]],Dyno_Data[RecordType],"Activities", Dyno_Data[AcqCenter],4,Dyno_Data[Mode],"Auto")</f>
        <v>0</v>
      </c>
      <c r="AW23">
        <f>SUMIFS(Dyno_Data[AcqDis], Dyno_Data[Team],TBA_Matches_All[[#This Row],[Team]],Dyno_Data[Match],TBA_Matches_All[[#This Row],[Match_Number]],Dyno_Data[RecordType],"Activities", Dyno_Data[AcqCenter],5,Dyno_Data[Mode],"Auto")</f>
        <v>0</v>
      </c>
      <c r="AX23">
        <f>SUMIFS(Dyno_Data[DelMiss], Dyno_Data[Team],TBA_Matches_All[[#This Row],[Team]],Dyno_Data[Match],TBA_Matches_All[[#This Row],[Match_Number]],Dyno_Data[RecordType],"Activities", Dyno_Data[DelDest],"Amp")</f>
        <v>0</v>
      </c>
      <c r="AY23" s="60">
        <f>IFERROR(SUM((TBA_Matches_All[[#This Row],[AampT]]+TBA_Matches_All[[#This Row],[TampT]])/(TBA_Matches_All[[#This Row],[AampT]]+TBA_Matches_All[[#This Row],[TampT]]+TBA_Matches_All[[#This Row],[ampM]])),0)</f>
        <v>0</v>
      </c>
      <c r="AZ23">
        <f>SUMIFS(Dyno_Data[DelMiss], Dyno_Data[Team],TBA_Matches_All[[#This Row],[Team]],Dyno_Data[Match],TBA_Matches_All[[#This Row],[Match_Number]],Dyno_Data[RecordType],"Activities", Dyno_Data[DelDest],"Spkr")</f>
        <v>2</v>
      </c>
      <c r="BA23" s="60">
        <f>IFERROR(SUM((TBA_Matches_All[[#This Row],[AspkrT]]+TBA_Matches_All[[#This Row],[TspkrT]])/(TBA_Matches_All[[#This Row],[AspkrT]]+TBA_Matches_All[[#This Row],[TspkrT]]+TBA_Matches_All[[#This Row],[spkrM]])),0)</f>
        <v>0.7142857142857143</v>
      </c>
      <c r="BB23">
        <f>SUMIFS(Dyno_Data[DelMiss], Dyno_Data[Team],TBA_Matches_All[[#This Row],[Team]],Dyno_Data[Match],TBA_Matches_All[[#This Row],[Match_Number]],Dyno_Data[RecordType],"Activities", Dyno_Data[DelDest],"Trap")</f>
        <v>0</v>
      </c>
      <c r="BC23" s="60">
        <f>IFERROR((TBA_Matches_All[[#This Row],[AtrapT]]+TBA_Matches_All[[#This Row],[TtrapT]])/(TBA_Matches_All[[#This Row],[AtrapT]]+TBA_Matches_All[[#This Row],[TtrapT]]+TBA_Matches_All[[#This Row],[trapM]]),0)</f>
        <v>0</v>
      </c>
      <c r="BD23">
        <f>COUNTIFS(Dyno_Data[Team],TBA_Matches_All[[#This Row],[Team]],Dyno_Data[Match],TBA_Matches_All[[#This Row],[Match_Number]],Dyno_Data[RecordType],"Activities",Dyno_Data[DelDest],"Neut", Dyno_Data[DelMiss],1)</f>
        <v>0</v>
      </c>
      <c r="BE23" s="60">
        <f>IFERROR(SUM((TBA_Matches_All[[#This Row],[NeutFlrT]])/(TBA_Matches_All[[#This Row],[NeutFlrT]]+TBA_Matches_All[[#This Row],[NZflM]])),0)</f>
        <v>0</v>
      </c>
      <c r="BF23">
        <f>COUNTIFS(Dyno_Data[Team],TBA_Matches_All[[#This Row],[Team]],Dyno_Data[Match],TBA_Matches_All[[#This Row],[Match_Number]],Dyno_Data[RecordType],"Activities",Dyno_Data[DelDest],"AllyW", Dyno_Data[DelMiss],1)</f>
        <v>0</v>
      </c>
      <c r="BG23" s="60">
        <f>IFERROR(SUM((TBA_Matches_All[[#This Row],[AllyWFlrT]])/(TBA_Matches_All[[#This Row],[AllyWFlrT]]+TBA_Matches_All[[#This Row],[AZflM]])),0)</f>
        <v>1</v>
      </c>
      <c r="BH23">
        <f>COUNTIFS(Dyno_Data[Team],TBA_Matches_All[[#This Row],[Team]],Dyno_Data[Match],TBA_Matches_All[[#This Row],[Match_Number]],Dyno_Data[RecordType],"Activities",Dyno_Data[DelOrig],"OppW", Dyno_Data[DelMiss],"0")</f>
        <v>0</v>
      </c>
      <c r="BI23">
        <f>COUNTIFS(Dyno_Data[Team],TBA_Matches_All[[#This Row],[Team]],Dyno_Data[Match],TBA_Matches_All[[#This Row],[Match_Number]],Dyno_Data[RecordType],"Activities",Dyno_Data[DelOrig],"OppW", Dyno_Data[DelMiss],"1")</f>
        <v>0</v>
      </c>
      <c r="BJ23" s="60">
        <f>IFERROR(SUM((TBA_Matches_All[[#This Row],[OZflrT]])/(TBA_Matches_All[[#This Row],[OZflrT]]+TBA_Matches_All[[#This Row],[OZflrM]])),0)</f>
        <v>0</v>
      </c>
      <c r="BK23">
        <f>COUNTIFS(Dyno_Data[Team],TBA_Matches_All[[#This Row],[Team]],Dyno_Data[Match],TBA_Matches_All[[#This Row],[Match_Number]],Dyno_Data[RecordType],"Activities",Dyno_Data[DelOrig],"Neut", Dyno_Data[DelMiss],"0")</f>
        <v>1</v>
      </c>
      <c r="BL23">
        <f>COUNTIFS(Dyno_Data[Team],TBA_Matches_All[[#This Row],[Team]],Dyno_Data[Match],TBA_Matches_All[[#This Row],[Match_Number]],Dyno_Data[RecordType],"Activities",Dyno_Data[DelOrig],"Neut", Dyno_Data[DelMiss],"1")</f>
        <v>0</v>
      </c>
      <c r="BM23" s="60">
        <f>IFERROR(SUM((TBA_Matches_All[[#This Row],[NZflrT]])/(TBA_Matches_All[[#This Row],[NZflrT]]+TBA_Matches_All[[#This Row],[NZflrM]])),0)</f>
        <v>1</v>
      </c>
      <c r="BN23">
        <f>COUNTIFS(Dyno_Data[Team],TBA_Matches_All[[#This Row],[Team]],Dyno_Data[Match],TBA_Matches_All[[#This Row],[Match_Number]],Dyno_Data[RecordType],"Activities",Dyno_Data[DelOrig],"AllyW", Dyno_Data[DelMiss],"0")</f>
        <v>5</v>
      </c>
      <c r="BO23">
        <f>COUNTIFS(Dyno_Data[Team],TBA_Matches_All[[#This Row],[Team]],Dyno_Data[Match],TBA_Matches_All[[#This Row],[Match_Number]],Dyno_Data[RecordType],"Activities",Dyno_Data[DelOrig],"AllyW", Dyno_Data[DelMiss],"1")</f>
        <v>2</v>
      </c>
      <c r="BP23" s="60">
        <f>IFERROR(SUM((TBA_Matches_All[[#This Row],[AZflrT]])/(TBA_Matches_All[[#This Row],[AZflrT]]+TBA_Matches_All[[#This Row],[AZflrM]])),0)</f>
        <v>0.7142857142857143</v>
      </c>
      <c r="BQ23">
        <f>COUNTIFS(Dyno_Data[Team],TBA_Matches_All[[#This Row],[Team]],Dyno_Data[Match],TBA_Matches_All[[#This Row],[Match_Number]],Dyno_Data[RecordType],"Activities",Dyno_Data[DelOrig],"SubW", Dyno_Data[DelMiss],"0")</f>
        <v>1</v>
      </c>
      <c r="BR23">
        <f>COUNTIFS(Dyno_Data[Team],TBA_Matches_All[[#This Row],[Team]],Dyno_Data[Match],TBA_Matches_All[[#This Row],[Match_Number]],Dyno_Data[RecordType],"Activities",Dyno_Data[DelOrig],"SubW", Dyno_Data[DelMiss],"1")</f>
        <v>0</v>
      </c>
      <c r="BS23" s="60">
        <f>IFERROR(SUM((TBA_Matches_All[[#This Row],[SubwT]])/(TBA_Matches_All[[#This Row],[SubwT]]+TBA_Matches_All[[#This Row],[SubwM]])),0)</f>
        <v>1</v>
      </c>
      <c r="BT23">
        <f>COUNTIFS(Dyno_Data[Team],TBA_Matches_All[[#This Row],[Team]],Dyno_Data[Match],TBA_Matches_All[[#This Row],[Match_Number]],Dyno_Data[RecordType],"Activities", Dyno_Data[AcqLoc],"OppWing")</f>
        <v>0</v>
      </c>
      <c r="BU23">
        <f>COUNTIFS(Dyno_Data[Team],TBA_Matches_All[[#This Row],[Team]],Dyno_Data[Match],TBA_Matches_All[[#This Row],[Match_Number]],Dyno_Data[RecordType],"Activities", Dyno_Data[AcqLoc],"Neutral")</f>
        <v>0</v>
      </c>
      <c r="BV23">
        <f>COUNTIFS(Dyno_Data[Team],TBA_Matches_All[[#This Row],[Team]],Dyno_Data[Match],TBA_Matches_All[[#This Row],[Match_Number]],Dyno_Data[RecordType],"Activities", Dyno_Data[AcqLoc],"AllyWing")</f>
        <v>0</v>
      </c>
      <c r="BW23">
        <f>COUNTIFS(Dyno_Data[Team],TBA_Matches_All[[#This Row],[Team]],Dyno_Data[Match],TBA_Matches_All[[#This Row],[Match_Number]],Dyno_Data[RecordType],"Activities", Dyno_Data[AcqLoc],"Source")</f>
        <v>0</v>
      </c>
      <c r="BX23">
        <f>SUMIFS(Dyno_Data[AcqDrp], Dyno_Data[Team],TBA_Matches_All[[#This Row],[Team]],Dyno_Data[Match],TBA_Matches_All[[#This Row],[Match_Number]],Dyno_Data[RecordType],"Activities", Dyno_Data[AcqLoc],"Source")</f>
        <v>0</v>
      </c>
      <c r="BY23">
        <f>SUMIFS(Dyno_Data[OZTime], Dyno_Data[Team],TBA_Matches_All[[#This Row],[Team]],Dyno_Data[Match],TBA_Matches_All[[#This Row],[Match_Number]],Dyno_Data[RecordType],"EndMatch")</f>
        <v>43.027684199999996</v>
      </c>
      <c r="BZ23">
        <f>SUMIFS(Dyno_Data[NZTime], Dyno_Data[Team],TBA_Matches_All[[#This Row],[Team]],Dyno_Data[Match],TBA_Matches_All[[#This Row],[Match_Number]],Dyno_Data[RecordType],"EndMatch")</f>
        <v>24.4024961</v>
      </c>
      <c r="CA23">
        <f>SUMIFS(Dyno_Data[AZTime], Dyno_Data[Team],TBA_Matches_All[[#This Row],[Team]],Dyno_Data[Match],TBA_Matches_All[[#This Row],[Match_Number]],Dyno_Data[RecordType],"EndMatch")</f>
        <v>66.670164299999996</v>
      </c>
      <c r="CB23">
        <f>SUMIFS(Dyno_Data[ClimbT], Dyno_Data[Team],TBA_Matches_All[[#This Row],[Team]],Dyno_Data[Match],TBA_Matches_All[[#This Row],[Match_Number]],Dyno_Data[RecordType],"EndMatch")</f>
        <v>0</v>
      </c>
      <c r="CC23" t="str">
        <f>_xlfn.XLOOKUP(SUM(MID(TBA_Matches_All[[#This Row],[Team]],4,5),(TBA_Matches_All[[#This Row],[Match_Number]]/100)),Dyno_EndMatch[teammat],Dyno_EndMatch[StageStat],"_",0,1)</f>
        <v>Else</v>
      </c>
      <c r="CD23" t="str">
        <f>_xlfn.XLOOKUP(TBA_Matches_All[[#This Row],[teammat]],Dyno_EndMatch[teammat],Dyno_EndMatch[StageAtt],"_",0,1)</f>
        <v>0</v>
      </c>
      <c r="CE23" t="str">
        <f>_xlfn.XLOOKUP(TBA_Matches_All[[#This Row],[teammat]],Dyno_EndMatch[teammat],Dyno_EndMatch[StageLoc],"_",0,1)</f>
        <v>A</v>
      </c>
      <c r="CF23">
        <f>SUMIFS(Dyno_Data[Harmony], Dyno_Data[Team],TBA_Matches_All[[#This Row],[Team]],Dyno_Data[Match],TBA_Matches_All[[#This Row],[Match_Number]],Dyno_Data[RecordType],"EndMatch", Dyno_Data[StageStat],"On",Dyno_Data[Harmony],"&lt;&gt;9")</f>
        <v>0</v>
      </c>
      <c r="CG23">
        <f>SUMIFS(Dyno_Data[Spotlit], Dyno_Data[Team],TBA_Matches_All[[#This Row],[Team]],Dyno_Data[Match],TBA_Matches_All[[#This Row],[Match_Number]],Dyno_Data[RecordType],"EndMatch", Dyno_Data[StageStat],"On",Dyno_Data[Spotlit],"&lt;&gt;9")</f>
        <v>0</v>
      </c>
      <c r="CH23" t="str">
        <f>_xlfn.XLOOKUP(TBA_Matches_All[[#This Row],[teammat]],Dyno_EndMatch[teammat],Dyno_EndMatch[Strategy],"_",0,1)</f>
        <v>Hybrid</v>
      </c>
      <c r="CI23">
        <f>SUMIFS(Dyno_Data[Defense], Dyno_Data[Team],TBA_Matches_All[[#This Row],[Team]],Dyno_Data[Match],TBA_Matches_All[[#This Row],[Match_Number]],Dyno_Data[RecordType],"EndMatch",Dyno_Data[Defense],"&lt;&gt;9")</f>
        <v>0</v>
      </c>
      <c r="CJ23">
        <f>SUMIFS(Dyno_Data[Avoidance], Dyno_Data[Team],TBA_Matches_All[[#This Row],[Team]],Dyno_Data[Match],TBA_Matches_All[[#This Row],[Match_Number]],Dyno_Data[RecordType],"EndMatch",Dyno_Data[Avoidance],"&lt;&gt;9")</f>
        <v>0</v>
      </c>
      <c r="CK23" s="82">
        <f>COUNTIF($H$2:TBA_Matches_All[[#This Row],[Team]],TBA_Matches_All[[#This Row],[Team]])</f>
        <v>1</v>
      </c>
      <c r="CL23" s="111">
        <f>SUM(MID(TBA_Matches_All[[#This Row],[Team]],4,5)+TBA_Matches_All[[#This Row],[Match_Number]]/100)</f>
        <v>3003.04</v>
      </c>
      <c r="CM23">
        <f>SUM((TBA_Matches_All[[#This Row],[Leave]]*2)+(TBA_Matches_All[[#This Row],[AampT]]*2)+(TBA_Matches_All[[#This Row],[AspkrT]]*5)+(TBA_Matches_All[[#This Row],[AtrapT]]*5))</f>
        <v>5</v>
      </c>
      <c r="CN23" s="59">
        <f>IFERROR(SUM(TBA_Matches_All[[#This Row],[AptsT]]/TBA_Matches_All[[#This Row],[AutoPts]]),0)</f>
        <v>0.35714285714285715</v>
      </c>
      <c r="CO23" s="59">
        <f>IFERROR(SUM(TBA_Matches_All[[#This Row],[AampT]]+TBA_Matches_All[[#This Row],[AspkrT]]+TBA_Matches_All[[#This Row],[AtrapT]]/TBA_Matches_All[[#This Row],[Aamp]]+TBA_Matches_All[[#This Row],[Aspkr]]+TBA_Matches_All[[#This Row],[AtrapT]]),0)</f>
        <v>0</v>
      </c>
      <c r="CP23" s="59">
        <f>IFERROR(SUM(TBA_Matches_All[[#This Row],[TampT]]/TBA_Matches_All[[#This Row],[Tamp]]),0)</f>
        <v>0</v>
      </c>
      <c r="CQ23" s="59">
        <f>IFERROR(SUM(TBA_Matches_All[[#This Row],[TspkrT]]/TBA_Matches_All[[#This Row],[Tspkr]]),0)</f>
        <v>0.36363636363636365</v>
      </c>
      <c r="CR23">
        <f>SUM(TBA_Matches_All[[#This Row],[TspkrPts]]*TBA_Matches_All[[#This Row],[TspkrP]])</f>
        <v>10.181818181818182</v>
      </c>
      <c r="CS23" s="59">
        <f>IFERROR(SUM(TBA_Matches_All[[#This Row],[TtrapT]]/TBA_Matches_All[[#This Row],[Trap]]),0)</f>
        <v>0</v>
      </c>
      <c r="CT23" s="59">
        <f>IFERROR(SUM(TBA_Matches_All[[#This Row],[TotNotesT]]/TBA_Matches_All[[#This Row],[TotNotes]]),0)</f>
        <v>0.27777777777777779</v>
      </c>
      <c r="CU23" s="66">
        <f>SUM((TBA_Matches_All[[#This Row],[AampT]]*2)+(TBA_Matches_All[[#This Row],[AspkrT]]*5)+(TBA_Matches_All[[#This Row],[AtrapT]]*5)+(TBA_Matches_All[[#This Row],[TampT]]*1)+(TBA_Matches_All[[#This Row],[TspkrptsC]]))</f>
        <v>15.181818181818182</v>
      </c>
      <c r="CV23" s="59">
        <f>IFERROR(TBA_Matches_All[[#This Row],[noteptsT]]/TBA_Matches_All[[#This Row],[NotePts]],0)</f>
        <v>0.35306553911205074</v>
      </c>
      <c r="CW23">
        <f>SUM(IF(TBA_Matches_All[[#This Row],[stageStat]]="On",3,0),IF(TBA_Matches_All[[#This Row],[stageStat]]="Park",1,0),SUMIFS(TBA_Matches_All[[#This Row],[Spotlit]],TBA_Matches_All[[#This Row],[stageStat]],"On"),SUMIFS(TBA_Matches_All[[#This Row],[Harmony]],TBA_Matches_All[[#This Row],[stageStat]],"On"))</f>
        <v>0</v>
      </c>
      <c r="CX23" s="59">
        <f>IFERROR(TBA_Matches_All[[#This Row],[stageptsT]]/TBA_Matches_All[[#This Row],[StagePts]],0)</f>
        <v>0</v>
      </c>
      <c r="CY23">
        <f>SUM((TBA_Matches_All[[#This Row],[AptsT]]+TBA_Matches_All[[#This Row],[TampT]]+TBA_Matches_All[[#This Row],[TspkrptsC]]+(TBA_Matches_All[[#This Row],[TtrapT]]*5)+TBA_Matches_All[[#This Row],[stageptsT]]))</f>
        <v>15.181818181818182</v>
      </c>
      <c r="CZ23" s="59">
        <f>IFERROR(SUM(TBA_Matches_All[[#This Row],[TotptsC]]/TBA_Matches_All[[#This Row],[Score]]),0)</f>
        <v>0.27603305785123966</v>
      </c>
      <c r="DA2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10.25</v>
      </c>
      <c r="DB23" s="74">
        <f>SUMIFS(TBA_Matches_All[AveTeamTNoteDels],TBA_Matches_All[Match_Number],TBA_Matches_All[[#This Row],[Match_Number]],TBA_Matches_All[Alliance],"&lt;&gt;"&amp;TBA_Matches_All[[#This Row],[Alliance]],TBA_Matches_All[Scouted],"&gt;0")</f>
        <v>27.275000000000002</v>
      </c>
      <c r="DC23" s="74">
        <f>(TBA_Matches_All[[#This Row],[TampT]]+TBA_Matches_All[[#This Row],[TspkrptsC]])-TBA_Matches_All[[#This Row],[AveTeamTNoteDels]]</f>
        <v>-6.8181818181818343E-2</v>
      </c>
      <c r="DD23" s="74">
        <f>SUMIFS(TBA_Matches_All[AveTeamTNoteDels],TBA_Matches_All[Match_Number],TBA_Matches_All[[#This Row],[Match_Number]],TBA_Matches_All[Alliance],"&lt;&gt;"&amp;TBA_Matches_All[[#This Row],[Alliance]])-TBA_Matches_All[[#This Row],[AveOppTNoteDels]]</f>
        <v>0</v>
      </c>
    </row>
    <row r="24" spans="1:108" x14ac:dyDescent="0.3">
      <c r="A24" t="s">
        <v>1042</v>
      </c>
      <c r="B24" t="s">
        <v>489</v>
      </c>
      <c r="C24" t="s">
        <v>1293</v>
      </c>
      <c r="D24">
        <v>4</v>
      </c>
      <c r="E24" t="s">
        <v>1406</v>
      </c>
      <c r="F24" t="s">
        <v>1422</v>
      </c>
      <c r="G24" t="s">
        <v>105</v>
      </c>
      <c r="H24" t="s">
        <v>1298</v>
      </c>
      <c r="I24" t="b">
        <v>1</v>
      </c>
      <c r="J24">
        <v>91</v>
      </c>
      <c r="K24">
        <v>1</v>
      </c>
      <c r="L24">
        <v>1</v>
      </c>
      <c r="M24">
        <v>5</v>
      </c>
      <c r="N24">
        <v>0</v>
      </c>
      <c r="O24">
        <v>7</v>
      </c>
      <c r="P24">
        <v>35</v>
      </c>
      <c r="Q24">
        <v>37</v>
      </c>
      <c r="R24">
        <v>7</v>
      </c>
      <c r="S24">
        <v>5</v>
      </c>
      <c r="T24">
        <v>5</v>
      </c>
      <c r="U24">
        <v>25</v>
      </c>
      <c r="V24">
        <v>10</v>
      </c>
      <c r="W24">
        <v>10</v>
      </c>
      <c r="X24">
        <v>35</v>
      </c>
      <c r="Y24">
        <v>42</v>
      </c>
      <c r="Z24">
        <v>5</v>
      </c>
      <c r="AA24">
        <v>1</v>
      </c>
      <c r="AB24">
        <v>24</v>
      </c>
      <c r="AC24">
        <v>77</v>
      </c>
      <c r="AD24">
        <v>12</v>
      </c>
      <c r="AE24">
        <f>IFERROR(6/(COUNTIF(Dyno_EndMatch[Match],TBA_Matches_All[[#This Row],[Match_Number]])),0)</f>
        <v>1</v>
      </c>
      <c r="AF24">
        <f>COUNTIFS(Dyno_Data[Team],TBA_Matches_All[[#This Row],[Team]],Dyno_Data[Match],TBA_Matches_All[[#This Row],[Match_Number]],Dyno_Data[RecordType],"EndMatch",Dyno_Data[HPAmp],"Y")</f>
        <v>0</v>
      </c>
      <c r="AG24">
        <f>SUMIFS(Dyno_Data[Mics], Dyno_Data[Team],TBA_Matches_All[[#This Row],[Team]],Dyno_Data[Match],TBA_Matches_All[[#This Row],[Match_Number]],Dyno_Data[RecordType],"EndMatch",Dyno_Data[HPAmp],"Y")</f>
        <v>0</v>
      </c>
      <c r="AH24">
        <f>SUMIFS(Dyno_Data[Leave], Dyno_Data[Team],TBA_Matches_All[[#This Row],[Team]],Dyno_Data[Match],TBA_Matches_All[[#This Row],[Match_Number]],Dyno_Data[RecordType],"EndAuto")</f>
        <v>0</v>
      </c>
      <c r="AI24">
        <f>COUNTIFS(Dyno_Data[Team],TBA_Matches_All[[#This Row],[Team]],Dyno_Data[Match],TBA_Matches_All[[#This Row],[Match_Number]],Dyno_Data[RecordType],"Activities",Dyno_Data[DelDest],"Amp", Dyno_Data[DelMiss],"0", Dyno_Data[Mode],"Auto")</f>
        <v>0</v>
      </c>
      <c r="AJ24">
        <f>COUNTIFS(Dyno_Data[Team],TBA_Matches_All[[#This Row],[Team]],Dyno_Data[Match],TBA_Matches_All[[#This Row],[Match_Number]],Dyno_Data[RecordType],"Activities",Dyno_Data[DelDest],"Spkr", Dyno_Data[DelMiss],"0", Dyno_Data[Mode],"Auto")</f>
        <v>1</v>
      </c>
      <c r="AK24">
        <f>COUNTIFS(Dyno_Data[Team],TBA_Matches_All[[#This Row],[Team]],Dyno_Data[Match],TBA_Matches_All[[#This Row],[Match_Number]],Dyno_Data[RecordType],"Activities",Dyno_Data[DelDest],"Trap", Dyno_Data[DelMiss],"0", Dyno_Data[Mode],"Auto")</f>
        <v>0</v>
      </c>
      <c r="AL24">
        <f>COUNTIFS(Dyno_Data[Team],TBA_Matches_All[[#This Row],[Team]],Dyno_Data[Match],TBA_Matches_All[[#This Row],[Match_Number]],Dyno_Data[RecordType],"Activities",Dyno_Data[DelDest],"Amp", Dyno_Data[DelMiss],"0", Dyno_Data[Mode],"Teleop")</f>
        <v>0</v>
      </c>
      <c r="AM24">
        <f>COUNTIFS(Dyno_Data[Team],TBA_Matches_All[[#This Row],[Team]],Dyno_Data[Match],TBA_Matches_All[[#This Row],[Match_Number]],Dyno_Data[RecordType],"Activities",Dyno_Data[DelDest],"Spkr", Dyno_Data[DelMiss],"0", Dyno_Data[Mode],"Teleop")</f>
        <v>4</v>
      </c>
      <c r="AN24">
        <f>COUNTIFS(Dyno_Data[Team],TBA_Matches_All[[#This Row],[Team]],Dyno_Data[Match],TBA_Matches_All[[#This Row],[Match_Number]],Dyno_Data[RecordType],"Activities",Dyno_Data[DelDest],"Trap", Dyno_Data[DelMiss],"0", Dyno_Data[Mode],"&lt;&gt;Auto")</f>
        <v>0</v>
      </c>
      <c r="AO24">
        <f>SUM(TBA_Matches_All[[#This Row],[AampT]]+TBA_Matches_All[[#This Row],[AspkrT]]+TBA_Matches_All[[#This Row],[AtrapT]]+TBA_Matches_All[[#This Row],[TampT]]+TBA_Matches_All[[#This Row],[TspkrT]]+TBA_Matches_All[[#This Row],[TtrapT]])</f>
        <v>5</v>
      </c>
      <c r="AP24">
        <f>COUNTIFS(Dyno_Data[Team],TBA_Matches_All[[#This Row],[Team]],Dyno_Data[Match],TBA_Matches_All[[#This Row],[Match_Number]],Dyno_Data[RecordType],"Activities",Dyno_Data[DelDest],"Neut", Dyno_Data[DelMiss],"0")</f>
        <v>0</v>
      </c>
      <c r="AQ24">
        <f>COUNTIFS(Dyno_Data[Team],TBA_Matches_All[[#This Row],[Team]],Dyno_Data[Match],TBA_Matches_All[[#This Row],[Match_Number]],Dyno_Data[RecordType],"Activities",Dyno_Data[DelDest],"AllyW", Dyno_Data[DelMiss],"0")</f>
        <v>0</v>
      </c>
      <c r="AR24" t="str">
        <f>_xlfn.XLOOKUP(SUM(MID(TBA_Matches_All[[#This Row],[Team]],4,5),(TBA_Matches_All[[#This Row],[Match_Number]]/100)),Dyno_EndMatch[teammat],Dyno_EndMatch[RobotSta],"_",0,1)</f>
        <v>Podm</v>
      </c>
      <c r="AS24">
        <f>SUMIFS(Dyno_Data[AcqDis], Dyno_Data[Team],TBA_Matches_All[[#This Row],[Team]],Dyno_Data[Match],TBA_Matches_All[[#This Row],[Match_Number]],Dyno_Data[RecordType],"Activities", Dyno_Data[AcqCenter],1,Dyno_Data[Mode],"Auto")</f>
        <v>0</v>
      </c>
      <c r="AT24">
        <f>SUMIFS(Dyno_Data[AcqDis], Dyno_Data[Team],TBA_Matches_All[[#This Row],[Team]],Dyno_Data[Match],TBA_Matches_All[[#This Row],[Match_Number]],Dyno_Data[RecordType],"Activities", Dyno_Data[AcqCenter],2,Dyno_Data[Mode],"Auto")</f>
        <v>0</v>
      </c>
      <c r="AU24">
        <f>SUMIFS(Dyno_Data[AcqDis], Dyno_Data[Team],TBA_Matches_All[[#This Row],[Team]],Dyno_Data[Match],TBA_Matches_All[[#This Row],[Match_Number]],Dyno_Data[RecordType],"Activities", Dyno_Data[AcqCenter],3,Dyno_Data[Mode],"Auto")</f>
        <v>0</v>
      </c>
      <c r="AV24">
        <f>SUMIFS(Dyno_Data[AcqDis], Dyno_Data[Team],TBA_Matches_All[[#This Row],[Team]],Dyno_Data[Match],TBA_Matches_All[[#This Row],[Match_Number]],Dyno_Data[RecordType],"Activities", Dyno_Data[AcqCenter],4,Dyno_Data[Mode],"Auto")</f>
        <v>0</v>
      </c>
      <c r="AW24">
        <f>SUMIFS(Dyno_Data[AcqDis], Dyno_Data[Team],TBA_Matches_All[[#This Row],[Team]],Dyno_Data[Match],TBA_Matches_All[[#This Row],[Match_Number]],Dyno_Data[RecordType],"Activities", Dyno_Data[AcqCenter],5,Dyno_Data[Mode],"Auto")</f>
        <v>0</v>
      </c>
      <c r="AX24">
        <f>SUMIFS(Dyno_Data[DelMiss], Dyno_Data[Team],TBA_Matches_All[[#This Row],[Team]],Dyno_Data[Match],TBA_Matches_All[[#This Row],[Match_Number]],Dyno_Data[RecordType],"Activities", Dyno_Data[DelDest],"Amp")</f>
        <v>0</v>
      </c>
      <c r="AY24" s="60">
        <f>IFERROR(SUM((TBA_Matches_All[[#This Row],[AampT]]+TBA_Matches_All[[#This Row],[TampT]])/(TBA_Matches_All[[#This Row],[AampT]]+TBA_Matches_All[[#This Row],[TampT]]+TBA_Matches_All[[#This Row],[ampM]])),0)</f>
        <v>0</v>
      </c>
      <c r="AZ24">
        <f>SUMIFS(Dyno_Data[DelMiss], Dyno_Data[Team],TBA_Matches_All[[#This Row],[Team]],Dyno_Data[Match],TBA_Matches_All[[#This Row],[Match_Number]],Dyno_Data[RecordType],"Activities", Dyno_Data[DelDest],"Spkr")</f>
        <v>0</v>
      </c>
      <c r="BA24" s="60">
        <f>IFERROR(SUM((TBA_Matches_All[[#This Row],[AspkrT]]+TBA_Matches_All[[#This Row],[TspkrT]])/(TBA_Matches_All[[#This Row],[AspkrT]]+TBA_Matches_All[[#This Row],[TspkrT]]+TBA_Matches_All[[#This Row],[spkrM]])),0)</f>
        <v>1</v>
      </c>
      <c r="BB24">
        <f>SUMIFS(Dyno_Data[DelMiss], Dyno_Data[Team],TBA_Matches_All[[#This Row],[Team]],Dyno_Data[Match],TBA_Matches_All[[#This Row],[Match_Number]],Dyno_Data[RecordType],"Activities", Dyno_Data[DelDest],"Trap")</f>
        <v>0</v>
      </c>
      <c r="BC24" s="60">
        <f>IFERROR((TBA_Matches_All[[#This Row],[AtrapT]]+TBA_Matches_All[[#This Row],[TtrapT]])/(TBA_Matches_All[[#This Row],[AtrapT]]+TBA_Matches_All[[#This Row],[TtrapT]]+TBA_Matches_All[[#This Row],[trapM]]),0)</f>
        <v>0</v>
      </c>
      <c r="BD24">
        <f>COUNTIFS(Dyno_Data[Team],TBA_Matches_All[[#This Row],[Team]],Dyno_Data[Match],TBA_Matches_All[[#This Row],[Match_Number]],Dyno_Data[RecordType],"Activities",Dyno_Data[DelDest],"Neut", Dyno_Data[DelMiss],1)</f>
        <v>0</v>
      </c>
      <c r="BE24" s="60">
        <f>IFERROR(SUM((TBA_Matches_All[[#This Row],[NeutFlrT]])/(TBA_Matches_All[[#This Row],[NeutFlrT]]+TBA_Matches_All[[#This Row],[NZflM]])),0)</f>
        <v>0</v>
      </c>
      <c r="BF24">
        <f>COUNTIFS(Dyno_Data[Team],TBA_Matches_All[[#This Row],[Team]],Dyno_Data[Match],TBA_Matches_All[[#This Row],[Match_Number]],Dyno_Data[RecordType],"Activities",Dyno_Data[DelDest],"AllyW", Dyno_Data[DelMiss],1)</f>
        <v>0</v>
      </c>
      <c r="BG24" s="60">
        <f>IFERROR(SUM((TBA_Matches_All[[#This Row],[AllyWFlrT]])/(TBA_Matches_All[[#This Row],[AllyWFlrT]]+TBA_Matches_All[[#This Row],[AZflM]])),0)</f>
        <v>0</v>
      </c>
      <c r="BH24">
        <f>COUNTIFS(Dyno_Data[Team],TBA_Matches_All[[#This Row],[Team]],Dyno_Data[Match],TBA_Matches_All[[#This Row],[Match_Number]],Dyno_Data[RecordType],"Activities",Dyno_Data[DelOrig],"OppW", Dyno_Data[DelMiss],"0")</f>
        <v>0</v>
      </c>
      <c r="BI24">
        <f>COUNTIFS(Dyno_Data[Team],TBA_Matches_All[[#This Row],[Team]],Dyno_Data[Match],TBA_Matches_All[[#This Row],[Match_Number]],Dyno_Data[RecordType],"Activities",Dyno_Data[DelOrig],"OppW", Dyno_Data[DelMiss],"1")</f>
        <v>0</v>
      </c>
      <c r="BJ24" s="60">
        <f>IFERROR(SUM((TBA_Matches_All[[#This Row],[OZflrT]])/(TBA_Matches_All[[#This Row],[OZflrT]]+TBA_Matches_All[[#This Row],[OZflrM]])),0)</f>
        <v>0</v>
      </c>
      <c r="BK24">
        <f>COUNTIFS(Dyno_Data[Team],TBA_Matches_All[[#This Row],[Team]],Dyno_Data[Match],TBA_Matches_All[[#This Row],[Match_Number]],Dyno_Data[RecordType],"Activities",Dyno_Data[DelOrig],"Neut", Dyno_Data[DelMiss],"0")</f>
        <v>0</v>
      </c>
      <c r="BL24">
        <f>COUNTIFS(Dyno_Data[Team],TBA_Matches_All[[#This Row],[Team]],Dyno_Data[Match],TBA_Matches_All[[#This Row],[Match_Number]],Dyno_Data[RecordType],"Activities",Dyno_Data[DelOrig],"Neut", Dyno_Data[DelMiss],"1")</f>
        <v>0</v>
      </c>
      <c r="BM24" s="60">
        <f>IFERROR(SUM((TBA_Matches_All[[#This Row],[NZflrT]])/(TBA_Matches_All[[#This Row],[NZflrT]]+TBA_Matches_All[[#This Row],[NZflrM]])),0)</f>
        <v>0</v>
      </c>
      <c r="BN24">
        <f>COUNTIFS(Dyno_Data[Team],TBA_Matches_All[[#This Row],[Team]],Dyno_Data[Match],TBA_Matches_All[[#This Row],[Match_Number]],Dyno_Data[RecordType],"Activities",Dyno_Data[DelOrig],"AllyW", Dyno_Data[DelMiss],"0")</f>
        <v>0</v>
      </c>
      <c r="BO24">
        <f>COUNTIFS(Dyno_Data[Team],TBA_Matches_All[[#This Row],[Team]],Dyno_Data[Match],TBA_Matches_All[[#This Row],[Match_Number]],Dyno_Data[RecordType],"Activities",Dyno_Data[DelOrig],"AllyW", Dyno_Data[DelMiss],"1")</f>
        <v>0</v>
      </c>
      <c r="BP24" s="60">
        <f>IFERROR(SUM((TBA_Matches_All[[#This Row],[AZflrT]])/(TBA_Matches_All[[#This Row],[AZflrT]]+TBA_Matches_All[[#This Row],[AZflrM]])),0)</f>
        <v>0</v>
      </c>
      <c r="BQ24">
        <f>COUNTIFS(Dyno_Data[Team],TBA_Matches_All[[#This Row],[Team]],Dyno_Data[Match],TBA_Matches_All[[#This Row],[Match_Number]],Dyno_Data[RecordType],"Activities",Dyno_Data[DelOrig],"SubW", Dyno_Data[DelMiss],"0")</f>
        <v>5</v>
      </c>
      <c r="BR24">
        <f>COUNTIFS(Dyno_Data[Team],TBA_Matches_All[[#This Row],[Team]],Dyno_Data[Match],TBA_Matches_All[[#This Row],[Match_Number]],Dyno_Data[RecordType],"Activities",Dyno_Data[DelOrig],"SubW", Dyno_Data[DelMiss],"1")</f>
        <v>0</v>
      </c>
      <c r="BS24" s="60">
        <f>IFERROR(SUM((TBA_Matches_All[[#This Row],[SubwT]])/(TBA_Matches_All[[#This Row],[SubwT]]+TBA_Matches_All[[#This Row],[SubwM]])),0)</f>
        <v>1</v>
      </c>
      <c r="BT24">
        <f>COUNTIFS(Dyno_Data[Team],TBA_Matches_All[[#This Row],[Team]],Dyno_Data[Match],TBA_Matches_All[[#This Row],[Match_Number]],Dyno_Data[RecordType],"Activities", Dyno_Data[AcqLoc],"OppWing")</f>
        <v>0</v>
      </c>
      <c r="BU24">
        <f>COUNTIFS(Dyno_Data[Team],TBA_Matches_All[[#This Row],[Team]],Dyno_Data[Match],TBA_Matches_All[[#This Row],[Match_Number]],Dyno_Data[RecordType],"Activities", Dyno_Data[AcqLoc],"Neutral")</f>
        <v>0</v>
      </c>
      <c r="BV24">
        <f>COUNTIFS(Dyno_Data[Team],TBA_Matches_All[[#This Row],[Team]],Dyno_Data[Match],TBA_Matches_All[[#This Row],[Match_Number]],Dyno_Data[RecordType],"Activities", Dyno_Data[AcqLoc],"AllyWing")</f>
        <v>0</v>
      </c>
      <c r="BW24">
        <f>COUNTIFS(Dyno_Data[Team],TBA_Matches_All[[#This Row],[Team]],Dyno_Data[Match],TBA_Matches_All[[#This Row],[Match_Number]],Dyno_Data[RecordType],"Activities", Dyno_Data[AcqLoc],"Source")</f>
        <v>0</v>
      </c>
      <c r="BX24">
        <f>SUMIFS(Dyno_Data[AcqDrp], Dyno_Data[Team],TBA_Matches_All[[#This Row],[Team]],Dyno_Data[Match],TBA_Matches_All[[#This Row],[Match_Number]],Dyno_Data[RecordType],"Activities", Dyno_Data[AcqLoc],"Source")</f>
        <v>0</v>
      </c>
      <c r="BY24">
        <f>SUMIFS(Dyno_Data[OZTime], Dyno_Data[Team],TBA_Matches_All[[#This Row],[Team]],Dyno_Data[Match],TBA_Matches_All[[#This Row],[Match_Number]],Dyno_Data[RecordType],"EndMatch")</f>
        <v>43.731294699999999</v>
      </c>
      <c r="BZ24">
        <f>SUMIFS(Dyno_Data[NZTime], Dyno_Data[Team],TBA_Matches_All[[#This Row],[Team]],Dyno_Data[Match],TBA_Matches_All[[#This Row],[Match_Number]],Dyno_Data[RecordType],"EndMatch")</f>
        <v>20.115059599999999</v>
      </c>
      <c r="CA24">
        <f>SUMIFS(Dyno_Data[AZTime], Dyno_Data[Team],TBA_Matches_All[[#This Row],[Team]],Dyno_Data[Match],TBA_Matches_All[[#This Row],[Match_Number]],Dyno_Data[RecordType],"EndMatch")</f>
        <v>44.8214793</v>
      </c>
      <c r="CB24">
        <f>SUMIFS(Dyno_Data[ClimbT], Dyno_Data[Team],TBA_Matches_All[[#This Row],[Team]],Dyno_Data[Match],TBA_Matches_All[[#This Row],[Match_Number]],Dyno_Data[RecordType],"EndMatch")</f>
        <v>9.6401781</v>
      </c>
      <c r="CC24" t="str">
        <f>_xlfn.XLOOKUP(SUM(MID(TBA_Matches_All[[#This Row],[Team]],4,5),(TBA_Matches_All[[#This Row],[Match_Number]]/100)),Dyno_EndMatch[teammat],Dyno_EndMatch[StageStat],"_",0,1)</f>
        <v>On</v>
      </c>
      <c r="CD24" t="str">
        <f>_xlfn.XLOOKUP(TBA_Matches_All[[#This Row],[teammat]],Dyno_EndMatch[teammat],Dyno_EndMatch[StageAtt],"_",0,1)</f>
        <v>1</v>
      </c>
      <c r="CE24" t="str">
        <f>_xlfn.XLOOKUP(TBA_Matches_All[[#This Row],[teammat]],Dyno_EndMatch[teammat],Dyno_EndMatch[StageLoc],"_",0,1)</f>
        <v>R</v>
      </c>
      <c r="CF24">
        <f>SUMIFS(Dyno_Data[Harmony], Dyno_Data[Team],TBA_Matches_All[[#This Row],[Team]],Dyno_Data[Match],TBA_Matches_All[[#This Row],[Match_Number]],Dyno_Data[RecordType],"EndMatch", Dyno_Data[StageStat],"On",Dyno_Data[Harmony],"&lt;&gt;9")</f>
        <v>0</v>
      </c>
      <c r="CG24">
        <f>SUMIFS(Dyno_Data[Spotlit], Dyno_Data[Team],TBA_Matches_All[[#This Row],[Team]],Dyno_Data[Match],TBA_Matches_All[[#This Row],[Match_Number]],Dyno_Data[RecordType],"EndMatch", Dyno_Data[StageStat],"On",Dyno_Data[Spotlit],"&lt;&gt;9")</f>
        <v>0</v>
      </c>
      <c r="CH24" t="str">
        <f>_xlfn.XLOOKUP(TBA_Matches_All[[#This Row],[teammat]],Dyno_EndMatch[teammat],Dyno_EndMatch[Strategy],"_",0,1)</f>
        <v>Hybrid</v>
      </c>
      <c r="CI24">
        <f>SUMIFS(Dyno_Data[Defense], Dyno_Data[Team],TBA_Matches_All[[#This Row],[Team]],Dyno_Data[Match],TBA_Matches_All[[#This Row],[Match_Number]],Dyno_Data[RecordType],"EndMatch",Dyno_Data[Defense],"&lt;&gt;9")</f>
        <v>0</v>
      </c>
      <c r="CJ24">
        <f>SUMIFS(Dyno_Data[Avoidance], Dyno_Data[Team],TBA_Matches_All[[#This Row],[Team]],Dyno_Data[Match],TBA_Matches_All[[#This Row],[Match_Number]],Dyno_Data[RecordType],"EndMatch",Dyno_Data[Avoidance],"&lt;&gt;9")</f>
        <v>0</v>
      </c>
      <c r="CK24" s="82">
        <f>COUNTIF($H$2:TBA_Matches_All[[#This Row],[Team]],TBA_Matches_All[[#This Row],[Team]])</f>
        <v>1</v>
      </c>
      <c r="CL24" s="111">
        <f>SUM(MID(TBA_Matches_All[[#This Row],[Team]],4,5)+TBA_Matches_All[[#This Row],[Match_Number]]/100)</f>
        <v>9624.0400000000009</v>
      </c>
      <c r="CM24">
        <f>SUM((TBA_Matches_All[[#This Row],[Leave]]*2)+(TBA_Matches_All[[#This Row],[AampT]]*2)+(TBA_Matches_All[[#This Row],[AspkrT]]*5)+(TBA_Matches_All[[#This Row],[AtrapT]]*5))</f>
        <v>5</v>
      </c>
      <c r="CN24" s="59">
        <f>IFERROR(SUM(TBA_Matches_All[[#This Row],[AptsT]]/TBA_Matches_All[[#This Row],[AutoPts]]),0)</f>
        <v>0.13513513513513514</v>
      </c>
      <c r="CO24" s="59">
        <f>IFERROR(SUM(TBA_Matches_All[[#This Row],[AampT]]+TBA_Matches_All[[#This Row],[AspkrT]]+TBA_Matches_All[[#This Row],[AtrapT]]/TBA_Matches_All[[#This Row],[Aamp]]+TBA_Matches_All[[#This Row],[Aspkr]]+TBA_Matches_All[[#This Row],[AtrapT]]),0)</f>
        <v>0</v>
      </c>
      <c r="CP24" s="59">
        <f>IFERROR(SUM(TBA_Matches_All[[#This Row],[TampT]]/TBA_Matches_All[[#This Row],[Tamp]]),0)</f>
        <v>0</v>
      </c>
      <c r="CQ24" s="59">
        <f>IFERROR(SUM(TBA_Matches_All[[#This Row],[TspkrT]]/TBA_Matches_All[[#This Row],[Tspkr]]),0)</f>
        <v>0.4</v>
      </c>
      <c r="CR24">
        <f>SUM(TBA_Matches_All[[#This Row],[TspkrPts]]*TBA_Matches_All[[#This Row],[TspkrP]])</f>
        <v>14</v>
      </c>
      <c r="CS24" s="59">
        <f>IFERROR(SUM(TBA_Matches_All[[#This Row],[TtrapT]]/TBA_Matches_All[[#This Row],[Trap]]),0)</f>
        <v>0</v>
      </c>
      <c r="CT24" s="59">
        <f>IFERROR(SUM(TBA_Matches_All[[#This Row],[TotNotesT]]/TBA_Matches_All[[#This Row],[TotNotes]]),0)</f>
        <v>0.20833333333333334</v>
      </c>
      <c r="CU24" s="66">
        <f>SUM((TBA_Matches_All[[#This Row],[AampT]]*2)+(TBA_Matches_All[[#This Row],[AspkrT]]*5)+(TBA_Matches_All[[#This Row],[AtrapT]]*5)+(TBA_Matches_All[[#This Row],[TampT]]*1)+(TBA_Matches_All[[#This Row],[TspkrptsC]]))</f>
        <v>19</v>
      </c>
      <c r="CV24" s="59">
        <f>IFERROR(TBA_Matches_All[[#This Row],[noteptsT]]/TBA_Matches_All[[#This Row],[NotePts]],0)</f>
        <v>0.24675324675324675</v>
      </c>
      <c r="CW24">
        <f>SUM(IF(TBA_Matches_All[[#This Row],[stageStat]]="On",3,0),IF(TBA_Matches_All[[#This Row],[stageStat]]="Park",1,0),SUMIFS(TBA_Matches_All[[#This Row],[Spotlit]],TBA_Matches_All[[#This Row],[stageStat]],"On"),SUMIFS(TBA_Matches_All[[#This Row],[Harmony]],TBA_Matches_All[[#This Row],[stageStat]],"On"))</f>
        <v>3</v>
      </c>
      <c r="CX24" s="59">
        <f>IFERROR(TBA_Matches_All[[#This Row],[stageptsT]]/TBA_Matches_All[[#This Row],[StagePts]],0)</f>
        <v>0.25</v>
      </c>
      <c r="CY24">
        <f>SUM((TBA_Matches_All[[#This Row],[AptsT]]+TBA_Matches_All[[#This Row],[TampT]]+TBA_Matches_All[[#This Row],[TspkrptsC]]+(TBA_Matches_All[[#This Row],[TtrapT]]*5)+TBA_Matches_All[[#This Row],[stageptsT]]))</f>
        <v>22</v>
      </c>
      <c r="CZ24" s="59">
        <f>IFERROR(SUM(TBA_Matches_All[[#This Row],[TotptsC]]/TBA_Matches_All[[#This Row],[Score]]),0)</f>
        <v>0.24175824175824176</v>
      </c>
      <c r="DA2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10.262500000000001</v>
      </c>
      <c r="DB24" s="74">
        <f>SUMIFS(TBA_Matches_All[AveTeamTNoteDels],TBA_Matches_All[Match_Number],TBA_Matches_All[[#This Row],[Match_Number]],TBA_Matches_All[Alliance],"&lt;&gt;"&amp;TBA_Matches_All[[#This Row],[Alliance]],TBA_Matches_All[Scouted],"&gt;0")</f>
        <v>31.709427239427239</v>
      </c>
      <c r="DC24" s="74">
        <f>(TBA_Matches_All[[#This Row],[TampT]]+TBA_Matches_All[[#This Row],[TspkrptsC]])-TBA_Matches_All[[#This Row],[AveTeamTNoteDels]]</f>
        <v>3.7374999999999989</v>
      </c>
      <c r="DD24" s="74">
        <f>SUMIFS(TBA_Matches_All[AveTeamTNoteDels],TBA_Matches_All[Match_Number],TBA_Matches_All[[#This Row],[Match_Number]],TBA_Matches_All[Alliance],"&lt;&gt;"&amp;TBA_Matches_All[[#This Row],[Alliance]])-TBA_Matches_All[[#This Row],[AveOppTNoteDels]]</f>
        <v>0</v>
      </c>
    </row>
    <row r="25" spans="1:108" x14ac:dyDescent="0.3">
      <c r="A25" t="s">
        <v>1042</v>
      </c>
      <c r="B25" t="s">
        <v>489</v>
      </c>
      <c r="C25" t="s">
        <v>1293</v>
      </c>
      <c r="D25">
        <v>4</v>
      </c>
      <c r="E25" t="s">
        <v>1420</v>
      </c>
      <c r="F25" t="s">
        <v>1425</v>
      </c>
      <c r="G25" t="s">
        <v>105</v>
      </c>
      <c r="H25" t="s">
        <v>1294</v>
      </c>
      <c r="I25" t="b">
        <v>1</v>
      </c>
      <c r="J25">
        <v>55</v>
      </c>
      <c r="K25">
        <v>1</v>
      </c>
      <c r="L25">
        <v>0</v>
      </c>
      <c r="M25">
        <v>0</v>
      </c>
      <c r="N25">
        <v>0</v>
      </c>
      <c r="O25">
        <v>2</v>
      </c>
      <c r="P25">
        <v>10</v>
      </c>
      <c r="Q25">
        <v>14</v>
      </c>
      <c r="R25">
        <v>5</v>
      </c>
      <c r="S25">
        <v>2</v>
      </c>
      <c r="T25">
        <v>9</v>
      </c>
      <c r="U25">
        <v>10</v>
      </c>
      <c r="V25">
        <v>18</v>
      </c>
      <c r="W25">
        <v>11</v>
      </c>
      <c r="X25">
        <v>28</v>
      </c>
      <c r="Y25">
        <v>33</v>
      </c>
      <c r="Z25">
        <v>0</v>
      </c>
      <c r="AA25">
        <v>0</v>
      </c>
      <c r="AB25">
        <v>18</v>
      </c>
      <c r="AC25">
        <v>43</v>
      </c>
      <c r="AD25">
        <v>3</v>
      </c>
      <c r="AE25">
        <f>IFERROR(6/(COUNTIF(Dyno_EndMatch[Match],TBA_Matches_All[[#This Row],[Match_Number]])),0)</f>
        <v>1</v>
      </c>
      <c r="AF25">
        <f>COUNTIFS(Dyno_Data[Team],TBA_Matches_All[[#This Row],[Team]],Dyno_Data[Match],TBA_Matches_All[[#This Row],[Match_Number]],Dyno_Data[RecordType],"EndMatch",Dyno_Data[HPAmp],"Y")</f>
        <v>0</v>
      </c>
      <c r="AG25">
        <f>SUMIFS(Dyno_Data[Mics], Dyno_Data[Team],TBA_Matches_All[[#This Row],[Team]],Dyno_Data[Match],TBA_Matches_All[[#This Row],[Match_Number]],Dyno_Data[RecordType],"EndMatch",Dyno_Data[HPAmp],"Y")</f>
        <v>0</v>
      </c>
      <c r="AH25">
        <f>SUMIFS(Dyno_Data[Leave], Dyno_Data[Team],TBA_Matches_All[[#This Row],[Team]],Dyno_Data[Match],TBA_Matches_All[[#This Row],[Match_Number]],Dyno_Data[RecordType],"EndAuto")</f>
        <v>1</v>
      </c>
      <c r="AI25">
        <f>COUNTIFS(Dyno_Data[Team],TBA_Matches_All[[#This Row],[Team]],Dyno_Data[Match],TBA_Matches_All[[#This Row],[Match_Number]],Dyno_Data[RecordType],"Activities",Dyno_Data[DelDest],"Amp", Dyno_Data[DelMiss],"0", Dyno_Data[Mode],"Auto")</f>
        <v>0</v>
      </c>
      <c r="AJ25">
        <f>COUNTIFS(Dyno_Data[Team],TBA_Matches_All[[#This Row],[Team]],Dyno_Data[Match],TBA_Matches_All[[#This Row],[Match_Number]],Dyno_Data[RecordType],"Activities",Dyno_Data[DelDest],"Spkr", Dyno_Data[DelMiss],"0", Dyno_Data[Mode],"Auto")</f>
        <v>1</v>
      </c>
      <c r="AK25">
        <f>COUNTIFS(Dyno_Data[Team],TBA_Matches_All[[#This Row],[Team]],Dyno_Data[Match],TBA_Matches_All[[#This Row],[Match_Number]],Dyno_Data[RecordType],"Activities",Dyno_Data[DelDest],"Trap", Dyno_Data[DelMiss],"0", Dyno_Data[Mode],"Auto")</f>
        <v>0</v>
      </c>
      <c r="AL25">
        <f>COUNTIFS(Dyno_Data[Team],TBA_Matches_All[[#This Row],[Team]],Dyno_Data[Match],TBA_Matches_All[[#This Row],[Match_Number]],Dyno_Data[RecordType],"Activities",Dyno_Data[DelDest],"Amp", Dyno_Data[DelMiss],"0", Dyno_Data[Mode],"Teleop")</f>
        <v>0</v>
      </c>
      <c r="AM25">
        <f>COUNTIFS(Dyno_Data[Team],TBA_Matches_All[[#This Row],[Team]],Dyno_Data[Match],TBA_Matches_All[[#This Row],[Match_Number]],Dyno_Data[RecordType],"Activities",Dyno_Data[DelDest],"Spkr", Dyno_Data[DelMiss],"0", Dyno_Data[Mode],"Teleop")</f>
        <v>3</v>
      </c>
      <c r="AN25">
        <f>COUNTIFS(Dyno_Data[Team],TBA_Matches_All[[#This Row],[Team]],Dyno_Data[Match],TBA_Matches_All[[#This Row],[Match_Number]],Dyno_Data[RecordType],"Activities",Dyno_Data[DelDest],"Trap", Dyno_Data[DelMiss],"0", Dyno_Data[Mode],"&lt;&gt;Auto")</f>
        <v>0</v>
      </c>
      <c r="AO25">
        <f>SUM(TBA_Matches_All[[#This Row],[AampT]]+TBA_Matches_All[[#This Row],[AspkrT]]+TBA_Matches_All[[#This Row],[AtrapT]]+TBA_Matches_All[[#This Row],[TampT]]+TBA_Matches_All[[#This Row],[TspkrT]]+TBA_Matches_All[[#This Row],[TtrapT]])</f>
        <v>4</v>
      </c>
      <c r="AP25">
        <f>COUNTIFS(Dyno_Data[Team],TBA_Matches_All[[#This Row],[Team]],Dyno_Data[Match],TBA_Matches_All[[#This Row],[Match_Number]],Dyno_Data[RecordType],"Activities",Dyno_Data[DelDest],"Neut", Dyno_Data[DelMiss],"0")</f>
        <v>0</v>
      </c>
      <c r="AQ25">
        <f>COUNTIFS(Dyno_Data[Team],TBA_Matches_All[[#This Row],[Team]],Dyno_Data[Match],TBA_Matches_All[[#This Row],[Match_Number]],Dyno_Data[RecordType],"Activities",Dyno_Data[DelDest],"AllyW", Dyno_Data[DelMiss],"0")</f>
        <v>0</v>
      </c>
      <c r="AR25" t="str">
        <f>_xlfn.XLOOKUP(SUM(MID(TBA_Matches_All[[#This Row],[Team]],4,5),(TBA_Matches_All[[#This Row],[Match_Number]]/100)),Dyno_EndMatch[teammat],Dyno_EndMatch[RobotSta],"_",0,1)</f>
        <v>Amp</v>
      </c>
      <c r="AS25">
        <f>SUMIFS(Dyno_Data[AcqDis], Dyno_Data[Team],TBA_Matches_All[[#This Row],[Team]],Dyno_Data[Match],TBA_Matches_All[[#This Row],[Match_Number]],Dyno_Data[RecordType],"Activities", Dyno_Data[AcqCenter],1,Dyno_Data[Mode],"Auto")</f>
        <v>0</v>
      </c>
      <c r="AT25">
        <f>SUMIFS(Dyno_Data[AcqDis], Dyno_Data[Team],TBA_Matches_All[[#This Row],[Team]],Dyno_Data[Match],TBA_Matches_All[[#This Row],[Match_Number]],Dyno_Data[RecordType],"Activities", Dyno_Data[AcqCenter],2,Dyno_Data[Mode],"Auto")</f>
        <v>0</v>
      </c>
      <c r="AU25">
        <f>SUMIFS(Dyno_Data[AcqDis], Dyno_Data[Team],TBA_Matches_All[[#This Row],[Team]],Dyno_Data[Match],TBA_Matches_All[[#This Row],[Match_Number]],Dyno_Data[RecordType],"Activities", Dyno_Data[AcqCenter],3,Dyno_Data[Mode],"Auto")</f>
        <v>0</v>
      </c>
      <c r="AV25">
        <f>SUMIFS(Dyno_Data[AcqDis], Dyno_Data[Team],TBA_Matches_All[[#This Row],[Team]],Dyno_Data[Match],TBA_Matches_All[[#This Row],[Match_Number]],Dyno_Data[RecordType],"Activities", Dyno_Data[AcqCenter],4,Dyno_Data[Mode],"Auto")</f>
        <v>0</v>
      </c>
      <c r="AW25">
        <f>SUMIFS(Dyno_Data[AcqDis], Dyno_Data[Team],TBA_Matches_All[[#This Row],[Team]],Dyno_Data[Match],TBA_Matches_All[[#This Row],[Match_Number]],Dyno_Data[RecordType],"Activities", Dyno_Data[AcqCenter],5,Dyno_Data[Mode],"Auto")</f>
        <v>0</v>
      </c>
      <c r="AX25">
        <f>SUMIFS(Dyno_Data[DelMiss], Dyno_Data[Team],TBA_Matches_All[[#This Row],[Team]],Dyno_Data[Match],TBA_Matches_All[[#This Row],[Match_Number]],Dyno_Data[RecordType],"Activities", Dyno_Data[DelDest],"Amp")</f>
        <v>0</v>
      </c>
      <c r="AY25" s="60">
        <f>IFERROR(SUM((TBA_Matches_All[[#This Row],[AampT]]+TBA_Matches_All[[#This Row],[TampT]])/(TBA_Matches_All[[#This Row],[AampT]]+TBA_Matches_All[[#This Row],[TampT]]+TBA_Matches_All[[#This Row],[ampM]])),0)</f>
        <v>0</v>
      </c>
      <c r="AZ25">
        <f>SUMIFS(Dyno_Data[DelMiss], Dyno_Data[Team],TBA_Matches_All[[#This Row],[Team]],Dyno_Data[Match],TBA_Matches_All[[#This Row],[Match_Number]],Dyno_Data[RecordType],"Activities", Dyno_Data[DelDest],"Spkr")</f>
        <v>0</v>
      </c>
      <c r="BA25" s="60">
        <f>IFERROR(SUM((TBA_Matches_All[[#This Row],[AspkrT]]+TBA_Matches_All[[#This Row],[TspkrT]])/(TBA_Matches_All[[#This Row],[AspkrT]]+TBA_Matches_All[[#This Row],[TspkrT]]+TBA_Matches_All[[#This Row],[spkrM]])),0)</f>
        <v>1</v>
      </c>
      <c r="BB25">
        <f>SUMIFS(Dyno_Data[DelMiss], Dyno_Data[Team],TBA_Matches_All[[#This Row],[Team]],Dyno_Data[Match],TBA_Matches_All[[#This Row],[Match_Number]],Dyno_Data[RecordType],"Activities", Dyno_Data[DelDest],"Trap")</f>
        <v>0</v>
      </c>
      <c r="BC25" s="60">
        <f>IFERROR((TBA_Matches_All[[#This Row],[AtrapT]]+TBA_Matches_All[[#This Row],[TtrapT]])/(TBA_Matches_All[[#This Row],[AtrapT]]+TBA_Matches_All[[#This Row],[TtrapT]]+TBA_Matches_All[[#This Row],[trapM]]),0)</f>
        <v>0</v>
      </c>
      <c r="BD25">
        <f>COUNTIFS(Dyno_Data[Team],TBA_Matches_All[[#This Row],[Team]],Dyno_Data[Match],TBA_Matches_All[[#This Row],[Match_Number]],Dyno_Data[RecordType],"Activities",Dyno_Data[DelDest],"Neut", Dyno_Data[DelMiss],1)</f>
        <v>0</v>
      </c>
      <c r="BE25" s="60">
        <f>IFERROR(SUM((TBA_Matches_All[[#This Row],[NeutFlrT]])/(TBA_Matches_All[[#This Row],[NeutFlrT]]+TBA_Matches_All[[#This Row],[NZflM]])),0)</f>
        <v>0</v>
      </c>
      <c r="BF25">
        <f>COUNTIFS(Dyno_Data[Team],TBA_Matches_All[[#This Row],[Team]],Dyno_Data[Match],TBA_Matches_All[[#This Row],[Match_Number]],Dyno_Data[RecordType],"Activities",Dyno_Data[DelDest],"AllyW", Dyno_Data[DelMiss],1)</f>
        <v>0</v>
      </c>
      <c r="BG25" s="60">
        <f>IFERROR(SUM((TBA_Matches_All[[#This Row],[AllyWFlrT]])/(TBA_Matches_All[[#This Row],[AllyWFlrT]]+TBA_Matches_All[[#This Row],[AZflM]])),0)</f>
        <v>0</v>
      </c>
      <c r="BH25">
        <f>COUNTIFS(Dyno_Data[Team],TBA_Matches_All[[#This Row],[Team]],Dyno_Data[Match],TBA_Matches_All[[#This Row],[Match_Number]],Dyno_Data[RecordType],"Activities",Dyno_Data[DelOrig],"OppW", Dyno_Data[DelMiss],"0")</f>
        <v>0</v>
      </c>
      <c r="BI25">
        <f>COUNTIFS(Dyno_Data[Team],TBA_Matches_All[[#This Row],[Team]],Dyno_Data[Match],TBA_Matches_All[[#This Row],[Match_Number]],Dyno_Data[RecordType],"Activities",Dyno_Data[DelOrig],"OppW", Dyno_Data[DelMiss],"1")</f>
        <v>0</v>
      </c>
      <c r="BJ25" s="60">
        <f>IFERROR(SUM((TBA_Matches_All[[#This Row],[OZflrT]])/(TBA_Matches_All[[#This Row],[OZflrT]]+TBA_Matches_All[[#This Row],[OZflrM]])),0)</f>
        <v>0</v>
      </c>
      <c r="BK25">
        <f>COUNTIFS(Dyno_Data[Team],TBA_Matches_All[[#This Row],[Team]],Dyno_Data[Match],TBA_Matches_All[[#This Row],[Match_Number]],Dyno_Data[RecordType],"Activities",Dyno_Data[DelOrig],"Neut", Dyno_Data[DelMiss],"0")</f>
        <v>0</v>
      </c>
      <c r="BL25">
        <f>COUNTIFS(Dyno_Data[Team],TBA_Matches_All[[#This Row],[Team]],Dyno_Data[Match],TBA_Matches_All[[#This Row],[Match_Number]],Dyno_Data[RecordType],"Activities",Dyno_Data[DelOrig],"Neut", Dyno_Data[DelMiss],"1")</f>
        <v>0</v>
      </c>
      <c r="BM25" s="60">
        <f>IFERROR(SUM((TBA_Matches_All[[#This Row],[NZflrT]])/(TBA_Matches_All[[#This Row],[NZflrT]]+TBA_Matches_All[[#This Row],[NZflrM]])),0)</f>
        <v>0</v>
      </c>
      <c r="BN25">
        <f>COUNTIFS(Dyno_Data[Team],TBA_Matches_All[[#This Row],[Team]],Dyno_Data[Match],TBA_Matches_All[[#This Row],[Match_Number]],Dyno_Data[RecordType],"Activities",Dyno_Data[DelOrig],"AllyW", Dyno_Data[DelMiss],"0")</f>
        <v>1</v>
      </c>
      <c r="BO25">
        <f>COUNTIFS(Dyno_Data[Team],TBA_Matches_All[[#This Row],[Team]],Dyno_Data[Match],TBA_Matches_All[[#This Row],[Match_Number]],Dyno_Data[RecordType],"Activities",Dyno_Data[DelOrig],"AllyW", Dyno_Data[DelMiss],"1")</f>
        <v>0</v>
      </c>
      <c r="BP25" s="60">
        <f>IFERROR(SUM((TBA_Matches_All[[#This Row],[AZflrT]])/(TBA_Matches_All[[#This Row],[AZflrT]]+TBA_Matches_All[[#This Row],[AZflrM]])),0)</f>
        <v>1</v>
      </c>
      <c r="BQ25">
        <f>COUNTIFS(Dyno_Data[Team],TBA_Matches_All[[#This Row],[Team]],Dyno_Data[Match],TBA_Matches_All[[#This Row],[Match_Number]],Dyno_Data[RecordType],"Activities",Dyno_Data[DelOrig],"SubW", Dyno_Data[DelMiss],"0")</f>
        <v>3</v>
      </c>
      <c r="BR25">
        <f>COUNTIFS(Dyno_Data[Team],TBA_Matches_All[[#This Row],[Team]],Dyno_Data[Match],TBA_Matches_All[[#This Row],[Match_Number]],Dyno_Data[RecordType],"Activities",Dyno_Data[DelOrig],"SubW", Dyno_Data[DelMiss],"1")</f>
        <v>0</v>
      </c>
      <c r="BS25" s="60">
        <f>IFERROR(SUM((TBA_Matches_All[[#This Row],[SubwT]])/(TBA_Matches_All[[#This Row],[SubwT]]+TBA_Matches_All[[#This Row],[SubwM]])),0)</f>
        <v>1</v>
      </c>
      <c r="BT25">
        <f>COUNTIFS(Dyno_Data[Team],TBA_Matches_All[[#This Row],[Team]],Dyno_Data[Match],TBA_Matches_All[[#This Row],[Match_Number]],Dyno_Data[RecordType],"Activities", Dyno_Data[AcqLoc],"OppWing")</f>
        <v>0</v>
      </c>
      <c r="BU25">
        <f>COUNTIFS(Dyno_Data[Team],TBA_Matches_All[[#This Row],[Team]],Dyno_Data[Match],TBA_Matches_All[[#This Row],[Match_Number]],Dyno_Data[RecordType],"Activities", Dyno_Data[AcqLoc],"Neutral")</f>
        <v>0</v>
      </c>
      <c r="BV25">
        <f>COUNTIFS(Dyno_Data[Team],TBA_Matches_All[[#This Row],[Team]],Dyno_Data[Match],TBA_Matches_All[[#This Row],[Match_Number]],Dyno_Data[RecordType],"Activities", Dyno_Data[AcqLoc],"AllyWing")</f>
        <v>0</v>
      </c>
      <c r="BW25">
        <f>COUNTIFS(Dyno_Data[Team],TBA_Matches_All[[#This Row],[Team]],Dyno_Data[Match],TBA_Matches_All[[#This Row],[Match_Number]],Dyno_Data[RecordType],"Activities", Dyno_Data[AcqLoc],"Source")</f>
        <v>0</v>
      </c>
      <c r="BX25">
        <f>SUMIFS(Dyno_Data[AcqDrp], Dyno_Data[Team],TBA_Matches_All[[#This Row],[Team]],Dyno_Data[Match],TBA_Matches_All[[#This Row],[Match_Number]],Dyno_Data[RecordType],"Activities", Dyno_Data[AcqLoc],"Source")</f>
        <v>0</v>
      </c>
      <c r="BY25">
        <f>SUMIFS(Dyno_Data[OZTime], Dyno_Data[Team],TBA_Matches_All[[#This Row],[Team]],Dyno_Data[Match],TBA_Matches_All[[#This Row],[Match_Number]],Dyno_Data[RecordType],"EndMatch")</f>
        <v>57.045837899999995</v>
      </c>
      <c r="BZ25">
        <f>SUMIFS(Dyno_Data[NZTime], Dyno_Data[Team],TBA_Matches_All[[#This Row],[Team]],Dyno_Data[Match],TBA_Matches_All[[#This Row],[Match_Number]],Dyno_Data[RecordType],"EndMatch")</f>
        <v>21.602198399999999</v>
      </c>
      <c r="CA25">
        <f>SUMIFS(Dyno_Data[AZTime], Dyno_Data[Team],TBA_Matches_All[[#This Row],[Team]],Dyno_Data[Match],TBA_Matches_All[[#This Row],[Match_Number]],Dyno_Data[RecordType],"EndMatch")</f>
        <v>57.3871988</v>
      </c>
      <c r="CB25">
        <f>SUMIFS(Dyno_Data[ClimbT], Dyno_Data[Team],TBA_Matches_All[[#This Row],[Team]],Dyno_Data[Match],TBA_Matches_All[[#This Row],[Match_Number]],Dyno_Data[RecordType],"EndMatch")</f>
        <v>0</v>
      </c>
      <c r="CC25" t="str">
        <f>_xlfn.XLOOKUP(SUM(MID(TBA_Matches_All[[#This Row],[Team]],4,5),(TBA_Matches_All[[#This Row],[Match_Number]]/100)),Dyno_EndMatch[teammat],Dyno_EndMatch[StageStat],"_",0,1)</f>
        <v>Else</v>
      </c>
      <c r="CD25" t="str">
        <f>_xlfn.XLOOKUP(TBA_Matches_All[[#This Row],[teammat]],Dyno_EndMatch[teammat],Dyno_EndMatch[StageAtt],"_",0,1)</f>
        <v>0</v>
      </c>
      <c r="CE25" t="str">
        <f>_xlfn.XLOOKUP(TBA_Matches_All[[#This Row],[teammat]],Dyno_EndMatch[teammat],Dyno_EndMatch[StageLoc],"_",0,1)</f>
        <v>A</v>
      </c>
      <c r="CF25">
        <f>SUMIFS(Dyno_Data[Harmony], Dyno_Data[Team],TBA_Matches_All[[#This Row],[Team]],Dyno_Data[Match],TBA_Matches_All[[#This Row],[Match_Number]],Dyno_Data[RecordType],"EndMatch", Dyno_Data[StageStat],"On",Dyno_Data[Harmony],"&lt;&gt;9")</f>
        <v>0</v>
      </c>
      <c r="CG25">
        <f>SUMIFS(Dyno_Data[Spotlit], Dyno_Data[Team],TBA_Matches_All[[#This Row],[Team]],Dyno_Data[Match],TBA_Matches_All[[#This Row],[Match_Number]],Dyno_Data[RecordType],"EndMatch", Dyno_Data[StageStat],"On",Dyno_Data[Spotlit],"&lt;&gt;9")</f>
        <v>0</v>
      </c>
      <c r="CH25" t="str">
        <f>_xlfn.XLOOKUP(TBA_Matches_All[[#This Row],[teammat]],Dyno_EndMatch[teammat],Dyno_EndMatch[Strategy],"_",0,1)</f>
        <v>Hybrid</v>
      </c>
      <c r="CI25">
        <f>SUMIFS(Dyno_Data[Defense], Dyno_Data[Team],TBA_Matches_All[[#This Row],[Team]],Dyno_Data[Match],TBA_Matches_All[[#This Row],[Match_Number]],Dyno_Data[RecordType],"EndMatch",Dyno_Data[Defense],"&lt;&gt;9")</f>
        <v>0</v>
      </c>
      <c r="CJ25">
        <f>SUMIFS(Dyno_Data[Avoidance], Dyno_Data[Team],TBA_Matches_All[[#This Row],[Team]],Dyno_Data[Match],TBA_Matches_All[[#This Row],[Match_Number]],Dyno_Data[RecordType],"EndMatch",Dyno_Data[Avoidance],"&lt;&gt;9")</f>
        <v>0</v>
      </c>
      <c r="CK25" s="82">
        <f>COUNTIF($H$2:TBA_Matches_All[[#This Row],[Team]],TBA_Matches_All[[#This Row],[Team]])</f>
        <v>1</v>
      </c>
      <c r="CL25" s="111">
        <f>SUM(MID(TBA_Matches_All[[#This Row],[Team]],4,5)+TBA_Matches_All[[#This Row],[Match_Number]]/100)</f>
        <v>9076.0400000000009</v>
      </c>
      <c r="CM25">
        <f>SUM((TBA_Matches_All[[#This Row],[Leave]]*2)+(TBA_Matches_All[[#This Row],[AampT]]*2)+(TBA_Matches_All[[#This Row],[AspkrT]]*5)+(TBA_Matches_All[[#This Row],[AtrapT]]*5))</f>
        <v>7</v>
      </c>
      <c r="CN25" s="59">
        <f>IFERROR(SUM(TBA_Matches_All[[#This Row],[AptsT]]/TBA_Matches_All[[#This Row],[AutoPts]]),0)</f>
        <v>0.5</v>
      </c>
      <c r="CO25" s="59">
        <f>IFERROR(SUM(TBA_Matches_All[[#This Row],[AampT]]+TBA_Matches_All[[#This Row],[AspkrT]]+TBA_Matches_All[[#This Row],[AtrapT]]/TBA_Matches_All[[#This Row],[Aamp]]+TBA_Matches_All[[#This Row],[Aspkr]]+TBA_Matches_All[[#This Row],[AtrapT]]),0)</f>
        <v>0</v>
      </c>
      <c r="CP25" s="59">
        <f>IFERROR(SUM(TBA_Matches_All[[#This Row],[TampT]]/TBA_Matches_All[[#This Row],[Tamp]]),0)</f>
        <v>0</v>
      </c>
      <c r="CQ25" s="59">
        <f>IFERROR(SUM(TBA_Matches_All[[#This Row],[TspkrT]]/TBA_Matches_All[[#This Row],[Tspkr]]),0)</f>
        <v>0.27272727272727271</v>
      </c>
      <c r="CR25">
        <f>SUM(TBA_Matches_All[[#This Row],[TspkrPts]]*TBA_Matches_All[[#This Row],[TspkrP]])</f>
        <v>7.6363636363636358</v>
      </c>
      <c r="CS25" s="59">
        <f>IFERROR(SUM(TBA_Matches_All[[#This Row],[TtrapT]]/TBA_Matches_All[[#This Row],[Trap]]),0)</f>
        <v>0</v>
      </c>
      <c r="CT25" s="59">
        <f>IFERROR(SUM(TBA_Matches_All[[#This Row],[TotNotesT]]/TBA_Matches_All[[#This Row],[TotNotes]]),0)</f>
        <v>0.22222222222222221</v>
      </c>
      <c r="CU25" s="66">
        <f>SUM((TBA_Matches_All[[#This Row],[AampT]]*2)+(TBA_Matches_All[[#This Row],[AspkrT]]*5)+(TBA_Matches_All[[#This Row],[AtrapT]]*5)+(TBA_Matches_All[[#This Row],[TampT]]*1)+(TBA_Matches_All[[#This Row],[TspkrptsC]]))</f>
        <v>12.636363636363637</v>
      </c>
      <c r="CV25" s="59">
        <f>IFERROR(TBA_Matches_All[[#This Row],[noteptsT]]/TBA_Matches_All[[#This Row],[NotePts]],0)</f>
        <v>0.29386892177589852</v>
      </c>
      <c r="CW25">
        <f>SUM(IF(TBA_Matches_All[[#This Row],[stageStat]]="On",3,0),IF(TBA_Matches_All[[#This Row],[stageStat]]="Park",1,0),SUMIFS(TBA_Matches_All[[#This Row],[Spotlit]],TBA_Matches_All[[#This Row],[stageStat]],"On"),SUMIFS(TBA_Matches_All[[#This Row],[Harmony]],TBA_Matches_All[[#This Row],[stageStat]],"On"))</f>
        <v>0</v>
      </c>
      <c r="CX25" s="59">
        <f>IFERROR(TBA_Matches_All[[#This Row],[stageptsT]]/TBA_Matches_All[[#This Row],[StagePts]],0)</f>
        <v>0</v>
      </c>
      <c r="CY25">
        <f>SUM((TBA_Matches_All[[#This Row],[AptsT]]+TBA_Matches_All[[#This Row],[TampT]]+TBA_Matches_All[[#This Row],[TspkrptsC]]+(TBA_Matches_All[[#This Row],[TtrapT]]*5)+TBA_Matches_All[[#This Row],[stageptsT]]))</f>
        <v>14.636363636363637</v>
      </c>
      <c r="CZ25" s="59">
        <f>IFERROR(SUM(TBA_Matches_All[[#This Row],[TotptsC]]/TBA_Matches_All[[#This Row],[Score]]),0)</f>
        <v>0.26611570247933886</v>
      </c>
      <c r="DA2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4.2307692307692308</v>
      </c>
      <c r="DB25" s="74">
        <f>SUMIFS(TBA_Matches_All[AveTeamTNoteDels],TBA_Matches_All[Match_Number],TBA_Matches_All[[#This Row],[Match_Number]],TBA_Matches_All[Alliance],"&lt;&gt;"&amp;TBA_Matches_All[[#This Row],[Alliance]],TBA_Matches_All[Scouted],"&gt;0")</f>
        <v>27.275000000000002</v>
      </c>
      <c r="DC25" s="74">
        <f>(TBA_Matches_All[[#This Row],[TampT]]+TBA_Matches_All[[#This Row],[TspkrptsC]])-TBA_Matches_All[[#This Row],[AveTeamTNoteDels]]</f>
        <v>3.405594405594405</v>
      </c>
      <c r="DD25" s="74">
        <f>SUMIFS(TBA_Matches_All[AveTeamTNoteDels],TBA_Matches_All[Match_Number],TBA_Matches_All[[#This Row],[Match_Number]],TBA_Matches_All[Alliance],"&lt;&gt;"&amp;TBA_Matches_All[[#This Row],[Alliance]])-TBA_Matches_All[[#This Row],[AveOppTNoteDels]]</f>
        <v>0</v>
      </c>
    </row>
    <row r="26" spans="1:108" x14ac:dyDescent="0.3">
      <c r="A26" t="s">
        <v>1042</v>
      </c>
      <c r="B26" t="s">
        <v>489</v>
      </c>
      <c r="C26" t="s">
        <v>1293</v>
      </c>
      <c r="D26">
        <v>4</v>
      </c>
      <c r="E26" t="s">
        <v>1406</v>
      </c>
      <c r="F26" t="s">
        <v>1426</v>
      </c>
      <c r="G26" t="s">
        <v>164</v>
      </c>
      <c r="H26" t="s">
        <v>1297</v>
      </c>
      <c r="I26" t="b">
        <v>1</v>
      </c>
      <c r="J26">
        <v>91</v>
      </c>
      <c r="K26">
        <v>1</v>
      </c>
      <c r="L26">
        <v>1</v>
      </c>
      <c r="M26">
        <v>5</v>
      </c>
      <c r="N26">
        <v>0</v>
      </c>
      <c r="O26">
        <v>7</v>
      </c>
      <c r="P26">
        <v>35</v>
      </c>
      <c r="Q26">
        <v>37</v>
      </c>
      <c r="R26">
        <v>7</v>
      </c>
      <c r="S26">
        <v>5</v>
      </c>
      <c r="T26">
        <v>5</v>
      </c>
      <c r="U26">
        <v>25</v>
      </c>
      <c r="V26">
        <v>10</v>
      </c>
      <c r="W26">
        <v>10</v>
      </c>
      <c r="X26">
        <v>35</v>
      </c>
      <c r="Y26">
        <v>42</v>
      </c>
      <c r="Z26">
        <v>5</v>
      </c>
      <c r="AA26">
        <v>1</v>
      </c>
      <c r="AB26">
        <v>24</v>
      </c>
      <c r="AC26">
        <v>77</v>
      </c>
      <c r="AD26">
        <v>12</v>
      </c>
      <c r="AE26">
        <f>IFERROR(6/(COUNTIF(Dyno_EndMatch[Match],TBA_Matches_All[[#This Row],[Match_Number]])),0)</f>
        <v>1</v>
      </c>
      <c r="AF26">
        <f>COUNTIFS(Dyno_Data[Team],TBA_Matches_All[[#This Row],[Team]],Dyno_Data[Match],TBA_Matches_All[[#This Row],[Match_Number]],Dyno_Data[RecordType],"EndMatch",Dyno_Data[HPAmp],"Y")</f>
        <v>0</v>
      </c>
      <c r="AG26">
        <f>SUMIFS(Dyno_Data[Mics], Dyno_Data[Team],TBA_Matches_All[[#This Row],[Team]],Dyno_Data[Match],TBA_Matches_All[[#This Row],[Match_Number]],Dyno_Data[RecordType],"EndMatch",Dyno_Data[HPAmp],"Y")</f>
        <v>0</v>
      </c>
      <c r="AH26">
        <f>SUMIFS(Dyno_Data[Leave], Dyno_Data[Team],TBA_Matches_All[[#This Row],[Team]],Dyno_Data[Match],TBA_Matches_All[[#This Row],[Match_Number]],Dyno_Data[RecordType],"EndAuto")</f>
        <v>0</v>
      </c>
      <c r="AI26">
        <f>COUNTIFS(Dyno_Data[Team],TBA_Matches_All[[#This Row],[Team]],Dyno_Data[Match],TBA_Matches_All[[#This Row],[Match_Number]],Dyno_Data[RecordType],"Activities",Dyno_Data[DelDest],"Amp", Dyno_Data[DelMiss],"0", Dyno_Data[Mode],"Auto")</f>
        <v>0</v>
      </c>
      <c r="AJ26">
        <f>COUNTIFS(Dyno_Data[Team],TBA_Matches_All[[#This Row],[Team]],Dyno_Data[Match],TBA_Matches_All[[#This Row],[Match_Number]],Dyno_Data[RecordType],"Activities",Dyno_Data[DelDest],"Spkr", Dyno_Data[DelMiss],"0", Dyno_Data[Mode],"Auto")</f>
        <v>0</v>
      </c>
      <c r="AK26">
        <f>COUNTIFS(Dyno_Data[Team],TBA_Matches_All[[#This Row],[Team]],Dyno_Data[Match],TBA_Matches_All[[#This Row],[Match_Number]],Dyno_Data[RecordType],"Activities",Dyno_Data[DelDest],"Trap", Dyno_Data[DelMiss],"0", Dyno_Data[Mode],"Auto")</f>
        <v>0</v>
      </c>
      <c r="AL26">
        <f>COUNTIFS(Dyno_Data[Team],TBA_Matches_All[[#This Row],[Team]],Dyno_Data[Match],TBA_Matches_All[[#This Row],[Match_Number]],Dyno_Data[RecordType],"Activities",Dyno_Data[DelDest],"Amp", Dyno_Data[DelMiss],"0", Dyno_Data[Mode],"Teleop")</f>
        <v>6</v>
      </c>
      <c r="AM26">
        <f>COUNTIFS(Dyno_Data[Team],TBA_Matches_All[[#This Row],[Team]],Dyno_Data[Match],TBA_Matches_All[[#This Row],[Match_Number]],Dyno_Data[RecordType],"Activities",Dyno_Data[DelDest],"Spkr", Dyno_Data[DelMiss],"0", Dyno_Data[Mode],"Teleop")</f>
        <v>0</v>
      </c>
      <c r="AN26">
        <f>COUNTIFS(Dyno_Data[Team],TBA_Matches_All[[#This Row],[Team]],Dyno_Data[Match],TBA_Matches_All[[#This Row],[Match_Number]],Dyno_Data[RecordType],"Activities",Dyno_Data[DelDest],"Trap", Dyno_Data[DelMiss],"0", Dyno_Data[Mode],"&lt;&gt;Auto")</f>
        <v>0</v>
      </c>
      <c r="AO26">
        <f>SUM(TBA_Matches_All[[#This Row],[AampT]]+TBA_Matches_All[[#This Row],[AspkrT]]+TBA_Matches_All[[#This Row],[AtrapT]]+TBA_Matches_All[[#This Row],[TampT]]+TBA_Matches_All[[#This Row],[TspkrT]]+TBA_Matches_All[[#This Row],[TtrapT]])</f>
        <v>6</v>
      </c>
      <c r="AP26">
        <f>COUNTIFS(Dyno_Data[Team],TBA_Matches_All[[#This Row],[Team]],Dyno_Data[Match],TBA_Matches_All[[#This Row],[Match_Number]],Dyno_Data[RecordType],"Activities",Dyno_Data[DelDest],"Neut", Dyno_Data[DelMiss],"0")</f>
        <v>0</v>
      </c>
      <c r="AQ26">
        <f>COUNTIFS(Dyno_Data[Team],TBA_Matches_All[[#This Row],[Team]],Dyno_Data[Match],TBA_Matches_All[[#This Row],[Match_Number]],Dyno_Data[RecordType],"Activities",Dyno_Data[DelDest],"AllyW", Dyno_Data[DelMiss],"0")</f>
        <v>0</v>
      </c>
      <c r="AR26" t="str">
        <f>_xlfn.XLOOKUP(SUM(MID(TBA_Matches_All[[#This Row],[Team]],4,5),(TBA_Matches_All[[#This Row],[Match_Number]]/100)),Dyno_EndMatch[teammat],Dyno_EndMatch[RobotSta],"_",0,1)</f>
        <v>Amp</v>
      </c>
      <c r="AS26">
        <f>SUMIFS(Dyno_Data[AcqDis], Dyno_Data[Team],TBA_Matches_All[[#This Row],[Team]],Dyno_Data[Match],TBA_Matches_All[[#This Row],[Match_Number]],Dyno_Data[RecordType],"Activities", Dyno_Data[AcqCenter],1,Dyno_Data[Mode],"Auto")</f>
        <v>0</v>
      </c>
      <c r="AT26">
        <f>SUMIFS(Dyno_Data[AcqDis], Dyno_Data[Team],TBA_Matches_All[[#This Row],[Team]],Dyno_Data[Match],TBA_Matches_All[[#This Row],[Match_Number]],Dyno_Data[RecordType],"Activities", Dyno_Data[AcqCenter],2,Dyno_Data[Mode],"Auto")</f>
        <v>0</v>
      </c>
      <c r="AU26">
        <f>SUMIFS(Dyno_Data[AcqDis], Dyno_Data[Team],TBA_Matches_All[[#This Row],[Team]],Dyno_Data[Match],TBA_Matches_All[[#This Row],[Match_Number]],Dyno_Data[RecordType],"Activities", Dyno_Data[AcqCenter],3,Dyno_Data[Mode],"Auto")</f>
        <v>0</v>
      </c>
      <c r="AV26">
        <f>SUMIFS(Dyno_Data[AcqDis], Dyno_Data[Team],TBA_Matches_All[[#This Row],[Team]],Dyno_Data[Match],TBA_Matches_All[[#This Row],[Match_Number]],Dyno_Data[RecordType],"Activities", Dyno_Data[AcqCenter],4,Dyno_Data[Mode],"Auto")</f>
        <v>0</v>
      </c>
      <c r="AW26">
        <f>SUMIFS(Dyno_Data[AcqDis], Dyno_Data[Team],TBA_Matches_All[[#This Row],[Team]],Dyno_Data[Match],TBA_Matches_All[[#This Row],[Match_Number]],Dyno_Data[RecordType],"Activities", Dyno_Data[AcqCenter],5,Dyno_Data[Mode],"Auto")</f>
        <v>0</v>
      </c>
      <c r="AX26">
        <f>SUMIFS(Dyno_Data[DelMiss], Dyno_Data[Team],TBA_Matches_All[[#This Row],[Team]],Dyno_Data[Match],TBA_Matches_All[[#This Row],[Match_Number]],Dyno_Data[RecordType],"Activities", Dyno_Data[DelDest],"Amp")</f>
        <v>0</v>
      </c>
      <c r="AY26" s="60">
        <f>IFERROR(SUM((TBA_Matches_All[[#This Row],[AampT]]+TBA_Matches_All[[#This Row],[TampT]])/(TBA_Matches_All[[#This Row],[AampT]]+TBA_Matches_All[[#This Row],[TampT]]+TBA_Matches_All[[#This Row],[ampM]])),0)</f>
        <v>1</v>
      </c>
      <c r="AZ26">
        <f>SUMIFS(Dyno_Data[DelMiss], Dyno_Data[Team],TBA_Matches_All[[#This Row],[Team]],Dyno_Data[Match],TBA_Matches_All[[#This Row],[Match_Number]],Dyno_Data[RecordType],"Activities", Dyno_Data[DelDest],"Spkr")</f>
        <v>0</v>
      </c>
      <c r="BA26" s="60">
        <f>IFERROR(SUM((TBA_Matches_All[[#This Row],[AspkrT]]+TBA_Matches_All[[#This Row],[TspkrT]])/(TBA_Matches_All[[#This Row],[AspkrT]]+TBA_Matches_All[[#This Row],[TspkrT]]+TBA_Matches_All[[#This Row],[spkrM]])),0)</f>
        <v>0</v>
      </c>
      <c r="BB26">
        <f>SUMIFS(Dyno_Data[DelMiss], Dyno_Data[Team],TBA_Matches_All[[#This Row],[Team]],Dyno_Data[Match],TBA_Matches_All[[#This Row],[Match_Number]],Dyno_Data[RecordType],"Activities", Dyno_Data[DelDest],"Trap")</f>
        <v>0</v>
      </c>
      <c r="BC26" s="60">
        <f>IFERROR((TBA_Matches_All[[#This Row],[AtrapT]]+TBA_Matches_All[[#This Row],[TtrapT]])/(TBA_Matches_All[[#This Row],[AtrapT]]+TBA_Matches_All[[#This Row],[TtrapT]]+TBA_Matches_All[[#This Row],[trapM]]),0)</f>
        <v>0</v>
      </c>
      <c r="BD26">
        <f>COUNTIFS(Dyno_Data[Team],TBA_Matches_All[[#This Row],[Team]],Dyno_Data[Match],TBA_Matches_All[[#This Row],[Match_Number]],Dyno_Data[RecordType],"Activities",Dyno_Data[DelDest],"Neut", Dyno_Data[DelMiss],1)</f>
        <v>0</v>
      </c>
      <c r="BE26" s="60">
        <f>IFERROR(SUM((TBA_Matches_All[[#This Row],[NeutFlrT]])/(TBA_Matches_All[[#This Row],[NeutFlrT]]+TBA_Matches_All[[#This Row],[NZflM]])),0)</f>
        <v>0</v>
      </c>
      <c r="BF26">
        <f>COUNTIFS(Dyno_Data[Team],TBA_Matches_All[[#This Row],[Team]],Dyno_Data[Match],TBA_Matches_All[[#This Row],[Match_Number]],Dyno_Data[RecordType],"Activities",Dyno_Data[DelDest],"AllyW", Dyno_Data[DelMiss],1)</f>
        <v>0</v>
      </c>
      <c r="BG26" s="60">
        <f>IFERROR(SUM((TBA_Matches_All[[#This Row],[AllyWFlrT]])/(TBA_Matches_All[[#This Row],[AllyWFlrT]]+TBA_Matches_All[[#This Row],[AZflM]])),0)</f>
        <v>0</v>
      </c>
      <c r="BH26">
        <f>COUNTIFS(Dyno_Data[Team],TBA_Matches_All[[#This Row],[Team]],Dyno_Data[Match],TBA_Matches_All[[#This Row],[Match_Number]],Dyno_Data[RecordType],"Activities",Dyno_Data[DelOrig],"OppW", Dyno_Data[DelMiss],"0")</f>
        <v>0</v>
      </c>
      <c r="BI26">
        <f>COUNTIFS(Dyno_Data[Team],TBA_Matches_All[[#This Row],[Team]],Dyno_Data[Match],TBA_Matches_All[[#This Row],[Match_Number]],Dyno_Data[RecordType],"Activities",Dyno_Data[DelOrig],"OppW", Dyno_Data[DelMiss],"1")</f>
        <v>0</v>
      </c>
      <c r="BJ26" s="60">
        <f>IFERROR(SUM((TBA_Matches_All[[#This Row],[OZflrT]])/(TBA_Matches_All[[#This Row],[OZflrT]]+TBA_Matches_All[[#This Row],[OZflrM]])),0)</f>
        <v>0</v>
      </c>
      <c r="BK26">
        <f>COUNTIFS(Dyno_Data[Team],TBA_Matches_All[[#This Row],[Team]],Dyno_Data[Match],TBA_Matches_All[[#This Row],[Match_Number]],Dyno_Data[RecordType],"Activities",Dyno_Data[DelOrig],"Neut", Dyno_Data[DelMiss],"0")</f>
        <v>0</v>
      </c>
      <c r="BL26">
        <f>COUNTIFS(Dyno_Data[Team],TBA_Matches_All[[#This Row],[Team]],Dyno_Data[Match],TBA_Matches_All[[#This Row],[Match_Number]],Dyno_Data[RecordType],"Activities",Dyno_Data[DelOrig],"Neut", Dyno_Data[DelMiss],"1")</f>
        <v>0</v>
      </c>
      <c r="BM26" s="60">
        <f>IFERROR(SUM((TBA_Matches_All[[#This Row],[NZflrT]])/(TBA_Matches_All[[#This Row],[NZflrT]]+TBA_Matches_All[[#This Row],[NZflrM]])),0)</f>
        <v>0</v>
      </c>
      <c r="BN26">
        <f>COUNTIFS(Dyno_Data[Team],TBA_Matches_All[[#This Row],[Team]],Dyno_Data[Match],TBA_Matches_All[[#This Row],[Match_Number]],Dyno_Data[RecordType],"Activities",Dyno_Data[DelOrig],"AllyW", Dyno_Data[DelMiss],"0")</f>
        <v>6</v>
      </c>
      <c r="BO26">
        <f>COUNTIFS(Dyno_Data[Team],TBA_Matches_All[[#This Row],[Team]],Dyno_Data[Match],TBA_Matches_All[[#This Row],[Match_Number]],Dyno_Data[RecordType],"Activities",Dyno_Data[DelOrig],"AllyW", Dyno_Data[DelMiss],"1")</f>
        <v>0</v>
      </c>
      <c r="BP26" s="60">
        <f>IFERROR(SUM((TBA_Matches_All[[#This Row],[AZflrT]])/(TBA_Matches_All[[#This Row],[AZflrT]]+TBA_Matches_All[[#This Row],[AZflrM]])),0)</f>
        <v>1</v>
      </c>
      <c r="BQ26">
        <f>COUNTIFS(Dyno_Data[Team],TBA_Matches_All[[#This Row],[Team]],Dyno_Data[Match],TBA_Matches_All[[#This Row],[Match_Number]],Dyno_Data[RecordType],"Activities",Dyno_Data[DelOrig],"SubW", Dyno_Data[DelMiss],"0")</f>
        <v>0</v>
      </c>
      <c r="BR26">
        <f>COUNTIFS(Dyno_Data[Team],TBA_Matches_All[[#This Row],[Team]],Dyno_Data[Match],TBA_Matches_All[[#This Row],[Match_Number]],Dyno_Data[RecordType],"Activities",Dyno_Data[DelOrig],"SubW", Dyno_Data[DelMiss],"1")</f>
        <v>0</v>
      </c>
      <c r="BS26" s="60">
        <f>IFERROR(SUM((TBA_Matches_All[[#This Row],[SubwT]])/(TBA_Matches_All[[#This Row],[SubwT]]+TBA_Matches_All[[#This Row],[SubwM]])),0)</f>
        <v>0</v>
      </c>
      <c r="BT26">
        <f>COUNTIFS(Dyno_Data[Team],TBA_Matches_All[[#This Row],[Team]],Dyno_Data[Match],TBA_Matches_All[[#This Row],[Match_Number]],Dyno_Data[RecordType],"Activities", Dyno_Data[AcqLoc],"OppWing")</f>
        <v>0</v>
      </c>
      <c r="BU26">
        <f>COUNTIFS(Dyno_Data[Team],TBA_Matches_All[[#This Row],[Team]],Dyno_Data[Match],TBA_Matches_All[[#This Row],[Match_Number]],Dyno_Data[RecordType],"Activities", Dyno_Data[AcqLoc],"Neutral")</f>
        <v>0</v>
      </c>
      <c r="BV26">
        <f>COUNTIFS(Dyno_Data[Team],TBA_Matches_All[[#This Row],[Team]],Dyno_Data[Match],TBA_Matches_All[[#This Row],[Match_Number]],Dyno_Data[RecordType],"Activities", Dyno_Data[AcqLoc],"AllyWing")</f>
        <v>0</v>
      </c>
      <c r="BW26">
        <f>COUNTIFS(Dyno_Data[Team],TBA_Matches_All[[#This Row],[Team]],Dyno_Data[Match],TBA_Matches_All[[#This Row],[Match_Number]],Dyno_Data[RecordType],"Activities", Dyno_Data[AcqLoc],"Source")</f>
        <v>0</v>
      </c>
      <c r="BX26">
        <f>SUMIFS(Dyno_Data[AcqDrp], Dyno_Data[Team],TBA_Matches_All[[#This Row],[Team]],Dyno_Data[Match],TBA_Matches_All[[#This Row],[Match_Number]],Dyno_Data[RecordType],"Activities", Dyno_Data[AcqLoc],"Source")</f>
        <v>0</v>
      </c>
      <c r="BY26">
        <f>SUMIFS(Dyno_Data[OZTime], Dyno_Data[Team],TBA_Matches_All[[#This Row],[Team]],Dyno_Data[Match],TBA_Matches_All[[#This Row],[Match_Number]],Dyno_Data[RecordType],"EndMatch")</f>
        <v>25.7753467</v>
      </c>
      <c r="BZ26">
        <f>SUMIFS(Dyno_Data[NZTime], Dyno_Data[Team],TBA_Matches_All[[#This Row],[Team]],Dyno_Data[Match],TBA_Matches_All[[#This Row],[Match_Number]],Dyno_Data[RecordType],"EndMatch")</f>
        <v>20.119795999999997</v>
      </c>
      <c r="CA26">
        <f>SUMIFS(Dyno_Data[AZTime], Dyno_Data[Team],TBA_Matches_All[[#This Row],[Team]],Dyno_Data[Match],TBA_Matches_All[[#This Row],[Match_Number]],Dyno_Data[RecordType],"EndMatch")</f>
        <v>88.899055500000003</v>
      </c>
      <c r="CB26">
        <f>SUMIFS(Dyno_Data[ClimbT], Dyno_Data[Team],TBA_Matches_All[[#This Row],[Team]],Dyno_Data[Match],TBA_Matches_All[[#This Row],[Match_Number]],Dyno_Data[RecordType],"EndMatch")</f>
        <v>0</v>
      </c>
      <c r="CC26" t="str">
        <f>_xlfn.XLOOKUP(SUM(MID(TBA_Matches_All[[#This Row],[Team]],4,5),(TBA_Matches_All[[#This Row],[Match_Number]]/100)),Dyno_EndMatch[teammat],Dyno_EndMatch[StageStat],"_",0,1)</f>
        <v>Park</v>
      </c>
      <c r="CD26" t="str">
        <f>_xlfn.XLOOKUP(TBA_Matches_All[[#This Row],[teammat]],Dyno_EndMatch[teammat],Dyno_EndMatch[StageAtt],"_",0,1)</f>
        <v>0</v>
      </c>
      <c r="CE26" t="str">
        <f>_xlfn.XLOOKUP(TBA_Matches_All[[#This Row],[teammat]],Dyno_EndMatch[teammat],Dyno_EndMatch[StageLoc],"_",0,1)</f>
        <v>A</v>
      </c>
      <c r="CF26">
        <f>SUMIFS(Dyno_Data[Harmony], Dyno_Data[Team],TBA_Matches_All[[#This Row],[Team]],Dyno_Data[Match],TBA_Matches_All[[#This Row],[Match_Number]],Dyno_Data[RecordType],"EndMatch", Dyno_Data[StageStat],"On",Dyno_Data[Harmony],"&lt;&gt;9")</f>
        <v>0</v>
      </c>
      <c r="CG26">
        <f>SUMIFS(Dyno_Data[Spotlit], Dyno_Data[Team],TBA_Matches_All[[#This Row],[Team]],Dyno_Data[Match],TBA_Matches_All[[#This Row],[Match_Number]],Dyno_Data[RecordType],"EndMatch", Dyno_Data[StageStat],"On",Dyno_Data[Spotlit],"&lt;&gt;9")</f>
        <v>0</v>
      </c>
      <c r="CH26" t="str">
        <f>_xlfn.XLOOKUP(TBA_Matches_All[[#This Row],[teammat]],Dyno_EndMatch[teammat],Dyno_EndMatch[Strategy],"_",0,1)</f>
        <v>Hybrid</v>
      </c>
      <c r="CI26">
        <f>SUMIFS(Dyno_Data[Defense], Dyno_Data[Team],TBA_Matches_All[[#This Row],[Team]],Dyno_Data[Match],TBA_Matches_All[[#This Row],[Match_Number]],Dyno_Data[RecordType],"EndMatch",Dyno_Data[Defense],"&lt;&gt;9")</f>
        <v>0</v>
      </c>
      <c r="CJ26">
        <f>SUMIFS(Dyno_Data[Avoidance], Dyno_Data[Team],TBA_Matches_All[[#This Row],[Team]],Dyno_Data[Match],TBA_Matches_All[[#This Row],[Match_Number]],Dyno_Data[RecordType],"EndMatch",Dyno_Data[Avoidance],"&lt;&gt;9")</f>
        <v>1</v>
      </c>
      <c r="CK26" s="82">
        <f>COUNTIF($H$2:TBA_Matches_All[[#This Row],[Team]],TBA_Matches_All[[#This Row],[Team]])</f>
        <v>1</v>
      </c>
      <c r="CL26" s="111">
        <f>SUM(MID(TBA_Matches_All[[#This Row],[Team]],4,5)+TBA_Matches_All[[#This Row],[Match_Number]]/100)</f>
        <v>9750.0400000000009</v>
      </c>
      <c r="CM26">
        <f>SUM((TBA_Matches_All[[#This Row],[Leave]]*2)+(TBA_Matches_All[[#This Row],[AampT]]*2)+(TBA_Matches_All[[#This Row],[AspkrT]]*5)+(TBA_Matches_All[[#This Row],[AtrapT]]*5))</f>
        <v>0</v>
      </c>
      <c r="CN26" s="59">
        <f>IFERROR(SUM(TBA_Matches_All[[#This Row],[AptsT]]/TBA_Matches_All[[#This Row],[AutoPts]]),0)</f>
        <v>0</v>
      </c>
      <c r="CO26" s="59">
        <f>IFERROR(SUM(TBA_Matches_All[[#This Row],[AampT]]+TBA_Matches_All[[#This Row],[AspkrT]]+TBA_Matches_All[[#This Row],[AtrapT]]/TBA_Matches_All[[#This Row],[Aamp]]+TBA_Matches_All[[#This Row],[Aspkr]]+TBA_Matches_All[[#This Row],[AtrapT]]),0)</f>
        <v>0</v>
      </c>
      <c r="CP26" s="59">
        <f>IFERROR(SUM(TBA_Matches_All[[#This Row],[TampT]]/TBA_Matches_All[[#This Row],[Tamp]]),0)</f>
        <v>0.8571428571428571</v>
      </c>
      <c r="CQ26" s="59">
        <f>IFERROR(SUM(TBA_Matches_All[[#This Row],[TspkrT]]/TBA_Matches_All[[#This Row],[Tspkr]]),0)</f>
        <v>0</v>
      </c>
      <c r="CR26">
        <f>SUM(TBA_Matches_All[[#This Row],[TspkrPts]]*TBA_Matches_All[[#This Row],[TspkrP]])</f>
        <v>0</v>
      </c>
      <c r="CS26" s="59">
        <f>IFERROR(SUM(TBA_Matches_All[[#This Row],[TtrapT]]/TBA_Matches_All[[#This Row],[Trap]]),0)</f>
        <v>0</v>
      </c>
      <c r="CT26" s="59">
        <f>IFERROR(SUM(TBA_Matches_All[[#This Row],[TotNotesT]]/TBA_Matches_All[[#This Row],[TotNotes]]),0)</f>
        <v>0.25</v>
      </c>
      <c r="CU26" s="66">
        <f>SUM((TBA_Matches_All[[#This Row],[AampT]]*2)+(TBA_Matches_All[[#This Row],[AspkrT]]*5)+(TBA_Matches_All[[#This Row],[AtrapT]]*5)+(TBA_Matches_All[[#This Row],[TampT]]*1)+(TBA_Matches_All[[#This Row],[TspkrptsC]]))</f>
        <v>6</v>
      </c>
      <c r="CV26" s="59">
        <f>IFERROR(TBA_Matches_All[[#This Row],[noteptsT]]/TBA_Matches_All[[#This Row],[NotePts]],0)</f>
        <v>7.792207792207792E-2</v>
      </c>
      <c r="CW26">
        <f>SUM(IF(TBA_Matches_All[[#This Row],[stageStat]]="On",3,0),IF(TBA_Matches_All[[#This Row],[stageStat]]="Park",1,0),SUMIFS(TBA_Matches_All[[#This Row],[Spotlit]],TBA_Matches_All[[#This Row],[stageStat]],"On"),SUMIFS(TBA_Matches_All[[#This Row],[Harmony]],TBA_Matches_All[[#This Row],[stageStat]],"On"))</f>
        <v>1</v>
      </c>
      <c r="CX26" s="59">
        <f>IFERROR(TBA_Matches_All[[#This Row],[stageptsT]]/TBA_Matches_All[[#This Row],[StagePts]],0)</f>
        <v>8.3333333333333329E-2</v>
      </c>
      <c r="CY26">
        <f>SUM((TBA_Matches_All[[#This Row],[AptsT]]+TBA_Matches_All[[#This Row],[TampT]]+TBA_Matches_All[[#This Row],[TspkrptsC]]+(TBA_Matches_All[[#This Row],[TtrapT]]*5)+TBA_Matches_All[[#This Row],[stageptsT]]))</f>
        <v>7</v>
      </c>
      <c r="CZ26" s="59">
        <f>IFERROR(SUM(TBA_Matches_All[[#This Row],[TotptsC]]/TBA_Matches_All[[#This Row],[Score]]),0)</f>
        <v>7.6923076923076927E-2</v>
      </c>
      <c r="DA2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4.2</v>
      </c>
      <c r="DB26" s="74">
        <f>SUMIFS(TBA_Matches_All[AveTeamTNoteDels],TBA_Matches_All[Match_Number],TBA_Matches_All[[#This Row],[Match_Number]],TBA_Matches_All[Alliance],"&lt;&gt;"&amp;TBA_Matches_All[[#This Row],[Alliance]],TBA_Matches_All[Scouted],"&gt;0")</f>
        <v>31.709427239427239</v>
      </c>
      <c r="DC26" s="74">
        <f>(TBA_Matches_All[[#This Row],[TampT]]+TBA_Matches_All[[#This Row],[TspkrptsC]])-TBA_Matches_All[[#This Row],[AveTeamTNoteDels]]</f>
        <v>1.7999999999999998</v>
      </c>
      <c r="DD26" s="74">
        <f>SUMIFS(TBA_Matches_All[AveTeamTNoteDels],TBA_Matches_All[Match_Number],TBA_Matches_All[[#This Row],[Match_Number]],TBA_Matches_All[Alliance],"&lt;&gt;"&amp;TBA_Matches_All[[#This Row],[Alliance]])-TBA_Matches_All[[#This Row],[AveOppTNoteDels]]</f>
        <v>0</v>
      </c>
    </row>
    <row r="27" spans="1:108" x14ac:dyDescent="0.3">
      <c r="A27" t="s">
        <v>1042</v>
      </c>
      <c r="B27" t="s">
        <v>489</v>
      </c>
      <c r="C27" t="s">
        <v>1299</v>
      </c>
      <c r="D27">
        <v>5</v>
      </c>
      <c r="E27" t="s">
        <v>1420</v>
      </c>
      <c r="F27" t="s">
        <v>1421</v>
      </c>
      <c r="G27" t="s">
        <v>164</v>
      </c>
      <c r="H27" t="s">
        <v>362</v>
      </c>
      <c r="I27" t="b">
        <v>0</v>
      </c>
      <c r="J27">
        <v>41</v>
      </c>
      <c r="K27">
        <v>0</v>
      </c>
      <c r="L27">
        <v>0</v>
      </c>
      <c r="M27">
        <v>20</v>
      </c>
      <c r="N27">
        <v>0</v>
      </c>
      <c r="O27">
        <v>2</v>
      </c>
      <c r="P27">
        <v>10</v>
      </c>
      <c r="Q27">
        <v>14</v>
      </c>
      <c r="R27">
        <v>0</v>
      </c>
      <c r="S27">
        <v>0</v>
      </c>
      <c r="T27">
        <v>6</v>
      </c>
      <c r="U27">
        <v>0</v>
      </c>
      <c r="V27">
        <v>12</v>
      </c>
      <c r="W27">
        <v>6</v>
      </c>
      <c r="X27">
        <v>12</v>
      </c>
      <c r="Y27">
        <v>12</v>
      </c>
      <c r="Z27">
        <v>0</v>
      </c>
      <c r="AA27">
        <v>0</v>
      </c>
      <c r="AB27">
        <v>8</v>
      </c>
      <c r="AC27">
        <v>22</v>
      </c>
      <c r="AD27">
        <v>3</v>
      </c>
      <c r="AE27">
        <f>IFERROR(6/(COUNTIF(Dyno_EndMatch[Match],TBA_Matches_All[[#This Row],[Match_Number]])),0)</f>
        <v>1</v>
      </c>
      <c r="AF27">
        <f>COUNTIFS(Dyno_Data[Team],TBA_Matches_All[[#This Row],[Team]],Dyno_Data[Match],TBA_Matches_All[[#This Row],[Match_Number]],Dyno_Data[RecordType],"EndMatch",Dyno_Data[HPAmp],"Y")</f>
        <v>1</v>
      </c>
      <c r="AG27">
        <f>SUMIFS(Dyno_Data[Mics], Dyno_Data[Team],TBA_Matches_All[[#This Row],[Team]],Dyno_Data[Match],TBA_Matches_All[[#This Row],[Match_Number]],Dyno_Data[RecordType],"EndMatch",Dyno_Data[HPAmp],"Y")</f>
        <v>0</v>
      </c>
      <c r="AH27">
        <f>SUMIFS(Dyno_Data[Leave], Dyno_Data[Team],TBA_Matches_All[[#This Row],[Team]],Dyno_Data[Match],TBA_Matches_All[[#This Row],[Match_Number]],Dyno_Data[RecordType],"EndAuto")</f>
        <v>1</v>
      </c>
      <c r="AI27">
        <f>COUNTIFS(Dyno_Data[Team],TBA_Matches_All[[#This Row],[Team]],Dyno_Data[Match],TBA_Matches_All[[#This Row],[Match_Number]],Dyno_Data[RecordType],"Activities",Dyno_Data[DelDest],"Amp", Dyno_Data[DelMiss],"0", Dyno_Data[Mode],"Auto")</f>
        <v>0</v>
      </c>
      <c r="AJ27">
        <f>COUNTIFS(Dyno_Data[Team],TBA_Matches_All[[#This Row],[Team]],Dyno_Data[Match],TBA_Matches_All[[#This Row],[Match_Number]],Dyno_Data[RecordType],"Activities",Dyno_Data[DelDest],"Spkr", Dyno_Data[DelMiss],"0", Dyno_Data[Mode],"Auto")</f>
        <v>0</v>
      </c>
      <c r="AK27">
        <f>COUNTIFS(Dyno_Data[Team],TBA_Matches_All[[#This Row],[Team]],Dyno_Data[Match],TBA_Matches_All[[#This Row],[Match_Number]],Dyno_Data[RecordType],"Activities",Dyno_Data[DelDest],"Trap", Dyno_Data[DelMiss],"0", Dyno_Data[Mode],"Auto")</f>
        <v>0</v>
      </c>
      <c r="AL27">
        <f>COUNTIFS(Dyno_Data[Team],TBA_Matches_All[[#This Row],[Team]],Dyno_Data[Match],TBA_Matches_All[[#This Row],[Match_Number]],Dyno_Data[RecordType],"Activities",Dyno_Data[DelDest],"Amp", Dyno_Data[DelMiss],"0", Dyno_Data[Mode],"Teleop")</f>
        <v>0</v>
      </c>
      <c r="AM27">
        <f>COUNTIFS(Dyno_Data[Team],TBA_Matches_All[[#This Row],[Team]],Dyno_Data[Match],TBA_Matches_All[[#This Row],[Match_Number]],Dyno_Data[RecordType],"Activities",Dyno_Data[DelDest],"Spkr", Dyno_Data[DelMiss],"0", Dyno_Data[Mode],"Teleop")</f>
        <v>0</v>
      </c>
      <c r="AN27">
        <f>COUNTIFS(Dyno_Data[Team],TBA_Matches_All[[#This Row],[Team]],Dyno_Data[Match],TBA_Matches_All[[#This Row],[Match_Number]],Dyno_Data[RecordType],"Activities",Dyno_Data[DelDest],"Trap", Dyno_Data[DelMiss],"0", Dyno_Data[Mode],"&lt;&gt;Auto")</f>
        <v>0</v>
      </c>
      <c r="AO27">
        <f>SUM(TBA_Matches_All[[#This Row],[AampT]]+TBA_Matches_All[[#This Row],[AspkrT]]+TBA_Matches_All[[#This Row],[AtrapT]]+TBA_Matches_All[[#This Row],[TampT]]+TBA_Matches_All[[#This Row],[TspkrT]]+TBA_Matches_All[[#This Row],[TtrapT]])</f>
        <v>0</v>
      </c>
      <c r="AP27">
        <f>COUNTIFS(Dyno_Data[Team],TBA_Matches_All[[#This Row],[Team]],Dyno_Data[Match],TBA_Matches_All[[#This Row],[Match_Number]],Dyno_Data[RecordType],"Activities",Dyno_Data[DelDest],"Neut", Dyno_Data[DelMiss],"0")</f>
        <v>4</v>
      </c>
      <c r="AQ27">
        <f>COUNTIFS(Dyno_Data[Team],TBA_Matches_All[[#This Row],[Team]],Dyno_Data[Match],TBA_Matches_All[[#This Row],[Match_Number]],Dyno_Data[RecordType],"Activities",Dyno_Data[DelDest],"AllyW", Dyno_Data[DelMiss],"0")</f>
        <v>0</v>
      </c>
      <c r="AR27" t="str">
        <f>_xlfn.XLOOKUP(SUM(MID(TBA_Matches_All[[#This Row],[Team]],4,5),(TBA_Matches_All[[#This Row],[Match_Number]]/100)),Dyno_EndMatch[teammat],Dyno_EndMatch[RobotSta],"_",0,1)</f>
        <v>Amp</v>
      </c>
      <c r="AS27">
        <f>SUMIFS(Dyno_Data[AcqDis], Dyno_Data[Team],TBA_Matches_All[[#This Row],[Team]],Dyno_Data[Match],TBA_Matches_All[[#This Row],[Match_Number]],Dyno_Data[RecordType],"Activities", Dyno_Data[AcqCenter],1,Dyno_Data[Mode],"Auto")</f>
        <v>-1</v>
      </c>
      <c r="AT27">
        <f>SUMIFS(Dyno_Data[AcqDis], Dyno_Data[Team],TBA_Matches_All[[#This Row],[Team]],Dyno_Data[Match],TBA_Matches_All[[#This Row],[Match_Number]],Dyno_Data[RecordType],"Activities", Dyno_Data[AcqCenter],2,Dyno_Data[Mode],"Auto")</f>
        <v>-1</v>
      </c>
      <c r="AU27">
        <f>SUMIFS(Dyno_Data[AcqDis], Dyno_Data[Team],TBA_Matches_All[[#This Row],[Team]],Dyno_Data[Match],TBA_Matches_All[[#This Row],[Match_Number]],Dyno_Data[RecordType],"Activities", Dyno_Data[AcqCenter],3,Dyno_Data[Mode],"Auto")</f>
        <v>-1</v>
      </c>
      <c r="AV27">
        <f>SUMIFS(Dyno_Data[AcqDis], Dyno_Data[Team],TBA_Matches_All[[#This Row],[Team]],Dyno_Data[Match],TBA_Matches_All[[#This Row],[Match_Number]],Dyno_Data[RecordType],"Activities", Dyno_Data[AcqCenter],4,Dyno_Data[Mode],"Auto")</f>
        <v>-1</v>
      </c>
      <c r="AW27">
        <f>SUMIFS(Dyno_Data[AcqDis], Dyno_Data[Team],TBA_Matches_All[[#This Row],[Team]],Dyno_Data[Match],TBA_Matches_All[[#This Row],[Match_Number]],Dyno_Data[RecordType],"Activities", Dyno_Data[AcqCenter],5,Dyno_Data[Mode],"Auto")</f>
        <v>-1</v>
      </c>
      <c r="AX27">
        <f>SUMIFS(Dyno_Data[DelMiss], Dyno_Data[Team],TBA_Matches_All[[#This Row],[Team]],Dyno_Data[Match],TBA_Matches_All[[#This Row],[Match_Number]],Dyno_Data[RecordType],"Activities", Dyno_Data[DelDest],"Amp")</f>
        <v>0</v>
      </c>
      <c r="AY27" s="60">
        <f>IFERROR(SUM((TBA_Matches_All[[#This Row],[AampT]]+TBA_Matches_All[[#This Row],[TampT]])/(TBA_Matches_All[[#This Row],[AampT]]+TBA_Matches_All[[#This Row],[TampT]]+TBA_Matches_All[[#This Row],[ampM]])),0)</f>
        <v>0</v>
      </c>
      <c r="AZ27">
        <f>SUMIFS(Dyno_Data[DelMiss], Dyno_Data[Team],TBA_Matches_All[[#This Row],[Team]],Dyno_Data[Match],TBA_Matches_All[[#This Row],[Match_Number]],Dyno_Data[RecordType],"Activities", Dyno_Data[DelDest],"Spkr")</f>
        <v>0</v>
      </c>
      <c r="BA27" s="60">
        <f>IFERROR(SUM((TBA_Matches_All[[#This Row],[AspkrT]]+TBA_Matches_All[[#This Row],[TspkrT]])/(TBA_Matches_All[[#This Row],[AspkrT]]+TBA_Matches_All[[#This Row],[TspkrT]]+TBA_Matches_All[[#This Row],[spkrM]])),0)</f>
        <v>0</v>
      </c>
      <c r="BB27">
        <f>SUMIFS(Dyno_Data[DelMiss], Dyno_Data[Team],TBA_Matches_All[[#This Row],[Team]],Dyno_Data[Match],TBA_Matches_All[[#This Row],[Match_Number]],Dyno_Data[RecordType],"Activities", Dyno_Data[DelDest],"Trap")</f>
        <v>0</v>
      </c>
      <c r="BC27" s="60">
        <f>IFERROR((TBA_Matches_All[[#This Row],[AtrapT]]+TBA_Matches_All[[#This Row],[TtrapT]])/(TBA_Matches_All[[#This Row],[AtrapT]]+TBA_Matches_All[[#This Row],[TtrapT]]+TBA_Matches_All[[#This Row],[trapM]]),0)</f>
        <v>0</v>
      </c>
      <c r="BD27">
        <f>COUNTIFS(Dyno_Data[Team],TBA_Matches_All[[#This Row],[Team]],Dyno_Data[Match],TBA_Matches_All[[#This Row],[Match_Number]],Dyno_Data[RecordType],"Activities",Dyno_Data[DelDest],"Neut", Dyno_Data[DelMiss],1)</f>
        <v>0</v>
      </c>
      <c r="BE27" s="60">
        <f>IFERROR(SUM((TBA_Matches_All[[#This Row],[NeutFlrT]])/(TBA_Matches_All[[#This Row],[NeutFlrT]]+TBA_Matches_All[[#This Row],[NZflM]])),0)</f>
        <v>1</v>
      </c>
      <c r="BF27">
        <f>COUNTIFS(Dyno_Data[Team],TBA_Matches_All[[#This Row],[Team]],Dyno_Data[Match],TBA_Matches_All[[#This Row],[Match_Number]],Dyno_Data[RecordType],"Activities",Dyno_Data[DelDest],"AllyW", Dyno_Data[DelMiss],1)</f>
        <v>0</v>
      </c>
      <c r="BG27" s="60">
        <f>IFERROR(SUM((TBA_Matches_All[[#This Row],[AllyWFlrT]])/(TBA_Matches_All[[#This Row],[AllyWFlrT]]+TBA_Matches_All[[#This Row],[AZflM]])),0)</f>
        <v>0</v>
      </c>
      <c r="BH27">
        <f>COUNTIFS(Dyno_Data[Team],TBA_Matches_All[[#This Row],[Team]],Dyno_Data[Match],TBA_Matches_All[[#This Row],[Match_Number]],Dyno_Data[RecordType],"Activities",Dyno_Data[DelOrig],"OppW", Dyno_Data[DelMiss],"0")</f>
        <v>3</v>
      </c>
      <c r="BI27">
        <f>COUNTIFS(Dyno_Data[Team],TBA_Matches_All[[#This Row],[Team]],Dyno_Data[Match],TBA_Matches_All[[#This Row],[Match_Number]],Dyno_Data[RecordType],"Activities",Dyno_Data[DelOrig],"OppW", Dyno_Data[DelMiss],"1")</f>
        <v>0</v>
      </c>
      <c r="BJ27" s="60">
        <f>IFERROR(SUM((TBA_Matches_All[[#This Row],[OZflrT]])/(TBA_Matches_All[[#This Row],[OZflrT]]+TBA_Matches_All[[#This Row],[OZflrM]])),0)</f>
        <v>1</v>
      </c>
      <c r="BK27">
        <f>COUNTIFS(Dyno_Data[Team],TBA_Matches_All[[#This Row],[Team]],Dyno_Data[Match],TBA_Matches_All[[#This Row],[Match_Number]],Dyno_Data[RecordType],"Activities",Dyno_Data[DelOrig],"Neut", Dyno_Data[DelMiss],"0")</f>
        <v>1</v>
      </c>
      <c r="BL27">
        <f>COUNTIFS(Dyno_Data[Team],TBA_Matches_All[[#This Row],[Team]],Dyno_Data[Match],TBA_Matches_All[[#This Row],[Match_Number]],Dyno_Data[RecordType],"Activities",Dyno_Data[DelOrig],"Neut", Dyno_Data[DelMiss],"1")</f>
        <v>0</v>
      </c>
      <c r="BM27" s="60">
        <f>IFERROR(SUM((TBA_Matches_All[[#This Row],[NZflrT]])/(TBA_Matches_All[[#This Row],[NZflrT]]+TBA_Matches_All[[#This Row],[NZflrM]])),0)</f>
        <v>1</v>
      </c>
      <c r="BN27">
        <f>COUNTIFS(Dyno_Data[Team],TBA_Matches_All[[#This Row],[Team]],Dyno_Data[Match],TBA_Matches_All[[#This Row],[Match_Number]],Dyno_Data[RecordType],"Activities",Dyno_Data[DelOrig],"AllyW", Dyno_Data[DelMiss],"0")</f>
        <v>0</v>
      </c>
      <c r="BO27">
        <f>COUNTIFS(Dyno_Data[Team],TBA_Matches_All[[#This Row],[Team]],Dyno_Data[Match],TBA_Matches_All[[#This Row],[Match_Number]],Dyno_Data[RecordType],"Activities",Dyno_Data[DelOrig],"AllyW", Dyno_Data[DelMiss],"1")</f>
        <v>0</v>
      </c>
      <c r="BP27" s="60">
        <f>IFERROR(SUM((TBA_Matches_All[[#This Row],[AZflrT]])/(TBA_Matches_All[[#This Row],[AZflrT]]+TBA_Matches_All[[#This Row],[AZflrM]])),0)</f>
        <v>0</v>
      </c>
      <c r="BQ27">
        <f>COUNTIFS(Dyno_Data[Team],TBA_Matches_All[[#This Row],[Team]],Dyno_Data[Match],TBA_Matches_All[[#This Row],[Match_Number]],Dyno_Data[RecordType],"Activities",Dyno_Data[DelOrig],"SubW", Dyno_Data[DelMiss],"0")</f>
        <v>0</v>
      </c>
      <c r="BR27">
        <f>COUNTIFS(Dyno_Data[Team],TBA_Matches_All[[#This Row],[Team]],Dyno_Data[Match],TBA_Matches_All[[#This Row],[Match_Number]],Dyno_Data[RecordType],"Activities",Dyno_Data[DelOrig],"SubW", Dyno_Data[DelMiss],"1")</f>
        <v>0</v>
      </c>
      <c r="BS27" s="60">
        <f>IFERROR(SUM((TBA_Matches_All[[#This Row],[SubwT]])/(TBA_Matches_All[[#This Row],[SubwT]]+TBA_Matches_All[[#This Row],[SubwM]])),0)</f>
        <v>0</v>
      </c>
      <c r="BT27">
        <f>COUNTIFS(Dyno_Data[Team],TBA_Matches_All[[#This Row],[Team]],Dyno_Data[Match],TBA_Matches_All[[#This Row],[Match_Number]],Dyno_Data[RecordType],"Activities", Dyno_Data[AcqLoc],"OppWing")</f>
        <v>0</v>
      </c>
      <c r="BU27">
        <f>COUNTIFS(Dyno_Data[Team],TBA_Matches_All[[#This Row],[Team]],Dyno_Data[Match],TBA_Matches_All[[#This Row],[Match_Number]],Dyno_Data[RecordType],"Activities", Dyno_Data[AcqLoc],"Neutral")</f>
        <v>5</v>
      </c>
      <c r="BV27">
        <f>COUNTIFS(Dyno_Data[Team],TBA_Matches_All[[#This Row],[Team]],Dyno_Data[Match],TBA_Matches_All[[#This Row],[Match_Number]],Dyno_Data[RecordType],"Activities", Dyno_Data[AcqLoc],"AllyWing")</f>
        <v>0</v>
      </c>
      <c r="BW27">
        <f>COUNTIFS(Dyno_Data[Team],TBA_Matches_All[[#This Row],[Team]],Dyno_Data[Match],TBA_Matches_All[[#This Row],[Match_Number]],Dyno_Data[RecordType],"Activities", Dyno_Data[AcqLoc],"Source")</f>
        <v>0</v>
      </c>
      <c r="BX27">
        <f>SUMIFS(Dyno_Data[AcqDrp], Dyno_Data[Team],TBA_Matches_All[[#This Row],[Team]],Dyno_Data[Match],TBA_Matches_All[[#This Row],[Match_Number]],Dyno_Data[RecordType],"Activities", Dyno_Data[AcqLoc],"Source")</f>
        <v>0</v>
      </c>
      <c r="BY27">
        <f>SUMIFS(Dyno_Data[OZTime], Dyno_Data[Team],TBA_Matches_All[[#This Row],[Team]],Dyno_Data[Match],TBA_Matches_All[[#This Row],[Match_Number]],Dyno_Data[RecordType],"EndMatch")</f>
        <v>57.555206299999995</v>
      </c>
      <c r="BZ27">
        <f>SUMIFS(Dyno_Data[NZTime], Dyno_Data[Team],TBA_Matches_All[[#This Row],[Team]],Dyno_Data[Match],TBA_Matches_All[[#This Row],[Match_Number]],Dyno_Data[RecordType],"EndMatch")</f>
        <v>38.223496499999996</v>
      </c>
      <c r="CA27">
        <f>SUMIFS(Dyno_Data[AZTime], Dyno_Data[Team],TBA_Matches_All[[#This Row],[Team]],Dyno_Data[Match],TBA_Matches_All[[#This Row],[Match_Number]],Dyno_Data[RecordType],"EndMatch")</f>
        <v>39.6851798</v>
      </c>
      <c r="CB27">
        <f>SUMIFS(Dyno_Data[ClimbT], Dyno_Data[Team],TBA_Matches_All[[#This Row],[Team]],Dyno_Data[Match],TBA_Matches_All[[#This Row],[Match_Number]],Dyno_Data[RecordType],"EndMatch")</f>
        <v>0</v>
      </c>
      <c r="CC27" t="str">
        <f>_xlfn.XLOOKUP(SUM(MID(TBA_Matches_All[[#This Row],[Team]],4,5),(TBA_Matches_All[[#This Row],[Match_Number]]/100)),Dyno_EndMatch[teammat],Dyno_EndMatch[StageStat],"_",0,1)</f>
        <v>Park</v>
      </c>
      <c r="CD27" t="str">
        <f>_xlfn.XLOOKUP(TBA_Matches_All[[#This Row],[teammat]],Dyno_EndMatch[teammat],Dyno_EndMatch[StageAtt],"_",0,1)</f>
        <v>0</v>
      </c>
      <c r="CE27" t="str">
        <f>_xlfn.XLOOKUP(TBA_Matches_All[[#This Row],[teammat]],Dyno_EndMatch[teammat],Dyno_EndMatch[StageLoc],"_",0,1)</f>
        <v>A</v>
      </c>
      <c r="CF27">
        <f>SUMIFS(Dyno_Data[Harmony], Dyno_Data[Team],TBA_Matches_All[[#This Row],[Team]],Dyno_Data[Match],TBA_Matches_All[[#This Row],[Match_Number]],Dyno_Data[RecordType],"EndMatch", Dyno_Data[StageStat],"On",Dyno_Data[Harmony],"&lt;&gt;9")</f>
        <v>0</v>
      </c>
      <c r="CG27">
        <f>SUMIFS(Dyno_Data[Spotlit], Dyno_Data[Team],TBA_Matches_All[[#This Row],[Team]],Dyno_Data[Match],TBA_Matches_All[[#This Row],[Match_Number]],Dyno_Data[RecordType],"EndMatch", Dyno_Data[StageStat],"On",Dyno_Data[Spotlit],"&lt;&gt;9")</f>
        <v>0</v>
      </c>
      <c r="CH27" t="str">
        <f>_xlfn.XLOOKUP(TBA_Matches_All[[#This Row],[teammat]],Dyno_EndMatch[teammat],Dyno_EndMatch[Strategy],"_",0,1)</f>
        <v>Mover</v>
      </c>
      <c r="CI27">
        <f>SUMIFS(Dyno_Data[Defense], Dyno_Data[Team],TBA_Matches_All[[#This Row],[Team]],Dyno_Data[Match],TBA_Matches_All[[#This Row],[Match_Number]],Dyno_Data[RecordType],"EndMatch",Dyno_Data[Defense],"&lt;&gt;9")</f>
        <v>1</v>
      </c>
      <c r="CJ27">
        <f>SUMIFS(Dyno_Data[Avoidance], Dyno_Data[Team],TBA_Matches_All[[#This Row],[Team]],Dyno_Data[Match],TBA_Matches_All[[#This Row],[Match_Number]],Dyno_Data[RecordType],"EndMatch",Dyno_Data[Avoidance],"&lt;&gt;9")</f>
        <v>0</v>
      </c>
      <c r="CK27" s="82">
        <f>COUNTIF($H$2:TBA_Matches_All[[#This Row],[Team]],TBA_Matches_All[[#This Row],[Team]])</f>
        <v>1</v>
      </c>
      <c r="CL27" s="111">
        <f>SUM(MID(TBA_Matches_All[[#This Row],[Team]],4,5)+TBA_Matches_All[[#This Row],[Match_Number]]/100)</f>
        <v>250.05</v>
      </c>
      <c r="CM27">
        <f>SUM((TBA_Matches_All[[#This Row],[Leave]]*2)+(TBA_Matches_All[[#This Row],[AampT]]*2)+(TBA_Matches_All[[#This Row],[AspkrT]]*5)+(TBA_Matches_All[[#This Row],[AtrapT]]*5))</f>
        <v>2</v>
      </c>
      <c r="CN27" s="59">
        <f>IFERROR(SUM(TBA_Matches_All[[#This Row],[AptsT]]/TBA_Matches_All[[#This Row],[AutoPts]]),0)</f>
        <v>0.14285714285714285</v>
      </c>
      <c r="CO27" s="59">
        <f>IFERROR(SUM(TBA_Matches_All[[#This Row],[AampT]]+TBA_Matches_All[[#This Row],[AspkrT]]+TBA_Matches_All[[#This Row],[AtrapT]]/TBA_Matches_All[[#This Row],[Aamp]]+TBA_Matches_All[[#This Row],[Aspkr]]+TBA_Matches_All[[#This Row],[AtrapT]]),0)</f>
        <v>0</v>
      </c>
      <c r="CP27" s="59">
        <f>IFERROR(SUM(TBA_Matches_All[[#This Row],[TampT]]/TBA_Matches_All[[#This Row],[Tamp]]),0)</f>
        <v>0</v>
      </c>
      <c r="CQ27" s="59">
        <f>IFERROR(SUM(TBA_Matches_All[[#This Row],[TspkrT]]/TBA_Matches_All[[#This Row],[Tspkr]]),0)</f>
        <v>0</v>
      </c>
      <c r="CR27">
        <f>SUM(TBA_Matches_All[[#This Row],[TspkrPts]]*TBA_Matches_All[[#This Row],[TspkrP]])</f>
        <v>0</v>
      </c>
      <c r="CS27" s="59">
        <f>IFERROR(SUM(TBA_Matches_All[[#This Row],[TtrapT]]/TBA_Matches_All[[#This Row],[Trap]]),0)</f>
        <v>0</v>
      </c>
      <c r="CT27" s="59">
        <f>IFERROR(SUM(TBA_Matches_All[[#This Row],[TotNotesT]]/TBA_Matches_All[[#This Row],[TotNotes]]),0)</f>
        <v>0</v>
      </c>
      <c r="CU27" s="66">
        <f>SUM((TBA_Matches_All[[#This Row],[AampT]]*2)+(TBA_Matches_All[[#This Row],[AspkrT]]*5)+(TBA_Matches_All[[#This Row],[AtrapT]]*5)+(TBA_Matches_All[[#This Row],[TampT]]*1)+(TBA_Matches_All[[#This Row],[TspkrptsC]]))</f>
        <v>0</v>
      </c>
      <c r="CV27" s="59">
        <f>IFERROR(TBA_Matches_All[[#This Row],[noteptsT]]/TBA_Matches_All[[#This Row],[NotePts]],0)</f>
        <v>0</v>
      </c>
      <c r="CW27">
        <f>SUM(IF(TBA_Matches_All[[#This Row],[stageStat]]="On",3,0),IF(TBA_Matches_All[[#This Row],[stageStat]]="Park",1,0),SUMIFS(TBA_Matches_All[[#This Row],[Spotlit]],TBA_Matches_All[[#This Row],[stageStat]],"On"),SUMIFS(TBA_Matches_All[[#This Row],[Harmony]],TBA_Matches_All[[#This Row],[stageStat]],"On"))</f>
        <v>1</v>
      </c>
      <c r="CX27" s="59">
        <f>IFERROR(TBA_Matches_All[[#This Row],[stageptsT]]/TBA_Matches_All[[#This Row],[StagePts]],0)</f>
        <v>0.33333333333333331</v>
      </c>
      <c r="CY27">
        <f>SUM((TBA_Matches_All[[#This Row],[AptsT]]+TBA_Matches_All[[#This Row],[TampT]]+TBA_Matches_All[[#This Row],[TspkrptsC]]+(TBA_Matches_All[[#This Row],[TtrapT]]*5)+TBA_Matches_All[[#This Row],[stageptsT]]))</f>
        <v>3</v>
      </c>
      <c r="CZ27" s="59">
        <f>IFERROR(SUM(TBA_Matches_All[[#This Row],[TotptsC]]/TBA_Matches_All[[#This Row],[Score]]),0)</f>
        <v>7.3170731707317069E-2</v>
      </c>
      <c r="DA2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4.375</v>
      </c>
      <c r="DB27" s="74">
        <f>SUMIFS(TBA_Matches_All[AveTeamTNoteDels],TBA_Matches_All[Match_Number],TBA_Matches_All[[#This Row],[Match_Number]],TBA_Matches_All[Alliance],"&lt;&gt;"&amp;TBA_Matches_All[[#This Row],[Alliance]],TBA_Matches_All[Scouted],"&gt;0")</f>
        <v>15.778939393939392</v>
      </c>
      <c r="DC27" s="74">
        <f>(TBA_Matches_All[[#This Row],[TampT]]+TBA_Matches_All[[#This Row],[TspkrptsC]])-TBA_Matches_All[[#This Row],[AveTeamTNoteDels]]</f>
        <v>-4.375</v>
      </c>
      <c r="DD27" s="74">
        <f>SUMIFS(TBA_Matches_All[AveTeamTNoteDels],TBA_Matches_All[Match_Number],TBA_Matches_All[[#This Row],[Match_Number]],TBA_Matches_All[Alliance],"&lt;&gt;"&amp;TBA_Matches_All[[#This Row],[Alliance]])-TBA_Matches_All[[#This Row],[AveOppTNoteDels]]</f>
        <v>0</v>
      </c>
    </row>
    <row r="28" spans="1:108" x14ac:dyDescent="0.3">
      <c r="A28" t="s">
        <v>1042</v>
      </c>
      <c r="B28" t="s">
        <v>489</v>
      </c>
      <c r="C28" t="s">
        <v>1299</v>
      </c>
      <c r="D28">
        <v>5</v>
      </c>
      <c r="E28" t="s">
        <v>1406</v>
      </c>
      <c r="F28" t="s">
        <v>1422</v>
      </c>
      <c r="G28" t="s">
        <v>105</v>
      </c>
      <c r="H28" t="s">
        <v>1303</v>
      </c>
      <c r="I28" t="b">
        <v>0</v>
      </c>
      <c r="J28">
        <v>70</v>
      </c>
      <c r="K28">
        <v>0</v>
      </c>
      <c r="L28">
        <v>1</v>
      </c>
      <c r="M28">
        <v>12</v>
      </c>
      <c r="N28">
        <v>0</v>
      </c>
      <c r="O28">
        <v>3</v>
      </c>
      <c r="P28">
        <v>15</v>
      </c>
      <c r="Q28">
        <v>19</v>
      </c>
      <c r="R28">
        <v>0</v>
      </c>
      <c r="S28">
        <v>0</v>
      </c>
      <c r="T28">
        <v>10</v>
      </c>
      <c r="U28">
        <v>0</v>
      </c>
      <c r="V28">
        <v>20</v>
      </c>
      <c r="W28">
        <v>10</v>
      </c>
      <c r="X28">
        <v>20</v>
      </c>
      <c r="Y28">
        <v>20</v>
      </c>
      <c r="Z28">
        <v>5</v>
      </c>
      <c r="AA28">
        <v>1</v>
      </c>
      <c r="AB28">
        <v>13</v>
      </c>
      <c r="AC28">
        <v>35</v>
      </c>
      <c r="AD28">
        <v>11</v>
      </c>
      <c r="AE28">
        <f>IFERROR(6/(COUNTIF(Dyno_EndMatch[Match],TBA_Matches_All[[#This Row],[Match_Number]])),0)</f>
        <v>1</v>
      </c>
      <c r="AF28">
        <f>COUNTIFS(Dyno_Data[Team],TBA_Matches_All[[#This Row],[Team]],Dyno_Data[Match],TBA_Matches_All[[#This Row],[Match_Number]],Dyno_Data[RecordType],"EndMatch",Dyno_Data[HPAmp],"Y")</f>
        <v>0</v>
      </c>
      <c r="AG28">
        <f>SUMIFS(Dyno_Data[Mics], Dyno_Data[Team],TBA_Matches_All[[#This Row],[Team]],Dyno_Data[Match],TBA_Matches_All[[#This Row],[Match_Number]],Dyno_Data[RecordType],"EndMatch",Dyno_Data[HPAmp],"Y")</f>
        <v>0</v>
      </c>
      <c r="AH28">
        <f>SUMIFS(Dyno_Data[Leave], Dyno_Data[Team],TBA_Matches_All[[#This Row],[Team]],Dyno_Data[Match],TBA_Matches_All[[#This Row],[Match_Number]],Dyno_Data[RecordType],"EndAuto")</f>
        <v>1</v>
      </c>
      <c r="AI28">
        <f>COUNTIFS(Dyno_Data[Team],TBA_Matches_All[[#This Row],[Team]],Dyno_Data[Match],TBA_Matches_All[[#This Row],[Match_Number]],Dyno_Data[RecordType],"Activities",Dyno_Data[DelDest],"Amp", Dyno_Data[DelMiss],"0", Dyno_Data[Mode],"Auto")</f>
        <v>0</v>
      </c>
      <c r="AJ28">
        <f>COUNTIFS(Dyno_Data[Team],TBA_Matches_All[[#This Row],[Team]],Dyno_Data[Match],TBA_Matches_All[[#This Row],[Match_Number]],Dyno_Data[RecordType],"Activities",Dyno_Data[DelDest],"Spkr", Dyno_Data[DelMiss],"0", Dyno_Data[Mode],"Auto")</f>
        <v>4</v>
      </c>
      <c r="AK28">
        <f>COUNTIFS(Dyno_Data[Team],TBA_Matches_All[[#This Row],[Team]],Dyno_Data[Match],TBA_Matches_All[[#This Row],[Match_Number]],Dyno_Data[RecordType],"Activities",Dyno_Data[DelDest],"Trap", Dyno_Data[DelMiss],"0", Dyno_Data[Mode],"Auto")</f>
        <v>0</v>
      </c>
      <c r="AL28">
        <f>COUNTIFS(Dyno_Data[Team],TBA_Matches_All[[#This Row],[Team]],Dyno_Data[Match],TBA_Matches_All[[#This Row],[Match_Number]],Dyno_Data[RecordType],"Activities",Dyno_Data[DelDest],"Amp", Dyno_Data[DelMiss],"0", Dyno_Data[Mode],"Teleop")</f>
        <v>0</v>
      </c>
      <c r="AM28">
        <f>COUNTIFS(Dyno_Data[Team],TBA_Matches_All[[#This Row],[Team]],Dyno_Data[Match],TBA_Matches_All[[#This Row],[Match_Number]],Dyno_Data[RecordType],"Activities",Dyno_Data[DelDest],"Spkr", Dyno_Data[DelMiss],"0", Dyno_Data[Mode],"Teleop")</f>
        <v>7</v>
      </c>
      <c r="AN28">
        <f>COUNTIFS(Dyno_Data[Team],TBA_Matches_All[[#This Row],[Team]],Dyno_Data[Match],TBA_Matches_All[[#This Row],[Match_Number]],Dyno_Data[RecordType],"Activities",Dyno_Data[DelDest],"Trap", Dyno_Data[DelMiss],"0", Dyno_Data[Mode],"&lt;&gt;Auto")</f>
        <v>1</v>
      </c>
      <c r="AO28">
        <f>SUM(TBA_Matches_All[[#This Row],[AampT]]+TBA_Matches_All[[#This Row],[AspkrT]]+TBA_Matches_All[[#This Row],[AtrapT]]+TBA_Matches_All[[#This Row],[TampT]]+TBA_Matches_All[[#This Row],[TspkrT]]+TBA_Matches_All[[#This Row],[TtrapT]])</f>
        <v>12</v>
      </c>
      <c r="AP28">
        <f>COUNTIFS(Dyno_Data[Team],TBA_Matches_All[[#This Row],[Team]],Dyno_Data[Match],TBA_Matches_All[[#This Row],[Match_Number]],Dyno_Data[RecordType],"Activities",Dyno_Data[DelDest],"Neut", Dyno_Data[DelMiss],"0")</f>
        <v>0</v>
      </c>
      <c r="AQ28">
        <f>COUNTIFS(Dyno_Data[Team],TBA_Matches_All[[#This Row],[Team]],Dyno_Data[Match],TBA_Matches_All[[#This Row],[Match_Number]],Dyno_Data[RecordType],"Activities",Dyno_Data[DelDest],"AllyW", Dyno_Data[DelMiss],"0")</f>
        <v>0</v>
      </c>
      <c r="AR28" t="str">
        <f>_xlfn.XLOOKUP(SUM(MID(TBA_Matches_All[[#This Row],[Team]],4,5),(TBA_Matches_All[[#This Row],[Match_Number]]/100)),Dyno_EndMatch[teammat],Dyno_EndMatch[RobotSta],"_",0,1)</f>
        <v>SubW</v>
      </c>
      <c r="AS28">
        <f>SUMIFS(Dyno_Data[AcqDis], Dyno_Data[Team],TBA_Matches_All[[#This Row],[Team]],Dyno_Data[Match],TBA_Matches_All[[#This Row],[Match_Number]],Dyno_Data[RecordType],"Activities", Dyno_Data[AcqCenter],1,Dyno_Data[Mode],"Auto")</f>
        <v>0</v>
      </c>
      <c r="AT28">
        <f>SUMIFS(Dyno_Data[AcqDis], Dyno_Data[Team],TBA_Matches_All[[#This Row],[Team]],Dyno_Data[Match],TBA_Matches_All[[#This Row],[Match_Number]],Dyno_Data[RecordType],"Activities", Dyno_Data[AcqCenter],2,Dyno_Data[Mode],"Auto")</f>
        <v>0</v>
      </c>
      <c r="AU28">
        <f>SUMIFS(Dyno_Data[AcqDis], Dyno_Data[Team],TBA_Matches_All[[#This Row],[Team]],Dyno_Data[Match],TBA_Matches_All[[#This Row],[Match_Number]],Dyno_Data[RecordType],"Activities", Dyno_Data[AcqCenter],3,Dyno_Data[Mode],"Auto")</f>
        <v>0</v>
      </c>
      <c r="AV28">
        <f>SUMIFS(Dyno_Data[AcqDis], Dyno_Data[Team],TBA_Matches_All[[#This Row],[Team]],Dyno_Data[Match],TBA_Matches_All[[#This Row],[Match_Number]],Dyno_Data[RecordType],"Activities", Dyno_Data[AcqCenter],4,Dyno_Data[Mode],"Auto")</f>
        <v>1</v>
      </c>
      <c r="AW28">
        <f>SUMIFS(Dyno_Data[AcqDis], Dyno_Data[Team],TBA_Matches_All[[#This Row],[Team]],Dyno_Data[Match],TBA_Matches_All[[#This Row],[Match_Number]],Dyno_Data[RecordType],"Activities", Dyno_Data[AcqCenter],5,Dyno_Data[Mode],"Auto")</f>
        <v>1</v>
      </c>
      <c r="AX28">
        <f>SUMIFS(Dyno_Data[DelMiss], Dyno_Data[Team],TBA_Matches_All[[#This Row],[Team]],Dyno_Data[Match],TBA_Matches_All[[#This Row],[Match_Number]],Dyno_Data[RecordType],"Activities", Dyno_Data[DelDest],"Amp")</f>
        <v>0</v>
      </c>
      <c r="AY28" s="60">
        <f>IFERROR(SUM((TBA_Matches_All[[#This Row],[AampT]]+TBA_Matches_All[[#This Row],[TampT]])/(TBA_Matches_All[[#This Row],[AampT]]+TBA_Matches_All[[#This Row],[TampT]]+TBA_Matches_All[[#This Row],[ampM]])),0)</f>
        <v>0</v>
      </c>
      <c r="AZ28">
        <f>SUMIFS(Dyno_Data[DelMiss], Dyno_Data[Team],TBA_Matches_All[[#This Row],[Team]],Dyno_Data[Match],TBA_Matches_All[[#This Row],[Match_Number]],Dyno_Data[RecordType],"Activities", Dyno_Data[DelDest],"Spkr")</f>
        <v>0</v>
      </c>
      <c r="BA28" s="60">
        <f>IFERROR(SUM((TBA_Matches_All[[#This Row],[AspkrT]]+TBA_Matches_All[[#This Row],[TspkrT]])/(TBA_Matches_All[[#This Row],[AspkrT]]+TBA_Matches_All[[#This Row],[TspkrT]]+TBA_Matches_All[[#This Row],[spkrM]])),0)</f>
        <v>1</v>
      </c>
      <c r="BB28">
        <f>SUMIFS(Dyno_Data[DelMiss], Dyno_Data[Team],TBA_Matches_All[[#This Row],[Team]],Dyno_Data[Match],TBA_Matches_All[[#This Row],[Match_Number]],Dyno_Data[RecordType],"Activities", Dyno_Data[DelDest],"Trap")</f>
        <v>0</v>
      </c>
      <c r="BC28" s="60">
        <f>IFERROR((TBA_Matches_All[[#This Row],[AtrapT]]+TBA_Matches_All[[#This Row],[TtrapT]])/(TBA_Matches_All[[#This Row],[AtrapT]]+TBA_Matches_All[[#This Row],[TtrapT]]+TBA_Matches_All[[#This Row],[trapM]]),0)</f>
        <v>1</v>
      </c>
      <c r="BD28">
        <f>COUNTIFS(Dyno_Data[Team],TBA_Matches_All[[#This Row],[Team]],Dyno_Data[Match],TBA_Matches_All[[#This Row],[Match_Number]],Dyno_Data[RecordType],"Activities",Dyno_Data[DelDest],"Neut", Dyno_Data[DelMiss],1)</f>
        <v>0</v>
      </c>
      <c r="BE28" s="60">
        <f>IFERROR(SUM((TBA_Matches_All[[#This Row],[NeutFlrT]])/(TBA_Matches_All[[#This Row],[NeutFlrT]]+TBA_Matches_All[[#This Row],[NZflM]])),0)</f>
        <v>0</v>
      </c>
      <c r="BF28">
        <f>COUNTIFS(Dyno_Data[Team],TBA_Matches_All[[#This Row],[Team]],Dyno_Data[Match],TBA_Matches_All[[#This Row],[Match_Number]],Dyno_Data[RecordType],"Activities",Dyno_Data[DelDest],"AllyW", Dyno_Data[DelMiss],1)</f>
        <v>0</v>
      </c>
      <c r="BG28" s="60">
        <f>IFERROR(SUM((TBA_Matches_All[[#This Row],[AllyWFlrT]])/(TBA_Matches_All[[#This Row],[AllyWFlrT]]+TBA_Matches_All[[#This Row],[AZflM]])),0)</f>
        <v>0</v>
      </c>
      <c r="BH28">
        <f>COUNTIFS(Dyno_Data[Team],TBA_Matches_All[[#This Row],[Team]],Dyno_Data[Match],TBA_Matches_All[[#This Row],[Match_Number]],Dyno_Data[RecordType],"Activities",Dyno_Data[DelOrig],"OppW", Dyno_Data[DelMiss],"0")</f>
        <v>0</v>
      </c>
      <c r="BI28">
        <f>COUNTIFS(Dyno_Data[Team],TBA_Matches_All[[#This Row],[Team]],Dyno_Data[Match],TBA_Matches_All[[#This Row],[Match_Number]],Dyno_Data[RecordType],"Activities",Dyno_Data[DelOrig],"OppW", Dyno_Data[DelMiss],"1")</f>
        <v>0</v>
      </c>
      <c r="BJ28" s="60">
        <f>IFERROR(SUM((TBA_Matches_All[[#This Row],[OZflrT]])/(TBA_Matches_All[[#This Row],[OZflrT]]+TBA_Matches_All[[#This Row],[OZflrM]])),0)</f>
        <v>0</v>
      </c>
      <c r="BK28">
        <f>COUNTIFS(Dyno_Data[Team],TBA_Matches_All[[#This Row],[Team]],Dyno_Data[Match],TBA_Matches_All[[#This Row],[Match_Number]],Dyno_Data[RecordType],"Activities",Dyno_Data[DelOrig],"Neut", Dyno_Data[DelMiss],"0")</f>
        <v>0</v>
      </c>
      <c r="BL28">
        <f>COUNTIFS(Dyno_Data[Team],TBA_Matches_All[[#This Row],[Team]],Dyno_Data[Match],TBA_Matches_All[[#This Row],[Match_Number]],Dyno_Data[RecordType],"Activities",Dyno_Data[DelOrig],"Neut", Dyno_Data[DelMiss],"1")</f>
        <v>0</v>
      </c>
      <c r="BM28" s="60">
        <f>IFERROR(SUM((TBA_Matches_All[[#This Row],[NZflrT]])/(TBA_Matches_All[[#This Row],[NZflrT]]+TBA_Matches_All[[#This Row],[NZflrM]])),0)</f>
        <v>0</v>
      </c>
      <c r="BN28">
        <f>COUNTIFS(Dyno_Data[Team],TBA_Matches_All[[#This Row],[Team]],Dyno_Data[Match],TBA_Matches_All[[#This Row],[Match_Number]],Dyno_Data[RecordType],"Activities",Dyno_Data[DelOrig],"AllyW", Dyno_Data[DelMiss],"0")</f>
        <v>4</v>
      </c>
      <c r="BO28">
        <f>COUNTIFS(Dyno_Data[Team],TBA_Matches_All[[#This Row],[Team]],Dyno_Data[Match],TBA_Matches_All[[#This Row],[Match_Number]],Dyno_Data[RecordType],"Activities",Dyno_Data[DelOrig],"AllyW", Dyno_Data[DelMiss],"1")</f>
        <v>0</v>
      </c>
      <c r="BP28" s="60">
        <f>IFERROR(SUM((TBA_Matches_All[[#This Row],[AZflrT]])/(TBA_Matches_All[[#This Row],[AZflrT]]+TBA_Matches_All[[#This Row],[AZflrM]])),0)</f>
        <v>1</v>
      </c>
      <c r="BQ28">
        <f>COUNTIFS(Dyno_Data[Team],TBA_Matches_All[[#This Row],[Team]],Dyno_Data[Match],TBA_Matches_All[[#This Row],[Match_Number]],Dyno_Data[RecordType],"Activities",Dyno_Data[DelOrig],"SubW", Dyno_Data[DelMiss],"0")</f>
        <v>7</v>
      </c>
      <c r="BR28">
        <f>COUNTIFS(Dyno_Data[Team],TBA_Matches_All[[#This Row],[Team]],Dyno_Data[Match],TBA_Matches_All[[#This Row],[Match_Number]],Dyno_Data[RecordType],"Activities",Dyno_Data[DelOrig],"SubW", Dyno_Data[DelMiss],"1")</f>
        <v>0</v>
      </c>
      <c r="BS28" s="60">
        <f>IFERROR(SUM((TBA_Matches_All[[#This Row],[SubwT]])/(TBA_Matches_All[[#This Row],[SubwT]]+TBA_Matches_All[[#This Row],[SubwM]])),0)</f>
        <v>1</v>
      </c>
      <c r="BT28">
        <f>COUNTIFS(Dyno_Data[Team],TBA_Matches_All[[#This Row],[Team]],Dyno_Data[Match],TBA_Matches_All[[#This Row],[Match_Number]],Dyno_Data[RecordType],"Activities", Dyno_Data[AcqLoc],"OppWing")</f>
        <v>0</v>
      </c>
      <c r="BU28">
        <f>COUNTIFS(Dyno_Data[Team],TBA_Matches_All[[#This Row],[Team]],Dyno_Data[Match],TBA_Matches_All[[#This Row],[Match_Number]],Dyno_Data[RecordType],"Activities", Dyno_Data[AcqLoc],"Neutral")</f>
        <v>4</v>
      </c>
      <c r="BV28">
        <f>COUNTIFS(Dyno_Data[Team],TBA_Matches_All[[#This Row],[Team]],Dyno_Data[Match],TBA_Matches_All[[#This Row],[Match_Number]],Dyno_Data[RecordType],"Activities", Dyno_Data[AcqLoc],"AllyWing")</f>
        <v>0</v>
      </c>
      <c r="BW28">
        <f>COUNTIFS(Dyno_Data[Team],TBA_Matches_All[[#This Row],[Team]],Dyno_Data[Match],TBA_Matches_All[[#This Row],[Match_Number]],Dyno_Data[RecordType],"Activities", Dyno_Data[AcqLoc],"Source")</f>
        <v>0</v>
      </c>
      <c r="BX28">
        <f>SUMIFS(Dyno_Data[AcqDrp], Dyno_Data[Team],TBA_Matches_All[[#This Row],[Team]],Dyno_Data[Match],TBA_Matches_All[[#This Row],[Match_Number]],Dyno_Data[RecordType],"Activities", Dyno_Data[AcqLoc],"Source")</f>
        <v>0</v>
      </c>
      <c r="BY28">
        <f>SUMIFS(Dyno_Data[OZTime], Dyno_Data[Team],TBA_Matches_All[[#This Row],[Team]],Dyno_Data[Match],TBA_Matches_All[[#This Row],[Match_Number]],Dyno_Data[RecordType],"EndMatch")</f>
        <v>27.578859699999999</v>
      </c>
      <c r="BZ28">
        <f>SUMIFS(Dyno_Data[NZTime], Dyno_Data[Team],TBA_Matches_All[[#This Row],[Team]],Dyno_Data[Match],TBA_Matches_All[[#This Row],[Match_Number]],Dyno_Data[RecordType],"EndMatch")</f>
        <v>21.506410799999998</v>
      </c>
      <c r="CA28">
        <f>SUMIFS(Dyno_Data[AZTime], Dyno_Data[Team],TBA_Matches_All[[#This Row],[Team]],Dyno_Data[Match],TBA_Matches_All[[#This Row],[Match_Number]],Dyno_Data[RecordType],"EndMatch")</f>
        <v>76.301018099999993</v>
      </c>
      <c r="CB28">
        <f>SUMIFS(Dyno_Data[ClimbT], Dyno_Data[Team],TBA_Matches_All[[#This Row],[Team]],Dyno_Data[Match],TBA_Matches_All[[#This Row],[Match_Number]],Dyno_Data[RecordType],"EndMatch")</f>
        <v>8.0245225999999992</v>
      </c>
      <c r="CC28" t="str">
        <f>_xlfn.XLOOKUP(SUM(MID(TBA_Matches_All[[#This Row],[Team]],4,5),(TBA_Matches_All[[#This Row],[Match_Number]]/100)),Dyno_EndMatch[teammat],Dyno_EndMatch[StageStat],"_",0,1)</f>
        <v>On</v>
      </c>
      <c r="CD28" t="str">
        <f>_xlfn.XLOOKUP(TBA_Matches_All[[#This Row],[teammat]],Dyno_EndMatch[teammat],Dyno_EndMatch[StageAtt],"_",0,1)</f>
        <v>1</v>
      </c>
      <c r="CE28" t="str">
        <f>_xlfn.XLOOKUP(TBA_Matches_All[[#This Row],[teammat]],Dyno_EndMatch[teammat],Dyno_EndMatch[StageLoc],"_",0,1)</f>
        <v>R</v>
      </c>
      <c r="CF28">
        <f>SUMIFS(Dyno_Data[Harmony], Dyno_Data[Team],TBA_Matches_All[[#This Row],[Team]],Dyno_Data[Match],TBA_Matches_All[[#This Row],[Match_Number]],Dyno_Data[RecordType],"EndMatch", Dyno_Data[StageStat],"On",Dyno_Data[Harmony],"&lt;&gt;9")</f>
        <v>0</v>
      </c>
      <c r="CG28">
        <f>SUMIFS(Dyno_Data[Spotlit], Dyno_Data[Team],TBA_Matches_All[[#This Row],[Team]],Dyno_Data[Match],TBA_Matches_All[[#This Row],[Match_Number]],Dyno_Data[RecordType],"EndMatch", Dyno_Data[StageStat],"On",Dyno_Data[Spotlit],"&lt;&gt;9")</f>
        <v>0</v>
      </c>
      <c r="CH28" t="str">
        <f>_xlfn.XLOOKUP(TBA_Matches_All[[#This Row],[teammat]],Dyno_EndMatch[teammat],Dyno_EndMatch[Strategy],"_",0,1)</f>
        <v>Hybrid</v>
      </c>
      <c r="CI28">
        <f>SUMIFS(Dyno_Data[Defense], Dyno_Data[Team],TBA_Matches_All[[#This Row],[Team]],Dyno_Data[Match],TBA_Matches_All[[#This Row],[Match_Number]],Dyno_Data[RecordType],"EndMatch",Dyno_Data[Defense],"&lt;&gt;9")</f>
        <v>0</v>
      </c>
      <c r="CJ28">
        <f>SUMIFS(Dyno_Data[Avoidance], Dyno_Data[Team],TBA_Matches_All[[#This Row],[Team]],Dyno_Data[Match],TBA_Matches_All[[#This Row],[Match_Number]],Dyno_Data[RecordType],"EndMatch",Dyno_Data[Avoidance],"&lt;&gt;9")</f>
        <v>0</v>
      </c>
      <c r="CK28" s="82">
        <f>COUNTIF($H$2:TBA_Matches_All[[#This Row],[Team]],TBA_Matches_All[[#This Row],[Team]])</f>
        <v>1</v>
      </c>
      <c r="CL28" s="111">
        <f>SUM(MID(TBA_Matches_All[[#This Row],[Team]],4,5)+TBA_Matches_All[[#This Row],[Match_Number]]/100)</f>
        <v>7605.05</v>
      </c>
      <c r="CM28">
        <f>SUM((TBA_Matches_All[[#This Row],[Leave]]*2)+(TBA_Matches_All[[#This Row],[AampT]]*2)+(TBA_Matches_All[[#This Row],[AspkrT]]*5)+(TBA_Matches_All[[#This Row],[AtrapT]]*5))</f>
        <v>22</v>
      </c>
      <c r="CN28" s="59">
        <f>IFERROR(SUM(TBA_Matches_All[[#This Row],[AptsT]]/TBA_Matches_All[[#This Row],[AutoPts]]),0)</f>
        <v>1.1578947368421053</v>
      </c>
      <c r="CO28" s="59">
        <f>IFERROR(SUM(TBA_Matches_All[[#This Row],[AampT]]+TBA_Matches_All[[#This Row],[AspkrT]]+TBA_Matches_All[[#This Row],[AtrapT]]/TBA_Matches_All[[#This Row],[Aamp]]+TBA_Matches_All[[#This Row],[Aspkr]]+TBA_Matches_All[[#This Row],[AtrapT]]),0)</f>
        <v>0</v>
      </c>
      <c r="CP28" s="59">
        <f>IFERROR(SUM(TBA_Matches_All[[#This Row],[TampT]]/TBA_Matches_All[[#This Row],[Tamp]]),0)</f>
        <v>0</v>
      </c>
      <c r="CQ28" s="59">
        <f>IFERROR(SUM(TBA_Matches_All[[#This Row],[TspkrT]]/TBA_Matches_All[[#This Row],[Tspkr]]),0)</f>
        <v>0.7</v>
      </c>
      <c r="CR28">
        <f>SUM(TBA_Matches_All[[#This Row],[TspkrPts]]*TBA_Matches_All[[#This Row],[TspkrP]])</f>
        <v>14</v>
      </c>
      <c r="CS28" s="59">
        <f>IFERROR(SUM(TBA_Matches_All[[#This Row],[TtrapT]]/TBA_Matches_All[[#This Row],[Trap]]),0)</f>
        <v>1</v>
      </c>
      <c r="CT28" s="59">
        <f>IFERROR(SUM(TBA_Matches_All[[#This Row],[TotNotesT]]/TBA_Matches_All[[#This Row],[TotNotes]]),0)</f>
        <v>0.92307692307692313</v>
      </c>
      <c r="CU28" s="66">
        <f>SUM((TBA_Matches_All[[#This Row],[AampT]]*2)+(TBA_Matches_All[[#This Row],[AspkrT]]*5)+(TBA_Matches_All[[#This Row],[AtrapT]]*5)+(TBA_Matches_All[[#This Row],[TampT]]*1)+(TBA_Matches_All[[#This Row],[TspkrptsC]]))</f>
        <v>34</v>
      </c>
      <c r="CV28" s="59">
        <f>IFERROR(TBA_Matches_All[[#This Row],[noteptsT]]/TBA_Matches_All[[#This Row],[NotePts]],0)</f>
        <v>0.97142857142857142</v>
      </c>
      <c r="CW28">
        <f>SUM(IF(TBA_Matches_All[[#This Row],[stageStat]]="On",3,0),IF(TBA_Matches_All[[#This Row],[stageStat]]="Park",1,0),SUMIFS(TBA_Matches_All[[#This Row],[Spotlit]],TBA_Matches_All[[#This Row],[stageStat]],"On"),SUMIFS(TBA_Matches_All[[#This Row],[Harmony]],TBA_Matches_All[[#This Row],[stageStat]],"On"))</f>
        <v>3</v>
      </c>
      <c r="CX28" s="59">
        <f>IFERROR(TBA_Matches_All[[#This Row],[stageptsT]]/TBA_Matches_All[[#This Row],[StagePts]],0)</f>
        <v>0.27272727272727271</v>
      </c>
      <c r="CY28">
        <f>SUM((TBA_Matches_All[[#This Row],[AptsT]]+TBA_Matches_All[[#This Row],[TampT]]+TBA_Matches_All[[#This Row],[TspkrptsC]]+(TBA_Matches_All[[#This Row],[TtrapT]]*5)+TBA_Matches_All[[#This Row],[stageptsT]]))</f>
        <v>44</v>
      </c>
      <c r="CZ28" s="59">
        <f>IFERROR(SUM(TBA_Matches_All[[#This Row],[TotptsC]]/TBA_Matches_All[[#This Row],[Score]]),0)</f>
        <v>0.62857142857142856</v>
      </c>
      <c r="DA2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10.986666666666666</v>
      </c>
      <c r="DB28" s="74">
        <f>SUMIFS(TBA_Matches_All[AveTeamTNoteDels],TBA_Matches_All[Match_Number],TBA_Matches_All[[#This Row],[Match_Number]],TBA_Matches_All[Alliance],"&lt;&gt;"&amp;TBA_Matches_All[[#This Row],[Alliance]],TBA_Matches_All[Scouted],"&gt;0")</f>
        <v>18.746428571428574</v>
      </c>
      <c r="DC28" s="74">
        <f>(TBA_Matches_All[[#This Row],[TampT]]+TBA_Matches_All[[#This Row],[TspkrptsC]])-TBA_Matches_All[[#This Row],[AveTeamTNoteDels]]</f>
        <v>3.0133333333333336</v>
      </c>
      <c r="DD28" s="74">
        <f>SUMIFS(TBA_Matches_All[AveTeamTNoteDels],TBA_Matches_All[Match_Number],TBA_Matches_All[[#This Row],[Match_Number]],TBA_Matches_All[Alliance],"&lt;&gt;"&amp;TBA_Matches_All[[#This Row],[Alliance]])-TBA_Matches_All[[#This Row],[AveOppTNoteDels]]</f>
        <v>0</v>
      </c>
    </row>
    <row r="29" spans="1:108" x14ac:dyDescent="0.3">
      <c r="A29" t="s">
        <v>1042</v>
      </c>
      <c r="B29" t="s">
        <v>489</v>
      </c>
      <c r="C29" t="s">
        <v>1299</v>
      </c>
      <c r="D29">
        <v>5</v>
      </c>
      <c r="E29" t="s">
        <v>1420</v>
      </c>
      <c r="F29" t="s">
        <v>1423</v>
      </c>
      <c r="G29" t="s">
        <v>1409</v>
      </c>
      <c r="H29" t="s">
        <v>1300</v>
      </c>
      <c r="I29" t="b">
        <v>0</v>
      </c>
      <c r="J29">
        <v>41</v>
      </c>
      <c r="K29">
        <v>0</v>
      </c>
      <c r="L29">
        <v>0</v>
      </c>
      <c r="M29">
        <v>20</v>
      </c>
      <c r="N29">
        <v>0</v>
      </c>
      <c r="O29">
        <v>2</v>
      </c>
      <c r="P29">
        <v>10</v>
      </c>
      <c r="Q29">
        <v>14</v>
      </c>
      <c r="R29">
        <v>0</v>
      </c>
      <c r="S29">
        <v>0</v>
      </c>
      <c r="T29">
        <v>6</v>
      </c>
      <c r="U29">
        <v>0</v>
      </c>
      <c r="V29">
        <v>12</v>
      </c>
      <c r="W29">
        <v>6</v>
      </c>
      <c r="X29">
        <v>12</v>
      </c>
      <c r="Y29">
        <v>12</v>
      </c>
      <c r="Z29">
        <v>0</v>
      </c>
      <c r="AA29">
        <v>0</v>
      </c>
      <c r="AB29">
        <v>8</v>
      </c>
      <c r="AC29">
        <v>22</v>
      </c>
      <c r="AD29">
        <v>3</v>
      </c>
      <c r="AE29">
        <f>IFERROR(6/(COUNTIF(Dyno_EndMatch[Match],TBA_Matches_All[[#This Row],[Match_Number]])),0)</f>
        <v>1</v>
      </c>
      <c r="AF29">
        <f>COUNTIFS(Dyno_Data[Team],TBA_Matches_All[[#This Row],[Team]],Dyno_Data[Match],TBA_Matches_All[[#This Row],[Match_Number]],Dyno_Data[RecordType],"EndMatch",Dyno_Data[HPAmp],"Y")</f>
        <v>0</v>
      </c>
      <c r="AG29">
        <f>SUMIFS(Dyno_Data[Mics], Dyno_Data[Team],TBA_Matches_All[[#This Row],[Team]],Dyno_Data[Match],TBA_Matches_All[[#This Row],[Match_Number]],Dyno_Data[RecordType],"EndMatch",Dyno_Data[HPAmp],"Y")</f>
        <v>0</v>
      </c>
      <c r="AH29">
        <f>SUMIFS(Dyno_Data[Leave], Dyno_Data[Team],TBA_Matches_All[[#This Row],[Team]],Dyno_Data[Match],TBA_Matches_All[[#This Row],[Match_Number]],Dyno_Data[RecordType],"EndAuto")</f>
        <v>1</v>
      </c>
      <c r="AI29">
        <f>COUNTIFS(Dyno_Data[Team],TBA_Matches_All[[#This Row],[Team]],Dyno_Data[Match],TBA_Matches_All[[#This Row],[Match_Number]],Dyno_Data[RecordType],"Activities",Dyno_Data[DelDest],"Amp", Dyno_Data[DelMiss],"0", Dyno_Data[Mode],"Auto")</f>
        <v>0</v>
      </c>
      <c r="AJ29">
        <f>COUNTIFS(Dyno_Data[Team],TBA_Matches_All[[#This Row],[Team]],Dyno_Data[Match],TBA_Matches_All[[#This Row],[Match_Number]],Dyno_Data[RecordType],"Activities",Dyno_Data[DelDest],"Spkr", Dyno_Data[DelMiss],"0", Dyno_Data[Mode],"Auto")</f>
        <v>2</v>
      </c>
      <c r="AK29">
        <f>COUNTIFS(Dyno_Data[Team],TBA_Matches_All[[#This Row],[Team]],Dyno_Data[Match],TBA_Matches_All[[#This Row],[Match_Number]],Dyno_Data[RecordType],"Activities",Dyno_Data[DelDest],"Trap", Dyno_Data[DelMiss],"0", Dyno_Data[Mode],"Auto")</f>
        <v>0</v>
      </c>
      <c r="AL29">
        <f>COUNTIFS(Dyno_Data[Team],TBA_Matches_All[[#This Row],[Team]],Dyno_Data[Match],TBA_Matches_All[[#This Row],[Match_Number]],Dyno_Data[RecordType],"Activities",Dyno_Data[DelDest],"Amp", Dyno_Data[DelMiss],"0", Dyno_Data[Mode],"Teleop")</f>
        <v>0</v>
      </c>
      <c r="AM29">
        <f>COUNTIFS(Dyno_Data[Team],TBA_Matches_All[[#This Row],[Team]],Dyno_Data[Match],TBA_Matches_All[[#This Row],[Match_Number]],Dyno_Data[RecordType],"Activities",Dyno_Data[DelDest],"Spkr", Dyno_Data[DelMiss],"0", Dyno_Data[Mode],"Teleop")</f>
        <v>6</v>
      </c>
      <c r="AN29">
        <f>COUNTIFS(Dyno_Data[Team],TBA_Matches_All[[#This Row],[Team]],Dyno_Data[Match],TBA_Matches_All[[#This Row],[Match_Number]],Dyno_Data[RecordType],"Activities",Dyno_Data[DelDest],"Trap", Dyno_Data[DelMiss],"0", Dyno_Data[Mode],"&lt;&gt;Auto")</f>
        <v>0</v>
      </c>
      <c r="AO29">
        <f>SUM(TBA_Matches_All[[#This Row],[AampT]]+TBA_Matches_All[[#This Row],[AspkrT]]+TBA_Matches_All[[#This Row],[AtrapT]]+TBA_Matches_All[[#This Row],[TampT]]+TBA_Matches_All[[#This Row],[TspkrT]]+TBA_Matches_All[[#This Row],[TtrapT]])</f>
        <v>8</v>
      </c>
      <c r="AP29">
        <f>COUNTIFS(Dyno_Data[Team],TBA_Matches_All[[#This Row],[Team]],Dyno_Data[Match],TBA_Matches_All[[#This Row],[Match_Number]],Dyno_Data[RecordType],"Activities",Dyno_Data[DelDest],"Neut", Dyno_Data[DelMiss],"0")</f>
        <v>0</v>
      </c>
      <c r="AQ29">
        <f>COUNTIFS(Dyno_Data[Team],TBA_Matches_All[[#This Row],[Team]],Dyno_Data[Match],TBA_Matches_All[[#This Row],[Match_Number]],Dyno_Data[RecordType],"Activities",Dyno_Data[DelDest],"AllyW", Dyno_Data[DelMiss],"0")</f>
        <v>0</v>
      </c>
      <c r="AR29" t="str">
        <f>_xlfn.XLOOKUP(SUM(MID(TBA_Matches_All[[#This Row],[Team]],4,5),(TBA_Matches_All[[#This Row],[Match_Number]]/100)),Dyno_EndMatch[teammat],Dyno_EndMatch[RobotSta],"_",0,1)</f>
        <v>Podm</v>
      </c>
      <c r="AS29">
        <f>SUMIFS(Dyno_Data[AcqDis], Dyno_Data[Team],TBA_Matches_All[[#This Row],[Team]],Dyno_Data[Match],TBA_Matches_All[[#This Row],[Match_Number]],Dyno_Data[RecordType],"Activities", Dyno_Data[AcqCenter],1,Dyno_Data[Mode],"Auto")</f>
        <v>0</v>
      </c>
      <c r="AT29">
        <f>SUMIFS(Dyno_Data[AcqDis], Dyno_Data[Team],TBA_Matches_All[[#This Row],[Team]],Dyno_Data[Match],TBA_Matches_All[[#This Row],[Match_Number]],Dyno_Data[RecordType],"Activities", Dyno_Data[AcqCenter],2,Dyno_Data[Mode],"Auto")</f>
        <v>0</v>
      </c>
      <c r="AU29">
        <f>SUMIFS(Dyno_Data[AcqDis], Dyno_Data[Team],TBA_Matches_All[[#This Row],[Team]],Dyno_Data[Match],TBA_Matches_All[[#This Row],[Match_Number]],Dyno_Data[RecordType],"Activities", Dyno_Data[AcqCenter],3,Dyno_Data[Mode],"Auto")</f>
        <v>0</v>
      </c>
      <c r="AV29">
        <f>SUMIFS(Dyno_Data[AcqDis], Dyno_Data[Team],TBA_Matches_All[[#This Row],[Team]],Dyno_Data[Match],TBA_Matches_All[[#This Row],[Match_Number]],Dyno_Data[RecordType],"Activities", Dyno_Data[AcqCenter],4,Dyno_Data[Mode],"Auto")</f>
        <v>0</v>
      </c>
      <c r="AW29">
        <f>SUMIFS(Dyno_Data[AcqDis], Dyno_Data[Team],TBA_Matches_All[[#This Row],[Team]],Dyno_Data[Match],TBA_Matches_All[[#This Row],[Match_Number]],Dyno_Data[RecordType],"Activities", Dyno_Data[AcqCenter],5,Dyno_Data[Mode],"Auto")</f>
        <v>0</v>
      </c>
      <c r="AX29">
        <f>SUMIFS(Dyno_Data[DelMiss], Dyno_Data[Team],TBA_Matches_All[[#This Row],[Team]],Dyno_Data[Match],TBA_Matches_All[[#This Row],[Match_Number]],Dyno_Data[RecordType],"Activities", Dyno_Data[DelDest],"Amp")</f>
        <v>0</v>
      </c>
      <c r="AY29" s="60">
        <f>IFERROR(SUM((TBA_Matches_All[[#This Row],[AampT]]+TBA_Matches_All[[#This Row],[TampT]])/(TBA_Matches_All[[#This Row],[AampT]]+TBA_Matches_All[[#This Row],[TampT]]+TBA_Matches_All[[#This Row],[ampM]])),0)</f>
        <v>0</v>
      </c>
      <c r="AZ29">
        <f>SUMIFS(Dyno_Data[DelMiss], Dyno_Data[Team],TBA_Matches_All[[#This Row],[Team]],Dyno_Data[Match],TBA_Matches_All[[#This Row],[Match_Number]],Dyno_Data[RecordType],"Activities", Dyno_Data[DelDest],"Spkr")</f>
        <v>8</v>
      </c>
      <c r="BA29" s="60">
        <f>IFERROR(SUM((TBA_Matches_All[[#This Row],[AspkrT]]+TBA_Matches_All[[#This Row],[TspkrT]])/(TBA_Matches_All[[#This Row],[AspkrT]]+TBA_Matches_All[[#This Row],[TspkrT]]+TBA_Matches_All[[#This Row],[spkrM]])),0)</f>
        <v>0.5</v>
      </c>
      <c r="BB29">
        <f>SUMIFS(Dyno_Data[DelMiss], Dyno_Data[Team],TBA_Matches_All[[#This Row],[Team]],Dyno_Data[Match],TBA_Matches_All[[#This Row],[Match_Number]],Dyno_Data[RecordType],"Activities", Dyno_Data[DelDest],"Trap")</f>
        <v>0</v>
      </c>
      <c r="BC29" s="60">
        <f>IFERROR((TBA_Matches_All[[#This Row],[AtrapT]]+TBA_Matches_All[[#This Row],[TtrapT]])/(TBA_Matches_All[[#This Row],[AtrapT]]+TBA_Matches_All[[#This Row],[TtrapT]]+TBA_Matches_All[[#This Row],[trapM]]),0)</f>
        <v>0</v>
      </c>
      <c r="BD29">
        <f>COUNTIFS(Dyno_Data[Team],TBA_Matches_All[[#This Row],[Team]],Dyno_Data[Match],TBA_Matches_All[[#This Row],[Match_Number]],Dyno_Data[RecordType],"Activities",Dyno_Data[DelDest],"Neut", Dyno_Data[DelMiss],1)</f>
        <v>0</v>
      </c>
      <c r="BE29" s="60">
        <f>IFERROR(SUM((TBA_Matches_All[[#This Row],[NeutFlrT]])/(TBA_Matches_All[[#This Row],[NeutFlrT]]+TBA_Matches_All[[#This Row],[NZflM]])),0)</f>
        <v>0</v>
      </c>
      <c r="BF29">
        <f>COUNTIFS(Dyno_Data[Team],TBA_Matches_All[[#This Row],[Team]],Dyno_Data[Match],TBA_Matches_All[[#This Row],[Match_Number]],Dyno_Data[RecordType],"Activities",Dyno_Data[DelDest],"AllyW", Dyno_Data[DelMiss],1)</f>
        <v>0</v>
      </c>
      <c r="BG29" s="60">
        <f>IFERROR(SUM((TBA_Matches_All[[#This Row],[AllyWFlrT]])/(TBA_Matches_All[[#This Row],[AllyWFlrT]]+TBA_Matches_All[[#This Row],[AZflM]])),0)</f>
        <v>0</v>
      </c>
      <c r="BH29">
        <f>COUNTIFS(Dyno_Data[Team],TBA_Matches_All[[#This Row],[Team]],Dyno_Data[Match],TBA_Matches_All[[#This Row],[Match_Number]],Dyno_Data[RecordType],"Activities",Dyno_Data[DelOrig],"OppW", Dyno_Data[DelMiss],"0")</f>
        <v>0</v>
      </c>
      <c r="BI29">
        <f>COUNTIFS(Dyno_Data[Team],TBA_Matches_All[[#This Row],[Team]],Dyno_Data[Match],TBA_Matches_All[[#This Row],[Match_Number]],Dyno_Data[RecordType],"Activities",Dyno_Data[DelOrig],"OppW", Dyno_Data[DelMiss],"1")</f>
        <v>0</v>
      </c>
      <c r="BJ29" s="60">
        <f>IFERROR(SUM((TBA_Matches_All[[#This Row],[OZflrT]])/(TBA_Matches_All[[#This Row],[OZflrT]]+TBA_Matches_All[[#This Row],[OZflrM]])),0)</f>
        <v>0</v>
      </c>
      <c r="BK29">
        <f>COUNTIFS(Dyno_Data[Team],TBA_Matches_All[[#This Row],[Team]],Dyno_Data[Match],TBA_Matches_All[[#This Row],[Match_Number]],Dyno_Data[RecordType],"Activities",Dyno_Data[DelOrig],"Neut", Dyno_Data[DelMiss],"0")</f>
        <v>0</v>
      </c>
      <c r="BL29">
        <f>COUNTIFS(Dyno_Data[Team],TBA_Matches_All[[#This Row],[Team]],Dyno_Data[Match],TBA_Matches_All[[#This Row],[Match_Number]],Dyno_Data[RecordType],"Activities",Dyno_Data[DelOrig],"Neut", Dyno_Data[DelMiss],"1")</f>
        <v>0</v>
      </c>
      <c r="BM29" s="60">
        <f>IFERROR(SUM((TBA_Matches_All[[#This Row],[NZflrT]])/(TBA_Matches_All[[#This Row],[NZflrT]]+TBA_Matches_All[[#This Row],[NZflrM]])),0)</f>
        <v>0</v>
      </c>
      <c r="BN29">
        <f>COUNTIFS(Dyno_Data[Team],TBA_Matches_All[[#This Row],[Team]],Dyno_Data[Match],TBA_Matches_All[[#This Row],[Match_Number]],Dyno_Data[RecordType],"Activities",Dyno_Data[DelOrig],"AllyW", Dyno_Data[DelMiss],"0")</f>
        <v>8</v>
      </c>
      <c r="BO29">
        <f>COUNTIFS(Dyno_Data[Team],TBA_Matches_All[[#This Row],[Team]],Dyno_Data[Match],TBA_Matches_All[[#This Row],[Match_Number]],Dyno_Data[RecordType],"Activities",Dyno_Data[DelOrig],"AllyW", Dyno_Data[DelMiss],"1")</f>
        <v>8</v>
      </c>
      <c r="BP29" s="60">
        <f>IFERROR(SUM((TBA_Matches_All[[#This Row],[AZflrT]])/(TBA_Matches_All[[#This Row],[AZflrT]]+TBA_Matches_All[[#This Row],[AZflrM]])),0)</f>
        <v>0.5</v>
      </c>
      <c r="BQ29">
        <f>COUNTIFS(Dyno_Data[Team],TBA_Matches_All[[#This Row],[Team]],Dyno_Data[Match],TBA_Matches_All[[#This Row],[Match_Number]],Dyno_Data[RecordType],"Activities",Dyno_Data[DelOrig],"SubW", Dyno_Data[DelMiss],"0")</f>
        <v>0</v>
      </c>
      <c r="BR29">
        <f>COUNTIFS(Dyno_Data[Team],TBA_Matches_All[[#This Row],[Team]],Dyno_Data[Match],TBA_Matches_All[[#This Row],[Match_Number]],Dyno_Data[RecordType],"Activities",Dyno_Data[DelOrig],"SubW", Dyno_Data[DelMiss],"1")</f>
        <v>0</v>
      </c>
      <c r="BS29" s="60">
        <f>IFERROR(SUM((TBA_Matches_All[[#This Row],[SubwT]])/(TBA_Matches_All[[#This Row],[SubwT]]+TBA_Matches_All[[#This Row],[SubwM]])),0)</f>
        <v>0</v>
      </c>
      <c r="BT29">
        <f>COUNTIFS(Dyno_Data[Team],TBA_Matches_All[[#This Row],[Team]],Dyno_Data[Match],TBA_Matches_All[[#This Row],[Match_Number]],Dyno_Data[RecordType],"Activities", Dyno_Data[AcqLoc],"OppWing")</f>
        <v>0</v>
      </c>
      <c r="BU29">
        <f>COUNTIFS(Dyno_Data[Team],TBA_Matches_All[[#This Row],[Team]],Dyno_Data[Match],TBA_Matches_All[[#This Row],[Match_Number]],Dyno_Data[RecordType],"Activities", Dyno_Data[AcqLoc],"Neutral")</f>
        <v>0</v>
      </c>
      <c r="BV29">
        <f>COUNTIFS(Dyno_Data[Team],TBA_Matches_All[[#This Row],[Team]],Dyno_Data[Match],TBA_Matches_All[[#This Row],[Match_Number]],Dyno_Data[RecordType],"Activities", Dyno_Data[AcqLoc],"AllyWing")</f>
        <v>0</v>
      </c>
      <c r="BW29">
        <f>COUNTIFS(Dyno_Data[Team],TBA_Matches_All[[#This Row],[Team]],Dyno_Data[Match],TBA_Matches_All[[#This Row],[Match_Number]],Dyno_Data[RecordType],"Activities", Dyno_Data[AcqLoc],"Source")</f>
        <v>0</v>
      </c>
      <c r="BX29">
        <f>SUMIFS(Dyno_Data[AcqDrp], Dyno_Data[Team],TBA_Matches_All[[#This Row],[Team]],Dyno_Data[Match],TBA_Matches_All[[#This Row],[Match_Number]],Dyno_Data[RecordType],"Activities", Dyno_Data[AcqLoc],"Source")</f>
        <v>0</v>
      </c>
      <c r="BY29">
        <f>SUMIFS(Dyno_Data[OZTime], Dyno_Data[Team],TBA_Matches_All[[#This Row],[Team]],Dyno_Data[Match],TBA_Matches_All[[#This Row],[Match_Number]],Dyno_Data[RecordType],"EndMatch")</f>
        <v>10.428086499999999</v>
      </c>
      <c r="BZ29">
        <f>SUMIFS(Dyno_Data[NZTime], Dyno_Data[Team],TBA_Matches_All[[#This Row],[Team]],Dyno_Data[Match],TBA_Matches_All[[#This Row],[Match_Number]],Dyno_Data[RecordType],"EndMatch")</f>
        <v>18.561784400000001</v>
      </c>
      <c r="CA29">
        <f>SUMIFS(Dyno_Data[AZTime], Dyno_Data[Team],TBA_Matches_All[[#This Row],[Team]],Dyno_Data[Match],TBA_Matches_All[[#This Row],[Match_Number]],Dyno_Data[RecordType],"EndMatch")</f>
        <v>97.832171299999999</v>
      </c>
      <c r="CB29">
        <f>SUMIFS(Dyno_Data[ClimbT], Dyno_Data[Team],TBA_Matches_All[[#This Row],[Team]],Dyno_Data[Match],TBA_Matches_All[[#This Row],[Match_Number]],Dyno_Data[RecordType],"EndMatch")</f>
        <v>7.0710153</v>
      </c>
      <c r="CC29" t="str">
        <f>_xlfn.XLOOKUP(SUM(MID(TBA_Matches_All[[#This Row],[Team]],4,5),(TBA_Matches_All[[#This Row],[Match_Number]]/100)),Dyno_EndMatch[teammat],Dyno_EndMatch[StageStat],"_",0,1)</f>
        <v>Park</v>
      </c>
      <c r="CD29" t="str">
        <f>_xlfn.XLOOKUP(TBA_Matches_All[[#This Row],[teammat]],Dyno_EndMatch[teammat],Dyno_EndMatch[StageAtt],"_",0,1)</f>
        <v>-1</v>
      </c>
      <c r="CE29" t="str">
        <f>_xlfn.XLOOKUP(TBA_Matches_All[[#This Row],[teammat]],Dyno_EndMatch[teammat],Dyno_EndMatch[StageLoc],"_",0,1)</f>
        <v>A</v>
      </c>
      <c r="CF29">
        <f>SUMIFS(Dyno_Data[Harmony], Dyno_Data[Team],TBA_Matches_All[[#This Row],[Team]],Dyno_Data[Match],TBA_Matches_All[[#This Row],[Match_Number]],Dyno_Data[RecordType],"EndMatch", Dyno_Data[StageStat],"On",Dyno_Data[Harmony],"&lt;&gt;9")</f>
        <v>0</v>
      </c>
      <c r="CG29">
        <f>SUMIFS(Dyno_Data[Spotlit], Dyno_Data[Team],TBA_Matches_All[[#This Row],[Team]],Dyno_Data[Match],TBA_Matches_All[[#This Row],[Match_Number]],Dyno_Data[RecordType],"EndMatch", Dyno_Data[StageStat],"On",Dyno_Data[Spotlit],"&lt;&gt;9")</f>
        <v>0</v>
      </c>
      <c r="CH29" t="str">
        <f>_xlfn.XLOOKUP(TBA_Matches_All[[#This Row],[teammat]],Dyno_EndMatch[teammat],Dyno_EndMatch[Strategy],"_",0,1)</f>
        <v>Shooter</v>
      </c>
      <c r="CI29">
        <f>SUMIFS(Dyno_Data[Defense], Dyno_Data[Team],TBA_Matches_All[[#This Row],[Team]],Dyno_Data[Match],TBA_Matches_All[[#This Row],[Match_Number]],Dyno_Data[RecordType],"EndMatch",Dyno_Data[Defense],"&lt;&gt;9")</f>
        <v>0</v>
      </c>
      <c r="CJ29">
        <f>SUMIFS(Dyno_Data[Avoidance], Dyno_Data[Team],TBA_Matches_All[[#This Row],[Team]],Dyno_Data[Match],TBA_Matches_All[[#This Row],[Match_Number]],Dyno_Data[RecordType],"EndMatch",Dyno_Data[Avoidance],"&lt;&gt;9")</f>
        <v>0</v>
      </c>
      <c r="CK29" s="82">
        <f>COUNTIF($H$2:TBA_Matches_All[[#This Row],[Team]],TBA_Matches_All[[#This Row],[Team]])</f>
        <v>1</v>
      </c>
      <c r="CL29" s="111">
        <f>SUM(MID(TBA_Matches_All[[#This Row],[Team]],4,5)+TBA_Matches_All[[#This Row],[Match_Number]]/100)</f>
        <v>3044.05</v>
      </c>
      <c r="CM29">
        <f>SUM((TBA_Matches_All[[#This Row],[Leave]]*2)+(TBA_Matches_All[[#This Row],[AampT]]*2)+(TBA_Matches_All[[#This Row],[AspkrT]]*5)+(TBA_Matches_All[[#This Row],[AtrapT]]*5))</f>
        <v>12</v>
      </c>
      <c r="CN29" s="59">
        <f>IFERROR(SUM(TBA_Matches_All[[#This Row],[AptsT]]/TBA_Matches_All[[#This Row],[AutoPts]]),0)</f>
        <v>0.8571428571428571</v>
      </c>
      <c r="CO29" s="59">
        <f>IFERROR(SUM(TBA_Matches_All[[#This Row],[AampT]]+TBA_Matches_All[[#This Row],[AspkrT]]+TBA_Matches_All[[#This Row],[AtrapT]]/TBA_Matches_All[[#This Row],[Aamp]]+TBA_Matches_All[[#This Row],[Aspkr]]+TBA_Matches_All[[#This Row],[AtrapT]]),0)</f>
        <v>0</v>
      </c>
      <c r="CP29" s="59">
        <f>IFERROR(SUM(TBA_Matches_All[[#This Row],[TampT]]/TBA_Matches_All[[#This Row],[Tamp]]),0)</f>
        <v>0</v>
      </c>
      <c r="CQ29" s="59">
        <f>IFERROR(SUM(TBA_Matches_All[[#This Row],[TspkrT]]/TBA_Matches_All[[#This Row],[Tspkr]]),0)</f>
        <v>1</v>
      </c>
      <c r="CR29">
        <f>SUM(TBA_Matches_All[[#This Row],[TspkrPts]]*TBA_Matches_All[[#This Row],[TspkrP]])</f>
        <v>12</v>
      </c>
      <c r="CS29" s="59">
        <f>IFERROR(SUM(TBA_Matches_All[[#This Row],[TtrapT]]/TBA_Matches_All[[#This Row],[Trap]]),0)</f>
        <v>0</v>
      </c>
      <c r="CT29" s="59">
        <f>IFERROR(SUM(TBA_Matches_All[[#This Row],[TotNotesT]]/TBA_Matches_All[[#This Row],[TotNotes]]),0)</f>
        <v>1</v>
      </c>
      <c r="CU29" s="66">
        <f>SUM((TBA_Matches_All[[#This Row],[AampT]]*2)+(TBA_Matches_All[[#This Row],[AspkrT]]*5)+(TBA_Matches_All[[#This Row],[AtrapT]]*5)+(TBA_Matches_All[[#This Row],[TampT]]*1)+(TBA_Matches_All[[#This Row],[TspkrptsC]]))</f>
        <v>22</v>
      </c>
      <c r="CV29" s="59">
        <f>IFERROR(TBA_Matches_All[[#This Row],[noteptsT]]/TBA_Matches_All[[#This Row],[NotePts]],0)</f>
        <v>1</v>
      </c>
      <c r="CW29">
        <f>SUM(IF(TBA_Matches_All[[#This Row],[stageStat]]="On",3,0),IF(TBA_Matches_All[[#This Row],[stageStat]]="Park",1,0),SUMIFS(TBA_Matches_All[[#This Row],[Spotlit]],TBA_Matches_All[[#This Row],[stageStat]],"On"),SUMIFS(TBA_Matches_All[[#This Row],[Harmony]],TBA_Matches_All[[#This Row],[stageStat]],"On"))</f>
        <v>1</v>
      </c>
      <c r="CX29" s="59">
        <f>IFERROR(TBA_Matches_All[[#This Row],[stageptsT]]/TBA_Matches_All[[#This Row],[StagePts]],0)</f>
        <v>0.33333333333333331</v>
      </c>
      <c r="CY29">
        <f>SUM((TBA_Matches_All[[#This Row],[AptsT]]+TBA_Matches_All[[#This Row],[TampT]]+TBA_Matches_All[[#This Row],[TspkrptsC]]+(TBA_Matches_All[[#This Row],[TtrapT]]*5)+TBA_Matches_All[[#This Row],[stageptsT]]))</f>
        <v>25</v>
      </c>
      <c r="CZ29" s="59">
        <f>IFERROR(SUM(TBA_Matches_All[[#This Row],[TotptsC]]/TBA_Matches_All[[#This Row],[Score]]),0)</f>
        <v>0.6097560975609756</v>
      </c>
      <c r="DA2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13.371428571428572</v>
      </c>
      <c r="DB29" s="74">
        <f>SUMIFS(TBA_Matches_All[AveTeamTNoteDels],TBA_Matches_All[Match_Number],TBA_Matches_All[[#This Row],[Match_Number]],TBA_Matches_All[Alliance],"&lt;&gt;"&amp;TBA_Matches_All[[#This Row],[Alliance]],TBA_Matches_All[Scouted],"&gt;0")</f>
        <v>15.778939393939392</v>
      </c>
      <c r="DC29" s="74">
        <f>(TBA_Matches_All[[#This Row],[TampT]]+TBA_Matches_All[[#This Row],[TspkrptsC]])-TBA_Matches_All[[#This Row],[AveTeamTNoteDels]]</f>
        <v>-1.3714285714285719</v>
      </c>
      <c r="DD29" s="74">
        <f>SUMIFS(TBA_Matches_All[AveTeamTNoteDels],TBA_Matches_All[Match_Number],TBA_Matches_All[[#This Row],[Match_Number]],TBA_Matches_All[Alliance],"&lt;&gt;"&amp;TBA_Matches_All[[#This Row],[Alliance]])-TBA_Matches_All[[#This Row],[AveOppTNoteDels]]</f>
        <v>0</v>
      </c>
    </row>
    <row r="30" spans="1:108" x14ac:dyDescent="0.3">
      <c r="A30" t="s">
        <v>1042</v>
      </c>
      <c r="B30" t="s">
        <v>489</v>
      </c>
      <c r="C30" t="s">
        <v>1299</v>
      </c>
      <c r="D30">
        <v>5</v>
      </c>
      <c r="E30" t="s">
        <v>1406</v>
      </c>
      <c r="F30" t="s">
        <v>1424</v>
      </c>
      <c r="G30" t="s">
        <v>1409</v>
      </c>
      <c r="H30" t="s">
        <v>1302</v>
      </c>
      <c r="I30" t="b">
        <v>0</v>
      </c>
      <c r="J30">
        <v>70</v>
      </c>
      <c r="K30">
        <v>0</v>
      </c>
      <c r="L30">
        <v>1</v>
      </c>
      <c r="M30">
        <v>12</v>
      </c>
      <c r="N30">
        <v>0</v>
      </c>
      <c r="O30">
        <v>3</v>
      </c>
      <c r="P30">
        <v>15</v>
      </c>
      <c r="Q30">
        <v>19</v>
      </c>
      <c r="R30">
        <v>0</v>
      </c>
      <c r="S30">
        <v>0</v>
      </c>
      <c r="T30">
        <v>10</v>
      </c>
      <c r="U30">
        <v>0</v>
      </c>
      <c r="V30">
        <v>20</v>
      </c>
      <c r="W30">
        <v>10</v>
      </c>
      <c r="X30">
        <v>20</v>
      </c>
      <c r="Y30">
        <v>20</v>
      </c>
      <c r="Z30">
        <v>5</v>
      </c>
      <c r="AA30">
        <v>1</v>
      </c>
      <c r="AB30">
        <v>13</v>
      </c>
      <c r="AC30">
        <v>35</v>
      </c>
      <c r="AD30">
        <v>11</v>
      </c>
      <c r="AE30">
        <f>IFERROR(6/(COUNTIF(Dyno_EndMatch[Match],TBA_Matches_All[[#This Row],[Match_Number]])),0)</f>
        <v>1</v>
      </c>
      <c r="AF30">
        <f>COUNTIFS(Dyno_Data[Team],TBA_Matches_All[[#This Row],[Team]],Dyno_Data[Match],TBA_Matches_All[[#This Row],[Match_Number]],Dyno_Data[RecordType],"EndMatch",Dyno_Data[HPAmp],"Y")</f>
        <v>0</v>
      </c>
      <c r="AG30">
        <f>SUMIFS(Dyno_Data[Mics], Dyno_Data[Team],TBA_Matches_All[[#This Row],[Team]],Dyno_Data[Match],TBA_Matches_All[[#This Row],[Match_Number]],Dyno_Data[RecordType],"EndMatch",Dyno_Data[HPAmp],"Y")</f>
        <v>0</v>
      </c>
      <c r="AH30">
        <f>SUMIFS(Dyno_Data[Leave], Dyno_Data[Team],TBA_Matches_All[[#This Row],[Team]],Dyno_Data[Match],TBA_Matches_All[[#This Row],[Match_Number]],Dyno_Data[RecordType],"EndAuto")</f>
        <v>1</v>
      </c>
      <c r="AI30">
        <f>COUNTIFS(Dyno_Data[Team],TBA_Matches_All[[#This Row],[Team]],Dyno_Data[Match],TBA_Matches_All[[#This Row],[Match_Number]],Dyno_Data[RecordType],"Activities",Dyno_Data[DelDest],"Amp", Dyno_Data[DelMiss],"0", Dyno_Data[Mode],"Auto")</f>
        <v>0</v>
      </c>
      <c r="AJ30">
        <f>COUNTIFS(Dyno_Data[Team],TBA_Matches_All[[#This Row],[Team]],Dyno_Data[Match],TBA_Matches_All[[#This Row],[Match_Number]],Dyno_Data[RecordType],"Activities",Dyno_Data[DelDest],"Spkr", Dyno_Data[DelMiss],"0", Dyno_Data[Mode],"Auto")</f>
        <v>0</v>
      </c>
      <c r="AK30">
        <f>COUNTIFS(Dyno_Data[Team],TBA_Matches_All[[#This Row],[Team]],Dyno_Data[Match],TBA_Matches_All[[#This Row],[Match_Number]],Dyno_Data[RecordType],"Activities",Dyno_Data[DelDest],"Trap", Dyno_Data[DelMiss],"0", Dyno_Data[Mode],"Auto")</f>
        <v>0</v>
      </c>
      <c r="AL30">
        <f>COUNTIFS(Dyno_Data[Team],TBA_Matches_All[[#This Row],[Team]],Dyno_Data[Match],TBA_Matches_All[[#This Row],[Match_Number]],Dyno_Data[RecordType],"Activities",Dyno_Data[DelDest],"Amp", Dyno_Data[DelMiss],"0", Dyno_Data[Mode],"Teleop")</f>
        <v>0</v>
      </c>
      <c r="AM30">
        <f>COUNTIFS(Dyno_Data[Team],TBA_Matches_All[[#This Row],[Team]],Dyno_Data[Match],TBA_Matches_All[[#This Row],[Match_Number]],Dyno_Data[RecordType],"Activities",Dyno_Data[DelDest],"Spkr", Dyno_Data[DelMiss],"0", Dyno_Data[Mode],"Teleop")</f>
        <v>3</v>
      </c>
      <c r="AN30">
        <f>COUNTIFS(Dyno_Data[Team],TBA_Matches_All[[#This Row],[Team]],Dyno_Data[Match],TBA_Matches_All[[#This Row],[Match_Number]],Dyno_Data[RecordType],"Activities",Dyno_Data[DelDest],"Trap", Dyno_Data[DelMiss],"0", Dyno_Data[Mode],"&lt;&gt;Auto")</f>
        <v>0</v>
      </c>
      <c r="AO30">
        <f>SUM(TBA_Matches_All[[#This Row],[AampT]]+TBA_Matches_All[[#This Row],[AspkrT]]+TBA_Matches_All[[#This Row],[AtrapT]]+TBA_Matches_All[[#This Row],[TampT]]+TBA_Matches_All[[#This Row],[TspkrT]]+TBA_Matches_All[[#This Row],[TtrapT]])</f>
        <v>3</v>
      </c>
      <c r="AP30">
        <f>COUNTIFS(Dyno_Data[Team],TBA_Matches_All[[#This Row],[Team]],Dyno_Data[Match],TBA_Matches_All[[#This Row],[Match_Number]],Dyno_Data[RecordType],"Activities",Dyno_Data[DelDest],"Neut", Dyno_Data[DelMiss],"0")</f>
        <v>0</v>
      </c>
      <c r="AQ30">
        <f>COUNTIFS(Dyno_Data[Team],TBA_Matches_All[[#This Row],[Team]],Dyno_Data[Match],TBA_Matches_All[[#This Row],[Match_Number]],Dyno_Data[RecordType],"Activities",Dyno_Data[DelDest],"AllyW", Dyno_Data[DelMiss],"0")</f>
        <v>0</v>
      </c>
      <c r="AR30" t="str">
        <f>_xlfn.XLOOKUP(SUM(MID(TBA_Matches_All[[#This Row],[Team]],4,5),(TBA_Matches_All[[#This Row],[Match_Number]]/100)),Dyno_EndMatch[teammat],Dyno_EndMatch[RobotSta],"_",0,1)</f>
        <v>OppS</v>
      </c>
      <c r="AS30">
        <f>SUMIFS(Dyno_Data[AcqDis], Dyno_Data[Team],TBA_Matches_All[[#This Row],[Team]],Dyno_Data[Match],TBA_Matches_All[[#This Row],[Match_Number]],Dyno_Data[RecordType],"Activities", Dyno_Data[AcqCenter],1,Dyno_Data[Mode],"Auto")</f>
        <v>0</v>
      </c>
      <c r="AT30">
        <f>SUMIFS(Dyno_Data[AcqDis], Dyno_Data[Team],TBA_Matches_All[[#This Row],[Team]],Dyno_Data[Match],TBA_Matches_All[[#This Row],[Match_Number]],Dyno_Data[RecordType],"Activities", Dyno_Data[AcqCenter],2,Dyno_Data[Mode],"Auto")</f>
        <v>0</v>
      </c>
      <c r="AU30">
        <f>SUMIFS(Dyno_Data[AcqDis], Dyno_Data[Team],TBA_Matches_All[[#This Row],[Team]],Dyno_Data[Match],TBA_Matches_All[[#This Row],[Match_Number]],Dyno_Data[RecordType],"Activities", Dyno_Data[AcqCenter],3,Dyno_Data[Mode],"Auto")</f>
        <v>0</v>
      </c>
      <c r="AV30">
        <f>SUMIFS(Dyno_Data[AcqDis], Dyno_Data[Team],TBA_Matches_All[[#This Row],[Team]],Dyno_Data[Match],TBA_Matches_All[[#This Row],[Match_Number]],Dyno_Data[RecordType],"Activities", Dyno_Data[AcqCenter],4,Dyno_Data[Mode],"Auto")</f>
        <v>0</v>
      </c>
      <c r="AW30">
        <f>SUMIFS(Dyno_Data[AcqDis], Dyno_Data[Team],TBA_Matches_All[[#This Row],[Team]],Dyno_Data[Match],TBA_Matches_All[[#This Row],[Match_Number]],Dyno_Data[RecordType],"Activities", Dyno_Data[AcqCenter],5,Dyno_Data[Mode],"Auto")</f>
        <v>0</v>
      </c>
      <c r="AX30">
        <f>SUMIFS(Dyno_Data[DelMiss], Dyno_Data[Team],TBA_Matches_All[[#This Row],[Team]],Dyno_Data[Match],TBA_Matches_All[[#This Row],[Match_Number]],Dyno_Data[RecordType],"Activities", Dyno_Data[DelDest],"Amp")</f>
        <v>0</v>
      </c>
      <c r="AY30" s="60">
        <f>IFERROR(SUM((TBA_Matches_All[[#This Row],[AampT]]+TBA_Matches_All[[#This Row],[TampT]])/(TBA_Matches_All[[#This Row],[AampT]]+TBA_Matches_All[[#This Row],[TampT]]+TBA_Matches_All[[#This Row],[ampM]])),0)</f>
        <v>0</v>
      </c>
      <c r="AZ30">
        <f>SUMIFS(Dyno_Data[DelMiss], Dyno_Data[Team],TBA_Matches_All[[#This Row],[Team]],Dyno_Data[Match],TBA_Matches_All[[#This Row],[Match_Number]],Dyno_Data[RecordType],"Activities", Dyno_Data[DelDest],"Spkr")</f>
        <v>0</v>
      </c>
      <c r="BA30" s="60">
        <f>IFERROR(SUM((TBA_Matches_All[[#This Row],[AspkrT]]+TBA_Matches_All[[#This Row],[TspkrT]])/(TBA_Matches_All[[#This Row],[AspkrT]]+TBA_Matches_All[[#This Row],[TspkrT]]+TBA_Matches_All[[#This Row],[spkrM]])),0)</f>
        <v>1</v>
      </c>
      <c r="BB30">
        <f>SUMIFS(Dyno_Data[DelMiss], Dyno_Data[Team],TBA_Matches_All[[#This Row],[Team]],Dyno_Data[Match],TBA_Matches_All[[#This Row],[Match_Number]],Dyno_Data[RecordType],"Activities", Dyno_Data[DelDest],"Trap")</f>
        <v>0</v>
      </c>
      <c r="BC30" s="60">
        <f>IFERROR((TBA_Matches_All[[#This Row],[AtrapT]]+TBA_Matches_All[[#This Row],[TtrapT]])/(TBA_Matches_All[[#This Row],[AtrapT]]+TBA_Matches_All[[#This Row],[TtrapT]]+TBA_Matches_All[[#This Row],[trapM]]),0)</f>
        <v>0</v>
      </c>
      <c r="BD30">
        <f>COUNTIFS(Dyno_Data[Team],TBA_Matches_All[[#This Row],[Team]],Dyno_Data[Match],TBA_Matches_All[[#This Row],[Match_Number]],Dyno_Data[RecordType],"Activities",Dyno_Data[DelDest],"Neut", Dyno_Data[DelMiss],1)</f>
        <v>0</v>
      </c>
      <c r="BE30" s="60">
        <f>IFERROR(SUM((TBA_Matches_All[[#This Row],[NeutFlrT]])/(TBA_Matches_All[[#This Row],[NeutFlrT]]+TBA_Matches_All[[#This Row],[NZflM]])),0)</f>
        <v>0</v>
      </c>
      <c r="BF30">
        <f>COUNTIFS(Dyno_Data[Team],TBA_Matches_All[[#This Row],[Team]],Dyno_Data[Match],TBA_Matches_All[[#This Row],[Match_Number]],Dyno_Data[RecordType],"Activities",Dyno_Data[DelDest],"AllyW", Dyno_Data[DelMiss],1)</f>
        <v>0</v>
      </c>
      <c r="BG30" s="60">
        <f>IFERROR(SUM((TBA_Matches_All[[#This Row],[AllyWFlrT]])/(TBA_Matches_All[[#This Row],[AllyWFlrT]]+TBA_Matches_All[[#This Row],[AZflM]])),0)</f>
        <v>0</v>
      </c>
      <c r="BH30">
        <f>COUNTIFS(Dyno_Data[Team],TBA_Matches_All[[#This Row],[Team]],Dyno_Data[Match],TBA_Matches_All[[#This Row],[Match_Number]],Dyno_Data[RecordType],"Activities",Dyno_Data[DelOrig],"OppW", Dyno_Data[DelMiss],"0")</f>
        <v>0</v>
      </c>
      <c r="BI30">
        <f>COUNTIFS(Dyno_Data[Team],TBA_Matches_All[[#This Row],[Team]],Dyno_Data[Match],TBA_Matches_All[[#This Row],[Match_Number]],Dyno_Data[RecordType],"Activities",Dyno_Data[DelOrig],"OppW", Dyno_Data[DelMiss],"1")</f>
        <v>0</v>
      </c>
      <c r="BJ30" s="60">
        <f>IFERROR(SUM((TBA_Matches_All[[#This Row],[OZflrT]])/(TBA_Matches_All[[#This Row],[OZflrT]]+TBA_Matches_All[[#This Row],[OZflrM]])),0)</f>
        <v>0</v>
      </c>
      <c r="BK30">
        <f>COUNTIFS(Dyno_Data[Team],TBA_Matches_All[[#This Row],[Team]],Dyno_Data[Match],TBA_Matches_All[[#This Row],[Match_Number]],Dyno_Data[RecordType],"Activities",Dyno_Data[DelOrig],"Neut", Dyno_Data[DelMiss],"0")</f>
        <v>0</v>
      </c>
      <c r="BL30">
        <f>COUNTIFS(Dyno_Data[Team],TBA_Matches_All[[#This Row],[Team]],Dyno_Data[Match],TBA_Matches_All[[#This Row],[Match_Number]],Dyno_Data[RecordType],"Activities",Dyno_Data[DelOrig],"Neut", Dyno_Data[DelMiss],"1")</f>
        <v>0</v>
      </c>
      <c r="BM30" s="60">
        <f>IFERROR(SUM((TBA_Matches_All[[#This Row],[NZflrT]])/(TBA_Matches_All[[#This Row],[NZflrT]]+TBA_Matches_All[[#This Row],[NZflrM]])),0)</f>
        <v>0</v>
      </c>
      <c r="BN30">
        <f>COUNTIFS(Dyno_Data[Team],TBA_Matches_All[[#This Row],[Team]],Dyno_Data[Match],TBA_Matches_All[[#This Row],[Match_Number]],Dyno_Data[RecordType],"Activities",Dyno_Data[DelOrig],"AllyW", Dyno_Data[DelMiss],"0")</f>
        <v>0</v>
      </c>
      <c r="BO30">
        <f>COUNTIFS(Dyno_Data[Team],TBA_Matches_All[[#This Row],[Team]],Dyno_Data[Match],TBA_Matches_All[[#This Row],[Match_Number]],Dyno_Data[RecordType],"Activities",Dyno_Data[DelOrig],"AllyW", Dyno_Data[DelMiss],"1")</f>
        <v>0</v>
      </c>
      <c r="BP30" s="60">
        <f>IFERROR(SUM((TBA_Matches_All[[#This Row],[AZflrT]])/(TBA_Matches_All[[#This Row],[AZflrT]]+TBA_Matches_All[[#This Row],[AZflrM]])),0)</f>
        <v>0</v>
      </c>
      <c r="BQ30">
        <f>COUNTIFS(Dyno_Data[Team],TBA_Matches_All[[#This Row],[Team]],Dyno_Data[Match],TBA_Matches_All[[#This Row],[Match_Number]],Dyno_Data[RecordType],"Activities",Dyno_Data[DelOrig],"SubW", Dyno_Data[DelMiss],"0")</f>
        <v>3</v>
      </c>
      <c r="BR30">
        <f>COUNTIFS(Dyno_Data[Team],TBA_Matches_All[[#This Row],[Team]],Dyno_Data[Match],TBA_Matches_All[[#This Row],[Match_Number]],Dyno_Data[RecordType],"Activities",Dyno_Data[DelOrig],"SubW", Dyno_Data[DelMiss],"1")</f>
        <v>0</v>
      </c>
      <c r="BS30" s="60">
        <f>IFERROR(SUM((TBA_Matches_All[[#This Row],[SubwT]])/(TBA_Matches_All[[#This Row],[SubwT]]+TBA_Matches_All[[#This Row],[SubwM]])),0)</f>
        <v>1</v>
      </c>
      <c r="BT30">
        <f>COUNTIFS(Dyno_Data[Team],TBA_Matches_All[[#This Row],[Team]],Dyno_Data[Match],TBA_Matches_All[[#This Row],[Match_Number]],Dyno_Data[RecordType],"Activities", Dyno_Data[AcqLoc],"OppWing")</f>
        <v>0</v>
      </c>
      <c r="BU30">
        <f>COUNTIFS(Dyno_Data[Team],TBA_Matches_All[[#This Row],[Team]],Dyno_Data[Match],TBA_Matches_All[[#This Row],[Match_Number]],Dyno_Data[RecordType],"Activities", Dyno_Data[AcqLoc],"Neutral")</f>
        <v>0</v>
      </c>
      <c r="BV30">
        <f>COUNTIFS(Dyno_Data[Team],TBA_Matches_All[[#This Row],[Team]],Dyno_Data[Match],TBA_Matches_All[[#This Row],[Match_Number]],Dyno_Data[RecordType],"Activities", Dyno_Data[AcqLoc],"AllyWing")</f>
        <v>0</v>
      </c>
      <c r="BW30">
        <f>COUNTIFS(Dyno_Data[Team],TBA_Matches_All[[#This Row],[Team]],Dyno_Data[Match],TBA_Matches_All[[#This Row],[Match_Number]],Dyno_Data[RecordType],"Activities", Dyno_Data[AcqLoc],"Source")</f>
        <v>0</v>
      </c>
      <c r="BX30">
        <f>SUMIFS(Dyno_Data[AcqDrp], Dyno_Data[Team],TBA_Matches_All[[#This Row],[Team]],Dyno_Data[Match],TBA_Matches_All[[#This Row],[Match_Number]],Dyno_Data[RecordType],"Activities", Dyno_Data[AcqLoc],"Source")</f>
        <v>0</v>
      </c>
      <c r="BY30">
        <f>SUMIFS(Dyno_Data[OZTime], Dyno_Data[Team],TBA_Matches_All[[#This Row],[Team]],Dyno_Data[Match],TBA_Matches_All[[#This Row],[Match_Number]],Dyno_Data[RecordType],"EndMatch")</f>
        <v>51.302225700000001</v>
      </c>
      <c r="BZ30">
        <f>SUMIFS(Dyno_Data[NZTime], Dyno_Data[Team],TBA_Matches_All[[#This Row],[Team]],Dyno_Data[Match],TBA_Matches_All[[#This Row],[Match_Number]],Dyno_Data[RecordType],"EndMatch")</f>
        <v>11.971905899999999</v>
      </c>
      <c r="CA30">
        <f>SUMIFS(Dyno_Data[AZTime], Dyno_Data[Team],TBA_Matches_All[[#This Row],[Team]],Dyno_Data[Match],TBA_Matches_All[[#This Row],[Match_Number]],Dyno_Data[RecordType],"EndMatch")</f>
        <v>49.932469099999999</v>
      </c>
      <c r="CB30">
        <f>SUMIFS(Dyno_Data[ClimbT], Dyno_Data[Team],TBA_Matches_All[[#This Row],[Team]],Dyno_Data[Match],TBA_Matches_All[[#This Row],[Match_Number]],Dyno_Data[RecordType],"EndMatch")</f>
        <v>16.369701199999998</v>
      </c>
      <c r="CC30" t="str">
        <f>_xlfn.XLOOKUP(SUM(MID(TBA_Matches_All[[#This Row],[Team]],4,5),(TBA_Matches_All[[#This Row],[Match_Number]]/100)),Dyno_EndMatch[teammat],Dyno_EndMatch[StageStat],"_",0,1)</f>
        <v>On</v>
      </c>
      <c r="CD30" t="str">
        <f>_xlfn.XLOOKUP(TBA_Matches_All[[#This Row],[teammat]],Dyno_EndMatch[teammat],Dyno_EndMatch[StageAtt],"_",0,1)</f>
        <v>1</v>
      </c>
      <c r="CE30" t="str">
        <f>_xlfn.XLOOKUP(TBA_Matches_All[[#This Row],[teammat]],Dyno_EndMatch[teammat],Dyno_EndMatch[StageLoc],"_",0,1)</f>
        <v>L</v>
      </c>
      <c r="CF30">
        <f>SUMIFS(Dyno_Data[Harmony], Dyno_Data[Team],TBA_Matches_All[[#This Row],[Team]],Dyno_Data[Match],TBA_Matches_All[[#This Row],[Match_Number]],Dyno_Data[RecordType],"EndMatch", Dyno_Data[StageStat],"On",Dyno_Data[Harmony],"&lt;&gt;9")</f>
        <v>0</v>
      </c>
      <c r="CG30">
        <f>SUMIFS(Dyno_Data[Spotlit], Dyno_Data[Team],TBA_Matches_All[[#This Row],[Team]],Dyno_Data[Match],TBA_Matches_All[[#This Row],[Match_Number]],Dyno_Data[RecordType],"EndMatch", Dyno_Data[StageStat],"On",Dyno_Data[Spotlit],"&lt;&gt;9")</f>
        <v>0</v>
      </c>
      <c r="CH30" t="str">
        <f>_xlfn.XLOOKUP(TBA_Matches_All[[#This Row],[teammat]],Dyno_EndMatch[teammat],Dyno_EndMatch[Strategy],"_",0,1)</f>
        <v>Hybrid</v>
      </c>
      <c r="CI30">
        <f>SUMIFS(Dyno_Data[Defense], Dyno_Data[Team],TBA_Matches_All[[#This Row],[Team]],Dyno_Data[Match],TBA_Matches_All[[#This Row],[Match_Number]],Dyno_Data[RecordType],"EndMatch",Dyno_Data[Defense],"&lt;&gt;9")</f>
        <v>0</v>
      </c>
      <c r="CJ30">
        <f>SUMIFS(Dyno_Data[Avoidance], Dyno_Data[Team],TBA_Matches_All[[#This Row],[Team]],Dyno_Data[Match],TBA_Matches_All[[#This Row],[Match_Number]],Dyno_Data[RecordType],"EndMatch",Dyno_Data[Avoidance],"&lt;&gt;9")</f>
        <v>2</v>
      </c>
      <c r="CK30" s="82">
        <f>COUNTIF($H$2:TBA_Matches_All[[#This Row],[Team]],TBA_Matches_All[[#This Row],[Team]])</f>
        <v>1</v>
      </c>
      <c r="CL30" s="111">
        <f>SUM(MID(TBA_Matches_All[[#This Row],[Team]],4,5)+TBA_Matches_All[[#This Row],[Match_Number]]/100)</f>
        <v>2095.0500000000002</v>
      </c>
      <c r="CM30">
        <f>SUM((TBA_Matches_All[[#This Row],[Leave]]*2)+(TBA_Matches_All[[#This Row],[AampT]]*2)+(TBA_Matches_All[[#This Row],[AspkrT]]*5)+(TBA_Matches_All[[#This Row],[AtrapT]]*5))</f>
        <v>2</v>
      </c>
      <c r="CN30" s="59">
        <f>IFERROR(SUM(TBA_Matches_All[[#This Row],[AptsT]]/TBA_Matches_All[[#This Row],[AutoPts]]),0)</f>
        <v>0.10526315789473684</v>
      </c>
      <c r="CO30" s="59">
        <f>IFERROR(SUM(TBA_Matches_All[[#This Row],[AampT]]+TBA_Matches_All[[#This Row],[AspkrT]]+TBA_Matches_All[[#This Row],[AtrapT]]/TBA_Matches_All[[#This Row],[Aamp]]+TBA_Matches_All[[#This Row],[Aspkr]]+TBA_Matches_All[[#This Row],[AtrapT]]),0)</f>
        <v>0</v>
      </c>
      <c r="CP30" s="59">
        <f>IFERROR(SUM(TBA_Matches_All[[#This Row],[TampT]]/TBA_Matches_All[[#This Row],[Tamp]]),0)</f>
        <v>0</v>
      </c>
      <c r="CQ30" s="59">
        <f>IFERROR(SUM(TBA_Matches_All[[#This Row],[TspkrT]]/TBA_Matches_All[[#This Row],[Tspkr]]),0)</f>
        <v>0.3</v>
      </c>
      <c r="CR30">
        <f>SUM(TBA_Matches_All[[#This Row],[TspkrPts]]*TBA_Matches_All[[#This Row],[TspkrP]])</f>
        <v>6</v>
      </c>
      <c r="CS30" s="59">
        <f>IFERROR(SUM(TBA_Matches_All[[#This Row],[TtrapT]]/TBA_Matches_All[[#This Row],[Trap]]),0)</f>
        <v>0</v>
      </c>
      <c r="CT30" s="59">
        <f>IFERROR(SUM(TBA_Matches_All[[#This Row],[TotNotesT]]/TBA_Matches_All[[#This Row],[TotNotes]]),0)</f>
        <v>0.23076923076923078</v>
      </c>
      <c r="CU30" s="66">
        <f>SUM((TBA_Matches_All[[#This Row],[AampT]]*2)+(TBA_Matches_All[[#This Row],[AspkrT]]*5)+(TBA_Matches_All[[#This Row],[AtrapT]]*5)+(TBA_Matches_All[[#This Row],[TampT]]*1)+(TBA_Matches_All[[#This Row],[TspkrptsC]]))</f>
        <v>6</v>
      </c>
      <c r="CV30" s="59">
        <f>IFERROR(TBA_Matches_All[[#This Row],[noteptsT]]/TBA_Matches_All[[#This Row],[NotePts]],0)</f>
        <v>0.17142857142857143</v>
      </c>
      <c r="CW30">
        <f>SUM(IF(TBA_Matches_All[[#This Row],[stageStat]]="On",3,0),IF(TBA_Matches_All[[#This Row],[stageStat]]="Park",1,0),SUMIFS(TBA_Matches_All[[#This Row],[Spotlit]],TBA_Matches_All[[#This Row],[stageStat]],"On"),SUMIFS(TBA_Matches_All[[#This Row],[Harmony]],TBA_Matches_All[[#This Row],[stageStat]],"On"))</f>
        <v>3</v>
      </c>
      <c r="CX30" s="59">
        <f>IFERROR(TBA_Matches_All[[#This Row],[stageptsT]]/TBA_Matches_All[[#This Row],[StagePts]],0)</f>
        <v>0.27272727272727271</v>
      </c>
      <c r="CY30">
        <f>SUM((TBA_Matches_All[[#This Row],[AptsT]]+TBA_Matches_All[[#This Row],[TampT]]+TBA_Matches_All[[#This Row],[TspkrptsC]]+(TBA_Matches_All[[#This Row],[TtrapT]]*5)+TBA_Matches_All[[#This Row],[stageptsT]]))</f>
        <v>11</v>
      </c>
      <c r="CZ30" s="59">
        <f>IFERROR(SUM(TBA_Matches_All[[#This Row],[TotptsC]]/TBA_Matches_All[[#This Row],[Score]]),0)</f>
        <v>0.15714285714285714</v>
      </c>
      <c r="DA3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4.792272727272727</v>
      </c>
      <c r="DB30" s="74">
        <f>SUMIFS(TBA_Matches_All[AveTeamTNoteDels],TBA_Matches_All[Match_Number],TBA_Matches_All[[#This Row],[Match_Number]],TBA_Matches_All[Alliance],"&lt;&gt;"&amp;TBA_Matches_All[[#This Row],[Alliance]],TBA_Matches_All[Scouted],"&gt;0")</f>
        <v>18.746428571428574</v>
      </c>
      <c r="DC30" s="74">
        <f>(TBA_Matches_All[[#This Row],[TampT]]+TBA_Matches_All[[#This Row],[TspkrptsC]])-TBA_Matches_All[[#This Row],[AveTeamTNoteDels]]</f>
        <v>1.207727272727273</v>
      </c>
      <c r="DD30" s="74">
        <f>SUMIFS(TBA_Matches_All[AveTeamTNoteDels],TBA_Matches_All[Match_Number],TBA_Matches_All[[#This Row],[Match_Number]],TBA_Matches_All[Alliance],"&lt;&gt;"&amp;TBA_Matches_All[[#This Row],[Alliance]])-TBA_Matches_All[[#This Row],[AveOppTNoteDels]]</f>
        <v>0</v>
      </c>
    </row>
    <row r="31" spans="1:108" x14ac:dyDescent="0.3">
      <c r="A31" t="s">
        <v>1042</v>
      </c>
      <c r="B31" t="s">
        <v>489</v>
      </c>
      <c r="C31" t="s">
        <v>1299</v>
      </c>
      <c r="D31">
        <v>5</v>
      </c>
      <c r="E31" t="s">
        <v>1420</v>
      </c>
      <c r="F31" t="s">
        <v>1425</v>
      </c>
      <c r="G31" t="s">
        <v>105</v>
      </c>
      <c r="H31" t="s">
        <v>371</v>
      </c>
      <c r="I31" t="b">
        <v>0</v>
      </c>
      <c r="J31">
        <v>41</v>
      </c>
      <c r="K31">
        <v>0</v>
      </c>
      <c r="L31">
        <v>0</v>
      </c>
      <c r="M31">
        <v>20</v>
      </c>
      <c r="N31">
        <v>0</v>
      </c>
      <c r="O31">
        <v>2</v>
      </c>
      <c r="P31">
        <v>10</v>
      </c>
      <c r="Q31">
        <v>14</v>
      </c>
      <c r="R31">
        <v>0</v>
      </c>
      <c r="S31">
        <v>0</v>
      </c>
      <c r="T31">
        <v>6</v>
      </c>
      <c r="U31">
        <v>0</v>
      </c>
      <c r="V31">
        <v>12</v>
      </c>
      <c r="W31">
        <v>6</v>
      </c>
      <c r="X31">
        <v>12</v>
      </c>
      <c r="Y31">
        <v>12</v>
      </c>
      <c r="Z31">
        <v>0</v>
      </c>
      <c r="AA31">
        <v>0</v>
      </c>
      <c r="AB31">
        <v>8</v>
      </c>
      <c r="AC31">
        <v>22</v>
      </c>
      <c r="AD31">
        <v>3</v>
      </c>
      <c r="AE31">
        <f>IFERROR(6/(COUNTIF(Dyno_EndMatch[Match],TBA_Matches_All[[#This Row],[Match_Number]])),0)</f>
        <v>1</v>
      </c>
      <c r="AF31">
        <f>COUNTIFS(Dyno_Data[Team],TBA_Matches_All[[#This Row],[Team]],Dyno_Data[Match],TBA_Matches_All[[#This Row],[Match_Number]],Dyno_Data[RecordType],"EndMatch",Dyno_Data[HPAmp],"Y")</f>
        <v>0</v>
      </c>
      <c r="AG31">
        <f>SUMIFS(Dyno_Data[Mics], Dyno_Data[Team],TBA_Matches_All[[#This Row],[Team]],Dyno_Data[Match],TBA_Matches_All[[#This Row],[Match_Number]],Dyno_Data[RecordType],"EndMatch",Dyno_Data[HPAmp],"Y")</f>
        <v>0</v>
      </c>
      <c r="AH31">
        <f>SUMIFS(Dyno_Data[Leave], Dyno_Data[Team],TBA_Matches_All[[#This Row],[Team]],Dyno_Data[Match],TBA_Matches_All[[#This Row],[Match_Number]],Dyno_Data[RecordType],"EndAuto")</f>
        <v>0</v>
      </c>
      <c r="AI31">
        <f>COUNTIFS(Dyno_Data[Team],TBA_Matches_All[[#This Row],[Team]],Dyno_Data[Match],TBA_Matches_All[[#This Row],[Match_Number]],Dyno_Data[RecordType],"Activities",Dyno_Data[DelDest],"Amp", Dyno_Data[DelMiss],"0", Dyno_Data[Mode],"Auto")</f>
        <v>0</v>
      </c>
      <c r="AJ31">
        <f>COUNTIFS(Dyno_Data[Team],TBA_Matches_All[[#This Row],[Team]],Dyno_Data[Match],TBA_Matches_All[[#This Row],[Match_Number]],Dyno_Data[RecordType],"Activities",Dyno_Data[DelDest],"Spkr", Dyno_Data[DelMiss],"0", Dyno_Data[Mode],"Auto")</f>
        <v>0</v>
      </c>
      <c r="AK31">
        <f>COUNTIFS(Dyno_Data[Team],TBA_Matches_All[[#This Row],[Team]],Dyno_Data[Match],TBA_Matches_All[[#This Row],[Match_Number]],Dyno_Data[RecordType],"Activities",Dyno_Data[DelDest],"Trap", Dyno_Data[DelMiss],"0", Dyno_Data[Mode],"Auto")</f>
        <v>0</v>
      </c>
      <c r="AL31">
        <f>COUNTIFS(Dyno_Data[Team],TBA_Matches_All[[#This Row],[Team]],Dyno_Data[Match],TBA_Matches_All[[#This Row],[Match_Number]],Dyno_Data[RecordType],"Activities",Dyno_Data[DelDest],"Amp", Dyno_Data[DelMiss],"0", Dyno_Data[Mode],"Teleop")</f>
        <v>0</v>
      </c>
      <c r="AM31">
        <f>COUNTIFS(Dyno_Data[Team],TBA_Matches_All[[#This Row],[Team]],Dyno_Data[Match],TBA_Matches_All[[#This Row],[Match_Number]],Dyno_Data[RecordType],"Activities",Dyno_Data[DelDest],"Spkr", Dyno_Data[DelMiss],"0", Dyno_Data[Mode],"Teleop")</f>
        <v>0</v>
      </c>
      <c r="AN31">
        <f>COUNTIFS(Dyno_Data[Team],TBA_Matches_All[[#This Row],[Team]],Dyno_Data[Match],TBA_Matches_All[[#This Row],[Match_Number]],Dyno_Data[RecordType],"Activities",Dyno_Data[DelDest],"Trap", Dyno_Data[DelMiss],"0", Dyno_Data[Mode],"&lt;&gt;Auto")</f>
        <v>0</v>
      </c>
      <c r="AO31">
        <f>SUM(TBA_Matches_All[[#This Row],[AampT]]+TBA_Matches_All[[#This Row],[AspkrT]]+TBA_Matches_All[[#This Row],[AtrapT]]+TBA_Matches_All[[#This Row],[TampT]]+TBA_Matches_All[[#This Row],[TspkrT]]+TBA_Matches_All[[#This Row],[TtrapT]])</f>
        <v>0</v>
      </c>
      <c r="AP31">
        <f>COUNTIFS(Dyno_Data[Team],TBA_Matches_All[[#This Row],[Team]],Dyno_Data[Match],TBA_Matches_All[[#This Row],[Match_Number]],Dyno_Data[RecordType],"Activities",Dyno_Data[DelDest],"Neut", Dyno_Data[DelMiss],"0")</f>
        <v>0</v>
      </c>
      <c r="AQ31">
        <f>COUNTIFS(Dyno_Data[Team],TBA_Matches_All[[#This Row],[Team]],Dyno_Data[Match],TBA_Matches_All[[#This Row],[Match_Number]],Dyno_Data[RecordType],"Activities",Dyno_Data[DelDest],"AllyW", Dyno_Data[DelMiss],"0")</f>
        <v>0</v>
      </c>
      <c r="AR31" t="str">
        <f>_xlfn.XLOOKUP(SUM(MID(TBA_Matches_All[[#This Row],[Team]],4,5),(TBA_Matches_All[[#This Row],[Match_Number]]/100)),Dyno_EndMatch[teammat],Dyno_EndMatch[RobotSta],"_",0,1)</f>
        <v>OppS</v>
      </c>
      <c r="AS31">
        <f>SUMIFS(Dyno_Data[AcqDis], Dyno_Data[Team],TBA_Matches_All[[#This Row],[Team]],Dyno_Data[Match],TBA_Matches_All[[#This Row],[Match_Number]],Dyno_Data[RecordType],"Activities", Dyno_Data[AcqCenter],1,Dyno_Data[Mode],"Auto")</f>
        <v>0</v>
      </c>
      <c r="AT31">
        <f>SUMIFS(Dyno_Data[AcqDis], Dyno_Data[Team],TBA_Matches_All[[#This Row],[Team]],Dyno_Data[Match],TBA_Matches_All[[#This Row],[Match_Number]],Dyno_Data[RecordType],"Activities", Dyno_Data[AcqCenter],2,Dyno_Data[Mode],"Auto")</f>
        <v>0</v>
      </c>
      <c r="AU31">
        <f>SUMIFS(Dyno_Data[AcqDis], Dyno_Data[Team],TBA_Matches_All[[#This Row],[Team]],Dyno_Data[Match],TBA_Matches_All[[#This Row],[Match_Number]],Dyno_Data[RecordType],"Activities", Dyno_Data[AcqCenter],3,Dyno_Data[Mode],"Auto")</f>
        <v>0</v>
      </c>
      <c r="AV31">
        <f>SUMIFS(Dyno_Data[AcqDis], Dyno_Data[Team],TBA_Matches_All[[#This Row],[Team]],Dyno_Data[Match],TBA_Matches_All[[#This Row],[Match_Number]],Dyno_Data[RecordType],"Activities", Dyno_Data[AcqCenter],4,Dyno_Data[Mode],"Auto")</f>
        <v>0</v>
      </c>
      <c r="AW31">
        <f>SUMIFS(Dyno_Data[AcqDis], Dyno_Data[Team],TBA_Matches_All[[#This Row],[Team]],Dyno_Data[Match],TBA_Matches_All[[#This Row],[Match_Number]],Dyno_Data[RecordType],"Activities", Dyno_Data[AcqCenter],5,Dyno_Data[Mode],"Auto")</f>
        <v>0</v>
      </c>
      <c r="AX31">
        <f>SUMIFS(Dyno_Data[DelMiss], Dyno_Data[Team],TBA_Matches_All[[#This Row],[Team]],Dyno_Data[Match],TBA_Matches_All[[#This Row],[Match_Number]],Dyno_Data[RecordType],"Activities", Dyno_Data[DelDest],"Amp")</f>
        <v>0</v>
      </c>
      <c r="AY31" s="60">
        <f>IFERROR(SUM((TBA_Matches_All[[#This Row],[AampT]]+TBA_Matches_All[[#This Row],[TampT]])/(TBA_Matches_All[[#This Row],[AampT]]+TBA_Matches_All[[#This Row],[TampT]]+TBA_Matches_All[[#This Row],[ampM]])),0)</f>
        <v>0</v>
      </c>
      <c r="AZ31">
        <f>SUMIFS(Dyno_Data[DelMiss], Dyno_Data[Team],TBA_Matches_All[[#This Row],[Team]],Dyno_Data[Match],TBA_Matches_All[[#This Row],[Match_Number]],Dyno_Data[RecordType],"Activities", Dyno_Data[DelDest],"Spkr")</f>
        <v>1</v>
      </c>
      <c r="BA31" s="60">
        <f>IFERROR(SUM((TBA_Matches_All[[#This Row],[AspkrT]]+TBA_Matches_All[[#This Row],[TspkrT]])/(TBA_Matches_All[[#This Row],[AspkrT]]+TBA_Matches_All[[#This Row],[TspkrT]]+TBA_Matches_All[[#This Row],[spkrM]])),0)</f>
        <v>0</v>
      </c>
      <c r="BB31">
        <f>SUMIFS(Dyno_Data[DelMiss], Dyno_Data[Team],TBA_Matches_All[[#This Row],[Team]],Dyno_Data[Match],TBA_Matches_All[[#This Row],[Match_Number]],Dyno_Data[RecordType],"Activities", Dyno_Data[DelDest],"Trap")</f>
        <v>0</v>
      </c>
      <c r="BC31" s="60">
        <f>IFERROR((TBA_Matches_All[[#This Row],[AtrapT]]+TBA_Matches_All[[#This Row],[TtrapT]])/(TBA_Matches_All[[#This Row],[AtrapT]]+TBA_Matches_All[[#This Row],[TtrapT]]+TBA_Matches_All[[#This Row],[trapM]]),0)</f>
        <v>0</v>
      </c>
      <c r="BD31">
        <f>COUNTIFS(Dyno_Data[Team],TBA_Matches_All[[#This Row],[Team]],Dyno_Data[Match],TBA_Matches_All[[#This Row],[Match_Number]],Dyno_Data[RecordType],"Activities",Dyno_Data[DelDest],"Neut", Dyno_Data[DelMiss],1)</f>
        <v>0</v>
      </c>
      <c r="BE31" s="60">
        <f>IFERROR(SUM((TBA_Matches_All[[#This Row],[NeutFlrT]])/(TBA_Matches_All[[#This Row],[NeutFlrT]]+TBA_Matches_All[[#This Row],[NZflM]])),0)</f>
        <v>0</v>
      </c>
      <c r="BF31">
        <f>COUNTIFS(Dyno_Data[Team],TBA_Matches_All[[#This Row],[Team]],Dyno_Data[Match],TBA_Matches_All[[#This Row],[Match_Number]],Dyno_Data[RecordType],"Activities",Dyno_Data[DelDest],"AllyW", Dyno_Data[DelMiss],1)</f>
        <v>0</v>
      </c>
      <c r="BG31" s="60">
        <f>IFERROR(SUM((TBA_Matches_All[[#This Row],[AllyWFlrT]])/(TBA_Matches_All[[#This Row],[AllyWFlrT]]+TBA_Matches_All[[#This Row],[AZflM]])),0)</f>
        <v>0</v>
      </c>
      <c r="BH31">
        <f>COUNTIFS(Dyno_Data[Team],TBA_Matches_All[[#This Row],[Team]],Dyno_Data[Match],TBA_Matches_All[[#This Row],[Match_Number]],Dyno_Data[RecordType],"Activities",Dyno_Data[DelOrig],"OppW", Dyno_Data[DelMiss],"0")</f>
        <v>0</v>
      </c>
      <c r="BI31">
        <f>COUNTIFS(Dyno_Data[Team],TBA_Matches_All[[#This Row],[Team]],Dyno_Data[Match],TBA_Matches_All[[#This Row],[Match_Number]],Dyno_Data[RecordType],"Activities",Dyno_Data[DelOrig],"OppW", Dyno_Data[DelMiss],"1")</f>
        <v>0</v>
      </c>
      <c r="BJ31" s="60">
        <f>IFERROR(SUM((TBA_Matches_All[[#This Row],[OZflrT]])/(TBA_Matches_All[[#This Row],[OZflrT]]+TBA_Matches_All[[#This Row],[OZflrM]])),0)</f>
        <v>0</v>
      </c>
      <c r="BK31">
        <f>COUNTIFS(Dyno_Data[Team],TBA_Matches_All[[#This Row],[Team]],Dyno_Data[Match],TBA_Matches_All[[#This Row],[Match_Number]],Dyno_Data[RecordType],"Activities",Dyno_Data[DelOrig],"Neut", Dyno_Data[DelMiss],"0")</f>
        <v>0</v>
      </c>
      <c r="BL31">
        <f>COUNTIFS(Dyno_Data[Team],TBA_Matches_All[[#This Row],[Team]],Dyno_Data[Match],TBA_Matches_All[[#This Row],[Match_Number]],Dyno_Data[RecordType],"Activities",Dyno_Data[DelOrig],"Neut", Dyno_Data[DelMiss],"1")</f>
        <v>0</v>
      </c>
      <c r="BM31" s="60">
        <f>IFERROR(SUM((TBA_Matches_All[[#This Row],[NZflrT]])/(TBA_Matches_All[[#This Row],[NZflrT]]+TBA_Matches_All[[#This Row],[NZflrM]])),0)</f>
        <v>0</v>
      </c>
      <c r="BN31">
        <f>COUNTIFS(Dyno_Data[Team],TBA_Matches_All[[#This Row],[Team]],Dyno_Data[Match],TBA_Matches_All[[#This Row],[Match_Number]],Dyno_Data[RecordType],"Activities",Dyno_Data[DelOrig],"AllyW", Dyno_Data[DelMiss],"0")</f>
        <v>0</v>
      </c>
      <c r="BO31">
        <f>COUNTIFS(Dyno_Data[Team],TBA_Matches_All[[#This Row],[Team]],Dyno_Data[Match],TBA_Matches_All[[#This Row],[Match_Number]],Dyno_Data[RecordType],"Activities",Dyno_Data[DelOrig],"AllyW", Dyno_Data[DelMiss],"1")</f>
        <v>0</v>
      </c>
      <c r="BP31" s="60">
        <f>IFERROR(SUM((TBA_Matches_All[[#This Row],[AZflrT]])/(TBA_Matches_All[[#This Row],[AZflrT]]+TBA_Matches_All[[#This Row],[AZflrM]])),0)</f>
        <v>0</v>
      </c>
      <c r="BQ31">
        <f>COUNTIFS(Dyno_Data[Team],TBA_Matches_All[[#This Row],[Team]],Dyno_Data[Match],TBA_Matches_All[[#This Row],[Match_Number]],Dyno_Data[RecordType],"Activities",Dyno_Data[DelOrig],"SubW", Dyno_Data[DelMiss],"0")</f>
        <v>0</v>
      </c>
      <c r="BR31">
        <f>COUNTIFS(Dyno_Data[Team],TBA_Matches_All[[#This Row],[Team]],Dyno_Data[Match],TBA_Matches_All[[#This Row],[Match_Number]],Dyno_Data[RecordType],"Activities",Dyno_Data[DelOrig],"SubW", Dyno_Data[DelMiss],"1")</f>
        <v>1</v>
      </c>
      <c r="BS31" s="60">
        <f>IFERROR(SUM((TBA_Matches_All[[#This Row],[SubwT]])/(TBA_Matches_All[[#This Row],[SubwT]]+TBA_Matches_All[[#This Row],[SubwM]])),0)</f>
        <v>0</v>
      </c>
      <c r="BT31">
        <f>COUNTIFS(Dyno_Data[Team],TBA_Matches_All[[#This Row],[Team]],Dyno_Data[Match],TBA_Matches_All[[#This Row],[Match_Number]],Dyno_Data[RecordType],"Activities", Dyno_Data[AcqLoc],"OppWing")</f>
        <v>0</v>
      </c>
      <c r="BU31">
        <f>COUNTIFS(Dyno_Data[Team],TBA_Matches_All[[#This Row],[Team]],Dyno_Data[Match],TBA_Matches_All[[#This Row],[Match_Number]],Dyno_Data[RecordType],"Activities", Dyno_Data[AcqLoc],"Neutral")</f>
        <v>0</v>
      </c>
      <c r="BV31">
        <f>COUNTIFS(Dyno_Data[Team],TBA_Matches_All[[#This Row],[Team]],Dyno_Data[Match],TBA_Matches_All[[#This Row],[Match_Number]],Dyno_Data[RecordType],"Activities", Dyno_Data[AcqLoc],"AllyWing")</f>
        <v>0</v>
      </c>
      <c r="BW31">
        <f>COUNTIFS(Dyno_Data[Team],TBA_Matches_All[[#This Row],[Team]],Dyno_Data[Match],TBA_Matches_All[[#This Row],[Match_Number]],Dyno_Data[RecordType],"Activities", Dyno_Data[AcqLoc],"Source")</f>
        <v>0</v>
      </c>
      <c r="BX31">
        <f>SUMIFS(Dyno_Data[AcqDrp], Dyno_Data[Team],TBA_Matches_All[[#This Row],[Team]],Dyno_Data[Match],TBA_Matches_All[[#This Row],[Match_Number]],Dyno_Data[RecordType],"Activities", Dyno_Data[AcqLoc],"Source")</f>
        <v>0</v>
      </c>
      <c r="BY31">
        <f>SUMIFS(Dyno_Data[OZTime], Dyno_Data[Team],TBA_Matches_All[[#This Row],[Team]],Dyno_Data[Match],TBA_Matches_All[[#This Row],[Match_Number]],Dyno_Data[RecordType],"EndMatch")</f>
        <v>0</v>
      </c>
      <c r="BZ31">
        <f>SUMIFS(Dyno_Data[NZTime], Dyno_Data[Team],TBA_Matches_All[[#This Row],[Team]],Dyno_Data[Match],TBA_Matches_All[[#This Row],[Match_Number]],Dyno_Data[RecordType],"EndMatch")</f>
        <v>0</v>
      </c>
      <c r="CA31">
        <f>SUMIFS(Dyno_Data[AZTime], Dyno_Data[Team],TBA_Matches_All[[#This Row],[Team]],Dyno_Data[Match],TBA_Matches_All[[#This Row],[Match_Number]],Dyno_Data[RecordType],"EndMatch")</f>
        <v>130.13443329999998</v>
      </c>
      <c r="CB31">
        <f>SUMIFS(Dyno_Data[ClimbT], Dyno_Data[Team],TBA_Matches_All[[#This Row],[Team]],Dyno_Data[Match],TBA_Matches_All[[#This Row],[Match_Number]],Dyno_Data[RecordType],"EndMatch")</f>
        <v>1.0700569</v>
      </c>
      <c r="CC31" t="str">
        <f>_xlfn.XLOOKUP(SUM(MID(TBA_Matches_All[[#This Row],[Team]],4,5),(TBA_Matches_All[[#This Row],[Match_Number]]/100)),Dyno_EndMatch[teammat],Dyno_EndMatch[StageStat],"_",0,1)</f>
        <v>Park</v>
      </c>
      <c r="CD31" t="str">
        <f>_xlfn.XLOOKUP(TBA_Matches_All[[#This Row],[teammat]],Dyno_EndMatch[teammat],Dyno_EndMatch[StageAtt],"_",0,1)</f>
        <v>-1</v>
      </c>
      <c r="CE31" t="str">
        <f>_xlfn.XLOOKUP(TBA_Matches_All[[#This Row],[teammat]],Dyno_EndMatch[teammat],Dyno_EndMatch[StageLoc],"_",0,1)</f>
        <v>A</v>
      </c>
      <c r="CF31">
        <f>SUMIFS(Dyno_Data[Harmony], Dyno_Data[Team],TBA_Matches_All[[#This Row],[Team]],Dyno_Data[Match],TBA_Matches_All[[#This Row],[Match_Number]],Dyno_Data[RecordType],"EndMatch", Dyno_Data[StageStat],"On",Dyno_Data[Harmony],"&lt;&gt;9")</f>
        <v>0</v>
      </c>
      <c r="CG31">
        <f>SUMIFS(Dyno_Data[Spotlit], Dyno_Data[Team],TBA_Matches_All[[#This Row],[Team]],Dyno_Data[Match],TBA_Matches_All[[#This Row],[Match_Number]],Dyno_Data[RecordType],"EndMatch", Dyno_Data[StageStat],"On",Dyno_Data[Spotlit],"&lt;&gt;9")</f>
        <v>0</v>
      </c>
      <c r="CH31" t="str">
        <f>_xlfn.XLOOKUP(TBA_Matches_All[[#This Row],[teammat]],Dyno_EndMatch[teammat],Dyno_EndMatch[Strategy],"_",0,1)</f>
        <v>None</v>
      </c>
      <c r="CI31">
        <f>SUMIFS(Dyno_Data[Defense], Dyno_Data[Team],TBA_Matches_All[[#This Row],[Team]],Dyno_Data[Match],TBA_Matches_All[[#This Row],[Match_Number]],Dyno_Data[RecordType],"EndMatch",Dyno_Data[Defense],"&lt;&gt;9")</f>
        <v>0</v>
      </c>
      <c r="CJ31">
        <f>SUMIFS(Dyno_Data[Avoidance], Dyno_Data[Team],TBA_Matches_All[[#This Row],[Team]],Dyno_Data[Match],TBA_Matches_All[[#This Row],[Match_Number]],Dyno_Data[RecordType],"EndMatch",Dyno_Data[Avoidance],"&lt;&gt;9")</f>
        <v>0</v>
      </c>
      <c r="CK31" s="82">
        <f>COUNTIF($H$2:TBA_Matches_All[[#This Row],[Team]],TBA_Matches_All[[#This Row],[Team]])</f>
        <v>1</v>
      </c>
      <c r="CL31" s="111">
        <f>SUM(MID(TBA_Matches_All[[#This Row],[Team]],4,5)+TBA_Matches_All[[#This Row],[Match_Number]]/100)</f>
        <v>6969.05</v>
      </c>
      <c r="CM31">
        <f>SUM((TBA_Matches_All[[#This Row],[Leave]]*2)+(TBA_Matches_All[[#This Row],[AampT]]*2)+(TBA_Matches_All[[#This Row],[AspkrT]]*5)+(TBA_Matches_All[[#This Row],[AtrapT]]*5))</f>
        <v>0</v>
      </c>
      <c r="CN31" s="59">
        <f>IFERROR(SUM(TBA_Matches_All[[#This Row],[AptsT]]/TBA_Matches_All[[#This Row],[AutoPts]]),0)</f>
        <v>0</v>
      </c>
      <c r="CO31" s="59">
        <f>IFERROR(SUM(TBA_Matches_All[[#This Row],[AampT]]+TBA_Matches_All[[#This Row],[AspkrT]]+TBA_Matches_All[[#This Row],[AtrapT]]/TBA_Matches_All[[#This Row],[Aamp]]+TBA_Matches_All[[#This Row],[Aspkr]]+TBA_Matches_All[[#This Row],[AtrapT]]),0)</f>
        <v>0</v>
      </c>
      <c r="CP31" s="59">
        <f>IFERROR(SUM(TBA_Matches_All[[#This Row],[TampT]]/TBA_Matches_All[[#This Row],[Tamp]]),0)</f>
        <v>0</v>
      </c>
      <c r="CQ31" s="59">
        <f>IFERROR(SUM(TBA_Matches_All[[#This Row],[TspkrT]]/TBA_Matches_All[[#This Row],[Tspkr]]),0)</f>
        <v>0</v>
      </c>
      <c r="CR31">
        <f>SUM(TBA_Matches_All[[#This Row],[TspkrPts]]*TBA_Matches_All[[#This Row],[TspkrP]])</f>
        <v>0</v>
      </c>
      <c r="CS31" s="59">
        <f>IFERROR(SUM(TBA_Matches_All[[#This Row],[TtrapT]]/TBA_Matches_All[[#This Row],[Trap]]),0)</f>
        <v>0</v>
      </c>
      <c r="CT31" s="59">
        <f>IFERROR(SUM(TBA_Matches_All[[#This Row],[TotNotesT]]/TBA_Matches_All[[#This Row],[TotNotes]]),0)</f>
        <v>0</v>
      </c>
      <c r="CU31" s="66">
        <f>SUM((TBA_Matches_All[[#This Row],[AampT]]*2)+(TBA_Matches_All[[#This Row],[AspkrT]]*5)+(TBA_Matches_All[[#This Row],[AtrapT]]*5)+(TBA_Matches_All[[#This Row],[TampT]]*1)+(TBA_Matches_All[[#This Row],[TspkrptsC]]))</f>
        <v>0</v>
      </c>
      <c r="CV31" s="59">
        <f>IFERROR(TBA_Matches_All[[#This Row],[noteptsT]]/TBA_Matches_All[[#This Row],[NotePts]],0)</f>
        <v>0</v>
      </c>
      <c r="CW31">
        <f>SUM(IF(TBA_Matches_All[[#This Row],[stageStat]]="On",3,0),IF(TBA_Matches_All[[#This Row],[stageStat]]="Park",1,0),SUMIFS(TBA_Matches_All[[#This Row],[Spotlit]],TBA_Matches_All[[#This Row],[stageStat]],"On"),SUMIFS(TBA_Matches_All[[#This Row],[Harmony]],TBA_Matches_All[[#This Row],[stageStat]],"On"))</f>
        <v>1</v>
      </c>
      <c r="CX31" s="59">
        <f>IFERROR(TBA_Matches_All[[#This Row],[stageptsT]]/TBA_Matches_All[[#This Row],[StagePts]],0)</f>
        <v>0.33333333333333331</v>
      </c>
      <c r="CY31">
        <f>SUM((TBA_Matches_All[[#This Row],[AptsT]]+TBA_Matches_All[[#This Row],[TampT]]+TBA_Matches_All[[#This Row],[TspkrptsC]]+(TBA_Matches_All[[#This Row],[TtrapT]]*5)+TBA_Matches_All[[#This Row],[stageptsT]]))</f>
        <v>1</v>
      </c>
      <c r="CZ31" s="59">
        <f>IFERROR(SUM(TBA_Matches_All[[#This Row],[TotptsC]]/TBA_Matches_All[[#This Row],[Score]]),0)</f>
        <v>2.4390243902439025E-2</v>
      </c>
      <c r="DA3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31" s="74">
        <f>SUMIFS(TBA_Matches_All[AveTeamTNoteDels],TBA_Matches_All[Match_Number],TBA_Matches_All[[#This Row],[Match_Number]],TBA_Matches_All[Alliance],"&lt;&gt;"&amp;TBA_Matches_All[[#This Row],[Alliance]],TBA_Matches_All[Scouted],"&gt;0")</f>
        <v>15.778939393939392</v>
      </c>
      <c r="DC31" s="74">
        <f>(TBA_Matches_All[[#This Row],[TampT]]+TBA_Matches_All[[#This Row],[TspkrptsC]])-TBA_Matches_All[[#This Row],[AveTeamTNoteDels]]</f>
        <v>-1</v>
      </c>
      <c r="DD31" s="74">
        <f>SUMIFS(TBA_Matches_All[AveTeamTNoteDels],TBA_Matches_All[Match_Number],TBA_Matches_All[[#This Row],[Match_Number]],TBA_Matches_All[Alliance],"&lt;&gt;"&amp;TBA_Matches_All[[#This Row],[Alliance]])-TBA_Matches_All[[#This Row],[AveOppTNoteDels]]</f>
        <v>0</v>
      </c>
    </row>
    <row r="32" spans="1:108" x14ac:dyDescent="0.3">
      <c r="A32" t="s">
        <v>1042</v>
      </c>
      <c r="B32" t="s">
        <v>489</v>
      </c>
      <c r="C32" t="s">
        <v>1299</v>
      </c>
      <c r="D32">
        <v>5</v>
      </c>
      <c r="E32" t="s">
        <v>1406</v>
      </c>
      <c r="F32" t="s">
        <v>1426</v>
      </c>
      <c r="G32" t="s">
        <v>164</v>
      </c>
      <c r="H32" t="s">
        <v>1301</v>
      </c>
      <c r="I32" t="b">
        <v>0</v>
      </c>
      <c r="J32">
        <v>70</v>
      </c>
      <c r="K32">
        <v>0</v>
      </c>
      <c r="L32">
        <v>1</v>
      </c>
      <c r="M32">
        <v>12</v>
      </c>
      <c r="N32">
        <v>0</v>
      </c>
      <c r="O32">
        <v>3</v>
      </c>
      <c r="P32">
        <v>15</v>
      </c>
      <c r="Q32">
        <v>19</v>
      </c>
      <c r="R32">
        <v>0</v>
      </c>
      <c r="S32">
        <v>0</v>
      </c>
      <c r="T32">
        <v>10</v>
      </c>
      <c r="U32">
        <v>0</v>
      </c>
      <c r="V32">
        <v>20</v>
      </c>
      <c r="W32">
        <v>10</v>
      </c>
      <c r="X32">
        <v>20</v>
      </c>
      <c r="Y32">
        <v>20</v>
      </c>
      <c r="Z32">
        <v>5</v>
      </c>
      <c r="AA32">
        <v>1</v>
      </c>
      <c r="AB32">
        <v>13</v>
      </c>
      <c r="AC32">
        <v>35</v>
      </c>
      <c r="AD32">
        <v>11</v>
      </c>
      <c r="AE32">
        <f>IFERROR(6/(COUNTIF(Dyno_EndMatch[Match],TBA_Matches_All[[#This Row],[Match_Number]])),0)</f>
        <v>1</v>
      </c>
      <c r="AF32">
        <f>COUNTIFS(Dyno_Data[Team],TBA_Matches_All[[#This Row],[Team]],Dyno_Data[Match],TBA_Matches_All[[#This Row],[Match_Number]],Dyno_Data[RecordType],"EndMatch",Dyno_Data[HPAmp],"Y")</f>
        <v>1</v>
      </c>
      <c r="AG32">
        <f>SUMIFS(Dyno_Data[Mics], Dyno_Data[Team],TBA_Matches_All[[#This Row],[Team]],Dyno_Data[Match],TBA_Matches_All[[#This Row],[Match_Number]],Dyno_Data[RecordType],"EndMatch",Dyno_Data[HPAmp],"Y")</f>
        <v>0</v>
      </c>
      <c r="AH32">
        <f>SUMIFS(Dyno_Data[Leave], Dyno_Data[Team],TBA_Matches_All[[#This Row],[Team]],Dyno_Data[Match],TBA_Matches_All[[#This Row],[Match_Number]],Dyno_Data[RecordType],"EndAuto")</f>
        <v>0</v>
      </c>
      <c r="AI32">
        <f>COUNTIFS(Dyno_Data[Team],TBA_Matches_All[[#This Row],[Team]],Dyno_Data[Match],TBA_Matches_All[[#This Row],[Match_Number]],Dyno_Data[RecordType],"Activities",Dyno_Data[DelDest],"Amp", Dyno_Data[DelMiss],"0", Dyno_Data[Mode],"Auto")</f>
        <v>0</v>
      </c>
      <c r="AJ32">
        <f>COUNTIFS(Dyno_Data[Team],TBA_Matches_All[[#This Row],[Team]],Dyno_Data[Match],TBA_Matches_All[[#This Row],[Match_Number]],Dyno_Data[RecordType],"Activities",Dyno_Data[DelDest],"Spkr", Dyno_Data[DelMiss],"0", Dyno_Data[Mode],"Auto")</f>
        <v>0</v>
      </c>
      <c r="AK32">
        <f>COUNTIFS(Dyno_Data[Team],TBA_Matches_All[[#This Row],[Team]],Dyno_Data[Match],TBA_Matches_All[[#This Row],[Match_Number]],Dyno_Data[RecordType],"Activities",Dyno_Data[DelDest],"Trap", Dyno_Data[DelMiss],"0", Dyno_Data[Mode],"Auto")</f>
        <v>0</v>
      </c>
      <c r="AL32">
        <f>COUNTIFS(Dyno_Data[Team],TBA_Matches_All[[#This Row],[Team]],Dyno_Data[Match],TBA_Matches_All[[#This Row],[Match_Number]],Dyno_Data[RecordType],"Activities",Dyno_Data[DelDest],"Amp", Dyno_Data[DelMiss],"0", Dyno_Data[Mode],"Teleop")</f>
        <v>0</v>
      </c>
      <c r="AM32">
        <f>COUNTIFS(Dyno_Data[Team],TBA_Matches_All[[#This Row],[Team]],Dyno_Data[Match],TBA_Matches_All[[#This Row],[Match_Number]],Dyno_Data[RecordType],"Activities",Dyno_Data[DelDest],"Spkr", Dyno_Data[DelMiss],"0", Dyno_Data[Mode],"Teleop")</f>
        <v>0</v>
      </c>
      <c r="AN32">
        <f>COUNTIFS(Dyno_Data[Team],TBA_Matches_All[[#This Row],[Team]],Dyno_Data[Match],TBA_Matches_All[[#This Row],[Match_Number]],Dyno_Data[RecordType],"Activities",Dyno_Data[DelDest],"Trap", Dyno_Data[DelMiss],"0", Dyno_Data[Mode],"&lt;&gt;Auto")</f>
        <v>0</v>
      </c>
      <c r="AO32">
        <f>SUM(TBA_Matches_All[[#This Row],[AampT]]+TBA_Matches_All[[#This Row],[AspkrT]]+TBA_Matches_All[[#This Row],[AtrapT]]+TBA_Matches_All[[#This Row],[TampT]]+TBA_Matches_All[[#This Row],[TspkrT]]+TBA_Matches_All[[#This Row],[TtrapT]])</f>
        <v>0</v>
      </c>
      <c r="AP32">
        <f>COUNTIFS(Dyno_Data[Team],TBA_Matches_All[[#This Row],[Team]],Dyno_Data[Match],TBA_Matches_All[[#This Row],[Match_Number]],Dyno_Data[RecordType],"Activities",Dyno_Data[DelDest],"Neut", Dyno_Data[DelMiss],"0")</f>
        <v>0</v>
      </c>
      <c r="AQ32">
        <f>COUNTIFS(Dyno_Data[Team],TBA_Matches_All[[#This Row],[Team]],Dyno_Data[Match],TBA_Matches_All[[#This Row],[Match_Number]],Dyno_Data[RecordType],"Activities",Dyno_Data[DelDest],"AllyW", Dyno_Data[DelMiss],"0")</f>
        <v>0</v>
      </c>
      <c r="AR32" t="str">
        <f>_xlfn.XLOOKUP(SUM(MID(TBA_Matches_All[[#This Row],[Team]],4,5),(TBA_Matches_All[[#This Row],[Match_Number]]/100)),Dyno_EndMatch[teammat],Dyno_EndMatch[RobotSta],"_",0,1)</f>
        <v>Podm</v>
      </c>
      <c r="AS32">
        <f>SUMIFS(Dyno_Data[AcqDis], Dyno_Data[Team],TBA_Matches_All[[#This Row],[Team]],Dyno_Data[Match],TBA_Matches_All[[#This Row],[Match_Number]],Dyno_Data[RecordType],"Activities", Dyno_Data[AcqCenter],1,Dyno_Data[Mode],"Auto")</f>
        <v>0</v>
      </c>
      <c r="AT32">
        <f>SUMIFS(Dyno_Data[AcqDis], Dyno_Data[Team],TBA_Matches_All[[#This Row],[Team]],Dyno_Data[Match],TBA_Matches_All[[#This Row],[Match_Number]],Dyno_Data[RecordType],"Activities", Dyno_Data[AcqCenter],2,Dyno_Data[Mode],"Auto")</f>
        <v>0</v>
      </c>
      <c r="AU32">
        <f>SUMIFS(Dyno_Data[AcqDis], Dyno_Data[Team],TBA_Matches_All[[#This Row],[Team]],Dyno_Data[Match],TBA_Matches_All[[#This Row],[Match_Number]],Dyno_Data[RecordType],"Activities", Dyno_Data[AcqCenter],3,Dyno_Data[Mode],"Auto")</f>
        <v>0</v>
      </c>
      <c r="AV32">
        <f>SUMIFS(Dyno_Data[AcqDis], Dyno_Data[Team],TBA_Matches_All[[#This Row],[Team]],Dyno_Data[Match],TBA_Matches_All[[#This Row],[Match_Number]],Dyno_Data[RecordType],"Activities", Dyno_Data[AcqCenter],4,Dyno_Data[Mode],"Auto")</f>
        <v>0</v>
      </c>
      <c r="AW32">
        <f>SUMIFS(Dyno_Data[AcqDis], Dyno_Data[Team],TBA_Matches_All[[#This Row],[Team]],Dyno_Data[Match],TBA_Matches_All[[#This Row],[Match_Number]],Dyno_Data[RecordType],"Activities", Dyno_Data[AcqCenter],5,Dyno_Data[Mode],"Auto")</f>
        <v>0</v>
      </c>
      <c r="AX32">
        <f>SUMIFS(Dyno_Data[DelMiss], Dyno_Data[Team],TBA_Matches_All[[#This Row],[Team]],Dyno_Data[Match],TBA_Matches_All[[#This Row],[Match_Number]],Dyno_Data[RecordType],"Activities", Dyno_Data[DelDest],"Amp")</f>
        <v>6</v>
      </c>
      <c r="AY32" s="60">
        <f>IFERROR(SUM((TBA_Matches_All[[#This Row],[AampT]]+TBA_Matches_All[[#This Row],[TampT]])/(TBA_Matches_All[[#This Row],[AampT]]+TBA_Matches_All[[#This Row],[TampT]]+TBA_Matches_All[[#This Row],[ampM]])),0)</f>
        <v>0</v>
      </c>
      <c r="AZ32">
        <f>SUMIFS(Dyno_Data[DelMiss], Dyno_Data[Team],TBA_Matches_All[[#This Row],[Team]],Dyno_Data[Match],TBA_Matches_All[[#This Row],[Match_Number]],Dyno_Data[RecordType],"Activities", Dyno_Data[DelDest],"Spkr")</f>
        <v>0</v>
      </c>
      <c r="BA32" s="60">
        <f>IFERROR(SUM((TBA_Matches_All[[#This Row],[AspkrT]]+TBA_Matches_All[[#This Row],[TspkrT]])/(TBA_Matches_All[[#This Row],[AspkrT]]+TBA_Matches_All[[#This Row],[TspkrT]]+TBA_Matches_All[[#This Row],[spkrM]])),0)</f>
        <v>0</v>
      </c>
      <c r="BB32">
        <f>SUMIFS(Dyno_Data[DelMiss], Dyno_Data[Team],TBA_Matches_All[[#This Row],[Team]],Dyno_Data[Match],TBA_Matches_All[[#This Row],[Match_Number]],Dyno_Data[RecordType],"Activities", Dyno_Data[DelDest],"Trap")</f>
        <v>0</v>
      </c>
      <c r="BC32" s="60">
        <f>IFERROR((TBA_Matches_All[[#This Row],[AtrapT]]+TBA_Matches_All[[#This Row],[TtrapT]])/(TBA_Matches_All[[#This Row],[AtrapT]]+TBA_Matches_All[[#This Row],[TtrapT]]+TBA_Matches_All[[#This Row],[trapM]]),0)</f>
        <v>0</v>
      </c>
      <c r="BD32">
        <f>COUNTIFS(Dyno_Data[Team],TBA_Matches_All[[#This Row],[Team]],Dyno_Data[Match],TBA_Matches_All[[#This Row],[Match_Number]],Dyno_Data[RecordType],"Activities",Dyno_Data[DelDest],"Neut", Dyno_Data[DelMiss],1)</f>
        <v>0</v>
      </c>
      <c r="BE32" s="60">
        <f>IFERROR(SUM((TBA_Matches_All[[#This Row],[NeutFlrT]])/(TBA_Matches_All[[#This Row],[NeutFlrT]]+TBA_Matches_All[[#This Row],[NZflM]])),0)</f>
        <v>0</v>
      </c>
      <c r="BF32">
        <f>COUNTIFS(Dyno_Data[Team],TBA_Matches_All[[#This Row],[Team]],Dyno_Data[Match],TBA_Matches_All[[#This Row],[Match_Number]],Dyno_Data[RecordType],"Activities",Dyno_Data[DelDest],"AllyW", Dyno_Data[DelMiss],1)</f>
        <v>0</v>
      </c>
      <c r="BG32" s="60">
        <f>IFERROR(SUM((TBA_Matches_All[[#This Row],[AllyWFlrT]])/(TBA_Matches_All[[#This Row],[AllyWFlrT]]+TBA_Matches_All[[#This Row],[AZflM]])),0)</f>
        <v>0</v>
      </c>
      <c r="BH32">
        <f>COUNTIFS(Dyno_Data[Team],TBA_Matches_All[[#This Row],[Team]],Dyno_Data[Match],TBA_Matches_All[[#This Row],[Match_Number]],Dyno_Data[RecordType],"Activities",Dyno_Data[DelOrig],"OppW", Dyno_Data[DelMiss],"0")</f>
        <v>0</v>
      </c>
      <c r="BI32">
        <f>COUNTIFS(Dyno_Data[Team],TBA_Matches_All[[#This Row],[Team]],Dyno_Data[Match],TBA_Matches_All[[#This Row],[Match_Number]],Dyno_Data[RecordType],"Activities",Dyno_Data[DelOrig],"OppW", Dyno_Data[DelMiss],"1")</f>
        <v>0</v>
      </c>
      <c r="BJ32" s="60">
        <f>IFERROR(SUM((TBA_Matches_All[[#This Row],[OZflrT]])/(TBA_Matches_All[[#This Row],[OZflrT]]+TBA_Matches_All[[#This Row],[OZflrM]])),0)</f>
        <v>0</v>
      </c>
      <c r="BK32">
        <f>COUNTIFS(Dyno_Data[Team],TBA_Matches_All[[#This Row],[Team]],Dyno_Data[Match],TBA_Matches_All[[#This Row],[Match_Number]],Dyno_Data[RecordType],"Activities",Dyno_Data[DelOrig],"Neut", Dyno_Data[DelMiss],"0")</f>
        <v>0</v>
      </c>
      <c r="BL32">
        <f>COUNTIFS(Dyno_Data[Team],TBA_Matches_All[[#This Row],[Team]],Dyno_Data[Match],TBA_Matches_All[[#This Row],[Match_Number]],Dyno_Data[RecordType],"Activities",Dyno_Data[DelOrig],"Neut", Dyno_Data[DelMiss],"1")</f>
        <v>0</v>
      </c>
      <c r="BM32" s="60">
        <f>IFERROR(SUM((TBA_Matches_All[[#This Row],[NZflrT]])/(TBA_Matches_All[[#This Row],[NZflrT]]+TBA_Matches_All[[#This Row],[NZflrM]])),0)</f>
        <v>0</v>
      </c>
      <c r="BN32">
        <f>COUNTIFS(Dyno_Data[Team],TBA_Matches_All[[#This Row],[Team]],Dyno_Data[Match],TBA_Matches_All[[#This Row],[Match_Number]],Dyno_Data[RecordType],"Activities",Dyno_Data[DelOrig],"AllyW", Dyno_Data[DelMiss],"0")</f>
        <v>0</v>
      </c>
      <c r="BO32">
        <f>COUNTIFS(Dyno_Data[Team],TBA_Matches_All[[#This Row],[Team]],Dyno_Data[Match],TBA_Matches_All[[#This Row],[Match_Number]],Dyno_Data[RecordType],"Activities",Dyno_Data[DelOrig],"AllyW", Dyno_Data[DelMiss],"1")</f>
        <v>6</v>
      </c>
      <c r="BP32" s="60">
        <f>IFERROR(SUM((TBA_Matches_All[[#This Row],[AZflrT]])/(TBA_Matches_All[[#This Row],[AZflrT]]+TBA_Matches_All[[#This Row],[AZflrM]])),0)</f>
        <v>0</v>
      </c>
      <c r="BQ32">
        <f>COUNTIFS(Dyno_Data[Team],TBA_Matches_All[[#This Row],[Team]],Dyno_Data[Match],TBA_Matches_All[[#This Row],[Match_Number]],Dyno_Data[RecordType],"Activities",Dyno_Data[DelOrig],"SubW", Dyno_Data[DelMiss],"0")</f>
        <v>0</v>
      </c>
      <c r="BR32">
        <f>COUNTIFS(Dyno_Data[Team],TBA_Matches_All[[#This Row],[Team]],Dyno_Data[Match],TBA_Matches_All[[#This Row],[Match_Number]],Dyno_Data[RecordType],"Activities",Dyno_Data[DelOrig],"SubW", Dyno_Data[DelMiss],"1")</f>
        <v>0</v>
      </c>
      <c r="BS32" s="60">
        <f>IFERROR(SUM((TBA_Matches_All[[#This Row],[SubwT]])/(TBA_Matches_All[[#This Row],[SubwT]]+TBA_Matches_All[[#This Row],[SubwM]])),0)</f>
        <v>0</v>
      </c>
      <c r="BT32">
        <f>COUNTIFS(Dyno_Data[Team],TBA_Matches_All[[#This Row],[Team]],Dyno_Data[Match],TBA_Matches_All[[#This Row],[Match_Number]],Dyno_Data[RecordType],"Activities", Dyno_Data[AcqLoc],"OppWing")</f>
        <v>0</v>
      </c>
      <c r="BU32">
        <f>COUNTIFS(Dyno_Data[Team],TBA_Matches_All[[#This Row],[Team]],Dyno_Data[Match],TBA_Matches_All[[#This Row],[Match_Number]],Dyno_Data[RecordType],"Activities", Dyno_Data[AcqLoc],"Neutral")</f>
        <v>0</v>
      </c>
      <c r="BV32">
        <f>COUNTIFS(Dyno_Data[Team],TBA_Matches_All[[#This Row],[Team]],Dyno_Data[Match],TBA_Matches_All[[#This Row],[Match_Number]],Dyno_Data[RecordType],"Activities", Dyno_Data[AcqLoc],"AllyWing")</f>
        <v>0</v>
      </c>
      <c r="BW32">
        <f>COUNTIFS(Dyno_Data[Team],TBA_Matches_All[[#This Row],[Team]],Dyno_Data[Match],TBA_Matches_All[[#This Row],[Match_Number]],Dyno_Data[RecordType],"Activities", Dyno_Data[AcqLoc],"Source")</f>
        <v>0</v>
      </c>
      <c r="BX32">
        <f>SUMIFS(Dyno_Data[AcqDrp], Dyno_Data[Team],TBA_Matches_All[[#This Row],[Team]],Dyno_Data[Match],TBA_Matches_All[[#This Row],[Match_Number]],Dyno_Data[RecordType],"Activities", Dyno_Data[AcqLoc],"Source")</f>
        <v>0</v>
      </c>
      <c r="BY32">
        <f>SUMIFS(Dyno_Data[OZTime], Dyno_Data[Team],TBA_Matches_All[[#This Row],[Team]],Dyno_Data[Match],TBA_Matches_All[[#This Row],[Match_Number]],Dyno_Data[RecordType],"EndMatch")</f>
        <v>0</v>
      </c>
      <c r="BZ32">
        <f>SUMIFS(Dyno_Data[NZTime], Dyno_Data[Team],TBA_Matches_All[[#This Row],[Team]],Dyno_Data[Match],TBA_Matches_All[[#This Row],[Match_Number]],Dyno_Data[RecordType],"EndMatch")</f>
        <v>0</v>
      </c>
      <c r="CA32">
        <f>SUMIFS(Dyno_Data[AZTime], Dyno_Data[Team],TBA_Matches_All[[#This Row],[Team]],Dyno_Data[Match],TBA_Matches_All[[#This Row],[Match_Number]],Dyno_Data[RecordType],"EndMatch")</f>
        <v>139.02841429999998</v>
      </c>
      <c r="CB32">
        <f>SUMIFS(Dyno_Data[ClimbT], Dyno_Data[Team],TBA_Matches_All[[#This Row],[Team]],Dyno_Data[Match],TBA_Matches_All[[#This Row],[Match_Number]],Dyno_Data[RecordType],"EndMatch")</f>
        <v>0</v>
      </c>
      <c r="CC32" t="str">
        <f>_xlfn.XLOOKUP(SUM(MID(TBA_Matches_All[[#This Row],[Team]],4,5),(TBA_Matches_All[[#This Row],[Match_Number]]/100)),Dyno_EndMatch[teammat],Dyno_EndMatch[StageStat],"_",0,1)</f>
        <v>Else</v>
      </c>
      <c r="CD32" t="str">
        <f>_xlfn.XLOOKUP(TBA_Matches_All[[#This Row],[teammat]],Dyno_EndMatch[teammat],Dyno_EndMatch[StageAtt],"_",0,1)</f>
        <v>0</v>
      </c>
      <c r="CE32" t="str">
        <f>_xlfn.XLOOKUP(TBA_Matches_All[[#This Row],[teammat]],Dyno_EndMatch[teammat],Dyno_EndMatch[StageLoc],"_",0,1)</f>
        <v>A</v>
      </c>
      <c r="CF32">
        <f>SUMIFS(Dyno_Data[Harmony], Dyno_Data[Team],TBA_Matches_All[[#This Row],[Team]],Dyno_Data[Match],TBA_Matches_All[[#This Row],[Match_Number]],Dyno_Data[RecordType],"EndMatch", Dyno_Data[StageStat],"On",Dyno_Data[Harmony],"&lt;&gt;9")</f>
        <v>0</v>
      </c>
      <c r="CG32">
        <f>SUMIFS(Dyno_Data[Spotlit], Dyno_Data[Team],TBA_Matches_All[[#This Row],[Team]],Dyno_Data[Match],TBA_Matches_All[[#This Row],[Match_Number]],Dyno_Data[RecordType],"EndMatch", Dyno_Data[StageStat],"On",Dyno_Data[Spotlit],"&lt;&gt;9")</f>
        <v>0</v>
      </c>
      <c r="CH32" t="str">
        <f>_xlfn.XLOOKUP(TBA_Matches_All[[#This Row],[teammat]],Dyno_EndMatch[teammat],Dyno_EndMatch[Strategy],"_",0,1)</f>
        <v>Shooter</v>
      </c>
      <c r="CI32">
        <f>SUMIFS(Dyno_Data[Defense], Dyno_Data[Team],TBA_Matches_All[[#This Row],[Team]],Dyno_Data[Match],TBA_Matches_All[[#This Row],[Match_Number]],Dyno_Data[RecordType],"EndMatch",Dyno_Data[Defense],"&lt;&gt;9")</f>
        <v>0</v>
      </c>
      <c r="CJ32">
        <f>SUMIFS(Dyno_Data[Avoidance], Dyno_Data[Team],TBA_Matches_All[[#This Row],[Team]],Dyno_Data[Match],TBA_Matches_All[[#This Row],[Match_Number]],Dyno_Data[RecordType],"EndMatch",Dyno_Data[Avoidance],"&lt;&gt;9")</f>
        <v>0</v>
      </c>
      <c r="CK32" s="82">
        <f>COUNTIF($H$2:TBA_Matches_All[[#This Row],[Team]],TBA_Matches_All[[#This Row],[Team]])</f>
        <v>1</v>
      </c>
      <c r="CL32" s="111">
        <f>SUM(MID(TBA_Matches_All[[#This Row],[Team]],4,5)+TBA_Matches_All[[#This Row],[Match_Number]]/100)</f>
        <v>7031.05</v>
      </c>
      <c r="CM32">
        <f>SUM((TBA_Matches_All[[#This Row],[Leave]]*2)+(TBA_Matches_All[[#This Row],[AampT]]*2)+(TBA_Matches_All[[#This Row],[AspkrT]]*5)+(TBA_Matches_All[[#This Row],[AtrapT]]*5))</f>
        <v>0</v>
      </c>
      <c r="CN32" s="59">
        <f>IFERROR(SUM(TBA_Matches_All[[#This Row],[AptsT]]/TBA_Matches_All[[#This Row],[AutoPts]]),0)</f>
        <v>0</v>
      </c>
      <c r="CO32" s="59">
        <f>IFERROR(SUM(TBA_Matches_All[[#This Row],[AampT]]+TBA_Matches_All[[#This Row],[AspkrT]]+TBA_Matches_All[[#This Row],[AtrapT]]/TBA_Matches_All[[#This Row],[Aamp]]+TBA_Matches_All[[#This Row],[Aspkr]]+TBA_Matches_All[[#This Row],[AtrapT]]),0)</f>
        <v>0</v>
      </c>
      <c r="CP32" s="59">
        <f>IFERROR(SUM(TBA_Matches_All[[#This Row],[TampT]]/TBA_Matches_All[[#This Row],[Tamp]]),0)</f>
        <v>0</v>
      </c>
      <c r="CQ32" s="59">
        <f>IFERROR(SUM(TBA_Matches_All[[#This Row],[TspkrT]]/TBA_Matches_All[[#This Row],[Tspkr]]),0)</f>
        <v>0</v>
      </c>
      <c r="CR32">
        <f>SUM(TBA_Matches_All[[#This Row],[TspkrPts]]*TBA_Matches_All[[#This Row],[TspkrP]])</f>
        <v>0</v>
      </c>
      <c r="CS32" s="59">
        <f>IFERROR(SUM(TBA_Matches_All[[#This Row],[TtrapT]]/TBA_Matches_All[[#This Row],[Trap]]),0)</f>
        <v>0</v>
      </c>
      <c r="CT32" s="59">
        <f>IFERROR(SUM(TBA_Matches_All[[#This Row],[TotNotesT]]/TBA_Matches_All[[#This Row],[TotNotes]]),0)</f>
        <v>0</v>
      </c>
      <c r="CU32" s="66">
        <f>SUM((TBA_Matches_All[[#This Row],[AampT]]*2)+(TBA_Matches_All[[#This Row],[AspkrT]]*5)+(TBA_Matches_All[[#This Row],[AtrapT]]*5)+(TBA_Matches_All[[#This Row],[TampT]]*1)+(TBA_Matches_All[[#This Row],[TspkrptsC]]))</f>
        <v>0</v>
      </c>
      <c r="CV32" s="59">
        <f>IFERROR(TBA_Matches_All[[#This Row],[noteptsT]]/TBA_Matches_All[[#This Row],[NotePts]],0)</f>
        <v>0</v>
      </c>
      <c r="CW32">
        <f>SUM(IF(TBA_Matches_All[[#This Row],[stageStat]]="On",3,0),IF(TBA_Matches_All[[#This Row],[stageStat]]="Park",1,0),SUMIFS(TBA_Matches_All[[#This Row],[Spotlit]],TBA_Matches_All[[#This Row],[stageStat]],"On"),SUMIFS(TBA_Matches_All[[#This Row],[Harmony]],TBA_Matches_All[[#This Row],[stageStat]],"On"))</f>
        <v>0</v>
      </c>
      <c r="CX32" s="59">
        <f>IFERROR(TBA_Matches_All[[#This Row],[stageptsT]]/TBA_Matches_All[[#This Row],[StagePts]],0)</f>
        <v>0</v>
      </c>
      <c r="CY32">
        <f>SUM((TBA_Matches_All[[#This Row],[AptsT]]+TBA_Matches_All[[#This Row],[TampT]]+TBA_Matches_All[[#This Row],[TspkrptsC]]+(TBA_Matches_All[[#This Row],[TtrapT]]*5)+TBA_Matches_All[[#This Row],[stageptsT]]))</f>
        <v>0</v>
      </c>
      <c r="CZ32" s="59">
        <f>IFERROR(SUM(TBA_Matches_All[[#This Row],[TotptsC]]/TBA_Matches_All[[#This Row],[Score]]),0)</f>
        <v>0</v>
      </c>
      <c r="DA3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2" s="74">
        <f>SUMIFS(TBA_Matches_All[AveTeamTNoteDels],TBA_Matches_All[Match_Number],TBA_Matches_All[[#This Row],[Match_Number]],TBA_Matches_All[Alliance],"&lt;&gt;"&amp;TBA_Matches_All[[#This Row],[Alliance]],TBA_Matches_All[Scouted],"&gt;0")</f>
        <v>18.746428571428574</v>
      </c>
      <c r="DC32" s="74">
        <f>(TBA_Matches_All[[#This Row],[TampT]]+TBA_Matches_All[[#This Row],[TspkrptsC]])-TBA_Matches_All[[#This Row],[AveTeamTNoteDels]]</f>
        <v>0</v>
      </c>
      <c r="DD32" s="74">
        <f>SUMIFS(TBA_Matches_All[AveTeamTNoteDels],TBA_Matches_All[Match_Number],TBA_Matches_All[[#This Row],[Match_Number]],TBA_Matches_All[Alliance],"&lt;&gt;"&amp;TBA_Matches_All[[#This Row],[Alliance]])-TBA_Matches_All[[#This Row],[AveOppTNoteDels]]</f>
        <v>0</v>
      </c>
    </row>
    <row r="33" spans="1:108" x14ac:dyDescent="0.3">
      <c r="A33" t="s">
        <v>1042</v>
      </c>
      <c r="B33" t="s">
        <v>489</v>
      </c>
      <c r="C33" t="s">
        <v>1304</v>
      </c>
      <c r="D33">
        <v>6</v>
      </c>
      <c r="E33" t="s">
        <v>1420</v>
      </c>
      <c r="F33" t="s">
        <v>1425</v>
      </c>
      <c r="G33" t="s">
        <v>105</v>
      </c>
      <c r="H33" t="s">
        <v>1305</v>
      </c>
      <c r="I33" t="b">
        <v>1</v>
      </c>
      <c r="J33">
        <v>90</v>
      </c>
      <c r="K33">
        <v>1</v>
      </c>
      <c r="L33">
        <v>1</v>
      </c>
      <c r="M33">
        <v>5</v>
      </c>
      <c r="N33">
        <v>0</v>
      </c>
      <c r="O33">
        <v>5</v>
      </c>
      <c r="P33">
        <v>25</v>
      </c>
      <c r="Q33">
        <v>29</v>
      </c>
      <c r="R33">
        <v>5</v>
      </c>
      <c r="S33">
        <v>5</v>
      </c>
      <c r="T33">
        <v>9</v>
      </c>
      <c r="U33">
        <v>25</v>
      </c>
      <c r="V33">
        <v>18</v>
      </c>
      <c r="W33">
        <v>14</v>
      </c>
      <c r="X33">
        <v>43</v>
      </c>
      <c r="Y33">
        <v>48</v>
      </c>
      <c r="Z33">
        <v>0</v>
      </c>
      <c r="AA33">
        <v>0</v>
      </c>
      <c r="AB33">
        <v>24</v>
      </c>
      <c r="AC33">
        <v>73</v>
      </c>
      <c r="AD33">
        <v>3</v>
      </c>
      <c r="AE33">
        <f>IFERROR(6/(COUNTIF(Dyno_EndMatch[Match],TBA_Matches_All[[#This Row],[Match_Number]])),0)</f>
        <v>1</v>
      </c>
      <c r="AF33">
        <f>COUNTIFS(Dyno_Data[Team],TBA_Matches_All[[#This Row],[Team]],Dyno_Data[Match],TBA_Matches_All[[#This Row],[Match_Number]],Dyno_Data[RecordType],"EndMatch",Dyno_Data[HPAmp],"Y")</f>
        <v>1</v>
      </c>
      <c r="AG33">
        <f>SUMIFS(Dyno_Data[Mics], Dyno_Data[Team],TBA_Matches_All[[#This Row],[Team]],Dyno_Data[Match],TBA_Matches_All[[#This Row],[Match_Number]],Dyno_Data[RecordType],"EndMatch",Dyno_Data[HPAmp],"Y")</f>
        <v>0</v>
      </c>
      <c r="AH33">
        <f>SUMIFS(Dyno_Data[Leave], Dyno_Data[Team],TBA_Matches_All[[#This Row],[Team]],Dyno_Data[Match],TBA_Matches_All[[#This Row],[Match_Number]],Dyno_Data[RecordType],"EndAuto")</f>
        <v>0</v>
      </c>
      <c r="AI33">
        <f>COUNTIFS(Dyno_Data[Team],TBA_Matches_All[[#This Row],[Team]],Dyno_Data[Match],TBA_Matches_All[[#This Row],[Match_Number]],Dyno_Data[RecordType],"Activities",Dyno_Data[DelDest],"Amp", Dyno_Data[DelMiss],"0", Dyno_Data[Mode],"Auto")</f>
        <v>0</v>
      </c>
      <c r="AJ33">
        <f>COUNTIFS(Dyno_Data[Team],TBA_Matches_All[[#This Row],[Team]],Dyno_Data[Match],TBA_Matches_All[[#This Row],[Match_Number]],Dyno_Data[RecordType],"Activities",Dyno_Data[DelDest],"Spkr", Dyno_Data[DelMiss],"0", Dyno_Data[Mode],"Auto")</f>
        <v>4</v>
      </c>
      <c r="AK33">
        <f>COUNTIFS(Dyno_Data[Team],TBA_Matches_All[[#This Row],[Team]],Dyno_Data[Match],TBA_Matches_All[[#This Row],[Match_Number]],Dyno_Data[RecordType],"Activities",Dyno_Data[DelDest],"Trap", Dyno_Data[DelMiss],"0", Dyno_Data[Mode],"Auto")</f>
        <v>0</v>
      </c>
      <c r="AL33">
        <f>COUNTIFS(Dyno_Data[Team],TBA_Matches_All[[#This Row],[Team]],Dyno_Data[Match],TBA_Matches_All[[#This Row],[Match_Number]],Dyno_Data[RecordType],"Activities",Dyno_Data[DelDest],"Amp", Dyno_Data[DelMiss],"0", Dyno_Data[Mode],"Teleop")</f>
        <v>5</v>
      </c>
      <c r="AM33">
        <f>COUNTIFS(Dyno_Data[Team],TBA_Matches_All[[#This Row],[Team]],Dyno_Data[Match],TBA_Matches_All[[#This Row],[Match_Number]],Dyno_Data[RecordType],"Activities",Dyno_Data[DelDest],"Spkr", Dyno_Data[DelMiss],"0", Dyno_Data[Mode],"Teleop")</f>
        <v>5</v>
      </c>
      <c r="AN33">
        <f>COUNTIFS(Dyno_Data[Team],TBA_Matches_All[[#This Row],[Team]],Dyno_Data[Match],TBA_Matches_All[[#This Row],[Match_Number]],Dyno_Data[RecordType],"Activities",Dyno_Data[DelDest],"Trap", Dyno_Data[DelMiss],"0", Dyno_Data[Mode],"&lt;&gt;Auto")</f>
        <v>0</v>
      </c>
      <c r="AO33">
        <f>SUM(TBA_Matches_All[[#This Row],[AampT]]+TBA_Matches_All[[#This Row],[AspkrT]]+TBA_Matches_All[[#This Row],[AtrapT]]+TBA_Matches_All[[#This Row],[TampT]]+TBA_Matches_All[[#This Row],[TspkrT]]+TBA_Matches_All[[#This Row],[TtrapT]])</f>
        <v>14</v>
      </c>
      <c r="AP33">
        <f>COUNTIFS(Dyno_Data[Team],TBA_Matches_All[[#This Row],[Team]],Dyno_Data[Match],TBA_Matches_All[[#This Row],[Match_Number]],Dyno_Data[RecordType],"Activities",Dyno_Data[DelDest],"Neut", Dyno_Data[DelMiss],"0")</f>
        <v>0</v>
      </c>
      <c r="AQ33">
        <f>COUNTIFS(Dyno_Data[Team],TBA_Matches_All[[#This Row],[Team]],Dyno_Data[Match],TBA_Matches_All[[#This Row],[Match_Number]],Dyno_Data[RecordType],"Activities",Dyno_Data[DelDest],"AllyW", Dyno_Data[DelMiss],"0")</f>
        <v>0</v>
      </c>
      <c r="AR33" t="str">
        <f>_xlfn.XLOOKUP(SUM(MID(TBA_Matches_All[[#This Row],[Team]],4,5),(TBA_Matches_All[[#This Row],[Match_Number]]/100)),Dyno_EndMatch[teammat],Dyno_EndMatch[RobotSta],"_",0,1)</f>
        <v>Amp</v>
      </c>
      <c r="AS33">
        <f>SUMIFS(Dyno_Data[AcqDis], Dyno_Data[Team],TBA_Matches_All[[#This Row],[Team]],Dyno_Data[Match],TBA_Matches_All[[#This Row],[Match_Number]],Dyno_Data[RecordType],"Activities", Dyno_Data[AcqCenter],1,Dyno_Data[Mode],"Auto")</f>
        <v>0</v>
      </c>
      <c r="AT33">
        <f>SUMIFS(Dyno_Data[AcqDis], Dyno_Data[Team],TBA_Matches_All[[#This Row],[Team]],Dyno_Data[Match],TBA_Matches_All[[#This Row],[Match_Number]],Dyno_Data[RecordType],"Activities", Dyno_Data[AcqCenter],2,Dyno_Data[Mode],"Auto")</f>
        <v>0</v>
      </c>
      <c r="AU33">
        <f>SUMIFS(Dyno_Data[AcqDis], Dyno_Data[Team],TBA_Matches_All[[#This Row],[Team]],Dyno_Data[Match],TBA_Matches_All[[#This Row],[Match_Number]],Dyno_Data[RecordType],"Activities", Dyno_Data[AcqCenter],3,Dyno_Data[Mode],"Auto")</f>
        <v>0</v>
      </c>
      <c r="AV33">
        <f>SUMIFS(Dyno_Data[AcqDis], Dyno_Data[Team],TBA_Matches_All[[#This Row],[Team]],Dyno_Data[Match],TBA_Matches_All[[#This Row],[Match_Number]],Dyno_Data[RecordType],"Activities", Dyno_Data[AcqCenter],4,Dyno_Data[Mode],"Auto")</f>
        <v>0</v>
      </c>
      <c r="AW33">
        <f>SUMIFS(Dyno_Data[AcqDis], Dyno_Data[Team],TBA_Matches_All[[#This Row],[Team]],Dyno_Data[Match],TBA_Matches_All[[#This Row],[Match_Number]],Dyno_Data[RecordType],"Activities", Dyno_Data[AcqCenter],5,Dyno_Data[Mode],"Auto")</f>
        <v>1</v>
      </c>
      <c r="AX33">
        <f>SUMIFS(Dyno_Data[DelMiss], Dyno_Data[Team],TBA_Matches_All[[#This Row],[Team]],Dyno_Data[Match],TBA_Matches_All[[#This Row],[Match_Number]],Dyno_Data[RecordType],"Activities", Dyno_Data[DelDest],"Amp")</f>
        <v>0</v>
      </c>
      <c r="AY33" s="60">
        <f>IFERROR(SUM((TBA_Matches_All[[#This Row],[AampT]]+TBA_Matches_All[[#This Row],[TampT]])/(TBA_Matches_All[[#This Row],[AampT]]+TBA_Matches_All[[#This Row],[TampT]]+TBA_Matches_All[[#This Row],[ampM]])),0)</f>
        <v>1</v>
      </c>
      <c r="AZ33">
        <f>SUMIFS(Dyno_Data[DelMiss], Dyno_Data[Team],TBA_Matches_All[[#This Row],[Team]],Dyno_Data[Match],TBA_Matches_All[[#This Row],[Match_Number]],Dyno_Data[RecordType],"Activities", Dyno_Data[DelDest],"Spkr")</f>
        <v>1</v>
      </c>
      <c r="BA33" s="60">
        <f>IFERROR(SUM((TBA_Matches_All[[#This Row],[AspkrT]]+TBA_Matches_All[[#This Row],[TspkrT]])/(TBA_Matches_All[[#This Row],[AspkrT]]+TBA_Matches_All[[#This Row],[TspkrT]]+TBA_Matches_All[[#This Row],[spkrM]])),0)</f>
        <v>0.9</v>
      </c>
      <c r="BB33">
        <f>SUMIFS(Dyno_Data[DelMiss], Dyno_Data[Team],TBA_Matches_All[[#This Row],[Team]],Dyno_Data[Match],TBA_Matches_All[[#This Row],[Match_Number]],Dyno_Data[RecordType],"Activities", Dyno_Data[DelDest],"Trap")</f>
        <v>0</v>
      </c>
      <c r="BC33" s="60">
        <f>IFERROR((TBA_Matches_All[[#This Row],[AtrapT]]+TBA_Matches_All[[#This Row],[TtrapT]])/(TBA_Matches_All[[#This Row],[AtrapT]]+TBA_Matches_All[[#This Row],[TtrapT]]+TBA_Matches_All[[#This Row],[trapM]]),0)</f>
        <v>0</v>
      </c>
      <c r="BD33">
        <f>COUNTIFS(Dyno_Data[Team],TBA_Matches_All[[#This Row],[Team]],Dyno_Data[Match],TBA_Matches_All[[#This Row],[Match_Number]],Dyno_Data[RecordType],"Activities",Dyno_Data[DelDest],"Neut", Dyno_Data[DelMiss],1)</f>
        <v>0</v>
      </c>
      <c r="BE33" s="60">
        <f>IFERROR(SUM((TBA_Matches_All[[#This Row],[NeutFlrT]])/(TBA_Matches_All[[#This Row],[NeutFlrT]]+TBA_Matches_All[[#This Row],[NZflM]])),0)</f>
        <v>0</v>
      </c>
      <c r="BF33">
        <f>COUNTIFS(Dyno_Data[Team],TBA_Matches_All[[#This Row],[Team]],Dyno_Data[Match],TBA_Matches_All[[#This Row],[Match_Number]],Dyno_Data[RecordType],"Activities",Dyno_Data[DelDest],"AllyW", Dyno_Data[DelMiss],1)</f>
        <v>0</v>
      </c>
      <c r="BG33" s="60">
        <f>IFERROR(SUM((TBA_Matches_All[[#This Row],[AllyWFlrT]])/(TBA_Matches_All[[#This Row],[AllyWFlrT]]+TBA_Matches_All[[#This Row],[AZflM]])),0)</f>
        <v>0</v>
      </c>
      <c r="BH33">
        <f>COUNTIFS(Dyno_Data[Team],TBA_Matches_All[[#This Row],[Team]],Dyno_Data[Match],TBA_Matches_All[[#This Row],[Match_Number]],Dyno_Data[RecordType],"Activities",Dyno_Data[DelOrig],"OppW", Dyno_Data[DelMiss],"0")</f>
        <v>0</v>
      </c>
      <c r="BI33">
        <f>COUNTIFS(Dyno_Data[Team],TBA_Matches_All[[#This Row],[Team]],Dyno_Data[Match],TBA_Matches_All[[#This Row],[Match_Number]],Dyno_Data[RecordType],"Activities",Dyno_Data[DelOrig],"OppW", Dyno_Data[DelMiss],"1")</f>
        <v>0</v>
      </c>
      <c r="BJ33" s="60">
        <f>IFERROR(SUM((TBA_Matches_All[[#This Row],[OZflrT]])/(TBA_Matches_All[[#This Row],[OZflrT]]+TBA_Matches_All[[#This Row],[OZflrM]])),0)</f>
        <v>0</v>
      </c>
      <c r="BK33">
        <f>COUNTIFS(Dyno_Data[Team],TBA_Matches_All[[#This Row],[Team]],Dyno_Data[Match],TBA_Matches_All[[#This Row],[Match_Number]],Dyno_Data[RecordType],"Activities",Dyno_Data[DelOrig],"Neut", Dyno_Data[DelMiss],"0")</f>
        <v>2</v>
      </c>
      <c r="BL33">
        <f>COUNTIFS(Dyno_Data[Team],TBA_Matches_All[[#This Row],[Team]],Dyno_Data[Match],TBA_Matches_All[[#This Row],[Match_Number]],Dyno_Data[RecordType],"Activities",Dyno_Data[DelOrig],"Neut", Dyno_Data[DelMiss],"1")</f>
        <v>1</v>
      </c>
      <c r="BM33" s="60">
        <f>IFERROR(SUM((TBA_Matches_All[[#This Row],[NZflrT]])/(TBA_Matches_All[[#This Row],[NZflrT]]+TBA_Matches_All[[#This Row],[NZflrM]])),0)</f>
        <v>0.66666666666666663</v>
      </c>
      <c r="BN33">
        <f>COUNTIFS(Dyno_Data[Team],TBA_Matches_All[[#This Row],[Team]],Dyno_Data[Match],TBA_Matches_All[[#This Row],[Match_Number]],Dyno_Data[RecordType],"Activities",Dyno_Data[DelOrig],"AllyW", Dyno_Data[DelMiss],"0")</f>
        <v>12</v>
      </c>
      <c r="BO33">
        <f>COUNTIFS(Dyno_Data[Team],TBA_Matches_All[[#This Row],[Team]],Dyno_Data[Match],TBA_Matches_All[[#This Row],[Match_Number]],Dyno_Data[RecordType],"Activities",Dyno_Data[DelOrig],"AllyW", Dyno_Data[DelMiss],"1")</f>
        <v>0</v>
      </c>
      <c r="BP33" s="60">
        <f>IFERROR(SUM((TBA_Matches_All[[#This Row],[AZflrT]])/(TBA_Matches_All[[#This Row],[AZflrT]]+TBA_Matches_All[[#This Row],[AZflrM]])),0)</f>
        <v>1</v>
      </c>
      <c r="BQ33">
        <f>COUNTIFS(Dyno_Data[Team],TBA_Matches_All[[#This Row],[Team]],Dyno_Data[Match],TBA_Matches_All[[#This Row],[Match_Number]],Dyno_Data[RecordType],"Activities",Dyno_Data[DelOrig],"SubW", Dyno_Data[DelMiss],"0")</f>
        <v>0</v>
      </c>
      <c r="BR33">
        <f>COUNTIFS(Dyno_Data[Team],TBA_Matches_All[[#This Row],[Team]],Dyno_Data[Match],TBA_Matches_All[[#This Row],[Match_Number]],Dyno_Data[RecordType],"Activities",Dyno_Data[DelOrig],"SubW", Dyno_Data[DelMiss],"1")</f>
        <v>0</v>
      </c>
      <c r="BS33" s="60">
        <f>IFERROR(SUM((TBA_Matches_All[[#This Row],[SubwT]])/(TBA_Matches_All[[#This Row],[SubwT]]+TBA_Matches_All[[#This Row],[SubwM]])),0)</f>
        <v>0</v>
      </c>
      <c r="BT33">
        <f>COUNTIFS(Dyno_Data[Team],TBA_Matches_All[[#This Row],[Team]],Dyno_Data[Match],TBA_Matches_All[[#This Row],[Match_Number]],Dyno_Data[RecordType],"Activities", Dyno_Data[AcqLoc],"OppWing")</f>
        <v>0</v>
      </c>
      <c r="BU33">
        <f>COUNTIFS(Dyno_Data[Team],TBA_Matches_All[[#This Row],[Team]],Dyno_Data[Match],TBA_Matches_All[[#This Row],[Match_Number]],Dyno_Data[RecordType],"Activities", Dyno_Data[AcqLoc],"Neutral")</f>
        <v>2</v>
      </c>
      <c r="BV33">
        <f>COUNTIFS(Dyno_Data[Team],TBA_Matches_All[[#This Row],[Team]],Dyno_Data[Match],TBA_Matches_All[[#This Row],[Match_Number]],Dyno_Data[RecordType],"Activities", Dyno_Data[AcqLoc],"AllyWing")</f>
        <v>0</v>
      </c>
      <c r="BW33">
        <f>COUNTIFS(Dyno_Data[Team],TBA_Matches_All[[#This Row],[Team]],Dyno_Data[Match],TBA_Matches_All[[#This Row],[Match_Number]],Dyno_Data[RecordType],"Activities", Dyno_Data[AcqLoc],"Source")</f>
        <v>0</v>
      </c>
      <c r="BX33">
        <f>SUMIFS(Dyno_Data[AcqDrp], Dyno_Data[Team],TBA_Matches_All[[#This Row],[Team]],Dyno_Data[Match],TBA_Matches_All[[#This Row],[Match_Number]],Dyno_Data[RecordType],"Activities", Dyno_Data[AcqLoc],"Source")</f>
        <v>0</v>
      </c>
      <c r="BY33">
        <f>SUMIFS(Dyno_Data[OZTime], Dyno_Data[Team],TBA_Matches_All[[#This Row],[Team]],Dyno_Data[Match],TBA_Matches_All[[#This Row],[Match_Number]],Dyno_Data[RecordType],"EndMatch")</f>
        <v>40.801869499999995</v>
      </c>
      <c r="BZ33">
        <f>SUMIFS(Dyno_Data[NZTime], Dyno_Data[Team],TBA_Matches_All[[#This Row],[Team]],Dyno_Data[Match],TBA_Matches_All[[#This Row],[Match_Number]],Dyno_Data[RecordType],"EndMatch")</f>
        <v>42.395441599999998</v>
      </c>
      <c r="CA33">
        <f>SUMIFS(Dyno_Data[AZTime], Dyno_Data[Team],TBA_Matches_All[[#This Row],[Team]],Dyno_Data[Match],TBA_Matches_All[[#This Row],[Match_Number]],Dyno_Data[RecordType],"EndMatch")</f>
        <v>50.955419899999995</v>
      </c>
      <c r="CB33">
        <f>SUMIFS(Dyno_Data[ClimbT], Dyno_Data[Team],TBA_Matches_All[[#This Row],[Team]],Dyno_Data[Match],TBA_Matches_All[[#This Row],[Match_Number]],Dyno_Data[RecordType],"EndMatch")</f>
        <v>0</v>
      </c>
      <c r="CC33" t="str">
        <f>_xlfn.XLOOKUP(SUM(MID(TBA_Matches_All[[#This Row],[Team]],4,5),(TBA_Matches_All[[#This Row],[Match_Number]]/100)),Dyno_EndMatch[teammat],Dyno_EndMatch[StageStat],"_",0,1)</f>
        <v>Park</v>
      </c>
      <c r="CD33" t="str">
        <f>_xlfn.XLOOKUP(TBA_Matches_All[[#This Row],[teammat]],Dyno_EndMatch[teammat],Dyno_EndMatch[StageAtt],"_",0,1)</f>
        <v>0</v>
      </c>
      <c r="CE33" t="str">
        <f>_xlfn.XLOOKUP(TBA_Matches_All[[#This Row],[teammat]],Dyno_EndMatch[teammat],Dyno_EndMatch[StageLoc],"_",0,1)</f>
        <v>A</v>
      </c>
      <c r="CF33">
        <f>SUMIFS(Dyno_Data[Harmony], Dyno_Data[Team],TBA_Matches_All[[#This Row],[Team]],Dyno_Data[Match],TBA_Matches_All[[#This Row],[Match_Number]],Dyno_Data[RecordType],"EndMatch", Dyno_Data[StageStat],"On",Dyno_Data[Harmony],"&lt;&gt;9")</f>
        <v>0</v>
      </c>
      <c r="CG33">
        <f>SUMIFS(Dyno_Data[Spotlit], Dyno_Data[Team],TBA_Matches_All[[#This Row],[Team]],Dyno_Data[Match],TBA_Matches_All[[#This Row],[Match_Number]],Dyno_Data[RecordType],"EndMatch", Dyno_Data[StageStat],"On",Dyno_Data[Spotlit],"&lt;&gt;9")</f>
        <v>0</v>
      </c>
      <c r="CH33" t="str">
        <f>_xlfn.XLOOKUP(TBA_Matches_All[[#This Row],[teammat]],Dyno_EndMatch[teammat],Dyno_EndMatch[Strategy],"_",0,1)</f>
        <v>Hybrid</v>
      </c>
      <c r="CI33">
        <f>SUMIFS(Dyno_Data[Defense], Dyno_Data[Team],TBA_Matches_All[[#This Row],[Team]],Dyno_Data[Match],TBA_Matches_All[[#This Row],[Match_Number]],Dyno_Data[RecordType],"EndMatch",Dyno_Data[Defense],"&lt;&gt;9")</f>
        <v>0</v>
      </c>
      <c r="CJ33">
        <f>SUMIFS(Dyno_Data[Avoidance], Dyno_Data[Team],TBA_Matches_All[[#This Row],[Team]],Dyno_Data[Match],TBA_Matches_All[[#This Row],[Match_Number]],Dyno_Data[RecordType],"EndMatch",Dyno_Data[Avoidance],"&lt;&gt;9")</f>
        <v>0</v>
      </c>
      <c r="CK33" s="82">
        <f>COUNTIF($H$2:TBA_Matches_All[[#This Row],[Team]],TBA_Matches_All[[#This Row],[Team]])</f>
        <v>1</v>
      </c>
      <c r="CL33" s="111">
        <f>SUM(MID(TBA_Matches_All[[#This Row],[Team]],4,5)+TBA_Matches_All[[#This Row],[Match_Number]]/100)</f>
        <v>3173.06</v>
      </c>
      <c r="CM33">
        <f>SUM((TBA_Matches_All[[#This Row],[Leave]]*2)+(TBA_Matches_All[[#This Row],[AampT]]*2)+(TBA_Matches_All[[#This Row],[AspkrT]]*5)+(TBA_Matches_All[[#This Row],[AtrapT]]*5))</f>
        <v>20</v>
      </c>
      <c r="CN33" s="59">
        <f>IFERROR(SUM(TBA_Matches_All[[#This Row],[AptsT]]/TBA_Matches_All[[#This Row],[AutoPts]]),0)</f>
        <v>0.68965517241379315</v>
      </c>
      <c r="CO33" s="59">
        <f>IFERROR(SUM(TBA_Matches_All[[#This Row],[AampT]]+TBA_Matches_All[[#This Row],[AspkrT]]+TBA_Matches_All[[#This Row],[AtrapT]]/TBA_Matches_All[[#This Row],[Aamp]]+TBA_Matches_All[[#This Row],[Aspkr]]+TBA_Matches_All[[#This Row],[AtrapT]]),0)</f>
        <v>0</v>
      </c>
      <c r="CP33" s="59">
        <f>IFERROR(SUM(TBA_Matches_All[[#This Row],[TampT]]/TBA_Matches_All[[#This Row],[Tamp]]),0)</f>
        <v>1</v>
      </c>
      <c r="CQ33" s="59">
        <f>IFERROR(SUM(TBA_Matches_All[[#This Row],[TspkrT]]/TBA_Matches_All[[#This Row],[Tspkr]]),0)</f>
        <v>0.35714285714285715</v>
      </c>
      <c r="CR33">
        <f>SUM(TBA_Matches_All[[#This Row],[TspkrPts]]*TBA_Matches_All[[#This Row],[TspkrP]])</f>
        <v>15.357142857142858</v>
      </c>
      <c r="CS33" s="59">
        <f>IFERROR(SUM(TBA_Matches_All[[#This Row],[TtrapT]]/TBA_Matches_All[[#This Row],[Trap]]),0)</f>
        <v>0</v>
      </c>
      <c r="CT33" s="59">
        <f>IFERROR(SUM(TBA_Matches_All[[#This Row],[TotNotesT]]/TBA_Matches_All[[#This Row],[TotNotes]]),0)</f>
        <v>0.58333333333333337</v>
      </c>
      <c r="CU33" s="66">
        <f>SUM((TBA_Matches_All[[#This Row],[AampT]]*2)+(TBA_Matches_All[[#This Row],[AspkrT]]*5)+(TBA_Matches_All[[#This Row],[AtrapT]]*5)+(TBA_Matches_All[[#This Row],[TampT]]*1)+(TBA_Matches_All[[#This Row],[TspkrptsC]]))</f>
        <v>40.357142857142861</v>
      </c>
      <c r="CV33" s="59">
        <f>IFERROR(TBA_Matches_All[[#This Row],[noteptsT]]/TBA_Matches_All[[#This Row],[NotePts]],0)</f>
        <v>0.55283757338551864</v>
      </c>
      <c r="CW33">
        <f>SUM(IF(TBA_Matches_All[[#This Row],[stageStat]]="On",3,0),IF(TBA_Matches_All[[#This Row],[stageStat]]="Park",1,0),SUMIFS(TBA_Matches_All[[#This Row],[Spotlit]],TBA_Matches_All[[#This Row],[stageStat]],"On"),SUMIFS(TBA_Matches_All[[#This Row],[Harmony]],TBA_Matches_All[[#This Row],[stageStat]],"On"))</f>
        <v>1</v>
      </c>
      <c r="CX33" s="59">
        <f>IFERROR(TBA_Matches_All[[#This Row],[stageptsT]]/TBA_Matches_All[[#This Row],[StagePts]],0)</f>
        <v>0.33333333333333331</v>
      </c>
      <c r="CY33">
        <f>SUM((TBA_Matches_All[[#This Row],[AptsT]]+TBA_Matches_All[[#This Row],[TampT]]+TBA_Matches_All[[#This Row],[TspkrptsC]]+(TBA_Matches_All[[#This Row],[TtrapT]]*5)+TBA_Matches_All[[#This Row],[stageptsT]]))</f>
        <v>41.357142857142861</v>
      </c>
      <c r="CZ33" s="59">
        <f>IFERROR(SUM(TBA_Matches_All[[#This Row],[TotptsC]]/TBA_Matches_All[[#This Row],[Score]]),0)</f>
        <v>0.45952380952380956</v>
      </c>
      <c r="DA3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20.064903846153847</v>
      </c>
      <c r="DB33" s="74">
        <f>SUMIFS(TBA_Matches_All[AveTeamTNoteDels],TBA_Matches_All[Match_Number],TBA_Matches_All[[#This Row],[Match_Number]],TBA_Matches_All[Alliance],"&lt;&gt;"&amp;TBA_Matches_All[[#This Row],[Alliance]],TBA_Matches_All[Scouted],"&gt;0")</f>
        <v>30.37781052281052</v>
      </c>
      <c r="DC33" s="74">
        <f>(TBA_Matches_All[[#This Row],[TampT]]+TBA_Matches_All[[#This Row],[TspkrptsC]])-TBA_Matches_All[[#This Row],[AveTeamTNoteDels]]</f>
        <v>0.29223901098901095</v>
      </c>
      <c r="DD33" s="74">
        <f>SUMIFS(TBA_Matches_All[AveTeamTNoteDels],TBA_Matches_All[Match_Number],TBA_Matches_All[[#This Row],[Match_Number]],TBA_Matches_All[Alliance],"&lt;&gt;"&amp;TBA_Matches_All[[#This Row],[Alliance]])-TBA_Matches_All[[#This Row],[AveOppTNoteDels]]</f>
        <v>0</v>
      </c>
    </row>
    <row r="34" spans="1:108" x14ac:dyDescent="0.3">
      <c r="A34" t="s">
        <v>1042</v>
      </c>
      <c r="B34" t="s">
        <v>489</v>
      </c>
      <c r="C34" t="s">
        <v>1304</v>
      </c>
      <c r="D34">
        <v>6</v>
      </c>
      <c r="E34" t="s">
        <v>1406</v>
      </c>
      <c r="F34" t="s">
        <v>1426</v>
      </c>
      <c r="G34" t="s">
        <v>164</v>
      </c>
      <c r="H34" t="s">
        <v>365</v>
      </c>
      <c r="I34" t="b">
        <v>1</v>
      </c>
      <c r="J34">
        <v>62</v>
      </c>
      <c r="K34">
        <v>1</v>
      </c>
      <c r="L34">
        <v>0</v>
      </c>
      <c r="M34">
        <v>10</v>
      </c>
      <c r="N34">
        <v>0</v>
      </c>
      <c r="O34">
        <v>3</v>
      </c>
      <c r="P34">
        <v>15</v>
      </c>
      <c r="Q34">
        <v>19</v>
      </c>
      <c r="R34">
        <v>3</v>
      </c>
      <c r="S34">
        <v>2</v>
      </c>
      <c r="T34">
        <v>10</v>
      </c>
      <c r="U34">
        <v>10</v>
      </c>
      <c r="V34">
        <v>20</v>
      </c>
      <c r="W34">
        <v>12</v>
      </c>
      <c r="X34">
        <v>30</v>
      </c>
      <c r="Y34">
        <v>33</v>
      </c>
      <c r="Z34">
        <v>0</v>
      </c>
      <c r="AA34">
        <v>0</v>
      </c>
      <c r="AB34">
        <v>18</v>
      </c>
      <c r="AC34">
        <v>48</v>
      </c>
      <c r="AD34">
        <v>5</v>
      </c>
      <c r="AE34">
        <f>IFERROR(6/(COUNTIF(Dyno_EndMatch[Match],TBA_Matches_All[[#This Row],[Match_Number]])),0)</f>
        <v>1</v>
      </c>
      <c r="AF34">
        <f>COUNTIFS(Dyno_Data[Team],TBA_Matches_All[[#This Row],[Team]],Dyno_Data[Match],TBA_Matches_All[[#This Row],[Match_Number]],Dyno_Data[RecordType],"EndMatch",Dyno_Data[HPAmp],"Y")</f>
        <v>0</v>
      </c>
      <c r="AG34">
        <f>SUMIFS(Dyno_Data[Mics], Dyno_Data[Team],TBA_Matches_All[[#This Row],[Team]],Dyno_Data[Match],TBA_Matches_All[[#This Row],[Match_Number]],Dyno_Data[RecordType],"EndMatch",Dyno_Data[HPAmp],"Y")</f>
        <v>0</v>
      </c>
      <c r="AH34">
        <f>SUMIFS(Dyno_Data[Leave], Dyno_Data[Team],TBA_Matches_All[[#This Row],[Team]],Dyno_Data[Match],TBA_Matches_All[[#This Row],[Match_Number]],Dyno_Data[RecordType],"EndAuto")</f>
        <v>1</v>
      </c>
      <c r="AI34">
        <f>COUNTIFS(Dyno_Data[Team],TBA_Matches_All[[#This Row],[Team]],Dyno_Data[Match],TBA_Matches_All[[#This Row],[Match_Number]],Dyno_Data[RecordType],"Activities",Dyno_Data[DelDest],"Amp", Dyno_Data[DelMiss],"0", Dyno_Data[Mode],"Auto")</f>
        <v>0</v>
      </c>
      <c r="AJ34">
        <f>COUNTIFS(Dyno_Data[Team],TBA_Matches_All[[#This Row],[Team]],Dyno_Data[Match],TBA_Matches_All[[#This Row],[Match_Number]],Dyno_Data[RecordType],"Activities",Dyno_Data[DelDest],"Spkr", Dyno_Data[DelMiss],"0", Dyno_Data[Mode],"Auto")</f>
        <v>2</v>
      </c>
      <c r="AK34">
        <f>COUNTIFS(Dyno_Data[Team],TBA_Matches_All[[#This Row],[Team]],Dyno_Data[Match],TBA_Matches_All[[#This Row],[Match_Number]],Dyno_Data[RecordType],"Activities",Dyno_Data[DelDest],"Trap", Dyno_Data[DelMiss],"0", Dyno_Data[Mode],"Auto")</f>
        <v>0</v>
      </c>
      <c r="AL34">
        <f>COUNTIFS(Dyno_Data[Team],TBA_Matches_All[[#This Row],[Team]],Dyno_Data[Match],TBA_Matches_All[[#This Row],[Match_Number]],Dyno_Data[RecordType],"Activities",Dyno_Data[DelDest],"Amp", Dyno_Data[DelMiss],"0", Dyno_Data[Mode],"Teleop")</f>
        <v>3</v>
      </c>
      <c r="AM34">
        <f>COUNTIFS(Dyno_Data[Team],TBA_Matches_All[[#This Row],[Team]],Dyno_Data[Match],TBA_Matches_All[[#This Row],[Match_Number]],Dyno_Data[RecordType],"Activities",Dyno_Data[DelDest],"Spkr", Dyno_Data[DelMiss],"0", Dyno_Data[Mode],"Teleop")</f>
        <v>4</v>
      </c>
      <c r="AN34">
        <f>COUNTIFS(Dyno_Data[Team],TBA_Matches_All[[#This Row],[Team]],Dyno_Data[Match],TBA_Matches_All[[#This Row],[Match_Number]],Dyno_Data[RecordType],"Activities",Dyno_Data[DelDest],"Trap", Dyno_Data[DelMiss],"0", Dyno_Data[Mode],"&lt;&gt;Auto")</f>
        <v>0</v>
      </c>
      <c r="AO34">
        <f>SUM(TBA_Matches_All[[#This Row],[AampT]]+TBA_Matches_All[[#This Row],[AspkrT]]+TBA_Matches_All[[#This Row],[AtrapT]]+TBA_Matches_All[[#This Row],[TampT]]+TBA_Matches_All[[#This Row],[TspkrT]]+TBA_Matches_All[[#This Row],[TtrapT]])</f>
        <v>9</v>
      </c>
      <c r="AP34">
        <f>COUNTIFS(Dyno_Data[Team],TBA_Matches_All[[#This Row],[Team]],Dyno_Data[Match],TBA_Matches_All[[#This Row],[Match_Number]],Dyno_Data[RecordType],"Activities",Dyno_Data[DelDest],"Neut", Dyno_Data[DelMiss],"0")</f>
        <v>0</v>
      </c>
      <c r="AQ34">
        <f>COUNTIFS(Dyno_Data[Team],TBA_Matches_All[[#This Row],[Team]],Dyno_Data[Match],TBA_Matches_All[[#This Row],[Match_Number]],Dyno_Data[RecordType],"Activities",Dyno_Data[DelDest],"AllyW", Dyno_Data[DelMiss],"0")</f>
        <v>0</v>
      </c>
      <c r="AR34" t="str">
        <f>_xlfn.XLOOKUP(SUM(MID(TBA_Matches_All[[#This Row],[Team]],4,5),(TBA_Matches_All[[#This Row],[Match_Number]]/100)),Dyno_EndMatch[teammat],Dyno_EndMatch[RobotSta],"_",0,1)</f>
        <v>SubW</v>
      </c>
      <c r="AS34">
        <f>SUMIFS(Dyno_Data[AcqDis], Dyno_Data[Team],TBA_Matches_All[[#This Row],[Team]],Dyno_Data[Match],TBA_Matches_All[[#This Row],[Match_Number]],Dyno_Data[RecordType],"Activities", Dyno_Data[AcqCenter],1,Dyno_Data[Mode],"Auto")</f>
        <v>0</v>
      </c>
      <c r="AT34">
        <f>SUMIFS(Dyno_Data[AcqDis], Dyno_Data[Team],TBA_Matches_All[[#This Row],[Team]],Dyno_Data[Match],TBA_Matches_All[[#This Row],[Match_Number]],Dyno_Data[RecordType],"Activities", Dyno_Data[AcqCenter],2,Dyno_Data[Mode],"Auto")</f>
        <v>0</v>
      </c>
      <c r="AU34">
        <f>SUMIFS(Dyno_Data[AcqDis], Dyno_Data[Team],TBA_Matches_All[[#This Row],[Team]],Dyno_Data[Match],TBA_Matches_All[[#This Row],[Match_Number]],Dyno_Data[RecordType],"Activities", Dyno_Data[AcqCenter],3,Dyno_Data[Mode],"Auto")</f>
        <v>0</v>
      </c>
      <c r="AV34">
        <f>SUMIFS(Dyno_Data[AcqDis], Dyno_Data[Team],TBA_Matches_All[[#This Row],[Team]],Dyno_Data[Match],TBA_Matches_All[[#This Row],[Match_Number]],Dyno_Data[RecordType],"Activities", Dyno_Data[AcqCenter],4,Dyno_Data[Mode],"Auto")</f>
        <v>0</v>
      </c>
      <c r="AW34">
        <f>SUMIFS(Dyno_Data[AcqDis], Dyno_Data[Team],TBA_Matches_All[[#This Row],[Team]],Dyno_Data[Match],TBA_Matches_All[[#This Row],[Match_Number]],Dyno_Data[RecordType],"Activities", Dyno_Data[AcqCenter],5,Dyno_Data[Mode],"Auto")</f>
        <v>0</v>
      </c>
      <c r="AX34">
        <f>SUMIFS(Dyno_Data[DelMiss], Dyno_Data[Team],TBA_Matches_All[[#This Row],[Team]],Dyno_Data[Match],TBA_Matches_All[[#This Row],[Match_Number]],Dyno_Data[RecordType],"Activities", Dyno_Data[DelDest],"Amp")</f>
        <v>0</v>
      </c>
      <c r="AY34" s="60">
        <f>IFERROR(SUM((TBA_Matches_All[[#This Row],[AampT]]+TBA_Matches_All[[#This Row],[TampT]])/(TBA_Matches_All[[#This Row],[AampT]]+TBA_Matches_All[[#This Row],[TampT]]+TBA_Matches_All[[#This Row],[ampM]])),0)</f>
        <v>1</v>
      </c>
      <c r="AZ34">
        <f>SUMIFS(Dyno_Data[DelMiss], Dyno_Data[Team],TBA_Matches_All[[#This Row],[Team]],Dyno_Data[Match],TBA_Matches_All[[#This Row],[Match_Number]],Dyno_Data[RecordType],"Activities", Dyno_Data[DelDest],"Spkr")</f>
        <v>0</v>
      </c>
      <c r="BA34" s="60">
        <f>IFERROR(SUM((TBA_Matches_All[[#This Row],[AspkrT]]+TBA_Matches_All[[#This Row],[TspkrT]])/(TBA_Matches_All[[#This Row],[AspkrT]]+TBA_Matches_All[[#This Row],[TspkrT]]+TBA_Matches_All[[#This Row],[spkrM]])),0)</f>
        <v>1</v>
      </c>
      <c r="BB34">
        <f>SUMIFS(Dyno_Data[DelMiss], Dyno_Data[Team],TBA_Matches_All[[#This Row],[Team]],Dyno_Data[Match],TBA_Matches_All[[#This Row],[Match_Number]],Dyno_Data[RecordType],"Activities", Dyno_Data[DelDest],"Trap")</f>
        <v>0</v>
      </c>
      <c r="BC34" s="60">
        <f>IFERROR((TBA_Matches_All[[#This Row],[AtrapT]]+TBA_Matches_All[[#This Row],[TtrapT]])/(TBA_Matches_All[[#This Row],[AtrapT]]+TBA_Matches_All[[#This Row],[TtrapT]]+TBA_Matches_All[[#This Row],[trapM]]),0)</f>
        <v>0</v>
      </c>
      <c r="BD34">
        <f>COUNTIFS(Dyno_Data[Team],TBA_Matches_All[[#This Row],[Team]],Dyno_Data[Match],TBA_Matches_All[[#This Row],[Match_Number]],Dyno_Data[RecordType],"Activities",Dyno_Data[DelDest],"Neut", Dyno_Data[DelMiss],1)</f>
        <v>0</v>
      </c>
      <c r="BE34" s="60">
        <f>IFERROR(SUM((TBA_Matches_All[[#This Row],[NeutFlrT]])/(TBA_Matches_All[[#This Row],[NeutFlrT]]+TBA_Matches_All[[#This Row],[NZflM]])),0)</f>
        <v>0</v>
      </c>
      <c r="BF34">
        <f>COUNTIFS(Dyno_Data[Team],TBA_Matches_All[[#This Row],[Team]],Dyno_Data[Match],TBA_Matches_All[[#This Row],[Match_Number]],Dyno_Data[RecordType],"Activities",Dyno_Data[DelDest],"AllyW", Dyno_Data[DelMiss],1)</f>
        <v>0</v>
      </c>
      <c r="BG34" s="60">
        <f>IFERROR(SUM((TBA_Matches_All[[#This Row],[AllyWFlrT]])/(TBA_Matches_All[[#This Row],[AllyWFlrT]]+TBA_Matches_All[[#This Row],[AZflM]])),0)</f>
        <v>0</v>
      </c>
      <c r="BH34">
        <f>COUNTIFS(Dyno_Data[Team],TBA_Matches_All[[#This Row],[Team]],Dyno_Data[Match],TBA_Matches_All[[#This Row],[Match_Number]],Dyno_Data[RecordType],"Activities",Dyno_Data[DelOrig],"OppW", Dyno_Data[DelMiss],"0")</f>
        <v>0</v>
      </c>
      <c r="BI34">
        <f>COUNTIFS(Dyno_Data[Team],TBA_Matches_All[[#This Row],[Team]],Dyno_Data[Match],TBA_Matches_All[[#This Row],[Match_Number]],Dyno_Data[RecordType],"Activities",Dyno_Data[DelOrig],"OppW", Dyno_Data[DelMiss],"1")</f>
        <v>0</v>
      </c>
      <c r="BJ34" s="60">
        <f>IFERROR(SUM((TBA_Matches_All[[#This Row],[OZflrT]])/(TBA_Matches_All[[#This Row],[OZflrT]]+TBA_Matches_All[[#This Row],[OZflrM]])),0)</f>
        <v>0</v>
      </c>
      <c r="BK34">
        <f>COUNTIFS(Dyno_Data[Team],TBA_Matches_All[[#This Row],[Team]],Dyno_Data[Match],TBA_Matches_All[[#This Row],[Match_Number]],Dyno_Data[RecordType],"Activities",Dyno_Data[DelOrig],"Neut", Dyno_Data[DelMiss],"0")</f>
        <v>0</v>
      </c>
      <c r="BL34">
        <f>COUNTIFS(Dyno_Data[Team],TBA_Matches_All[[#This Row],[Team]],Dyno_Data[Match],TBA_Matches_All[[#This Row],[Match_Number]],Dyno_Data[RecordType],"Activities",Dyno_Data[DelOrig],"Neut", Dyno_Data[DelMiss],"1")</f>
        <v>0</v>
      </c>
      <c r="BM34" s="60">
        <f>IFERROR(SUM((TBA_Matches_All[[#This Row],[NZflrT]])/(TBA_Matches_All[[#This Row],[NZflrT]]+TBA_Matches_All[[#This Row],[NZflrM]])),0)</f>
        <v>0</v>
      </c>
      <c r="BN34">
        <f>COUNTIFS(Dyno_Data[Team],TBA_Matches_All[[#This Row],[Team]],Dyno_Data[Match],TBA_Matches_All[[#This Row],[Match_Number]],Dyno_Data[RecordType],"Activities",Dyno_Data[DelOrig],"AllyW", Dyno_Data[DelMiss],"0")</f>
        <v>4</v>
      </c>
      <c r="BO34">
        <f>COUNTIFS(Dyno_Data[Team],TBA_Matches_All[[#This Row],[Team]],Dyno_Data[Match],TBA_Matches_All[[#This Row],[Match_Number]],Dyno_Data[RecordType],"Activities",Dyno_Data[DelOrig],"AllyW", Dyno_Data[DelMiss],"1")</f>
        <v>0</v>
      </c>
      <c r="BP34" s="60">
        <f>IFERROR(SUM((TBA_Matches_All[[#This Row],[AZflrT]])/(TBA_Matches_All[[#This Row],[AZflrT]]+TBA_Matches_All[[#This Row],[AZflrM]])),0)</f>
        <v>1</v>
      </c>
      <c r="BQ34">
        <f>COUNTIFS(Dyno_Data[Team],TBA_Matches_All[[#This Row],[Team]],Dyno_Data[Match],TBA_Matches_All[[#This Row],[Match_Number]],Dyno_Data[RecordType],"Activities",Dyno_Data[DelOrig],"SubW", Dyno_Data[DelMiss],"0")</f>
        <v>5</v>
      </c>
      <c r="BR34">
        <f>COUNTIFS(Dyno_Data[Team],TBA_Matches_All[[#This Row],[Team]],Dyno_Data[Match],TBA_Matches_All[[#This Row],[Match_Number]],Dyno_Data[RecordType],"Activities",Dyno_Data[DelOrig],"SubW", Dyno_Data[DelMiss],"1")</f>
        <v>0</v>
      </c>
      <c r="BS34" s="60">
        <f>IFERROR(SUM((TBA_Matches_All[[#This Row],[SubwT]])/(TBA_Matches_All[[#This Row],[SubwT]]+TBA_Matches_All[[#This Row],[SubwM]])),0)</f>
        <v>1</v>
      </c>
      <c r="BT34">
        <f>COUNTIFS(Dyno_Data[Team],TBA_Matches_All[[#This Row],[Team]],Dyno_Data[Match],TBA_Matches_All[[#This Row],[Match_Number]],Dyno_Data[RecordType],"Activities", Dyno_Data[AcqLoc],"OppWing")</f>
        <v>0</v>
      </c>
      <c r="BU34">
        <f>COUNTIFS(Dyno_Data[Team],TBA_Matches_All[[#This Row],[Team]],Dyno_Data[Match],TBA_Matches_All[[#This Row],[Match_Number]],Dyno_Data[RecordType],"Activities", Dyno_Data[AcqLoc],"Neutral")</f>
        <v>0</v>
      </c>
      <c r="BV34">
        <f>COUNTIFS(Dyno_Data[Team],TBA_Matches_All[[#This Row],[Team]],Dyno_Data[Match],TBA_Matches_All[[#This Row],[Match_Number]],Dyno_Data[RecordType],"Activities", Dyno_Data[AcqLoc],"AllyWing")</f>
        <v>0</v>
      </c>
      <c r="BW34">
        <f>COUNTIFS(Dyno_Data[Team],TBA_Matches_All[[#This Row],[Team]],Dyno_Data[Match],TBA_Matches_All[[#This Row],[Match_Number]],Dyno_Data[RecordType],"Activities", Dyno_Data[AcqLoc],"Source")</f>
        <v>0</v>
      </c>
      <c r="BX34">
        <f>SUMIFS(Dyno_Data[AcqDrp], Dyno_Data[Team],TBA_Matches_All[[#This Row],[Team]],Dyno_Data[Match],TBA_Matches_All[[#This Row],[Match_Number]],Dyno_Data[RecordType],"Activities", Dyno_Data[AcqLoc],"Source")</f>
        <v>0</v>
      </c>
      <c r="BY34">
        <f>SUMIFS(Dyno_Data[OZTime], Dyno_Data[Team],TBA_Matches_All[[#This Row],[Team]],Dyno_Data[Match],TBA_Matches_All[[#This Row],[Match_Number]],Dyno_Data[RecordType],"EndMatch")</f>
        <v>16.365496399999998</v>
      </c>
      <c r="BZ34">
        <f>SUMIFS(Dyno_Data[NZTime], Dyno_Data[Team],TBA_Matches_All[[#This Row],[Team]],Dyno_Data[Match],TBA_Matches_All[[#This Row],[Match_Number]],Dyno_Data[RecordType],"EndMatch")</f>
        <v>15.949997099999999</v>
      </c>
      <c r="CA34">
        <f>SUMIFS(Dyno_Data[AZTime], Dyno_Data[Team],TBA_Matches_All[[#This Row],[Team]],Dyno_Data[Match],TBA_Matches_All[[#This Row],[Match_Number]],Dyno_Data[RecordType],"EndMatch")</f>
        <v>104.5050995</v>
      </c>
      <c r="CB34">
        <f>SUMIFS(Dyno_Data[ClimbT], Dyno_Data[Team],TBA_Matches_All[[#This Row],[Team]],Dyno_Data[Match],TBA_Matches_All[[#This Row],[Match_Number]],Dyno_Data[RecordType],"EndMatch")</f>
        <v>0</v>
      </c>
      <c r="CC34" t="str">
        <f>_xlfn.XLOOKUP(SUM(MID(TBA_Matches_All[[#This Row],[Team]],4,5),(TBA_Matches_All[[#This Row],[Match_Number]]/100)),Dyno_EndMatch[teammat],Dyno_EndMatch[StageStat],"_",0,1)</f>
        <v>Else</v>
      </c>
      <c r="CD34" t="str">
        <f>_xlfn.XLOOKUP(TBA_Matches_All[[#This Row],[teammat]],Dyno_EndMatch[teammat],Dyno_EndMatch[StageAtt],"_",0,1)</f>
        <v>0</v>
      </c>
      <c r="CE34" t="str">
        <f>_xlfn.XLOOKUP(TBA_Matches_All[[#This Row],[teammat]],Dyno_EndMatch[teammat],Dyno_EndMatch[StageLoc],"_",0,1)</f>
        <v>A</v>
      </c>
      <c r="CF34">
        <f>SUMIFS(Dyno_Data[Harmony], Dyno_Data[Team],TBA_Matches_All[[#This Row],[Team]],Dyno_Data[Match],TBA_Matches_All[[#This Row],[Match_Number]],Dyno_Data[RecordType],"EndMatch", Dyno_Data[StageStat],"On",Dyno_Data[Harmony],"&lt;&gt;9")</f>
        <v>0</v>
      </c>
      <c r="CG34">
        <f>SUMIFS(Dyno_Data[Spotlit], Dyno_Data[Team],TBA_Matches_All[[#This Row],[Team]],Dyno_Data[Match],TBA_Matches_All[[#This Row],[Match_Number]],Dyno_Data[RecordType],"EndMatch", Dyno_Data[StageStat],"On",Dyno_Data[Spotlit],"&lt;&gt;9")</f>
        <v>0</v>
      </c>
      <c r="CH34" t="str">
        <f>_xlfn.XLOOKUP(TBA_Matches_All[[#This Row],[teammat]],Dyno_EndMatch[teammat],Dyno_EndMatch[Strategy],"_",0,1)</f>
        <v>Hybrid</v>
      </c>
      <c r="CI34">
        <f>SUMIFS(Dyno_Data[Defense], Dyno_Data[Team],TBA_Matches_All[[#This Row],[Team]],Dyno_Data[Match],TBA_Matches_All[[#This Row],[Match_Number]],Dyno_Data[RecordType],"EndMatch",Dyno_Data[Defense],"&lt;&gt;9")</f>
        <v>0</v>
      </c>
      <c r="CJ34">
        <f>SUMIFS(Dyno_Data[Avoidance], Dyno_Data[Team],TBA_Matches_All[[#This Row],[Team]],Dyno_Data[Match],TBA_Matches_All[[#This Row],[Match_Number]],Dyno_Data[RecordType],"EndMatch",Dyno_Data[Avoidance],"&lt;&gt;9")</f>
        <v>0</v>
      </c>
      <c r="CK34" s="82">
        <f>COUNTIF($H$2:TBA_Matches_All[[#This Row],[Team]],TBA_Matches_All[[#This Row],[Team]])</f>
        <v>1</v>
      </c>
      <c r="CL34" s="111">
        <f>SUM(MID(TBA_Matches_All[[#This Row],[Team]],4,5)+TBA_Matches_All[[#This Row],[Match_Number]]/100)</f>
        <v>3171.06</v>
      </c>
      <c r="CM34">
        <f>SUM((TBA_Matches_All[[#This Row],[Leave]]*2)+(TBA_Matches_All[[#This Row],[AampT]]*2)+(TBA_Matches_All[[#This Row],[AspkrT]]*5)+(TBA_Matches_All[[#This Row],[AtrapT]]*5))</f>
        <v>12</v>
      </c>
      <c r="CN34" s="59">
        <f>IFERROR(SUM(TBA_Matches_All[[#This Row],[AptsT]]/TBA_Matches_All[[#This Row],[AutoPts]]),0)</f>
        <v>0.63157894736842102</v>
      </c>
      <c r="CO34" s="59">
        <f>IFERROR(SUM(TBA_Matches_All[[#This Row],[AampT]]+TBA_Matches_All[[#This Row],[AspkrT]]+TBA_Matches_All[[#This Row],[AtrapT]]/TBA_Matches_All[[#This Row],[Aamp]]+TBA_Matches_All[[#This Row],[Aspkr]]+TBA_Matches_All[[#This Row],[AtrapT]]),0)</f>
        <v>0</v>
      </c>
      <c r="CP34" s="59">
        <f>IFERROR(SUM(TBA_Matches_All[[#This Row],[TampT]]/TBA_Matches_All[[#This Row],[Tamp]]),0)</f>
        <v>1</v>
      </c>
      <c r="CQ34" s="59">
        <f>IFERROR(SUM(TBA_Matches_All[[#This Row],[TspkrT]]/TBA_Matches_All[[#This Row],[Tspkr]]),0)</f>
        <v>0.33333333333333331</v>
      </c>
      <c r="CR34">
        <f>SUM(TBA_Matches_All[[#This Row],[TspkrPts]]*TBA_Matches_All[[#This Row],[TspkrP]])</f>
        <v>10</v>
      </c>
      <c r="CS34" s="59">
        <f>IFERROR(SUM(TBA_Matches_All[[#This Row],[TtrapT]]/TBA_Matches_All[[#This Row],[Trap]]),0)</f>
        <v>0</v>
      </c>
      <c r="CT34" s="59">
        <f>IFERROR(SUM(TBA_Matches_All[[#This Row],[TotNotesT]]/TBA_Matches_All[[#This Row],[TotNotes]]),0)</f>
        <v>0.5</v>
      </c>
      <c r="CU34" s="66">
        <f>SUM((TBA_Matches_All[[#This Row],[AampT]]*2)+(TBA_Matches_All[[#This Row],[AspkrT]]*5)+(TBA_Matches_All[[#This Row],[AtrapT]]*5)+(TBA_Matches_All[[#This Row],[TampT]]*1)+(TBA_Matches_All[[#This Row],[TspkrptsC]]))</f>
        <v>23</v>
      </c>
      <c r="CV34" s="59">
        <f>IFERROR(TBA_Matches_All[[#This Row],[noteptsT]]/TBA_Matches_All[[#This Row],[NotePts]],0)</f>
        <v>0.47916666666666669</v>
      </c>
      <c r="CW34">
        <f>SUM(IF(TBA_Matches_All[[#This Row],[stageStat]]="On",3,0),IF(TBA_Matches_All[[#This Row],[stageStat]]="Park",1,0),SUMIFS(TBA_Matches_All[[#This Row],[Spotlit]],TBA_Matches_All[[#This Row],[stageStat]],"On"),SUMIFS(TBA_Matches_All[[#This Row],[Harmony]],TBA_Matches_All[[#This Row],[stageStat]],"On"))</f>
        <v>0</v>
      </c>
      <c r="CX34" s="59">
        <f>IFERROR(TBA_Matches_All[[#This Row],[stageptsT]]/TBA_Matches_All[[#This Row],[StagePts]],0)</f>
        <v>0</v>
      </c>
      <c r="CY34">
        <f>SUM((TBA_Matches_All[[#This Row],[AptsT]]+TBA_Matches_All[[#This Row],[TampT]]+TBA_Matches_All[[#This Row],[TspkrptsC]]+(TBA_Matches_All[[#This Row],[TtrapT]]*5)+TBA_Matches_All[[#This Row],[stageptsT]]))</f>
        <v>25</v>
      </c>
      <c r="CZ34" s="59">
        <f>IFERROR(SUM(TBA_Matches_All[[#This Row],[TotptsC]]/TBA_Matches_All[[#This Row],[Score]]),0)</f>
        <v>0.40322580645161288</v>
      </c>
      <c r="DA3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11.456923076923077</v>
      </c>
      <c r="DB34" s="74">
        <f>SUMIFS(TBA_Matches_All[AveTeamTNoteDels],TBA_Matches_All[Match_Number],TBA_Matches_All[[#This Row],[Match_Number]],TBA_Matches_All[Alliance],"&lt;&gt;"&amp;TBA_Matches_All[[#This Row],[Alliance]],TBA_Matches_All[Scouted],"&gt;0")</f>
        <v>47.788118131868131</v>
      </c>
      <c r="DC34" s="74">
        <f>(TBA_Matches_All[[#This Row],[TampT]]+TBA_Matches_All[[#This Row],[TspkrptsC]])-TBA_Matches_All[[#This Row],[AveTeamTNoteDels]]</f>
        <v>1.5430769230769226</v>
      </c>
      <c r="DD34" s="74">
        <f>SUMIFS(TBA_Matches_All[AveTeamTNoteDels],TBA_Matches_All[Match_Number],TBA_Matches_All[[#This Row],[Match_Number]],TBA_Matches_All[Alliance],"&lt;&gt;"&amp;TBA_Matches_All[[#This Row],[Alliance]])-TBA_Matches_All[[#This Row],[AveOppTNoteDels]]</f>
        <v>0</v>
      </c>
    </row>
    <row r="35" spans="1:108" x14ac:dyDescent="0.3">
      <c r="A35" t="s">
        <v>1042</v>
      </c>
      <c r="B35" t="s">
        <v>489</v>
      </c>
      <c r="C35" t="s">
        <v>1304</v>
      </c>
      <c r="D35">
        <v>6</v>
      </c>
      <c r="E35" t="s">
        <v>1420</v>
      </c>
      <c r="F35" t="s">
        <v>1421</v>
      </c>
      <c r="G35" t="s">
        <v>164</v>
      </c>
      <c r="H35" t="s">
        <v>318</v>
      </c>
      <c r="I35" t="b">
        <v>1</v>
      </c>
      <c r="J35">
        <v>90</v>
      </c>
      <c r="K35">
        <v>1</v>
      </c>
      <c r="L35">
        <v>1</v>
      </c>
      <c r="M35">
        <v>5</v>
      </c>
      <c r="N35">
        <v>0</v>
      </c>
      <c r="O35">
        <v>5</v>
      </c>
      <c r="P35">
        <v>25</v>
      </c>
      <c r="Q35">
        <v>29</v>
      </c>
      <c r="R35">
        <v>5</v>
      </c>
      <c r="S35">
        <v>5</v>
      </c>
      <c r="T35">
        <v>9</v>
      </c>
      <c r="U35">
        <v>25</v>
      </c>
      <c r="V35">
        <v>18</v>
      </c>
      <c r="W35">
        <v>14</v>
      </c>
      <c r="X35">
        <v>43</v>
      </c>
      <c r="Y35">
        <v>48</v>
      </c>
      <c r="Z35">
        <v>0</v>
      </c>
      <c r="AA35">
        <v>0</v>
      </c>
      <c r="AB35">
        <v>24</v>
      </c>
      <c r="AC35">
        <v>73</v>
      </c>
      <c r="AD35">
        <v>3</v>
      </c>
      <c r="AE35">
        <f>IFERROR(6/(COUNTIF(Dyno_EndMatch[Match],TBA_Matches_All[[#This Row],[Match_Number]])),0)</f>
        <v>1</v>
      </c>
      <c r="AF35">
        <f>COUNTIFS(Dyno_Data[Team],TBA_Matches_All[[#This Row],[Team]],Dyno_Data[Match],TBA_Matches_All[[#This Row],[Match_Number]],Dyno_Data[RecordType],"EndMatch",Dyno_Data[HPAmp],"Y")</f>
        <v>0</v>
      </c>
      <c r="AG35">
        <f>SUMIFS(Dyno_Data[Mics], Dyno_Data[Team],TBA_Matches_All[[#This Row],[Team]],Dyno_Data[Match],TBA_Matches_All[[#This Row],[Match_Number]],Dyno_Data[RecordType],"EndMatch",Dyno_Data[HPAmp],"Y")</f>
        <v>0</v>
      </c>
      <c r="AH35">
        <f>SUMIFS(Dyno_Data[Leave], Dyno_Data[Team],TBA_Matches_All[[#This Row],[Team]],Dyno_Data[Match],TBA_Matches_All[[#This Row],[Match_Number]],Dyno_Data[RecordType],"EndAuto")</f>
        <v>0</v>
      </c>
      <c r="AI35">
        <f>COUNTIFS(Dyno_Data[Team],TBA_Matches_All[[#This Row],[Team]],Dyno_Data[Match],TBA_Matches_All[[#This Row],[Match_Number]],Dyno_Data[RecordType],"Activities",Dyno_Data[DelDest],"Amp", Dyno_Data[DelMiss],"0", Dyno_Data[Mode],"Auto")</f>
        <v>0</v>
      </c>
      <c r="AJ35">
        <f>COUNTIFS(Dyno_Data[Team],TBA_Matches_All[[#This Row],[Team]],Dyno_Data[Match],TBA_Matches_All[[#This Row],[Match_Number]],Dyno_Data[RecordType],"Activities",Dyno_Data[DelDest],"Spkr", Dyno_Data[DelMiss],"0", Dyno_Data[Mode],"Auto")</f>
        <v>0</v>
      </c>
      <c r="AK35">
        <f>COUNTIFS(Dyno_Data[Team],TBA_Matches_All[[#This Row],[Team]],Dyno_Data[Match],TBA_Matches_All[[#This Row],[Match_Number]],Dyno_Data[RecordType],"Activities",Dyno_Data[DelDest],"Trap", Dyno_Data[DelMiss],"0", Dyno_Data[Mode],"Auto")</f>
        <v>0</v>
      </c>
      <c r="AL35">
        <f>COUNTIFS(Dyno_Data[Team],TBA_Matches_All[[#This Row],[Team]],Dyno_Data[Match],TBA_Matches_All[[#This Row],[Match_Number]],Dyno_Data[RecordType],"Activities",Dyno_Data[DelDest],"Amp", Dyno_Data[DelMiss],"0", Dyno_Data[Mode],"Teleop")</f>
        <v>0</v>
      </c>
      <c r="AM35">
        <f>COUNTIFS(Dyno_Data[Team],TBA_Matches_All[[#This Row],[Team]],Dyno_Data[Match],TBA_Matches_All[[#This Row],[Match_Number]],Dyno_Data[RecordType],"Activities",Dyno_Data[DelDest],"Spkr", Dyno_Data[DelMiss],"0", Dyno_Data[Mode],"Teleop")</f>
        <v>5</v>
      </c>
      <c r="AN35">
        <f>COUNTIFS(Dyno_Data[Team],TBA_Matches_All[[#This Row],[Team]],Dyno_Data[Match],TBA_Matches_All[[#This Row],[Match_Number]],Dyno_Data[RecordType],"Activities",Dyno_Data[DelDest],"Trap", Dyno_Data[DelMiss],"0", Dyno_Data[Mode],"&lt;&gt;Auto")</f>
        <v>0</v>
      </c>
      <c r="AO35">
        <f>SUM(TBA_Matches_All[[#This Row],[AampT]]+TBA_Matches_All[[#This Row],[AspkrT]]+TBA_Matches_All[[#This Row],[AtrapT]]+TBA_Matches_All[[#This Row],[TampT]]+TBA_Matches_All[[#This Row],[TspkrT]]+TBA_Matches_All[[#This Row],[TtrapT]])</f>
        <v>5</v>
      </c>
      <c r="AP35">
        <f>COUNTIFS(Dyno_Data[Team],TBA_Matches_All[[#This Row],[Team]],Dyno_Data[Match],TBA_Matches_All[[#This Row],[Match_Number]],Dyno_Data[RecordType],"Activities",Dyno_Data[DelDest],"Neut", Dyno_Data[DelMiss],"0")</f>
        <v>0</v>
      </c>
      <c r="AQ35">
        <f>COUNTIFS(Dyno_Data[Team],TBA_Matches_All[[#This Row],[Team]],Dyno_Data[Match],TBA_Matches_All[[#This Row],[Match_Number]],Dyno_Data[RecordType],"Activities",Dyno_Data[DelDest],"AllyW", Dyno_Data[DelMiss],"0")</f>
        <v>0</v>
      </c>
      <c r="AR35" t="str">
        <f>_xlfn.XLOOKUP(SUM(MID(TBA_Matches_All[[#This Row],[Team]],4,5),(TBA_Matches_All[[#This Row],[Match_Number]]/100)),Dyno_EndMatch[teammat],Dyno_EndMatch[RobotSta],"_",0,1)</f>
        <v>OppS</v>
      </c>
      <c r="AS35">
        <f>SUMIFS(Dyno_Data[AcqDis], Dyno_Data[Team],TBA_Matches_All[[#This Row],[Team]],Dyno_Data[Match],TBA_Matches_All[[#This Row],[Match_Number]],Dyno_Data[RecordType],"Activities", Dyno_Data[AcqCenter],1,Dyno_Data[Mode],"Auto")</f>
        <v>0</v>
      </c>
      <c r="AT35">
        <f>SUMIFS(Dyno_Data[AcqDis], Dyno_Data[Team],TBA_Matches_All[[#This Row],[Team]],Dyno_Data[Match],TBA_Matches_All[[#This Row],[Match_Number]],Dyno_Data[RecordType],"Activities", Dyno_Data[AcqCenter],2,Dyno_Data[Mode],"Auto")</f>
        <v>0</v>
      </c>
      <c r="AU35">
        <f>SUMIFS(Dyno_Data[AcqDis], Dyno_Data[Team],TBA_Matches_All[[#This Row],[Team]],Dyno_Data[Match],TBA_Matches_All[[#This Row],[Match_Number]],Dyno_Data[RecordType],"Activities", Dyno_Data[AcqCenter],3,Dyno_Data[Mode],"Auto")</f>
        <v>0</v>
      </c>
      <c r="AV35">
        <f>SUMIFS(Dyno_Data[AcqDis], Dyno_Data[Team],TBA_Matches_All[[#This Row],[Team]],Dyno_Data[Match],TBA_Matches_All[[#This Row],[Match_Number]],Dyno_Data[RecordType],"Activities", Dyno_Data[AcqCenter],4,Dyno_Data[Mode],"Auto")</f>
        <v>0</v>
      </c>
      <c r="AW35">
        <f>SUMIFS(Dyno_Data[AcqDis], Dyno_Data[Team],TBA_Matches_All[[#This Row],[Team]],Dyno_Data[Match],TBA_Matches_All[[#This Row],[Match_Number]],Dyno_Data[RecordType],"Activities", Dyno_Data[AcqCenter],5,Dyno_Data[Mode],"Auto")</f>
        <v>0</v>
      </c>
      <c r="AX35">
        <f>SUMIFS(Dyno_Data[DelMiss], Dyno_Data[Team],TBA_Matches_All[[#This Row],[Team]],Dyno_Data[Match],TBA_Matches_All[[#This Row],[Match_Number]],Dyno_Data[RecordType],"Activities", Dyno_Data[DelDest],"Amp")</f>
        <v>0</v>
      </c>
      <c r="AY35" s="60">
        <f>IFERROR(SUM((TBA_Matches_All[[#This Row],[AampT]]+TBA_Matches_All[[#This Row],[TampT]])/(TBA_Matches_All[[#This Row],[AampT]]+TBA_Matches_All[[#This Row],[TampT]]+TBA_Matches_All[[#This Row],[ampM]])),0)</f>
        <v>0</v>
      </c>
      <c r="AZ35">
        <f>SUMIFS(Dyno_Data[DelMiss], Dyno_Data[Team],TBA_Matches_All[[#This Row],[Team]],Dyno_Data[Match],TBA_Matches_All[[#This Row],[Match_Number]],Dyno_Data[RecordType],"Activities", Dyno_Data[DelDest],"Spkr")</f>
        <v>4</v>
      </c>
      <c r="BA35" s="60">
        <f>IFERROR(SUM((TBA_Matches_All[[#This Row],[AspkrT]]+TBA_Matches_All[[#This Row],[TspkrT]])/(TBA_Matches_All[[#This Row],[AspkrT]]+TBA_Matches_All[[#This Row],[TspkrT]]+TBA_Matches_All[[#This Row],[spkrM]])),0)</f>
        <v>0.55555555555555558</v>
      </c>
      <c r="BB35">
        <f>SUMIFS(Dyno_Data[DelMiss], Dyno_Data[Team],TBA_Matches_All[[#This Row],[Team]],Dyno_Data[Match],TBA_Matches_All[[#This Row],[Match_Number]],Dyno_Data[RecordType],"Activities", Dyno_Data[DelDest],"Trap")</f>
        <v>0</v>
      </c>
      <c r="BC35" s="60">
        <f>IFERROR((TBA_Matches_All[[#This Row],[AtrapT]]+TBA_Matches_All[[#This Row],[TtrapT]])/(TBA_Matches_All[[#This Row],[AtrapT]]+TBA_Matches_All[[#This Row],[TtrapT]]+TBA_Matches_All[[#This Row],[trapM]]),0)</f>
        <v>0</v>
      </c>
      <c r="BD35">
        <f>COUNTIFS(Dyno_Data[Team],TBA_Matches_All[[#This Row],[Team]],Dyno_Data[Match],TBA_Matches_All[[#This Row],[Match_Number]],Dyno_Data[RecordType],"Activities",Dyno_Data[DelDest],"Neut", Dyno_Data[DelMiss],1)</f>
        <v>0</v>
      </c>
      <c r="BE35" s="60">
        <f>IFERROR(SUM((TBA_Matches_All[[#This Row],[NeutFlrT]])/(TBA_Matches_All[[#This Row],[NeutFlrT]]+TBA_Matches_All[[#This Row],[NZflM]])),0)</f>
        <v>0</v>
      </c>
      <c r="BF35">
        <f>COUNTIFS(Dyno_Data[Team],TBA_Matches_All[[#This Row],[Team]],Dyno_Data[Match],TBA_Matches_All[[#This Row],[Match_Number]],Dyno_Data[RecordType],"Activities",Dyno_Data[DelDest],"AllyW", Dyno_Data[DelMiss],1)</f>
        <v>0</v>
      </c>
      <c r="BG35" s="60">
        <f>IFERROR(SUM((TBA_Matches_All[[#This Row],[AllyWFlrT]])/(TBA_Matches_All[[#This Row],[AllyWFlrT]]+TBA_Matches_All[[#This Row],[AZflM]])),0)</f>
        <v>0</v>
      </c>
      <c r="BH35">
        <f>COUNTIFS(Dyno_Data[Team],TBA_Matches_All[[#This Row],[Team]],Dyno_Data[Match],TBA_Matches_All[[#This Row],[Match_Number]],Dyno_Data[RecordType],"Activities",Dyno_Data[DelOrig],"OppW", Dyno_Data[DelMiss],"0")</f>
        <v>0</v>
      </c>
      <c r="BI35">
        <f>COUNTIFS(Dyno_Data[Team],TBA_Matches_All[[#This Row],[Team]],Dyno_Data[Match],TBA_Matches_All[[#This Row],[Match_Number]],Dyno_Data[RecordType],"Activities",Dyno_Data[DelOrig],"OppW", Dyno_Data[DelMiss],"1")</f>
        <v>0</v>
      </c>
      <c r="BJ35" s="60">
        <f>IFERROR(SUM((TBA_Matches_All[[#This Row],[OZflrT]])/(TBA_Matches_All[[#This Row],[OZflrT]]+TBA_Matches_All[[#This Row],[OZflrM]])),0)</f>
        <v>0</v>
      </c>
      <c r="BK35">
        <f>COUNTIFS(Dyno_Data[Team],TBA_Matches_All[[#This Row],[Team]],Dyno_Data[Match],TBA_Matches_All[[#This Row],[Match_Number]],Dyno_Data[RecordType],"Activities",Dyno_Data[DelOrig],"Neut", Dyno_Data[DelMiss],"0")</f>
        <v>0</v>
      </c>
      <c r="BL35">
        <f>COUNTIFS(Dyno_Data[Team],TBA_Matches_All[[#This Row],[Team]],Dyno_Data[Match],TBA_Matches_All[[#This Row],[Match_Number]],Dyno_Data[RecordType],"Activities",Dyno_Data[DelOrig],"Neut", Dyno_Data[DelMiss],"1")</f>
        <v>0</v>
      </c>
      <c r="BM35" s="60">
        <f>IFERROR(SUM((TBA_Matches_All[[#This Row],[NZflrT]])/(TBA_Matches_All[[#This Row],[NZflrT]]+TBA_Matches_All[[#This Row],[NZflrM]])),0)</f>
        <v>0</v>
      </c>
      <c r="BN35">
        <f>COUNTIFS(Dyno_Data[Team],TBA_Matches_All[[#This Row],[Team]],Dyno_Data[Match],TBA_Matches_All[[#This Row],[Match_Number]],Dyno_Data[RecordType],"Activities",Dyno_Data[DelOrig],"AllyW", Dyno_Data[DelMiss],"0")</f>
        <v>1</v>
      </c>
      <c r="BO35">
        <f>COUNTIFS(Dyno_Data[Team],TBA_Matches_All[[#This Row],[Team]],Dyno_Data[Match],TBA_Matches_All[[#This Row],[Match_Number]],Dyno_Data[RecordType],"Activities",Dyno_Data[DelOrig],"AllyW", Dyno_Data[DelMiss],"1")</f>
        <v>0</v>
      </c>
      <c r="BP35" s="60">
        <f>IFERROR(SUM((TBA_Matches_All[[#This Row],[AZflrT]])/(TBA_Matches_All[[#This Row],[AZflrT]]+TBA_Matches_All[[#This Row],[AZflrM]])),0)</f>
        <v>1</v>
      </c>
      <c r="BQ35">
        <f>COUNTIFS(Dyno_Data[Team],TBA_Matches_All[[#This Row],[Team]],Dyno_Data[Match],TBA_Matches_All[[#This Row],[Match_Number]],Dyno_Data[RecordType],"Activities",Dyno_Data[DelOrig],"SubW", Dyno_Data[DelMiss],"0")</f>
        <v>4</v>
      </c>
      <c r="BR35">
        <f>COUNTIFS(Dyno_Data[Team],TBA_Matches_All[[#This Row],[Team]],Dyno_Data[Match],TBA_Matches_All[[#This Row],[Match_Number]],Dyno_Data[RecordType],"Activities",Dyno_Data[DelOrig],"SubW", Dyno_Data[DelMiss],"1")</f>
        <v>4</v>
      </c>
      <c r="BS35" s="60">
        <f>IFERROR(SUM((TBA_Matches_All[[#This Row],[SubwT]])/(TBA_Matches_All[[#This Row],[SubwT]]+TBA_Matches_All[[#This Row],[SubwM]])),0)</f>
        <v>0.5</v>
      </c>
      <c r="BT35">
        <f>COUNTIFS(Dyno_Data[Team],TBA_Matches_All[[#This Row],[Team]],Dyno_Data[Match],TBA_Matches_All[[#This Row],[Match_Number]],Dyno_Data[RecordType],"Activities", Dyno_Data[AcqLoc],"OppWing")</f>
        <v>0</v>
      </c>
      <c r="BU35">
        <f>COUNTIFS(Dyno_Data[Team],TBA_Matches_All[[#This Row],[Team]],Dyno_Data[Match],TBA_Matches_All[[#This Row],[Match_Number]],Dyno_Data[RecordType],"Activities", Dyno_Data[AcqLoc],"Neutral")</f>
        <v>0</v>
      </c>
      <c r="BV35">
        <f>COUNTIFS(Dyno_Data[Team],TBA_Matches_All[[#This Row],[Team]],Dyno_Data[Match],TBA_Matches_All[[#This Row],[Match_Number]],Dyno_Data[RecordType],"Activities", Dyno_Data[AcqLoc],"AllyWing")</f>
        <v>0</v>
      </c>
      <c r="BW35">
        <f>COUNTIFS(Dyno_Data[Team],TBA_Matches_All[[#This Row],[Team]],Dyno_Data[Match],TBA_Matches_All[[#This Row],[Match_Number]],Dyno_Data[RecordType],"Activities", Dyno_Data[AcqLoc],"Source")</f>
        <v>0</v>
      </c>
      <c r="BX35">
        <f>SUMIFS(Dyno_Data[AcqDrp], Dyno_Data[Team],TBA_Matches_All[[#This Row],[Team]],Dyno_Data[Match],TBA_Matches_All[[#This Row],[Match_Number]],Dyno_Data[RecordType],"Activities", Dyno_Data[AcqLoc],"Source")</f>
        <v>0</v>
      </c>
      <c r="BY35">
        <f>SUMIFS(Dyno_Data[OZTime], Dyno_Data[Team],TBA_Matches_All[[#This Row],[Team]],Dyno_Data[Match],TBA_Matches_All[[#This Row],[Match_Number]],Dyno_Data[RecordType],"EndMatch")</f>
        <v>29.2322469</v>
      </c>
      <c r="BZ35">
        <f>SUMIFS(Dyno_Data[NZTime], Dyno_Data[Team],TBA_Matches_All[[#This Row],[Team]],Dyno_Data[Match],TBA_Matches_All[[#This Row],[Match_Number]],Dyno_Data[RecordType],"EndMatch")</f>
        <v>19.102001599999998</v>
      </c>
      <c r="CA35">
        <f>SUMIFS(Dyno_Data[AZTime], Dyno_Data[Team],TBA_Matches_All[[#This Row],[Team]],Dyno_Data[Match],TBA_Matches_All[[#This Row],[Match_Number]],Dyno_Data[RecordType],"EndMatch")</f>
        <v>87.303512900000001</v>
      </c>
      <c r="CB35">
        <f>SUMIFS(Dyno_Data[ClimbT], Dyno_Data[Team],TBA_Matches_All[[#This Row],[Team]],Dyno_Data[Match],TBA_Matches_All[[#This Row],[Match_Number]],Dyno_Data[RecordType],"EndMatch")</f>
        <v>0</v>
      </c>
      <c r="CC35" t="str">
        <f>_xlfn.XLOOKUP(SUM(MID(TBA_Matches_All[[#This Row],[Team]],4,5),(TBA_Matches_All[[#This Row],[Match_Number]]/100)),Dyno_EndMatch[teammat],Dyno_EndMatch[StageStat],"_",0,1)</f>
        <v>Park</v>
      </c>
      <c r="CD35" t="str">
        <f>_xlfn.XLOOKUP(TBA_Matches_All[[#This Row],[teammat]],Dyno_EndMatch[teammat],Dyno_EndMatch[StageAtt],"_",0,1)</f>
        <v>0</v>
      </c>
      <c r="CE35" t="str">
        <f>_xlfn.XLOOKUP(TBA_Matches_All[[#This Row],[teammat]],Dyno_EndMatch[teammat],Dyno_EndMatch[StageLoc],"_",0,1)</f>
        <v>A</v>
      </c>
      <c r="CF35">
        <f>SUMIFS(Dyno_Data[Harmony], Dyno_Data[Team],TBA_Matches_All[[#This Row],[Team]],Dyno_Data[Match],TBA_Matches_All[[#This Row],[Match_Number]],Dyno_Data[RecordType],"EndMatch", Dyno_Data[StageStat],"On",Dyno_Data[Harmony],"&lt;&gt;9")</f>
        <v>0</v>
      </c>
      <c r="CG35">
        <f>SUMIFS(Dyno_Data[Spotlit], Dyno_Data[Team],TBA_Matches_All[[#This Row],[Team]],Dyno_Data[Match],TBA_Matches_All[[#This Row],[Match_Number]],Dyno_Data[RecordType],"EndMatch", Dyno_Data[StageStat],"On",Dyno_Data[Spotlit],"&lt;&gt;9")</f>
        <v>0</v>
      </c>
      <c r="CH35" t="str">
        <f>_xlfn.XLOOKUP(TBA_Matches_All[[#This Row],[teammat]],Dyno_EndMatch[teammat],Dyno_EndMatch[Strategy],"_",0,1)</f>
        <v>Hybrid</v>
      </c>
      <c r="CI35">
        <f>SUMIFS(Dyno_Data[Defense], Dyno_Data[Team],TBA_Matches_All[[#This Row],[Team]],Dyno_Data[Match],TBA_Matches_All[[#This Row],[Match_Number]],Dyno_Data[RecordType],"EndMatch",Dyno_Data[Defense],"&lt;&gt;9")</f>
        <v>0</v>
      </c>
      <c r="CJ35">
        <f>SUMIFS(Dyno_Data[Avoidance], Dyno_Data[Team],TBA_Matches_All[[#This Row],[Team]],Dyno_Data[Match],TBA_Matches_All[[#This Row],[Match_Number]],Dyno_Data[RecordType],"EndMatch",Dyno_Data[Avoidance],"&lt;&gt;9")</f>
        <v>1</v>
      </c>
      <c r="CK35" s="82">
        <f>COUNTIF($H$2:TBA_Matches_All[[#This Row],[Team]],TBA_Matches_All[[#This Row],[Team]])</f>
        <v>1</v>
      </c>
      <c r="CL35" s="111">
        <f>SUM(MID(TBA_Matches_All[[#This Row],[Team]],4,5)+TBA_Matches_All[[#This Row],[Match_Number]]/100)</f>
        <v>639.05999999999995</v>
      </c>
      <c r="CM35">
        <f>SUM((TBA_Matches_All[[#This Row],[Leave]]*2)+(TBA_Matches_All[[#This Row],[AampT]]*2)+(TBA_Matches_All[[#This Row],[AspkrT]]*5)+(TBA_Matches_All[[#This Row],[AtrapT]]*5))</f>
        <v>0</v>
      </c>
      <c r="CN35" s="59">
        <f>IFERROR(SUM(TBA_Matches_All[[#This Row],[AptsT]]/TBA_Matches_All[[#This Row],[AutoPts]]),0)</f>
        <v>0</v>
      </c>
      <c r="CO35" s="59">
        <f>IFERROR(SUM(TBA_Matches_All[[#This Row],[AampT]]+TBA_Matches_All[[#This Row],[AspkrT]]+TBA_Matches_All[[#This Row],[AtrapT]]/TBA_Matches_All[[#This Row],[Aamp]]+TBA_Matches_All[[#This Row],[Aspkr]]+TBA_Matches_All[[#This Row],[AtrapT]]),0)</f>
        <v>0</v>
      </c>
      <c r="CP35" s="59">
        <f>IFERROR(SUM(TBA_Matches_All[[#This Row],[TampT]]/TBA_Matches_All[[#This Row],[Tamp]]),0)</f>
        <v>0</v>
      </c>
      <c r="CQ35" s="59">
        <f>IFERROR(SUM(TBA_Matches_All[[#This Row],[TspkrT]]/TBA_Matches_All[[#This Row],[Tspkr]]),0)</f>
        <v>0.35714285714285715</v>
      </c>
      <c r="CR35">
        <f>SUM(TBA_Matches_All[[#This Row],[TspkrPts]]*TBA_Matches_All[[#This Row],[TspkrP]])</f>
        <v>15.357142857142858</v>
      </c>
      <c r="CS35" s="59">
        <f>IFERROR(SUM(TBA_Matches_All[[#This Row],[TtrapT]]/TBA_Matches_All[[#This Row],[Trap]]),0)</f>
        <v>0</v>
      </c>
      <c r="CT35" s="59">
        <f>IFERROR(SUM(TBA_Matches_All[[#This Row],[TotNotesT]]/TBA_Matches_All[[#This Row],[TotNotes]]),0)</f>
        <v>0.20833333333333334</v>
      </c>
      <c r="CU35" s="66">
        <f>SUM((TBA_Matches_All[[#This Row],[AampT]]*2)+(TBA_Matches_All[[#This Row],[AspkrT]]*5)+(TBA_Matches_All[[#This Row],[AtrapT]]*5)+(TBA_Matches_All[[#This Row],[TampT]]*1)+(TBA_Matches_All[[#This Row],[TspkrptsC]]))</f>
        <v>15.357142857142858</v>
      </c>
      <c r="CV35" s="59">
        <f>IFERROR(TBA_Matches_All[[#This Row],[noteptsT]]/TBA_Matches_All[[#This Row],[NotePts]],0)</f>
        <v>0.21037181996086107</v>
      </c>
      <c r="CW35">
        <f>SUM(IF(TBA_Matches_All[[#This Row],[stageStat]]="On",3,0),IF(TBA_Matches_All[[#This Row],[stageStat]]="Park",1,0),SUMIFS(TBA_Matches_All[[#This Row],[Spotlit]],TBA_Matches_All[[#This Row],[stageStat]],"On"),SUMIFS(TBA_Matches_All[[#This Row],[Harmony]],TBA_Matches_All[[#This Row],[stageStat]],"On"))</f>
        <v>1</v>
      </c>
      <c r="CX35" s="59">
        <f>IFERROR(TBA_Matches_All[[#This Row],[stageptsT]]/TBA_Matches_All[[#This Row],[StagePts]],0)</f>
        <v>0.33333333333333331</v>
      </c>
      <c r="CY35">
        <f>SUM((TBA_Matches_All[[#This Row],[AptsT]]+TBA_Matches_All[[#This Row],[TampT]]+TBA_Matches_All[[#This Row],[TspkrptsC]]+(TBA_Matches_All[[#This Row],[TtrapT]]*5)+TBA_Matches_All[[#This Row],[stageptsT]]))</f>
        <v>16.357142857142858</v>
      </c>
      <c r="CZ35" s="59">
        <f>IFERROR(SUM(TBA_Matches_All[[#This Row],[TotptsC]]/TBA_Matches_All[[#This Row],[Score]]),0)</f>
        <v>0.18174603174603174</v>
      </c>
      <c r="DA3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19.285714285714288</v>
      </c>
      <c r="DB35" s="74">
        <f>SUMIFS(TBA_Matches_All[AveTeamTNoteDels],TBA_Matches_All[Match_Number],TBA_Matches_All[[#This Row],[Match_Number]],TBA_Matches_All[Alliance],"&lt;&gt;"&amp;TBA_Matches_All[[#This Row],[Alliance]],TBA_Matches_All[Scouted],"&gt;0")</f>
        <v>30.37781052281052</v>
      </c>
      <c r="DC35" s="74">
        <f>(TBA_Matches_All[[#This Row],[TampT]]+TBA_Matches_All[[#This Row],[TspkrptsC]])-TBA_Matches_All[[#This Row],[AveTeamTNoteDels]]</f>
        <v>-3.9285714285714306</v>
      </c>
      <c r="DD35" s="74">
        <f>SUMIFS(TBA_Matches_All[AveTeamTNoteDels],TBA_Matches_All[Match_Number],TBA_Matches_All[[#This Row],[Match_Number]],TBA_Matches_All[Alliance],"&lt;&gt;"&amp;TBA_Matches_All[[#This Row],[Alliance]])-TBA_Matches_All[[#This Row],[AveOppTNoteDels]]</f>
        <v>0</v>
      </c>
    </row>
    <row r="36" spans="1:108" x14ac:dyDescent="0.3">
      <c r="A36" t="s">
        <v>1042</v>
      </c>
      <c r="B36" t="s">
        <v>489</v>
      </c>
      <c r="C36" t="s">
        <v>1304</v>
      </c>
      <c r="D36">
        <v>6</v>
      </c>
      <c r="E36" t="s">
        <v>1406</v>
      </c>
      <c r="F36" t="s">
        <v>1422</v>
      </c>
      <c r="G36" t="s">
        <v>105</v>
      </c>
      <c r="H36" t="s">
        <v>366</v>
      </c>
      <c r="I36" t="b">
        <v>1</v>
      </c>
      <c r="J36">
        <v>62</v>
      </c>
      <c r="K36">
        <v>1</v>
      </c>
      <c r="L36">
        <v>0</v>
      </c>
      <c r="M36">
        <v>10</v>
      </c>
      <c r="N36">
        <v>0</v>
      </c>
      <c r="O36">
        <v>3</v>
      </c>
      <c r="P36">
        <v>15</v>
      </c>
      <c r="Q36">
        <v>19</v>
      </c>
      <c r="R36">
        <v>3</v>
      </c>
      <c r="S36">
        <v>2</v>
      </c>
      <c r="T36">
        <v>10</v>
      </c>
      <c r="U36">
        <v>10</v>
      </c>
      <c r="V36">
        <v>20</v>
      </c>
      <c r="W36">
        <v>12</v>
      </c>
      <c r="X36">
        <v>30</v>
      </c>
      <c r="Y36">
        <v>33</v>
      </c>
      <c r="Z36">
        <v>0</v>
      </c>
      <c r="AA36">
        <v>0</v>
      </c>
      <c r="AB36">
        <v>18</v>
      </c>
      <c r="AC36">
        <v>48</v>
      </c>
      <c r="AD36">
        <v>5</v>
      </c>
      <c r="AE36">
        <f>IFERROR(6/(COUNTIF(Dyno_EndMatch[Match],TBA_Matches_All[[#This Row],[Match_Number]])),0)</f>
        <v>1</v>
      </c>
      <c r="AF36">
        <f>COUNTIFS(Dyno_Data[Team],TBA_Matches_All[[#This Row],[Team]],Dyno_Data[Match],TBA_Matches_All[[#This Row],[Match_Number]],Dyno_Data[RecordType],"EndMatch",Dyno_Data[HPAmp],"Y")</f>
        <v>0</v>
      </c>
      <c r="AG36">
        <f>SUMIFS(Dyno_Data[Mics], Dyno_Data[Team],TBA_Matches_All[[#This Row],[Team]],Dyno_Data[Match],TBA_Matches_All[[#This Row],[Match_Number]],Dyno_Data[RecordType],"EndMatch",Dyno_Data[HPAmp],"Y")</f>
        <v>0</v>
      </c>
      <c r="AH36">
        <f>SUMIFS(Dyno_Data[Leave], Dyno_Data[Team],TBA_Matches_All[[#This Row],[Team]],Dyno_Data[Match],TBA_Matches_All[[#This Row],[Match_Number]],Dyno_Data[RecordType],"EndAuto")</f>
        <v>0</v>
      </c>
      <c r="AI36">
        <f>COUNTIFS(Dyno_Data[Team],TBA_Matches_All[[#This Row],[Team]],Dyno_Data[Match],TBA_Matches_All[[#This Row],[Match_Number]],Dyno_Data[RecordType],"Activities",Dyno_Data[DelDest],"Amp", Dyno_Data[DelMiss],"0", Dyno_Data[Mode],"Auto")</f>
        <v>0</v>
      </c>
      <c r="AJ36">
        <f>COUNTIFS(Dyno_Data[Team],TBA_Matches_All[[#This Row],[Team]],Dyno_Data[Match],TBA_Matches_All[[#This Row],[Match_Number]],Dyno_Data[RecordType],"Activities",Dyno_Data[DelDest],"Spkr", Dyno_Data[DelMiss],"0", Dyno_Data[Mode],"Auto")</f>
        <v>1</v>
      </c>
      <c r="AK36">
        <f>COUNTIFS(Dyno_Data[Team],TBA_Matches_All[[#This Row],[Team]],Dyno_Data[Match],TBA_Matches_All[[#This Row],[Match_Number]],Dyno_Data[RecordType],"Activities",Dyno_Data[DelDest],"Trap", Dyno_Data[DelMiss],"0", Dyno_Data[Mode],"Auto")</f>
        <v>0</v>
      </c>
      <c r="AL36">
        <f>COUNTIFS(Dyno_Data[Team],TBA_Matches_All[[#This Row],[Team]],Dyno_Data[Match],TBA_Matches_All[[#This Row],[Match_Number]],Dyno_Data[RecordType],"Activities",Dyno_Data[DelDest],"Amp", Dyno_Data[DelMiss],"0", Dyno_Data[Mode],"Teleop")</f>
        <v>0</v>
      </c>
      <c r="AM36">
        <f>COUNTIFS(Dyno_Data[Team],TBA_Matches_All[[#This Row],[Team]],Dyno_Data[Match],TBA_Matches_All[[#This Row],[Match_Number]],Dyno_Data[RecordType],"Activities",Dyno_Data[DelDest],"Spkr", Dyno_Data[DelMiss],"0", Dyno_Data[Mode],"Teleop")</f>
        <v>6</v>
      </c>
      <c r="AN36">
        <f>COUNTIFS(Dyno_Data[Team],TBA_Matches_All[[#This Row],[Team]],Dyno_Data[Match],TBA_Matches_All[[#This Row],[Match_Number]],Dyno_Data[RecordType],"Activities",Dyno_Data[DelDest],"Trap", Dyno_Data[DelMiss],"0", Dyno_Data[Mode],"&lt;&gt;Auto")</f>
        <v>0</v>
      </c>
      <c r="AO36">
        <f>SUM(TBA_Matches_All[[#This Row],[AampT]]+TBA_Matches_All[[#This Row],[AspkrT]]+TBA_Matches_All[[#This Row],[AtrapT]]+TBA_Matches_All[[#This Row],[TampT]]+TBA_Matches_All[[#This Row],[TspkrT]]+TBA_Matches_All[[#This Row],[TtrapT]])</f>
        <v>7</v>
      </c>
      <c r="AP36">
        <f>COUNTIFS(Dyno_Data[Team],TBA_Matches_All[[#This Row],[Team]],Dyno_Data[Match],TBA_Matches_All[[#This Row],[Match_Number]],Dyno_Data[RecordType],"Activities",Dyno_Data[DelDest],"Neut", Dyno_Data[DelMiss],"0")</f>
        <v>0</v>
      </c>
      <c r="AQ36">
        <f>COUNTIFS(Dyno_Data[Team],TBA_Matches_All[[#This Row],[Team]],Dyno_Data[Match],TBA_Matches_All[[#This Row],[Match_Number]],Dyno_Data[RecordType],"Activities",Dyno_Data[DelDest],"AllyW", Dyno_Data[DelMiss],"0")</f>
        <v>0</v>
      </c>
      <c r="AR36" t="str">
        <f>_xlfn.XLOOKUP(SUM(MID(TBA_Matches_All[[#This Row],[Team]],4,5),(TBA_Matches_All[[#This Row],[Match_Number]]/100)),Dyno_EndMatch[teammat],Dyno_EndMatch[RobotSta],"_",0,1)</f>
        <v>Amp</v>
      </c>
      <c r="AS36">
        <f>SUMIFS(Dyno_Data[AcqDis], Dyno_Data[Team],TBA_Matches_All[[#This Row],[Team]],Dyno_Data[Match],TBA_Matches_All[[#This Row],[Match_Number]],Dyno_Data[RecordType],"Activities", Dyno_Data[AcqCenter],1,Dyno_Data[Mode],"Auto")</f>
        <v>0</v>
      </c>
      <c r="AT36">
        <f>SUMIFS(Dyno_Data[AcqDis], Dyno_Data[Team],TBA_Matches_All[[#This Row],[Team]],Dyno_Data[Match],TBA_Matches_All[[#This Row],[Match_Number]],Dyno_Data[RecordType],"Activities", Dyno_Data[AcqCenter],2,Dyno_Data[Mode],"Auto")</f>
        <v>0</v>
      </c>
      <c r="AU36">
        <f>SUMIFS(Dyno_Data[AcqDis], Dyno_Data[Team],TBA_Matches_All[[#This Row],[Team]],Dyno_Data[Match],TBA_Matches_All[[#This Row],[Match_Number]],Dyno_Data[RecordType],"Activities", Dyno_Data[AcqCenter],3,Dyno_Data[Mode],"Auto")</f>
        <v>0</v>
      </c>
      <c r="AV36">
        <f>SUMIFS(Dyno_Data[AcqDis], Dyno_Data[Team],TBA_Matches_All[[#This Row],[Team]],Dyno_Data[Match],TBA_Matches_All[[#This Row],[Match_Number]],Dyno_Data[RecordType],"Activities", Dyno_Data[AcqCenter],4,Dyno_Data[Mode],"Auto")</f>
        <v>0</v>
      </c>
      <c r="AW36">
        <f>SUMIFS(Dyno_Data[AcqDis], Dyno_Data[Team],TBA_Matches_All[[#This Row],[Team]],Dyno_Data[Match],TBA_Matches_All[[#This Row],[Match_Number]],Dyno_Data[RecordType],"Activities", Dyno_Data[AcqCenter],5,Dyno_Data[Mode],"Auto")</f>
        <v>0</v>
      </c>
      <c r="AX36">
        <f>SUMIFS(Dyno_Data[DelMiss], Dyno_Data[Team],TBA_Matches_All[[#This Row],[Team]],Dyno_Data[Match],TBA_Matches_All[[#This Row],[Match_Number]],Dyno_Data[RecordType],"Activities", Dyno_Data[DelDest],"Amp")</f>
        <v>0</v>
      </c>
      <c r="AY36" s="60">
        <f>IFERROR(SUM((TBA_Matches_All[[#This Row],[AampT]]+TBA_Matches_All[[#This Row],[TampT]])/(TBA_Matches_All[[#This Row],[AampT]]+TBA_Matches_All[[#This Row],[TampT]]+TBA_Matches_All[[#This Row],[ampM]])),0)</f>
        <v>0</v>
      </c>
      <c r="AZ36">
        <f>SUMIFS(Dyno_Data[DelMiss], Dyno_Data[Team],TBA_Matches_All[[#This Row],[Team]],Dyno_Data[Match],TBA_Matches_All[[#This Row],[Match_Number]],Dyno_Data[RecordType],"Activities", Dyno_Data[DelDest],"Spkr")</f>
        <v>3</v>
      </c>
      <c r="BA36" s="60">
        <f>IFERROR(SUM((TBA_Matches_All[[#This Row],[AspkrT]]+TBA_Matches_All[[#This Row],[TspkrT]])/(TBA_Matches_All[[#This Row],[AspkrT]]+TBA_Matches_All[[#This Row],[TspkrT]]+TBA_Matches_All[[#This Row],[spkrM]])),0)</f>
        <v>0.7</v>
      </c>
      <c r="BB36">
        <f>SUMIFS(Dyno_Data[DelMiss], Dyno_Data[Team],TBA_Matches_All[[#This Row],[Team]],Dyno_Data[Match],TBA_Matches_All[[#This Row],[Match_Number]],Dyno_Data[RecordType],"Activities", Dyno_Data[DelDest],"Trap")</f>
        <v>0</v>
      </c>
      <c r="BC36" s="60">
        <f>IFERROR((TBA_Matches_All[[#This Row],[AtrapT]]+TBA_Matches_All[[#This Row],[TtrapT]])/(TBA_Matches_All[[#This Row],[AtrapT]]+TBA_Matches_All[[#This Row],[TtrapT]]+TBA_Matches_All[[#This Row],[trapM]]),0)</f>
        <v>0</v>
      </c>
      <c r="BD36">
        <f>COUNTIFS(Dyno_Data[Team],TBA_Matches_All[[#This Row],[Team]],Dyno_Data[Match],TBA_Matches_All[[#This Row],[Match_Number]],Dyno_Data[RecordType],"Activities",Dyno_Data[DelDest],"Neut", Dyno_Data[DelMiss],1)</f>
        <v>0</v>
      </c>
      <c r="BE36" s="60">
        <f>IFERROR(SUM((TBA_Matches_All[[#This Row],[NeutFlrT]])/(TBA_Matches_All[[#This Row],[NeutFlrT]]+TBA_Matches_All[[#This Row],[NZflM]])),0)</f>
        <v>0</v>
      </c>
      <c r="BF36">
        <f>COUNTIFS(Dyno_Data[Team],TBA_Matches_All[[#This Row],[Team]],Dyno_Data[Match],TBA_Matches_All[[#This Row],[Match_Number]],Dyno_Data[RecordType],"Activities",Dyno_Data[DelDest],"AllyW", Dyno_Data[DelMiss],1)</f>
        <v>0</v>
      </c>
      <c r="BG36" s="60">
        <f>IFERROR(SUM((TBA_Matches_All[[#This Row],[AllyWFlrT]])/(TBA_Matches_All[[#This Row],[AllyWFlrT]]+TBA_Matches_All[[#This Row],[AZflM]])),0)</f>
        <v>0</v>
      </c>
      <c r="BH36">
        <f>COUNTIFS(Dyno_Data[Team],TBA_Matches_All[[#This Row],[Team]],Dyno_Data[Match],TBA_Matches_All[[#This Row],[Match_Number]],Dyno_Data[RecordType],"Activities",Dyno_Data[DelOrig],"OppW", Dyno_Data[DelMiss],"0")</f>
        <v>0</v>
      </c>
      <c r="BI36">
        <f>COUNTIFS(Dyno_Data[Team],TBA_Matches_All[[#This Row],[Team]],Dyno_Data[Match],TBA_Matches_All[[#This Row],[Match_Number]],Dyno_Data[RecordType],"Activities",Dyno_Data[DelOrig],"OppW", Dyno_Data[DelMiss],"1")</f>
        <v>0</v>
      </c>
      <c r="BJ36" s="60">
        <f>IFERROR(SUM((TBA_Matches_All[[#This Row],[OZflrT]])/(TBA_Matches_All[[#This Row],[OZflrT]]+TBA_Matches_All[[#This Row],[OZflrM]])),0)</f>
        <v>0</v>
      </c>
      <c r="BK36">
        <f>COUNTIFS(Dyno_Data[Team],TBA_Matches_All[[#This Row],[Team]],Dyno_Data[Match],TBA_Matches_All[[#This Row],[Match_Number]],Dyno_Data[RecordType],"Activities",Dyno_Data[DelOrig],"Neut", Dyno_Data[DelMiss],"0")</f>
        <v>0</v>
      </c>
      <c r="BL36">
        <f>COUNTIFS(Dyno_Data[Team],TBA_Matches_All[[#This Row],[Team]],Dyno_Data[Match],TBA_Matches_All[[#This Row],[Match_Number]],Dyno_Data[RecordType],"Activities",Dyno_Data[DelOrig],"Neut", Dyno_Data[DelMiss],"1")</f>
        <v>0</v>
      </c>
      <c r="BM36" s="60">
        <f>IFERROR(SUM((TBA_Matches_All[[#This Row],[NZflrT]])/(TBA_Matches_All[[#This Row],[NZflrT]]+TBA_Matches_All[[#This Row],[NZflrM]])),0)</f>
        <v>0</v>
      </c>
      <c r="BN36">
        <f>COUNTIFS(Dyno_Data[Team],TBA_Matches_All[[#This Row],[Team]],Dyno_Data[Match],TBA_Matches_All[[#This Row],[Match_Number]],Dyno_Data[RecordType],"Activities",Dyno_Data[DelOrig],"AllyW", Dyno_Data[DelMiss],"0")</f>
        <v>0</v>
      </c>
      <c r="BO36">
        <f>COUNTIFS(Dyno_Data[Team],TBA_Matches_All[[#This Row],[Team]],Dyno_Data[Match],TBA_Matches_All[[#This Row],[Match_Number]],Dyno_Data[RecordType],"Activities",Dyno_Data[DelOrig],"AllyW", Dyno_Data[DelMiss],"1")</f>
        <v>0</v>
      </c>
      <c r="BP36" s="60">
        <f>IFERROR(SUM((TBA_Matches_All[[#This Row],[AZflrT]])/(TBA_Matches_All[[#This Row],[AZflrT]]+TBA_Matches_All[[#This Row],[AZflrM]])),0)</f>
        <v>0</v>
      </c>
      <c r="BQ36">
        <f>COUNTIFS(Dyno_Data[Team],TBA_Matches_All[[#This Row],[Team]],Dyno_Data[Match],TBA_Matches_All[[#This Row],[Match_Number]],Dyno_Data[RecordType],"Activities",Dyno_Data[DelOrig],"SubW", Dyno_Data[DelMiss],"0")</f>
        <v>7</v>
      </c>
      <c r="BR36">
        <f>COUNTIFS(Dyno_Data[Team],TBA_Matches_All[[#This Row],[Team]],Dyno_Data[Match],TBA_Matches_All[[#This Row],[Match_Number]],Dyno_Data[RecordType],"Activities",Dyno_Data[DelOrig],"SubW", Dyno_Data[DelMiss],"1")</f>
        <v>3</v>
      </c>
      <c r="BS36" s="60">
        <f>IFERROR(SUM((TBA_Matches_All[[#This Row],[SubwT]])/(TBA_Matches_All[[#This Row],[SubwT]]+TBA_Matches_All[[#This Row],[SubwM]])),0)</f>
        <v>0.7</v>
      </c>
      <c r="BT36">
        <f>COUNTIFS(Dyno_Data[Team],TBA_Matches_All[[#This Row],[Team]],Dyno_Data[Match],TBA_Matches_All[[#This Row],[Match_Number]],Dyno_Data[RecordType],"Activities", Dyno_Data[AcqLoc],"OppWing")</f>
        <v>0</v>
      </c>
      <c r="BU36">
        <f>COUNTIFS(Dyno_Data[Team],TBA_Matches_All[[#This Row],[Team]],Dyno_Data[Match],TBA_Matches_All[[#This Row],[Match_Number]],Dyno_Data[RecordType],"Activities", Dyno_Data[AcqLoc],"Neutral")</f>
        <v>0</v>
      </c>
      <c r="BV36">
        <f>COUNTIFS(Dyno_Data[Team],TBA_Matches_All[[#This Row],[Team]],Dyno_Data[Match],TBA_Matches_All[[#This Row],[Match_Number]],Dyno_Data[RecordType],"Activities", Dyno_Data[AcqLoc],"AllyWing")</f>
        <v>0</v>
      </c>
      <c r="BW36">
        <f>COUNTIFS(Dyno_Data[Team],TBA_Matches_All[[#This Row],[Team]],Dyno_Data[Match],TBA_Matches_All[[#This Row],[Match_Number]],Dyno_Data[RecordType],"Activities", Dyno_Data[AcqLoc],"Source")</f>
        <v>0</v>
      </c>
      <c r="BX36">
        <f>SUMIFS(Dyno_Data[AcqDrp], Dyno_Data[Team],TBA_Matches_All[[#This Row],[Team]],Dyno_Data[Match],TBA_Matches_All[[#This Row],[Match_Number]],Dyno_Data[RecordType],"Activities", Dyno_Data[AcqLoc],"Source")</f>
        <v>0</v>
      </c>
      <c r="BY36">
        <f>SUMIFS(Dyno_Data[OZTime], Dyno_Data[Team],TBA_Matches_All[[#This Row],[Team]],Dyno_Data[Match],TBA_Matches_All[[#This Row],[Match_Number]],Dyno_Data[RecordType],"EndMatch")</f>
        <v>0</v>
      </c>
      <c r="BZ36">
        <f>SUMIFS(Dyno_Data[NZTime], Dyno_Data[Team],TBA_Matches_All[[#This Row],[Team]],Dyno_Data[Match],TBA_Matches_All[[#This Row],[Match_Number]],Dyno_Data[RecordType],"EndMatch")</f>
        <v>4.1465170999999996</v>
      </c>
      <c r="CA36">
        <f>SUMIFS(Dyno_Data[AZTime], Dyno_Data[Team],TBA_Matches_All[[#This Row],[Team]],Dyno_Data[Match],TBA_Matches_All[[#This Row],[Match_Number]],Dyno_Data[RecordType],"EndMatch")</f>
        <v>131.05725999999999</v>
      </c>
      <c r="CB36">
        <f>SUMIFS(Dyno_Data[ClimbT], Dyno_Data[Team],TBA_Matches_All[[#This Row],[Team]],Dyno_Data[Match],TBA_Matches_All[[#This Row],[Match_Number]],Dyno_Data[RecordType],"EndMatch")</f>
        <v>0</v>
      </c>
      <c r="CC36" t="str">
        <f>_xlfn.XLOOKUP(SUM(MID(TBA_Matches_All[[#This Row],[Team]],4,5),(TBA_Matches_All[[#This Row],[Match_Number]]/100)),Dyno_EndMatch[teammat],Dyno_EndMatch[StageStat],"_",0,1)</f>
        <v>Park</v>
      </c>
      <c r="CD36" t="str">
        <f>_xlfn.XLOOKUP(TBA_Matches_All[[#This Row],[teammat]],Dyno_EndMatch[teammat],Dyno_EndMatch[StageAtt],"_",0,1)</f>
        <v>0</v>
      </c>
      <c r="CE36" t="str">
        <f>_xlfn.XLOOKUP(TBA_Matches_All[[#This Row],[teammat]],Dyno_EndMatch[teammat],Dyno_EndMatch[StageLoc],"_",0,1)</f>
        <v>A</v>
      </c>
      <c r="CF36">
        <f>SUMIFS(Dyno_Data[Harmony], Dyno_Data[Team],TBA_Matches_All[[#This Row],[Team]],Dyno_Data[Match],TBA_Matches_All[[#This Row],[Match_Number]],Dyno_Data[RecordType],"EndMatch", Dyno_Data[StageStat],"On",Dyno_Data[Harmony],"&lt;&gt;9")</f>
        <v>0</v>
      </c>
      <c r="CG36">
        <f>SUMIFS(Dyno_Data[Spotlit], Dyno_Data[Team],TBA_Matches_All[[#This Row],[Team]],Dyno_Data[Match],TBA_Matches_All[[#This Row],[Match_Number]],Dyno_Data[RecordType],"EndMatch", Dyno_Data[StageStat],"On",Dyno_Data[Spotlit],"&lt;&gt;9")</f>
        <v>0</v>
      </c>
      <c r="CH36" t="str">
        <f>_xlfn.XLOOKUP(TBA_Matches_All[[#This Row],[teammat]],Dyno_EndMatch[teammat],Dyno_EndMatch[Strategy],"_",0,1)</f>
        <v>Shooter</v>
      </c>
      <c r="CI36">
        <f>SUMIFS(Dyno_Data[Defense], Dyno_Data[Team],TBA_Matches_All[[#This Row],[Team]],Dyno_Data[Match],TBA_Matches_All[[#This Row],[Match_Number]],Dyno_Data[RecordType],"EndMatch",Dyno_Data[Defense],"&lt;&gt;9")</f>
        <v>0</v>
      </c>
      <c r="CJ36">
        <f>SUMIFS(Dyno_Data[Avoidance], Dyno_Data[Team],TBA_Matches_All[[#This Row],[Team]],Dyno_Data[Match],TBA_Matches_All[[#This Row],[Match_Number]],Dyno_Data[RecordType],"EndMatch",Dyno_Data[Avoidance],"&lt;&gt;9")</f>
        <v>0</v>
      </c>
      <c r="CK36" s="82">
        <f>COUNTIF($H$2:TBA_Matches_All[[#This Row],[Team]],TBA_Matches_All[[#This Row],[Team]])</f>
        <v>1</v>
      </c>
      <c r="CL36" s="111">
        <f>SUM(MID(TBA_Matches_All[[#This Row],[Team]],4,5)+TBA_Matches_All[[#This Row],[Match_Number]]/100)</f>
        <v>4122.0600000000004</v>
      </c>
      <c r="CM36">
        <f>SUM((TBA_Matches_All[[#This Row],[Leave]]*2)+(TBA_Matches_All[[#This Row],[AampT]]*2)+(TBA_Matches_All[[#This Row],[AspkrT]]*5)+(TBA_Matches_All[[#This Row],[AtrapT]]*5))</f>
        <v>5</v>
      </c>
      <c r="CN36" s="59">
        <f>IFERROR(SUM(TBA_Matches_All[[#This Row],[AptsT]]/TBA_Matches_All[[#This Row],[AutoPts]]),0)</f>
        <v>0.26315789473684209</v>
      </c>
      <c r="CO36" s="59">
        <f>IFERROR(SUM(TBA_Matches_All[[#This Row],[AampT]]+TBA_Matches_All[[#This Row],[AspkrT]]+TBA_Matches_All[[#This Row],[AtrapT]]/TBA_Matches_All[[#This Row],[Aamp]]+TBA_Matches_All[[#This Row],[Aspkr]]+TBA_Matches_All[[#This Row],[AtrapT]]),0)</f>
        <v>0</v>
      </c>
      <c r="CP36" s="59">
        <f>IFERROR(SUM(TBA_Matches_All[[#This Row],[TampT]]/TBA_Matches_All[[#This Row],[Tamp]]),0)</f>
        <v>0</v>
      </c>
      <c r="CQ36" s="59">
        <f>IFERROR(SUM(TBA_Matches_All[[#This Row],[TspkrT]]/TBA_Matches_All[[#This Row],[Tspkr]]),0)</f>
        <v>0.5</v>
      </c>
      <c r="CR36">
        <f>SUM(TBA_Matches_All[[#This Row],[TspkrPts]]*TBA_Matches_All[[#This Row],[TspkrP]])</f>
        <v>15</v>
      </c>
      <c r="CS36" s="59">
        <f>IFERROR(SUM(TBA_Matches_All[[#This Row],[TtrapT]]/TBA_Matches_All[[#This Row],[Trap]]),0)</f>
        <v>0</v>
      </c>
      <c r="CT36" s="59">
        <f>IFERROR(SUM(TBA_Matches_All[[#This Row],[TotNotesT]]/TBA_Matches_All[[#This Row],[TotNotes]]),0)</f>
        <v>0.3888888888888889</v>
      </c>
      <c r="CU36" s="66">
        <f>SUM((TBA_Matches_All[[#This Row],[AampT]]*2)+(TBA_Matches_All[[#This Row],[AspkrT]]*5)+(TBA_Matches_All[[#This Row],[AtrapT]]*5)+(TBA_Matches_All[[#This Row],[TampT]]*1)+(TBA_Matches_All[[#This Row],[TspkrptsC]]))</f>
        <v>20</v>
      </c>
      <c r="CV36" s="59">
        <f>IFERROR(TBA_Matches_All[[#This Row],[noteptsT]]/TBA_Matches_All[[#This Row],[NotePts]],0)</f>
        <v>0.41666666666666669</v>
      </c>
      <c r="CW36">
        <f>SUM(IF(TBA_Matches_All[[#This Row],[stageStat]]="On",3,0),IF(TBA_Matches_All[[#This Row],[stageStat]]="Park",1,0),SUMIFS(TBA_Matches_All[[#This Row],[Spotlit]],TBA_Matches_All[[#This Row],[stageStat]],"On"),SUMIFS(TBA_Matches_All[[#This Row],[Harmony]],TBA_Matches_All[[#This Row],[stageStat]],"On"))</f>
        <v>1</v>
      </c>
      <c r="CX36" s="59">
        <f>IFERROR(TBA_Matches_All[[#This Row],[stageptsT]]/TBA_Matches_All[[#This Row],[StagePts]],0)</f>
        <v>0.2</v>
      </c>
      <c r="CY36">
        <f>SUM((TBA_Matches_All[[#This Row],[AptsT]]+TBA_Matches_All[[#This Row],[TampT]]+TBA_Matches_All[[#This Row],[TspkrptsC]]+(TBA_Matches_All[[#This Row],[TtrapT]]*5)+TBA_Matches_All[[#This Row],[stageptsT]]))</f>
        <v>21</v>
      </c>
      <c r="CZ36" s="59">
        <f>IFERROR(SUM(TBA_Matches_All[[#This Row],[TotptsC]]/TBA_Matches_All[[#This Row],[Score]]),0)</f>
        <v>0.33870967741935482</v>
      </c>
      <c r="DA3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10.68452380952381</v>
      </c>
      <c r="DB36" s="74">
        <f>SUMIFS(TBA_Matches_All[AveTeamTNoteDels],TBA_Matches_All[Match_Number],TBA_Matches_All[[#This Row],[Match_Number]],TBA_Matches_All[Alliance],"&lt;&gt;"&amp;TBA_Matches_All[[#This Row],[Alliance]],TBA_Matches_All[Scouted],"&gt;0")</f>
        <v>47.788118131868131</v>
      </c>
      <c r="DC36" s="74">
        <f>(TBA_Matches_All[[#This Row],[TampT]]+TBA_Matches_All[[#This Row],[TspkrptsC]])-TBA_Matches_All[[#This Row],[AveTeamTNoteDels]]</f>
        <v>4.3154761904761898</v>
      </c>
      <c r="DD36" s="74">
        <f>SUMIFS(TBA_Matches_All[AveTeamTNoteDels],TBA_Matches_All[Match_Number],TBA_Matches_All[[#This Row],[Match_Number]],TBA_Matches_All[Alliance],"&lt;&gt;"&amp;TBA_Matches_All[[#This Row],[Alliance]])-TBA_Matches_All[[#This Row],[AveOppTNoteDels]]</f>
        <v>0</v>
      </c>
    </row>
    <row r="37" spans="1:108" x14ac:dyDescent="0.3">
      <c r="A37" t="s">
        <v>1042</v>
      </c>
      <c r="B37" t="s">
        <v>489</v>
      </c>
      <c r="C37" t="s">
        <v>1304</v>
      </c>
      <c r="D37">
        <v>6</v>
      </c>
      <c r="E37" t="s">
        <v>1420</v>
      </c>
      <c r="F37" t="s">
        <v>1423</v>
      </c>
      <c r="G37" t="s">
        <v>1409</v>
      </c>
      <c r="H37" t="s">
        <v>372</v>
      </c>
      <c r="I37" t="b">
        <v>1</v>
      </c>
      <c r="J37">
        <v>90</v>
      </c>
      <c r="K37">
        <v>1</v>
      </c>
      <c r="L37">
        <v>1</v>
      </c>
      <c r="M37">
        <v>5</v>
      </c>
      <c r="N37">
        <v>0</v>
      </c>
      <c r="O37">
        <v>5</v>
      </c>
      <c r="P37">
        <v>25</v>
      </c>
      <c r="Q37">
        <v>29</v>
      </c>
      <c r="R37">
        <v>5</v>
      </c>
      <c r="S37">
        <v>5</v>
      </c>
      <c r="T37">
        <v>9</v>
      </c>
      <c r="U37">
        <v>25</v>
      </c>
      <c r="V37">
        <v>18</v>
      </c>
      <c r="W37">
        <v>14</v>
      </c>
      <c r="X37">
        <v>43</v>
      </c>
      <c r="Y37">
        <v>48</v>
      </c>
      <c r="Z37">
        <v>0</v>
      </c>
      <c r="AA37">
        <v>0</v>
      </c>
      <c r="AB37">
        <v>24</v>
      </c>
      <c r="AC37">
        <v>73</v>
      </c>
      <c r="AD37">
        <v>3</v>
      </c>
      <c r="AE37">
        <f>IFERROR(6/(COUNTIF(Dyno_EndMatch[Match],TBA_Matches_All[[#This Row],[Match_Number]])),0)</f>
        <v>1</v>
      </c>
      <c r="AF37">
        <f>COUNTIFS(Dyno_Data[Team],TBA_Matches_All[[#This Row],[Team]],Dyno_Data[Match],TBA_Matches_All[[#This Row],[Match_Number]],Dyno_Data[RecordType],"EndMatch",Dyno_Data[HPAmp],"Y")</f>
        <v>0</v>
      </c>
      <c r="AG37">
        <f>SUMIFS(Dyno_Data[Mics], Dyno_Data[Team],TBA_Matches_All[[#This Row],[Team]],Dyno_Data[Match],TBA_Matches_All[[#This Row],[Match_Number]],Dyno_Data[RecordType],"EndMatch",Dyno_Data[HPAmp],"Y")</f>
        <v>0</v>
      </c>
      <c r="AH37">
        <f>SUMIFS(Dyno_Data[Leave], Dyno_Data[Team],TBA_Matches_All[[#This Row],[Team]],Dyno_Data[Match],TBA_Matches_All[[#This Row],[Match_Number]],Dyno_Data[RecordType],"EndAuto")</f>
        <v>1</v>
      </c>
      <c r="AI37">
        <f>COUNTIFS(Dyno_Data[Team],TBA_Matches_All[[#This Row],[Team]],Dyno_Data[Match],TBA_Matches_All[[#This Row],[Match_Number]],Dyno_Data[RecordType],"Activities",Dyno_Data[DelDest],"Amp", Dyno_Data[DelMiss],"0", Dyno_Data[Mode],"Auto")</f>
        <v>0</v>
      </c>
      <c r="AJ37">
        <f>COUNTIFS(Dyno_Data[Team],TBA_Matches_All[[#This Row],[Team]],Dyno_Data[Match],TBA_Matches_All[[#This Row],[Match_Number]],Dyno_Data[RecordType],"Activities",Dyno_Data[DelDest],"Spkr", Dyno_Data[DelMiss],"0", Dyno_Data[Mode],"Auto")</f>
        <v>1</v>
      </c>
      <c r="AK37">
        <f>COUNTIFS(Dyno_Data[Team],TBA_Matches_All[[#This Row],[Team]],Dyno_Data[Match],TBA_Matches_All[[#This Row],[Match_Number]],Dyno_Data[RecordType],"Activities",Dyno_Data[DelDest],"Trap", Dyno_Data[DelMiss],"0", Dyno_Data[Mode],"Auto")</f>
        <v>0</v>
      </c>
      <c r="AL37">
        <f>COUNTIFS(Dyno_Data[Team],TBA_Matches_All[[#This Row],[Team]],Dyno_Data[Match],TBA_Matches_All[[#This Row],[Match_Number]],Dyno_Data[RecordType],"Activities",Dyno_Data[DelDest],"Amp", Dyno_Data[DelMiss],"0", Dyno_Data[Mode],"Teleop")</f>
        <v>0</v>
      </c>
      <c r="AM37">
        <f>COUNTIFS(Dyno_Data[Team],TBA_Matches_All[[#This Row],[Team]],Dyno_Data[Match],TBA_Matches_All[[#This Row],[Match_Number]],Dyno_Data[RecordType],"Activities",Dyno_Data[DelDest],"Spkr", Dyno_Data[DelMiss],"0", Dyno_Data[Mode],"Teleop")</f>
        <v>4</v>
      </c>
      <c r="AN37">
        <f>COUNTIFS(Dyno_Data[Team],TBA_Matches_All[[#This Row],[Team]],Dyno_Data[Match],TBA_Matches_All[[#This Row],[Match_Number]],Dyno_Data[RecordType],"Activities",Dyno_Data[DelDest],"Trap", Dyno_Data[DelMiss],"0", Dyno_Data[Mode],"&lt;&gt;Auto")</f>
        <v>0</v>
      </c>
      <c r="AO37">
        <f>SUM(TBA_Matches_All[[#This Row],[AampT]]+TBA_Matches_All[[#This Row],[AspkrT]]+TBA_Matches_All[[#This Row],[AtrapT]]+TBA_Matches_All[[#This Row],[TampT]]+TBA_Matches_All[[#This Row],[TspkrT]]+TBA_Matches_All[[#This Row],[TtrapT]])</f>
        <v>5</v>
      </c>
      <c r="AP37">
        <f>COUNTIFS(Dyno_Data[Team],TBA_Matches_All[[#This Row],[Team]],Dyno_Data[Match],TBA_Matches_All[[#This Row],[Match_Number]],Dyno_Data[RecordType],"Activities",Dyno_Data[DelDest],"Neut", Dyno_Data[DelMiss],"0")</f>
        <v>0</v>
      </c>
      <c r="AQ37">
        <f>COUNTIFS(Dyno_Data[Team],TBA_Matches_All[[#This Row],[Team]],Dyno_Data[Match],TBA_Matches_All[[#This Row],[Match_Number]],Dyno_Data[RecordType],"Activities",Dyno_Data[DelDest],"AllyW", Dyno_Data[DelMiss],"0")</f>
        <v>0</v>
      </c>
      <c r="AR37" t="str">
        <f>_xlfn.XLOOKUP(SUM(MID(TBA_Matches_All[[#This Row],[Team]],4,5),(TBA_Matches_All[[#This Row],[Match_Number]]/100)),Dyno_EndMatch[teammat],Dyno_EndMatch[RobotSta],"_",0,1)</f>
        <v>OppS</v>
      </c>
      <c r="AS37">
        <f>SUMIFS(Dyno_Data[AcqDis], Dyno_Data[Team],TBA_Matches_All[[#This Row],[Team]],Dyno_Data[Match],TBA_Matches_All[[#This Row],[Match_Number]],Dyno_Data[RecordType],"Activities", Dyno_Data[AcqCenter],1,Dyno_Data[Mode],"Auto")</f>
        <v>0</v>
      </c>
      <c r="AT37">
        <f>SUMIFS(Dyno_Data[AcqDis], Dyno_Data[Team],TBA_Matches_All[[#This Row],[Team]],Dyno_Data[Match],TBA_Matches_All[[#This Row],[Match_Number]],Dyno_Data[RecordType],"Activities", Dyno_Data[AcqCenter],2,Dyno_Data[Mode],"Auto")</f>
        <v>0</v>
      </c>
      <c r="AU37">
        <f>SUMIFS(Dyno_Data[AcqDis], Dyno_Data[Team],TBA_Matches_All[[#This Row],[Team]],Dyno_Data[Match],TBA_Matches_All[[#This Row],[Match_Number]],Dyno_Data[RecordType],"Activities", Dyno_Data[AcqCenter],3,Dyno_Data[Mode],"Auto")</f>
        <v>0</v>
      </c>
      <c r="AV37">
        <f>SUMIFS(Dyno_Data[AcqDis], Dyno_Data[Team],TBA_Matches_All[[#This Row],[Team]],Dyno_Data[Match],TBA_Matches_All[[#This Row],[Match_Number]],Dyno_Data[RecordType],"Activities", Dyno_Data[AcqCenter],4,Dyno_Data[Mode],"Auto")</f>
        <v>0</v>
      </c>
      <c r="AW37">
        <f>SUMIFS(Dyno_Data[AcqDis], Dyno_Data[Team],TBA_Matches_All[[#This Row],[Team]],Dyno_Data[Match],TBA_Matches_All[[#This Row],[Match_Number]],Dyno_Data[RecordType],"Activities", Dyno_Data[AcqCenter],5,Dyno_Data[Mode],"Auto")</f>
        <v>0</v>
      </c>
      <c r="AX37">
        <f>SUMIFS(Dyno_Data[DelMiss], Dyno_Data[Team],TBA_Matches_All[[#This Row],[Team]],Dyno_Data[Match],TBA_Matches_All[[#This Row],[Match_Number]],Dyno_Data[RecordType],"Activities", Dyno_Data[DelDest],"Amp")</f>
        <v>0</v>
      </c>
      <c r="AY37" s="60">
        <f>IFERROR(SUM((TBA_Matches_All[[#This Row],[AampT]]+TBA_Matches_All[[#This Row],[TampT]])/(TBA_Matches_All[[#This Row],[AampT]]+TBA_Matches_All[[#This Row],[TampT]]+TBA_Matches_All[[#This Row],[ampM]])),0)</f>
        <v>0</v>
      </c>
      <c r="AZ37">
        <f>SUMIFS(Dyno_Data[DelMiss], Dyno_Data[Team],TBA_Matches_All[[#This Row],[Team]],Dyno_Data[Match],TBA_Matches_All[[#This Row],[Match_Number]],Dyno_Data[RecordType],"Activities", Dyno_Data[DelDest],"Spkr")</f>
        <v>0</v>
      </c>
      <c r="BA37" s="60">
        <f>IFERROR(SUM((TBA_Matches_All[[#This Row],[AspkrT]]+TBA_Matches_All[[#This Row],[TspkrT]])/(TBA_Matches_All[[#This Row],[AspkrT]]+TBA_Matches_All[[#This Row],[TspkrT]]+TBA_Matches_All[[#This Row],[spkrM]])),0)</f>
        <v>1</v>
      </c>
      <c r="BB37">
        <f>SUMIFS(Dyno_Data[DelMiss], Dyno_Data[Team],TBA_Matches_All[[#This Row],[Team]],Dyno_Data[Match],TBA_Matches_All[[#This Row],[Match_Number]],Dyno_Data[RecordType],"Activities", Dyno_Data[DelDest],"Trap")</f>
        <v>0</v>
      </c>
      <c r="BC37" s="60">
        <f>IFERROR((TBA_Matches_All[[#This Row],[AtrapT]]+TBA_Matches_All[[#This Row],[TtrapT]])/(TBA_Matches_All[[#This Row],[AtrapT]]+TBA_Matches_All[[#This Row],[TtrapT]]+TBA_Matches_All[[#This Row],[trapM]]),0)</f>
        <v>0</v>
      </c>
      <c r="BD37">
        <f>COUNTIFS(Dyno_Data[Team],TBA_Matches_All[[#This Row],[Team]],Dyno_Data[Match],TBA_Matches_All[[#This Row],[Match_Number]],Dyno_Data[RecordType],"Activities",Dyno_Data[DelDest],"Neut", Dyno_Data[DelMiss],1)</f>
        <v>0</v>
      </c>
      <c r="BE37" s="60">
        <f>IFERROR(SUM((TBA_Matches_All[[#This Row],[NeutFlrT]])/(TBA_Matches_All[[#This Row],[NeutFlrT]]+TBA_Matches_All[[#This Row],[NZflM]])),0)</f>
        <v>0</v>
      </c>
      <c r="BF37">
        <f>COUNTIFS(Dyno_Data[Team],TBA_Matches_All[[#This Row],[Team]],Dyno_Data[Match],TBA_Matches_All[[#This Row],[Match_Number]],Dyno_Data[RecordType],"Activities",Dyno_Data[DelDest],"AllyW", Dyno_Data[DelMiss],1)</f>
        <v>0</v>
      </c>
      <c r="BG37" s="60">
        <f>IFERROR(SUM((TBA_Matches_All[[#This Row],[AllyWFlrT]])/(TBA_Matches_All[[#This Row],[AllyWFlrT]]+TBA_Matches_All[[#This Row],[AZflM]])),0)</f>
        <v>0</v>
      </c>
      <c r="BH37">
        <f>COUNTIFS(Dyno_Data[Team],TBA_Matches_All[[#This Row],[Team]],Dyno_Data[Match],TBA_Matches_All[[#This Row],[Match_Number]],Dyno_Data[RecordType],"Activities",Dyno_Data[DelOrig],"OppW", Dyno_Data[DelMiss],"0")</f>
        <v>0</v>
      </c>
      <c r="BI37">
        <f>COUNTIFS(Dyno_Data[Team],TBA_Matches_All[[#This Row],[Team]],Dyno_Data[Match],TBA_Matches_All[[#This Row],[Match_Number]],Dyno_Data[RecordType],"Activities",Dyno_Data[DelOrig],"OppW", Dyno_Data[DelMiss],"1")</f>
        <v>0</v>
      </c>
      <c r="BJ37" s="60">
        <f>IFERROR(SUM((TBA_Matches_All[[#This Row],[OZflrT]])/(TBA_Matches_All[[#This Row],[OZflrT]]+TBA_Matches_All[[#This Row],[OZflrM]])),0)</f>
        <v>0</v>
      </c>
      <c r="BK37">
        <f>COUNTIFS(Dyno_Data[Team],TBA_Matches_All[[#This Row],[Team]],Dyno_Data[Match],TBA_Matches_All[[#This Row],[Match_Number]],Dyno_Data[RecordType],"Activities",Dyno_Data[DelOrig],"Neut", Dyno_Data[DelMiss],"0")</f>
        <v>0</v>
      </c>
      <c r="BL37">
        <f>COUNTIFS(Dyno_Data[Team],TBA_Matches_All[[#This Row],[Team]],Dyno_Data[Match],TBA_Matches_All[[#This Row],[Match_Number]],Dyno_Data[RecordType],"Activities",Dyno_Data[DelOrig],"Neut", Dyno_Data[DelMiss],"1")</f>
        <v>0</v>
      </c>
      <c r="BM37" s="60">
        <f>IFERROR(SUM((TBA_Matches_All[[#This Row],[NZflrT]])/(TBA_Matches_All[[#This Row],[NZflrT]]+TBA_Matches_All[[#This Row],[NZflrM]])),0)</f>
        <v>0</v>
      </c>
      <c r="BN37">
        <f>COUNTIFS(Dyno_Data[Team],TBA_Matches_All[[#This Row],[Team]],Dyno_Data[Match],TBA_Matches_All[[#This Row],[Match_Number]],Dyno_Data[RecordType],"Activities",Dyno_Data[DelOrig],"AllyW", Dyno_Data[DelMiss],"0")</f>
        <v>1</v>
      </c>
      <c r="BO37">
        <f>COUNTIFS(Dyno_Data[Team],TBA_Matches_All[[#This Row],[Team]],Dyno_Data[Match],TBA_Matches_All[[#This Row],[Match_Number]],Dyno_Data[RecordType],"Activities",Dyno_Data[DelOrig],"AllyW", Dyno_Data[DelMiss],"1")</f>
        <v>0</v>
      </c>
      <c r="BP37" s="60">
        <f>IFERROR(SUM((TBA_Matches_All[[#This Row],[AZflrT]])/(TBA_Matches_All[[#This Row],[AZflrT]]+TBA_Matches_All[[#This Row],[AZflrM]])),0)</f>
        <v>1</v>
      </c>
      <c r="BQ37">
        <f>COUNTIFS(Dyno_Data[Team],TBA_Matches_All[[#This Row],[Team]],Dyno_Data[Match],TBA_Matches_All[[#This Row],[Match_Number]],Dyno_Data[RecordType],"Activities",Dyno_Data[DelOrig],"SubW", Dyno_Data[DelMiss],"0")</f>
        <v>4</v>
      </c>
      <c r="BR37">
        <f>COUNTIFS(Dyno_Data[Team],TBA_Matches_All[[#This Row],[Team]],Dyno_Data[Match],TBA_Matches_All[[#This Row],[Match_Number]],Dyno_Data[RecordType],"Activities",Dyno_Data[DelOrig],"SubW", Dyno_Data[DelMiss],"1")</f>
        <v>0</v>
      </c>
      <c r="BS37" s="60">
        <f>IFERROR(SUM((TBA_Matches_All[[#This Row],[SubwT]])/(TBA_Matches_All[[#This Row],[SubwT]]+TBA_Matches_All[[#This Row],[SubwM]])),0)</f>
        <v>1</v>
      </c>
      <c r="BT37">
        <f>COUNTIFS(Dyno_Data[Team],TBA_Matches_All[[#This Row],[Team]],Dyno_Data[Match],TBA_Matches_All[[#This Row],[Match_Number]],Dyno_Data[RecordType],"Activities", Dyno_Data[AcqLoc],"OppWing")</f>
        <v>0</v>
      </c>
      <c r="BU37">
        <f>COUNTIFS(Dyno_Data[Team],TBA_Matches_All[[#This Row],[Team]],Dyno_Data[Match],TBA_Matches_All[[#This Row],[Match_Number]],Dyno_Data[RecordType],"Activities", Dyno_Data[AcqLoc],"Neutral")</f>
        <v>0</v>
      </c>
      <c r="BV37">
        <f>COUNTIFS(Dyno_Data[Team],TBA_Matches_All[[#This Row],[Team]],Dyno_Data[Match],TBA_Matches_All[[#This Row],[Match_Number]],Dyno_Data[RecordType],"Activities", Dyno_Data[AcqLoc],"AllyWing")</f>
        <v>0</v>
      </c>
      <c r="BW37">
        <f>COUNTIFS(Dyno_Data[Team],TBA_Matches_All[[#This Row],[Team]],Dyno_Data[Match],TBA_Matches_All[[#This Row],[Match_Number]],Dyno_Data[RecordType],"Activities", Dyno_Data[AcqLoc],"Source")</f>
        <v>0</v>
      </c>
      <c r="BX37">
        <f>SUMIFS(Dyno_Data[AcqDrp], Dyno_Data[Team],TBA_Matches_All[[#This Row],[Team]],Dyno_Data[Match],TBA_Matches_All[[#This Row],[Match_Number]],Dyno_Data[RecordType],"Activities", Dyno_Data[AcqLoc],"Source")</f>
        <v>0</v>
      </c>
      <c r="BY37">
        <f>SUMIFS(Dyno_Data[OZTime], Dyno_Data[Team],TBA_Matches_All[[#This Row],[Team]],Dyno_Data[Match],TBA_Matches_All[[#This Row],[Match_Number]],Dyno_Data[RecordType],"EndMatch")</f>
        <v>28.895088899999998</v>
      </c>
      <c r="BZ37">
        <f>SUMIFS(Dyno_Data[NZTime], Dyno_Data[Team],TBA_Matches_All[[#This Row],[Team]],Dyno_Data[Match],TBA_Matches_All[[#This Row],[Match_Number]],Dyno_Data[RecordType],"EndMatch")</f>
        <v>31.096642899999999</v>
      </c>
      <c r="CA37">
        <f>SUMIFS(Dyno_Data[AZTime], Dyno_Data[Team],TBA_Matches_All[[#This Row],[Team]],Dyno_Data[Match],TBA_Matches_All[[#This Row],[Match_Number]],Dyno_Data[RecordType],"EndMatch")</f>
        <v>75.71201409999999</v>
      </c>
      <c r="CB37">
        <f>SUMIFS(Dyno_Data[ClimbT], Dyno_Data[Team],TBA_Matches_All[[#This Row],[Team]],Dyno_Data[Match],TBA_Matches_All[[#This Row],[Match_Number]],Dyno_Data[RecordType],"EndMatch")</f>
        <v>0</v>
      </c>
      <c r="CC37" t="str">
        <f>_xlfn.XLOOKUP(SUM(MID(TBA_Matches_All[[#This Row],[Team]],4,5),(TBA_Matches_All[[#This Row],[Match_Number]]/100)),Dyno_EndMatch[teammat],Dyno_EndMatch[StageStat],"_",0,1)</f>
        <v>Park</v>
      </c>
      <c r="CD37" t="str">
        <f>_xlfn.XLOOKUP(TBA_Matches_All[[#This Row],[teammat]],Dyno_EndMatch[teammat],Dyno_EndMatch[StageAtt],"_",0,1)</f>
        <v>0</v>
      </c>
      <c r="CE37" t="str">
        <f>_xlfn.XLOOKUP(TBA_Matches_All[[#This Row],[teammat]],Dyno_EndMatch[teammat],Dyno_EndMatch[StageLoc],"_",0,1)</f>
        <v>A</v>
      </c>
      <c r="CF37">
        <f>SUMIFS(Dyno_Data[Harmony], Dyno_Data[Team],TBA_Matches_All[[#This Row],[Team]],Dyno_Data[Match],TBA_Matches_All[[#This Row],[Match_Number]],Dyno_Data[RecordType],"EndMatch", Dyno_Data[StageStat],"On",Dyno_Data[Harmony],"&lt;&gt;9")</f>
        <v>0</v>
      </c>
      <c r="CG37">
        <f>SUMIFS(Dyno_Data[Spotlit], Dyno_Data[Team],TBA_Matches_All[[#This Row],[Team]],Dyno_Data[Match],TBA_Matches_All[[#This Row],[Match_Number]],Dyno_Data[RecordType],"EndMatch", Dyno_Data[StageStat],"On",Dyno_Data[Spotlit],"&lt;&gt;9")</f>
        <v>0</v>
      </c>
      <c r="CH37" t="str">
        <f>_xlfn.XLOOKUP(TBA_Matches_All[[#This Row],[teammat]],Dyno_EndMatch[teammat],Dyno_EndMatch[Strategy],"_",0,1)</f>
        <v>Hybrid</v>
      </c>
      <c r="CI37">
        <f>SUMIFS(Dyno_Data[Defense], Dyno_Data[Team],TBA_Matches_All[[#This Row],[Team]],Dyno_Data[Match],TBA_Matches_All[[#This Row],[Match_Number]],Dyno_Data[RecordType],"EndMatch",Dyno_Data[Defense],"&lt;&gt;9")</f>
        <v>0</v>
      </c>
      <c r="CJ37">
        <f>SUMIFS(Dyno_Data[Avoidance], Dyno_Data[Team],TBA_Matches_All[[#This Row],[Team]],Dyno_Data[Match],TBA_Matches_All[[#This Row],[Match_Number]],Dyno_Data[RecordType],"EndMatch",Dyno_Data[Avoidance],"&lt;&gt;9")</f>
        <v>0</v>
      </c>
      <c r="CK37" s="82">
        <f>COUNTIF($H$2:TBA_Matches_All[[#This Row],[Team]],TBA_Matches_All[[#This Row],[Team]])</f>
        <v>1</v>
      </c>
      <c r="CL37" s="111">
        <f>SUM(MID(TBA_Matches_All[[#This Row],[Team]],4,5)+TBA_Matches_All[[#This Row],[Match_Number]]/100)</f>
        <v>7504.06</v>
      </c>
      <c r="CM37">
        <f>SUM((TBA_Matches_All[[#This Row],[Leave]]*2)+(TBA_Matches_All[[#This Row],[AampT]]*2)+(TBA_Matches_All[[#This Row],[AspkrT]]*5)+(TBA_Matches_All[[#This Row],[AtrapT]]*5))</f>
        <v>7</v>
      </c>
      <c r="CN37" s="59">
        <f>IFERROR(SUM(TBA_Matches_All[[#This Row],[AptsT]]/TBA_Matches_All[[#This Row],[AutoPts]]),0)</f>
        <v>0.2413793103448276</v>
      </c>
      <c r="CO37" s="59">
        <f>IFERROR(SUM(TBA_Matches_All[[#This Row],[AampT]]+TBA_Matches_All[[#This Row],[AspkrT]]+TBA_Matches_All[[#This Row],[AtrapT]]/TBA_Matches_All[[#This Row],[Aamp]]+TBA_Matches_All[[#This Row],[Aspkr]]+TBA_Matches_All[[#This Row],[AtrapT]]),0)</f>
        <v>0</v>
      </c>
      <c r="CP37" s="59">
        <f>IFERROR(SUM(TBA_Matches_All[[#This Row],[TampT]]/TBA_Matches_All[[#This Row],[Tamp]]),0)</f>
        <v>0</v>
      </c>
      <c r="CQ37" s="59">
        <f>IFERROR(SUM(TBA_Matches_All[[#This Row],[TspkrT]]/TBA_Matches_All[[#This Row],[Tspkr]]),0)</f>
        <v>0.2857142857142857</v>
      </c>
      <c r="CR37">
        <f>SUM(TBA_Matches_All[[#This Row],[TspkrPts]]*TBA_Matches_All[[#This Row],[TspkrP]])</f>
        <v>12.285714285714285</v>
      </c>
      <c r="CS37" s="59">
        <f>IFERROR(SUM(TBA_Matches_All[[#This Row],[TtrapT]]/TBA_Matches_All[[#This Row],[Trap]]),0)</f>
        <v>0</v>
      </c>
      <c r="CT37" s="59">
        <f>IFERROR(SUM(TBA_Matches_All[[#This Row],[TotNotesT]]/TBA_Matches_All[[#This Row],[TotNotes]]),0)</f>
        <v>0.20833333333333334</v>
      </c>
      <c r="CU37" s="66">
        <f>SUM((TBA_Matches_All[[#This Row],[AampT]]*2)+(TBA_Matches_All[[#This Row],[AspkrT]]*5)+(TBA_Matches_All[[#This Row],[AtrapT]]*5)+(TBA_Matches_All[[#This Row],[TampT]]*1)+(TBA_Matches_All[[#This Row],[TspkrptsC]]))</f>
        <v>17.285714285714285</v>
      </c>
      <c r="CV37" s="59">
        <f>IFERROR(TBA_Matches_All[[#This Row],[noteptsT]]/TBA_Matches_All[[#This Row],[NotePts]],0)</f>
        <v>0.23679060665362034</v>
      </c>
      <c r="CW37">
        <f>SUM(IF(TBA_Matches_All[[#This Row],[stageStat]]="On",3,0),IF(TBA_Matches_All[[#This Row],[stageStat]]="Park",1,0),SUMIFS(TBA_Matches_All[[#This Row],[Spotlit]],TBA_Matches_All[[#This Row],[stageStat]],"On"),SUMIFS(TBA_Matches_All[[#This Row],[Harmony]],TBA_Matches_All[[#This Row],[stageStat]],"On"))</f>
        <v>1</v>
      </c>
      <c r="CX37" s="59">
        <f>IFERROR(TBA_Matches_All[[#This Row],[stageptsT]]/TBA_Matches_All[[#This Row],[StagePts]],0)</f>
        <v>0.33333333333333331</v>
      </c>
      <c r="CY37">
        <f>SUM((TBA_Matches_All[[#This Row],[AptsT]]+TBA_Matches_All[[#This Row],[TampT]]+TBA_Matches_All[[#This Row],[TspkrptsC]]+(TBA_Matches_All[[#This Row],[TtrapT]]*5)+TBA_Matches_All[[#This Row],[stageptsT]]))</f>
        <v>20.285714285714285</v>
      </c>
      <c r="CZ37" s="59">
        <f>IFERROR(SUM(TBA_Matches_All[[#This Row],[TotptsC]]/TBA_Matches_All[[#This Row],[Score]]),0)</f>
        <v>0.22539682539682537</v>
      </c>
      <c r="DA3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8.4375</v>
      </c>
      <c r="DB37" s="74">
        <f>SUMIFS(TBA_Matches_All[AveTeamTNoteDels],TBA_Matches_All[Match_Number],TBA_Matches_All[[#This Row],[Match_Number]],TBA_Matches_All[Alliance],"&lt;&gt;"&amp;TBA_Matches_All[[#This Row],[Alliance]],TBA_Matches_All[Scouted],"&gt;0")</f>
        <v>30.37781052281052</v>
      </c>
      <c r="DC37" s="74">
        <f>(TBA_Matches_All[[#This Row],[TampT]]+TBA_Matches_All[[#This Row],[TspkrptsC]])-TBA_Matches_All[[#This Row],[AveTeamTNoteDels]]</f>
        <v>3.8482142857142847</v>
      </c>
      <c r="DD37" s="74">
        <f>SUMIFS(TBA_Matches_All[AveTeamTNoteDels],TBA_Matches_All[Match_Number],TBA_Matches_All[[#This Row],[Match_Number]],TBA_Matches_All[Alliance],"&lt;&gt;"&amp;TBA_Matches_All[[#This Row],[Alliance]])-TBA_Matches_All[[#This Row],[AveOppTNoteDels]]</f>
        <v>0</v>
      </c>
    </row>
    <row r="38" spans="1:108" x14ac:dyDescent="0.3">
      <c r="A38" t="s">
        <v>1042</v>
      </c>
      <c r="B38" t="s">
        <v>489</v>
      </c>
      <c r="C38" t="s">
        <v>1304</v>
      </c>
      <c r="D38">
        <v>6</v>
      </c>
      <c r="E38" t="s">
        <v>1406</v>
      </c>
      <c r="F38" t="s">
        <v>1424</v>
      </c>
      <c r="G38" t="s">
        <v>1409</v>
      </c>
      <c r="H38" t="s">
        <v>1306</v>
      </c>
      <c r="I38" t="b">
        <v>1</v>
      </c>
      <c r="J38">
        <v>62</v>
      </c>
      <c r="K38">
        <v>1</v>
      </c>
      <c r="L38">
        <v>0</v>
      </c>
      <c r="M38">
        <v>10</v>
      </c>
      <c r="N38">
        <v>0</v>
      </c>
      <c r="O38">
        <v>3</v>
      </c>
      <c r="P38">
        <v>15</v>
      </c>
      <c r="Q38">
        <v>19</v>
      </c>
      <c r="R38">
        <v>3</v>
      </c>
      <c r="S38">
        <v>2</v>
      </c>
      <c r="T38">
        <v>10</v>
      </c>
      <c r="U38">
        <v>10</v>
      </c>
      <c r="V38">
        <v>20</v>
      </c>
      <c r="W38">
        <v>12</v>
      </c>
      <c r="X38">
        <v>30</v>
      </c>
      <c r="Y38">
        <v>33</v>
      </c>
      <c r="Z38">
        <v>0</v>
      </c>
      <c r="AA38">
        <v>0</v>
      </c>
      <c r="AB38">
        <v>18</v>
      </c>
      <c r="AC38">
        <v>48</v>
      </c>
      <c r="AD38">
        <v>5</v>
      </c>
      <c r="AE38">
        <f>IFERROR(6/(COUNTIF(Dyno_EndMatch[Match],TBA_Matches_All[[#This Row],[Match_Number]])),0)</f>
        <v>1</v>
      </c>
      <c r="AF38">
        <f>COUNTIFS(Dyno_Data[Team],TBA_Matches_All[[#This Row],[Team]],Dyno_Data[Match],TBA_Matches_All[[#This Row],[Match_Number]],Dyno_Data[RecordType],"EndMatch",Dyno_Data[HPAmp],"Y")</f>
        <v>1</v>
      </c>
      <c r="AG38">
        <f>SUMIFS(Dyno_Data[Mics], Dyno_Data[Team],TBA_Matches_All[[#This Row],[Team]],Dyno_Data[Match],TBA_Matches_All[[#This Row],[Match_Number]],Dyno_Data[RecordType],"EndMatch",Dyno_Data[HPAmp],"Y")</f>
        <v>1</v>
      </c>
      <c r="AH38">
        <f>SUMIFS(Dyno_Data[Leave], Dyno_Data[Team],TBA_Matches_All[[#This Row],[Team]],Dyno_Data[Match],TBA_Matches_All[[#This Row],[Match_Number]],Dyno_Data[RecordType],"EndAuto")</f>
        <v>1</v>
      </c>
      <c r="AI38">
        <f>COUNTIFS(Dyno_Data[Team],TBA_Matches_All[[#This Row],[Team]],Dyno_Data[Match],TBA_Matches_All[[#This Row],[Match_Number]],Dyno_Data[RecordType],"Activities",Dyno_Data[DelDest],"Amp", Dyno_Data[DelMiss],"0", Dyno_Data[Mode],"Auto")</f>
        <v>0</v>
      </c>
      <c r="AJ38">
        <f>COUNTIFS(Dyno_Data[Team],TBA_Matches_All[[#This Row],[Team]],Dyno_Data[Match],TBA_Matches_All[[#This Row],[Match_Number]],Dyno_Data[RecordType],"Activities",Dyno_Data[DelDest],"Spkr", Dyno_Data[DelMiss],"0", Dyno_Data[Mode],"Auto")</f>
        <v>0</v>
      </c>
      <c r="AK38">
        <f>COUNTIFS(Dyno_Data[Team],TBA_Matches_All[[#This Row],[Team]],Dyno_Data[Match],TBA_Matches_All[[#This Row],[Match_Number]],Dyno_Data[RecordType],"Activities",Dyno_Data[DelDest],"Trap", Dyno_Data[DelMiss],"0", Dyno_Data[Mode],"Auto")</f>
        <v>0</v>
      </c>
      <c r="AL38">
        <f>COUNTIFS(Dyno_Data[Team],TBA_Matches_All[[#This Row],[Team]],Dyno_Data[Match],TBA_Matches_All[[#This Row],[Match_Number]],Dyno_Data[RecordType],"Activities",Dyno_Data[DelDest],"Amp", Dyno_Data[DelMiss],"0", Dyno_Data[Mode],"Teleop")</f>
        <v>0</v>
      </c>
      <c r="AM38">
        <f>COUNTIFS(Dyno_Data[Team],TBA_Matches_All[[#This Row],[Team]],Dyno_Data[Match],TBA_Matches_All[[#This Row],[Match_Number]],Dyno_Data[RecordType],"Activities",Dyno_Data[DelDest],"Spkr", Dyno_Data[DelMiss],"0", Dyno_Data[Mode],"Teleop")</f>
        <v>2</v>
      </c>
      <c r="AN38">
        <f>COUNTIFS(Dyno_Data[Team],TBA_Matches_All[[#This Row],[Team]],Dyno_Data[Match],TBA_Matches_All[[#This Row],[Match_Number]],Dyno_Data[RecordType],"Activities",Dyno_Data[DelDest],"Trap", Dyno_Data[DelMiss],"0", Dyno_Data[Mode],"&lt;&gt;Auto")</f>
        <v>0</v>
      </c>
      <c r="AO38">
        <f>SUM(TBA_Matches_All[[#This Row],[AampT]]+TBA_Matches_All[[#This Row],[AspkrT]]+TBA_Matches_All[[#This Row],[AtrapT]]+TBA_Matches_All[[#This Row],[TampT]]+TBA_Matches_All[[#This Row],[TspkrT]]+TBA_Matches_All[[#This Row],[TtrapT]])</f>
        <v>2</v>
      </c>
      <c r="AP38">
        <f>COUNTIFS(Dyno_Data[Team],TBA_Matches_All[[#This Row],[Team]],Dyno_Data[Match],TBA_Matches_All[[#This Row],[Match_Number]],Dyno_Data[RecordType],"Activities",Dyno_Data[DelDest],"Neut", Dyno_Data[DelMiss],"0")</f>
        <v>0</v>
      </c>
      <c r="AQ38">
        <f>COUNTIFS(Dyno_Data[Team],TBA_Matches_All[[#This Row],[Team]],Dyno_Data[Match],TBA_Matches_All[[#This Row],[Match_Number]],Dyno_Data[RecordType],"Activities",Dyno_Data[DelDest],"AllyW", Dyno_Data[DelMiss],"0")</f>
        <v>9</v>
      </c>
      <c r="AR38" t="str">
        <f>_xlfn.XLOOKUP(SUM(MID(TBA_Matches_All[[#This Row],[Team]],4,5),(TBA_Matches_All[[#This Row],[Match_Number]]/100)),Dyno_EndMatch[teammat],Dyno_EndMatch[RobotSta],"_",0,1)</f>
        <v>OppS</v>
      </c>
      <c r="AS38">
        <f>SUMIFS(Dyno_Data[AcqDis], Dyno_Data[Team],TBA_Matches_All[[#This Row],[Team]],Dyno_Data[Match],TBA_Matches_All[[#This Row],[Match_Number]],Dyno_Data[RecordType],"Activities", Dyno_Data[AcqCenter],1,Dyno_Data[Mode],"Auto")</f>
        <v>0</v>
      </c>
      <c r="AT38">
        <f>SUMIFS(Dyno_Data[AcqDis], Dyno_Data[Team],TBA_Matches_All[[#This Row],[Team]],Dyno_Data[Match],TBA_Matches_All[[#This Row],[Match_Number]],Dyno_Data[RecordType],"Activities", Dyno_Data[AcqCenter],2,Dyno_Data[Mode],"Auto")</f>
        <v>2</v>
      </c>
      <c r="AU38">
        <f>SUMIFS(Dyno_Data[AcqDis], Dyno_Data[Team],TBA_Matches_All[[#This Row],[Team]],Dyno_Data[Match],TBA_Matches_All[[#This Row],[Match_Number]],Dyno_Data[RecordType],"Activities", Dyno_Data[AcqCenter],3,Dyno_Data[Mode],"Auto")</f>
        <v>-1</v>
      </c>
      <c r="AV38">
        <f>SUMIFS(Dyno_Data[AcqDis], Dyno_Data[Team],TBA_Matches_All[[#This Row],[Team]],Dyno_Data[Match],TBA_Matches_All[[#This Row],[Match_Number]],Dyno_Data[RecordType],"Activities", Dyno_Data[AcqCenter],4,Dyno_Data[Mode],"Auto")</f>
        <v>0</v>
      </c>
      <c r="AW38">
        <f>SUMIFS(Dyno_Data[AcqDis], Dyno_Data[Team],TBA_Matches_All[[#This Row],[Team]],Dyno_Data[Match],TBA_Matches_All[[#This Row],[Match_Number]],Dyno_Data[RecordType],"Activities", Dyno_Data[AcqCenter],5,Dyno_Data[Mode],"Auto")</f>
        <v>0</v>
      </c>
      <c r="AX38">
        <f>SUMIFS(Dyno_Data[DelMiss], Dyno_Data[Team],TBA_Matches_All[[#This Row],[Team]],Dyno_Data[Match],TBA_Matches_All[[#This Row],[Match_Number]],Dyno_Data[RecordType],"Activities", Dyno_Data[DelDest],"Amp")</f>
        <v>0</v>
      </c>
      <c r="AY38" s="60">
        <f>IFERROR(SUM((TBA_Matches_All[[#This Row],[AampT]]+TBA_Matches_All[[#This Row],[TampT]])/(TBA_Matches_All[[#This Row],[AampT]]+TBA_Matches_All[[#This Row],[TampT]]+TBA_Matches_All[[#This Row],[ampM]])),0)</f>
        <v>0</v>
      </c>
      <c r="AZ38">
        <f>SUMIFS(Dyno_Data[DelMiss], Dyno_Data[Team],TBA_Matches_All[[#This Row],[Team]],Dyno_Data[Match],TBA_Matches_All[[#This Row],[Match_Number]],Dyno_Data[RecordType],"Activities", Dyno_Data[DelDest],"Spkr")</f>
        <v>2</v>
      </c>
      <c r="BA38" s="60">
        <f>IFERROR(SUM((TBA_Matches_All[[#This Row],[AspkrT]]+TBA_Matches_All[[#This Row],[TspkrT]])/(TBA_Matches_All[[#This Row],[AspkrT]]+TBA_Matches_All[[#This Row],[TspkrT]]+TBA_Matches_All[[#This Row],[spkrM]])),0)</f>
        <v>0.5</v>
      </c>
      <c r="BB38">
        <f>SUMIFS(Dyno_Data[DelMiss], Dyno_Data[Team],TBA_Matches_All[[#This Row],[Team]],Dyno_Data[Match],TBA_Matches_All[[#This Row],[Match_Number]],Dyno_Data[RecordType],"Activities", Dyno_Data[DelDest],"Trap")</f>
        <v>0</v>
      </c>
      <c r="BC38" s="60">
        <f>IFERROR((TBA_Matches_All[[#This Row],[AtrapT]]+TBA_Matches_All[[#This Row],[TtrapT]])/(TBA_Matches_All[[#This Row],[AtrapT]]+TBA_Matches_All[[#This Row],[TtrapT]]+TBA_Matches_All[[#This Row],[trapM]]),0)</f>
        <v>0</v>
      </c>
      <c r="BD38">
        <f>COUNTIFS(Dyno_Data[Team],TBA_Matches_All[[#This Row],[Team]],Dyno_Data[Match],TBA_Matches_All[[#This Row],[Match_Number]],Dyno_Data[RecordType],"Activities",Dyno_Data[DelDest],"Neut", Dyno_Data[DelMiss],1)</f>
        <v>0</v>
      </c>
      <c r="BE38" s="60">
        <f>IFERROR(SUM((TBA_Matches_All[[#This Row],[NeutFlrT]])/(TBA_Matches_All[[#This Row],[NeutFlrT]]+TBA_Matches_All[[#This Row],[NZflM]])),0)</f>
        <v>0</v>
      </c>
      <c r="BF38">
        <f>COUNTIFS(Dyno_Data[Team],TBA_Matches_All[[#This Row],[Team]],Dyno_Data[Match],TBA_Matches_All[[#This Row],[Match_Number]],Dyno_Data[RecordType],"Activities",Dyno_Data[DelDest],"AllyW", Dyno_Data[DelMiss],1)</f>
        <v>0</v>
      </c>
      <c r="BG38" s="60">
        <f>IFERROR(SUM((TBA_Matches_All[[#This Row],[AllyWFlrT]])/(TBA_Matches_All[[#This Row],[AllyWFlrT]]+TBA_Matches_All[[#This Row],[AZflM]])),0)</f>
        <v>1</v>
      </c>
      <c r="BH38">
        <f>COUNTIFS(Dyno_Data[Team],TBA_Matches_All[[#This Row],[Team]],Dyno_Data[Match],TBA_Matches_All[[#This Row],[Match_Number]],Dyno_Data[RecordType],"Activities",Dyno_Data[DelOrig],"OppW", Dyno_Data[DelMiss],"0")</f>
        <v>0</v>
      </c>
      <c r="BI38">
        <f>COUNTIFS(Dyno_Data[Team],TBA_Matches_All[[#This Row],[Team]],Dyno_Data[Match],TBA_Matches_All[[#This Row],[Match_Number]],Dyno_Data[RecordType],"Activities",Dyno_Data[DelOrig],"OppW", Dyno_Data[DelMiss],"1")</f>
        <v>0</v>
      </c>
      <c r="BJ38" s="60">
        <f>IFERROR(SUM((TBA_Matches_All[[#This Row],[OZflrT]])/(TBA_Matches_All[[#This Row],[OZflrT]]+TBA_Matches_All[[#This Row],[OZflrM]])),0)</f>
        <v>0</v>
      </c>
      <c r="BK38">
        <f>COUNTIFS(Dyno_Data[Team],TBA_Matches_All[[#This Row],[Team]],Dyno_Data[Match],TBA_Matches_All[[#This Row],[Match_Number]],Dyno_Data[RecordType],"Activities",Dyno_Data[DelOrig],"Neut", Dyno_Data[DelMiss],"0")</f>
        <v>8</v>
      </c>
      <c r="BL38">
        <f>COUNTIFS(Dyno_Data[Team],TBA_Matches_All[[#This Row],[Team]],Dyno_Data[Match],TBA_Matches_All[[#This Row],[Match_Number]],Dyno_Data[RecordType],"Activities",Dyno_Data[DelOrig],"Neut", Dyno_Data[DelMiss],"1")</f>
        <v>0</v>
      </c>
      <c r="BM38" s="60">
        <f>IFERROR(SUM((TBA_Matches_All[[#This Row],[NZflrT]])/(TBA_Matches_All[[#This Row],[NZflrT]]+TBA_Matches_All[[#This Row],[NZflrM]])),0)</f>
        <v>1</v>
      </c>
      <c r="BN38">
        <f>COUNTIFS(Dyno_Data[Team],TBA_Matches_All[[#This Row],[Team]],Dyno_Data[Match],TBA_Matches_All[[#This Row],[Match_Number]],Dyno_Data[RecordType],"Activities",Dyno_Data[DelOrig],"AllyW", Dyno_Data[DelMiss],"0")</f>
        <v>3</v>
      </c>
      <c r="BO38">
        <f>COUNTIFS(Dyno_Data[Team],TBA_Matches_All[[#This Row],[Team]],Dyno_Data[Match],TBA_Matches_All[[#This Row],[Match_Number]],Dyno_Data[RecordType],"Activities",Dyno_Data[DelOrig],"AllyW", Dyno_Data[DelMiss],"1")</f>
        <v>2</v>
      </c>
      <c r="BP38" s="60">
        <f>IFERROR(SUM((TBA_Matches_All[[#This Row],[AZflrT]])/(TBA_Matches_All[[#This Row],[AZflrT]]+TBA_Matches_All[[#This Row],[AZflrM]])),0)</f>
        <v>0.6</v>
      </c>
      <c r="BQ38">
        <f>COUNTIFS(Dyno_Data[Team],TBA_Matches_All[[#This Row],[Team]],Dyno_Data[Match],TBA_Matches_All[[#This Row],[Match_Number]],Dyno_Data[RecordType],"Activities",Dyno_Data[DelOrig],"SubW", Dyno_Data[DelMiss],"0")</f>
        <v>0</v>
      </c>
      <c r="BR38">
        <f>COUNTIFS(Dyno_Data[Team],TBA_Matches_All[[#This Row],[Team]],Dyno_Data[Match],TBA_Matches_All[[#This Row],[Match_Number]],Dyno_Data[RecordType],"Activities",Dyno_Data[DelOrig],"SubW", Dyno_Data[DelMiss],"1")</f>
        <v>0</v>
      </c>
      <c r="BS38" s="60">
        <f>IFERROR(SUM((TBA_Matches_All[[#This Row],[SubwT]])/(TBA_Matches_All[[#This Row],[SubwT]]+TBA_Matches_All[[#This Row],[SubwM]])),0)</f>
        <v>0</v>
      </c>
      <c r="BT38">
        <f>COUNTIFS(Dyno_Data[Team],TBA_Matches_All[[#This Row],[Team]],Dyno_Data[Match],TBA_Matches_All[[#This Row],[Match_Number]],Dyno_Data[RecordType],"Activities", Dyno_Data[AcqLoc],"OppWing")</f>
        <v>0</v>
      </c>
      <c r="BU38">
        <f>COUNTIFS(Dyno_Data[Team],TBA_Matches_All[[#This Row],[Team]],Dyno_Data[Match],TBA_Matches_All[[#This Row],[Match_Number]],Dyno_Data[RecordType],"Activities", Dyno_Data[AcqLoc],"Neutral")</f>
        <v>5</v>
      </c>
      <c r="BV38">
        <f>COUNTIFS(Dyno_Data[Team],TBA_Matches_All[[#This Row],[Team]],Dyno_Data[Match],TBA_Matches_All[[#This Row],[Match_Number]],Dyno_Data[RecordType],"Activities", Dyno_Data[AcqLoc],"AllyWing")</f>
        <v>0</v>
      </c>
      <c r="BW38">
        <f>COUNTIFS(Dyno_Data[Team],TBA_Matches_All[[#This Row],[Team]],Dyno_Data[Match],TBA_Matches_All[[#This Row],[Match_Number]],Dyno_Data[RecordType],"Activities", Dyno_Data[AcqLoc],"Source")</f>
        <v>0</v>
      </c>
      <c r="BX38">
        <f>SUMIFS(Dyno_Data[AcqDrp], Dyno_Data[Team],TBA_Matches_All[[#This Row],[Team]],Dyno_Data[Match],TBA_Matches_All[[#This Row],[Match_Number]],Dyno_Data[RecordType],"Activities", Dyno_Data[AcqLoc],"Source")</f>
        <v>0</v>
      </c>
      <c r="BY38">
        <f>SUMIFS(Dyno_Data[OZTime], Dyno_Data[Team],TBA_Matches_All[[#This Row],[Team]],Dyno_Data[Match],TBA_Matches_All[[#This Row],[Match_Number]],Dyno_Data[RecordType],"EndMatch")</f>
        <v>47.343564000000001</v>
      </c>
      <c r="BZ38">
        <f>SUMIFS(Dyno_Data[NZTime], Dyno_Data[Team],TBA_Matches_All[[#This Row],[Team]],Dyno_Data[Match],TBA_Matches_All[[#This Row],[Match_Number]],Dyno_Data[RecordType],"EndMatch")</f>
        <v>45.385948299999995</v>
      </c>
      <c r="CA38">
        <f>SUMIFS(Dyno_Data[AZTime], Dyno_Data[Team],TBA_Matches_All[[#This Row],[Team]],Dyno_Data[Match],TBA_Matches_All[[#This Row],[Match_Number]],Dyno_Data[RecordType],"EndMatch")</f>
        <v>27.096287499999999</v>
      </c>
      <c r="CB38">
        <f>SUMIFS(Dyno_Data[ClimbT], Dyno_Data[Team],TBA_Matches_All[[#This Row],[Team]],Dyno_Data[Match],TBA_Matches_All[[#This Row],[Match_Number]],Dyno_Data[RecordType],"EndMatch")</f>
        <v>8.8138749000000001</v>
      </c>
      <c r="CC38" t="str">
        <f>_xlfn.XLOOKUP(SUM(MID(TBA_Matches_All[[#This Row],[Team]],4,5),(TBA_Matches_All[[#This Row],[Match_Number]]/100)),Dyno_EndMatch[teammat],Dyno_EndMatch[StageStat],"_",0,1)</f>
        <v>On</v>
      </c>
      <c r="CD38" t="str">
        <f>_xlfn.XLOOKUP(TBA_Matches_All[[#This Row],[teammat]],Dyno_EndMatch[teammat],Dyno_EndMatch[StageAtt],"_",0,1)</f>
        <v>1</v>
      </c>
      <c r="CE38" t="str">
        <f>_xlfn.XLOOKUP(TBA_Matches_All[[#This Row],[teammat]],Dyno_EndMatch[teammat],Dyno_EndMatch[StageLoc],"_",0,1)</f>
        <v>R</v>
      </c>
      <c r="CF38">
        <f>SUMIFS(Dyno_Data[Harmony], Dyno_Data[Team],TBA_Matches_All[[#This Row],[Team]],Dyno_Data[Match],TBA_Matches_All[[#This Row],[Match_Number]],Dyno_Data[RecordType],"EndMatch", Dyno_Data[StageStat],"On",Dyno_Data[Harmony],"&lt;&gt;9")</f>
        <v>0</v>
      </c>
      <c r="CG38">
        <f>SUMIFS(Dyno_Data[Spotlit], Dyno_Data[Team],TBA_Matches_All[[#This Row],[Team]],Dyno_Data[Match],TBA_Matches_All[[#This Row],[Match_Number]],Dyno_Data[RecordType],"EndMatch", Dyno_Data[StageStat],"On",Dyno_Data[Spotlit],"&lt;&gt;9")</f>
        <v>1</v>
      </c>
      <c r="CH38" t="str">
        <f>_xlfn.XLOOKUP(TBA_Matches_All[[#This Row],[teammat]],Dyno_EndMatch[teammat],Dyno_EndMatch[Strategy],"_",0,1)</f>
        <v>Mover</v>
      </c>
      <c r="CI38">
        <f>SUMIFS(Dyno_Data[Defense], Dyno_Data[Team],TBA_Matches_All[[#This Row],[Team]],Dyno_Data[Match],TBA_Matches_All[[#This Row],[Match_Number]],Dyno_Data[RecordType],"EndMatch",Dyno_Data[Defense],"&lt;&gt;9")</f>
        <v>0</v>
      </c>
      <c r="CJ38">
        <f>SUMIFS(Dyno_Data[Avoidance], Dyno_Data[Team],TBA_Matches_All[[#This Row],[Team]],Dyno_Data[Match],TBA_Matches_All[[#This Row],[Match_Number]],Dyno_Data[RecordType],"EndMatch",Dyno_Data[Avoidance],"&lt;&gt;9")</f>
        <v>2</v>
      </c>
      <c r="CK38" s="82">
        <f>COUNTIF($H$2:TBA_Matches_All[[#This Row],[Team]],TBA_Matches_All[[#This Row],[Team]])</f>
        <v>1</v>
      </c>
      <c r="CL38" s="111">
        <f>SUM(MID(TBA_Matches_All[[#This Row],[Team]],4,5)+TBA_Matches_All[[#This Row],[Match_Number]]/100)</f>
        <v>3986.06</v>
      </c>
      <c r="CM38">
        <f>SUM((TBA_Matches_All[[#This Row],[Leave]]*2)+(TBA_Matches_All[[#This Row],[AampT]]*2)+(TBA_Matches_All[[#This Row],[AspkrT]]*5)+(TBA_Matches_All[[#This Row],[AtrapT]]*5))</f>
        <v>2</v>
      </c>
      <c r="CN38" s="59">
        <f>IFERROR(SUM(TBA_Matches_All[[#This Row],[AptsT]]/TBA_Matches_All[[#This Row],[AutoPts]]),0)</f>
        <v>0.10526315789473684</v>
      </c>
      <c r="CO38" s="59">
        <f>IFERROR(SUM(TBA_Matches_All[[#This Row],[AampT]]+TBA_Matches_All[[#This Row],[AspkrT]]+TBA_Matches_All[[#This Row],[AtrapT]]/TBA_Matches_All[[#This Row],[Aamp]]+TBA_Matches_All[[#This Row],[Aspkr]]+TBA_Matches_All[[#This Row],[AtrapT]]),0)</f>
        <v>0</v>
      </c>
      <c r="CP38" s="59">
        <f>IFERROR(SUM(TBA_Matches_All[[#This Row],[TampT]]/TBA_Matches_All[[#This Row],[Tamp]]),0)</f>
        <v>0</v>
      </c>
      <c r="CQ38" s="59">
        <f>IFERROR(SUM(TBA_Matches_All[[#This Row],[TspkrT]]/TBA_Matches_All[[#This Row],[Tspkr]]),0)</f>
        <v>0.16666666666666666</v>
      </c>
      <c r="CR38">
        <f>SUM(TBA_Matches_All[[#This Row],[TspkrPts]]*TBA_Matches_All[[#This Row],[TspkrP]])</f>
        <v>5</v>
      </c>
      <c r="CS38" s="59">
        <f>IFERROR(SUM(TBA_Matches_All[[#This Row],[TtrapT]]/TBA_Matches_All[[#This Row],[Trap]]),0)</f>
        <v>0</v>
      </c>
      <c r="CT38" s="59">
        <f>IFERROR(SUM(TBA_Matches_All[[#This Row],[TotNotesT]]/TBA_Matches_All[[#This Row],[TotNotes]]),0)</f>
        <v>0.1111111111111111</v>
      </c>
      <c r="CU38" s="66">
        <f>SUM((TBA_Matches_All[[#This Row],[AampT]]*2)+(TBA_Matches_All[[#This Row],[AspkrT]]*5)+(TBA_Matches_All[[#This Row],[AtrapT]]*5)+(TBA_Matches_All[[#This Row],[TampT]]*1)+(TBA_Matches_All[[#This Row],[TspkrptsC]]))</f>
        <v>5</v>
      </c>
      <c r="CV38" s="59">
        <f>IFERROR(TBA_Matches_All[[#This Row],[noteptsT]]/TBA_Matches_All[[#This Row],[NotePts]],0)</f>
        <v>0.10416666666666667</v>
      </c>
      <c r="CW38">
        <f>SUM(IF(TBA_Matches_All[[#This Row],[stageStat]]="On",3,0),IF(TBA_Matches_All[[#This Row],[stageStat]]="Park",1,0),SUMIFS(TBA_Matches_All[[#This Row],[Spotlit]],TBA_Matches_All[[#This Row],[stageStat]],"On"),SUMIFS(TBA_Matches_All[[#This Row],[Harmony]],TBA_Matches_All[[#This Row],[stageStat]],"On"))</f>
        <v>4</v>
      </c>
      <c r="CX38" s="59">
        <f>IFERROR(TBA_Matches_All[[#This Row],[stageptsT]]/TBA_Matches_All[[#This Row],[StagePts]],0)</f>
        <v>0.8</v>
      </c>
      <c r="CY38">
        <f>SUM((TBA_Matches_All[[#This Row],[AptsT]]+TBA_Matches_All[[#This Row],[TampT]]+TBA_Matches_All[[#This Row],[TspkrptsC]]+(TBA_Matches_All[[#This Row],[TtrapT]]*5)+TBA_Matches_All[[#This Row],[stageptsT]]))</f>
        <v>11</v>
      </c>
      <c r="CZ38" s="59">
        <f>IFERROR(SUM(TBA_Matches_All[[#This Row],[TotptsC]]/TBA_Matches_All[[#This Row],[Score]]),0)</f>
        <v>0.17741935483870969</v>
      </c>
      <c r="DA3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8.2363636363636363</v>
      </c>
      <c r="DB38" s="74">
        <f>SUMIFS(TBA_Matches_All[AveTeamTNoteDels],TBA_Matches_All[Match_Number],TBA_Matches_All[[#This Row],[Match_Number]],TBA_Matches_All[Alliance],"&lt;&gt;"&amp;TBA_Matches_All[[#This Row],[Alliance]],TBA_Matches_All[Scouted],"&gt;0")</f>
        <v>47.788118131868131</v>
      </c>
      <c r="DC38" s="74">
        <f>(TBA_Matches_All[[#This Row],[TampT]]+TBA_Matches_All[[#This Row],[TspkrptsC]])-TBA_Matches_All[[#This Row],[AveTeamTNoteDels]]</f>
        <v>-3.2363636363636363</v>
      </c>
      <c r="DD38" s="74">
        <f>SUMIFS(TBA_Matches_All[AveTeamTNoteDels],TBA_Matches_All[Match_Number],TBA_Matches_All[[#This Row],[Match_Number]],TBA_Matches_All[Alliance],"&lt;&gt;"&amp;TBA_Matches_All[[#This Row],[Alliance]])-TBA_Matches_All[[#This Row],[AveOppTNoteDels]]</f>
        <v>0</v>
      </c>
    </row>
    <row r="39" spans="1:108" x14ac:dyDescent="0.3">
      <c r="A39" t="s">
        <v>1042</v>
      </c>
      <c r="B39" t="s">
        <v>489</v>
      </c>
      <c r="C39" t="s">
        <v>1307</v>
      </c>
      <c r="D39">
        <v>7</v>
      </c>
      <c r="E39" t="s">
        <v>1420</v>
      </c>
      <c r="F39" t="s">
        <v>1421</v>
      </c>
      <c r="G39" t="s">
        <v>164</v>
      </c>
      <c r="H39" t="s">
        <v>364</v>
      </c>
      <c r="I39" t="b">
        <v>1</v>
      </c>
      <c r="J39">
        <v>75</v>
      </c>
      <c r="K39">
        <v>1</v>
      </c>
      <c r="L39">
        <v>1</v>
      </c>
      <c r="M39">
        <v>4</v>
      </c>
      <c r="N39">
        <v>0</v>
      </c>
      <c r="O39">
        <v>3</v>
      </c>
      <c r="P39">
        <v>15</v>
      </c>
      <c r="Q39">
        <v>21</v>
      </c>
      <c r="R39">
        <v>5</v>
      </c>
      <c r="S39">
        <v>4</v>
      </c>
      <c r="T39">
        <v>9</v>
      </c>
      <c r="U39">
        <v>20</v>
      </c>
      <c r="V39">
        <v>18</v>
      </c>
      <c r="W39">
        <v>13</v>
      </c>
      <c r="X39">
        <v>38</v>
      </c>
      <c r="Y39">
        <v>43</v>
      </c>
      <c r="Z39">
        <v>0</v>
      </c>
      <c r="AA39">
        <v>0</v>
      </c>
      <c r="AB39">
        <v>21</v>
      </c>
      <c r="AC39">
        <v>58</v>
      </c>
      <c r="AD39">
        <v>11</v>
      </c>
      <c r="AE39">
        <f>IFERROR(6/(COUNTIF(Dyno_EndMatch[Match],TBA_Matches_All[[#This Row],[Match_Number]])),0)</f>
        <v>1</v>
      </c>
      <c r="AF39">
        <f>COUNTIFS(Dyno_Data[Team],TBA_Matches_All[[#This Row],[Team]],Dyno_Data[Match],TBA_Matches_All[[#This Row],[Match_Number]],Dyno_Data[RecordType],"EndMatch",Dyno_Data[HPAmp],"Y")</f>
        <v>0</v>
      </c>
      <c r="AG39">
        <f>SUMIFS(Dyno_Data[Mics], Dyno_Data[Team],TBA_Matches_All[[#This Row],[Team]],Dyno_Data[Match],TBA_Matches_All[[#This Row],[Match_Number]],Dyno_Data[RecordType],"EndMatch",Dyno_Data[HPAmp],"Y")</f>
        <v>0</v>
      </c>
      <c r="AH39">
        <f>SUMIFS(Dyno_Data[Leave], Dyno_Data[Team],TBA_Matches_All[[#This Row],[Team]],Dyno_Data[Match],TBA_Matches_All[[#This Row],[Match_Number]],Dyno_Data[RecordType],"EndAuto")</f>
        <v>0</v>
      </c>
      <c r="AI39">
        <f>COUNTIFS(Dyno_Data[Team],TBA_Matches_All[[#This Row],[Team]],Dyno_Data[Match],TBA_Matches_All[[#This Row],[Match_Number]],Dyno_Data[RecordType],"Activities",Dyno_Data[DelDest],"Amp", Dyno_Data[DelMiss],"0", Dyno_Data[Mode],"Auto")</f>
        <v>0</v>
      </c>
      <c r="AJ39">
        <f>COUNTIFS(Dyno_Data[Team],TBA_Matches_All[[#This Row],[Team]],Dyno_Data[Match],TBA_Matches_All[[#This Row],[Match_Number]],Dyno_Data[RecordType],"Activities",Dyno_Data[DelDest],"Spkr", Dyno_Data[DelMiss],"0", Dyno_Data[Mode],"Auto")</f>
        <v>1</v>
      </c>
      <c r="AK39">
        <f>COUNTIFS(Dyno_Data[Team],TBA_Matches_All[[#This Row],[Team]],Dyno_Data[Match],TBA_Matches_All[[#This Row],[Match_Number]],Dyno_Data[RecordType],"Activities",Dyno_Data[DelDest],"Trap", Dyno_Data[DelMiss],"0", Dyno_Data[Mode],"Auto")</f>
        <v>0</v>
      </c>
      <c r="AL39">
        <f>COUNTIFS(Dyno_Data[Team],TBA_Matches_All[[#This Row],[Team]],Dyno_Data[Match],TBA_Matches_All[[#This Row],[Match_Number]],Dyno_Data[RecordType],"Activities",Dyno_Data[DelDest],"Amp", Dyno_Data[DelMiss],"0", Dyno_Data[Mode],"Teleop")</f>
        <v>0</v>
      </c>
      <c r="AM39">
        <f>COUNTIFS(Dyno_Data[Team],TBA_Matches_All[[#This Row],[Team]],Dyno_Data[Match],TBA_Matches_All[[#This Row],[Match_Number]],Dyno_Data[RecordType],"Activities",Dyno_Data[DelDest],"Spkr", Dyno_Data[DelMiss],"0", Dyno_Data[Mode],"Teleop")</f>
        <v>0</v>
      </c>
      <c r="AN39">
        <f>COUNTIFS(Dyno_Data[Team],TBA_Matches_All[[#This Row],[Team]],Dyno_Data[Match],TBA_Matches_All[[#This Row],[Match_Number]],Dyno_Data[RecordType],"Activities",Dyno_Data[DelDest],"Trap", Dyno_Data[DelMiss],"0", Dyno_Data[Mode],"&lt;&gt;Auto")</f>
        <v>0</v>
      </c>
      <c r="AO39">
        <f>SUM(TBA_Matches_All[[#This Row],[AampT]]+TBA_Matches_All[[#This Row],[AspkrT]]+TBA_Matches_All[[#This Row],[AtrapT]]+TBA_Matches_All[[#This Row],[TampT]]+TBA_Matches_All[[#This Row],[TspkrT]]+TBA_Matches_All[[#This Row],[TtrapT]])</f>
        <v>1</v>
      </c>
      <c r="AP39">
        <f>COUNTIFS(Dyno_Data[Team],TBA_Matches_All[[#This Row],[Team]],Dyno_Data[Match],TBA_Matches_All[[#This Row],[Match_Number]],Dyno_Data[RecordType],"Activities",Dyno_Data[DelDest],"Neut", Dyno_Data[DelMiss],"0")</f>
        <v>0</v>
      </c>
      <c r="AQ39">
        <f>COUNTIFS(Dyno_Data[Team],TBA_Matches_All[[#This Row],[Team]],Dyno_Data[Match],TBA_Matches_All[[#This Row],[Match_Number]],Dyno_Data[RecordType],"Activities",Dyno_Data[DelDest],"AllyW", Dyno_Data[DelMiss],"0")</f>
        <v>0</v>
      </c>
      <c r="AR39" t="str">
        <f>_xlfn.XLOOKUP(SUM(MID(TBA_Matches_All[[#This Row],[Team]],4,5),(TBA_Matches_All[[#This Row],[Match_Number]]/100)),Dyno_EndMatch[teammat],Dyno_EndMatch[RobotSta],"_",0,1)</f>
        <v>Amp</v>
      </c>
      <c r="AS39">
        <f>SUMIFS(Dyno_Data[AcqDis], Dyno_Data[Team],TBA_Matches_All[[#This Row],[Team]],Dyno_Data[Match],TBA_Matches_All[[#This Row],[Match_Number]],Dyno_Data[RecordType],"Activities", Dyno_Data[AcqCenter],1,Dyno_Data[Mode],"Auto")</f>
        <v>0</v>
      </c>
      <c r="AT39">
        <f>SUMIFS(Dyno_Data[AcqDis], Dyno_Data[Team],TBA_Matches_All[[#This Row],[Team]],Dyno_Data[Match],TBA_Matches_All[[#This Row],[Match_Number]],Dyno_Data[RecordType],"Activities", Dyno_Data[AcqCenter],2,Dyno_Data[Mode],"Auto")</f>
        <v>0</v>
      </c>
      <c r="AU39">
        <f>SUMIFS(Dyno_Data[AcqDis], Dyno_Data[Team],TBA_Matches_All[[#This Row],[Team]],Dyno_Data[Match],TBA_Matches_All[[#This Row],[Match_Number]],Dyno_Data[RecordType],"Activities", Dyno_Data[AcqCenter],3,Dyno_Data[Mode],"Auto")</f>
        <v>0</v>
      </c>
      <c r="AV39">
        <f>SUMIFS(Dyno_Data[AcqDis], Dyno_Data[Team],TBA_Matches_All[[#This Row],[Team]],Dyno_Data[Match],TBA_Matches_All[[#This Row],[Match_Number]],Dyno_Data[RecordType],"Activities", Dyno_Data[AcqCenter],4,Dyno_Data[Mode],"Auto")</f>
        <v>-1</v>
      </c>
      <c r="AW39">
        <f>SUMIFS(Dyno_Data[AcqDis], Dyno_Data[Team],TBA_Matches_All[[#This Row],[Team]],Dyno_Data[Match],TBA_Matches_All[[#This Row],[Match_Number]],Dyno_Data[RecordType],"Activities", Dyno_Data[AcqCenter],5,Dyno_Data[Mode],"Auto")</f>
        <v>0</v>
      </c>
      <c r="AX39">
        <f>SUMIFS(Dyno_Data[DelMiss], Dyno_Data[Team],TBA_Matches_All[[#This Row],[Team]],Dyno_Data[Match],TBA_Matches_All[[#This Row],[Match_Number]],Dyno_Data[RecordType],"Activities", Dyno_Data[DelDest],"Amp")</f>
        <v>0</v>
      </c>
      <c r="AY39" s="60">
        <f>IFERROR(SUM((TBA_Matches_All[[#This Row],[AampT]]+TBA_Matches_All[[#This Row],[TampT]])/(TBA_Matches_All[[#This Row],[AampT]]+TBA_Matches_All[[#This Row],[TampT]]+TBA_Matches_All[[#This Row],[ampM]])),0)</f>
        <v>0</v>
      </c>
      <c r="AZ39">
        <f>SUMIFS(Dyno_Data[DelMiss], Dyno_Data[Team],TBA_Matches_All[[#This Row],[Team]],Dyno_Data[Match],TBA_Matches_All[[#This Row],[Match_Number]],Dyno_Data[RecordType],"Activities", Dyno_Data[DelDest],"Spkr")</f>
        <v>2</v>
      </c>
      <c r="BA39" s="60">
        <f>IFERROR(SUM((TBA_Matches_All[[#This Row],[AspkrT]]+TBA_Matches_All[[#This Row],[TspkrT]])/(TBA_Matches_All[[#This Row],[AspkrT]]+TBA_Matches_All[[#This Row],[TspkrT]]+TBA_Matches_All[[#This Row],[spkrM]])),0)</f>
        <v>0.33333333333333331</v>
      </c>
      <c r="BB39">
        <f>SUMIFS(Dyno_Data[DelMiss], Dyno_Data[Team],TBA_Matches_All[[#This Row],[Team]],Dyno_Data[Match],TBA_Matches_All[[#This Row],[Match_Number]],Dyno_Data[RecordType],"Activities", Dyno_Data[DelDest],"Trap")</f>
        <v>0</v>
      </c>
      <c r="BC39" s="60">
        <f>IFERROR((TBA_Matches_All[[#This Row],[AtrapT]]+TBA_Matches_All[[#This Row],[TtrapT]])/(TBA_Matches_All[[#This Row],[AtrapT]]+TBA_Matches_All[[#This Row],[TtrapT]]+TBA_Matches_All[[#This Row],[trapM]]),0)</f>
        <v>0</v>
      </c>
      <c r="BD39">
        <f>COUNTIFS(Dyno_Data[Team],TBA_Matches_All[[#This Row],[Team]],Dyno_Data[Match],TBA_Matches_All[[#This Row],[Match_Number]],Dyno_Data[RecordType],"Activities",Dyno_Data[DelDest],"Neut", Dyno_Data[DelMiss],1)</f>
        <v>0</v>
      </c>
      <c r="BE39" s="60">
        <f>IFERROR(SUM((TBA_Matches_All[[#This Row],[NeutFlrT]])/(TBA_Matches_All[[#This Row],[NeutFlrT]]+TBA_Matches_All[[#This Row],[NZflM]])),0)</f>
        <v>0</v>
      </c>
      <c r="BF39">
        <f>COUNTIFS(Dyno_Data[Team],TBA_Matches_All[[#This Row],[Team]],Dyno_Data[Match],TBA_Matches_All[[#This Row],[Match_Number]],Dyno_Data[RecordType],"Activities",Dyno_Data[DelDest],"AllyW", Dyno_Data[DelMiss],1)</f>
        <v>0</v>
      </c>
      <c r="BG39" s="60">
        <f>IFERROR(SUM((TBA_Matches_All[[#This Row],[AllyWFlrT]])/(TBA_Matches_All[[#This Row],[AllyWFlrT]]+TBA_Matches_All[[#This Row],[AZflM]])),0)</f>
        <v>0</v>
      </c>
      <c r="BH39">
        <f>COUNTIFS(Dyno_Data[Team],TBA_Matches_All[[#This Row],[Team]],Dyno_Data[Match],TBA_Matches_All[[#This Row],[Match_Number]],Dyno_Data[RecordType],"Activities",Dyno_Data[DelOrig],"OppW", Dyno_Data[DelMiss],"0")</f>
        <v>0</v>
      </c>
      <c r="BI39">
        <f>COUNTIFS(Dyno_Data[Team],TBA_Matches_All[[#This Row],[Team]],Dyno_Data[Match],TBA_Matches_All[[#This Row],[Match_Number]],Dyno_Data[RecordType],"Activities",Dyno_Data[DelOrig],"OppW", Dyno_Data[DelMiss],"1")</f>
        <v>0</v>
      </c>
      <c r="BJ39" s="60">
        <f>IFERROR(SUM((TBA_Matches_All[[#This Row],[OZflrT]])/(TBA_Matches_All[[#This Row],[OZflrT]]+TBA_Matches_All[[#This Row],[OZflrM]])),0)</f>
        <v>0</v>
      </c>
      <c r="BK39">
        <f>COUNTIFS(Dyno_Data[Team],TBA_Matches_All[[#This Row],[Team]],Dyno_Data[Match],TBA_Matches_All[[#This Row],[Match_Number]],Dyno_Data[RecordType],"Activities",Dyno_Data[DelOrig],"Neut", Dyno_Data[DelMiss],"0")</f>
        <v>0</v>
      </c>
      <c r="BL39">
        <f>COUNTIFS(Dyno_Data[Team],TBA_Matches_All[[#This Row],[Team]],Dyno_Data[Match],TBA_Matches_All[[#This Row],[Match_Number]],Dyno_Data[RecordType],"Activities",Dyno_Data[DelOrig],"Neut", Dyno_Data[DelMiss],"1")</f>
        <v>0</v>
      </c>
      <c r="BM39" s="60">
        <f>IFERROR(SUM((TBA_Matches_All[[#This Row],[NZflrT]])/(TBA_Matches_All[[#This Row],[NZflrT]]+TBA_Matches_All[[#This Row],[NZflrM]])),0)</f>
        <v>0</v>
      </c>
      <c r="BN39">
        <f>COUNTIFS(Dyno_Data[Team],TBA_Matches_All[[#This Row],[Team]],Dyno_Data[Match],TBA_Matches_All[[#This Row],[Match_Number]],Dyno_Data[RecordType],"Activities",Dyno_Data[DelOrig],"AllyW", Dyno_Data[DelMiss],"0")</f>
        <v>0</v>
      </c>
      <c r="BO39">
        <f>COUNTIFS(Dyno_Data[Team],TBA_Matches_All[[#This Row],[Team]],Dyno_Data[Match],TBA_Matches_All[[#This Row],[Match_Number]],Dyno_Data[RecordType],"Activities",Dyno_Data[DelOrig],"AllyW", Dyno_Data[DelMiss],"1")</f>
        <v>2</v>
      </c>
      <c r="BP39" s="60">
        <f>IFERROR(SUM((TBA_Matches_All[[#This Row],[AZflrT]])/(TBA_Matches_All[[#This Row],[AZflrT]]+TBA_Matches_All[[#This Row],[AZflrM]])),0)</f>
        <v>0</v>
      </c>
      <c r="BQ39">
        <f>COUNTIFS(Dyno_Data[Team],TBA_Matches_All[[#This Row],[Team]],Dyno_Data[Match],TBA_Matches_All[[#This Row],[Match_Number]],Dyno_Data[RecordType],"Activities",Dyno_Data[DelOrig],"SubW", Dyno_Data[DelMiss],"0")</f>
        <v>1</v>
      </c>
      <c r="BR39">
        <f>COUNTIFS(Dyno_Data[Team],TBA_Matches_All[[#This Row],[Team]],Dyno_Data[Match],TBA_Matches_All[[#This Row],[Match_Number]],Dyno_Data[RecordType],"Activities",Dyno_Data[DelOrig],"SubW", Dyno_Data[DelMiss],"1")</f>
        <v>0</v>
      </c>
      <c r="BS39" s="60">
        <f>IFERROR(SUM((TBA_Matches_All[[#This Row],[SubwT]])/(TBA_Matches_All[[#This Row],[SubwT]]+TBA_Matches_All[[#This Row],[SubwM]])),0)</f>
        <v>1</v>
      </c>
      <c r="BT39">
        <f>COUNTIFS(Dyno_Data[Team],TBA_Matches_All[[#This Row],[Team]],Dyno_Data[Match],TBA_Matches_All[[#This Row],[Match_Number]],Dyno_Data[RecordType],"Activities", Dyno_Data[AcqLoc],"OppWing")</f>
        <v>0</v>
      </c>
      <c r="BU39">
        <f>COUNTIFS(Dyno_Data[Team],TBA_Matches_All[[#This Row],[Team]],Dyno_Data[Match],TBA_Matches_All[[#This Row],[Match_Number]],Dyno_Data[RecordType],"Activities", Dyno_Data[AcqLoc],"Neutral")</f>
        <v>1</v>
      </c>
      <c r="BV39">
        <f>COUNTIFS(Dyno_Data[Team],TBA_Matches_All[[#This Row],[Team]],Dyno_Data[Match],TBA_Matches_All[[#This Row],[Match_Number]],Dyno_Data[RecordType],"Activities", Dyno_Data[AcqLoc],"AllyWing")</f>
        <v>0</v>
      </c>
      <c r="BW39">
        <f>COUNTIFS(Dyno_Data[Team],TBA_Matches_All[[#This Row],[Team]],Dyno_Data[Match],TBA_Matches_All[[#This Row],[Match_Number]],Dyno_Data[RecordType],"Activities", Dyno_Data[AcqLoc],"Source")</f>
        <v>0</v>
      </c>
      <c r="BX39">
        <f>SUMIFS(Dyno_Data[AcqDrp], Dyno_Data[Team],TBA_Matches_All[[#This Row],[Team]],Dyno_Data[Match],TBA_Matches_All[[#This Row],[Match_Number]],Dyno_Data[RecordType],"Activities", Dyno_Data[AcqLoc],"Source")</f>
        <v>0</v>
      </c>
      <c r="BY39">
        <f>SUMIFS(Dyno_Data[OZTime], Dyno_Data[Team],TBA_Matches_All[[#This Row],[Team]],Dyno_Data[Match],TBA_Matches_All[[#This Row],[Match_Number]],Dyno_Data[RecordType],"EndMatch")</f>
        <v>16.187381899999998</v>
      </c>
      <c r="BZ39">
        <f>SUMIFS(Dyno_Data[NZTime], Dyno_Data[Team],TBA_Matches_All[[#This Row],[Team]],Dyno_Data[Match],TBA_Matches_All[[#This Row],[Match_Number]],Dyno_Data[RecordType],"EndMatch")</f>
        <v>27.109316399999997</v>
      </c>
      <c r="CA39">
        <f>SUMIFS(Dyno_Data[AZTime], Dyno_Data[Team],TBA_Matches_All[[#This Row],[Team]],Dyno_Data[Match],TBA_Matches_All[[#This Row],[Match_Number]],Dyno_Data[RecordType],"EndMatch")</f>
        <v>62.537664399999997</v>
      </c>
      <c r="CB39">
        <f>SUMIFS(Dyno_Data[ClimbT], Dyno_Data[Team],TBA_Matches_All[[#This Row],[Team]],Dyno_Data[Match],TBA_Matches_All[[#This Row],[Match_Number]],Dyno_Data[RecordType],"EndMatch")</f>
        <v>13.3061419</v>
      </c>
      <c r="CC39" t="str">
        <f>_xlfn.XLOOKUP(SUM(MID(TBA_Matches_All[[#This Row],[Team]],4,5),(TBA_Matches_All[[#This Row],[Match_Number]]/100)),Dyno_EndMatch[teammat],Dyno_EndMatch[StageStat],"_",0,1)</f>
        <v>On</v>
      </c>
      <c r="CD39" t="str">
        <f>_xlfn.XLOOKUP(TBA_Matches_All[[#This Row],[teammat]],Dyno_EndMatch[teammat],Dyno_EndMatch[StageAtt],"_",0,1)</f>
        <v>1</v>
      </c>
      <c r="CE39" t="str">
        <f>_xlfn.XLOOKUP(TBA_Matches_All[[#This Row],[teammat]],Dyno_EndMatch[teammat],Dyno_EndMatch[StageLoc],"_",0,1)</f>
        <v>R</v>
      </c>
      <c r="CF39">
        <f>SUMIFS(Dyno_Data[Harmony], Dyno_Data[Team],TBA_Matches_All[[#This Row],[Team]],Dyno_Data[Match],TBA_Matches_All[[#This Row],[Match_Number]],Dyno_Data[RecordType],"EndMatch", Dyno_Data[StageStat],"On",Dyno_Data[Harmony],"&lt;&gt;9")</f>
        <v>0</v>
      </c>
      <c r="CG39">
        <f>SUMIFS(Dyno_Data[Spotlit], Dyno_Data[Team],TBA_Matches_All[[#This Row],[Team]],Dyno_Data[Match],TBA_Matches_All[[#This Row],[Match_Number]],Dyno_Data[RecordType],"EndMatch", Dyno_Data[StageStat],"On",Dyno_Data[Spotlit],"&lt;&gt;9")</f>
        <v>0</v>
      </c>
      <c r="CH39" t="str">
        <f>_xlfn.XLOOKUP(TBA_Matches_All[[#This Row],[teammat]],Dyno_EndMatch[teammat],Dyno_EndMatch[Strategy],"_",0,1)</f>
        <v>Defense</v>
      </c>
      <c r="CI39">
        <f>SUMIFS(Dyno_Data[Defense], Dyno_Data[Team],TBA_Matches_All[[#This Row],[Team]],Dyno_Data[Match],TBA_Matches_All[[#This Row],[Match_Number]],Dyno_Data[RecordType],"EndMatch",Dyno_Data[Defense],"&lt;&gt;9")</f>
        <v>2</v>
      </c>
      <c r="CJ39">
        <f>SUMIFS(Dyno_Data[Avoidance], Dyno_Data[Team],TBA_Matches_All[[#This Row],[Team]],Dyno_Data[Match],TBA_Matches_All[[#This Row],[Match_Number]],Dyno_Data[RecordType],"EndMatch",Dyno_Data[Avoidance],"&lt;&gt;9")</f>
        <v>0</v>
      </c>
      <c r="CK39" s="82">
        <f>COUNTIF($H$2:TBA_Matches_All[[#This Row],[Team]],TBA_Matches_All[[#This Row],[Team]])</f>
        <v>1</v>
      </c>
      <c r="CL39" s="111">
        <f>SUM(MID(TBA_Matches_All[[#This Row],[Team]],4,5)+TBA_Matches_All[[#This Row],[Match_Number]]/100)</f>
        <v>2791.07</v>
      </c>
      <c r="CM39">
        <f>SUM((TBA_Matches_All[[#This Row],[Leave]]*2)+(TBA_Matches_All[[#This Row],[AampT]]*2)+(TBA_Matches_All[[#This Row],[AspkrT]]*5)+(TBA_Matches_All[[#This Row],[AtrapT]]*5))</f>
        <v>5</v>
      </c>
      <c r="CN39" s="59">
        <f>IFERROR(SUM(TBA_Matches_All[[#This Row],[AptsT]]/TBA_Matches_All[[#This Row],[AutoPts]]),0)</f>
        <v>0.23809523809523808</v>
      </c>
      <c r="CO39" s="59">
        <f>IFERROR(SUM(TBA_Matches_All[[#This Row],[AampT]]+TBA_Matches_All[[#This Row],[AspkrT]]+TBA_Matches_All[[#This Row],[AtrapT]]/TBA_Matches_All[[#This Row],[Aamp]]+TBA_Matches_All[[#This Row],[Aspkr]]+TBA_Matches_All[[#This Row],[AtrapT]]),0)</f>
        <v>0</v>
      </c>
      <c r="CP39" s="59">
        <f>IFERROR(SUM(TBA_Matches_All[[#This Row],[TampT]]/TBA_Matches_All[[#This Row],[Tamp]]),0)</f>
        <v>0</v>
      </c>
      <c r="CQ39" s="59">
        <f>IFERROR(SUM(TBA_Matches_All[[#This Row],[TspkrT]]/TBA_Matches_All[[#This Row],[Tspkr]]),0)</f>
        <v>0</v>
      </c>
      <c r="CR39">
        <f>SUM(TBA_Matches_All[[#This Row],[TspkrPts]]*TBA_Matches_All[[#This Row],[TspkrP]])</f>
        <v>0</v>
      </c>
      <c r="CS39" s="59">
        <f>IFERROR(SUM(TBA_Matches_All[[#This Row],[TtrapT]]/TBA_Matches_All[[#This Row],[Trap]]),0)</f>
        <v>0</v>
      </c>
      <c r="CT39" s="59">
        <f>IFERROR(SUM(TBA_Matches_All[[#This Row],[TotNotesT]]/TBA_Matches_All[[#This Row],[TotNotes]]),0)</f>
        <v>4.7619047619047616E-2</v>
      </c>
      <c r="CU39" s="66">
        <f>SUM((TBA_Matches_All[[#This Row],[AampT]]*2)+(TBA_Matches_All[[#This Row],[AspkrT]]*5)+(TBA_Matches_All[[#This Row],[AtrapT]]*5)+(TBA_Matches_All[[#This Row],[TampT]]*1)+(TBA_Matches_All[[#This Row],[TspkrptsC]]))</f>
        <v>5</v>
      </c>
      <c r="CV39" s="59">
        <f>IFERROR(TBA_Matches_All[[#This Row],[noteptsT]]/TBA_Matches_All[[#This Row],[NotePts]],0)</f>
        <v>8.6206896551724144E-2</v>
      </c>
      <c r="CW39">
        <f>SUM(IF(TBA_Matches_All[[#This Row],[stageStat]]="On",3,0),IF(TBA_Matches_All[[#This Row],[stageStat]]="Park",1,0),SUMIFS(TBA_Matches_All[[#This Row],[Spotlit]],TBA_Matches_All[[#This Row],[stageStat]],"On"),SUMIFS(TBA_Matches_All[[#This Row],[Harmony]],TBA_Matches_All[[#This Row],[stageStat]],"On"))</f>
        <v>3</v>
      </c>
      <c r="CX39" s="59">
        <f>IFERROR(TBA_Matches_All[[#This Row],[stageptsT]]/TBA_Matches_All[[#This Row],[StagePts]],0)</f>
        <v>0.27272727272727271</v>
      </c>
      <c r="CY39">
        <f>SUM((TBA_Matches_All[[#This Row],[AptsT]]+TBA_Matches_All[[#This Row],[TampT]]+TBA_Matches_All[[#This Row],[TspkrptsC]]+(TBA_Matches_All[[#This Row],[TtrapT]]*5)+TBA_Matches_All[[#This Row],[stageptsT]]))</f>
        <v>8</v>
      </c>
      <c r="CZ39" s="59">
        <f>IFERROR(SUM(TBA_Matches_All[[#This Row],[TotptsC]]/TBA_Matches_All[[#This Row],[Score]]),0)</f>
        <v>0.10666666666666667</v>
      </c>
      <c r="DA3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11.56</v>
      </c>
      <c r="DB39" s="74">
        <f>SUMIFS(TBA_Matches_All[AveTeamTNoteDels],TBA_Matches_All[Match_Number],TBA_Matches_All[[#This Row],[Match_Number]],TBA_Matches_All[Alliance],"&lt;&gt;"&amp;TBA_Matches_All[[#This Row],[Alliance]],TBA_Matches_All[Scouted],"&gt;0")</f>
        <v>22.948717948717952</v>
      </c>
      <c r="DC39" s="74">
        <f>(TBA_Matches_All[[#This Row],[TampT]]+TBA_Matches_All[[#This Row],[TspkrptsC]])-TBA_Matches_All[[#This Row],[AveTeamTNoteDels]]</f>
        <v>-11.56</v>
      </c>
      <c r="DD39" s="74">
        <f>SUMIFS(TBA_Matches_All[AveTeamTNoteDels],TBA_Matches_All[Match_Number],TBA_Matches_All[[#This Row],[Match_Number]],TBA_Matches_All[Alliance],"&lt;&gt;"&amp;TBA_Matches_All[[#This Row],[Alliance]])-TBA_Matches_All[[#This Row],[AveOppTNoteDels]]</f>
        <v>0</v>
      </c>
    </row>
    <row r="40" spans="1:108" x14ac:dyDescent="0.3">
      <c r="A40" t="s">
        <v>1042</v>
      </c>
      <c r="B40" t="s">
        <v>489</v>
      </c>
      <c r="C40" t="s">
        <v>1307</v>
      </c>
      <c r="D40">
        <v>7</v>
      </c>
      <c r="E40" t="s">
        <v>1406</v>
      </c>
      <c r="F40" t="s">
        <v>1422</v>
      </c>
      <c r="G40" t="s">
        <v>105</v>
      </c>
      <c r="H40" t="s">
        <v>1312</v>
      </c>
      <c r="I40" t="b">
        <v>1</v>
      </c>
      <c r="J40">
        <v>27</v>
      </c>
      <c r="K40">
        <v>0</v>
      </c>
      <c r="L40">
        <v>0</v>
      </c>
      <c r="M40">
        <v>0</v>
      </c>
      <c r="N40">
        <v>0</v>
      </c>
      <c r="O40">
        <v>1</v>
      </c>
      <c r="P40">
        <v>5</v>
      </c>
      <c r="Q40">
        <v>11</v>
      </c>
      <c r="R40">
        <v>1</v>
      </c>
      <c r="S40">
        <v>0</v>
      </c>
      <c r="T40">
        <v>4</v>
      </c>
      <c r="U40">
        <v>0</v>
      </c>
      <c r="V40">
        <v>8</v>
      </c>
      <c r="W40">
        <v>4</v>
      </c>
      <c r="X40">
        <v>8</v>
      </c>
      <c r="Y40">
        <v>9</v>
      </c>
      <c r="Z40">
        <v>0</v>
      </c>
      <c r="AA40">
        <v>0</v>
      </c>
      <c r="AB40">
        <v>6</v>
      </c>
      <c r="AC40">
        <v>14</v>
      </c>
      <c r="AD40">
        <v>3</v>
      </c>
      <c r="AE40">
        <f>IFERROR(6/(COUNTIF(Dyno_EndMatch[Match],TBA_Matches_All[[#This Row],[Match_Number]])),0)</f>
        <v>1</v>
      </c>
      <c r="AF40">
        <f>COUNTIFS(Dyno_Data[Team],TBA_Matches_All[[#This Row],[Team]],Dyno_Data[Match],TBA_Matches_All[[#This Row],[Match_Number]],Dyno_Data[RecordType],"EndMatch",Dyno_Data[HPAmp],"Y")</f>
        <v>0</v>
      </c>
      <c r="AG40">
        <f>SUMIFS(Dyno_Data[Mics], Dyno_Data[Team],TBA_Matches_All[[#This Row],[Team]],Dyno_Data[Match],TBA_Matches_All[[#This Row],[Match_Number]],Dyno_Data[RecordType],"EndMatch",Dyno_Data[HPAmp],"Y")</f>
        <v>0</v>
      </c>
      <c r="AH40">
        <f>SUMIFS(Dyno_Data[Leave], Dyno_Data[Team],TBA_Matches_All[[#This Row],[Team]],Dyno_Data[Match],TBA_Matches_All[[#This Row],[Match_Number]],Dyno_Data[RecordType],"EndAuto")</f>
        <v>1</v>
      </c>
      <c r="AI40">
        <f>COUNTIFS(Dyno_Data[Team],TBA_Matches_All[[#This Row],[Team]],Dyno_Data[Match],TBA_Matches_All[[#This Row],[Match_Number]],Dyno_Data[RecordType],"Activities",Dyno_Data[DelDest],"Amp", Dyno_Data[DelMiss],"0", Dyno_Data[Mode],"Auto")</f>
        <v>0</v>
      </c>
      <c r="AJ40">
        <f>COUNTIFS(Dyno_Data[Team],TBA_Matches_All[[#This Row],[Team]],Dyno_Data[Match],TBA_Matches_All[[#This Row],[Match_Number]],Dyno_Data[RecordType],"Activities",Dyno_Data[DelDest],"Spkr", Dyno_Data[DelMiss],"0", Dyno_Data[Mode],"Auto")</f>
        <v>0</v>
      </c>
      <c r="AK40">
        <f>COUNTIFS(Dyno_Data[Team],TBA_Matches_All[[#This Row],[Team]],Dyno_Data[Match],TBA_Matches_All[[#This Row],[Match_Number]],Dyno_Data[RecordType],"Activities",Dyno_Data[DelDest],"Trap", Dyno_Data[DelMiss],"0", Dyno_Data[Mode],"Auto")</f>
        <v>0</v>
      </c>
      <c r="AL40">
        <f>COUNTIFS(Dyno_Data[Team],TBA_Matches_All[[#This Row],[Team]],Dyno_Data[Match],TBA_Matches_All[[#This Row],[Match_Number]],Dyno_Data[RecordType],"Activities",Dyno_Data[DelDest],"Amp", Dyno_Data[DelMiss],"0", Dyno_Data[Mode],"Teleop")</f>
        <v>0</v>
      </c>
      <c r="AM40">
        <f>COUNTIFS(Dyno_Data[Team],TBA_Matches_All[[#This Row],[Team]],Dyno_Data[Match],TBA_Matches_All[[#This Row],[Match_Number]],Dyno_Data[RecordType],"Activities",Dyno_Data[DelDest],"Spkr", Dyno_Data[DelMiss],"0", Dyno_Data[Mode],"Teleop")</f>
        <v>0</v>
      </c>
      <c r="AN40">
        <f>COUNTIFS(Dyno_Data[Team],TBA_Matches_All[[#This Row],[Team]],Dyno_Data[Match],TBA_Matches_All[[#This Row],[Match_Number]],Dyno_Data[RecordType],"Activities",Dyno_Data[DelDest],"Trap", Dyno_Data[DelMiss],"0", Dyno_Data[Mode],"&lt;&gt;Auto")</f>
        <v>0</v>
      </c>
      <c r="AO40">
        <f>SUM(TBA_Matches_All[[#This Row],[AampT]]+TBA_Matches_All[[#This Row],[AspkrT]]+TBA_Matches_All[[#This Row],[AtrapT]]+TBA_Matches_All[[#This Row],[TampT]]+TBA_Matches_All[[#This Row],[TspkrT]]+TBA_Matches_All[[#This Row],[TtrapT]])</f>
        <v>0</v>
      </c>
      <c r="AP40">
        <f>COUNTIFS(Dyno_Data[Team],TBA_Matches_All[[#This Row],[Team]],Dyno_Data[Match],TBA_Matches_All[[#This Row],[Match_Number]],Dyno_Data[RecordType],"Activities",Dyno_Data[DelDest],"Neut", Dyno_Data[DelMiss],"0")</f>
        <v>0</v>
      </c>
      <c r="AQ40">
        <f>COUNTIFS(Dyno_Data[Team],TBA_Matches_All[[#This Row],[Team]],Dyno_Data[Match],TBA_Matches_All[[#This Row],[Match_Number]],Dyno_Data[RecordType],"Activities",Dyno_Data[DelDest],"AllyW", Dyno_Data[DelMiss],"0")</f>
        <v>1</v>
      </c>
      <c r="AR40" t="str">
        <f>_xlfn.XLOOKUP(SUM(MID(TBA_Matches_All[[#This Row],[Team]],4,5),(TBA_Matches_All[[#This Row],[Match_Number]]/100)),Dyno_EndMatch[teammat],Dyno_EndMatch[RobotSta],"_",0,1)</f>
        <v>SubW</v>
      </c>
      <c r="AS40">
        <f>SUMIFS(Dyno_Data[AcqDis], Dyno_Data[Team],TBA_Matches_All[[#This Row],[Team]],Dyno_Data[Match],TBA_Matches_All[[#This Row],[Match_Number]],Dyno_Data[RecordType],"Activities", Dyno_Data[AcqCenter],1,Dyno_Data[Mode],"Auto")</f>
        <v>0</v>
      </c>
      <c r="AT40">
        <f>SUMIFS(Dyno_Data[AcqDis], Dyno_Data[Team],TBA_Matches_All[[#This Row],[Team]],Dyno_Data[Match],TBA_Matches_All[[#This Row],[Match_Number]],Dyno_Data[RecordType],"Activities", Dyno_Data[AcqCenter],2,Dyno_Data[Mode],"Auto")</f>
        <v>0</v>
      </c>
      <c r="AU40">
        <f>SUMIFS(Dyno_Data[AcqDis], Dyno_Data[Team],TBA_Matches_All[[#This Row],[Team]],Dyno_Data[Match],TBA_Matches_All[[#This Row],[Match_Number]],Dyno_Data[RecordType],"Activities", Dyno_Data[AcqCenter],3,Dyno_Data[Mode],"Auto")</f>
        <v>-1</v>
      </c>
      <c r="AV40">
        <f>SUMIFS(Dyno_Data[AcqDis], Dyno_Data[Team],TBA_Matches_All[[#This Row],[Team]],Dyno_Data[Match],TBA_Matches_All[[#This Row],[Match_Number]],Dyno_Data[RecordType],"Activities", Dyno_Data[AcqCenter],4,Dyno_Data[Mode],"Auto")</f>
        <v>0</v>
      </c>
      <c r="AW40">
        <f>SUMIFS(Dyno_Data[AcqDis], Dyno_Data[Team],TBA_Matches_All[[#This Row],[Team]],Dyno_Data[Match],TBA_Matches_All[[#This Row],[Match_Number]],Dyno_Data[RecordType],"Activities", Dyno_Data[AcqCenter],5,Dyno_Data[Mode],"Auto")</f>
        <v>0</v>
      </c>
      <c r="AX40">
        <f>SUMIFS(Dyno_Data[DelMiss], Dyno_Data[Team],TBA_Matches_All[[#This Row],[Team]],Dyno_Data[Match],TBA_Matches_All[[#This Row],[Match_Number]],Dyno_Data[RecordType],"Activities", Dyno_Data[DelDest],"Amp")</f>
        <v>0</v>
      </c>
      <c r="AY40" s="60">
        <f>IFERROR(SUM((TBA_Matches_All[[#This Row],[AampT]]+TBA_Matches_All[[#This Row],[TampT]])/(TBA_Matches_All[[#This Row],[AampT]]+TBA_Matches_All[[#This Row],[TampT]]+TBA_Matches_All[[#This Row],[ampM]])),0)</f>
        <v>0</v>
      </c>
      <c r="AZ40">
        <f>SUMIFS(Dyno_Data[DelMiss], Dyno_Data[Team],TBA_Matches_All[[#This Row],[Team]],Dyno_Data[Match],TBA_Matches_All[[#This Row],[Match_Number]],Dyno_Data[RecordType],"Activities", Dyno_Data[DelDest],"Spkr")</f>
        <v>1</v>
      </c>
      <c r="BA40" s="60">
        <f>IFERROR(SUM((TBA_Matches_All[[#This Row],[AspkrT]]+TBA_Matches_All[[#This Row],[TspkrT]])/(TBA_Matches_All[[#This Row],[AspkrT]]+TBA_Matches_All[[#This Row],[TspkrT]]+TBA_Matches_All[[#This Row],[spkrM]])),0)</f>
        <v>0</v>
      </c>
      <c r="BB40">
        <f>SUMIFS(Dyno_Data[DelMiss], Dyno_Data[Team],TBA_Matches_All[[#This Row],[Team]],Dyno_Data[Match],TBA_Matches_All[[#This Row],[Match_Number]],Dyno_Data[RecordType],"Activities", Dyno_Data[DelDest],"Trap")</f>
        <v>0</v>
      </c>
      <c r="BC40" s="60">
        <f>IFERROR((TBA_Matches_All[[#This Row],[AtrapT]]+TBA_Matches_All[[#This Row],[TtrapT]])/(TBA_Matches_All[[#This Row],[AtrapT]]+TBA_Matches_All[[#This Row],[TtrapT]]+TBA_Matches_All[[#This Row],[trapM]]),0)</f>
        <v>0</v>
      </c>
      <c r="BD40">
        <f>COUNTIFS(Dyno_Data[Team],TBA_Matches_All[[#This Row],[Team]],Dyno_Data[Match],TBA_Matches_All[[#This Row],[Match_Number]],Dyno_Data[RecordType],"Activities",Dyno_Data[DelDest],"Neut", Dyno_Data[DelMiss],1)</f>
        <v>0</v>
      </c>
      <c r="BE40" s="60">
        <f>IFERROR(SUM((TBA_Matches_All[[#This Row],[NeutFlrT]])/(TBA_Matches_All[[#This Row],[NeutFlrT]]+TBA_Matches_All[[#This Row],[NZflM]])),0)</f>
        <v>0</v>
      </c>
      <c r="BF40">
        <f>COUNTIFS(Dyno_Data[Team],TBA_Matches_All[[#This Row],[Team]],Dyno_Data[Match],TBA_Matches_All[[#This Row],[Match_Number]],Dyno_Data[RecordType],"Activities",Dyno_Data[DelDest],"AllyW", Dyno_Data[DelMiss],1)</f>
        <v>0</v>
      </c>
      <c r="BG40" s="60">
        <f>IFERROR(SUM((TBA_Matches_All[[#This Row],[AllyWFlrT]])/(TBA_Matches_All[[#This Row],[AllyWFlrT]]+TBA_Matches_All[[#This Row],[AZflM]])),0)</f>
        <v>1</v>
      </c>
      <c r="BH40">
        <f>COUNTIFS(Dyno_Data[Team],TBA_Matches_All[[#This Row],[Team]],Dyno_Data[Match],TBA_Matches_All[[#This Row],[Match_Number]],Dyno_Data[RecordType],"Activities",Dyno_Data[DelOrig],"OppW", Dyno_Data[DelMiss],"0")</f>
        <v>0</v>
      </c>
      <c r="BI40">
        <f>COUNTIFS(Dyno_Data[Team],TBA_Matches_All[[#This Row],[Team]],Dyno_Data[Match],TBA_Matches_All[[#This Row],[Match_Number]],Dyno_Data[RecordType],"Activities",Dyno_Data[DelOrig],"OppW", Dyno_Data[DelMiss],"1")</f>
        <v>0</v>
      </c>
      <c r="BJ40" s="60">
        <f>IFERROR(SUM((TBA_Matches_All[[#This Row],[OZflrT]])/(TBA_Matches_All[[#This Row],[OZflrT]]+TBA_Matches_All[[#This Row],[OZflrM]])),0)</f>
        <v>0</v>
      </c>
      <c r="BK40">
        <f>COUNTIFS(Dyno_Data[Team],TBA_Matches_All[[#This Row],[Team]],Dyno_Data[Match],TBA_Matches_All[[#This Row],[Match_Number]],Dyno_Data[RecordType],"Activities",Dyno_Data[DelOrig],"Neut", Dyno_Data[DelMiss],"0")</f>
        <v>0</v>
      </c>
      <c r="BL40">
        <f>COUNTIFS(Dyno_Data[Team],TBA_Matches_All[[#This Row],[Team]],Dyno_Data[Match],TBA_Matches_All[[#This Row],[Match_Number]],Dyno_Data[RecordType],"Activities",Dyno_Data[DelOrig],"Neut", Dyno_Data[DelMiss],"1")</f>
        <v>0</v>
      </c>
      <c r="BM40" s="60">
        <f>IFERROR(SUM((TBA_Matches_All[[#This Row],[NZflrT]])/(TBA_Matches_All[[#This Row],[NZflrT]]+TBA_Matches_All[[#This Row],[NZflrM]])),0)</f>
        <v>0</v>
      </c>
      <c r="BN40">
        <f>COUNTIFS(Dyno_Data[Team],TBA_Matches_All[[#This Row],[Team]],Dyno_Data[Match],TBA_Matches_All[[#This Row],[Match_Number]],Dyno_Data[RecordType],"Activities",Dyno_Data[DelOrig],"AllyW", Dyno_Data[DelMiss],"0")</f>
        <v>1</v>
      </c>
      <c r="BO40">
        <f>COUNTIFS(Dyno_Data[Team],TBA_Matches_All[[#This Row],[Team]],Dyno_Data[Match],TBA_Matches_All[[#This Row],[Match_Number]],Dyno_Data[RecordType],"Activities",Dyno_Data[DelOrig],"AllyW", Dyno_Data[DelMiss],"1")</f>
        <v>1</v>
      </c>
      <c r="BP40" s="60">
        <f>IFERROR(SUM((TBA_Matches_All[[#This Row],[AZflrT]])/(TBA_Matches_All[[#This Row],[AZflrT]]+TBA_Matches_All[[#This Row],[AZflrM]])),0)</f>
        <v>0.5</v>
      </c>
      <c r="BQ40">
        <f>COUNTIFS(Dyno_Data[Team],TBA_Matches_All[[#This Row],[Team]],Dyno_Data[Match],TBA_Matches_All[[#This Row],[Match_Number]],Dyno_Data[RecordType],"Activities",Dyno_Data[DelOrig],"SubW", Dyno_Data[DelMiss],"0")</f>
        <v>0</v>
      </c>
      <c r="BR40">
        <f>COUNTIFS(Dyno_Data[Team],TBA_Matches_All[[#This Row],[Team]],Dyno_Data[Match],TBA_Matches_All[[#This Row],[Match_Number]],Dyno_Data[RecordType],"Activities",Dyno_Data[DelOrig],"SubW", Dyno_Data[DelMiss],"1")</f>
        <v>0</v>
      </c>
      <c r="BS40" s="60">
        <f>IFERROR(SUM((TBA_Matches_All[[#This Row],[SubwT]])/(TBA_Matches_All[[#This Row],[SubwT]]+TBA_Matches_All[[#This Row],[SubwM]])),0)</f>
        <v>0</v>
      </c>
      <c r="BT40">
        <f>COUNTIFS(Dyno_Data[Team],TBA_Matches_All[[#This Row],[Team]],Dyno_Data[Match],TBA_Matches_All[[#This Row],[Match_Number]],Dyno_Data[RecordType],"Activities", Dyno_Data[AcqLoc],"OppWing")</f>
        <v>0</v>
      </c>
      <c r="BU40">
        <f>COUNTIFS(Dyno_Data[Team],TBA_Matches_All[[#This Row],[Team]],Dyno_Data[Match],TBA_Matches_All[[#This Row],[Match_Number]],Dyno_Data[RecordType],"Activities", Dyno_Data[AcqLoc],"Neutral")</f>
        <v>1</v>
      </c>
      <c r="BV40">
        <f>COUNTIFS(Dyno_Data[Team],TBA_Matches_All[[#This Row],[Team]],Dyno_Data[Match],TBA_Matches_All[[#This Row],[Match_Number]],Dyno_Data[RecordType],"Activities", Dyno_Data[AcqLoc],"AllyWing")</f>
        <v>0</v>
      </c>
      <c r="BW40">
        <f>COUNTIFS(Dyno_Data[Team],TBA_Matches_All[[#This Row],[Team]],Dyno_Data[Match],TBA_Matches_All[[#This Row],[Match_Number]],Dyno_Data[RecordType],"Activities", Dyno_Data[AcqLoc],"Source")</f>
        <v>0</v>
      </c>
      <c r="BX40">
        <f>SUMIFS(Dyno_Data[AcqDrp], Dyno_Data[Team],TBA_Matches_All[[#This Row],[Team]],Dyno_Data[Match],TBA_Matches_All[[#This Row],[Match_Number]],Dyno_Data[RecordType],"Activities", Dyno_Data[AcqLoc],"Source")</f>
        <v>0</v>
      </c>
      <c r="BY40">
        <f>SUMIFS(Dyno_Data[OZTime], Dyno_Data[Team],TBA_Matches_All[[#This Row],[Team]],Dyno_Data[Match],TBA_Matches_All[[#This Row],[Match_Number]],Dyno_Data[RecordType],"EndMatch")</f>
        <v>0</v>
      </c>
      <c r="BZ40">
        <f>SUMIFS(Dyno_Data[NZTime], Dyno_Data[Team],TBA_Matches_All[[#This Row],[Team]],Dyno_Data[Match],TBA_Matches_All[[#This Row],[Match_Number]],Dyno_Data[RecordType],"EndMatch")</f>
        <v>0.80726369999999992</v>
      </c>
      <c r="CA40">
        <f>SUMIFS(Dyno_Data[AZTime], Dyno_Data[Team],TBA_Matches_All[[#This Row],[Team]],Dyno_Data[Match],TBA_Matches_All[[#This Row],[Match_Number]],Dyno_Data[RecordType],"EndMatch")</f>
        <v>134.35695699999999</v>
      </c>
      <c r="CB40">
        <f>SUMIFS(Dyno_Data[ClimbT], Dyno_Data[Team],TBA_Matches_All[[#This Row],[Team]],Dyno_Data[Match],TBA_Matches_All[[#This Row],[Match_Number]],Dyno_Data[RecordType],"EndMatch")</f>
        <v>0</v>
      </c>
      <c r="CC40" t="str">
        <f>_xlfn.XLOOKUP(SUM(MID(TBA_Matches_All[[#This Row],[Team]],4,5),(TBA_Matches_All[[#This Row],[Match_Number]]/100)),Dyno_EndMatch[teammat],Dyno_EndMatch[StageStat],"_",0,1)</f>
        <v>Else</v>
      </c>
      <c r="CD40" t="str">
        <f>_xlfn.XLOOKUP(TBA_Matches_All[[#This Row],[teammat]],Dyno_EndMatch[teammat],Dyno_EndMatch[StageAtt],"_",0,1)</f>
        <v>0</v>
      </c>
      <c r="CE40" t="str">
        <f>_xlfn.XLOOKUP(TBA_Matches_All[[#This Row],[teammat]],Dyno_EndMatch[teammat],Dyno_EndMatch[StageLoc],"_",0,1)</f>
        <v>A</v>
      </c>
      <c r="CF40">
        <f>SUMIFS(Dyno_Data[Harmony], Dyno_Data[Team],TBA_Matches_All[[#This Row],[Team]],Dyno_Data[Match],TBA_Matches_All[[#This Row],[Match_Number]],Dyno_Data[RecordType],"EndMatch", Dyno_Data[StageStat],"On",Dyno_Data[Harmony],"&lt;&gt;9")</f>
        <v>0</v>
      </c>
      <c r="CG40">
        <f>SUMIFS(Dyno_Data[Spotlit], Dyno_Data[Team],TBA_Matches_All[[#This Row],[Team]],Dyno_Data[Match],TBA_Matches_All[[#This Row],[Match_Number]],Dyno_Data[RecordType],"EndMatch", Dyno_Data[StageStat],"On",Dyno_Data[Spotlit],"&lt;&gt;9")</f>
        <v>0</v>
      </c>
      <c r="CH40" t="str">
        <f>_xlfn.XLOOKUP(TBA_Matches_All[[#This Row],[teammat]],Dyno_EndMatch[teammat],Dyno_EndMatch[Strategy],"_",0,1)</f>
        <v>None</v>
      </c>
      <c r="CI40">
        <f>SUMIFS(Dyno_Data[Defense], Dyno_Data[Team],TBA_Matches_All[[#This Row],[Team]],Dyno_Data[Match],TBA_Matches_All[[#This Row],[Match_Number]],Dyno_Data[RecordType],"EndMatch",Dyno_Data[Defense],"&lt;&gt;9")</f>
        <v>0</v>
      </c>
      <c r="CJ40">
        <f>SUMIFS(Dyno_Data[Avoidance], Dyno_Data[Team],TBA_Matches_All[[#This Row],[Team]],Dyno_Data[Match],TBA_Matches_All[[#This Row],[Match_Number]],Dyno_Data[RecordType],"EndMatch",Dyno_Data[Avoidance],"&lt;&gt;9")</f>
        <v>0</v>
      </c>
      <c r="CK40" s="82">
        <f>COUNTIF($H$2:TBA_Matches_All[[#This Row],[Team]],TBA_Matches_All[[#This Row],[Team]])</f>
        <v>1</v>
      </c>
      <c r="CL40" s="111">
        <f>SUM(MID(TBA_Matches_All[[#This Row],[Team]],4,5)+TBA_Matches_All[[#This Row],[Match_Number]]/100)</f>
        <v>2053.0700000000002</v>
      </c>
      <c r="CM40">
        <f>SUM((TBA_Matches_All[[#This Row],[Leave]]*2)+(TBA_Matches_All[[#This Row],[AampT]]*2)+(TBA_Matches_All[[#This Row],[AspkrT]]*5)+(TBA_Matches_All[[#This Row],[AtrapT]]*5))</f>
        <v>2</v>
      </c>
      <c r="CN40" s="59">
        <f>IFERROR(SUM(TBA_Matches_All[[#This Row],[AptsT]]/TBA_Matches_All[[#This Row],[AutoPts]]),0)</f>
        <v>0.18181818181818182</v>
      </c>
      <c r="CO40" s="59">
        <f>IFERROR(SUM(TBA_Matches_All[[#This Row],[AampT]]+TBA_Matches_All[[#This Row],[AspkrT]]+TBA_Matches_All[[#This Row],[AtrapT]]/TBA_Matches_All[[#This Row],[Aamp]]+TBA_Matches_All[[#This Row],[Aspkr]]+TBA_Matches_All[[#This Row],[AtrapT]]),0)</f>
        <v>0</v>
      </c>
      <c r="CP40" s="59">
        <f>IFERROR(SUM(TBA_Matches_All[[#This Row],[TampT]]/TBA_Matches_All[[#This Row],[Tamp]]),0)</f>
        <v>0</v>
      </c>
      <c r="CQ40" s="59">
        <f>IFERROR(SUM(TBA_Matches_All[[#This Row],[TspkrT]]/TBA_Matches_All[[#This Row],[Tspkr]]),0)</f>
        <v>0</v>
      </c>
      <c r="CR40">
        <f>SUM(TBA_Matches_All[[#This Row],[TspkrPts]]*TBA_Matches_All[[#This Row],[TspkrP]])</f>
        <v>0</v>
      </c>
      <c r="CS40" s="59">
        <f>IFERROR(SUM(TBA_Matches_All[[#This Row],[TtrapT]]/TBA_Matches_All[[#This Row],[Trap]]),0)</f>
        <v>0</v>
      </c>
      <c r="CT40" s="59">
        <f>IFERROR(SUM(TBA_Matches_All[[#This Row],[TotNotesT]]/TBA_Matches_All[[#This Row],[TotNotes]]),0)</f>
        <v>0</v>
      </c>
      <c r="CU40" s="66">
        <f>SUM((TBA_Matches_All[[#This Row],[AampT]]*2)+(TBA_Matches_All[[#This Row],[AspkrT]]*5)+(TBA_Matches_All[[#This Row],[AtrapT]]*5)+(TBA_Matches_All[[#This Row],[TampT]]*1)+(TBA_Matches_All[[#This Row],[TspkrptsC]]))</f>
        <v>0</v>
      </c>
      <c r="CV40" s="59">
        <f>IFERROR(TBA_Matches_All[[#This Row],[noteptsT]]/TBA_Matches_All[[#This Row],[NotePts]],0)</f>
        <v>0</v>
      </c>
      <c r="CW40">
        <f>SUM(IF(TBA_Matches_All[[#This Row],[stageStat]]="On",3,0),IF(TBA_Matches_All[[#This Row],[stageStat]]="Park",1,0),SUMIFS(TBA_Matches_All[[#This Row],[Spotlit]],TBA_Matches_All[[#This Row],[stageStat]],"On"),SUMIFS(TBA_Matches_All[[#This Row],[Harmony]],TBA_Matches_All[[#This Row],[stageStat]],"On"))</f>
        <v>0</v>
      </c>
      <c r="CX40" s="59">
        <f>IFERROR(TBA_Matches_All[[#This Row],[stageptsT]]/TBA_Matches_All[[#This Row],[StagePts]],0)</f>
        <v>0</v>
      </c>
      <c r="CY40">
        <f>SUM((TBA_Matches_All[[#This Row],[AptsT]]+TBA_Matches_All[[#This Row],[TampT]]+TBA_Matches_All[[#This Row],[TspkrptsC]]+(TBA_Matches_All[[#This Row],[TtrapT]]*5)+TBA_Matches_All[[#This Row],[stageptsT]]))</f>
        <v>2</v>
      </c>
      <c r="CZ40" s="59">
        <f>IFERROR(SUM(TBA_Matches_All[[#This Row],[TotptsC]]/TBA_Matches_All[[#This Row],[Score]]),0)</f>
        <v>7.407407407407407E-2</v>
      </c>
      <c r="DA4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11.733333333333334</v>
      </c>
      <c r="DB40" s="74">
        <f>SUMIFS(TBA_Matches_All[AveTeamTNoteDels],TBA_Matches_All[Match_Number],TBA_Matches_All[[#This Row],[Match_Number]],TBA_Matches_All[Alliance],"&lt;&gt;"&amp;TBA_Matches_All[[#This Row],[Alliance]],TBA_Matches_All[Scouted],"&gt;0")</f>
        <v>33.441818181818185</v>
      </c>
      <c r="DC40" s="74">
        <f>(TBA_Matches_All[[#This Row],[TampT]]+TBA_Matches_All[[#This Row],[TspkrptsC]])-TBA_Matches_All[[#This Row],[AveTeamTNoteDels]]</f>
        <v>-11.733333333333334</v>
      </c>
      <c r="DD40" s="74">
        <f>SUMIFS(TBA_Matches_All[AveTeamTNoteDels],TBA_Matches_All[Match_Number],TBA_Matches_All[[#This Row],[Match_Number]],TBA_Matches_All[Alliance],"&lt;&gt;"&amp;TBA_Matches_All[[#This Row],[Alliance]])-TBA_Matches_All[[#This Row],[AveOppTNoteDels]]</f>
        <v>0</v>
      </c>
    </row>
    <row r="41" spans="1:108" x14ac:dyDescent="0.3">
      <c r="A41" t="s">
        <v>1042</v>
      </c>
      <c r="B41" t="s">
        <v>489</v>
      </c>
      <c r="C41" t="s">
        <v>1307</v>
      </c>
      <c r="D41">
        <v>7</v>
      </c>
      <c r="E41" t="s">
        <v>1420</v>
      </c>
      <c r="F41" t="s">
        <v>1425</v>
      </c>
      <c r="G41" t="s">
        <v>105</v>
      </c>
      <c r="H41" t="s">
        <v>1308</v>
      </c>
      <c r="I41" t="b">
        <v>1</v>
      </c>
      <c r="J41">
        <v>75</v>
      </c>
      <c r="K41">
        <v>1</v>
      </c>
      <c r="L41">
        <v>1</v>
      </c>
      <c r="M41">
        <v>4</v>
      </c>
      <c r="N41">
        <v>0</v>
      </c>
      <c r="O41">
        <v>3</v>
      </c>
      <c r="P41">
        <v>15</v>
      </c>
      <c r="Q41">
        <v>21</v>
      </c>
      <c r="R41">
        <v>5</v>
      </c>
      <c r="S41">
        <v>4</v>
      </c>
      <c r="T41">
        <v>9</v>
      </c>
      <c r="U41">
        <v>20</v>
      </c>
      <c r="V41">
        <v>18</v>
      </c>
      <c r="W41">
        <v>13</v>
      </c>
      <c r="X41">
        <v>38</v>
      </c>
      <c r="Y41">
        <v>43</v>
      </c>
      <c r="Z41">
        <v>0</v>
      </c>
      <c r="AA41">
        <v>0</v>
      </c>
      <c r="AB41">
        <v>21</v>
      </c>
      <c r="AC41">
        <v>58</v>
      </c>
      <c r="AD41">
        <v>11</v>
      </c>
      <c r="AE41">
        <f>IFERROR(6/(COUNTIF(Dyno_EndMatch[Match],TBA_Matches_All[[#This Row],[Match_Number]])),0)</f>
        <v>1</v>
      </c>
      <c r="AF41">
        <f>COUNTIFS(Dyno_Data[Team],TBA_Matches_All[[#This Row],[Team]],Dyno_Data[Match],TBA_Matches_All[[#This Row],[Match_Number]],Dyno_Data[RecordType],"EndMatch",Dyno_Data[HPAmp],"Y")</f>
        <v>0</v>
      </c>
      <c r="AG41">
        <f>SUMIFS(Dyno_Data[Mics], Dyno_Data[Team],TBA_Matches_All[[#This Row],[Team]],Dyno_Data[Match],TBA_Matches_All[[#This Row],[Match_Number]],Dyno_Data[RecordType],"EndMatch",Dyno_Data[HPAmp],"Y")</f>
        <v>0</v>
      </c>
      <c r="AH41">
        <f>SUMIFS(Dyno_Data[Leave], Dyno_Data[Team],TBA_Matches_All[[#This Row],[Team]],Dyno_Data[Match],TBA_Matches_All[[#This Row],[Match_Number]],Dyno_Data[RecordType],"EndAuto")</f>
        <v>1</v>
      </c>
      <c r="AI41">
        <f>COUNTIFS(Dyno_Data[Team],TBA_Matches_All[[#This Row],[Team]],Dyno_Data[Match],TBA_Matches_All[[#This Row],[Match_Number]],Dyno_Data[RecordType],"Activities",Dyno_Data[DelDest],"Amp", Dyno_Data[DelMiss],"0", Dyno_Data[Mode],"Auto")</f>
        <v>0</v>
      </c>
      <c r="AJ41">
        <f>COUNTIFS(Dyno_Data[Team],TBA_Matches_All[[#This Row],[Team]],Dyno_Data[Match],TBA_Matches_All[[#This Row],[Match_Number]],Dyno_Data[RecordType],"Activities",Dyno_Data[DelDest],"Spkr", Dyno_Data[DelMiss],"0", Dyno_Data[Mode],"Auto")</f>
        <v>2</v>
      </c>
      <c r="AK41">
        <f>COUNTIFS(Dyno_Data[Team],TBA_Matches_All[[#This Row],[Team]],Dyno_Data[Match],TBA_Matches_All[[#This Row],[Match_Number]],Dyno_Data[RecordType],"Activities",Dyno_Data[DelDest],"Trap", Dyno_Data[DelMiss],"0", Dyno_Data[Mode],"Auto")</f>
        <v>0</v>
      </c>
      <c r="AL41">
        <f>COUNTIFS(Dyno_Data[Team],TBA_Matches_All[[#This Row],[Team]],Dyno_Data[Match],TBA_Matches_All[[#This Row],[Match_Number]],Dyno_Data[RecordType],"Activities",Dyno_Data[DelDest],"Amp", Dyno_Data[DelMiss],"0", Dyno_Data[Mode],"Teleop")</f>
        <v>0</v>
      </c>
      <c r="AM41">
        <f>COUNTIFS(Dyno_Data[Team],TBA_Matches_All[[#This Row],[Team]],Dyno_Data[Match],TBA_Matches_All[[#This Row],[Match_Number]],Dyno_Data[RecordType],"Activities",Dyno_Data[DelDest],"Spkr", Dyno_Data[DelMiss],"0", Dyno_Data[Mode],"Teleop")</f>
        <v>10</v>
      </c>
      <c r="AN41">
        <f>COUNTIFS(Dyno_Data[Team],TBA_Matches_All[[#This Row],[Team]],Dyno_Data[Match],TBA_Matches_All[[#This Row],[Match_Number]],Dyno_Data[RecordType],"Activities",Dyno_Data[DelDest],"Trap", Dyno_Data[DelMiss],"0", Dyno_Data[Mode],"&lt;&gt;Auto")</f>
        <v>0</v>
      </c>
      <c r="AO41">
        <f>SUM(TBA_Matches_All[[#This Row],[AampT]]+TBA_Matches_All[[#This Row],[AspkrT]]+TBA_Matches_All[[#This Row],[AtrapT]]+TBA_Matches_All[[#This Row],[TampT]]+TBA_Matches_All[[#This Row],[TspkrT]]+TBA_Matches_All[[#This Row],[TtrapT]])</f>
        <v>12</v>
      </c>
      <c r="AP41">
        <f>COUNTIFS(Dyno_Data[Team],TBA_Matches_All[[#This Row],[Team]],Dyno_Data[Match],TBA_Matches_All[[#This Row],[Match_Number]],Dyno_Data[RecordType],"Activities",Dyno_Data[DelDest],"Neut", Dyno_Data[DelMiss],"0")</f>
        <v>0</v>
      </c>
      <c r="AQ41">
        <f>COUNTIFS(Dyno_Data[Team],TBA_Matches_All[[#This Row],[Team]],Dyno_Data[Match],TBA_Matches_All[[#This Row],[Match_Number]],Dyno_Data[RecordType],"Activities",Dyno_Data[DelDest],"AllyW", Dyno_Data[DelMiss],"0")</f>
        <v>0</v>
      </c>
      <c r="AR41" t="str">
        <f>_xlfn.XLOOKUP(SUM(MID(TBA_Matches_All[[#This Row],[Team]],4,5),(TBA_Matches_All[[#This Row],[Match_Number]]/100)),Dyno_EndMatch[teammat],Dyno_EndMatch[RobotSta],"_",0,1)</f>
        <v>SubW</v>
      </c>
      <c r="AS41">
        <f>SUMIFS(Dyno_Data[AcqDis], Dyno_Data[Team],TBA_Matches_All[[#This Row],[Team]],Dyno_Data[Match],TBA_Matches_All[[#This Row],[Match_Number]],Dyno_Data[RecordType],"Activities", Dyno_Data[AcqCenter],1,Dyno_Data[Mode],"Auto")</f>
        <v>0</v>
      </c>
      <c r="AT41">
        <f>SUMIFS(Dyno_Data[AcqDis], Dyno_Data[Team],TBA_Matches_All[[#This Row],[Team]],Dyno_Data[Match],TBA_Matches_All[[#This Row],[Match_Number]],Dyno_Data[RecordType],"Activities", Dyno_Data[AcqCenter],2,Dyno_Data[Mode],"Auto")</f>
        <v>0</v>
      </c>
      <c r="AU41">
        <f>SUMIFS(Dyno_Data[AcqDis], Dyno_Data[Team],TBA_Matches_All[[#This Row],[Team]],Dyno_Data[Match],TBA_Matches_All[[#This Row],[Match_Number]],Dyno_Data[RecordType],"Activities", Dyno_Data[AcqCenter],3,Dyno_Data[Mode],"Auto")</f>
        <v>0</v>
      </c>
      <c r="AV41">
        <f>SUMIFS(Dyno_Data[AcqDis], Dyno_Data[Team],TBA_Matches_All[[#This Row],[Team]],Dyno_Data[Match],TBA_Matches_All[[#This Row],[Match_Number]],Dyno_Data[RecordType],"Activities", Dyno_Data[AcqCenter],4,Dyno_Data[Mode],"Auto")</f>
        <v>0</v>
      </c>
      <c r="AW41">
        <f>SUMIFS(Dyno_Data[AcqDis], Dyno_Data[Team],TBA_Matches_All[[#This Row],[Team]],Dyno_Data[Match],TBA_Matches_All[[#This Row],[Match_Number]],Dyno_Data[RecordType],"Activities", Dyno_Data[AcqCenter],5,Dyno_Data[Mode],"Auto")</f>
        <v>0</v>
      </c>
      <c r="AX41">
        <f>SUMIFS(Dyno_Data[DelMiss], Dyno_Data[Team],TBA_Matches_All[[#This Row],[Team]],Dyno_Data[Match],TBA_Matches_All[[#This Row],[Match_Number]],Dyno_Data[RecordType],"Activities", Dyno_Data[DelDest],"Amp")</f>
        <v>2</v>
      </c>
      <c r="AY41" s="60">
        <f>IFERROR(SUM((TBA_Matches_All[[#This Row],[AampT]]+TBA_Matches_All[[#This Row],[TampT]])/(TBA_Matches_All[[#This Row],[AampT]]+TBA_Matches_All[[#This Row],[TampT]]+TBA_Matches_All[[#This Row],[ampM]])),0)</f>
        <v>0</v>
      </c>
      <c r="AZ41">
        <f>SUMIFS(Dyno_Data[DelMiss], Dyno_Data[Team],TBA_Matches_All[[#This Row],[Team]],Dyno_Data[Match],TBA_Matches_All[[#This Row],[Match_Number]],Dyno_Data[RecordType],"Activities", Dyno_Data[DelDest],"Spkr")</f>
        <v>0</v>
      </c>
      <c r="BA41" s="60">
        <f>IFERROR(SUM((TBA_Matches_All[[#This Row],[AspkrT]]+TBA_Matches_All[[#This Row],[TspkrT]])/(TBA_Matches_All[[#This Row],[AspkrT]]+TBA_Matches_All[[#This Row],[TspkrT]]+TBA_Matches_All[[#This Row],[spkrM]])),0)</f>
        <v>1</v>
      </c>
      <c r="BB41">
        <f>SUMIFS(Dyno_Data[DelMiss], Dyno_Data[Team],TBA_Matches_All[[#This Row],[Team]],Dyno_Data[Match],TBA_Matches_All[[#This Row],[Match_Number]],Dyno_Data[RecordType],"Activities", Dyno_Data[DelDest],"Trap")</f>
        <v>0</v>
      </c>
      <c r="BC41" s="60">
        <f>IFERROR((TBA_Matches_All[[#This Row],[AtrapT]]+TBA_Matches_All[[#This Row],[TtrapT]])/(TBA_Matches_All[[#This Row],[AtrapT]]+TBA_Matches_All[[#This Row],[TtrapT]]+TBA_Matches_All[[#This Row],[trapM]]),0)</f>
        <v>0</v>
      </c>
      <c r="BD41">
        <f>COUNTIFS(Dyno_Data[Team],TBA_Matches_All[[#This Row],[Team]],Dyno_Data[Match],TBA_Matches_All[[#This Row],[Match_Number]],Dyno_Data[RecordType],"Activities",Dyno_Data[DelDest],"Neut", Dyno_Data[DelMiss],1)</f>
        <v>0</v>
      </c>
      <c r="BE41" s="60">
        <f>IFERROR(SUM((TBA_Matches_All[[#This Row],[NeutFlrT]])/(TBA_Matches_All[[#This Row],[NeutFlrT]]+TBA_Matches_All[[#This Row],[NZflM]])),0)</f>
        <v>0</v>
      </c>
      <c r="BF41">
        <f>COUNTIFS(Dyno_Data[Team],TBA_Matches_All[[#This Row],[Team]],Dyno_Data[Match],TBA_Matches_All[[#This Row],[Match_Number]],Dyno_Data[RecordType],"Activities",Dyno_Data[DelDest],"AllyW", Dyno_Data[DelMiss],1)</f>
        <v>0</v>
      </c>
      <c r="BG41" s="60">
        <f>IFERROR(SUM((TBA_Matches_All[[#This Row],[AllyWFlrT]])/(TBA_Matches_All[[#This Row],[AllyWFlrT]]+TBA_Matches_All[[#This Row],[AZflM]])),0)</f>
        <v>0</v>
      </c>
      <c r="BH41">
        <f>COUNTIFS(Dyno_Data[Team],TBA_Matches_All[[#This Row],[Team]],Dyno_Data[Match],TBA_Matches_All[[#This Row],[Match_Number]],Dyno_Data[RecordType],"Activities",Dyno_Data[DelOrig],"OppW", Dyno_Data[DelMiss],"0")</f>
        <v>0</v>
      </c>
      <c r="BI41">
        <f>COUNTIFS(Dyno_Data[Team],TBA_Matches_All[[#This Row],[Team]],Dyno_Data[Match],TBA_Matches_All[[#This Row],[Match_Number]],Dyno_Data[RecordType],"Activities",Dyno_Data[DelOrig],"OppW", Dyno_Data[DelMiss],"1")</f>
        <v>0</v>
      </c>
      <c r="BJ41" s="60">
        <f>IFERROR(SUM((TBA_Matches_All[[#This Row],[OZflrT]])/(TBA_Matches_All[[#This Row],[OZflrT]]+TBA_Matches_All[[#This Row],[OZflrM]])),0)</f>
        <v>0</v>
      </c>
      <c r="BK41">
        <f>COUNTIFS(Dyno_Data[Team],TBA_Matches_All[[#This Row],[Team]],Dyno_Data[Match],TBA_Matches_All[[#This Row],[Match_Number]],Dyno_Data[RecordType],"Activities",Dyno_Data[DelOrig],"Neut", Dyno_Data[DelMiss],"0")</f>
        <v>0</v>
      </c>
      <c r="BL41">
        <f>COUNTIFS(Dyno_Data[Team],TBA_Matches_All[[#This Row],[Team]],Dyno_Data[Match],TBA_Matches_All[[#This Row],[Match_Number]],Dyno_Data[RecordType],"Activities",Dyno_Data[DelOrig],"Neut", Dyno_Data[DelMiss],"1")</f>
        <v>0</v>
      </c>
      <c r="BM41" s="60">
        <f>IFERROR(SUM((TBA_Matches_All[[#This Row],[NZflrT]])/(TBA_Matches_All[[#This Row],[NZflrT]]+TBA_Matches_All[[#This Row],[NZflrM]])),0)</f>
        <v>0</v>
      </c>
      <c r="BN41">
        <f>COUNTIFS(Dyno_Data[Team],TBA_Matches_All[[#This Row],[Team]],Dyno_Data[Match],TBA_Matches_All[[#This Row],[Match_Number]],Dyno_Data[RecordType],"Activities",Dyno_Data[DelOrig],"AllyW", Dyno_Data[DelMiss],"0")</f>
        <v>0</v>
      </c>
      <c r="BO41">
        <f>COUNTIFS(Dyno_Data[Team],TBA_Matches_All[[#This Row],[Team]],Dyno_Data[Match],TBA_Matches_All[[#This Row],[Match_Number]],Dyno_Data[RecordType],"Activities",Dyno_Data[DelOrig],"AllyW", Dyno_Data[DelMiss],"1")</f>
        <v>2</v>
      </c>
      <c r="BP41" s="60">
        <f>IFERROR(SUM((TBA_Matches_All[[#This Row],[AZflrT]])/(TBA_Matches_All[[#This Row],[AZflrT]]+TBA_Matches_All[[#This Row],[AZflrM]])),0)</f>
        <v>0</v>
      </c>
      <c r="BQ41">
        <f>COUNTIFS(Dyno_Data[Team],TBA_Matches_All[[#This Row],[Team]],Dyno_Data[Match],TBA_Matches_All[[#This Row],[Match_Number]],Dyno_Data[RecordType],"Activities",Dyno_Data[DelOrig],"SubW", Dyno_Data[DelMiss],"0")</f>
        <v>12</v>
      </c>
      <c r="BR41">
        <f>COUNTIFS(Dyno_Data[Team],TBA_Matches_All[[#This Row],[Team]],Dyno_Data[Match],TBA_Matches_All[[#This Row],[Match_Number]],Dyno_Data[RecordType],"Activities",Dyno_Data[DelOrig],"SubW", Dyno_Data[DelMiss],"1")</f>
        <v>0</v>
      </c>
      <c r="BS41" s="60">
        <f>IFERROR(SUM((TBA_Matches_All[[#This Row],[SubwT]])/(TBA_Matches_All[[#This Row],[SubwT]]+TBA_Matches_All[[#This Row],[SubwM]])),0)</f>
        <v>1</v>
      </c>
      <c r="BT41">
        <f>COUNTIFS(Dyno_Data[Team],TBA_Matches_All[[#This Row],[Team]],Dyno_Data[Match],TBA_Matches_All[[#This Row],[Match_Number]],Dyno_Data[RecordType],"Activities", Dyno_Data[AcqLoc],"OppWing")</f>
        <v>0</v>
      </c>
      <c r="BU41">
        <f>COUNTIFS(Dyno_Data[Team],TBA_Matches_All[[#This Row],[Team]],Dyno_Data[Match],TBA_Matches_All[[#This Row],[Match_Number]],Dyno_Data[RecordType],"Activities", Dyno_Data[AcqLoc],"Neutral")</f>
        <v>0</v>
      </c>
      <c r="BV41">
        <f>COUNTIFS(Dyno_Data[Team],TBA_Matches_All[[#This Row],[Team]],Dyno_Data[Match],TBA_Matches_All[[#This Row],[Match_Number]],Dyno_Data[RecordType],"Activities", Dyno_Data[AcqLoc],"AllyWing")</f>
        <v>0</v>
      </c>
      <c r="BW41">
        <f>COUNTIFS(Dyno_Data[Team],TBA_Matches_All[[#This Row],[Team]],Dyno_Data[Match],TBA_Matches_All[[#This Row],[Match_Number]],Dyno_Data[RecordType],"Activities", Dyno_Data[AcqLoc],"Source")</f>
        <v>0</v>
      </c>
      <c r="BX41">
        <f>SUMIFS(Dyno_Data[AcqDrp], Dyno_Data[Team],TBA_Matches_All[[#This Row],[Team]],Dyno_Data[Match],TBA_Matches_All[[#This Row],[Match_Number]],Dyno_Data[RecordType],"Activities", Dyno_Data[AcqLoc],"Source")</f>
        <v>0</v>
      </c>
      <c r="BY41">
        <f>SUMIFS(Dyno_Data[OZTime], Dyno_Data[Team],TBA_Matches_All[[#This Row],[Team]],Dyno_Data[Match],TBA_Matches_All[[#This Row],[Match_Number]],Dyno_Data[RecordType],"EndMatch")</f>
        <v>22.7613922</v>
      </c>
      <c r="BZ41">
        <f>SUMIFS(Dyno_Data[NZTime], Dyno_Data[Team],TBA_Matches_All[[#This Row],[Team]],Dyno_Data[Match],TBA_Matches_All[[#This Row],[Match_Number]],Dyno_Data[RecordType],"EndMatch")</f>
        <v>18.7123603</v>
      </c>
      <c r="CA41">
        <f>SUMIFS(Dyno_Data[AZTime], Dyno_Data[Team],TBA_Matches_All[[#This Row],[Team]],Dyno_Data[Match],TBA_Matches_All[[#This Row],[Match_Number]],Dyno_Data[RecordType],"EndMatch")</f>
        <v>78.649134399999994</v>
      </c>
      <c r="CB41">
        <f>SUMIFS(Dyno_Data[ClimbT], Dyno_Data[Team],TBA_Matches_All[[#This Row],[Team]],Dyno_Data[Match],TBA_Matches_All[[#This Row],[Match_Number]],Dyno_Data[RecordType],"EndMatch")</f>
        <v>6.0346111999999996</v>
      </c>
      <c r="CC41" t="str">
        <f>_xlfn.XLOOKUP(SUM(MID(TBA_Matches_All[[#This Row],[Team]],4,5),(TBA_Matches_All[[#This Row],[Match_Number]]/100)),Dyno_EndMatch[teammat],Dyno_EndMatch[StageStat],"_",0,1)</f>
        <v>On</v>
      </c>
      <c r="CD41" t="str">
        <f>_xlfn.XLOOKUP(TBA_Matches_All[[#This Row],[teammat]],Dyno_EndMatch[teammat],Dyno_EndMatch[StageAtt],"_",0,1)</f>
        <v>1</v>
      </c>
      <c r="CE41" t="str">
        <f>_xlfn.XLOOKUP(TBA_Matches_All[[#This Row],[teammat]],Dyno_EndMatch[teammat],Dyno_EndMatch[StageLoc],"_",0,1)</f>
        <v>L</v>
      </c>
      <c r="CF41">
        <f>SUMIFS(Dyno_Data[Harmony], Dyno_Data[Team],TBA_Matches_All[[#This Row],[Team]],Dyno_Data[Match],TBA_Matches_All[[#This Row],[Match_Number]],Dyno_Data[RecordType],"EndMatch", Dyno_Data[StageStat],"On",Dyno_Data[Harmony],"&lt;&gt;9")</f>
        <v>1</v>
      </c>
      <c r="CG41">
        <f>SUMIFS(Dyno_Data[Spotlit], Dyno_Data[Team],TBA_Matches_All[[#This Row],[Team]],Dyno_Data[Match],TBA_Matches_All[[#This Row],[Match_Number]],Dyno_Data[RecordType],"EndMatch", Dyno_Data[StageStat],"On",Dyno_Data[Spotlit],"&lt;&gt;9")</f>
        <v>0</v>
      </c>
      <c r="CH41" t="str">
        <f>_xlfn.XLOOKUP(TBA_Matches_All[[#This Row],[teammat]],Dyno_EndMatch[teammat],Dyno_EndMatch[Strategy],"_",0,1)</f>
        <v>Shooter</v>
      </c>
      <c r="CI41">
        <f>SUMIFS(Dyno_Data[Defense], Dyno_Data[Team],TBA_Matches_All[[#This Row],[Team]],Dyno_Data[Match],TBA_Matches_All[[#This Row],[Match_Number]],Dyno_Data[RecordType],"EndMatch",Dyno_Data[Defense],"&lt;&gt;9")</f>
        <v>0</v>
      </c>
      <c r="CJ41">
        <f>SUMIFS(Dyno_Data[Avoidance], Dyno_Data[Team],TBA_Matches_All[[#This Row],[Team]],Dyno_Data[Match],TBA_Matches_All[[#This Row],[Match_Number]],Dyno_Data[RecordType],"EndMatch",Dyno_Data[Avoidance],"&lt;&gt;9")</f>
        <v>0</v>
      </c>
      <c r="CK41" s="82">
        <f>COUNTIF($H$2:TBA_Matches_All[[#This Row],[Team]],TBA_Matches_All[[#This Row],[Team]])</f>
        <v>1</v>
      </c>
      <c r="CL41" s="111">
        <f>SUM(MID(TBA_Matches_All[[#This Row],[Team]],4,5)+TBA_Matches_All[[#This Row],[Match_Number]]/100)</f>
        <v>3799.07</v>
      </c>
      <c r="CM41">
        <f>SUM((TBA_Matches_All[[#This Row],[Leave]]*2)+(TBA_Matches_All[[#This Row],[AampT]]*2)+(TBA_Matches_All[[#This Row],[AspkrT]]*5)+(TBA_Matches_All[[#This Row],[AtrapT]]*5))</f>
        <v>12</v>
      </c>
      <c r="CN41" s="59">
        <f>IFERROR(SUM(TBA_Matches_All[[#This Row],[AptsT]]/TBA_Matches_All[[#This Row],[AutoPts]]),0)</f>
        <v>0.5714285714285714</v>
      </c>
      <c r="CO41" s="59">
        <f>IFERROR(SUM(TBA_Matches_All[[#This Row],[AampT]]+TBA_Matches_All[[#This Row],[AspkrT]]+TBA_Matches_All[[#This Row],[AtrapT]]/TBA_Matches_All[[#This Row],[Aamp]]+TBA_Matches_All[[#This Row],[Aspkr]]+TBA_Matches_All[[#This Row],[AtrapT]]),0)</f>
        <v>0</v>
      </c>
      <c r="CP41" s="59">
        <f>IFERROR(SUM(TBA_Matches_All[[#This Row],[TampT]]/TBA_Matches_All[[#This Row],[Tamp]]),0)</f>
        <v>0</v>
      </c>
      <c r="CQ41" s="59">
        <f>IFERROR(SUM(TBA_Matches_All[[#This Row],[TspkrT]]/TBA_Matches_All[[#This Row],[Tspkr]]),0)</f>
        <v>0.76923076923076927</v>
      </c>
      <c r="CR41">
        <f>SUM(TBA_Matches_All[[#This Row],[TspkrPts]]*TBA_Matches_All[[#This Row],[TspkrP]])</f>
        <v>29.230769230769234</v>
      </c>
      <c r="CS41" s="59">
        <f>IFERROR(SUM(TBA_Matches_All[[#This Row],[TtrapT]]/TBA_Matches_All[[#This Row],[Trap]]),0)</f>
        <v>0</v>
      </c>
      <c r="CT41" s="59">
        <f>IFERROR(SUM(TBA_Matches_All[[#This Row],[TotNotesT]]/TBA_Matches_All[[#This Row],[TotNotes]]),0)</f>
        <v>0.5714285714285714</v>
      </c>
      <c r="CU41" s="66">
        <f>SUM((TBA_Matches_All[[#This Row],[AampT]]*2)+(TBA_Matches_All[[#This Row],[AspkrT]]*5)+(TBA_Matches_All[[#This Row],[AtrapT]]*5)+(TBA_Matches_All[[#This Row],[TampT]]*1)+(TBA_Matches_All[[#This Row],[TspkrptsC]]))</f>
        <v>39.230769230769234</v>
      </c>
      <c r="CV41" s="59">
        <f>IFERROR(TBA_Matches_All[[#This Row],[noteptsT]]/TBA_Matches_All[[#This Row],[NotePts]],0)</f>
        <v>0.67639257294429711</v>
      </c>
      <c r="CW41">
        <f>SUM(IF(TBA_Matches_All[[#This Row],[stageStat]]="On",3,0),IF(TBA_Matches_All[[#This Row],[stageStat]]="Park",1,0),SUMIFS(TBA_Matches_All[[#This Row],[Spotlit]],TBA_Matches_All[[#This Row],[stageStat]],"On"),SUMIFS(TBA_Matches_All[[#This Row],[Harmony]],TBA_Matches_All[[#This Row],[stageStat]],"On"))</f>
        <v>4</v>
      </c>
      <c r="CX41" s="59">
        <f>IFERROR(TBA_Matches_All[[#This Row],[stageptsT]]/TBA_Matches_All[[#This Row],[StagePts]],0)</f>
        <v>0.36363636363636365</v>
      </c>
      <c r="CY41">
        <f>SUM((TBA_Matches_All[[#This Row],[AptsT]]+TBA_Matches_All[[#This Row],[TampT]]+TBA_Matches_All[[#This Row],[TspkrptsC]]+(TBA_Matches_All[[#This Row],[TtrapT]]*5)+TBA_Matches_All[[#This Row],[stageptsT]]))</f>
        <v>45.230769230769234</v>
      </c>
      <c r="CZ41" s="59">
        <f>IFERROR(SUM(TBA_Matches_All[[#This Row],[TotptsC]]/TBA_Matches_All[[#This Row],[Score]]),0)</f>
        <v>0.60307692307692307</v>
      </c>
      <c r="DA4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18.43181818181818</v>
      </c>
      <c r="DB41" s="74">
        <f>SUMIFS(TBA_Matches_All[AveTeamTNoteDels],TBA_Matches_All[Match_Number],TBA_Matches_All[[#This Row],[Match_Number]],TBA_Matches_All[Alliance],"&lt;&gt;"&amp;TBA_Matches_All[[#This Row],[Alliance]],TBA_Matches_All[Scouted],"&gt;0")</f>
        <v>22.948717948717952</v>
      </c>
      <c r="DC41" s="74">
        <f>(TBA_Matches_All[[#This Row],[TampT]]+TBA_Matches_All[[#This Row],[TspkrptsC]])-TBA_Matches_All[[#This Row],[AveTeamTNoteDels]]</f>
        <v>10.798951048951054</v>
      </c>
      <c r="DD41" s="74">
        <f>SUMIFS(TBA_Matches_All[AveTeamTNoteDels],TBA_Matches_All[Match_Number],TBA_Matches_All[[#This Row],[Match_Number]],TBA_Matches_All[Alliance],"&lt;&gt;"&amp;TBA_Matches_All[[#This Row],[Alliance]])-TBA_Matches_All[[#This Row],[AveOppTNoteDels]]</f>
        <v>0</v>
      </c>
    </row>
    <row r="42" spans="1:108" x14ac:dyDescent="0.3">
      <c r="A42" t="s">
        <v>1042</v>
      </c>
      <c r="B42" t="s">
        <v>489</v>
      </c>
      <c r="C42" t="s">
        <v>1307</v>
      </c>
      <c r="D42">
        <v>7</v>
      </c>
      <c r="E42" t="s">
        <v>1406</v>
      </c>
      <c r="F42" t="s">
        <v>1426</v>
      </c>
      <c r="G42" t="s">
        <v>164</v>
      </c>
      <c r="H42" t="s">
        <v>1310</v>
      </c>
      <c r="I42" t="b">
        <v>1</v>
      </c>
      <c r="J42">
        <v>27</v>
      </c>
      <c r="K42">
        <v>0</v>
      </c>
      <c r="L42">
        <v>0</v>
      </c>
      <c r="M42">
        <v>0</v>
      </c>
      <c r="N42">
        <v>0</v>
      </c>
      <c r="O42">
        <v>1</v>
      </c>
      <c r="P42">
        <v>5</v>
      </c>
      <c r="Q42">
        <v>11</v>
      </c>
      <c r="R42">
        <v>1</v>
      </c>
      <c r="S42">
        <v>0</v>
      </c>
      <c r="T42">
        <v>4</v>
      </c>
      <c r="U42">
        <v>0</v>
      </c>
      <c r="V42">
        <v>8</v>
      </c>
      <c r="W42">
        <v>4</v>
      </c>
      <c r="X42">
        <v>8</v>
      </c>
      <c r="Y42">
        <v>9</v>
      </c>
      <c r="Z42">
        <v>0</v>
      </c>
      <c r="AA42">
        <v>0</v>
      </c>
      <c r="AB42">
        <v>6</v>
      </c>
      <c r="AC42">
        <v>14</v>
      </c>
      <c r="AD42">
        <v>3</v>
      </c>
      <c r="AE42">
        <f>IFERROR(6/(COUNTIF(Dyno_EndMatch[Match],TBA_Matches_All[[#This Row],[Match_Number]])),0)</f>
        <v>1</v>
      </c>
      <c r="AF42">
        <f>COUNTIFS(Dyno_Data[Team],TBA_Matches_All[[#This Row],[Team]],Dyno_Data[Match],TBA_Matches_All[[#This Row],[Match_Number]],Dyno_Data[RecordType],"EndMatch",Dyno_Data[HPAmp],"Y")</f>
        <v>1</v>
      </c>
      <c r="AG42">
        <f>SUMIFS(Dyno_Data[Mics], Dyno_Data[Team],TBA_Matches_All[[#This Row],[Team]],Dyno_Data[Match],TBA_Matches_All[[#This Row],[Match_Number]],Dyno_Data[RecordType],"EndMatch",Dyno_Data[HPAmp],"Y")</f>
        <v>0</v>
      </c>
      <c r="AH42">
        <f>SUMIFS(Dyno_Data[Leave], Dyno_Data[Team],TBA_Matches_All[[#This Row],[Team]],Dyno_Data[Match],TBA_Matches_All[[#This Row],[Match_Number]],Dyno_Data[RecordType],"EndAuto")</f>
        <v>1</v>
      </c>
      <c r="AI42">
        <f>COUNTIFS(Dyno_Data[Team],TBA_Matches_All[[#This Row],[Team]],Dyno_Data[Match],TBA_Matches_All[[#This Row],[Match_Number]],Dyno_Data[RecordType],"Activities",Dyno_Data[DelDest],"Amp", Dyno_Data[DelMiss],"0", Dyno_Data[Mode],"Auto")</f>
        <v>0</v>
      </c>
      <c r="AJ42">
        <f>COUNTIFS(Dyno_Data[Team],TBA_Matches_All[[#This Row],[Team]],Dyno_Data[Match],TBA_Matches_All[[#This Row],[Match_Number]],Dyno_Data[RecordType],"Activities",Dyno_Data[DelDest],"Spkr", Dyno_Data[DelMiss],"0", Dyno_Data[Mode],"Auto")</f>
        <v>1</v>
      </c>
      <c r="AK42">
        <f>COUNTIFS(Dyno_Data[Team],TBA_Matches_All[[#This Row],[Team]],Dyno_Data[Match],TBA_Matches_All[[#This Row],[Match_Number]],Dyno_Data[RecordType],"Activities",Dyno_Data[DelDest],"Trap", Dyno_Data[DelMiss],"0", Dyno_Data[Mode],"Auto")</f>
        <v>0</v>
      </c>
      <c r="AL42">
        <f>COUNTIFS(Dyno_Data[Team],TBA_Matches_All[[#This Row],[Team]],Dyno_Data[Match],TBA_Matches_All[[#This Row],[Match_Number]],Dyno_Data[RecordType],"Activities",Dyno_Data[DelDest],"Amp", Dyno_Data[DelMiss],"0", Dyno_Data[Mode],"Teleop")</f>
        <v>0</v>
      </c>
      <c r="AM42">
        <f>COUNTIFS(Dyno_Data[Team],TBA_Matches_All[[#This Row],[Team]],Dyno_Data[Match],TBA_Matches_All[[#This Row],[Match_Number]],Dyno_Data[RecordType],"Activities",Dyno_Data[DelDest],"Spkr", Dyno_Data[DelMiss],"0", Dyno_Data[Mode],"Teleop")</f>
        <v>3</v>
      </c>
      <c r="AN42">
        <f>COUNTIFS(Dyno_Data[Team],TBA_Matches_All[[#This Row],[Team]],Dyno_Data[Match],TBA_Matches_All[[#This Row],[Match_Number]],Dyno_Data[RecordType],"Activities",Dyno_Data[DelDest],"Trap", Dyno_Data[DelMiss],"0", Dyno_Data[Mode],"&lt;&gt;Auto")</f>
        <v>0</v>
      </c>
      <c r="AO42">
        <f>SUM(TBA_Matches_All[[#This Row],[AampT]]+TBA_Matches_All[[#This Row],[AspkrT]]+TBA_Matches_All[[#This Row],[AtrapT]]+TBA_Matches_All[[#This Row],[TampT]]+TBA_Matches_All[[#This Row],[TspkrT]]+TBA_Matches_All[[#This Row],[TtrapT]])</f>
        <v>4</v>
      </c>
      <c r="AP42">
        <f>COUNTIFS(Dyno_Data[Team],TBA_Matches_All[[#This Row],[Team]],Dyno_Data[Match],TBA_Matches_All[[#This Row],[Match_Number]],Dyno_Data[RecordType],"Activities",Dyno_Data[DelDest],"Neut", Dyno_Data[DelMiss],"0")</f>
        <v>0</v>
      </c>
      <c r="AQ42">
        <f>COUNTIFS(Dyno_Data[Team],TBA_Matches_All[[#This Row],[Team]],Dyno_Data[Match],TBA_Matches_All[[#This Row],[Match_Number]],Dyno_Data[RecordType],"Activities",Dyno_Data[DelDest],"AllyW", Dyno_Data[DelMiss],"0")</f>
        <v>0</v>
      </c>
      <c r="AR42" t="str">
        <f>_xlfn.XLOOKUP(SUM(MID(TBA_Matches_All[[#This Row],[Team]],4,5),(TBA_Matches_All[[#This Row],[Match_Number]]/100)),Dyno_EndMatch[teammat],Dyno_EndMatch[RobotSta],"_",0,1)</f>
        <v>Amp</v>
      </c>
      <c r="AS42">
        <f>SUMIFS(Dyno_Data[AcqDis], Dyno_Data[Team],TBA_Matches_All[[#This Row],[Team]],Dyno_Data[Match],TBA_Matches_All[[#This Row],[Match_Number]],Dyno_Data[RecordType],"Activities", Dyno_Data[AcqCenter],1,Dyno_Data[Mode],"Auto")</f>
        <v>0</v>
      </c>
      <c r="AT42">
        <f>SUMIFS(Dyno_Data[AcqDis], Dyno_Data[Team],TBA_Matches_All[[#This Row],[Team]],Dyno_Data[Match],TBA_Matches_All[[#This Row],[Match_Number]],Dyno_Data[RecordType],"Activities", Dyno_Data[AcqCenter],2,Dyno_Data[Mode],"Auto")</f>
        <v>0</v>
      </c>
      <c r="AU42">
        <f>SUMIFS(Dyno_Data[AcqDis], Dyno_Data[Team],TBA_Matches_All[[#This Row],[Team]],Dyno_Data[Match],TBA_Matches_All[[#This Row],[Match_Number]],Dyno_Data[RecordType],"Activities", Dyno_Data[AcqCenter],3,Dyno_Data[Mode],"Auto")</f>
        <v>0</v>
      </c>
      <c r="AV42">
        <f>SUMIFS(Dyno_Data[AcqDis], Dyno_Data[Team],TBA_Matches_All[[#This Row],[Team]],Dyno_Data[Match],TBA_Matches_All[[#This Row],[Match_Number]],Dyno_Data[RecordType],"Activities", Dyno_Data[AcqCenter],4,Dyno_Data[Mode],"Auto")</f>
        <v>0</v>
      </c>
      <c r="AW42">
        <f>SUMIFS(Dyno_Data[AcqDis], Dyno_Data[Team],TBA_Matches_All[[#This Row],[Team]],Dyno_Data[Match],TBA_Matches_All[[#This Row],[Match_Number]],Dyno_Data[RecordType],"Activities", Dyno_Data[AcqCenter],5,Dyno_Data[Mode],"Auto")</f>
        <v>0</v>
      </c>
      <c r="AX42">
        <f>SUMIFS(Dyno_Data[DelMiss], Dyno_Data[Team],TBA_Matches_All[[#This Row],[Team]],Dyno_Data[Match],TBA_Matches_All[[#This Row],[Match_Number]],Dyno_Data[RecordType],"Activities", Dyno_Data[DelDest],"Amp")</f>
        <v>0</v>
      </c>
      <c r="AY42" s="60">
        <f>IFERROR(SUM((TBA_Matches_All[[#This Row],[AampT]]+TBA_Matches_All[[#This Row],[TampT]])/(TBA_Matches_All[[#This Row],[AampT]]+TBA_Matches_All[[#This Row],[TampT]]+TBA_Matches_All[[#This Row],[ampM]])),0)</f>
        <v>0</v>
      </c>
      <c r="AZ42">
        <f>SUMIFS(Dyno_Data[DelMiss], Dyno_Data[Team],TBA_Matches_All[[#This Row],[Team]],Dyno_Data[Match],TBA_Matches_All[[#This Row],[Match_Number]],Dyno_Data[RecordType],"Activities", Dyno_Data[DelDest],"Spkr")</f>
        <v>5</v>
      </c>
      <c r="BA42" s="60">
        <f>IFERROR(SUM((TBA_Matches_All[[#This Row],[AspkrT]]+TBA_Matches_All[[#This Row],[TspkrT]])/(TBA_Matches_All[[#This Row],[AspkrT]]+TBA_Matches_All[[#This Row],[TspkrT]]+TBA_Matches_All[[#This Row],[spkrM]])),0)</f>
        <v>0.44444444444444442</v>
      </c>
      <c r="BB42">
        <f>SUMIFS(Dyno_Data[DelMiss], Dyno_Data[Team],TBA_Matches_All[[#This Row],[Team]],Dyno_Data[Match],TBA_Matches_All[[#This Row],[Match_Number]],Dyno_Data[RecordType],"Activities", Dyno_Data[DelDest],"Trap")</f>
        <v>0</v>
      </c>
      <c r="BC42" s="60">
        <f>IFERROR((TBA_Matches_All[[#This Row],[AtrapT]]+TBA_Matches_All[[#This Row],[TtrapT]])/(TBA_Matches_All[[#This Row],[AtrapT]]+TBA_Matches_All[[#This Row],[TtrapT]]+TBA_Matches_All[[#This Row],[trapM]]),0)</f>
        <v>0</v>
      </c>
      <c r="BD42">
        <f>COUNTIFS(Dyno_Data[Team],TBA_Matches_All[[#This Row],[Team]],Dyno_Data[Match],TBA_Matches_All[[#This Row],[Match_Number]],Dyno_Data[RecordType],"Activities",Dyno_Data[DelDest],"Neut", Dyno_Data[DelMiss],1)</f>
        <v>0</v>
      </c>
      <c r="BE42" s="60">
        <f>IFERROR(SUM((TBA_Matches_All[[#This Row],[NeutFlrT]])/(TBA_Matches_All[[#This Row],[NeutFlrT]]+TBA_Matches_All[[#This Row],[NZflM]])),0)</f>
        <v>0</v>
      </c>
      <c r="BF42">
        <f>COUNTIFS(Dyno_Data[Team],TBA_Matches_All[[#This Row],[Team]],Dyno_Data[Match],TBA_Matches_All[[#This Row],[Match_Number]],Dyno_Data[RecordType],"Activities",Dyno_Data[DelDest],"AllyW", Dyno_Data[DelMiss],1)</f>
        <v>0</v>
      </c>
      <c r="BG42" s="60">
        <f>IFERROR(SUM((TBA_Matches_All[[#This Row],[AllyWFlrT]])/(TBA_Matches_All[[#This Row],[AllyWFlrT]]+TBA_Matches_All[[#This Row],[AZflM]])),0)</f>
        <v>0</v>
      </c>
      <c r="BH42">
        <f>COUNTIFS(Dyno_Data[Team],TBA_Matches_All[[#This Row],[Team]],Dyno_Data[Match],TBA_Matches_All[[#This Row],[Match_Number]],Dyno_Data[RecordType],"Activities",Dyno_Data[DelOrig],"OppW", Dyno_Data[DelMiss],"0")</f>
        <v>0</v>
      </c>
      <c r="BI42">
        <f>COUNTIFS(Dyno_Data[Team],TBA_Matches_All[[#This Row],[Team]],Dyno_Data[Match],TBA_Matches_All[[#This Row],[Match_Number]],Dyno_Data[RecordType],"Activities",Dyno_Data[DelOrig],"OppW", Dyno_Data[DelMiss],"1")</f>
        <v>0</v>
      </c>
      <c r="BJ42" s="60">
        <f>IFERROR(SUM((TBA_Matches_All[[#This Row],[OZflrT]])/(TBA_Matches_All[[#This Row],[OZflrT]]+TBA_Matches_All[[#This Row],[OZflrM]])),0)</f>
        <v>0</v>
      </c>
      <c r="BK42">
        <f>COUNTIFS(Dyno_Data[Team],TBA_Matches_All[[#This Row],[Team]],Dyno_Data[Match],TBA_Matches_All[[#This Row],[Match_Number]],Dyno_Data[RecordType],"Activities",Dyno_Data[DelOrig],"Neut", Dyno_Data[DelMiss],"0")</f>
        <v>0</v>
      </c>
      <c r="BL42">
        <f>COUNTIFS(Dyno_Data[Team],TBA_Matches_All[[#This Row],[Team]],Dyno_Data[Match],TBA_Matches_All[[#This Row],[Match_Number]],Dyno_Data[RecordType],"Activities",Dyno_Data[DelOrig],"Neut", Dyno_Data[DelMiss],"1")</f>
        <v>0</v>
      </c>
      <c r="BM42" s="60">
        <f>IFERROR(SUM((TBA_Matches_All[[#This Row],[NZflrT]])/(TBA_Matches_All[[#This Row],[NZflrT]]+TBA_Matches_All[[#This Row],[NZflrM]])),0)</f>
        <v>0</v>
      </c>
      <c r="BN42">
        <f>COUNTIFS(Dyno_Data[Team],TBA_Matches_All[[#This Row],[Team]],Dyno_Data[Match],TBA_Matches_All[[#This Row],[Match_Number]],Dyno_Data[RecordType],"Activities",Dyno_Data[DelOrig],"AllyW", Dyno_Data[DelMiss],"0")</f>
        <v>1</v>
      </c>
      <c r="BO42">
        <f>COUNTIFS(Dyno_Data[Team],TBA_Matches_All[[#This Row],[Team]],Dyno_Data[Match],TBA_Matches_All[[#This Row],[Match_Number]],Dyno_Data[RecordType],"Activities",Dyno_Data[DelOrig],"AllyW", Dyno_Data[DelMiss],"1")</f>
        <v>2</v>
      </c>
      <c r="BP42" s="60">
        <f>IFERROR(SUM((TBA_Matches_All[[#This Row],[AZflrT]])/(TBA_Matches_All[[#This Row],[AZflrT]]+TBA_Matches_All[[#This Row],[AZflrM]])),0)</f>
        <v>0.33333333333333331</v>
      </c>
      <c r="BQ42">
        <f>COUNTIFS(Dyno_Data[Team],TBA_Matches_All[[#This Row],[Team]],Dyno_Data[Match],TBA_Matches_All[[#This Row],[Match_Number]],Dyno_Data[RecordType],"Activities",Dyno_Data[DelOrig],"SubW", Dyno_Data[DelMiss],"0")</f>
        <v>3</v>
      </c>
      <c r="BR42">
        <f>COUNTIFS(Dyno_Data[Team],TBA_Matches_All[[#This Row],[Team]],Dyno_Data[Match],TBA_Matches_All[[#This Row],[Match_Number]],Dyno_Data[RecordType],"Activities",Dyno_Data[DelOrig],"SubW", Dyno_Data[DelMiss],"1")</f>
        <v>3</v>
      </c>
      <c r="BS42" s="60">
        <f>IFERROR(SUM((TBA_Matches_All[[#This Row],[SubwT]])/(TBA_Matches_All[[#This Row],[SubwT]]+TBA_Matches_All[[#This Row],[SubwM]])),0)</f>
        <v>0.5</v>
      </c>
      <c r="BT42">
        <f>COUNTIFS(Dyno_Data[Team],TBA_Matches_All[[#This Row],[Team]],Dyno_Data[Match],TBA_Matches_All[[#This Row],[Match_Number]],Dyno_Data[RecordType],"Activities", Dyno_Data[AcqLoc],"OppWing")</f>
        <v>0</v>
      </c>
      <c r="BU42">
        <f>COUNTIFS(Dyno_Data[Team],TBA_Matches_All[[#This Row],[Team]],Dyno_Data[Match],TBA_Matches_All[[#This Row],[Match_Number]],Dyno_Data[RecordType],"Activities", Dyno_Data[AcqLoc],"Neutral")</f>
        <v>0</v>
      </c>
      <c r="BV42">
        <f>COUNTIFS(Dyno_Data[Team],TBA_Matches_All[[#This Row],[Team]],Dyno_Data[Match],TBA_Matches_All[[#This Row],[Match_Number]],Dyno_Data[RecordType],"Activities", Dyno_Data[AcqLoc],"AllyWing")</f>
        <v>0</v>
      </c>
      <c r="BW42">
        <f>COUNTIFS(Dyno_Data[Team],TBA_Matches_All[[#This Row],[Team]],Dyno_Data[Match],TBA_Matches_All[[#This Row],[Match_Number]],Dyno_Data[RecordType],"Activities", Dyno_Data[AcqLoc],"Source")</f>
        <v>0</v>
      </c>
      <c r="BX42">
        <f>SUMIFS(Dyno_Data[AcqDrp], Dyno_Data[Team],TBA_Matches_All[[#This Row],[Team]],Dyno_Data[Match],TBA_Matches_All[[#This Row],[Match_Number]],Dyno_Data[RecordType],"Activities", Dyno_Data[AcqLoc],"Source")</f>
        <v>0</v>
      </c>
      <c r="BY42">
        <f>SUMIFS(Dyno_Data[OZTime], Dyno_Data[Team],TBA_Matches_All[[#This Row],[Team]],Dyno_Data[Match],TBA_Matches_All[[#This Row],[Match_Number]],Dyno_Data[RecordType],"EndMatch")</f>
        <v>21.310317699999999</v>
      </c>
      <c r="BZ42">
        <f>SUMIFS(Dyno_Data[NZTime], Dyno_Data[Team],TBA_Matches_All[[#This Row],[Team]],Dyno_Data[Match],TBA_Matches_All[[#This Row],[Match_Number]],Dyno_Data[RecordType],"EndMatch")</f>
        <v>28.7890576</v>
      </c>
      <c r="CA42">
        <f>SUMIFS(Dyno_Data[AZTime], Dyno_Data[Team],TBA_Matches_All[[#This Row],[Team]],Dyno_Data[Match],TBA_Matches_All[[#This Row],[Match_Number]],Dyno_Data[RecordType],"EndMatch")</f>
        <v>74.814012199999993</v>
      </c>
      <c r="CB42">
        <f>SUMIFS(Dyno_Data[ClimbT], Dyno_Data[Team],TBA_Matches_All[[#This Row],[Team]],Dyno_Data[Match],TBA_Matches_All[[#This Row],[Match_Number]],Dyno_Data[RecordType],"EndMatch")</f>
        <v>9.2504511999999988</v>
      </c>
      <c r="CC42" t="str">
        <f>_xlfn.XLOOKUP(SUM(MID(TBA_Matches_All[[#This Row],[Team]],4,5),(TBA_Matches_All[[#This Row],[Match_Number]]/100)),Dyno_EndMatch[teammat],Dyno_EndMatch[StageStat],"_",0,1)</f>
        <v>On</v>
      </c>
      <c r="CD42" t="str">
        <f>_xlfn.XLOOKUP(TBA_Matches_All[[#This Row],[teammat]],Dyno_EndMatch[teammat],Dyno_EndMatch[StageAtt],"_",0,1)</f>
        <v>1</v>
      </c>
      <c r="CE42" t="str">
        <f>_xlfn.XLOOKUP(TBA_Matches_All[[#This Row],[teammat]],Dyno_EndMatch[teammat],Dyno_EndMatch[StageLoc],"_",0,1)</f>
        <v>R</v>
      </c>
      <c r="CF42">
        <f>SUMIFS(Dyno_Data[Harmony], Dyno_Data[Team],TBA_Matches_All[[#This Row],[Team]],Dyno_Data[Match],TBA_Matches_All[[#This Row],[Match_Number]],Dyno_Data[RecordType],"EndMatch", Dyno_Data[StageStat],"On",Dyno_Data[Harmony],"&lt;&gt;9")</f>
        <v>0</v>
      </c>
      <c r="CG42">
        <f>SUMIFS(Dyno_Data[Spotlit], Dyno_Data[Team],TBA_Matches_All[[#This Row],[Team]],Dyno_Data[Match],TBA_Matches_All[[#This Row],[Match_Number]],Dyno_Data[RecordType],"EndMatch", Dyno_Data[StageStat],"On",Dyno_Data[Spotlit],"&lt;&gt;9")</f>
        <v>0</v>
      </c>
      <c r="CH42" t="str">
        <f>_xlfn.XLOOKUP(TBA_Matches_All[[#This Row],[teammat]],Dyno_EndMatch[teammat],Dyno_EndMatch[Strategy],"_",0,1)</f>
        <v>Hybrid</v>
      </c>
      <c r="CI42">
        <f>SUMIFS(Dyno_Data[Defense], Dyno_Data[Team],TBA_Matches_All[[#This Row],[Team]],Dyno_Data[Match],TBA_Matches_All[[#This Row],[Match_Number]],Dyno_Data[RecordType],"EndMatch",Dyno_Data[Defense],"&lt;&gt;9")</f>
        <v>2</v>
      </c>
      <c r="CJ42">
        <f>SUMIFS(Dyno_Data[Avoidance], Dyno_Data[Team],TBA_Matches_All[[#This Row],[Team]],Dyno_Data[Match],TBA_Matches_All[[#This Row],[Match_Number]],Dyno_Data[RecordType],"EndMatch",Dyno_Data[Avoidance],"&lt;&gt;9")</f>
        <v>1</v>
      </c>
      <c r="CK42" s="82">
        <f>COUNTIF($H$2:TBA_Matches_All[[#This Row],[Team]],TBA_Matches_All[[#This Row],[Team]])</f>
        <v>1</v>
      </c>
      <c r="CL42" s="111">
        <f>SUM(MID(TBA_Matches_All[[#This Row],[Team]],4,5)+TBA_Matches_All[[#This Row],[Match_Number]]/100)</f>
        <v>6621.07</v>
      </c>
      <c r="CM42">
        <f>SUM((TBA_Matches_All[[#This Row],[Leave]]*2)+(TBA_Matches_All[[#This Row],[AampT]]*2)+(TBA_Matches_All[[#This Row],[AspkrT]]*5)+(TBA_Matches_All[[#This Row],[AtrapT]]*5))</f>
        <v>7</v>
      </c>
      <c r="CN42" s="59">
        <f>IFERROR(SUM(TBA_Matches_All[[#This Row],[AptsT]]/TBA_Matches_All[[#This Row],[AutoPts]]),0)</f>
        <v>0.63636363636363635</v>
      </c>
      <c r="CO42" s="59">
        <f>IFERROR(SUM(TBA_Matches_All[[#This Row],[AampT]]+TBA_Matches_All[[#This Row],[AspkrT]]+TBA_Matches_All[[#This Row],[AtrapT]]/TBA_Matches_All[[#This Row],[Aamp]]+TBA_Matches_All[[#This Row],[Aspkr]]+TBA_Matches_All[[#This Row],[AtrapT]]),0)</f>
        <v>0</v>
      </c>
      <c r="CP42" s="59">
        <f>IFERROR(SUM(TBA_Matches_All[[#This Row],[TampT]]/TBA_Matches_All[[#This Row],[Tamp]]),0)</f>
        <v>0</v>
      </c>
      <c r="CQ42" s="59">
        <f>IFERROR(SUM(TBA_Matches_All[[#This Row],[TspkrT]]/TBA_Matches_All[[#This Row],[Tspkr]]),0)</f>
        <v>0.75</v>
      </c>
      <c r="CR42">
        <f>SUM(TBA_Matches_All[[#This Row],[TspkrPts]]*TBA_Matches_All[[#This Row],[TspkrP]])</f>
        <v>6</v>
      </c>
      <c r="CS42" s="59">
        <f>IFERROR(SUM(TBA_Matches_All[[#This Row],[TtrapT]]/TBA_Matches_All[[#This Row],[Trap]]),0)</f>
        <v>0</v>
      </c>
      <c r="CT42" s="59">
        <f>IFERROR(SUM(TBA_Matches_All[[#This Row],[TotNotesT]]/TBA_Matches_All[[#This Row],[TotNotes]]),0)</f>
        <v>0.66666666666666663</v>
      </c>
      <c r="CU42" s="66">
        <f>SUM((TBA_Matches_All[[#This Row],[AampT]]*2)+(TBA_Matches_All[[#This Row],[AspkrT]]*5)+(TBA_Matches_All[[#This Row],[AtrapT]]*5)+(TBA_Matches_All[[#This Row],[TampT]]*1)+(TBA_Matches_All[[#This Row],[TspkrptsC]]))</f>
        <v>11</v>
      </c>
      <c r="CV42" s="59">
        <f>IFERROR(TBA_Matches_All[[#This Row],[noteptsT]]/TBA_Matches_All[[#This Row],[NotePts]],0)</f>
        <v>0.7857142857142857</v>
      </c>
      <c r="CW42">
        <f>SUM(IF(TBA_Matches_All[[#This Row],[stageStat]]="On",3,0),IF(TBA_Matches_All[[#This Row],[stageStat]]="Park",1,0),SUMIFS(TBA_Matches_All[[#This Row],[Spotlit]],TBA_Matches_All[[#This Row],[stageStat]],"On"),SUMIFS(TBA_Matches_All[[#This Row],[Harmony]],TBA_Matches_All[[#This Row],[stageStat]],"On"))</f>
        <v>3</v>
      </c>
      <c r="CX42" s="59">
        <f>IFERROR(TBA_Matches_All[[#This Row],[stageptsT]]/TBA_Matches_All[[#This Row],[StagePts]],0)</f>
        <v>1</v>
      </c>
      <c r="CY42">
        <f>SUM((TBA_Matches_All[[#This Row],[AptsT]]+TBA_Matches_All[[#This Row],[TampT]]+TBA_Matches_All[[#This Row],[TspkrptsC]]+(TBA_Matches_All[[#This Row],[TtrapT]]*5)+TBA_Matches_All[[#This Row],[stageptsT]]))</f>
        <v>16</v>
      </c>
      <c r="CZ42" s="59">
        <f>IFERROR(SUM(TBA_Matches_All[[#This Row],[TotptsC]]/TBA_Matches_All[[#This Row],[Score]]),0)</f>
        <v>0.59259259259259256</v>
      </c>
      <c r="DA4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10.015384615384617</v>
      </c>
      <c r="DB42" s="74">
        <f>SUMIFS(TBA_Matches_All[AveTeamTNoteDels],TBA_Matches_All[Match_Number],TBA_Matches_All[[#This Row],[Match_Number]],TBA_Matches_All[Alliance],"&lt;&gt;"&amp;TBA_Matches_All[[#This Row],[Alliance]],TBA_Matches_All[Scouted],"&gt;0")</f>
        <v>33.441818181818185</v>
      </c>
      <c r="DC42" s="74">
        <f>(TBA_Matches_All[[#This Row],[TampT]]+TBA_Matches_All[[#This Row],[TspkrptsC]])-TBA_Matches_All[[#This Row],[AveTeamTNoteDels]]</f>
        <v>-4.0153846153846171</v>
      </c>
      <c r="DD42" s="74">
        <f>SUMIFS(TBA_Matches_All[AveTeamTNoteDels],TBA_Matches_All[Match_Number],TBA_Matches_All[[#This Row],[Match_Number]],TBA_Matches_All[Alliance],"&lt;&gt;"&amp;TBA_Matches_All[[#This Row],[Alliance]])-TBA_Matches_All[[#This Row],[AveOppTNoteDels]]</f>
        <v>0</v>
      </c>
    </row>
    <row r="43" spans="1:108" x14ac:dyDescent="0.3">
      <c r="A43" t="s">
        <v>1042</v>
      </c>
      <c r="B43" t="s">
        <v>489</v>
      </c>
      <c r="C43" t="s">
        <v>1307</v>
      </c>
      <c r="D43">
        <v>7</v>
      </c>
      <c r="E43" t="s">
        <v>1420</v>
      </c>
      <c r="F43" t="s">
        <v>1423</v>
      </c>
      <c r="G43" t="s">
        <v>1409</v>
      </c>
      <c r="H43" t="s">
        <v>1309</v>
      </c>
      <c r="I43" t="b">
        <v>1</v>
      </c>
      <c r="J43">
        <v>75</v>
      </c>
      <c r="K43">
        <v>1</v>
      </c>
      <c r="L43">
        <v>1</v>
      </c>
      <c r="M43">
        <v>4</v>
      </c>
      <c r="N43">
        <v>0</v>
      </c>
      <c r="O43">
        <v>3</v>
      </c>
      <c r="P43">
        <v>15</v>
      </c>
      <c r="Q43">
        <v>21</v>
      </c>
      <c r="R43">
        <v>5</v>
      </c>
      <c r="S43">
        <v>4</v>
      </c>
      <c r="T43">
        <v>9</v>
      </c>
      <c r="U43">
        <v>20</v>
      </c>
      <c r="V43">
        <v>18</v>
      </c>
      <c r="W43">
        <v>13</v>
      </c>
      <c r="X43">
        <v>38</v>
      </c>
      <c r="Y43">
        <v>43</v>
      </c>
      <c r="Z43">
        <v>0</v>
      </c>
      <c r="AA43">
        <v>0</v>
      </c>
      <c r="AB43">
        <v>21</v>
      </c>
      <c r="AC43">
        <v>58</v>
      </c>
      <c r="AD43">
        <v>11</v>
      </c>
      <c r="AE43">
        <f>IFERROR(6/(COUNTIF(Dyno_EndMatch[Match],TBA_Matches_All[[#This Row],[Match_Number]])),0)</f>
        <v>1</v>
      </c>
      <c r="AF43">
        <f>COUNTIFS(Dyno_Data[Team],TBA_Matches_All[[#This Row],[Team]],Dyno_Data[Match],TBA_Matches_All[[#This Row],[Match_Number]],Dyno_Data[RecordType],"EndMatch",Dyno_Data[HPAmp],"Y")</f>
        <v>1</v>
      </c>
      <c r="AG43">
        <f>SUMIFS(Dyno_Data[Mics], Dyno_Data[Team],TBA_Matches_All[[#This Row],[Team]],Dyno_Data[Match],TBA_Matches_All[[#This Row],[Match_Number]],Dyno_Data[RecordType],"EndMatch",Dyno_Data[HPAmp],"Y")</f>
        <v>0</v>
      </c>
      <c r="AH43">
        <f>SUMIFS(Dyno_Data[Leave], Dyno_Data[Team],TBA_Matches_All[[#This Row],[Team]],Dyno_Data[Match],TBA_Matches_All[[#This Row],[Match_Number]],Dyno_Data[RecordType],"EndAuto")</f>
        <v>1</v>
      </c>
      <c r="AI43">
        <f>COUNTIFS(Dyno_Data[Team],TBA_Matches_All[[#This Row],[Team]],Dyno_Data[Match],TBA_Matches_All[[#This Row],[Match_Number]],Dyno_Data[RecordType],"Activities",Dyno_Data[DelDest],"Amp", Dyno_Data[DelMiss],"0", Dyno_Data[Mode],"Auto")</f>
        <v>0</v>
      </c>
      <c r="AJ43">
        <f>COUNTIFS(Dyno_Data[Team],TBA_Matches_All[[#This Row],[Team]],Dyno_Data[Match],TBA_Matches_All[[#This Row],[Match_Number]],Dyno_Data[RecordType],"Activities",Dyno_Data[DelDest],"Spkr", Dyno_Data[DelMiss],"0", Dyno_Data[Mode],"Auto")</f>
        <v>0</v>
      </c>
      <c r="AK43">
        <f>COUNTIFS(Dyno_Data[Team],TBA_Matches_All[[#This Row],[Team]],Dyno_Data[Match],TBA_Matches_All[[#This Row],[Match_Number]],Dyno_Data[RecordType],"Activities",Dyno_Data[DelDest],"Trap", Dyno_Data[DelMiss],"0", Dyno_Data[Mode],"Auto")</f>
        <v>0</v>
      </c>
      <c r="AL43">
        <f>COUNTIFS(Dyno_Data[Team],TBA_Matches_All[[#This Row],[Team]],Dyno_Data[Match],TBA_Matches_All[[#This Row],[Match_Number]],Dyno_Data[RecordType],"Activities",Dyno_Data[DelDest],"Amp", Dyno_Data[DelMiss],"0", Dyno_Data[Mode],"Teleop")</f>
        <v>5</v>
      </c>
      <c r="AM43">
        <f>COUNTIFS(Dyno_Data[Team],TBA_Matches_All[[#This Row],[Team]],Dyno_Data[Match],TBA_Matches_All[[#This Row],[Match_Number]],Dyno_Data[RecordType],"Activities",Dyno_Data[DelDest],"Spkr", Dyno_Data[DelMiss],"0", Dyno_Data[Mode],"Teleop")</f>
        <v>3</v>
      </c>
      <c r="AN43">
        <f>COUNTIFS(Dyno_Data[Team],TBA_Matches_All[[#This Row],[Team]],Dyno_Data[Match],TBA_Matches_All[[#This Row],[Match_Number]],Dyno_Data[RecordType],"Activities",Dyno_Data[DelDest],"Trap", Dyno_Data[DelMiss],"0", Dyno_Data[Mode],"&lt;&gt;Auto")</f>
        <v>0</v>
      </c>
      <c r="AO43">
        <f>SUM(TBA_Matches_All[[#This Row],[AampT]]+TBA_Matches_All[[#This Row],[AspkrT]]+TBA_Matches_All[[#This Row],[AtrapT]]+TBA_Matches_All[[#This Row],[TampT]]+TBA_Matches_All[[#This Row],[TspkrT]]+TBA_Matches_All[[#This Row],[TtrapT]])</f>
        <v>8</v>
      </c>
      <c r="AP43">
        <f>COUNTIFS(Dyno_Data[Team],TBA_Matches_All[[#This Row],[Team]],Dyno_Data[Match],TBA_Matches_All[[#This Row],[Match_Number]],Dyno_Data[RecordType],"Activities",Dyno_Data[DelDest],"Neut", Dyno_Data[DelMiss],"0")</f>
        <v>0</v>
      </c>
      <c r="AQ43">
        <f>COUNTIFS(Dyno_Data[Team],TBA_Matches_All[[#This Row],[Team]],Dyno_Data[Match],TBA_Matches_All[[#This Row],[Match_Number]],Dyno_Data[RecordType],"Activities",Dyno_Data[DelDest],"AllyW", Dyno_Data[DelMiss],"0")</f>
        <v>1</v>
      </c>
      <c r="AR43" t="str">
        <f>_xlfn.XLOOKUP(SUM(MID(TBA_Matches_All[[#This Row],[Team]],4,5),(TBA_Matches_All[[#This Row],[Match_Number]]/100)),Dyno_EndMatch[teammat],Dyno_EndMatch[RobotSta],"_",0,1)</f>
        <v>Podm</v>
      </c>
      <c r="AS43">
        <f>SUMIFS(Dyno_Data[AcqDis], Dyno_Data[Team],TBA_Matches_All[[#This Row],[Team]],Dyno_Data[Match],TBA_Matches_All[[#This Row],[Match_Number]],Dyno_Data[RecordType],"Activities", Dyno_Data[AcqCenter],1,Dyno_Data[Mode],"Auto")</f>
        <v>0</v>
      </c>
      <c r="AT43">
        <f>SUMIFS(Dyno_Data[AcqDis], Dyno_Data[Team],TBA_Matches_All[[#This Row],[Team]],Dyno_Data[Match],TBA_Matches_All[[#This Row],[Match_Number]],Dyno_Data[RecordType],"Activities", Dyno_Data[AcqCenter],2,Dyno_Data[Mode],"Auto")</f>
        <v>0</v>
      </c>
      <c r="AU43">
        <f>SUMIFS(Dyno_Data[AcqDis], Dyno_Data[Team],TBA_Matches_All[[#This Row],[Team]],Dyno_Data[Match],TBA_Matches_All[[#This Row],[Match_Number]],Dyno_Data[RecordType],"Activities", Dyno_Data[AcqCenter],3,Dyno_Data[Mode],"Auto")</f>
        <v>0</v>
      </c>
      <c r="AV43">
        <f>SUMIFS(Dyno_Data[AcqDis], Dyno_Data[Team],TBA_Matches_All[[#This Row],[Team]],Dyno_Data[Match],TBA_Matches_All[[#This Row],[Match_Number]],Dyno_Data[RecordType],"Activities", Dyno_Data[AcqCenter],4,Dyno_Data[Mode],"Auto")</f>
        <v>0</v>
      </c>
      <c r="AW43">
        <f>SUMIFS(Dyno_Data[AcqDis], Dyno_Data[Team],TBA_Matches_All[[#This Row],[Team]],Dyno_Data[Match],TBA_Matches_All[[#This Row],[Match_Number]],Dyno_Data[RecordType],"Activities", Dyno_Data[AcqCenter],5,Dyno_Data[Mode],"Auto")</f>
        <v>0</v>
      </c>
      <c r="AX43">
        <f>SUMIFS(Dyno_Data[DelMiss], Dyno_Data[Team],TBA_Matches_All[[#This Row],[Team]],Dyno_Data[Match],TBA_Matches_All[[#This Row],[Match_Number]],Dyno_Data[RecordType],"Activities", Dyno_Data[DelDest],"Amp")</f>
        <v>0</v>
      </c>
      <c r="AY43" s="60">
        <f>IFERROR(SUM((TBA_Matches_All[[#This Row],[AampT]]+TBA_Matches_All[[#This Row],[TampT]])/(TBA_Matches_All[[#This Row],[AampT]]+TBA_Matches_All[[#This Row],[TampT]]+TBA_Matches_All[[#This Row],[ampM]])),0)</f>
        <v>1</v>
      </c>
      <c r="AZ43">
        <f>SUMIFS(Dyno_Data[DelMiss], Dyno_Data[Team],TBA_Matches_All[[#This Row],[Team]],Dyno_Data[Match],TBA_Matches_All[[#This Row],[Match_Number]],Dyno_Data[RecordType],"Activities", Dyno_Data[DelDest],"Spkr")</f>
        <v>1</v>
      </c>
      <c r="BA43" s="60">
        <f>IFERROR(SUM((TBA_Matches_All[[#This Row],[AspkrT]]+TBA_Matches_All[[#This Row],[TspkrT]])/(TBA_Matches_All[[#This Row],[AspkrT]]+TBA_Matches_All[[#This Row],[TspkrT]]+TBA_Matches_All[[#This Row],[spkrM]])),0)</f>
        <v>0.75</v>
      </c>
      <c r="BB43">
        <f>SUMIFS(Dyno_Data[DelMiss], Dyno_Data[Team],TBA_Matches_All[[#This Row],[Team]],Dyno_Data[Match],TBA_Matches_All[[#This Row],[Match_Number]],Dyno_Data[RecordType],"Activities", Dyno_Data[DelDest],"Trap")</f>
        <v>0</v>
      </c>
      <c r="BC43" s="60">
        <f>IFERROR((TBA_Matches_All[[#This Row],[AtrapT]]+TBA_Matches_All[[#This Row],[TtrapT]])/(TBA_Matches_All[[#This Row],[AtrapT]]+TBA_Matches_All[[#This Row],[TtrapT]]+TBA_Matches_All[[#This Row],[trapM]]),0)</f>
        <v>0</v>
      </c>
      <c r="BD43">
        <f>COUNTIFS(Dyno_Data[Team],TBA_Matches_All[[#This Row],[Team]],Dyno_Data[Match],TBA_Matches_All[[#This Row],[Match_Number]],Dyno_Data[RecordType],"Activities",Dyno_Data[DelDest],"Neut", Dyno_Data[DelMiss],1)</f>
        <v>0</v>
      </c>
      <c r="BE43" s="60">
        <f>IFERROR(SUM((TBA_Matches_All[[#This Row],[NeutFlrT]])/(TBA_Matches_All[[#This Row],[NeutFlrT]]+TBA_Matches_All[[#This Row],[NZflM]])),0)</f>
        <v>0</v>
      </c>
      <c r="BF43">
        <f>COUNTIFS(Dyno_Data[Team],TBA_Matches_All[[#This Row],[Team]],Dyno_Data[Match],TBA_Matches_All[[#This Row],[Match_Number]],Dyno_Data[RecordType],"Activities",Dyno_Data[DelDest],"AllyW", Dyno_Data[DelMiss],1)</f>
        <v>0</v>
      </c>
      <c r="BG43" s="60">
        <f>IFERROR(SUM((TBA_Matches_All[[#This Row],[AllyWFlrT]])/(TBA_Matches_All[[#This Row],[AllyWFlrT]]+TBA_Matches_All[[#This Row],[AZflM]])),0)</f>
        <v>1</v>
      </c>
      <c r="BH43">
        <f>COUNTIFS(Dyno_Data[Team],TBA_Matches_All[[#This Row],[Team]],Dyno_Data[Match],TBA_Matches_All[[#This Row],[Match_Number]],Dyno_Data[RecordType],"Activities",Dyno_Data[DelOrig],"OppW", Dyno_Data[DelMiss],"0")</f>
        <v>0</v>
      </c>
      <c r="BI43">
        <f>COUNTIFS(Dyno_Data[Team],TBA_Matches_All[[#This Row],[Team]],Dyno_Data[Match],TBA_Matches_All[[#This Row],[Match_Number]],Dyno_Data[RecordType],"Activities",Dyno_Data[DelOrig],"OppW", Dyno_Data[DelMiss],"1")</f>
        <v>0</v>
      </c>
      <c r="BJ43" s="60">
        <f>IFERROR(SUM((TBA_Matches_All[[#This Row],[OZflrT]])/(TBA_Matches_All[[#This Row],[OZflrT]]+TBA_Matches_All[[#This Row],[OZflrM]])),0)</f>
        <v>0</v>
      </c>
      <c r="BK43">
        <f>COUNTIFS(Dyno_Data[Team],TBA_Matches_All[[#This Row],[Team]],Dyno_Data[Match],TBA_Matches_All[[#This Row],[Match_Number]],Dyno_Data[RecordType],"Activities",Dyno_Data[DelOrig],"Neut", Dyno_Data[DelMiss],"0")</f>
        <v>0</v>
      </c>
      <c r="BL43">
        <f>COUNTIFS(Dyno_Data[Team],TBA_Matches_All[[#This Row],[Team]],Dyno_Data[Match],TBA_Matches_All[[#This Row],[Match_Number]],Dyno_Data[RecordType],"Activities",Dyno_Data[DelOrig],"Neut", Dyno_Data[DelMiss],"1")</f>
        <v>0</v>
      </c>
      <c r="BM43" s="60">
        <f>IFERROR(SUM((TBA_Matches_All[[#This Row],[NZflrT]])/(TBA_Matches_All[[#This Row],[NZflrT]]+TBA_Matches_All[[#This Row],[NZflrM]])),0)</f>
        <v>0</v>
      </c>
      <c r="BN43">
        <f>COUNTIFS(Dyno_Data[Team],TBA_Matches_All[[#This Row],[Team]],Dyno_Data[Match],TBA_Matches_All[[#This Row],[Match_Number]],Dyno_Data[RecordType],"Activities",Dyno_Data[DelOrig],"AllyW", Dyno_Data[DelMiss],"0")</f>
        <v>6</v>
      </c>
      <c r="BO43">
        <f>COUNTIFS(Dyno_Data[Team],TBA_Matches_All[[#This Row],[Team]],Dyno_Data[Match],TBA_Matches_All[[#This Row],[Match_Number]],Dyno_Data[RecordType],"Activities",Dyno_Data[DelOrig],"AllyW", Dyno_Data[DelMiss],"1")</f>
        <v>0</v>
      </c>
      <c r="BP43" s="60">
        <f>IFERROR(SUM((TBA_Matches_All[[#This Row],[AZflrT]])/(TBA_Matches_All[[#This Row],[AZflrT]]+TBA_Matches_All[[#This Row],[AZflrM]])),0)</f>
        <v>1</v>
      </c>
      <c r="BQ43">
        <f>COUNTIFS(Dyno_Data[Team],TBA_Matches_All[[#This Row],[Team]],Dyno_Data[Match],TBA_Matches_All[[#This Row],[Match_Number]],Dyno_Data[RecordType],"Activities",Dyno_Data[DelOrig],"SubW", Dyno_Data[DelMiss],"0")</f>
        <v>3</v>
      </c>
      <c r="BR43">
        <f>COUNTIFS(Dyno_Data[Team],TBA_Matches_All[[#This Row],[Team]],Dyno_Data[Match],TBA_Matches_All[[#This Row],[Match_Number]],Dyno_Data[RecordType],"Activities",Dyno_Data[DelOrig],"SubW", Dyno_Data[DelMiss],"1")</f>
        <v>1</v>
      </c>
      <c r="BS43" s="60">
        <f>IFERROR(SUM((TBA_Matches_All[[#This Row],[SubwT]])/(TBA_Matches_All[[#This Row],[SubwT]]+TBA_Matches_All[[#This Row],[SubwM]])),0)</f>
        <v>0.75</v>
      </c>
      <c r="BT43">
        <f>COUNTIFS(Dyno_Data[Team],TBA_Matches_All[[#This Row],[Team]],Dyno_Data[Match],TBA_Matches_All[[#This Row],[Match_Number]],Dyno_Data[RecordType],"Activities", Dyno_Data[AcqLoc],"OppWing")</f>
        <v>0</v>
      </c>
      <c r="BU43">
        <f>COUNTIFS(Dyno_Data[Team],TBA_Matches_All[[#This Row],[Team]],Dyno_Data[Match],TBA_Matches_All[[#This Row],[Match_Number]],Dyno_Data[RecordType],"Activities", Dyno_Data[AcqLoc],"Neutral")</f>
        <v>0</v>
      </c>
      <c r="BV43">
        <f>COUNTIFS(Dyno_Data[Team],TBA_Matches_All[[#This Row],[Team]],Dyno_Data[Match],TBA_Matches_All[[#This Row],[Match_Number]],Dyno_Data[RecordType],"Activities", Dyno_Data[AcqLoc],"AllyWing")</f>
        <v>0</v>
      </c>
      <c r="BW43">
        <f>COUNTIFS(Dyno_Data[Team],TBA_Matches_All[[#This Row],[Team]],Dyno_Data[Match],TBA_Matches_All[[#This Row],[Match_Number]],Dyno_Data[RecordType],"Activities", Dyno_Data[AcqLoc],"Source")</f>
        <v>0</v>
      </c>
      <c r="BX43">
        <f>SUMIFS(Dyno_Data[AcqDrp], Dyno_Data[Team],TBA_Matches_All[[#This Row],[Team]],Dyno_Data[Match],TBA_Matches_All[[#This Row],[Match_Number]],Dyno_Data[RecordType],"Activities", Dyno_Data[AcqLoc],"Source")</f>
        <v>0</v>
      </c>
      <c r="BY43">
        <f>SUMIFS(Dyno_Data[OZTime], Dyno_Data[Team],TBA_Matches_All[[#This Row],[Team]],Dyno_Data[Match],TBA_Matches_All[[#This Row],[Match_Number]],Dyno_Data[RecordType],"EndMatch")</f>
        <v>25.534937499999998</v>
      </c>
      <c r="BZ43">
        <f>SUMIFS(Dyno_Data[NZTime], Dyno_Data[Team],TBA_Matches_All[[#This Row],[Team]],Dyno_Data[Match],TBA_Matches_All[[#This Row],[Match_Number]],Dyno_Data[RecordType],"EndMatch")</f>
        <v>37.071157999999997</v>
      </c>
      <c r="CA43">
        <f>SUMIFS(Dyno_Data[AZTime], Dyno_Data[Team],TBA_Matches_All[[#This Row],[Team]],Dyno_Data[Match],TBA_Matches_All[[#This Row],[Match_Number]],Dyno_Data[RecordType],"EndMatch")</f>
        <v>52.972632599999997</v>
      </c>
      <c r="CB43">
        <f>SUMIFS(Dyno_Data[ClimbT], Dyno_Data[Team],TBA_Matches_All[[#This Row],[Team]],Dyno_Data[Match],TBA_Matches_All[[#This Row],[Match_Number]],Dyno_Data[RecordType],"EndMatch")</f>
        <v>8.905741299999999</v>
      </c>
      <c r="CC43" t="str">
        <f>_xlfn.XLOOKUP(SUM(MID(TBA_Matches_All[[#This Row],[Team]],4,5),(TBA_Matches_All[[#This Row],[Match_Number]]/100)),Dyno_EndMatch[teammat],Dyno_EndMatch[StageStat],"_",0,1)</f>
        <v>On</v>
      </c>
      <c r="CD43" t="str">
        <f>_xlfn.XLOOKUP(TBA_Matches_All[[#This Row],[teammat]],Dyno_EndMatch[teammat],Dyno_EndMatch[StageAtt],"_",0,1)</f>
        <v>1</v>
      </c>
      <c r="CE43" t="str">
        <f>_xlfn.XLOOKUP(TBA_Matches_All[[#This Row],[teammat]],Dyno_EndMatch[teammat],Dyno_EndMatch[StageLoc],"_",0,1)</f>
        <v>L</v>
      </c>
      <c r="CF43">
        <f>SUMIFS(Dyno_Data[Harmony], Dyno_Data[Team],TBA_Matches_All[[#This Row],[Team]],Dyno_Data[Match],TBA_Matches_All[[#This Row],[Match_Number]],Dyno_Data[RecordType],"EndMatch", Dyno_Data[StageStat],"On",Dyno_Data[Harmony],"&lt;&gt;9")</f>
        <v>1</v>
      </c>
      <c r="CG43">
        <f>SUMIFS(Dyno_Data[Spotlit], Dyno_Data[Team],TBA_Matches_All[[#This Row],[Team]],Dyno_Data[Match],TBA_Matches_All[[#This Row],[Match_Number]],Dyno_Data[RecordType],"EndMatch", Dyno_Data[StageStat],"On",Dyno_Data[Spotlit],"&lt;&gt;9")</f>
        <v>0</v>
      </c>
      <c r="CH43" t="str">
        <f>_xlfn.XLOOKUP(TBA_Matches_All[[#This Row],[teammat]],Dyno_EndMatch[teammat],Dyno_EndMatch[Strategy],"_",0,1)</f>
        <v>Hybrid</v>
      </c>
      <c r="CI43">
        <f>SUMIFS(Dyno_Data[Defense], Dyno_Data[Team],TBA_Matches_All[[#This Row],[Team]],Dyno_Data[Match],TBA_Matches_All[[#This Row],[Match_Number]],Dyno_Data[RecordType],"EndMatch",Dyno_Data[Defense],"&lt;&gt;9")</f>
        <v>0</v>
      </c>
      <c r="CJ43">
        <f>SUMIFS(Dyno_Data[Avoidance], Dyno_Data[Team],TBA_Matches_All[[#This Row],[Team]],Dyno_Data[Match],TBA_Matches_All[[#This Row],[Match_Number]],Dyno_Data[RecordType],"EndMatch",Dyno_Data[Avoidance],"&lt;&gt;9")</f>
        <v>0</v>
      </c>
      <c r="CK43" s="82">
        <f>COUNTIF($H$2:TBA_Matches_All[[#This Row],[Team]],TBA_Matches_All[[#This Row],[Team]])</f>
        <v>1</v>
      </c>
      <c r="CL43" s="111">
        <f>SUM(MID(TBA_Matches_All[[#This Row],[Team]],4,5)+TBA_Matches_All[[#This Row],[Match_Number]]/100)</f>
        <v>3550.07</v>
      </c>
      <c r="CM43">
        <f>SUM((TBA_Matches_All[[#This Row],[Leave]]*2)+(TBA_Matches_All[[#This Row],[AampT]]*2)+(TBA_Matches_All[[#This Row],[AspkrT]]*5)+(TBA_Matches_All[[#This Row],[AtrapT]]*5))</f>
        <v>2</v>
      </c>
      <c r="CN43" s="59">
        <f>IFERROR(SUM(TBA_Matches_All[[#This Row],[AptsT]]/TBA_Matches_All[[#This Row],[AutoPts]]),0)</f>
        <v>9.5238095238095233E-2</v>
      </c>
      <c r="CO43" s="59">
        <f>IFERROR(SUM(TBA_Matches_All[[#This Row],[AampT]]+TBA_Matches_All[[#This Row],[AspkrT]]+TBA_Matches_All[[#This Row],[AtrapT]]/TBA_Matches_All[[#This Row],[Aamp]]+TBA_Matches_All[[#This Row],[Aspkr]]+TBA_Matches_All[[#This Row],[AtrapT]]),0)</f>
        <v>0</v>
      </c>
      <c r="CP43" s="59">
        <f>IFERROR(SUM(TBA_Matches_All[[#This Row],[TampT]]/TBA_Matches_All[[#This Row],[Tamp]]),0)</f>
        <v>1</v>
      </c>
      <c r="CQ43" s="59">
        <f>IFERROR(SUM(TBA_Matches_All[[#This Row],[TspkrT]]/TBA_Matches_All[[#This Row],[Tspkr]]),0)</f>
        <v>0.23076923076923078</v>
      </c>
      <c r="CR43">
        <f>SUM(TBA_Matches_All[[#This Row],[TspkrPts]]*TBA_Matches_All[[#This Row],[TspkrP]])</f>
        <v>8.7692307692307701</v>
      </c>
      <c r="CS43" s="59">
        <f>IFERROR(SUM(TBA_Matches_All[[#This Row],[TtrapT]]/TBA_Matches_All[[#This Row],[Trap]]),0)</f>
        <v>0</v>
      </c>
      <c r="CT43" s="59">
        <f>IFERROR(SUM(TBA_Matches_All[[#This Row],[TotNotesT]]/TBA_Matches_All[[#This Row],[TotNotes]]),0)</f>
        <v>0.38095238095238093</v>
      </c>
      <c r="CU43" s="66">
        <f>SUM((TBA_Matches_All[[#This Row],[AampT]]*2)+(TBA_Matches_All[[#This Row],[AspkrT]]*5)+(TBA_Matches_All[[#This Row],[AtrapT]]*5)+(TBA_Matches_All[[#This Row],[TampT]]*1)+(TBA_Matches_All[[#This Row],[TspkrptsC]]))</f>
        <v>13.76923076923077</v>
      </c>
      <c r="CV43" s="59">
        <f>IFERROR(TBA_Matches_All[[#This Row],[noteptsT]]/TBA_Matches_All[[#This Row],[NotePts]],0)</f>
        <v>0.2374005305039788</v>
      </c>
      <c r="CW43">
        <f>SUM(IF(TBA_Matches_All[[#This Row],[stageStat]]="On",3,0),IF(TBA_Matches_All[[#This Row],[stageStat]]="Park",1,0),SUMIFS(TBA_Matches_All[[#This Row],[Spotlit]],TBA_Matches_All[[#This Row],[stageStat]],"On"),SUMIFS(TBA_Matches_All[[#This Row],[Harmony]],TBA_Matches_All[[#This Row],[stageStat]],"On"))</f>
        <v>4</v>
      </c>
      <c r="CX43" s="59">
        <f>IFERROR(TBA_Matches_All[[#This Row],[stageptsT]]/TBA_Matches_All[[#This Row],[StagePts]],0)</f>
        <v>0.36363636363636365</v>
      </c>
      <c r="CY43">
        <f>SUM((TBA_Matches_All[[#This Row],[AptsT]]+TBA_Matches_All[[#This Row],[TampT]]+TBA_Matches_All[[#This Row],[TspkrptsC]]+(TBA_Matches_All[[#This Row],[TtrapT]]*5)+TBA_Matches_All[[#This Row],[stageptsT]]))</f>
        <v>19.76923076923077</v>
      </c>
      <c r="CZ43" s="59">
        <f>IFERROR(SUM(TBA_Matches_All[[#This Row],[TotptsC]]/TBA_Matches_All[[#This Row],[Score]]),0)</f>
        <v>0.26358974358974357</v>
      </c>
      <c r="DA4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3.45</v>
      </c>
      <c r="DB43" s="74">
        <f>SUMIFS(TBA_Matches_All[AveTeamTNoteDels],TBA_Matches_All[Match_Number],TBA_Matches_All[[#This Row],[Match_Number]],TBA_Matches_All[Alliance],"&lt;&gt;"&amp;TBA_Matches_All[[#This Row],[Alliance]],TBA_Matches_All[Scouted],"&gt;0")</f>
        <v>22.948717948717952</v>
      </c>
      <c r="DC43" s="74">
        <f>(TBA_Matches_All[[#This Row],[TampT]]+TBA_Matches_All[[#This Row],[TspkrptsC]])-TBA_Matches_All[[#This Row],[AveTeamTNoteDels]]</f>
        <v>10.319230769230771</v>
      </c>
      <c r="DD43" s="74">
        <f>SUMIFS(TBA_Matches_All[AveTeamTNoteDels],TBA_Matches_All[Match_Number],TBA_Matches_All[[#This Row],[Match_Number]],TBA_Matches_All[Alliance],"&lt;&gt;"&amp;TBA_Matches_All[[#This Row],[Alliance]])-TBA_Matches_All[[#This Row],[AveOppTNoteDels]]</f>
        <v>0</v>
      </c>
    </row>
    <row r="44" spans="1:108" x14ac:dyDescent="0.3">
      <c r="A44" t="s">
        <v>1042</v>
      </c>
      <c r="B44" t="s">
        <v>489</v>
      </c>
      <c r="C44" t="s">
        <v>1307</v>
      </c>
      <c r="D44">
        <v>7</v>
      </c>
      <c r="E44" t="s">
        <v>1406</v>
      </c>
      <c r="F44" t="s">
        <v>1424</v>
      </c>
      <c r="G44" t="s">
        <v>1409</v>
      </c>
      <c r="H44" t="s">
        <v>1311</v>
      </c>
      <c r="I44" t="b">
        <v>1</v>
      </c>
      <c r="J44">
        <v>27</v>
      </c>
      <c r="K44">
        <v>0</v>
      </c>
      <c r="L44">
        <v>0</v>
      </c>
      <c r="M44">
        <v>0</v>
      </c>
      <c r="N44">
        <v>0</v>
      </c>
      <c r="O44">
        <v>1</v>
      </c>
      <c r="P44">
        <v>5</v>
      </c>
      <c r="Q44">
        <v>11</v>
      </c>
      <c r="R44">
        <v>1</v>
      </c>
      <c r="S44">
        <v>0</v>
      </c>
      <c r="T44">
        <v>4</v>
      </c>
      <c r="U44">
        <v>0</v>
      </c>
      <c r="V44">
        <v>8</v>
      </c>
      <c r="W44">
        <v>4</v>
      </c>
      <c r="X44">
        <v>8</v>
      </c>
      <c r="Y44">
        <v>9</v>
      </c>
      <c r="Z44">
        <v>0</v>
      </c>
      <c r="AA44">
        <v>0</v>
      </c>
      <c r="AB44">
        <v>6</v>
      </c>
      <c r="AC44">
        <v>14</v>
      </c>
      <c r="AD44">
        <v>3</v>
      </c>
      <c r="AE44">
        <f>IFERROR(6/(COUNTIF(Dyno_EndMatch[Match],TBA_Matches_All[[#This Row],[Match_Number]])),0)</f>
        <v>1</v>
      </c>
      <c r="AF44">
        <f>COUNTIFS(Dyno_Data[Team],TBA_Matches_All[[#This Row],[Team]],Dyno_Data[Match],TBA_Matches_All[[#This Row],[Match_Number]],Dyno_Data[RecordType],"EndMatch",Dyno_Data[HPAmp],"Y")</f>
        <v>0</v>
      </c>
      <c r="AG44">
        <f>SUMIFS(Dyno_Data[Mics], Dyno_Data[Team],TBA_Matches_All[[#This Row],[Team]],Dyno_Data[Match],TBA_Matches_All[[#This Row],[Match_Number]],Dyno_Data[RecordType],"EndMatch",Dyno_Data[HPAmp],"Y")</f>
        <v>0</v>
      </c>
      <c r="AH44">
        <f>SUMIFS(Dyno_Data[Leave], Dyno_Data[Team],TBA_Matches_All[[#This Row],[Team]],Dyno_Data[Match],TBA_Matches_All[[#This Row],[Match_Number]],Dyno_Data[RecordType],"EndAuto")</f>
        <v>1</v>
      </c>
      <c r="AI44">
        <f>COUNTIFS(Dyno_Data[Team],TBA_Matches_All[[#This Row],[Team]],Dyno_Data[Match],TBA_Matches_All[[#This Row],[Match_Number]],Dyno_Data[RecordType],"Activities",Dyno_Data[DelDest],"Amp", Dyno_Data[DelMiss],"0", Dyno_Data[Mode],"Auto")</f>
        <v>0</v>
      </c>
      <c r="AJ44">
        <f>COUNTIFS(Dyno_Data[Team],TBA_Matches_All[[#This Row],[Team]],Dyno_Data[Match],TBA_Matches_All[[#This Row],[Match_Number]],Dyno_Data[RecordType],"Activities",Dyno_Data[DelDest],"Spkr", Dyno_Data[DelMiss],"0", Dyno_Data[Mode],"Auto")</f>
        <v>0</v>
      </c>
      <c r="AK44">
        <f>COUNTIFS(Dyno_Data[Team],TBA_Matches_All[[#This Row],[Team]],Dyno_Data[Match],TBA_Matches_All[[#This Row],[Match_Number]],Dyno_Data[RecordType],"Activities",Dyno_Data[DelDest],"Trap", Dyno_Data[DelMiss],"0", Dyno_Data[Mode],"Auto")</f>
        <v>0</v>
      </c>
      <c r="AL44">
        <f>COUNTIFS(Dyno_Data[Team],TBA_Matches_All[[#This Row],[Team]],Dyno_Data[Match],TBA_Matches_All[[#This Row],[Match_Number]],Dyno_Data[RecordType],"Activities",Dyno_Data[DelDest],"Amp", Dyno_Data[DelMiss],"0", Dyno_Data[Mode],"Teleop")</f>
        <v>1</v>
      </c>
      <c r="AM44">
        <f>COUNTIFS(Dyno_Data[Team],TBA_Matches_All[[#This Row],[Team]],Dyno_Data[Match],TBA_Matches_All[[#This Row],[Match_Number]],Dyno_Data[RecordType],"Activities",Dyno_Data[DelDest],"Spkr", Dyno_Data[DelMiss],"0", Dyno_Data[Mode],"Teleop")</f>
        <v>0</v>
      </c>
      <c r="AN44">
        <f>COUNTIFS(Dyno_Data[Team],TBA_Matches_All[[#This Row],[Team]],Dyno_Data[Match],TBA_Matches_All[[#This Row],[Match_Number]],Dyno_Data[RecordType],"Activities",Dyno_Data[DelDest],"Trap", Dyno_Data[DelMiss],"0", Dyno_Data[Mode],"&lt;&gt;Auto")</f>
        <v>0</v>
      </c>
      <c r="AO44">
        <f>SUM(TBA_Matches_All[[#This Row],[AampT]]+TBA_Matches_All[[#This Row],[AspkrT]]+TBA_Matches_All[[#This Row],[AtrapT]]+TBA_Matches_All[[#This Row],[TampT]]+TBA_Matches_All[[#This Row],[TspkrT]]+TBA_Matches_All[[#This Row],[TtrapT]])</f>
        <v>1</v>
      </c>
      <c r="AP44">
        <f>COUNTIFS(Dyno_Data[Team],TBA_Matches_All[[#This Row],[Team]],Dyno_Data[Match],TBA_Matches_All[[#This Row],[Match_Number]],Dyno_Data[RecordType],"Activities",Dyno_Data[DelDest],"Neut", Dyno_Data[DelMiss],"0")</f>
        <v>0</v>
      </c>
      <c r="AQ44">
        <f>COUNTIFS(Dyno_Data[Team],TBA_Matches_All[[#This Row],[Team]],Dyno_Data[Match],TBA_Matches_All[[#This Row],[Match_Number]],Dyno_Data[RecordType],"Activities",Dyno_Data[DelDest],"AllyW", Dyno_Data[DelMiss],"0")</f>
        <v>0</v>
      </c>
      <c r="AR44" t="str">
        <f>_xlfn.XLOOKUP(SUM(MID(TBA_Matches_All[[#This Row],[Team]],4,5),(TBA_Matches_All[[#This Row],[Match_Number]]/100)),Dyno_EndMatch[teammat],Dyno_EndMatch[RobotSta],"_",0,1)</f>
        <v>OppS</v>
      </c>
      <c r="AS44">
        <f>SUMIFS(Dyno_Data[AcqDis], Dyno_Data[Team],TBA_Matches_All[[#This Row],[Team]],Dyno_Data[Match],TBA_Matches_All[[#This Row],[Match_Number]],Dyno_Data[RecordType],"Activities", Dyno_Data[AcqCenter],1,Dyno_Data[Mode],"Auto")</f>
        <v>0</v>
      </c>
      <c r="AT44">
        <f>SUMIFS(Dyno_Data[AcqDis], Dyno_Data[Team],TBA_Matches_All[[#This Row],[Team]],Dyno_Data[Match],TBA_Matches_All[[#This Row],[Match_Number]],Dyno_Data[RecordType],"Activities", Dyno_Data[AcqCenter],2,Dyno_Data[Mode],"Auto")</f>
        <v>0</v>
      </c>
      <c r="AU44">
        <f>SUMIFS(Dyno_Data[AcqDis], Dyno_Data[Team],TBA_Matches_All[[#This Row],[Team]],Dyno_Data[Match],TBA_Matches_All[[#This Row],[Match_Number]],Dyno_Data[RecordType],"Activities", Dyno_Data[AcqCenter],3,Dyno_Data[Mode],"Auto")</f>
        <v>0</v>
      </c>
      <c r="AV44">
        <f>SUMIFS(Dyno_Data[AcqDis], Dyno_Data[Team],TBA_Matches_All[[#This Row],[Team]],Dyno_Data[Match],TBA_Matches_All[[#This Row],[Match_Number]],Dyno_Data[RecordType],"Activities", Dyno_Data[AcqCenter],4,Dyno_Data[Mode],"Auto")</f>
        <v>0</v>
      </c>
      <c r="AW44">
        <f>SUMIFS(Dyno_Data[AcqDis], Dyno_Data[Team],TBA_Matches_All[[#This Row],[Team]],Dyno_Data[Match],TBA_Matches_All[[#This Row],[Match_Number]],Dyno_Data[RecordType],"Activities", Dyno_Data[AcqCenter],5,Dyno_Data[Mode],"Auto")</f>
        <v>0</v>
      </c>
      <c r="AX44">
        <f>SUMIFS(Dyno_Data[DelMiss], Dyno_Data[Team],TBA_Matches_All[[#This Row],[Team]],Dyno_Data[Match],TBA_Matches_All[[#This Row],[Match_Number]],Dyno_Data[RecordType],"Activities", Dyno_Data[DelDest],"Amp")</f>
        <v>1</v>
      </c>
      <c r="AY44" s="60">
        <f>IFERROR(SUM((TBA_Matches_All[[#This Row],[AampT]]+TBA_Matches_All[[#This Row],[TampT]])/(TBA_Matches_All[[#This Row],[AampT]]+TBA_Matches_All[[#This Row],[TampT]]+TBA_Matches_All[[#This Row],[ampM]])),0)</f>
        <v>0.5</v>
      </c>
      <c r="AZ44">
        <f>SUMIFS(Dyno_Data[DelMiss], Dyno_Data[Team],TBA_Matches_All[[#This Row],[Team]],Dyno_Data[Match],TBA_Matches_All[[#This Row],[Match_Number]],Dyno_Data[RecordType],"Activities", Dyno_Data[DelDest],"Spkr")</f>
        <v>0</v>
      </c>
      <c r="BA44" s="60">
        <f>IFERROR(SUM((TBA_Matches_All[[#This Row],[AspkrT]]+TBA_Matches_All[[#This Row],[TspkrT]])/(TBA_Matches_All[[#This Row],[AspkrT]]+TBA_Matches_All[[#This Row],[TspkrT]]+TBA_Matches_All[[#This Row],[spkrM]])),0)</f>
        <v>0</v>
      </c>
      <c r="BB44">
        <f>SUMIFS(Dyno_Data[DelMiss], Dyno_Data[Team],TBA_Matches_All[[#This Row],[Team]],Dyno_Data[Match],TBA_Matches_All[[#This Row],[Match_Number]],Dyno_Data[RecordType],"Activities", Dyno_Data[DelDest],"Trap")</f>
        <v>0</v>
      </c>
      <c r="BC44" s="60">
        <f>IFERROR((TBA_Matches_All[[#This Row],[AtrapT]]+TBA_Matches_All[[#This Row],[TtrapT]])/(TBA_Matches_All[[#This Row],[AtrapT]]+TBA_Matches_All[[#This Row],[TtrapT]]+TBA_Matches_All[[#This Row],[trapM]]),0)</f>
        <v>0</v>
      </c>
      <c r="BD44">
        <f>COUNTIFS(Dyno_Data[Team],TBA_Matches_All[[#This Row],[Team]],Dyno_Data[Match],TBA_Matches_All[[#This Row],[Match_Number]],Dyno_Data[RecordType],"Activities",Dyno_Data[DelDest],"Neut", Dyno_Data[DelMiss],1)</f>
        <v>0</v>
      </c>
      <c r="BE44" s="60">
        <f>IFERROR(SUM((TBA_Matches_All[[#This Row],[NeutFlrT]])/(TBA_Matches_All[[#This Row],[NeutFlrT]]+TBA_Matches_All[[#This Row],[NZflM]])),0)</f>
        <v>0</v>
      </c>
      <c r="BF44">
        <f>COUNTIFS(Dyno_Data[Team],TBA_Matches_All[[#This Row],[Team]],Dyno_Data[Match],TBA_Matches_All[[#This Row],[Match_Number]],Dyno_Data[RecordType],"Activities",Dyno_Data[DelDest],"AllyW", Dyno_Data[DelMiss],1)</f>
        <v>0</v>
      </c>
      <c r="BG44" s="60">
        <f>IFERROR(SUM((TBA_Matches_All[[#This Row],[AllyWFlrT]])/(TBA_Matches_All[[#This Row],[AllyWFlrT]]+TBA_Matches_All[[#This Row],[AZflM]])),0)</f>
        <v>0</v>
      </c>
      <c r="BH44">
        <f>COUNTIFS(Dyno_Data[Team],TBA_Matches_All[[#This Row],[Team]],Dyno_Data[Match],TBA_Matches_All[[#This Row],[Match_Number]],Dyno_Data[RecordType],"Activities",Dyno_Data[DelOrig],"OppW", Dyno_Data[DelMiss],"0")</f>
        <v>0</v>
      </c>
      <c r="BI44">
        <f>COUNTIFS(Dyno_Data[Team],TBA_Matches_All[[#This Row],[Team]],Dyno_Data[Match],TBA_Matches_All[[#This Row],[Match_Number]],Dyno_Data[RecordType],"Activities",Dyno_Data[DelOrig],"OppW", Dyno_Data[DelMiss],"1")</f>
        <v>0</v>
      </c>
      <c r="BJ44" s="60">
        <f>IFERROR(SUM((TBA_Matches_All[[#This Row],[OZflrT]])/(TBA_Matches_All[[#This Row],[OZflrT]]+TBA_Matches_All[[#This Row],[OZflrM]])),0)</f>
        <v>0</v>
      </c>
      <c r="BK44">
        <f>COUNTIFS(Dyno_Data[Team],TBA_Matches_All[[#This Row],[Team]],Dyno_Data[Match],TBA_Matches_All[[#This Row],[Match_Number]],Dyno_Data[RecordType],"Activities",Dyno_Data[DelOrig],"Neut", Dyno_Data[DelMiss],"0")</f>
        <v>0</v>
      </c>
      <c r="BL44">
        <f>COUNTIFS(Dyno_Data[Team],TBA_Matches_All[[#This Row],[Team]],Dyno_Data[Match],TBA_Matches_All[[#This Row],[Match_Number]],Dyno_Data[RecordType],"Activities",Dyno_Data[DelOrig],"Neut", Dyno_Data[DelMiss],"1")</f>
        <v>0</v>
      </c>
      <c r="BM44" s="60">
        <f>IFERROR(SUM((TBA_Matches_All[[#This Row],[NZflrT]])/(TBA_Matches_All[[#This Row],[NZflrT]]+TBA_Matches_All[[#This Row],[NZflrM]])),0)</f>
        <v>0</v>
      </c>
      <c r="BN44">
        <f>COUNTIFS(Dyno_Data[Team],TBA_Matches_All[[#This Row],[Team]],Dyno_Data[Match],TBA_Matches_All[[#This Row],[Match_Number]],Dyno_Data[RecordType],"Activities",Dyno_Data[DelOrig],"AllyW", Dyno_Data[DelMiss],"0")</f>
        <v>1</v>
      </c>
      <c r="BO44">
        <f>COUNTIFS(Dyno_Data[Team],TBA_Matches_All[[#This Row],[Team]],Dyno_Data[Match],TBA_Matches_All[[#This Row],[Match_Number]],Dyno_Data[RecordType],"Activities",Dyno_Data[DelOrig],"AllyW", Dyno_Data[DelMiss],"1")</f>
        <v>1</v>
      </c>
      <c r="BP44" s="60">
        <f>IFERROR(SUM((TBA_Matches_All[[#This Row],[AZflrT]])/(TBA_Matches_All[[#This Row],[AZflrT]]+TBA_Matches_All[[#This Row],[AZflrM]])),0)</f>
        <v>0.5</v>
      </c>
      <c r="BQ44">
        <f>COUNTIFS(Dyno_Data[Team],TBA_Matches_All[[#This Row],[Team]],Dyno_Data[Match],TBA_Matches_All[[#This Row],[Match_Number]],Dyno_Data[RecordType],"Activities",Dyno_Data[DelOrig],"SubW", Dyno_Data[DelMiss],"0")</f>
        <v>0</v>
      </c>
      <c r="BR44">
        <f>COUNTIFS(Dyno_Data[Team],TBA_Matches_All[[#This Row],[Team]],Dyno_Data[Match],TBA_Matches_All[[#This Row],[Match_Number]],Dyno_Data[RecordType],"Activities",Dyno_Data[DelOrig],"SubW", Dyno_Data[DelMiss],"1")</f>
        <v>0</v>
      </c>
      <c r="BS44" s="60">
        <f>IFERROR(SUM((TBA_Matches_All[[#This Row],[SubwT]])/(TBA_Matches_All[[#This Row],[SubwT]]+TBA_Matches_All[[#This Row],[SubwM]])),0)</f>
        <v>0</v>
      </c>
      <c r="BT44">
        <f>COUNTIFS(Dyno_Data[Team],TBA_Matches_All[[#This Row],[Team]],Dyno_Data[Match],TBA_Matches_All[[#This Row],[Match_Number]],Dyno_Data[RecordType],"Activities", Dyno_Data[AcqLoc],"OppWing")</f>
        <v>0</v>
      </c>
      <c r="BU44">
        <f>COUNTIFS(Dyno_Data[Team],TBA_Matches_All[[#This Row],[Team]],Dyno_Data[Match],TBA_Matches_All[[#This Row],[Match_Number]],Dyno_Data[RecordType],"Activities", Dyno_Data[AcqLoc],"Neutral")</f>
        <v>0</v>
      </c>
      <c r="BV44">
        <f>COUNTIFS(Dyno_Data[Team],TBA_Matches_All[[#This Row],[Team]],Dyno_Data[Match],TBA_Matches_All[[#This Row],[Match_Number]],Dyno_Data[RecordType],"Activities", Dyno_Data[AcqLoc],"AllyWing")</f>
        <v>0</v>
      </c>
      <c r="BW44">
        <f>COUNTIFS(Dyno_Data[Team],TBA_Matches_All[[#This Row],[Team]],Dyno_Data[Match],TBA_Matches_All[[#This Row],[Match_Number]],Dyno_Data[RecordType],"Activities", Dyno_Data[AcqLoc],"Source")</f>
        <v>0</v>
      </c>
      <c r="BX44">
        <f>SUMIFS(Dyno_Data[AcqDrp], Dyno_Data[Team],TBA_Matches_All[[#This Row],[Team]],Dyno_Data[Match],TBA_Matches_All[[#This Row],[Match_Number]],Dyno_Data[RecordType],"Activities", Dyno_Data[AcqLoc],"Source")</f>
        <v>0</v>
      </c>
      <c r="BY44">
        <f>SUMIFS(Dyno_Data[OZTime], Dyno_Data[Team],TBA_Matches_All[[#This Row],[Team]],Dyno_Data[Match],TBA_Matches_All[[#This Row],[Match_Number]],Dyno_Data[RecordType],"EndMatch")</f>
        <v>91.335829799999999</v>
      </c>
      <c r="BZ44">
        <f>SUMIFS(Dyno_Data[NZTime], Dyno_Data[Team],TBA_Matches_All[[#This Row],[Team]],Dyno_Data[Match],TBA_Matches_All[[#This Row],[Match_Number]],Dyno_Data[RecordType],"EndMatch")</f>
        <v>12.8335039</v>
      </c>
      <c r="CA44">
        <f>SUMIFS(Dyno_Data[AZTime], Dyno_Data[Team],TBA_Matches_All[[#This Row],[Team]],Dyno_Data[Match],TBA_Matches_All[[#This Row],[Match_Number]],Dyno_Data[RecordType],"EndMatch")</f>
        <v>31.185368699999998</v>
      </c>
      <c r="CB44">
        <f>SUMIFS(Dyno_Data[ClimbT], Dyno_Data[Team],TBA_Matches_All[[#This Row],[Team]],Dyno_Data[Match],TBA_Matches_All[[#This Row],[Match_Number]],Dyno_Data[RecordType],"EndMatch")</f>
        <v>0</v>
      </c>
      <c r="CC44" t="str">
        <f>_xlfn.XLOOKUP(SUM(MID(TBA_Matches_All[[#This Row],[Team]],4,5),(TBA_Matches_All[[#This Row],[Match_Number]]/100)),Dyno_EndMatch[teammat],Dyno_EndMatch[StageStat],"_",0,1)</f>
        <v>Else</v>
      </c>
      <c r="CD44" t="str">
        <f>_xlfn.XLOOKUP(TBA_Matches_All[[#This Row],[teammat]],Dyno_EndMatch[teammat],Dyno_EndMatch[StageAtt],"_",0,1)</f>
        <v>0</v>
      </c>
      <c r="CE44" t="str">
        <f>_xlfn.XLOOKUP(TBA_Matches_All[[#This Row],[teammat]],Dyno_EndMatch[teammat],Dyno_EndMatch[StageLoc],"_",0,1)</f>
        <v>A</v>
      </c>
      <c r="CF44">
        <f>SUMIFS(Dyno_Data[Harmony], Dyno_Data[Team],TBA_Matches_All[[#This Row],[Team]],Dyno_Data[Match],TBA_Matches_All[[#This Row],[Match_Number]],Dyno_Data[RecordType],"EndMatch", Dyno_Data[StageStat],"On",Dyno_Data[Harmony],"&lt;&gt;9")</f>
        <v>0</v>
      </c>
      <c r="CG44">
        <f>SUMIFS(Dyno_Data[Spotlit], Dyno_Data[Team],TBA_Matches_All[[#This Row],[Team]],Dyno_Data[Match],TBA_Matches_All[[#This Row],[Match_Number]],Dyno_Data[RecordType],"EndMatch", Dyno_Data[StageStat],"On",Dyno_Data[Spotlit],"&lt;&gt;9")</f>
        <v>0</v>
      </c>
      <c r="CH44" t="str">
        <f>_xlfn.XLOOKUP(TBA_Matches_All[[#This Row],[teammat]],Dyno_EndMatch[teammat],Dyno_EndMatch[Strategy],"_",0,1)</f>
        <v>Hybrid</v>
      </c>
      <c r="CI44">
        <f>SUMIFS(Dyno_Data[Defense], Dyno_Data[Team],TBA_Matches_All[[#This Row],[Team]],Dyno_Data[Match],TBA_Matches_All[[#This Row],[Match_Number]],Dyno_Data[RecordType],"EndMatch",Dyno_Data[Defense],"&lt;&gt;9")</f>
        <v>0</v>
      </c>
      <c r="CJ44">
        <f>SUMIFS(Dyno_Data[Avoidance], Dyno_Data[Team],TBA_Matches_All[[#This Row],[Team]],Dyno_Data[Match],TBA_Matches_All[[#This Row],[Match_Number]],Dyno_Data[RecordType],"EndMatch",Dyno_Data[Avoidance],"&lt;&gt;9")</f>
        <v>2</v>
      </c>
      <c r="CK44" s="82">
        <f>COUNTIF($H$2:TBA_Matches_All[[#This Row],[Team]],TBA_Matches_All[[#This Row],[Team]])</f>
        <v>1</v>
      </c>
      <c r="CL44" s="111">
        <f>SUM(MID(TBA_Matches_All[[#This Row],[Team]],4,5)+TBA_Matches_All[[#This Row],[Match_Number]]/100)</f>
        <v>2234.0700000000002</v>
      </c>
      <c r="CM44">
        <f>SUM((TBA_Matches_All[[#This Row],[Leave]]*2)+(TBA_Matches_All[[#This Row],[AampT]]*2)+(TBA_Matches_All[[#This Row],[AspkrT]]*5)+(TBA_Matches_All[[#This Row],[AtrapT]]*5))</f>
        <v>2</v>
      </c>
      <c r="CN44" s="59">
        <f>IFERROR(SUM(TBA_Matches_All[[#This Row],[AptsT]]/TBA_Matches_All[[#This Row],[AutoPts]]),0)</f>
        <v>0.18181818181818182</v>
      </c>
      <c r="CO44" s="59">
        <f>IFERROR(SUM(TBA_Matches_All[[#This Row],[AampT]]+TBA_Matches_All[[#This Row],[AspkrT]]+TBA_Matches_All[[#This Row],[AtrapT]]/TBA_Matches_All[[#This Row],[Aamp]]+TBA_Matches_All[[#This Row],[Aspkr]]+TBA_Matches_All[[#This Row],[AtrapT]]),0)</f>
        <v>0</v>
      </c>
      <c r="CP44" s="59">
        <f>IFERROR(SUM(TBA_Matches_All[[#This Row],[TampT]]/TBA_Matches_All[[#This Row],[Tamp]]),0)</f>
        <v>1</v>
      </c>
      <c r="CQ44" s="59">
        <f>IFERROR(SUM(TBA_Matches_All[[#This Row],[TspkrT]]/TBA_Matches_All[[#This Row],[Tspkr]]),0)</f>
        <v>0</v>
      </c>
      <c r="CR44">
        <f>SUM(TBA_Matches_All[[#This Row],[TspkrPts]]*TBA_Matches_All[[#This Row],[TspkrP]])</f>
        <v>0</v>
      </c>
      <c r="CS44" s="59">
        <f>IFERROR(SUM(TBA_Matches_All[[#This Row],[TtrapT]]/TBA_Matches_All[[#This Row],[Trap]]),0)</f>
        <v>0</v>
      </c>
      <c r="CT44" s="59">
        <f>IFERROR(SUM(TBA_Matches_All[[#This Row],[TotNotesT]]/TBA_Matches_All[[#This Row],[TotNotes]]),0)</f>
        <v>0.16666666666666666</v>
      </c>
      <c r="CU44" s="66">
        <f>SUM((TBA_Matches_All[[#This Row],[AampT]]*2)+(TBA_Matches_All[[#This Row],[AspkrT]]*5)+(TBA_Matches_All[[#This Row],[AtrapT]]*5)+(TBA_Matches_All[[#This Row],[TampT]]*1)+(TBA_Matches_All[[#This Row],[TspkrptsC]]))</f>
        <v>1</v>
      </c>
      <c r="CV44" s="59">
        <f>IFERROR(TBA_Matches_All[[#This Row],[noteptsT]]/TBA_Matches_All[[#This Row],[NotePts]],0)</f>
        <v>7.1428571428571425E-2</v>
      </c>
      <c r="CW44">
        <f>SUM(IF(TBA_Matches_All[[#This Row],[stageStat]]="On",3,0),IF(TBA_Matches_All[[#This Row],[stageStat]]="Park",1,0),SUMIFS(TBA_Matches_All[[#This Row],[Spotlit]],TBA_Matches_All[[#This Row],[stageStat]],"On"),SUMIFS(TBA_Matches_All[[#This Row],[Harmony]],TBA_Matches_All[[#This Row],[stageStat]],"On"))</f>
        <v>0</v>
      </c>
      <c r="CX44" s="59">
        <f>IFERROR(TBA_Matches_All[[#This Row],[stageptsT]]/TBA_Matches_All[[#This Row],[StagePts]],0)</f>
        <v>0</v>
      </c>
      <c r="CY44">
        <f>SUM((TBA_Matches_All[[#This Row],[AptsT]]+TBA_Matches_All[[#This Row],[TampT]]+TBA_Matches_All[[#This Row],[TspkrptsC]]+(TBA_Matches_All[[#This Row],[TtrapT]]*5)+TBA_Matches_All[[#This Row],[stageptsT]]))</f>
        <v>3</v>
      </c>
      <c r="CZ44" s="59">
        <f>IFERROR(SUM(TBA_Matches_All[[#This Row],[TotptsC]]/TBA_Matches_All[[#This Row],[Score]]),0)</f>
        <v>0.1111111111111111</v>
      </c>
      <c r="DA4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v>
      </c>
      <c r="DB44" s="74">
        <f>SUMIFS(TBA_Matches_All[AveTeamTNoteDels],TBA_Matches_All[Match_Number],TBA_Matches_All[[#This Row],[Match_Number]],TBA_Matches_All[Alliance],"&lt;&gt;"&amp;TBA_Matches_All[[#This Row],[Alliance]],TBA_Matches_All[Scouted],"&gt;0")</f>
        <v>33.441818181818185</v>
      </c>
      <c r="DC44" s="74">
        <f>(TBA_Matches_All[[#This Row],[TampT]]+TBA_Matches_All[[#This Row],[TspkrptsC]])-TBA_Matches_All[[#This Row],[AveTeamTNoteDels]]</f>
        <v>-0.19999999999999996</v>
      </c>
      <c r="DD44" s="74">
        <f>SUMIFS(TBA_Matches_All[AveTeamTNoteDels],TBA_Matches_All[Match_Number],TBA_Matches_All[[#This Row],[Match_Number]],TBA_Matches_All[Alliance],"&lt;&gt;"&amp;TBA_Matches_All[[#This Row],[Alliance]])-TBA_Matches_All[[#This Row],[AveOppTNoteDels]]</f>
        <v>0</v>
      </c>
    </row>
    <row r="45" spans="1:108" x14ac:dyDescent="0.3">
      <c r="A45" t="s">
        <v>1042</v>
      </c>
      <c r="B45" t="s">
        <v>489</v>
      </c>
      <c r="C45" t="s">
        <v>1313</v>
      </c>
      <c r="D45">
        <v>8</v>
      </c>
      <c r="E45" t="s">
        <v>1420</v>
      </c>
      <c r="F45" t="s">
        <v>1423</v>
      </c>
      <c r="G45" t="s">
        <v>1409</v>
      </c>
      <c r="H45" t="s">
        <v>363</v>
      </c>
      <c r="I45" t="b">
        <v>0</v>
      </c>
      <c r="J45">
        <v>53</v>
      </c>
      <c r="K45">
        <v>0</v>
      </c>
      <c r="L45">
        <v>0</v>
      </c>
      <c r="M45">
        <v>2</v>
      </c>
      <c r="N45">
        <v>0</v>
      </c>
      <c r="O45">
        <v>3</v>
      </c>
      <c r="P45">
        <v>15</v>
      </c>
      <c r="Q45">
        <v>19</v>
      </c>
      <c r="R45">
        <v>2</v>
      </c>
      <c r="S45">
        <v>1</v>
      </c>
      <c r="T45">
        <v>9</v>
      </c>
      <c r="U45">
        <v>5</v>
      </c>
      <c r="V45">
        <v>18</v>
      </c>
      <c r="W45">
        <v>10</v>
      </c>
      <c r="X45">
        <v>23</v>
      </c>
      <c r="Y45">
        <v>25</v>
      </c>
      <c r="Z45">
        <v>0</v>
      </c>
      <c r="AA45">
        <v>0</v>
      </c>
      <c r="AB45">
        <v>15</v>
      </c>
      <c r="AC45">
        <v>40</v>
      </c>
      <c r="AD45">
        <v>7</v>
      </c>
      <c r="AE45">
        <f>IFERROR(6/(COUNTIF(Dyno_EndMatch[Match],TBA_Matches_All[[#This Row],[Match_Number]])),0)</f>
        <v>1</v>
      </c>
      <c r="AF45">
        <f>COUNTIFS(Dyno_Data[Team],TBA_Matches_All[[#This Row],[Team]],Dyno_Data[Match],TBA_Matches_All[[#This Row],[Match_Number]],Dyno_Data[RecordType],"EndMatch",Dyno_Data[HPAmp],"Y")</f>
        <v>1</v>
      </c>
      <c r="AG45">
        <f>SUMIFS(Dyno_Data[Mics], Dyno_Data[Team],TBA_Matches_All[[#This Row],[Team]],Dyno_Data[Match],TBA_Matches_All[[#This Row],[Match_Number]],Dyno_Data[RecordType],"EndMatch",Dyno_Data[HPAmp],"Y")</f>
        <v>0</v>
      </c>
      <c r="AH45">
        <f>SUMIFS(Dyno_Data[Leave], Dyno_Data[Team],TBA_Matches_All[[#This Row],[Team]],Dyno_Data[Match],TBA_Matches_All[[#This Row],[Match_Number]],Dyno_Data[RecordType],"EndAuto")</f>
        <v>1</v>
      </c>
      <c r="AI45">
        <f>COUNTIFS(Dyno_Data[Team],TBA_Matches_All[[#This Row],[Team]],Dyno_Data[Match],TBA_Matches_All[[#This Row],[Match_Number]],Dyno_Data[RecordType],"Activities",Dyno_Data[DelDest],"Amp", Dyno_Data[DelMiss],"0", Dyno_Data[Mode],"Auto")</f>
        <v>0</v>
      </c>
      <c r="AJ45">
        <f>COUNTIFS(Dyno_Data[Team],TBA_Matches_All[[#This Row],[Team]],Dyno_Data[Match],TBA_Matches_All[[#This Row],[Match_Number]],Dyno_Data[RecordType],"Activities",Dyno_Data[DelDest],"Spkr", Dyno_Data[DelMiss],"0", Dyno_Data[Mode],"Auto")</f>
        <v>2</v>
      </c>
      <c r="AK45">
        <f>COUNTIFS(Dyno_Data[Team],TBA_Matches_All[[#This Row],[Team]],Dyno_Data[Match],TBA_Matches_All[[#This Row],[Match_Number]],Dyno_Data[RecordType],"Activities",Dyno_Data[DelDest],"Trap", Dyno_Data[DelMiss],"0", Dyno_Data[Mode],"Auto")</f>
        <v>0</v>
      </c>
      <c r="AL45">
        <f>COUNTIFS(Dyno_Data[Team],TBA_Matches_All[[#This Row],[Team]],Dyno_Data[Match],TBA_Matches_All[[#This Row],[Match_Number]],Dyno_Data[RecordType],"Activities",Dyno_Data[DelDest],"Amp", Dyno_Data[DelMiss],"0", Dyno_Data[Mode],"Teleop")</f>
        <v>0</v>
      </c>
      <c r="AM45">
        <f>COUNTIFS(Dyno_Data[Team],TBA_Matches_All[[#This Row],[Team]],Dyno_Data[Match],TBA_Matches_All[[#This Row],[Match_Number]],Dyno_Data[RecordType],"Activities",Dyno_Data[DelDest],"Spkr", Dyno_Data[DelMiss],"0", Dyno_Data[Mode],"Teleop")</f>
        <v>3</v>
      </c>
      <c r="AN45">
        <f>COUNTIFS(Dyno_Data[Team],TBA_Matches_All[[#This Row],[Team]],Dyno_Data[Match],TBA_Matches_All[[#This Row],[Match_Number]],Dyno_Data[RecordType],"Activities",Dyno_Data[DelDest],"Trap", Dyno_Data[DelMiss],"0", Dyno_Data[Mode],"&lt;&gt;Auto")</f>
        <v>0</v>
      </c>
      <c r="AO45">
        <f>SUM(TBA_Matches_All[[#This Row],[AampT]]+TBA_Matches_All[[#This Row],[AspkrT]]+TBA_Matches_All[[#This Row],[AtrapT]]+TBA_Matches_All[[#This Row],[TampT]]+TBA_Matches_All[[#This Row],[TspkrT]]+TBA_Matches_All[[#This Row],[TtrapT]])</f>
        <v>5</v>
      </c>
      <c r="AP45">
        <f>COUNTIFS(Dyno_Data[Team],TBA_Matches_All[[#This Row],[Team]],Dyno_Data[Match],TBA_Matches_All[[#This Row],[Match_Number]],Dyno_Data[RecordType],"Activities",Dyno_Data[DelDest],"Neut", Dyno_Data[DelMiss],"0")</f>
        <v>0</v>
      </c>
      <c r="AQ45">
        <f>COUNTIFS(Dyno_Data[Team],TBA_Matches_All[[#This Row],[Team]],Dyno_Data[Match],TBA_Matches_All[[#This Row],[Match_Number]],Dyno_Data[RecordType],"Activities",Dyno_Data[DelDest],"AllyW", Dyno_Data[DelMiss],"0")</f>
        <v>0</v>
      </c>
      <c r="AR45" t="str">
        <f>_xlfn.XLOOKUP(SUM(MID(TBA_Matches_All[[#This Row],[Team]],4,5),(TBA_Matches_All[[#This Row],[Match_Number]]/100)),Dyno_EndMatch[teammat],Dyno_EndMatch[RobotSta],"_",0,1)</f>
        <v>SubW</v>
      </c>
      <c r="AS45">
        <f>SUMIFS(Dyno_Data[AcqDis], Dyno_Data[Team],TBA_Matches_All[[#This Row],[Team]],Dyno_Data[Match],TBA_Matches_All[[#This Row],[Match_Number]],Dyno_Data[RecordType],"Activities", Dyno_Data[AcqCenter],1,Dyno_Data[Mode],"Auto")</f>
        <v>0</v>
      </c>
      <c r="AT45">
        <f>SUMIFS(Dyno_Data[AcqDis], Dyno_Data[Team],TBA_Matches_All[[#This Row],[Team]],Dyno_Data[Match],TBA_Matches_All[[#This Row],[Match_Number]],Dyno_Data[RecordType],"Activities", Dyno_Data[AcqCenter],2,Dyno_Data[Mode],"Auto")</f>
        <v>0</v>
      </c>
      <c r="AU45">
        <f>SUMIFS(Dyno_Data[AcqDis], Dyno_Data[Team],TBA_Matches_All[[#This Row],[Team]],Dyno_Data[Match],TBA_Matches_All[[#This Row],[Match_Number]],Dyno_Data[RecordType],"Activities", Dyno_Data[AcqCenter],3,Dyno_Data[Mode],"Auto")</f>
        <v>0</v>
      </c>
      <c r="AV45">
        <f>SUMIFS(Dyno_Data[AcqDis], Dyno_Data[Team],TBA_Matches_All[[#This Row],[Team]],Dyno_Data[Match],TBA_Matches_All[[#This Row],[Match_Number]],Dyno_Data[RecordType],"Activities", Dyno_Data[AcqCenter],4,Dyno_Data[Mode],"Auto")</f>
        <v>0</v>
      </c>
      <c r="AW45">
        <f>SUMIFS(Dyno_Data[AcqDis], Dyno_Data[Team],TBA_Matches_All[[#This Row],[Team]],Dyno_Data[Match],TBA_Matches_All[[#This Row],[Match_Number]],Dyno_Data[RecordType],"Activities", Dyno_Data[AcqCenter],5,Dyno_Data[Mode],"Auto")</f>
        <v>0</v>
      </c>
      <c r="AX45">
        <f>SUMIFS(Dyno_Data[DelMiss], Dyno_Data[Team],TBA_Matches_All[[#This Row],[Team]],Dyno_Data[Match],TBA_Matches_All[[#This Row],[Match_Number]],Dyno_Data[RecordType],"Activities", Dyno_Data[DelDest],"Amp")</f>
        <v>0</v>
      </c>
      <c r="AY45" s="60">
        <f>IFERROR(SUM((TBA_Matches_All[[#This Row],[AampT]]+TBA_Matches_All[[#This Row],[TampT]])/(TBA_Matches_All[[#This Row],[AampT]]+TBA_Matches_All[[#This Row],[TampT]]+TBA_Matches_All[[#This Row],[ampM]])),0)</f>
        <v>0</v>
      </c>
      <c r="AZ45">
        <f>SUMIFS(Dyno_Data[DelMiss], Dyno_Data[Team],TBA_Matches_All[[#This Row],[Team]],Dyno_Data[Match],TBA_Matches_All[[#This Row],[Match_Number]],Dyno_Data[RecordType],"Activities", Dyno_Data[DelDest],"Spkr")</f>
        <v>7</v>
      </c>
      <c r="BA45" s="60">
        <f>IFERROR(SUM((TBA_Matches_All[[#This Row],[AspkrT]]+TBA_Matches_All[[#This Row],[TspkrT]])/(TBA_Matches_All[[#This Row],[AspkrT]]+TBA_Matches_All[[#This Row],[TspkrT]]+TBA_Matches_All[[#This Row],[spkrM]])),0)</f>
        <v>0.41666666666666669</v>
      </c>
      <c r="BB45">
        <f>SUMIFS(Dyno_Data[DelMiss], Dyno_Data[Team],TBA_Matches_All[[#This Row],[Team]],Dyno_Data[Match],TBA_Matches_All[[#This Row],[Match_Number]],Dyno_Data[RecordType],"Activities", Dyno_Data[DelDest],"Trap")</f>
        <v>0</v>
      </c>
      <c r="BC45" s="60">
        <f>IFERROR((TBA_Matches_All[[#This Row],[AtrapT]]+TBA_Matches_All[[#This Row],[TtrapT]])/(TBA_Matches_All[[#This Row],[AtrapT]]+TBA_Matches_All[[#This Row],[TtrapT]]+TBA_Matches_All[[#This Row],[trapM]]),0)</f>
        <v>0</v>
      </c>
      <c r="BD45">
        <f>COUNTIFS(Dyno_Data[Team],TBA_Matches_All[[#This Row],[Team]],Dyno_Data[Match],TBA_Matches_All[[#This Row],[Match_Number]],Dyno_Data[RecordType],"Activities",Dyno_Data[DelDest],"Neut", Dyno_Data[DelMiss],1)</f>
        <v>0</v>
      </c>
      <c r="BE45" s="60">
        <f>IFERROR(SUM((TBA_Matches_All[[#This Row],[NeutFlrT]])/(TBA_Matches_All[[#This Row],[NeutFlrT]]+TBA_Matches_All[[#This Row],[NZflM]])),0)</f>
        <v>0</v>
      </c>
      <c r="BF45">
        <f>COUNTIFS(Dyno_Data[Team],TBA_Matches_All[[#This Row],[Team]],Dyno_Data[Match],TBA_Matches_All[[#This Row],[Match_Number]],Dyno_Data[RecordType],"Activities",Dyno_Data[DelDest],"AllyW", Dyno_Data[DelMiss],1)</f>
        <v>0</v>
      </c>
      <c r="BG45" s="60">
        <f>IFERROR(SUM((TBA_Matches_All[[#This Row],[AllyWFlrT]])/(TBA_Matches_All[[#This Row],[AllyWFlrT]]+TBA_Matches_All[[#This Row],[AZflM]])),0)</f>
        <v>0</v>
      </c>
      <c r="BH45">
        <f>COUNTIFS(Dyno_Data[Team],TBA_Matches_All[[#This Row],[Team]],Dyno_Data[Match],TBA_Matches_All[[#This Row],[Match_Number]],Dyno_Data[RecordType],"Activities",Dyno_Data[DelOrig],"OppW", Dyno_Data[DelMiss],"0")</f>
        <v>0</v>
      </c>
      <c r="BI45">
        <f>COUNTIFS(Dyno_Data[Team],TBA_Matches_All[[#This Row],[Team]],Dyno_Data[Match],TBA_Matches_All[[#This Row],[Match_Number]],Dyno_Data[RecordType],"Activities",Dyno_Data[DelOrig],"OppW", Dyno_Data[DelMiss],"1")</f>
        <v>0</v>
      </c>
      <c r="BJ45" s="60">
        <f>IFERROR(SUM((TBA_Matches_All[[#This Row],[OZflrT]])/(TBA_Matches_All[[#This Row],[OZflrT]]+TBA_Matches_All[[#This Row],[OZflrM]])),0)</f>
        <v>0</v>
      </c>
      <c r="BK45">
        <f>COUNTIFS(Dyno_Data[Team],TBA_Matches_All[[#This Row],[Team]],Dyno_Data[Match],TBA_Matches_All[[#This Row],[Match_Number]],Dyno_Data[RecordType],"Activities",Dyno_Data[DelOrig],"Neut", Dyno_Data[DelMiss],"0")</f>
        <v>0</v>
      </c>
      <c r="BL45">
        <f>COUNTIFS(Dyno_Data[Team],TBA_Matches_All[[#This Row],[Team]],Dyno_Data[Match],TBA_Matches_All[[#This Row],[Match_Number]],Dyno_Data[RecordType],"Activities",Dyno_Data[DelOrig],"Neut", Dyno_Data[DelMiss],"1")</f>
        <v>0</v>
      </c>
      <c r="BM45" s="60">
        <f>IFERROR(SUM((TBA_Matches_All[[#This Row],[NZflrT]])/(TBA_Matches_All[[#This Row],[NZflrT]]+TBA_Matches_All[[#This Row],[NZflrM]])),0)</f>
        <v>0</v>
      </c>
      <c r="BN45">
        <f>COUNTIFS(Dyno_Data[Team],TBA_Matches_All[[#This Row],[Team]],Dyno_Data[Match],TBA_Matches_All[[#This Row],[Match_Number]],Dyno_Data[RecordType],"Activities",Dyno_Data[DelOrig],"AllyW", Dyno_Data[DelMiss],"0")</f>
        <v>0</v>
      </c>
      <c r="BO45">
        <f>COUNTIFS(Dyno_Data[Team],TBA_Matches_All[[#This Row],[Team]],Dyno_Data[Match],TBA_Matches_All[[#This Row],[Match_Number]],Dyno_Data[RecordType],"Activities",Dyno_Data[DelOrig],"AllyW", Dyno_Data[DelMiss],"1")</f>
        <v>1</v>
      </c>
      <c r="BP45" s="60">
        <f>IFERROR(SUM((TBA_Matches_All[[#This Row],[AZflrT]])/(TBA_Matches_All[[#This Row],[AZflrT]]+TBA_Matches_All[[#This Row],[AZflrM]])),0)</f>
        <v>0</v>
      </c>
      <c r="BQ45">
        <f>COUNTIFS(Dyno_Data[Team],TBA_Matches_All[[#This Row],[Team]],Dyno_Data[Match],TBA_Matches_All[[#This Row],[Match_Number]],Dyno_Data[RecordType],"Activities",Dyno_Data[DelOrig],"SubW", Dyno_Data[DelMiss],"0")</f>
        <v>5</v>
      </c>
      <c r="BR45">
        <f>COUNTIFS(Dyno_Data[Team],TBA_Matches_All[[#This Row],[Team]],Dyno_Data[Match],TBA_Matches_All[[#This Row],[Match_Number]],Dyno_Data[RecordType],"Activities",Dyno_Data[DelOrig],"SubW", Dyno_Data[DelMiss],"1")</f>
        <v>6</v>
      </c>
      <c r="BS45" s="60">
        <f>IFERROR(SUM((TBA_Matches_All[[#This Row],[SubwT]])/(TBA_Matches_All[[#This Row],[SubwT]]+TBA_Matches_All[[#This Row],[SubwM]])),0)</f>
        <v>0.45454545454545453</v>
      </c>
      <c r="BT45">
        <f>COUNTIFS(Dyno_Data[Team],TBA_Matches_All[[#This Row],[Team]],Dyno_Data[Match],TBA_Matches_All[[#This Row],[Match_Number]],Dyno_Data[RecordType],"Activities", Dyno_Data[AcqLoc],"OppWing")</f>
        <v>0</v>
      </c>
      <c r="BU45">
        <f>COUNTIFS(Dyno_Data[Team],TBA_Matches_All[[#This Row],[Team]],Dyno_Data[Match],TBA_Matches_All[[#This Row],[Match_Number]],Dyno_Data[RecordType],"Activities", Dyno_Data[AcqLoc],"Neutral")</f>
        <v>0</v>
      </c>
      <c r="BV45">
        <f>COUNTIFS(Dyno_Data[Team],TBA_Matches_All[[#This Row],[Team]],Dyno_Data[Match],TBA_Matches_All[[#This Row],[Match_Number]],Dyno_Data[RecordType],"Activities", Dyno_Data[AcqLoc],"AllyWing")</f>
        <v>0</v>
      </c>
      <c r="BW45">
        <f>COUNTIFS(Dyno_Data[Team],TBA_Matches_All[[#This Row],[Team]],Dyno_Data[Match],TBA_Matches_All[[#This Row],[Match_Number]],Dyno_Data[RecordType],"Activities", Dyno_Data[AcqLoc],"Source")</f>
        <v>0</v>
      </c>
      <c r="BX45">
        <f>SUMIFS(Dyno_Data[AcqDrp], Dyno_Data[Team],TBA_Matches_All[[#This Row],[Team]],Dyno_Data[Match],TBA_Matches_All[[#This Row],[Match_Number]],Dyno_Data[RecordType],"Activities", Dyno_Data[AcqLoc],"Source")</f>
        <v>0</v>
      </c>
      <c r="BY45">
        <f>SUMIFS(Dyno_Data[OZTime], Dyno_Data[Team],TBA_Matches_All[[#This Row],[Team]],Dyno_Data[Match],TBA_Matches_All[[#This Row],[Match_Number]],Dyno_Data[RecordType],"EndMatch")</f>
        <v>41.8138644</v>
      </c>
      <c r="BZ45">
        <f>SUMIFS(Dyno_Data[NZTime], Dyno_Data[Team],TBA_Matches_All[[#This Row],[Team]],Dyno_Data[Match],TBA_Matches_All[[#This Row],[Match_Number]],Dyno_Data[RecordType],"EndMatch")</f>
        <v>14.3374159</v>
      </c>
      <c r="CA45">
        <f>SUMIFS(Dyno_Data[AZTime], Dyno_Data[Team],TBA_Matches_All[[#This Row],[Team]],Dyno_Data[Match],TBA_Matches_All[[#This Row],[Match_Number]],Dyno_Data[RecordType],"EndMatch")</f>
        <v>65.430802200000002</v>
      </c>
      <c r="CB45">
        <f>SUMIFS(Dyno_Data[ClimbT], Dyno_Data[Team],TBA_Matches_All[[#This Row],[Team]],Dyno_Data[Match],TBA_Matches_All[[#This Row],[Match_Number]],Dyno_Data[RecordType],"EndMatch")</f>
        <v>7.6340427999999996</v>
      </c>
      <c r="CC45" t="str">
        <f>_xlfn.XLOOKUP(SUM(MID(TBA_Matches_All[[#This Row],[Team]],4,5),(TBA_Matches_All[[#This Row],[Match_Number]]/100)),Dyno_EndMatch[teammat],Dyno_EndMatch[StageStat],"_",0,1)</f>
        <v>On</v>
      </c>
      <c r="CD45" t="str">
        <f>_xlfn.XLOOKUP(TBA_Matches_All[[#This Row],[teammat]],Dyno_EndMatch[teammat],Dyno_EndMatch[StageAtt],"_",0,1)</f>
        <v>1</v>
      </c>
      <c r="CE45" t="str">
        <f>_xlfn.XLOOKUP(TBA_Matches_All[[#This Row],[teammat]],Dyno_EndMatch[teammat],Dyno_EndMatch[StageLoc],"_",0,1)</f>
        <v>L</v>
      </c>
      <c r="CF45">
        <f>SUMIFS(Dyno_Data[Harmony], Dyno_Data[Team],TBA_Matches_All[[#This Row],[Team]],Dyno_Data[Match],TBA_Matches_All[[#This Row],[Match_Number]],Dyno_Data[RecordType],"EndMatch", Dyno_Data[StageStat],"On",Dyno_Data[Harmony],"&lt;&gt;9")</f>
        <v>0</v>
      </c>
      <c r="CG45">
        <f>SUMIFS(Dyno_Data[Spotlit], Dyno_Data[Team],TBA_Matches_All[[#This Row],[Team]],Dyno_Data[Match],TBA_Matches_All[[#This Row],[Match_Number]],Dyno_Data[RecordType],"EndMatch", Dyno_Data[StageStat],"On",Dyno_Data[Spotlit],"&lt;&gt;9")</f>
        <v>0</v>
      </c>
      <c r="CH45" t="str">
        <f>_xlfn.XLOOKUP(TBA_Matches_All[[#This Row],[teammat]],Dyno_EndMatch[teammat],Dyno_EndMatch[Strategy],"_",0,1)</f>
        <v>Hybrid</v>
      </c>
      <c r="CI45">
        <f>SUMIFS(Dyno_Data[Defense], Dyno_Data[Team],TBA_Matches_All[[#This Row],[Team]],Dyno_Data[Match],TBA_Matches_All[[#This Row],[Match_Number]],Dyno_Data[RecordType],"EndMatch",Dyno_Data[Defense],"&lt;&gt;9")</f>
        <v>0</v>
      </c>
      <c r="CJ45">
        <f>SUMIFS(Dyno_Data[Avoidance], Dyno_Data[Team],TBA_Matches_All[[#This Row],[Team]],Dyno_Data[Match],TBA_Matches_All[[#This Row],[Match_Number]],Dyno_Data[RecordType],"EndMatch",Dyno_Data[Avoidance],"&lt;&gt;9")</f>
        <v>1</v>
      </c>
      <c r="CK45" s="82">
        <f>COUNTIF($H$2:TBA_Matches_All[[#This Row],[Team]],TBA_Matches_All[[#This Row],[Team]])</f>
        <v>1</v>
      </c>
      <c r="CL45" s="111">
        <f>SUM(MID(TBA_Matches_All[[#This Row],[Team]],4,5)+TBA_Matches_All[[#This Row],[Match_Number]]/100)</f>
        <v>2601.08</v>
      </c>
      <c r="CM45">
        <f>SUM((TBA_Matches_All[[#This Row],[Leave]]*2)+(TBA_Matches_All[[#This Row],[AampT]]*2)+(TBA_Matches_All[[#This Row],[AspkrT]]*5)+(TBA_Matches_All[[#This Row],[AtrapT]]*5))</f>
        <v>12</v>
      </c>
      <c r="CN45" s="59">
        <f>IFERROR(SUM(TBA_Matches_All[[#This Row],[AptsT]]/TBA_Matches_All[[#This Row],[AutoPts]]),0)</f>
        <v>0.63157894736842102</v>
      </c>
      <c r="CO45" s="59">
        <f>IFERROR(SUM(TBA_Matches_All[[#This Row],[AampT]]+TBA_Matches_All[[#This Row],[AspkrT]]+TBA_Matches_All[[#This Row],[AtrapT]]/TBA_Matches_All[[#This Row],[Aamp]]+TBA_Matches_All[[#This Row],[Aspkr]]+TBA_Matches_All[[#This Row],[AtrapT]]),0)</f>
        <v>0</v>
      </c>
      <c r="CP45" s="59">
        <f>IFERROR(SUM(TBA_Matches_All[[#This Row],[TampT]]/TBA_Matches_All[[#This Row],[Tamp]]),0)</f>
        <v>0</v>
      </c>
      <c r="CQ45" s="59">
        <f>IFERROR(SUM(TBA_Matches_All[[#This Row],[TspkrT]]/TBA_Matches_All[[#This Row],[Tspkr]]),0)</f>
        <v>0.3</v>
      </c>
      <c r="CR45">
        <f>SUM(TBA_Matches_All[[#This Row],[TspkrPts]]*TBA_Matches_All[[#This Row],[TspkrP]])</f>
        <v>6.8999999999999995</v>
      </c>
      <c r="CS45" s="59">
        <f>IFERROR(SUM(TBA_Matches_All[[#This Row],[TtrapT]]/TBA_Matches_All[[#This Row],[Trap]]),0)</f>
        <v>0</v>
      </c>
      <c r="CT45" s="59">
        <f>IFERROR(SUM(TBA_Matches_All[[#This Row],[TotNotesT]]/TBA_Matches_All[[#This Row],[TotNotes]]),0)</f>
        <v>0.33333333333333331</v>
      </c>
      <c r="CU45" s="66">
        <f>SUM((TBA_Matches_All[[#This Row],[AampT]]*2)+(TBA_Matches_All[[#This Row],[AspkrT]]*5)+(TBA_Matches_All[[#This Row],[AtrapT]]*5)+(TBA_Matches_All[[#This Row],[TampT]]*1)+(TBA_Matches_All[[#This Row],[TspkrptsC]]))</f>
        <v>16.899999999999999</v>
      </c>
      <c r="CV45" s="59">
        <f>IFERROR(TBA_Matches_All[[#This Row],[noteptsT]]/TBA_Matches_All[[#This Row],[NotePts]],0)</f>
        <v>0.42249999999999999</v>
      </c>
      <c r="CW45">
        <f>SUM(IF(TBA_Matches_All[[#This Row],[stageStat]]="On",3,0),IF(TBA_Matches_All[[#This Row],[stageStat]]="Park",1,0),SUMIFS(TBA_Matches_All[[#This Row],[Spotlit]],TBA_Matches_All[[#This Row],[stageStat]],"On"),SUMIFS(TBA_Matches_All[[#This Row],[Harmony]],TBA_Matches_All[[#This Row],[stageStat]],"On"))</f>
        <v>3</v>
      </c>
      <c r="CX45" s="59">
        <f>IFERROR(TBA_Matches_All[[#This Row],[stageptsT]]/TBA_Matches_All[[#This Row],[StagePts]],0)</f>
        <v>0.42857142857142855</v>
      </c>
      <c r="CY45">
        <f>SUM((TBA_Matches_All[[#This Row],[AptsT]]+TBA_Matches_All[[#This Row],[TampT]]+TBA_Matches_All[[#This Row],[TspkrptsC]]+(TBA_Matches_All[[#This Row],[TtrapT]]*5)+TBA_Matches_All[[#This Row],[stageptsT]]))</f>
        <v>21.9</v>
      </c>
      <c r="CZ45" s="59">
        <f>IFERROR(SUM(TBA_Matches_All[[#This Row],[TotptsC]]/TBA_Matches_All[[#This Row],[Score]]),0)</f>
        <v>0.41320754716981128</v>
      </c>
      <c r="DA4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18.659340659340661</v>
      </c>
      <c r="DB45" s="74">
        <f>SUMIFS(TBA_Matches_All[AveTeamTNoteDels],TBA_Matches_All[Match_Number],TBA_Matches_All[[#This Row],[Match_Number]],TBA_Matches_All[Alliance],"&lt;&gt;"&amp;TBA_Matches_All[[#This Row],[Alliance]],TBA_Matches_All[Scouted],"&gt;0")</f>
        <v>22.971022727272725</v>
      </c>
      <c r="DC45" s="74">
        <f>(TBA_Matches_All[[#This Row],[TampT]]+TBA_Matches_All[[#This Row],[TspkrptsC]])-TBA_Matches_All[[#This Row],[AveTeamTNoteDels]]</f>
        <v>-11.759340659340662</v>
      </c>
      <c r="DD45" s="74">
        <f>SUMIFS(TBA_Matches_All[AveTeamTNoteDels],TBA_Matches_All[Match_Number],TBA_Matches_All[[#This Row],[Match_Number]],TBA_Matches_All[Alliance],"&lt;&gt;"&amp;TBA_Matches_All[[#This Row],[Alliance]])-TBA_Matches_All[[#This Row],[AveOppTNoteDels]]</f>
        <v>0</v>
      </c>
    </row>
    <row r="46" spans="1:108" x14ac:dyDescent="0.3">
      <c r="A46" t="s">
        <v>1042</v>
      </c>
      <c r="B46" t="s">
        <v>489</v>
      </c>
      <c r="C46" t="s">
        <v>1313</v>
      </c>
      <c r="D46">
        <v>8</v>
      </c>
      <c r="E46" t="s">
        <v>1406</v>
      </c>
      <c r="F46" t="s">
        <v>1424</v>
      </c>
      <c r="G46" t="s">
        <v>1409</v>
      </c>
      <c r="H46" t="s">
        <v>373</v>
      </c>
      <c r="I46" t="b">
        <v>1</v>
      </c>
      <c r="J46">
        <v>71</v>
      </c>
      <c r="K46">
        <v>1</v>
      </c>
      <c r="L46">
        <v>0</v>
      </c>
      <c r="M46">
        <v>2</v>
      </c>
      <c r="N46">
        <v>0</v>
      </c>
      <c r="O46">
        <v>3</v>
      </c>
      <c r="P46">
        <v>15</v>
      </c>
      <c r="Q46">
        <v>21</v>
      </c>
      <c r="R46">
        <v>7</v>
      </c>
      <c r="S46">
        <v>6</v>
      </c>
      <c r="T46">
        <v>3</v>
      </c>
      <c r="U46">
        <v>30</v>
      </c>
      <c r="V46">
        <v>6</v>
      </c>
      <c r="W46">
        <v>9</v>
      </c>
      <c r="X46">
        <v>36</v>
      </c>
      <c r="Y46">
        <v>43</v>
      </c>
      <c r="Z46">
        <v>0</v>
      </c>
      <c r="AA46">
        <v>0</v>
      </c>
      <c r="AB46">
        <v>19</v>
      </c>
      <c r="AC46">
        <v>58</v>
      </c>
      <c r="AD46">
        <v>5</v>
      </c>
      <c r="AE46">
        <f>IFERROR(6/(COUNTIF(Dyno_EndMatch[Match],TBA_Matches_All[[#This Row],[Match_Number]])),0)</f>
        <v>1</v>
      </c>
      <c r="AF46">
        <f>COUNTIFS(Dyno_Data[Team],TBA_Matches_All[[#This Row],[Team]],Dyno_Data[Match],TBA_Matches_All[[#This Row],[Match_Number]],Dyno_Data[RecordType],"EndMatch",Dyno_Data[HPAmp],"Y")</f>
        <v>0</v>
      </c>
      <c r="AG46">
        <f>SUMIFS(Dyno_Data[Mics], Dyno_Data[Team],TBA_Matches_All[[#This Row],[Team]],Dyno_Data[Match],TBA_Matches_All[[#This Row],[Match_Number]],Dyno_Data[RecordType],"EndMatch",Dyno_Data[HPAmp],"Y")</f>
        <v>0</v>
      </c>
      <c r="AH46">
        <f>SUMIFS(Dyno_Data[Leave], Dyno_Data[Team],TBA_Matches_All[[#This Row],[Team]],Dyno_Data[Match],TBA_Matches_All[[#This Row],[Match_Number]],Dyno_Data[RecordType],"EndAuto")</f>
        <v>0</v>
      </c>
      <c r="AI46">
        <f>COUNTIFS(Dyno_Data[Team],TBA_Matches_All[[#This Row],[Team]],Dyno_Data[Match],TBA_Matches_All[[#This Row],[Match_Number]],Dyno_Data[RecordType],"Activities",Dyno_Data[DelDest],"Amp", Dyno_Data[DelMiss],"0", Dyno_Data[Mode],"Auto")</f>
        <v>0</v>
      </c>
      <c r="AJ46">
        <f>COUNTIFS(Dyno_Data[Team],TBA_Matches_All[[#This Row],[Team]],Dyno_Data[Match],TBA_Matches_All[[#This Row],[Match_Number]],Dyno_Data[RecordType],"Activities",Dyno_Data[DelDest],"Spkr", Dyno_Data[DelMiss],"0", Dyno_Data[Mode],"Auto")</f>
        <v>0</v>
      </c>
      <c r="AK46">
        <f>COUNTIFS(Dyno_Data[Team],TBA_Matches_All[[#This Row],[Team]],Dyno_Data[Match],TBA_Matches_All[[#This Row],[Match_Number]],Dyno_Data[RecordType],"Activities",Dyno_Data[DelDest],"Trap", Dyno_Data[DelMiss],"0", Dyno_Data[Mode],"Auto")</f>
        <v>0</v>
      </c>
      <c r="AL46">
        <f>COUNTIFS(Dyno_Data[Team],TBA_Matches_All[[#This Row],[Team]],Dyno_Data[Match],TBA_Matches_All[[#This Row],[Match_Number]],Dyno_Data[RecordType],"Activities",Dyno_Data[DelDest],"Amp", Dyno_Data[DelMiss],"0", Dyno_Data[Mode],"Teleop")</f>
        <v>0</v>
      </c>
      <c r="AM46">
        <f>COUNTIFS(Dyno_Data[Team],TBA_Matches_All[[#This Row],[Team]],Dyno_Data[Match],TBA_Matches_All[[#This Row],[Match_Number]],Dyno_Data[RecordType],"Activities",Dyno_Data[DelDest],"Spkr", Dyno_Data[DelMiss],"0", Dyno_Data[Mode],"Teleop")</f>
        <v>0</v>
      </c>
      <c r="AN46">
        <f>COUNTIFS(Dyno_Data[Team],TBA_Matches_All[[#This Row],[Team]],Dyno_Data[Match],TBA_Matches_All[[#This Row],[Match_Number]],Dyno_Data[RecordType],"Activities",Dyno_Data[DelDest],"Trap", Dyno_Data[DelMiss],"0", Dyno_Data[Mode],"&lt;&gt;Auto")</f>
        <v>0</v>
      </c>
      <c r="AO46">
        <f>SUM(TBA_Matches_All[[#This Row],[AampT]]+TBA_Matches_All[[#This Row],[AspkrT]]+TBA_Matches_All[[#This Row],[AtrapT]]+TBA_Matches_All[[#This Row],[TampT]]+TBA_Matches_All[[#This Row],[TspkrT]]+TBA_Matches_All[[#This Row],[TtrapT]])</f>
        <v>0</v>
      </c>
      <c r="AP46">
        <f>COUNTIFS(Dyno_Data[Team],TBA_Matches_All[[#This Row],[Team]],Dyno_Data[Match],TBA_Matches_All[[#This Row],[Match_Number]],Dyno_Data[RecordType],"Activities",Dyno_Data[DelDest],"Neut", Dyno_Data[DelMiss],"0")</f>
        <v>0</v>
      </c>
      <c r="AQ46">
        <f>COUNTIFS(Dyno_Data[Team],TBA_Matches_All[[#This Row],[Team]],Dyno_Data[Match],TBA_Matches_All[[#This Row],[Match_Number]],Dyno_Data[RecordType],"Activities",Dyno_Data[DelDest],"AllyW", Dyno_Data[DelMiss],"0")</f>
        <v>0</v>
      </c>
      <c r="AR46" t="str">
        <f>_xlfn.XLOOKUP(SUM(MID(TBA_Matches_All[[#This Row],[Team]],4,5),(TBA_Matches_All[[#This Row],[Match_Number]]/100)),Dyno_EndMatch[teammat],Dyno_EndMatch[RobotSta],"_",0,1)</f>
        <v>OppS</v>
      </c>
      <c r="AS46">
        <f>SUMIFS(Dyno_Data[AcqDis], Dyno_Data[Team],TBA_Matches_All[[#This Row],[Team]],Dyno_Data[Match],TBA_Matches_All[[#This Row],[Match_Number]],Dyno_Data[RecordType],"Activities", Dyno_Data[AcqCenter],1,Dyno_Data[Mode],"Auto")</f>
        <v>0</v>
      </c>
      <c r="AT46">
        <f>SUMIFS(Dyno_Data[AcqDis], Dyno_Data[Team],TBA_Matches_All[[#This Row],[Team]],Dyno_Data[Match],TBA_Matches_All[[#This Row],[Match_Number]],Dyno_Data[RecordType],"Activities", Dyno_Data[AcqCenter],2,Dyno_Data[Mode],"Auto")</f>
        <v>0</v>
      </c>
      <c r="AU46">
        <f>SUMIFS(Dyno_Data[AcqDis], Dyno_Data[Team],TBA_Matches_All[[#This Row],[Team]],Dyno_Data[Match],TBA_Matches_All[[#This Row],[Match_Number]],Dyno_Data[RecordType],"Activities", Dyno_Data[AcqCenter],3,Dyno_Data[Mode],"Auto")</f>
        <v>0</v>
      </c>
      <c r="AV46">
        <f>SUMIFS(Dyno_Data[AcqDis], Dyno_Data[Team],TBA_Matches_All[[#This Row],[Team]],Dyno_Data[Match],TBA_Matches_All[[#This Row],[Match_Number]],Dyno_Data[RecordType],"Activities", Dyno_Data[AcqCenter],4,Dyno_Data[Mode],"Auto")</f>
        <v>0</v>
      </c>
      <c r="AW46">
        <f>SUMIFS(Dyno_Data[AcqDis], Dyno_Data[Team],TBA_Matches_All[[#This Row],[Team]],Dyno_Data[Match],TBA_Matches_All[[#This Row],[Match_Number]],Dyno_Data[RecordType],"Activities", Dyno_Data[AcqCenter],5,Dyno_Data[Mode],"Auto")</f>
        <v>0</v>
      </c>
      <c r="AX46">
        <f>SUMIFS(Dyno_Data[DelMiss], Dyno_Data[Team],TBA_Matches_All[[#This Row],[Team]],Dyno_Data[Match],TBA_Matches_All[[#This Row],[Match_Number]],Dyno_Data[RecordType],"Activities", Dyno_Data[DelDest],"Amp")</f>
        <v>0</v>
      </c>
      <c r="AY46" s="60">
        <f>IFERROR(SUM((TBA_Matches_All[[#This Row],[AampT]]+TBA_Matches_All[[#This Row],[TampT]])/(TBA_Matches_All[[#This Row],[AampT]]+TBA_Matches_All[[#This Row],[TampT]]+TBA_Matches_All[[#This Row],[ampM]])),0)</f>
        <v>0</v>
      </c>
      <c r="AZ46">
        <f>SUMIFS(Dyno_Data[DelMiss], Dyno_Data[Team],TBA_Matches_All[[#This Row],[Team]],Dyno_Data[Match],TBA_Matches_All[[#This Row],[Match_Number]],Dyno_Data[RecordType],"Activities", Dyno_Data[DelDest],"Spkr")</f>
        <v>1</v>
      </c>
      <c r="BA46" s="60">
        <f>IFERROR(SUM((TBA_Matches_All[[#This Row],[AspkrT]]+TBA_Matches_All[[#This Row],[TspkrT]])/(TBA_Matches_All[[#This Row],[AspkrT]]+TBA_Matches_All[[#This Row],[TspkrT]]+TBA_Matches_All[[#This Row],[spkrM]])),0)</f>
        <v>0</v>
      </c>
      <c r="BB46">
        <f>SUMIFS(Dyno_Data[DelMiss], Dyno_Data[Team],TBA_Matches_All[[#This Row],[Team]],Dyno_Data[Match],TBA_Matches_All[[#This Row],[Match_Number]],Dyno_Data[RecordType],"Activities", Dyno_Data[DelDest],"Trap")</f>
        <v>0</v>
      </c>
      <c r="BC46" s="60">
        <f>IFERROR((TBA_Matches_All[[#This Row],[AtrapT]]+TBA_Matches_All[[#This Row],[TtrapT]])/(TBA_Matches_All[[#This Row],[AtrapT]]+TBA_Matches_All[[#This Row],[TtrapT]]+TBA_Matches_All[[#This Row],[trapM]]),0)</f>
        <v>0</v>
      </c>
      <c r="BD46">
        <f>COUNTIFS(Dyno_Data[Team],TBA_Matches_All[[#This Row],[Team]],Dyno_Data[Match],TBA_Matches_All[[#This Row],[Match_Number]],Dyno_Data[RecordType],"Activities",Dyno_Data[DelDest],"Neut", Dyno_Data[DelMiss],1)</f>
        <v>0</v>
      </c>
      <c r="BE46" s="60">
        <f>IFERROR(SUM((TBA_Matches_All[[#This Row],[NeutFlrT]])/(TBA_Matches_All[[#This Row],[NeutFlrT]]+TBA_Matches_All[[#This Row],[NZflM]])),0)</f>
        <v>0</v>
      </c>
      <c r="BF46">
        <f>COUNTIFS(Dyno_Data[Team],TBA_Matches_All[[#This Row],[Team]],Dyno_Data[Match],TBA_Matches_All[[#This Row],[Match_Number]],Dyno_Data[RecordType],"Activities",Dyno_Data[DelDest],"AllyW", Dyno_Data[DelMiss],1)</f>
        <v>0</v>
      </c>
      <c r="BG46" s="60">
        <f>IFERROR(SUM((TBA_Matches_All[[#This Row],[AllyWFlrT]])/(TBA_Matches_All[[#This Row],[AllyWFlrT]]+TBA_Matches_All[[#This Row],[AZflM]])),0)</f>
        <v>0</v>
      </c>
      <c r="BH46">
        <f>COUNTIFS(Dyno_Data[Team],TBA_Matches_All[[#This Row],[Team]],Dyno_Data[Match],TBA_Matches_All[[#This Row],[Match_Number]],Dyno_Data[RecordType],"Activities",Dyno_Data[DelOrig],"OppW", Dyno_Data[DelMiss],"0")</f>
        <v>0</v>
      </c>
      <c r="BI46">
        <f>COUNTIFS(Dyno_Data[Team],TBA_Matches_All[[#This Row],[Team]],Dyno_Data[Match],TBA_Matches_All[[#This Row],[Match_Number]],Dyno_Data[RecordType],"Activities",Dyno_Data[DelOrig],"OppW", Dyno_Data[DelMiss],"1")</f>
        <v>0</v>
      </c>
      <c r="BJ46" s="60">
        <f>IFERROR(SUM((TBA_Matches_All[[#This Row],[OZflrT]])/(TBA_Matches_All[[#This Row],[OZflrT]]+TBA_Matches_All[[#This Row],[OZflrM]])),0)</f>
        <v>0</v>
      </c>
      <c r="BK46">
        <f>COUNTIFS(Dyno_Data[Team],TBA_Matches_All[[#This Row],[Team]],Dyno_Data[Match],TBA_Matches_All[[#This Row],[Match_Number]],Dyno_Data[RecordType],"Activities",Dyno_Data[DelOrig],"Neut", Dyno_Data[DelMiss],"0")</f>
        <v>0</v>
      </c>
      <c r="BL46">
        <f>COUNTIFS(Dyno_Data[Team],TBA_Matches_All[[#This Row],[Team]],Dyno_Data[Match],TBA_Matches_All[[#This Row],[Match_Number]],Dyno_Data[RecordType],"Activities",Dyno_Data[DelOrig],"Neut", Dyno_Data[DelMiss],"1")</f>
        <v>0</v>
      </c>
      <c r="BM46" s="60">
        <f>IFERROR(SUM((TBA_Matches_All[[#This Row],[NZflrT]])/(TBA_Matches_All[[#This Row],[NZflrT]]+TBA_Matches_All[[#This Row],[NZflrM]])),0)</f>
        <v>0</v>
      </c>
      <c r="BN46">
        <f>COUNTIFS(Dyno_Data[Team],TBA_Matches_All[[#This Row],[Team]],Dyno_Data[Match],TBA_Matches_All[[#This Row],[Match_Number]],Dyno_Data[RecordType],"Activities",Dyno_Data[DelOrig],"AllyW", Dyno_Data[DelMiss],"0")</f>
        <v>0</v>
      </c>
      <c r="BO46">
        <f>COUNTIFS(Dyno_Data[Team],TBA_Matches_All[[#This Row],[Team]],Dyno_Data[Match],TBA_Matches_All[[#This Row],[Match_Number]],Dyno_Data[RecordType],"Activities",Dyno_Data[DelOrig],"AllyW", Dyno_Data[DelMiss],"1")</f>
        <v>1</v>
      </c>
      <c r="BP46" s="60">
        <f>IFERROR(SUM((TBA_Matches_All[[#This Row],[AZflrT]])/(TBA_Matches_All[[#This Row],[AZflrT]]+TBA_Matches_All[[#This Row],[AZflrM]])),0)</f>
        <v>0</v>
      </c>
      <c r="BQ46">
        <f>COUNTIFS(Dyno_Data[Team],TBA_Matches_All[[#This Row],[Team]],Dyno_Data[Match],TBA_Matches_All[[#This Row],[Match_Number]],Dyno_Data[RecordType],"Activities",Dyno_Data[DelOrig],"SubW", Dyno_Data[DelMiss],"0")</f>
        <v>0</v>
      </c>
      <c r="BR46">
        <f>COUNTIFS(Dyno_Data[Team],TBA_Matches_All[[#This Row],[Team]],Dyno_Data[Match],TBA_Matches_All[[#This Row],[Match_Number]],Dyno_Data[RecordType],"Activities",Dyno_Data[DelOrig],"SubW", Dyno_Data[DelMiss],"1")</f>
        <v>0</v>
      </c>
      <c r="BS46" s="60">
        <f>IFERROR(SUM((TBA_Matches_All[[#This Row],[SubwT]])/(TBA_Matches_All[[#This Row],[SubwT]]+TBA_Matches_All[[#This Row],[SubwM]])),0)</f>
        <v>0</v>
      </c>
      <c r="BT46">
        <f>COUNTIFS(Dyno_Data[Team],TBA_Matches_All[[#This Row],[Team]],Dyno_Data[Match],TBA_Matches_All[[#This Row],[Match_Number]],Dyno_Data[RecordType],"Activities", Dyno_Data[AcqLoc],"OppWing")</f>
        <v>0</v>
      </c>
      <c r="BU46">
        <f>COUNTIFS(Dyno_Data[Team],TBA_Matches_All[[#This Row],[Team]],Dyno_Data[Match],TBA_Matches_All[[#This Row],[Match_Number]],Dyno_Data[RecordType],"Activities", Dyno_Data[AcqLoc],"Neutral")</f>
        <v>0</v>
      </c>
      <c r="BV46">
        <f>COUNTIFS(Dyno_Data[Team],TBA_Matches_All[[#This Row],[Team]],Dyno_Data[Match],TBA_Matches_All[[#This Row],[Match_Number]],Dyno_Data[RecordType],"Activities", Dyno_Data[AcqLoc],"AllyWing")</f>
        <v>0</v>
      </c>
      <c r="BW46">
        <f>COUNTIFS(Dyno_Data[Team],TBA_Matches_All[[#This Row],[Team]],Dyno_Data[Match],TBA_Matches_All[[#This Row],[Match_Number]],Dyno_Data[RecordType],"Activities", Dyno_Data[AcqLoc],"Source")</f>
        <v>0</v>
      </c>
      <c r="BX46">
        <f>SUMIFS(Dyno_Data[AcqDrp], Dyno_Data[Team],TBA_Matches_All[[#This Row],[Team]],Dyno_Data[Match],TBA_Matches_All[[#This Row],[Match_Number]],Dyno_Data[RecordType],"Activities", Dyno_Data[AcqLoc],"Source")</f>
        <v>0</v>
      </c>
      <c r="BY46">
        <f>SUMIFS(Dyno_Data[OZTime], Dyno_Data[Team],TBA_Matches_All[[#This Row],[Team]],Dyno_Data[Match],TBA_Matches_All[[#This Row],[Match_Number]],Dyno_Data[RecordType],"EndMatch")</f>
        <v>0</v>
      </c>
      <c r="BZ46">
        <f>SUMIFS(Dyno_Data[NZTime], Dyno_Data[Team],TBA_Matches_All[[#This Row],[Team]],Dyno_Data[Match],TBA_Matches_All[[#This Row],[Match_Number]],Dyno_Data[RecordType],"EndMatch")</f>
        <v>42.529401100000001</v>
      </c>
      <c r="CA46">
        <f>SUMIFS(Dyno_Data[AZTime], Dyno_Data[Team],TBA_Matches_All[[#This Row],[Team]],Dyno_Data[Match],TBA_Matches_All[[#This Row],[Match_Number]],Dyno_Data[RecordType],"EndMatch")</f>
        <v>70.253457999999995</v>
      </c>
      <c r="CB46">
        <f>SUMIFS(Dyno_Data[ClimbT], Dyno_Data[Team],TBA_Matches_All[[#This Row],[Team]],Dyno_Data[Match],TBA_Matches_All[[#This Row],[Match_Number]],Dyno_Data[RecordType],"EndMatch")</f>
        <v>22.119999199999999</v>
      </c>
      <c r="CC46" t="str">
        <f>_xlfn.XLOOKUP(SUM(MID(TBA_Matches_All[[#This Row],[Team]],4,5),(TBA_Matches_All[[#This Row],[Match_Number]]/100)),Dyno_EndMatch[teammat],Dyno_EndMatch[StageStat],"_",0,1)</f>
        <v>Park</v>
      </c>
      <c r="CD46" t="str">
        <f>_xlfn.XLOOKUP(TBA_Matches_All[[#This Row],[teammat]],Dyno_EndMatch[teammat],Dyno_EndMatch[StageAtt],"_",0,1)</f>
        <v>-1</v>
      </c>
      <c r="CE46" t="str">
        <f>_xlfn.XLOOKUP(TBA_Matches_All[[#This Row],[teammat]],Dyno_EndMatch[teammat],Dyno_EndMatch[StageLoc],"_",0,1)</f>
        <v>A</v>
      </c>
      <c r="CF46">
        <f>SUMIFS(Dyno_Data[Harmony], Dyno_Data[Team],TBA_Matches_All[[#This Row],[Team]],Dyno_Data[Match],TBA_Matches_All[[#This Row],[Match_Number]],Dyno_Data[RecordType],"EndMatch", Dyno_Data[StageStat],"On",Dyno_Data[Harmony],"&lt;&gt;9")</f>
        <v>0</v>
      </c>
      <c r="CG46">
        <f>SUMIFS(Dyno_Data[Spotlit], Dyno_Data[Team],TBA_Matches_All[[#This Row],[Team]],Dyno_Data[Match],TBA_Matches_All[[#This Row],[Match_Number]],Dyno_Data[RecordType],"EndMatch", Dyno_Data[StageStat],"On",Dyno_Data[Spotlit],"&lt;&gt;9")</f>
        <v>0</v>
      </c>
      <c r="CH46" t="str">
        <f>_xlfn.XLOOKUP(TBA_Matches_All[[#This Row],[teammat]],Dyno_EndMatch[teammat],Dyno_EndMatch[Strategy],"_",0,1)</f>
        <v>Defense</v>
      </c>
      <c r="CI46">
        <f>SUMIFS(Dyno_Data[Defense], Dyno_Data[Team],TBA_Matches_All[[#This Row],[Team]],Dyno_Data[Match],TBA_Matches_All[[#This Row],[Match_Number]],Dyno_Data[RecordType],"EndMatch",Dyno_Data[Defense],"&lt;&gt;9")</f>
        <v>3</v>
      </c>
      <c r="CJ46">
        <f>SUMIFS(Dyno_Data[Avoidance], Dyno_Data[Team],TBA_Matches_All[[#This Row],[Team]],Dyno_Data[Match],TBA_Matches_All[[#This Row],[Match_Number]],Dyno_Data[RecordType],"EndMatch",Dyno_Data[Avoidance],"&lt;&gt;9")</f>
        <v>0</v>
      </c>
      <c r="CK46" s="82">
        <f>COUNTIF($H$2:TBA_Matches_All[[#This Row],[Team]],TBA_Matches_All[[#This Row],[Team]])</f>
        <v>1</v>
      </c>
      <c r="CL46" s="111">
        <f>SUM(MID(TBA_Matches_All[[#This Row],[Team]],4,5)+TBA_Matches_All[[#This Row],[Match_Number]]/100)</f>
        <v>7718.08</v>
      </c>
      <c r="CM46">
        <f>SUM((TBA_Matches_All[[#This Row],[Leave]]*2)+(TBA_Matches_All[[#This Row],[AampT]]*2)+(TBA_Matches_All[[#This Row],[AspkrT]]*5)+(TBA_Matches_All[[#This Row],[AtrapT]]*5))</f>
        <v>0</v>
      </c>
      <c r="CN46" s="59">
        <f>IFERROR(SUM(TBA_Matches_All[[#This Row],[AptsT]]/TBA_Matches_All[[#This Row],[AutoPts]]),0)</f>
        <v>0</v>
      </c>
      <c r="CO46" s="59">
        <f>IFERROR(SUM(TBA_Matches_All[[#This Row],[AampT]]+TBA_Matches_All[[#This Row],[AspkrT]]+TBA_Matches_All[[#This Row],[AtrapT]]/TBA_Matches_All[[#This Row],[Aamp]]+TBA_Matches_All[[#This Row],[Aspkr]]+TBA_Matches_All[[#This Row],[AtrapT]]),0)</f>
        <v>0</v>
      </c>
      <c r="CP46" s="59">
        <f>IFERROR(SUM(TBA_Matches_All[[#This Row],[TampT]]/TBA_Matches_All[[#This Row],[Tamp]]),0)</f>
        <v>0</v>
      </c>
      <c r="CQ46" s="59">
        <f>IFERROR(SUM(TBA_Matches_All[[#This Row],[TspkrT]]/TBA_Matches_All[[#This Row],[Tspkr]]),0)</f>
        <v>0</v>
      </c>
      <c r="CR46">
        <f>SUM(TBA_Matches_All[[#This Row],[TspkrPts]]*TBA_Matches_All[[#This Row],[TspkrP]])</f>
        <v>0</v>
      </c>
      <c r="CS46" s="59">
        <f>IFERROR(SUM(TBA_Matches_All[[#This Row],[TtrapT]]/TBA_Matches_All[[#This Row],[Trap]]),0)</f>
        <v>0</v>
      </c>
      <c r="CT46" s="59">
        <f>IFERROR(SUM(TBA_Matches_All[[#This Row],[TotNotesT]]/TBA_Matches_All[[#This Row],[TotNotes]]),0)</f>
        <v>0</v>
      </c>
      <c r="CU46" s="66">
        <f>SUM((TBA_Matches_All[[#This Row],[AampT]]*2)+(TBA_Matches_All[[#This Row],[AspkrT]]*5)+(TBA_Matches_All[[#This Row],[AtrapT]]*5)+(TBA_Matches_All[[#This Row],[TampT]]*1)+(TBA_Matches_All[[#This Row],[TspkrptsC]]))</f>
        <v>0</v>
      </c>
      <c r="CV46" s="59">
        <f>IFERROR(TBA_Matches_All[[#This Row],[noteptsT]]/TBA_Matches_All[[#This Row],[NotePts]],0)</f>
        <v>0</v>
      </c>
      <c r="CW46">
        <f>SUM(IF(TBA_Matches_All[[#This Row],[stageStat]]="On",3,0),IF(TBA_Matches_All[[#This Row],[stageStat]]="Park",1,0),SUMIFS(TBA_Matches_All[[#This Row],[Spotlit]],TBA_Matches_All[[#This Row],[stageStat]],"On"),SUMIFS(TBA_Matches_All[[#This Row],[Harmony]],TBA_Matches_All[[#This Row],[stageStat]],"On"))</f>
        <v>1</v>
      </c>
      <c r="CX46" s="59">
        <f>IFERROR(TBA_Matches_All[[#This Row],[stageptsT]]/TBA_Matches_All[[#This Row],[StagePts]],0)</f>
        <v>0.2</v>
      </c>
      <c r="CY46">
        <f>SUM((TBA_Matches_All[[#This Row],[AptsT]]+TBA_Matches_All[[#This Row],[TampT]]+TBA_Matches_All[[#This Row],[TspkrptsC]]+(TBA_Matches_All[[#This Row],[TtrapT]]*5)+TBA_Matches_All[[#This Row],[stageptsT]]))</f>
        <v>1</v>
      </c>
      <c r="CZ46" s="59">
        <f>IFERROR(SUM(TBA_Matches_All[[#This Row],[TotptsC]]/TBA_Matches_All[[#This Row],[Score]]),0)</f>
        <v>1.4084507042253521E-2</v>
      </c>
      <c r="DA4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46" s="74">
        <f>SUMIFS(TBA_Matches_All[AveTeamTNoteDels],TBA_Matches_All[Match_Number],TBA_Matches_All[[#This Row],[Match_Number]],TBA_Matches_All[Alliance],"&lt;&gt;"&amp;TBA_Matches_All[[#This Row],[Alliance]],TBA_Matches_All[Scouted],"&gt;0")</f>
        <v>36.565022477522483</v>
      </c>
      <c r="DC46" s="74">
        <f>(TBA_Matches_All[[#This Row],[TampT]]+TBA_Matches_All[[#This Row],[TspkrptsC]])-TBA_Matches_All[[#This Row],[AveTeamTNoteDels]]</f>
        <v>0</v>
      </c>
      <c r="DD46" s="74">
        <f>SUMIFS(TBA_Matches_All[AveTeamTNoteDels],TBA_Matches_All[Match_Number],TBA_Matches_All[[#This Row],[Match_Number]],TBA_Matches_All[Alliance],"&lt;&gt;"&amp;TBA_Matches_All[[#This Row],[Alliance]])-TBA_Matches_All[[#This Row],[AveOppTNoteDels]]</f>
        <v>0</v>
      </c>
    </row>
    <row r="47" spans="1:108" x14ac:dyDescent="0.3">
      <c r="A47" t="s">
        <v>1042</v>
      </c>
      <c r="B47" t="s">
        <v>489</v>
      </c>
      <c r="C47" t="s">
        <v>1313</v>
      </c>
      <c r="D47">
        <v>8</v>
      </c>
      <c r="E47" t="s">
        <v>1420</v>
      </c>
      <c r="F47" t="s">
        <v>1425</v>
      </c>
      <c r="G47" t="s">
        <v>105</v>
      </c>
      <c r="H47" t="s">
        <v>1314</v>
      </c>
      <c r="I47" t="b">
        <v>0</v>
      </c>
      <c r="J47">
        <v>53</v>
      </c>
      <c r="K47">
        <v>0</v>
      </c>
      <c r="L47">
        <v>0</v>
      </c>
      <c r="M47">
        <v>2</v>
      </c>
      <c r="N47">
        <v>0</v>
      </c>
      <c r="O47">
        <v>3</v>
      </c>
      <c r="P47">
        <v>15</v>
      </c>
      <c r="Q47">
        <v>19</v>
      </c>
      <c r="R47">
        <v>2</v>
      </c>
      <c r="S47">
        <v>1</v>
      </c>
      <c r="T47">
        <v>9</v>
      </c>
      <c r="U47">
        <v>5</v>
      </c>
      <c r="V47">
        <v>18</v>
      </c>
      <c r="W47">
        <v>10</v>
      </c>
      <c r="X47">
        <v>23</v>
      </c>
      <c r="Y47">
        <v>25</v>
      </c>
      <c r="Z47">
        <v>0</v>
      </c>
      <c r="AA47">
        <v>0</v>
      </c>
      <c r="AB47">
        <v>15</v>
      </c>
      <c r="AC47">
        <v>40</v>
      </c>
      <c r="AD47">
        <v>7</v>
      </c>
      <c r="AE47">
        <f>IFERROR(6/(COUNTIF(Dyno_EndMatch[Match],TBA_Matches_All[[#This Row],[Match_Number]])),0)</f>
        <v>1</v>
      </c>
      <c r="AF47">
        <f>COUNTIFS(Dyno_Data[Team],TBA_Matches_All[[#This Row],[Team]],Dyno_Data[Match],TBA_Matches_All[[#This Row],[Match_Number]],Dyno_Data[RecordType],"EndMatch",Dyno_Data[HPAmp],"Y")</f>
        <v>0</v>
      </c>
      <c r="AG47">
        <f>SUMIFS(Dyno_Data[Mics], Dyno_Data[Team],TBA_Matches_All[[#This Row],[Team]],Dyno_Data[Match],TBA_Matches_All[[#This Row],[Match_Number]],Dyno_Data[RecordType],"EndMatch",Dyno_Data[HPAmp],"Y")</f>
        <v>0</v>
      </c>
      <c r="AH47">
        <f>SUMIFS(Dyno_Data[Leave], Dyno_Data[Team],TBA_Matches_All[[#This Row],[Team]],Dyno_Data[Match],TBA_Matches_All[[#This Row],[Match_Number]],Dyno_Data[RecordType],"EndAuto")</f>
        <v>1</v>
      </c>
      <c r="AI47">
        <f>COUNTIFS(Dyno_Data[Team],TBA_Matches_All[[#This Row],[Team]],Dyno_Data[Match],TBA_Matches_All[[#This Row],[Match_Number]],Dyno_Data[RecordType],"Activities",Dyno_Data[DelDest],"Amp", Dyno_Data[DelMiss],"0", Dyno_Data[Mode],"Auto")</f>
        <v>0</v>
      </c>
      <c r="AJ47">
        <f>COUNTIFS(Dyno_Data[Team],TBA_Matches_All[[#This Row],[Team]],Dyno_Data[Match],TBA_Matches_All[[#This Row],[Match_Number]],Dyno_Data[RecordType],"Activities",Dyno_Data[DelDest],"Spkr", Dyno_Data[DelMiss],"0", Dyno_Data[Mode],"Auto")</f>
        <v>1</v>
      </c>
      <c r="AK47">
        <f>COUNTIFS(Dyno_Data[Team],TBA_Matches_All[[#This Row],[Team]],Dyno_Data[Match],TBA_Matches_All[[#This Row],[Match_Number]],Dyno_Data[RecordType],"Activities",Dyno_Data[DelDest],"Trap", Dyno_Data[DelMiss],"0", Dyno_Data[Mode],"Auto")</f>
        <v>0</v>
      </c>
      <c r="AL47">
        <f>COUNTIFS(Dyno_Data[Team],TBA_Matches_All[[#This Row],[Team]],Dyno_Data[Match],TBA_Matches_All[[#This Row],[Match_Number]],Dyno_Data[RecordType],"Activities",Dyno_Data[DelDest],"Amp", Dyno_Data[DelMiss],"0", Dyno_Data[Mode],"Teleop")</f>
        <v>2</v>
      </c>
      <c r="AM47">
        <f>COUNTIFS(Dyno_Data[Team],TBA_Matches_All[[#This Row],[Team]],Dyno_Data[Match],TBA_Matches_All[[#This Row],[Match_Number]],Dyno_Data[RecordType],"Activities",Dyno_Data[DelDest],"Spkr", Dyno_Data[DelMiss],"0", Dyno_Data[Mode],"Teleop")</f>
        <v>9</v>
      </c>
      <c r="AN47">
        <f>COUNTIFS(Dyno_Data[Team],TBA_Matches_All[[#This Row],[Team]],Dyno_Data[Match],TBA_Matches_All[[#This Row],[Match_Number]],Dyno_Data[RecordType],"Activities",Dyno_Data[DelDest],"Trap", Dyno_Data[DelMiss],"0", Dyno_Data[Mode],"&lt;&gt;Auto")</f>
        <v>0</v>
      </c>
      <c r="AO47">
        <f>SUM(TBA_Matches_All[[#This Row],[AampT]]+TBA_Matches_All[[#This Row],[AspkrT]]+TBA_Matches_All[[#This Row],[AtrapT]]+TBA_Matches_All[[#This Row],[TampT]]+TBA_Matches_All[[#This Row],[TspkrT]]+TBA_Matches_All[[#This Row],[TtrapT]])</f>
        <v>12</v>
      </c>
      <c r="AP47">
        <f>COUNTIFS(Dyno_Data[Team],TBA_Matches_All[[#This Row],[Team]],Dyno_Data[Match],TBA_Matches_All[[#This Row],[Match_Number]],Dyno_Data[RecordType],"Activities",Dyno_Data[DelDest],"Neut", Dyno_Data[DelMiss],"0")</f>
        <v>0</v>
      </c>
      <c r="AQ47">
        <f>COUNTIFS(Dyno_Data[Team],TBA_Matches_All[[#This Row],[Team]],Dyno_Data[Match],TBA_Matches_All[[#This Row],[Match_Number]],Dyno_Data[RecordType],"Activities",Dyno_Data[DelDest],"AllyW", Dyno_Data[DelMiss],"0")</f>
        <v>1</v>
      </c>
      <c r="AR47" t="str">
        <f>_xlfn.XLOOKUP(SUM(MID(TBA_Matches_All[[#This Row],[Team]],4,5),(TBA_Matches_All[[#This Row],[Match_Number]]/100)),Dyno_EndMatch[teammat],Dyno_EndMatch[RobotSta],"_",0,1)</f>
        <v>Podm</v>
      </c>
      <c r="AS47">
        <f>SUMIFS(Dyno_Data[AcqDis], Dyno_Data[Team],TBA_Matches_All[[#This Row],[Team]],Dyno_Data[Match],TBA_Matches_All[[#This Row],[Match_Number]],Dyno_Data[RecordType],"Activities", Dyno_Data[AcqCenter],1,Dyno_Data[Mode],"Auto")</f>
        <v>0</v>
      </c>
      <c r="AT47">
        <f>SUMIFS(Dyno_Data[AcqDis], Dyno_Data[Team],TBA_Matches_All[[#This Row],[Team]],Dyno_Data[Match],TBA_Matches_All[[#This Row],[Match_Number]],Dyno_Data[RecordType],"Activities", Dyno_Data[AcqCenter],2,Dyno_Data[Mode],"Auto")</f>
        <v>0</v>
      </c>
      <c r="AU47">
        <f>SUMIFS(Dyno_Data[AcqDis], Dyno_Data[Team],TBA_Matches_All[[#This Row],[Team]],Dyno_Data[Match],TBA_Matches_All[[#This Row],[Match_Number]],Dyno_Data[RecordType],"Activities", Dyno_Data[AcqCenter],3,Dyno_Data[Mode],"Auto")</f>
        <v>0</v>
      </c>
      <c r="AV47">
        <f>SUMIFS(Dyno_Data[AcqDis], Dyno_Data[Team],TBA_Matches_All[[#This Row],[Team]],Dyno_Data[Match],TBA_Matches_All[[#This Row],[Match_Number]],Dyno_Data[RecordType],"Activities", Dyno_Data[AcqCenter],4,Dyno_Data[Mode],"Auto")</f>
        <v>0</v>
      </c>
      <c r="AW47">
        <f>SUMIFS(Dyno_Data[AcqDis], Dyno_Data[Team],TBA_Matches_All[[#This Row],[Team]],Dyno_Data[Match],TBA_Matches_All[[#This Row],[Match_Number]],Dyno_Data[RecordType],"Activities", Dyno_Data[AcqCenter],5,Dyno_Data[Mode],"Auto")</f>
        <v>0</v>
      </c>
      <c r="AX47">
        <f>SUMIFS(Dyno_Data[DelMiss], Dyno_Data[Team],TBA_Matches_All[[#This Row],[Team]],Dyno_Data[Match],TBA_Matches_All[[#This Row],[Match_Number]],Dyno_Data[RecordType],"Activities", Dyno_Data[DelDest],"Amp")</f>
        <v>0</v>
      </c>
      <c r="AY47" s="60">
        <f>IFERROR(SUM((TBA_Matches_All[[#This Row],[AampT]]+TBA_Matches_All[[#This Row],[TampT]])/(TBA_Matches_All[[#This Row],[AampT]]+TBA_Matches_All[[#This Row],[TampT]]+TBA_Matches_All[[#This Row],[ampM]])),0)</f>
        <v>1</v>
      </c>
      <c r="AZ47">
        <f>SUMIFS(Dyno_Data[DelMiss], Dyno_Data[Team],TBA_Matches_All[[#This Row],[Team]],Dyno_Data[Match],TBA_Matches_All[[#This Row],[Match_Number]],Dyno_Data[RecordType],"Activities", Dyno_Data[DelDest],"Spkr")</f>
        <v>0</v>
      </c>
      <c r="BA47" s="60">
        <f>IFERROR(SUM((TBA_Matches_All[[#This Row],[AspkrT]]+TBA_Matches_All[[#This Row],[TspkrT]])/(TBA_Matches_All[[#This Row],[AspkrT]]+TBA_Matches_All[[#This Row],[TspkrT]]+TBA_Matches_All[[#This Row],[spkrM]])),0)</f>
        <v>1</v>
      </c>
      <c r="BB47">
        <f>SUMIFS(Dyno_Data[DelMiss], Dyno_Data[Team],TBA_Matches_All[[#This Row],[Team]],Dyno_Data[Match],TBA_Matches_All[[#This Row],[Match_Number]],Dyno_Data[RecordType],"Activities", Dyno_Data[DelDest],"Trap")</f>
        <v>0</v>
      </c>
      <c r="BC47" s="60">
        <f>IFERROR((TBA_Matches_All[[#This Row],[AtrapT]]+TBA_Matches_All[[#This Row],[TtrapT]])/(TBA_Matches_All[[#This Row],[AtrapT]]+TBA_Matches_All[[#This Row],[TtrapT]]+TBA_Matches_All[[#This Row],[trapM]]),0)</f>
        <v>0</v>
      </c>
      <c r="BD47">
        <f>COUNTIFS(Dyno_Data[Team],TBA_Matches_All[[#This Row],[Team]],Dyno_Data[Match],TBA_Matches_All[[#This Row],[Match_Number]],Dyno_Data[RecordType],"Activities",Dyno_Data[DelDest],"Neut", Dyno_Data[DelMiss],1)</f>
        <v>0</v>
      </c>
      <c r="BE47" s="60">
        <f>IFERROR(SUM((TBA_Matches_All[[#This Row],[NeutFlrT]])/(TBA_Matches_All[[#This Row],[NeutFlrT]]+TBA_Matches_All[[#This Row],[NZflM]])),0)</f>
        <v>0</v>
      </c>
      <c r="BF47">
        <f>COUNTIFS(Dyno_Data[Team],TBA_Matches_All[[#This Row],[Team]],Dyno_Data[Match],TBA_Matches_All[[#This Row],[Match_Number]],Dyno_Data[RecordType],"Activities",Dyno_Data[DelDest],"AllyW", Dyno_Data[DelMiss],1)</f>
        <v>0</v>
      </c>
      <c r="BG47" s="60">
        <f>IFERROR(SUM((TBA_Matches_All[[#This Row],[AllyWFlrT]])/(TBA_Matches_All[[#This Row],[AllyWFlrT]]+TBA_Matches_All[[#This Row],[AZflM]])),0)</f>
        <v>1</v>
      </c>
      <c r="BH47">
        <f>COUNTIFS(Dyno_Data[Team],TBA_Matches_All[[#This Row],[Team]],Dyno_Data[Match],TBA_Matches_All[[#This Row],[Match_Number]],Dyno_Data[RecordType],"Activities",Dyno_Data[DelOrig],"OppW", Dyno_Data[DelMiss],"0")</f>
        <v>0</v>
      </c>
      <c r="BI47">
        <f>COUNTIFS(Dyno_Data[Team],TBA_Matches_All[[#This Row],[Team]],Dyno_Data[Match],TBA_Matches_All[[#This Row],[Match_Number]],Dyno_Data[RecordType],"Activities",Dyno_Data[DelOrig],"OppW", Dyno_Data[DelMiss],"1")</f>
        <v>0</v>
      </c>
      <c r="BJ47" s="60">
        <f>IFERROR(SUM((TBA_Matches_All[[#This Row],[OZflrT]])/(TBA_Matches_All[[#This Row],[OZflrT]]+TBA_Matches_All[[#This Row],[OZflrM]])),0)</f>
        <v>0</v>
      </c>
      <c r="BK47">
        <f>COUNTIFS(Dyno_Data[Team],TBA_Matches_All[[#This Row],[Team]],Dyno_Data[Match],TBA_Matches_All[[#This Row],[Match_Number]],Dyno_Data[RecordType],"Activities",Dyno_Data[DelOrig],"Neut", Dyno_Data[DelMiss],"0")</f>
        <v>0</v>
      </c>
      <c r="BL47">
        <f>COUNTIFS(Dyno_Data[Team],TBA_Matches_All[[#This Row],[Team]],Dyno_Data[Match],TBA_Matches_All[[#This Row],[Match_Number]],Dyno_Data[RecordType],"Activities",Dyno_Data[DelOrig],"Neut", Dyno_Data[DelMiss],"1")</f>
        <v>0</v>
      </c>
      <c r="BM47" s="60">
        <f>IFERROR(SUM((TBA_Matches_All[[#This Row],[NZflrT]])/(TBA_Matches_All[[#This Row],[NZflrT]]+TBA_Matches_All[[#This Row],[NZflrM]])),0)</f>
        <v>0</v>
      </c>
      <c r="BN47">
        <f>COUNTIFS(Dyno_Data[Team],TBA_Matches_All[[#This Row],[Team]],Dyno_Data[Match],TBA_Matches_All[[#This Row],[Match_Number]],Dyno_Data[RecordType],"Activities",Dyno_Data[DelOrig],"AllyW", Dyno_Data[DelMiss],"0")</f>
        <v>13</v>
      </c>
      <c r="BO47">
        <f>COUNTIFS(Dyno_Data[Team],TBA_Matches_All[[#This Row],[Team]],Dyno_Data[Match],TBA_Matches_All[[#This Row],[Match_Number]],Dyno_Data[RecordType],"Activities",Dyno_Data[DelOrig],"AllyW", Dyno_Data[DelMiss],"1")</f>
        <v>0</v>
      </c>
      <c r="BP47" s="60">
        <f>IFERROR(SUM((TBA_Matches_All[[#This Row],[AZflrT]])/(TBA_Matches_All[[#This Row],[AZflrT]]+TBA_Matches_All[[#This Row],[AZflrM]])),0)</f>
        <v>1</v>
      </c>
      <c r="BQ47">
        <f>COUNTIFS(Dyno_Data[Team],TBA_Matches_All[[#This Row],[Team]],Dyno_Data[Match],TBA_Matches_All[[#This Row],[Match_Number]],Dyno_Data[RecordType],"Activities",Dyno_Data[DelOrig],"SubW", Dyno_Data[DelMiss],"0")</f>
        <v>0</v>
      </c>
      <c r="BR47">
        <f>COUNTIFS(Dyno_Data[Team],TBA_Matches_All[[#This Row],[Team]],Dyno_Data[Match],TBA_Matches_All[[#This Row],[Match_Number]],Dyno_Data[RecordType],"Activities",Dyno_Data[DelOrig],"SubW", Dyno_Data[DelMiss],"1")</f>
        <v>0</v>
      </c>
      <c r="BS47" s="60">
        <f>IFERROR(SUM((TBA_Matches_All[[#This Row],[SubwT]])/(TBA_Matches_All[[#This Row],[SubwT]]+TBA_Matches_All[[#This Row],[SubwM]])),0)</f>
        <v>0</v>
      </c>
      <c r="BT47">
        <f>COUNTIFS(Dyno_Data[Team],TBA_Matches_All[[#This Row],[Team]],Dyno_Data[Match],TBA_Matches_All[[#This Row],[Match_Number]],Dyno_Data[RecordType],"Activities", Dyno_Data[AcqLoc],"OppWing")</f>
        <v>0</v>
      </c>
      <c r="BU47">
        <f>COUNTIFS(Dyno_Data[Team],TBA_Matches_All[[#This Row],[Team]],Dyno_Data[Match],TBA_Matches_All[[#This Row],[Match_Number]],Dyno_Data[RecordType],"Activities", Dyno_Data[AcqLoc],"Neutral")</f>
        <v>0</v>
      </c>
      <c r="BV47">
        <f>COUNTIFS(Dyno_Data[Team],TBA_Matches_All[[#This Row],[Team]],Dyno_Data[Match],TBA_Matches_All[[#This Row],[Match_Number]],Dyno_Data[RecordType],"Activities", Dyno_Data[AcqLoc],"AllyWing")</f>
        <v>0</v>
      </c>
      <c r="BW47">
        <f>COUNTIFS(Dyno_Data[Team],TBA_Matches_All[[#This Row],[Team]],Dyno_Data[Match],TBA_Matches_All[[#This Row],[Match_Number]],Dyno_Data[RecordType],"Activities", Dyno_Data[AcqLoc],"Source")</f>
        <v>0</v>
      </c>
      <c r="BX47">
        <f>SUMIFS(Dyno_Data[AcqDrp], Dyno_Data[Team],TBA_Matches_All[[#This Row],[Team]],Dyno_Data[Match],TBA_Matches_All[[#This Row],[Match_Number]],Dyno_Data[RecordType],"Activities", Dyno_Data[AcqLoc],"Source")</f>
        <v>0</v>
      </c>
      <c r="BY47">
        <f>SUMIFS(Dyno_Data[OZTime], Dyno_Data[Team],TBA_Matches_All[[#This Row],[Team]],Dyno_Data[Match],TBA_Matches_All[[#This Row],[Match_Number]],Dyno_Data[RecordType],"EndMatch")</f>
        <v>13.410441799999999</v>
      </c>
      <c r="BZ47">
        <f>SUMIFS(Dyno_Data[NZTime], Dyno_Data[Team],TBA_Matches_All[[#This Row],[Team]],Dyno_Data[Match],TBA_Matches_All[[#This Row],[Match_Number]],Dyno_Data[RecordType],"EndMatch")</f>
        <v>15.797151599999999</v>
      </c>
      <c r="CA47">
        <f>SUMIFS(Dyno_Data[AZTime], Dyno_Data[Team],TBA_Matches_All[[#This Row],[Team]],Dyno_Data[Match],TBA_Matches_All[[#This Row],[Match_Number]],Dyno_Data[RecordType],"EndMatch")</f>
        <v>91.140261099999989</v>
      </c>
      <c r="CB47">
        <f>SUMIFS(Dyno_Data[ClimbT], Dyno_Data[Team],TBA_Matches_All[[#This Row],[Team]],Dyno_Data[Match],TBA_Matches_All[[#This Row],[Match_Number]],Dyno_Data[RecordType],"EndMatch")</f>
        <v>9.4925192999999997</v>
      </c>
      <c r="CC47" t="str">
        <f>_xlfn.XLOOKUP(SUM(MID(TBA_Matches_All[[#This Row],[Team]],4,5),(TBA_Matches_All[[#This Row],[Match_Number]]/100)),Dyno_EndMatch[teammat],Dyno_EndMatch[StageStat],"_",0,1)</f>
        <v>On</v>
      </c>
      <c r="CD47" t="str">
        <f>_xlfn.XLOOKUP(TBA_Matches_All[[#This Row],[teammat]],Dyno_EndMatch[teammat],Dyno_EndMatch[StageAtt],"_",0,1)</f>
        <v>1</v>
      </c>
      <c r="CE47" t="str">
        <f>_xlfn.XLOOKUP(TBA_Matches_All[[#This Row],[teammat]],Dyno_EndMatch[teammat],Dyno_EndMatch[StageLoc],"_",0,1)</f>
        <v>R</v>
      </c>
      <c r="CF47">
        <f>SUMIFS(Dyno_Data[Harmony], Dyno_Data[Team],TBA_Matches_All[[#This Row],[Team]],Dyno_Data[Match],TBA_Matches_All[[#This Row],[Match_Number]],Dyno_Data[RecordType],"EndMatch", Dyno_Data[StageStat],"On",Dyno_Data[Harmony],"&lt;&gt;9")</f>
        <v>0</v>
      </c>
      <c r="CG47">
        <f>SUMIFS(Dyno_Data[Spotlit], Dyno_Data[Team],TBA_Matches_All[[#This Row],[Team]],Dyno_Data[Match],TBA_Matches_All[[#This Row],[Match_Number]],Dyno_Data[RecordType],"EndMatch", Dyno_Data[StageStat],"On",Dyno_Data[Spotlit],"&lt;&gt;9")</f>
        <v>0</v>
      </c>
      <c r="CH47" t="str">
        <f>_xlfn.XLOOKUP(TBA_Matches_All[[#This Row],[teammat]],Dyno_EndMatch[teammat],Dyno_EndMatch[Strategy],"_",0,1)</f>
        <v>Shooter</v>
      </c>
      <c r="CI47">
        <f>SUMIFS(Dyno_Data[Defense], Dyno_Data[Team],TBA_Matches_All[[#This Row],[Team]],Dyno_Data[Match],TBA_Matches_All[[#This Row],[Match_Number]],Dyno_Data[RecordType],"EndMatch",Dyno_Data[Defense],"&lt;&gt;9")</f>
        <v>0</v>
      </c>
      <c r="CJ47">
        <f>SUMIFS(Dyno_Data[Avoidance], Dyno_Data[Team],TBA_Matches_All[[#This Row],[Team]],Dyno_Data[Match],TBA_Matches_All[[#This Row],[Match_Number]],Dyno_Data[RecordType],"EndMatch",Dyno_Data[Avoidance],"&lt;&gt;9")</f>
        <v>0</v>
      </c>
      <c r="CK47" s="82">
        <f>COUNTIF($H$2:TBA_Matches_All[[#This Row],[Team]],TBA_Matches_All[[#This Row],[Team]])</f>
        <v>1</v>
      </c>
      <c r="CL47" s="111">
        <f>SUM(MID(TBA_Matches_All[[#This Row],[Team]],4,5)+TBA_Matches_All[[#This Row],[Match_Number]]/100)</f>
        <v>3419.08</v>
      </c>
      <c r="CM47">
        <f>SUM((TBA_Matches_All[[#This Row],[Leave]]*2)+(TBA_Matches_All[[#This Row],[AampT]]*2)+(TBA_Matches_All[[#This Row],[AspkrT]]*5)+(TBA_Matches_All[[#This Row],[AtrapT]]*5))</f>
        <v>7</v>
      </c>
      <c r="CN47" s="59">
        <f>IFERROR(SUM(TBA_Matches_All[[#This Row],[AptsT]]/TBA_Matches_All[[#This Row],[AutoPts]]),0)</f>
        <v>0.36842105263157893</v>
      </c>
      <c r="CO47" s="59">
        <f>IFERROR(SUM(TBA_Matches_All[[#This Row],[AampT]]+TBA_Matches_All[[#This Row],[AspkrT]]+TBA_Matches_All[[#This Row],[AtrapT]]/TBA_Matches_All[[#This Row],[Aamp]]+TBA_Matches_All[[#This Row],[Aspkr]]+TBA_Matches_All[[#This Row],[AtrapT]]),0)</f>
        <v>0</v>
      </c>
      <c r="CP47" s="59">
        <f>IFERROR(SUM(TBA_Matches_All[[#This Row],[TampT]]/TBA_Matches_All[[#This Row],[Tamp]]),0)</f>
        <v>1</v>
      </c>
      <c r="CQ47" s="59">
        <f>IFERROR(SUM(TBA_Matches_All[[#This Row],[TspkrT]]/TBA_Matches_All[[#This Row],[Tspkr]]),0)</f>
        <v>0.9</v>
      </c>
      <c r="CR47">
        <f>SUM(TBA_Matches_All[[#This Row],[TspkrPts]]*TBA_Matches_All[[#This Row],[TspkrP]])</f>
        <v>20.7</v>
      </c>
      <c r="CS47" s="59">
        <f>IFERROR(SUM(TBA_Matches_All[[#This Row],[TtrapT]]/TBA_Matches_All[[#This Row],[Trap]]),0)</f>
        <v>0</v>
      </c>
      <c r="CT47" s="59">
        <f>IFERROR(SUM(TBA_Matches_All[[#This Row],[TotNotesT]]/TBA_Matches_All[[#This Row],[TotNotes]]),0)</f>
        <v>0.8</v>
      </c>
      <c r="CU47" s="66">
        <f>SUM((TBA_Matches_All[[#This Row],[AampT]]*2)+(TBA_Matches_All[[#This Row],[AspkrT]]*5)+(TBA_Matches_All[[#This Row],[AtrapT]]*5)+(TBA_Matches_All[[#This Row],[TampT]]*1)+(TBA_Matches_All[[#This Row],[TspkrptsC]]))</f>
        <v>27.7</v>
      </c>
      <c r="CV47" s="59">
        <f>IFERROR(TBA_Matches_All[[#This Row],[noteptsT]]/TBA_Matches_All[[#This Row],[NotePts]],0)</f>
        <v>0.6925</v>
      </c>
      <c r="CW47">
        <f>SUM(IF(TBA_Matches_All[[#This Row],[stageStat]]="On",3,0),IF(TBA_Matches_All[[#This Row],[stageStat]]="Park",1,0),SUMIFS(TBA_Matches_All[[#This Row],[Spotlit]],TBA_Matches_All[[#This Row],[stageStat]],"On"),SUMIFS(TBA_Matches_All[[#This Row],[Harmony]],TBA_Matches_All[[#This Row],[stageStat]],"On"))</f>
        <v>3</v>
      </c>
      <c r="CX47" s="59">
        <f>IFERROR(TBA_Matches_All[[#This Row],[stageptsT]]/TBA_Matches_All[[#This Row],[StagePts]],0)</f>
        <v>0.42857142857142855</v>
      </c>
      <c r="CY47">
        <f>SUM((TBA_Matches_All[[#This Row],[AptsT]]+TBA_Matches_All[[#This Row],[TampT]]+TBA_Matches_All[[#This Row],[TspkrptsC]]+(TBA_Matches_All[[#This Row],[TtrapT]]*5)+TBA_Matches_All[[#This Row],[stageptsT]]))</f>
        <v>32.700000000000003</v>
      </c>
      <c r="CZ47" s="59">
        <f>IFERROR(SUM(TBA_Matches_All[[#This Row],[TotptsC]]/TBA_Matches_All[[#This Row],[Score]]),0)</f>
        <v>0.61698113207547178</v>
      </c>
      <c r="DA4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13.205681818181818</v>
      </c>
      <c r="DB47" s="74">
        <f>SUMIFS(TBA_Matches_All[AveTeamTNoteDels],TBA_Matches_All[Match_Number],TBA_Matches_All[[#This Row],[Match_Number]],TBA_Matches_All[Alliance],"&lt;&gt;"&amp;TBA_Matches_All[[#This Row],[Alliance]],TBA_Matches_All[Scouted],"&gt;0")</f>
        <v>22.971022727272725</v>
      </c>
      <c r="DC47" s="74">
        <f>(TBA_Matches_All[[#This Row],[TampT]]+TBA_Matches_All[[#This Row],[TspkrptsC]])-TBA_Matches_All[[#This Row],[AveTeamTNoteDels]]</f>
        <v>9.4943181818181817</v>
      </c>
      <c r="DD47" s="74">
        <f>SUMIFS(TBA_Matches_All[AveTeamTNoteDels],TBA_Matches_All[Match_Number],TBA_Matches_All[[#This Row],[Match_Number]],TBA_Matches_All[Alliance],"&lt;&gt;"&amp;TBA_Matches_All[[#This Row],[Alliance]])-TBA_Matches_All[[#This Row],[AveOppTNoteDels]]</f>
        <v>0</v>
      </c>
    </row>
    <row r="48" spans="1:108" x14ac:dyDescent="0.3">
      <c r="A48" t="s">
        <v>1042</v>
      </c>
      <c r="B48" t="s">
        <v>489</v>
      </c>
      <c r="C48" t="s">
        <v>1313</v>
      </c>
      <c r="D48">
        <v>8</v>
      </c>
      <c r="E48" t="s">
        <v>1406</v>
      </c>
      <c r="F48" t="s">
        <v>1426</v>
      </c>
      <c r="G48" t="s">
        <v>164</v>
      </c>
      <c r="H48" t="s">
        <v>361</v>
      </c>
      <c r="I48" t="b">
        <v>1</v>
      </c>
      <c r="J48">
        <v>71</v>
      </c>
      <c r="K48">
        <v>1</v>
      </c>
      <c r="L48">
        <v>0</v>
      </c>
      <c r="M48">
        <v>2</v>
      </c>
      <c r="N48">
        <v>0</v>
      </c>
      <c r="O48">
        <v>3</v>
      </c>
      <c r="P48">
        <v>15</v>
      </c>
      <c r="Q48">
        <v>21</v>
      </c>
      <c r="R48">
        <v>7</v>
      </c>
      <c r="S48">
        <v>6</v>
      </c>
      <c r="T48">
        <v>3</v>
      </c>
      <c r="U48">
        <v>30</v>
      </c>
      <c r="V48">
        <v>6</v>
      </c>
      <c r="W48">
        <v>9</v>
      </c>
      <c r="X48">
        <v>36</v>
      </c>
      <c r="Y48">
        <v>43</v>
      </c>
      <c r="Z48">
        <v>0</v>
      </c>
      <c r="AA48">
        <v>0</v>
      </c>
      <c r="AB48">
        <v>19</v>
      </c>
      <c r="AC48">
        <v>58</v>
      </c>
      <c r="AD48">
        <v>5</v>
      </c>
      <c r="AE48">
        <f>IFERROR(6/(COUNTIF(Dyno_EndMatch[Match],TBA_Matches_All[[#This Row],[Match_Number]])),0)</f>
        <v>1</v>
      </c>
      <c r="AF48">
        <f>COUNTIFS(Dyno_Data[Team],TBA_Matches_All[[#This Row],[Team]],Dyno_Data[Match],TBA_Matches_All[[#This Row],[Match_Number]],Dyno_Data[RecordType],"EndMatch",Dyno_Data[HPAmp],"Y")</f>
        <v>1</v>
      </c>
      <c r="AG48">
        <f>SUMIFS(Dyno_Data[Mics], Dyno_Data[Team],TBA_Matches_All[[#This Row],[Team]],Dyno_Data[Match],TBA_Matches_All[[#This Row],[Match_Number]],Dyno_Data[RecordType],"EndMatch",Dyno_Data[HPAmp],"Y")</f>
        <v>0</v>
      </c>
      <c r="AH48">
        <f>SUMIFS(Dyno_Data[Leave], Dyno_Data[Team],TBA_Matches_All[[#This Row],[Team]],Dyno_Data[Match],TBA_Matches_All[[#This Row],[Match_Number]],Dyno_Data[RecordType],"EndAuto")</f>
        <v>1</v>
      </c>
      <c r="AI48">
        <f>COUNTIFS(Dyno_Data[Team],TBA_Matches_All[[#This Row],[Team]],Dyno_Data[Match],TBA_Matches_All[[#This Row],[Match_Number]],Dyno_Data[RecordType],"Activities",Dyno_Data[DelDest],"Amp", Dyno_Data[DelMiss],"0", Dyno_Data[Mode],"Auto")</f>
        <v>0</v>
      </c>
      <c r="AJ48">
        <f>COUNTIFS(Dyno_Data[Team],TBA_Matches_All[[#This Row],[Team]],Dyno_Data[Match],TBA_Matches_All[[#This Row],[Match_Number]],Dyno_Data[RecordType],"Activities",Dyno_Data[DelDest],"Spkr", Dyno_Data[DelMiss],"0", Dyno_Data[Mode],"Auto")</f>
        <v>2</v>
      </c>
      <c r="AK48">
        <f>COUNTIFS(Dyno_Data[Team],TBA_Matches_All[[#This Row],[Team]],Dyno_Data[Match],TBA_Matches_All[[#This Row],[Match_Number]],Dyno_Data[RecordType],"Activities",Dyno_Data[DelDest],"Trap", Dyno_Data[DelMiss],"0", Dyno_Data[Mode],"Auto")</f>
        <v>0</v>
      </c>
      <c r="AL48">
        <f>COUNTIFS(Dyno_Data[Team],TBA_Matches_All[[#This Row],[Team]],Dyno_Data[Match],TBA_Matches_All[[#This Row],[Match_Number]],Dyno_Data[RecordType],"Activities",Dyno_Data[DelDest],"Amp", Dyno_Data[DelMiss],"0", Dyno_Data[Mode],"Teleop")</f>
        <v>0</v>
      </c>
      <c r="AM48">
        <f>COUNTIFS(Dyno_Data[Team],TBA_Matches_All[[#This Row],[Team]],Dyno_Data[Match],TBA_Matches_All[[#This Row],[Match_Number]],Dyno_Data[RecordType],"Activities",Dyno_Data[DelDest],"Spkr", Dyno_Data[DelMiss],"0", Dyno_Data[Mode],"Teleop")</f>
        <v>6</v>
      </c>
      <c r="AN48">
        <f>COUNTIFS(Dyno_Data[Team],TBA_Matches_All[[#This Row],[Team]],Dyno_Data[Match],TBA_Matches_All[[#This Row],[Match_Number]],Dyno_Data[RecordType],"Activities",Dyno_Data[DelDest],"Trap", Dyno_Data[DelMiss],"0", Dyno_Data[Mode],"&lt;&gt;Auto")</f>
        <v>0</v>
      </c>
      <c r="AO48">
        <f>SUM(TBA_Matches_All[[#This Row],[AampT]]+TBA_Matches_All[[#This Row],[AspkrT]]+TBA_Matches_All[[#This Row],[AtrapT]]+TBA_Matches_All[[#This Row],[TampT]]+TBA_Matches_All[[#This Row],[TspkrT]]+TBA_Matches_All[[#This Row],[TtrapT]])</f>
        <v>8</v>
      </c>
      <c r="AP48">
        <f>COUNTIFS(Dyno_Data[Team],TBA_Matches_All[[#This Row],[Team]],Dyno_Data[Match],TBA_Matches_All[[#This Row],[Match_Number]],Dyno_Data[RecordType],"Activities",Dyno_Data[DelDest],"Neut", Dyno_Data[DelMiss],"0")</f>
        <v>0</v>
      </c>
      <c r="AQ48">
        <f>COUNTIFS(Dyno_Data[Team],TBA_Matches_All[[#This Row],[Team]],Dyno_Data[Match],TBA_Matches_All[[#This Row],[Match_Number]],Dyno_Data[RecordType],"Activities",Dyno_Data[DelDest],"AllyW", Dyno_Data[DelMiss],"0")</f>
        <v>3</v>
      </c>
      <c r="AR48" t="str">
        <f>_xlfn.XLOOKUP(SUM(MID(TBA_Matches_All[[#This Row],[Team]],4,5),(TBA_Matches_All[[#This Row],[Match_Number]]/100)),Dyno_EndMatch[teammat],Dyno_EndMatch[RobotSta],"_",0,1)</f>
        <v>Podm</v>
      </c>
      <c r="AS48">
        <f>SUMIFS(Dyno_Data[AcqDis], Dyno_Data[Team],TBA_Matches_All[[#This Row],[Team]],Dyno_Data[Match],TBA_Matches_All[[#This Row],[Match_Number]],Dyno_Data[RecordType],"Activities", Dyno_Data[AcqCenter],1,Dyno_Data[Mode],"Auto")</f>
        <v>1</v>
      </c>
      <c r="AT48">
        <f>SUMIFS(Dyno_Data[AcqDis], Dyno_Data[Team],TBA_Matches_All[[#This Row],[Team]],Dyno_Data[Match],TBA_Matches_All[[#This Row],[Match_Number]],Dyno_Data[RecordType],"Activities", Dyno_Data[AcqCenter],2,Dyno_Data[Mode],"Auto")</f>
        <v>1</v>
      </c>
      <c r="AU48">
        <f>SUMIFS(Dyno_Data[AcqDis], Dyno_Data[Team],TBA_Matches_All[[#This Row],[Team]],Dyno_Data[Match],TBA_Matches_All[[#This Row],[Match_Number]],Dyno_Data[RecordType],"Activities", Dyno_Data[AcqCenter],3,Dyno_Data[Mode],"Auto")</f>
        <v>0</v>
      </c>
      <c r="AV48">
        <f>SUMIFS(Dyno_Data[AcqDis], Dyno_Data[Team],TBA_Matches_All[[#This Row],[Team]],Dyno_Data[Match],TBA_Matches_All[[#This Row],[Match_Number]],Dyno_Data[RecordType],"Activities", Dyno_Data[AcqCenter],4,Dyno_Data[Mode],"Auto")</f>
        <v>0</v>
      </c>
      <c r="AW48">
        <f>SUMIFS(Dyno_Data[AcqDis], Dyno_Data[Team],TBA_Matches_All[[#This Row],[Team]],Dyno_Data[Match],TBA_Matches_All[[#This Row],[Match_Number]],Dyno_Data[RecordType],"Activities", Dyno_Data[AcqCenter],5,Dyno_Data[Mode],"Auto")</f>
        <v>0</v>
      </c>
      <c r="AX48">
        <f>SUMIFS(Dyno_Data[DelMiss], Dyno_Data[Team],TBA_Matches_All[[#This Row],[Team]],Dyno_Data[Match],TBA_Matches_All[[#This Row],[Match_Number]],Dyno_Data[RecordType],"Activities", Dyno_Data[DelDest],"Amp")</f>
        <v>0</v>
      </c>
      <c r="AY48" s="60">
        <f>IFERROR(SUM((TBA_Matches_All[[#This Row],[AampT]]+TBA_Matches_All[[#This Row],[TampT]])/(TBA_Matches_All[[#This Row],[AampT]]+TBA_Matches_All[[#This Row],[TampT]]+TBA_Matches_All[[#This Row],[ampM]])),0)</f>
        <v>0</v>
      </c>
      <c r="AZ48">
        <f>SUMIFS(Dyno_Data[DelMiss], Dyno_Data[Team],TBA_Matches_All[[#This Row],[Team]],Dyno_Data[Match],TBA_Matches_All[[#This Row],[Match_Number]],Dyno_Data[RecordType],"Activities", Dyno_Data[DelDest],"Spkr")</f>
        <v>1</v>
      </c>
      <c r="BA48" s="60">
        <f>IFERROR(SUM((TBA_Matches_All[[#This Row],[AspkrT]]+TBA_Matches_All[[#This Row],[TspkrT]])/(TBA_Matches_All[[#This Row],[AspkrT]]+TBA_Matches_All[[#This Row],[TspkrT]]+TBA_Matches_All[[#This Row],[spkrM]])),0)</f>
        <v>0.88888888888888884</v>
      </c>
      <c r="BB48">
        <f>SUMIFS(Dyno_Data[DelMiss], Dyno_Data[Team],TBA_Matches_All[[#This Row],[Team]],Dyno_Data[Match],TBA_Matches_All[[#This Row],[Match_Number]],Dyno_Data[RecordType],"Activities", Dyno_Data[DelDest],"Trap")</f>
        <v>0</v>
      </c>
      <c r="BC48" s="60">
        <f>IFERROR((TBA_Matches_All[[#This Row],[AtrapT]]+TBA_Matches_All[[#This Row],[TtrapT]])/(TBA_Matches_All[[#This Row],[AtrapT]]+TBA_Matches_All[[#This Row],[TtrapT]]+TBA_Matches_All[[#This Row],[trapM]]),0)</f>
        <v>0</v>
      </c>
      <c r="BD48">
        <f>COUNTIFS(Dyno_Data[Team],TBA_Matches_All[[#This Row],[Team]],Dyno_Data[Match],TBA_Matches_All[[#This Row],[Match_Number]],Dyno_Data[RecordType],"Activities",Dyno_Data[DelDest],"Neut", Dyno_Data[DelMiss],1)</f>
        <v>0</v>
      </c>
      <c r="BE48" s="60">
        <f>IFERROR(SUM((TBA_Matches_All[[#This Row],[NeutFlrT]])/(TBA_Matches_All[[#This Row],[NeutFlrT]]+TBA_Matches_All[[#This Row],[NZflM]])),0)</f>
        <v>0</v>
      </c>
      <c r="BF48">
        <f>COUNTIFS(Dyno_Data[Team],TBA_Matches_All[[#This Row],[Team]],Dyno_Data[Match],TBA_Matches_All[[#This Row],[Match_Number]],Dyno_Data[RecordType],"Activities",Dyno_Data[DelDest],"AllyW", Dyno_Data[DelMiss],1)</f>
        <v>0</v>
      </c>
      <c r="BG48" s="60">
        <f>IFERROR(SUM((TBA_Matches_All[[#This Row],[AllyWFlrT]])/(TBA_Matches_All[[#This Row],[AllyWFlrT]]+TBA_Matches_All[[#This Row],[AZflM]])),0)</f>
        <v>1</v>
      </c>
      <c r="BH48">
        <f>COUNTIFS(Dyno_Data[Team],TBA_Matches_All[[#This Row],[Team]],Dyno_Data[Match],TBA_Matches_All[[#This Row],[Match_Number]],Dyno_Data[RecordType],"Activities",Dyno_Data[DelOrig],"OppW", Dyno_Data[DelMiss],"0")</f>
        <v>0</v>
      </c>
      <c r="BI48">
        <f>COUNTIFS(Dyno_Data[Team],TBA_Matches_All[[#This Row],[Team]],Dyno_Data[Match],TBA_Matches_All[[#This Row],[Match_Number]],Dyno_Data[RecordType],"Activities",Dyno_Data[DelOrig],"OppW", Dyno_Data[DelMiss],"1")</f>
        <v>0</v>
      </c>
      <c r="BJ48" s="60">
        <f>IFERROR(SUM((TBA_Matches_All[[#This Row],[OZflrT]])/(TBA_Matches_All[[#This Row],[OZflrT]]+TBA_Matches_All[[#This Row],[OZflrM]])),0)</f>
        <v>0</v>
      </c>
      <c r="BK48">
        <f>COUNTIFS(Dyno_Data[Team],TBA_Matches_All[[#This Row],[Team]],Dyno_Data[Match],TBA_Matches_All[[#This Row],[Match_Number]],Dyno_Data[RecordType],"Activities",Dyno_Data[DelOrig],"Neut", Dyno_Data[DelMiss],"0")</f>
        <v>3</v>
      </c>
      <c r="BL48">
        <f>COUNTIFS(Dyno_Data[Team],TBA_Matches_All[[#This Row],[Team]],Dyno_Data[Match],TBA_Matches_All[[#This Row],[Match_Number]],Dyno_Data[RecordType],"Activities",Dyno_Data[DelOrig],"Neut", Dyno_Data[DelMiss],"1")</f>
        <v>0</v>
      </c>
      <c r="BM48" s="60">
        <f>IFERROR(SUM((TBA_Matches_All[[#This Row],[NZflrT]])/(TBA_Matches_All[[#This Row],[NZflrT]]+TBA_Matches_All[[#This Row],[NZflrM]])),0)</f>
        <v>1</v>
      </c>
      <c r="BN48">
        <f>COUNTIFS(Dyno_Data[Team],TBA_Matches_All[[#This Row],[Team]],Dyno_Data[Match],TBA_Matches_All[[#This Row],[Match_Number]],Dyno_Data[RecordType],"Activities",Dyno_Data[DelOrig],"AllyW", Dyno_Data[DelMiss],"0")</f>
        <v>2</v>
      </c>
      <c r="BO48">
        <f>COUNTIFS(Dyno_Data[Team],TBA_Matches_All[[#This Row],[Team]],Dyno_Data[Match],TBA_Matches_All[[#This Row],[Match_Number]],Dyno_Data[RecordType],"Activities",Dyno_Data[DelOrig],"AllyW", Dyno_Data[DelMiss],"1")</f>
        <v>0</v>
      </c>
      <c r="BP48" s="60">
        <f>IFERROR(SUM((TBA_Matches_All[[#This Row],[AZflrT]])/(TBA_Matches_All[[#This Row],[AZflrT]]+TBA_Matches_All[[#This Row],[AZflrM]])),0)</f>
        <v>1</v>
      </c>
      <c r="BQ48">
        <f>COUNTIFS(Dyno_Data[Team],TBA_Matches_All[[#This Row],[Team]],Dyno_Data[Match],TBA_Matches_All[[#This Row],[Match_Number]],Dyno_Data[RecordType],"Activities",Dyno_Data[DelOrig],"SubW", Dyno_Data[DelMiss],"0")</f>
        <v>6</v>
      </c>
      <c r="BR48">
        <f>COUNTIFS(Dyno_Data[Team],TBA_Matches_All[[#This Row],[Team]],Dyno_Data[Match],TBA_Matches_All[[#This Row],[Match_Number]],Dyno_Data[RecordType],"Activities",Dyno_Data[DelOrig],"SubW", Dyno_Data[DelMiss],"1")</f>
        <v>1</v>
      </c>
      <c r="BS48" s="60">
        <f>IFERROR(SUM((TBA_Matches_All[[#This Row],[SubwT]])/(TBA_Matches_All[[#This Row],[SubwT]]+TBA_Matches_All[[#This Row],[SubwM]])),0)</f>
        <v>0.8571428571428571</v>
      </c>
      <c r="BT48">
        <f>COUNTIFS(Dyno_Data[Team],TBA_Matches_All[[#This Row],[Team]],Dyno_Data[Match],TBA_Matches_All[[#This Row],[Match_Number]],Dyno_Data[RecordType],"Activities", Dyno_Data[AcqLoc],"OppWing")</f>
        <v>0</v>
      </c>
      <c r="BU48">
        <f>COUNTIFS(Dyno_Data[Team],TBA_Matches_All[[#This Row],[Team]],Dyno_Data[Match],TBA_Matches_All[[#This Row],[Match_Number]],Dyno_Data[RecordType],"Activities", Dyno_Data[AcqLoc],"Neutral")</f>
        <v>4</v>
      </c>
      <c r="BV48">
        <f>COUNTIFS(Dyno_Data[Team],TBA_Matches_All[[#This Row],[Team]],Dyno_Data[Match],TBA_Matches_All[[#This Row],[Match_Number]],Dyno_Data[RecordType],"Activities", Dyno_Data[AcqLoc],"AllyWing")</f>
        <v>0</v>
      </c>
      <c r="BW48">
        <f>COUNTIFS(Dyno_Data[Team],TBA_Matches_All[[#This Row],[Team]],Dyno_Data[Match],TBA_Matches_All[[#This Row],[Match_Number]],Dyno_Data[RecordType],"Activities", Dyno_Data[AcqLoc],"Source")</f>
        <v>0</v>
      </c>
      <c r="BX48">
        <f>SUMIFS(Dyno_Data[AcqDrp], Dyno_Data[Team],TBA_Matches_All[[#This Row],[Team]],Dyno_Data[Match],TBA_Matches_All[[#This Row],[Match_Number]],Dyno_Data[RecordType],"Activities", Dyno_Data[AcqLoc],"Source")</f>
        <v>0</v>
      </c>
      <c r="BY48">
        <f>SUMIFS(Dyno_Data[OZTime], Dyno_Data[Team],TBA_Matches_All[[#This Row],[Team]],Dyno_Data[Match],TBA_Matches_All[[#This Row],[Match_Number]],Dyno_Data[RecordType],"EndMatch")</f>
        <v>37.264370800000002</v>
      </c>
      <c r="BZ48">
        <f>SUMIFS(Dyno_Data[NZTime], Dyno_Data[Team],TBA_Matches_All[[#This Row],[Team]],Dyno_Data[Match],TBA_Matches_All[[#This Row],[Match_Number]],Dyno_Data[RecordType],"EndMatch")</f>
        <v>37.9982215</v>
      </c>
      <c r="CA48">
        <f>SUMIFS(Dyno_Data[AZTime], Dyno_Data[Team],TBA_Matches_All[[#This Row],[Team]],Dyno_Data[Match],TBA_Matches_All[[#This Row],[Match_Number]],Dyno_Data[RecordType],"EndMatch")</f>
        <v>50.995272799999995</v>
      </c>
      <c r="CB48">
        <f>SUMIFS(Dyno_Data[ClimbT], Dyno_Data[Team],TBA_Matches_All[[#This Row],[Team]],Dyno_Data[Match],TBA_Matches_All[[#This Row],[Match_Number]],Dyno_Data[RecordType],"EndMatch")</f>
        <v>9.2106169999999992</v>
      </c>
      <c r="CC48" t="str">
        <f>_xlfn.XLOOKUP(SUM(MID(TBA_Matches_All[[#This Row],[Team]],4,5),(TBA_Matches_All[[#This Row],[Match_Number]]/100)),Dyno_EndMatch[teammat],Dyno_EndMatch[StageStat],"_",0,1)</f>
        <v>Park</v>
      </c>
      <c r="CD48" t="str">
        <f>_xlfn.XLOOKUP(TBA_Matches_All[[#This Row],[teammat]],Dyno_EndMatch[teammat],Dyno_EndMatch[StageAtt],"_",0,1)</f>
        <v>-1</v>
      </c>
      <c r="CE48" t="str">
        <f>_xlfn.XLOOKUP(TBA_Matches_All[[#This Row],[teammat]],Dyno_EndMatch[teammat],Dyno_EndMatch[StageLoc],"_",0,1)</f>
        <v>A</v>
      </c>
      <c r="CF48">
        <f>SUMIFS(Dyno_Data[Harmony], Dyno_Data[Team],TBA_Matches_All[[#This Row],[Team]],Dyno_Data[Match],TBA_Matches_All[[#This Row],[Match_Number]],Dyno_Data[RecordType],"EndMatch", Dyno_Data[StageStat],"On",Dyno_Data[Harmony],"&lt;&gt;9")</f>
        <v>0</v>
      </c>
      <c r="CG48">
        <f>SUMIFS(Dyno_Data[Spotlit], Dyno_Data[Team],TBA_Matches_All[[#This Row],[Team]],Dyno_Data[Match],TBA_Matches_All[[#This Row],[Match_Number]],Dyno_Data[RecordType],"EndMatch", Dyno_Data[StageStat],"On",Dyno_Data[Spotlit],"&lt;&gt;9")</f>
        <v>0</v>
      </c>
      <c r="CH48" t="str">
        <f>_xlfn.XLOOKUP(TBA_Matches_All[[#This Row],[teammat]],Dyno_EndMatch[teammat],Dyno_EndMatch[Strategy],"_",0,1)</f>
        <v>Mover</v>
      </c>
      <c r="CI48">
        <f>SUMIFS(Dyno_Data[Defense], Dyno_Data[Team],TBA_Matches_All[[#This Row],[Team]],Dyno_Data[Match],TBA_Matches_All[[#This Row],[Match_Number]],Dyno_Data[RecordType],"EndMatch",Dyno_Data[Defense],"&lt;&gt;9")</f>
        <v>0</v>
      </c>
      <c r="CJ48">
        <f>SUMIFS(Dyno_Data[Avoidance], Dyno_Data[Team],TBA_Matches_All[[#This Row],[Team]],Dyno_Data[Match],TBA_Matches_All[[#This Row],[Match_Number]],Dyno_Data[RecordType],"EndMatch",Dyno_Data[Avoidance],"&lt;&gt;9")</f>
        <v>1</v>
      </c>
      <c r="CK48" s="82">
        <f>COUNTIF($H$2:TBA_Matches_All[[#This Row],[Team]],TBA_Matches_All[[#This Row],[Team]])</f>
        <v>1</v>
      </c>
      <c r="CL48" s="111">
        <f>SUM(MID(TBA_Matches_All[[#This Row],[Team]],4,5)+TBA_Matches_All[[#This Row],[Match_Number]]/100)</f>
        <v>20.079999999999998</v>
      </c>
      <c r="CM48">
        <f>SUM((TBA_Matches_All[[#This Row],[Leave]]*2)+(TBA_Matches_All[[#This Row],[AampT]]*2)+(TBA_Matches_All[[#This Row],[AspkrT]]*5)+(TBA_Matches_All[[#This Row],[AtrapT]]*5))</f>
        <v>12</v>
      </c>
      <c r="CN48" s="59">
        <f>IFERROR(SUM(TBA_Matches_All[[#This Row],[AptsT]]/TBA_Matches_All[[#This Row],[AutoPts]]),0)</f>
        <v>0.5714285714285714</v>
      </c>
      <c r="CO48" s="59">
        <f>IFERROR(SUM(TBA_Matches_All[[#This Row],[AampT]]+TBA_Matches_All[[#This Row],[AspkrT]]+TBA_Matches_All[[#This Row],[AtrapT]]/TBA_Matches_All[[#This Row],[Aamp]]+TBA_Matches_All[[#This Row],[Aspkr]]+TBA_Matches_All[[#This Row],[AtrapT]]),0)</f>
        <v>0</v>
      </c>
      <c r="CP48" s="59">
        <f>IFERROR(SUM(TBA_Matches_All[[#This Row],[TampT]]/TBA_Matches_All[[#This Row],[Tamp]]),0)</f>
        <v>0</v>
      </c>
      <c r="CQ48" s="59">
        <f>IFERROR(SUM(TBA_Matches_All[[#This Row],[TspkrT]]/TBA_Matches_All[[#This Row],[Tspkr]]),0)</f>
        <v>0.66666666666666663</v>
      </c>
      <c r="CR48">
        <f>SUM(TBA_Matches_All[[#This Row],[TspkrPts]]*TBA_Matches_All[[#This Row],[TspkrP]])</f>
        <v>24</v>
      </c>
      <c r="CS48" s="59">
        <f>IFERROR(SUM(TBA_Matches_All[[#This Row],[TtrapT]]/TBA_Matches_All[[#This Row],[Trap]]),0)</f>
        <v>0</v>
      </c>
      <c r="CT48" s="59">
        <f>IFERROR(SUM(TBA_Matches_All[[#This Row],[TotNotesT]]/TBA_Matches_All[[#This Row],[TotNotes]]),0)</f>
        <v>0.42105263157894735</v>
      </c>
      <c r="CU48" s="66">
        <f>SUM((TBA_Matches_All[[#This Row],[AampT]]*2)+(TBA_Matches_All[[#This Row],[AspkrT]]*5)+(TBA_Matches_All[[#This Row],[AtrapT]]*5)+(TBA_Matches_All[[#This Row],[TampT]]*1)+(TBA_Matches_All[[#This Row],[TspkrptsC]]))</f>
        <v>34</v>
      </c>
      <c r="CV48" s="59">
        <f>IFERROR(TBA_Matches_All[[#This Row],[noteptsT]]/TBA_Matches_All[[#This Row],[NotePts]],0)</f>
        <v>0.58620689655172409</v>
      </c>
      <c r="CW48">
        <f>SUM(IF(TBA_Matches_All[[#This Row],[stageStat]]="On",3,0),IF(TBA_Matches_All[[#This Row],[stageStat]]="Park",1,0),SUMIFS(TBA_Matches_All[[#This Row],[Spotlit]],TBA_Matches_All[[#This Row],[stageStat]],"On"),SUMIFS(TBA_Matches_All[[#This Row],[Harmony]],TBA_Matches_All[[#This Row],[stageStat]],"On"))</f>
        <v>1</v>
      </c>
      <c r="CX48" s="59">
        <f>IFERROR(TBA_Matches_All[[#This Row],[stageptsT]]/TBA_Matches_All[[#This Row],[StagePts]],0)</f>
        <v>0.2</v>
      </c>
      <c r="CY48">
        <f>SUM((TBA_Matches_All[[#This Row],[AptsT]]+TBA_Matches_All[[#This Row],[TampT]]+TBA_Matches_All[[#This Row],[TspkrptsC]]+(TBA_Matches_All[[#This Row],[TtrapT]]*5)+TBA_Matches_All[[#This Row],[stageptsT]]))</f>
        <v>37</v>
      </c>
      <c r="CZ48" s="59">
        <f>IFERROR(SUM(TBA_Matches_All[[#This Row],[TotptsC]]/TBA_Matches_All[[#This Row],[Score]]),0)</f>
        <v>0.52112676056338025</v>
      </c>
      <c r="DA4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13.237689393939393</v>
      </c>
      <c r="DB48" s="74">
        <f>SUMIFS(TBA_Matches_All[AveTeamTNoteDels],TBA_Matches_All[Match_Number],TBA_Matches_All[[#This Row],[Match_Number]],TBA_Matches_All[Alliance],"&lt;&gt;"&amp;TBA_Matches_All[[#This Row],[Alliance]],TBA_Matches_All[Scouted],"&gt;0")</f>
        <v>36.565022477522483</v>
      </c>
      <c r="DC48" s="74">
        <f>(TBA_Matches_All[[#This Row],[TampT]]+TBA_Matches_All[[#This Row],[TspkrptsC]])-TBA_Matches_All[[#This Row],[AveTeamTNoteDels]]</f>
        <v>10.762310606060607</v>
      </c>
      <c r="DD48" s="74">
        <f>SUMIFS(TBA_Matches_All[AveTeamTNoteDels],TBA_Matches_All[Match_Number],TBA_Matches_All[[#This Row],[Match_Number]],TBA_Matches_All[Alliance],"&lt;&gt;"&amp;TBA_Matches_All[[#This Row],[Alliance]])-TBA_Matches_All[[#This Row],[AveOppTNoteDels]]</f>
        <v>0</v>
      </c>
    </row>
    <row r="49" spans="1:108" x14ac:dyDescent="0.3">
      <c r="A49" t="s">
        <v>1042</v>
      </c>
      <c r="B49" t="s">
        <v>489</v>
      </c>
      <c r="C49" t="s">
        <v>1313</v>
      </c>
      <c r="D49">
        <v>8</v>
      </c>
      <c r="E49" t="s">
        <v>1420</v>
      </c>
      <c r="F49" t="s">
        <v>1421</v>
      </c>
      <c r="G49" t="s">
        <v>164</v>
      </c>
      <c r="H49" t="s">
        <v>368</v>
      </c>
      <c r="I49" t="b">
        <v>0</v>
      </c>
      <c r="J49">
        <v>53</v>
      </c>
      <c r="K49">
        <v>0</v>
      </c>
      <c r="L49">
        <v>0</v>
      </c>
      <c r="M49">
        <v>2</v>
      </c>
      <c r="N49">
        <v>0</v>
      </c>
      <c r="O49">
        <v>3</v>
      </c>
      <c r="P49">
        <v>15</v>
      </c>
      <c r="Q49">
        <v>19</v>
      </c>
      <c r="R49">
        <v>2</v>
      </c>
      <c r="S49">
        <v>1</v>
      </c>
      <c r="T49">
        <v>9</v>
      </c>
      <c r="U49">
        <v>5</v>
      </c>
      <c r="V49">
        <v>18</v>
      </c>
      <c r="W49">
        <v>10</v>
      </c>
      <c r="X49">
        <v>23</v>
      </c>
      <c r="Y49">
        <v>25</v>
      </c>
      <c r="Z49">
        <v>0</v>
      </c>
      <c r="AA49">
        <v>0</v>
      </c>
      <c r="AB49">
        <v>15</v>
      </c>
      <c r="AC49">
        <v>40</v>
      </c>
      <c r="AD49">
        <v>7</v>
      </c>
      <c r="AE49">
        <f>IFERROR(6/(COUNTIF(Dyno_EndMatch[Match],TBA_Matches_All[[#This Row],[Match_Number]])),0)</f>
        <v>1</v>
      </c>
      <c r="AF49">
        <f>COUNTIFS(Dyno_Data[Team],TBA_Matches_All[[#This Row],[Team]],Dyno_Data[Match],TBA_Matches_All[[#This Row],[Match_Number]],Dyno_Data[RecordType],"EndMatch",Dyno_Data[HPAmp],"Y")</f>
        <v>0</v>
      </c>
      <c r="AG49">
        <f>SUMIFS(Dyno_Data[Mics], Dyno_Data[Team],TBA_Matches_All[[#This Row],[Team]],Dyno_Data[Match],TBA_Matches_All[[#This Row],[Match_Number]],Dyno_Data[RecordType],"EndMatch",Dyno_Data[HPAmp],"Y")</f>
        <v>0</v>
      </c>
      <c r="AH49">
        <f>SUMIFS(Dyno_Data[Leave], Dyno_Data[Team],TBA_Matches_All[[#This Row],[Team]],Dyno_Data[Match],TBA_Matches_All[[#This Row],[Match_Number]],Dyno_Data[RecordType],"EndAuto")</f>
        <v>0</v>
      </c>
      <c r="AI49">
        <f>COUNTIFS(Dyno_Data[Team],TBA_Matches_All[[#This Row],[Team]],Dyno_Data[Match],TBA_Matches_All[[#This Row],[Match_Number]],Dyno_Data[RecordType],"Activities",Dyno_Data[DelDest],"Amp", Dyno_Data[DelMiss],"0", Dyno_Data[Mode],"Auto")</f>
        <v>0</v>
      </c>
      <c r="AJ49">
        <f>COUNTIFS(Dyno_Data[Team],TBA_Matches_All[[#This Row],[Team]],Dyno_Data[Match],TBA_Matches_All[[#This Row],[Match_Number]],Dyno_Data[RecordType],"Activities",Dyno_Data[DelDest],"Spkr", Dyno_Data[DelMiss],"0", Dyno_Data[Mode],"Auto")</f>
        <v>0</v>
      </c>
      <c r="AK49">
        <f>COUNTIFS(Dyno_Data[Team],TBA_Matches_All[[#This Row],[Team]],Dyno_Data[Match],TBA_Matches_All[[#This Row],[Match_Number]],Dyno_Data[RecordType],"Activities",Dyno_Data[DelDest],"Trap", Dyno_Data[DelMiss],"0", Dyno_Data[Mode],"Auto")</f>
        <v>0</v>
      </c>
      <c r="AL49">
        <f>COUNTIFS(Dyno_Data[Team],TBA_Matches_All[[#This Row],[Team]],Dyno_Data[Match],TBA_Matches_All[[#This Row],[Match_Number]],Dyno_Data[RecordType],"Activities",Dyno_Data[DelDest],"Amp", Dyno_Data[DelMiss],"0", Dyno_Data[Mode],"Teleop")</f>
        <v>0</v>
      </c>
      <c r="AM49">
        <f>COUNTIFS(Dyno_Data[Team],TBA_Matches_All[[#This Row],[Team]],Dyno_Data[Match],TBA_Matches_All[[#This Row],[Match_Number]],Dyno_Data[RecordType],"Activities",Dyno_Data[DelDest],"Spkr", Dyno_Data[DelMiss],"0", Dyno_Data[Mode],"Teleop")</f>
        <v>1</v>
      </c>
      <c r="AN49">
        <f>COUNTIFS(Dyno_Data[Team],TBA_Matches_All[[#This Row],[Team]],Dyno_Data[Match],TBA_Matches_All[[#This Row],[Match_Number]],Dyno_Data[RecordType],"Activities",Dyno_Data[DelDest],"Trap", Dyno_Data[DelMiss],"0", Dyno_Data[Mode],"&lt;&gt;Auto")</f>
        <v>0</v>
      </c>
      <c r="AO49">
        <f>SUM(TBA_Matches_All[[#This Row],[AampT]]+TBA_Matches_All[[#This Row],[AspkrT]]+TBA_Matches_All[[#This Row],[AtrapT]]+TBA_Matches_All[[#This Row],[TampT]]+TBA_Matches_All[[#This Row],[TspkrT]]+TBA_Matches_All[[#This Row],[TtrapT]])</f>
        <v>1</v>
      </c>
      <c r="AP49">
        <f>COUNTIFS(Dyno_Data[Team],TBA_Matches_All[[#This Row],[Team]],Dyno_Data[Match],TBA_Matches_All[[#This Row],[Match_Number]],Dyno_Data[RecordType],"Activities",Dyno_Data[DelDest],"Neut", Dyno_Data[DelMiss],"0")</f>
        <v>0</v>
      </c>
      <c r="AQ49">
        <f>COUNTIFS(Dyno_Data[Team],TBA_Matches_All[[#This Row],[Team]],Dyno_Data[Match],TBA_Matches_All[[#This Row],[Match_Number]],Dyno_Data[RecordType],"Activities",Dyno_Data[DelDest],"AllyW", Dyno_Data[DelMiss],"0")</f>
        <v>0</v>
      </c>
      <c r="AR49" t="str">
        <f>_xlfn.XLOOKUP(SUM(MID(TBA_Matches_All[[#This Row],[Team]],4,5),(TBA_Matches_All[[#This Row],[Match_Number]]/100)),Dyno_EndMatch[teammat],Dyno_EndMatch[RobotSta],"_",0,1)</f>
        <v>Amp</v>
      </c>
      <c r="AS49">
        <f>SUMIFS(Dyno_Data[AcqDis], Dyno_Data[Team],TBA_Matches_All[[#This Row],[Team]],Dyno_Data[Match],TBA_Matches_All[[#This Row],[Match_Number]],Dyno_Data[RecordType],"Activities", Dyno_Data[AcqCenter],1,Dyno_Data[Mode],"Auto")</f>
        <v>0</v>
      </c>
      <c r="AT49">
        <f>SUMIFS(Dyno_Data[AcqDis], Dyno_Data[Team],TBA_Matches_All[[#This Row],[Team]],Dyno_Data[Match],TBA_Matches_All[[#This Row],[Match_Number]],Dyno_Data[RecordType],"Activities", Dyno_Data[AcqCenter],2,Dyno_Data[Mode],"Auto")</f>
        <v>0</v>
      </c>
      <c r="AU49">
        <f>SUMIFS(Dyno_Data[AcqDis], Dyno_Data[Team],TBA_Matches_All[[#This Row],[Team]],Dyno_Data[Match],TBA_Matches_All[[#This Row],[Match_Number]],Dyno_Data[RecordType],"Activities", Dyno_Data[AcqCenter],3,Dyno_Data[Mode],"Auto")</f>
        <v>0</v>
      </c>
      <c r="AV49">
        <f>SUMIFS(Dyno_Data[AcqDis], Dyno_Data[Team],TBA_Matches_All[[#This Row],[Team]],Dyno_Data[Match],TBA_Matches_All[[#This Row],[Match_Number]],Dyno_Data[RecordType],"Activities", Dyno_Data[AcqCenter],4,Dyno_Data[Mode],"Auto")</f>
        <v>0</v>
      </c>
      <c r="AW49">
        <f>SUMIFS(Dyno_Data[AcqDis], Dyno_Data[Team],TBA_Matches_All[[#This Row],[Team]],Dyno_Data[Match],TBA_Matches_All[[#This Row],[Match_Number]],Dyno_Data[RecordType],"Activities", Dyno_Data[AcqCenter],5,Dyno_Data[Mode],"Auto")</f>
        <v>0</v>
      </c>
      <c r="AX49">
        <f>SUMIFS(Dyno_Data[DelMiss], Dyno_Data[Team],TBA_Matches_All[[#This Row],[Team]],Dyno_Data[Match],TBA_Matches_All[[#This Row],[Match_Number]],Dyno_Data[RecordType],"Activities", Dyno_Data[DelDest],"Amp")</f>
        <v>0</v>
      </c>
      <c r="AY49" s="60">
        <f>IFERROR(SUM((TBA_Matches_All[[#This Row],[AampT]]+TBA_Matches_All[[#This Row],[TampT]])/(TBA_Matches_All[[#This Row],[AampT]]+TBA_Matches_All[[#This Row],[TampT]]+TBA_Matches_All[[#This Row],[ampM]])),0)</f>
        <v>0</v>
      </c>
      <c r="AZ49">
        <f>SUMIFS(Dyno_Data[DelMiss], Dyno_Data[Team],TBA_Matches_All[[#This Row],[Team]],Dyno_Data[Match],TBA_Matches_All[[#This Row],[Match_Number]],Dyno_Data[RecordType],"Activities", Dyno_Data[DelDest],"Spkr")</f>
        <v>0</v>
      </c>
      <c r="BA49" s="60">
        <f>IFERROR(SUM((TBA_Matches_All[[#This Row],[AspkrT]]+TBA_Matches_All[[#This Row],[TspkrT]])/(TBA_Matches_All[[#This Row],[AspkrT]]+TBA_Matches_All[[#This Row],[TspkrT]]+TBA_Matches_All[[#This Row],[spkrM]])),0)</f>
        <v>1</v>
      </c>
      <c r="BB49">
        <f>SUMIFS(Dyno_Data[DelMiss], Dyno_Data[Team],TBA_Matches_All[[#This Row],[Team]],Dyno_Data[Match],TBA_Matches_All[[#This Row],[Match_Number]],Dyno_Data[RecordType],"Activities", Dyno_Data[DelDest],"Trap")</f>
        <v>0</v>
      </c>
      <c r="BC49" s="60">
        <f>IFERROR((TBA_Matches_All[[#This Row],[AtrapT]]+TBA_Matches_All[[#This Row],[TtrapT]])/(TBA_Matches_All[[#This Row],[AtrapT]]+TBA_Matches_All[[#This Row],[TtrapT]]+TBA_Matches_All[[#This Row],[trapM]]),0)</f>
        <v>0</v>
      </c>
      <c r="BD49">
        <f>COUNTIFS(Dyno_Data[Team],TBA_Matches_All[[#This Row],[Team]],Dyno_Data[Match],TBA_Matches_All[[#This Row],[Match_Number]],Dyno_Data[RecordType],"Activities",Dyno_Data[DelDest],"Neut", Dyno_Data[DelMiss],1)</f>
        <v>0</v>
      </c>
      <c r="BE49" s="60">
        <f>IFERROR(SUM((TBA_Matches_All[[#This Row],[NeutFlrT]])/(TBA_Matches_All[[#This Row],[NeutFlrT]]+TBA_Matches_All[[#This Row],[NZflM]])),0)</f>
        <v>0</v>
      </c>
      <c r="BF49">
        <f>COUNTIFS(Dyno_Data[Team],TBA_Matches_All[[#This Row],[Team]],Dyno_Data[Match],TBA_Matches_All[[#This Row],[Match_Number]],Dyno_Data[RecordType],"Activities",Dyno_Data[DelDest],"AllyW", Dyno_Data[DelMiss],1)</f>
        <v>0</v>
      </c>
      <c r="BG49" s="60">
        <f>IFERROR(SUM((TBA_Matches_All[[#This Row],[AllyWFlrT]])/(TBA_Matches_All[[#This Row],[AllyWFlrT]]+TBA_Matches_All[[#This Row],[AZflM]])),0)</f>
        <v>0</v>
      </c>
      <c r="BH49">
        <f>COUNTIFS(Dyno_Data[Team],TBA_Matches_All[[#This Row],[Team]],Dyno_Data[Match],TBA_Matches_All[[#This Row],[Match_Number]],Dyno_Data[RecordType],"Activities",Dyno_Data[DelOrig],"OppW", Dyno_Data[DelMiss],"0")</f>
        <v>0</v>
      </c>
      <c r="BI49">
        <f>COUNTIFS(Dyno_Data[Team],TBA_Matches_All[[#This Row],[Team]],Dyno_Data[Match],TBA_Matches_All[[#This Row],[Match_Number]],Dyno_Data[RecordType],"Activities",Dyno_Data[DelOrig],"OppW", Dyno_Data[DelMiss],"1")</f>
        <v>0</v>
      </c>
      <c r="BJ49" s="60">
        <f>IFERROR(SUM((TBA_Matches_All[[#This Row],[OZflrT]])/(TBA_Matches_All[[#This Row],[OZflrT]]+TBA_Matches_All[[#This Row],[OZflrM]])),0)</f>
        <v>0</v>
      </c>
      <c r="BK49">
        <f>COUNTIFS(Dyno_Data[Team],TBA_Matches_All[[#This Row],[Team]],Dyno_Data[Match],TBA_Matches_All[[#This Row],[Match_Number]],Dyno_Data[RecordType],"Activities",Dyno_Data[DelOrig],"Neut", Dyno_Data[DelMiss],"0")</f>
        <v>0</v>
      </c>
      <c r="BL49">
        <f>COUNTIFS(Dyno_Data[Team],TBA_Matches_All[[#This Row],[Team]],Dyno_Data[Match],TBA_Matches_All[[#This Row],[Match_Number]],Dyno_Data[RecordType],"Activities",Dyno_Data[DelOrig],"Neut", Dyno_Data[DelMiss],"1")</f>
        <v>0</v>
      </c>
      <c r="BM49" s="60">
        <f>IFERROR(SUM((TBA_Matches_All[[#This Row],[NZflrT]])/(TBA_Matches_All[[#This Row],[NZflrT]]+TBA_Matches_All[[#This Row],[NZflrM]])),0)</f>
        <v>0</v>
      </c>
      <c r="BN49">
        <f>COUNTIFS(Dyno_Data[Team],TBA_Matches_All[[#This Row],[Team]],Dyno_Data[Match],TBA_Matches_All[[#This Row],[Match_Number]],Dyno_Data[RecordType],"Activities",Dyno_Data[DelOrig],"AllyW", Dyno_Data[DelMiss],"0")</f>
        <v>1</v>
      </c>
      <c r="BO49">
        <f>COUNTIFS(Dyno_Data[Team],TBA_Matches_All[[#This Row],[Team]],Dyno_Data[Match],TBA_Matches_All[[#This Row],[Match_Number]],Dyno_Data[RecordType],"Activities",Dyno_Data[DelOrig],"AllyW", Dyno_Data[DelMiss],"1")</f>
        <v>0</v>
      </c>
      <c r="BP49" s="60">
        <f>IFERROR(SUM((TBA_Matches_All[[#This Row],[AZflrT]])/(TBA_Matches_All[[#This Row],[AZflrT]]+TBA_Matches_All[[#This Row],[AZflrM]])),0)</f>
        <v>1</v>
      </c>
      <c r="BQ49">
        <f>COUNTIFS(Dyno_Data[Team],TBA_Matches_All[[#This Row],[Team]],Dyno_Data[Match],TBA_Matches_All[[#This Row],[Match_Number]],Dyno_Data[RecordType],"Activities",Dyno_Data[DelOrig],"SubW", Dyno_Data[DelMiss],"0")</f>
        <v>0</v>
      </c>
      <c r="BR49">
        <f>COUNTIFS(Dyno_Data[Team],TBA_Matches_All[[#This Row],[Team]],Dyno_Data[Match],TBA_Matches_All[[#This Row],[Match_Number]],Dyno_Data[RecordType],"Activities",Dyno_Data[DelOrig],"SubW", Dyno_Data[DelMiss],"1")</f>
        <v>0</v>
      </c>
      <c r="BS49" s="60">
        <f>IFERROR(SUM((TBA_Matches_All[[#This Row],[SubwT]])/(TBA_Matches_All[[#This Row],[SubwT]]+TBA_Matches_All[[#This Row],[SubwM]])),0)</f>
        <v>0</v>
      </c>
      <c r="BT49">
        <f>COUNTIFS(Dyno_Data[Team],TBA_Matches_All[[#This Row],[Team]],Dyno_Data[Match],TBA_Matches_All[[#This Row],[Match_Number]],Dyno_Data[RecordType],"Activities", Dyno_Data[AcqLoc],"OppWing")</f>
        <v>0</v>
      </c>
      <c r="BU49">
        <f>COUNTIFS(Dyno_Data[Team],TBA_Matches_All[[#This Row],[Team]],Dyno_Data[Match],TBA_Matches_All[[#This Row],[Match_Number]],Dyno_Data[RecordType],"Activities", Dyno_Data[AcqLoc],"Neutral")</f>
        <v>0</v>
      </c>
      <c r="BV49">
        <f>COUNTIFS(Dyno_Data[Team],TBA_Matches_All[[#This Row],[Team]],Dyno_Data[Match],TBA_Matches_All[[#This Row],[Match_Number]],Dyno_Data[RecordType],"Activities", Dyno_Data[AcqLoc],"AllyWing")</f>
        <v>0</v>
      </c>
      <c r="BW49">
        <f>COUNTIFS(Dyno_Data[Team],TBA_Matches_All[[#This Row],[Team]],Dyno_Data[Match],TBA_Matches_All[[#This Row],[Match_Number]],Dyno_Data[RecordType],"Activities", Dyno_Data[AcqLoc],"Source")</f>
        <v>0</v>
      </c>
      <c r="BX49">
        <f>SUMIFS(Dyno_Data[AcqDrp], Dyno_Data[Team],TBA_Matches_All[[#This Row],[Team]],Dyno_Data[Match],TBA_Matches_All[[#This Row],[Match_Number]],Dyno_Data[RecordType],"Activities", Dyno_Data[AcqLoc],"Source")</f>
        <v>0</v>
      </c>
      <c r="BY49">
        <f>SUMIFS(Dyno_Data[OZTime], Dyno_Data[Team],TBA_Matches_All[[#This Row],[Team]],Dyno_Data[Match],TBA_Matches_All[[#This Row],[Match_Number]],Dyno_Data[RecordType],"EndMatch")</f>
        <v>0.63332709999999992</v>
      </c>
      <c r="BZ49">
        <f>SUMIFS(Dyno_Data[NZTime], Dyno_Data[Team],TBA_Matches_All[[#This Row],[Team]],Dyno_Data[Match],TBA_Matches_All[[#This Row],[Match_Number]],Dyno_Data[RecordType],"EndMatch")</f>
        <v>60.9860544</v>
      </c>
      <c r="CA49">
        <f>SUMIFS(Dyno_Data[AZTime], Dyno_Data[Team],TBA_Matches_All[[#This Row],[Team]],Dyno_Data[Match],TBA_Matches_All[[#This Row],[Match_Number]],Dyno_Data[RecordType],"EndMatch")</f>
        <v>55.420207399999995</v>
      </c>
      <c r="CB49">
        <f>SUMIFS(Dyno_Data[ClimbT], Dyno_Data[Team],TBA_Matches_All[[#This Row],[Team]],Dyno_Data[Match],TBA_Matches_All[[#This Row],[Match_Number]],Dyno_Data[RecordType],"EndMatch")</f>
        <v>15.424839299999999</v>
      </c>
      <c r="CC49" t="str">
        <f>_xlfn.XLOOKUP(SUM(MID(TBA_Matches_All[[#This Row],[Team]],4,5),(TBA_Matches_All[[#This Row],[Match_Number]]/100)),Dyno_EndMatch[teammat],Dyno_EndMatch[StageStat],"_",0,1)</f>
        <v>Park</v>
      </c>
      <c r="CD49" t="str">
        <f>_xlfn.XLOOKUP(TBA_Matches_All[[#This Row],[teammat]],Dyno_EndMatch[teammat],Dyno_EndMatch[StageAtt],"_",0,1)</f>
        <v>-1</v>
      </c>
      <c r="CE49" t="str">
        <f>_xlfn.XLOOKUP(TBA_Matches_All[[#This Row],[teammat]],Dyno_EndMatch[teammat],Dyno_EndMatch[StageLoc],"_",0,1)</f>
        <v>A</v>
      </c>
      <c r="CF49">
        <f>SUMIFS(Dyno_Data[Harmony], Dyno_Data[Team],TBA_Matches_All[[#This Row],[Team]],Dyno_Data[Match],TBA_Matches_All[[#This Row],[Match_Number]],Dyno_Data[RecordType],"EndMatch", Dyno_Data[StageStat],"On",Dyno_Data[Harmony],"&lt;&gt;9")</f>
        <v>0</v>
      </c>
      <c r="CG49">
        <f>SUMIFS(Dyno_Data[Spotlit], Dyno_Data[Team],TBA_Matches_All[[#This Row],[Team]],Dyno_Data[Match],TBA_Matches_All[[#This Row],[Match_Number]],Dyno_Data[RecordType],"EndMatch", Dyno_Data[StageStat],"On",Dyno_Data[Spotlit],"&lt;&gt;9")</f>
        <v>0</v>
      </c>
      <c r="CH49" t="str">
        <f>_xlfn.XLOOKUP(TBA_Matches_All[[#This Row],[teammat]],Dyno_EndMatch[teammat],Dyno_EndMatch[Strategy],"_",0,1)</f>
        <v>Shooter</v>
      </c>
      <c r="CI49">
        <f>SUMIFS(Dyno_Data[Defense], Dyno_Data[Team],TBA_Matches_All[[#This Row],[Team]],Dyno_Data[Match],TBA_Matches_All[[#This Row],[Match_Number]],Dyno_Data[RecordType],"EndMatch",Dyno_Data[Defense],"&lt;&gt;9")</f>
        <v>0</v>
      </c>
      <c r="CJ49">
        <f>SUMIFS(Dyno_Data[Avoidance], Dyno_Data[Team],TBA_Matches_All[[#This Row],[Team]],Dyno_Data[Match],TBA_Matches_All[[#This Row],[Match_Number]],Dyno_Data[RecordType],"EndMatch",Dyno_Data[Avoidance],"&lt;&gt;9")</f>
        <v>0</v>
      </c>
      <c r="CK49" s="82">
        <f>COUNTIF($H$2:TBA_Matches_All[[#This Row],[Team]],TBA_Matches_All[[#This Row],[Team]])</f>
        <v>1</v>
      </c>
      <c r="CL49" s="111">
        <f>SUM(MID(TBA_Matches_All[[#This Row],[Team]],4,5)+TBA_Matches_All[[#This Row],[Match_Number]]/100)</f>
        <v>6401.08</v>
      </c>
      <c r="CM49">
        <f>SUM((TBA_Matches_All[[#This Row],[Leave]]*2)+(TBA_Matches_All[[#This Row],[AampT]]*2)+(TBA_Matches_All[[#This Row],[AspkrT]]*5)+(TBA_Matches_All[[#This Row],[AtrapT]]*5))</f>
        <v>0</v>
      </c>
      <c r="CN49" s="59">
        <f>IFERROR(SUM(TBA_Matches_All[[#This Row],[AptsT]]/TBA_Matches_All[[#This Row],[AutoPts]]),0)</f>
        <v>0</v>
      </c>
      <c r="CO49" s="59">
        <f>IFERROR(SUM(TBA_Matches_All[[#This Row],[AampT]]+TBA_Matches_All[[#This Row],[AspkrT]]+TBA_Matches_All[[#This Row],[AtrapT]]/TBA_Matches_All[[#This Row],[Aamp]]+TBA_Matches_All[[#This Row],[Aspkr]]+TBA_Matches_All[[#This Row],[AtrapT]]),0)</f>
        <v>0</v>
      </c>
      <c r="CP49" s="59">
        <f>IFERROR(SUM(TBA_Matches_All[[#This Row],[TampT]]/TBA_Matches_All[[#This Row],[Tamp]]),0)</f>
        <v>0</v>
      </c>
      <c r="CQ49" s="59">
        <f>IFERROR(SUM(TBA_Matches_All[[#This Row],[TspkrT]]/TBA_Matches_All[[#This Row],[Tspkr]]),0)</f>
        <v>0.1</v>
      </c>
      <c r="CR49">
        <f>SUM(TBA_Matches_All[[#This Row],[TspkrPts]]*TBA_Matches_All[[#This Row],[TspkrP]])</f>
        <v>2.3000000000000003</v>
      </c>
      <c r="CS49" s="59">
        <f>IFERROR(SUM(TBA_Matches_All[[#This Row],[TtrapT]]/TBA_Matches_All[[#This Row],[Trap]]),0)</f>
        <v>0</v>
      </c>
      <c r="CT49" s="59">
        <f>IFERROR(SUM(TBA_Matches_All[[#This Row],[TotNotesT]]/TBA_Matches_All[[#This Row],[TotNotes]]),0)</f>
        <v>6.6666666666666666E-2</v>
      </c>
      <c r="CU49" s="66">
        <f>SUM((TBA_Matches_All[[#This Row],[AampT]]*2)+(TBA_Matches_All[[#This Row],[AspkrT]]*5)+(TBA_Matches_All[[#This Row],[AtrapT]]*5)+(TBA_Matches_All[[#This Row],[TampT]]*1)+(TBA_Matches_All[[#This Row],[TspkrptsC]]))</f>
        <v>2.3000000000000003</v>
      </c>
      <c r="CV49" s="59">
        <f>IFERROR(TBA_Matches_All[[#This Row],[noteptsT]]/TBA_Matches_All[[#This Row],[NotePts]],0)</f>
        <v>5.7500000000000009E-2</v>
      </c>
      <c r="CW49">
        <f>SUM(IF(TBA_Matches_All[[#This Row],[stageStat]]="On",3,0),IF(TBA_Matches_All[[#This Row],[stageStat]]="Park",1,0),SUMIFS(TBA_Matches_All[[#This Row],[Spotlit]],TBA_Matches_All[[#This Row],[stageStat]],"On"),SUMIFS(TBA_Matches_All[[#This Row],[Harmony]],TBA_Matches_All[[#This Row],[stageStat]],"On"))</f>
        <v>1</v>
      </c>
      <c r="CX49" s="59">
        <f>IFERROR(TBA_Matches_All[[#This Row],[stageptsT]]/TBA_Matches_All[[#This Row],[StagePts]],0)</f>
        <v>0.14285714285714285</v>
      </c>
      <c r="CY49">
        <f>SUM((TBA_Matches_All[[#This Row],[AptsT]]+TBA_Matches_All[[#This Row],[TampT]]+TBA_Matches_All[[#This Row],[TspkrptsC]]+(TBA_Matches_All[[#This Row],[TtrapT]]*5)+TBA_Matches_All[[#This Row],[stageptsT]]))</f>
        <v>3.3000000000000003</v>
      </c>
      <c r="CZ49" s="59">
        <f>IFERROR(SUM(TBA_Matches_All[[#This Row],[TotptsC]]/TBA_Matches_All[[#This Row],[Score]]),0)</f>
        <v>6.2264150943396233E-2</v>
      </c>
      <c r="DA4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4.7</v>
      </c>
      <c r="DB49" s="74">
        <f>SUMIFS(TBA_Matches_All[AveTeamTNoteDels],TBA_Matches_All[Match_Number],TBA_Matches_All[[#This Row],[Match_Number]],TBA_Matches_All[Alliance],"&lt;&gt;"&amp;TBA_Matches_All[[#This Row],[Alliance]],TBA_Matches_All[Scouted],"&gt;0")</f>
        <v>22.971022727272725</v>
      </c>
      <c r="DC49" s="74">
        <f>(TBA_Matches_All[[#This Row],[TampT]]+TBA_Matches_All[[#This Row],[TspkrptsC]])-TBA_Matches_All[[#This Row],[AveTeamTNoteDels]]</f>
        <v>-2.4</v>
      </c>
      <c r="DD49" s="74">
        <f>SUMIFS(TBA_Matches_All[AveTeamTNoteDels],TBA_Matches_All[Match_Number],TBA_Matches_All[[#This Row],[Match_Number]],TBA_Matches_All[Alliance],"&lt;&gt;"&amp;TBA_Matches_All[[#This Row],[Alliance]])-TBA_Matches_All[[#This Row],[AveOppTNoteDels]]</f>
        <v>0</v>
      </c>
    </row>
    <row r="50" spans="1:108" x14ac:dyDescent="0.3">
      <c r="A50" t="s">
        <v>1042</v>
      </c>
      <c r="B50" t="s">
        <v>489</v>
      </c>
      <c r="C50" t="s">
        <v>1313</v>
      </c>
      <c r="D50">
        <v>8</v>
      </c>
      <c r="E50" t="s">
        <v>1406</v>
      </c>
      <c r="F50" t="s">
        <v>1422</v>
      </c>
      <c r="G50" t="s">
        <v>105</v>
      </c>
      <c r="H50" t="s">
        <v>1315</v>
      </c>
      <c r="I50" t="b">
        <v>1</v>
      </c>
      <c r="J50">
        <v>71</v>
      </c>
      <c r="K50">
        <v>1</v>
      </c>
      <c r="L50">
        <v>0</v>
      </c>
      <c r="M50">
        <v>2</v>
      </c>
      <c r="N50">
        <v>0</v>
      </c>
      <c r="O50">
        <v>3</v>
      </c>
      <c r="P50">
        <v>15</v>
      </c>
      <c r="Q50">
        <v>21</v>
      </c>
      <c r="R50">
        <v>7</v>
      </c>
      <c r="S50">
        <v>6</v>
      </c>
      <c r="T50">
        <v>3</v>
      </c>
      <c r="U50">
        <v>30</v>
      </c>
      <c r="V50">
        <v>6</v>
      </c>
      <c r="W50">
        <v>9</v>
      </c>
      <c r="X50">
        <v>36</v>
      </c>
      <c r="Y50">
        <v>43</v>
      </c>
      <c r="Z50">
        <v>0</v>
      </c>
      <c r="AA50">
        <v>0</v>
      </c>
      <c r="AB50">
        <v>19</v>
      </c>
      <c r="AC50">
        <v>58</v>
      </c>
      <c r="AD50">
        <v>5</v>
      </c>
      <c r="AE50">
        <f>IFERROR(6/(COUNTIF(Dyno_EndMatch[Match],TBA_Matches_All[[#This Row],[Match_Number]])),0)</f>
        <v>1</v>
      </c>
      <c r="AF50">
        <f>COUNTIFS(Dyno_Data[Team],TBA_Matches_All[[#This Row],[Team]],Dyno_Data[Match],TBA_Matches_All[[#This Row],[Match_Number]],Dyno_Data[RecordType],"EndMatch",Dyno_Data[HPAmp],"Y")</f>
        <v>0</v>
      </c>
      <c r="AG50">
        <f>SUMIFS(Dyno_Data[Mics], Dyno_Data[Team],TBA_Matches_All[[#This Row],[Team]],Dyno_Data[Match],TBA_Matches_All[[#This Row],[Match_Number]],Dyno_Data[RecordType],"EndMatch",Dyno_Data[HPAmp],"Y")</f>
        <v>0</v>
      </c>
      <c r="AH50">
        <f>SUMIFS(Dyno_Data[Leave], Dyno_Data[Team],TBA_Matches_All[[#This Row],[Team]],Dyno_Data[Match],TBA_Matches_All[[#This Row],[Match_Number]],Dyno_Data[RecordType],"EndAuto")</f>
        <v>1</v>
      </c>
      <c r="AI50">
        <f>COUNTIFS(Dyno_Data[Team],TBA_Matches_All[[#This Row],[Team]],Dyno_Data[Match],TBA_Matches_All[[#This Row],[Match_Number]],Dyno_Data[RecordType],"Activities",Dyno_Data[DelDest],"Amp", Dyno_Data[DelMiss],"0", Dyno_Data[Mode],"Auto")</f>
        <v>0</v>
      </c>
      <c r="AJ50">
        <f>COUNTIFS(Dyno_Data[Team],TBA_Matches_All[[#This Row],[Team]],Dyno_Data[Match],TBA_Matches_All[[#This Row],[Match_Number]],Dyno_Data[RecordType],"Activities",Dyno_Data[DelDest],"Spkr", Dyno_Data[DelMiss],"0", Dyno_Data[Mode],"Auto")</f>
        <v>1</v>
      </c>
      <c r="AK50">
        <f>COUNTIFS(Dyno_Data[Team],TBA_Matches_All[[#This Row],[Team]],Dyno_Data[Match],TBA_Matches_All[[#This Row],[Match_Number]],Dyno_Data[RecordType],"Activities",Dyno_Data[DelDest],"Trap", Dyno_Data[DelMiss],"0", Dyno_Data[Mode],"Auto")</f>
        <v>0</v>
      </c>
      <c r="AL50">
        <f>COUNTIFS(Dyno_Data[Team],TBA_Matches_All[[#This Row],[Team]],Dyno_Data[Match],TBA_Matches_All[[#This Row],[Match_Number]],Dyno_Data[RecordType],"Activities",Dyno_Data[DelDest],"Amp", Dyno_Data[DelMiss],"0", Dyno_Data[Mode],"Teleop")</f>
        <v>7</v>
      </c>
      <c r="AM50">
        <f>COUNTIFS(Dyno_Data[Team],TBA_Matches_All[[#This Row],[Team]],Dyno_Data[Match],TBA_Matches_All[[#This Row],[Match_Number]],Dyno_Data[RecordType],"Activities",Dyno_Data[DelDest],"Spkr", Dyno_Data[DelMiss],"0", Dyno_Data[Mode],"Teleop")</f>
        <v>2</v>
      </c>
      <c r="AN50">
        <f>COUNTIFS(Dyno_Data[Team],TBA_Matches_All[[#This Row],[Team]],Dyno_Data[Match],TBA_Matches_All[[#This Row],[Match_Number]],Dyno_Data[RecordType],"Activities",Dyno_Data[DelDest],"Trap", Dyno_Data[DelMiss],"0", Dyno_Data[Mode],"&lt;&gt;Auto")</f>
        <v>0</v>
      </c>
      <c r="AO50">
        <f>SUM(TBA_Matches_All[[#This Row],[AampT]]+TBA_Matches_All[[#This Row],[AspkrT]]+TBA_Matches_All[[#This Row],[AtrapT]]+TBA_Matches_All[[#This Row],[TampT]]+TBA_Matches_All[[#This Row],[TspkrT]]+TBA_Matches_All[[#This Row],[TtrapT]])</f>
        <v>10</v>
      </c>
      <c r="AP50">
        <f>COUNTIFS(Dyno_Data[Team],TBA_Matches_All[[#This Row],[Team]],Dyno_Data[Match],TBA_Matches_All[[#This Row],[Match_Number]],Dyno_Data[RecordType],"Activities",Dyno_Data[DelDest],"Neut", Dyno_Data[DelMiss],"0")</f>
        <v>0</v>
      </c>
      <c r="AQ50">
        <f>COUNTIFS(Dyno_Data[Team],TBA_Matches_All[[#This Row],[Team]],Dyno_Data[Match],TBA_Matches_All[[#This Row],[Match_Number]],Dyno_Data[RecordType],"Activities",Dyno_Data[DelDest],"AllyW", Dyno_Data[DelMiss],"0")</f>
        <v>0</v>
      </c>
      <c r="AR50" t="str">
        <f>_xlfn.XLOOKUP(SUM(MID(TBA_Matches_All[[#This Row],[Team]],4,5),(TBA_Matches_All[[#This Row],[Match_Number]]/100)),Dyno_EndMatch[teammat],Dyno_EndMatch[RobotSta],"_",0,1)</f>
        <v>Amp</v>
      </c>
      <c r="AS50">
        <f>SUMIFS(Dyno_Data[AcqDis], Dyno_Data[Team],TBA_Matches_All[[#This Row],[Team]],Dyno_Data[Match],TBA_Matches_All[[#This Row],[Match_Number]],Dyno_Data[RecordType],"Activities", Dyno_Data[AcqCenter],1,Dyno_Data[Mode],"Auto")</f>
        <v>0</v>
      </c>
      <c r="AT50">
        <f>SUMIFS(Dyno_Data[AcqDis], Dyno_Data[Team],TBA_Matches_All[[#This Row],[Team]],Dyno_Data[Match],TBA_Matches_All[[#This Row],[Match_Number]],Dyno_Data[RecordType],"Activities", Dyno_Data[AcqCenter],2,Dyno_Data[Mode],"Auto")</f>
        <v>0</v>
      </c>
      <c r="AU50">
        <f>SUMIFS(Dyno_Data[AcqDis], Dyno_Data[Team],TBA_Matches_All[[#This Row],[Team]],Dyno_Data[Match],TBA_Matches_All[[#This Row],[Match_Number]],Dyno_Data[RecordType],"Activities", Dyno_Data[AcqCenter],3,Dyno_Data[Mode],"Auto")</f>
        <v>0</v>
      </c>
      <c r="AV50">
        <f>SUMIFS(Dyno_Data[AcqDis], Dyno_Data[Team],TBA_Matches_All[[#This Row],[Team]],Dyno_Data[Match],TBA_Matches_All[[#This Row],[Match_Number]],Dyno_Data[RecordType],"Activities", Dyno_Data[AcqCenter],4,Dyno_Data[Mode],"Auto")</f>
        <v>0</v>
      </c>
      <c r="AW50">
        <f>SUMIFS(Dyno_Data[AcqDis], Dyno_Data[Team],TBA_Matches_All[[#This Row],[Team]],Dyno_Data[Match],TBA_Matches_All[[#This Row],[Match_Number]],Dyno_Data[RecordType],"Activities", Dyno_Data[AcqCenter],5,Dyno_Data[Mode],"Auto")</f>
        <v>0</v>
      </c>
      <c r="AX50">
        <f>SUMIFS(Dyno_Data[DelMiss], Dyno_Data[Team],TBA_Matches_All[[#This Row],[Team]],Dyno_Data[Match],TBA_Matches_All[[#This Row],[Match_Number]],Dyno_Data[RecordType],"Activities", Dyno_Data[DelDest],"Amp")</f>
        <v>0</v>
      </c>
      <c r="AY50" s="60">
        <f>IFERROR(SUM((TBA_Matches_All[[#This Row],[AampT]]+TBA_Matches_All[[#This Row],[TampT]])/(TBA_Matches_All[[#This Row],[AampT]]+TBA_Matches_All[[#This Row],[TampT]]+TBA_Matches_All[[#This Row],[ampM]])),0)</f>
        <v>1</v>
      </c>
      <c r="AZ50">
        <f>SUMIFS(Dyno_Data[DelMiss], Dyno_Data[Team],TBA_Matches_All[[#This Row],[Team]],Dyno_Data[Match],TBA_Matches_All[[#This Row],[Match_Number]],Dyno_Data[RecordType],"Activities", Dyno_Data[DelDest],"Spkr")</f>
        <v>1</v>
      </c>
      <c r="BA50" s="60">
        <f>IFERROR(SUM((TBA_Matches_All[[#This Row],[AspkrT]]+TBA_Matches_All[[#This Row],[TspkrT]])/(TBA_Matches_All[[#This Row],[AspkrT]]+TBA_Matches_All[[#This Row],[TspkrT]]+TBA_Matches_All[[#This Row],[spkrM]])),0)</f>
        <v>0.75</v>
      </c>
      <c r="BB50">
        <f>SUMIFS(Dyno_Data[DelMiss], Dyno_Data[Team],TBA_Matches_All[[#This Row],[Team]],Dyno_Data[Match],TBA_Matches_All[[#This Row],[Match_Number]],Dyno_Data[RecordType],"Activities", Dyno_Data[DelDest],"Trap")</f>
        <v>0</v>
      </c>
      <c r="BC50" s="60">
        <f>IFERROR((TBA_Matches_All[[#This Row],[AtrapT]]+TBA_Matches_All[[#This Row],[TtrapT]])/(TBA_Matches_All[[#This Row],[AtrapT]]+TBA_Matches_All[[#This Row],[TtrapT]]+TBA_Matches_All[[#This Row],[trapM]]),0)</f>
        <v>0</v>
      </c>
      <c r="BD50">
        <f>COUNTIFS(Dyno_Data[Team],TBA_Matches_All[[#This Row],[Team]],Dyno_Data[Match],TBA_Matches_All[[#This Row],[Match_Number]],Dyno_Data[RecordType],"Activities",Dyno_Data[DelDest],"Neut", Dyno_Data[DelMiss],1)</f>
        <v>0</v>
      </c>
      <c r="BE50" s="60">
        <f>IFERROR(SUM((TBA_Matches_All[[#This Row],[NeutFlrT]])/(TBA_Matches_All[[#This Row],[NeutFlrT]]+TBA_Matches_All[[#This Row],[NZflM]])),0)</f>
        <v>0</v>
      </c>
      <c r="BF50">
        <f>COUNTIFS(Dyno_Data[Team],TBA_Matches_All[[#This Row],[Team]],Dyno_Data[Match],TBA_Matches_All[[#This Row],[Match_Number]],Dyno_Data[RecordType],"Activities",Dyno_Data[DelDest],"AllyW", Dyno_Data[DelMiss],1)</f>
        <v>0</v>
      </c>
      <c r="BG50" s="60">
        <f>IFERROR(SUM((TBA_Matches_All[[#This Row],[AllyWFlrT]])/(TBA_Matches_All[[#This Row],[AllyWFlrT]]+TBA_Matches_All[[#This Row],[AZflM]])),0)</f>
        <v>0</v>
      </c>
      <c r="BH50">
        <f>COUNTIFS(Dyno_Data[Team],TBA_Matches_All[[#This Row],[Team]],Dyno_Data[Match],TBA_Matches_All[[#This Row],[Match_Number]],Dyno_Data[RecordType],"Activities",Dyno_Data[DelOrig],"OppW", Dyno_Data[DelMiss],"0")</f>
        <v>0</v>
      </c>
      <c r="BI50">
        <f>COUNTIFS(Dyno_Data[Team],TBA_Matches_All[[#This Row],[Team]],Dyno_Data[Match],TBA_Matches_All[[#This Row],[Match_Number]],Dyno_Data[RecordType],"Activities",Dyno_Data[DelOrig],"OppW", Dyno_Data[DelMiss],"1")</f>
        <v>0</v>
      </c>
      <c r="BJ50" s="60">
        <f>IFERROR(SUM((TBA_Matches_All[[#This Row],[OZflrT]])/(TBA_Matches_All[[#This Row],[OZflrT]]+TBA_Matches_All[[#This Row],[OZflrM]])),0)</f>
        <v>0</v>
      </c>
      <c r="BK50">
        <f>COUNTIFS(Dyno_Data[Team],TBA_Matches_All[[#This Row],[Team]],Dyno_Data[Match],TBA_Matches_All[[#This Row],[Match_Number]],Dyno_Data[RecordType],"Activities",Dyno_Data[DelOrig],"Neut", Dyno_Data[DelMiss],"0")</f>
        <v>0</v>
      </c>
      <c r="BL50">
        <f>COUNTIFS(Dyno_Data[Team],TBA_Matches_All[[#This Row],[Team]],Dyno_Data[Match],TBA_Matches_All[[#This Row],[Match_Number]],Dyno_Data[RecordType],"Activities",Dyno_Data[DelOrig],"Neut", Dyno_Data[DelMiss],"1")</f>
        <v>0</v>
      </c>
      <c r="BM50" s="60">
        <f>IFERROR(SUM((TBA_Matches_All[[#This Row],[NZflrT]])/(TBA_Matches_All[[#This Row],[NZflrT]]+TBA_Matches_All[[#This Row],[NZflrM]])),0)</f>
        <v>0</v>
      </c>
      <c r="BN50">
        <f>COUNTIFS(Dyno_Data[Team],TBA_Matches_All[[#This Row],[Team]],Dyno_Data[Match],TBA_Matches_All[[#This Row],[Match_Number]],Dyno_Data[RecordType],"Activities",Dyno_Data[DelOrig],"AllyW", Dyno_Data[DelMiss],"0")</f>
        <v>8</v>
      </c>
      <c r="BO50">
        <f>COUNTIFS(Dyno_Data[Team],TBA_Matches_All[[#This Row],[Team]],Dyno_Data[Match],TBA_Matches_All[[#This Row],[Match_Number]],Dyno_Data[RecordType],"Activities",Dyno_Data[DelOrig],"AllyW", Dyno_Data[DelMiss],"1")</f>
        <v>0</v>
      </c>
      <c r="BP50" s="60">
        <f>IFERROR(SUM((TBA_Matches_All[[#This Row],[AZflrT]])/(TBA_Matches_All[[#This Row],[AZflrT]]+TBA_Matches_All[[#This Row],[AZflrM]])),0)</f>
        <v>1</v>
      </c>
      <c r="BQ50">
        <f>COUNTIFS(Dyno_Data[Team],TBA_Matches_All[[#This Row],[Team]],Dyno_Data[Match],TBA_Matches_All[[#This Row],[Match_Number]],Dyno_Data[RecordType],"Activities",Dyno_Data[DelOrig],"SubW", Dyno_Data[DelMiss],"0")</f>
        <v>2</v>
      </c>
      <c r="BR50">
        <f>COUNTIFS(Dyno_Data[Team],TBA_Matches_All[[#This Row],[Team]],Dyno_Data[Match],TBA_Matches_All[[#This Row],[Match_Number]],Dyno_Data[RecordType],"Activities",Dyno_Data[DelOrig],"SubW", Dyno_Data[DelMiss],"1")</f>
        <v>1</v>
      </c>
      <c r="BS50" s="60">
        <f>IFERROR(SUM((TBA_Matches_All[[#This Row],[SubwT]])/(TBA_Matches_All[[#This Row],[SubwT]]+TBA_Matches_All[[#This Row],[SubwM]])),0)</f>
        <v>0.66666666666666663</v>
      </c>
      <c r="BT50">
        <f>COUNTIFS(Dyno_Data[Team],TBA_Matches_All[[#This Row],[Team]],Dyno_Data[Match],TBA_Matches_All[[#This Row],[Match_Number]],Dyno_Data[RecordType],"Activities", Dyno_Data[AcqLoc],"OppWing")</f>
        <v>0</v>
      </c>
      <c r="BU50">
        <f>COUNTIFS(Dyno_Data[Team],TBA_Matches_All[[#This Row],[Team]],Dyno_Data[Match],TBA_Matches_All[[#This Row],[Match_Number]],Dyno_Data[RecordType],"Activities", Dyno_Data[AcqLoc],"Neutral")</f>
        <v>0</v>
      </c>
      <c r="BV50">
        <f>COUNTIFS(Dyno_Data[Team],TBA_Matches_All[[#This Row],[Team]],Dyno_Data[Match],TBA_Matches_All[[#This Row],[Match_Number]],Dyno_Data[RecordType],"Activities", Dyno_Data[AcqLoc],"AllyWing")</f>
        <v>0</v>
      </c>
      <c r="BW50">
        <f>COUNTIFS(Dyno_Data[Team],TBA_Matches_All[[#This Row],[Team]],Dyno_Data[Match],TBA_Matches_All[[#This Row],[Match_Number]],Dyno_Data[RecordType],"Activities", Dyno_Data[AcqLoc],"Source")</f>
        <v>0</v>
      </c>
      <c r="BX50">
        <f>SUMIFS(Dyno_Data[AcqDrp], Dyno_Data[Team],TBA_Matches_All[[#This Row],[Team]],Dyno_Data[Match],TBA_Matches_All[[#This Row],[Match_Number]],Dyno_Data[RecordType],"Activities", Dyno_Data[AcqLoc],"Source")</f>
        <v>0</v>
      </c>
      <c r="BY50">
        <f>SUMIFS(Dyno_Data[OZTime], Dyno_Data[Team],TBA_Matches_All[[#This Row],[Team]],Dyno_Data[Match],TBA_Matches_All[[#This Row],[Match_Number]],Dyno_Data[RecordType],"EndMatch")</f>
        <v>21.8991404</v>
      </c>
      <c r="BZ50">
        <f>SUMIFS(Dyno_Data[NZTime], Dyno_Data[Team],TBA_Matches_All[[#This Row],[Team]],Dyno_Data[Match],TBA_Matches_All[[#This Row],[Match_Number]],Dyno_Data[RecordType],"EndMatch")</f>
        <v>16.434426800000001</v>
      </c>
      <c r="CA50">
        <f>SUMIFS(Dyno_Data[AZTime], Dyno_Data[Team],TBA_Matches_All[[#This Row],[Team]],Dyno_Data[Match],TBA_Matches_All[[#This Row],[Match_Number]],Dyno_Data[RecordType],"EndMatch")</f>
        <v>84.273124899999999</v>
      </c>
      <c r="CB50">
        <f>SUMIFS(Dyno_Data[ClimbT], Dyno_Data[Team],TBA_Matches_All[[#This Row],[Team]],Dyno_Data[Match],TBA_Matches_All[[#This Row],[Match_Number]],Dyno_Data[RecordType],"EndMatch")</f>
        <v>3.3584223</v>
      </c>
      <c r="CC50" t="str">
        <f>_xlfn.XLOOKUP(SUM(MID(TBA_Matches_All[[#This Row],[Team]],4,5),(TBA_Matches_All[[#This Row],[Match_Number]]/100)),Dyno_EndMatch[teammat],Dyno_EndMatch[StageStat],"_",0,1)</f>
        <v>On</v>
      </c>
      <c r="CD50" t="str">
        <f>_xlfn.XLOOKUP(TBA_Matches_All[[#This Row],[teammat]],Dyno_EndMatch[teammat],Dyno_EndMatch[StageAtt],"_",0,1)</f>
        <v>1</v>
      </c>
      <c r="CE50" t="str">
        <f>_xlfn.XLOOKUP(TBA_Matches_All[[#This Row],[teammat]],Dyno_EndMatch[teammat],Dyno_EndMatch[StageLoc],"_",0,1)</f>
        <v>L</v>
      </c>
      <c r="CF50">
        <f>SUMIFS(Dyno_Data[Harmony], Dyno_Data[Team],TBA_Matches_All[[#This Row],[Team]],Dyno_Data[Match],TBA_Matches_All[[#This Row],[Match_Number]],Dyno_Data[RecordType],"EndMatch", Dyno_Data[StageStat],"On",Dyno_Data[Harmony],"&lt;&gt;9")</f>
        <v>0</v>
      </c>
      <c r="CG50">
        <f>SUMIFS(Dyno_Data[Spotlit], Dyno_Data[Team],TBA_Matches_All[[#This Row],[Team]],Dyno_Data[Match],TBA_Matches_All[[#This Row],[Match_Number]],Dyno_Data[RecordType],"EndMatch", Dyno_Data[StageStat],"On",Dyno_Data[Spotlit],"&lt;&gt;9")</f>
        <v>0</v>
      </c>
      <c r="CH50" t="str">
        <f>_xlfn.XLOOKUP(TBA_Matches_All[[#This Row],[teammat]],Dyno_EndMatch[teammat],Dyno_EndMatch[Strategy],"_",0,1)</f>
        <v>Hybrid</v>
      </c>
      <c r="CI50">
        <f>SUMIFS(Dyno_Data[Defense], Dyno_Data[Team],TBA_Matches_All[[#This Row],[Team]],Dyno_Data[Match],TBA_Matches_All[[#This Row],[Match_Number]],Dyno_Data[RecordType],"EndMatch",Dyno_Data[Defense],"&lt;&gt;9")</f>
        <v>0</v>
      </c>
      <c r="CJ50">
        <f>SUMIFS(Dyno_Data[Avoidance], Dyno_Data[Team],TBA_Matches_All[[#This Row],[Team]],Dyno_Data[Match],TBA_Matches_All[[#This Row],[Match_Number]],Dyno_Data[RecordType],"EndMatch",Dyno_Data[Avoidance],"&lt;&gt;9")</f>
        <v>1</v>
      </c>
      <c r="CK50" s="82">
        <f>COUNTIF($H$2:TBA_Matches_All[[#This Row],[Team]],TBA_Matches_All[[#This Row],[Team]])</f>
        <v>1</v>
      </c>
      <c r="CL50" s="111">
        <f>SUM(MID(TBA_Matches_All[[#This Row],[Team]],4,5)+TBA_Matches_All[[#This Row],[Match_Number]]/100)</f>
        <v>1511.08</v>
      </c>
      <c r="CM50">
        <f>SUM((TBA_Matches_All[[#This Row],[Leave]]*2)+(TBA_Matches_All[[#This Row],[AampT]]*2)+(TBA_Matches_All[[#This Row],[AspkrT]]*5)+(TBA_Matches_All[[#This Row],[AtrapT]]*5))</f>
        <v>7</v>
      </c>
      <c r="CN50" s="59">
        <f>IFERROR(SUM(TBA_Matches_All[[#This Row],[AptsT]]/TBA_Matches_All[[#This Row],[AutoPts]]),0)</f>
        <v>0.33333333333333331</v>
      </c>
      <c r="CO50" s="59">
        <f>IFERROR(SUM(TBA_Matches_All[[#This Row],[AampT]]+TBA_Matches_All[[#This Row],[AspkrT]]+TBA_Matches_All[[#This Row],[AtrapT]]/TBA_Matches_All[[#This Row],[Aamp]]+TBA_Matches_All[[#This Row],[Aspkr]]+TBA_Matches_All[[#This Row],[AtrapT]]),0)</f>
        <v>0</v>
      </c>
      <c r="CP50" s="59">
        <f>IFERROR(SUM(TBA_Matches_All[[#This Row],[TampT]]/TBA_Matches_All[[#This Row],[Tamp]]),0)</f>
        <v>1</v>
      </c>
      <c r="CQ50" s="59">
        <f>IFERROR(SUM(TBA_Matches_All[[#This Row],[TspkrT]]/TBA_Matches_All[[#This Row],[Tspkr]]),0)</f>
        <v>0.22222222222222221</v>
      </c>
      <c r="CR50">
        <f>SUM(TBA_Matches_All[[#This Row],[TspkrPts]]*TBA_Matches_All[[#This Row],[TspkrP]])</f>
        <v>8</v>
      </c>
      <c r="CS50" s="59">
        <f>IFERROR(SUM(TBA_Matches_All[[#This Row],[TtrapT]]/TBA_Matches_All[[#This Row],[Trap]]),0)</f>
        <v>0</v>
      </c>
      <c r="CT50" s="59">
        <f>IFERROR(SUM(TBA_Matches_All[[#This Row],[TotNotesT]]/TBA_Matches_All[[#This Row],[TotNotes]]),0)</f>
        <v>0.52631578947368418</v>
      </c>
      <c r="CU50" s="66">
        <f>SUM((TBA_Matches_All[[#This Row],[AampT]]*2)+(TBA_Matches_All[[#This Row],[AspkrT]]*5)+(TBA_Matches_All[[#This Row],[AtrapT]]*5)+(TBA_Matches_All[[#This Row],[TampT]]*1)+(TBA_Matches_All[[#This Row],[TspkrptsC]]))</f>
        <v>20</v>
      </c>
      <c r="CV50" s="59">
        <f>IFERROR(TBA_Matches_All[[#This Row],[noteptsT]]/TBA_Matches_All[[#This Row],[NotePts]],0)</f>
        <v>0.34482758620689657</v>
      </c>
      <c r="CW50">
        <f>SUM(IF(TBA_Matches_All[[#This Row],[stageStat]]="On",3,0),IF(TBA_Matches_All[[#This Row],[stageStat]]="Park",1,0),SUMIFS(TBA_Matches_All[[#This Row],[Spotlit]],TBA_Matches_All[[#This Row],[stageStat]],"On"),SUMIFS(TBA_Matches_All[[#This Row],[Harmony]],TBA_Matches_All[[#This Row],[stageStat]],"On"))</f>
        <v>3</v>
      </c>
      <c r="CX50" s="59">
        <f>IFERROR(TBA_Matches_All[[#This Row],[stageptsT]]/TBA_Matches_All[[#This Row],[StagePts]],0)</f>
        <v>0.6</v>
      </c>
      <c r="CY50">
        <f>SUM((TBA_Matches_All[[#This Row],[AptsT]]+TBA_Matches_All[[#This Row],[TampT]]+TBA_Matches_All[[#This Row],[TspkrptsC]]+(TBA_Matches_All[[#This Row],[TtrapT]]*5)+TBA_Matches_All[[#This Row],[stageptsT]]))</f>
        <v>25</v>
      </c>
      <c r="CZ50" s="59">
        <f>IFERROR(SUM(TBA_Matches_All[[#This Row],[TotptsC]]/TBA_Matches_All[[#This Row],[Score]]),0)</f>
        <v>0.352112676056338</v>
      </c>
      <c r="DA5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9.7333333333333325</v>
      </c>
      <c r="DB50" s="74">
        <f>SUMIFS(TBA_Matches_All[AveTeamTNoteDels],TBA_Matches_All[Match_Number],TBA_Matches_All[[#This Row],[Match_Number]],TBA_Matches_All[Alliance],"&lt;&gt;"&amp;TBA_Matches_All[[#This Row],[Alliance]],TBA_Matches_All[Scouted],"&gt;0")</f>
        <v>36.565022477522483</v>
      </c>
      <c r="DC50" s="74">
        <f>(TBA_Matches_All[[#This Row],[TampT]]+TBA_Matches_All[[#This Row],[TspkrptsC]])-TBA_Matches_All[[#This Row],[AveTeamTNoteDels]]</f>
        <v>5.2666666666666675</v>
      </c>
      <c r="DD50" s="74">
        <f>SUMIFS(TBA_Matches_All[AveTeamTNoteDels],TBA_Matches_All[Match_Number],TBA_Matches_All[[#This Row],[Match_Number]],TBA_Matches_All[Alliance],"&lt;&gt;"&amp;TBA_Matches_All[[#This Row],[Alliance]])-TBA_Matches_All[[#This Row],[AveOppTNoteDels]]</f>
        <v>0</v>
      </c>
    </row>
    <row r="51" spans="1:108" x14ac:dyDescent="0.3">
      <c r="A51" t="s">
        <v>1042</v>
      </c>
      <c r="B51" t="s">
        <v>489</v>
      </c>
      <c r="C51" t="s">
        <v>1316</v>
      </c>
      <c r="D51">
        <v>9</v>
      </c>
      <c r="E51" t="s">
        <v>1420</v>
      </c>
      <c r="F51" t="s">
        <v>1421</v>
      </c>
      <c r="G51" t="s">
        <v>164</v>
      </c>
      <c r="H51" t="s">
        <v>1317</v>
      </c>
      <c r="I51" t="b">
        <v>0</v>
      </c>
      <c r="J51">
        <v>15</v>
      </c>
      <c r="K51">
        <v>0</v>
      </c>
      <c r="L51">
        <v>0</v>
      </c>
      <c r="M51">
        <v>0</v>
      </c>
      <c r="N51">
        <v>0</v>
      </c>
      <c r="O51">
        <v>1</v>
      </c>
      <c r="P51">
        <v>5</v>
      </c>
      <c r="Q51">
        <v>9</v>
      </c>
      <c r="R51">
        <v>0</v>
      </c>
      <c r="S51">
        <v>0</v>
      </c>
      <c r="T51">
        <v>2</v>
      </c>
      <c r="U51">
        <v>0</v>
      </c>
      <c r="V51">
        <v>4</v>
      </c>
      <c r="W51">
        <v>2</v>
      </c>
      <c r="X51">
        <v>4</v>
      </c>
      <c r="Y51">
        <v>4</v>
      </c>
      <c r="Z51">
        <v>0</v>
      </c>
      <c r="AA51">
        <v>0</v>
      </c>
      <c r="AB51">
        <v>3</v>
      </c>
      <c r="AC51">
        <v>9</v>
      </c>
      <c r="AD51">
        <v>2</v>
      </c>
      <c r="AE51">
        <f>IFERROR(6/(COUNTIF(Dyno_EndMatch[Match],TBA_Matches_All[[#This Row],[Match_Number]])),0)</f>
        <v>1</v>
      </c>
      <c r="AF51">
        <f>COUNTIFS(Dyno_Data[Team],TBA_Matches_All[[#This Row],[Team]],Dyno_Data[Match],TBA_Matches_All[[#This Row],[Match_Number]],Dyno_Data[RecordType],"EndMatch",Dyno_Data[HPAmp],"Y")</f>
        <v>0</v>
      </c>
      <c r="AG51">
        <f>SUMIFS(Dyno_Data[Mics], Dyno_Data[Team],TBA_Matches_All[[#This Row],[Team]],Dyno_Data[Match],TBA_Matches_All[[#This Row],[Match_Number]],Dyno_Data[RecordType],"EndMatch",Dyno_Data[HPAmp],"Y")</f>
        <v>0</v>
      </c>
      <c r="AH51">
        <f>SUMIFS(Dyno_Data[Leave], Dyno_Data[Team],TBA_Matches_All[[#This Row],[Team]],Dyno_Data[Match],TBA_Matches_All[[#This Row],[Match_Number]],Dyno_Data[RecordType],"EndAuto")</f>
        <v>1</v>
      </c>
      <c r="AI51">
        <f>COUNTIFS(Dyno_Data[Team],TBA_Matches_All[[#This Row],[Team]],Dyno_Data[Match],TBA_Matches_All[[#This Row],[Match_Number]],Dyno_Data[RecordType],"Activities",Dyno_Data[DelDest],"Amp", Dyno_Data[DelMiss],"0", Dyno_Data[Mode],"Auto")</f>
        <v>0</v>
      </c>
      <c r="AJ51">
        <f>COUNTIFS(Dyno_Data[Team],TBA_Matches_All[[#This Row],[Team]],Dyno_Data[Match],TBA_Matches_All[[#This Row],[Match_Number]],Dyno_Data[RecordType],"Activities",Dyno_Data[DelDest],"Spkr", Dyno_Data[DelMiss],"0", Dyno_Data[Mode],"Auto")</f>
        <v>1</v>
      </c>
      <c r="AK51">
        <f>COUNTIFS(Dyno_Data[Team],TBA_Matches_All[[#This Row],[Team]],Dyno_Data[Match],TBA_Matches_All[[#This Row],[Match_Number]],Dyno_Data[RecordType],"Activities",Dyno_Data[DelDest],"Trap", Dyno_Data[DelMiss],"0", Dyno_Data[Mode],"Auto")</f>
        <v>0</v>
      </c>
      <c r="AL51">
        <f>COUNTIFS(Dyno_Data[Team],TBA_Matches_All[[#This Row],[Team]],Dyno_Data[Match],TBA_Matches_All[[#This Row],[Match_Number]],Dyno_Data[RecordType],"Activities",Dyno_Data[DelDest],"Amp", Dyno_Data[DelMiss],"0", Dyno_Data[Mode],"Teleop")</f>
        <v>0</v>
      </c>
      <c r="AM51">
        <f>COUNTIFS(Dyno_Data[Team],TBA_Matches_All[[#This Row],[Team]],Dyno_Data[Match],TBA_Matches_All[[#This Row],[Match_Number]],Dyno_Data[RecordType],"Activities",Dyno_Data[DelDest],"Spkr", Dyno_Data[DelMiss],"0", Dyno_Data[Mode],"Teleop")</f>
        <v>2</v>
      </c>
      <c r="AN51">
        <f>COUNTIFS(Dyno_Data[Team],TBA_Matches_All[[#This Row],[Team]],Dyno_Data[Match],TBA_Matches_All[[#This Row],[Match_Number]],Dyno_Data[RecordType],"Activities",Dyno_Data[DelDest],"Trap", Dyno_Data[DelMiss],"0", Dyno_Data[Mode],"&lt;&gt;Auto")</f>
        <v>0</v>
      </c>
      <c r="AO51">
        <f>SUM(TBA_Matches_All[[#This Row],[AampT]]+TBA_Matches_All[[#This Row],[AspkrT]]+TBA_Matches_All[[#This Row],[AtrapT]]+TBA_Matches_All[[#This Row],[TampT]]+TBA_Matches_All[[#This Row],[TspkrT]]+TBA_Matches_All[[#This Row],[TtrapT]])</f>
        <v>3</v>
      </c>
      <c r="AP51">
        <f>COUNTIFS(Dyno_Data[Team],TBA_Matches_All[[#This Row],[Team]],Dyno_Data[Match],TBA_Matches_All[[#This Row],[Match_Number]],Dyno_Data[RecordType],"Activities",Dyno_Data[DelDest],"Neut", Dyno_Data[DelMiss],"0")</f>
        <v>0</v>
      </c>
      <c r="AQ51">
        <f>COUNTIFS(Dyno_Data[Team],TBA_Matches_All[[#This Row],[Team]],Dyno_Data[Match],TBA_Matches_All[[#This Row],[Match_Number]],Dyno_Data[RecordType],"Activities",Dyno_Data[DelDest],"AllyW", Dyno_Data[DelMiss],"0")</f>
        <v>0</v>
      </c>
      <c r="AR51" t="str">
        <f>_xlfn.XLOOKUP(SUM(MID(TBA_Matches_All[[#This Row],[Team]],4,5),(TBA_Matches_All[[#This Row],[Match_Number]]/100)),Dyno_EndMatch[teammat],Dyno_EndMatch[RobotSta],"_",0,1)</f>
        <v>SubW</v>
      </c>
      <c r="AS51">
        <f>SUMIFS(Dyno_Data[AcqDis], Dyno_Data[Team],TBA_Matches_All[[#This Row],[Team]],Dyno_Data[Match],TBA_Matches_All[[#This Row],[Match_Number]],Dyno_Data[RecordType],"Activities", Dyno_Data[AcqCenter],1,Dyno_Data[Mode],"Auto")</f>
        <v>0</v>
      </c>
      <c r="AT51">
        <f>SUMIFS(Dyno_Data[AcqDis], Dyno_Data[Team],TBA_Matches_All[[#This Row],[Team]],Dyno_Data[Match],TBA_Matches_All[[#This Row],[Match_Number]],Dyno_Data[RecordType],"Activities", Dyno_Data[AcqCenter],2,Dyno_Data[Mode],"Auto")</f>
        <v>0</v>
      </c>
      <c r="AU51">
        <f>SUMIFS(Dyno_Data[AcqDis], Dyno_Data[Team],TBA_Matches_All[[#This Row],[Team]],Dyno_Data[Match],TBA_Matches_All[[#This Row],[Match_Number]],Dyno_Data[RecordType],"Activities", Dyno_Data[AcqCenter],3,Dyno_Data[Mode],"Auto")</f>
        <v>0</v>
      </c>
      <c r="AV51">
        <f>SUMIFS(Dyno_Data[AcqDis], Dyno_Data[Team],TBA_Matches_All[[#This Row],[Team]],Dyno_Data[Match],TBA_Matches_All[[#This Row],[Match_Number]],Dyno_Data[RecordType],"Activities", Dyno_Data[AcqCenter],4,Dyno_Data[Mode],"Auto")</f>
        <v>0</v>
      </c>
      <c r="AW51">
        <f>SUMIFS(Dyno_Data[AcqDis], Dyno_Data[Team],TBA_Matches_All[[#This Row],[Team]],Dyno_Data[Match],TBA_Matches_All[[#This Row],[Match_Number]],Dyno_Data[RecordType],"Activities", Dyno_Data[AcqCenter],5,Dyno_Data[Mode],"Auto")</f>
        <v>0</v>
      </c>
      <c r="AX51">
        <f>SUMIFS(Dyno_Data[DelMiss], Dyno_Data[Team],TBA_Matches_All[[#This Row],[Team]],Dyno_Data[Match],TBA_Matches_All[[#This Row],[Match_Number]],Dyno_Data[RecordType],"Activities", Dyno_Data[DelDest],"Amp")</f>
        <v>0</v>
      </c>
      <c r="AY51" s="60">
        <f>IFERROR(SUM((TBA_Matches_All[[#This Row],[AampT]]+TBA_Matches_All[[#This Row],[TampT]])/(TBA_Matches_All[[#This Row],[AampT]]+TBA_Matches_All[[#This Row],[TampT]]+TBA_Matches_All[[#This Row],[ampM]])),0)</f>
        <v>0</v>
      </c>
      <c r="AZ51">
        <f>SUMIFS(Dyno_Data[DelMiss], Dyno_Data[Team],TBA_Matches_All[[#This Row],[Team]],Dyno_Data[Match],TBA_Matches_All[[#This Row],[Match_Number]],Dyno_Data[RecordType],"Activities", Dyno_Data[DelDest],"Spkr")</f>
        <v>0</v>
      </c>
      <c r="BA51" s="60">
        <f>IFERROR(SUM((TBA_Matches_All[[#This Row],[AspkrT]]+TBA_Matches_All[[#This Row],[TspkrT]])/(TBA_Matches_All[[#This Row],[AspkrT]]+TBA_Matches_All[[#This Row],[TspkrT]]+TBA_Matches_All[[#This Row],[spkrM]])),0)</f>
        <v>1</v>
      </c>
      <c r="BB51">
        <f>SUMIFS(Dyno_Data[DelMiss], Dyno_Data[Team],TBA_Matches_All[[#This Row],[Team]],Dyno_Data[Match],TBA_Matches_All[[#This Row],[Match_Number]],Dyno_Data[RecordType],"Activities", Dyno_Data[DelDest],"Trap")</f>
        <v>0</v>
      </c>
      <c r="BC51" s="60">
        <f>IFERROR((TBA_Matches_All[[#This Row],[AtrapT]]+TBA_Matches_All[[#This Row],[TtrapT]])/(TBA_Matches_All[[#This Row],[AtrapT]]+TBA_Matches_All[[#This Row],[TtrapT]]+TBA_Matches_All[[#This Row],[trapM]]),0)</f>
        <v>0</v>
      </c>
      <c r="BD51">
        <f>COUNTIFS(Dyno_Data[Team],TBA_Matches_All[[#This Row],[Team]],Dyno_Data[Match],TBA_Matches_All[[#This Row],[Match_Number]],Dyno_Data[RecordType],"Activities",Dyno_Data[DelDest],"Neut", Dyno_Data[DelMiss],1)</f>
        <v>0</v>
      </c>
      <c r="BE51" s="60">
        <f>IFERROR(SUM((TBA_Matches_All[[#This Row],[NeutFlrT]])/(TBA_Matches_All[[#This Row],[NeutFlrT]]+TBA_Matches_All[[#This Row],[NZflM]])),0)</f>
        <v>0</v>
      </c>
      <c r="BF51">
        <f>COUNTIFS(Dyno_Data[Team],TBA_Matches_All[[#This Row],[Team]],Dyno_Data[Match],TBA_Matches_All[[#This Row],[Match_Number]],Dyno_Data[RecordType],"Activities",Dyno_Data[DelDest],"AllyW", Dyno_Data[DelMiss],1)</f>
        <v>0</v>
      </c>
      <c r="BG51" s="60">
        <f>IFERROR(SUM((TBA_Matches_All[[#This Row],[AllyWFlrT]])/(TBA_Matches_All[[#This Row],[AllyWFlrT]]+TBA_Matches_All[[#This Row],[AZflM]])),0)</f>
        <v>0</v>
      </c>
      <c r="BH51">
        <f>COUNTIFS(Dyno_Data[Team],TBA_Matches_All[[#This Row],[Team]],Dyno_Data[Match],TBA_Matches_All[[#This Row],[Match_Number]],Dyno_Data[RecordType],"Activities",Dyno_Data[DelOrig],"OppW", Dyno_Data[DelMiss],"0")</f>
        <v>0</v>
      </c>
      <c r="BI51">
        <f>COUNTIFS(Dyno_Data[Team],TBA_Matches_All[[#This Row],[Team]],Dyno_Data[Match],TBA_Matches_All[[#This Row],[Match_Number]],Dyno_Data[RecordType],"Activities",Dyno_Data[DelOrig],"OppW", Dyno_Data[DelMiss],"1")</f>
        <v>0</v>
      </c>
      <c r="BJ51" s="60">
        <f>IFERROR(SUM((TBA_Matches_All[[#This Row],[OZflrT]])/(TBA_Matches_All[[#This Row],[OZflrT]]+TBA_Matches_All[[#This Row],[OZflrM]])),0)</f>
        <v>0</v>
      </c>
      <c r="BK51">
        <f>COUNTIFS(Dyno_Data[Team],TBA_Matches_All[[#This Row],[Team]],Dyno_Data[Match],TBA_Matches_All[[#This Row],[Match_Number]],Dyno_Data[RecordType],"Activities",Dyno_Data[DelOrig],"Neut", Dyno_Data[DelMiss],"0")</f>
        <v>0</v>
      </c>
      <c r="BL51">
        <f>COUNTIFS(Dyno_Data[Team],TBA_Matches_All[[#This Row],[Team]],Dyno_Data[Match],TBA_Matches_All[[#This Row],[Match_Number]],Dyno_Data[RecordType],"Activities",Dyno_Data[DelOrig],"Neut", Dyno_Data[DelMiss],"1")</f>
        <v>0</v>
      </c>
      <c r="BM51" s="60">
        <f>IFERROR(SUM((TBA_Matches_All[[#This Row],[NZflrT]])/(TBA_Matches_All[[#This Row],[NZflrT]]+TBA_Matches_All[[#This Row],[NZflrM]])),0)</f>
        <v>0</v>
      </c>
      <c r="BN51">
        <f>COUNTIFS(Dyno_Data[Team],TBA_Matches_All[[#This Row],[Team]],Dyno_Data[Match],TBA_Matches_All[[#This Row],[Match_Number]],Dyno_Data[RecordType],"Activities",Dyno_Data[DelOrig],"AllyW", Dyno_Data[DelMiss],"0")</f>
        <v>1</v>
      </c>
      <c r="BO51">
        <f>COUNTIFS(Dyno_Data[Team],TBA_Matches_All[[#This Row],[Team]],Dyno_Data[Match],TBA_Matches_All[[#This Row],[Match_Number]],Dyno_Data[RecordType],"Activities",Dyno_Data[DelOrig],"AllyW", Dyno_Data[DelMiss],"1")</f>
        <v>0</v>
      </c>
      <c r="BP51" s="60">
        <f>IFERROR(SUM((TBA_Matches_All[[#This Row],[AZflrT]])/(TBA_Matches_All[[#This Row],[AZflrT]]+TBA_Matches_All[[#This Row],[AZflrM]])),0)</f>
        <v>1</v>
      </c>
      <c r="BQ51">
        <f>COUNTIFS(Dyno_Data[Team],TBA_Matches_All[[#This Row],[Team]],Dyno_Data[Match],TBA_Matches_All[[#This Row],[Match_Number]],Dyno_Data[RecordType],"Activities",Dyno_Data[DelOrig],"SubW", Dyno_Data[DelMiss],"0")</f>
        <v>2</v>
      </c>
      <c r="BR51">
        <f>COUNTIFS(Dyno_Data[Team],TBA_Matches_All[[#This Row],[Team]],Dyno_Data[Match],TBA_Matches_All[[#This Row],[Match_Number]],Dyno_Data[RecordType],"Activities",Dyno_Data[DelOrig],"SubW", Dyno_Data[DelMiss],"1")</f>
        <v>0</v>
      </c>
      <c r="BS51" s="60">
        <f>IFERROR(SUM((TBA_Matches_All[[#This Row],[SubwT]])/(TBA_Matches_All[[#This Row],[SubwT]]+TBA_Matches_All[[#This Row],[SubwM]])),0)</f>
        <v>1</v>
      </c>
      <c r="BT51">
        <f>COUNTIFS(Dyno_Data[Team],TBA_Matches_All[[#This Row],[Team]],Dyno_Data[Match],TBA_Matches_All[[#This Row],[Match_Number]],Dyno_Data[RecordType],"Activities", Dyno_Data[AcqLoc],"OppWing")</f>
        <v>0</v>
      </c>
      <c r="BU51">
        <f>COUNTIFS(Dyno_Data[Team],TBA_Matches_All[[#This Row],[Team]],Dyno_Data[Match],TBA_Matches_All[[#This Row],[Match_Number]],Dyno_Data[RecordType],"Activities", Dyno_Data[AcqLoc],"Neutral")</f>
        <v>0</v>
      </c>
      <c r="BV51">
        <f>COUNTIFS(Dyno_Data[Team],TBA_Matches_All[[#This Row],[Team]],Dyno_Data[Match],TBA_Matches_All[[#This Row],[Match_Number]],Dyno_Data[RecordType],"Activities", Dyno_Data[AcqLoc],"AllyWing")</f>
        <v>0</v>
      </c>
      <c r="BW51">
        <f>COUNTIFS(Dyno_Data[Team],TBA_Matches_All[[#This Row],[Team]],Dyno_Data[Match],TBA_Matches_All[[#This Row],[Match_Number]],Dyno_Data[RecordType],"Activities", Dyno_Data[AcqLoc],"Source")</f>
        <v>0</v>
      </c>
      <c r="BX51">
        <f>SUMIFS(Dyno_Data[AcqDrp], Dyno_Data[Team],TBA_Matches_All[[#This Row],[Team]],Dyno_Data[Match],TBA_Matches_All[[#This Row],[Match_Number]],Dyno_Data[RecordType],"Activities", Dyno_Data[AcqLoc],"Source")</f>
        <v>0</v>
      </c>
      <c r="BY51">
        <f>SUMIFS(Dyno_Data[OZTime], Dyno_Data[Team],TBA_Matches_All[[#This Row],[Team]],Dyno_Data[Match],TBA_Matches_All[[#This Row],[Match_Number]],Dyno_Data[RecordType],"EndMatch")</f>
        <v>0</v>
      </c>
      <c r="BZ51">
        <f>SUMIFS(Dyno_Data[NZTime], Dyno_Data[Team],TBA_Matches_All[[#This Row],[Team]],Dyno_Data[Match],TBA_Matches_All[[#This Row],[Match_Number]],Dyno_Data[RecordType],"EndMatch")</f>
        <v>4.1845189999999999</v>
      </c>
      <c r="CA51">
        <f>SUMIFS(Dyno_Data[AZTime], Dyno_Data[Team],TBA_Matches_All[[#This Row],[Team]],Dyno_Data[Match],TBA_Matches_All[[#This Row],[Match_Number]],Dyno_Data[RecordType],"EndMatch")</f>
        <v>129.4323316</v>
      </c>
      <c r="CB51">
        <f>SUMIFS(Dyno_Data[ClimbT], Dyno_Data[Team],TBA_Matches_All[[#This Row],[Team]],Dyno_Data[Match],TBA_Matches_All[[#This Row],[Match_Number]],Dyno_Data[RecordType],"EndMatch")</f>
        <v>1.3266663999999999</v>
      </c>
      <c r="CC51" t="str">
        <f>_xlfn.XLOOKUP(SUM(MID(TBA_Matches_All[[#This Row],[Team]],4,5),(TBA_Matches_All[[#This Row],[Match_Number]]/100)),Dyno_EndMatch[teammat],Dyno_EndMatch[StageStat],"_",0,1)</f>
        <v>Park</v>
      </c>
      <c r="CD51" t="str">
        <f>_xlfn.XLOOKUP(TBA_Matches_All[[#This Row],[teammat]],Dyno_EndMatch[teammat],Dyno_EndMatch[StageAtt],"_",0,1)</f>
        <v>-1</v>
      </c>
      <c r="CE51" t="str">
        <f>_xlfn.XLOOKUP(TBA_Matches_All[[#This Row],[teammat]],Dyno_EndMatch[teammat],Dyno_EndMatch[StageLoc],"_",0,1)</f>
        <v>A</v>
      </c>
      <c r="CF51">
        <f>SUMIFS(Dyno_Data[Harmony], Dyno_Data[Team],TBA_Matches_All[[#This Row],[Team]],Dyno_Data[Match],TBA_Matches_All[[#This Row],[Match_Number]],Dyno_Data[RecordType],"EndMatch", Dyno_Data[StageStat],"On",Dyno_Data[Harmony],"&lt;&gt;9")</f>
        <v>0</v>
      </c>
      <c r="CG51">
        <f>SUMIFS(Dyno_Data[Spotlit], Dyno_Data[Team],TBA_Matches_All[[#This Row],[Team]],Dyno_Data[Match],TBA_Matches_All[[#This Row],[Match_Number]],Dyno_Data[RecordType],"EndMatch", Dyno_Data[StageStat],"On",Dyno_Data[Spotlit],"&lt;&gt;9")</f>
        <v>0</v>
      </c>
      <c r="CH51" t="str">
        <f>_xlfn.XLOOKUP(TBA_Matches_All[[#This Row],[teammat]],Dyno_EndMatch[teammat],Dyno_EndMatch[Strategy],"_",0,1)</f>
        <v>None</v>
      </c>
      <c r="CI51">
        <f>SUMIFS(Dyno_Data[Defense], Dyno_Data[Team],TBA_Matches_All[[#This Row],[Team]],Dyno_Data[Match],TBA_Matches_All[[#This Row],[Match_Number]],Dyno_Data[RecordType],"EndMatch",Dyno_Data[Defense],"&lt;&gt;9")</f>
        <v>0</v>
      </c>
      <c r="CJ51">
        <f>SUMIFS(Dyno_Data[Avoidance], Dyno_Data[Team],TBA_Matches_All[[#This Row],[Team]],Dyno_Data[Match],TBA_Matches_All[[#This Row],[Match_Number]],Dyno_Data[RecordType],"EndMatch",Dyno_Data[Avoidance],"&lt;&gt;9")</f>
        <v>3</v>
      </c>
      <c r="CK51" s="82">
        <f>COUNTIF($H$2:TBA_Matches_All[[#This Row],[Team]],TBA_Matches_All[[#This Row],[Team]])</f>
        <v>1</v>
      </c>
      <c r="CL51" s="111">
        <f>SUM(MID(TBA_Matches_All[[#This Row],[Team]],4,5)+TBA_Matches_All[[#This Row],[Match_Number]]/100)</f>
        <v>296.08999999999997</v>
      </c>
      <c r="CM51">
        <f>SUM((TBA_Matches_All[[#This Row],[Leave]]*2)+(TBA_Matches_All[[#This Row],[AampT]]*2)+(TBA_Matches_All[[#This Row],[AspkrT]]*5)+(TBA_Matches_All[[#This Row],[AtrapT]]*5))</f>
        <v>7</v>
      </c>
      <c r="CN51" s="59">
        <f>IFERROR(SUM(TBA_Matches_All[[#This Row],[AptsT]]/TBA_Matches_All[[#This Row],[AutoPts]]),0)</f>
        <v>0.77777777777777779</v>
      </c>
      <c r="CO51" s="59">
        <f>IFERROR(SUM(TBA_Matches_All[[#This Row],[AampT]]+TBA_Matches_All[[#This Row],[AspkrT]]+TBA_Matches_All[[#This Row],[AtrapT]]/TBA_Matches_All[[#This Row],[Aamp]]+TBA_Matches_All[[#This Row],[Aspkr]]+TBA_Matches_All[[#This Row],[AtrapT]]),0)</f>
        <v>0</v>
      </c>
      <c r="CP51" s="59">
        <f>IFERROR(SUM(TBA_Matches_All[[#This Row],[TampT]]/TBA_Matches_All[[#This Row],[Tamp]]),0)</f>
        <v>0</v>
      </c>
      <c r="CQ51" s="59">
        <f>IFERROR(SUM(TBA_Matches_All[[#This Row],[TspkrT]]/TBA_Matches_All[[#This Row],[Tspkr]]),0)</f>
        <v>1</v>
      </c>
      <c r="CR51">
        <f>SUM(TBA_Matches_All[[#This Row],[TspkrPts]]*TBA_Matches_All[[#This Row],[TspkrP]])</f>
        <v>4</v>
      </c>
      <c r="CS51" s="59">
        <f>IFERROR(SUM(TBA_Matches_All[[#This Row],[TtrapT]]/TBA_Matches_All[[#This Row],[Trap]]),0)</f>
        <v>0</v>
      </c>
      <c r="CT51" s="59">
        <f>IFERROR(SUM(TBA_Matches_All[[#This Row],[TotNotesT]]/TBA_Matches_All[[#This Row],[TotNotes]]),0)</f>
        <v>1</v>
      </c>
      <c r="CU51" s="66">
        <f>SUM((TBA_Matches_All[[#This Row],[AampT]]*2)+(TBA_Matches_All[[#This Row],[AspkrT]]*5)+(TBA_Matches_All[[#This Row],[AtrapT]]*5)+(TBA_Matches_All[[#This Row],[TampT]]*1)+(TBA_Matches_All[[#This Row],[TspkrptsC]]))</f>
        <v>9</v>
      </c>
      <c r="CV51" s="59">
        <f>IFERROR(TBA_Matches_All[[#This Row],[noteptsT]]/TBA_Matches_All[[#This Row],[NotePts]],0)</f>
        <v>1</v>
      </c>
      <c r="CW51">
        <f>SUM(IF(TBA_Matches_All[[#This Row],[stageStat]]="On",3,0),IF(TBA_Matches_All[[#This Row],[stageStat]]="Park",1,0),SUMIFS(TBA_Matches_All[[#This Row],[Spotlit]],TBA_Matches_All[[#This Row],[stageStat]],"On"),SUMIFS(TBA_Matches_All[[#This Row],[Harmony]],TBA_Matches_All[[#This Row],[stageStat]],"On"))</f>
        <v>1</v>
      </c>
      <c r="CX51" s="59">
        <f>IFERROR(TBA_Matches_All[[#This Row],[stageptsT]]/TBA_Matches_All[[#This Row],[StagePts]],0)</f>
        <v>0.5</v>
      </c>
      <c r="CY51">
        <f>SUM((TBA_Matches_All[[#This Row],[AptsT]]+TBA_Matches_All[[#This Row],[TampT]]+TBA_Matches_All[[#This Row],[TspkrptsC]]+(TBA_Matches_All[[#This Row],[TtrapT]]*5)+TBA_Matches_All[[#This Row],[stageptsT]]))</f>
        <v>12</v>
      </c>
      <c r="CZ51" s="59">
        <f>IFERROR(SUM(TBA_Matches_All[[#This Row],[TotptsC]]/TBA_Matches_All[[#This Row],[Score]]),0)</f>
        <v>0.8</v>
      </c>
      <c r="DA5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10.028571428571428</v>
      </c>
      <c r="DB51" s="74">
        <f>SUMIFS(TBA_Matches_All[AveTeamTNoteDels],TBA_Matches_All[Match_Number],TBA_Matches_All[[#This Row],[Match_Number]],TBA_Matches_All[Alliance],"&lt;&gt;"&amp;TBA_Matches_All[[#This Row],[Alliance]],TBA_Matches_All[Scouted],"&gt;0")</f>
        <v>21.987121212121213</v>
      </c>
      <c r="DC51" s="74">
        <f>(TBA_Matches_All[[#This Row],[TampT]]+TBA_Matches_All[[#This Row],[TspkrptsC]])-TBA_Matches_All[[#This Row],[AveTeamTNoteDels]]</f>
        <v>-6.0285714285714285</v>
      </c>
      <c r="DD51" s="74">
        <f>SUMIFS(TBA_Matches_All[AveTeamTNoteDels],TBA_Matches_All[Match_Number],TBA_Matches_All[[#This Row],[Match_Number]],TBA_Matches_All[Alliance],"&lt;&gt;"&amp;TBA_Matches_All[[#This Row],[Alliance]])-TBA_Matches_All[[#This Row],[AveOppTNoteDels]]</f>
        <v>0</v>
      </c>
    </row>
    <row r="52" spans="1:108" x14ac:dyDescent="0.3">
      <c r="A52" t="s">
        <v>1042</v>
      </c>
      <c r="B52" t="s">
        <v>489</v>
      </c>
      <c r="C52" t="s">
        <v>1316</v>
      </c>
      <c r="D52">
        <v>9</v>
      </c>
      <c r="E52" t="s">
        <v>1406</v>
      </c>
      <c r="F52" t="s">
        <v>1422</v>
      </c>
      <c r="G52" t="s">
        <v>105</v>
      </c>
      <c r="H52" t="s">
        <v>1288</v>
      </c>
      <c r="I52" t="b">
        <v>0</v>
      </c>
      <c r="J52">
        <v>36</v>
      </c>
      <c r="K52">
        <v>0</v>
      </c>
      <c r="L52">
        <v>0</v>
      </c>
      <c r="M52">
        <v>0</v>
      </c>
      <c r="N52">
        <v>0</v>
      </c>
      <c r="O52">
        <v>1</v>
      </c>
      <c r="P52">
        <v>5</v>
      </c>
      <c r="Q52">
        <v>11</v>
      </c>
      <c r="R52">
        <v>0</v>
      </c>
      <c r="S52">
        <v>0</v>
      </c>
      <c r="T52">
        <v>10</v>
      </c>
      <c r="U52">
        <v>0</v>
      </c>
      <c r="V52">
        <v>20</v>
      </c>
      <c r="W52">
        <v>10</v>
      </c>
      <c r="X52">
        <v>20</v>
      </c>
      <c r="Y52">
        <v>20</v>
      </c>
      <c r="Z52">
        <v>0</v>
      </c>
      <c r="AA52">
        <v>0</v>
      </c>
      <c r="AB52">
        <v>11</v>
      </c>
      <c r="AC52">
        <v>25</v>
      </c>
      <c r="AD52">
        <v>5</v>
      </c>
      <c r="AE52">
        <f>IFERROR(6/(COUNTIF(Dyno_EndMatch[Match],TBA_Matches_All[[#This Row],[Match_Number]])),0)</f>
        <v>1</v>
      </c>
      <c r="AF52">
        <f>COUNTIFS(Dyno_Data[Team],TBA_Matches_All[[#This Row],[Team]],Dyno_Data[Match],TBA_Matches_All[[#This Row],[Match_Number]],Dyno_Data[RecordType],"EndMatch",Dyno_Data[HPAmp],"Y")</f>
        <v>1</v>
      </c>
      <c r="AG52">
        <f>SUMIFS(Dyno_Data[Mics], Dyno_Data[Team],TBA_Matches_All[[#This Row],[Team]],Dyno_Data[Match],TBA_Matches_All[[#This Row],[Match_Number]],Dyno_Data[RecordType],"EndMatch",Dyno_Data[HPAmp],"Y")</f>
        <v>0</v>
      </c>
      <c r="AH52">
        <f>SUMIFS(Dyno_Data[Leave], Dyno_Data[Team],TBA_Matches_All[[#This Row],[Team]],Dyno_Data[Match],TBA_Matches_All[[#This Row],[Match_Number]],Dyno_Data[RecordType],"EndAuto")</f>
        <v>1</v>
      </c>
      <c r="AI52">
        <f>COUNTIFS(Dyno_Data[Team],TBA_Matches_All[[#This Row],[Team]],Dyno_Data[Match],TBA_Matches_All[[#This Row],[Match_Number]],Dyno_Data[RecordType],"Activities",Dyno_Data[DelDest],"Amp", Dyno_Data[DelMiss],"0", Dyno_Data[Mode],"Auto")</f>
        <v>0</v>
      </c>
      <c r="AJ52">
        <f>COUNTIFS(Dyno_Data[Team],TBA_Matches_All[[#This Row],[Team]],Dyno_Data[Match],TBA_Matches_All[[#This Row],[Match_Number]],Dyno_Data[RecordType],"Activities",Dyno_Data[DelDest],"Spkr", Dyno_Data[DelMiss],"0", Dyno_Data[Mode],"Auto")</f>
        <v>1</v>
      </c>
      <c r="AK52">
        <f>COUNTIFS(Dyno_Data[Team],TBA_Matches_All[[#This Row],[Team]],Dyno_Data[Match],TBA_Matches_All[[#This Row],[Match_Number]],Dyno_Data[RecordType],"Activities",Dyno_Data[DelDest],"Trap", Dyno_Data[DelMiss],"0", Dyno_Data[Mode],"Auto")</f>
        <v>0</v>
      </c>
      <c r="AL52">
        <f>COUNTIFS(Dyno_Data[Team],TBA_Matches_All[[#This Row],[Team]],Dyno_Data[Match],TBA_Matches_All[[#This Row],[Match_Number]],Dyno_Data[RecordType],"Activities",Dyno_Data[DelDest],"Amp", Dyno_Data[DelMiss],"0", Dyno_Data[Mode],"Teleop")</f>
        <v>0</v>
      </c>
      <c r="AM52">
        <f>COUNTIFS(Dyno_Data[Team],TBA_Matches_All[[#This Row],[Team]],Dyno_Data[Match],TBA_Matches_All[[#This Row],[Match_Number]],Dyno_Data[RecordType],"Activities",Dyno_Data[DelDest],"Spkr", Dyno_Data[DelMiss],"0", Dyno_Data[Mode],"Teleop")</f>
        <v>0</v>
      </c>
      <c r="AN52">
        <f>COUNTIFS(Dyno_Data[Team],TBA_Matches_All[[#This Row],[Team]],Dyno_Data[Match],TBA_Matches_All[[#This Row],[Match_Number]],Dyno_Data[RecordType],"Activities",Dyno_Data[DelDest],"Trap", Dyno_Data[DelMiss],"0", Dyno_Data[Mode],"&lt;&gt;Auto")</f>
        <v>0</v>
      </c>
      <c r="AO52">
        <f>SUM(TBA_Matches_All[[#This Row],[AampT]]+TBA_Matches_All[[#This Row],[AspkrT]]+TBA_Matches_All[[#This Row],[AtrapT]]+TBA_Matches_All[[#This Row],[TampT]]+TBA_Matches_All[[#This Row],[TspkrT]]+TBA_Matches_All[[#This Row],[TtrapT]])</f>
        <v>1</v>
      </c>
      <c r="AP52">
        <f>COUNTIFS(Dyno_Data[Team],TBA_Matches_All[[#This Row],[Team]],Dyno_Data[Match],TBA_Matches_All[[#This Row],[Match_Number]],Dyno_Data[RecordType],"Activities",Dyno_Data[DelDest],"Neut", Dyno_Data[DelMiss],"0")</f>
        <v>0</v>
      </c>
      <c r="AQ52">
        <f>COUNTIFS(Dyno_Data[Team],TBA_Matches_All[[#This Row],[Team]],Dyno_Data[Match],TBA_Matches_All[[#This Row],[Match_Number]],Dyno_Data[RecordType],"Activities",Dyno_Data[DelDest],"AllyW", Dyno_Data[DelMiss],"0")</f>
        <v>0</v>
      </c>
      <c r="AR52" t="str">
        <f>_xlfn.XLOOKUP(SUM(MID(TBA_Matches_All[[#This Row],[Team]],4,5),(TBA_Matches_All[[#This Row],[Match_Number]]/100)),Dyno_EndMatch[teammat],Dyno_EndMatch[RobotSta],"_",0,1)</f>
        <v>Podm</v>
      </c>
      <c r="AS52">
        <f>SUMIFS(Dyno_Data[AcqDis], Dyno_Data[Team],TBA_Matches_All[[#This Row],[Team]],Dyno_Data[Match],TBA_Matches_All[[#This Row],[Match_Number]],Dyno_Data[RecordType],"Activities", Dyno_Data[AcqCenter],1,Dyno_Data[Mode],"Auto")</f>
        <v>0</v>
      </c>
      <c r="AT52">
        <f>SUMIFS(Dyno_Data[AcqDis], Dyno_Data[Team],TBA_Matches_All[[#This Row],[Team]],Dyno_Data[Match],TBA_Matches_All[[#This Row],[Match_Number]],Dyno_Data[RecordType],"Activities", Dyno_Data[AcqCenter],2,Dyno_Data[Mode],"Auto")</f>
        <v>0</v>
      </c>
      <c r="AU52">
        <f>SUMIFS(Dyno_Data[AcqDis], Dyno_Data[Team],TBA_Matches_All[[#This Row],[Team]],Dyno_Data[Match],TBA_Matches_All[[#This Row],[Match_Number]],Dyno_Data[RecordType],"Activities", Dyno_Data[AcqCenter],3,Dyno_Data[Mode],"Auto")</f>
        <v>0</v>
      </c>
      <c r="AV52">
        <f>SUMIFS(Dyno_Data[AcqDis], Dyno_Data[Team],TBA_Matches_All[[#This Row],[Team]],Dyno_Data[Match],TBA_Matches_All[[#This Row],[Match_Number]],Dyno_Data[RecordType],"Activities", Dyno_Data[AcqCenter],4,Dyno_Data[Mode],"Auto")</f>
        <v>0</v>
      </c>
      <c r="AW52">
        <f>SUMIFS(Dyno_Data[AcqDis], Dyno_Data[Team],TBA_Matches_All[[#This Row],[Team]],Dyno_Data[Match],TBA_Matches_All[[#This Row],[Match_Number]],Dyno_Data[RecordType],"Activities", Dyno_Data[AcqCenter],5,Dyno_Data[Mode],"Auto")</f>
        <v>0</v>
      </c>
      <c r="AX52">
        <f>SUMIFS(Dyno_Data[DelMiss], Dyno_Data[Team],TBA_Matches_All[[#This Row],[Team]],Dyno_Data[Match],TBA_Matches_All[[#This Row],[Match_Number]],Dyno_Data[RecordType],"Activities", Dyno_Data[DelDest],"Amp")</f>
        <v>0</v>
      </c>
      <c r="AY52" s="60">
        <f>IFERROR(SUM((TBA_Matches_All[[#This Row],[AampT]]+TBA_Matches_All[[#This Row],[TampT]])/(TBA_Matches_All[[#This Row],[AampT]]+TBA_Matches_All[[#This Row],[TampT]]+TBA_Matches_All[[#This Row],[ampM]])),0)</f>
        <v>0</v>
      </c>
      <c r="AZ52">
        <f>SUMIFS(Dyno_Data[DelMiss], Dyno_Data[Team],TBA_Matches_All[[#This Row],[Team]],Dyno_Data[Match],TBA_Matches_All[[#This Row],[Match_Number]],Dyno_Data[RecordType],"Activities", Dyno_Data[DelDest],"Spkr")</f>
        <v>0</v>
      </c>
      <c r="BA52" s="60">
        <f>IFERROR(SUM((TBA_Matches_All[[#This Row],[AspkrT]]+TBA_Matches_All[[#This Row],[TspkrT]])/(TBA_Matches_All[[#This Row],[AspkrT]]+TBA_Matches_All[[#This Row],[TspkrT]]+TBA_Matches_All[[#This Row],[spkrM]])),0)</f>
        <v>1</v>
      </c>
      <c r="BB52">
        <f>SUMIFS(Dyno_Data[DelMiss], Dyno_Data[Team],TBA_Matches_All[[#This Row],[Team]],Dyno_Data[Match],TBA_Matches_All[[#This Row],[Match_Number]],Dyno_Data[RecordType],"Activities", Dyno_Data[DelDest],"Trap")</f>
        <v>0</v>
      </c>
      <c r="BC52" s="60">
        <f>IFERROR((TBA_Matches_All[[#This Row],[AtrapT]]+TBA_Matches_All[[#This Row],[TtrapT]])/(TBA_Matches_All[[#This Row],[AtrapT]]+TBA_Matches_All[[#This Row],[TtrapT]]+TBA_Matches_All[[#This Row],[trapM]]),0)</f>
        <v>0</v>
      </c>
      <c r="BD52">
        <f>COUNTIFS(Dyno_Data[Team],TBA_Matches_All[[#This Row],[Team]],Dyno_Data[Match],TBA_Matches_All[[#This Row],[Match_Number]],Dyno_Data[RecordType],"Activities",Dyno_Data[DelDest],"Neut", Dyno_Data[DelMiss],1)</f>
        <v>0</v>
      </c>
      <c r="BE52" s="60">
        <f>IFERROR(SUM((TBA_Matches_All[[#This Row],[NeutFlrT]])/(TBA_Matches_All[[#This Row],[NeutFlrT]]+TBA_Matches_All[[#This Row],[NZflM]])),0)</f>
        <v>0</v>
      </c>
      <c r="BF52">
        <f>COUNTIFS(Dyno_Data[Team],TBA_Matches_All[[#This Row],[Team]],Dyno_Data[Match],TBA_Matches_All[[#This Row],[Match_Number]],Dyno_Data[RecordType],"Activities",Dyno_Data[DelDest],"AllyW", Dyno_Data[DelMiss],1)</f>
        <v>0</v>
      </c>
      <c r="BG52" s="60">
        <f>IFERROR(SUM((TBA_Matches_All[[#This Row],[AllyWFlrT]])/(TBA_Matches_All[[#This Row],[AllyWFlrT]]+TBA_Matches_All[[#This Row],[AZflM]])),0)</f>
        <v>0</v>
      </c>
      <c r="BH52">
        <f>COUNTIFS(Dyno_Data[Team],TBA_Matches_All[[#This Row],[Team]],Dyno_Data[Match],TBA_Matches_All[[#This Row],[Match_Number]],Dyno_Data[RecordType],"Activities",Dyno_Data[DelOrig],"OppW", Dyno_Data[DelMiss],"0")</f>
        <v>0</v>
      </c>
      <c r="BI52">
        <f>COUNTIFS(Dyno_Data[Team],TBA_Matches_All[[#This Row],[Team]],Dyno_Data[Match],TBA_Matches_All[[#This Row],[Match_Number]],Dyno_Data[RecordType],"Activities",Dyno_Data[DelOrig],"OppW", Dyno_Data[DelMiss],"1")</f>
        <v>0</v>
      </c>
      <c r="BJ52" s="60">
        <f>IFERROR(SUM((TBA_Matches_All[[#This Row],[OZflrT]])/(TBA_Matches_All[[#This Row],[OZflrT]]+TBA_Matches_All[[#This Row],[OZflrM]])),0)</f>
        <v>0</v>
      </c>
      <c r="BK52">
        <f>COUNTIFS(Dyno_Data[Team],TBA_Matches_All[[#This Row],[Team]],Dyno_Data[Match],TBA_Matches_All[[#This Row],[Match_Number]],Dyno_Data[RecordType],"Activities",Dyno_Data[DelOrig],"Neut", Dyno_Data[DelMiss],"0")</f>
        <v>0</v>
      </c>
      <c r="BL52">
        <f>COUNTIFS(Dyno_Data[Team],TBA_Matches_All[[#This Row],[Team]],Dyno_Data[Match],TBA_Matches_All[[#This Row],[Match_Number]],Dyno_Data[RecordType],"Activities",Dyno_Data[DelOrig],"Neut", Dyno_Data[DelMiss],"1")</f>
        <v>0</v>
      </c>
      <c r="BM52" s="60">
        <f>IFERROR(SUM((TBA_Matches_All[[#This Row],[NZflrT]])/(TBA_Matches_All[[#This Row],[NZflrT]]+TBA_Matches_All[[#This Row],[NZflrM]])),0)</f>
        <v>0</v>
      </c>
      <c r="BN52">
        <f>COUNTIFS(Dyno_Data[Team],TBA_Matches_All[[#This Row],[Team]],Dyno_Data[Match],TBA_Matches_All[[#This Row],[Match_Number]],Dyno_Data[RecordType],"Activities",Dyno_Data[DelOrig],"AllyW", Dyno_Data[DelMiss],"0")</f>
        <v>0</v>
      </c>
      <c r="BO52">
        <f>COUNTIFS(Dyno_Data[Team],TBA_Matches_All[[#This Row],[Team]],Dyno_Data[Match],TBA_Matches_All[[#This Row],[Match_Number]],Dyno_Data[RecordType],"Activities",Dyno_Data[DelOrig],"AllyW", Dyno_Data[DelMiss],"1")</f>
        <v>0</v>
      </c>
      <c r="BP52" s="60">
        <f>IFERROR(SUM((TBA_Matches_All[[#This Row],[AZflrT]])/(TBA_Matches_All[[#This Row],[AZflrT]]+TBA_Matches_All[[#This Row],[AZflrM]])),0)</f>
        <v>0</v>
      </c>
      <c r="BQ52">
        <f>COUNTIFS(Dyno_Data[Team],TBA_Matches_All[[#This Row],[Team]],Dyno_Data[Match],TBA_Matches_All[[#This Row],[Match_Number]],Dyno_Data[RecordType],"Activities",Dyno_Data[DelOrig],"SubW", Dyno_Data[DelMiss],"0")</f>
        <v>1</v>
      </c>
      <c r="BR52">
        <f>COUNTIFS(Dyno_Data[Team],TBA_Matches_All[[#This Row],[Team]],Dyno_Data[Match],TBA_Matches_All[[#This Row],[Match_Number]],Dyno_Data[RecordType],"Activities",Dyno_Data[DelOrig],"SubW", Dyno_Data[DelMiss],"1")</f>
        <v>0</v>
      </c>
      <c r="BS52" s="60">
        <f>IFERROR(SUM((TBA_Matches_All[[#This Row],[SubwT]])/(TBA_Matches_All[[#This Row],[SubwT]]+TBA_Matches_All[[#This Row],[SubwM]])),0)</f>
        <v>1</v>
      </c>
      <c r="BT52">
        <f>COUNTIFS(Dyno_Data[Team],TBA_Matches_All[[#This Row],[Team]],Dyno_Data[Match],TBA_Matches_All[[#This Row],[Match_Number]],Dyno_Data[RecordType],"Activities", Dyno_Data[AcqLoc],"OppWing")</f>
        <v>0</v>
      </c>
      <c r="BU52">
        <f>COUNTIFS(Dyno_Data[Team],TBA_Matches_All[[#This Row],[Team]],Dyno_Data[Match],TBA_Matches_All[[#This Row],[Match_Number]],Dyno_Data[RecordType],"Activities", Dyno_Data[AcqLoc],"Neutral")</f>
        <v>0</v>
      </c>
      <c r="BV52">
        <f>COUNTIFS(Dyno_Data[Team],TBA_Matches_All[[#This Row],[Team]],Dyno_Data[Match],TBA_Matches_All[[#This Row],[Match_Number]],Dyno_Data[RecordType],"Activities", Dyno_Data[AcqLoc],"AllyWing")</f>
        <v>0</v>
      </c>
      <c r="BW52">
        <f>COUNTIFS(Dyno_Data[Team],TBA_Matches_All[[#This Row],[Team]],Dyno_Data[Match],TBA_Matches_All[[#This Row],[Match_Number]],Dyno_Data[RecordType],"Activities", Dyno_Data[AcqLoc],"Source")</f>
        <v>0</v>
      </c>
      <c r="BX52">
        <f>SUMIFS(Dyno_Data[AcqDrp], Dyno_Data[Team],TBA_Matches_All[[#This Row],[Team]],Dyno_Data[Match],TBA_Matches_All[[#This Row],[Match_Number]],Dyno_Data[RecordType],"Activities", Dyno_Data[AcqLoc],"Source")</f>
        <v>0</v>
      </c>
      <c r="BY52">
        <f>SUMIFS(Dyno_Data[OZTime], Dyno_Data[Team],TBA_Matches_All[[#This Row],[Team]],Dyno_Data[Match],TBA_Matches_All[[#This Row],[Match_Number]],Dyno_Data[RecordType],"EndMatch")</f>
        <v>25.430223299999998</v>
      </c>
      <c r="BZ52">
        <f>SUMIFS(Dyno_Data[NZTime], Dyno_Data[Team],TBA_Matches_All[[#This Row],[Team]],Dyno_Data[Match],TBA_Matches_All[[#This Row],[Match_Number]],Dyno_Data[RecordType],"EndMatch")</f>
        <v>74.950831800000003</v>
      </c>
      <c r="CA52">
        <f>SUMIFS(Dyno_Data[AZTime], Dyno_Data[Team],TBA_Matches_All[[#This Row],[Team]],Dyno_Data[Match],TBA_Matches_All[[#This Row],[Match_Number]],Dyno_Data[RecordType],"EndMatch")</f>
        <v>12.3791888</v>
      </c>
      <c r="CB52">
        <f>SUMIFS(Dyno_Data[ClimbT], Dyno_Data[Team],TBA_Matches_All[[#This Row],[Team]],Dyno_Data[Match],TBA_Matches_All[[#This Row],[Match_Number]],Dyno_Data[RecordType],"EndMatch")</f>
        <v>9.1987439000000002</v>
      </c>
      <c r="CC52" t="str">
        <f>_xlfn.XLOOKUP(SUM(MID(TBA_Matches_All[[#This Row],[Team]],4,5),(TBA_Matches_All[[#This Row],[Match_Number]]/100)),Dyno_EndMatch[teammat],Dyno_EndMatch[StageStat],"_",0,1)</f>
        <v>On</v>
      </c>
      <c r="CD52" t="str">
        <f>_xlfn.XLOOKUP(TBA_Matches_All[[#This Row],[teammat]],Dyno_EndMatch[teammat],Dyno_EndMatch[StageAtt],"_",0,1)</f>
        <v>1</v>
      </c>
      <c r="CE52" t="str">
        <f>_xlfn.XLOOKUP(TBA_Matches_All[[#This Row],[teammat]],Dyno_EndMatch[teammat],Dyno_EndMatch[StageLoc],"_",0,1)</f>
        <v>C</v>
      </c>
      <c r="CF52">
        <f>SUMIFS(Dyno_Data[Harmony], Dyno_Data[Team],TBA_Matches_All[[#This Row],[Team]],Dyno_Data[Match],TBA_Matches_All[[#This Row],[Match_Number]],Dyno_Data[RecordType],"EndMatch", Dyno_Data[StageStat],"On",Dyno_Data[Harmony],"&lt;&gt;9")</f>
        <v>0</v>
      </c>
      <c r="CG52">
        <f>SUMIFS(Dyno_Data[Spotlit], Dyno_Data[Team],TBA_Matches_All[[#This Row],[Team]],Dyno_Data[Match],TBA_Matches_All[[#This Row],[Match_Number]],Dyno_Data[RecordType],"EndMatch", Dyno_Data[StageStat],"On",Dyno_Data[Spotlit],"&lt;&gt;9")</f>
        <v>0</v>
      </c>
      <c r="CH52" t="str">
        <f>_xlfn.XLOOKUP(TBA_Matches_All[[#This Row],[teammat]],Dyno_EndMatch[teammat],Dyno_EndMatch[Strategy],"_",0,1)</f>
        <v>Defense</v>
      </c>
      <c r="CI52">
        <f>SUMIFS(Dyno_Data[Defense], Dyno_Data[Team],TBA_Matches_All[[#This Row],[Team]],Dyno_Data[Match],TBA_Matches_All[[#This Row],[Match_Number]],Dyno_Data[RecordType],"EndMatch",Dyno_Data[Defense],"&lt;&gt;9")</f>
        <v>2</v>
      </c>
      <c r="CJ52">
        <f>SUMIFS(Dyno_Data[Avoidance], Dyno_Data[Team],TBA_Matches_All[[#This Row],[Team]],Dyno_Data[Match],TBA_Matches_All[[#This Row],[Match_Number]],Dyno_Data[RecordType],"EndMatch",Dyno_Data[Avoidance],"&lt;&gt;9")</f>
        <v>0</v>
      </c>
      <c r="CK52" s="82">
        <f>COUNTIF($H$2:TBA_Matches_All[[#This Row],[Team]],TBA_Matches_All[[#This Row],[Team]])</f>
        <v>2</v>
      </c>
      <c r="CL52" s="111">
        <f>SUM(MID(TBA_Matches_All[[#This Row],[Team]],4,5)+TBA_Matches_All[[#This Row],[Match_Number]]/100)</f>
        <v>3181.09</v>
      </c>
      <c r="CM52">
        <f>SUM((TBA_Matches_All[[#This Row],[Leave]]*2)+(TBA_Matches_All[[#This Row],[AampT]]*2)+(TBA_Matches_All[[#This Row],[AspkrT]]*5)+(TBA_Matches_All[[#This Row],[AtrapT]]*5))</f>
        <v>7</v>
      </c>
      <c r="CN52" s="59">
        <f>IFERROR(SUM(TBA_Matches_All[[#This Row],[AptsT]]/TBA_Matches_All[[#This Row],[AutoPts]]),0)</f>
        <v>0.63636363636363635</v>
      </c>
      <c r="CO52" s="59">
        <f>IFERROR(SUM(TBA_Matches_All[[#This Row],[AampT]]+TBA_Matches_All[[#This Row],[AspkrT]]+TBA_Matches_All[[#This Row],[AtrapT]]/TBA_Matches_All[[#This Row],[Aamp]]+TBA_Matches_All[[#This Row],[Aspkr]]+TBA_Matches_All[[#This Row],[AtrapT]]),0)</f>
        <v>0</v>
      </c>
      <c r="CP52" s="59">
        <f>IFERROR(SUM(TBA_Matches_All[[#This Row],[TampT]]/TBA_Matches_All[[#This Row],[Tamp]]),0)</f>
        <v>0</v>
      </c>
      <c r="CQ52" s="59">
        <f>IFERROR(SUM(TBA_Matches_All[[#This Row],[TspkrT]]/TBA_Matches_All[[#This Row],[Tspkr]]),0)</f>
        <v>0</v>
      </c>
      <c r="CR52">
        <f>SUM(TBA_Matches_All[[#This Row],[TspkrPts]]*TBA_Matches_All[[#This Row],[TspkrP]])</f>
        <v>0</v>
      </c>
      <c r="CS52" s="59">
        <f>IFERROR(SUM(TBA_Matches_All[[#This Row],[TtrapT]]/TBA_Matches_All[[#This Row],[Trap]]),0)</f>
        <v>0</v>
      </c>
      <c r="CT52" s="59">
        <f>IFERROR(SUM(TBA_Matches_All[[#This Row],[TotNotesT]]/TBA_Matches_All[[#This Row],[TotNotes]]),0)</f>
        <v>9.0909090909090912E-2</v>
      </c>
      <c r="CU52" s="66">
        <f>SUM((TBA_Matches_All[[#This Row],[AampT]]*2)+(TBA_Matches_All[[#This Row],[AspkrT]]*5)+(TBA_Matches_All[[#This Row],[AtrapT]]*5)+(TBA_Matches_All[[#This Row],[TampT]]*1)+(TBA_Matches_All[[#This Row],[TspkrptsC]]))</f>
        <v>5</v>
      </c>
      <c r="CV52" s="59">
        <f>IFERROR(TBA_Matches_All[[#This Row],[noteptsT]]/TBA_Matches_All[[#This Row],[NotePts]],0)</f>
        <v>0.2</v>
      </c>
      <c r="CW52">
        <f>SUM(IF(TBA_Matches_All[[#This Row],[stageStat]]="On",3,0),IF(TBA_Matches_All[[#This Row],[stageStat]]="Park",1,0),SUMIFS(TBA_Matches_All[[#This Row],[Spotlit]],TBA_Matches_All[[#This Row],[stageStat]],"On"),SUMIFS(TBA_Matches_All[[#This Row],[Harmony]],TBA_Matches_All[[#This Row],[stageStat]],"On"))</f>
        <v>3</v>
      </c>
      <c r="CX52" s="59">
        <f>IFERROR(TBA_Matches_All[[#This Row],[stageptsT]]/TBA_Matches_All[[#This Row],[StagePts]],0)</f>
        <v>0.6</v>
      </c>
      <c r="CY52">
        <f>SUM((TBA_Matches_All[[#This Row],[AptsT]]+TBA_Matches_All[[#This Row],[TampT]]+TBA_Matches_All[[#This Row],[TspkrptsC]]+(TBA_Matches_All[[#This Row],[TtrapT]]*5)+TBA_Matches_All[[#This Row],[stageptsT]]))</f>
        <v>10</v>
      </c>
      <c r="CZ52" s="59">
        <f>IFERROR(SUM(TBA_Matches_All[[#This Row],[TotptsC]]/TBA_Matches_All[[#This Row],[Score]]),0)</f>
        <v>0.27777777777777779</v>
      </c>
      <c r="DA5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9.5871212121212128</v>
      </c>
      <c r="DB52" s="74">
        <f>SUMIFS(TBA_Matches_All[AveTeamTNoteDels],TBA_Matches_All[Match_Number],TBA_Matches_All[[#This Row],[Match_Number]],TBA_Matches_All[Alliance],"&lt;&gt;"&amp;TBA_Matches_All[[#This Row],[Alliance]],TBA_Matches_All[Scouted],"&gt;0")</f>
        <v>16.168431568431568</v>
      </c>
      <c r="DC52" s="74">
        <f>(TBA_Matches_All[[#This Row],[TampT]]+TBA_Matches_All[[#This Row],[TspkrptsC]])-TBA_Matches_All[[#This Row],[AveTeamTNoteDels]]</f>
        <v>-9.5871212121212128</v>
      </c>
      <c r="DD52" s="74">
        <f>SUMIFS(TBA_Matches_All[AveTeamTNoteDels],TBA_Matches_All[Match_Number],TBA_Matches_All[[#This Row],[Match_Number]],TBA_Matches_All[Alliance],"&lt;&gt;"&amp;TBA_Matches_All[[#This Row],[Alliance]])-TBA_Matches_All[[#This Row],[AveOppTNoteDels]]</f>
        <v>0</v>
      </c>
    </row>
    <row r="53" spans="1:108" x14ac:dyDescent="0.3">
      <c r="A53" t="s">
        <v>1042</v>
      </c>
      <c r="B53" t="s">
        <v>489</v>
      </c>
      <c r="C53" t="s">
        <v>1316</v>
      </c>
      <c r="D53">
        <v>9</v>
      </c>
      <c r="E53" t="s">
        <v>1420</v>
      </c>
      <c r="F53" t="s">
        <v>1423</v>
      </c>
      <c r="G53" t="s">
        <v>1409</v>
      </c>
      <c r="H53" t="s">
        <v>1276</v>
      </c>
      <c r="I53" t="b">
        <v>0</v>
      </c>
      <c r="J53">
        <v>15</v>
      </c>
      <c r="K53">
        <v>0</v>
      </c>
      <c r="L53">
        <v>0</v>
      </c>
      <c r="M53">
        <v>0</v>
      </c>
      <c r="N53">
        <v>0</v>
      </c>
      <c r="O53">
        <v>1</v>
      </c>
      <c r="P53">
        <v>5</v>
      </c>
      <c r="Q53">
        <v>9</v>
      </c>
      <c r="R53">
        <v>0</v>
      </c>
      <c r="S53">
        <v>0</v>
      </c>
      <c r="T53">
        <v>2</v>
      </c>
      <c r="U53">
        <v>0</v>
      </c>
      <c r="V53">
        <v>4</v>
      </c>
      <c r="W53">
        <v>2</v>
      </c>
      <c r="X53">
        <v>4</v>
      </c>
      <c r="Y53">
        <v>4</v>
      </c>
      <c r="Z53">
        <v>0</v>
      </c>
      <c r="AA53">
        <v>0</v>
      </c>
      <c r="AB53">
        <v>3</v>
      </c>
      <c r="AC53">
        <v>9</v>
      </c>
      <c r="AD53">
        <v>2</v>
      </c>
      <c r="AE53">
        <f>IFERROR(6/(COUNTIF(Dyno_EndMatch[Match],TBA_Matches_All[[#This Row],[Match_Number]])),0)</f>
        <v>1</v>
      </c>
      <c r="AF53">
        <f>COUNTIFS(Dyno_Data[Team],TBA_Matches_All[[#This Row],[Team]],Dyno_Data[Match],TBA_Matches_All[[#This Row],[Match_Number]],Dyno_Data[RecordType],"EndMatch",Dyno_Data[HPAmp],"Y")</f>
        <v>0</v>
      </c>
      <c r="AG53">
        <f>SUMIFS(Dyno_Data[Mics], Dyno_Data[Team],TBA_Matches_All[[#This Row],[Team]],Dyno_Data[Match],TBA_Matches_All[[#This Row],[Match_Number]],Dyno_Data[RecordType],"EndMatch",Dyno_Data[HPAmp],"Y")</f>
        <v>0</v>
      </c>
      <c r="AH53">
        <f>SUMIFS(Dyno_Data[Leave], Dyno_Data[Team],TBA_Matches_All[[#This Row],[Team]],Dyno_Data[Match],TBA_Matches_All[[#This Row],[Match_Number]],Dyno_Data[RecordType],"EndAuto")</f>
        <v>1</v>
      </c>
      <c r="AI53">
        <f>COUNTIFS(Dyno_Data[Team],TBA_Matches_All[[#This Row],[Team]],Dyno_Data[Match],TBA_Matches_All[[#This Row],[Match_Number]],Dyno_Data[RecordType],"Activities",Dyno_Data[DelDest],"Amp", Dyno_Data[DelMiss],"0", Dyno_Data[Mode],"Auto")</f>
        <v>0</v>
      </c>
      <c r="AJ53">
        <f>COUNTIFS(Dyno_Data[Team],TBA_Matches_All[[#This Row],[Team]],Dyno_Data[Match],TBA_Matches_All[[#This Row],[Match_Number]],Dyno_Data[RecordType],"Activities",Dyno_Data[DelDest],"Spkr", Dyno_Data[DelMiss],"0", Dyno_Data[Mode],"Auto")</f>
        <v>0</v>
      </c>
      <c r="AK53">
        <f>COUNTIFS(Dyno_Data[Team],TBA_Matches_All[[#This Row],[Team]],Dyno_Data[Match],TBA_Matches_All[[#This Row],[Match_Number]],Dyno_Data[RecordType],"Activities",Dyno_Data[DelDest],"Trap", Dyno_Data[DelMiss],"0", Dyno_Data[Mode],"Auto")</f>
        <v>0</v>
      </c>
      <c r="AL53">
        <f>COUNTIFS(Dyno_Data[Team],TBA_Matches_All[[#This Row],[Team]],Dyno_Data[Match],TBA_Matches_All[[#This Row],[Match_Number]],Dyno_Data[RecordType],"Activities",Dyno_Data[DelDest],"Amp", Dyno_Data[DelMiss],"0", Dyno_Data[Mode],"Teleop")</f>
        <v>0</v>
      </c>
      <c r="AM53">
        <f>COUNTIFS(Dyno_Data[Team],TBA_Matches_All[[#This Row],[Team]],Dyno_Data[Match],TBA_Matches_All[[#This Row],[Match_Number]],Dyno_Data[RecordType],"Activities",Dyno_Data[DelDest],"Spkr", Dyno_Data[DelMiss],"0", Dyno_Data[Mode],"Teleop")</f>
        <v>0</v>
      </c>
      <c r="AN53">
        <f>COUNTIFS(Dyno_Data[Team],TBA_Matches_All[[#This Row],[Team]],Dyno_Data[Match],TBA_Matches_All[[#This Row],[Match_Number]],Dyno_Data[RecordType],"Activities",Dyno_Data[DelDest],"Trap", Dyno_Data[DelMiss],"0", Dyno_Data[Mode],"&lt;&gt;Auto")</f>
        <v>0</v>
      </c>
      <c r="AO53">
        <f>SUM(TBA_Matches_All[[#This Row],[AampT]]+TBA_Matches_All[[#This Row],[AspkrT]]+TBA_Matches_All[[#This Row],[AtrapT]]+TBA_Matches_All[[#This Row],[TampT]]+TBA_Matches_All[[#This Row],[TspkrT]]+TBA_Matches_All[[#This Row],[TtrapT]])</f>
        <v>0</v>
      </c>
      <c r="AP53">
        <f>COUNTIFS(Dyno_Data[Team],TBA_Matches_All[[#This Row],[Team]],Dyno_Data[Match],TBA_Matches_All[[#This Row],[Match_Number]],Dyno_Data[RecordType],"Activities",Dyno_Data[DelDest],"Neut", Dyno_Data[DelMiss],"0")</f>
        <v>0</v>
      </c>
      <c r="AQ53">
        <f>COUNTIFS(Dyno_Data[Team],TBA_Matches_All[[#This Row],[Team]],Dyno_Data[Match],TBA_Matches_All[[#This Row],[Match_Number]],Dyno_Data[RecordType],"Activities",Dyno_Data[DelDest],"AllyW", Dyno_Data[DelMiss],"0")</f>
        <v>0</v>
      </c>
      <c r="AR53" t="str">
        <f>_xlfn.XLOOKUP(SUM(MID(TBA_Matches_All[[#This Row],[Team]],4,5),(TBA_Matches_All[[#This Row],[Match_Number]]/100)),Dyno_EndMatch[teammat],Dyno_EndMatch[RobotSta],"_",0,1)</f>
        <v>OppS</v>
      </c>
      <c r="AS53">
        <f>SUMIFS(Dyno_Data[AcqDis], Dyno_Data[Team],TBA_Matches_All[[#This Row],[Team]],Dyno_Data[Match],TBA_Matches_All[[#This Row],[Match_Number]],Dyno_Data[RecordType],"Activities", Dyno_Data[AcqCenter],1,Dyno_Data[Mode],"Auto")</f>
        <v>0</v>
      </c>
      <c r="AT53">
        <f>SUMIFS(Dyno_Data[AcqDis], Dyno_Data[Team],TBA_Matches_All[[#This Row],[Team]],Dyno_Data[Match],TBA_Matches_All[[#This Row],[Match_Number]],Dyno_Data[RecordType],"Activities", Dyno_Data[AcqCenter],2,Dyno_Data[Mode],"Auto")</f>
        <v>0</v>
      </c>
      <c r="AU53">
        <f>SUMIFS(Dyno_Data[AcqDis], Dyno_Data[Team],TBA_Matches_All[[#This Row],[Team]],Dyno_Data[Match],TBA_Matches_All[[#This Row],[Match_Number]],Dyno_Data[RecordType],"Activities", Dyno_Data[AcqCenter],3,Dyno_Data[Mode],"Auto")</f>
        <v>0</v>
      </c>
      <c r="AV53">
        <f>SUMIFS(Dyno_Data[AcqDis], Dyno_Data[Team],TBA_Matches_All[[#This Row],[Team]],Dyno_Data[Match],TBA_Matches_All[[#This Row],[Match_Number]],Dyno_Data[RecordType],"Activities", Dyno_Data[AcqCenter],4,Dyno_Data[Mode],"Auto")</f>
        <v>0</v>
      </c>
      <c r="AW53">
        <f>SUMIFS(Dyno_Data[AcqDis], Dyno_Data[Team],TBA_Matches_All[[#This Row],[Team]],Dyno_Data[Match],TBA_Matches_All[[#This Row],[Match_Number]],Dyno_Data[RecordType],"Activities", Dyno_Data[AcqCenter],5,Dyno_Data[Mode],"Auto")</f>
        <v>0</v>
      </c>
      <c r="AX53">
        <f>SUMIFS(Dyno_Data[DelMiss], Dyno_Data[Team],TBA_Matches_All[[#This Row],[Team]],Dyno_Data[Match],TBA_Matches_All[[#This Row],[Match_Number]],Dyno_Data[RecordType],"Activities", Dyno_Data[DelDest],"Amp")</f>
        <v>0</v>
      </c>
      <c r="AY53" s="60">
        <f>IFERROR(SUM((TBA_Matches_All[[#This Row],[AampT]]+TBA_Matches_All[[#This Row],[TampT]])/(TBA_Matches_All[[#This Row],[AampT]]+TBA_Matches_All[[#This Row],[TampT]]+TBA_Matches_All[[#This Row],[ampM]])),0)</f>
        <v>0</v>
      </c>
      <c r="AZ53">
        <f>SUMIFS(Dyno_Data[DelMiss], Dyno_Data[Team],TBA_Matches_All[[#This Row],[Team]],Dyno_Data[Match],TBA_Matches_All[[#This Row],[Match_Number]],Dyno_Data[RecordType],"Activities", Dyno_Data[DelDest],"Spkr")</f>
        <v>0</v>
      </c>
      <c r="BA53" s="60">
        <f>IFERROR(SUM((TBA_Matches_All[[#This Row],[AspkrT]]+TBA_Matches_All[[#This Row],[TspkrT]])/(TBA_Matches_All[[#This Row],[AspkrT]]+TBA_Matches_All[[#This Row],[TspkrT]]+TBA_Matches_All[[#This Row],[spkrM]])),0)</f>
        <v>0</v>
      </c>
      <c r="BB53">
        <f>SUMIFS(Dyno_Data[DelMiss], Dyno_Data[Team],TBA_Matches_All[[#This Row],[Team]],Dyno_Data[Match],TBA_Matches_All[[#This Row],[Match_Number]],Dyno_Data[RecordType],"Activities", Dyno_Data[DelDest],"Trap")</f>
        <v>0</v>
      </c>
      <c r="BC53" s="60">
        <f>IFERROR((TBA_Matches_All[[#This Row],[AtrapT]]+TBA_Matches_All[[#This Row],[TtrapT]])/(TBA_Matches_All[[#This Row],[AtrapT]]+TBA_Matches_All[[#This Row],[TtrapT]]+TBA_Matches_All[[#This Row],[trapM]]),0)</f>
        <v>0</v>
      </c>
      <c r="BD53">
        <f>COUNTIFS(Dyno_Data[Team],TBA_Matches_All[[#This Row],[Team]],Dyno_Data[Match],TBA_Matches_All[[#This Row],[Match_Number]],Dyno_Data[RecordType],"Activities",Dyno_Data[DelDest],"Neut", Dyno_Data[DelMiss],1)</f>
        <v>0</v>
      </c>
      <c r="BE53" s="60">
        <f>IFERROR(SUM((TBA_Matches_All[[#This Row],[NeutFlrT]])/(TBA_Matches_All[[#This Row],[NeutFlrT]]+TBA_Matches_All[[#This Row],[NZflM]])),0)</f>
        <v>0</v>
      </c>
      <c r="BF53">
        <f>COUNTIFS(Dyno_Data[Team],TBA_Matches_All[[#This Row],[Team]],Dyno_Data[Match],TBA_Matches_All[[#This Row],[Match_Number]],Dyno_Data[RecordType],"Activities",Dyno_Data[DelDest],"AllyW", Dyno_Data[DelMiss],1)</f>
        <v>0</v>
      </c>
      <c r="BG53" s="60">
        <f>IFERROR(SUM((TBA_Matches_All[[#This Row],[AllyWFlrT]])/(TBA_Matches_All[[#This Row],[AllyWFlrT]]+TBA_Matches_All[[#This Row],[AZflM]])),0)</f>
        <v>0</v>
      </c>
      <c r="BH53">
        <f>COUNTIFS(Dyno_Data[Team],TBA_Matches_All[[#This Row],[Team]],Dyno_Data[Match],TBA_Matches_All[[#This Row],[Match_Number]],Dyno_Data[RecordType],"Activities",Dyno_Data[DelOrig],"OppW", Dyno_Data[DelMiss],"0")</f>
        <v>0</v>
      </c>
      <c r="BI53">
        <f>COUNTIFS(Dyno_Data[Team],TBA_Matches_All[[#This Row],[Team]],Dyno_Data[Match],TBA_Matches_All[[#This Row],[Match_Number]],Dyno_Data[RecordType],"Activities",Dyno_Data[DelOrig],"OppW", Dyno_Data[DelMiss],"1")</f>
        <v>0</v>
      </c>
      <c r="BJ53" s="60">
        <f>IFERROR(SUM((TBA_Matches_All[[#This Row],[OZflrT]])/(TBA_Matches_All[[#This Row],[OZflrT]]+TBA_Matches_All[[#This Row],[OZflrM]])),0)</f>
        <v>0</v>
      </c>
      <c r="BK53">
        <f>COUNTIFS(Dyno_Data[Team],TBA_Matches_All[[#This Row],[Team]],Dyno_Data[Match],TBA_Matches_All[[#This Row],[Match_Number]],Dyno_Data[RecordType],"Activities",Dyno_Data[DelOrig],"Neut", Dyno_Data[DelMiss],"0")</f>
        <v>0</v>
      </c>
      <c r="BL53">
        <f>COUNTIFS(Dyno_Data[Team],TBA_Matches_All[[#This Row],[Team]],Dyno_Data[Match],TBA_Matches_All[[#This Row],[Match_Number]],Dyno_Data[RecordType],"Activities",Dyno_Data[DelOrig],"Neut", Dyno_Data[DelMiss],"1")</f>
        <v>0</v>
      </c>
      <c r="BM53" s="60">
        <f>IFERROR(SUM((TBA_Matches_All[[#This Row],[NZflrT]])/(TBA_Matches_All[[#This Row],[NZflrT]]+TBA_Matches_All[[#This Row],[NZflrM]])),0)</f>
        <v>0</v>
      </c>
      <c r="BN53">
        <f>COUNTIFS(Dyno_Data[Team],TBA_Matches_All[[#This Row],[Team]],Dyno_Data[Match],TBA_Matches_All[[#This Row],[Match_Number]],Dyno_Data[RecordType],"Activities",Dyno_Data[DelOrig],"AllyW", Dyno_Data[DelMiss],"0")</f>
        <v>0</v>
      </c>
      <c r="BO53">
        <f>COUNTIFS(Dyno_Data[Team],TBA_Matches_All[[#This Row],[Team]],Dyno_Data[Match],TBA_Matches_All[[#This Row],[Match_Number]],Dyno_Data[RecordType],"Activities",Dyno_Data[DelOrig],"AllyW", Dyno_Data[DelMiss],"1")</f>
        <v>0</v>
      </c>
      <c r="BP53" s="60">
        <f>IFERROR(SUM((TBA_Matches_All[[#This Row],[AZflrT]])/(TBA_Matches_All[[#This Row],[AZflrT]]+TBA_Matches_All[[#This Row],[AZflrM]])),0)</f>
        <v>0</v>
      </c>
      <c r="BQ53">
        <f>COUNTIFS(Dyno_Data[Team],TBA_Matches_All[[#This Row],[Team]],Dyno_Data[Match],TBA_Matches_All[[#This Row],[Match_Number]],Dyno_Data[RecordType],"Activities",Dyno_Data[DelOrig],"SubW", Dyno_Data[DelMiss],"0")</f>
        <v>0</v>
      </c>
      <c r="BR53">
        <f>COUNTIFS(Dyno_Data[Team],TBA_Matches_All[[#This Row],[Team]],Dyno_Data[Match],TBA_Matches_All[[#This Row],[Match_Number]],Dyno_Data[RecordType],"Activities",Dyno_Data[DelOrig],"SubW", Dyno_Data[DelMiss],"1")</f>
        <v>0</v>
      </c>
      <c r="BS53" s="60">
        <f>IFERROR(SUM((TBA_Matches_All[[#This Row],[SubwT]])/(TBA_Matches_All[[#This Row],[SubwT]]+TBA_Matches_All[[#This Row],[SubwM]])),0)</f>
        <v>0</v>
      </c>
      <c r="BT53">
        <f>COUNTIFS(Dyno_Data[Team],TBA_Matches_All[[#This Row],[Team]],Dyno_Data[Match],TBA_Matches_All[[#This Row],[Match_Number]],Dyno_Data[RecordType],"Activities", Dyno_Data[AcqLoc],"OppWing")</f>
        <v>0</v>
      </c>
      <c r="BU53">
        <f>COUNTIFS(Dyno_Data[Team],TBA_Matches_All[[#This Row],[Team]],Dyno_Data[Match],TBA_Matches_All[[#This Row],[Match_Number]],Dyno_Data[RecordType],"Activities", Dyno_Data[AcqLoc],"Neutral")</f>
        <v>0</v>
      </c>
      <c r="BV53">
        <f>COUNTIFS(Dyno_Data[Team],TBA_Matches_All[[#This Row],[Team]],Dyno_Data[Match],TBA_Matches_All[[#This Row],[Match_Number]],Dyno_Data[RecordType],"Activities", Dyno_Data[AcqLoc],"AllyWing")</f>
        <v>0</v>
      </c>
      <c r="BW53">
        <f>COUNTIFS(Dyno_Data[Team],TBA_Matches_All[[#This Row],[Team]],Dyno_Data[Match],TBA_Matches_All[[#This Row],[Match_Number]],Dyno_Data[RecordType],"Activities", Dyno_Data[AcqLoc],"Source")</f>
        <v>0</v>
      </c>
      <c r="BX53">
        <f>SUMIFS(Dyno_Data[AcqDrp], Dyno_Data[Team],TBA_Matches_All[[#This Row],[Team]],Dyno_Data[Match],TBA_Matches_All[[#This Row],[Match_Number]],Dyno_Data[RecordType],"Activities", Dyno_Data[AcqLoc],"Source")</f>
        <v>0</v>
      </c>
      <c r="BY53">
        <f>SUMIFS(Dyno_Data[OZTime], Dyno_Data[Team],TBA_Matches_All[[#This Row],[Team]],Dyno_Data[Match],TBA_Matches_All[[#This Row],[Match_Number]],Dyno_Data[RecordType],"EndMatch")</f>
        <v>0</v>
      </c>
      <c r="BZ53">
        <f>SUMIFS(Dyno_Data[NZTime], Dyno_Data[Team],TBA_Matches_All[[#This Row],[Team]],Dyno_Data[Match],TBA_Matches_All[[#This Row],[Match_Number]],Dyno_Data[RecordType],"EndMatch")</f>
        <v>56.701359399999994</v>
      </c>
      <c r="CA53">
        <f>SUMIFS(Dyno_Data[AZTime], Dyno_Data[Team],TBA_Matches_All[[#This Row],[Team]],Dyno_Data[Match],TBA_Matches_All[[#This Row],[Match_Number]],Dyno_Data[RecordType],"EndMatch")</f>
        <v>79.117070699999999</v>
      </c>
      <c r="CB53">
        <f>SUMIFS(Dyno_Data[ClimbT], Dyno_Data[Team],TBA_Matches_All[[#This Row],[Team]],Dyno_Data[Match],TBA_Matches_All[[#This Row],[Match_Number]],Dyno_Data[RecordType],"EndMatch")</f>
        <v>0</v>
      </c>
      <c r="CC53" t="str">
        <f>_xlfn.XLOOKUP(SUM(MID(TBA_Matches_All[[#This Row],[Team]],4,5),(TBA_Matches_All[[#This Row],[Match_Number]]/100)),Dyno_EndMatch[teammat],Dyno_EndMatch[StageStat],"_",0,1)</f>
        <v>Park</v>
      </c>
      <c r="CD53" t="str">
        <f>_xlfn.XLOOKUP(TBA_Matches_All[[#This Row],[teammat]],Dyno_EndMatch[teammat],Dyno_EndMatch[StageAtt],"_",0,1)</f>
        <v>0</v>
      </c>
      <c r="CE53" t="str">
        <f>_xlfn.XLOOKUP(TBA_Matches_All[[#This Row],[teammat]],Dyno_EndMatch[teammat],Dyno_EndMatch[StageLoc],"_",0,1)</f>
        <v>A</v>
      </c>
      <c r="CF53">
        <f>SUMIFS(Dyno_Data[Harmony], Dyno_Data[Team],TBA_Matches_All[[#This Row],[Team]],Dyno_Data[Match],TBA_Matches_All[[#This Row],[Match_Number]],Dyno_Data[RecordType],"EndMatch", Dyno_Data[StageStat],"On",Dyno_Data[Harmony],"&lt;&gt;9")</f>
        <v>0</v>
      </c>
      <c r="CG53">
        <f>SUMIFS(Dyno_Data[Spotlit], Dyno_Data[Team],TBA_Matches_All[[#This Row],[Team]],Dyno_Data[Match],TBA_Matches_All[[#This Row],[Match_Number]],Dyno_Data[RecordType],"EndMatch", Dyno_Data[StageStat],"On",Dyno_Data[Spotlit],"&lt;&gt;9")</f>
        <v>0</v>
      </c>
      <c r="CH53" t="str">
        <f>_xlfn.XLOOKUP(TBA_Matches_All[[#This Row],[teammat]],Dyno_EndMatch[teammat],Dyno_EndMatch[Strategy],"_",0,1)</f>
        <v>Defense</v>
      </c>
      <c r="CI53">
        <f>SUMIFS(Dyno_Data[Defense], Dyno_Data[Team],TBA_Matches_All[[#This Row],[Team]],Dyno_Data[Match],TBA_Matches_All[[#This Row],[Match_Number]],Dyno_Data[RecordType],"EndMatch",Dyno_Data[Defense],"&lt;&gt;9")</f>
        <v>2</v>
      </c>
      <c r="CJ53">
        <f>SUMIFS(Dyno_Data[Avoidance], Dyno_Data[Team],TBA_Matches_All[[#This Row],[Team]],Dyno_Data[Match],TBA_Matches_All[[#This Row],[Match_Number]],Dyno_Data[RecordType],"EndMatch",Dyno_Data[Avoidance],"&lt;&gt;9")</f>
        <v>0</v>
      </c>
      <c r="CK53" s="82">
        <f>COUNTIF($H$2:TBA_Matches_All[[#This Row],[Team]],TBA_Matches_All[[#This Row],[Team]])</f>
        <v>2</v>
      </c>
      <c r="CL53" s="111">
        <f>SUM(MID(TBA_Matches_All[[#This Row],[Team]],4,5)+TBA_Matches_All[[#This Row],[Match_Number]]/100)</f>
        <v>229.09</v>
      </c>
      <c r="CM53">
        <f>SUM((TBA_Matches_All[[#This Row],[Leave]]*2)+(TBA_Matches_All[[#This Row],[AampT]]*2)+(TBA_Matches_All[[#This Row],[AspkrT]]*5)+(TBA_Matches_All[[#This Row],[AtrapT]]*5))</f>
        <v>2</v>
      </c>
      <c r="CN53" s="59">
        <f>IFERROR(SUM(TBA_Matches_All[[#This Row],[AptsT]]/TBA_Matches_All[[#This Row],[AutoPts]]),0)</f>
        <v>0.22222222222222221</v>
      </c>
      <c r="CO53" s="59">
        <f>IFERROR(SUM(TBA_Matches_All[[#This Row],[AampT]]+TBA_Matches_All[[#This Row],[AspkrT]]+TBA_Matches_All[[#This Row],[AtrapT]]/TBA_Matches_All[[#This Row],[Aamp]]+TBA_Matches_All[[#This Row],[Aspkr]]+TBA_Matches_All[[#This Row],[AtrapT]]),0)</f>
        <v>0</v>
      </c>
      <c r="CP53" s="59">
        <f>IFERROR(SUM(TBA_Matches_All[[#This Row],[TampT]]/TBA_Matches_All[[#This Row],[Tamp]]),0)</f>
        <v>0</v>
      </c>
      <c r="CQ53" s="59">
        <f>IFERROR(SUM(TBA_Matches_All[[#This Row],[TspkrT]]/TBA_Matches_All[[#This Row],[Tspkr]]),0)</f>
        <v>0</v>
      </c>
      <c r="CR53">
        <f>SUM(TBA_Matches_All[[#This Row],[TspkrPts]]*TBA_Matches_All[[#This Row],[TspkrP]])</f>
        <v>0</v>
      </c>
      <c r="CS53" s="59">
        <f>IFERROR(SUM(TBA_Matches_All[[#This Row],[TtrapT]]/TBA_Matches_All[[#This Row],[Trap]]),0)</f>
        <v>0</v>
      </c>
      <c r="CT53" s="59">
        <f>IFERROR(SUM(TBA_Matches_All[[#This Row],[TotNotesT]]/TBA_Matches_All[[#This Row],[TotNotes]]),0)</f>
        <v>0</v>
      </c>
      <c r="CU53" s="66">
        <f>SUM((TBA_Matches_All[[#This Row],[AampT]]*2)+(TBA_Matches_All[[#This Row],[AspkrT]]*5)+(TBA_Matches_All[[#This Row],[AtrapT]]*5)+(TBA_Matches_All[[#This Row],[TampT]]*1)+(TBA_Matches_All[[#This Row],[TspkrptsC]]))</f>
        <v>0</v>
      </c>
      <c r="CV53" s="59">
        <f>IFERROR(TBA_Matches_All[[#This Row],[noteptsT]]/TBA_Matches_All[[#This Row],[NotePts]],0)</f>
        <v>0</v>
      </c>
      <c r="CW53">
        <f>SUM(IF(TBA_Matches_All[[#This Row],[stageStat]]="On",3,0),IF(TBA_Matches_All[[#This Row],[stageStat]]="Park",1,0),SUMIFS(TBA_Matches_All[[#This Row],[Spotlit]],TBA_Matches_All[[#This Row],[stageStat]],"On"),SUMIFS(TBA_Matches_All[[#This Row],[Harmony]],TBA_Matches_All[[#This Row],[stageStat]],"On"))</f>
        <v>1</v>
      </c>
      <c r="CX53" s="59">
        <f>IFERROR(TBA_Matches_All[[#This Row],[stageptsT]]/TBA_Matches_All[[#This Row],[StagePts]],0)</f>
        <v>0.5</v>
      </c>
      <c r="CY53">
        <f>SUM((TBA_Matches_All[[#This Row],[AptsT]]+TBA_Matches_All[[#This Row],[TampT]]+TBA_Matches_All[[#This Row],[TspkrptsC]]+(TBA_Matches_All[[#This Row],[TtrapT]]*5)+TBA_Matches_All[[#This Row],[stageptsT]]))</f>
        <v>3</v>
      </c>
      <c r="CZ53" s="59">
        <f>IFERROR(SUM(TBA_Matches_All[[#This Row],[TotptsC]]/TBA_Matches_All[[#This Row],[Score]]),0)</f>
        <v>0.2</v>
      </c>
      <c r="DA5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53" s="74">
        <f>SUMIFS(TBA_Matches_All[AveTeamTNoteDels],TBA_Matches_All[Match_Number],TBA_Matches_All[[#This Row],[Match_Number]],TBA_Matches_All[Alliance],"&lt;&gt;"&amp;TBA_Matches_All[[#This Row],[Alliance]],TBA_Matches_All[Scouted],"&gt;0")</f>
        <v>21.987121212121213</v>
      </c>
      <c r="DC53" s="74">
        <f>(TBA_Matches_All[[#This Row],[TampT]]+TBA_Matches_All[[#This Row],[TspkrptsC]])-TBA_Matches_All[[#This Row],[AveTeamTNoteDels]]</f>
        <v>0</v>
      </c>
      <c r="DD53" s="74">
        <f>SUMIFS(TBA_Matches_All[AveTeamTNoteDels],TBA_Matches_All[Match_Number],TBA_Matches_All[[#This Row],[Match_Number]],TBA_Matches_All[Alliance],"&lt;&gt;"&amp;TBA_Matches_All[[#This Row],[Alliance]])-TBA_Matches_All[[#This Row],[AveOppTNoteDels]]</f>
        <v>0</v>
      </c>
    </row>
    <row r="54" spans="1:108" x14ac:dyDescent="0.3">
      <c r="A54" t="s">
        <v>1042</v>
      </c>
      <c r="B54" t="s">
        <v>489</v>
      </c>
      <c r="C54" t="s">
        <v>1316</v>
      </c>
      <c r="D54">
        <v>9</v>
      </c>
      <c r="E54" t="s">
        <v>1406</v>
      </c>
      <c r="F54" t="s">
        <v>1424</v>
      </c>
      <c r="G54" t="s">
        <v>1409</v>
      </c>
      <c r="H54" t="s">
        <v>369</v>
      </c>
      <c r="I54" t="b">
        <v>0</v>
      </c>
      <c r="J54">
        <v>36</v>
      </c>
      <c r="K54">
        <v>0</v>
      </c>
      <c r="L54">
        <v>0</v>
      </c>
      <c r="M54">
        <v>0</v>
      </c>
      <c r="N54">
        <v>0</v>
      </c>
      <c r="O54">
        <v>1</v>
      </c>
      <c r="P54">
        <v>5</v>
      </c>
      <c r="Q54">
        <v>11</v>
      </c>
      <c r="R54">
        <v>0</v>
      </c>
      <c r="S54">
        <v>0</v>
      </c>
      <c r="T54">
        <v>10</v>
      </c>
      <c r="U54">
        <v>0</v>
      </c>
      <c r="V54">
        <v>20</v>
      </c>
      <c r="W54">
        <v>10</v>
      </c>
      <c r="X54">
        <v>20</v>
      </c>
      <c r="Y54">
        <v>20</v>
      </c>
      <c r="Z54">
        <v>0</v>
      </c>
      <c r="AA54">
        <v>0</v>
      </c>
      <c r="AB54">
        <v>11</v>
      </c>
      <c r="AC54">
        <v>25</v>
      </c>
      <c r="AD54">
        <v>5</v>
      </c>
      <c r="AE54">
        <f>IFERROR(6/(COUNTIF(Dyno_EndMatch[Match],TBA_Matches_All[[#This Row],[Match_Number]])),0)</f>
        <v>1</v>
      </c>
      <c r="AF54">
        <f>COUNTIFS(Dyno_Data[Team],TBA_Matches_All[[#This Row],[Team]],Dyno_Data[Match],TBA_Matches_All[[#This Row],[Match_Number]],Dyno_Data[RecordType],"EndMatch",Dyno_Data[HPAmp],"Y")</f>
        <v>0</v>
      </c>
      <c r="AG54">
        <f>SUMIFS(Dyno_Data[Mics], Dyno_Data[Team],TBA_Matches_All[[#This Row],[Team]],Dyno_Data[Match],TBA_Matches_All[[#This Row],[Match_Number]],Dyno_Data[RecordType],"EndMatch",Dyno_Data[HPAmp],"Y")</f>
        <v>0</v>
      </c>
      <c r="AH54">
        <f>SUMIFS(Dyno_Data[Leave], Dyno_Data[Team],TBA_Matches_All[[#This Row],[Team]],Dyno_Data[Match],TBA_Matches_All[[#This Row],[Match_Number]],Dyno_Data[RecordType],"EndAuto")</f>
        <v>1</v>
      </c>
      <c r="AI54">
        <f>COUNTIFS(Dyno_Data[Team],TBA_Matches_All[[#This Row],[Team]],Dyno_Data[Match],TBA_Matches_All[[#This Row],[Match_Number]],Dyno_Data[RecordType],"Activities",Dyno_Data[DelDest],"Amp", Dyno_Data[DelMiss],"0", Dyno_Data[Mode],"Auto")</f>
        <v>0</v>
      </c>
      <c r="AJ54">
        <f>COUNTIFS(Dyno_Data[Team],TBA_Matches_All[[#This Row],[Team]],Dyno_Data[Match],TBA_Matches_All[[#This Row],[Match_Number]],Dyno_Data[RecordType],"Activities",Dyno_Data[DelDest],"Spkr", Dyno_Data[DelMiss],"0", Dyno_Data[Mode],"Auto")</f>
        <v>0</v>
      </c>
      <c r="AK54">
        <f>COUNTIFS(Dyno_Data[Team],TBA_Matches_All[[#This Row],[Team]],Dyno_Data[Match],TBA_Matches_All[[#This Row],[Match_Number]],Dyno_Data[RecordType],"Activities",Dyno_Data[DelDest],"Trap", Dyno_Data[DelMiss],"0", Dyno_Data[Mode],"Auto")</f>
        <v>0</v>
      </c>
      <c r="AL54">
        <f>COUNTIFS(Dyno_Data[Team],TBA_Matches_All[[#This Row],[Team]],Dyno_Data[Match],TBA_Matches_All[[#This Row],[Match_Number]],Dyno_Data[RecordType],"Activities",Dyno_Data[DelDest],"Amp", Dyno_Data[DelMiss],"0", Dyno_Data[Mode],"Teleop")</f>
        <v>0</v>
      </c>
      <c r="AM54">
        <f>COUNTIFS(Dyno_Data[Team],TBA_Matches_All[[#This Row],[Team]],Dyno_Data[Match],TBA_Matches_All[[#This Row],[Match_Number]],Dyno_Data[RecordType],"Activities",Dyno_Data[DelDest],"Spkr", Dyno_Data[DelMiss],"0", Dyno_Data[Mode],"Teleop")</f>
        <v>0</v>
      </c>
      <c r="AN54">
        <f>COUNTIFS(Dyno_Data[Team],TBA_Matches_All[[#This Row],[Team]],Dyno_Data[Match],TBA_Matches_All[[#This Row],[Match_Number]],Dyno_Data[RecordType],"Activities",Dyno_Data[DelDest],"Trap", Dyno_Data[DelMiss],"0", Dyno_Data[Mode],"&lt;&gt;Auto")</f>
        <v>0</v>
      </c>
      <c r="AO54">
        <f>SUM(TBA_Matches_All[[#This Row],[AampT]]+TBA_Matches_All[[#This Row],[AspkrT]]+TBA_Matches_All[[#This Row],[AtrapT]]+TBA_Matches_All[[#This Row],[TampT]]+TBA_Matches_All[[#This Row],[TspkrT]]+TBA_Matches_All[[#This Row],[TtrapT]])</f>
        <v>0</v>
      </c>
      <c r="AP54">
        <f>COUNTIFS(Dyno_Data[Team],TBA_Matches_All[[#This Row],[Team]],Dyno_Data[Match],TBA_Matches_All[[#This Row],[Match_Number]],Dyno_Data[RecordType],"Activities",Dyno_Data[DelDest],"Neut", Dyno_Data[DelMiss],"0")</f>
        <v>0</v>
      </c>
      <c r="AQ54">
        <f>COUNTIFS(Dyno_Data[Team],TBA_Matches_All[[#This Row],[Team]],Dyno_Data[Match],TBA_Matches_All[[#This Row],[Match_Number]],Dyno_Data[RecordType],"Activities",Dyno_Data[DelDest],"AllyW", Dyno_Data[DelMiss],"0")</f>
        <v>0</v>
      </c>
      <c r="AR54" t="str">
        <f>_xlfn.XLOOKUP(SUM(MID(TBA_Matches_All[[#This Row],[Team]],4,5),(TBA_Matches_All[[#This Row],[Match_Number]]/100)),Dyno_EndMatch[teammat],Dyno_EndMatch[RobotSta],"_",0,1)</f>
        <v>Amp</v>
      </c>
      <c r="AS54">
        <f>SUMIFS(Dyno_Data[AcqDis], Dyno_Data[Team],TBA_Matches_All[[#This Row],[Team]],Dyno_Data[Match],TBA_Matches_All[[#This Row],[Match_Number]],Dyno_Data[RecordType],"Activities", Dyno_Data[AcqCenter],1,Dyno_Data[Mode],"Auto")</f>
        <v>0</v>
      </c>
      <c r="AT54">
        <f>SUMIFS(Dyno_Data[AcqDis], Dyno_Data[Team],TBA_Matches_All[[#This Row],[Team]],Dyno_Data[Match],TBA_Matches_All[[#This Row],[Match_Number]],Dyno_Data[RecordType],"Activities", Dyno_Data[AcqCenter],2,Dyno_Data[Mode],"Auto")</f>
        <v>0</v>
      </c>
      <c r="AU54">
        <f>SUMIFS(Dyno_Data[AcqDis], Dyno_Data[Team],TBA_Matches_All[[#This Row],[Team]],Dyno_Data[Match],TBA_Matches_All[[#This Row],[Match_Number]],Dyno_Data[RecordType],"Activities", Dyno_Data[AcqCenter],3,Dyno_Data[Mode],"Auto")</f>
        <v>0</v>
      </c>
      <c r="AV54">
        <f>SUMIFS(Dyno_Data[AcqDis], Dyno_Data[Team],TBA_Matches_All[[#This Row],[Team]],Dyno_Data[Match],TBA_Matches_All[[#This Row],[Match_Number]],Dyno_Data[RecordType],"Activities", Dyno_Data[AcqCenter],4,Dyno_Data[Mode],"Auto")</f>
        <v>0</v>
      </c>
      <c r="AW54">
        <f>SUMIFS(Dyno_Data[AcqDis], Dyno_Data[Team],TBA_Matches_All[[#This Row],[Team]],Dyno_Data[Match],TBA_Matches_All[[#This Row],[Match_Number]],Dyno_Data[RecordType],"Activities", Dyno_Data[AcqCenter],5,Dyno_Data[Mode],"Auto")</f>
        <v>0</v>
      </c>
      <c r="AX54">
        <f>SUMIFS(Dyno_Data[DelMiss], Dyno_Data[Team],TBA_Matches_All[[#This Row],[Team]],Dyno_Data[Match],TBA_Matches_All[[#This Row],[Match_Number]],Dyno_Data[RecordType],"Activities", Dyno_Data[DelDest],"Amp")</f>
        <v>0</v>
      </c>
      <c r="AY54" s="60">
        <f>IFERROR(SUM((TBA_Matches_All[[#This Row],[AampT]]+TBA_Matches_All[[#This Row],[TampT]])/(TBA_Matches_All[[#This Row],[AampT]]+TBA_Matches_All[[#This Row],[TampT]]+TBA_Matches_All[[#This Row],[ampM]])),0)</f>
        <v>0</v>
      </c>
      <c r="AZ54">
        <f>SUMIFS(Dyno_Data[DelMiss], Dyno_Data[Team],TBA_Matches_All[[#This Row],[Team]],Dyno_Data[Match],TBA_Matches_All[[#This Row],[Match_Number]],Dyno_Data[RecordType],"Activities", Dyno_Data[DelDest],"Spkr")</f>
        <v>0</v>
      </c>
      <c r="BA54" s="60">
        <f>IFERROR(SUM((TBA_Matches_All[[#This Row],[AspkrT]]+TBA_Matches_All[[#This Row],[TspkrT]])/(TBA_Matches_All[[#This Row],[AspkrT]]+TBA_Matches_All[[#This Row],[TspkrT]]+TBA_Matches_All[[#This Row],[spkrM]])),0)</f>
        <v>0</v>
      </c>
      <c r="BB54">
        <f>SUMIFS(Dyno_Data[DelMiss], Dyno_Data[Team],TBA_Matches_All[[#This Row],[Team]],Dyno_Data[Match],TBA_Matches_All[[#This Row],[Match_Number]],Dyno_Data[RecordType],"Activities", Dyno_Data[DelDest],"Trap")</f>
        <v>0</v>
      </c>
      <c r="BC54" s="60">
        <f>IFERROR((TBA_Matches_All[[#This Row],[AtrapT]]+TBA_Matches_All[[#This Row],[TtrapT]])/(TBA_Matches_All[[#This Row],[AtrapT]]+TBA_Matches_All[[#This Row],[TtrapT]]+TBA_Matches_All[[#This Row],[trapM]]),0)</f>
        <v>0</v>
      </c>
      <c r="BD54">
        <f>COUNTIFS(Dyno_Data[Team],TBA_Matches_All[[#This Row],[Team]],Dyno_Data[Match],TBA_Matches_All[[#This Row],[Match_Number]],Dyno_Data[RecordType],"Activities",Dyno_Data[DelDest],"Neut", Dyno_Data[DelMiss],1)</f>
        <v>0</v>
      </c>
      <c r="BE54" s="60">
        <f>IFERROR(SUM((TBA_Matches_All[[#This Row],[NeutFlrT]])/(TBA_Matches_All[[#This Row],[NeutFlrT]]+TBA_Matches_All[[#This Row],[NZflM]])),0)</f>
        <v>0</v>
      </c>
      <c r="BF54">
        <f>COUNTIFS(Dyno_Data[Team],TBA_Matches_All[[#This Row],[Team]],Dyno_Data[Match],TBA_Matches_All[[#This Row],[Match_Number]],Dyno_Data[RecordType],"Activities",Dyno_Data[DelDest],"AllyW", Dyno_Data[DelMiss],1)</f>
        <v>0</v>
      </c>
      <c r="BG54" s="60">
        <f>IFERROR(SUM((TBA_Matches_All[[#This Row],[AllyWFlrT]])/(TBA_Matches_All[[#This Row],[AllyWFlrT]]+TBA_Matches_All[[#This Row],[AZflM]])),0)</f>
        <v>0</v>
      </c>
      <c r="BH54">
        <f>COUNTIFS(Dyno_Data[Team],TBA_Matches_All[[#This Row],[Team]],Dyno_Data[Match],TBA_Matches_All[[#This Row],[Match_Number]],Dyno_Data[RecordType],"Activities",Dyno_Data[DelOrig],"OppW", Dyno_Data[DelMiss],"0")</f>
        <v>0</v>
      </c>
      <c r="BI54">
        <f>COUNTIFS(Dyno_Data[Team],TBA_Matches_All[[#This Row],[Team]],Dyno_Data[Match],TBA_Matches_All[[#This Row],[Match_Number]],Dyno_Data[RecordType],"Activities",Dyno_Data[DelOrig],"OppW", Dyno_Data[DelMiss],"1")</f>
        <v>0</v>
      </c>
      <c r="BJ54" s="60">
        <f>IFERROR(SUM((TBA_Matches_All[[#This Row],[OZflrT]])/(TBA_Matches_All[[#This Row],[OZflrT]]+TBA_Matches_All[[#This Row],[OZflrM]])),0)</f>
        <v>0</v>
      </c>
      <c r="BK54">
        <f>COUNTIFS(Dyno_Data[Team],TBA_Matches_All[[#This Row],[Team]],Dyno_Data[Match],TBA_Matches_All[[#This Row],[Match_Number]],Dyno_Data[RecordType],"Activities",Dyno_Data[DelOrig],"Neut", Dyno_Data[DelMiss],"0")</f>
        <v>0</v>
      </c>
      <c r="BL54">
        <f>COUNTIFS(Dyno_Data[Team],TBA_Matches_All[[#This Row],[Team]],Dyno_Data[Match],TBA_Matches_All[[#This Row],[Match_Number]],Dyno_Data[RecordType],"Activities",Dyno_Data[DelOrig],"Neut", Dyno_Data[DelMiss],"1")</f>
        <v>0</v>
      </c>
      <c r="BM54" s="60">
        <f>IFERROR(SUM((TBA_Matches_All[[#This Row],[NZflrT]])/(TBA_Matches_All[[#This Row],[NZflrT]]+TBA_Matches_All[[#This Row],[NZflrM]])),0)</f>
        <v>0</v>
      </c>
      <c r="BN54">
        <f>COUNTIFS(Dyno_Data[Team],TBA_Matches_All[[#This Row],[Team]],Dyno_Data[Match],TBA_Matches_All[[#This Row],[Match_Number]],Dyno_Data[RecordType],"Activities",Dyno_Data[DelOrig],"AllyW", Dyno_Data[DelMiss],"0")</f>
        <v>0</v>
      </c>
      <c r="BO54">
        <f>COUNTIFS(Dyno_Data[Team],TBA_Matches_All[[#This Row],[Team]],Dyno_Data[Match],TBA_Matches_All[[#This Row],[Match_Number]],Dyno_Data[RecordType],"Activities",Dyno_Data[DelOrig],"AllyW", Dyno_Data[DelMiss],"1")</f>
        <v>0</v>
      </c>
      <c r="BP54" s="60">
        <f>IFERROR(SUM((TBA_Matches_All[[#This Row],[AZflrT]])/(TBA_Matches_All[[#This Row],[AZflrT]]+TBA_Matches_All[[#This Row],[AZflrM]])),0)</f>
        <v>0</v>
      </c>
      <c r="BQ54">
        <f>COUNTIFS(Dyno_Data[Team],TBA_Matches_All[[#This Row],[Team]],Dyno_Data[Match],TBA_Matches_All[[#This Row],[Match_Number]],Dyno_Data[RecordType],"Activities",Dyno_Data[DelOrig],"SubW", Dyno_Data[DelMiss],"0")</f>
        <v>0</v>
      </c>
      <c r="BR54">
        <f>COUNTIFS(Dyno_Data[Team],TBA_Matches_All[[#This Row],[Team]],Dyno_Data[Match],TBA_Matches_All[[#This Row],[Match_Number]],Dyno_Data[RecordType],"Activities",Dyno_Data[DelOrig],"SubW", Dyno_Data[DelMiss],"1")</f>
        <v>0</v>
      </c>
      <c r="BS54" s="60">
        <f>IFERROR(SUM((TBA_Matches_All[[#This Row],[SubwT]])/(TBA_Matches_All[[#This Row],[SubwT]]+TBA_Matches_All[[#This Row],[SubwM]])),0)</f>
        <v>0</v>
      </c>
      <c r="BT54">
        <f>COUNTIFS(Dyno_Data[Team],TBA_Matches_All[[#This Row],[Team]],Dyno_Data[Match],TBA_Matches_All[[#This Row],[Match_Number]],Dyno_Data[RecordType],"Activities", Dyno_Data[AcqLoc],"OppWing")</f>
        <v>0</v>
      </c>
      <c r="BU54">
        <f>COUNTIFS(Dyno_Data[Team],TBA_Matches_All[[#This Row],[Team]],Dyno_Data[Match],TBA_Matches_All[[#This Row],[Match_Number]],Dyno_Data[RecordType],"Activities", Dyno_Data[AcqLoc],"Neutral")</f>
        <v>0</v>
      </c>
      <c r="BV54">
        <f>COUNTIFS(Dyno_Data[Team],TBA_Matches_All[[#This Row],[Team]],Dyno_Data[Match],TBA_Matches_All[[#This Row],[Match_Number]],Dyno_Data[RecordType],"Activities", Dyno_Data[AcqLoc],"AllyWing")</f>
        <v>0</v>
      </c>
      <c r="BW54">
        <f>COUNTIFS(Dyno_Data[Team],TBA_Matches_All[[#This Row],[Team]],Dyno_Data[Match],TBA_Matches_All[[#This Row],[Match_Number]],Dyno_Data[RecordType],"Activities", Dyno_Data[AcqLoc],"Source")</f>
        <v>0</v>
      </c>
      <c r="BX54">
        <f>SUMIFS(Dyno_Data[AcqDrp], Dyno_Data[Team],TBA_Matches_All[[#This Row],[Team]],Dyno_Data[Match],TBA_Matches_All[[#This Row],[Match_Number]],Dyno_Data[RecordType],"Activities", Dyno_Data[AcqLoc],"Source")</f>
        <v>0</v>
      </c>
      <c r="BY54">
        <f>SUMIFS(Dyno_Data[OZTime], Dyno_Data[Team],TBA_Matches_All[[#This Row],[Team]],Dyno_Data[Match],TBA_Matches_All[[#This Row],[Match_Number]],Dyno_Data[RecordType],"EndMatch")</f>
        <v>100.2736419</v>
      </c>
      <c r="BZ54">
        <f>SUMIFS(Dyno_Data[NZTime], Dyno_Data[Team],TBA_Matches_All[[#This Row],[Team]],Dyno_Data[Match],TBA_Matches_All[[#This Row],[Match_Number]],Dyno_Data[RecordType],"EndMatch")</f>
        <v>13.626399599999999</v>
      </c>
      <c r="CA54">
        <f>SUMIFS(Dyno_Data[AZTime], Dyno_Data[Team],TBA_Matches_All[[#This Row],[Team]],Dyno_Data[Match],TBA_Matches_All[[#This Row],[Match_Number]],Dyno_Data[RecordType],"EndMatch")</f>
        <v>23.9814632</v>
      </c>
      <c r="CB54">
        <f>SUMIFS(Dyno_Data[ClimbT], Dyno_Data[Team],TBA_Matches_All[[#This Row],[Team]],Dyno_Data[Match],TBA_Matches_All[[#This Row],[Match_Number]],Dyno_Data[RecordType],"EndMatch")</f>
        <v>0</v>
      </c>
      <c r="CC54" t="str">
        <f>_xlfn.XLOOKUP(SUM(MID(TBA_Matches_All[[#This Row],[Team]],4,5),(TBA_Matches_All[[#This Row],[Match_Number]]/100)),Dyno_EndMatch[teammat],Dyno_EndMatch[StageStat],"_",0,1)</f>
        <v>Park</v>
      </c>
      <c r="CD54" t="str">
        <f>_xlfn.XLOOKUP(TBA_Matches_All[[#This Row],[teammat]],Dyno_EndMatch[teammat],Dyno_EndMatch[StageAtt],"_",0,1)</f>
        <v>0</v>
      </c>
      <c r="CE54" t="str">
        <f>_xlfn.XLOOKUP(TBA_Matches_All[[#This Row],[teammat]],Dyno_EndMatch[teammat],Dyno_EndMatch[StageLoc],"_",0,1)</f>
        <v>A</v>
      </c>
      <c r="CF54">
        <f>SUMIFS(Dyno_Data[Harmony], Dyno_Data[Team],TBA_Matches_All[[#This Row],[Team]],Dyno_Data[Match],TBA_Matches_All[[#This Row],[Match_Number]],Dyno_Data[RecordType],"EndMatch", Dyno_Data[StageStat],"On",Dyno_Data[Harmony],"&lt;&gt;9")</f>
        <v>0</v>
      </c>
      <c r="CG54">
        <f>SUMIFS(Dyno_Data[Spotlit], Dyno_Data[Team],TBA_Matches_All[[#This Row],[Team]],Dyno_Data[Match],TBA_Matches_All[[#This Row],[Match_Number]],Dyno_Data[RecordType],"EndMatch", Dyno_Data[StageStat],"On",Dyno_Data[Spotlit],"&lt;&gt;9")</f>
        <v>0</v>
      </c>
      <c r="CH54" t="str">
        <f>_xlfn.XLOOKUP(TBA_Matches_All[[#This Row],[teammat]],Dyno_EndMatch[teammat],Dyno_EndMatch[Strategy],"_",0,1)</f>
        <v>Defense</v>
      </c>
      <c r="CI54">
        <f>SUMIFS(Dyno_Data[Defense], Dyno_Data[Team],TBA_Matches_All[[#This Row],[Team]],Dyno_Data[Match],TBA_Matches_All[[#This Row],[Match_Number]],Dyno_Data[RecordType],"EndMatch",Dyno_Data[Defense],"&lt;&gt;9")</f>
        <v>3</v>
      </c>
      <c r="CJ54">
        <f>SUMIFS(Dyno_Data[Avoidance], Dyno_Data[Team],TBA_Matches_All[[#This Row],[Team]],Dyno_Data[Match],TBA_Matches_All[[#This Row],[Match_Number]],Dyno_Data[RecordType],"EndMatch",Dyno_Data[Avoidance],"&lt;&gt;9")</f>
        <v>0</v>
      </c>
      <c r="CK54" s="82">
        <f>COUNTIF($H$2:TBA_Matches_All[[#This Row],[Team]],TBA_Matches_All[[#This Row],[Team]])</f>
        <v>1</v>
      </c>
      <c r="CL54" s="111">
        <f>SUM(MID(TBA_Matches_All[[#This Row],[Team]],4,5)+TBA_Matches_All[[#This Row],[Match_Number]]/100)</f>
        <v>6463.09</v>
      </c>
      <c r="CM54">
        <f>SUM((TBA_Matches_All[[#This Row],[Leave]]*2)+(TBA_Matches_All[[#This Row],[AampT]]*2)+(TBA_Matches_All[[#This Row],[AspkrT]]*5)+(TBA_Matches_All[[#This Row],[AtrapT]]*5))</f>
        <v>2</v>
      </c>
      <c r="CN54" s="59">
        <f>IFERROR(SUM(TBA_Matches_All[[#This Row],[AptsT]]/TBA_Matches_All[[#This Row],[AutoPts]]),0)</f>
        <v>0.18181818181818182</v>
      </c>
      <c r="CO54" s="59">
        <f>IFERROR(SUM(TBA_Matches_All[[#This Row],[AampT]]+TBA_Matches_All[[#This Row],[AspkrT]]+TBA_Matches_All[[#This Row],[AtrapT]]/TBA_Matches_All[[#This Row],[Aamp]]+TBA_Matches_All[[#This Row],[Aspkr]]+TBA_Matches_All[[#This Row],[AtrapT]]),0)</f>
        <v>0</v>
      </c>
      <c r="CP54" s="59">
        <f>IFERROR(SUM(TBA_Matches_All[[#This Row],[TampT]]/TBA_Matches_All[[#This Row],[Tamp]]),0)</f>
        <v>0</v>
      </c>
      <c r="CQ54" s="59">
        <f>IFERROR(SUM(TBA_Matches_All[[#This Row],[TspkrT]]/TBA_Matches_All[[#This Row],[Tspkr]]),0)</f>
        <v>0</v>
      </c>
      <c r="CR54">
        <f>SUM(TBA_Matches_All[[#This Row],[TspkrPts]]*TBA_Matches_All[[#This Row],[TspkrP]])</f>
        <v>0</v>
      </c>
      <c r="CS54" s="59">
        <f>IFERROR(SUM(TBA_Matches_All[[#This Row],[TtrapT]]/TBA_Matches_All[[#This Row],[Trap]]),0)</f>
        <v>0</v>
      </c>
      <c r="CT54" s="59">
        <f>IFERROR(SUM(TBA_Matches_All[[#This Row],[TotNotesT]]/TBA_Matches_All[[#This Row],[TotNotes]]),0)</f>
        <v>0</v>
      </c>
      <c r="CU54" s="66">
        <f>SUM((TBA_Matches_All[[#This Row],[AampT]]*2)+(TBA_Matches_All[[#This Row],[AspkrT]]*5)+(TBA_Matches_All[[#This Row],[AtrapT]]*5)+(TBA_Matches_All[[#This Row],[TampT]]*1)+(TBA_Matches_All[[#This Row],[TspkrptsC]]))</f>
        <v>0</v>
      </c>
      <c r="CV54" s="59">
        <f>IFERROR(TBA_Matches_All[[#This Row],[noteptsT]]/TBA_Matches_All[[#This Row],[NotePts]],0)</f>
        <v>0</v>
      </c>
      <c r="CW54">
        <f>SUM(IF(TBA_Matches_All[[#This Row],[stageStat]]="On",3,0),IF(TBA_Matches_All[[#This Row],[stageStat]]="Park",1,0),SUMIFS(TBA_Matches_All[[#This Row],[Spotlit]],TBA_Matches_All[[#This Row],[stageStat]],"On"),SUMIFS(TBA_Matches_All[[#This Row],[Harmony]],TBA_Matches_All[[#This Row],[stageStat]],"On"))</f>
        <v>1</v>
      </c>
      <c r="CX54" s="59">
        <f>IFERROR(TBA_Matches_All[[#This Row],[stageptsT]]/TBA_Matches_All[[#This Row],[StagePts]],0)</f>
        <v>0.2</v>
      </c>
      <c r="CY54">
        <f>SUM((TBA_Matches_All[[#This Row],[AptsT]]+TBA_Matches_All[[#This Row],[TampT]]+TBA_Matches_All[[#This Row],[TspkrptsC]]+(TBA_Matches_All[[#This Row],[TtrapT]]*5)+TBA_Matches_All[[#This Row],[stageptsT]]))</f>
        <v>3</v>
      </c>
      <c r="CZ54" s="59">
        <f>IFERROR(SUM(TBA_Matches_All[[#This Row],[TotptsC]]/TBA_Matches_All[[#This Row],[Score]]),0)</f>
        <v>8.3333333333333329E-2</v>
      </c>
      <c r="DA5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54" s="74">
        <f>SUMIFS(TBA_Matches_All[AveTeamTNoteDels],TBA_Matches_All[Match_Number],TBA_Matches_All[[#This Row],[Match_Number]],TBA_Matches_All[Alliance],"&lt;&gt;"&amp;TBA_Matches_All[[#This Row],[Alliance]],TBA_Matches_All[Scouted],"&gt;0")</f>
        <v>16.168431568431568</v>
      </c>
      <c r="DC54" s="74">
        <f>(TBA_Matches_All[[#This Row],[TampT]]+TBA_Matches_All[[#This Row],[TspkrptsC]])-TBA_Matches_All[[#This Row],[AveTeamTNoteDels]]</f>
        <v>0</v>
      </c>
      <c r="DD54" s="74">
        <f>SUMIFS(TBA_Matches_All[AveTeamTNoteDels],TBA_Matches_All[Match_Number],TBA_Matches_All[[#This Row],[Match_Number]],TBA_Matches_All[Alliance],"&lt;&gt;"&amp;TBA_Matches_All[[#This Row],[Alliance]])-TBA_Matches_All[[#This Row],[AveOppTNoteDels]]</f>
        <v>0</v>
      </c>
    </row>
    <row r="55" spans="1:108" x14ac:dyDescent="0.3">
      <c r="A55" t="s">
        <v>1042</v>
      </c>
      <c r="B55" t="s">
        <v>489</v>
      </c>
      <c r="C55" t="s">
        <v>1316</v>
      </c>
      <c r="D55">
        <v>9</v>
      </c>
      <c r="E55" t="s">
        <v>1420</v>
      </c>
      <c r="F55" t="s">
        <v>1425</v>
      </c>
      <c r="G55" t="s">
        <v>105</v>
      </c>
      <c r="H55" t="s">
        <v>1294</v>
      </c>
      <c r="I55" t="b">
        <v>0</v>
      </c>
      <c r="J55">
        <v>15</v>
      </c>
      <c r="K55">
        <v>0</v>
      </c>
      <c r="L55">
        <v>0</v>
      </c>
      <c r="M55">
        <v>0</v>
      </c>
      <c r="N55">
        <v>0</v>
      </c>
      <c r="O55">
        <v>1</v>
      </c>
      <c r="P55">
        <v>5</v>
      </c>
      <c r="Q55">
        <v>9</v>
      </c>
      <c r="R55">
        <v>0</v>
      </c>
      <c r="S55">
        <v>0</v>
      </c>
      <c r="T55">
        <v>2</v>
      </c>
      <c r="U55">
        <v>0</v>
      </c>
      <c r="V55">
        <v>4</v>
      </c>
      <c r="W55">
        <v>2</v>
      </c>
      <c r="X55">
        <v>4</v>
      </c>
      <c r="Y55">
        <v>4</v>
      </c>
      <c r="Z55">
        <v>0</v>
      </c>
      <c r="AA55">
        <v>0</v>
      </c>
      <c r="AB55">
        <v>3</v>
      </c>
      <c r="AC55">
        <v>9</v>
      </c>
      <c r="AD55">
        <v>2</v>
      </c>
      <c r="AE55">
        <f>IFERROR(6/(COUNTIF(Dyno_EndMatch[Match],TBA_Matches_All[[#This Row],[Match_Number]])),0)</f>
        <v>1</v>
      </c>
      <c r="AF55">
        <f>COUNTIFS(Dyno_Data[Team],TBA_Matches_All[[#This Row],[Team]],Dyno_Data[Match],TBA_Matches_All[[#This Row],[Match_Number]],Dyno_Data[RecordType],"EndMatch",Dyno_Data[HPAmp],"Y")</f>
        <v>1</v>
      </c>
      <c r="AG55">
        <f>SUMIFS(Dyno_Data[Mics], Dyno_Data[Team],TBA_Matches_All[[#This Row],[Team]],Dyno_Data[Match],TBA_Matches_All[[#This Row],[Match_Number]],Dyno_Data[RecordType],"EndMatch",Dyno_Data[HPAmp],"Y")</f>
        <v>0</v>
      </c>
      <c r="AH55">
        <f>SUMIFS(Dyno_Data[Leave], Dyno_Data[Team],TBA_Matches_All[[#This Row],[Team]],Dyno_Data[Match],TBA_Matches_All[[#This Row],[Match_Number]],Dyno_Data[RecordType],"EndAuto")</f>
        <v>0</v>
      </c>
      <c r="AI55">
        <f>COUNTIFS(Dyno_Data[Team],TBA_Matches_All[[#This Row],[Team]],Dyno_Data[Match],TBA_Matches_All[[#This Row],[Match_Number]],Dyno_Data[RecordType],"Activities",Dyno_Data[DelDest],"Amp", Dyno_Data[DelMiss],"0", Dyno_Data[Mode],"Auto")</f>
        <v>0</v>
      </c>
      <c r="AJ55">
        <f>COUNTIFS(Dyno_Data[Team],TBA_Matches_All[[#This Row],[Team]],Dyno_Data[Match],TBA_Matches_All[[#This Row],[Match_Number]],Dyno_Data[RecordType],"Activities",Dyno_Data[DelDest],"Spkr", Dyno_Data[DelMiss],"0", Dyno_Data[Mode],"Auto")</f>
        <v>0</v>
      </c>
      <c r="AK55">
        <f>COUNTIFS(Dyno_Data[Team],TBA_Matches_All[[#This Row],[Team]],Dyno_Data[Match],TBA_Matches_All[[#This Row],[Match_Number]],Dyno_Data[RecordType],"Activities",Dyno_Data[DelDest],"Trap", Dyno_Data[DelMiss],"0", Dyno_Data[Mode],"Auto")</f>
        <v>0</v>
      </c>
      <c r="AL55">
        <f>COUNTIFS(Dyno_Data[Team],TBA_Matches_All[[#This Row],[Team]],Dyno_Data[Match],TBA_Matches_All[[#This Row],[Match_Number]],Dyno_Data[RecordType],"Activities",Dyno_Data[DelDest],"Amp", Dyno_Data[DelMiss],"0", Dyno_Data[Mode],"Teleop")</f>
        <v>0</v>
      </c>
      <c r="AM55">
        <f>COUNTIFS(Dyno_Data[Team],TBA_Matches_All[[#This Row],[Team]],Dyno_Data[Match],TBA_Matches_All[[#This Row],[Match_Number]],Dyno_Data[RecordType],"Activities",Dyno_Data[DelDest],"Spkr", Dyno_Data[DelMiss],"0", Dyno_Data[Mode],"Teleop")</f>
        <v>0</v>
      </c>
      <c r="AN55">
        <f>COUNTIFS(Dyno_Data[Team],TBA_Matches_All[[#This Row],[Team]],Dyno_Data[Match],TBA_Matches_All[[#This Row],[Match_Number]],Dyno_Data[RecordType],"Activities",Dyno_Data[DelDest],"Trap", Dyno_Data[DelMiss],"0", Dyno_Data[Mode],"&lt;&gt;Auto")</f>
        <v>0</v>
      </c>
      <c r="AO55">
        <f>SUM(TBA_Matches_All[[#This Row],[AampT]]+TBA_Matches_All[[#This Row],[AspkrT]]+TBA_Matches_All[[#This Row],[AtrapT]]+TBA_Matches_All[[#This Row],[TampT]]+TBA_Matches_All[[#This Row],[TspkrT]]+TBA_Matches_All[[#This Row],[TtrapT]])</f>
        <v>0</v>
      </c>
      <c r="AP55">
        <f>COUNTIFS(Dyno_Data[Team],TBA_Matches_All[[#This Row],[Team]],Dyno_Data[Match],TBA_Matches_All[[#This Row],[Match_Number]],Dyno_Data[RecordType],"Activities",Dyno_Data[DelDest],"Neut", Dyno_Data[DelMiss],"0")</f>
        <v>0</v>
      </c>
      <c r="AQ55">
        <f>COUNTIFS(Dyno_Data[Team],TBA_Matches_All[[#This Row],[Team]],Dyno_Data[Match],TBA_Matches_All[[#This Row],[Match_Number]],Dyno_Data[RecordType],"Activities",Dyno_Data[DelDest],"AllyW", Dyno_Data[DelMiss],"0")</f>
        <v>0</v>
      </c>
      <c r="AR55" t="str">
        <f>_xlfn.XLOOKUP(SUM(MID(TBA_Matches_All[[#This Row],[Team]],4,5),(TBA_Matches_All[[#This Row],[Match_Number]]/100)),Dyno_EndMatch[teammat],Dyno_EndMatch[RobotSta],"_",0,1)</f>
        <v>Amp</v>
      </c>
      <c r="AS55">
        <f>SUMIFS(Dyno_Data[AcqDis], Dyno_Data[Team],TBA_Matches_All[[#This Row],[Team]],Dyno_Data[Match],TBA_Matches_All[[#This Row],[Match_Number]],Dyno_Data[RecordType],"Activities", Dyno_Data[AcqCenter],1,Dyno_Data[Mode],"Auto")</f>
        <v>0</v>
      </c>
      <c r="AT55">
        <f>SUMIFS(Dyno_Data[AcqDis], Dyno_Data[Team],TBA_Matches_All[[#This Row],[Team]],Dyno_Data[Match],TBA_Matches_All[[#This Row],[Match_Number]],Dyno_Data[RecordType],"Activities", Dyno_Data[AcqCenter],2,Dyno_Data[Mode],"Auto")</f>
        <v>0</v>
      </c>
      <c r="AU55">
        <f>SUMIFS(Dyno_Data[AcqDis], Dyno_Data[Team],TBA_Matches_All[[#This Row],[Team]],Dyno_Data[Match],TBA_Matches_All[[#This Row],[Match_Number]],Dyno_Data[RecordType],"Activities", Dyno_Data[AcqCenter],3,Dyno_Data[Mode],"Auto")</f>
        <v>0</v>
      </c>
      <c r="AV55">
        <f>SUMIFS(Dyno_Data[AcqDis], Dyno_Data[Team],TBA_Matches_All[[#This Row],[Team]],Dyno_Data[Match],TBA_Matches_All[[#This Row],[Match_Number]],Dyno_Data[RecordType],"Activities", Dyno_Data[AcqCenter],4,Dyno_Data[Mode],"Auto")</f>
        <v>0</v>
      </c>
      <c r="AW55">
        <f>SUMIFS(Dyno_Data[AcqDis], Dyno_Data[Team],TBA_Matches_All[[#This Row],[Team]],Dyno_Data[Match],TBA_Matches_All[[#This Row],[Match_Number]],Dyno_Data[RecordType],"Activities", Dyno_Data[AcqCenter],5,Dyno_Data[Mode],"Auto")</f>
        <v>0</v>
      </c>
      <c r="AX55">
        <f>SUMIFS(Dyno_Data[DelMiss], Dyno_Data[Team],TBA_Matches_All[[#This Row],[Team]],Dyno_Data[Match],TBA_Matches_All[[#This Row],[Match_Number]],Dyno_Data[RecordType],"Activities", Dyno_Data[DelDest],"Amp")</f>
        <v>0</v>
      </c>
      <c r="AY55" s="60">
        <f>IFERROR(SUM((TBA_Matches_All[[#This Row],[AampT]]+TBA_Matches_All[[#This Row],[TampT]])/(TBA_Matches_All[[#This Row],[AampT]]+TBA_Matches_All[[#This Row],[TampT]]+TBA_Matches_All[[#This Row],[ampM]])),0)</f>
        <v>0</v>
      </c>
      <c r="AZ55">
        <f>SUMIFS(Dyno_Data[DelMiss], Dyno_Data[Team],TBA_Matches_All[[#This Row],[Team]],Dyno_Data[Match],TBA_Matches_All[[#This Row],[Match_Number]],Dyno_Data[RecordType],"Activities", Dyno_Data[DelDest],"Spkr")</f>
        <v>0</v>
      </c>
      <c r="BA55" s="60">
        <f>IFERROR(SUM((TBA_Matches_All[[#This Row],[AspkrT]]+TBA_Matches_All[[#This Row],[TspkrT]])/(TBA_Matches_All[[#This Row],[AspkrT]]+TBA_Matches_All[[#This Row],[TspkrT]]+TBA_Matches_All[[#This Row],[spkrM]])),0)</f>
        <v>0</v>
      </c>
      <c r="BB55">
        <f>SUMIFS(Dyno_Data[DelMiss], Dyno_Data[Team],TBA_Matches_All[[#This Row],[Team]],Dyno_Data[Match],TBA_Matches_All[[#This Row],[Match_Number]],Dyno_Data[RecordType],"Activities", Dyno_Data[DelDest],"Trap")</f>
        <v>0</v>
      </c>
      <c r="BC55" s="60">
        <f>IFERROR((TBA_Matches_All[[#This Row],[AtrapT]]+TBA_Matches_All[[#This Row],[TtrapT]])/(TBA_Matches_All[[#This Row],[AtrapT]]+TBA_Matches_All[[#This Row],[TtrapT]]+TBA_Matches_All[[#This Row],[trapM]]),0)</f>
        <v>0</v>
      </c>
      <c r="BD55">
        <f>COUNTIFS(Dyno_Data[Team],TBA_Matches_All[[#This Row],[Team]],Dyno_Data[Match],TBA_Matches_All[[#This Row],[Match_Number]],Dyno_Data[RecordType],"Activities",Dyno_Data[DelDest],"Neut", Dyno_Data[DelMiss],1)</f>
        <v>0</v>
      </c>
      <c r="BE55" s="60">
        <f>IFERROR(SUM((TBA_Matches_All[[#This Row],[NeutFlrT]])/(TBA_Matches_All[[#This Row],[NeutFlrT]]+TBA_Matches_All[[#This Row],[NZflM]])),0)</f>
        <v>0</v>
      </c>
      <c r="BF55">
        <f>COUNTIFS(Dyno_Data[Team],TBA_Matches_All[[#This Row],[Team]],Dyno_Data[Match],TBA_Matches_All[[#This Row],[Match_Number]],Dyno_Data[RecordType],"Activities",Dyno_Data[DelDest],"AllyW", Dyno_Data[DelMiss],1)</f>
        <v>0</v>
      </c>
      <c r="BG55" s="60">
        <f>IFERROR(SUM((TBA_Matches_All[[#This Row],[AllyWFlrT]])/(TBA_Matches_All[[#This Row],[AllyWFlrT]]+TBA_Matches_All[[#This Row],[AZflM]])),0)</f>
        <v>0</v>
      </c>
      <c r="BH55">
        <f>COUNTIFS(Dyno_Data[Team],TBA_Matches_All[[#This Row],[Team]],Dyno_Data[Match],TBA_Matches_All[[#This Row],[Match_Number]],Dyno_Data[RecordType],"Activities",Dyno_Data[DelOrig],"OppW", Dyno_Data[DelMiss],"0")</f>
        <v>0</v>
      </c>
      <c r="BI55">
        <f>COUNTIFS(Dyno_Data[Team],TBA_Matches_All[[#This Row],[Team]],Dyno_Data[Match],TBA_Matches_All[[#This Row],[Match_Number]],Dyno_Data[RecordType],"Activities",Dyno_Data[DelOrig],"OppW", Dyno_Data[DelMiss],"1")</f>
        <v>0</v>
      </c>
      <c r="BJ55" s="60">
        <f>IFERROR(SUM((TBA_Matches_All[[#This Row],[OZflrT]])/(TBA_Matches_All[[#This Row],[OZflrT]]+TBA_Matches_All[[#This Row],[OZflrM]])),0)</f>
        <v>0</v>
      </c>
      <c r="BK55">
        <f>COUNTIFS(Dyno_Data[Team],TBA_Matches_All[[#This Row],[Team]],Dyno_Data[Match],TBA_Matches_All[[#This Row],[Match_Number]],Dyno_Data[RecordType],"Activities",Dyno_Data[DelOrig],"Neut", Dyno_Data[DelMiss],"0")</f>
        <v>0</v>
      </c>
      <c r="BL55">
        <f>COUNTIFS(Dyno_Data[Team],TBA_Matches_All[[#This Row],[Team]],Dyno_Data[Match],TBA_Matches_All[[#This Row],[Match_Number]],Dyno_Data[RecordType],"Activities",Dyno_Data[DelOrig],"Neut", Dyno_Data[DelMiss],"1")</f>
        <v>0</v>
      </c>
      <c r="BM55" s="60">
        <f>IFERROR(SUM((TBA_Matches_All[[#This Row],[NZflrT]])/(TBA_Matches_All[[#This Row],[NZflrT]]+TBA_Matches_All[[#This Row],[NZflrM]])),0)</f>
        <v>0</v>
      </c>
      <c r="BN55">
        <f>COUNTIFS(Dyno_Data[Team],TBA_Matches_All[[#This Row],[Team]],Dyno_Data[Match],TBA_Matches_All[[#This Row],[Match_Number]],Dyno_Data[RecordType],"Activities",Dyno_Data[DelOrig],"AllyW", Dyno_Data[DelMiss],"0")</f>
        <v>0</v>
      </c>
      <c r="BO55">
        <f>COUNTIFS(Dyno_Data[Team],TBA_Matches_All[[#This Row],[Team]],Dyno_Data[Match],TBA_Matches_All[[#This Row],[Match_Number]],Dyno_Data[RecordType],"Activities",Dyno_Data[DelOrig],"AllyW", Dyno_Data[DelMiss],"1")</f>
        <v>0</v>
      </c>
      <c r="BP55" s="60">
        <f>IFERROR(SUM((TBA_Matches_All[[#This Row],[AZflrT]])/(TBA_Matches_All[[#This Row],[AZflrT]]+TBA_Matches_All[[#This Row],[AZflrM]])),0)</f>
        <v>0</v>
      </c>
      <c r="BQ55">
        <f>COUNTIFS(Dyno_Data[Team],TBA_Matches_All[[#This Row],[Team]],Dyno_Data[Match],TBA_Matches_All[[#This Row],[Match_Number]],Dyno_Data[RecordType],"Activities",Dyno_Data[DelOrig],"SubW", Dyno_Data[DelMiss],"0")</f>
        <v>0</v>
      </c>
      <c r="BR55">
        <f>COUNTIFS(Dyno_Data[Team],TBA_Matches_All[[#This Row],[Team]],Dyno_Data[Match],TBA_Matches_All[[#This Row],[Match_Number]],Dyno_Data[RecordType],"Activities",Dyno_Data[DelOrig],"SubW", Dyno_Data[DelMiss],"1")</f>
        <v>0</v>
      </c>
      <c r="BS55" s="60">
        <f>IFERROR(SUM((TBA_Matches_All[[#This Row],[SubwT]])/(TBA_Matches_All[[#This Row],[SubwT]]+TBA_Matches_All[[#This Row],[SubwM]])),0)</f>
        <v>0</v>
      </c>
      <c r="BT55">
        <f>COUNTIFS(Dyno_Data[Team],TBA_Matches_All[[#This Row],[Team]],Dyno_Data[Match],TBA_Matches_All[[#This Row],[Match_Number]],Dyno_Data[RecordType],"Activities", Dyno_Data[AcqLoc],"OppWing")</f>
        <v>0</v>
      </c>
      <c r="BU55">
        <f>COUNTIFS(Dyno_Data[Team],TBA_Matches_All[[#This Row],[Team]],Dyno_Data[Match],TBA_Matches_All[[#This Row],[Match_Number]],Dyno_Data[RecordType],"Activities", Dyno_Data[AcqLoc],"Neutral")</f>
        <v>0</v>
      </c>
      <c r="BV55">
        <f>COUNTIFS(Dyno_Data[Team],TBA_Matches_All[[#This Row],[Team]],Dyno_Data[Match],TBA_Matches_All[[#This Row],[Match_Number]],Dyno_Data[RecordType],"Activities", Dyno_Data[AcqLoc],"AllyWing")</f>
        <v>0</v>
      </c>
      <c r="BW55">
        <f>COUNTIFS(Dyno_Data[Team],TBA_Matches_All[[#This Row],[Team]],Dyno_Data[Match],TBA_Matches_All[[#This Row],[Match_Number]],Dyno_Data[RecordType],"Activities", Dyno_Data[AcqLoc],"Source")</f>
        <v>0</v>
      </c>
      <c r="BX55">
        <f>SUMIFS(Dyno_Data[AcqDrp], Dyno_Data[Team],TBA_Matches_All[[#This Row],[Team]],Dyno_Data[Match],TBA_Matches_All[[#This Row],[Match_Number]],Dyno_Data[RecordType],"Activities", Dyno_Data[AcqLoc],"Source")</f>
        <v>0</v>
      </c>
      <c r="BY55">
        <f>SUMIFS(Dyno_Data[OZTime], Dyno_Data[Team],TBA_Matches_All[[#This Row],[Team]],Dyno_Data[Match],TBA_Matches_All[[#This Row],[Match_Number]],Dyno_Data[RecordType],"EndMatch")</f>
        <v>0</v>
      </c>
      <c r="BZ55">
        <f>SUMIFS(Dyno_Data[NZTime], Dyno_Data[Team],TBA_Matches_All[[#This Row],[Team]],Dyno_Data[Match],TBA_Matches_All[[#This Row],[Match_Number]],Dyno_Data[RecordType],"EndMatch")</f>
        <v>0</v>
      </c>
      <c r="CA55">
        <f>SUMIFS(Dyno_Data[AZTime], Dyno_Data[Team],TBA_Matches_All[[#This Row],[Team]],Dyno_Data[Match],TBA_Matches_All[[#This Row],[Match_Number]],Dyno_Data[RecordType],"EndMatch")</f>
        <v>137.01309639999999</v>
      </c>
      <c r="CB55">
        <f>SUMIFS(Dyno_Data[ClimbT], Dyno_Data[Team],TBA_Matches_All[[#This Row],[Team]],Dyno_Data[Match],TBA_Matches_All[[#This Row],[Match_Number]],Dyno_Data[RecordType],"EndMatch")</f>
        <v>0</v>
      </c>
      <c r="CC55" t="str">
        <f>_xlfn.XLOOKUP(SUM(MID(TBA_Matches_All[[#This Row],[Team]],4,5),(TBA_Matches_All[[#This Row],[Match_Number]]/100)),Dyno_EndMatch[teammat],Dyno_EndMatch[StageStat],"_",0,1)</f>
        <v>Else</v>
      </c>
      <c r="CD55" t="str">
        <f>_xlfn.XLOOKUP(TBA_Matches_All[[#This Row],[teammat]],Dyno_EndMatch[teammat],Dyno_EndMatch[StageAtt],"_",0,1)</f>
        <v>0</v>
      </c>
      <c r="CE55" t="str">
        <f>_xlfn.XLOOKUP(TBA_Matches_All[[#This Row],[teammat]],Dyno_EndMatch[teammat],Dyno_EndMatch[StageLoc],"_",0,1)</f>
        <v>A</v>
      </c>
      <c r="CF55">
        <f>SUMIFS(Dyno_Data[Harmony], Dyno_Data[Team],TBA_Matches_All[[#This Row],[Team]],Dyno_Data[Match],TBA_Matches_All[[#This Row],[Match_Number]],Dyno_Data[RecordType],"EndMatch", Dyno_Data[StageStat],"On",Dyno_Data[Harmony],"&lt;&gt;9")</f>
        <v>0</v>
      </c>
      <c r="CG55">
        <f>SUMIFS(Dyno_Data[Spotlit], Dyno_Data[Team],TBA_Matches_All[[#This Row],[Team]],Dyno_Data[Match],TBA_Matches_All[[#This Row],[Match_Number]],Dyno_Data[RecordType],"EndMatch", Dyno_Data[StageStat],"On",Dyno_Data[Spotlit],"&lt;&gt;9")</f>
        <v>0</v>
      </c>
      <c r="CH55" t="str">
        <f>_xlfn.XLOOKUP(TBA_Matches_All[[#This Row],[teammat]],Dyno_EndMatch[teammat],Dyno_EndMatch[Strategy],"_",0,1)</f>
        <v>None</v>
      </c>
      <c r="CI55">
        <f>SUMIFS(Dyno_Data[Defense], Dyno_Data[Team],TBA_Matches_All[[#This Row],[Team]],Dyno_Data[Match],TBA_Matches_All[[#This Row],[Match_Number]],Dyno_Data[RecordType],"EndMatch",Dyno_Data[Defense],"&lt;&gt;9")</f>
        <v>0</v>
      </c>
      <c r="CJ55">
        <f>SUMIFS(Dyno_Data[Avoidance], Dyno_Data[Team],TBA_Matches_All[[#This Row],[Team]],Dyno_Data[Match],TBA_Matches_All[[#This Row],[Match_Number]],Dyno_Data[RecordType],"EndMatch",Dyno_Data[Avoidance],"&lt;&gt;9")</f>
        <v>0</v>
      </c>
      <c r="CK55" s="82">
        <f>COUNTIF($H$2:TBA_Matches_All[[#This Row],[Team]],TBA_Matches_All[[#This Row],[Team]])</f>
        <v>2</v>
      </c>
      <c r="CL55" s="111">
        <f>SUM(MID(TBA_Matches_All[[#This Row],[Team]],4,5)+TBA_Matches_All[[#This Row],[Match_Number]]/100)</f>
        <v>9076.09</v>
      </c>
      <c r="CM55">
        <f>SUM((TBA_Matches_All[[#This Row],[Leave]]*2)+(TBA_Matches_All[[#This Row],[AampT]]*2)+(TBA_Matches_All[[#This Row],[AspkrT]]*5)+(TBA_Matches_All[[#This Row],[AtrapT]]*5))</f>
        <v>0</v>
      </c>
      <c r="CN55" s="59">
        <f>IFERROR(SUM(TBA_Matches_All[[#This Row],[AptsT]]/TBA_Matches_All[[#This Row],[AutoPts]]),0)</f>
        <v>0</v>
      </c>
      <c r="CO55" s="59">
        <f>IFERROR(SUM(TBA_Matches_All[[#This Row],[AampT]]+TBA_Matches_All[[#This Row],[AspkrT]]+TBA_Matches_All[[#This Row],[AtrapT]]/TBA_Matches_All[[#This Row],[Aamp]]+TBA_Matches_All[[#This Row],[Aspkr]]+TBA_Matches_All[[#This Row],[AtrapT]]),0)</f>
        <v>0</v>
      </c>
      <c r="CP55" s="59">
        <f>IFERROR(SUM(TBA_Matches_All[[#This Row],[TampT]]/TBA_Matches_All[[#This Row],[Tamp]]),0)</f>
        <v>0</v>
      </c>
      <c r="CQ55" s="59">
        <f>IFERROR(SUM(TBA_Matches_All[[#This Row],[TspkrT]]/TBA_Matches_All[[#This Row],[Tspkr]]),0)</f>
        <v>0</v>
      </c>
      <c r="CR55">
        <f>SUM(TBA_Matches_All[[#This Row],[TspkrPts]]*TBA_Matches_All[[#This Row],[TspkrP]])</f>
        <v>0</v>
      </c>
      <c r="CS55" s="59">
        <f>IFERROR(SUM(TBA_Matches_All[[#This Row],[TtrapT]]/TBA_Matches_All[[#This Row],[Trap]]),0)</f>
        <v>0</v>
      </c>
      <c r="CT55" s="59">
        <f>IFERROR(SUM(TBA_Matches_All[[#This Row],[TotNotesT]]/TBA_Matches_All[[#This Row],[TotNotes]]),0)</f>
        <v>0</v>
      </c>
      <c r="CU55" s="66">
        <f>SUM((TBA_Matches_All[[#This Row],[AampT]]*2)+(TBA_Matches_All[[#This Row],[AspkrT]]*5)+(TBA_Matches_All[[#This Row],[AtrapT]]*5)+(TBA_Matches_All[[#This Row],[TampT]]*1)+(TBA_Matches_All[[#This Row],[TspkrptsC]]))</f>
        <v>0</v>
      </c>
      <c r="CV55" s="59">
        <f>IFERROR(TBA_Matches_All[[#This Row],[noteptsT]]/TBA_Matches_All[[#This Row],[NotePts]],0)</f>
        <v>0</v>
      </c>
      <c r="CW55">
        <f>SUM(IF(TBA_Matches_All[[#This Row],[stageStat]]="On",3,0),IF(TBA_Matches_All[[#This Row],[stageStat]]="Park",1,0),SUMIFS(TBA_Matches_All[[#This Row],[Spotlit]],TBA_Matches_All[[#This Row],[stageStat]],"On"),SUMIFS(TBA_Matches_All[[#This Row],[Harmony]],TBA_Matches_All[[#This Row],[stageStat]],"On"))</f>
        <v>0</v>
      </c>
      <c r="CX55" s="59">
        <f>IFERROR(TBA_Matches_All[[#This Row],[stageptsT]]/TBA_Matches_All[[#This Row],[StagePts]],0)</f>
        <v>0</v>
      </c>
      <c r="CY55">
        <f>SUM((TBA_Matches_All[[#This Row],[AptsT]]+TBA_Matches_All[[#This Row],[TampT]]+TBA_Matches_All[[#This Row],[TspkrptsC]]+(TBA_Matches_All[[#This Row],[TtrapT]]*5)+TBA_Matches_All[[#This Row],[stageptsT]]))</f>
        <v>0</v>
      </c>
      <c r="CZ55" s="59">
        <f>IFERROR(SUM(TBA_Matches_All[[#This Row],[TotptsC]]/TBA_Matches_All[[#This Row],[Score]]),0)</f>
        <v>0</v>
      </c>
      <c r="DA5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6.13986013986014</v>
      </c>
      <c r="DB55" s="74">
        <f>SUMIFS(TBA_Matches_All[AveTeamTNoteDels],TBA_Matches_All[Match_Number],TBA_Matches_All[[#This Row],[Match_Number]],TBA_Matches_All[Alliance],"&lt;&gt;"&amp;TBA_Matches_All[[#This Row],[Alliance]],TBA_Matches_All[Scouted],"&gt;0")</f>
        <v>21.987121212121213</v>
      </c>
      <c r="DC55" s="74">
        <f>(TBA_Matches_All[[#This Row],[TampT]]+TBA_Matches_All[[#This Row],[TspkrptsC]])-TBA_Matches_All[[#This Row],[AveTeamTNoteDels]]</f>
        <v>-6.13986013986014</v>
      </c>
      <c r="DD55" s="74">
        <f>SUMIFS(TBA_Matches_All[AveTeamTNoteDels],TBA_Matches_All[Match_Number],TBA_Matches_All[[#This Row],[Match_Number]],TBA_Matches_All[Alliance],"&lt;&gt;"&amp;TBA_Matches_All[[#This Row],[Alliance]])-TBA_Matches_All[[#This Row],[AveOppTNoteDels]]</f>
        <v>0</v>
      </c>
    </row>
    <row r="56" spans="1:108" x14ac:dyDescent="0.3">
      <c r="A56" t="s">
        <v>1042</v>
      </c>
      <c r="B56" t="s">
        <v>489</v>
      </c>
      <c r="C56" t="s">
        <v>1316</v>
      </c>
      <c r="D56">
        <v>9</v>
      </c>
      <c r="E56" t="s">
        <v>1406</v>
      </c>
      <c r="F56" t="s">
        <v>1426</v>
      </c>
      <c r="G56" t="s">
        <v>164</v>
      </c>
      <c r="H56" t="s">
        <v>1318</v>
      </c>
      <c r="I56" t="b">
        <v>0</v>
      </c>
      <c r="J56">
        <v>36</v>
      </c>
      <c r="K56">
        <v>0</v>
      </c>
      <c r="L56">
        <v>0</v>
      </c>
      <c r="M56">
        <v>0</v>
      </c>
      <c r="N56">
        <v>0</v>
      </c>
      <c r="O56">
        <v>1</v>
      </c>
      <c r="P56">
        <v>5</v>
      </c>
      <c r="Q56">
        <v>11</v>
      </c>
      <c r="R56">
        <v>0</v>
      </c>
      <c r="S56">
        <v>0</v>
      </c>
      <c r="T56">
        <v>10</v>
      </c>
      <c r="U56">
        <v>0</v>
      </c>
      <c r="V56">
        <v>20</v>
      </c>
      <c r="W56">
        <v>10</v>
      </c>
      <c r="X56">
        <v>20</v>
      </c>
      <c r="Y56">
        <v>20</v>
      </c>
      <c r="Z56">
        <v>0</v>
      </c>
      <c r="AA56">
        <v>0</v>
      </c>
      <c r="AB56">
        <v>11</v>
      </c>
      <c r="AC56">
        <v>25</v>
      </c>
      <c r="AD56">
        <v>5</v>
      </c>
      <c r="AE56">
        <f>IFERROR(6/(COUNTIF(Dyno_EndMatch[Match],TBA_Matches_All[[#This Row],[Match_Number]])),0)</f>
        <v>1</v>
      </c>
      <c r="AF56">
        <f>COUNTIFS(Dyno_Data[Team],TBA_Matches_All[[#This Row],[Team]],Dyno_Data[Match],TBA_Matches_All[[#This Row],[Match_Number]],Dyno_Data[RecordType],"EndMatch",Dyno_Data[HPAmp],"Y")</f>
        <v>0</v>
      </c>
      <c r="AG56">
        <f>SUMIFS(Dyno_Data[Mics], Dyno_Data[Team],TBA_Matches_All[[#This Row],[Team]],Dyno_Data[Match],TBA_Matches_All[[#This Row],[Match_Number]],Dyno_Data[RecordType],"EndMatch",Dyno_Data[HPAmp],"Y")</f>
        <v>0</v>
      </c>
      <c r="AH56">
        <f>SUMIFS(Dyno_Data[Leave], Dyno_Data[Team],TBA_Matches_All[[#This Row],[Team]],Dyno_Data[Match],TBA_Matches_All[[#This Row],[Match_Number]],Dyno_Data[RecordType],"EndAuto")</f>
        <v>1</v>
      </c>
      <c r="AI56">
        <f>COUNTIFS(Dyno_Data[Team],TBA_Matches_All[[#This Row],[Team]],Dyno_Data[Match],TBA_Matches_All[[#This Row],[Match_Number]],Dyno_Data[RecordType],"Activities",Dyno_Data[DelDest],"Amp", Dyno_Data[DelMiss],"0", Dyno_Data[Mode],"Auto")</f>
        <v>0</v>
      </c>
      <c r="AJ56">
        <f>COUNTIFS(Dyno_Data[Team],TBA_Matches_All[[#This Row],[Team]],Dyno_Data[Match],TBA_Matches_All[[#This Row],[Match_Number]],Dyno_Data[RecordType],"Activities",Dyno_Data[DelDest],"Spkr", Dyno_Data[DelMiss],"0", Dyno_Data[Mode],"Auto")</f>
        <v>1</v>
      </c>
      <c r="AK56">
        <f>COUNTIFS(Dyno_Data[Team],TBA_Matches_All[[#This Row],[Team]],Dyno_Data[Match],TBA_Matches_All[[#This Row],[Match_Number]],Dyno_Data[RecordType],"Activities",Dyno_Data[DelDest],"Trap", Dyno_Data[DelMiss],"0", Dyno_Data[Mode],"Auto")</f>
        <v>0</v>
      </c>
      <c r="AL56">
        <f>COUNTIFS(Dyno_Data[Team],TBA_Matches_All[[#This Row],[Team]],Dyno_Data[Match],TBA_Matches_All[[#This Row],[Match_Number]],Dyno_Data[RecordType],"Activities",Dyno_Data[DelDest],"Amp", Dyno_Data[DelMiss],"0", Dyno_Data[Mode],"Teleop")</f>
        <v>0</v>
      </c>
      <c r="AM56">
        <f>COUNTIFS(Dyno_Data[Team],TBA_Matches_All[[#This Row],[Team]],Dyno_Data[Match],TBA_Matches_All[[#This Row],[Match_Number]],Dyno_Data[RecordType],"Activities",Dyno_Data[DelDest],"Spkr", Dyno_Data[DelMiss],"0", Dyno_Data[Mode],"Teleop")</f>
        <v>10</v>
      </c>
      <c r="AN56">
        <f>COUNTIFS(Dyno_Data[Team],TBA_Matches_All[[#This Row],[Team]],Dyno_Data[Match],TBA_Matches_All[[#This Row],[Match_Number]],Dyno_Data[RecordType],"Activities",Dyno_Data[DelDest],"Trap", Dyno_Data[DelMiss],"0", Dyno_Data[Mode],"&lt;&gt;Auto")</f>
        <v>0</v>
      </c>
      <c r="AO56">
        <f>SUM(TBA_Matches_All[[#This Row],[AampT]]+TBA_Matches_All[[#This Row],[AspkrT]]+TBA_Matches_All[[#This Row],[AtrapT]]+TBA_Matches_All[[#This Row],[TampT]]+TBA_Matches_All[[#This Row],[TspkrT]]+TBA_Matches_All[[#This Row],[TtrapT]])</f>
        <v>11</v>
      </c>
      <c r="AP56">
        <f>COUNTIFS(Dyno_Data[Team],TBA_Matches_All[[#This Row],[Team]],Dyno_Data[Match],TBA_Matches_All[[#This Row],[Match_Number]],Dyno_Data[RecordType],"Activities",Dyno_Data[DelDest],"Neut", Dyno_Data[DelMiss],"0")</f>
        <v>0</v>
      </c>
      <c r="AQ56">
        <f>COUNTIFS(Dyno_Data[Team],TBA_Matches_All[[#This Row],[Team]],Dyno_Data[Match],TBA_Matches_All[[#This Row],[Match_Number]],Dyno_Data[RecordType],"Activities",Dyno_Data[DelDest],"AllyW", Dyno_Data[DelMiss],"0")</f>
        <v>0</v>
      </c>
      <c r="AR56" t="str">
        <f>_xlfn.XLOOKUP(SUM(MID(TBA_Matches_All[[#This Row],[Team]],4,5),(TBA_Matches_All[[#This Row],[Match_Number]]/100)),Dyno_EndMatch[teammat],Dyno_EndMatch[RobotSta],"_",0,1)</f>
        <v>SubW</v>
      </c>
      <c r="AS56">
        <f>SUMIFS(Dyno_Data[AcqDis], Dyno_Data[Team],TBA_Matches_All[[#This Row],[Team]],Dyno_Data[Match],TBA_Matches_All[[#This Row],[Match_Number]],Dyno_Data[RecordType],"Activities", Dyno_Data[AcqCenter],1,Dyno_Data[Mode],"Auto")</f>
        <v>0</v>
      </c>
      <c r="AT56">
        <f>SUMIFS(Dyno_Data[AcqDis], Dyno_Data[Team],TBA_Matches_All[[#This Row],[Team]],Dyno_Data[Match],TBA_Matches_All[[#This Row],[Match_Number]],Dyno_Data[RecordType],"Activities", Dyno_Data[AcqCenter],2,Dyno_Data[Mode],"Auto")</f>
        <v>0</v>
      </c>
      <c r="AU56">
        <f>SUMIFS(Dyno_Data[AcqDis], Dyno_Data[Team],TBA_Matches_All[[#This Row],[Team]],Dyno_Data[Match],TBA_Matches_All[[#This Row],[Match_Number]],Dyno_Data[RecordType],"Activities", Dyno_Data[AcqCenter],3,Dyno_Data[Mode],"Auto")</f>
        <v>0</v>
      </c>
      <c r="AV56">
        <f>SUMIFS(Dyno_Data[AcqDis], Dyno_Data[Team],TBA_Matches_All[[#This Row],[Team]],Dyno_Data[Match],TBA_Matches_All[[#This Row],[Match_Number]],Dyno_Data[RecordType],"Activities", Dyno_Data[AcqCenter],4,Dyno_Data[Mode],"Auto")</f>
        <v>0</v>
      </c>
      <c r="AW56">
        <f>SUMIFS(Dyno_Data[AcqDis], Dyno_Data[Team],TBA_Matches_All[[#This Row],[Team]],Dyno_Data[Match],TBA_Matches_All[[#This Row],[Match_Number]],Dyno_Data[RecordType],"Activities", Dyno_Data[AcqCenter],5,Dyno_Data[Mode],"Auto")</f>
        <v>0</v>
      </c>
      <c r="AX56">
        <f>SUMIFS(Dyno_Data[DelMiss], Dyno_Data[Team],TBA_Matches_All[[#This Row],[Team]],Dyno_Data[Match],TBA_Matches_All[[#This Row],[Match_Number]],Dyno_Data[RecordType],"Activities", Dyno_Data[DelDest],"Amp")</f>
        <v>0</v>
      </c>
      <c r="AY56" s="60">
        <f>IFERROR(SUM((TBA_Matches_All[[#This Row],[AampT]]+TBA_Matches_All[[#This Row],[TampT]])/(TBA_Matches_All[[#This Row],[AampT]]+TBA_Matches_All[[#This Row],[TampT]]+TBA_Matches_All[[#This Row],[ampM]])),0)</f>
        <v>0</v>
      </c>
      <c r="AZ56">
        <f>SUMIFS(Dyno_Data[DelMiss], Dyno_Data[Team],TBA_Matches_All[[#This Row],[Team]],Dyno_Data[Match],TBA_Matches_All[[#This Row],[Match_Number]],Dyno_Data[RecordType],"Activities", Dyno_Data[DelDest],"Spkr")</f>
        <v>3</v>
      </c>
      <c r="BA56" s="60">
        <f>IFERROR(SUM((TBA_Matches_All[[#This Row],[AspkrT]]+TBA_Matches_All[[#This Row],[TspkrT]])/(TBA_Matches_All[[#This Row],[AspkrT]]+TBA_Matches_All[[#This Row],[TspkrT]]+TBA_Matches_All[[#This Row],[spkrM]])),0)</f>
        <v>0.7857142857142857</v>
      </c>
      <c r="BB56">
        <f>SUMIFS(Dyno_Data[DelMiss], Dyno_Data[Team],TBA_Matches_All[[#This Row],[Team]],Dyno_Data[Match],TBA_Matches_All[[#This Row],[Match_Number]],Dyno_Data[RecordType],"Activities", Dyno_Data[DelDest],"Trap")</f>
        <v>0</v>
      </c>
      <c r="BC56" s="60">
        <f>IFERROR((TBA_Matches_All[[#This Row],[AtrapT]]+TBA_Matches_All[[#This Row],[TtrapT]])/(TBA_Matches_All[[#This Row],[AtrapT]]+TBA_Matches_All[[#This Row],[TtrapT]]+TBA_Matches_All[[#This Row],[trapM]]),0)</f>
        <v>0</v>
      </c>
      <c r="BD56">
        <f>COUNTIFS(Dyno_Data[Team],TBA_Matches_All[[#This Row],[Team]],Dyno_Data[Match],TBA_Matches_All[[#This Row],[Match_Number]],Dyno_Data[RecordType],"Activities",Dyno_Data[DelDest],"Neut", Dyno_Data[DelMiss],1)</f>
        <v>0</v>
      </c>
      <c r="BE56" s="60">
        <f>IFERROR(SUM((TBA_Matches_All[[#This Row],[NeutFlrT]])/(TBA_Matches_All[[#This Row],[NeutFlrT]]+TBA_Matches_All[[#This Row],[NZflM]])),0)</f>
        <v>0</v>
      </c>
      <c r="BF56">
        <f>COUNTIFS(Dyno_Data[Team],TBA_Matches_All[[#This Row],[Team]],Dyno_Data[Match],TBA_Matches_All[[#This Row],[Match_Number]],Dyno_Data[RecordType],"Activities",Dyno_Data[DelDest],"AllyW", Dyno_Data[DelMiss],1)</f>
        <v>0</v>
      </c>
      <c r="BG56" s="60">
        <f>IFERROR(SUM((TBA_Matches_All[[#This Row],[AllyWFlrT]])/(TBA_Matches_All[[#This Row],[AllyWFlrT]]+TBA_Matches_All[[#This Row],[AZflM]])),0)</f>
        <v>0</v>
      </c>
      <c r="BH56">
        <f>COUNTIFS(Dyno_Data[Team],TBA_Matches_All[[#This Row],[Team]],Dyno_Data[Match],TBA_Matches_All[[#This Row],[Match_Number]],Dyno_Data[RecordType],"Activities",Dyno_Data[DelOrig],"OppW", Dyno_Data[DelMiss],"0")</f>
        <v>0</v>
      </c>
      <c r="BI56">
        <f>COUNTIFS(Dyno_Data[Team],TBA_Matches_All[[#This Row],[Team]],Dyno_Data[Match],TBA_Matches_All[[#This Row],[Match_Number]],Dyno_Data[RecordType],"Activities",Dyno_Data[DelOrig],"OppW", Dyno_Data[DelMiss],"1")</f>
        <v>0</v>
      </c>
      <c r="BJ56" s="60">
        <f>IFERROR(SUM((TBA_Matches_All[[#This Row],[OZflrT]])/(TBA_Matches_All[[#This Row],[OZflrT]]+TBA_Matches_All[[#This Row],[OZflrM]])),0)</f>
        <v>0</v>
      </c>
      <c r="BK56">
        <f>COUNTIFS(Dyno_Data[Team],TBA_Matches_All[[#This Row],[Team]],Dyno_Data[Match],TBA_Matches_All[[#This Row],[Match_Number]],Dyno_Data[RecordType],"Activities",Dyno_Data[DelOrig],"Neut", Dyno_Data[DelMiss],"0")</f>
        <v>0</v>
      </c>
      <c r="BL56">
        <f>COUNTIFS(Dyno_Data[Team],TBA_Matches_All[[#This Row],[Team]],Dyno_Data[Match],TBA_Matches_All[[#This Row],[Match_Number]],Dyno_Data[RecordType],"Activities",Dyno_Data[DelOrig],"Neut", Dyno_Data[DelMiss],"1")</f>
        <v>0</v>
      </c>
      <c r="BM56" s="60">
        <f>IFERROR(SUM((TBA_Matches_All[[#This Row],[NZflrT]])/(TBA_Matches_All[[#This Row],[NZflrT]]+TBA_Matches_All[[#This Row],[NZflrM]])),0)</f>
        <v>0</v>
      </c>
      <c r="BN56">
        <f>COUNTIFS(Dyno_Data[Team],TBA_Matches_All[[#This Row],[Team]],Dyno_Data[Match],TBA_Matches_All[[#This Row],[Match_Number]],Dyno_Data[RecordType],"Activities",Dyno_Data[DelOrig],"AllyW", Dyno_Data[DelMiss],"0")</f>
        <v>9</v>
      </c>
      <c r="BO56">
        <f>COUNTIFS(Dyno_Data[Team],TBA_Matches_All[[#This Row],[Team]],Dyno_Data[Match],TBA_Matches_All[[#This Row],[Match_Number]],Dyno_Data[RecordType],"Activities",Dyno_Data[DelOrig],"AllyW", Dyno_Data[DelMiss],"1")</f>
        <v>1</v>
      </c>
      <c r="BP56" s="60">
        <f>IFERROR(SUM((TBA_Matches_All[[#This Row],[AZflrT]])/(TBA_Matches_All[[#This Row],[AZflrT]]+TBA_Matches_All[[#This Row],[AZflrM]])),0)</f>
        <v>0.9</v>
      </c>
      <c r="BQ56">
        <f>COUNTIFS(Dyno_Data[Team],TBA_Matches_All[[#This Row],[Team]],Dyno_Data[Match],TBA_Matches_All[[#This Row],[Match_Number]],Dyno_Data[RecordType],"Activities",Dyno_Data[DelOrig],"SubW", Dyno_Data[DelMiss],"0")</f>
        <v>2</v>
      </c>
      <c r="BR56">
        <f>COUNTIFS(Dyno_Data[Team],TBA_Matches_All[[#This Row],[Team]],Dyno_Data[Match],TBA_Matches_All[[#This Row],[Match_Number]],Dyno_Data[RecordType],"Activities",Dyno_Data[DelOrig],"SubW", Dyno_Data[DelMiss],"1")</f>
        <v>2</v>
      </c>
      <c r="BS56" s="60">
        <f>IFERROR(SUM((TBA_Matches_All[[#This Row],[SubwT]])/(TBA_Matches_All[[#This Row],[SubwT]]+TBA_Matches_All[[#This Row],[SubwM]])),0)</f>
        <v>0.5</v>
      </c>
      <c r="BT56">
        <f>COUNTIFS(Dyno_Data[Team],TBA_Matches_All[[#This Row],[Team]],Dyno_Data[Match],TBA_Matches_All[[#This Row],[Match_Number]],Dyno_Data[RecordType],"Activities", Dyno_Data[AcqLoc],"OppWing")</f>
        <v>0</v>
      </c>
      <c r="BU56">
        <f>COUNTIFS(Dyno_Data[Team],TBA_Matches_All[[#This Row],[Team]],Dyno_Data[Match],TBA_Matches_All[[#This Row],[Match_Number]],Dyno_Data[RecordType],"Activities", Dyno_Data[AcqLoc],"Neutral")</f>
        <v>0</v>
      </c>
      <c r="BV56">
        <f>COUNTIFS(Dyno_Data[Team],TBA_Matches_All[[#This Row],[Team]],Dyno_Data[Match],TBA_Matches_All[[#This Row],[Match_Number]],Dyno_Data[RecordType],"Activities", Dyno_Data[AcqLoc],"AllyWing")</f>
        <v>3</v>
      </c>
      <c r="BW56">
        <f>COUNTIFS(Dyno_Data[Team],TBA_Matches_All[[#This Row],[Team]],Dyno_Data[Match],TBA_Matches_All[[#This Row],[Match_Number]],Dyno_Data[RecordType],"Activities", Dyno_Data[AcqLoc],"Source")</f>
        <v>0</v>
      </c>
      <c r="BX56">
        <f>SUMIFS(Dyno_Data[AcqDrp], Dyno_Data[Team],TBA_Matches_All[[#This Row],[Team]],Dyno_Data[Match],TBA_Matches_All[[#This Row],[Match_Number]],Dyno_Data[RecordType],"Activities", Dyno_Data[AcqLoc],"Source")</f>
        <v>0</v>
      </c>
      <c r="BY56">
        <f>SUMIFS(Dyno_Data[OZTime], Dyno_Data[Team],TBA_Matches_All[[#This Row],[Team]],Dyno_Data[Match],TBA_Matches_All[[#This Row],[Match_Number]],Dyno_Data[RecordType],"EndMatch")</f>
        <v>30.622505999999998</v>
      </c>
      <c r="BZ56">
        <f>SUMIFS(Dyno_Data[NZTime], Dyno_Data[Team],TBA_Matches_All[[#This Row],[Team]],Dyno_Data[Match],TBA_Matches_All[[#This Row],[Match_Number]],Dyno_Data[RecordType],"EndMatch")</f>
        <v>12.672374399999999</v>
      </c>
      <c r="CA56">
        <f>SUMIFS(Dyno_Data[AZTime], Dyno_Data[Team],TBA_Matches_All[[#This Row],[Team]],Dyno_Data[Match],TBA_Matches_All[[#This Row],[Match_Number]],Dyno_Data[RecordType],"EndMatch")</f>
        <v>98.088569299999989</v>
      </c>
      <c r="CB56">
        <f>SUMIFS(Dyno_Data[ClimbT], Dyno_Data[Team],TBA_Matches_All[[#This Row],[Team]],Dyno_Data[Match],TBA_Matches_All[[#This Row],[Match_Number]],Dyno_Data[RecordType],"EndMatch")</f>
        <v>0</v>
      </c>
      <c r="CC56" t="str">
        <f>_xlfn.XLOOKUP(SUM(MID(TBA_Matches_All[[#This Row],[Team]],4,5),(TBA_Matches_All[[#This Row],[Match_Number]]/100)),Dyno_EndMatch[teammat],Dyno_EndMatch[StageStat],"_",0,1)</f>
        <v>Park</v>
      </c>
      <c r="CD56" t="str">
        <f>_xlfn.XLOOKUP(TBA_Matches_All[[#This Row],[teammat]],Dyno_EndMatch[teammat],Dyno_EndMatch[StageAtt],"_",0,1)</f>
        <v>0</v>
      </c>
      <c r="CE56" t="str">
        <f>_xlfn.XLOOKUP(TBA_Matches_All[[#This Row],[teammat]],Dyno_EndMatch[teammat],Dyno_EndMatch[StageLoc],"_",0,1)</f>
        <v>A</v>
      </c>
      <c r="CF56">
        <f>SUMIFS(Dyno_Data[Harmony], Dyno_Data[Team],TBA_Matches_All[[#This Row],[Team]],Dyno_Data[Match],TBA_Matches_All[[#This Row],[Match_Number]],Dyno_Data[RecordType],"EndMatch", Dyno_Data[StageStat],"On",Dyno_Data[Harmony],"&lt;&gt;9")</f>
        <v>0</v>
      </c>
      <c r="CG56">
        <f>SUMIFS(Dyno_Data[Spotlit], Dyno_Data[Team],TBA_Matches_All[[#This Row],[Team]],Dyno_Data[Match],TBA_Matches_All[[#This Row],[Match_Number]],Dyno_Data[RecordType],"EndMatch", Dyno_Data[StageStat],"On",Dyno_Data[Spotlit],"&lt;&gt;9")</f>
        <v>0</v>
      </c>
      <c r="CH56" t="str">
        <f>_xlfn.XLOOKUP(TBA_Matches_All[[#This Row],[teammat]],Dyno_EndMatch[teammat],Dyno_EndMatch[Strategy],"_",0,1)</f>
        <v>Hybrid</v>
      </c>
      <c r="CI56">
        <f>SUMIFS(Dyno_Data[Defense], Dyno_Data[Team],TBA_Matches_All[[#This Row],[Team]],Dyno_Data[Match],TBA_Matches_All[[#This Row],[Match_Number]],Dyno_Data[RecordType],"EndMatch",Dyno_Data[Defense],"&lt;&gt;9")</f>
        <v>0</v>
      </c>
      <c r="CJ56">
        <f>SUMIFS(Dyno_Data[Avoidance], Dyno_Data[Team],TBA_Matches_All[[#This Row],[Team]],Dyno_Data[Match],TBA_Matches_All[[#This Row],[Match_Number]],Dyno_Data[RecordType],"EndMatch",Dyno_Data[Avoidance],"&lt;&gt;9")</f>
        <v>0</v>
      </c>
      <c r="CK56" s="82">
        <f>COUNTIF($H$2:TBA_Matches_All[[#This Row],[Team]],TBA_Matches_All[[#This Row],[Team]])</f>
        <v>1</v>
      </c>
      <c r="CL56" s="111">
        <f>SUM(MID(TBA_Matches_All[[#This Row],[Team]],4,5)+TBA_Matches_All[[#This Row],[Match_Number]]/100)</f>
        <v>7709.09</v>
      </c>
      <c r="CM56">
        <f>SUM((TBA_Matches_All[[#This Row],[Leave]]*2)+(TBA_Matches_All[[#This Row],[AampT]]*2)+(TBA_Matches_All[[#This Row],[AspkrT]]*5)+(TBA_Matches_All[[#This Row],[AtrapT]]*5))</f>
        <v>7</v>
      </c>
      <c r="CN56" s="59">
        <f>IFERROR(SUM(TBA_Matches_All[[#This Row],[AptsT]]/TBA_Matches_All[[#This Row],[AutoPts]]),0)</f>
        <v>0.63636363636363635</v>
      </c>
      <c r="CO56" s="59">
        <f>IFERROR(SUM(TBA_Matches_All[[#This Row],[AampT]]+TBA_Matches_All[[#This Row],[AspkrT]]+TBA_Matches_All[[#This Row],[AtrapT]]/TBA_Matches_All[[#This Row],[Aamp]]+TBA_Matches_All[[#This Row],[Aspkr]]+TBA_Matches_All[[#This Row],[AtrapT]]),0)</f>
        <v>0</v>
      </c>
      <c r="CP56" s="59">
        <f>IFERROR(SUM(TBA_Matches_All[[#This Row],[TampT]]/TBA_Matches_All[[#This Row],[Tamp]]),0)</f>
        <v>0</v>
      </c>
      <c r="CQ56" s="59">
        <f>IFERROR(SUM(TBA_Matches_All[[#This Row],[TspkrT]]/TBA_Matches_All[[#This Row],[Tspkr]]),0)</f>
        <v>1</v>
      </c>
      <c r="CR56">
        <f>SUM(TBA_Matches_All[[#This Row],[TspkrPts]]*TBA_Matches_All[[#This Row],[TspkrP]])</f>
        <v>20</v>
      </c>
      <c r="CS56" s="59">
        <f>IFERROR(SUM(TBA_Matches_All[[#This Row],[TtrapT]]/TBA_Matches_All[[#This Row],[Trap]]),0)</f>
        <v>0</v>
      </c>
      <c r="CT56" s="59">
        <f>IFERROR(SUM(TBA_Matches_All[[#This Row],[TotNotesT]]/TBA_Matches_All[[#This Row],[TotNotes]]),0)</f>
        <v>1</v>
      </c>
      <c r="CU56" s="66">
        <f>SUM((TBA_Matches_All[[#This Row],[AampT]]*2)+(TBA_Matches_All[[#This Row],[AspkrT]]*5)+(TBA_Matches_All[[#This Row],[AtrapT]]*5)+(TBA_Matches_All[[#This Row],[TampT]]*1)+(TBA_Matches_All[[#This Row],[TspkrptsC]]))</f>
        <v>25</v>
      </c>
      <c r="CV56" s="59">
        <f>IFERROR(TBA_Matches_All[[#This Row],[noteptsT]]/TBA_Matches_All[[#This Row],[NotePts]],0)</f>
        <v>1</v>
      </c>
      <c r="CW56">
        <f>SUM(IF(TBA_Matches_All[[#This Row],[stageStat]]="On",3,0),IF(TBA_Matches_All[[#This Row],[stageStat]]="Park",1,0),SUMIFS(TBA_Matches_All[[#This Row],[Spotlit]],TBA_Matches_All[[#This Row],[stageStat]],"On"),SUMIFS(TBA_Matches_All[[#This Row],[Harmony]],TBA_Matches_All[[#This Row],[stageStat]],"On"))</f>
        <v>1</v>
      </c>
      <c r="CX56" s="59">
        <f>IFERROR(TBA_Matches_All[[#This Row],[stageptsT]]/TBA_Matches_All[[#This Row],[StagePts]],0)</f>
        <v>0.2</v>
      </c>
      <c r="CY56">
        <f>SUM((TBA_Matches_All[[#This Row],[AptsT]]+TBA_Matches_All[[#This Row],[TampT]]+TBA_Matches_All[[#This Row],[TspkrptsC]]+(TBA_Matches_All[[#This Row],[TtrapT]]*5)+TBA_Matches_All[[#This Row],[stageptsT]]))</f>
        <v>28</v>
      </c>
      <c r="CZ56" s="59">
        <f>IFERROR(SUM(TBA_Matches_All[[#This Row],[TotptsC]]/TBA_Matches_All[[#This Row],[Score]]),0)</f>
        <v>0.77777777777777779</v>
      </c>
      <c r="DA5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12.4</v>
      </c>
      <c r="DB56" s="74">
        <f>SUMIFS(TBA_Matches_All[AveTeamTNoteDels],TBA_Matches_All[Match_Number],TBA_Matches_All[[#This Row],[Match_Number]],TBA_Matches_All[Alliance],"&lt;&gt;"&amp;TBA_Matches_All[[#This Row],[Alliance]],TBA_Matches_All[Scouted],"&gt;0")</f>
        <v>16.168431568431568</v>
      </c>
      <c r="DC56" s="74">
        <f>(TBA_Matches_All[[#This Row],[TampT]]+TBA_Matches_All[[#This Row],[TspkrptsC]])-TBA_Matches_All[[#This Row],[AveTeamTNoteDels]]</f>
        <v>7.6</v>
      </c>
      <c r="DD56" s="74">
        <f>SUMIFS(TBA_Matches_All[AveTeamTNoteDels],TBA_Matches_All[Match_Number],TBA_Matches_All[[#This Row],[Match_Number]],TBA_Matches_All[Alliance],"&lt;&gt;"&amp;TBA_Matches_All[[#This Row],[Alliance]])-TBA_Matches_All[[#This Row],[AveOppTNoteDels]]</f>
        <v>0</v>
      </c>
    </row>
    <row r="57" spans="1:108" x14ac:dyDescent="0.3">
      <c r="A57" t="s">
        <v>1042</v>
      </c>
      <c r="B57" t="s">
        <v>489</v>
      </c>
      <c r="C57" t="s">
        <v>1319</v>
      </c>
      <c r="D57">
        <v>10</v>
      </c>
      <c r="E57" t="s">
        <v>1420</v>
      </c>
      <c r="F57" t="s">
        <v>1423</v>
      </c>
      <c r="G57" t="s">
        <v>1409</v>
      </c>
      <c r="H57" t="s">
        <v>370</v>
      </c>
      <c r="I57" t="b">
        <v>0</v>
      </c>
      <c r="J57">
        <v>41</v>
      </c>
      <c r="K57">
        <v>0</v>
      </c>
      <c r="L57">
        <v>0</v>
      </c>
      <c r="M57">
        <v>0</v>
      </c>
      <c r="N57">
        <v>0</v>
      </c>
      <c r="O57">
        <v>2</v>
      </c>
      <c r="P57">
        <v>10</v>
      </c>
      <c r="Q57">
        <v>16</v>
      </c>
      <c r="R57">
        <v>0</v>
      </c>
      <c r="S57">
        <v>0</v>
      </c>
      <c r="T57">
        <v>7</v>
      </c>
      <c r="U57">
        <v>0</v>
      </c>
      <c r="V57">
        <v>14</v>
      </c>
      <c r="W57">
        <v>7</v>
      </c>
      <c r="X57">
        <v>14</v>
      </c>
      <c r="Y57">
        <v>14</v>
      </c>
      <c r="Z57">
        <v>0</v>
      </c>
      <c r="AA57">
        <v>0</v>
      </c>
      <c r="AB57">
        <v>9</v>
      </c>
      <c r="AC57">
        <v>24</v>
      </c>
      <c r="AD57">
        <v>6</v>
      </c>
      <c r="AE57">
        <f>IFERROR(6/(COUNTIF(Dyno_EndMatch[Match],TBA_Matches_All[[#This Row],[Match_Number]])),0)</f>
        <v>1</v>
      </c>
      <c r="AF57">
        <f>COUNTIFS(Dyno_Data[Team],TBA_Matches_All[[#This Row],[Team]],Dyno_Data[Match],TBA_Matches_All[[#This Row],[Match_Number]],Dyno_Data[RecordType],"EndMatch",Dyno_Data[HPAmp],"Y")</f>
        <v>0</v>
      </c>
      <c r="AG57">
        <f>SUMIFS(Dyno_Data[Mics], Dyno_Data[Team],TBA_Matches_All[[#This Row],[Team]],Dyno_Data[Match],TBA_Matches_All[[#This Row],[Match_Number]],Dyno_Data[RecordType],"EndMatch",Dyno_Data[HPAmp],"Y")</f>
        <v>0</v>
      </c>
      <c r="AH57">
        <f>SUMIFS(Dyno_Data[Leave], Dyno_Data[Team],TBA_Matches_All[[#This Row],[Team]],Dyno_Data[Match],TBA_Matches_All[[#This Row],[Match_Number]],Dyno_Data[RecordType],"EndAuto")</f>
        <v>1</v>
      </c>
      <c r="AI57">
        <f>COUNTIFS(Dyno_Data[Team],TBA_Matches_All[[#This Row],[Team]],Dyno_Data[Match],TBA_Matches_All[[#This Row],[Match_Number]],Dyno_Data[RecordType],"Activities",Dyno_Data[DelDest],"Amp", Dyno_Data[DelMiss],"0", Dyno_Data[Mode],"Auto")</f>
        <v>0</v>
      </c>
      <c r="AJ57">
        <f>COUNTIFS(Dyno_Data[Team],TBA_Matches_All[[#This Row],[Team]],Dyno_Data[Match],TBA_Matches_All[[#This Row],[Match_Number]],Dyno_Data[RecordType],"Activities",Dyno_Data[DelDest],"Spkr", Dyno_Data[DelMiss],"0", Dyno_Data[Mode],"Auto")</f>
        <v>2</v>
      </c>
      <c r="AK57">
        <f>COUNTIFS(Dyno_Data[Team],TBA_Matches_All[[#This Row],[Team]],Dyno_Data[Match],TBA_Matches_All[[#This Row],[Match_Number]],Dyno_Data[RecordType],"Activities",Dyno_Data[DelDest],"Trap", Dyno_Data[DelMiss],"0", Dyno_Data[Mode],"Auto")</f>
        <v>0</v>
      </c>
      <c r="AL57">
        <f>COUNTIFS(Dyno_Data[Team],TBA_Matches_All[[#This Row],[Team]],Dyno_Data[Match],TBA_Matches_All[[#This Row],[Match_Number]],Dyno_Data[RecordType],"Activities",Dyno_Data[DelDest],"Amp", Dyno_Data[DelMiss],"0", Dyno_Data[Mode],"Teleop")</f>
        <v>0</v>
      </c>
      <c r="AM57">
        <f>COUNTIFS(Dyno_Data[Team],TBA_Matches_All[[#This Row],[Team]],Dyno_Data[Match],TBA_Matches_All[[#This Row],[Match_Number]],Dyno_Data[RecordType],"Activities",Dyno_Data[DelDest],"Spkr", Dyno_Data[DelMiss],"0", Dyno_Data[Mode],"Teleop")</f>
        <v>7</v>
      </c>
      <c r="AN57">
        <f>COUNTIFS(Dyno_Data[Team],TBA_Matches_All[[#This Row],[Team]],Dyno_Data[Match],TBA_Matches_All[[#This Row],[Match_Number]],Dyno_Data[RecordType],"Activities",Dyno_Data[DelDest],"Trap", Dyno_Data[DelMiss],"0", Dyno_Data[Mode],"&lt;&gt;Auto")</f>
        <v>0</v>
      </c>
      <c r="AO57">
        <f>SUM(TBA_Matches_All[[#This Row],[AampT]]+TBA_Matches_All[[#This Row],[AspkrT]]+TBA_Matches_All[[#This Row],[AtrapT]]+TBA_Matches_All[[#This Row],[TampT]]+TBA_Matches_All[[#This Row],[TspkrT]]+TBA_Matches_All[[#This Row],[TtrapT]])</f>
        <v>9</v>
      </c>
      <c r="AP57">
        <f>COUNTIFS(Dyno_Data[Team],TBA_Matches_All[[#This Row],[Team]],Dyno_Data[Match],TBA_Matches_All[[#This Row],[Match_Number]],Dyno_Data[RecordType],"Activities",Dyno_Data[DelDest],"Neut", Dyno_Data[DelMiss],"0")</f>
        <v>0</v>
      </c>
      <c r="AQ57">
        <f>COUNTIFS(Dyno_Data[Team],TBA_Matches_All[[#This Row],[Team]],Dyno_Data[Match],TBA_Matches_All[[#This Row],[Match_Number]],Dyno_Data[RecordType],"Activities",Dyno_Data[DelDest],"AllyW", Dyno_Data[DelMiss],"0")</f>
        <v>0</v>
      </c>
      <c r="AR57" t="str">
        <f>_xlfn.XLOOKUP(SUM(MID(TBA_Matches_All[[#This Row],[Team]],4,5),(TBA_Matches_All[[#This Row],[Match_Number]]/100)),Dyno_EndMatch[teammat],Dyno_EndMatch[RobotSta],"_",0,1)</f>
        <v>Podm</v>
      </c>
      <c r="AS57">
        <f>SUMIFS(Dyno_Data[AcqDis], Dyno_Data[Team],TBA_Matches_All[[#This Row],[Team]],Dyno_Data[Match],TBA_Matches_All[[#This Row],[Match_Number]],Dyno_Data[RecordType],"Activities", Dyno_Data[AcqCenter],1,Dyno_Data[Mode],"Auto")</f>
        <v>0</v>
      </c>
      <c r="AT57">
        <f>SUMIFS(Dyno_Data[AcqDis], Dyno_Data[Team],TBA_Matches_All[[#This Row],[Team]],Dyno_Data[Match],TBA_Matches_All[[#This Row],[Match_Number]],Dyno_Data[RecordType],"Activities", Dyno_Data[AcqCenter],2,Dyno_Data[Mode],"Auto")</f>
        <v>0</v>
      </c>
      <c r="AU57">
        <f>SUMIFS(Dyno_Data[AcqDis], Dyno_Data[Team],TBA_Matches_All[[#This Row],[Team]],Dyno_Data[Match],TBA_Matches_All[[#This Row],[Match_Number]],Dyno_Data[RecordType],"Activities", Dyno_Data[AcqCenter],3,Dyno_Data[Mode],"Auto")</f>
        <v>0</v>
      </c>
      <c r="AV57">
        <f>SUMIFS(Dyno_Data[AcqDis], Dyno_Data[Team],TBA_Matches_All[[#This Row],[Team]],Dyno_Data[Match],TBA_Matches_All[[#This Row],[Match_Number]],Dyno_Data[RecordType],"Activities", Dyno_Data[AcqCenter],4,Dyno_Data[Mode],"Auto")</f>
        <v>0</v>
      </c>
      <c r="AW57">
        <f>SUMIFS(Dyno_Data[AcqDis], Dyno_Data[Team],TBA_Matches_All[[#This Row],[Team]],Dyno_Data[Match],TBA_Matches_All[[#This Row],[Match_Number]],Dyno_Data[RecordType],"Activities", Dyno_Data[AcqCenter],5,Dyno_Data[Mode],"Auto")</f>
        <v>0</v>
      </c>
      <c r="AX57">
        <f>SUMIFS(Dyno_Data[DelMiss], Dyno_Data[Team],TBA_Matches_All[[#This Row],[Team]],Dyno_Data[Match],TBA_Matches_All[[#This Row],[Match_Number]],Dyno_Data[RecordType],"Activities", Dyno_Data[DelDest],"Amp")</f>
        <v>0</v>
      </c>
      <c r="AY57" s="60">
        <f>IFERROR(SUM((TBA_Matches_All[[#This Row],[AampT]]+TBA_Matches_All[[#This Row],[TampT]])/(TBA_Matches_All[[#This Row],[AampT]]+TBA_Matches_All[[#This Row],[TampT]]+TBA_Matches_All[[#This Row],[ampM]])),0)</f>
        <v>0</v>
      </c>
      <c r="AZ57">
        <f>SUMIFS(Dyno_Data[DelMiss], Dyno_Data[Team],TBA_Matches_All[[#This Row],[Team]],Dyno_Data[Match],TBA_Matches_All[[#This Row],[Match_Number]],Dyno_Data[RecordType],"Activities", Dyno_Data[DelDest],"Spkr")</f>
        <v>0</v>
      </c>
      <c r="BA57" s="60">
        <f>IFERROR(SUM((TBA_Matches_All[[#This Row],[AspkrT]]+TBA_Matches_All[[#This Row],[TspkrT]])/(TBA_Matches_All[[#This Row],[AspkrT]]+TBA_Matches_All[[#This Row],[TspkrT]]+TBA_Matches_All[[#This Row],[spkrM]])),0)</f>
        <v>1</v>
      </c>
      <c r="BB57">
        <f>SUMIFS(Dyno_Data[DelMiss], Dyno_Data[Team],TBA_Matches_All[[#This Row],[Team]],Dyno_Data[Match],TBA_Matches_All[[#This Row],[Match_Number]],Dyno_Data[RecordType],"Activities", Dyno_Data[DelDest],"Trap")</f>
        <v>0</v>
      </c>
      <c r="BC57" s="60">
        <f>IFERROR((TBA_Matches_All[[#This Row],[AtrapT]]+TBA_Matches_All[[#This Row],[TtrapT]])/(TBA_Matches_All[[#This Row],[AtrapT]]+TBA_Matches_All[[#This Row],[TtrapT]]+TBA_Matches_All[[#This Row],[trapM]]),0)</f>
        <v>0</v>
      </c>
      <c r="BD57">
        <f>COUNTIFS(Dyno_Data[Team],TBA_Matches_All[[#This Row],[Team]],Dyno_Data[Match],TBA_Matches_All[[#This Row],[Match_Number]],Dyno_Data[RecordType],"Activities",Dyno_Data[DelDest],"Neut", Dyno_Data[DelMiss],1)</f>
        <v>0</v>
      </c>
      <c r="BE57" s="60">
        <f>IFERROR(SUM((TBA_Matches_All[[#This Row],[NeutFlrT]])/(TBA_Matches_All[[#This Row],[NeutFlrT]]+TBA_Matches_All[[#This Row],[NZflM]])),0)</f>
        <v>0</v>
      </c>
      <c r="BF57">
        <f>COUNTIFS(Dyno_Data[Team],TBA_Matches_All[[#This Row],[Team]],Dyno_Data[Match],TBA_Matches_All[[#This Row],[Match_Number]],Dyno_Data[RecordType],"Activities",Dyno_Data[DelDest],"AllyW", Dyno_Data[DelMiss],1)</f>
        <v>0</v>
      </c>
      <c r="BG57" s="60">
        <f>IFERROR(SUM((TBA_Matches_All[[#This Row],[AllyWFlrT]])/(TBA_Matches_All[[#This Row],[AllyWFlrT]]+TBA_Matches_All[[#This Row],[AZflM]])),0)</f>
        <v>0</v>
      </c>
      <c r="BH57">
        <f>COUNTIFS(Dyno_Data[Team],TBA_Matches_All[[#This Row],[Team]],Dyno_Data[Match],TBA_Matches_All[[#This Row],[Match_Number]],Dyno_Data[RecordType],"Activities",Dyno_Data[DelOrig],"OppW", Dyno_Data[DelMiss],"0")</f>
        <v>0</v>
      </c>
      <c r="BI57">
        <f>COUNTIFS(Dyno_Data[Team],TBA_Matches_All[[#This Row],[Team]],Dyno_Data[Match],TBA_Matches_All[[#This Row],[Match_Number]],Dyno_Data[RecordType],"Activities",Dyno_Data[DelOrig],"OppW", Dyno_Data[DelMiss],"1")</f>
        <v>0</v>
      </c>
      <c r="BJ57" s="60">
        <f>IFERROR(SUM((TBA_Matches_All[[#This Row],[OZflrT]])/(TBA_Matches_All[[#This Row],[OZflrT]]+TBA_Matches_All[[#This Row],[OZflrM]])),0)</f>
        <v>0</v>
      </c>
      <c r="BK57">
        <f>COUNTIFS(Dyno_Data[Team],TBA_Matches_All[[#This Row],[Team]],Dyno_Data[Match],TBA_Matches_All[[#This Row],[Match_Number]],Dyno_Data[RecordType],"Activities",Dyno_Data[DelOrig],"Neut", Dyno_Data[DelMiss],"0")</f>
        <v>0</v>
      </c>
      <c r="BL57">
        <f>COUNTIFS(Dyno_Data[Team],TBA_Matches_All[[#This Row],[Team]],Dyno_Data[Match],TBA_Matches_All[[#This Row],[Match_Number]],Dyno_Data[RecordType],"Activities",Dyno_Data[DelOrig],"Neut", Dyno_Data[DelMiss],"1")</f>
        <v>0</v>
      </c>
      <c r="BM57" s="60">
        <f>IFERROR(SUM((TBA_Matches_All[[#This Row],[NZflrT]])/(TBA_Matches_All[[#This Row],[NZflrT]]+TBA_Matches_All[[#This Row],[NZflrM]])),0)</f>
        <v>0</v>
      </c>
      <c r="BN57">
        <f>COUNTIFS(Dyno_Data[Team],TBA_Matches_All[[#This Row],[Team]],Dyno_Data[Match],TBA_Matches_All[[#This Row],[Match_Number]],Dyno_Data[RecordType],"Activities",Dyno_Data[DelOrig],"AllyW", Dyno_Data[DelMiss],"0")</f>
        <v>9</v>
      </c>
      <c r="BO57">
        <f>COUNTIFS(Dyno_Data[Team],TBA_Matches_All[[#This Row],[Team]],Dyno_Data[Match],TBA_Matches_All[[#This Row],[Match_Number]],Dyno_Data[RecordType],"Activities",Dyno_Data[DelOrig],"AllyW", Dyno_Data[DelMiss],"1")</f>
        <v>0</v>
      </c>
      <c r="BP57" s="60">
        <f>IFERROR(SUM((TBA_Matches_All[[#This Row],[AZflrT]])/(TBA_Matches_All[[#This Row],[AZflrT]]+TBA_Matches_All[[#This Row],[AZflrM]])),0)</f>
        <v>1</v>
      </c>
      <c r="BQ57">
        <f>COUNTIFS(Dyno_Data[Team],TBA_Matches_All[[#This Row],[Team]],Dyno_Data[Match],TBA_Matches_All[[#This Row],[Match_Number]],Dyno_Data[RecordType],"Activities",Dyno_Data[DelOrig],"SubW", Dyno_Data[DelMiss],"0")</f>
        <v>0</v>
      </c>
      <c r="BR57">
        <f>COUNTIFS(Dyno_Data[Team],TBA_Matches_All[[#This Row],[Team]],Dyno_Data[Match],TBA_Matches_All[[#This Row],[Match_Number]],Dyno_Data[RecordType],"Activities",Dyno_Data[DelOrig],"SubW", Dyno_Data[DelMiss],"1")</f>
        <v>0</v>
      </c>
      <c r="BS57" s="60">
        <f>IFERROR(SUM((TBA_Matches_All[[#This Row],[SubwT]])/(TBA_Matches_All[[#This Row],[SubwT]]+TBA_Matches_All[[#This Row],[SubwM]])),0)</f>
        <v>0</v>
      </c>
      <c r="BT57">
        <f>COUNTIFS(Dyno_Data[Team],TBA_Matches_All[[#This Row],[Team]],Dyno_Data[Match],TBA_Matches_All[[#This Row],[Match_Number]],Dyno_Data[RecordType],"Activities", Dyno_Data[AcqLoc],"OppWing")</f>
        <v>0</v>
      </c>
      <c r="BU57">
        <f>COUNTIFS(Dyno_Data[Team],TBA_Matches_All[[#This Row],[Team]],Dyno_Data[Match],TBA_Matches_All[[#This Row],[Match_Number]],Dyno_Data[RecordType],"Activities", Dyno_Data[AcqLoc],"Neutral")</f>
        <v>0</v>
      </c>
      <c r="BV57">
        <f>COUNTIFS(Dyno_Data[Team],TBA_Matches_All[[#This Row],[Team]],Dyno_Data[Match],TBA_Matches_All[[#This Row],[Match_Number]],Dyno_Data[RecordType],"Activities", Dyno_Data[AcqLoc],"AllyWing")</f>
        <v>0</v>
      </c>
      <c r="BW57">
        <f>COUNTIFS(Dyno_Data[Team],TBA_Matches_All[[#This Row],[Team]],Dyno_Data[Match],TBA_Matches_All[[#This Row],[Match_Number]],Dyno_Data[RecordType],"Activities", Dyno_Data[AcqLoc],"Source")</f>
        <v>0</v>
      </c>
      <c r="BX57">
        <f>SUMIFS(Dyno_Data[AcqDrp], Dyno_Data[Team],TBA_Matches_All[[#This Row],[Team]],Dyno_Data[Match],TBA_Matches_All[[#This Row],[Match_Number]],Dyno_Data[RecordType],"Activities", Dyno_Data[AcqLoc],"Source")</f>
        <v>0</v>
      </c>
      <c r="BY57">
        <f>SUMIFS(Dyno_Data[OZTime], Dyno_Data[Team],TBA_Matches_All[[#This Row],[Team]],Dyno_Data[Match],TBA_Matches_All[[#This Row],[Match_Number]],Dyno_Data[RecordType],"EndMatch")</f>
        <v>33.555064299999998</v>
      </c>
      <c r="BZ57">
        <f>SUMIFS(Dyno_Data[NZTime], Dyno_Data[Team],TBA_Matches_All[[#This Row],[Team]],Dyno_Data[Match],TBA_Matches_All[[#This Row],[Match_Number]],Dyno_Data[RecordType],"EndMatch")</f>
        <v>24.6139565</v>
      </c>
      <c r="CA57">
        <f>SUMIFS(Dyno_Data[AZTime], Dyno_Data[Team],TBA_Matches_All[[#This Row],[Team]],Dyno_Data[Match],TBA_Matches_All[[#This Row],[Match_Number]],Dyno_Data[RecordType],"EndMatch")</f>
        <v>66.418044999999992</v>
      </c>
      <c r="CB57">
        <f>SUMIFS(Dyno_Data[ClimbT], Dyno_Data[Team],TBA_Matches_All[[#This Row],[Team]],Dyno_Data[Match],TBA_Matches_All[[#This Row],[Match_Number]],Dyno_Data[RecordType],"EndMatch")</f>
        <v>3.8425705999999997</v>
      </c>
      <c r="CC57" t="str">
        <f>_xlfn.XLOOKUP(SUM(MID(TBA_Matches_All[[#This Row],[Team]],4,5),(TBA_Matches_All[[#This Row],[Match_Number]]/100)),Dyno_EndMatch[teammat],Dyno_EndMatch[StageStat],"_",0,1)</f>
        <v>On</v>
      </c>
      <c r="CD57" t="str">
        <f>_xlfn.XLOOKUP(TBA_Matches_All[[#This Row],[teammat]],Dyno_EndMatch[teammat],Dyno_EndMatch[StageAtt],"_",0,1)</f>
        <v>1</v>
      </c>
      <c r="CE57" t="str">
        <f>_xlfn.XLOOKUP(TBA_Matches_All[[#This Row],[teammat]],Dyno_EndMatch[teammat],Dyno_EndMatch[StageLoc],"_",0,1)</f>
        <v>R</v>
      </c>
      <c r="CF57">
        <f>SUMIFS(Dyno_Data[Harmony], Dyno_Data[Team],TBA_Matches_All[[#This Row],[Team]],Dyno_Data[Match],TBA_Matches_All[[#This Row],[Match_Number]],Dyno_Data[RecordType],"EndMatch", Dyno_Data[StageStat],"On",Dyno_Data[Harmony],"&lt;&gt;9")</f>
        <v>0</v>
      </c>
      <c r="CG57">
        <f>SUMIFS(Dyno_Data[Spotlit], Dyno_Data[Team],TBA_Matches_All[[#This Row],[Team]],Dyno_Data[Match],TBA_Matches_All[[#This Row],[Match_Number]],Dyno_Data[RecordType],"EndMatch", Dyno_Data[StageStat],"On",Dyno_Data[Spotlit],"&lt;&gt;9")</f>
        <v>0</v>
      </c>
      <c r="CH57" t="str">
        <f>_xlfn.XLOOKUP(TBA_Matches_All[[#This Row],[teammat]],Dyno_EndMatch[teammat],Dyno_EndMatch[Strategy],"_",0,1)</f>
        <v>Hybrid</v>
      </c>
      <c r="CI57">
        <f>SUMIFS(Dyno_Data[Defense], Dyno_Data[Team],TBA_Matches_All[[#This Row],[Team]],Dyno_Data[Match],TBA_Matches_All[[#This Row],[Match_Number]],Dyno_Data[RecordType],"EndMatch",Dyno_Data[Defense],"&lt;&gt;9")</f>
        <v>0</v>
      </c>
      <c r="CJ57">
        <f>SUMIFS(Dyno_Data[Avoidance], Dyno_Data[Team],TBA_Matches_All[[#This Row],[Team]],Dyno_Data[Match],TBA_Matches_All[[#This Row],[Match_Number]],Dyno_Data[RecordType],"EndMatch",Dyno_Data[Avoidance],"&lt;&gt;9")</f>
        <v>1</v>
      </c>
      <c r="CK57" s="82">
        <f>COUNTIF($H$2:TBA_Matches_All[[#This Row],[Team]],TBA_Matches_All[[#This Row],[Team]])</f>
        <v>2</v>
      </c>
      <c r="CL57" s="111">
        <f>SUM(MID(TBA_Matches_All[[#This Row],[Team]],4,5)+TBA_Matches_All[[#This Row],[Match_Number]]/100)</f>
        <v>6911.1</v>
      </c>
      <c r="CM57">
        <f>SUM((TBA_Matches_All[[#This Row],[Leave]]*2)+(TBA_Matches_All[[#This Row],[AampT]]*2)+(TBA_Matches_All[[#This Row],[AspkrT]]*5)+(TBA_Matches_All[[#This Row],[AtrapT]]*5))</f>
        <v>12</v>
      </c>
      <c r="CN57" s="59">
        <f>IFERROR(SUM(TBA_Matches_All[[#This Row],[AptsT]]/TBA_Matches_All[[#This Row],[AutoPts]]),0)</f>
        <v>0.75</v>
      </c>
      <c r="CO57" s="59">
        <f>IFERROR(SUM(TBA_Matches_All[[#This Row],[AampT]]+TBA_Matches_All[[#This Row],[AspkrT]]+TBA_Matches_All[[#This Row],[AtrapT]]/TBA_Matches_All[[#This Row],[Aamp]]+TBA_Matches_All[[#This Row],[Aspkr]]+TBA_Matches_All[[#This Row],[AtrapT]]),0)</f>
        <v>0</v>
      </c>
      <c r="CP57" s="59">
        <f>IFERROR(SUM(TBA_Matches_All[[#This Row],[TampT]]/TBA_Matches_All[[#This Row],[Tamp]]),0)</f>
        <v>0</v>
      </c>
      <c r="CQ57" s="59">
        <f>IFERROR(SUM(TBA_Matches_All[[#This Row],[TspkrT]]/TBA_Matches_All[[#This Row],[Tspkr]]),0)</f>
        <v>1</v>
      </c>
      <c r="CR57">
        <f>SUM(TBA_Matches_All[[#This Row],[TspkrPts]]*TBA_Matches_All[[#This Row],[TspkrP]])</f>
        <v>14</v>
      </c>
      <c r="CS57" s="59">
        <f>IFERROR(SUM(TBA_Matches_All[[#This Row],[TtrapT]]/TBA_Matches_All[[#This Row],[Trap]]),0)</f>
        <v>0</v>
      </c>
      <c r="CT57" s="59">
        <f>IFERROR(SUM(TBA_Matches_All[[#This Row],[TotNotesT]]/TBA_Matches_All[[#This Row],[TotNotes]]),0)</f>
        <v>1</v>
      </c>
      <c r="CU57" s="66">
        <f>SUM((TBA_Matches_All[[#This Row],[AampT]]*2)+(TBA_Matches_All[[#This Row],[AspkrT]]*5)+(TBA_Matches_All[[#This Row],[AtrapT]]*5)+(TBA_Matches_All[[#This Row],[TampT]]*1)+(TBA_Matches_All[[#This Row],[TspkrptsC]]))</f>
        <v>24</v>
      </c>
      <c r="CV57" s="59">
        <f>IFERROR(TBA_Matches_All[[#This Row],[noteptsT]]/TBA_Matches_All[[#This Row],[NotePts]],0)</f>
        <v>1</v>
      </c>
      <c r="CW57">
        <f>SUM(IF(TBA_Matches_All[[#This Row],[stageStat]]="On",3,0),IF(TBA_Matches_All[[#This Row],[stageStat]]="Park",1,0),SUMIFS(TBA_Matches_All[[#This Row],[Spotlit]],TBA_Matches_All[[#This Row],[stageStat]],"On"),SUMIFS(TBA_Matches_All[[#This Row],[Harmony]],TBA_Matches_All[[#This Row],[stageStat]],"On"))</f>
        <v>3</v>
      </c>
      <c r="CX57" s="59">
        <f>IFERROR(TBA_Matches_All[[#This Row],[stageptsT]]/TBA_Matches_All[[#This Row],[StagePts]],0)</f>
        <v>0.5</v>
      </c>
      <c r="CY57">
        <f>SUM((TBA_Matches_All[[#This Row],[AptsT]]+TBA_Matches_All[[#This Row],[TampT]]+TBA_Matches_All[[#This Row],[TspkrptsC]]+(TBA_Matches_All[[#This Row],[TtrapT]]*5)+TBA_Matches_All[[#This Row],[stageptsT]]))</f>
        <v>29</v>
      </c>
      <c r="CZ57" s="59">
        <f>IFERROR(SUM(TBA_Matches_All[[#This Row],[TotptsC]]/TBA_Matches_All[[#This Row],[Score]]),0)</f>
        <v>0.70731707317073167</v>
      </c>
      <c r="DA5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15.1</v>
      </c>
      <c r="DB57" s="74">
        <f>SUMIFS(TBA_Matches_All[AveTeamTNoteDels],TBA_Matches_All[Match_Number],TBA_Matches_All[[#This Row],[Match_Number]],TBA_Matches_All[Alliance],"&lt;&gt;"&amp;TBA_Matches_All[[#This Row],[Alliance]],TBA_Matches_All[Scouted],"&gt;0")</f>
        <v>17.546060606060607</v>
      </c>
      <c r="DC57" s="74">
        <f>(TBA_Matches_All[[#This Row],[TampT]]+TBA_Matches_All[[#This Row],[TspkrptsC]])-TBA_Matches_All[[#This Row],[AveTeamTNoteDels]]</f>
        <v>-1.0999999999999996</v>
      </c>
      <c r="DD57" s="74">
        <f>SUMIFS(TBA_Matches_All[AveTeamTNoteDels],TBA_Matches_All[Match_Number],TBA_Matches_All[[#This Row],[Match_Number]],TBA_Matches_All[Alliance],"&lt;&gt;"&amp;TBA_Matches_All[[#This Row],[Alliance]])-TBA_Matches_All[[#This Row],[AveOppTNoteDels]]</f>
        <v>0</v>
      </c>
    </row>
    <row r="58" spans="1:108" x14ac:dyDescent="0.3">
      <c r="A58" t="s">
        <v>1042</v>
      </c>
      <c r="B58" t="s">
        <v>489</v>
      </c>
      <c r="C58" t="s">
        <v>1319</v>
      </c>
      <c r="D58">
        <v>10</v>
      </c>
      <c r="E58" t="s">
        <v>1406</v>
      </c>
      <c r="F58" t="s">
        <v>1424</v>
      </c>
      <c r="G58" t="s">
        <v>1409</v>
      </c>
      <c r="H58" t="s">
        <v>1296</v>
      </c>
      <c r="I58" t="b">
        <v>1</v>
      </c>
      <c r="J58">
        <v>42</v>
      </c>
      <c r="K58">
        <v>0</v>
      </c>
      <c r="L58">
        <v>0</v>
      </c>
      <c r="M58">
        <v>5</v>
      </c>
      <c r="N58">
        <v>0</v>
      </c>
      <c r="O58">
        <v>2</v>
      </c>
      <c r="P58">
        <v>10</v>
      </c>
      <c r="Q58">
        <v>16</v>
      </c>
      <c r="R58">
        <v>1</v>
      </c>
      <c r="S58">
        <v>0</v>
      </c>
      <c r="T58">
        <v>12</v>
      </c>
      <c r="U58">
        <v>0</v>
      </c>
      <c r="V58">
        <v>24</v>
      </c>
      <c r="W58">
        <v>12</v>
      </c>
      <c r="X58">
        <v>24</v>
      </c>
      <c r="Y58">
        <v>25</v>
      </c>
      <c r="Z58">
        <v>0</v>
      </c>
      <c r="AA58">
        <v>0</v>
      </c>
      <c r="AB58">
        <v>15</v>
      </c>
      <c r="AC58">
        <v>35</v>
      </c>
      <c r="AD58">
        <v>1</v>
      </c>
      <c r="AE58">
        <f>IFERROR(6/(COUNTIF(Dyno_EndMatch[Match],TBA_Matches_All[[#This Row],[Match_Number]])),0)</f>
        <v>1</v>
      </c>
      <c r="AF58">
        <f>COUNTIFS(Dyno_Data[Team],TBA_Matches_All[[#This Row],[Team]],Dyno_Data[Match],TBA_Matches_All[[#This Row],[Match_Number]],Dyno_Data[RecordType],"EndMatch",Dyno_Data[HPAmp],"Y")</f>
        <v>0</v>
      </c>
      <c r="AG58">
        <f>SUMIFS(Dyno_Data[Mics], Dyno_Data[Team],TBA_Matches_All[[#This Row],[Team]],Dyno_Data[Match],TBA_Matches_All[[#This Row],[Match_Number]],Dyno_Data[RecordType],"EndMatch",Dyno_Data[HPAmp],"Y")</f>
        <v>0</v>
      </c>
      <c r="AH58">
        <f>SUMIFS(Dyno_Data[Leave], Dyno_Data[Team],TBA_Matches_All[[#This Row],[Team]],Dyno_Data[Match],TBA_Matches_All[[#This Row],[Match_Number]],Dyno_Data[RecordType],"EndAuto")</f>
        <v>1</v>
      </c>
      <c r="AI58">
        <f>COUNTIFS(Dyno_Data[Team],TBA_Matches_All[[#This Row],[Team]],Dyno_Data[Match],TBA_Matches_All[[#This Row],[Match_Number]],Dyno_Data[RecordType],"Activities",Dyno_Data[DelDest],"Amp", Dyno_Data[DelMiss],"0", Dyno_Data[Mode],"Auto")</f>
        <v>0</v>
      </c>
      <c r="AJ58">
        <f>COUNTIFS(Dyno_Data[Team],TBA_Matches_All[[#This Row],[Team]],Dyno_Data[Match],TBA_Matches_All[[#This Row],[Match_Number]],Dyno_Data[RecordType],"Activities",Dyno_Data[DelDest],"Spkr", Dyno_Data[DelMiss],"0", Dyno_Data[Mode],"Auto")</f>
        <v>2</v>
      </c>
      <c r="AK58">
        <f>COUNTIFS(Dyno_Data[Team],TBA_Matches_All[[#This Row],[Team]],Dyno_Data[Match],TBA_Matches_All[[#This Row],[Match_Number]],Dyno_Data[RecordType],"Activities",Dyno_Data[DelDest],"Trap", Dyno_Data[DelMiss],"0", Dyno_Data[Mode],"Auto")</f>
        <v>0</v>
      </c>
      <c r="AL58">
        <f>COUNTIFS(Dyno_Data[Team],TBA_Matches_All[[#This Row],[Team]],Dyno_Data[Match],TBA_Matches_All[[#This Row],[Match_Number]],Dyno_Data[RecordType],"Activities",Dyno_Data[DelDest],"Amp", Dyno_Data[DelMiss],"0", Dyno_Data[Mode],"Teleop")</f>
        <v>1</v>
      </c>
      <c r="AM58">
        <f>COUNTIFS(Dyno_Data[Team],TBA_Matches_All[[#This Row],[Team]],Dyno_Data[Match],TBA_Matches_All[[#This Row],[Match_Number]],Dyno_Data[RecordType],"Activities",Dyno_Data[DelDest],"Spkr", Dyno_Data[DelMiss],"0", Dyno_Data[Mode],"Teleop")</f>
        <v>7</v>
      </c>
      <c r="AN58">
        <f>COUNTIFS(Dyno_Data[Team],TBA_Matches_All[[#This Row],[Team]],Dyno_Data[Match],TBA_Matches_All[[#This Row],[Match_Number]],Dyno_Data[RecordType],"Activities",Dyno_Data[DelDest],"Trap", Dyno_Data[DelMiss],"0", Dyno_Data[Mode],"&lt;&gt;Auto")</f>
        <v>0</v>
      </c>
      <c r="AO58">
        <f>SUM(TBA_Matches_All[[#This Row],[AampT]]+TBA_Matches_All[[#This Row],[AspkrT]]+TBA_Matches_All[[#This Row],[AtrapT]]+TBA_Matches_All[[#This Row],[TampT]]+TBA_Matches_All[[#This Row],[TspkrT]]+TBA_Matches_All[[#This Row],[TtrapT]])</f>
        <v>10</v>
      </c>
      <c r="AP58">
        <f>COUNTIFS(Dyno_Data[Team],TBA_Matches_All[[#This Row],[Team]],Dyno_Data[Match],TBA_Matches_All[[#This Row],[Match_Number]],Dyno_Data[RecordType],"Activities",Dyno_Data[DelDest],"Neut", Dyno_Data[DelMiss],"0")</f>
        <v>0</v>
      </c>
      <c r="AQ58">
        <f>COUNTIFS(Dyno_Data[Team],TBA_Matches_All[[#This Row],[Team]],Dyno_Data[Match],TBA_Matches_All[[#This Row],[Match_Number]],Dyno_Data[RecordType],"Activities",Dyno_Data[DelDest],"AllyW", Dyno_Data[DelMiss],"0")</f>
        <v>0</v>
      </c>
      <c r="AR58" t="str">
        <f>_xlfn.XLOOKUP(SUM(MID(TBA_Matches_All[[#This Row],[Team]],4,5),(TBA_Matches_All[[#This Row],[Match_Number]]/100)),Dyno_EndMatch[teammat],Dyno_EndMatch[RobotSta],"_",0,1)</f>
        <v>SubW</v>
      </c>
      <c r="AS58">
        <f>SUMIFS(Dyno_Data[AcqDis], Dyno_Data[Team],TBA_Matches_All[[#This Row],[Team]],Dyno_Data[Match],TBA_Matches_All[[#This Row],[Match_Number]],Dyno_Data[RecordType],"Activities", Dyno_Data[AcqCenter],1,Dyno_Data[Mode],"Auto")</f>
        <v>0</v>
      </c>
      <c r="AT58">
        <f>SUMIFS(Dyno_Data[AcqDis], Dyno_Data[Team],TBA_Matches_All[[#This Row],[Team]],Dyno_Data[Match],TBA_Matches_All[[#This Row],[Match_Number]],Dyno_Data[RecordType],"Activities", Dyno_Data[AcqCenter],2,Dyno_Data[Mode],"Auto")</f>
        <v>0</v>
      </c>
      <c r="AU58">
        <f>SUMIFS(Dyno_Data[AcqDis], Dyno_Data[Team],TBA_Matches_All[[#This Row],[Team]],Dyno_Data[Match],TBA_Matches_All[[#This Row],[Match_Number]],Dyno_Data[RecordType],"Activities", Dyno_Data[AcqCenter],3,Dyno_Data[Mode],"Auto")</f>
        <v>0</v>
      </c>
      <c r="AV58">
        <f>SUMIFS(Dyno_Data[AcqDis], Dyno_Data[Team],TBA_Matches_All[[#This Row],[Team]],Dyno_Data[Match],TBA_Matches_All[[#This Row],[Match_Number]],Dyno_Data[RecordType],"Activities", Dyno_Data[AcqCenter],4,Dyno_Data[Mode],"Auto")</f>
        <v>0</v>
      </c>
      <c r="AW58">
        <f>SUMIFS(Dyno_Data[AcqDis], Dyno_Data[Team],TBA_Matches_All[[#This Row],[Team]],Dyno_Data[Match],TBA_Matches_All[[#This Row],[Match_Number]],Dyno_Data[RecordType],"Activities", Dyno_Data[AcqCenter],5,Dyno_Data[Mode],"Auto")</f>
        <v>0</v>
      </c>
      <c r="AX58">
        <f>SUMIFS(Dyno_Data[DelMiss], Dyno_Data[Team],TBA_Matches_All[[#This Row],[Team]],Dyno_Data[Match],TBA_Matches_All[[#This Row],[Match_Number]],Dyno_Data[RecordType],"Activities", Dyno_Data[DelDest],"Amp")</f>
        <v>0</v>
      </c>
      <c r="AY58" s="60">
        <f>IFERROR(SUM((TBA_Matches_All[[#This Row],[AampT]]+TBA_Matches_All[[#This Row],[TampT]])/(TBA_Matches_All[[#This Row],[AampT]]+TBA_Matches_All[[#This Row],[TampT]]+TBA_Matches_All[[#This Row],[ampM]])),0)</f>
        <v>1</v>
      </c>
      <c r="AZ58">
        <f>SUMIFS(Dyno_Data[DelMiss], Dyno_Data[Team],TBA_Matches_All[[#This Row],[Team]],Dyno_Data[Match],TBA_Matches_All[[#This Row],[Match_Number]],Dyno_Data[RecordType],"Activities", Dyno_Data[DelDest],"Spkr")</f>
        <v>4</v>
      </c>
      <c r="BA58" s="60">
        <f>IFERROR(SUM((TBA_Matches_All[[#This Row],[AspkrT]]+TBA_Matches_All[[#This Row],[TspkrT]])/(TBA_Matches_All[[#This Row],[AspkrT]]+TBA_Matches_All[[#This Row],[TspkrT]]+TBA_Matches_All[[#This Row],[spkrM]])),0)</f>
        <v>0.69230769230769229</v>
      </c>
      <c r="BB58">
        <f>SUMIFS(Dyno_Data[DelMiss], Dyno_Data[Team],TBA_Matches_All[[#This Row],[Team]],Dyno_Data[Match],TBA_Matches_All[[#This Row],[Match_Number]],Dyno_Data[RecordType],"Activities", Dyno_Data[DelDest],"Trap")</f>
        <v>0</v>
      </c>
      <c r="BC58" s="60">
        <f>IFERROR((TBA_Matches_All[[#This Row],[AtrapT]]+TBA_Matches_All[[#This Row],[TtrapT]])/(TBA_Matches_All[[#This Row],[AtrapT]]+TBA_Matches_All[[#This Row],[TtrapT]]+TBA_Matches_All[[#This Row],[trapM]]),0)</f>
        <v>0</v>
      </c>
      <c r="BD58">
        <f>COUNTIFS(Dyno_Data[Team],TBA_Matches_All[[#This Row],[Team]],Dyno_Data[Match],TBA_Matches_All[[#This Row],[Match_Number]],Dyno_Data[RecordType],"Activities",Dyno_Data[DelDest],"Neut", Dyno_Data[DelMiss],1)</f>
        <v>0</v>
      </c>
      <c r="BE58" s="60">
        <f>IFERROR(SUM((TBA_Matches_All[[#This Row],[NeutFlrT]])/(TBA_Matches_All[[#This Row],[NeutFlrT]]+TBA_Matches_All[[#This Row],[NZflM]])),0)</f>
        <v>0</v>
      </c>
      <c r="BF58">
        <f>COUNTIFS(Dyno_Data[Team],TBA_Matches_All[[#This Row],[Team]],Dyno_Data[Match],TBA_Matches_All[[#This Row],[Match_Number]],Dyno_Data[RecordType],"Activities",Dyno_Data[DelDest],"AllyW", Dyno_Data[DelMiss],1)</f>
        <v>0</v>
      </c>
      <c r="BG58" s="60">
        <f>IFERROR(SUM((TBA_Matches_All[[#This Row],[AllyWFlrT]])/(TBA_Matches_All[[#This Row],[AllyWFlrT]]+TBA_Matches_All[[#This Row],[AZflM]])),0)</f>
        <v>0</v>
      </c>
      <c r="BH58">
        <f>COUNTIFS(Dyno_Data[Team],TBA_Matches_All[[#This Row],[Team]],Dyno_Data[Match],TBA_Matches_All[[#This Row],[Match_Number]],Dyno_Data[RecordType],"Activities",Dyno_Data[DelOrig],"OppW", Dyno_Data[DelMiss],"0")</f>
        <v>0</v>
      </c>
      <c r="BI58">
        <f>COUNTIFS(Dyno_Data[Team],TBA_Matches_All[[#This Row],[Team]],Dyno_Data[Match],TBA_Matches_All[[#This Row],[Match_Number]],Dyno_Data[RecordType],"Activities",Dyno_Data[DelOrig],"OppW", Dyno_Data[DelMiss],"1")</f>
        <v>1</v>
      </c>
      <c r="BJ58" s="60">
        <f>IFERROR(SUM((TBA_Matches_All[[#This Row],[OZflrT]])/(TBA_Matches_All[[#This Row],[OZflrT]]+TBA_Matches_All[[#This Row],[OZflrM]])),0)</f>
        <v>0</v>
      </c>
      <c r="BK58">
        <f>COUNTIFS(Dyno_Data[Team],TBA_Matches_All[[#This Row],[Team]],Dyno_Data[Match],TBA_Matches_All[[#This Row],[Match_Number]],Dyno_Data[RecordType],"Activities",Dyno_Data[DelOrig],"Neut", Dyno_Data[DelMiss],"0")</f>
        <v>1</v>
      </c>
      <c r="BL58">
        <f>COUNTIFS(Dyno_Data[Team],TBA_Matches_All[[#This Row],[Team]],Dyno_Data[Match],TBA_Matches_All[[#This Row],[Match_Number]],Dyno_Data[RecordType],"Activities",Dyno_Data[DelOrig],"Neut", Dyno_Data[DelMiss],"1")</f>
        <v>0</v>
      </c>
      <c r="BM58" s="60">
        <f>IFERROR(SUM((TBA_Matches_All[[#This Row],[NZflrT]])/(TBA_Matches_All[[#This Row],[NZflrT]]+TBA_Matches_All[[#This Row],[NZflrM]])),0)</f>
        <v>1</v>
      </c>
      <c r="BN58">
        <f>COUNTIFS(Dyno_Data[Team],TBA_Matches_All[[#This Row],[Team]],Dyno_Data[Match],TBA_Matches_All[[#This Row],[Match_Number]],Dyno_Data[RecordType],"Activities",Dyno_Data[DelOrig],"AllyW", Dyno_Data[DelMiss],"0")</f>
        <v>7</v>
      </c>
      <c r="BO58">
        <f>COUNTIFS(Dyno_Data[Team],TBA_Matches_All[[#This Row],[Team]],Dyno_Data[Match],TBA_Matches_All[[#This Row],[Match_Number]],Dyno_Data[RecordType],"Activities",Dyno_Data[DelOrig],"AllyW", Dyno_Data[DelMiss],"1")</f>
        <v>3</v>
      </c>
      <c r="BP58" s="60">
        <f>IFERROR(SUM((TBA_Matches_All[[#This Row],[AZflrT]])/(TBA_Matches_All[[#This Row],[AZflrT]]+TBA_Matches_All[[#This Row],[AZflrM]])),0)</f>
        <v>0.7</v>
      </c>
      <c r="BQ58">
        <f>COUNTIFS(Dyno_Data[Team],TBA_Matches_All[[#This Row],[Team]],Dyno_Data[Match],TBA_Matches_All[[#This Row],[Match_Number]],Dyno_Data[RecordType],"Activities",Dyno_Data[DelOrig],"SubW", Dyno_Data[DelMiss],"0")</f>
        <v>2</v>
      </c>
      <c r="BR58">
        <f>COUNTIFS(Dyno_Data[Team],TBA_Matches_All[[#This Row],[Team]],Dyno_Data[Match],TBA_Matches_All[[#This Row],[Match_Number]],Dyno_Data[RecordType],"Activities",Dyno_Data[DelOrig],"SubW", Dyno_Data[DelMiss],"1")</f>
        <v>0</v>
      </c>
      <c r="BS58" s="60">
        <f>IFERROR(SUM((TBA_Matches_All[[#This Row],[SubwT]])/(TBA_Matches_All[[#This Row],[SubwT]]+TBA_Matches_All[[#This Row],[SubwM]])),0)</f>
        <v>1</v>
      </c>
      <c r="BT58">
        <f>COUNTIFS(Dyno_Data[Team],TBA_Matches_All[[#This Row],[Team]],Dyno_Data[Match],TBA_Matches_All[[#This Row],[Match_Number]],Dyno_Data[RecordType],"Activities", Dyno_Data[AcqLoc],"OppWing")</f>
        <v>0</v>
      </c>
      <c r="BU58">
        <f>COUNTIFS(Dyno_Data[Team],TBA_Matches_All[[#This Row],[Team]],Dyno_Data[Match],TBA_Matches_All[[#This Row],[Match_Number]],Dyno_Data[RecordType],"Activities", Dyno_Data[AcqLoc],"Neutral")</f>
        <v>0</v>
      </c>
      <c r="BV58">
        <f>COUNTIFS(Dyno_Data[Team],TBA_Matches_All[[#This Row],[Team]],Dyno_Data[Match],TBA_Matches_All[[#This Row],[Match_Number]],Dyno_Data[RecordType],"Activities", Dyno_Data[AcqLoc],"AllyWing")</f>
        <v>0</v>
      </c>
      <c r="BW58">
        <f>COUNTIFS(Dyno_Data[Team],TBA_Matches_All[[#This Row],[Team]],Dyno_Data[Match],TBA_Matches_All[[#This Row],[Match_Number]],Dyno_Data[RecordType],"Activities", Dyno_Data[AcqLoc],"Source")</f>
        <v>0</v>
      </c>
      <c r="BX58">
        <f>SUMIFS(Dyno_Data[AcqDrp], Dyno_Data[Team],TBA_Matches_All[[#This Row],[Team]],Dyno_Data[Match],TBA_Matches_All[[#This Row],[Match_Number]],Dyno_Data[RecordType],"Activities", Dyno_Data[AcqLoc],"Source")</f>
        <v>0</v>
      </c>
      <c r="BY58">
        <f>SUMIFS(Dyno_Data[OZTime], Dyno_Data[Team],TBA_Matches_All[[#This Row],[Team]],Dyno_Data[Match],TBA_Matches_All[[#This Row],[Match_Number]],Dyno_Data[RecordType],"EndMatch")</f>
        <v>10.785019999999999</v>
      </c>
      <c r="BZ58">
        <f>SUMIFS(Dyno_Data[NZTime], Dyno_Data[Team],TBA_Matches_All[[#This Row],[Team]],Dyno_Data[Match],TBA_Matches_All[[#This Row],[Match_Number]],Dyno_Data[RecordType],"EndMatch")</f>
        <v>20.564121399999998</v>
      </c>
      <c r="CA58">
        <f>SUMIFS(Dyno_Data[AZTime], Dyno_Data[Team],TBA_Matches_All[[#This Row],[Team]],Dyno_Data[Match],TBA_Matches_All[[#This Row],[Match_Number]],Dyno_Data[RecordType],"EndMatch")</f>
        <v>106.03252239999999</v>
      </c>
      <c r="CB58">
        <f>SUMIFS(Dyno_Data[ClimbT], Dyno_Data[Team],TBA_Matches_All[[#This Row],[Team]],Dyno_Data[Match],TBA_Matches_All[[#This Row],[Match_Number]],Dyno_Data[RecordType],"EndMatch")</f>
        <v>0</v>
      </c>
      <c r="CC58" t="str">
        <f>_xlfn.XLOOKUP(SUM(MID(TBA_Matches_All[[#This Row],[Team]],4,5),(TBA_Matches_All[[#This Row],[Match_Number]]/100)),Dyno_EndMatch[teammat],Dyno_EndMatch[StageStat],"_",0,1)</f>
        <v>Else</v>
      </c>
      <c r="CD58" t="str">
        <f>_xlfn.XLOOKUP(TBA_Matches_All[[#This Row],[teammat]],Dyno_EndMatch[teammat],Dyno_EndMatch[StageAtt],"_",0,1)</f>
        <v>0</v>
      </c>
      <c r="CE58" t="str">
        <f>_xlfn.XLOOKUP(TBA_Matches_All[[#This Row],[teammat]],Dyno_EndMatch[teammat],Dyno_EndMatch[StageLoc],"_",0,1)</f>
        <v>A</v>
      </c>
      <c r="CF58">
        <f>SUMIFS(Dyno_Data[Harmony], Dyno_Data[Team],TBA_Matches_All[[#This Row],[Team]],Dyno_Data[Match],TBA_Matches_All[[#This Row],[Match_Number]],Dyno_Data[RecordType],"EndMatch", Dyno_Data[StageStat],"On",Dyno_Data[Harmony],"&lt;&gt;9")</f>
        <v>0</v>
      </c>
      <c r="CG58">
        <f>SUMIFS(Dyno_Data[Spotlit], Dyno_Data[Team],TBA_Matches_All[[#This Row],[Team]],Dyno_Data[Match],TBA_Matches_All[[#This Row],[Match_Number]],Dyno_Data[RecordType],"EndMatch", Dyno_Data[StageStat],"On",Dyno_Data[Spotlit],"&lt;&gt;9")</f>
        <v>0</v>
      </c>
      <c r="CH58" t="str">
        <f>_xlfn.XLOOKUP(TBA_Matches_All[[#This Row],[teammat]],Dyno_EndMatch[teammat],Dyno_EndMatch[Strategy],"_",0,1)</f>
        <v>Hybrid</v>
      </c>
      <c r="CI58">
        <f>SUMIFS(Dyno_Data[Defense], Dyno_Data[Team],TBA_Matches_All[[#This Row],[Team]],Dyno_Data[Match],TBA_Matches_All[[#This Row],[Match_Number]],Dyno_Data[RecordType],"EndMatch",Dyno_Data[Defense],"&lt;&gt;9")</f>
        <v>0</v>
      </c>
      <c r="CJ58">
        <f>SUMIFS(Dyno_Data[Avoidance], Dyno_Data[Team],TBA_Matches_All[[#This Row],[Team]],Dyno_Data[Match],TBA_Matches_All[[#This Row],[Match_Number]],Dyno_Data[RecordType],"EndMatch",Dyno_Data[Avoidance],"&lt;&gt;9")</f>
        <v>1</v>
      </c>
      <c r="CK58" s="82">
        <f>COUNTIF($H$2:TBA_Matches_All[[#This Row],[Team]],TBA_Matches_All[[#This Row],[Team]])</f>
        <v>2</v>
      </c>
      <c r="CL58" s="111">
        <f>SUM(MID(TBA_Matches_All[[#This Row],[Team]],4,5)+TBA_Matches_All[[#This Row],[Match_Number]]/100)</f>
        <v>3003.1</v>
      </c>
      <c r="CM58">
        <f>SUM((TBA_Matches_All[[#This Row],[Leave]]*2)+(TBA_Matches_All[[#This Row],[AampT]]*2)+(TBA_Matches_All[[#This Row],[AspkrT]]*5)+(TBA_Matches_All[[#This Row],[AtrapT]]*5))</f>
        <v>12</v>
      </c>
      <c r="CN58" s="59">
        <f>IFERROR(SUM(TBA_Matches_All[[#This Row],[AptsT]]/TBA_Matches_All[[#This Row],[AutoPts]]),0)</f>
        <v>0.75</v>
      </c>
      <c r="CO58" s="59">
        <f>IFERROR(SUM(TBA_Matches_All[[#This Row],[AampT]]+TBA_Matches_All[[#This Row],[AspkrT]]+TBA_Matches_All[[#This Row],[AtrapT]]/TBA_Matches_All[[#This Row],[Aamp]]+TBA_Matches_All[[#This Row],[Aspkr]]+TBA_Matches_All[[#This Row],[AtrapT]]),0)</f>
        <v>0</v>
      </c>
      <c r="CP58" s="59">
        <f>IFERROR(SUM(TBA_Matches_All[[#This Row],[TampT]]/TBA_Matches_All[[#This Row],[Tamp]]),0)</f>
        <v>1</v>
      </c>
      <c r="CQ58" s="59">
        <f>IFERROR(SUM(TBA_Matches_All[[#This Row],[TspkrT]]/TBA_Matches_All[[#This Row],[Tspkr]]),0)</f>
        <v>0.58333333333333337</v>
      </c>
      <c r="CR58">
        <f>SUM(TBA_Matches_All[[#This Row],[TspkrPts]]*TBA_Matches_All[[#This Row],[TspkrP]])</f>
        <v>14</v>
      </c>
      <c r="CS58" s="59">
        <f>IFERROR(SUM(TBA_Matches_All[[#This Row],[TtrapT]]/TBA_Matches_All[[#This Row],[Trap]]),0)</f>
        <v>0</v>
      </c>
      <c r="CT58" s="59">
        <f>IFERROR(SUM(TBA_Matches_All[[#This Row],[TotNotesT]]/TBA_Matches_All[[#This Row],[TotNotes]]),0)</f>
        <v>0.66666666666666663</v>
      </c>
      <c r="CU58" s="66">
        <f>SUM((TBA_Matches_All[[#This Row],[AampT]]*2)+(TBA_Matches_All[[#This Row],[AspkrT]]*5)+(TBA_Matches_All[[#This Row],[AtrapT]]*5)+(TBA_Matches_All[[#This Row],[TampT]]*1)+(TBA_Matches_All[[#This Row],[TspkrptsC]]))</f>
        <v>25</v>
      </c>
      <c r="CV58" s="59">
        <f>IFERROR(TBA_Matches_All[[#This Row],[noteptsT]]/TBA_Matches_All[[#This Row],[NotePts]],0)</f>
        <v>0.7142857142857143</v>
      </c>
      <c r="CW58">
        <f>SUM(IF(TBA_Matches_All[[#This Row],[stageStat]]="On",3,0),IF(TBA_Matches_All[[#This Row],[stageStat]]="Park",1,0),SUMIFS(TBA_Matches_All[[#This Row],[Spotlit]],TBA_Matches_All[[#This Row],[stageStat]],"On"),SUMIFS(TBA_Matches_All[[#This Row],[Harmony]],TBA_Matches_All[[#This Row],[stageStat]],"On"))</f>
        <v>0</v>
      </c>
      <c r="CX58" s="59">
        <f>IFERROR(TBA_Matches_All[[#This Row],[stageptsT]]/TBA_Matches_All[[#This Row],[StagePts]],0)</f>
        <v>0</v>
      </c>
      <c r="CY58">
        <f>SUM((TBA_Matches_All[[#This Row],[AptsT]]+TBA_Matches_All[[#This Row],[TampT]]+TBA_Matches_All[[#This Row],[TspkrptsC]]+(TBA_Matches_All[[#This Row],[TtrapT]]*5)+TBA_Matches_All[[#This Row],[stageptsT]]))</f>
        <v>27</v>
      </c>
      <c r="CZ58" s="59">
        <f>IFERROR(SUM(TBA_Matches_All[[#This Row],[TotptsC]]/TBA_Matches_All[[#This Row],[Score]]),0)</f>
        <v>0.6428571428571429</v>
      </c>
      <c r="DA5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9.045454545454545</v>
      </c>
      <c r="DB58" s="74">
        <f>SUMIFS(TBA_Matches_All[AveTeamTNoteDels],TBA_Matches_All[Match_Number],TBA_Matches_All[[#This Row],[Match_Number]],TBA_Matches_All[Alliance],"&lt;&gt;"&amp;TBA_Matches_All[[#This Row],[Alliance]],TBA_Matches_All[Scouted],"&gt;0")</f>
        <v>25.546666666666667</v>
      </c>
      <c r="DC58" s="74">
        <f>(TBA_Matches_All[[#This Row],[TampT]]+TBA_Matches_All[[#This Row],[TspkrptsC]])-TBA_Matches_All[[#This Row],[AveTeamTNoteDels]]</f>
        <v>5.954545454545455</v>
      </c>
      <c r="DD58" s="74">
        <f>SUMIFS(TBA_Matches_All[AveTeamTNoteDels],TBA_Matches_All[Match_Number],TBA_Matches_All[[#This Row],[Match_Number]],TBA_Matches_All[Alliance],"&lt;&gt;"&amp;TBA_Matches_All[[#This Row],[Alliance]])-TBA_Matches_All[[#This Row],[AveOppTNoteDels]]</f>
        <v>0</v>
      </c>
    </row>
    <row r="59" spans="1:108" x14ac:dyDescent="0.3">
      <c r="A59" t="s">
        <v>1042</v>
      </c>
      <c r="B59" t="s">
        <v>489</v>
      </c>
      <c r="C59" t="s">
        <v>1319</v>
      </c>
      <c r="D59">
        <v>10</v>
      </c>
      <c r="E59" t="s">
        <v>1420</v>
      </c>
      <c r="F59" t="s">
        <v>1425</v>
      </c>
      <c r="G59" t="s">
        <v>105</v>
      </c>
      <c r="H59" t="s">
        <v>1279</v>
      </c>
      <c r="I59" t="b">
        <v>0</v>
      </c>
      <c r="J59">
        <v>41</v>
      </c>
      <c r="K59">
        <v>0</v>
      </c>
      <c r="L59">
        <v>0</v>
      </c>
      <c r="M59">
        <v>0</v>
      </c>
      <c r="N59">
        <v>0</v>
      </c>
      <c r="O59">
        <v>2</v>
      </c>
      <c r="P59">
        <v>10</v>
      </c>
      <c r="Q59">
        <v>16</v>
      </c>
      <c r="R59">
        <v>0</v>
      </c>
      <c r="S59">
        <v>0</v>
      </c>
      <c r="T59">
        <v>7</v>
      </c>
      <c r="U59">
        <v>0</v>
      </c>
      <c r="V59">
        <v>14</v>
      </c>
      <c r="W59">
        <v>7</v>
      </c>
      <c r="X59">
        <v>14</v>
      </c>
      <c r="Y59">
        <v>14</v>
      </c>
      <c r="Z59">
        <v>0</v>
      </c>
      <c r="AA59">
        <v>0</v>
      </c>
      <c r="AB59">
        <v>9</v>
      </c>
      <c r="AC59">
        <v>24</v>
      </c>
      <c r="AD59">
        <v>6</v>
      </c>
      <c r="AE59">
        <f>IFERROR(6/(COUNTIF(Dyno_EndMatch[Match],TBA_Matches_All[[#This Row],[Match_Number]])),0)</f>
        <v>1</v>
      </c>
      <c r="AF59">
        <f>COUNTIFS(Dyno_Data[Team],TBA_Matches_All[[#This Row],[Team]],Dyno_Data[Match],TBA_Matches_All[[#This Row],[Match_Number]],Dyno_Data[RecordType],"EndMatch",Dyno_Data[HPAmp],"Y")</f>
        <v>1</v>
      </c>
      <c r="AG59">
        <f>SUMIFS(Dyno_Data[Mics], Dyno_Data[Team],TBA_Matches_All[[#This Row],[Team]],Dyno_Data[Match],TBA_Matches_All[[#This Row],[Match_Number]],Dyno_Data[RecordType],"EndMatch",Dyno_Data[HPAmp],"Y")</f>
        <v>0</v>
      </c>
      <c r="AH59">
        <f>SUMIFS(Dyno_Data[Leave], Dyno_Data[Team],TBA_Matches_All[[#This Row],[Team]],Dyno_Data[Match],TBA_Matches_All[[#This Row],[Match_Number]],Dyno_Data[RecordType],"EndAuto")</f>
        <v>1</v>
      </c>
      <c r="AI59">
        <f>COUNTIFS(Dyno_Data[Team],TBA_Matches_All[[#This Row],[Team]],Dyno_Data[Match],TBA_Matches_All[[#This Row],[Match_Number]],Dyno_Data[RecordType],"Activities",Dyno_Data[DelDest],"Amp", Dyno_Data[DelMiss],"0", Dyno_Data[Mode],"Auto")</f>
        <v>0</v>
      </c>
      <c r="AJ59">
        <f>COUNTIFS(Dyno_Data[Team],TBA_Matches_All[[#This Row],[Team]],Dyno_Data[Match],TBA_Matches_All[[#This Row],[Match_Number]],Dyno_Data[RecordType],"Activities",Dyno_Data[DelDest],"Spkr", Dyno_Data[DelMiss],"0", Dyno_Data[Mode],"Auto")</f>
        <v>0</v>
      </c>
      <c r="AK59">
        <f>COUNTIFS(Dyno_Data[Team],TBA_Matches_All[[#This Row],[Team]],Dyno_Data[Match],TBA_Matches_All[[#This Row],[Match_Number]],Dyno_Data[RecordType],"Activities",Dyno_Data[DelDest],"Trap", Dyno_Data[DelMiss],"0", Dyno_Data[Mode],"Auto")</f>
        <v>0</v>
      </c>
      <c r="AL59">
        <f>COUNTIFS(Dyno_Data[Team],TBA_Matches_All[[#This Row],[Team]],Dyno_Data[Match],TBA_Matches_All[[#This Row],[Match_Number]],Dyno_Data[RecordType],"Activities",Dyno_Data[DelDest],"Amp", Dyno_Data[DelMiss],"0", Dyno_Data[Mode],"Teleop")</f>
        <v>0</v>
      </c>
      <c r="AM59">
        <f>COUNTIFS(Dyno_Data[Team],TBA_Matches_All[[#This Row],[Team]],Dyno_Data[Match],TBA_Matches_All[[#This Row],[Match_Number]],Dyno_Data[RecordType],"Activities",Dyno_Data[DelDest],"Spkr", Dyno_Data[DelMiss],"0", Dyno_Data[Mode],"Teleop")</f>
        <v>0</v>
      </c>
      <c r="AN59">
        <f>COUNTIFS(Dyno_Data[Team],TBA_Matches_All[[#This Row],[Team]],Dyno_Data[Match],TBA_Matches_All[[#This Row],[Match_Number]],Dyno_Data[RecordType],"Activities",Dyno_Data[DelDest],"Trap", Dyno_Data[DelMiss],"0", Dyno_Data[Mode],"&lt;&gt;Auto")</f>
        <v>0</v>
      </c>
      <c r="AO59">
        <f>SUM(TBA_Matches_All[[#This Row],[AampT]]+TBA_Matches_All[[#This Row],[AspkrT]]+TBA_Matches_All[[#This Row],[AtrapT]]+TBA_Matches_All[[#This Row],[TampT]]+TBA_Matches_All[[#This Row],[TspkrT]]+TBA_Matches_All[[#This Row],[TtrapT]])</f>
        <v>0</v>
      </c>
      <c r="AP59">
        <f>COUNTIFS(Dyno_Data[Team],TBA_Matches_All[[#This Row],[Team]],Dyno_Data[Match],TBA_Matches_All[[#This Row],[Match_Number]],Dyno_Data[RecordType],"Activities",Dyno_Data[DelDest],"Neut", Dyno_Data[DelMiss],"0")</f>
        <v>0</v>
      </c>
      <c r="AQ59">
        <f>COUNTIFS(Dyno_Data[Team],TBA_Matches_All[[#This Row],[Team]],Dyno_Data[Match],TBA_Matches_All[[#This Row],[Match_Number]],Dyno_Data[RecordType],"Activities",Dyno_Data[DelDest],"AllyW", Dyno_Data[DelMiss],"0")</f>
        <v>0</v>
      </c>
      <c r="AR59" t="str">
        <f>_xlfn.XLOOKUP(SUM(MID(TBA_Matches_All[[#This Row],[Team]],4,5),(TBA_Matches_All[[#This Row],[Match_Number]]/100)),Dyno_EndMatch[teammat],Dyno_EndMatch[RobotSta],"_",0,1)</f>
        <v>OppS</v>
      </c>
      <c r="AS59">
        <f>SUMIFS(Dyno_Data[AcqDis], Dyno_Data[Team],TBA_Matches_All[[#This Row],[Team]],Dyno_Data[Match],TBA_Matches_All[[#This Row],[Match_Number]],Dyno_Data[RecordType],"Activities", Dyno_Data[AcqCenter],1,Dyno_Data[Mode],"Auto")</f>
        <v>0</v>
      </c>
      <c r="AT59">
        <f>SUMIFS(Dyno_Data[AcqDis], Dyno_Data[Team],TBA_Matches_All[[#This Row],[Team]],Dyno_Data[Match],TBA_Matches_All[[#This Row],[Match_Number]],Dyno_Data[RecordType],"Activities", Dyno_Data[AcqCenter],2,Dyno_Data[Mode],"Auto")</f>
        <v>0</v>
      </c>
      <c r="AU59">
        <f>SUMIFS(Dyno_Data[AcqDis], Dyno_Data[Team],TBA_Matches_All[[#This Row],[Team]],Dyno_Data[Match],TBA_Matches_All[[#This Row],[Match_Number]],Dyno_Data[RecordType],"Activities", Dyno_Data[AcqCenter],3,Dyno_Data[Mode],"Auto")</f>
        <v>0</v>
      </c>
      <c r="AV59">
        <f>SUMIFS(Dyno_Data[AcqDis], Dyno_Data[Team],TBA_Matches_All[[#This Row],[Team]],Dyno_Data[Match],TBA_Matches_All[[#This Row],[Match_Number]],Dyno_Data[RecordType],"Activities", Dyno_Data[AcqCenter],4,Dyno_Data[Mode],"Auto")</f>
        <v>0</v>
      </c>
      <c r="AW59">
        <f>SUMIFS(Dyno_Data[AcqDis], Dyno_Data[Team],TBA_Matches_All[[#This Row],[Team]],Dyno_Data[Match],TBA_Matches_All[[#This Row],[Match_Number]],Dyno_Data[RecordType],"Activities", Dyno_Data[AcqCenter],5,Dyno_Data[Mode],"Auto")</f>
        <v>0</v>
      </c>
      <c r="AX59">
        <f>SUMIFS(Dyno_Data[DelMiss], Dyno_Data[Team],TBA_Matches_All[[#This Row],[Team]],Dyno_Data[Match],TBA_Matches_All[[#This Row],[Match_Number]],Dyno_Data[RecordType],"Activities", Dyno_Data[DelDest],"Amp")</f>
        <v>0</v>
      </c>
      <c r="AY59" s="60">
        <f>IFERROR(SUM((TBA_Matches_All[[#This Row],[AampT]]+TBA_Matches_All[[#This Row],[TampT]])/(TBA_Matches_All[[#This Row],[AampT]]+TBA_Matches_All[[#This Row],[TampT]]+TBA_Matches_All[[#This Row],[ampM]])),0)</f>
        <v>0</v>
      </c>
      <c r="AZ59">
        <f>SUMIFS(Dyno_Data[DelMiss], Dyno_Data[Team],TBA_Matches_All[[#This Row],[Team]],Dyno_Data[Match],TBA_Matches_All[[#This Row],[Match_Number]],Dyno_Data[RecordType],"Activities", Dyno_Data[DelDest],"Spkr")</f>
        <v>0</v>
      </c>
      <c r="BA59" s="60">
        <f>IFERROR(SUM((TBA_Matches_All[[#This Row],[AspkrT]]+TBA_Matches_All[[#This Row],[TspkrT]])/(TBA_Matches_All[[#This Row],[AspkrT]]+TBA_Matches_All[[#This Row],[TspkrT]]+TBA_Matches_All[[#This Row],[spkrM]])),0)</f>
        <v>0</v>
      </c>
      <c r="BB59">
        <f>SUMIFS(Dyno_Data[DelMiss], Dyno_Data[Team],TBA_Matches_All[[#This Row],[Team]],Dyno_Data[Match],TBA_Matches_All[[#This Row],[Match_Number]],Dyno_Data[RecordType],"Activities", Dyno_Data[DelDest],"Trap")</f>
        <v>0</v>
      </c>
      <c r="BC59" s="60">
        <f>IFERROR((TBA_Matches_All[[#This Row],[AtrapT]]+TBA_Matches_All[[#This Row],[TtrapT]])/(TBA_Matches_All[[#This Row],[AtrapT]]+TBA_Matches_All[[#This Row],[TtrapT]]+TBA_Matches_All[[#This Row],[trapM]]),0)</f>
        <v>0</v>
      </c>
      <c r="BD59">
        <f>COUNTIFS(Dyno_Data[Team],TBA_Matches_All[[#This Row],[Team]],Dyno_Data[Match],TBA_Matches_All[[#This Row],[Match_Number]],Dyno_Data[RecordType],"Activities",Dyno_Data[DelDest],"Neut", Dyno_Data[DelMiss],1)</f>
        <v>0</v>
      </c>
      <c r="BE59" s="60">
        <f>IFERROR(SUM((TBA_Matches_All[[#This Row],[NeutFlrT]])/(TBA_Matches_All[[#This Row],[NeutFlrT]]+TBA_Matches_All[[#This Row],[NZflM]])),0)</f>
        <v>0</v>
      </c>
      <c r="BF59">
        <f>COUNTIFS(Dyno_Data[Team],TBA_Matches_All[[#This Row],[Team]],Dyno_Data[Match],TBA_Matches_All[[#This Row],[Match_Number]],Dyno_Data[RecordType],"Activities",Dyno_Data[DelDest],"AllyW", Dyno_Data[DelMiss],1)</f>
        <v>0</v>
      </c>
      <c r="BG59" s="60">
        <f>IFERROR(SUM((TBA_Matches_All[[#This Row],[AllyWFlrT]])/(TBA_Matches_All[[#This Row],[AllyWFlrT]]+TBA_Matches_All[[#This Row],[AZflM]])),0)</f>
        <v>0</v>
      </c>
      <c r="BH59">
        <f>COUNTIFS(Dyno_Data[Team],TBA_Matches_All[[#This Row],[Team]],Dyno_Data[Match],TBA_Matches_All[[#This Row],[Match_Number]],Dyno_Data[RecordType],"Activities",Dyno_Data[DelOrig],"OppW", Dyno_Data[DelMiss],"0")</f>
        <v>0</v>
      </c>
      <c r="BI59">
        <f>COUNTIFS(Dyno_Data[Team],TBA_Matches_All[[#This Row],[Team]],Dyno_Data[Match],TBA_Matches_All[[#This Row],[Match_Number]],Dyno_Data[RecordType],"Activities",Dyno_Data[DelOrig],"OppW", Dyno_Data[DelMiss],"1")</f>
        <v>0</v>
      </c>
      <c r="BJ59" s="60">
        <f>IFERROR(SUM((TBA_Matches_All[[#This Row],[OZflrT]])/(TBA_Matches_All[[#This Row],[OZflrT]]+TBA_Matches_All[[#This Row],[OZflrM]])),0)</f>
        <v>0</v>
      </c>
      <c r="BK59">
        <f>COUNTIFS(Dyno_Data[Team],TBA_Matches_All[[#This Row],[Team]],Dyno_Data[Match],TBA_Matches_All[[#This Row],[Match_Number]],Dyno_Data[RecordType],"Activities",Dyno_Data[DelOrig],"Neut", Dyno_Data[DelMiss],"0")</f>
        <v>0</v>
      </c>
      <c r="BL59">
        <f>COUNTIFS(Dyno_Data[Team],TBA_Matches_All[[#This Row],[Team]],Dyno_Data[Match],TBA_Matches_All[[#This Row],[Match_Number]],Dyno_Data[RecordType],"Activities",Dyno_Data[DelOrig],"Neut", Dyno_Data[DelMiss],"1")</f>
        <v>0</v>
      </c>
      <c r="BM59" s="60">
        <f>IFERROR(SUM((TBA_Matches_All[[#This Row],[NZflrT]])/(TBA_Matches_All[[#This Row],[NZflrT]]+TBA_Matches_All[[#This Row],[NZflrM]])),0)</f>
        <v>0</v>
      </c>
      <c r="BN59">
        <f>COUNTIFS(Dyno_Data[Team],TBA_Matches_All[[#This Row],[Team]],Dyno_Data[Match],TBA_Matches_All[[#This Row],[Match_Number]],Dyno_Data[RecordType],"Activities",Dyno_Data[DelOrig],"AllyW", Dyno_Data[DelMiss],"0")</f>
        <v>0</v>
      </c>
      <c r="BO59">
        <f>COUNTIFS(Dyno_Data[Team],TBA_Matches_All[[#This Row],[Team]],Dyno_Data[Match],TBA_Matches_All[[#This Row],[Match_Number]],Dyno_Data[RecordType],"Activities",Dyno_Data[DelOrig],"AllyW", Dyno_Data[DelMiss],"1")</f>
        <v>0</v>
      </c>
      <c r="BP59" s="60">
        <f>IFERROR(SUM((TBA_Matches_All[[#This Row],[AZflrT]])/(TBA_Matches_All[[#This Row],[AZflrT]]+TBA_Matches_All[[#This Row],[AZflrM]])),0)</f>
        <v>0</v>
      </c>
      <c r="BQ59">
        <f>COUNTIFS(Dyno_Data[Team],TBA_Matches_All[[#This Row],[Team]],Dyno_Data[Match],TBA_Matches_All[[#This Row],[Match_Number]],Dyno_Data[RecordType],"Activities",Dyno_Data[DelOrig],"SubW", Dyno_Data[DelMiss],"0")</f>
        <v>0</v>
      </c>
      <c r="BR59">
        <f>COUNTIFS(Dyno_Data[Team],TBA_Matches_All[[#This Row],[Team]],Dyno_Data[Match],TBA_Matches_All[[#This Row],[Match_Number]],Dyno_Data[RecordType],"Activities",Dyno_Data[DelOrig],"SubW", Dyno_Data[DelMiss],"1")</f>
        <v>0</v>
      </c>
      <c r="BS59" s="60">
        <f>IFERROR(SUM((TBA_Matches_All[[#This Row],[SubwT]])/(TBA_Matches_All[[#This Row],[SubwT]]+TBA_Matches_All[[#This Row],[SubwM]])),0)</f>
        <v>0</v>
      </c>
      <c r="BT59">
        <f>COUNTIFS(Dyno_Data[Team],TBA_Matches_All[[#This Row],[Team]],Dyno_Data[Match],TBA_Matches_All[[#This Row],[Match_Number]],Dyno_Data[RecordType],"Activities", Dyno_Data[AcqLoc],"OppWing")</f>
        <v>0</v>
      </c>
      <c r="BU59">
        <f>COUNTIFS(Dyno_Data[Team],TBA_Matches_All[[#This Row],[Team]],Dyno_Data[Match],TBA_Matches_All[[#This Row],[Match_Number]],Dyno_Data[RecordType],"Activities", Dyno_Data[AcqLoc],"Neutral")</f>
        <v>0</v>
      </c>
      <c r="BV59">
        <f>COUNTIFS(Dyno_Data[Team],TBA_Matches_All[[#This Row],[Team]],Dyno_Data[Match],TBA_Matches_All[[#This Row],[Match_Number]],Dyno_Data[RecordType],"Activities", Dyno_Data[AcqLoc],"AllyWing")</f>
        <v>0</v>
      </c>
      <c r="BW59">
        <f>COUNTIFS(Dyno_Data[Team],TBA_Matches_All[[#This Row],[Team]],Dyno_Data[Match],TBA_Matches_All[[#This Row],[Match_Number]],Dyno_Data[RecordType],"Activities", Dyno_Data[AcqLoc],"Source")</f>
        <v>0</v>
      </c>
      <c r="BX59">
        <f>SUMIFS(Dyno_Data[AcqDrp], Dyno_Data[Team],TBA_Matches_All[[#This Row],[Team]],Dyno_Data[Match],TBA_Matches_All[[#This Row],[Match_Number]],Dyno_Data[RecordType],"Activities", Dyno_Data[AcqLoc],"Source")</f>
        <v>0</v>
      </c>
      <c r="BY59">
        <f>SUMIFS(Dyno_Data[OZTime], Dyno_Data[Team],TBA_Matches_All[[#This Row],[Team]],Dyno_Data[Match],TBA_Matches_All[[#This Row],[Match_Number]],Dyno_Data[RecordType],"EndMatch")</f>
        <v>0</v>
      </c>
      <c r="BZ59">
        <f>SUMIFS(Dyno_Data[NZTime], Dyno_Data[Team],TBA_Matches_All[[#This Row],[Team]],Dyno_Data[Match],TBA_Matches_All[[#This Row],[Match_Number]],Dyno_Data[RecordType],"EndMatch")</f>
        <v>80.491101700000002</v>
      </c>
      <c r="CA59">
        <f>SUMIFS(Dyno_Data[AZTime], Dyno_Data[Team],TBA_Matches_All[[#This Row],[Team]],Dyno_Data[Match],TBA_Matches_All[[#This Row],[Match_Number]],Dyno_Data[RecordType],"EndMatch")</f>
        <v>55.213855199999998</v>
      </c>
      <c r="CB59">
        <f>SUMIFS(Dyno_Data[ClimbT], Dyno_Data[Team],TBA_Matches_All[[#This Row],[Team]],Dyno_Data[Match],TBA_Matches_All[[#This Row],[Match_Number]],Dyno_Data[RecordType],"EndMatch")</f>
        <v>0</v>
      </c>
      <c r="CC59" t="str">
        <f>_xlfn.XLOOKUP(SUM(MID(TBA_Matches_All[[#This Row],[Team]],4,5),(TBA_Matches_All[[#This Row],[Match_Number]]/100)),Dyno_EndMatch[teammat],Dyno_EndMatch[StageStat],"_",0,1)</f>
        <v>Else</v>
      </c>
      <c r="CD59" t="str">
        <f>_xlfn.XLOOKUP(TBA_Matches_All[[#This Row],[teammat]],Dyno_EndMatch[teammat],Dyno_EndMatch[StageAtt],"_",0,1)</f>
        <v>0</v>
      </c>
      <c r="CE59" t="str">
        <f>_xlfn.XLOOKUP(TBA_Matches_All[[#This Row],[teammat]],Dyno_EndMatch[teammat],Dyno_EndMatch[StageLoc],"_",0,1)</f>
        <v>A</v>
      </c>
      <c r="CF59">
        <f>SUMIFS(Dyno_Data[Harmony], Dyno_Data[Team],TBA_Matches_All[[#This Row],[Team]],Dyno_Data[Match],TBA_Matches_All[[#This Row],[Match_Number]],Dyno_Data[RecordType],"EndMatch", Dyno_Data[StageStat],"On",Dyno_Data[Harmony],"&lt;&gt;9")</f>
        <v>0</v>
      </c>
      <c r="CG59">
        <f>SUMIFS(Dyno_Data[Spotlit], Dyno_Data[Team],TBA_Matches_All[[#This Row],[Team]],Dyno_Data[Match],TBA_Matches_All[[#This Row],[Match_Number]],Dyno_Data[RecordType],"EndMatch", Dyno_Data[StageStat],"On",Dyno_Data[Spotlit],"&lt;&gt;9")</f>
        <v>0</v>
      </c>
      <c r="CH59" t="str">
        <f>_xlfn.XLOOKUP(TBA_Matches_All[[#This Row],[teammat]],Dyno_EndMatch[teammat],Dyno_EndMatch[Strategy],"_",0,1)</f>
        <v>Defense</v>
      </c>
      <c r="CI59">
        <f>SUMIFS(Dyno_Data[Defense], Dyno_Data[Team],TBA_Matches_All[[#This Row],[Team]],Dyno_Data[Match],TBA_Matches_All[[#This Row],[Match_Number]],Dyno_Data[RecordType],"EndMatch",Dyno_Data[Defense],"&lt;&gt;9")</f>
        <v>3</v>
      </c>
      <c r="CJ59">
        <f>SUMIFS(Dyno_Data[Avoidance], Dyno_Data[Team],TBA_Matches_All[[#This Row],[Team]],Dyno_Data[Match],TBA_Matches_All[[#This Row],[Match_Number]],Dyno_Data[RecordType],"EndMatch",Dyno_Data[Avoidance],"&lt;&gt;9")</f>
        <v>0</v>
      </c>
      <c r="CK59" s="82">
        <f>COUNTIF($H$2:TBA_Matches_All[[#This Row],[Team]],TBA_Matches_All[[#This Row],[Team]])</f>
        <v>2</v>
      </c>
      <c r="CL59" s="111">
        <f>SUM(MID(TBA_Matches_All[[#This Row],[Team]],4,5)+TBA_Matches_All[[#This Row],[Match_Number]]/100)</f>
        <v>5149.1000000000004</v>
      </c>
      <c r="CM59">
        <f>SUM((TBA_Matches_All[[#This Row],[Leave]]*2)+(TBA_Matches_All[[#This Row],[AampT]]*2)+(TBA_Matches_All[[#This Row],[AspkrT]]*5)+(TBA_Matches_All[[#This Row],[AtrapT]]*5))</f>
        <v>2</v>
      </c>
      <c r="CN59" s="59">
        <f>IFERROR(SUM(TBA_Matches_All[[#This Row],[AptsT]]/TBA_Matches_All[[#This Row],[AutoPts]]),0)</f>
        <v>0.125</v>
      </c>
      <c r="CO59" s="59">
        <f>IFERROR(SUM(TBA_Matches_All[[#This Row],[AampT]]+TBA_Matches_All[[#This Row],[AspkrT]]+TBA_Matches_All[[#This Row],[AtrapT]]/TBA_Matches_All[[#This Row],[Aamp]]+TBA_Matches_All[[#This Row],[Aspkr]]+TBA_Matches_All[[#This Row],[AtrapT]]),0)</f>
        <v>0</v>
      </c>
      <c r="CP59" s="59">
        <f>IFERROR(SUM(TBA_Matches_All[[#This Row],[TampT]]/TBA_Matches_All[[#This Row],[Tamp]]),0)</f>
        <v>0</v>
      </c>
      <c r="CQ59" s="59">
        <f>IFERROR(SUM(TBA_Matches_All[[#This Row],[TspkrT]]/TBA_Matches_All[[#This Row],[Tspkr]]),0)</f>
        <v>0</v>
      </c>
      <c r="CR59">
        <f>SUM(TBA_Matches_All[[#This Row],[TspkrPts]]*TBA_Matches_All[[#This Row],[TspkrP]])</f>
        <v>0</v>
      </c>
      <c r="CS59" s="59">
        <f>IFERROR(SUM(TBA_Matches_All[[#This Row],[TtrapT]]/TBA_Matches_All[[#This Row],[Trap]]),0)</f>
        <v>0</v>
      </c>
      <c r="CT59" s="59">
        <f>IFERROR(SUM(TBA_Matches_All[[#This Row],[TotNotesT]]/TBA_Matches_All[[#This Row],[TotNotes]]),0)</f>
        <v>0</v>
      </c>
      <c r="CU59" s="66">
        <f>SUM((TBA_Matches_All[[#This Row],[AampT]]*2)+(TBA_Matches_All[[#This Row],[AspkrT]]*5)+(TBA_Matches_All[[#This Row],[AtrapT]]*5)+(TBA_Matches_All[[#This Row],[TampT]]*1)+(TBA_Matches_All[[#This Row],[TspkrptsC]]))</f>
        <v>0</v>
      </c>
      <c r="CV59" s="59">
        <f>IFERROR(TBA_Matches_All[[#This Row],[noteptsT]]/TBA_Matches_All[[#This Row],[NotePts]],0)</f>
        <v>0</v>
      </c>
      <c r="CW59">
        <f>SUM(IF(TBA_Matches_All[[#This Row],[stageStat]]="On",3,0),IF(TBA_Matches_All[[#This Row],[stageStat]]="Park",1,0),SUMIFS(TBA_Matches_All[[#This Row],[Spotlit]],TBA_Matches_All[[#This Row],[stageStat]],"On"),SUMIFS(TBA_Matches_All[[#This Row],[Harmony]],TBA_Matches_All[[#This Row],[stageStat]],"On"))</f>
        <v>0</v>
      </c>
      <c r="CX59" s="59">
        <f>IFERROR(TBA_Matches_All[[#This Row],[stageptsT]]/TBA_Matches_All[[#This Row],[StagePts]],0)</f>
        <v>0</v>
      </c>
      <c r="CY59">
        <f>SUM((TBA_Matches_All[[#This Row],[AptsT]]+TBA_Matches_All[[#This Row],[TampT]]+TBA_Matches_All[[#This Row],[TspkrptsC]]+(TBA_Matches_All[[#This Row],[TtrapT]]*5)+TBA_Matches_All[[#This Row],[stageptsT]]))</f>
        <v>2</v>
      </c>
      <c r="CZ59" s="59">
        <f>IFERROR(SUM(TBA_Matches_All[[#This Row],[TotptsC]]/TBA_Matches_All[[#This Row],[Score]]),0)</f>
        <v>4.878048780487805E-2</v>
      </c>
      <c r="DA5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59" s="74">
        <f>SUMIFS(TBA_Matches_All[AveTeamTNoteDels],TBA_Matches_All[Match_Number],TBA_Matches_All[[#This Row],[Match_Number]],TBA_Matches_All[Alliance],"&lt;&gt;"&amp;TBA_Matches_All[[#This Row],[Alliance]],TBA_Matches_All[Scouted],"&gt;0")</f>
        <v>17.546060606060607</v>
      </c>
      <c r="DC59" s="74">
        <f>(TBA_Matches_All[[#This Row],[TampT]]+TBA_Matches_All[[#This Row],[TspkrptsC]])-TBA_Matches_All[[#This Row],[AveTeamTNoteDels]]</f>
        <v>0</v>
      </c>
      <c r="DD59" s="74">
        <f>SUMIFS(TBA_Matches_All[AveTeamTNoteDels],TBA_Matches_All[Match_Number],TBA_Matches_All[[#This Row],[Match_Number]],TBA_Matches_All[Alliance],"&lt;&gt;"&amp;TBA_Matches_All[[#This Row],[Alliance]])-TBA_Matches_All[[#This Row],[AveOppTNoteDels]]</f>
        <v>0</v>
      </c>
    </row>
    <row r="60" spans="1:108" x14ac:dyDescent="0.3">
      <c r="A60" t="s">
        <v>1042</v>
      </c>
      <c r="B60" t="s">
        <v>489</v>
      </c>
      <c r="C60" t="s">
        <v>1319</v>
      </c>
      <c r="D60">
        <v>10</v>
      </c>
      <c r="E60" t="s">
        <v>1406</v>
      </c>
      <c r="F60" t="s">
        <v>1426</v>
      </c>
      <c r="G60" t="s">
        <v>164</v>
      </c>
      <c r="H60" t="s">
        <v>362</v>
      </c>
      <c r="I60" t="b">
        <v>1</v>
      </c>
      <c r="J60">
        <v>42</v>
      </c>
      <c r="K60">
        <v>0</v>
      </c>
      <c r="L60">
        <v>0</v>
      </c>
      <c r="M60">
        <v>5</v>
      </c>
      <c r="N60">
        <v>0</v>
      </c>
      <c r="O60">
        <v>2</v>
      </c>
      <c r="P60">
        <v>10</v>
      </c>
      <c r="Q60">
        <v>16</v>
      </c>
      <c r="R60">
        <v>1</v>
      </c>
      <c r="S60">
        <v>0</v>
      </c>
      <c r="T60">
        <v>12</v>
      </c>
      <c r="U60">
        <v>0</v>
      </c>
      <c r="V60">
        <v>24</v>
      </c>
      <c r="W60">
        <v>12</v>
      </c>
      <c r="X60">
        <v>24</v>
      </c>
      <c r="Y60">
        <v>25</v>
      </c>
      <c r="Z60">
        <v>0</v>
      </c>
      <c r="AA60">
        <v>0</v>
      </c>
      <c r="AB60">
        <v>15</v>
      </c>
      <c r="AC60">
        <v>35</v>
      </c>
      <c r="AD60">
        <v>1</v>
      </c>
      <c r="AE60">
        <f>IFERROR(6/(COUNTIF(Dyno_EndMatch[Match],TBA_Matches_All[[#This Row],[Match_Number]])),0)</f>
        <v>1</v>
      </c>
      <c r="AF60">
        <f>COUNTIFS(Dyno_Data[Team],TBA_Matches_All[[#This Row],[Team]],Dyno_Data[Match],TBA_Matches_All[[#This Row],[Match_Number]],Dyno_Data[RecordType],"EndMatch",Dyno_Data[HPAmp],"Y")</f>
        <v>0</v>
      </c>
      <c r="AG60">
        <f>SUMIFS(Dyno_Data[Mics], Dyno_Data[Team],TBA_Matches_All[[#This Row],[Team]],Dyno_Data[Match],TBA_Matches_All[[#This Row],[Match_Number]],Dyno_Data[RecordType],"EndMatch",Dyno_Data[HPAmp],"Y")</f>
        <v>0</v>
      </c>
      <c r="AH60">
        <f>SUMIFS(Dyno_Data[Leave], Dyno_Data[Team],TBA_Matches_All[[#This Row],[Team]],Dyno_Data[Match],TBA_Matches_All[[#This Row],[Match_Number]],Dyno_Data[RecordType],"EndAuto")</f>
        <v>1</v>
      </c>
      <c r="AI60">
        <f>COUNTIFS(Dyno_Data[Team],TBA_Matches_All[[#This Row],[Team]],Dyno_Data[Match],TBA_Matches_All[[#This Row],[Match_Number]],Dyno_Data[RecordType],"Activities",Dyno_Data[DelDest],"Amp", Dyno_Data[DelMiss],"0", Dyno_Data[Mode],"Auto")</f>
        <v>0</v>
      </c>
      <c r="AJ60">
        <f>COUNTIFS(Dyno_Data[Team],TBA_Matches_All[[#This Row],[Team]],Dyno_Data[Match],TBA_Matches_All[[#This Row],[Match_Number]],Dyno_Data[RecordType],"Activities",Dyno_Data[DelDest],"Spkr", Dyno_Data[DelMiss],"0", Dyno_Data[Mode],"Auto")</f>
        <v>0</v>
      </c>
      <c r="AK60">
        <f>COUNTIFS(Dyno_Data[Team],TBA_Matches_All[[#This Row],[Team]],Dyno_Data[Match],TBA_Matches_All[[#This Row],[Match_Number]],Dyno_Data[RecordType],"Activities",Dyno_Data[DelDest],"Trap", Dyno_Data[DelMiss],"0", Dyno_Data[Mode],"Auto")</f>
        <v>0</v>
      </c>
      <c r="AL60">
        <f>COUNTIFS(Dyno_Data[Team],TBA_Matches_All[[#This Row],[Team]],Dyno_Data[Match],TBA_Matches_All[[#This Row],[Match_Number]],Dyno_Data[RecordType],"Activities",Dyno_Data[DelDest],"Amp", Dyno_Data[DelMiss],"0", Dyno_Data[Mode],"Teleop")</f>
        <v>0</v>
      </c>
      <c r="AM60">
        <f>COUNTIFS(Dyno_Data[Team],TBA_Matches_All[[#This Row],[Team]],Dyno_Data[Match],TBA_Matches_All[[#This Row],[Match_Number]],Dyno_Data[RecordType],"Activities",Dyno_Data[DelDest],"Spkr", Dyno_Data[DelMiss],"0", Dyno_Data[Mode],"Teleop")</f>
        <v>2</v>
      </c>
      <c r="AN60">
        <f>COUNTIFS(Dyno_Data[Team],TBA_Matches_All[[#This Row],[Team]],Dyno_Data[Match],TBA_Matches_All[[#This Row],[Match_Number]],Dyno_Data[RecordType],"Activities",Dyno_Data[DelDest],"Trap", Dyno_Data[DelMiss],"0", Dyno_Data[Mode],"&lt;&gt;Auto")</f>
        <v>0</v>
      </c>
      <c r="AO60">
        <f>SUM(TBA_Matches_All[[#This Row],[AampT]]+TBA_Matches_All[[#This Row],[AspkrT]]+TBA_Matches_All[[#This Row],[AtrapT]]+TBA_Matches_All[[#This Row],[TampT]]+TBA_Matches_All[[#This Row],[TspkrT]]+TBA_Matches_All[[#This Row],[TtrapT]])</f>
        <v>2</v>
      </c>
      <c r="AP60">
        <f>COUNTIFS(Dyno_Data[Team],TBA_Matches_All[[#This Row],[Team]],Dyno_Data[Match],TBA_Matches_All[[#This Row],[Match_Number]],Dyno_Data[RecordType],"Activities",Dyno_Data[DelDest],"Neut", Dyno_Data[DelMiss],"0")</f>
        <v>0</v>
      </c>
      <c r="AQ60">
        <f>COUNTIFS(Dyno_Data[Team],TBA_Matches_All[[#This Row],[Team]],Dyno_Data[Match],TBA_Matches_All[[#This Row],[Match_Number]],Dyno_Data[RecordType],"Activities",Dyno_Data[DelDest],"AllyW", Dyno_Data[DelMiss],"0")</f>
        <v>0</v>
      </c>
      <c r="AR60" t="str">
        <f>_xlfn.XLOOKUP(SUM(MID(TBA_Matches_All[[#This Row],[Team]],4,5),(TBA_Matches_All[[#This Row],[Match_Number]]/100)),Dyno_EndMatch[teammat],Dyno_EndMatch[RobotSta],"_",0,1)</f>
        <v>Amp</v>
      </c>
      <c r="AS60">
        <f>SUMIFS(Dyno_Data[AcqDis], Dyno_Data[Team],TBA_Matches_All[[#This Row],[Team]],Dyno_Data[Match],TBA_Matches_All[[#This Row],[Match_Number]],Dyno_Data[RecordType],"Activities", Dyno_Data[AcqCenter],1,Dyno_Data[Mode],"Auto")</f>
        <v>0</v>
      </c>
      <c r="AT60">
        <f>SUMIFS(Dyno_Data[AcqDis], Dyno_Data[Team],TBA_Matches_All[[#This Row],[Team]],Dyno_Data[Match],TBA_Matches_All[[#This Row],[Match_Number]],Dyno_Data[RecordType],"Activities", Dyno_Data[AcqCenter],2,Dyno_Data[Mode],"Auto")</f>
        <v>-1</v>
      </c>
      <c r="AU60">
        <f>SUMIFS(Dyno_Data[AcqDis], Dyno_Data[Team],TBA_Matches_All[[#This Row],[Team]],Dyno_Data[Match],TBA_Matches_All[[#This Row],[Match_Number]],Dyno_Data[RecordType],"Activities", Dyno_Data[AcqCenter],3,Dyno_Data[Mode],"Auto")</f>
        <v>-1</v>
      </c>
      <c r="AV60">
        <f>SUMIFS(Dyno_Data[AcqDis], Dyno_Data[Team],TBA_Matches_All[[#This Row],[Team]],Dyno_Data[Match],TBA_Matches_All[[#This Row],[Match_Number]],Dyno_Data[RecordType],"Activities", Dyno_Data[AcqCenter],4,Dyno_Data[Mode],"Auto")</f>
        <v>-1</v>
      </c>
      <c r="AW60">
        <f>SUMIFS(Dyno_Data[AcqDis], Dyno_Data[Team],TBA_Matches_All[[#This Row],[Team]],Dyno_Data[Match],TBA_Matches_All[[#This Row],[Match_Number]],Dyno_Data[RecordType],"Activities", Dyno_Data[AcqCenter],5,Dyno_Data[Mode],"Auto")</f>
        <v>-1</v>
      </c>
      <c r="AX60">
        <f>SUMIFS(Dyno_Data[DelMiss], Dyno_Data[Team],TBA_Matches_All[[#This Row],[Team]],Dyno_Data[Match],TBA_Matches_All[[#This Row],[Match_Number]],Dyno_Data[RecordType],"Activities", Dyno_Data[DelDest],"Amp")</f>
        <v>0</v>
      </c>
      <c r="AY60" s="60">
        <f>IFERROR(SUM((TBA_Matches_All[[#This Row],[AampT]]+TBA_Matches_All[[#This Row],[TampT]])/(TBA_Matches_All[[#This Row],[AampT]]+TBA_Matches_All[[#This Row],[TampT]]+TBA_Matches_All[[#This Row],[ampM]])),0)</f>
        <v>0</v>
      </c>
      <c r="AZ60">
        <f>SUMIFS(Dyno_Data[DelMiss], Dyno_Data[Team],TBA_Matches_All[[#This Row],[Team]],Dyno_Data[Match],TBA_Matches_All[[#This Row],[Match_Number]],Dyno_Data[RecordType],"Activities", Dyno_Data[DelDest],"Spkr")</f>
        <v>0</v>
      </c>
      <c r="BA60" s="60">
        <f>IFERROR(SUM((TBA_Matches_All[[#This Row],[AspkrT]]+TBA_Matches_All[[#This Row],[TspkrT]])/(TBA_Matches_All[[#This Row],[AspkrT]]+TBA_Matches_All[[#This Row],[TspkrT]]+TBA_Matches_All[[#This Row],[spkrM]])),0)</f>
        <v>1</v>
      </c>
      <c r="BB60">
        <f>SUMIFS(Dyno_Data[DelMiss], Dyno_Data[Team],TBA_Matches_All[[#This Row],[Team]],Dyno_Data[Match],TBA_Matches_All[[#This Row],[Match_Number]],Dyno_Data[RecordType],"Activities", Dyno_Data[DelDest],"Trap")</f>
        <v>0</v>
      </c>
      <c r="BC60" s="60">
        <f>IFERROR((TBA_Matches_All[[#This Row],[AtrapT]]+TBA_Matches_All[[#This Row],[TtrapT]])/(TBA_Matches_All[[#This Row],[AtrapT]]+TBA_Matches_All[[#This Row],[TtrapT]]+TBA_Matches_All[[#This Row],[trapM]]),0)</f>
        <v>0</v>
      </c>
      <c r="BD60">
        <f>COUNTIFS(Dyno_Data[Team],TBA_Matches_All[[#This Row],[Team]],Dyno_Data[Match],TBA_Matches_All[[#This Row],[Match_Number]],Dyno_Data[RecordType],"Activities",Dyno_Data[DelDest],"Neut", Dyno_Data[DelMiss],1)</f>
        <v>0</v>
      </c>
      <c r="BE60" s="60">
        <f>IFERROR(SUM((TBA_Matches_All[[#This Row],[NeutFlrT]])/(TBA_Matches_All[[#This Row],[NeutFlrT]]+TBA_Matches_All[[#This Row],[NZflM]])),0)</f>
        <v>0</v>
      </c>
      <c r="BF60">
        <f>COUNTIFS(Dyno_Data[Team],TBA_Matches_All[[#This Row],[Team]],Dyno_Data[Match],TBA_Matches_All[[#This Row],[Match_Number]],Dyno_Data[RecordType],"Activities",Dyno_Data[DelDest],"AllyW", Dyno_Data[DelMiss],1)</f>
        <v>0</v>
      </c>
      <c r="BG60" s="60">
        <f>IFERROR(SUM((TBA_Matches_All[[#This Row],[AllyWFlrT]])/(TBA_Matches_All[[#This Row],[AllyWFlrT]]+TBA_Matches_All[[#This Row],[AZflM]])),0)</f>
        <v>0</v>
      </c>
      <c r="BH60">
        <f>COUNTIFS(Dyno_Data[Team],TBA_Matches_All[[#This Row],[Team]],Dyno_Data[Match],TBA_Matches_All[[#This Row],[Match_Number]],Dyno_Data[RecordType],"Activities",Dyno_Data[DelOrig],"OppW", Dyno_Data[DelMiss],"0")</f>
        <v>0</v>
      </c>
      <c r="BI60">
        <f>COUNTIFS(Dyno_Data[Team],TBA_Matches_All[[#This Row],[Team]],Dyno_Data[Match],TBA_Matches_All[[#This Row],[Match_Number]],Dyno_Data[RecordType],"Activities",Dyno_Data[DelOrig],"OppW", Dyno_Data[DelMiss],"1")</f>
        <v>0</v>
      </c>
      <c r="BJ60" s="60">
        <f>IFERROR(SUM((TBA_Matches_All[[#This Row],[OZflrT]])/(TBA_Matches_All[[#This Row],[OZflrT]]+TBA_Matches_All[[#This Row],[OZflrM]])),0)</f>
        <v>0</v>
      </c>
      <c r="BK60">
        <f>COUNTIFS(Dyno_Data[Team],TBA_Matches_All[[#This Row],[Team]],Dyno_Data[Match],TBA_Matches_All[[#This Row],[Match_Number]],Dyno_Data[RecordType],"Activities",Dyno_Data[DelOrig],"Neut", Dyno_Data[DelMiss],"0")</f>
        <v>0</v>
      </c>
      <c r="BL60">
        <f>COUNTIFS(Dyno_Data[Team],TBA_Matches_All[[#This Row],[Team]],Dyno_Data[Match],TBA_Matches_All[[#This Row],[Match_Number]],Dyno_Data[RecordType],"Activities",Dyno_Data[DelOrig],"Neut", Dyno_Data[DelMiss],"1")</f>
        <v>0</v>
      </c>
      <c r="BM60" s="60">
        <f>IFERROR(SUM((TBA_Matches_All[[#This Row],[NZflrT]])/(TBA_Matches_All[[#This Row],[NZflrT]]+TBA_Matches_All[[#This Row],[NZflrM]])),0)</f>
        <v>0</v>
      </c>
      <c r="BN60">
        <f>COUNTIFS(Dyno_Data[Team],TBA_Matches_All[[#This Row],[Team]],Dyno_Data[Match],TBA_Matches_All[[#This Row],[Match_Number]],Dyno_Data[RecordType],"Activities",Dyno_Data[DelOrig],"AllyW", Dyno_Data[DelMiss],"0")</f>
        <v>2</v>
      </c>
      <c r="BO60">
        <f>COUNTIFS(Dyno_Data[Team],TBA_Matches_All[[#This Row],[Team]],Dyno_Data[Match],TBA_Matches_All[[#This Row],[Match_Number]],Dyno_Data[RecordType],"Activities",Dyno_Data[DelOrig],"AllyW", Dyno_Data[DelMiss],"1")</f>
        <v>0</v>
      </c>
      <c r="BP60" s="60">
        <f>IFERROR(SUM((TBA_Matches_All[[#This Row],[AZflrT]])/(TBA_Matches_All[[#This Row],[AZflrT]]+TBA_Matches_All[[#This Row],[AZflrM]])),0)</f>
        <v>1</v>
      </c>
      <c r="BQ60">
        <f>COUNTIFS(Dyno_Data[Team],TBA_Matches_All[[#This Row],[Team]],Dyno_Data[Match],TBA_Matches_All[[#This Row],[Match_Number]],Dyno_Data[RecordType],"Activities",Dyno_Data[DelOrig],"SubW", Dyno_Data[DelMiss],"0")</f>
        <v>0</v>
      </c>
      <c r="BR60">
        <f>COUNTIFS(Dyno_Data[Team],TBA_Matches_All[[#This Row],[Team]],Dyno_Data[Match],TBA_Matches_All[[#This Row],[Match_Number]],Dyno_Data[RecordType],"Activities",Dyno_Data[DelOrig],"SubW", Dyno_Data[DelMiss],"1")</f>
        <v>0</v>
      </c>
      <c r="BS60" s="60">
        <f>IFERROR(SUM((TBA_Matches_All[[#This Row],[SubwT]])/(TBA_Matches_All[[#This Row],[SubwT]]+TBA_Matches_All[[#This Row],[SubwM]])),0)</f>
        <v>0</v>
      </c>
      <c r="BT60">
        <f>COUNTIFS(Dyno_Data[Team],TBA_Matches_All[[#This Row],[Team]],Dyno_Data[Match],TBA_Matches_All[[#This Row],[Match_Number]],Dyno_Data[RecordType],"Activities", Dyno_Data[AcqLoc],"OppWing")</f>
        <v>0</v>
      </c>
      <c r="BU60">
        <f>COUNTIFS(Dyno_Data[Team],TBA_Matches_All[[#This Row],[Team]],Dyno_Data[Match],TBA_Matches_All[[#This Row],[Match_Number]],Dyno_Data[RecordType],"Activities", Dyno_Data[AcqLoc],"Neutral")</f>
        <v>4</v>
      </c>
      <c r="BV60">
        <f>COUNTIFS(Dyno_Data[Team],TBA_Matches_All[[#This Row],[Team]],Dyno_Data[Match],TBA_Matches_All[[#This Row],[Match_Number]],Dyno_Data[RecordType],"Activities", Dyno_Data[AcqLoc],"AllyWing")</f>
        <v>0</v>
      </c>
      <c r="BW60">
        <f>COUNTIFS(Dyno_Data[Team],TBA_Matches_All[[#This Row],[Team]],Dyno_Data[Match],TBA_Matches_All[[#This Row],[Match_Number]],Dyno_Data[RecordType],"Activities", Dyno_Data[AcqLoc],"Source")</f>
        <v>0</v>
      </c>
      <c r="BX60">
        <f>SUMIFS(Dyno_Data[AcqDrp], Dyno_Data[Team],TBA_Matches_All[[#This Row],[Team]],Dyno_Data[Match],TBA_Matches_All[[#This Row],[Match_Number]],Dyno_Data[RecordType],"Activities", Dyno_Data[AcqLoc],"Source")</f>
        <v>0</v>
      </c>
      <c r="BY60">
        <f>SUMIFS(Dyno_Data[OZTime], Dyno_Data[Team],TBA_Matches_All[[#This Row],[Team]],Dyno_Data[Match],TBA_Matches_All[[#This Row],[Match_Number]],Dyno_Data[RecordType],"EndMatch")</f>
        <v>17.327117699999999</v>
      </c>
      <c r="BZ60">
        <f>SUMIFS(Dyno_Data[NZTime], Dyno_Data[Team],TBA_Matches_All[[#This Row],[Team]],Dyno_Data[Match],TBA_Matches_All[[#This Row],[Match_Number]],Dyno_Data[RecordType],"EndMatch")</f>
        <v>28.472285599999999</v>
      </c>
      <c r="CA60">
        <f>SUMIFS(Dyno_Data[AZTime], Dyno_Data[Team],TBA_Matches_All[[#This Row],[Team]],Dyno_Data[Match],TBA_Matches_All[[#This Row],[Match_Number]],Dyno_Data[RecordType],"EndMatch")</f>
        <v>89.476362999999992</v>
      </c>
      <c r="CB60">
        <f>SUMIFS(Dyno_Data[ClimbT], Dyno_Data[Team],TBA_Matches_All[[#This Row],[Team]],Dyno_Data[Match],TBA_Matches_All[[#This Row],[Match_Number]],Dyno_Data[RecordType],"EndMatch")</f>
        <v>0</v>
      </c>
      <c r="CC60" t="str">
        <f>_xlfn.XLOOKUP(SUM(MID(TBA_Matches_All[[#This Row],[Team]],4,5),(TBA_Matches_All[[#This Row],[Match_Number]]/100)),Dyno_EndMatch[teammat],Dyno_EndMatch[StageStat],"_",0,1)</f>
        <v>Park</v>
      </c>
      <c r="CD60" t="str">
        <f>_xlfn.XLOOKUP(TBA_Matches_All[[#This Row],[teammat]],Dyno_EndMatch[teammat],Dyno_EndMatch[StageAtt],"_",0,1)</f>
        <v>0</v>
      </c>
      <c r="CE60" t="str">
        <f>_xlfn.XLOOKUP(TBA_Matches_All[[#This Row],[teammat]],Dyno_EndMatch[teammat],Dyno_EndMatch[StageLoc],"_",0,1)</f>
        <v>A</v>
      </c>
      <c r="CF60">
        <f>SUMIFS(Dyno_Data[Harmony], Dyno_Data[Team],TBA_Matches_All[[#This Row],[Team]],Dyno_Data[Match],TBA_Matches_All[[#This Row],[Match_Number]],Dyno_Data[RecordType],"EndMatch", Dyno_Data[StageStat],"On",Dyno_Data[Harmony],"&lt;&gt;9")</f>
        <v>0</v>
      </c>
      <c r="CG60">
        <f>SUMIFS(Dyno_Data[Spotlit], Dyno_Data[Team],TBA_Matches_All[[#This Row],[Team]],Dyno_Data[Match],TBA_Matches_All[[#This Row],[Match_Number]],Dyno_Data[RecordType],"EndMatch", Dyno_Data[StageStat],"On",Dyno_Data[Spotlit],"&lt;&gt;9")</f>
        <v>0</v>
      </c>
      <c r="CH60" t="str">
        <f>_xlfn.XLOOKUP(TBA_Matches_All[[#This Row],[teammat]],Dyno_EndMatch[teammat],Dyno_EndMatch[Strategy],"_",0,1)</f>
        <v>Defense</v>
      </c>
      <c r="CI60">
        <f>SUMIFS(Dyno_Data[Defense], Dyno_Data[Team],TBA_Matches_All[[#This Row],[Team]],Dyno_Data[Match],TBA_Matches_All[[#This Row],[Match_Number]],Dyno_Data[RecordType],"EndMatch",Dyno_Data[Defense],"&lt;&gt;9")</f>
        <v>2</v>
      </c>
      <c r="CJ60">
        <f>SUMIFS(Dyno_Data[Avoidance], Dyno_Data[Team],TBA_Matches_All[[#This Row],[Team]],Dyno_Data[Match],TBA_Matches_All[[#This Row],[Match_Number]],Dyno_Data[RecordType],"EndMatch",Dyno_Data[Avoidance],"&lt;&gt;9")</f>
        <v>0</v>
      </c>
      <c r="CK60" s="82">
        <f>COUNTIF($H$2:TBA_Matches_All[[#This Row],[Team]],TBA_Matches_All[[#This Row],[Team]])</f>
        <v>2</v>
      </c>
      <c r="CL60" s="111">
        <f>SUM(MID(TBA_Matches_All[[#This Row],[Team]],4,5)+TBA_Matches_All[[#This Row],[Match_Number]]/100)</f>
        <v>250.1</v>
      </c>
      <c r="CM60">
        <f>SUM((TBA_Matches_All[[#This Row],[Leave]]*2)+(TBA_Matches_All[[#This Row],[AampT]]*2)+(TBA_Matches_All[[#This Row],[AspkrT]]*5)+(TBA_Matches_All[[#This Row],[AtrapT]]*5))</f>
        <v>2</v>
      </c>
      <c r="CN60" s="59">
        <f>IFERROR(SUM(TBA_Matches_All[[#This Row],[AptsT]]/TBA_Matches_All[[#This Row],[AutoPts]]),0)</f>
        <v>0.125</v>
      </c>
      <c r="CO60" s="59">
        <f>IFERROR(SUM(TBA_Matches_All[[#This Row],[AampT]]+TBA_Matches_All[[#This Row],[AspkrT]]+TBA_Matches_All[[#This Row],[AtrapT]]/TBA_Matches_All[[#This Row],[Aamp]]+TBA_Matches_All[[#This Row],[Aspkr]]+TBA_Matches_All[[#This Row],[AtrapT]]),0)</f>
        <v>0</v>
      </c>
      <c r="CP60" s="59">
        <f>IFERROR(SUM(TBA_Matches_All[[#This Row],[TampT]]/TBA_Matches_All[[#This Row],[Tamp]]),0)</f>
        <v>0</v>
      </c>
      <c r="CQ60" s="59">
        <f>IFERROR(SUM(TBA_Matches_All[[#This Row],[TspkrT]]/TBA_Matches_All[[#This Row],[Tspkr]]),0)</f>
        <v>0.16666666666666666</v>
      </c>
      <c r="CR60">
        <f>SUM(TBA_Matches_All[[#This Row],[TspkrPts]]*TBA_Matches_All[[#This Row],[TspkrP]])</f>
        <v>4</v>
      </c>
      <c r="CS60" s="59">
        <f>IFERROR(SUM(TBA_Matches_All[[#This Row],[TtrapT]]/TBA_Matches_All[[#This Row],[Trap]]),0)</f>
        <v>0</v>
      </c>
      <c r="CT60" s="59">
        <f>IFERROR(SUM(TBA_Matches_All[[#This Row],[TotNotesT]]/TBA_Matches_All[[#This Row],[TotNotes]]),0)</f>
        <v>0.13333333333333333</v>
      </c>
      <c r="CU60" s="66">
        <f>SUM((TBA_Matches_All[[#This Row],[AampT]]*2)+(TBA_Matches_All[[#This Row],[AspkrT]]*5)+(TBA_Matches_All[[#This Row],[AtrapT]]*5)+(TBA_Matches_All[[#This Row],[TampT]]*1)+(TBA_Matches_All[[#This Row],[TspkrptsC]]))</f>
        <v>4</v>
      </c>
      <c r="CV60" s="59">
        <f>IFERROR(TBA_Matches_All[[#This Row],[noteptsT]]/TBA_Matches_All[[#This Row],[NotePts]],0)</f>
        <v>0.11428571428571428</v>
      </c>
      <c r="CW60">
        <f>SUM(IF(TBA_Matches_All[[#This Row],[stageStat]]="On",3,0),IF(TBA_Matches_All[[#This Row],[stageStat]]="Park",1,0),SUMIFS(TBA_Matches_All[[#This Row],[Spotlit]],TBA_Matches_All[[#This Row],[stageStat]],"On"),SUMIFS(TBA_Matches_All[[#This Row],[Harmony]],TBA_Matches_All[[#This Row],[stageStat]],"On"))</f>
        <v>1</v>
      </c>
      <c r="CX60" s="59">
        <f>IFERROR(TBA_Matches_All[[#This Row],[stageptsT]]/TBA_Matches_All[[#This Row],[StagePts]],0)</f>
        <v>1</v>
      </c>
      <c r="CY60">
        <f>SUM((TBA_Matches_All[[#This Row],[AptsT]]+TBA_Matches_All[[#This Row],[TampT]]+TBA_Matches_All[[#This Row],[TspkrptsC]]+(TBA_Matches_All[[#This Row],[TtrapT]]*5)+TBA_Matches_All[[#This Row],[stageptsT]]))</f>
        <v>7</v>
      </c>
      <c r="CZ60" s="59">
        <f>IFERROR(SUM(TBA_Matches_All[[#This Row],[TotptsC]]/TBA_Matches_All[[#This Row],[Score]]),0)</f>
        <v>0.16666666666666666</v>
      </c>
      <c r="DA6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3.7083333333333335</v>
      </c>
      <c r="DB60" s="74">
        <f>SUMIFS(TBA_Matches_All[AveTeamTNoteDels],TBA_Matches_All[Match_Number],TBA_Matches_All[[#This Row],[Match_Number]],TBA_Matches_All[Alliance],"&lt;&gt;"&amp;TBA_Matches_All[[#This Row],[Alliance]],TBA_Matches_All[Scouted],"&gt;0")</f>
        <v>25.546666666666667</v>
      </c>
      <c r="DC60" s="74">
        <f>(TBA_Matches_All[[#This Row],[TampT]]+TBA_Matches_All[[#This Row],[TspkrptsC]])-TBA_Matches_All[[#This Row],[AveTeamTNoteDels]]</f>
        <v>0.29166666666666652</v>
      </c>
      <c r="DD60" s="74">
        <f>SUMIFS(TBA_Matches_All[AveTeamTNoteDels],TBA_Matches_All[Match_Number],TBA_Matches_All[[#This Row],[Match_Number]],TBA_Matches_All[Alliance],"&lt;&gt;"&amp;TBA_Matches_All[[#This Row],[Alliance]])-TBA_Matches_All[[#This Row],[AveOppTNoteDels]]</f>
        <v>0</v>
      </c>
    </row>
    <row r="61" spans="1:108" x14ac:dyDescent="0.3">
      <c r="A61" t="s">
        <v>1042</v>
      </c>
      <c r="B61" t="s">
        <v>489</v>
      </c>
      <c r="C61" t="s">
        <v>1319</v>
      </c>
      <c r="D61">
        <v>10</v>
      </c>
      <c r="E61" t="s">
        <v>1420</v>
      </c>
      <c r="F61" t="s">
        <v>1421</v>
      </c>
      <c r="G61" t="s">
        <v>164</v>
      </c>
      <c r="H61" t="s">
        <v>367</v>
      </c>
      <c r="I61" t="b">
        <v>0</v>
      </c>
      <c r="J61">
        <v>41</v>
      </c>
      <c r="K61">
        <v>0</v>
      </c>
      <c r="L61">
        <v>0</v>
      </c>
      <c r="M61">
        <v>0</v>
      </c>
      <c r="N61">
        <v>0</v>
      </c>
      <c r="O61">
        <v>2</v>
      </c>
      <c r="P61">
        <v>10</v>
      </c>
      <c r="Q61">
        <v>16</v>
      </c>
      <c r="R61">
        <v>0</v>
      </c>
      <c r="S61">
        <v>0</v>
      </c>
      <c r="T61">
        <v>7</v>
      </c>
      <c r="U61">
        <v>0</v>
      </c>
      <c r="V61">
        <v>14</v>
      </c>
      <c r="W61">
        <v>7</v>
      </c>
      <c r="X61">
        <v>14</v>
      </c>
      <c r="Y61">
        <v>14</v>
      </c>
      <c r="Z61">
        <v>0</v>
      </c>
      <c r="AA61">
        <v>0</v>
      </c>
      <c r="AB61">
        <v>9</v>
      </c>
      <c r="AC61">
        <v>24</v>
      </c>
      <c r="AD61">
        <v>6</v>
      </c>
      <c r="AE61">
        <f>IFERROR(6/(COUNTIF(Dyno_EndMatch[Match],TBA_Matches_All[[#This Row],[Match_Number]])),0)</f>
        <v>1</v>
      </c>
      <c r="AF61">
        <f>COUNTIFS(Dyno_Data[Team],TBA_Matches_All[[#This Row],[Team]],Dyno_Data[Match],TBA_Matches_All[[#This Row],[Match_Number]],Dyno_Data[RecordType],"EndMatch",Dyno_Data[HPAmp],"Y")</f>
        <v>0</v>
      </c>
      <c r="AG61">
        <f>SUMIFS(Dyno_Data[Mics], Dyno_Data[Team],TBA_Matches_All[[#This Row],[Team]],Dyno_Data[Match],TBA_Matches_All[[#This Row],[Match_Number]],Dyno_Data[RecordType],"EndMatch",Dyno_Data[HPAmp],"Y")</f>
        <v>0</v>
      </c>
      <c r="AH61">
        <f>SUMIFS(Dyno_Data[Leave], Dyno_Data[Team],TBA_Matches_All[[#This Row],[Team]],Dyno_Data[Match],TBA_Matches_All[[#This Row],[Match_Number]],Dyno_Data[RecordType],"EndAuto")</f>
        <v>0</v>
      </c>
      <c r="AI61">
        <f>COUNTIFS(Dyno_Data[Team],TBA_Matches_All[[#This Row],[Team]],Dyno_Data[Match],TBA_Matches_All[[#This Row],[Match_Number]],Dyno_Data[RecordType],"Activities",Dyno_Data[DelDest],"Amp", Dyno_Data[DelMiss],"0", Dyno_Data[Mode],"Auto")</f>
        <v>0</v>
      </c>
      <c r="AJ61">
        <f>COUNTIFS(Dyno_Data[Team],TBA_Matches_All[[#This Row],[Team]],Dyno_Data[Match],TBA_Matches_All[[#This Row],[Match_Number]],Dyno_Data[RecordType],"Activities",Dyno_Data[DelDest],"Spkr", Dyno_Data[DelMiss],"0", Dyno_Data[Mode],"Auto")</f>
        <v>1</v>
      </c>
      <c r="AK61">
        <f>COUNTIFS(Dyno_Data[Team],TBA_Matches_All[[#This Row],[Team]],Dyno_Data[Match],TBA_Matches_All[[#This Row],[Match_Number]],Dyno_Data[RecordType],"Activities",Dyno_Data[DelDest],"Trap", Dyno_Data[DelMiss],"0", Dyno_Data[Mode],"Auto")</f>
        <v>0</v>
      </c>
      <c r="AL61">
        <f>COUNTIFS(Dyno_Data[Team],TBA_Matches_All[[#This Row],[Team]],Dyno_Data[Match],TBA_Matches_All[[#This Row],[Match_Number]],Dyno_Data[RecordType],"Activities",Dyno_Data[DelDest],"Amp", Dyno_Data[DelMiss],"0", Dyno_Data[Mode],"Teleop")</f>
        <v>0</v>
      </c>
      <c r="AM61">
        <f>COUNTIFS(Dyno_Data[Team],TBA_Matches_All[[#This Row],[Team]],Dyno_Data[Match],TBA_Matches_All[[#This Row],[Match_Number]],Dyno_Data[RecordType],"Activities",Dyno_Data[DelDest],"Spkr", Dyno_Data[DelMiss],"0", Dyno_Data[Mode],"Teleop")</f>
        <v>0</v>
      </c>
      <c r="AN61">
        <f>COUNTIFS(Dyno_Data[Team],TBA_Matches_All[[#This Row],[Team]],Dyno_Data[Match],TBA_Matches_All[[#This Row],[Match_Number]],Dyno_Data[RecordType],"Activities",Dyno_Data[DelDest],"Trap", Dyno_Data[DelMiss],"0", Dyno_Data[Mode],"&lt;&gt;Auto")</f>
        <v>0</v>
      </c>
      <c r="AO61">
        <f>SUM(TBA_Matches_All[[#This Row],[AampT]]+TBA_Matches_All[[#This Row],[AspkrT]]+TBA_Matches_All[[#This Row],[AtrapT]]+TBA_Matches_All[[#This Row],[TampT]]+TBA_Matches_All[[#This Row],[TspkrT]]+TBA_Matches_All[[#This Row],[TtrapT]])</f>
        <v>1</v>
      </c>
      <c r="AP61">
        <f>COUNTIFS(Dyno_Data[Team],TBA_Matches_All[[#This Row],[Team]],Dyno_Data[Match],TBA_Matches_All[[#This Row],[Match_Number]],Dyno_Data[RecordType],"Activities",Dyno_Data[DelDest],"Neut", Dyno_Data[DelMiss],"0")</f>
        <v>0</v>
      </c>
      <c r="AQ61">
        <f>COUNTIFS(Dyno_Data[Team],TBA_Matches_All[[#This Row],[Team]],Dyno_Data[Match],TBA_Matches_All[[#This Row],[Match_Number]],Dyno_Data[RecordType],"Activities",Dyno_Data[DelDest],"AllyW", Dyno_Data[DelMiss],"0")</f>
        <v>0</v>
      </c>
      <c r="AR61" t="str">
        <f>_xlfn.XLOOKUP(SUM(MID(TBA_Matches_All[[#This Row],[Team]],4,5),(TBA_Matches_All[[#This Row],[Match_Number]]/100)),Dyno_EndMatch[teammat],Dyno_EndMatch[RobotSta],"_",0,1)</f>
        <v>Amp</v>
      </c>
      <c r="AS61">
        <f>SUMIFS(Dyno_Data[AcqDis], Dyno_Data[Team],TBA_Matches_All[[#This Row],[Team]],Dyno_Data[Match],TBA_Matches_All[[#This Row],[Match_Number]],Dyno_Data[RecordType],"Activities", Dyno_Data[AcqCenter],1,Dyno_Data[Mode],"Auto")</f>
        <v>0</v>
      </c>
      <c r="AT61">
        <f>SUMIFS(Dyno_Data[AcqDis], Dyno_Data[Team],TBA_Matches_All[[#This Row],[Team]],Dyno_Data[Match],TBA_Matches_All[[#This Row],[Match_Number]],Dyno_Data[RecordType],"Activities", Dyno_Data[AcqCenter],2,Dyno_Data[Mode],"Auto")</f>
        <v>0</v>
      </c>
      <c r="AU61">
        <f>SUMIFS(Dyno_Data[AcqDis], Dyno_Data[Team],TBA_Matches_All[[#This Row],[Team]],Dyno_Data[Match],TBA_Matches_All[[#This Row],[Match_Number]],Dyno_Data[RecordType],"Activities", Dyno_Data[AcqCenter],3,Dyno_Data[Mode],"Auto")</f>
        <v>0</v>
      </c>
      <c r="AV61">
        <f>SUMIFS(Dyno_Data[AcqDis], Dyno_Data[Team],TBA_Matches_All[[#This Row],[Team]],Dyno_Data[Match],TBA_Matches_All[[#This Row],[Match_Number]],Dyno_Data[RecordType],"Activities", Dyno_Data[AcqCenter],4,Dyno_Data[Mode],"Auto")</f>
        <v>0</v>
      </c>
      <c r="AW61">
        <f>SUMIFS(Dyno_Data[AcqDis], Dyno_Data[Team],TBA_Matches_All[[#This Row],[Team]],Dyno_Data[Match],TBA_Matches_All[[#This Row],[Match_Number]],Dyno_Data[RecordType],"Activities", Dyno_Data[AcqCenter],5,Dyno_Data[Mode],"Auto")</f>
        <v>0</v>
      </c>
      <c r="AX61">
        <f>SUMIFS(Dyno_Data[DelMiss], Dyno_Data[Team],TBA_Matches_All[[#This Row],[Team]],Dyno_Data[Match],TBA_Matches_All[[#This Row],[Match_Number]],Dyno_Data[RecordType],"Activities", Dyno_Data[DelDest],"Amp")</f>
        <v>1</v>
      </c>
      <c r="AY61" s="60">
        <f>IFERROR(SUM((TBA_Matches_All[[#This Row],[AampT]]+TBA_Matches_All[[#This Row],[TampT]])/(TBA_Matches_All[[#This Row],[AampT]]+TBA_Matches_All[[#This Row],[TampT]]+TBA_Matches_All[[#This Row],[ampM]])),0)</f>
        <v>0</v>
      </c>
      <c r="AZ61">
        <f>SUMIFS(Dyno_Data[DelMiss], Dyno_Data[Team],TBA_Matches_All[[#This Row],[Team]],Dyno_Data[Match],TBA_Matches_All[[#This Row],[Match_Number]],Dyno_Data[RecordType],"Activities", Dyno_Data[DelDest],"Spkr")</f>
        <v>0</v>
      </c>
      <c r="BA61" s="60">
        <f>IFERROR(SUM((TBA_Matches_All[[#This Row],[AspkrT]]+TBA_Matches_All[[#This Row],[TspkrT]])/(TBA_Matches_All[[#This Row],[AspkrT]]+TBA_Matches_All[[#This Row],[TspkrT]]+TBA_Matches_All[[#This Row],[spkrM]])),0)</f>
        <v>1</v>
      </c>
      <c r="BB61">
        <f>SUMIFS(Dyno_Data[DelMiss], Dyno_Data[Team],TBA_Matches_All[[#This Row],[Team]],Dyno_Data[Match],TBA_Matches_All[[#This Row],[Match_Number]],Dyno_Data[RecordType],"Activities", Dyno_Data[DelDest],"Trap")</f>
        <v>0</v>
      </c>
      <c r="BC61" s="60">
        <f>IFERROR((TBA_Matches_All[[#This Row],[AtrapT]]+TBA_Matches_All[[#This Row],[TtrapT]])/(TBA_Matches_All[[#This Row],[AtrapT]]+TBA_Matches_All[[#This Row],[TtrapT]]+TBA_Matches_All[[#This Row],[trapM]]),0)</f>
        <v>0</v>
      </c>
      <c r="BD61">
        <f>COUNTIFS(Dyno_Data[Team],TBA_Matches_All[[#This Row],[Team]],Dyno_Data[Match],TBA_Matches_All[[#This Row],[Match_Number]],Dyno_Data[RecordType],"Activities",Dyno_Data[DelDest],"Neut", Dyno_Data[DelMiss],1)</f>
        <v>0</v>
      </c>
      <c r="BE61" s="60">
        <f>IFERROR(SUM((TBA_Matches_All[[#This Row],[NeutFlrT]])/(TBA_Matches_All[[#This Row],[NeutFlrT]]+TBA_Matches_All[[#This Row],[NZflM]])),0)</f>
        <v>0</v>
      </c>
      <c r="BF61">
        <f>COUNTIFS(Dyno_Data[Team],TBA_Matches_All[[#This Row],[Team]],Dyno_Data[Match],TBA_Matches_All[[#This Row],[Match_Number]],Dyno_Data[RecordType],"Activities",Dyno_Data[DelDest],"AllyW", Dyno_Data[DelMiss],1)</f>
        <v>0</v>
      </c>
      <c r="BG61" s="60">
        <f>IFERROR(SUM((TBA_Matches_All[[#This Row],[AllyWFlrT]])/(TBA_Matches_All[[#This Row],[AllyWFlrT]]+TBA_Matches_All[[#This Row],[AZflM]])),0)</f>
        <v>0</v>
      </c>
      <c r="BH61">
        <f>COUNTIFS(Dyno_Data[Team],TBA_Matches_All[[#This Row],[Team]],Dyno_Data[Match],TBA_Matches_All[[#This Row],[Match_Number]],Dyno_Data[RecordType],"Activities",Dyno_Data[DelOrig],"OppW", Dyno_Data[DelMiss],"0")</f>
        <v>1</v>
      </c>
      <c r="BI61">
        <f>COUNTIFS(Dyno_Data[Team],TBA_Matches_All[[#This Row],[Team]],Dyno_Data[Match],TBA_Matches_All[[#This Row],[Match_Number]],Dyno_Data[RecordType],"Activities",Dyno_Data[DelOrig],"OppW", Dyno_Data[DelMiss],"1")</f>
        <v>0</v>
      </c>
      <c r="BJ61" s="60">
        <f>IFERROR(SUM((TBA_Matches_All[[#This Row],[OZflrT]])/(TBA_Matches_All[[#This Row],[OZflrT]]+TBA_Matches_All[[#This Row],[OZflrM]])),0)</f>
        <v>1</v>
      </c>
      <c r="BK61">
        <f>COUNTIFS(Dyno_Data[Team],TBA_Matches_All[[#This Row],[Team]],Dyno_Data[Match],TBA_Matches_All[[#This Row],[Match_Number]],Dyno_Data[RecordType],"Activities",Dyno_Data[DelOrig],"Neut", Dyno_Data[DelMiss],"0")</f>
        <v>0</v>
      </c>
      <c r="BL61">
        <f>COUNTIFS(Dyno_Data[Team],TBA_Matches_All[[#This Row],[Team]],Dyno_Data[Match],TBA_Matches_All[[#This Row],[Match_Number]],Dyno_Data[RecordType],"Activities",Dyno_Data[DelOrig],"Neut", Dyno_Data[DelMiss],"1")</f>
        <v>0</v>
      </c>
      <c r="BM61" s="60">
        <f>IFERROR(SUM((TBA_Matches_All[[#This Row],[NZflrT]])/(TBA_Matches_All[[#This Row],[NZflrT]]+TBA_Matches_All[[#This Row],[NZflrM]])),0)</f>
        <v>0</v>
      </c>
      <c r="BN61">
        <f>COUNTIFS(Dyno_Data[Team],TBA_Matches_All[[#This Row],[Team]],Dyno_Data[Match],TBA_Matches_All[[#This Row],[Match_Number]],Dyno_Data[RecordType],"Activities",Dyno_Data[DelOrig],"AllyW", Dyno_Data[DelMiss],"0")</f>
        <v>0</v>
      </c>
      <c r="BO61">
        <f>COUNTIFS(Dyno_Data[Team],TBA_Matches_All[[#This Row],[Team]],Dyno_Data[Match],TBA_Matches_All[[#This Row],[Match_Number]],Dyno_Data[RecordType],"Activities",Dyno_Data[DelOrig],"AllyW", Dyno_Data[DelMiss],"1")</f>
        <v>1</v>
      </c>
      <c r="BP61" s="60">
        <f>IFERROR(SUM((TBA_Matches_All[[#This Row],[AZflrT]])/(TBA_Matches_All[[#This Row],[AZflrT]]+TBA_Matches_All[[#This Row],[AZflrM]])),0)</f>
        <v>0</v>
      </c>
      <c r="BQ61">
        <f>COUNTIFS(Dyno_Data[Team],TBA_Matches_All[[#This Row],[Team]],Dyno_Data[Match],TBA_Matches_All[[#This Row],[Match_Number]],Dyno_Data[RecordType],"Activities",Dyno_Data[DelOrig],"SubW", Dyno_Data[DelMiss],"0")</f>
        <v>0</v>
      </c>
      <c r="BR61">
        <f>COUNTIFS(Dyno_Data[Team],TBA_Matches_All[[#This Row],[Team]],Dyno_Data[Match],TBA_Matches_All[[#This Row],[Match_Number]],Dyno_Data[RecordType],"Activities",Dyno_Data[DelOrig],"SubW", Dyno_Data[DelMiss],"1")</f>
        <v>0</v>
      </c>
      <c r="BS61" s="60">
        <f>IFERROR(SUM((TBA_Matches_All[[#This Row],[SubwT]])/(TBA_Matches_All[[#This Row],[SubwT]]+TBA_Matches_All[[#This Row],[SubwM]])),0)</f>
        <v>0</v>
      </c>
      <c r="BT61">
        <f>COUNTIFS(Dyno_Data[Team],TBA_Matches_All[[#This Row],[Team]],Dyno_Data[Match],TBA_Matches_All[[#This Row],[Match_Number]],Dyno_Data[RecordType],"Activities", Dyno_Data[AcqLoc],"OppWing")</f>
        <v>0</v>
      </c>
      <c r="BU61">
        <f>COUNTIFS(Dyno_Data[Team],TBA_Matches_All[[#This Row],[Team]],Dyno_Data[Match],TBA_Matches_All[[#This Row],[Match_Number]],Dyno_Data[RecordType],"Activities", Dyno_Data[AcqLoc],"Neutral")</f>
        <v>0</v>
      </c>
      <c r="BV61">
        <f>COUNTIFS(Dyno_Data[Team],TBA_Matches_All[[#This Row],[Team]],Dyno_Data[Match],TBA_Matches_All[[#This Row],[Match_Number]],Dyno_Data[RecordType],"Activities", Dyno_Data[AcqLoc],"AllyWing")</f>
        <v>1</v>
      </c>
      <c r="BW61">
        <f>COUNTIFS(Dyno_Data[Team],TBA_Matches_All[[#This Row],[Team]],Dyno_Data[Match],TBA_Matches_All[[#This Row],[Match_Number]],Dyno_Data[RecordType],"Activities", Dyno_Data[AcqLoc],"Source")</f>
        <v>0</v>
      </c>
      <c r="BX61">
        <f>SUMIFS(Dyno_Data[AcqDrp], Dyno_Data[Team],TBA_Matches_All[[#This Row],[Team]],Dyno_Data[Match],TBA_Matches_All[[#This Row],[Match_Number]],Dyno_Data[RecordType],"Activities", Dyno_Data[AcqLoc],"Source")</f>
        <v>0</v>
      </c>
      <c r="BY61">
        <f>SUMIFS(Dyno_Data[OZTime], Dyno_Data[Team],TBA_Matches_All[[#This Row],[Team]],Dyno_Data[Match],TBA_Matches_All[[#This Row],[Match_Number]],Dyno_Data[RecordType],"EndMatch")</f>
        <v>17.5905153</v>
      </c>
      <c r="BZ61">
        <f>SUMIFS(Dyno_Data[NZTime], Dyno_Data[Team],TBA_Matches_All[[#This Row],[Team]],Dyno_Data[Match],TBA_Matches_All[[#This Row],[Match_Number]],Dyno_Data[RecordType],"EndMatch")</f>
        <v>42.182121799999997</v>
      </c>
      <c r="CA61">
        <f>SUMIFS(Dyno_Data[AZTime], Dyno_Data[Team],TBA_Matches_All[[#This Row],[Team]],Dyno_Data[Match],TBA_Matches_All[[#This Row],[Match_Number]],Dyno_Data[RecordType],"EndMatch")</f>
        <v>63.109513899999996</v>
      </c>
      <c r="CB61">
        <f>SUMIFS(Dyno_Data[ClimbT], Dyno_Data[Team],TBA_Matches_All[[#This Row],[Team]],Dyno_Data[Match],TBA_Matches_All[[#This Row],[Match_Number]],Dyno_Data[RecordType],"EndMatch")</f>
        <v>4.9568424000000002</v>
      </c>
      <c r="CC61" t="str">
        <f>_xlfn.XLOOKUP(SUM(MID(TBA_Matches_All[[#This Row],[Team]],4,5),(TBA_Matches_All[[#This Row],[Match_Number]]/100)),Dyno_EndMatch[teammat],Dyno_EndMatch[StageStat],"_",0,1)</f>
        <v>On</v>
      </c>
      <c r="CD61" t="str">
        <f>_xlfn.XLOOKUP(TBA_Matches_All[[#This Row],[teammat]],Dyno_EndMatch[teammat],Dyno_EndMatch[StageAtt],"_",0,1)</f>
        <v>1</v>
      </c>
      <c r="CE61" t="str">
        <f>_xlfn.XLOOKUP(TBA_Matches_All[[#This Row],[teammat]],Dyno_EndMatch[teammat],Dyno_EndMatch[StageLoc],"_",0,1)</f>
        <v>L</v>
      </c>
      <c r="CF61">
        <f>SUMIFS(Dyno_Data[Harmony], Dyno_Data[Team],TBA_Matches_All[[#This Row],[Team]],Dyno_Data[Match],TBA_Matches_All[[#This Row],[Match_Number]],Dyno_Data[RecordType],"EndMatch", Dyno_Data[StageStat],"On",Dyno_Data[Harmony],"&lt;&gt;9")</f>
        <v>0</v>
      </c>
      <c r="CG61">
        <f>SUMIFS(Dyno_Data[Spotlit], Dyno_Data[Team],TBA_Matches_All[[#This Row],[Team]],Dyno_Data[Match],TBA_Matches_All[[#This Row],[Match_Number]],Dyno_Data[RecordType],"EndMatch", Dyno_Data[StageStat],"On",Dyno_Data[Spotlit],"&lt;&gt;9")</f>
        <v>0</v>
      </c>
      <c r="CH61" t="str">
        <f>_xlfn.XLOOKUP(TBA_Matches_All[[#This Row],[teammat]],Dyno_EndMatch[teammat],Dyno_EndMatch[Strategy],"_",0,1)</f>
        <v>Hybrid</v>
      </c>
      <c r="CI61">
        <f>SUMIFS(Dyno_Data[Defense], Dyno_Data[Team],TBA_Matches_All[[#This Row],[Team]],Dyno_Data[Match],TBA_Matches_All[[#This Row],[Match_Number]],Dyno_Data[RecordType],"EndMatch",Dyno_Data[Defense],"&lt;&gt;9")</f>
        <v>2</v>
      </c>
      <c r="CJ61">
        <f>SUMIFS(Dyno_Data[Avoidance], Dyno_Data[Team],TBA_Matches_All[[#This Row],[Team]],Dyno_Data[Match],TBA_Matches_All[[#This Row],[Match_Number]],Dyno_Data[RecordType],"EndMatch",Dyno_Data[Avoidance],"&lt;&gt;9")</f>
        <v>0</v>
      </c>
      <c r="CK61" s="82">
        <f>COUNTIF($H$2:TBA_Matches_All[[#This Row],[Team]],TBA_Matches_All[[#This Row],[Team]])</f>
        <v>2</v>
      </c>
      <c r="CL61" s="111">
        <f>SUM(MID(TBA_Matches_All[[#This Row],[Team]],4,5)+TBA_Matches_All[[#This Row],[Match_Number]]/100)</f>
        <v>5016.1000000000004</v>
      </c>
      <c r="CM61">
        <f>SUM((TBA_Matches_All[[#This Row],[Leave]]*2)+(TBA_Matches_All[[#This Row],[AampT]]*2)+(TBA_Matches_All[[#This Row],[AspkrT]]*5)+(TBA_Matches_All[[#This Row],[AtrapT]]*5))</f>
        <v>5</v>
      </c>
      <c r="CN61" s="59">
        <f>IFERROR(SUM(TBA_Matches_All[[#This Row],[AptsT]]/TBA_Matches_All[[#This Row],[AutoPts]]),0)</f>
        <v>0.3125</v>
      </c>
      <c r="CO61" s="59">
        <f>IFERROR(SUM(TBA_Matches_All[[#This Row],[AampT]]+TBA_Matches_All[[#This Row],[AspkrT]]+TBA_Matches_All[[#This Row],[AtrapT]]/TBA_Matches_All[[#This Row],[Aamp]]+TBA_Matches_All[[#This Row],[Aspkr]]+TBA_Matches_All[[#This Row],[AtrapT]]),0)</f>
        <v>0</v>
      </c>
      <c r="CP61" s="59">
        <f>IFERROR(SUM(TBA_Matches_All[[#This Row],[TampT]]/TBA_Matches_All[[#This Row],[Tamp]]),0)</f>
        <v>0</v>
      </c>
      <c r="CQ61" s="59">
        <f>IFERROR(SUM(TBA_Matches_All[[#This Row],[TspkrT]]/TBA_Matches_All[[#This Row],[Tspkr]]),0)</f>
        <v>0</v>
      </c>
      <c r="CR61">
        <f>SUM(TBA_Matches_All[[#This Row],[TspkrPts]]*TBA_Matches_All[[#This Row],[TspkrP]])</f>
        <v>0</v>
      </c>
      <c r="CS61" s="59">
        <f>IFERROR(SUM(TBA_Matches_All[[#This Row],[TtrapT]]/TBA_Matches_All[[#This Row],[Trap]]),0)</f>
        <v>0</v>
      </c>
      <c r="CT61" s="59">
        <f>IFERROR(SUM(TBA_Matches_All[[#This Row],[TotNotesT]]/TBA_Matches_All[[#This Row],[TotNotes]]),0)</f>
        <v>0.1111111111111111</v>
      </c>
      <c r="CU61" s="66">
        <f>SUM((TBA_Matches_All[[#This Row],[AampT]]*2)+(TBA_Matches_All[[#This Row],[AspkrT]]*5)+(TBA_Matches_All[[#This Row],[AtrapT]]*5)+(TBA_Matches_All[[#This Row],[TampT]]*1)+(TBA_Matches_All[[#This Row],[TspkrptsC]]))</f>
        <v>5</v>
      </c>
      <c r="CV61" s="59">
        <f>IFERROR(TBA_Matches_All[[#This Row],[noteptsT]]/TBA_Matches_All[[#This Row],[NotePts]],0)</f>
        <v>0.20833333333333334</v>
      </c>
      <c r="CW61">
        <f>SUM(IF(TBA_Matches_All[[#This Row],[stageStat]]="On",3,0),IF(TBA_Matches_All[[#This Row],[stageStat]]="Park",1,0),SUMIFS(TBA_Matches_All[[#This Row],[Spotlit]],TBA_Matches_All[[#This Row],[stageStat]],"On"),SUMIFS(TBA_Matches_All[[#This Row],[Harmony]],TBA_Matches_All[[#This Row],[stageStat]],"On"))</f>
        <v>3</v>
      </c>
      <c r="CX61" s="59">
        <f>IFERROR(TBA_Matches_All[[#This Row],[stageptsT]]/TBA_Matches_All[[#This Row],[StagePts]],0)</f>
        <v>0.5</v>
      </c>
      <c r="CY61">
        <f>SUM((TBA_Matches_All[[#This Row],[AptsT]]+TBA_Matches_All[[#This Row],[TampT]]+TBA_Matches_All[[#This Row],[TspkrptsC]]+(TBA_Matches_All[[#This Row],[TtrapT]]*5)+TBA_Matches_All[[#This Row],[stageptsT]]))</f>
        <v>8</v>
      </c>
      <c r="CZ61" s="59">
        <f>IFERROR(SUM(TBA_Matches_All[[#This Row],[TotptsC]]/TBA_Matches_All[[#This Row],[Score]]),0)</f>
        <v>0.1951219512195122</v>
      </c>
      <c r="DA6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10.446666666666667</v>
      </c>
      <c r="DB61" s="74">
        <f>SUMIFS(TBA_Matches_All[AveTeamTNoteDels],TBA_Matches_All[Match_Number],TBA_Matches_All[[#This Row],[Match_Number]],TBA_Matches_All[Alliance],"&lt;&gt;"&amp;TBA_Matches_All[[#This Row],[Alliance]],TBA_Matches_All[Scouted],"&gt;0")</f>
        <v>17.546060606060607</v>
      </c>
      <c r="DC61" s="74">
        <f>(TBA_Matches_All[[#This Row],[TampT]]+TBA_Matches_All[[#This Row],[TspkrptsC]])-TBA_Matches_All[[#This Row],[AveTeamTNoteDels]]</f>
        <v>-10.446666666666667</v>
      </c>
      <c r="DD61" s="74">
        <f>SUMIFS(TBA_Matches_All[AveTeamTNoteDels],TBA_Matches_All[Match_Number],TBA_Matches_All[[#This Row],[Match_Number]],TBA_Matches_All[Alliance],"&lt;&gt;"&amp;TBA_Matches_All[[#This Row],[Alliance]])-TBA_Matches_All[[#This Row],[AveOppTNoteDels]]</f>
        <v>0</v>
      </c>
    </row>
    <row r="62" spans="1:108" x14ac:dyDescent="0.3">
      <c r="A62" t="s">
        <v>1042</v>
      </c>
      <c r="B62" t="s">
        <v>489</v>
      </c>
      <c r="C62" t="s">
        <v>1319</v>
      </c>
      <c r="D62">
        <v>10</v>
      </c>
      <c r="E62" t="s">
        <v>1406</v>
      </c>
      <c r="F62" t="s">
        <v>1422</v>
      </c>
      <c r="G62" t="s">
        <v>105</v>
      </c>
      <c r="H62" t="s">
        <v>1302</v>
      </c>
      <c r="I62" t="b">
        <v>1</v>
      </c>
      <c r="J62">
        <v>42</v>
      </c>
      <c r="K62">
        <v>0</v>
      </c>
      <c r="L62">
        <v>0</v>
      </c>
      <c r="M62">
        <v>5</v>
      </c>
      <c r="N62">
        <v>0</v>
      </c>
      <c r="O62">
        <v>2</v>
      </c>
      <c r="P62">
        <v>10</v>
      </c>
      <c r="Q62">
        <v>16</v>
      </c>
      <c r="R62">
        <v>1</v>
      </c>
      <c r="S62">
        <v>0</v>
      </c>
      <c r="T62">
        <v>12</v>
      </c>
      <c r="U62">
        <v>0</v>
      </c>
      <c r="V62">
        <v>24</v>
      </c>
      <c r="W62">
        <v>12</v>
      </c>
      <c r="X62">
        <v>24</v>
      </c>
      <c r="Y62">
        <v>25</v>
      </c>
      <c r="Z62">
        <v>0</v>
      </c>
      <c r="AA62">
        <v>0</v>
      </c>
      <c r="AB62">
        <v>15</v>
      </c>
      <c r="AC62">
        <v>35</v>
      </c>
      <c r="AD62">
        <v>1</v>
      </c>
      <c r="AE62">
        <f>IFERROR(6/(COUNTIF(Dyno_EndMatch[Match],TBA_Matches_All[[#This Row],[Match_Number]])),0)</f>
        <v>1</v>
      </c>
      <c r="AF62">
        <f>COUNTIFS(Dyno_Data[Team],TBA_Matches_All[[#This Row],[Team]],Dyno_Data[Match],TBA_Matches_All[[#This Row],[Match_Number]],Dyno_Data[RecordType],"EndMatch",Dyno_Data[HPAmp],"Y")</f>
        <v>1</v>
      </c>
      <c r="AG62">
        <f>SUMIFS(Dyno_Data[Mics], Dyno_Data[Team],TBA_Matches_All[[#This Row],[Team]],Dyno_Data[Match],TBA_Matches_All[[#This Row],[Match_Number]],Dyno_Data[RecordType],"EndMatch",Dyno_Data[HPAmp],"Y")</f>
        <v>0</v>
      </c>
      <c r="AH62">
        <f>SUMIFS(Dyno_Data[Leave], Dyno_Data[Team],TBA_Matches_All[[#This Row],[Team]],Dyno_Data[Match],TBA_Matches_All[[#This Row],[Match_Number]],Dyno_Data[RecordType],"EndAuto")</f>
        <v>1</v>
      </c>
      <c r="AI62">
        <f>COUNTIFS(Dyno_Data[Team],TBA_Matches_All[[#This Row],[Team]],Dyno_Data[Match],TBA_Matches_All[[#This Row],[Match_Number]],Dyno_Data[RecordType],"Activities",Dyno_Data[DelDest],"Amp", Dyno_Data[DelMiss],"0", Dyno_Data[Mode],"Auto")</f>
        <v>0</v>
      </c>
      <c r="AJ62">
        <f>COUNTIFS(Dyno_Data[Team],TBA_Matches_All[[#This Row],[Team]],Dyno_Data[Match],TBA_Matches_All[[#This Row],[Match_Number]],Dyno_Data[RecordType],"Activities",Dyno_Data[DelDest],"Spkr", Dyno_Data[DelMiss],"0", Dyno_Data[Mode],"Auto")</f>
        <v>0</v>
      </c>
      <c r="AK62">
        <f>COUNTIFS(Dyno_Data[Team],TBA_Matches_All[[#This Row],[Team]],Dyno_Data[Match],TBA_Matches_All[[#This Row],[Match_Number]],Dyno_Data[RecordType],"Activities",Dyno_Data[DelDest],"Trap", Dyno_Data[DelMiss],"0", Dyno_Data[Mode],"Auto")</f>
        <v>0</v>
      </c>
      <c r="AL62">
        <f>COUNTIFS(Dyno_Data[Team],TBA_Matches_All[[#This Row],[Team]],Dyno_Data[Match],TBA_Matches_All[[#This Row],[Match_Number]],Dyno_Data[RecordType],"Activities",Dyno_Data[DelDest],"Amp", Dyno_Data[DelMiss],"0", Dyno_Data[Mode],"Teleop")</f>
        <v>0</v>
      </c>
      <c r="AM62">
        <f>COUNTIFS(Dyno_Data[Team],TBA_Matches_All[[#This Row],[Team]],Dyno_Data[Match],TBA_Matches_All[[#This Row],[Match_Number]],Dyno_Data[RecordType],"Activities",Dyno_Data[DelDest],"Spkr", Dyno_Data[DelMiss],"0", Dyno_Data[Mode],"Teleop")</f>
        <v>3</v>
      </c>
      <c r="AN62">
        <f>COUNTIFS(Dyno_Data[Team],TBA_Matches_All[[#This Row],[Team]],Dyno_Data[Match],TBA_Matches_All[[#This Row],[Match_Number]],Dyno_Data[RecordType],"Activities",Dyno_Data[DelDest],"Trap", Dyno_Data[DelMiss],"0", Dyno_Data[Mode],"&lt;&gt;Auto")</f>
        <v>0</v>
      </c>
      <c r="AO62">
        <f>SUM(TBA_Matches_All[[#This Row],[AampT]]+TBA_Matches_All[[#This Row],[AspkrT]]+TBA_Matches_All[[#This Row],[AtrapT]]+TBA_Matches_All[[#This Row],[TampT]]+TBA_Matches_All[[#This Row],[TspkrT]]+TBA_Matches_All[[#This Row],[TtrapT]])</f>
        <v>3</v>
      </c>
      <c r="AP62">
        <f>COUNTIFS(Dyno_Data[Team],TBA_Matches_All[[#This Row],[Team]],Dyno_Data[Match],TBA_Matches_All[[#This Row],[Match_Number]],Dyno_Data[RecordType],"Activities",Dyno_Data[DelDest],"Neut", Dyno_Data[DelMiss],"0")</f>
        <v>0</v>
      </c>
      <c r="AQ62">
        <f>COUNTIFS(Dyno_Data[Team],TBA_Matches_All[[#This Row],[Team]],Dyno_Data[Match],TBA_Matches_All[[#This Row],[Match_Number]],Dyno_Data[RecordType],"Activities",Dyno_Data[DelDest],"AllyW", Dyno_Data[DelMiss],"0")</f>
        <v>0</v>
      </c>
      <c r="AR62" t="str">
        <f>_xlfn.XLOOKUP(SUM(MID(TBA_Matches_All[[#This Row],[Team]],4,5),(TBA_Matches_All[[#This Row],[Match_Number]]/100)),Dyno_EndMatch[teammat],Dyno_EndMatch[RobotSta],"_",0,1)</f>
        <v>OppS</v>
      </c>
      <c r="AS62">
        <f>SUMIFS(Dyno_Data[AcqDis], Dyno_Data[Team],TBA_Matches_All[[#This Row],[Team]],Dyno_Data[Match],TBA_Matches_All[[#This Row],[Match_Number]],Dyno_Data[RecordType],"Activities", Dyno_Data[AcqCenter],1,Dyno_Data[Mode],"Auto")</f>
        <v>0</v>
      </c>
      <c r="AT62">
        <f>SUMIFS(Dyno_Data[AcqDis], Dyno_Data[Team],TBA_Matches_All[[#This Row],[Team]],Dyno_Data[Match],TBA_Matches_All[[#This Row],[Match_Number]],Dyno_Data[RecordType],"Activities", Dyno_Data[AcqCenter],2,Dyno_Data[Mode],"Auto")</f>
        <v>0</v>
      </c>
      <c r="AU62">
        <f>SUMIFS(Dyno_Data[AcqDis], Dyno_Data[Team],TBA_Matches_All[[#This Row],[Team]],Dyno_Data[Match],TBA_Matches_All[[#This Row],[Match_Number]],Dyno_Data[RecordType],"Activities", Dyno_Data[AcqCenter],3,Dyno_Data[Mode],"Auto")</f>
        <v>0</v>
      </c>
      <c r="AV62">
        <f>SUMIFS(Dyno_Data[AcqDis], Dyno_Data[Team],TBA_Matches_All[[#This Row],[Team]],Dyno_Data[Match],TBA_Matches_All[[#This Row],[Match_Number]],Dyno_Data[RecordType],"Activities", Dyno_Data[AcqCenter],4,Dyno_Data[Mode],"Auto")</f>
        <v>0</v>
      </c>
      <c r="AW62">
        <f>SUMIFS(Dyno_Data[AcqDis], Dyno_Data[Team],TBA_Matches_All[[#This Row],[Team]],Dyno_Data[Match],TBA_Matches_All[[#This Row],[Match_Number]],Dyno_Data[RecordType],"Activities", Dyno_Data[AcqCenter],5,Dyno_Data[Mode],"Auto")</f>
        <v>0</v>
      </c>
      <c r="AX62">
        <f>SUMIFS(Dyno_Data[DelMiss], Dyno_Data[Team],TBA_Matches_All[[#This Row],[Team]],Dyno_Data[Match],TBA_Matches_All[[#This Row],[Match_Number]],Dyno_Data[RecordType],"Activities", Dyno_Data[DelDest],"Amp")</f>
        <v>0</v>
      </c>
      <c r="AY62" s="60">
        <f>IFERROR(SUM((TBA_Matches_All[[#This Row],[AampT]]+TBA_Matches_All[[#This Row],[TampT]])/(TBA_Matches_All[[#This Row],[AampT]]+TBA_Matches_All[[#This Row],[TampT]]+TBA_Matches_All[[#This Row],[ampM]])),0)</f>
        <v>0</v>
      </c>
      <c r="AZ62">
        <f>SUMIFS(Dyno_Data[DelMiss], Dyno_Data[Team],TBA_Matches_All[[#This Row],[Team]],Dyno_Data[Match],TBA_Matches_All[[#This Row],[Match_Number]],Dyno_Data[RecordType],"Activities", Dyno_Data[DelDest],"Spkr")</f>
        <v>1</v>
      </c>
      <c r="BA62" s="60">
        <f>IFERROR(SUM((TBA_Matches_All[[#This Row],[AspkrT]]+TBA_Matches_All[[#This Row],[TspkrT]])/(TBA_Matches_All[[#This Row],[AspkrT]]+TBA_Matches_All[[#This Row],[TspkrT]]+TBA_Matches_All[[#This Row],[spkrM]])),0)</f>
        <v>0.75</v>
      </c>
      <c r="BB62">
        <f>SUMIFS(Dyno_Data[DelMiss], Dyno_Data[Team],TBA_Matches_All[[#This Row],[Team]],Dyno_Data[Match],TBA_Matches_All[[#This Row],[Match_Number]],Dyno_Data[RecordType],"Activities", Dyno_Data[DelDest],"Trap")</f>
        <v>0</v>
      </c>
      <c r="BC62" s="60">
        <f>IFERROR((TBA_Matches_All[[#This Row],[AtrapT]]+TBA_Matches_All[[#This Row],[TtrapT]])/(TBA_Matches_All[[#This Row],[AtrapT]]+TBA_Matches_All[[#This Row],[TtrapT]]+TBA_Matches_All[[#This Row],[trapM]]),0)</f>
        <v>0</v>
      </c>
      <c r="BD62">
        <f>COUNTIFS(Dyno_Data[Team],TBA_Matches_All[[#This Row],[Team]],Dyno_Data[Match],TBA_Matches_All[[#This Row],[Match_Number]],Dyno_Data[RecordType],"Activities",Dyno_Data[DelDest],"Neut", Dyno_Data[DelMiss],1)</f>
        <v>0</v>
      </c>
      <c r="BE62" s="60">
        <f>IFERROR(SUM((TBA_Matches_All[[#This Row],[NeutFlrT]])/(TBA_Matches_All[[#This Row],[NeutFlrT]]+TBA_Matches_All[[#This Row],[NZflM]])),0)</f>
        <v>0</v>
      </c>
      <c r="BF62">
        <f>COUNTIFS(Dyno_Data[Team],TBA_Matches_All[[#This Row],[Team]],Dyno_Data[Match],TBA_Matches_All[[#This Row],[Match_Number]],Dyno_Data[RecordType],"Activities",Dyno_Data[DelDest],"AllyW", Dyno_Data[DelMiss],1)</f>
        <v>0</v>
      </c>
      <c r="BG62" s="60">
        <f>IFERROR(SUM((TBA_Matches_All[[#This Row],[AllyWFlrT]])/(TBA_Matches_All[[#This Row],[AllyWFlrT]]+TBA_Matches_All[[#This Row],[AZflM]])),0)</f>
        <v>0</v>
      </c>
      <c r="BH62">
        <f>COUNTIFS(Dyno_Data[Team],TBA_Matches_All[[#This Row],[Team]],Dyno_Data[Match],TBA_Matches_All[[#This Row],[Match_Number]],Dyno_Data[RecordType],"Activities",Dyno_Data[DelOrig],"OppW", Dyno_Data[DelMiss],"0")</f>
        <v>0</v>
      </c>
      <c r="BI62">
        <f>COUNTIFS(Dyno_Data[Team],TBA_Matches_All[[#This Row],[Team]],Dyno_Data[Match],TBA_Matches_All[[#This Row],[Match_Number]],Dyno_Data[RecordType],"Activities",Dyno_Data[DelOrig],"OppW", Dyno_Data[DelMiss],"1")</f>
        <v>0</v>
      </c>
      <c r="BJ62" s="60">
        <f>IFERROR(SUM((TBA_Matches_All[[#This Row],[OZflrT]])/(TBA_Matches_All[[#This Row],[OZflrT]]+TBA_Matches_All[[#This Row],[OZflrM]])),0)</f>
        <v>0</v>
      </c>
      <c r="BK62">
        <f>COUNTIFS(Dyno_Data[Team],TBA_Matches_All[[#This Row],[Team]],Dyno_Data[Match],TBA_Matches_All[[#This Row],[Match_Number]],Dyno_Data[RecordType],"Activities",Dyno_Data[DelOrig],"Neut", Dyno_Data[DelMiss],"0")</f>
        <v>0</v>
      </c>
      <c r="BL62">
        <f>COUNTIFS(Dyno_Data[Team],TBA_Matches_All[[#This Row],[Team]],Dyno_Data[Match],TBA_Matches_All[[#This Row],[Match_Number]],Dyno_Data[RecordType],"Activities",Dyno_Data[DelOrig],"Neut", Dyno_Data[DelMiss],"1")</f>
        <v>0</v>
      </c>
      <c r="BM62" s="60">
        <f>IFERROR(SUM((TBA_Matches_All[[#This Row],[NZflrT]])/(TBA_Matches_All[[#This Row],[NZflrT]]+TBA_Matches_All[[#This Row],[NZflrM]])),0)</f>
        <v>0</v>
      </c>
      <c r="BN62">
        <f>COUNTIFS(Dyno_Data[Team],TBA_Matches_All[[#This Row],[Team]],Dyno_Data[Match],TBA_Matches_All[[#This Row],[Match_Number]],Dyno_Data[RecordType],"Activities",Dyno_Data[DelOrig],"AllyW", Dyno_Data[DelMiss],"0")</f>
        <v>1</v>
      </c>
      <c r="BO62">
        <f>COUNTIFS(Dyno_Data[Team],TBA_Matches_All[[#This Row],[Team]],Dyno_Data[Match],TBA_Matches_All[[#This Row],[Match_Number]],Dyno_Data[RecordType],"Activities",Dyno_Data[DelOrig],"AllyW", Dyno_Data[DelMiss],"1")</f>
        <v>1</v>
      </c>
      <c r="BP62" s="60">
        <f>IFERROR(SUM((TBA_Matches_All[[#This Row],[AZflrT]])/(TBA_Matches_All[[#This Row],[AZflrT]]+TBA_Matches_All[[#This Row],[AZflrM]])),0)</f>
        <v>0.5</v>
      </c>
      <c r="BQ62">
        <f>COUNTIFS(Dyno_Data[Team],TBA_Matches_All[[#This Row],[Team]],Dyno_Data[Match],TBA_Matches_All[[#This Row],[Match_Number]],Dyno_Data[RecordType],"Activities",Dyno_Data[DelOrig],"SubW", Dyno_Data[DelMiss],"0")</f>
        <v>2</v>
      </c>
      <c r="BR62">
        <f>COUNTIFS(Dyno_Data[Team],TBA_Matches_All[[#This Row],[Team]],Dyno_Data[Match],TBA_Matches_All[[#This Row],[Match_Number]],Dyno_Data[RecordType],"Activities",Dyno_Data[DelOrig],"SubW", Dyno_Data[DelMiss],"1")</f>
        <v>0</v>
      </c>
      <c r="BS62" s="60">
        <f>IFERROR(SUM((TBA_Matches_All[[#This Row],[SubwT]])/(TBA_Matches_All[[#This Row],[SubwT]]+TBA_Matches_All[[#This Row],[SubwM]])),0)</f>
        <v>1</v>
      </c>
      <c r="BT62">
        <f>COUNTIFS(Dyno_Data[Team],TBA_Matches_All[[#This Row],[Team]],Dyno_Data[Match],TBA_Matches_All[[#This Row],[Match_Number]],Dyno_Data[RecordType],"Activities", Dyno_Data[AcqLoc],"OppWing")</f>
        <v>0</v>
      </c>
      <c r="BU62">
        <f>COUNTIFS(Dyno_Data[Team],TBA_Matches_All[[#This Row],[Team]],Dyno_Data[Match],TBA_Matches_All[[#This Row],[Match_Number]],Dyno_Data[RecordType],"Activities", Dyno_Data[AcqLoc],"Neutral")</f>
        <v>0</v>
      </c>
      <c r="BV62">
        <f>COUNTIFS(Dyno_Data[Team],TBA_Matches_All[[#This Row],[Team]],Dyno_Data[Match],TBA_Matches_All[[#This Row],[Match_Number]],Dyno_Data[RecordType],"Activities", Dyno_Data[AcqLoc],"AllyWing")</f>
        <v>0</v>
      </c>
      <c r="BW62">
        <f>COUNTIFS(Dyno_Data[Team],TBA_Matches_All[[#This Row],[Team]],Dyno_Data[Match],TBA_Matches_All[[#This Row],[Match_Number]],Dyno_Data[RecordType],"Activities", Dyno_Data[AcqLoc],"Source")</f>
        <v>0</v>
      </c>
      <c r="BX62">
        <f>SUMIFS(Dyno_Data[AcqDrp], Dyno_Data[Team],TBA_Matches_All[[#This Row],[Team]],Dyno_Data[Match],TBA_Matches_All[[#This Row],[Match_Number]],Dyno_Data[RecordType],"Activities", Dyno_Data[AcqLoc],"Source")</f>
        <v>0</v>
      </c>
      <c r="BY62">
        <f>SUMIFS(Dyno_Data[OZTime], Dyno_Data[Team],TBA_Matches_All[[#This Row],[Team]],Dyno_Data[Match],TBA_Matches_All[[#This Row],[Match_Number]],Dyno_Data[RecordType],"EndMatch")</f>
        <v>34.894683799999996</v>
      </c>
      <c r="BZ62">
        <f>SUMIFS(Dyno_Data[NZTime], Dyno_Data[Team],TBA_Matches_All[[#This Row],[Team]],Dyno_Data[Match],TBA_Matches_All[[#This Row],[Match_Number]],Dyno_Data[RecordType],"EndMatch")</f>
        <v>41.032349400000001</v>
      </c>
      <c r="CA62">
        <f>SUMIFS(Dyno_Data[AZTime], Dyno_Data[Team],TBA_Matches_All[[#This Row],[Team]],Dyno_Data[Match],TBA_Matches_All[[#This Row],[Match_Number]],Dyno_Data[RecordType],"EndMatch")</f>
        <v>60.4093613</v>
      </c>
      <c r="CB62">
        <f>SUMIFS(Dyno_Data[ClimbT], Dyno_Data[Team],TBA_Matches_All[[#This Row],[Team]],Dyno_Data[Match],TBA_Matches_All[[#This Row],[Match_Number]],Dyno_Data[RecordType],"EndMatch")</f>
        <v>0</v>
      </c>
      <c r="CC62" t="str">
        <f>_xlfn.XLOOKUP(SUM(MID(TBA_Matches_All[[#This Row],[Team]],4,5),(TBA_Matches_All[[#This Row],[Match_Number]]/100)),Dyno_EndMatch[teammat],Dyno_EndMatch[StageStat],"_",0,1)</f>
        <v>Else</v>
      </c>
      <c r="CD62" t="str">
        <f>_xlfn.XLOOKUP(TBA_Matches_All[[#This Row],[teammat]],Dyno_EndMatch[teammat],Dyno_EndMatch[StageAtt],"_",0,1)</f>
        <v>0</v>
      </c>
      <c r="CE62" t="str">
        <f>_xlfn.XLOOKUP(TBA_Matches_All[[#This Row],[teammat]],Dyno_EndMatch[teammat],Dyno_EndMatch[StageLoc],"_",0,1)</f>
        <v>A</v>
      </c>
      <c r="CF62">
        <f>SUMIFS(Dyno_Data[Harmony], Dyno_Data[Team],TBA_Matches_All[[#This Row],[Team]],Dyno_Data[Match],TBA_Matches_All[[#This Row],[Match_Number]],Dyno_Data[RecordType],"EndMatch", Dyno_Data[StageStat],"On",Dyno_Data[Harmony],"&lt;&gt;9")</f>
        <v>0</v>
      </c>
      <c r="CG62">
        <f>SUMIFS(Dyno_Data[Spotlit], Dyno_Data[Team],TBA_Matches_All[[#This Row],[Team]],Dyno_Data[Match],TBA_Matches_All[[#This Row],[Match_Number]],Dyno_Data[RecordType],"EndMatch", Dyno_Data[StageStat],"On",Dyno_Data[Spotlit],"&lt;&gt;9")</f>
        <v>0</v>
      </c>
      <c r="CH62" t="str">
        <f>_xlfn.XLOOKUP(TBA_Matches_All[[#This Row],[teammat]],Dyno_EndMatch[teammat],Dyno_EndMatch[Strategy],"_",0,1)</f>
        <v>Hybrid</v>
      </c>
      <c r="CI62">
        <f>SUMIFS(Dyno_Data[Defense], Dyno_Data[Team],TBA_Matches_All[[#This Row],[Team]],Dyno_Data[Match],TBA_Matches_All[[#This Row],[Match_Number]],Dyno_Data[RecordType],"EndMatch",Dyno_Data[Defense],"&lt;&gt;9")</f>
        <v>0</v>
      </c>
      <c r="CJ62">
        <f>SUMIFS(Dyno_Data[Avoidance], Dyno_Data[Team],TBA_Matches_All[[#This Row],[Team]],Dyno_Data[Match],TBA_Matches_All[[#This Row],[Match_Number]],Dyno_Data[RecordType],"EndMatch",Dyno_Data[Avoidance],"&lt;&gt;9")</f>
        <v>3</v>
      </c>
      <c r="CK62" s="82">
        <f>COUNTIF($H$2:TBA_Matches_All[[#This Row],[Team]],TBA_Matches_All[[#This Row],[Team]])</f>
        <v>2</v>
      </c>
      <c r="CL62" s="111">
        <f>SUM(MID(TBA_Matches_All[[#This Row],[Team]],4,5)+TBA_Matches_All[[#This Row],[Match_Number]]/100)</f>
        <v>2095.1</v>
      </c>
      <c r="CM62">
        <f>SUM((TBA_Matches_All[[#This Row],[Leave]]*2)+(TBA_Matches_All[[#This Row],[AampT]]*2)+(TBA_Matches_All[[#This Row],[AspkrT]]*5)+(TBA_Matches_All[[#This Row],[AtrapT]]*5))</f>
        <v>2</v>
      </c>
      <c r="CN62" s="59">
        <f>IFERROR(SUM(TBA_Matches_All[[#This Row],[AptsT]]/TBA_Matches_All[[#This Row],[AutoPts]]),0)</f>
        <v>0.125</v>
      </c>
      <c r="CO62" s="59">
        <f>IFERROR(SUM(TBA_Matches_All[[#This Row],[AampT]]+TBA_Matches_All[[#This Row],[AspkrT]]+TBA_Matches_All[[#This Row],[AtrapT]]/TBA_Matches_All[[#This Row],[Aamp]]+TBA_Matches_All[[#This Row],[Aspkr]]+TBA_Matches_All[[#This Row],[AtrapT]]),0)</f>
        <v>0</v>
      </c>
      <c r="CP62" s="59">
        <f>IFERROR(SUM(TBA_Matches_All[[#This Row],[TampT]]/TBA_Matches_All[[#This Row],[Tamp]]),0)</f>
        <v>0</v>
      </c>
      <c r="CQ62" s="59">
        <f>IFERROR(SUM(TBA_Matches_All[[#This Row],[TspkrT]]/TBA_Matches_All[[#This Row],[Tspkr]]),0)</f>
        <v>0.25</v>
      </c>
      <c r="CR62">
        <f>SUM(TBA_Matches_All[[#This Row],[TspkrPts]]*TBA_Matches_All[[#This Row],[TspkrP]])</f>
        <v>6</v>
      </c>
      <c r="CS62" s="59">
        <f>IFERROR(SUM(TBA_Matches_All[[#This Row],[TtrapT]]/TBA_Matches_All[[#This Row],[Trap]]),0)</f>
        <v>0</v>
      </c>
      <c r="CT62" s="59">
        <f>IFERROR(SUM(TBA_Matches_All[[#This Row],[TotNotesT]]/TBA_Matches_All[[#This Row],[TotNotes]]),0)</f>
        <v>0.2</v>
      </c>
      <c r="CU62" s="66">
        <f>SUM((TBA_Matches_All[[#This Row],[AampT]]*2)+(TBA_Matches_All[[#This Row],[AspkrT]]*5)+(TBA_Matches_All[[#This Row],[AtrapT]]*5)+(TBA_Matches_All[[#This Row],[TampT]]*1)+(TBA_Matches_All[[#This Row],[TspkrptsC]]))</f>
        <v>6</v>
      </c>
      <c r="CV62" s="59">
        <f>IFERROR(TBA_Matches_All[[#This Row],[noteptsT]]/TBA_Matches_All[[#This Row],[NotePts]],0)</f>
        <v>0.17142857142857143</v>
      </c>
      <c r="CW62">
        <f>SUM(IF(TBA_Matches_All[[#This Row],[stageStat]]="On",3,0),IF(TBA_Matches_All[[#This Row],[stageStat]]="Park",1,0),SUMIFS(TBA_Matches_All[[#This Row],[Spotlit]],TBA_Matches_All[[#This Row],[stageStat]],"On"),SUMIFS(TBA_Matches_All[[#This Row],[Harmony]],TBA_Matches_All[[#This Row],[stageStat]],"On"))</f>
        <v>0</v>
      </c>
      <c r="CX62" s="59">
        <f>IFERROR(TBA_Matches_All[[#This Row],[stageptsT]]/TBA_Matches_All[[#This Row],[StagePts]],0)</f>
        <v>0</v>
      </c>
      <c r="CY62">
        <f>SUM((TBA_Matches_All[[#This Row],[AptsT]]+TBA_Matches_All[[#This Row],[TampT]]+TBA_Matches_All[[#This Row],[TspkrptsC]]+(TBA_Matches_All[[#This Row],[TtrapT]]*5)+TBA_Matches_All[[#This Row],[stageptsT]]))</f>
        <v>8</v>
      </c>
      <c r="CZ62" s="59">
        <f>IFERROR(SUM(TBA_Matches_All[[#This Row],[TotptsC]]/TBA_Matches_All[[#This Row],[Score]]),0)</f>
        <v>0.19047619047619047</v>
      </c>
      <c r="DA6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4.792272727272727</v>
      </c>
      <c r="DB62" s="74">
        <f>SUMIFS(TBA_Matches_All[AveTeamTNoteDels],TBA_Matches_All[Match_Number],TBA_Matches_All[[#This Row],[Match_Number]],TBA_Matches_All[Alliance],"&lt;&gt;"&amp;TBA_Matches_All[[#This Row],[Alliance]],TBA_Matches_All[Scouted],"&gt;0")</f>
        <v>25.546666666666667</v>
      </c>
      <c r="DC62" s="74">
        <f>(TBA_Matches_All[[#This Row],[TampT]]+TBA_Matches_All[[#This Row],[TspkrptsC]])-TBA_Matches_All[[#This Row],[AveTeamTNoteDels]]</f>
        <v>1.207727272727273</v>
      </c>
      <c r="DD62" s="74">
        <f>SUMIFS(TBA_Matches_All[AveTeamTNoteDels],TBA_Matches_All[Match_Number],TBA_Matches_All[[#This Row],[Match_Number]],TBA_Matches_All[Alliance],"&lt;&gt;"&amp;TBA_Matches_All[[#This Row],[Alliance]])-TBA_Matches_All[[#This Row],[AveOppTNoteDels]]</f>
        <v>0</v>
      </c>
    </row>
    <row r="63" spans="1:108" x14ac:dyDescent="0.3">
      <c r="A63" t="s">
        <v>1042</v>
      </c>
      <c r="B63" t="s">
        <v>489</v>
      </c>
      <c r="C63" t="s">
        <v>1320</v>
      </c>
      <c r="D63">
        <v>11</v>
      </c>
      <c r="E63" t="s">
        <v>1420</v>
      </c>
      <c r="F63" t="s">
        <v>1425</v>
      </c>
      <c r="G63" t="s">
        <v>105</v>
      </c>
      <c r="H63" t="s">
        <v>1275</v>
      </c>
      <c r="I63" t="b">
        <v>1</v>
      </c>
      <c r="J63">
        <v>65</v>
      </c>
      <c r="K63">
        <v>1</v>
      </c>
      <c r="L63">
        <v>0</v>
      </c>
      <c r="M63">
        <v>5</v>
      </c>
      <c r="N63">
        <v>0</v>
      </c>
      <c r="O63">
        <v>3</v>
      </c>
      <c r="P63">
        <v>15</v>
      </c>
      <c r="Q63">
        <v>19</v>
      </c>
      <c r="R63">
        <v>3</v>
      </c>
      <c r="S63">
        <v>3</v>
      </c>
      <c r="T63">
        <v>11</v>
      </c>
      <c r="U63">
        <v>15</v>
      </c>
      <c r="V63">
        <v>22</v>
      </c>
      <c r="W63">
        <v>14</v>
      </c>
      <c r="X63">
        <v>37</v>
      </c>
      <c r="Y63">
        <v>40</v>
      </c>
      <c r="Z63">
        <v>0</v>
      </c>
      <c r="AA63">
        <v>0</v>
      </c>
      <c r="AB63">
        <v>20</v>
      </c>
      <c r="AC63">
        <v>55</v>
      </c>
      <c r="AD63">
        <v>1</v>
      </c>
      <c r="AE63">
        <f>IFERROR(6/(COUNTIF(Dyno_EndMatch[Match],TBA_Matches_All[[#This Row],[Match_Number]])),0)</f>
        <v>1</v>
      </c>
      <c r="AF63">
        <f>COUNTIFS(Dyno_Data[Team],TBA_Matches_All[[#This Row],[Team]],Dyno_Data[Match],TBA_Matches_All[[#This Row],[Match_Number]],Dyno_Data[RecordType],"EndMatch",Dyno_Data[HPAmp],"Y")</f>
        <v>1</v>
      </c>
      <c r="AG63">
        <f>SUMIFS(Dyno_Data[Mics], Dyno_Data[Team],TBA_Matches_All[[#This Row],[Team]],Dyno_Data[Match],TBA_Matches_All[[#This Row],[Match_Number]],Dyno_Data[RecordType],"EndMatch",Dyno_Data[HPAmp],"Y")</f>
        <v>0</v>
      </c>
      <c r="AH63">
        <f>SUMIFS(Dyno_Data[Leave], Dyno_Data[Team],TBA_Matches_All[[#This Row],[Team]],Dyno_Data[Match],TBA_Matches_All[[#This Row],[Match_Number]],Dyno_Data[RecordType],"EndAuto")</f>
        <v>0</v>
      </c>
      <c r="AI63">
        <f>COUNTIFS(Dyno_Data[Team],TBA_Matches_All[[#This Row],[Team]],Dyno_Data[Match],TBA_Matches_All[[#This Row],[Match_Number]],Dyno_Data[RecordType],"Activities",Dyno_Data[DelDest],"Amp", Dyno_Data[DelMiss],"0", Dyno_Data[Mode],"Auto")</f>
        <v>0</v>
      </c>
      <c r="AJ63">
        <f>COUNTIFS(Dyno_Data[Team],TBA_Matches_All[[#This Row],[Team]],Dyno_Data[Match],TBA_Matches_All[[#This Row],[Match_Number]],Dyno_Data[RecordType],"Activities",Dyno_Data[DelDest],"Spkr", Dyno_Data[DelMiss],"0", Dyno_Data[Mode],"Auto")</f>
        <v>1</v>
      </c>
      <c r="AK63">
        <f>COUNTIFS(Dyno_Data[Team],TBA_Matches_All[[#This Row],[Team]],Dyno_Data[Match],TBA_Matches_All[[#This Row],[Match_Number]],Dyno_Data[RecordType],"Activities",Dyno_Data[DelDest],"Trap", Dyno_Data[DelMiss],"0", Dyno_Data[Mode],"Auto")</f>
        <v>0</v>
      </c>
      <c r="AL63">
        <f>COUNTIFS(Dyno_Data[Team],TBA_Matches_All[[#This Row],[Team]],Dyno_Data[Match],TBA_Matches_All[[#This Row],[Match_Number]],Dyno_Data[RecordType],"Activities",Dyno_Data[DelDest],"Amp", Dyno_Data[DelMiss],"0", Dyno_Data[Mode],"Teleop")</f>
        <v>0</v>
      </c>
      <c r="AM63">
        <f>COUNTIFS(Dyno_Data[Team],TBA_Matches_All[[#This Row],[Team]],Dyno_Data[Match],TBA_Matches_All[[#This Row],[Match_Number]],Dyno_Data[RecordType],"Activities",Dyno_Data[DelDest],"Spkr", Dyno_Data[DelMiss],"0", Dyno_Data[Mode],"Teleop")</f>
        <v>5</v>
      </c>
      <c r="AN63">
        <f>COUNTIFS(Dyno_Data[Team],TBA_Matches_All[[#This Row],[Team]],Dyno_Data[Match],TBA_Matches_All[[#This Row],[Match_Number]],Dyno_Data[RecordType],"Activities",Dyno_Data[DelDest],"Trap", Dyno_Data[DelMiss],"0", Dyno_Data[Mode],"&lt;&gt;Auto")</f>
        <v>0</v>
      </c>
      <c r="AO63">
        <f>SUM(TBA_Matches_All[[#This Row],[AampT]]+TBA_Matches_All[[#This Row],[AspkrT]]+TBA_Matches_All[[#This Row],[AtrapT]]+TBA_Matches_All[[#This Row],[TampT]]+TBA_Matches_All[[#This Row],[TspkrT]]+TBA_Matches_All[[#This Row],[TtrapT]])</f>
        <v>6</v>
      </c>
      <c r="AP63">
        <f>COUNTIFS(Dyno_Data[Team],TBA_Matches_All[[#This Row],[Team]],Dyno_Data[Match],TBA_Matches_All[[#This Row],[Match_Number]],Dyno_Data[RecordType],"Activities",Dyno_Data[DelDest],"Neut", Dyno_Data[DelMiss],"0")</f>
        <v>0</v>
      </c>
      <c r="AQ63">
        <f>COUNTIFS(Dyno_Data[Team],TBA_Matches_All[[#This Row],[Team]],Dyno_Data[Match],TBA_Matches_All[[#This Row],[Match_Number]],Dyno_Data[RecordType],"Activities",Dyno_Data[DelDest],"AllyW", Dyno_Data[DelMiss],"0")</f>
        <v>0</v>
      </c>
      <c r="AR63" t="str">
        <f>_xlfn.XLOOKUP(SUM(MID(TBA_Matches_All[[#This Row],[Team]],4,5),(TBA_Matches_All[[#This Row],[Match_Number]]/100)),Dyno_EndMatch[teammat],Dyno_EndMatch[RobotSta],"_",0,1)</f>
        <v>Amp</v>
      </c>
      <c r="AS63">
        <f>SUMIFS(Dyno_Data[AcqDis], Dyno_Data[Team],TBA_Matches_All[[#This Row],[Team]],Dyno_Data[Match],TBA_Matches_All[[#This Row],[Match_Number]],Dyno_Data[RecordType],"Activities", Dyno_Data[AcqCenter],1,Dyno_Data[Mode],"Auto")</f>
        <v>0</v>
      </c>
      <c r="AT63">
        <f>SUMIFS(Dyno_Data[AcqDis], Dyno_Data[Team],TBA_Matches_All[[#This Row],[Team]],Dyno_Data[Match],TBA_Matches_All[[#This Row],[Match_Number]],Dyno_Data[RecordType],"Activities", Dyno_Data[AcqCenter],2,Dyno_Data[Mode],"Auto")</f>
        <v>0</v>
      </c>
      <c r="AU63">
        <f>SUMIFS(Dyno_Data[AcqDis], Dyno_Data[Team],TBA_Matches_All[[#This Row],[Team]],Dyno_Data[Match],TBA_Matches_All[[#This Row],[Match_Number]],Dyno_Data[RecordType],"Activities", Dyno_Data[AcqCenter],3,Dyno_Data[Mode],"Auto")</f>
        <v>0</v>
      </c>
      <c r="AV63">
        <f>SUMIFS(Dyno_Data[AcqDis], Dyno_Data[Team],TBA_Matches_All[[#This Row],[Team]],Dyno_Data[Match],TBA_Matches_All[[#This Row],[Match_Number]],Dyno_Data[RecordType],"Activities", Dyno_Data[AcqCenter],4,Dyno_Data[Mode],"Auto")</f>
        <v>0</v>
      </c>
      <c r="AW63">
        <f>SUMIFS(Dyno_Data[AcqDis], Dyno_Data[Team],TBA_Matches_All[[#This Row],[Team]],Dyno_Data[Match],TBA_Matches_All[[#This Row],[Match_Number]],Dyno_Data[RecordType],"Activities", Dyno_Data[AcqCenter],5,Dyno_Data[Mode],"Auto")</f>
        <v>0</v>
      </c>
      <c r="AX63">
        <f>SUMIFS(Dyno_Data[DelMiss], Dyno_Data[Team],TBA_Matches_All[[#This Row],[Team]],Dyno_Data[Match],TBA_Matches_All[[#This Row],[Match_Number]],Dyno_Data[RecordType],"Activities", Dyno_Data[DelDest],"Amp")</f>
        <v>0</v>
      </c>
      <c r="AY63" s="60">
        <f>IFERROR(SUM((TBA_Matches_All[[#This Row],[AampT]]+TBA_Matches_All[[#This Row],[TampT]])/(TBA_Matches_All[[#This Row],[AampT]]+TBA_Matches_All[[#This Row],[TampT]]+TBA_Matches_All[[#This Row],[ampM]])),0)</f>
        <v>0</v>
      </c>
      <c r="AZ63">
        <f>SUMIFS(Dyno_Data[DelMiss], Dyno_Data[Team],TBA_Matches_All[[#This Row],[Team]],Dyno_Data[Match],TBA_Matches_All[[#This Row],[Match_Number]],Dyno_Data[RecordType],"Activities", Dyno_Data[DelDest],"Spkr")</f>
        <v>0</v>
      </c>
      <c r="BA63" s="60">
        <f>IFERROR(SUM((TBA_Matches_All[[#This Row],[AspkrT]]+TBA_Matches_All[[#This Row],[TspkrT]])/(TBA_Matches_All[[#This Row],[AspkrT]]+TBA_Matches_All[[#This Row],[TspkrT]]+TBA_Matches_All[[#This Row],[spkrM]])),0)</f>
        <v>1</v>
      </c>
      <c r="BB63">
        <f>SUMIFS(Dyno_Data[DelMiss], Dyno_Data[Team],TBA_Matches_All[[#This Row],[Team]],Dyno_Data[Match],TBA_Matches_All[[#This Row],[Match_Number]],Dyno_Data[RecordType],"Activities", Dyno_Data[DelDest],"Trap")</f>
        <v>0</v>
      </c>
      <c r="BC63" s="60">
        <f>IFERROR((TBA_Matches_All[[#This Row],[AtrapT]]+TBA_Matches_All[[#This Row],[TtrapT]])/(TBA_Matches_All[[#This Row],[AtrapT]]+TBA_Matches_All[[#This Row],[TtrapT]]+TBA_Matches_All[[#This Row],[trapM]]),0)</f>
        <v>0</v>
      </c>
      <c r="BD63">
        <f>COUNTIFS(Dyno_Data[Team],TBA_Matches_All[[#This Row],[Team]],Dyno_Data[Match],TBA_Matches_All[[#This Row],[Match_Number]],Dyno_Data[RecordType],"Activities",Dyno_Data[DelDest],"Neut", Dyno_Data[DelMiss],1)</f>
        <v>0</v>
      </c>
      <c r="BE63" s="60">
        <f>IFERROR(SUM((TBA_Matches_All[[#This Row],[NeutFlrT]])/(TBA_Matches_All[[#This Row],[NeutFlrT]]+TBA_Matches_All[[#This Row],[NZflM]])),0)</f>
        <v>0</v>
      </c>
      <c r="BF63">
        <f>COUNTIFS(Dyno_Data[Team],TBA_Matches_All[[#This Row],[Team]],Dyno_Data[Match],TBA_Matches_All[[#This Row],[Match_Number]],Dyno_Data[RecordType],"Activities",Dyno_Data[DelDest],"AllyW", Dyno_Data[DelMiss],1)</f>
        <v>0</v>
      </c>
      <c r="BG63" s="60">
        <f>IFERROR(SUM((TBA_Matches_All[[#This Row],[AllyWFlrT]])/(TBA_Matches_All[[#This Row],[AllyWFlrT]]+TBA_Matches_All[[#This Row],[AZflM]])),0)</f>
        <v>0</v>
      </c>
      <c r="BH63">
        <f>COUNTIFS(Dyno_Data[Team],TBA_Matches_All[[#This Row],[Team]],Dyno_Data[Match],TBA_Matches_All[[#This Row],[Match_Number]],Dyno_Data[RecordType],"Activities",Dyno_Data[DelOrig],"OppW", Dyno_Data[DelMiss],"0")</f>
        <v>0</v>
      </c>
      <c r="BI63">
        <f>COUNTIFS(Dyno_Data[Team],TBA_Matches_All[[#This Row],[Team]],Dyno_Data[Match],TBA_Matches_All[[#This Row],[Match_Number]],Dyno_Data[RecordType],"Activities",Dyno_Data[DelOrig],"OppW", Dyno_Data[DelMiss],"1")</f>
        <v>0</v>
      </c>
      <c r="BJ63" s="60">
        <f>IFERROR(SUM((TBA_Matches_All[[#This Row],[OZflrT]])/(TBA_Matches_All[[#This Row],[OZflrT]]+TBA_Matches_All[[#This Row],[OZflrM]])),0)</f>
        <v>0</v>
      </c>
      <c r="BK63">
        <f>COUNTIFS(Dyno_Data[Team],TBA_Matches_All[[#This Row],[Team]],Dyno_Data[Match],TBA_Matches_All[[#This Row],[Match_Number]],Dyno_Data[RecordType],"Activities",Dyno_Data[DelOrig],"Neut", Dyno_Data[DelMiss],"0")</f>
        <v>0</v>
      </c>
      <c r="BL63">
        <f>COUNTIFS(Dyno_Data[Team],TBA_Matches_All[[#This Row],[Team]],Dyno_Data[Match],TBA_Matches_All[[#This Row],[Match_Number]],Dyno_Data[RecordType],"Activities",Dyno_Data[DelOrig],"Neut", Dyno_Data[DelMiss],"1")</f>
        <v>0</v>
      </c>
      <c r="BM63" s="60">
        <f>IFERROR(SUM((TBA_Matches_All[[#This Row],[NZflrT]])/(TBA_Matches_All[[#This Row],[NZflrT]]+TBA_Matches_All[[#This Row],[NZflrM]])),0)</f>
        <v>0</v>
      </c>
      <c r="BN63">
        <f>COUNTIFS(Dyno_Data[Team],TBA_Matches_All[[#This Row],[Team]],Dyno_Data[Match],TBA_Matches_All[[#This Row],[Match_Number]],Dyno_Data[RecordType],"Activities",Dyno_Data[DelOrig],"AllyW", Dyno_Data[DelMiss],"0")</f>
        <v>4</v>
      </c>
      <c r="BO63">
        <f>COUNTIFS(Dyno_Data[Team],TBA_Matches_All[[#This Row],[Team]],Dyno_Data[Match],TBA_Matches_All[[#This Row],[Match_Number]],Dyno_Data[RecordType],"Activities",Dyno_Data[DelOrig],"AllyW", Dyno_Data[DelMiss],"1")</f>
        <v>0</v>
      </c>
      <c r="BP63" s="60">
        <f>IFERROR(SUM((TBA_Matches_All[[#This Row],[AZflrT]])/(TBA_Matches_All[[#This Row],[AZflrT]]+TBA_Matches_All[[#This Row],[AZflrM]])),0)</f>
        <v>1</v>
      </c>
      <c r="BQ63">
        <f>COUNTIFS(Dyno_Data[Team],TBA_Matches_All[[#This Row],[Team]],Dyno_Data[Match],TBA_Matches_All[[#This Row],[Match_Number]],Dyno_Data[RecordType],"Activities",Dyno_Data[DelOrig],"SubW", Dyno_Data[DelMiss],"0")</f>
        <v>2</v>
      </c>
      <c r="BR63">
        <f>COUNTIFS(Dyno_Data[Team],TBA_Matches_All[[#This Row],[Team]],Dyno_Data[Match],TBA_Matches_All[[#This Row],[Match_Number]],Dyno_Data[RecordType],"Activities",Dyno_Data[DelOrig],"SubW", Dyno_Data[DelMiss],"1")</f>
        <v>0</v>
      </c>
      <c r="BS63" s="60">
        <f>IFERROR(SUM((TBA_Matches_All[[#This Row],[SubwT]])/(TBA_Matches_All[[#This Row],[SubwT]]+TBA_Matches_All[[#This Row],[SubwM]])),0)</f>
        <v>1</v>
      </c>
      <c r="BT63">
        <f>COUNTIFS(Dyno_Data[Team],TBA_Matches_All[[#This Row],[Team]],Dyno_Data[Match],TBA_Matches_All[[#This Row],[Match_Number]],Dyno_Data[RecordType],"Activities", Dyno_Data[AcqLoc],"OppWing")</f>
        <v>0</v>
      </c>
      <c r="BU63">
        <f>COUNTIFS(Dyno_Data[Team],TBA_Matches_All[[#This Row],[Team]],Dyno_Data[Match],TBA_Matches_All[[#This Row],[Match_Number]],Dyno_Data[RecordType],"Activities", Dyno_Data[AcqLoc],"Neutral")</f>
        <v>0</v>
      </c>
      <c r="BV63">
        <f>COUNTIFS(Dyno_Data[Team],TBA_Matches_All[[#This Row],[Team]],Dyno_Data[Match],TBA_Matches_All[[#This Row],[Match_Number]],Dyno_Data[RecordType],"Activities", Dyno_Data[AcqLoc],"AllyWing")</f>
        <v>0</v>
      </c>
      <c r="BW63">
        <f>COUNTIFS(Dyno_Data[Team],TBA_Matches_All[[#This Row],[Team]],Dyno_Data[Match],TBA_Matches_All[[#This Row],[Match_Number]],Dyno_Data[RecordType],"Activities", Dyno_Data[AcqLoc],"Source")</f>
        <v>0</v>
      </c>
      <c r="BX63">
        <f>SUMIFS(Dyno_Data[AcqDrp], Dyno_Data[Team],TBA_Matches_All[[#This Row],[Team]],Dyno_Data[Match],TBA_Matches_All[[#This Row],[Match_Number]],Dyno_Data[RecordType],"Activities", Dyno_Data[AcqLoc],"Source")</f>
        <v>0</v>
      </c>
      <c r="BY63">
        <f>SUMIFS(Dyno_Data[OZTime], Dyno_Data[Team],TBA_Matches_All[[#This Row],[Team]],Dyno_Data[Match],TBA_Matches_All[[#This Row],[Match_Number]],Dyno_Data[RecordType],"EndMatch")</f>
        <v>58.865954099999996</v>
      </c>
      <c r="BZ63">
        <f>SUMIFS(Dyno_Data[NZTime], Dyno_Data[Team],TBA_Matches_All[[#This Row],[Team]],Dyno_Data[Match],TBA_Matches_All[[#This Row],[Match_Number]],Dyno_Data[RecordType],"EndMatch")</f>
        <v>25.8029802</v>
      </c>
      <c r="CA63">
        <f>SUMIFS(Dyno_Data[AZTime], Dyno_Data[Team],TBA_Matches_All[[#This Row],[Team]],Dyno_Data[Match],TBA_Matches_All[[#This Row],[Match_Number]],Dyno_Data[RecordType],"EndMatch")</f>
        <v>50.539438699999998</v>
      </c>
      <c r="CB63">
        <f>SUMIFS(Dyno_Data[ClimbT], Dyno_Data[Team],TBA_Matches_All[[#This Row],[Team]],Dyno_Data[Match],TBA_Matches_All[[#This Row],[Match_Number]],Dyno_Data[RecordType],"EndMatch")</f>
        <v>0</v>
      </c>
      <c r="CC63" t="str">
        <f>_xlfn.XLOOKUP(SUM(MID(TBA_Matches_All[[#This Row],[Team]],4,5),(TBA_Matches_All[[#This Row],[Match_Number]]/100)),Dyno_EndMatch[teammat],Dyno_EndMatch[StageStat],"_",0,1)</f>
        <v>Else</v>
      </c>
      <c r="CD63" t="str">
        <f>_xlfn.XLOOKUP(TBA_Matches_All[[#This Row],[teammat]],Dyno_EndMatch[teammat],Dyno_EndMatch[StageAtt],"_",0,1)</f>
        <v>0</v>
      </c>
      <c r="CE63" t="str">
        <f>_xlfn.XLOOKUP(TBA_Matches_All[[#This Row],[teammat]],Dyno_EndMatch[teammat],Dyno_EndMatch[StageLoc],"_",0,1)</f>
        <v>A</v>
      </c>
      <c r="CF63">
        <f>SUMIFS(Dyno_Data[Harmony], Dyno_Data[Team],TBA_Matches_All[[#This Row],[Team]],Dyno_Data[Match],TBA_Matches_All[[#This Row],[Match_Number]],Dyno_Data[RecordType],"EndMatch", Dyno_Data[StageStat],"On",Dyno_Data[Harmony],"&lt;&gt;9")</f>
        <v>0</v>
      </c>
      <c r="CG63">
        <f>SUMIFS(Dyno_Data[Spotlit], Dyno_Data[Team],TBA_Matches_All[[#This Row],[Team]],Dyno_Data[Match],TBA_Matches_All[[#This Row],[Match_Number]],Dyno_Data[RecordType],"EndMatch", Dyno_Data[StageStat],"On",Dyno_Data[Spotlit],"&lt;&gt;9")</f>
        <v>0</v>
      </c>
      <c r="CH63" t="str">
        <f>_xlfn.XLOOKUP(TBA_Matches_All[[#This Row],[teammat]],Dyno_EndMatch[teammat],Dyno_EndMatch[Strategy],"_",0,1)</f>
        <v>Hybrid</v>
      </c>
      <c r="CI63">
        <f>SUMIFS(Dyno_Data[Defense], Dyno_Data[Team],TBA_Matches_All[[#This Row],[Team]],Dyno_Data[Match],TBA_Matches_All[[#This Row],[Match_Number]],Dyno_Data[RecordType],"EndMatch",Dyno_Data[Defense],"&lt;&gt;9")</f>
        <v>0</v>
      </c>
      <c r="CJ63">
        <f>SUMIFS(Dyno_Data[Avoidance], Dyno_Data[Team],TBA_Matches_All[[#This Row],[Team]],Dyno_Data[Match],TBA_Matches_All[[#This Row],[Match_Number]],Dyno_Data[RecordType],"EndMatch",Dyno_Data[Avoidance],"&lt;&gt;9")</f>
        <v>1</v>
      </c>
      <c r="CK63" s="82">
        <f>COUNTIF($H$2:TBA_Matches_All[[#This Row],[Team]],TBA_Matches_All[[#This Row],[Team]])</f>
        <v>2</v>
      </c>
      <c r="CL63" s="111">
        <f>SUM(MID(TBA_Matches_All[[#This Row],[Team]],4,5)+TBA_Matches_All[[#This Row],[Match_Number]]/100)</f>
        <v>1880.11</v>
      </c>
      <c r="CM63">
        <f>SUM((TBA_Matches_All[[#This Row],[Leave]]*2)+(TBA_Matches_All[[#This Row],[AampT]]*2)+(TBA_Matches_All[[#This Row],[AspkrT]]*5)+(TBA_Matches_All[[#This Row],[AtrapT]]*5))</f>
        <v>5</v>
      </c>
      <c r="CN63" s="59">
        <f>IFERROR(SUM(TBA_Matches_All[[#This Row],[AptsT]]/TBA_Matches_All[[#This Row],[AutoPts]]),0)</f>
        <v>0.26315789473684209</v>
      </c>
      <c r="CO63" s="59">
        <f>IFERROR(SUM(TBA_Matches_All[[#This Row],[AampT]]+TBA_Matches_All[[#This Row],[AspkrT]]+TBA_Matches_All[[#This Row],[AtrapT]]/TBA_Matches_All[[#This Row],[Aamp]]+TBA_Matches_All[[#This Row],[Aspkr]]+TBA_Matches_All[[#This Row],[AtrapT]]),0)</f>
        <v>0</v>
      </c>
      <c r="CP63" s="59">
        <f>IFERROR(SUM(TBA_Matches_All[[#This Row],[TampT]]/TBA_Matches_All[[#This Row],[Tamp]]),0)</f>
        <v>0</v>
      </c>
      <c r="CQ63" s="59">
        <f>IFERROR(SUM(TBA_Matches_All[[#This Row],[TspkrT]]/TBA_Matches_All[[#This Row],[Tspkr]]),0)</f>
        <v>0.35714285714285715</v>
      </c>
      <c r="CR63">
        <f>SUM(TBA_Matches_All[[#This Row],[TspkrPts]]*TBA_Matches_All[[#This Row],[TspkrP]])</f>
        <v>13.214285714285715</v>
      </c>
      <c r="CS63" s="59">
        <f>IFERROR(SUM(TBA_Matches_All[[#This Row],[TtrapT]]/TBA_Matches_All[[#This Row],[Trap]]),0)</f>
        <v>0</v>
      </c>
      <c r="CT63" s="59">
        <f>IFERROR(SUM(TBA_Matches_All[[#This Row],[TotNotesT]]/TBA_Matches_All[[#This Row],[TotNotes]]),0)</f>
        <v>0.3</v>
      </c>
      <c r="CU63" s="66">
        <f>SUM((TBA_Matches_All[[#This Row],[AampT]]*2)+(TBA_Matches_All[[#This Row],[AspkrT]]*5)+(TBA_Matches_All[[#This Row],[AtrapT]]*5)+(TBA_Matches_All[[#This Row],[TampT]]*1)+(TBA_Matches_All[[#This Row],[TspkrptsC]]))</f>
        <v>18.214285714285715</v>
      </c>
      <c r="CV63" s="59">
        <f>IFERROR(TBA_Matches_All[[#This Row],[noteptsT]]/TBA_Matches_All[[#This Row],[NotePts]],0)</f>
        <v>0.33116883116883117</v>
      </c>
      <c r="CW63">
        <f>SUM(IF(TBA_Matches_All[[#This Row],[stageStat]]="On",3,0),IF(TBA_Matches_All[[#This Row],[stageStat]]="Park",1,0),SUMIFS(TBA_Matches_All[[#This Row],[Spotlit]],TBA_Matches_All[[#This Row],[stageStat]],"On"),SUMIFS(TBA_Matches_All[[#This Row],[Harmony]],TBA_Matches_All[[#This Row],[stageStat]],"On"))</f>
        <v>0</v>
      </c>
      <c r="CX63" s="59">
        <f>IFERROR(TBA_Matches_All[[#This Row],[stageptsT]]/TBA_Matches_All[[#This Row],[StagePts]],0)</f>
        <v>0</v>
      </c>
      <c r="CY63">
        <f>SUM((TBA_Matches_All[[#This Row],[AptsT]]+TBA_Matches_All[[#This Row],[TampT]]+TBA_Matches_All[[#This Row],[TspkrptsC]]+(TBA_Matches_All[[#This Row],[TtrapT]]*5)+TBA_Matches_All[[#This Row],[stageptsT]]))</f>
        <v>18.214285714285715</v>
      </c>
      <c r="CZ63" s="59">
        <f>IFERROR(SUM(TBA_Matches_All[[#This Row],[TotptsC]]/TBA_Matches_All[[#This Row],[Score]]),0)</f>
        <v>0.28021978021978022</v>
      </c>
      <c r="DA6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2.7803030303030303</v>
      </c>
      <c r="DB63" s="74">
        <f>SUMIFS(TBA_Matches_All[AveTeamTNoteDels],TBA_Matches_All[Match_Number],TBA_Matches_All[[#This Row],[Match_Number]],TBA_Matches_All[Alliance],"&lt;&gt;"&amp;TBA_Matches_All[[#This Row],[Alliance]],TBA_Matches_All[Scouted],"&gt;0")</f>
        <v>14.96</v>
      </c>
      <c r="DC63" s="74">
        <f>(TBA_Matches_All[[#This Row],[TampT]]+TBA_Matches_All[[#This Row],[TspkrptsC]])-TBA_Matches_All[[#This Row],[AveTeamTNoteDels]]</f>
        <v>10.433982683982684</v>
      </c>
      <c r="DD63" s="74">
        <f>SUMIFS(TBA_Matches_All[AveTeamTNoteDels],TBA_Matches_All[Match_Number],TBA_Matches_All[[#This Row],[Match_Number]],TBA_Matches_All[Alliance],"&lt;&gt;"&amp;TBA_Matches_All[[#This Row],[Alliance]])-TBA_Matches_All[[#This Row],[AveOppTNoteDels]]</f>
        <v>0</v>
      </c>
    </row>
    <row r="64" spans="1:108" x14ac:dyDescent="0.3">
      <c r="A64" t="s">
        <v>1042</v>
      </c>
      <c r="B64" t="s">
        <v>489</v>
      </c>
      <c r="C64" t="s">
        <v>1320</v>
      </c>
      <c r="D64">
        <v>11</v>
      </c>
      <c r="E64" t="s">
        <v>1406</v>
      </c>
      <c r="F64" t="s">
        <v>1426</v>
      </c>
      <c r="G64" t="s">
        <v>164</v>
      </c>
      <c r="H64" t="s">
        <v>1303</v>
      </c>
      <c r="I64" t="b">
        <v>1</v>
      </c>
      <c r="J64">
        <v>45</v>
      </c>
      <c r="K64">
        <v>0</v>
      </c>
      <c r="L64">
        <v>0</v>
      </c>
      <c r="M64">
        <v>5</v>
      </c>
      <c r="N64">
        <v>0</v>
      </c>
      <c r="O64">
        <v>3</v>
      </c>
      <c r="P64">
        <v>15</v>
      </c>
      <c r="Q64">
        <v>17</v>
      </c>
      <c r="R64">
        <v>1</v>
      </c>
      <c r="S64">
        <v>0</v>
      </c>
      <c r="T64">
        <v>10</v>
      </c>
      <c r="U64">
        <v>0</v>
      </c>
      <c r="V64">
        <v>20</v>
      </c>
      <c r="W64">
        <v>10</v>
      </c>
      <c r="X64">
        <v>20</v>
      </c>
      <c r="Y64">
        <v>21</v>
      </c>
      <c r="Z64">
        <v>0</v>
      </c>
      <c r="AA64">
        <v>0</v>
      </c>
      <c r="AB64">
        <v>14</v>
      </c>
      <c r="AC64">
        <v>36</v>
      </c>
      <c r="AD64">
        <v>2</v>
      </c>
      <c r="AE64">
        <f>IFERROR(6/(COUNTIF(Dyno_EndMatch[Match],TBA_Matches_All[[#This Row],[Match_Number]])),0)</f>
        <v>1</v>
      </c>
      <c r="AF64">
        <f>COUNTIFS(Dyno_Data[Team],TBA_Matches_All[[#This Row],[Team]],Dyno_Data[Match],TBA_Matches_All[[#This Row],[Match_Number]],Dyno_Data[RecordType],"EndMatch",Dyno_Data[HPAmp],"Y")</f>
        <v>0</v>
      </c>
      <c r="AG64">
        <f>SUMIFS(Dyno_Data[Mics], Dyno_Data[Team],TBA_Matches_All[[#This Row],[Team]],Dyno_Data[Match],TBA_Matches_All[[#This Row],[Match_Number]],Dyno_Data[RecordType],"EndMatch",Dyno_Data[HPAmp],"Y")</f>
        <v>0</v>
      </c>
      <c r="AH64">
        <f>SUMIFS(Dyno_Data[Leave], Dyno_Data[Team],TBA_Matches_All[[#This Row],[Team]],Dyno_Data[Match],TBA_Matches_All[[#This Row],[Match_Number]],Dyno_Data[RecordType],"EndAuto")</f>
        <v>1</v>
      </c>
      <c r="AI64">
        <f>COUNTIFS(Dyno_Data[Team],TBA_Matches_All[[#This Row],[Team]],Dyno_Data[Match],TBA_Matches_All[[#This Row],[Match_Number]],Dyno_Data[RecordType],"Activities",Dyno_Data[DelDest],"Amp", Dyno_Data[DelMiss],"0", Dyno_Data[Mode],"Auto")</f>
        <v>0</v>
      </c>
      <c r="AJ64">
        <f>COUNTIFS(Dyno_Data[Team],TBA_Matches_All[[#This Row],[Team]],Dyno_Data[Match],TBA_Matches_All[[#This Row],[Match_Number]],Dyno_Data[RecordType],"Activities",Dyno_Data[DelDest],"Spkr", Dyno_Data[DelMiss],"0", Dyno_Data[Mode],"Auto")</f>
        <v>3</v>
      </c>
      <c r="AK64">
        <f>COUNTIFS(Dyno_Data[Team],TBA_Matches_All[[#This Row],[Team]],Dyno_Data[Match],TBA_Matches_All[[#This Row],[Match_Number]],Dyno_Data[RecordType],"Activities",Dyno_Data[DelDest],"Trap", Dyno_Data[DelMiss],"0", Dyno_Data[Mode],"Auto")</f>
        <v>0</v>
      </c>
      <c r="AL64">
        <f>COUNTIFS(Dyno_Data[Team],TBA_Matches_All[[#This Row],[Team]],Dyno_Data[Match],TBA_Matches_All[[#This Row],[Match_Number]],Dyno_Data[RecordType],"Activities",Dyno_Data[DelDest],"Amp", Dyno_Data[DelMiss],"0", Dyno_Data[Mode],"Teleop")</f>
        <v>1</v>
      </c>
      <c r="AM64">
        <f>COUNTIFS(Dyno_Data[Team],TBA_Matches_All[[#This Row],[Team]],Dyno_Data[Match],TBA_Matches_All[[#This Row],[Match_Number]],Dyno_Data[RecordType],"Activities",Dyno_Data[DelDest],"Spkr", Dyno_Data[DelMiss],"0", Dyno_Data[Mode],"Teleop")</f>
        <v>8</v>
      </c>
      <c r="AN64">
        <f>COUNTIFS(Dyno_Data[Team],TBA_Matches_All[[#This Row],[Team]],Dyno_Data[Match],TBA_Matches_All[[#This Row],[Match_Number]],Dyno_Data[RecordType],"Activities",Dyno_Data[DelDest],"Trap", Dyno_Data[DelMiss],"0", Dyno_Data[Mode],"&lt;&gt;Auto")</f>
        <v>0</v>
      </c>
      <c r="AO64">
        <f>SUM(TBA_Matches_All[[#This Row],[AampT]]+TBA_Matches_All[[#This Row],[AspkrT]]+TBA_Matches_All[[#This Row],[AtrapT]]+TBA_Matches_All[[#This Row],[TampT]]+TBA_Matches_All[[#This Row],[TspkrT]]+TBA_Matches_All[[#This Row],[TtrapT]])</f>
        <v>12</v>
      </c>
      <c r="AP64">
        <f>COUNTIFS(Dyno_Data[Team],TBA_Matches_All[[#This Row],[Team]],Dyno_Data[Match],TBA_Matches_All[[#This Row],[Match_Number]],Dyno_Data[RecordType],"Activities",Dyno_Data[DelDest],"Neut", Dyno_Data[DelMiss],"0")</f>
        <v>0</v>
      </c>
      <c r="AQ64">
        <f>COUNTIFS(Dyno_Data[Team],TBA_Matches_All[[#This Row],[Team]],Dyno_Data[Match],TBA_Matches_All[[#This Row],[Match_Number]],Dyno_Data[RecordType],"Activities",Dyno_Data[DelDest],"AllyW", Dyno_Data[DelMiss],"0")</f>
        <v>0</v>
      </c>
      <c r="AR64" t="str">
        <f>_xlfn.XLOOKUP(SUM(MID(TBA_Matches_All[[#This Row],[Team]],4,5),(TBA_Matches_All[[#This Row],[Match_Number]]/100)),Dyno_EndMatch[teammat],Dyno_EndMatch[RobotSta],"_",0,1)</f>
        <v>SubW</v>
      </c>
      <c r="AS64">
        <f>SUMIFS(Dyno_Data[AcqDis], Dyno_Data[Team],TBA_Matches_All[[#This Row],[Team]],Dyno_Data[Match],TBA_Matches_All[[#This Row],[Match_Number]],Dyno_Data[RecordType],"Activities", Dyno_Data[AcqCenter],1,Dyno_Data[Mode],"Auto")</f>
        <v>0</v>
      </c>
      <c r="AT64">
        <f>SUMIFS(Dyno_Data[AcqDis], Dyno_Data[Team],TBA_Matches_All[[#This Row],[Team]],Dyno_Data[Match],TBA_Matches_All[[#This Row],[Match_Number]],Dyno_Data[RecordType],"Activities", Dyno_Data[AcqCenter],2,Dyno_Data[Mode],"Auto")</f>
        <v>1</v>
      </c>
      <c r="AU64">
        <f>SUMIFS(Dyno_Data[AcqDis], Dyno_Data[Team],TBA_Matches_All[[#This Row],[Team]],Dyno_Data[Match],TBA_Matches_All[[#This Row],[Match_Number]],Dyno_Data[RecordType],"Activities", Dyno_Data[AcqCenter],3,Dyno_Data[Mode],"Auto")</f>
        <v>0</v>
      </c>
      <c r="AV64">
        <f>SUMIFS(Dyno_Data[AcqDis], Dyno_Data[Team],TBA_Matches_All[[#This Row],[Team]],Dyno_Data[Match],TBA_Matches_All[[#This Row],[Match_Number]],Dyno_Data[RecordType],"Activities", Dyno_Data[AcqCenter],4,Dyno_Data[Mode],"Auto")</f>
        <v>0</v>
      </c>
      <c r="AW64">
        <f>SUMIFS(Dyno_Data[AcqDis], Dyno_Data[Team],TBA_Matches_All[[#This Row],[Team]],Dyno_Data[Match],TBA_Matches_All[[#This Row],[Match_Number]],Dyno_Data[RecordType],"Activities", Dyno_Data[AcqCenter],5,Dyno_Data[Mode],"Auto")</f>
        <v>1</v>
      </c>
      <c r="AX64">
        <f>SUMIFS(Dyno_Data[DelMiss], Dyno_Data[Team],TBA_Matches_All[[#This Row],[Team]],Dyno_Data[Match],TBA_Matches_All[[#This Row],[Match_Number]],Dyno_Data[RecordType],"Activities", Dyno_Data[DelDest],"Amp")</f>
        <v>0</v>
      </c>
      <c r="AY64" s="60">
        <f>IFERROR(SUM((TBA_Matches_All[[#This Row],[AampT]]+TBA_Matches_All[[#This Row],[TampT]])/(TBA_Matches_All[[#This Row],[AampT]]+TBA_Matches_All[[#This Row],[TampT]]+TBA_Matches_All[[#This Row],[ampM]])),0)</f>
        <v>1</v>
      </c>
      <c r="AZ64">
        <f>SUMIFS(Dyno_Data[DelMiss], Dyno_Data[Team],TBA_Matches_All[[#This Row],[Team]],Dyno_Data[Match],TBA_Matches_All[[#This Row],[Match_Number]],Dyno_Data[RecordType],"Activities", Dyno_Data[DelDest],"Spkr")</f>
        <v>2</v>
      </c>
      <c r="BA64" s="60">
        <f>IFERROR(SUM((TBA_Matches_All[[#This Row],[AspkrT]]+TBA_Matches_All[[#This Row],[TspkrT]])/(TBA_Matches_All[[#This Row],[AspkrT]]+TBA_Matches_All[[#This Row],[TspkrT]]+TBA_Matches_All[[#This Row],[spkrM]])),0)</f>
        <v>0.84615384615384615</v>
      </c>
      <c r="BB64">
        <f>SUMIFS(Dyno_Data[DelMiss], Dyno_Data[Team],TBA_Matches_All[[#This Row],[Team]],Dyno_Data[Match],TBA_Matches_All[[#This Row],[Match_Number]],Dyno_Data[RecordType],"Activities", Dyno_Data[DelDest],"Trap")</f>
        <v>0</v>
      </c>
      <c r="BC64" s="60">
        <f>IFERROR((TBA_Matches_All[[#This Row],[AtrapT]]+TBA_Matches_All[[#This Row],[TtrapT]])/(TBA_Matches_All[[#This Row],[AtrapT]]+TBA_Matches_All[[#This Row],[TtrapT]]+TBA_Matches_All[[#This Row],[trapM]]),0)</f>
        <v>0</v>
      </c>
      <c r="BD64">
        <f>COUNTIFS(Dyno_Data[Team],TBA_Matches_All[[#This Row],[Team]],Dyno_Data[Match],TBA_Matches_All[[#This Row],[Match_Number]],Dyno_Data[RecordType],"Activities",Dyno_Data[DelDest],"Neut", Dyno_Data[DelMiss],1)</f>
        <v>0</v>
      </c>
      <c r="BE64" s="60">
        <f>IFERROR(SUM((TBA_Matches_All[[#This Row],[NeutFlrT]])/(TBA_Matches_All[[#This Row],[NeutFlrT]]+TBA_Matches_All[[#This Row],[NZflM]])),0)</f>
        <v>0</v>
      </c>
      <c r="BF64">
        <f>COUNTIFS(Dyno_Data[Team],TBA_Matches_All[[#This Row],[Team]],Dyno_Data[Match],TBA_Matches_All[[#This Row],[Match_Number]],Dyno_Data[RecordType],"Activities",Dyno_Data[DelDest],"AllyW", Dyno_Data[DelMiss],1)</f>
        <v>0</v>
      </c>
      <c r="BG64" s="60">
        <f>IFERROR(SUM((TBA_Matches_All[[#This Row],[AllyWFlrT]])/(TBA_Matches_All[[#This Row],[AllyWFlrT]]+TBA_Matches_All[[#This Row],[AZflM]])),0)</f>
        <v>0</v>
      </c>
      <c r="BH64">
        <f>COUNTIFS(Dyno_Data[Team],TBA_Matches_All[[#This Row],[Team]],Dyno_Data[Match],TBA_Matches_All[[#This Row],[Match_Number]],Dyno_Data[RecordType],"Activities",Dyno_Data[DelOrig],"OppW", Dyno_Data[DelMiss],"0")</f>
        <v>0</v>
      </c>
      <c r="BI64">
        <f>COUNTIFS(Dyno_Data[Team],TBA_Matches_All[[#This Row],[Team]],Dyno_Data[Match],TBA_Matches_All[[#This Row],[Match_Number]],Dyno_Data[RecordType],"Activities",Dyno_Data[DelOrig],"OppW", Dyno_Data[DelMiss],"1")</f>
        <v>0</v>
      </c>
      <c r="BJ64" s="60">
        <f>IFERROR(SUM((TBA_Matches_All[[#This Row],[OZflrT]])/(TBA_Matches_All[[#This Row],[OZflrT]]+TBA_Matches_All[[#This Row],[OZflrM]])),0)</f>
        <v>0</v>
      </c>
      <c r="BK64">
        <f>COUNTIFS(Dyno_Data[Team],TBA_Matches_All[[#This Row],[Team]],Dyno_Data[Match],TBA_Matches_All[[#This Row],[Match_Number]],Dyno_Data[RecordType],"Activities",Dyno_Data[DelOrig],"Neut", Dyno_Data[DelMiss],"0")</f>
        <v>1</v>
      </c>
      <c r="BL64">
        <f>COUNTIFS(Dyno_Data[Team],TBA_Matches_All[[#This Row],[Team]],Dyno_Data[Match],TBA_Matches_All[[#This Row],[Match_Number]],Dyno_Data[RecordType],"Activities",Dyno_Data[DelOrig],"Neut", Dyno_Data[DelMiss],"1")</f>
        <v>0</v>
      </c>
      <c r="BM64" s="60">
        <f>IFERROR(SUM((TBA_Matches_All[[#This Row],[NZflrT]])/(TBA_Matches_All[[#This Row],[NZflrT]]+TBA_Matches_All[[#This Row],[NZflrM]])),0)</f>
        <v>1</v>
      </c>
      <c r="BN64">
        <f>COUNTIFS(Dyno_Data[Team],TBA_Matches_All[[#This Row],[Team]],Dyno_Data[Match],TBA_Matches_All[[#This Row],[Match_Number]],Dyno_Data[RecordType],"Activities",Dyno_Data[DelOrig],"AllyW", Dyno_Data[DelMiss],"0")</f>
        <v>9</v>
      </c>
      <c r="BO64">
        <f>COUNTIFS(Dyno_Data[Team],TBA_Matches_All[[#This Row],[Team]],Dyno_Data[Match],TBA_Matches_All[[#This Row],[Match_Number]],Dyno_Data[RecordType],"Activities",Dyno_Data[DelOrig],"AllyW", Dyno_Data[DelMiss],"1")</f>
        <v>2</v>
      </c>
      <c r="BP64" s="60">
        <f>IFERROR(SUM((TBA_Matches_All[[#This Row],[AZflrT]])/(TBA_Matches_All[[#This Row],[AZflrT]]+TBA_Matches_All[[#This Row],[AZflrM]])),0)</f>
        <v>0.81818181818181823</v>
      </c>
      <c r="BQ64">
        <f>COUNTIFS(Dyno_Data[Team],TBA_Matches_All[[#This Row],[Team]],Dyno_Data[Match],TBA_Matches_All[[#This Row],[Match_Number]],Dyno_Data[RecordType],"Activities",Dyno_Data[DelOrig],"SubW", Dyno_Data[DelMiss],"0")</f>
        <v>2</v>
      </c>
      <c r="BR64">
        <f>COUNTIFS(Dyno_Data[Team],TBA_Matches_All[[#This Row],[Team]],Dyno_Data[Match],TBA_Matches_All[[#This Row],[Match_Number]],Dyno_Data[RecordType],"Activities",Dyno_Data[DelOrig],"SubW", Dyno_Data[DelMiss],"1")</f>
        <v>0</v>
      </c>
      <c r="BS64" s="60">
        <f>IFERROR(SUM((TBA_Matches_All[[#This Row],[SubwT]])/(TBA_Matches_All[[#This Row],[SubwT]]+TBA_Matches_All[[#This Row],[SubwM]])),0)</f>
        <v>1</v>
      </c>
      <c r="BT64">
        <f>COUNTIFS(Dyno_Data[Team],TBA_Matches_All[[#This Row],[Team]],Dyno_Data[Match],TBA_Matches_All[[#This Row],[Match_Number]],Dyno_Data[RecordType],"Activities", Dyno_Data[AcqLoc],"OppWing")</f>
        <v>0</v>
      </c>
      <c r="BU64">
        <f>COUNTIFS(Dyno_Data[Team],TBA_Matches_All[[#This Row],[Team]],Dyno_Data[Match],TBA_Matches_All[[#This Row],[Match_Number]],Dyno_Data[RecordType],"Activities", Dyno_Data[AcqLoc],"Neutral")</f>
        <v>4</v>
      </c>
      <c r="BV64">
        <f>COUNTIFS(Dyno_Data[Team],TBA_Matches_All[[#This Row],[Team]],Dyno_Data[Match],TBA_Matches_All[[#This Row],[Match_Number]],Dyno_Data[RecordType],"Activities", Dyno_Data[AcqLoc],"AllyWing")</f>
        <v>0</v>
      </c>
      <c r="BW64">
        <f>COUNTIFS(Dyno_Data[Team],TBA_Matches_All[[#This Row],[Team]],Dyno_Data[Match],TBA_Matches_All[[#This Row],[Match_Number]],Dyno_Data[RecordType],"Activities", Dyno_Data[AcqLoc],"Source")</f>
        <v>0</v>
      </c>
      <c r="BX64">
        <f>SUMIFS(Dyno_Data[AcqDrp], Dyno_Data[Team],TBA_Matches_All[[#This Row],[Team]],Dyno_Data[Match],TBA_Matches_All[[#This Row],[Match_Number]],Dyno_Data[RecordType],"Activities", Dyno_Data[AcqLoc],"Source")</f>
        <v>0</v>
      </c>
      <c r="BY64">
        <f>SUMIFS(Dyno_Data[OZTime], Dyno_Data[Team],TBA_Matches_All[[#This Row],[Team]],Dyno_Data[Match],TBA_Matches_All[[#This Row],[Match_Number]],Dyno_Data[RecordType],"EndMatch")</f>
        <v>25.631266799999999</v>
      </c>
      <c r="BZ64">
        <f>SUMIFS(Dyno_Data[NZTime], Dyno_Data[Team],TBA_Matches_All[[#This Row],[Team]],Dyno_Data[Match],TBA_Matches_All[[#This Row],[Match_Number]],Dyno_Data[RecordType],"EndMatch")</f>
        <v>22.7812077</v>
      </c>
      <c r="CA64">
        <f>SUMIFS(Dyno_Data[AZTime], Dyno_Data[Team],TBA_Matches_All[[#This Row],[Team]],Dyno_Data[Match],TBA_Matches_All[[#This Row],[Match_Number]],Dyno_Data[RecordType],"EndMatch")</f>
        <v>86.673045500000001</v>
      </c>
      <c r="CB64">
        <f>SUMIFS(Dyno_Data[ClimbT], Dyno_Data[Team],TBA_Matches_All[[#This Row],[Team]],Dyno_Data[Match],TBA_Matches_All[[#This Row],[Match_Number]],Dyno_Data[RecordType],"EndMatch")</f>
        <v>0</v>
      </c>
      <c r="CC64" t="str">
        <f>_xlfn.XLOOKUP(SUM(MID(TBA_Matches_All[[#This Row],[Team]],4,5),(TBA_Matches_All[[#This Row],[Match_Number]]/100)),Dyno_EndMatch[teammat],Dyno_EndMatch[StageStat],"_",0,1)</f>
        <v>Else</v>
      </c>
      <c r="CD64" t="str">
        <f>_xlfn.XLOOKUP(TBA_Matches_All[[#This Row],[teammat]],Dyno_EndMatch[teammat],Dyno_EndMatch[StageAtt],"_",0,1)</f>
        <v>0</v>
      </c>
      <c r="CE64" t="str">
        <f>_xlfn.XLOOKUP(TBA_Matches_All[[#This Row],[teammat]],Dyno_EndMatch[teammat],Dyno_EndMatch[StageLoc],"_",0,1)</f>
        <v>A</v>
      </c>
      <c r="CF64">
        <f>SUMIFS(Dyno_Data[Harmony], Dyno_Data[Team],TBA_Matches_All[[#This Row],[Team]],Dyno_Data[Match],TBA_Matches_All[[#This Row],[Match_Number]],Dyno_Data[RecordType],"EndMatch", Dyno_Data[StageStat],"On",Dyno_Data[Harmony],"&lt;&gt;9")</f>
        <v>0</v>
      </c>
      <c r="CG64">
        <f>SUMIFS(Dyno_Data[Spotlit], Dyno_Data[Team],TBA_Matches_All[[#This Row],[Team]],Dyno_Data[Match],TBA_Matches_All[[#This Row],[Match_Number]],Dyno_Data[RecordType],"EndMatch", Dyno_Data[StageStat],"On",Dyno_Data[Spotlit],"&lt;&gt;9")</f>
        <v>0</v>
      </c>
      <c r="CH64" t="str">
        <f>_xlfn.XLOOKUP(TBA_Matches_All[[#This Row],[teammat]],Dyno_EndMatch[teammat],Dyno_EndMatch[Strategy],"_",0,1)</f>
        <v>Hybrid</v>
      </c>
      <c r="CI64">
        <f>SUMIFS(Dyno_Data[Defense], Dyno_Data[Team],TBA_Matches_All[[#This Row],[Team]],Dyno_Data[Match],TBA_Matches_All[[#This Row],[Match_Number]],Dyno_Data[RecordType],"EndMatch",Dyno_Data[Defense],"&lt;&gt;9")</f>
        <v>0</v>
      </c>
      <c r="CJ64">
        <f>SUMIFS(Dyno_Data[Avoidance], Dyno_Data[Team],TBA_Matches_All[[#This Row],[Team]],Dyno_Data[Match],TBA_Matches_All[[#This Row],[Match_Number]],Dyno_Data[RecordType],"EndMatch",Dyno_Data[Avoidance],"&lt;&gt;9")</f>
        <v>1</v>
      </c>
      <c r="CK64" s="82">
        <f>COUNTIF($H$2:TBA_Matches_All[[#This Row],[Team]],TBA_Matches_All[[#This Row],[Team]])</f>
        <v>2</v>
      </c>
      <c r="CL64" s="111">
        <f>SUM(MID(TBA_Matches_All[[#This Row],[Team]],4,5)+TBA_Matches_All[[#This Row],[Match_Number]]/100)</f>
        <v>7605.11</v>
      </c>
      <c r="CM64">
        <f>SUM((TBA_Matches_All[[#This Row],[Leave]]*2)+(TBA_Matches_All[[#This Row],[AampT]]*2)+(TBA_Matches_All[[#This Row],[AspkrT]]*5)+(TBA_Matches_All[[#This Row],[AtrapT]]*5))</f>
        <v>17</v>
      </c>
      <c r="CN64" s="59">
        <f>IFERROR(SUM(TBA_Matches_All[[#This Row],[AptsT]]/TBA_Matches_All[[#This Row],[AutoPts]]),0)</f>
        <v>1</v>
      </c>
      <c r="CO64" s="59">
        <f>IFERROR(SUM(TBA_Matches_All[[#This Row],[AampT]]+TBA_Matches_All[[#This Row],[AspkrT]]+TBA_Matches_All[[#This Row],[AtrapT]]/TBA_Matches_All[[#This Row],[Aamp]]+TBA_Matches_All[[#This Row],[Aspkr]]+TBA_Matches_All[[#This Row],[AtrapT]]),0)</f>
        <v>0</v>
      </c>
      <c r="CP64" s="59">
        <f>IFERROR(SUM(TBA_Matches_All[[#This Row],[TampT]]/TBA_Matches_All[[#This Row],[Tamp]]),0)</f>
        <v>1</v>
      </c>
      <c r="CQ64" s="59">
        <f>IFERROR(SUM(TBA_Matches_All[[#This Row],[TspkrT]]/TBA_Matches_All[[#This Row],[Tspkr]]),0)</f>
        <v>0.8</v>
      </c>
      <c r="CR64">
        <f>SUM(TBA_Matches_All[[#This Row],[TspkrPts]]*TBA_Matches_All[[#This Row],[TspkrP]])</f>
        <v>16</v>
      </c>
      <c r="CS64" s="59">
        <f>IFERROR(SUM(TBA_Matches_All[[#This Row],[TtrapT]]/TBA_Matches_All[[#This Row],[Trap]]),0)</f>
        <v>0</v>
      </c>
      <c r="CT64" s="59">
        <f>IFERROR(SUM(TBA_Matches_All[[#This Row],[TotNotesT]]/TBA_Matches_All[[#This Row],[TotNotes]]),0)</f>
        <v>0.8571428571428571</v>
      </c>
      <c r="CU64" s="66">
        <f>SUM((TBA_Matches_All[[#This Row],[AampT]]*2)+(TBA_Matches_All[[#This Row],[AspkrT]]*5)+(TBA_Matches_All[[#This Row],[AtrapT]]*5)+(TBA_Matches_All[[#This Row],[TampT]]*1)+(TBA_Matches_All[[#This Row],[TspkrptsC]]))</f>
        <v>32</v>
      </c>
      <c r="CV64" s="59">
        <f>IFERROR(TBA_Matches_All[[#This Row],[noteptsT]]/TBA_Matches_All[[#This Row],[NotePts]],0)</f>
        <v>0.88888888888888884</v>
      </c>
      <c r="CW64">
        <f>SUM(IF(TBA_Matches_All[[#This Row],[stageStat]]="On",3,0),IF(TBA_Matches_All[[#This Row],[stageStat]]="Park",1,0),SUMIFS(TBA_Matches_All[[#This Row],[Spotlit]],TBA_Matches_All[[#This Row],[stageStat]],"On"),SUMIFS(TBA_Matches_All[[#This Row],[Harmony]],TBA_Matches_All[[#This Row],[stageStat]],"On"))</f>
        <v>0</v>
      </c>
      <c r="CX64" s="59">
        <f>IFERROR(TBA_Matches_All[[#This Row],[stageptsT]]/TBA_Matches_All[[#This Row],[StagePts]],0)</f>
        <v>0</v>
      </c>
      <c r="CY64">
        <f>SUM((TBA_Matches_All[[#This Row],[AptsT]]+TBA_Matches_All[[#This Row],[TampT]]+TBA_Matches_All[[#This Row],[TspkrptsC]]+(TBA_Matches_All[[#This Row],[TtrapT]]*5)+TBA_Matches_All[[#This Row],[stageptsT]]))</f>
        <v>34</v>
      </c>
      <c r="CZ64" s="59">
        <f>IFERROR(SUM(TBA_Matches_All[[#This Row],[TotptsC]]/TBA_Matches_All[[#This Row],[Score]]),0)</f>
        <v>0.75555555555555554</v>
      </c>
      <c r="DA6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10.386666666666667</v>
      </c>
      <c r="DB64" s="74">
        <f>SUMIFS(TBA_Matches_All[AveTeamTNoteDels],TBA_Matches_All[Match_Number],TBA_Matches_All[[#This Row],[Match_Number]],TBA_Matches_All[Alliance],"&lt;&gt;"&amp;TBA_Matches_All[[#This Row],[Alliance]],TBA_Matches_All[Scouted],"&gt;0")</f>
        <v>19.351731601731601</v>
      </c>
      <c r="DC64" s="74">
        <f>(TBA_Matches_All[[#This Row],[TampT]]+TBA_Matches_All[[#This Row],[TspkrptsC]])-TBA_Matches_All[[#This Row],[AveTeamTNoteDels]]</f>
        <v>6.6133333333333333</v>
      </c>
      <c r="DD64" s="74">
        <f>SUMIFS(TBA_Matches_All[AveTeamTNoteDels],TBA_Matches_All[Match_Number],TBA_Matches_All[[#This Row],[Match_Number]],TBA_Matches_All[Alliance],"&lt;&gt;"&amp;TBA_Matches_All[[#This Row],[Alliance]])-TBA_Matches_All[[#This Row],[AveOppTNoteDels]]</f>
        <v>0</v>
      </c>
    </row>
    <row r="65" spans="1:108" x14ac:dyDescent="0.3">
      <c r="A65" t="s">
        <v>1042</v>
      </c>
      <c r="B65" t="s">
        <v>489</v>
      </c>
      <c r="C65" t="s">
        <v>1320</v>
      </c>
      <c r="D65">
        <v>11</v>
      </c>
      <c r="E65" t="s">
        <v>1420</v>
      </c>
      <c r="F65" t="s">
        <v>1421</v>
      </c>
      <c r="G65" t="s">
        <v>164</v>
      </c>
      <c r="H65" t="s">
        <v>1291</v>
      </c>
      <c r="I65" t="b">
        <v>1</v>
      </c>
      <c r="J65">
        <v>65</v>
      </c>
      <c r="K65">
        <v>1</v>
      </c>
      <c r="L65">
        <v>0</v>
      </c>
      <c r="M65">
        <v>5</v>
      </c>
      <c r="N65">
        <v>0</v>
      </c>
      <c r="O65">
        <v>3</v>
      </c>
      <c r="P65">
        <v>15</v>
      </c>
      <c r="Q65">
        <v>19</v>
      </c>
      <c r="R65">
        <v>3</v>
      </c>
      <c r="S65">
        <v>3</v>
      </c>
      <c r="T65">
        <v>11</v>
      </c>
      <c r="U65">
        <v>15</v>
      </c>
      <c r="V65">
        <v>22</v>
      </c>
      <c r="W65">
        <v>14</v>
      </c>
      <c r="X65">
        <v>37</v>
      </c>
      <c r="Y65">
        <v>40</v>
      </c>
      <c r="Z65">
        <v>0</v>
      </c>
      <c r="AA65">
        <v>0</v>
      </c>
      <c r="AB65">
        <v>20</v>
      </c>
      <c r="AC65">
        <v>55</v>
      </c>
      <c r="AD65">
        <v>1</v>
      </c>
      <c r="AE65">
        <f>IFERROR(6/(COUNTIF(Dyno_EndMatch[Match],TBA_Matches_All[[#This Row],[Match_Number]])),0)</f>
        <v>1</v>
      </c>
      <c r="AF65">
        <f>COUNTIFS(Dyno_Data[Team],TBA_Matches_All[[#This Row],[Team]],Dyno_Data[Match],TBA_Matches_All[[#This Row],[Match_Number]],Dyno_Data[RecordType],"EndMatch",Dyno_Data[HPAmp],"Y")</f>
        <v>0</v>
      </c>
      <c r="AG65">
        <f>SUMIFS(Dyno_Data[Mics], Dyno_Data[Team],TBA_Matches_All[[#This Row],[Team]],Dyno_Data[Match],TBA_Matches_All[[#This Row],[Match_Number]],Dyno_Data[RecordType],"EndMatch",Dyno_Data[HPAmp],"Y")</f>
        <v>0</v>
      </c>
      <c r="AH65">
        <f>SUMIFS(Dyno_Data[Leave], Dyno_Data[Team],TBA_Matches_All[[#This Row],[Team]],Dyno_Data[Match],TBA_Matches_All[[#This Row],[Match_Number]],Dyno_Data[RecordType],"EndAuto")</f>
        <v>1</v>
      </c>
      <c r="AI65">
        <f>COUNTIFS(Dyno_Data[Team],TBA_Matches_All[[#This Row],[Team]],Dyno_Data[Match],TBA_Matches_All[[#This Row],[Match_Number]],Dyno_Data[RecordType],"Activities",Dyno_Data[DelDest],"Amp", Dyno_Data[DelMiss],"0", Dyno_Data[Mode],"Auto")</f>
        <v>0</v>
      </c>
      <c r="AJ65">
        <f>COUNTIFS(Dyno_Data[Team],TBA_Matches_All[[#This Row],[Team]],Dyno_Data[Match],TBA_Matches_All[[#This Row],[Match_Number]],Dyno_Data[RecordType],"Activities",Dyno_Data[DelDest],"Spkr", Dyno_Data[DelMiss],"0", Dyno_Data[Mode],"Auto")</f>
        <v>2</v>
      </c>
      <c r="AK65">
        <f>COUNTIFS(Dyno_Data[Team],TBA_Matches_All[[#This Row],[Team]],Dyno_Data[Match],TBA_Matches_All[[#This Row],[Match_Number]],Dyno_Data[RecordType],"Activities",Dyno_Data[DelDest],"Trap", Dyno_Data[DelMiss],"0", Dyno_Data[Mode],"Auto")</f>
        <v>0</v>
      </c>
      <c r="AL65">
        <f>COUNTIFS(Dyno_Data[Team],TBA_Matches_All[[#This Row],[Team]],Dyno_Data[Match],TBA_Matches_All[[#This Row],[Match_Number]],Dyno_Data[RecordType],"Activities",Dyno_Data[DelDest],"Amp", Dyno_Data[DelMiss],"0", Dyno_Data[Mode],"Teleop")</f>
        <v>0</v>
      </c>
      <c r="AM65">
        <f>COUNTIFS(Dyno_Data[Team],TBA_Matches_All[[#This Row],[Team]],Dyno_Data[Match],TBA_Matches_All[[#This Row],[Match_Number]],Dyno_Data[RecordType],"Activities",Dyno_Data[DelDest],"Spkr", Dyno_Data[DelMiss],"0", Dyno_Data[Mode],"Teleop")</f>
        <v>7</v>
      </c>
      <c r="AN65">
        <f>COUNTIFS(Dyno_Data[Team],TBA_Matches_All[[#This Row],[Team]],Dyno_Data[Match],TBA_Matches_All[[#This Row],[Match_Number]],Dyno_Data[RecordType],"Activities",Dyno_Data[DelDest],"Trap", Dyno_Data[DelMiss],"0", Dyno_Data[Mode],"&lt;&gt;Auto")</f>
        <v>0</v>
      </c>
      <c r="AO65">
        <f>SUM(TBA_Matches_All[[#This Row],[AampT]]+TBA_Matches_All[[#This Row],[AspkrT]]+TBA_Matches_All[[#This Row],[AtrapT]]+TBA_Matches_All[[#This Row],[TampT]]+TBA_Matches_All[[#This Row],[TspkrT]]+TBA_Matches_All[[#This Row],[TtrapT]])</f>
        <v>9</v>
      </c>
      <c r="AP65">
        <f>COUNTIFS(Dyno_Data[Team],TBA_Matches_All[[#This Row],[Team]],Dyno_Data[Match],TBA_Matches_All[[#This Row],[Match_Number]],Dyno_Data[RecordType],"Activities",Dyno_Data[DelDest],"Neut", Dyno_Data[DelMiss],"0")</f>
        <v>0</v>
      </c>
      <c r="AQ65">
        <f>COUNTIFS(Dyno_Data[Team],TBA_Matches_All[[#This Row],[Team]],Dyno_Data[Match],TBA_Matches_All[[#This Row],[Match_Number]],Dyno_Data[RecordType],"Activities",Dyno_Data[DelDest],"AllyW", Dyno_Data[DelMiss],"0")</f>
        <v>0</v>
      </c>
      <c r="AR65" t="str">
        <f>_xlfn.XLOOKUP(SUM(MID(TBA_Matches_All[[#This Row],[Team]],4,5),(TBA_Matches_All[[#This Row],[Match_Number]]/100)),Dyno_EndMatch[teammat],Dyno_EndMatch[RobotSta],"_",0,1)</f>
        <v>SubW</v>
      </c>
      <c r="AS65">
        <f>SUMIFS(Dyno_Data[AcqDis], Dyno_Data[Team],TBA_Matches_All[[#This Row],[Team]],Dyno_Data[Match],TBA_Matches_All[[#This Row],[Match_Number]],Dyno_Data[RecordType],"Activities", Dyno_Data[AcqCenter],1,Dyno_Data[Mode],"Auto")</f>
        <v>0</v>
      </c>
      <c r="AT65">
        <f>SUMIFS(Dyno_Data[AcqDis], Dyno_Data[Team],TBA_Matches_All[[#This Row],[Team]],Dyno_Data[Match],TBA_Matches_All[[#This Row],[Match_Number]],Dyno_Data[RecordType],"Activities", Dyno_Data[AcqCenter],2,Dyno_Data[Mode],"Auto")</f>
        <v>0</v>
      </c>
      <c r="AU65">
        <f>SUMIFS(Dyno_Data[AcqDis], Dyno_Data[Team],TBA_Matches_All[[#This Row],[Team]],Dyno_Data[Match],TBA_Matches_All[[#This Row],[Match_Number]],Dyno_Data[RecordType],"Activities", Dyno_Data[AcqCenter],3,Dyno_Data[Mode],"Auto")</f>
        <v>0</v>
      </c>
      <c r="AV65">
        <f>SUMIFS(Dyno_Data[AcqDis], Dyno_Data[Team],TBA_Matches_All[[#This Row],[Team]],Dyno_Data[Match],TBA_Matches_All[[#This Row],[Match_Number]],Dyno_Data[RecordType],"Activities", Dyno_Data[AcqCenter],4,Dyno_Data[Mode],"Auto")</f>
        <v>0</v>
      </c>
      <c r="AW65">
        <f>SUMIFS(Dyno_Data[AcqDis], Dyno_Data[Team],TBA_Matches_All[[#This Row],[Team]],Dyno_Data[Match],TBA_Matches_All[[#This Row],[Match_Number]],Dyno_Data[RecordType],"Activities", Dyno_Data[AcqCenter],5,Dyno_Data[Mode],"Auto")</f>
        <v>0</v>
      </c>
      <c r="AX65">
        <f>SUMIFS(Dyno_Data[DelMiss], Dyno_Data[Team],TBA_Matches_All[[#This Row],[Team]],Dyno_Data[Match],TBA_Matches_All[[#This Row],[Match_Number]],Dyno_Data[RecordType],"Activities", Dyno_Data[DelDest],"Amp")</f>
        <v>0</v>
      </c>
      <c r="AY65" s="60">
        <f>IFERROR(SUM((TBA_Matches_All[[#This Row],[AampT]]+TBA_Matches_All[[#This Row],[TampT]])/(TBA_Matches_All[[#This Row],[AampT]]+TBA_Matches_All[[#This Row],[TampT]]+TBA_Matches_All[[#This Row],[ampM]])),0)</f>
        <v>0</v>
      </c>
      <c r="AZ65">
        <f>SUMIFS(Dyno_Data[DelMiss], Dyno_Data[Team],TBA_Matches_All[[#This Row],[Team]],Dyno_Data[Match],TBA_Matches_All[[#This Row],[Match_Number]],Dyno_Data[RecordType],"Activities", Dyno_Data[DelDest],"Spkr")</f>
        <v>2</v>
      </c>
      <c r="BA65" s="60">
        <f>IFERROR(SUM((TBA_Matches_All[[#This Row],[AspkrT]]+TBA_Matches_All[[#This Row],[TspkrT]])/(TBA_Matches_All[[#This Row],[AspkrT]]+TBA_Matches_All[[#This Row],[TspkrT]]+TBA_Matches_All[[#This Row],[spkrM]])),0)</f>
        <v>0.81818181818181823</v>
      </c>
      <c r="BB65">
        <f>SUMIFS(Dyno_Data[DelMiss], Dyno_Data[Team],TBA_Matches_All[[#This Row],[Team]],Dyno_Data[Match],TBA_Matches_All[[#This Row],[Match_Number]],Dyno_Data[RecordType],"Activities", Dyno_Data[DelDest],"Trap")</f>
        <v>0</v>
      </c>
      <c r="BC65" s="60">
        <f>IFERROR((TBA_Matches_All[[#This Row],[AtrapT]]+TBA_Matches_All[[#This Row],[TtrapT]])/(TBA_Matches_All[[#This Row],[AtrapT]]+TBA_Matches_All[[#This Row],[TtrapT]]+TBA_Matches_All[[#This Row],[trapM]]),0)</f>
        <v>0</v>
      </c>
      <c r="BD65">
        <f>COUNTIFS(Dyno_Data[Team],TBA_Matches_All[[#This Row],[Team]],Dyno_Data[Match],TBA_Matches_All[[#This Row],[Match_Number]],Dyno_Data[RecordType],"Activities",Dyno_Data[DelDest],"Neut", Dyno_Data[DelMiss],1)</f>
        <v>0</v>
      </c>
      <c r="BE65" s="60">
        <f>IFERROR(SUM((TBA_Matches_All[[#This Row],[NeutFlrT]])/(TBA_Matches_All[[#This Row],[NeutFlrT]]+TBA_Matches_All[[#This Row],[NZflM]])),0)</f>
        <v>0</v>
      </c>
      <c r="BF65">
        <f>COUNTIFS(Dyno_Data[Team],TBA_Matches_All[[#This Row],[Team]],Dyno_Data[Match],TBA_Matches_All[[#This Row],[Match_Number]],Dyno_Data[RecordType],"Activities",Dyno_Data[DelDest],"AllyW", Dyno_Data[DelMiss],1)</f>
        <v>0</v>
      </c>
      <c r="BG65" s="60">
        <f>IFERROR(SUM((TBA_Matches_All[[#This Row],[AllyWFlrT]])/(TBA_Matches_All[[#This Row],[AllyWFlrT]]+TBA_Matches_All[[#This Row],[AZflM]])),0)</f>
        <v>0</v>
      </c>
      <c r="BH65">
        <f>COUNTIFS(Dyno_Data[Team],TBA_Matches_All[[#This Row],[Team]],Dyno_Data[Match],TBA_Matches_All[[#This Row],[Match_Number]],Dyno_Data[RecordType],"Activities",Dyno_Data[DelOrig],"OppW", Dyno_Data[DelMiss],"0")</f>
        <v>0</v>
      </c>
      <c r="BI65">
        <f>COUNTIFS(Dyno_Data[Team],TBA_Matches_All[[#This Row],[Team]],Dyno_Data[Match],TBA_Matches_All[[#This Row],[Match_Number]],Dyno_Data[RecordType],"Activities",Dyno_Data[DelOrig],"OppW", Dyno_Data[DelMiss],"1")</f>
        <v>0</v>
      </c>
      <c r="BJ65" s="60">
        <f>IFERROR(SUM((TBA_Matches_All[[#This Row],[OZflrT]])/(TBA_Matches_All[[#This Row],[OZflrT]]+TBA_Matches_All[[#This Row],[OZflrM]])),0)</f>
        <v>0</v>
      </c>
      <c r="BK65">
        <f>COUNTIFS(Dyno_Data[Team],TBA_Matches_All[[#This Row],[Team]],Dyno_Data[Match],TBA_Matches_All[[#This Row],[Match_Number]],Dyno_Data[RecordType],"Activities",Dyno_Data[DelOrig],"Neut", Dyno_Data[DelMiss],"0")</f>
        <v>0</v>
      </c>
      <c r="BL65">
        <f>COUNTIFS(Dyno_Data[Team],TBA_Matches_All[[#This Row],[Team]],Dyno_Data[Match],TBA_Matches_All[[#This Row],[Match_Number]],Dyno_Data[RecordType],"Activities",Dyno_Data[DelOrig],"Neut", Dyno_Data[DelMiss],"1")</f>
        <v>0</v>
      </c>
      <c r="BM65" s="60">
        <f>IFERROR(SUM((TBA_Matches_All[[#This Row],[NZflrT]])/(TBA_Matches_All[[#This Row],[NZflrT]]+TBA_Matches_All[[#This Row],[NZflrM]])),0)</f>
        <v>0</v>
      </c>
      <c r="BN65">
        <f>COUNTIFS(Dyno_Data[Team],TBA_Matches_All[[#This Row],[Team]],Dyno_Data[Match],TBA_Matches_All[[#This Row],[Match_Number]],Dyno_Data[RecordType],"Activities",Dyno_Data[DelOrig],"AllyW", Dyno_Data[DelMiss],"0")</f>
        <v>7</v>
      </c>
      <c r="BO65">
        <f>COUNTIFS(Dyno_Data[Team],TBA_Matches_All[[#This Row],[Team]],Dyno_Data[Match],TBA_Matches_All[[#This Row],[Match_Number]],Dyno_Data[RecordType],"Activities",Dyno_Data[DelOrig],"AllyW", Dyno_Data[DelMiss],"1")</f>
        <v>1</v>
      </c>
      <c r="BP65" s="60">
        <f>IFERROR(SUM((TBA_Matches_All[[#This Row],[AZflrT]])/(TBA_Matches_All[[#This Row],[AZflrT]]+TBA_Matches_All[[#This Row],[AZflrM]])),0)</f>
        <v>0.875</v>
      </c>
      <c r="BQ65">
        <f>COUNTIFS(Dyno_Data[Team],TBA_Matches_All[[#This Row],[Team]],Dyno_Data[Match],TBA_Matches_All[[#This Row],[Match_Number]],Dyno_Data[RecordType],"Activities",Dyno_Data[DelOrig],"SubW", Dyno_Data[DelMiss],"0")</f>
        <v>2</v>
      </c>
      <c r="BR65">
        <f>COUNTIFS(Dyno_Data[Team],TBA_Matches_All[[#This Row],[Team]],Dyno_Data[Match],TBA_Matches_All[[#This Row],[Match_Number]],Dyno_Data[RecordType],"Activities",Dyno_Data[DelOrig],"SubW", Dyno_Data[DelMiss],"1")</f>
        <v>1</v>
      </c>
      <c r="BS65" s="60">
        <f>IFERROR(SUM((TBA_Matches_All[[#This Row],[SubwT]])/(TBA_Matches_All[[#This Row],[SubwT]]+TBA_Matches_All[[#This Row],[SubwM]])),0)</f>
        <v>0.66666666666666663</v>
      </c>
      <c r="BT65">
        <f>COUNTIFS(Dyno_Data[Team],TBA_Matches_All[[#This Row],[Team]],Dyno_Data[Match],TBA_Matches_All[[#This Row],[Match_Number]],Dyno_Data[RecordType],"Activities", Dyno_Data[AcqLoc],"OppWing")</f>
        <v>0</v>
      </c>
      <c r="BU65">
        <f>COUNTIFS(Dyno_Data[Team],TBA_Matches_All[[#This Row],[Team]],Dyno_Data[Match],TBA_Matches_All[[#This Row],[Match_Number]],Dyno_Data[RecordType],"Activities", Dyno_Data[AcqLoc],"Neutral")</f>
        <v>0</v>
      </c>
      <c r="BV65">
        <f>COUNTIFS(Dyno_Data[Team],TBA_Matches_All[[#This Row],[Team]],Dyno_Data[Match],TBA_Matches_All[[#This Row],[Match_Number]],Dyno_Data[RecordType],"Activities", Dyno_Data[AcqLoc],"AllyWing")</f>
        <v>0</v>
      </c>
      <c r="BW65">
        <f>COUNTIFS(Dyno_Data[Team],TBA_Matches_All[[#This Row],[Team]],Dyno_Data[Match],TBA_Matches_All[[#This Row],[Match_Number]],Dyno_Data[RecordType],"Activities", Dyno_Data[AcqLoc],"Source")</f>
        <v>0</v>
      </c>
      <c r="BX65">
        <f>SUMIFS(Dyno_Data[AcqDrp], Dyno_Data[Team],TBA_Matches_All[[#This Row],[Team]],Dyno_Data[Match],TBA_Matches_All[[#This Row],[Match_Number]],Dyno_Data[RecordType],"Activities", Dyno_Data[AcqLoc],"Source")</f>
        <v>0</v>
      </c>
      <c r="BY65">
        <f>SUMIFS(Dyno_Data[OZTime], Dyno_Data[Team],TBA_Matches_All[[#This Row],[Team]],Dyno_Data[Match],TBA_Matches_All[[#This Row],[Match_Number]],Dyno_Data[RecordType],"EndMatch")</f>
        <v>21.383288799999999</v>
      </c>
      <c r="BZ65">
        <f>SUMIFS(Dyno_Data[NZTime], Dyno_Data[Team],TBA_Matches_All[[#This Row],[Team]],Dyno_Data[Match],TBA_Matches_All[[#This Row],[Match_Number]],Dyno_Data[RecordType],"EndMatch")</f>
        <v>22.057094199999998</v>
      </c>
      <c r="CA65">
        <f>SUMIFS(Dyno_Data[AZTime], Dyno_Data[Team],TBA_Matches_All[[#This Row],[Team]],Dyno_Data[Match],TBA_Matches_All[[#This Row],[Match_Number]],Dyno_Data[RecordType],"EndMatch")</f>
        <v>94.835279999999997</v>
      </c>
      <c r="CB65">
        <f>SUMIFS(Dyno_Data[ClimbT], Dyno_Data[Team],TBA_Matches_All[[#This Row],[Team]],Dyno_Data[Match],TBA_Matches_All[[#This Row],[Match_Number]],Dyno_Data[RecordType],"EndMatch")</f>
        <v>0</v>
      </c>
      <c r="CC65" t="str">
        <f>_xlfn.XLOOKUP(SUM(MID(TBA_Matches_All[[#This Row],[Team]],4,5),(TBA_Matches_All[[#This Row],[Match_Number]]/100)),Dyno_EndMatch[teammat],Dyno_EndMatch[StageStat],"_",0,1)</f>
        <v>Park</v>
      </c>
      <c r="CD65" t="str">
        <f>_xlfn.XLOOKUP(TBA_Matches_All[[#This Row],[teammat]],Dyno_EndMatch[teammat],Dyno_EndMatch[StageAtt],"_",0,1)</f>
        <v>0</v>
      </c>
      <c r="CE65" t="str">
        <f>_xlfn.XLOOKUP(TBA_Matches_All[[#This Row],[teammat]],Dyno_EndMatch[teammat],Dyno_EndMatch[StageLoc],"_",0,1)</f>
        <v>A</v>
      </c>
      <c r="CF65">
        <f>SUMIFS(Dyno_Data[Harmony], Dyno_Data[Team],TBA_Matches_All[[#This Row],[Team]],Dyno_Data[Match],TBA_Matches_All[[#This Row],[Match_Number]],Dyno_Data[RecordType],"EndMatch", Dyno_Data[StageStat],"On",Dyno_Data[Harmony],"&lt;&gt;9")</f>
        <v>0</v>
      </c>
      <c r="CG65">
        <f>SUMIFS(Dyno_Data[Spotlit], Dyno_Data[Team],TBA_Matches_All[[#This Row],[Team]],Dyno_Data[Match],TBA_Matches_All[[#This Row],[Match_Number]],Dyno_Data[RecordType],"EndMatch", Dyno_Data[StageStat],"On",Dyno_Data[Spotlit],"&lt;&gt;9")</f>
        <v>0</v>
      </c>
      <c r="CH65" t="str">
        <f>_xlfn.XLOOKUP(TBA_Matches_All[[#This Row],[teammat]],Dyno_EndMatch[teammat],Dyno_EndMatch[Strategy],"_",0,1)</f>
        <v>Hybrid</v>
      </c>
      <c r="CI65">
        <f>SUMIFS(Dyno_Data[Defense], Dyno_Data[Team],TBA_Matches_All[[#This Row],[Team]],Dyno_Data[Match],TBA_Matches_All[[#This Row],[Match_Number]],Dyno_Data[RecordType],"EndMatch",Dyno_Data[Defense],"&lt;&gt;9")</f>
        <v>0</v>
      </c>
      <c r="CJ65">
        <f>SUMIFS(Dyno_Data[Avoidance], Dyno_Data[Team],TBA_Matches_All[[#This Row],[Team]],Dyno_Data[Match],TBA_Matches_All[[#This Row],[Match_Number]],Dyno_Data[RecordType],"EndMatch",Dyno_Data[Avoidance],"&lt;&gt;9")</f>
        <v>0</v>
      </c>
      <c r="CK65" s="82">
        <f>COUNTIF($H$2:TBA_Matches_All[[#This Row],[Team]],TBA_Matches_All[[#This Row],[Team]])</f>
        <v>2</v>
      </c>
      <c r="CL65" s="111">
        <f>SUM(MID(TBA_Matches_All[[#This Row],[Team]],4,5)+TBA_Matches_All[[#This Row],[Match_Number]]/100)</f>
        <v>1493.11</v>
      </c>
      <c r="CM65">
        <f>SUM((TBA_Matches_All[[#This Row],[Leave]]*2)+(TBA_Matches_All[[#This Row],[AampT]]*2)+(TBA_Matches_All[[#This Row],[AspkrT]]*5)+(TBA_Matches_All[[#This Row],[AtrapT]]*5))</f>
        <v>12</v>
      </c>
      <c r="CN65" s="59">
        <f>IFERROR(SUM(TBA_Matches_All[[#This Row],[AptsT]]/TBA_Matches_All[[#This Row],[AutoPts]]),0)</f>
        <v>0.63157894736842102</v>
      </c>
      <c r="CO65" s="59">
        <f>IFERROR(SUM(TBA_Matches_All[[#This Row],[AampT]]+TBA_Matches_All[[#This Row],[AspkrT]]+TBA_Matches_All[[#This Row],[AtrapT]]/TBA_Matches_All[[#This Row],[Aamp]]+TBA_Matches_All[[#This Row],[Aspkr]]+TBA_Matches_All[[#This Row],[AtrapT]]),0)</f>
        <v>0</v>
      </c>
      <c r="CP65" s="59">
        <f>IFERROR(SUM(TBA_Matches_All[[#This Row],[TampT]]/TBA_Matches_All[[#This Row],[Tamp]]),0)</f>
        <v>0</v>
      </c>
      <c r="CQ65" s="59">
        <f>IFERROR(SUM(TBA_Matches_All[[#This Row],[TspkrT]]/TBA_Matches_All[[#This Row],[Tspkr]]),0)</f>
        <v>0.5</v>
      </c>
      <c r="CR65">
        <f>SUM(TBA_Matches_All[[#This Row],[TspkrPts]]*TBA_Matches_All[[#This Row],[TspkrP]])</f>
        <v>18.5</v>
      </c>
      <c r="CS65" s="59">
        <f>IFERROR(SUM(TBA_Matches_All[[#This Row],[TtrapT]]/TBA_Matches_All[[#This Row],[Trap]]),0)</f>
        <v>0</v>
      </c>
      <c r="CT65" s="59">
        <f>IFERROR(SUM(TBA_Matches_All[[#This Row],[TotNotesT]]/TBA_Matches_All[[#This Row],[TotNotes]]),0)</f>
        <v>0.45</v>
      </c>
      <c r="CU65" s="66">
        <f>SUM((TBA_Matches_All[[#This Row],[AampT]]*2)+(TBA_Matches_All[[#This Row],[AspkrT]]*5)+(TBA_Matches_All[[#This Row],[AtrapT]]*5)+(TBA_Matches_All[[#This Row],[TampT]]*1)+(TBA_Matches_All[[#This Row],[TspkrptsC]]))</f>
        <v>28.5</v>
      </c>
      <c r="CV65" s="59">
        <f>IFERROR(TBA_Matches_All[[#This Row],[noteptsT]]/TBA_Matches_All[[#This Row],[NotePts]],0)</f>
        <v>0.51818181818181819</v>
      </c>
      <c r="CW65">
        <f>SUM(IF(TBA_Matches_All[[#This Row],[stageStat]]="On",3,0),IF(TBA_Matches_All[[#This Row],[stageStat]]="Park",1,0),SUMIFS(TBA_Matches_All[[#This Row],[Spotlit]],TBA_Matches_All[[#This Row],[stageStat]],"On"),SUMIFS(TBA_Matches_All[[#This Row],[Harmony]],TBA_Matches_All[[#This Row],[stageStat]],"On"))</f>
        <v>1</v>
      </c>
      <c r="CX65" s="59">
        <f>IFERROR(TBA_Matches_All[[#This Row],[stageptsT]]/TBA_Matches_All[[#This Row],[StagePts]],0)</f>
        <v>1</v>
      </c>
      <c r="CY65">
        <f>SUM((TBA_Matches_All[[#This Row],[AptsT]]+TBA_Matches_All[[#This Row],[TampT]]+TBA_Matches_All[[#This Row],[TspkrptsC]]+(TBA_Matches_All[[#This Row],[TtrapT]]*5)+TBA_Matches_All[[#This Row],[stageptsT]]))</f>
        <v>31.5</v>
      </c>
      <c r="CZ65" s="59">
        <f>IFERROR(SUM(TBA_Matches_All[[#This Row],[TotptsC]]/TBA_Matches_All[[#This Row],[Score]]),0)</f>
        <v>0.48461538461538461</v>
      </c>
      <c r="DA6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11.371428571428572</v>
      </c>
      <c r="DB65" s="74">
        <f>SUMIFS(TBA_Matches_All[AveTeamTNoteDels],TBA_Matches_All[Match_Number],TBA_Matches_All[[#This Row],[Match_Number]],TBA_Matches_All[Alliance],"&lt;&gt;"&amp;TBA_Matches_All[[#This Row],[Alliance]],TBA_Matches_All[Scouted],"&gt;0")</f>
        <v>14.96</v>
      </c>
      <c r="DC65" s="74">
        <f>(TBA_Matches_All[[#This Row],[TampT]]+TBA_Matches_All[[#This Row],[TspkrptsC]])-TBA_Matches_All[[#This Row],[AveTeamTNoteDels]]</f>
        <v>7.1285714285714281</v>
      </c>
      <c r="DD65" s="74">
        <f>SUMIFS(TBA_Matches_All[AveTeamTNoteDels],TBA_Matches_All[Match_Number],TBA_Matches_All[[#This Row],[Match_Number]],TBA_Matches_All[Alliance],"&lt;&gt;"&amp;TBA_Matches_All[[#This Row],[Alliance]])-TBA_Matches_All[[#This Row],[AveOppTNoteDels]]</f>
        <v>0</v>
      </c>
    </row>
    <row r="66" spans="1:108" x14ac:dyDescent="0.3">
      <c r="A66" t="s">
        <v>1042</v>
      </c>
      <c r="B66" t="s">
        <v>489</v>
      </c>
      <c r="C66" t="s">
        <v>1320</v>
      </c>
      <c r="D66">
        <v>11</v>
      </c>
      <c r="E66" t="s">
        <v>1406</v>
      </c>
      <c r="F66" t="s">
        <v>1422</v>
      </c>
      <c r="G66" t="s">
        <v>105</v>
      </c>
      <c r="H66" t="s">
        <v>371</v>
      </c>
      <c r="I66" t="b">
        <v>1</v>
      </c>
      <c r="J66">
        <v>45</v>
      </c>
      <c r="K66">
        <v>0</v>
      </c>
      <c r="L66">
        <v>0</v>
      </c>
      <c r="M66">
        <v>5</v>
      </c>
      <c r="N66">
        <v>0</v>
      </c>
      <c r="O66">
        <v>3</v>
      </c>
      <c r="P66">
        <v>15</v>
      </c>
      <c r="Q66">
        <v>17</v>
      </c>
      <c r="R66">
        <v>1</v>
      </c>
      <c r="S66">
        <v>0</v>
      </c>
      <c r="T66">
        <v>10</v>
      </c>
      <c r="U66">
        <v>0</v>
      </c>
      <c r="V66">
        <v>20</v>
      </c>
      <c r="W66">
        <v>10</v>
      </c>
      <c r="X66">
        <v>20</v>
      </c>
      <c r="Y66">
        <v>21</v>
      </c>
      <c r="Z66">
        <v>0</v>
      </c>
      <c r="AA66">
        <v>0</v>
      </c>
      <c r="AB66">
        <v>14</v>
      </c>
      <c r="AC66">
        <v>36</v>
      </c>
      <c r="AD66">
        <v>2</v>
      </c>
      <c r="AE66">
        <f>IFERROR(6/(COUNTIF(Dyno_EndMatch[Match],TBA_Matches_All[[#This Row],[Match_Number]])),0)</f>
        <v>1</v>
      </c>
      <c r="AF66">
        <f>COUNTIFS(Dyno_Data[Team],TBA_Matches_All[[#This Row],[Team]],Dyno_Data[Match],TBA_Matches_All[[#This Row],[Match_Number]],Dyno_Data[RecordType],"EndMatch",Dyno_Data[HPAmp],"Y")</f>
        <v>0</v>
      </c>
      <c r="AG66">
        <f>SUMIFS(Dyno_Data[Mics], Dyno_Data[Team],TBA_Matches_All[[#This Row],[Team]],Dyno_Data[Match],TBA_Matches_All[[#This Row],[Match_Number]],Dyno_Data[RecordType],"EndMatch",Dyno_Data[HPAmp],"Y")</f>
        <v>0</v>
      </c>
      <c r="AH66">
        <f>SUMIFS(Dyno_Data[Leave], Dyno_Data[Team],TBA_Matches_All[[#This Row],[Team]],Dyno_Data[Match],TBA_Matches_All[[#This Row],[Match_Number]],Dyno_Data[RecordType],"EndAuto")</f>
        <v>0</v>
      </c>
      <c r="AI66">
        <f>COUNTIFS(Dyno_Data[Team],TBA_Matches_All[[#This Row],[Team]],Dyno_Data[Match],TBA_Matches_All[[#This Row],[Match_Number]],Dyno_Data[RecordType],"Activities",Dyno_Data[DelDest],"Amp", Dyno_Data[DelMiss],"0", Dyno_Data[Mode],"Auto")</f>
        <v>0</v>
      </c>
      <c r="AJ66">
        <f>COUNTIFS(Dyno_Data[Team],TBA_Matches_All[[#This Row],[Team]],Dyno_Data[Match],TBA_Matches_All[[#This Row],[Match_Number]],Dyno_Data[RecordType],"Activities",Dyno_Data[DelDest],"Spkr", Dyno_Data[DelMiss],"0", Dyno_Data[Mode],"Auto")</f>
        <v>0</v>
      </c>
      <c r="AK66">
        <f>COUNTIFS(Dyno_Data[Team],TBA_Matches_All[[#This Row],[Team]],Dyno_Data[Match],TBA_Matches_All[[#This Row],[Match_Number]],Dyno_Data[RecordType],"Activities",Dyno_Data[DelDest],"Trap", Dyno_Data[DelMiss],"0", Dyno_Data[Mode],"Auto")</f>
        <v>0</v>
      </c>
      <c r="AL66">
        <f>COUNTIFS(Dyno_Data[Team],TBA_Matches_All[[#This Row],[Team]],Dyno_Data[Match],TBA_Matches_All[[#This Row],[Match_Number]],Dyno_Data[RecordType],"Activities",Dyno_Data[DelDest],"Amp", Dyno_Data[DelMiss],"0", Dyno_Data[Mode],"Teleop")</f>
        <v>0</v>
      </c>
      <c r="AM66">
        <f>COUNTIFS(Dyno_Data[Team],TBA_Matches_All[[#This Row],[Team]],Dyno_Data[Match],TBA_Matches_All[[#This Row],[Match_Number]],Dyno_Data[RecordType],"Activities",Dyno_Data[DelDest],"Spkr", Dyno_Data[DelMiss],"0", Dyno_Data[Mode],"Teleop")</f>
        <v>2</v>
      </c>
      <c r="AN66">
        <f>COUNTIFS(Dyno_Data[Team],TBA_Matches_All[[#This Row],[Team]],Dyno_Data[Match],TBA_Matches_All[[#This Row],[Match_Number]],Dyno_Data[RecordType],"Activities",Dyno_Data[DelDest],"Trap", Dyno_Data[DelMiss],"0", Dyno_Data[Mode],"&lt;&gt;Auto")</f>
        <v>0</v>
      </c>
      <c r="AO66">
        <f>SUM(TBA_Matches_All[[#This Row],[AampT]]+TBA_Matches_All[[#This Row],[AspkrT]]+TBA_Matches_All[[#This Row],[AtrapT]]+TBA_Matches_All[[#This Row],[TampT]]+TBA_Matches_All[[#This Row],[TspkrT]]+TBA_Matches_All[[#This Row],[TtrapT]])</f>
        <v>2</v>
      </c>
      <c r="AP66">
        <f>COUNTIFS(Dyno_Data[Team],TBA_Matches_All[[#This Row],[Team]],Dyno_Data[Match],TBA_Matches_All[[#This Row],[Match_Number]],Dyno_Data[RecordType],"Activities",Dyno_Data[DelDest],"Neut", Dyno_Data[DelMiss],"0")</f>
        <v>0</v>
      </c>
      <c r="AQ66">
        <f>COUNTIFS(Dyno_Data[Team],TBA_Matches_All[[#This Row],[Team]],Dyno_Data[Match],TBA_Matches_All[[#This Row],[Match_Number]],Dyno_Data[RecordType],"Activities",Dyno_Data[DelDest],"AllyW", Dyno_Data[DelMiss],"0")</f>
        <v>0</v>
      </c>
      <c r="AR66" t="str">
        <f>_xlfn.XLOOKUP(SUM(MID(TBA_Matches_All[[#This Row],[Team]],4,5),(TBA_Matches_All[[#This Row],[Match_Number]]/100)),Dyno_EndMatch[teammat],Dyno_EndMatch[RobotSta],"_",0,1)</f>
        <v>OppS</v>
      </c>
      <c r="AS66">
        <f>SUMIFS(Dyno_Data[AcqDis], Dyno_Data[Team],TBA_Matches_All[[#This Row],[Team]],Dyno_Data[Match],TBA_Matches_All[[#This Row],[Match_Number]],Dyno_Data[RecordType],"Activities", Dyno_Data[AcqCenter],1,Dyno_Data[Mode],"Auto")</f>
        <v>0</v>
      </c>
      <c r="AT66">
        <f>SUMIFS(Dyno_Data[AcqDis], Dyno_Data[Team],TBA_Matches_All[[#This Row],[Team]],Dyno_Data[Match],TBA_Matches_All[[#This Row],[Match_Number]],Dyno_Data[RecordType],"Activities", Dyno_Data[AcqCenter],2,Dyno_Data[Mode],"Auto")</f>
        <v>0</v>
      </c>
      <c r="AU66">
        <f>SUMIFS(Dyno_Data[AcqDis], Dyno_Data[Team],TBA_Matches_All[[#This Row],[Team]],Dyno_Data[Match],TBA_Matches_All[[#This Row],[Match_Number]],Dyno_Data[RecordType],"Activities", Dyno_Data[AcqCenter],3,Dyno_Data[Mode],"Auto")</f>
        <v>0</v>
      </c>
      <c r="AV66">
        <f>SUMIFS(Dyno_Data[AcqDis], Dyno_Data[Team],TBA_Matches_All[[#This Row],[Team]],Dyno_Data[Match],TBA_Matches_All[[#This Row],[Match_Number]],Dyno_Data[RecordType],"Activities", Dyno_Data[AcqCenter],4,Dyno_Data[Mode],"Auto")</f>
        <v>0</v>
      </c>
      <c r="AW66">
        <f>SUMIFS(Dyno_Data[AcqDis], Dyno_Data[Team],TBA_Matches_All[[#This Row],[Team]],Dyno_Data[Match],TBA_Matches_All[[#This Row],[Match_Number]],Dyno_Data[RecordType],"Activities", Dyno_Data[AcqCenter],5,Dyno_Data[Mode],"Auto")</f>
        <v>0</v>
      </c>
      <c r="AX66">
        <f>SUMIFS(Dyno_Data[DelMiss], Dyno_Data[Team],TBA_Matches_All[[#This Row],[Team]],Dyno_Data[Match],TBA_Matches_All[[#This Row],[Match_Number]],Dyno_Data[RecordType],"Activities", Dyno_Data[DelDest],"Amp")</f>
        <v>0</v>
      </c>
      <c r="AY66" s="60">
        <f>IFERROR(SUM((TBA_Matches_All[[#This Row],[AampT]]+TBA_Matches_All[[#This Row],[TampT]])/(TBA_Matches_All[[#This Row],[AampT]]+TBA_Matches_All[[#This Row],[TampT]]+TBA_Matches_All[[#This Row],[ampM]])),0)</f>
        <v>0</v>
      </c>
      <c r="AZ66">
        <f>SUMIFS(Dyno_Data[DelMiss], Dyno_Data[Team],TBA_Matches_All[[#This Row],[Team]],Dyno_Data[Match],TBA_Matches_All[[#This Row],[Match_Number]],Dyno_Data[RecordType],"Activities", Dyno_Data[DelDest],"Spkr")</f>
        <v>1</v>
      </c>
      <c r="BA66" s="60">
        <f>IFERROR(SUM((TBA_Matches_All[[#This Row],[AspkrT]]+TBA_Matches_All[[#This Row],[TspkrT]])/(TBA_Matches_All[[#This Row],[AspkrT]]+TBA_Matches_All[[#This Row],[TspkrT]]+TBA_Matches_All[[#This Row],[spkrM]])),0)</f>
        <v>0.66666666666666663</v>
      </c>
      <c r="BB66">
        <f>SUMIFS(Dyno_Data[DelMiss], Dyno_Data[Team],TBA_Matches_All[[#This Row],[Team]],Dyno_Data[Match],TBA_Matches_All[[#This Row],[Match_Number]],Dyno_Data[RecordType],"Activities", Dyno_Data[DelDest],"Trap")</f>
        <v>0</v>
      </c>
      <c r="BC66" s="60">
        <f>IFERROR((TBA_Matches_All[[#This Row],[AtrapT]]+TBA_Matches_All[[#This Row],[TtrapT]])/(TBA_Matches_All[[#This Row],[AtrapT]]+TBA_Matches_All[[#This Row],[TtrapT]]+TBA_Matches_All[[#This Row],[trapM]]),0)</f>
        <v>0</v>
      </c>
      <c r="BD66">
        <f>COUNTIFS(Dyno_Data[Team],TBA_Matches_All[[#This Row],[Team]],Dyno_Data[Match],TBA_Matches_All[[#This Row],[Match_Number]],Dyno_Data[RecordType],"Activities",Dyno_Data[DelDest],"Neut", Dyno_Data[DelMiss],1)</f>
        <v>0</v>
      </c>
      <c r="BE66" s="60">
        <f>IFERROR(SUM((TBA_Matches_All[[#This Row],[NeutFlrT]])/(TBA_Matches_All[[#This Row],[NeutFlrT]]+TBA_Matches_All[[#This Row],[NZflM]])),0)</f>
        <v>0</v>
      </c>
      <c r="BF66">
        <f>COUNTIFS(Dyno_Data[Team],TBA_Matches_All[[#This Row],[Team]],Dyno_Data[Match],TBA_Matches_All[[#This Row],[Match_Number]],Dyno_Data[RecordType],"Activities",Dyno_Data[DelDest],"AllyW", Dyno_Data[DelMiss],1)</f>
        <v>0</v>
      </c>
      <c r="BG66" s="60">
        <f>IFERROR(SUM((TBA_Matches_All[[#This Row],[AllyWFlrT]])/(TBA_Matches_All[[#This Row],[AllyWFlrT]]+TBA_Matches_All[[#This Row],[AZflM]])),0)</f>
        <v>0</v>
      </c>
      <c r="BH66">
        <f>COUNTIFS(Dyno_Data[Team],TBA_Matches_All[[#This Row],[Team]],Dyno_Data[Match],TBA_Matches_All[[#This Row],[Match_Number]],Dyno_Data[RecordType],"Activities",Dyno_Data[DelOrig],"OppW", Dyno_Data[DelMiss],"0")</f>
        <v>0</v>
      </c>
      <c r="BI66">
        <f>COUNTIFS(Dyno_Data[Team],TBA_Matches_All[[#This Row],[Team]],Dyno_Data[Match],TBA_Matches_All[[#This Row],[Match_Number]],Dyno_Data[RecordType],"Activities",Dyno_Data[DelOrig],"OppW", Dyno_Data[DelMiss],"1")</f>
        <v>0</v>
      </c>
      <c r="BJ66" s="60">
        <f>IFERROR(SUM((TBA_Matches_All[[#This Row],[OZflrT]])/(TBA_Matches_All[[#This Row],[OZflrT]]+TBA_Matches_All[[#This Row],[OZflrM]])),0)</f>
        <v>0</v>
      </c>
      <c r="BK66">
        <f>COUNTIFS(Dyno_Data[Team],TBA_Matches_All[[#This Row],[Team]],Dyno_Data[Match],TBA_Matches_All[[#This Row],[Match_Number]],Dyno_Data[RecordType],"Activities",Dyno_Data[DelOrig],"Neut", Dyno_Data[DelMiss],"0")</f>
        <v>0</v>
      </c>
      <c r="BL66">
        <f>COUNTIFS(Dyno_Data[Team],TBA_Matches_All[[#This Row],[Team]],Dyno_Data[Match],TBA_Matches_All[[#This Row],[Match_Number]],Dyno_Data[RecordType],"Activities",Dyno_Data[DelOrig],"Neut", Dyno_Data[DelMiss],"1")</f>
        <v>0</v>
      </c>
      <c r="BM66" s="60">
        <f>IFERROR(SUM((TBA_Matches_All[[#This Row],[NZflrT]])/(TBA_Matches_All[[#This Row],[NZflrT]]+TBA_Matches_All[[#This Row],[NZflrM]])),0)</f>
        <v>0</v>
      </c>
      <c r="BN66">
        <f>COUNTIFS(Dyno_Data[Team],TBA_Matches_All[[#This Row],[Team]],Dyno_Data[Match],TBA_Matches_All[[#This Row],[Match_Number]],Dyno_Data[RecordType],"Activities",Dyno_Data[DelOrig],"AllyW", Dyno_Data[DelMiss],"0")</f>
        <v>0</v>
      </c>
      <c r="BO66">
        <f>COUNTIFS(Dyno_Data[Team],TBA_Matches_All[[#This Row],[Team]],Dyno_Data[Match],TBA_Matches_All[[#This Row],[Match_Number]],Dyno_Data[RecordType],"Activities",Dyno_Data[DelOrig],"AllyW", Dyno_Data[DelMiss],"1")</f>
        <v>0</v>
      </c>
      <c r="BP66" s="60">
        <f>IFERROR(SUM((TBA_Matches_All[[#This Row],[AZflrT]])/(TBA_Matches_All[[#This Row],[AZflrT]]+TBA_Matches_All[[#This Row],[AZflrM]])),0)</f>
        <v>0</v>
      </c>
      <c r="BQ66">
        <f>COUNTIFS(Dyno_Data[Team],TBA_Matches_All[[#This Row],[Team]],Dyno_Data[Match],TBA_Matches_All[[#This Row],[Match_Number]],Dyno_Data[RecordType],"Activities",Dyno_Data[DelOrig],"SubW", Dyno_Data[DelMiss],"0")</f>
        <v>2</v>
      </c>
      <c r="BR66">
        <f>COUNTIFS(Dyno_Data[Team],TBA_Matches_All[[#This Row],[Team]],Dyno_Data[Match],TBA_Matches_All[[#This Row],[Match_Number]],Dyno_Data[RecordType],"Activities",Dyno_Data[DelOrig],"SubW", Dyno_Data[DelMiss],"1")</f>
        <v>1</v>
      </c>
      <c r="BS66" s="60">
        <f>IFERROR(SUM((TBA_Matches_All[[#This Row],[SubwT]])/(TBA_Matches_All[[#This Row],[SubwT]]+TBA_Matches_All[[#This Row],[SubwM]])),0)</f>
        <v>0.66666666666666663</v>
      </c>
      <c r="BT66">
        <f>COUNTIFS(Dyno_Data[Team],TBA_Matches_All[[#This Row],[Team]],Dyno_Data[Match],TBA_Matches_All[[#This Row],[Match_Number]],Dyno_Data[RecordType],"Activities", Dyno_Data[AcqLoc],"OppWing")</f>
        <v>0</v>
      </c>
      <c r="BU66">
        <f>COUNTIFS(Dyno_Data[Team],TBA_Matches_All[[#This Row],[Team]],Dyno_Data[Match],TBA_Matches_All[[#This Row],[Match_Number]],Dyno_Data[RecordType],"Activities", Dyno_Data[AcqLoc],"Neutral")</f>
        <v>0</v>
      </c>
      <c r="BV66">
        <f>COUNTIFS(Dyno_Data[Team],TBA_Matches_All[[#This Row],[Team]],Dyno_Data[Match],TBA_Matches_All[[#This Row],[Match_Number]],Dyno_Data[RecordType],"Activities", Dyno_Data[AcqLoc],"AllyWing")</f>
        <v>0</v>
      </c>
      <c r="BW66">
        <f>COUNTIFS(Dyno_Data[Team],TBA_Matches_All[[#This Row],[Team]],Dyno_Data[Match],TBA_Matches_All[[#This Row],[Match_Number]],Dyno_Data[RecordType],"Activities", Dyno_Data[AcqLoc],"Source")</f>
        <v>0</v>
      </c>
      <c r="BX66">
        <f>SUMIFS(Dyno_Data[AcqDrp], Dyno_Data[Team],TBA_Matches_All[[#This Row],[Team]],Dyno_Data[Match],TBA_Matches_All[[#This Row],[Match_Number]],Dyno_Data[RecordType],"Activities", Dyno_Data[AcqLoc],"Source")</f>
        <v>0</v>
      </c>
      <c r="BY66">
        <f>SUMIFS(Dyno_Data[OZTime], Dyno_Data[Team],TBA_Matches_All[[#This Row],[Team]],Dyno_Data[Match],TBA_Matches_All[[#This Row],[Match_Number]],Dyno_Data[RecordType],"EndMatch")</f>
        <v>46.258275099999999</v>
      </c>
      <c r="BZ66">
        <f>SUMIFS(Dyno_Data[NZTime], Dyno_Data[Team],TBA_Matches_All[[#This Row],[Team]],Dyno_Data[Match],TBA_Matches_All[[#This Row],[Match_Number]],Dyno_Data[RecordType],"EndMatch")</f>
        <v>20.933791299999999</v>
      </c>
      <c r="CA66">
        <f>SUMIFS(Dyno_Data[AZTime], Dyno_Data[Team],TBA_Matches_All[[#This Row],[Team]],Dyno_Data[Match],TBA_Matches_All[[#This Row],[Match_Number]],Dyno_Data[RecordType],"EndMatch")</f>
        <v>68.520442399999993</v>
      </c>
      <c r="CB66">
        <f>SUMIFS(Dyno_Data[ClimbT], Dyno_Data[Team],TBA_Matches_All[[#This Row],[Team]],Dyno_Data[Match],TBA_Matches_All[[#This Row],[Match_Number]],Dyno_Data[RecordType],"EndMatch")</f>
        <v>0</v>
      </c>
      <c r="CC66" t="str">
        <f>_xlfn.XLOOKUP(SUM(MID(TBA_Matches_All[[#This Row],[Team]],4,5),(TBA_Matches_All[[#This Row],[Match_Number]]/100)),Dyno_EndMatch[teammat],Dyno_EndMatch[StageStat],"_",0,1)</f>
        <v>Park</v>
      </c>
      <c r="CD66" t="str">
        <f>_xlfn.XLOOKUP(TBA_Matches_All[[#This Row],[teammat]],Dyno_EndMatch[teammat],Dyno_EndMatch[StageAtt],"_",0,1)</f>
        <v>0</v>
      </c>
      <c r="CE66" t="str">
        <f>_xlfn.XLOOKUP(TBA_Matches_All[[#This Row],[teammat]],Dyno_EndMatch[teammat],Dyno_EndMatch[StageLoc],"_",0,1)</f>
        <v>A</v>
      </c>
      <c r="CF66">
        <f>SUMIFS(Dyno_Data[Harmony], Dyno_Data[Team],TBA_Matches_All[[#This Row],[Team]],Dyno_Data[Match],TBA_Matches_All[[#This Row],[Match_Number]],Dyno_Data[RecordType],"EndMatch", Dyno_Data[StageStat],"On",Dyno_Data[Harmony],"&lt;&gt;9")</f>
        <v>0</v>
      </c>
      <c r="CG66">
        <f>SUMIFS(Dyno_Data[Spotlit], Dyno_Data[Team],TBA_Matches_All[[#This Row],[Team]],Dyno_Data[Match],TBA_Matches_All[[#This Row],[Match_Number]],Dyno_Data[RecordType],"EndMatch", Dyno_Data[StageStat],"On",Dyno_Data[Spotlit],"&lt;&gt;9")</f>
        <v>0</v>
      </c>
      <c r="CH66" t="str">
        <f>_xlfn.XLOOKUP(TBA_Matches_All[[#This Row],[teammat]],Dyno_EndMatch[teammat],Dyno_EndMatch[Strategy],"_",0,1)</f>
        <v>Shooter</v>
      </c>
      <c r="CI66">
        <f>SUMIFS(Dyno_Data[Defense], Dyno_Data[Team],TBA_Matches_All[[#This Row],[Team]],Dyno_Data[Match],TBA_Matches_All[[#This Row],[Match_Number]],Dyno_Data[RecordType],"EndMatch",Dyno_Data[Defense],"&lt;&gt;9")</f>
        <v>0</v>
      </c>
      <c r="CJ66">
        <f>SUMIFS(Dyno_Data[Avoidance], Dyno_Data[Team],TBA_Matches_All[[#This Row],[Team]],Dyno_Data[Match],TBA_Matches_All[[#This Row],[Match_Number]],Dyno_Data[RecordType],"EndMatch",Dyno_Data[Avoidance],"&lt;&gt;9")</f>
        <v>0</v>
      </c>
      <c r="CK66" s="82">
        <f>COUNTIF($H$2:TBA_Matches_All[[#This Row],[Team]],TBA_Matches_All[[#This Row],[Team]])</f>
        <v>2</v>
      </c>
      <c r="CL66" s="111">
        <f>SUM(MID(TBA_Matches_All[[#This Row],[Team]],4,5)+TBA_Matches_All[[#This Row],[Match_Number]]/100)</f>
        <v>6969.11</v>
      </c>
      <c r="CM66">
        <f>SUM((TBA_Matches_All[[#This Row],[Leave]]*2)+(TBA_Matches_All[[#This Row],[AampT]]*2)+(TBA_Matches_All[[#This Row],[AspkrT]]*5)+(TBA_Matches_All[[#This Row],[AtrapT]]*5))</f>
        <v>0</v>
      </c>
      <c r="CN66" s="59">
        <f>IFERROR(SUM(TBA_Matches_All[[#This Row],[AptsT]]/TBA_Matches_All[[#This Row],[AutoPts]]),0)</f>
        <v>0</v>
      </c>
      <c r="CO66" s="59">
        <f>IFERROR(SUM(TBA_Matches_All[[#This Row],[AampT]]+TBA_Matches_All[[#This Row],[AspkrT]]+TBA_Matches_All[[#This Row],[AtrapT]]/TBA_Matches_All[[#This Row],[Aamp]]+TBA_Matches_All[[#This Row],[Aspkr]]+TBA_Matches_All[[#This Row],[AtrapT]]),0)</f>
        <v>0</v>
      </c>
      <c r="CP66" s="59">
        <f>IFERROR(SUM(TBA_Matches_All[[#This Row],[TampT]]/TBA_Matches_All[[#This Row],[Tamp]]),0)</f>
        <v>0</v>
      </c>
      <c r="CQ66" s="59">
        <f>IFERROR(SUM(TBA_Matches_All[[#This Row],[TspkrT]]/TBA_Matches_All[[#This Row],[Tspkr]]),0)</f>
        <v>0.2</v>
      </c>
      <c r="CR66">
        <f>SUM(TBA_Matches_All[[#This Row],[TspkrPts]]*TBA_Matches_All[[#This Row],[TspkrP]])</f>
        <v>4</v>
      </c>
      <c r="CS66" s="59">
        <f>IFERROR(SUM(TBA_Matches_All[[#This Row],[TtrapT]]/TBA_Matches_All[[#This Row],[Trap]]),0)</f>
        <v>0</v>
      </c>
      <c r="CT66" s="59">
        <f>IFERROR(SUM(TBA_Matches_All[[#This Row],[TotNotesT]]/TBA_Matches_All[[#This Row],[TotNotes]]),0)</f>
        <v>0.14285714285714285</v>
      </c>
      <c r="CU66" s="66">
        <f>SUM((TBA_Matches_All[[#This Row],[AampT]]*2)+(TBA_Matches_All[[#This Row],[AspkrT]]*5)+(TBA_Matches_All[[#This Row],[AtrapT]]*5)+(TBA_Matches_All[[#This Row],[TampT]]*1)+(TBA_Matches_All[[#This Row],[TspkrptsC]]))</f>
        <v>4</v>
      </c>
      <c r="CV66" s="59">
        <f>IFERROR(TBA_Matches_All[[#This Row],[noteptsT]]/TBA_Matches_All[[#This Row],[NotePts]],0)</f>
        <v>0.1111111111111111</v>
      </c>
      <c r="CW66">
        <f>SUM(IF(TBA_Matches_All[[#This Row],[stageStat]]="On",3,0),IF(TBA_Matches_All[[#This Row],[stageStat]]="Park",1,0),SUMIFS(TBA_Matches_All[[#This Row],[Spotlit]],TBA_Matches_All[[#This Row],[stageStat]],"On"),SUMIFS(TBA_Matches_All[[#This Row],[Harmony]],TBA_Matches_All[[#This Row],[stageStat]],"On"))</f>
        <v>1</v>
      </c>
      <c r="CX66" s="59">
        <f>IFERROR(TBA_Matches_All[[#This Row],[stageptsT]]/TBA_Matches_All[[#This Row],[StagePts]],0)</f>
        <v>0.5</v>
      </c>
      <c r="CY66">
        <f>SUM((TBA_Matches_All[[#This Row],[AptsT]]+TBA_Matches_All[[#This Row],[TampT]]+TBA_Matches_All[[#This Row],[TspkrptsC]]+(TBA_Matches_All[[#This Row],[TtrapT]]*5)+TBA_Matches_All[[#This Row],[stageptsT]]))</f>
        <v>5</v>
      </c>
      <c r="CZ66" s="59">
        <f>IFERROR(SUM(TBA_Matches_All[[#This Row],[TotptsC]]/TBA_Matches_All[[#This Row],[Score]]),0)</f>
        <v>0.1111111111111111</v>
      </c>
      <c r="DA6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0.33333333333333331</v>
      </c>
      <c r="DB66" s="74">
        <f>SUMIFS(TBA_Matches_All[AveTeamTNoteDels],TBA_Matches_All[Match_Number],TBA_Matches_All[[#This Row],[Match_Number]],TBA_Matches_All[Alliance],"&lt;&gt;"&amp;TBA_Matches_All[[#This Row],[Alliance]],TBA_Matches_All[Scouted],"&gt;0")</f>
        <v>19.351731601731601</v>
      </c>
      <c r="DC66" s="74">
        <f>(TBA_Matches_All[[#This Row],[TampT]]+TBA_Matches_All[[#This Row],[TspkrptsC]])-TBA_Matches_All[[#This Row],[AveTeamTNoteDels]]</f>
        <v>3.6666666666666665</v>
      </c>
      <c r="DD66" s="74">
        <f>SUMIFS(TBA_Matches_All[AveTeamTNoteDels],TBA_Matches_All[Match_Number],TBA_Matches_All[[#This Row],[Match_Number]],TBA_Matches_All[Alliance],"&lt;&gt;"&amp;TBA_Matches_All[[#This Row],[Alliance]])-TBA_Matches_All[[#This Row],[AveOppTNoteDels]]</f>
        <v>0</v>
      </c>
    </row>
    <row r="67" spans="1:108" x14ac:dyDescent="0.3">
      <c r="A67" t="s">
        <v>1042</v>
      </c>
      <c r="B67" t="s">
        <v>489</v>
      </c>
      <c r="C67" t="s">
        <v>1320</v>
      </c>
      <c r="D67">
        <v>11</v>
      </c>
      <c r="E67" t="s">
        <v>1420</v>
      </c>
      <c r="F67" t="s">
        <v>1423</v>
      </c>
      <c r="G67" t="s">
        <v>1409</v>
      </c>
      <c r="H67" t="s">
        <v>1284</v>
      </c>
      <c r="I67" t="b">
        <v>1</v>
      </c>
      <c r="J67">
        <v>65</v>
      </c>
      <c r="K67">
        <v>1</v>
      </c>
      <c r="L67">
        <v>0</v>
      </c>
      <c r="M67">
        <v>5</v>
      </c>
      <c r="N67">
        <v>0</v>
      </c>
      <c r="O67">
        <v>3</v>
      </c>
      <c r="P67">
        <v>15</v>
      </c>
      <c r="Q67">
        <v>19</v>
      </c>
      <c r="R67">
        <v>3</v>
      </c>
      <c r="S67">
        <v>3</v>
      </c>
      <c r="T67">
        <v>11</v>
      </c>
      <c r="U67">
        <v>15</v>
      </c>
      <c r="V67">
        <v>22</v>
      </c>
      <c r="W67">
        <v>14</v>
      </c>
      <c r="X67">
        <v>37</v>
      </c>
      <c r="Y67">
        <v>40</v>
      </c>
      <c r="Z67">
        <v>0</v>
      </c>
      <c r="AA67">
        <v>0</v>
      </c>
      <c r="AB67">
        <v>20</v>
      </c>
      <c r="AC67">
        <v>55</v>
      </c>
      <c r="AD67">
        <v>1</v>
      </c>
      <c r="AE67">
        <f>IFERROR(6/(COUNTIF(Dyno_EndMatch[Match],TBA_Matches_All[[#This Row],[Match_Number]])),0)</f>
        <v>1</v>
      </c>
      <c r="AF67">
        <f>COUNTIFS(Dyno_Data[Team],TBA_Matches_All[[#This Row],[Team]],Dyno_Data[Match],TBA_Matches_All[[#This Row],[Match_Number]],Dyno_Data[RecordType],"EndMatch",Dyno_Data[HPAmp],"Y")</f>
        <v>0</v>
      </c>
      <c r="AG67">
        <f>SUMIFS(Dyno_Data[Mics], Dyno_Data[Team],TBA_Matches_All[[#This Row],[Team]],Dyno_Data[Match],TBA_Matches_All[[#This Row],[Match_Number]],Dyno_Data[RecordType],"EndMatch",Dyno_Data[HPAmp],"Y")</f>
        <v>0</v>
      </c>
      <c r="AH67">
        <f>SUMIFS(Dyno_Data[Leave], Dyno_Data[Team],TBA_Matches_All[[#This Row],[Team]],Dyno_Data[Match],TBA_Matches_All[[#This Row],[Match_Number]],Dyno_Data[RecordType],"EndAuto")</f>
        <v>1</v>
      </c>
      <c r="AI67">
        <f>COUNTIFS(Dyno_Data[Team],TBA_Matches_All[[#This Row],[Team]],Dyno_Data[Match],TBA_Matches_All[[#This Row],[Match_Number]],Dyno_Data[RecordType],"Activities",Dyno_Data[DelDest],"Amp", Dyno_Data[DelMiss],"0", Dyno_Data[Mode],"Auto")</f>
        <v>0</v>
      </c>
      <c r="AJ67">
        <f>COUNTIFS(Dyno_Data[Team],TBA_Matches_All[[#This Row],[Team]],Dyno_Data[Match],TBA_Matches_All[[#This Row],[Match_Number]],Dyno_Data[RecordType],"Activities",Dyno_Data[DelDest],"Spkr", Dyno_Data[DelMiss],"0", Dyno_Data[Mode],"Auto")</f>
        <v>1</v>
      </c>
      <c r="AK67">
        <f>COUNTIFS(Dyno_Data[Team],TBA_Matches_All[[#This Row],[Team]],Dyno_Data[Match],TBA_Matches_All[[#This Row],[Match_Number]],Dyno_Data[RecordType],"Activities",Dyno_Data[DelDest],"Trap", Dyno_Data[DelMiss],"0", Dyno_Data[Mode],"Auto")</f>
        <v>0</v>
      </c>
      <c r="AL67">
        <f>COUNTIFS(Dyno_Data[Team],TBA_Matches_All[[#This Row],[Team]],Dyno_Data[Match],TBA_Matches_All[[#This Row],[Match_Number]],Dyno_Data[RecordType],"Activities",Dyno_Data[DelDest],"Amp", Dyno_Data[DelMiss],"0", Dyno_Data[Mode],"Teleop")</f>
        <v>0</v>
      </c>
      <c r="AM67">
        <f>COUNTIFS(Dyno_Data[Team],TBA_Matches_All[[#This Row],[Team]],Dyno_Data[Match],TBA_Matches_All[[#This Row],[Match_Number]],Dyno_Data[RecordType],"Activities",Dyno_Data[DelDest],"Spkr", Dyno_Data[DelMiss],"0", Dyno_Data[Mode],"Teleop")</f>
        <v>4</v>
      </c>
      <c r="AN67">
        <f>COUNTIFS(Dyno_Data[Team],TBA_Matches_All[[#This Row],[Team]],Dyno_Data[Match],TBA_Matches_All[[#This Row],[Match_Number]],Dyno_Data[RecordType],"Activities",Dyno_Data[DelDest],"Trap", Dyno_Data[DelMiss],"0", Dyno_Data[Mode],"&lt;&gt;Auto")</f>
        <v>0</v>
      </c>
      <c r="AO67">
        <f>SUM(TBA_Matches_All[[#This Row],[AampT]]+TBA_Matches_All[[#This Row],[AspkrT]]+TBA_Matches_All[[#This Row],[AtrapT]]+TBA_Matches_All[[#This Row],[TampT]]+TBA_Matches_All[[#This Row],[TspkrT]]+TBA_Matches_All[[#This Row],[TtrapT]])</f>
        <v>5</v>
      </c>
      <c r="AP67">
        <f>COUNTIFS(Dyno_Data[Team],TBA_Matches_All[[#This Row],[Team]],Dyno_Data[Match],TBA_Matches_All[[#This Row],[Match_Number]],Dyno_Data[RecordType],"Activities",Dyno_Data[DelDest],"Neut", Dyno_Data[DelMiss],"0")</f>
        <v>0</v>
      </c>
      <c r="AQ67">
        <f>COUNTIFS(Dyno_Data[Team],TBA_Matches_All[[#This Row],[Team]],Dyno_Data[Match],TBA_Matches_All[[#This Row],[Match_Number]],Dyno_Data[RecordType],"Activities",Dyno_Data[DelDest],"AllyW", Dyno_Data[DelMiss],"0")</f>
        <v>2</v>
      </c>
      <c r="AR67" t="str">
        <f>_xlfn.XLOOKUP(SUM(MID(TBA_Matches_All[[#This Row],[Team]],4,5),(TBA_Matches_All[[#This Row],[Match_Number]]/100)),Dyno_EndMatch[teammat],Dyno_EndMatch[RobotSta],"_",0,1)</f>
        <v>Podm</v>
      </c>
      <c r="AS67">
        <f>SUMIFS(Dyno_Data[AcqDis], Dyno_Data[Team],TBA_Matches_All[[#This Row],[Team]],Dyno_Data[Match],TBA_Matches_All[[#This Row],[Match_Number]],Dyno_Data[RecordType],"Activities", Dyno_Data[AcqCenter],1,Dyno_Data[Mode],"Auto")</f>
        <v>0</v>
      </c>
      <c r="AT67">
        <f>SUMIFS(Dyno_Data[AcqDis], Dyno_Data[Team],TBA_Matches_All[[#This Row],[Team]],Dyno_Data[Match],TBA_Matches_All[[#This Row],[Match_Number]],Dyno_Data[RecordType],"Activities", Dyno_Data[AcqCenter],2,Dyno_Data[Mode],"Auto")</f>
        <v>0</v>
      </c>
      <c r="AU67">
        <f>SUMIFS(Dyno_Data[AcqDis], Dyno_Data[Team],TBA_Matches_All[[#This Row],[Team]],Dyno_Data[Match],TBA_Matches_All[[#This Row],[Match_Number]],Dyno_Data[RecordType],"Activities", Dyno_Data[AcqCenter],3,Dyno_Data[Mode],"Auto")</f>
        <v>0</v>
      </c>
      <c r="AV67">
        <f>SUMIFS(Dyno_Data[AcqDis], Dyno_Data[Team],TBA_Matches_All[[#This Row],[Team]],Dyno_Data[Match],TBA_Matches_All[[#This Row],[Match_Number]],Dyno_Data[RecordType],"Activities", Dyno_Data[AcqCenter],4,Dyno_Data[Mode],"Auto")</f>
        <v>0</v>
      </c>
      <c r="AW67">
        <f>SUMIFS(Dyno_Data[AcqDis], Dyno_Data[Team],TBA_Matches_All[[#This Row],[Team]],Dyno_Data[Match],TBA_Matches_All[[#This Row],[Match_Number]],Dyno_Data[RecordType],"Activities", Dyno_Data[AcqCenter],5,Dyno_Data[Mode],"Auto")</f>
        <v>0</v>
      </c>
      <c r="AX67">
        <f>SUMIFS(Dyno_Data[DelMiss], Dyno_Data[Team],TBA_Matches_All[[#This Row],[Team]],Dyno_Data[Match],TBA_Matches_All[[#This Row],[Match_Number]],Dyno_Data[RecordType],"Activities", Dyno_Data[DelDest],"Amp")</f>
        <v>0</v>
      </c>
      <c r="AY67" s="60">
        <f>IFERROR(SUM((TBA_Matches_All[[#This Row],[AampT]]+TBA_Matches_All[[#This Row],[TampT]])/(TBA_Matches_All[[#This Row],[AampT]]+TBA_Matches_All[[#This Row],[TampT]]+TBA_Matches_All[[#This Row],[ampM]])),0)</f>
        <v>0</v>
      </c>
      <c r="AZ67">
        <f>SUMIFS(Dyno_Data[DelMiss], Dyno_Data[Team],TBA_Matches_All[[#This Row],[Team]],Dyno_Data[Match],TBA_Matches_All[[#This Row],[Match_Number]],Dyno_Data[RecordType],"Activities", Dyno_Data[DelDest],"Spkr")</f>
        <v>1</v>
      </c>
      <c r="BA67" s="60">
        <f>IFERROR(SUM((TBA_Matches_All[[#This Row],[AspkrT]]+TBA_Matches_All[[#This Row],[TspkrT]])/(TBA_Matches_All[[#This Row],[AspkrT]]+TBA_Matches_All[[#This Row],[TspkrT]]+TBA_Matches_All[[#This Row],[spkrM]])),0)</f>
        <v>0.83333333333333337</v>
      </c>
      <c r="BB67">
        <f>SUMIFS(Dyno_Data[DelMiss], Dyno_Data[Team],TBA_Matches_All[[#This Row],[Team]],Dyno_Data[Match],TBA_Matches_All[[#This Row],[Match_Number]],Dyno_Data[RecordType],"Activities", Dyno_Data[DelDest],"Trap")</f>
        <v>0</v>
      </c>
      <c r="BC67" s="60">
        <f>IFERROR((TBA_Matches_All[[#This Row],[AtrapT]]+TBA_Matches_All[[#This Row],[TtrapT]])/(TBA_Matches_All[[#This Row],[AtrapT]]+TBA_Matches_All[[#This Row],[TtrapT]]+TBA_Matches_All[[#This Row],[trapM]]),0)</f>
        <v>0</v>
      </c>
      <c r="BD67">
        <f>COUNTIFS(Dyno_Data[Team],TBA_Matches_All[[#This Row],[Team]],Dyno_Data[Match],TBA_Matches_All[[#This Row],[Match_Number]],Dyno_Data[RecordType],"Activities",Dyno_Data[DelDest],"Neut", Dyno_Data[DelMiss],1)</f>
        <v>0</v>
      </c>
      <c r="BE67" s="60">
        <f>IFERROR(SUM((TBA_Matches_All[[#This Row],[NeutFlrT]])/(TBA_Matches_All[[#This Row],[NeutFlrT]]+TBA_Matches_All[[#This Row],[NZflM]])),0)</f>
        <v>0</v>
      </c>
      <c r="BF67">
        <f>COUNTIFS(Dyno_Data[Team],TBA_Matches_All[[#This Row],[Team]],Dyno_Data[Match],TBA_Matches_All[[#This Row],[Match_Number]],Dyno_Data[RecordType],"Activities",Dyno_Data[DelDest],"AllyW", Dyno_Data[DelMiss],1)</f>
        <v>0</v>
      </c>
      <c r="BG67" s="60">
        <f>IFERROR(SUM((TBA_Matches_All[[#This Row],[AllyWFlrT]])/(TBA_Matches_All[[#This Row],[AllyWFlrT]]+TBA_Matches_All[[#This Row],[AZflM]])),0)</f>
        <v>1</v>
      </c>
      <c r="BH67">
        <f>COUNTIFS(Dyno_Data[Team],TBA_Matches_All[[#This Row],[Team]],Dyno_Data[Match],TBA_Matches_All[[#This Row],[Match_Number]],Dyno_Data[RecordType],"Activities",Dyno_Data[DelOrig],"OppW", Dyno_Data[DelMiss],"0")</f>
        <v>0</v>
      </c>
      <c r="BI67">
        <f>COUNTIFS(Dyno_Data[Team],TBA_Matches_All[[#This Row],[Team]],Dyno_Data[Match],TBA_Matches_All[[#This Row],[Match_Number]],Dyno_Data[RecordType],"Activities",Dyno_Data[DelOrig],"OppW", Dyno_Data[DelMiss],"1")</f>
        <v>0</v>
      </c>
      <c r="BJ67" s="60">
        <f>IFERROR(SUM((TBA_Matches_All[[#This Row],[OZflrT]])/(TBA_Matches_All[[#This Row],[OZflrT]]+TBA_Matches_All[[#This Row],[OZflrM]])),0)</f>
        <v>0</v>
      </c>
      <c r="BK67">
        <f>COUNTIFS(Dyno_Data[Team],TBA_Matches_All[[#This Row],[Team]],Dyno_Data[Match],TBA_Matches_All[[#This Row],[Match_Number]],Dyno_Data[RecordType],"Activities",Dyno_Data[DelOrig],"Neut", Dyno_Data[DelMiss],"0")</f>
        <v>0</v>
      </c>
      <c r="BL67">
        <f>COUNTIFS(Dyno_Data[Team],TBA_Matches_All[[#This Row],[Team]],Dyno_Data[Match],TBA_Matches_All[[#This Row],[Match_Number]],Dyno_Data[RecordType],"Activities",Dyno_Data[DelOrig],"Neut", Dyno_Data[DelMiss],"1")</f>
        <v>0</v>
      </c>
      <c r="BM67" s="60">
        <f>IFERROR(SUM((TBA_Matches_All[[#This Row],[NZflrT]])/(TBA_Matches_All[[#This Row],[NZflrT]]+TBA_Matches_All[[#This Row],[NZflrM]])),0)</f>
        <v>0</v>
      </c>
      <c r="BN67">
        <f>COUNTIFS(Dyno_Data[Team],TBA_Matches_All[[#This Row],[Team]],Dyno_Data[Match],TBA_Matches_All[[#This Row],[Match_Number]],Dyno_Data[RecordType],"Activities",Dyno_Data[DelOrig],"AllyW", Dyno_Data[DelMiss],"0")</f>
        <v>4</v>
      </c>
      <c r="BO67">
        <f>COUNTIFS(Dyno_Data[Team],TBA_Matches_All[[#This Row],[Team]],Dyno_Data[Match],TBA_Matches_All[[#This Row],[Match_Number]],Dyno_Data[RecordType],"Activities",Dyno_Data[DelOrig],"AllyW", Dyno_Data[DelMiss],"1")</f>
        <v>1</v>
      </c>
      <c r="BP67" s="60">
        <f>IFERROR(SUM((TBA_Matches_All[[#This Row],[AZflrT]])/(TBA_Matches_All[[#This Row],[AZflrT]]+TBA_Matches_All[[#This Row],[AZflrM]])),0)</f>
        <v>0.8</v>
      </c>
      <c r="BQ67">
        <f>COUNTIFS(Dyno_Data[Team],TBA_Matches_All[[#This Row],[Team]],Dyno_Data[Match],TBA_Matches_All[[#This Row],[Match_Number]],Dyno_Data[RecordType],"Activities",Dyno_Data[DelOrig],"SubW", Dyno_Data[DelMiss],"0")</f>
        <v>3</v>
      </c>
      <c r="BR67">
        <f>COUNTIFS(Dyno_Data[Team],TBA_Matches_All[[#This Row],[Team]],Dyno_Data[Match],TBA_Matches_All[[#This Row],[Match_Number]],Dyno_Data[RecordType],"Activities",Dyno_Data[DelOrig],"SubW", Dyno_Data[DelMiss],"1")</f>
        <v>0</v>
      </c>
      <c r="BS67" s="60">
        <f>IFERROR(SUM((TBA_Matches_All[[#This Row],[SubwT]])/(TBA_Matches_All[[#This Row],[SubwT]]+TBA_Matches_All[[#This Row],[SubwM]])),0)</f>
        <v>1</v>
      </c>
      <c r="BT67">
        <f>COUNTIFS(Dyno_Data[Team],TBA_Matches_All[[#This Row],[Team]],Dyno_Data[Match],TBA_Matches_All[[#This Row],[Match_Number]],Dyno_Data[RecordType],"Activities", Dyno_Data[AcqLoc],"OppWing")</f>
        <v>0</v>
      </c>
      <c r="BU67">
        <f>COUNTIFS(Dyno_Data[Team],TBA_Matches_All[[#This Row],[Team]],Dyno_Data[Match],TBA_Matches_All[[#This Row],[Match_Number]],Dyno_Data[RecordType],"Activities", Dyno_Data[AcqLoc],"Neutral")</f>
        <v>0</v>
      </c>
      <c r="BV67">
        <f>COUNTIFS(Dyno_Data[Team],TBA_Matches_All[[#This Row],[Team]],Dyno_Data[Match],TBA_Matches_All[[#This Row],[Match_Number]],Dyno_Data[RecordType],"Activities", Dyno_Data[AcqLoc],"AllyWing")</f>
        <v>0</v>
      </c>
      <c r="BW67">
        <f>COUNTIFS(Dyno_Data[Team],TBA_Matches_All[[#This Row],[Team]],Dyno_Data[Match],TBA_Matches_All[[#This Row],[Match_Number]],Dyno_Data[RecordType],"Activities", Dyno_Data[AcqLoc],"Source")</f>
        <v>0</v>
      </c>
      <c r="BX67">
        <f>SUMIFS(Dyno_Data[AcqDrp], Dyno_Data[Team],TBA_Matches_All[[#This Row],[Team]],Dyno_Data[Match],TBA_Matches_All[[#This Row],[Match_Number]],Dyno_Data[RecordType],"Activities", Dyno_Data[AcqLoc],"Source")</f>
        <v>0</v>
      </c>
      <c r="BY67">
        <f>SUMIFS(Dyno_Data[OZTime], Dyno_Data[Team],TBA_Matches_All[[#This Row],[Team]],Dyno_Data[Match],TBA_Matches_All[[#This Row],[Match_Number]],Dyno_Data[RecordType],"EndMatch")</f>
        <v>36.135688099999996</v>
      </c>
      <c r="BZ67">
        <f>SUMIFS(Dyno_Data[NZTime], Dyno_Data[Team],TBA_Matches_All[[#This Row],[Team]],Dyno_Data[Match],TBA_Matches_All[[#This Row],[Match_Number]],Dyno_Data[RecordType],"EndMatch")</f>
        <v>26.909991899999998</v>
      </c>
      <c r="CA67">
        <f>SUMIFS(Dyno_Data[AZTime], Dyno_Data[Team],TBA_Matches_All[[#This Row],[Team]],Dyno_Data[Match],TBA_Matches_All[[#This Row],[Match_Number]],Dyno_Data[RecordType],"EndMatch")</f>
        <v>71.855783099999996</v>
      </c>
      <c r="CB67">
        <f>SUMIFS(Dyno_Data[ClimbT], Dyno_Data[Team],TBA_Matches_All[[#This Row],[Team]],Dyno_Data[Match],TBA_Matches_All[[#This Row],[Match_Number]],Dyno_Data[RecordType],"EndMatch")</f>
        <v>0</v>
      </c>
      <c r="CC67" t="str">
        <f>_xlfn.XLOOKUP(SUM(MID(TBA_Matches_All[[#This Row],[Team]],4,5),(TBA_Matches_All[[#This Row],[Match_Number]]/100)),Dyno_EndMatch[teammat],Dyno_EndMatch[StageStat],"_",0,1)</f>
        <v>Else</v>
      </c>
      <c r="CD67" t="str">
        <f>_xlfn.XLOOKUP(TBA_Matches_All[[#This Row],[teammat]],Dyno_EndMatch[teammat],Dyno_EndMatch[StageAtt],"_",0,1)</f>
        <v>0</v>
      </c>
      <c r="CE67" t="str">
        <f>_xlfn.XLOOKUP(TBA_Matches_All[[#This Row],[teammat]],Dyno_EndMatch[teammat],Dyno_EndMatch[StageLoc],"_",0,1)</f>
        <v>A</v>
      </c>
      <c r="CF67">
        <f>SUMIFS(Dyno_Data[Harmony], Dyno_Data[Team],TBA_Matches_All[[#This Row],[Team]],Dyno_Data[Match],TBA_Matches_All[[#This Row],[Match_Number]],Dyno_Data[RecordType],"EndMatch", Dyno_Data[StageStat],"On",Dyno_Data[Harmony],"&lt;&gt;9")</f>
        <v>0</v>
      </c>
      <c r="CG67">
        <f>SUMIFS(Dyno_Data[Spotlit], Dyno_Data[Team],TBA_Matches_All[[#This Row],[Team]],Dyno_Data[Match],TBA_Matches_All[[#This Row],[Match_Number]],Dyno_Data[RecordType],"EndMatch", Dyno_Data[StageStat],"On",Dyno_Data[Spotlit],"&lt;&gt;9")</f>
        <v>0</v>
      </c>
      <c r="CH67" t="str">
        <f>_xlfn.XLOOKUP(TBA_Matches_All[[#This Row],[teammat]],Dyno_EndMatch[teammat],Dyno_EndMatch[Strategy],"_",0,1)</f>
        <v>Hybrid</v>
      </c>
      <c r="CI67">
        <f>SUMIFS(Dyno_Data[Defense], Dyno_Data[Team],TBA_Matches_All[[#This Row],[Team]],Dyno_Data[Match],TBA_Matches_All[[#This Row],[Match_Number]],Dyno_Data[RecordType],"EndMatch",Dyno_Data[Defense],"&lt;&gt;9")</f>
        <v>0</v>
      </c>
      <c r="CJ67">
        <f>SUMIFS(Dyno_Data[Avoidance], Dyno_Data[Team],TBA_Matches_All[[#This Row],[Team]],Dyno_Data[Match],TBA_Matches_All[[#This Row],[Match_Number]],Dyno_Data[RecordType],"EndMatch",Dyno_Data[Avoidance],"&lt;&gt;9")</f>
        <v>1</v>
      </c>
      <c r="CK67" s="82">
        <f>COUNTIF($H$2:TBA_Matches_All[[#This Row],[Team]],TBA_Matches_All[[#This Row],[Team]])</f>
        <v>2</v>
      </c>
      <c r="CL67" s="111">
        <f>SUM(MID(TBA_Matches_All[[#This Row],[Team]],4,5)+TBA_Matches_All[[#This Row],[Match_Number]]/100)</f>
        <v>5590.11</v>
      </c>
      <c r="CM67">
        <f>SUM((TBA_Matches_All[[#This Row],[Leave]]*2)+(TBA_Matches_All[[#This Row],[AampT]]*2)+(TBA_Matches_All[[#This Row],[AspkrT]]*5)+(TBA_Matches_All[[#This Row],[AtrapT]]*5))</f>
        <v>7</v>
      </c>
      <c r="CN67" s="59">
        <f>IFERROR(SUM(TBA_Matches_All[[#This Row],[AptsT]]/TBA_Matches_All[[#This Row],[AutoPts]]),0)</f>
        <v>0.36842105263157893</v>
      </c>
      <c r="CO67" s="59">
        <f>IFERROR(SUM(TBA_Matches_All[[#This Row],[AampT]]+TBA_Matches_All[[#This Row],[AspkrT]]+TBA_Matches_All[[#This Row],[AtrapT]]/TBA_Matches_All[[#This Row],[Aamp]]+TBA_Matches_All[[#This Row],[Aspkr]]+TBA_Matches_All[[#This Row],[AtrapT]]),0)</f>
        <v>0</v>
      </c>
      <c r="CP67" s="59">
        <f>IFERROR(SUM(TBA_Matches_All[[#This Row],[TampT]]/TBA_Matches_All[[#This Row],[Tamp]]),0)</f>
        <v>0</v>
      </c>
      <c r="CQ67" s="59">
        <f>IFERROR(SUM(TBA_Matches_All[[#This Row],[TspkrT]]/TBA_Matches_All[[#This Row],[Tspkr]]),0)</f>
        <v>0.2857142857142857</v>
      </c>
      <c r="CR67">
        <f>SUM(TBA_Matches_All[[#This Row],[TspkrPts]]*TBA_Matches_All[[#This Row],[TspkrP]])</f>
        <v>10.571428571428571</v>
      </c>
      <c r="CS67" s="59">
        <f>IFERROR(SUM(TBA_Matches_All[[#This Row],[TtrapT]]/TBA_Matches_All[[#This Row],[Trap]]),0)</f>
        <v>0</v>
      </c>
      <c r="CT67" s="59">
        <f>IFERROR(SUM(TBA_Matches_All[[#This Row],[TotNotesT]]/TBA_Matches_All[[#This Row],[TotNotes]]),0)</f>
        <v>0.25</v>
      </c>
      <c r="CU67" s="66">
        <f>SUM((TBA_Matches_All[[#This Row],[AampT]]*2)+(TBA_Matches_All[[#This Row],[AspkrT]]*5)+(TBA_Matches_All[[#This Row],[AtrapT]]*5)+(TBA_Matches_All[[#This Row],[TampT]]*1)+(TBA_Matches_All[[#This Row],[TspkrptsC]]))</f>
        <v>15.571428571428571</v>
      </c>
      <c r="CV67" s="59">
        <f>IFERROR(TBA_Matches_All[[#This Row],[noteptsT]]/TBA_Matches_All[[#This Row],[NotePts]],0)</f>
        <v>0.2831168831168831</v>
      </c>
      <c r="CW67">
        <f>SUM(IF(TBA_Matches_All[[#This Row],[stageStat]]="On",3,0),IF(TBA_Matches_All[[#This Row],[stageStat]]="Park",1,0),SUMIFS(TBA_Matches_All[[#This Row],[Spotlit]],TBA_Matches_All[[#This Row],[stageStat]],"On"),SUMIFS(TBA_Matches_All[[#This Row],[Harmony]],TBA_Matches_All[[#This Row],[stageStat]],"On"))</f>
        <v>0</v>
      </c>
      <c r="CX67" s="59">
        <f>IFERROR(TBA_Matches_All[[#This Row],[stageptsT]]/TBA_Matches_All[[#This Row],[StagePts]],0)</f>
        <v>0</v>
      </c>
      <c r="CY67">
        <f>SUM((TBA_Matches_All[[#This Row],[AptsT]]+TBA_Matches_All[[#This Row],[TampT]]+TBA_Matches_All[[#This Row],[TspkrptsC]]+(TBA_Matches_All[[#This Row],[TtrapT]]*5)+TBA_Matches_All[[#This Row],[stageptsT]]))</f>
        <v>17.571428571428569</v>
      </c>
      <c r="CZ67" s="59">
        <f>IFERROR(SUM(TBA_Matches_All[[#This Row],[TotptsC]]/TBA_Matches_All[[#This Row],[Score]]),0)</f>
        <v>0.27032967032967031</v>
      </c>
      <c r="DA6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5.2</v>
      </c>
      <c r="DB67" s="74">
        <f>SUMIFS(TBA_Matches_All[AveTeamTNoteDels],TBA_Matches_All[Match_Number],TBA_Matches_All[[#This Row],[Match_Number]],TBA_Matches_All[Alliance],"&lt;&gt;"&amp;TBA_Matches_All[[#This Row],[Alliance]],TBA_Matches_All[Scouted],"&gt;0")</f>
        <v>14.96</v>
      </c>
      <c r="DC67" s="74">
        <f>(TBA_Matches_All[[#This Row],[TampT]]+TBA_Matches_All[[#This Row],[TspkrptsC]])-TBA_Matches_All[[#This Row],[AveTeamTNoteDels]]</f>
        <v>5.371428571428571</v>
      </c>
      <c r="DD67" s="74">
        <f>SUMIFS(TBA_Matches_All[AveTeamTNoteDels],TBA_Matches_All[Match_Number],TBA_Matches_All[[#This Row],[Match_Number]],TBA_Matches_All[Alliance],"&lt;&gt;"&amp;TBA_Matches_All[[#This Row],[Alliance]])-TBA_Matches_All[[#This Row],[AveOppTNoteDels]]</f>
        <v>0</v>
      </c>
    </row>
    <row r="68" spans="1:108" x14ac:dyDescent="0.3">
      <c r="A68" t="s">
        <v>1042</v>
      </c>
      <c r="B68" t="s">
        <v>489</v>
      </c>
      <c r="C68" t="s">
        <v>1320</v>
      </c>
      <c r="D68">
        <v>11</v>
      </c>
      <c r="E68" t="s">
        <v>1406</v>
      </c>
      <c r="F68" t="s">
        <v>1424</v>
      </c>
      <c r="G68" t="s">
        <v>1409</v>
      </c>
      <c r="H68" t="s">
        <v>1285</v>
      </c>
      <c r="I68" t="b">
        <v>1</v>
      </c>
      <c r="J68">
        <v>45</v>
      </c>
      <c r="K68">
        <v>0</v>
      </c>
      <c r="L68">
        <v>0</v>
      </c>
      <c r="M68">
        <v>5</v>
      </c>
      <c r="N68">
        <v>0</v>
      </c>
      <c r="O68">
        <v>3</v>
      </c>
      <c r="P68">
        <v>15</v>
      </c>
      <c r="Q68">
        <v>17</v>
      </c>
      <c r="R68">
        <v>1</v>
      </c>
      <c r="S68">
        <v>0</v>
      </c>
      <c r="T68">
        <v>10</v>
      </c>
      <c r="U68">
        <v>0</v>
      </c>
      <c r="V68">
        <v>20</v>
      </c>
      <c r="W68">
        <v>10</v>
      </c>
      <c r="X68">
        <v>20</v>
      </c>
      <c r="Y68">
        <v>21</v>
      </c>
      <c r="Z68">
        <v>0</v>
      </c>
      <c r="AA68">
        <v>0</v>
      </c>
      <c r="AB68">
        <v>14</v>
      </c>
      <c r="AC68">
        <v>36</v>
      </c>
      <c r="AD68">
        <v>2</v>
      </c>
      <c r="AE68">
        <f>IFERROR(6/(COUNTIF(Dyno_EndMatch[Match],TBA_Matches_All[[#This Row],[Match_Number]])),0)</f>
        <v>1</v>
      </c>
      <c r="AF68">
        <f>COUNTIFS(Dyno_Data[Team],TBA_Matches_All[[#This Row],[Team]],Dyno_Data[Match],TBA_Matches_All[[#This Row],[Match_Number]],Dyno_Data[RecordType],"EndMatch",Dyno_Data[HPAmp],"Y")</f>
        <v>1</v>
      </c>
      <c r="AG68">
        <f>SUMIFS(Dyno_Data[Mics], Dyno_Data[Team],TBA_Matches_All[[#This Row],[Team]],Dyno_Data[Match],TBA_Matches_All[[#This Row],[Match_Number]],Dyno_Data[RecordType],"EndMatch",Dyno_Data[HPAmp],"Y")</f>
        <v>0</v>
      </c>
      <c r="AH68">
        <f>SUMIFS(Dyno_Data[Leave], Dyno_Data[Team],TBA_Matches_All[[#This Row],[Team]],Dyno_Data[Match],TBA_Matches_All[[#This Row],[Match_Number]],Dyno_Data[RecordType],"EndAuto")</f>
        <v>0</v>
      </c>
      <c r="AI68">
        <f>COUNTIFS(Dyno_Data[Team],TBA_Matches_All[[#This Row],[Team]],Dyno_Data[Match],TBA_Matches_All[[#This Row],[Match_Number]],Dyno_Data[RecordType],"Activities",Dyno_Data[DelDest],"Amp", Dyno_Data[DelMiss],"0", Dyno_Data[Mode],"Auto")</f>
        <v>0</v>
      </c>
      <c r="AJ68">
        <f>COUNTIFS(Dyno_Data[Team],TBA_Matches_All[[#This Row],[Team]],Dyno_Data[Match],TBA_Matches_All[[#This Row],[Match_Number]],Dyno_Data[RecordType],"Activities",Dyno_Data[DelDest],"Spkr", Dyno_Data[DelMiss],"0", Dyno_Data[Mode],"Auto")</f>
        <v>0</v>
      </c>
      <c r="AK68">
        <f>COUNTIFS(Dyno_Data[Team],TBA_Matches_All[[#This Row],[Team]],Dyno_Data[Match],TBA_Matches_All[[#This Row],[Match_Number]],Dyno_Data[RecordType],"Activities",Dyno_Data[DelDest],"Trap", Dyno_Data[DelMiss],"0", Dyno_Data[Mode],"Auto")</f>
        <v>0</v>
      </c>
      <c r="AL68">
        <f>COUNTIFS(Dyno_Data[Team],TBA_Matches_All[[#This Row],[Team]],Dyno_Data[Match],TBA_Matches_All[[#This Row],[Match_Number]],Dyno_Data[RecordType],"Activities",Dyno_Data[DelDest],"Amp", Dyno_Data[DelMiss],"0", Dyno_Data[Mode],"Teleop")</f>
        <v>0</v>
      </c>
      <c r="AM68">
        <f>COUNTIFS(Dyno_Data[Team],TBA_Matches_All[[#This Row],[Team]],Dyno_Data[Match],TBA_Matches_All[[#This Row],[Match_Number]],Dyno_Data[RecordType],"Activities",Dyno_Data[DelDest],"Spkr", Dyno_Data[DelMiss],"0", Dyno_Data[Mode],"Teleop")</f>
        <v>0</v>
      </c>
      <c r="AN68">
        <f>COUNTIFS(Dyno_Data[Team],TBA_Matches_All[[#This Row],[Team]],Dyno_Data[Match],TBA_Matches_All[[#This Row],[Match_Number]],Dyno_Data[RecordType],"Activities",Dyno_Data[DelDest],"Trap", Dyno_Data[DelMiss],"0", Dyno_Data[Mode],"&lt;&gt;Auto")</f>
        <v>0</v>
      </c>
      <c r="AO68">
        <f>SUM(TBA_Matches_All[[#This Row],[AampT]]+TBA_Matches_All[[#This Row],[AspkrT]]+TBA_Matches_All[[#This Row],[AtrapT]]+TBA_Matches_All[[#This Row],[TampT]]+TBA_Matches_All[[#This Row],[TspkrT]]+TBA_Matches_All[[#This Row],[TtrapT]])</f>
        <v>0</v>
      </c>
      <c r="AP68">
        <f>COUNTIFS(Dyno_Data[Team],TBA_Matches_All[[#This Row],[Team]],Dyno_Data[Match],TBA_Matches_All[[#This Row],[Match_Number]],Dyno_Data[RecordType],"Activities",Dyno_Data[DelDest],"Neut", Dyno_Data[DelMiss],"0")</f>
        <v>0</v>
      </c>
      <c r="AQ68">
        <f>COUNTIFS(Dyno_Data[Team],TBA_Matches_All[[#This Row],[Team]],Dyno_Data[Match],TBA_Matches_All[[#This Row],[Match_Number]],Dyno_Data[RecordType],"Activities",Dyno_Data[DelDest],"AllyW", Dyno_Data[DelMiss],"0")</f>
        <v>0</v>
      </c>
      <c r="AR68" t="str">
        <f>_xlfn.XLOOKUP(SUM(MID(TBA_Matches_All[[#This Row],[Team]],4,5),(TBA_Matches_All[[#This Row],[Match_Number]]/100)),Dyno_EndMatch[teammat],Dyno_EndMatch[RobotSta],"_",0,1)</f>
        <v>Amp</v>
      </c>
      <c r="AS68">
        <f>SUMIFS(Dyno_Data[AcqDis], Dyno_Data[Team],TBA_Matches_All[[#This Row],[Team]],Dyno_Data[Match],TBA_Matches_All[[#This Row],[Match_Number]],Dyno_Data[RecordType],"Activities", Dyno_Data[AcqCenter],1,Dyno_Data[Mode],"Auto")</f>
        <v>0</v>
      </c>
      <c r="AT68">
        <f>SUMIFS(Dyno_Data[AcqDis], Dyno_Data[Team],TBA_Matches_All[[#This Row],[Team]],Dyno_Data[Match],TBA_Matches_All[[#This Row],[Match_Number]],Dyno_Data[RecordType],"Activities", Dyno_Data[AcqCenter],2,Dyno_Data[Mode],"Auto")</f>
        <v>0</v>
      </c>
      <c r="AU68">
        <f>SUMIFS(Dyno_Data[AcqDis], Dyno_Data[Team],TBA_Matches_All[[#This Row],[Team]],Dyno_Data[Match],TBA_Matches_All[[#This Row],[Match_Number]],Dyno_Data[RecordType],"Activities", Dyno_Data[AcqCenter],3,Dyno_Data[Mode],"Auto")</f>
        <v>0</v>
      </c>
      <c r="AV68">
        <f>SUMIFS(Dyno_Data[AcqDis], Dyno_Data[Team],TBA_Matches_All[[#This Row],[Team]],Dyno_Data[Match],TBA_Matches_All[[#This Row],[Match_Number]],Dyno_Data[RecordType],"Activities", Dyno_Data[AcqCenter],4,Dyno_Data[Mode],"Auto")</f>
        <v>0</v>
      </c>
      <c r="AW68">
        <f>SUMIFS(Dyno_Data[AcqDis], Dyno_Data[Team],TBA_Matches_All[[#This Row],[Team]],Dyno_Data[Match],TBA_Matches_All[[#This Row],[Match_Number]],Dyno_Data[RecordType],"Activities", Dyno_Data[AcqCenter],5,Dyno_Data[Mode],"Auto")</f>
        <v>0</v>
      </c>
      <c r="AX68">
        <f>SUMIFS(Dyno_Data[DelMiss], Dyno_Data[Team],TBA_Matches_All[[#This Row],[Team]],Dyno_Data[Match],TBA_Matches_All[[#This Row],[Match_Number]],Dyno_Data[RecordType],"Activities", Dyno_Data[DelDest],"Amp")</f>
        <v>0</v>
      </c>
      <c r="AY68" s="60">
        <f>IFERROR(SUM((TBA_Matches_All[[#This Row],[AampT]]+TBA_Matches_All[[#This Row],[TampT]])/(TBA_Matches_All[[#This Row],[AampT]]+TBA_Matches_All[[#This Row],[TampT]]+TBA_Matches_All[[#This Row],[ampM]])),0)</f>
        <v>0</v>
      </c>
      <c r="AZ68">
        <f>SUMIFS(Dyno_Data[DelMiss], Dyno_Data[Team],TBA_Matches_All[[#This Row],[Team]],Dyno_Data[Match],TBA_Matches_All[[#This Row],[Match_Number]],Dyno_Data[RecordType],"Activities", Dyno_Data[DelDest],"Spkr")</f>
        <v>0</v>
      </c>
      <c r="BA68" s="60">
        <f>IFERROR(SUM((TBA_Matches_All[[#This Row],[AspkrT]]+TBA_Matches_All[[#This Row],[TspkrT]])/(TBA_Matches_All[[#This Row],[AspkrT]]+TBA_Matches_All[[#This Row],[TspkrT]]+TBA_Matches_All[[#This Row],[spkrM]])),0)</f>
        <v>0</v>
      </c>
      <c r="BB68">
        <f>SUMIFS(Dyno_Data[DelMiss], Dyno_Data[Team],TBA_Matches_All[[#This Row],[Team]],Dyno_Data[Match],TBA_Matches_All[[#This Row],[Match_Number]],Dyno_Data[RecordType],"Activities", Dyno_Data[DelDest],"Trap")</f>
        <v>0</v>
      </c>
      <c r="BC68" s="60">
        <f>IFERROR((TBA_Matches_All[[#This Row],[AtrapT]]+TBA_Matches_All[[#This Row],[TtrapT]])/(TBA_Matches_All[[#This Row],[AtrapT]]+TBA_Matches_All[[#This Row],[TtrapT]]+TBA_Matches_All[[#This Row],[trapM]]),0)</f>
        <v>0</v>
      </c>
      <c r="BD68">
        <f>COUNTIFS(Dyno_Data[Team],TBA_Matches_All[[#This Row],[Team]],Dyno_Data[Match],TBA_Matches_All[[#This Row],[Match_Number]],Dyno_Data[RecordType],"Activities",Dyno_Data[DelDest],"Neut", Dyno_Data[DelMiss],1)</f>
        <v>0</v>
      </c>
      <c r="BE68" s="60">
        <f>IFERROR(SUM((TBA_Matches_All[[#This Row],[NeutFlrT]])/(TBA_Matches_All[[#This Row],[NeutFlrT]]+TBA_Matches_All[[#This Row],[NZflM]])),0)</f>
        <v>0</v>
      </c>
      <c r="BF68">
        <f>COUNTIFS(Dyno_Data[Team],TBA_Matches_All[[#This Row],[Team]],Dyno_Data[Match],TBA_Matches_All[[#This Row],[Match_Number]],Dyno_Data[RecordType],"Activities",Dyno_Data[DelDest],"AllyW", Dyno_Data[DelMiss],1)</f>
        <v>0</v>
      </c>
      <c r="BG68" s="60">
        <f>IFERROR(SUM((TBA_Matches_All[[#This Row],[AllyWFlrT]])/(TBA_Matches_All[[#This Row],[AllyWFlrT]]+TBA_Matches_All[[#This Row],[AZflM]])),0)</f>
        <v>0</v>
      </c>
      <c r="BH68">
        <f>COUNTIFS(Dyno_Data[Team],TBA_Matches_All[[#This Row],[Team]],Dyno_Data[Match],TBA_Matches_All[[#This Row],[Match_Number]],Dyno_Data[RecordType],"Activities",Dyno_Data[DelOrig],"OppW", Dyno_Data[DelMiss],"0")</f>
        <v>0</v>
      </c>
      <c r="BI68">
        <f>COUNTIFS(Dyno_Data[Team],TBA_Matches_All[[#This Row],[Team]],Dyno_Data[Match],TBA_Matches_All[[#This Row],[Match_Number]],Dyno_Data[RecordType],"Activities",Dyno_Data[DelOrig],"OppW", Dyno_Data[DelMiss],"1")</f>
        <v>0</v>
      </c>
      <c r="BJ68" s="60">
        <f>IFERROR(SUM((TBA_Matches_All[[#This Row],[OZflrT]])/(TBA_Matches_All[[#This Row],[OZflrT]]+TBA_Matches_All[[#This Row],[OZflrM]])),0)</f>
        <v>0</v>
      </c>
      <c r="BK68">
        <f>COUNTIFS(Dyno_Data[Team],TBA_Matches_All[[#This Row],[Team]],Dyno_Data[Match],TBA_Matches_All[[#This Row],[Match_Number]],Dyno_Data[RecordType],"Activities",Dyno_Data[DelOrig],"Neut", Dyno_Data[DelMiss],"0")</f>
        <v>0</v>
      </c>
      <c r="BL68">
        <f>COUNTIFS(Dyno_Data[Team],TBA_Matches_All[[#This Row],[Team]],Dyno_Data[Match],TBA_Matches_All[[#This Row],[Match_Number]],Dyno_Data[RecordType],"Activities",Dyno_Data[DelOrig],"Neut", Dyno_Data[DelMiss],"1")</f>
        <v>0</v>
      </c>
      <c r="BM68" s="60">
        <f>IFERROR(SUM((TBA_Matches_All[[#This Row],[NZflrT]])/(TBA_Matches_All[[#This Row],[NZflrT]]+TBA_Matches_All[[#This Row],[NZflrM]])),0)</f>
        <v>0</v>
      </c>
      <c r="BN68">
        <f>COUNTIFS(Dyno_Data[Team],TBA_Matches_All[[#This Row],[Team]],Dyno_Data[Match],TBA_Matches_All[[#This Row],[Match_Number]],Dyno_Data[RecordType],"Activities",Dyno_Data[DelOrig],"AllyW", Dyno_Data[DelMiss],"0")</f>
        <v>0</v>
      </c>
      <c r="BO68">
        <f>COUNTIFS(Dyno_Data[Team],TBA_Matches_All[[#This Row],[Team]],Dyno_Data[Match],TBA_Matches_All[[#This Row],[Match_Number]],Dyno_Data[RecordType],"Activities",Dyno_Data[DelOrig],"AllyW", Dyno_Data[DelMiss],"1")</f>
        <v>0</v>
      </c>
      <c r="BP68" s="60">
        <f>IFERROR(SUM((TBA_Matches_All[[#This Row],[AZflrT]])/(TBA_Matches_All[[#This Row],[AZflrT]]+TBA_Matches_All[[#This Row],[AZflrM]])),0)</f>
        <v>0</v>
      </c>
      <c r="BQ68">
        <f>COUNTIFS(Dyno_Data[Team],TBA_Matches_All[[#This Row],[Team]],Dyno_Data[Match],TBA_Matches_All[[#This Row],[Match_Number]],Dyno_Data[RecordType],"Activities",Dyno_Data[DelOrig],"SubW", Dyno_Data[DelMiss],"0")</f>
        <v>0</v>
      </c>
      <c r="BR68">
        <f>COUNTIFS(Dyno_Data[Team],TBA_Matches_All[[#This Row],[Team]],Dyno_Data[Match],TBA_Matches_All[[#This Row],[Match_Number]],Dyno_Data[RecordType],"Activities",Dyno_Data[DelOrig],"SubW", Dyno_Data[DelMiss],"1")</f>
        <v>0</v>
      </c>
      <c r="BS68" s="60">
        <f>IFERROR(SUM((TBA_Matches_All[[#This Row],[SubwT]])/(TBA_Matches_All[[#This Row],[SubwT]]+TBA_Matches_All[[#This Row],[SubwM]])),0)</f>
        <v>0</v>
      </c>
      <c r="BT68">
        <f>COUNTIFS(Dyno_Data[Team],TBA_Matches_All[[#This Row],[Team]],Dyno_Data[Match],TBA_Matches_All[[#This Row],[Match_Number]],Dyno_Data[RecordType],"Activities", Dyno_Data[AcqLoc],"OppWing")</f>
        <v>0</v>
      </c>
      <c r="BU68">
        <f>COUNTIFS(Dyno_Data[Team],TBA_Matches_All[[#This Row],[Team]],Dyno_Data[Match],TBA_Matches_All[[#This Row],[Match_Number]],Dyno_Data[RecordType],"Activities", Dyno_Data[AcqLoc],"Neutral")</f>
        <v>0</v>
      </c>
      <c r="BV68">
        <f>COUNTIFS(Dyno_Data[Team],TBA_Matches_All[[#This Row],[Team]],Dyno_Data[Match],TBA_Matches_All[[#This Row],[Match_Number]],Dyno_Data[RecordType],"Activities", Dyno_Data[AcqLoc],"AllyWing")</f>
        <v>0</v>
      </c>
      <c r="BW68">
        <f>COUNTIFS(Dyno_Data[Team],TBA_Matches_All[[#This Row],[Team]],Dyno_Data[Match],TBA_Matches_All[[#This Row],[Match_Number]],Dyno_Data[RecordType],"Activities", Dyno_Data[AcqLoc],"Source")</f>
        <v>0</v>
      </c>
      <c r="BX68">
        <f>SUMIFS(Dyno_Data[AcqDrp], Dyno_Data[Team],TBA_Matches_All[[#This Row],[Team]],Dyno_Data[Match],TBA_Matches_All[[#This Row],[Match_Number]],Dyno_Data[RecordType],"Activities", Dyno_Data[AcqLoc],"Source")</f>
        <v>0</v>
      </c>
      <c r="BY68">
        <f>SUMIFS(Dyno_Data[OZTime], Dyno_Data[Team],TBA_Matches_All[[#This Row],[Team]],Dyno_Data[Match],TBA_Matches_All[[#This Row],[Match_Number]],Dyno_Data[RecordType],"EndMatch")</f>
        <v>0</v>
      </c>
      <c r="BZ68">
        <f>SUMIFS(Dyno_Data[NZTime], Dyno_Data[Team],TBA_Matches_All[[#This Row],[Team]],Dyno_Data[Match],TBA_Matches_All[[#This Row],[Match_Number]],Dyno_Data[RecordType],"EndMatch")</f>
        <v>4.4982641999999995</v>
      </c>
      <c r="CA68">
        <f>SUMIFS(Dyno_Data[AZTime], Dyno_Data[Team],TBA_Matches_All[[#This Row],[Team]],Dyno_Data[Match],TBA_Matches_All[[#This Row],[Match_Number]],Dyno_Data[RecordType],"EndMatch")</f>
        <v>130.40401370000001</v>
      </c>
      <c r="CB68">
        <f>SUMIFS(Dyno_Data[ClimbT], Dyno_Data[Team],TBA_Matches_All[[#This Row],[Team]],Dyno_Data[Match],TBA_Matches_All[[#This Row],[Match_Number]],Dyno_Data[RecordType],"EndMatch")</f>
        <v>0</v>
      </c>
      <c r="CC68" t="str">
        <f>_xlfn.XLOOKUP(SUM(MID(TBA_Matches_All[[#This Row],[Team]],4,5),(TBA_Matches_All[[#This Row],[Match_Number]]/100)),Dyno_EndMatch[teammat],Dyno_EndMatch[StageStat],"_",0,1)</f>
        <v>Park</v>
      </c>
      <c r="CD68" t="str">
        <f>_xlfn.XLOOKUP(TBA_Matches_All[[#This Row],[teammat]],Dyno_EndMatch[teammat],Dyno_EndMatch[StageAtt],"_",0,1)</f>
        <v>0</v>
      </c>
      <c r="CE68" t="str">
        <f>_xlfn.XLOOKUP(TBA_Matches_All[[#This Row],[teammat]],Dyno_EndMatch[teammat],Dyno_EndMatch[StageLoc],"_",0,1)</f>
        <v>A</v>
      </c>
      <c r="CF68">
        <f>SUMIFS(Dyno_Data[Harmony], Dyno_Data[Team],TBA_Matches_All[[#This Row],[Team]],Dyno_Data[Match],TBA_Matches_All[[#This Row],[Match_Number]],Dyno_Data[RecordType],"EndMatch", Dyno_Data[StageStat],"On",Dyno_Data[Harmony],"&lt;&gt;9")</f>
        <v>0</v>
      </c>
      <c r="CG68">
        <f>SUMIFS(Dyno_Data[Spotlit], Dyno_Data[Team],TBA_Matches_All[[#This Row],[Team]],Dyno_Data[Match],TBA_Matches_All[[#This Row],[Match_Number]],Dyno_Data[RecordType],"EndMatch", Dyno_Data[StageStat],"On",Dyno_Data[Spotlit],"&lt;&gt;9")</f>
        <v>0</v>
      </c>
      <c r="CH68" t="str">
        <f>_xlfn.XLOOKUP(TBA_Matches_All[[#This Row],[teammat]],Dyno_EndMatch[teammat],Dyno_EndMatch[Strategy],"_",0,1)</f>
        <v>None</v>
      </c>
      <c r="CI68">
        <f>SUMIFS(Dyno_Data[Defense], Dyno_Data[Team],TBA_Matches_All[[#This Row],[Team]],Dyno_Data[Match],TBA_Matches_All[[#This Row],[Match_Number]],Dyno_Data[RecordType],"EndMatch",Dyno_Data[Defense],"&lt;&gt;9")</f>
        <v>0</v>
      </c>
      <c r="CJ68">
        <f>SUMIFS(Dyno_Data[Avoidance], Dyno_Data[Team],TBA_Matches_All[[#This Row],[Team]],Dyno_Data[Match],TBA_Matches_All[[#This Row],[Match_Number]],Dyno_Data[RecordType],"EndMatch",Dyno_Data[Avoidance],"&lt;&gt;9")</f>
        <v>0</v>
      </c>
      <c r="CK68" s="82">
        <f>COUNTIF($H$2:TBA_Matches_All[[#This Row],[Team]],TBA_Matches_All[[#This Row],[Team]])</f>
        <v>2</v>
      </c>
      <c r="CL68" s="111">
        <f>SUM(MID(TBA_Matches_All[[#This Row],[Team]],4,5)+TBA_Matches_All[[#This Row],[Match_Number]]/100)</f>
        <v>5993.11</v>
      </c>
      <c r="CM68">
        <f>SUM((TBA_Matches_All[[#This Row],[Leave]]*2)+(TBA_Matches_All[[#This Row],[AampT]]*2)+(TBA_Matches_All[[#This Row],[AspkrT]]*5)+(TBA_Matches_All[[#This Row],[AtrapT]]*5))</f>
        <v>0</v>
      </c>
      <c r="CN68" s="59">
        <f>IFERROR(SUM(TBA_Matches_All[[#This Row],[AptsT]]/TBA_Matches_All[[#This Row],[AutoPts]]),0)</f>
        <v>0</v>
      </c>
      <c r="CO68" s="59">
        <f>IFERROR(SUM(TBA_Matches_All[[#This Row],[AampT]]+TBA_Matches_All[[#This Row],[AspkrT]]+TBA_Matches_All[[#This Row],[AtrapT]]/TBA_Matches_All[[#This Row],[Aamp]]+TBA_Matches_All[[#This Row],[Aspkr]]+TBA_Matches_All[[#This Row],[AtrapT]]),0)</f>
        <v>0</v>
      </c>
      <c r="CP68" s="59">
        <f>IFERROR(SUM(TBA_Matches_All[[#This Row],[TampT]]/TBA_Matches_All[[#This Row],[Tamp]]),0)</f>
        <v>0</v>
      </c>
      <c r="CQ68" s="59">
        <f>IFERROR(SUM(TBA_Matches_All[[#This Row],[TspkrT]]/TBA_Matches_All[[#This Row],[Tspkr]]),0)</f>
        <v>0</v>
      </c>
      <c r="CR68">
        <f>SUM(TBA_Matches_All[[#This Row],[TspkrPts]]*TBA_Matches_All[[#This Row],[TspkrP]])</f>
        <v>0</v>
      </c>
      <c r="CS68" s="59">
        <f>IFERROR(SUM(TBA_Matches_All[[#This Row],[TtrapT]]/TBA_Matches_All[[#This Row],[Trap]]),0)</f>
        <v>0</v>
      </c>
      <c r="CT68" s="59">
        <f>IFERROR(SUM(TBA_Matches_All[[#This Row],[TotNotesT]]/TBA_Matches_All[[#This Row],[TotNotes]]),0)</f>
        <v>0</v>
      </c>
      <c r="CU68" s="66">
        <f>SUM((TBA_Matches_All[[#This Row],[AampT]]*2)+(TBA_Matches_All[[#This Row],[AspkrT]]*5)+(TBA_Matches_All[[#This Row],[AtrapT]]*5)+(TBA_Matches_All[[#This Row],[TampT]]*1)+(TBA_Matches_All[[#This Row],[TspkrptsC]]))</f>
        <v>0</v>
      </c>
      <c r="CV68" s="59">
        <f>IFERROR(TBA_Matches_All[[#This Row],[noteptsT]]/TBA_Matches_All[[#This Row],[NotePts]],0)</f>
        <v>0</v>
      </c>
      <c r="CW68">
        <f>SUM(IF(TBA_Matches_All[[#This Row],[stageStat]]="On",3,0),IF(TBA_Matches_All[[#This Row],[stageStat]]="Park",1,0),SUMIFS(TBA_Matches_All[[#This Row],[Spotlit]],TBA_Matches_All[[#This Row],[stageStat]],"On"),SUMIFS(TBA_Matches_All[[#This Row],[Harmony]],TBA_Matches_All[[#This Row],[stageStat]],"On"))</f>
        <v>1</v>
      </c>
      <c r="CX68" s="59">
        <f>IFERROR(TBA_Matches_All[[#This Row],[stageptsT]]/TBA_Matches_All[[#This Row],[StagePts]],0)</f>
        <v>0.5</v>
      </c>
      <c r="CY68">
        <f>SUM((TBA_Matches_All[[#This Row],[AptsT]]+TBA_Matches_All[[#This Row],[TampT]]+TBA_Matches_All[[#This Row],[TspkrptsC]]+(TBA_Matches_All[[#This Row],[TtrapT]]*5)+TBA_Matches_All[[#This Row],[stageptsT]]))</f>
        <v>1</v>
      </c>
      <c r="CZ68" s="59">
        <f>IFERROR(SUM(TBA_Matches_All[[#This Row],[TotptsC]]/TBA_Matches_All[[#This Row],[Score]]),0)</f>
        <v>2.2222222222222223E-2</v>
      </c>
      <c r="DA6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4.24</v>
      </c>
      <c r="DB68" s="74">
        <f>SUMIFS(TBA_Matches_All[AveTeamTNoteDels],TBA_Matches_All[Match_Number],TBA_Matches_All[[#This Row],[Match_Number]],TBA_Matches_All[Alliance],"&lt;&gt;"&amp;TBA_Matches_All[[#This Row],[Alliance]],TBA_Matches_All[Scouted],"&gt;0")</f>
        <v>19.351731601731601</v>
      </c>
      <c r="DC68" s="74">
        <f>(TBA_Matches_All[[#This Row],[TampT]]+TBA_Matches_All[[#This Row],[TspkrptsC]])-TBA_Matches_All[[#This Row],[AveTeamTNoteDels]]</f>
        <v>-4.24</v>
      </c>
      <c r="DD68" s="74">
        <f>SUMIFS(TBA_Matches_All[AveTeamTNoteDels],TBA_Matches_All[Match_Number],TBA_Matches_All[[#This Row],[Match_Number]],TBA_Matches_All[Alliance],"&lt;&gt;"&amp;TBA_Matches_All[[#This Row],[Alliance]])-TBA_Matches_All[[#This Row],[AveOppTNoteDels]]</f>
        <v>0</v>
      </c>
    </row>
    <row r="69" spans="1:108" x14ac:dyDescent="0.3">
      <c r="A69" t="s">
        <v>1042</v>
      </c>
      <c r="B69" t="s">
        <v>489</v>
      </c>
      <c r="C69" t="s">
        <v>1321</v>
      </c>
      <c r="D69">
        <v>12</v>
      </c>
      <c r="E69" t="s">
        <v>1420</v>
      </c>
      <c r="F69" t="s">
        <v>1425</v>
      </c>
      <c r="G69" t="s">
        <v>105</v>
      </c>
      <c r="H69" t="s">
        <v>1297</v>
      </c>
      <c r="I69" t="b">
        <v>0</v>
      </c>
      <c r="J69">
        <v>45</v>
      </c>
      <c r="K69">
        <v>0</v>
      </c>
      <c r="L69">
        <v>0</v>
      </c>
      <c r="M69">
        <v>4</v>
      </c>
      <c r="N69">
        <v>0</v>
      </c>
      <c r="O69">
        <v>3</v>
      </c>
      <c r="P69">
        <v>15</v>
      </c>
      <c r="Q69">
        <v>19</v>
      </c>
      <c r="R69">
        <v>0</v>
      </c>
      <c r="S69">
        <v>0</v>
      </c>
      <c r="T69">
        <v>10</v>
      </c>
      <c r="U69">
        <v>0</v>
      </c>
      <c r="V69">
        <v>20</v>
      </c>
      <c r="W69">
        <v>10</v>
      </c>
      <c r="X69">
        <v>20</v>
      </c>
      <c r="Y69">
        <v>20</v>
      </c>
      <c r="Z69">
        <v>0</v>
      </c>
      <c r="AA69">
        <v>0</v>
      </c>
      <c r="AB69">
        <v>13</v>
      </c>
      <c r="AC69">
        <v>35</v>
      </c>
      <c r="AD69">
        <v>6</v>
      </c>
      <c r="AE69">
        <f>IFERROR(6/(COUNTIF(Dyno_EndMatch[Match],TBA_Matches_All[[#This Row],[Match_Number]])),0)</f>
        <v>1</v>
      </c>
      <c r="AF69">
        <f>COUNTIFS(Dyno_Data[Team],TBA_Matches_All[[#This Row],[Team]],Dyno_Data[Match],TBA_Matches_All[[#This Row],[Match_Number]],Dyno_Data[RecordType],"EndMatch",Dyno_Data[HPAmp],"Y")</f>
        <v>1</v>
      </c>
      <c r="AG69">
        <f>SUMIFS(Dyno_Data[Mics], Dyno_Data[Team],TBA_Matches_All[[#This Row],[Team]],Dyno_Data[Match],TBA_Matches_All[[#This Row],[Match_Number]],Dyno_Data[RecordType],"EndMatch",Dyno_Data[HPAmp],"Y")</f>
        <v>0</v>
      </c>
      <c r="AH69">
        <f>SUMIFS(Dyno_Data[Leave], Dyno_Data[Team],TBA_Matches_All[[#This Row],[Team]],Dyno_Data[Match],TBA_Matches_All[[#This Row],[Match_Number]],Dyno_Data[RecordType],"EndAuto")</f>
        <v>0</v>
      </c>
      <c r="AI69">
        <f>COUNTIFS(Dyno_Data[Team],TBA_Matches_All[[#This Row],[Team]],Dyno_Data[Match],TBA_Matches_All[[#This Row],[Match_Number]],Dyno_Data[RecordType],"Activities",Dyno_Data[DelDest],"Amp", Dyno_Data[DelMiss],"0", Dyno_Data[Mode],"Auto")</f>
        <v>0</v>
      </c>
      <c r="AJ69">
        <f>COUNTIFS(Dyno_Data[Team],TBA_Matches_All[[#This Row],[Team]],Dyno_Data[Match],TBA_Matches_All[[#This Row],[Match_Number]],Dyno_Data[RecordType],"Activities",Dyno_Data[DelDest],"Spkr", Dyno_Data[DelMiss],"0", Dyno_Data[Mode],"Auto")</f>
        <v>0</v>
      </c>
      <c r="AK69">
        <f>COUNTIFS(Dyno_Data[Team],TBA_Matches_All[[#This Row],[Team]],Dyno_Data[Match],TBA_Matches_All[[#This Row],[Match_Number]],Dyno_Data[RecordType],"Activities",Dyno_Data[DelDest],"Trap", Dyno_Data[DelMiss],"0", Dyno_Data[Mode],"Auto")</f>
        <v>0</v>
      </c>
      <c r="AL69">
        <f>COUNTIFS(Dyno_Data[Team],TBA_Matches_All[[#This Row],[Team]],Dyno_Data[Match],TBA_Matches_All[[#This Row],[Match_Number]],Dyno_Data[RecordType],"Activities",Dyno_Data[DelDest],"Amp", Dyno_Data[DelMiss],"0", Dyno_Data[Mode],"Teleop")</f>
        <v>0</v>
      </c>
      <c r="AM69">
        <f>COUNTIFS(Dyno_Data[Team],TBA_Matches_All[[#This Row],[Team]],Dyno_Data[Match],TBA_Matches_All[[#This Row],[Match_Number]],Dyno_Data[RecordType],"Activities",Dyno_Data[DelDest],"Spkr", Dyno_Data[DelMiss],"0", Dyno_Data[Mode],"Teleop")</f>
        <v>0</v>
      </c>
      <c r="AN69">
        <f>COUNTIFS(Dyno_Data[Team],TBA_Matches_All[[#This Row],[Team]],Dyno_Data[Match],TBA_Matches_All[[#This Row],[Match_Number]],Dyno_Data[RecordType],"Activities",Dyno_Data[DelDest],"Trap", Dyno_Data[DelMiss],"0", Dyno_Data[Mode],"&lt;&gt;Auto")</f>
        <v>0</v>
      </c>
      <c r="AO69">
        <f>SUM(TBA_Matches_All[[#This Row],[AampT]]+TBA_Matches_All[[#This Row],[AspkrT]]+TBA_Matches_All[[#This Row],[AtrapT]]+TBA_Matches_All[[#This Row],[TampT]]+TBA_Matches_All[[#This Row],[TspkrT]]+TBA_Matches_All[[#This Row],[TtrapT]])</f>
        <v>0</v>
      </c>
      <c r="AP69">
        <f>COUNTIFS(Dyno_Data[Team],TBA_Matches_All[[#This Row],[Team]],Dyno_Data[Match],TBA_Matches_All[[#This Row],[Match_Number]],Dyno_Data[RecordType],"Activities",Dyno_Data[DelDest],"Neut", Dyno_Data[DelMiss],"0")</f>
        <v>0</v>
      </c>
      <c r="AQ69">
        <f>COUNTIFS(Dyno_Data[Team],TBA_Matches_All[[#This Row],[Team]],Dyno_Data[Match],TBA_Matches_All[[#This Row],[Match_Number]],Dyno_Data[RecordType],"Activities",Dyno_Data[DelDest],"AllyW", Dyno_Data[DelMiss],"0")</f>
        <v>0</v>
      </c>
      <c r="AR69" t="str">
        <f>_xlfn.XLOOKUP(SUM(MID(TBA_Matches_All[[#This Row],[Team]],4,5),(TBA_Matches_All[[#This Row],[Match_Number]]/100)),Dyno_EndMatch[teammat],Dyno_EndMatch[RobotSta],"_",0,1)</f>
        <v>Amp</v>
      </c>
      <c r="AS69">
        <f>SUMIFS(Dyno_Data[AcqDis], Dyno_Data[Team],TBA_Matches_All[[#This Row],[Team]],Dyno_Data[Match],TBA_Matches_All[[#This Row],[Match_Number]],Dyno_Data[RecordType],"Activities", Dyno_Data[AcqCenter],1,Dyno_Data[Mode],"Auto")</f>
        <v>0</v>
      </c>
      <c r="AT69">
        <f>SUMIFS(Dyno_Data[AcqDis], Dyno_Data[Team],TBA_Matches_All[[#This Row],[Team]],Dyno_Data[Match],TBA_Matches_All[[#This Row],[Match_Number]],Dyno_Data[RecordType],"Activities", Dyno_Data[AcqCenter],2,Dyno_Data[Mode],"Auto")</f>
        <v>0</v>
      </c>
      <c r="AU69">
        <f>SUMIFS(Dyno_Data[AcqDis], Dyno_Data[Team],TBA_Matches_All[[#This Row],[Team]],Dyno_Data[Match],TBA_Matches_All[[#This Row],[Match_Number]],Dyno_Data[RecordType],"Activities", Dyno_Data[AcqCenter],3,Dyno_Data[Mode],"Auto")</f>
        <v>0</v>
      </c>
      <c r="AV69">
        <f>SUMIFS(Dyno_Data[AcqDis], Dyno_Data[Team],TBA_Matches_All[[#This Row],[Team]],Dyno_Data[Match],TBA_Matches_All[[#This Row],[Match_Number]],Dyno_Data[RecordType],"Activities", Dyno_Data[AcqCenter],4,Dyno_Data[Mode],"Auto")</f>
        <v>0</v>
      </c>
      <c r="AW69">
        <f>SUMIFS(Dyno_Data[AcqDis], Dyno_Data[Team],TBA_Matches_All[[#This Row],[Team]],Dyno_Data[Match],TBA_Matches_All[[#This Row],[Match_Number]],Dyno_Data[RecordType],"Activities", Dyno_Data[AcqCenter],5,Dyno_Data[Mode],"Auto")</f>
        <v>0</v>
      </c>
      <c r="AX69">
        <f>SUMIFS(Dyno_Data[DelMiss], Dyno_Data[Team],TBA_Matches_All[[#This Row],[Team]],Dyno_Data[Match],TBA_Matches_All[[#This Row],[Match_Number]],Dyno_Data[RecordType],"Activities", Dyno_Data[DelDest],"Amp")</f>
        <v>0</v>
      </c>
      <c r="AY69" s="60">
        <f>IFERROR(SUM((TBA_Matches_All[[#This Row],[AampT]]+TBA_Matches_All[[#This Row],[TampT]])/(TBA_Matches_All[[#This Row],[AampT]]+TBA_Matches_All[[#This Row],[TampT]]+TBA_Matches_All[[#This Row],[ampM]])),0)</f>
        <v>0</v>
      </c>
      <c r="AZ69">
        <f>SUMIFS(Dyno_Data[DelMiss], Dyno_Data[Team],TBA_Matches_All[[#This Row],[Team]],Dyno_Data[Match],TBA_Matches_All[[#This Row],[Match_Number]],Dyno_Data[RecordType],"Activities", Dyno_Data[DelDest],"Spkr")</f>
        <v>0</v>
      </c>
      <c r="BA69" s="60">
        <f>IFERROR(SUM((TBA_Matches_All[[#This Row],[AspkrT]]+TBA_Matches_All[[#This Row],[TspkrT]])/(TBA_Matches_All[[#This Row],[AspkrT]]+TBA_Matches_All[[#This Row],[TspkrT]]+TBA_Matches_All[[#This Row],[spkrM]])),0)</f>
        <v>0</v>
      </c>
      <c r="BB69">
        <f>SUMIFS(Dyno_Data[DelMiss], Dyno_Data[Team],TBA_Matches_All[[#This Row],[Team]],Dyno_Data[Match],TBA_Matches_All[[#This Row],[Match_Number]],Dyno_Data[RecordType],"Activities", Dyno_Data[DelDest],"Trap")</f>
        <v>0</v>
      </c>
      <c r="BC69" s="60">
        <f>IFERROR((TBA_Matches_All[[#This Row],[AtrapT]]+TBA_Matches_All[[#This Row],[TtrapT]])/(TBA_Matches_All[[#This Row],[AtrapT]]+TBA_Matches_All[[#This Row],[TtrapT]]+TBA_Matches_All[[#This Row],[trapM]]),0)</f>
        <v>0</v>
      </c>
      <c r="BD69">
        <f>COUNTIFS(Dyno_Data[Team],TBA_Matches_All[[#This Row],[Team]],Dyno_Data[Match],TBA_Matches_All[[#This Row],[Match_Number]],Dyno_Data[RecordType],"Activities",Dyno_Data[DelDest],"Neut", Dyno_Data[DelMiss],1)</f>
        <v>0</v>
      </c>
      <c r="BE69" s="60">
        <f>IFERROR(SUM((TBA_Matches_All[[#This Row],[NeutFlrT]])/(TBA_Matches_All[[#This Row],[NeutFlrT]]+TBA_Matches_All[[#This Row],[NZflM]])),0)</f>
        <v>0</v>
      </c>
      <c r="BF69">
        <f>COUNTIFS(Dyno_Data[Team],TBA_Matches_All[[#This Row],[Team]],Dyno_Data[Match],TBA_Matches_All[[#This Row],[Match_Number]],Dyno_Data[RecordType],"Activities",Dyno_Data[DelDest],"AllyW", Dyno_Data[DelMiss],1)</f>
        <v>0</v>
      </c>
      <c r="BG69" s="60">
        <f>IFERROR(SUM((TBA_Matches_All[[#This Row],[AllyWFlrT]])/(TBA_Matches_All[[#This Row],[AllyWFlrT]]+TBA_Matches_All[[#This Row],[AZflM]])),0)</f>
        <v>0</v>
      </c>
      <c r="BH69">
        <f>COUNTIFS(Dyno_Data[Team],TBA_Matches_All[[#This Row],[Team]],Dyno_Data[Match],TBA_Matches_All[[#This Row],[Match_Number]],Dyno_Data[RecordType],"Activities",Dyno_Data[DelOrig],"OppW", Dyno_Data[DelMiss],"0")</f>
        <v>0</v>
      </c>
      <c r="BI69">
        <f>COUNTIFS(Dyno_Data[Team],TBA_Matches_All[[#This Row],[Team]],Dyno_Data[Match],TBA_Matches_All[[#This Row],[Match_Number]],Dyno_Data[RecordType],"Activities",Dyno_Data[DelOrig],"OppW", Dyno_Data[DelMiss],"1")</f>
        <v>0</v>
      </c>
      <c r="BJ69" s="60">
        <f>IFERROR(SUM((TBA_Matches_All[[#This Row],[OZflrT]])/(TBA_Matches_All[[#This Row],[OZflrT]]+TBA_Matches_All[[#This Row],[OZflrM]])),0)</f>
        <v>0</v>
      </c>
      <c r="BK69">
        <f>COUNTIFS(Dyno_Data[Team],TBA_Matches_All[[#This Row],[Team]],Dyno_Data[Match],TBA_Matches_All[[#This Row],[Match_Number]],Dyno_Data[RecordType],"Activities",Dyno_Data[DelOrig],"Neut", Dyno_Data[DelMiss],"0")</f>
        <v>0</v>
      </c>
      <c r="BL69">
        <f>COUNTIFS(Dyno_Data[Team],TBA_Matches_All[[#This Row],[Team]],Dyno_Data[Match],TBA_Matches_All[[#This Row],[Match_Number]],Dyno_Data[RecordType],"Activities",Dyno_Data[DelOrig],"Neut", Dyno_Data[DelMiss],"1")</f>
        <v>0</v>
      </c>
      <c r="BM69" s="60">
        <f>IFERROR(SUM((TBA_Matches_All[[#This Row],[NZflrT]])/(TBA_Matches_All[[#This Row],[NZflrT]]+TBA_Matches_All[[#This Row],[NZflrM]])),0)</f>
        <v>0</v>
      </c>
      <c r="BN69">
        <f>COUNTIFS(Dyno_Data[Team],TBA_Matches_All[[#This Row],[Team]],Dyno_Data[Match],TBA_Matches_All[[#This Row],[Match_Number]],Dyno_Data[RecordType],"Activities",Dyno_Data[DelOrig],"AllyW", Dyno_Data[DelMiss],"0")</f>
        <v>0</v>
      </c>
      <c r="BO69">
        <f>COUNTIFS(Dyno_Data[Team],TBA_Matches_All[[#This Row],[Team]],Dyno_Data[Match],TBA_Matches_All[[#This Row],[Match_Number]],Dyno_Data[RecordType],"Activities",Dyno_Data[DelOrig],"AllyW", Dyno_Data[DelMiss],"1")</f>
        <v>0</v>
      </c>
      <c r="BP69" s="60">
        <f>IFERROR(SUM((TBA_Matches_All[[#This Row],[AZflrT]])/(TBA_Matches_All[[#This Row],[AZflrT]]+TBA_Matches_All[[#This Row],[AZflrM]])),0)</f>
        <v>0</v>
      </c>
      <c r="BQ69">
        <f>COUNTIFS(Dyno_Data[Team],TBA_Matches_All[[#This Row],[Team]],Dyno_Data[Match],TBA_Matches_All[[#This Row],[Match_Number]],Dyno_Data[RecordType],"Activities",Dyno_Data[DelOrig],"SubW", Dyno_Data[DelMiss],"0")</f>
        <v>0</v>
      </c>
      <c r="BR69">
        <f>COUNTIFS(Dyno_Data[Team],TBA_Matches_All[[#This Row],[Team]],Dyno_Data[Match],TBA_Matches_All[[#This Row],[Match_Number]],Dyno_Data[RecordType],"Activities",Dyno_Data[DelOrig],"SubW", Dyno_Data[DelMiss],"1")</f>
        <v>0</v>
      </c>
      <c r="BS69" s="60">
        <f>IFERROR(SUM((TBA_Matches_All[[#This Row],[SubwT]])/(TBA_Matches_All[[#This Row],[SubwT]]+TBA_Matches_All[[#This Row],[SubwM]])),0)</f>
        <v>0</v>
      </c>
      <c r="BT69">
        <f>COUNTIFS(Dyno_Data[Team],TBA_Matches_All[[#This Row],[Team]],Dyno_Data[Match],TBA_Matches_All[[#This Row],[Match_Number]],Dyno_Data[RecordType],"Activities", Dyno_Data[AcqLoc],"OppWing")</f>
        <v>0</v>
      </c>
      <c r="BU69">
        <f>COUNTIFS(Dyno_Data[Team],TBA_Matches_All[[#This Row],[Team]],Dyno_Data[Match],TBA_Matches_All[[#This Row],[Match_Number]],Dyno_Data[RecordType],"Activities", Dyno_Data[AcqLoc],"Neutral")</f>
        <v>0</v>
      </c>
      <c r="BV69">
        <f>COUNTIFS(Dyno_Data[Team],TBA_Matches_All[[#This Row],[Team]],Dyno_Data[Match],TBA_Matches_All[[#This Row],[Match_Number]],Dyno_Data[RecordType],"Activities", Dyno_Data[AcqLoc],"AllyWing")</f>
        <v>0</v>
      </c>
      <c r="BW69">
        <f>COUNTIFS(Dyno_Data[Team],TBA_Matches_All[[#This Row],[Team]],Dyno_Data[Match],TBA_Matches_All[[#This Row],[Match_Number]],Dyno_Data[RecordType],"Activities", Dyno_Data[AcqLoc],"Source")</f>
        <v>0</v>
      </c>
      <c r="BX69">
        <f>SUMIFS(Dyno_Data[AcqDrp], Dyno_Data[Team],TBA_Matches_All[[#This Row],[Team]],Dyno_Data[Match],TBA_Matches_All[[#This Row],[Match_Number]],Dyno_Data[RecordType],"Activities", Dyno_Data[AcqLoc],"Source")</f>
        <v>0</v>
      </c>
      <c r="BY69">
        <f>SUMIFS(Dyno_Data[OZTime], Dyno_Data[Team],TBA_Matches_All[[#This Row],[Team]],Dyno_Data[Match],TBA_Matches_All[[#This Row],[Match_Number]],Dyno_Data[RecordType],"EndMatch")</f>
        <v>0</v>
      </c>
      <c r="BZ69">
        <f>SUMIFS(Dyno_Data[NZTime], Dyno_Data[Team],TBA_Matches_All[[#This Row],[Team]],Dyno_Data[Match],TBA_Matches_All[[#This Row],[Match_Number]],Dyno_Data[RecordType],"EndMatch")</f>
        <v>0</v>
      </c>
      <c r="CA69">
        <f>SUMIFS(Dyno_Data[AZTime], Dyno_Data[Team],TBA_Matches_All[[#This Row],[Team]],Dyno_Data[Match],TBA_Matches_All[[#This Row],[Match_Number]],Dyno_Data[RecordType],"EndMatch")</f>
        <v>130.78170549999999</v>
      </c>
      <c r="CB69">
        <f>SUMIFS(Dyno_Data[ClimbT], Dyno_Data[Team],TBA_Matches_All[[#This Row],[Team]],Dyno_Data[Match],TBA_Matches_All[[#This Row],[Match_Number]],Dyno_Data[RecordType],"EndMatch")</f>
        <v>0</v>
      </c>
      <c r="CC69" t="str">
        <f>_xlfn.XLOOKUP(SUM(MID(TBA_Matches_All[[#This Row],[Team]],4,5),(TBA_Matches_All[[#This Row],[Match_Number]]/100)),Dyno_EndMatch[teammat],Dyno_EndMatch[StageStat],"_",0,1)</f>
        <v>Else</v>
      </c>
      <c r="CD69" t="str">
        <f>_xlfn.XLOOKUP(TBA_Matches_All[[#This Row],[teammat]],Dyno_EndMatch[teammat],Dyno_EndMatch[StageAtt],"_",0,1)</f>
        <v>0</v>
      </c>
      <c r="CE69" t="str">
        <f>_xlfn.XLOOKUP(TBA_Matches_All[[#This Row],[teammat]],Dyno_EndMatch[teammat],Dyno_EndMatch[StageLoc],"_",0,1)</f>
        <v>A</v>
      </c>
      <c r="CF69">
        <f>SUMIFS(Dyno_Data[Harmony], Dyno_Data[Team],TBA_Matches_All[[#This Row],[Team]],Dyno_Data[Match],TBA_Matches_All[[#This Row],[Match_Number]],Dyno_Data[RecordType],"EndMatch", Dyno_Data[StageStat],"On",Dyno_Data[Harmony],"&lt;&gt;9")</f>
        <v>0</v>
      </c>
      <c r="CG69">
        <f>SUMIFS(Dyno_Data[Spotlit], Dyno_Data[Team],TBA_Matches_All[[#This Row],[Team]],Dyno_Data[Match],TBA_Matches_All[[#This Row],[Match_Number]],Dyno_Data[RecordType],"EndMatch", Dyno_Data[StageStat],"On",Dyno_Data[Spotlit],"&lt;&gt;9")</f>
        <v>0</v>
      </c>
      <c r="CH69" t="str">
        <f>_xlfn.XLOOKUP(TBA_Matches_All[[#This Row],[teammat]],Dyno_EndMatch[teammat],Dyno_EndMatch[Strategy],"_",0,1)</f>
        <v>None</v>
      </c>
      <c r="CI69">
        <f>SUMIFS(Dyno_Data[Defense], Dyno_Data[Team],TBA_Matches_All[[#This Row],[Team]],Dyno_Data[Match],TBA_Matches_All[[#This Row],[Match_Number]],Dyno_Data[RecordType],"EndMatch",Dyno_Data[Defense],"&lt;&gt;9")</f>
        <v>0</v>
      </c>
      <c r="CJ69">
        <f>SUMIFS(Dyno_Data[Avoidance], Dyno_Data[Team],TBA_Matches_All[[#This Row],[Team]],Dyno_Data[Match],TBA_Matches_All[[#This Row],[Match_Number]],Dyno_Data[RecordType],"EndMatch",Dyno_Data[Avoidance],"&lt;&gt;9")</f>
        <v>0</v>
      </c>
      <c r="CK69" s="82">
        <f>COUNTIF($H$2:TBA_Matches_All[[#This Row],[Team]],TBA_Matches_All[[#This Row],[Team]])</f>
        <v>2</v>
      </c>
      <c r="CL69" s="111">
        <f>SUM(MID(TBA_Matches_All[[#This Row],[Team]],4,5)+TBA_Matches_All[[#This Row],[Match_Number]]/100)</f>
        <v>9750.1200000000008</v>
      </c>
      <c r="CM69">
        <f>SUM((TBA_Matches_All[[#This Row],[Leave]]*2)+(TBA_Matches_All[[#This Row],[AampT]]*2)+(TBA_Matches_All[[#This Row],[AspkrT]]*5)+(TBA_Matches_All[[#This Row],[AtrapT]]*5))</f>
        <v>0</v>
      </c>
      <c r="CN69" s="59">
        <f>IFERROR(SUM(TBA_Matches_All[[#This Row],[AptsT]]/TBA_Matches_All[[#This Row],[AutoPts]]),0)</f>
        <v>0</v>
      </c>
      <c r="CO69" s="59">
        <f>IFERROR(SUM(TBA_Matches_All[[#This Row],[AampT]]+TBA_Matches_All[[#This Row],[AspkrT]]+TBA_Matches_All[[#This Row],[AtrapT]]/TBA_Matches_All[[#This Row],[Aamp]]+TBA_Matches_All[[#This Row],[Aspkr]]+TBA_Matches_All[[#This Row],[AtrapT]]),0)</f>
        <v>0</v>
      </c>
      <c r="CP69" s="59">
        <f>IFERROR(SUM(TBA_Matches_All[[#This Row],[TampT]]/TBA_Matches_All[[#This Row],[Tamp]]),0)</f>
        <v>0</v>
      </c>
      <c r="CQ69" s="59">
        <f>IFERROR(SUM(TBA_Matches_All[[#This Row],[TspkrT]]/TBA_Matches_All[[#This Row],[Tspkr]]),0)</f>
        <v>0</v>
      </c>
      <c r="CR69">
        <f>SUM(TBA_Matches_All[[#This Row],[TspkrPts]]*TBA_Matches_All[[#This Row],[TspkrP]])</f>
        <v>0</v>
      </c>
      <c r="CS69" s="59">
        <f>IFERROR(SUM(TBA_Matches_All[[#This Row],[TtrapT]]/TBA_Matches_All[[#This Row],[Trap]]),0)</f>
        <v>0</v>
      </c>
      <c r="CT69" s="59">
        <f>IFERROR(SUM(TBA_Matches_All[[#This Row],[TotNotesT]]/TBA_Matches_All[[#This Row],[TotNotes]]),0)</f>
        <v>0</v>
      </c>
      <c r="CU69" s="66">
        <f>SUM((TBA_Matches_All[[#This Row],[AampT]]*2)+(TBA_Matches_All[[#This Row],[AspkrT]]*5)+(TBA_Matches_All[[#This Row],[AtrapT]]*5)+(TBA_Matches_All[[#This Row],[TampT]]*1)+(TBA_Matches_All[[#This Row],[TspkrptsC]]))</f>
        <v>0</v>
      </c>
      <c r="CV69" s="59">
        <f>IFERROR(TBA_Matches_All[[#This Row],[noteptsT]]/TBA_Matches_All[[#This Row],[NotePts]],0)</f>
        <v>0</v>
      </c>
      <c r="CW69">
        <f>SUM(IF(TBA_Matches_All[[#This Row],[stageStat]]="On",3,0),IF(TBA_Matches_All[[#This Row],[stageStat]]="Park",1,0),SUMIFS(TBA_Matches_All[[#This Row],[Spotlit]],TBA_Matches_All[[#This Row],[stageStat]],"On"),SUMIFS(TBA_Matches_All[[#This Row],[Harmony]],TBA_Matches_All[[#This Row],[stageStat]],"On"))</f>
        <v>0</v>
      </c>
      <c r="CX69" s="59">
        <f>IFERROR(TBA_Matches_All[[#This Row],[stageptsT]]/TBA_Matches_All[[#This Row],[StagePts]],0)</f>
        <v>0</v>
      </c>
      <c r="CY69">
        <f>SUM((TBA_Matches_All[[#This Row],[AptsT]]+TBA_Matches_All[[#This Row],[TampT]]+TBA_Matches_All[[#This Row],[TspkrptsC]]+(TBA_Matches_All[[#This Row],[TtrapT]]*5)+TBA_Matches_All[[#This Row],[stageptsT]]))</f>
        <v>0</v>
      </c>
      <c r="CZ69" s="59">
        <f>IFERROR(SUM(TBA_Matches_All[[#This Row],[TotptsC]]/TBA_Matches_All[[#This Row],[Score]]),0)</f>
        <v>0</v>
      </c>
      <c r="DA6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5.4</v>
      </c>
      <c r="DB69" s="74">
        <f>SUMIFS(TBA_Matches_All[AveTeamTNoteDels],TBA_Matches_All[Match_Number],TBA_Matches_All[[#This Row],[Match_Number]],TBA_Matches_All[Alliance],"&lt;&gt;"&amp;TBA_Matches_All[[#This Row],[Alliance]],TBA_Matches_All[Scouted],"&gt;0")</f>
        <v>32.336112637362639</v>
      </c>
      <c r="DC69" s="74">
        <f>(TBA_Matches_All[[#This Row],[TampT]]+TBA_Matches_All[[#This Row],[TspkrptsC]])-TBA_Matches_All[[#This Row],[AveTeamTNoteDels]]</f>
        <v>-5.4</v>
      </c>
      <c r="DD69" s="74">
        <f>SUMIFS(TBA_Matches_All[AveTeamTNoteDels],TBA_Matches_All[Match_Number],TBA_Matches_All[[#This Row],[Match_Number]],TBA_Matches_All[Alliance],"&lt;&gt;"&amp;TBA_Matches_All[[#This Row],[Alliance]])-TBA_Matches_All[[#This Row],[AveOppTNoteDels]]</f>
        <v>0</v>
      </c>
    </row>
    <row r="70" spans="1:108" x14ac:dyDescent="0.3">
      <c r="A70" t="s">
        <v>1042</v>
      </c>
      <c r="B70" t="s">
        <v>489</v>
      </c>
      <c r="C70" t="s">
        <v>1321</v>
      </c>
      <c r="D70">
        <v>12</v>
      </c>
      <c r="E70" t="s">
        <v>1406</v>
      </c>
      <c r="F70" t="s">
        <v>1426</v>
      </c>
      <c r="G70" t="s">
        <v>164</v>
      </c>
      <c r="H70" t="s">
        <v>1292</v>
      </c>
      <c r="I70" t="b">
        <v>1</v>
      </c>
      <c r="J70">
        <v>59</v>
      </c>
      <c r="K70">
        <v>0</v>
      </c>
      <c r="L70">
        <v>0</v>
      </c>
      <c r="M70">
        <v>0</v>
      </c>
      <c r="N70">
        <v>0</v>
      </c>
      <c r="O70">
        <v>4</v>
      </c>
      <c r="P70">
        <v>20</v>
      </c>
      <c r="Q70">
        <v>24</v>
      </c>
      <c r="R70">
        <v>5</v>
      </c>
      <c r="S70">
        <v>3</v>
      </c>
      <c r="T70">
        <v>5</v>
      </c>
      <c r="U70">
        <v>15</v>
      </c>
      <c r="V70">
        <v>10</v>
      </c>
      <c r="W70">
        <v>8</v>
      </c>
      <c r="X70">
        <v>25</v>
      </c>
      <c r="Y70">
        <v>30</v>
      </c>
      <c r="Z70">
        <v>0</v>
      </c>
      <c r="AA70">
        <v>0</v>
      </c>
      <c r="AB70">
        <v>17</v>
      </c>
      <c r="AC70">
        <v>50</v>
      </c>
      <c r="AD70">
        <v>1</v>
      </c>
      <c r="AE70">
        <f>IFERROR(6/(COUNTIF(Dyno_EndMatch[Match],TBA_Matches_All[[#This Row],[Match_Number]])),0)</f>
        <v>1</v>
      </c>
      <c r="AF70">
        <f>COUNTIFS(Dyno_Data[Team],TBA_Matches_All[[#This Row],[Team]],Dyno_Data[Match],TBA_Matches_All[[#This Row],[Match_Number]],Dyno_Data[RecordType],"EndMatch",Dyno_Data[HPAmp],"Y")</f>
        <v>0</v>
      </c>
      <c r="AG70">
        <f>SUMIFS(Dyno_Data[Mics], Dyno_Data[Team],TBA_Matches_All[[#This Row],[Team]],Dyno_Data[Match],TBA_Matches_All[[#This Row],[Match_Number]],Dyno_Data[RecordType],"EndMatch",Dyno_Data[HPAmp],"Y")</f>
        <v>0</v>
      </c>
      <c r="AH70">
        <f>SUMIFS(Dyno_Data[Leave], Dyno_Data[Team],TBA_Matches_All[[#This Row],[Team]],Dyno_Data[Match],TBA_Matches_All[[#This Row],[Match_Number]],Dyno_Data[RecordType],"EndAuto")</f>
        <v>0</v>
      </c>
      <c r="AI70">
        <f>COUNTIFS(Dyno_Data[Team],TBA_Matches_All[[#This Row],[Team]],Dyno_Data[Match],TBA_Matches_All[[#This Row],[Match_Number]],Dyno_Data[RecordType],"Activities",Dyno_Data[DelDest],"Amp", Dyno_Data[DelMiss],"0", Dyno_Data[Mode],"Auto")</f>
        <v>0</v>
      </c>
      <c r="AJ70">
        <f>COUNTIFS(Dyno_Data[Team],TBA_Matches_All[[#This Row],[Team]],Dyno_Data[Match],TBA_Matches_All[[#This Row],[Match_Number]],Dyno_Data[RecordType],"Activities",Dyno_Data[DelDest],"Spkr", Dyno_Data[DelMiss],"0", Dyno_Data[Mode],"Auto")</f>
        <v>0</v>
      </c>
      <c r="AK70">
        <f>COUNTIFS(Dyno_Data[Team],TBA_Matches_All[[#This Row],[Team]],Dyno_Data[Match],TBA_Matches_All[[#This Row],[Match_Number]],Dyno_Data[RecordType],"Activities",Dyno_Data[DelDest],"Trap", Dyno_Data[DelMiss],"0", Dyno_Data[Mode],"Auto")</f>
        <v>0</v>
      </c>
      <c r="AL70">
        <f>COUNTIFS(Dyno_Data[Team],TBA_Matches_All[[#This Row],[Team]],Dyno_Data[Match],TBA_Matches_All[[#This Row],[Match_Number]],Dyno_Data[RecordType],"Activities",Dyno_Data[DelDest],"Amp", Dyno_Data[DelMiss],"0", Dyno_Data[Mode],"Teleop")</f>
        <v>0</v>
      </c>
      <c r="AM70">
        <f>COUNTIFS(Dyno_Data[Team],TBA_Matches_All[[#This Row],[Team]],Dyno_Data[Match],TBA_Matches_All[[#This Row],[Match_Number]],Dyno_Data[RecordType],"Activities",Dyno_Data[DelDest],"Spkr", Dyno_Data[DelMiss],"0", Dyno_Data[Mode],"Teleop")</f>
        <v>0</v>
      </c>
      <c r="AN70">
        <f>COUNTIFS(Dyno_Data[Team],TBA_Matches_All[[#This Row],[Team]],Dyno_Data[Match],TBA_Matches_All[[#This Row],[Match_Number]],Dyno_Data[RecordType],"Activities",Dyno_Data[DelDest],"Trap", Dyno_Data[DelMiss],"0", Dyno_Data[Mode],"&lt;&gt;Auto")</f>
        <v>0</v>
      </c>
      <c r="AO70">
        <f>SUM(TBA_Matches_All[[#This Row],[AampT]]+TBA_Matches_All[[#This Row],[AspkrT]]+TBA_Matches_All[[#This Row],[AtrapT]]+TBA_Matches_All[[#This Row],[TampT]]+TBA_Matches_All[[#This Row],[TspkrT]]+TBA_Matches_All[[#This Row],[TtrapT]])</f>
        <v>0</v>
      </c>
      <c r="AP70">
        <f>COUNTIFS(Dyno_Data[Team],TBA_Matches_All[[#This Row],[Team]],Dyno_Data[Match],TBA_Matches_All[[#This Row],[Match_Number]],Dyno_Data[RecordType],"Activities",Dyno_Data[DelDest],"Neut", Dyno_Data[DelMiss],"0")</f>
        <v>0</v>
      </c>
      <c r="AQ70">
        <f>COUNTIFS(Dyno_Data[Team],TBA_Matches_All[[#This Row],[Team]],Dyno_Data[Match],TBA_Matches_All[[#This Row],[Match_Number]],Dyno_Data[RecordType],"Activities",Dyno_Data[DelDest],"AllyW", Dyno_Data[DelMiss],"0")</f>
        <v>0</v>
      </c>
      <c r="AR70" t="str">
        <f>_xlfn.XLOOKUP(SUM(MID(TBA_Matches_All[[#This Row],[Team]],4,5),(TBA_Matches_All[[#This Row],[Match_Number]]/100)),Dyno_EndMatch[teammat],Dyno_EndMatch[RobotSta],"_",0,1)</f>
        <v>OppS</v>
      </c>
      <c r="AS70">
        <f>SUMIFS(Dyno_Data[AcqDis], Dyno_Data[Team],TBA_Matches_All[[#This Row],[Team]],Dyno_Data[Match],TBA_Matches_All[[#This Row],[Match_Number]],Dyno_Data[RecordType],"Activities", Dyno_Data[AcqCenter],1,Dyno_Data[Mode],"Auto")</f>
        <v>0</v>
      </c>
      <c r="AT70">
        <f>SUMIFS(Dyno_Data[AcqDis], Dyno_Data[Team],TBA_Matches_All[[#This Row],[Team]],Dyno_Data[Match],TBA_Matches_All[[#This Row],[Match_Number]],Dyno_Data[RecordType],"Activities", Dyno_Data[AcqCenter],2,Dyno_Data[Mode],"Auto")</f>
        <v>0</v>
      </c>
      <c r="AU70">
        <f>SUMIFS(Dyno_Data[AcqDis], Dyno_Data[Team],TBA_Matches_All[[#This Row],[Team]],Dyno_Data[Match],TBA_Matches_All[[#This Row],[Match_Number]],Dyno_Data[RecordType],"Activities", Dyno_Data[AcqCenter],3,Dyno_Data[Mode],"Auto")</f>
        <v>0</v>
      </c>
      <c r="AV70">
        <f>SUMIFS(Dyno_Data[AcqDis], Dyno_Data[Team],TBA_Matches_All[[#This Row],[Team]],Dyno_Data[Match],TBA_Matches_All[[#This Row],[Match_Number]],Dyno_Data[RecordType],"Activities", Dyno_Data[AcqCenter],4,Dyno_Data[Mode],"Auto")</f>
        <v>0</v>
      </c>
      <c r="AW70">
        <f>SUMIFS(Dyno_Data[AcqDis], Dyno_Data[Team],TBA_Matches_All[[#This Row],[Team]],Dyno_Data[Match],TBA_Matches_All[[#This Row],[Match_Number]],Dyno_Data[RecordType],"Activities", Dyno_Data[AcqCenter],5,Dyno_Data[Mode],"Auto")</f>
        <v>0</v>
      </c>
      <c r="AX70">
        <f>SUMIFS(Dyno_Data[DelMiss], Dyno_Data[Team],TBA_Matches_All[[#This Row],[Team]],Dyno_Data[Match],TBA_Matches_All[[#This Row],[Match_Number]],Dyno_Data[RecordType],"Activities", Dyno_Data[DelDest],"Amp")</f>
        <v>0</v>
      </c>
      <c r="AY70" s="60">
        <f>IFERROR(SUM((TBA_Matches_All[[#This Row],[AampT]]+TBA_Matches_All[[#This Row],[TampT]])/(TBA_Matches_All[[#This Row],[AampT]]+TBA_Matches_All[[#This Row],[TampT]]+TBA_Matches_All[[#This Row],[ampM]])),0)</f>
        <v>0</v>
      </c>
      <c r="AZ70">
        <f>SUMIFS(Dyno_Data[DelMiss], Dyno_Data[Team],TBA_Matches_All[[#This Row],[Team]],Dyno_Data[Match],TBA_Matches_All[[#This Row],[Match_Number]],Dyno_Data[RecordType],"Activities", Dyno_Data[DelDest],"Spkr")</f>
        <v>0</v>
      </c>
      <c r="BA70" s="60">
        <f>IFERROR(SUM((TBA_Matches_All[[#This Row],[AspkrT]]+TBA_Matches_All[[#This Row],[TspkrT]])/(TBA_Matches_All[[#This Row],[AspkrT]]+TBA_Matches_All[[#This Row],[TspkrT]]+TBA_Matches_All[[#This Row],[spkrM]])),0)</f>
        <v>0</v>
      </c>
      <c r="BB70">
        <f>SUMIFS(Dyno_Data[DelMiss], Dyno_Data[Team],TBA_Matches_All[[#This Row],[Team]],Dyno_Data[Match],TBA_Matches_All[[#This Row],[Match_Number]],Dyno_Data[RecordType],"Activities", Dyno_Data[DelDest],"Trap")</f>
        <v>0</v>
      </c>
      <c r="BC70" s="60">
        <f>IFERROR((TBA_Matches_All[[#This Row],[AtrapT]]+TBA_Matches_All[[#This Row],[TtrapT]])/(TBA_Matches_All[[#This Row],[AtrapT]]+TBA_Matches_All[[#This Row],[TtrapT]]+TBA_Matches_All[[#This Row],[trapM]]),0)</f>
        <v>0</v>
      </c>
      <c r="BD70">
        <f>COUNTIFS(Dyno_Data[Team],TBA_Matches_All[[#This Row],[Team]],Dyno_Data[Match],TBA_Matches_All[[#This Row],[Match_Number]],Dyno_Data[RecordType],"Activities",Dyno_Data[DelDest],"Neut", Dyno_Data[DelMiss],1)</f>
        <v>0</v>
      </c>
      <c r="BE70" s="60">
        <f>IFERROR(SUM((TBA_Matches_All[[#This Row],[NeutFlrT]])/(TBA_Matches_All[[#This Row],[NeutFlrT]]+TBA_Matches_All[[#This Row],[NZflM]])),0)</f>
        <v>0</v>
      </c>
      <c r="BF70">
        <f>COUNTIFS(Dyno_Data[Team],TBA_Matches_All[[#This Row],[Team]],Dyno_Data[Match],TBA_Matches_All[[#This Row],[Match_Number]],Dyno_Data[RecordType],"Activities",Dyno_Data[DelDest],"AllyW", Dyno_Data[DelMiss],1)</f>
        <v>0</v>
      </c>
      <c r="BG70" s="60">
        <f>IFERROR(SUM((TBA_Matches_All[[#This Row],[AllyWFlrT]])/(TBA_Matches_All[[#This Row],[AllyWFlrT]]+TBA_Matches_All[[#This Row],[AZflM]])),0)</f>
        <v>0</v>
      </c>
      <c r="BH70">
        <f>COUNTIFS(Dyno_Data[Team],TBA_Matches_All[[#This Row],[Team]],Dyno_Data[Match],TBA_Matches_All[[#This Row],[Match_Number]],Dyno_Data[RecordType],"Activities",Dyno_Data[DelOrig],"OppW", Dyno_Data[DelMiss],"0")</f>
        <v>0</v>
      </c>
      <c r="BI70">
        <f>COUNTIFS(Dyno_Data[Team],TBA_Matches_All[[#This Row],[Team]],Dyno_Data[Match],TBA_Matches_All[[#This Row],[Match_Number]],Dyno_Data[RecordType],"Activities",Dyno_Data[DelOrig],"OppW", Dyno_Data[DelMiss],"1")</f>
        <v>0</v>
      </c>
      <c r="BJ70" s="60">
        <f>IFERROR(SUM((TBA_Matches_All[[#This Row],[OZflrT]])/(TBA_Matches_All[[#This Row],[OZflrT]]+TBA_Matches_All[[#This Row],[OZflrM]])),0)</f>
        <v>0</v>
      </c>
      <c r="BK70">
        <f>COUNTIFS(Dyno_Data[Team],TBA_Matches_All[[#This Row],[Team]],Dyno_Data[Match],TBA_Matches_All[[#This Row],[Match_Number]],Dyno_Data[RecordType],"Activities",Dyno_Data[DelOrig],"Neut", Dyno_Data[DelMiss],"0")</f>
        <v>0</v>
      </c>
      <c r="BL70">
        <f>COUNTIFS(Dyno_Data[Team],TBA_Matches_All[[#This Row],[Team]],Dyno_Data[Match],TBA_Matches_All[[#This Row],[Match_Number]],Dyno_Data[RecordType],"Activities",Dyno_Data[DelOrig],"Neut", Dyno_Data[DelMiss],"1")</f>
        <v>0</v>
      </c>
      <c r="BM70" s="60">
        <f>IFERROR(SUM((TBA_Matches_All[[#This Row],[NZflrT]])/(TBA_Matches_All[[#This Row],[NZflrT]]+TBA_Matches_All[[#This Row],[NZflrM]])),0)</f>
        <v>0</v>
      </c>
      <c r="BN70">
        <f>COUNTIFS(Dyno_Data[Team],TBA_Matches_All[[#This Row],[Team]],Dyno_Data[Match],TBA_Matches_All[[#This Row],[Match_Number]],Dyno_Data[RecordType],"Activities",Dyno_Data[DelOrig],"AllyW", Dyno_Data[DelMiss],"0")</f>
        <v>0</v>
      </c>
      <c r="BO70">
        <f>COUNTIFS(Dyno_Data[Team],TBA_Matches_All[[#This Row],[Team]],Dyno_Data[Match],TBA_Matches_All[[#This Row],[Match_Number]],Dyno_Data[RecordType],"Activities",Dyno_Data[DelOrig],"AllyW", Dyno_Data[DelMiss],"1")</f>
        <v>0</v>
      </c>
      <c r="BP70" s="60">
        <f>IFERROR(SUM((TBA_Matches_All[[#This Row],[AZflrT]])/(TBA_Matches_All[[#This Row],[AZflrT]]+TBA_Matches_All[[#This Row],[AZflrM]])),0)</f>
        <v>0</v>
      </c>
      <c r="BQ70">
        <f>COUNTIFS(Dyno_Data[Team],TBA_Matches_All[[#This Row],[Team]],Dyno_Data[Match],TBA_Matches_All[[#This Row],[Match_Number]],Dyno_Data[RecordType],"Activities",Dyno_Data[DelOrig],"SubW", Dyno_Data[DelMiss],"0")</f>
        <v>0</v>
      </c>
      <c r="BR70">
        <f>COUNTIFS(Dyno_Data[Team],TBA_Matches_All[[#This Row],[Team]],Dyno_Data[Match],TBA_Matches_All[[#This Row],[Match_Number]],Dyno_Data[RecordType],"Activities",Dyno_Data[DelOrig],"SubW", Dyno_Data[DelMiss],"1")</f>
        <v>0</v>
      </c>
      <c r="BS70" s="60">
        <f>IFERROR(SUM((TBA_Matches_All[[#This Row],[SubwT]])/(TBA_Matches_All[[#This Row],[SubwT]]+TBA_Matches_All[[#This Row],[SubwM]])),0)</f>
        <v>0</v>
      </c>
      <c r="BT70">
        <f>COUNTIFS(Dyno_Data[Team],TBA_Matches_All[[#This Row],[Team]],Dyno_Data[Match],TBA_Matches_All[[#This Row],[Match_Number]],Dyno_Data[RecordType],"Activities", Dyno_Data[AcqLoc],"OppWing")</f>
        <v>0</v>
      </c>
      <c r="BU70">
        <f>COUNTIFS(Dyno_Data[Team],TBA_Matches_All[[#This Row],[Team]],Dyno_Data[Match],TBA_Matches_All[[#This Row],[Match_Number]],Dyno_Data[RecordType],"Activities", Dyno_Data[AcqLoc],"Neutral")</f>
        <v>0</v>
      </c>
      <c r="BV70">
        <f>COUNTIFS(Dyno_Data[Team],TBA_Matches_All[[#This Row],[Team]],Dyno_Data[Match],TBA_Matches_All[[#This Row],[Match_Number]],Dyno_Data[RecordType],"Activities", Dyno_Data[AcqLoc],"AllyWing")</f>
        <v>0</v>
      </c>
      <c r="BW70">
        <f>COUNTIFS(Dyno_Data[Team],TBA_Matches_All[[#This Row],[Team]],Dyno_Data[Match],TBA_Matches_All[[#This Row],[Match_Number]],Dyno_Data[RecordType],"Activities", Dyno_Data[AcqLoc],"Source")</f>
        <v>0</v>
      </c>
      <c r="BX70">
        <f>SUMIFS(Dyno_Data[AcqDrp], Dyno_Data[Team],TBA_Matches_All[[#This Row],[Team]],Dyno_Data[Match],TBA_Matches_All[[#This Row],[Match_Number]],Dyno_Data[RecordType],"Activities", Dyno_Data[AcqLoc],"Source")</f>
        <v>0</v>
      </c>
      <c r="BY70">
        <f>SUMIFS(Dyno_Data[OZTime], Dyno_Data[Team],TBA_Matches_All[[#This Row],[Team]],Dyno_Data[Match],TBA_Matches_All[[#This Row],[Match_Number]],Dyno_Data[RecordType],"EndMatch")</f>
        <v>0</v>
      </c>
      <c r="BZ70">
        <f>SUMIFS(Dyno_Data[NZTime], Dyno_Data[Team],TBA_Matches_All[[#This Row],[Team]],Dyno_Data[Match],TBA_Matches_All[[#This Row],[Match_Number]],Dyno_Data[RecordType],"EndMatch")</f>
        <v>60.985530300000001</v>
      </c>
      <c r="CA70">
        <f>SUMIFS(Dyno_Data[AZTime], Dyno_Data[Team],TBA_Matches_All[[#This Row],[Team]],Dyno_Data[Match],TBA_Matches_All[[#This Row],[Match_Number]],Dyno_Data[RecordType],"EndMatch")</f>
        <v>74.484159899999995</v>
      </c>
      <c r="CB70">
        <f>SUMIFS(Dyno_Data[ClimbT], Dyno_Data[Team],TBA_Matches_All[[#This Row],[Team]],Dyno_Data[Match],TBA_Matches_All[[#This Row],[Match_Number]],Dyno_Data[RecordType],"EndMatch")</f>
        <v>0</v>
      </c>
      <c r="CC70" t="str">
        <f>_xlfn.XLOOKUP(SUM(MID(TBA_Matches_All[[#This Row],[Team]],4,5),(TBA_Matches_All[[#This Row],[Match_Number]]/100)),Dyno_EndMatch[teammat],Dyno_EndMatch[StageStat],"_",0,1)</f>
        <v>Park</v>
      </c>
      <c r="CD70" t="str">
        <f>_xlfn.XLOOKUP(TBA_Matches_All[[#This Row],[teammat]],Dyno_EndMatch[teammat],Dyno_EndMatch[StageAtt],"_",0,1)</f>
        <v>0</v>
      </c>
      <c r="CE70" t="str">
        <f>_xlfn.XLOOKUP(TBA_Matches_All[[#This Row],[teammat]],Dyno_EndMatch[teammat],Dyno_EndMatch[StageLoc],"_",0,1)</f>
        <v>A</v>
      </c>
      <c r="CF70">
        <f>SUMIFS(Dyno_Data[Harmony], Dyno_Data[Team],TBA_Matches_All[[#This Row],[Team]],Dyno_Data[Match],TBA_Matches_All[[#This Row],[Match_Number]],Dyno_Data[RecordType],"EndMatch", Dyno_Data[StageStat],"On",Dyno_Data[Harmony],"&lt;&gt;9")</f>
        <v>0</v>
      </c>
      <c r="CG70">
        <f>SUMIFS(Dyno_Data[Spotlit], Dyno_Data[Team],TBA_Matches_All[[#This Row],[Team]],Dyno_Data[Match],TBA_Matches_All[[#This Row],[Match_Number]],Dyno_Data[RecordType],"EndMatch", Dyno_Data[StageStat],"On",Dyno_Data[Spotlit],"&lt;&gt;9")</f>
        <v>0</v>
      </c>
      <c r="CH70" t="str">
        <f>_xlfn.XLOOKUP(TBA_Matches_All[[#This Row],[teammat]],Dyno_EndMatch[teammat],Dyno_EndMatch[Strategy],"_",0,1)</f>
        <v>None</v>
      </c>
      <c r="CI70">
        <f>SUMIFS(Dyno_Data[Defense], Dyno_Data[Team],TBA_Matches_All[[#This Row],[Team]],Dyno_Data[Match],TBA_Matches_All[[#This Row],[Match_Number]],Dyno_Data[RecordType],"EndMatch",Dyno_Data[Defense],"&lt;&gt;9")</f>
        <v>0</v>
      </c>
      <c r="CJ70">
        <f>SUMIFS(Dyno_Data[Avoidance], Dyno_Data[Team],TBA_Matches_All[[#This Row],[Team]],Dyno_Data[Match],TBA_Matches_All[[#This Row],[Match_Number]],Dyno_Data[RecordType],"EndMatch",Dyno_Data[Avoidance],"&lt;&gt;9")</f>
        <v>1</v>
      </c>
      <c r="CK70" s="82">
        <f>COUNTIF($H$2:TBA_Matches_All[[#This Row],[Team]],TBA_Matches_All[[#This Row],[Team]])</f>
        <v>2</v>
      </c>
      <c r="CL70" s="111">
        <f>SUM(MID(TBA_Matches_All[[#This Row],[Team]],4,5)+TBA_Matches_All[[#This Row],[Match_Number]]/100)</f>
        <v>7030.12</v>
      </c>
      <c r="CM70">
        <f>SUM((TBA_Matches_All[[#This Row],[Leave]]*2)+(TBA_Matches_All[[#This Row],[AampT]]*2)+(TBA_Matches_All[[#This Row],[AspkrT]]*5)+(TBA_Matches_All[[#This Row],[AtrapT]]*5))</f>
        <v>0</v>
      </c>
      <c r="CN70" s="59">
        <f>IFERROR(SUM(TBA_Matches_All[[#This Row],[AptsT]]/TBA_Matches_All[[#This Row],[AutoPts]]),0)</f>
        <v>0</v>
      </c>
      <c r="CO70" s="59">
        <f>IFERROR(SUM(TBA_Matches_All[[#This Row],[AampT]]+TBA_Matches_All[[#This Row],[AspkrT]]+TBA_Matches_All[[#This Row],[AtrapT]]/TBA_Matches_All[[#This Row],[Aamp]]+TBA_Matches_All[[#This Row],[Aspkr]]+TBA_Matches_All[[#This Row],[AtrapT]]),0)</f>
        <v>0</v>
      </c>
      <c r="CP70" s="59">
        <f>IFERROR(SUM(TBA_Matches_All[[#This Row],[TampT]]/TBA_Matches_All[[#This Row],[Tamp]]),0)</f>
        <v>0</v>
      </c>
      <c r="CQ70" s="59">
        <f>IFERROR(SUM(TBA_Matches_All[[#This Row],[TspkrT]]/TBA_Matches_All[[#This Row],[Tspkr]]),0)</f>
        <v>0</v>
      </c>
      <c r="CR70">
        <f>SUM(TBA_Matches_All[[#This Row],[TspkrPts]]*TBA_Matches_All[[#This Row],[TspkrP]])</f>
        <v>0</v>
      </c>
      <c r="CS70" s="59">
        <f>IFERROR(SUM(TBA_Matches_All[[#This Row],[TtrapT]]/TBA_Matches_All[[#This Row],[Trap]]),0)</f>
        <v>0</v>
      </c>
      <c r="CT70" s="59">
        <f>IFERROR(SUM(TBA_Matches_All[[#This Row],[TotNotesT]]/TBA_Matches_All[[#This Row],[TotNotes]]),0)</f>
        <v>0</v>
      </c>
      <c r="CU70" s="66">
        <f>SUM((TBA_Matches_All[[#This Row],[AampT]]*2)+(TBA_Matches_All[[#This Row],[AspkrT]]*5)+(TBA_Matches_All[[#This Row],[AtrapT]]*5)+(TBA_Matches_All[[#This Row],[TampT]]*1)+(TBA_Matches_All[[#This Row],[TspkrptsC]]))</f>
        <v>0</v>
      </c>
      <c r="CV70" s="59">
        <f>IFERROR(TBA_Matches_All[[#This Row],[noteptsT]]/TBA_Matches_All[[#This Row],[NotePts]],0)</f>
        <v>0</v>
      </c>
      <c r="CW70">
        <f>SUM(IF(TBA_Matches_All[[#This Row],[stageStat]]="On",3,0),IF(TBA_Matches_All[[#This Row],[stageStat]]="Park",1,0),SUMIFS(TBA_Matches_All[[#This Row],[Spotlit]],TBA_Matches_All[[#This Row],[stageStat]],"On"),SUMIFS(TBA_Matches_All[[#This Row],[Harmony]],TBA_Matches_All[[#This Row],[stageStat]],"On"))</f>
        <v>1</v>
      </c>
      <c r="CX70" s="59">
        <f>IFERROR(TBA_Matches_All[[#This Row],[stageptsT]]/TBA_Matches_All[[#This Row],[StagePts]],0)</f>
        <v>1</v>
      </c>
      <c r="CY70">
        <f>SUM((TBA_Matches_All[[#This Row],[AptsT]]+TBA_Matches_All[[#This Row],[TampT]]+TBA_Matches_All[[#This Row],[TspkrptsC]]+(TBA_Matches_All[[#This Row],[TtrapT]]*5)+TBA_Matches_All[[#This Row],[stageptsT]]))</f>
        <v>1</v>
      </c>
      <c r="CZ70" s="59">
        <f>IFERROR(SUM(TBA_Matches_All[[#This Row],[TotptsC]]/TBA_Matches_All[[#This Row],[Score]]),0)</f>
        <v>1.6949152542372881E-2</v>
      </c>
      <c r="DA7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70" s="74">
        <f>SUMIFS(TBA_Matches_All[AveTeamTNoteDels],TBA_Matches_All[Match_Number],TBA_Matches_All[[#This Row],[Match_Number]],TBA_Matches_All[Alliance],"&lt;&gt;"&amp;TBA_Matches_All[[#This Row],[Alliance]],TBA_Matches_All[Scouted],"&gt;0")</f>
        <v>18.171428571428571</v>
      </c>
      <c r="DC70" s="74">
        <f>(TBA_Matches_All[[#This Row],[TampT]]+TBA_Matches_All[[#This Row],[TspkrptsC]])-TBA_Matches_All[[#This Row],[AveTeamTNoteDels]]</f>
        <v>0</v>
      </c>
      <c r="DD70" s="74">
        <f>SUMIFS(TBA_Matches_All[AveTeamTNoteDels],TBA_Matches_All[Match_Number],TBA_Matches_All[[#This Row],[Match_Number]],TBA_Matches_All[Alliance],"&lt;&gt;"&amp;TBA_Matches_All[[#This Row],[Alliance]])-TBA_Matches_All[[#This Row],[AveOppTNoteDels]]</f>
        <v>0</v>
      </c>
    </row>
    <row r="71" spans="1:108" x14ac:dyDescent="0.3">
      <c r="A71" t="s">
        <v>1042</v>
      </c>
      <c r="B71" t="s">
        <v>489</v>
      </c>
      <c r="C71" t="s">
        <v>1321</v>
      </c>
      <c r="D71">
        <v>12</v>
      </c>
      <c r="E71" t="s">
        <v>1420</v>
      </c>
      <c r="F71" t="s">
        <v>1421</v>
      </c>
      <c r="G71" t="s">
        <v>164</v>
      </c>
      <c r="H71" t="s">
        <v>1283</v>
      </c>
      <c r="I71" t="b">
        <v>0</v>
      </c>
      <c r="J71">
        <v>45</v>
      </c>
      <c r="K71">
        <v>0</v>
      </c>
      <c r="L71">
        <v>0</v>
      </c>
      <c r="M71">
        <v>4</v>
      </c>
      <c r="N71">
        <v>0</v>
      </c>
      <c r="O71">
        <v>3</v>
      </c>
      <c r="P71">
        <v>15</v>
      </c>
      <c r="Q71">
        <v>19</v>
      </c>
      <c r="R71">
        <v>0</v>
      </c>
      <c r="S71">
        <v>0</v>
      </c>
      <c r="T71">
        <v>10</v>
      </c>
      <c r="U71">
        <v>0</v>
      </c>
      <c r="V71">
        <v>20</v>
      </c>
      <c r="W71">
        <v>10</v>
      </c>
      <c r="X71">
        <v>20</v>
      </c>
      <c r="Y71">
        <v>20</v>
      </c>
      <c r="Z71">
        <v>0</v>
      </c>
      <c r="AA71">
        <v>0</v>
      </c>
      <c r="AB71">
        <v>13</v>
      </c>
      <c r="AC71">
        <v>35</v>
      </c>
      <c r="AD71">
        <v>6</v>
      </c>
      <c r="AE71">
        <f>IFERROR(6/(COUNTIF(Dyno_EndMatch[Match],TBA_Matches_All[[#This Row],[Match_Number]])),0)</f>
        <v>1</v>
      </c>
      <c r="AF71">
        <f>COUNTIFS(Dyno_Data[Team],TBA_Matches_All[[#This Row],[Team]],Dyno_Data[Match],TBA_Matches_All[[#This Row],[Match_Number]],Dyno_Data[RecordType],"EndMatch",Dyno_Data[HPAmp],"Y")</f>
        <v>0</v>
      </c>
      <c r="AG71">
        <f>SUMIFS(Dyno_Data[Mics], Dyno_Data[Team],TBA_Matches_All[[#This Row],[Team]],Dyno_Data[Match],TBA_Matches_All[[#This Row],[Match_Number]],Dyno_Data[RecordType],"EndMatch",Dyno_Data[HPAmp],"Y")</f>
        <v>0</v>
      </c>
      <c r="AH71">
        <f>SUMIFS(Dyno_Data[Leave], Dyno_Data[Team],TBA_Matches_All[[#This Row],[Team]],Dyno_Data[Match],TBA_Matches_All[[#This Row],[Match_Number]],Dyno_Data[RecordType],"EndAuto")</f>
        <v>1</v>
      </c>
      <c r="AI71">
        <f>COUNTIFS(Dyno_Data[Team],TBA_Matches_All[[#This Row],[Team]],Dyno_Data[Match],TBA_Matches_All[[#This Row],[Match_Number]],Dyno_Data[RecordType],"Activities",Dyno_Data[DelDest],"Amp", Dyno_Data[DelMiss],"0", Dyno_Data[Mode],"Auto")</f>
        <v>0</v>
      </c>
      <c r="AJ71">
        <f>COUNTIFS(Dyno_Data[Team],TBA_Matches_All[[#This Row],[Team]],Dyno_Data[Match],TBA_Matches_All[[#This Row],[Match_Number]],Dyno_Data[RecordType],"Activities",Dyno_Data[DelDest],"Spkr", Dyno_Data[DelMiss],"0", Dyno_Data[Mode],"Auto")</f>
        <v>0</v>
      </c>
      <c r="AK71">
        <f>COUNTIFS(Dyno_Data[Team],TBA_Matches_All[[#This Row],[Team]],Dyno_Data[Match],TBA_Matches_All[[#This Row],[Match_Number]],Dyno_Data[RecordType],"Activities",Dyno_Data[DelDest],"Trap", Dyno_Data[DelMiss],"0", Dyno_Data[Mode],"Auto")</f>
        <v>0</v>
      </c>
      <c r="AL71">
        <f>COUNTIFS(Dyno_Data[Team],TBA_Matches_All[[#This Row],[Team]],Dyno_Data[Match],TBA_Matches_All[[#This Row],[Match_Number]],Dyno_Data[RecordType],"Activities",Dyno_Data[DelDest],"Amp", Dyno_Data[DelMiss],"0", Dyno_Data[Mode],"Teleop")</f>
        <v>0</v>
      </c>
      <c r="AM71">
        <f>COUNTIFS(Dyno_Data[Team],TBA_Matches_All[[#This Row],[Team]],Dyno_Data[Match],TBA_Matches_All[[#This Row],[Match_Number]],Dyno_Data[RecordType],"Activities",Dyno_Data[DelDest],"Spkr", Dyno_Data[DelMiss],"0", Dyno_Data[Mode],"Teleop")</f>
        <v>0</v>
      </c>
      <c r="AN71">
        <f>COUNTIFS(Dyno_Data[Team],TBA_Matches_All[[#This Row],[Team]],Dyno_Data[Match],TBA_Matches_All[[#This Row],[Match_Number]],Dyno_Data[RecordType],"Activities",Dyno_Data[DelDest],"Trap", Dyno_Data[DelMiss],"0", Dyno_Data[Mode],"&lt;&gt;Auto")</f>
        <v>0</v>
      </c>
      <c r="AO71">
        <f>SUM(TBA_Matches_All[[#This Row],[AampT]]+TBA_Matches_All[[#This Row],[AspkrT]]+TBA_Matches_All[[#This Row],[AtrapT]]+TBA_Matches_All[[#This Row],[TampT]]+TBA_Matches_All[[#This Row],[TspkrT]]+TBA_Matches_All[[#This Row],[TtrapT]])</f>
        <v>0</v>
      </c>
      <c r="AP71">
        <f>COUNTIFS(Dyno_Data[Team],TBA_Matches_All[[#This Row],[Team]],Dyno_Data[Match],TBA_Matches_All[[#This Row],[Match_Number]],Dyno_Data[RecordType],"Activities",Dyno_Data[DelDest],"Neut", Dyno_Data[DelMiss],"0")</f>
        <v>0</v>
      </c>
      <c r="AQ71">
        <f>COUNTIFS(Dyno_Data[Team],TBA_Matches_All[[#This Row],[Team]],Dyno_Data[Match],TBA_Matches_All[[#This Row],[Match_Number]],Dyno_Data[RecordType],"Activities",Dyno_Data[DelDest],"AllyW", Dyno_Data[DelMiss],"0")</f>
        <v>0</v>
      </c>
      <c r="AR71" t="str">
        <f>_xlfn.XLOOKUP(SUM(MID(TBA_Matches_All[[#This Row],[Team]],4,5),(TBA_Matches_All[[#This Row],[Match_Number]]/100)),Dyno_EndMatch[teammat],Dyno_EndMatch[RobotSta],"_",0,1)</f>
        <v>OppS</v>
      </c>
      <c r="AS71">
        <f>SUMIFS(Dyno_Data[AcqDis], Dyno_Data[Team],TBA_Matches_All[[#This Row],[Team]],Dyno_Data[Match],TBA_Matches_All[[#This Row],[Match_Number]],Dyno_Data[RecordType],"Activities", Dyno_Data[AcqCenter],1,Dyno_Data[Mode],"Auto")</f>
        <v>0</v>
      </c>
      <c r="AT71">
        <f>SUMIFS(Dyno_Data[AcqDis], Dyno_Data[Team],TBA_Matches_All[[#This Row],[Team]],Dyno_Data[Match],TBA_Matches_All[[#This Row],[Match_Number]],Dyno_Data[RecordType],"Activities", Dyno_Data[AcqCenter],2,Dyno_Data[Mode],"Auto")</f>
        <v>-1</v>
      </c>
      <c r="AU71">
        <f>SUMIFS(Dyno_Data[AcqDis], Dyno_Data[Team],TBA_Matches_All[[#This Row],[Team]],Dyno_Data[Match],TBA_Matches_All[[#This Row],[Match_Number]],Dyno_Data[RecordType],"Activities", Dyno_Data[AcqCenter],3,Dyno_Data[Mode],"Auto")</f>
        <v>0</v>
      </c>
      <c r="AV71">
        <f>SUMIFS(Dyno_Data[AcqDis], Dyno_Data[Team],TBA_Matches_All[[#This Row],[Team]],Dyno_Data[Match],TBA_Matches_All[[#This Row],[Match_Number]],Dyno_Data[RecordType],"Activities", Dyno_Data[AcqCenter],4,Dyno_Data[Mode],"Auto")</f>
        <v>0</v>
      </c>
      <c r="AW71">
        <f>SUMIFS(Dyno_Data[AcqDis], Dyno_Data[Team],TBA_Matches_All[[#This Row],[Team]],Dyno_Data[Match],TBA_Matches_All[[#This Row],[Match_Number]],Dyno_Data[RecordType],"Activities", Dyno_Data[AcqCenter],5,Dyno_Data[Mode],"Auto")</f>
        <v>0</v>
      </c>
      <c r="AX71">
        <f>SUMIFS(Dyno_Data[DelMiss], Dyno_Data[Team],TBA_Matches_All[[#This Row],[Team]],Dyno_Data[Match],TBA_Matches_All[[#This Row],[Match_Number]],Dyno_Data[RecordType],"Activities", Dyno_Data[DelDest],"Amp")</f>
        <v>0</v>
      </c>
      <c r="AY71" s="60">
        <f>IFERROR(SUM((TBA_Matches_All[[#This Row],[AampT]]+TBA_Matches_All[[#This Row],[TampT]])/(TBA_Matches_All[[#This Row],[AampT]]+TBA_Matches_All[[#This Row],[TampT]]+TBA_Matches_All[[#This Row],[ampM]])),0)</f>
        <v>0</v>
      </c>
      <c r="AZ71">
        <f>SUMIFS(Dyno_Data[DelMiss], Dyno_Data[Team],TBA_Matches_All[[#This Row],[Team]],Dyno_Data[Match],TBA_Matches_All[[#This Row],[Match_Number]],Dyno_Data[RecordType],"Activities", Dyno_Data[DelDest],"Spkr")</f>
        <v>2</v>
      </c>
      <c r="BA71" s="60">
        <f>IFERROR(SUM((TBA_Matches_All[[#This Row],[AspkrT]]+TBA_Matches_All[[#This Row],[TspkrT]])/(TBA_Matches_All[[#This Row],[AspkrT]]+TBA_Matches_All[[#This Row],[TspkrT]]+TBA_Matches_All[[#This Row],[spkrM]])),0)</f>
        <v>0</v>
      </c>
      <c r="BB71">
        <f>SUMIFS(Dyno_Data[DelMiss], Dyno_Data[Team],TBA_Matches_All[[#This Row],[Team]],Dyno_Data[Match],TBA_Matches_All[[#This Row],[Match_Number]],Dyno_Data[RecordType],"Activities", Dyno_Data[DelDest],"Trap")</f>
        <v>0</v>
      </c>
      <c r="BC71" s="60">
        <f>IFERROR((TBA_Matches_All[[#This Row],[AtrapT]]+TBA_Matches_All[[#This Row],[TtrapT]])/(TBA_Matches_All[[#This Row],[AtrapT]]+TBA_Matches_All[[#This Row],[TtrapT]]+TBA_Matches_All[[#This Row],[trapM]]),0)</f>
        <v>0</v>
      </c>
      <c r="BD71">
        <f>COUNTIFS(Dyno_Data[Team],TBA_Matches_All[[#This Row],[Team]],Dyno_Data[Match],TBA_Matches_All[[#This Row],[Match_Number]],Dyno_Data[RecordType],"Activities",Dyno_Data[DelDest],"Neut", Dyno_Data[DelMiss],1)</f>
        <v>0</v>
      </c>
      <c r="BE71" s="60">
        <f>IFERROR(SUM((TBA_Matches_All[[#This Row],[NeutFlrT]])/(TBA_Matches_All[[#This Row],[NeutFlrT]]+TBA_Matches_All[[#This Row],[NZflM]])),0)</f>
        <v>0</v>
      </c>
      <c r="BF71">
        <f>COUNTIFS(Dyno_Data[Team],TBA_Matches_All[[#This Row],[Team]],Dyno_Data[Match],TBA_Matches_All[[#This Row],[Match_Number]],Dyno_Data[RecordType],"Activities",Dyno_Data[DelDest],"AllyW", Dyno_Data[DelMiss],1)</f>
        <v>0</v>
      </c>
      <c r="BG71" s="60">
        <f>IFERROR(SUM((TBA_Matches_All[[#This Row],[AllyWFlrT]])/(TBA_Matches_All[[#This Row],[AllyWFlrT]]+TBA_Matches_All[[#This Row],[AZflM]])),0)</f>
        <v>0</v>
      </c>
      <c r="BH71">
        <f>COUNTIFS(Dyno_Data[Team],TBA_Matches_All[[#This Row],[Team]],Dyno_Data[Match],TBA_Matches_All[[#This Row],[Match_Number]],Dyno_Data[RecordType],"Activities",Dyno_Data[DelOrig],"OppW", Dyno_Data[DelMiss],"0")</f>
        <v>0</v>
      </c>
      <c r="BI71">
        <f>COUNTIFS(Dyno_Data[Team],TBA_Matches_All[[#This Row],[Team]],Dyno_Data[Match],TBA_Matches_All[[#This Row],[Match_Number]],Dyno_Data[RecordType],"Activities",Dyno_Data[DelOrig],"OppW", Dyno_Data[DelMiss],"1")</f>
        <v>0</v>
      </c>
      <c r="BJ71" s="60">
        <f>IFERROR(SUM((TBA_Matches_All[[#This Row],[OZflrT]])/(TBA_Matches_All[[#This Row],[OZflrT]]+TBA_Matches_All[[#This Row],[OZflrM]])),0)</f>
        <v>0</v>
      </c>
      <c r="BK71">
        <f>COUNTIFS(Dyno_Data[Team],TBA_Matches_All[[#This Row],[Team]],Dyno_Data[Match],TBA_Matches_All[[#This Row],[Match_Number]],Dyno_Data[RecordType],"Activities",Dyno_Data[DelOrig],"Neut", Dyno_Data[DelMiss],"0")</f>
        <v>0</v>
      </c>
      <c r="BL71">
        <f>COUNTIFS(Dyno_Data[Team],TBA_Matches_All[[#This Row],[Team]],Dyno_Data[Match],TBA_Matches_All[[#This Row],[Match_Number]],Dyno_Data[RecordType],"Activities",Dyno_Data[DelOrig],"Neut", Dyno_Data[DelMiss],"1")</f>
        <v>0</v>
      </c>
      <c r="BM71" s="60">
        <f>IFERROR(SUM((TBA_Matches_All[[#This Row],[NZflrT]])/(TBA_Matches_All[[#This Row],[NZflrT]]+TBA_Matches_All[[#This Row],[NZflrM]])),0)</f>
        <v>0</v>
      </c>
      <c r="BN71">
        <f>COUNTIFS(Dyno_Data[Team],TBA_Matches_All[[#This Row],[Team]],Dyno_Data[Match],TBA_Matches_All[[#This Row],[Match_Number]],Dyno_Data[RecordType],"Activities",Dyno_Data[DelOrig],"AllyW", Dyno_Data[DelMiss],"0")</f>
        <v>0</v>
      </c>
      <c r="BO71">
        <f>COUNTIFS(Dyno_Data[Team],TBA_Matches_All[[#This Row],[Team]],Dyno_Data[Match],TBA_Matches_All[[#This Row],[Match_Number]],Dyno_Data[RecordType],"Activities",Dyno_Data[DelOrig],"AllyW", Dyno_Data[DelMiss],"1")</f>
        <v>2</v>
      </c>
      <c r="BP71" s="60">
        <f>IFERROR(SUM((TBA_Matches_All[[#This Row],[AZflrT]])/(TBA_Matches_All[[#This Row],[AZflrT]]+TBA_Matches_All[[#This Row],[AZflrM]])),0)</f>
        <v>0</v>
      </c>
      <c r="BQ71">
        <f>COUNTIFS(Dyno_Data[Team],TBA_Matches_All[[#This Row],[Team]],Dyno_Data[Match],TBA_Matches_All[[#This Row],[Match_Number]],Dyno_Data[RecordType],"Activities",Dyno_Data[DelOrig],"SubW", Dyno_Data[DelMiss],"0")</f>
        <v>0</v>
      </c>
      <c r="BR71">
        <f>COUNTIFS(Dyno_Data[Team],TBA_Matches_All[[#This Row],[Team]],Dyno_Data[Match],TBA_Matches_All[[#This Row],[Match_Number]],Dyno_Data[RecordType],"Activities",Dyno_Data[DelOrig],"SubW", Dyno_Data[DelMiss],"1")</f>
        <v>0</v>
      </c>
      <c r="BS71" s="60">
        <f>IFERROR(SUM((TBA_Matches_All[[#This Row],[SubwT]])/(TBA_Matches_All[[#This Row],[SubwT]]+TBA_Matches_All[[#This Row],[SubwM]])),0)</f>
        <v>0</v>
      </c>
      <c r="BT71">
        <f>COUNTIFS(Dyno_Data[Team],TBA_Matches_All[[#This Row],[Team]],Dyno_Data[Match],TBA_Matches_All[[#This Row],[Match_Number]],Dyno_Data[RecordType],"Activities", Dyno_Data[AcqLoc],"OppWing")</f>
        <v>0</v>
      </c>
      <c r="BU71">
        <f>COUNTIFS(Dyno_Data[Team],TBA_Matches_All[[#This Row],[Team]],Dyno_Data[Match],TBA_Matches_All[[#This Row],[Match_Number]],Dyno_Data[RecordType],"Activities", Dyno_Data[AcqLoc],"Neutral")</f>
        <v>1</v>
      </c>
      <c r="BV71">
        <f>COUNTIFS(Dyno_Data[Team],TBA_Matches_All[[#This Row],[Team]],Dyno_Data[Match],TBA_Matches_All[[#This Row],[Match_Number]],Dyno_Data[RecordType],"Activities", Dyno_Data[AcqLoc],"AllyWing")</f>
        <v>0</v>
      </c>
      <c r="BW71">
        <f>COUNTIFS(Dyno_Data[Team],TBA_Matches_All[[#This Row],[Team]],Dyno_Data[Match],TBA_Matches_All[[#This Row],[Match_Number]],Dyno_Data[RecordType],"Activities", Dyno_Data[AcqLoc],"Source")</f>
        <v>0</v>
      </c>
      <c r="BX71">
        <f>SUMIFS(Dyno_Data[AcqDrp], Dyno_Data[Team],TBA_Matches_All[[#This Row],[Team]],Dyno_Data[Match],TBA_Matches_All[[#This Row],[Match_Number]],Dyno_Data[RecordType],"Activities", Dyno_Data[AcqLoc],"Source")</f>
        <v>0</v>
      </c>
      <c r="BY71">
        <f>SUMIFS(Dyno_Data[OZTime], Dyno_Data[Team],TBA_Matches_All[[#This Row],[Team]],Dyno_Data[Match],TBA_Matches_All[[#This Row],[Match_Number]],Dyno_Data[RecordType],"EndMatch")</f>
        <v>48.5044641</v>
      </c>
      <c r="BZ71">
        <f>SUMIFS(Dyno_Data[NZTime], Dyno_Data[Team],TBA_Matches_All[[#This Row],[Team]],Dyno_Data[Match],TBA_Matches_All[[#This Row],[Match_Number]],Dyno_Data[RecordType],"EndMatch")</f>
        <v>22.909269800000001</v>
      </c>
      <c r="CA71">
        <f>SUMIFS(Dyno_Data[AZTime], Dyno_Data[Team],TBA_Matches_All[[#This Row],[Team]],Dyno_Data[Match],TBA_Matches_All[[#This Row],[Match_Number]],Dyno_Data[RecordType],"EndMatch")</f>
        <v>48.725384599999998</v>
      </c>
      <c r="CB71">
        <f>SUMIFS(Dyno_Data[ClimbT], Dyno_Data[Team],TBA_Matches_All[[#This Row],[Team]],Dyno_Data[Match],TBA_Matches_All[[#This Row],[Match_Number]],Dyno_Data[RecordType],"EndMatch")</f>
        <v>9.8098379999999992</v>
      </c>
      <c r="CC71" t="str">
        <f>_xlfn.XLOOKUP(SUM(MID(TBA_Matches_All[[#This Row],[Team]],4,5),(TBA_Matches_All[[#This Row],[Match_Number]]/100)),Dyno_EndMatch[teammat],Dyno_EndMatch[StageStat],"_",0,1)</f>
        <v>On</v>
      </c>
      <c r="CD71" t="str">
        <f>_xlfn.XLOOKUP(TBA_Matches_All[[#This Row],[teammat]],Dyno_EndMatch[teammat],Dyno_EndMatch[StageAtt],"_",0,1)</f>
        <v>1</v>
      </c>
      <c r="CE71" t="str">
        <f>_xlfn.XLOOKUP(TBA_Matches_All[[#This Row],[teammat]],Dyno_EndMatch[teammat],Dyno_EndMatch[StageLoc],"_",0,1)</f>
        <v>R</v>
      </c>
      <c r="CF71">
        <f>SUMIFS(Dyno_Data[Harmony], Dyno_Data[Team],TBA_Matches_All[[#This Row],[Team]],Dyno_Data[Match],TBA_Matches_All[[#This Row],[Match_Number]],Dyno_Data[RecordType],"EndMatch", Dyno_Data[StageStat],"On",Dyno_Data[Harmony],"&lt;&gt;9")</f>
        <v>0</v>
      </c>
      <c r="CG71">
        <f>SUMIFS(Dyno_Data[Spotlit], Dyno_Data[Team],TBA_Matches_All[[#This Row],[Team]],Dyno_Data[Match],TBA_Matches_All[[#This Row],[Match_Number]],Dyno_Data[RecordType],"EndMatch", Dyno_Data[StageStat],"On",Dyno_Data[Spotlit],"&lt;&gt;9")</f>
        <v>0</v>
      </c>
      <c r="CH71" t="str">
        <f>_xlfn.XLOOKUP(TBA_Matches_All[[#This Row],[teammat]],Dyno_EndMatch[teammat],Dyno_EndMatch[Strategy],"_",0,1)</f>
        <v>Hybrid</v>
      </c>
      <c r="CI71">
        <f>SUMIFS(Dyno_Data[Defense], Dyno_Data[Team],TBA_Matches_All[[#This Row],[Team]],Dyno_Data[Match],TBA_Matches_All[[#This Row],[Match_Number]],Dyno_Data[RecordType],"EndMatch",Dyno_Data[Defense],"&lt;&gt;9")</f>
        <v>0</v>
      </c>
      <c r="CJ71">
        <f>SUMIFS(Dyno_Data[Avoidance], Dyno_Data[Team],TBA_Matches_All[[#This Row],[Team]],Dyno_Data[Match],TBA_Matches_All[[#This Row],[Match_Number]],Dyno_Data[RecordType],"EndMatch",Dyno_Data[Avoidance],"&lt;&gt;9")</f>
        <v>0</v>
      </c>
      <c r="CK71" s="82">
        <f>COUNTIF($H$2:TBA_Matches_All[[#This Row],[Team]],TBA_Matches_All[[#This Row],[Team]])</f>
        <v>2</v>
      </c>
      <c r="CL71" s="111">
        <f>SUM(MID(TBA_Matches_All[[#This Row],[Team]],4,5)+TBA_Matches_All[[#This Row],[Match_Number]]/100)</f>
        <v>1601.12</v>
      </c>
      <c r="CM71">
        <f>SUM((TBA_Matches_All[[#This Row],[Leave]]*2)+(TBA_Matches_All[[#This Row],[AampT]]*2)+(TBA_Matches_All[[#This Row],[AspkrT]]*5)+(TBA_Matches_All[[#This Row],[AtrapT]]*5))</f>
        <v>2</v>
      </c>
      <c r="CN71" s="59">
        <f>IFERROR(SUM(TBA_Matches_All[[#This Row],[AptsT]]/TBA_Matches_All[[#This Row],[AutoPts]]),0)</f>
        <v>0.10526315789473684</v>
      </c>
      <c r="CO71" s="59">
        <f>IFERROR(SUM(TBA_Matches_All[[#This Row],[AampT]]+TBA_Matches_All[[#This Row],[AspkrT]]+TBA_Matches_All[[#This Row],[AtrapT]]/TBA_Matches_All[[#This Row],[Aamp]]+TBA_Matches_All[[#This Row],[Aspkr]]+TBA_Matches_All[[#This Row],[AtrapT]]),0)</f>
        <v>0</v>
      </c>
      <c r="CP71" s="59">
        <f>IFERROR(SUM(TBA_Matches_All[[#This Row],[TampT]]/TBA_Matches_All[[#This Row],[Tamp]]),0)</f>
        <v>0</v>
      </c>
      <c r="CQ71" s="59">
        <f>IFERROR(SUM(TBA_Matches_All[[#This Row],[TspkrT]]/TBA_Matches_All[[#This Row],[Tspkr]]),0)</f>
        <v>0</v>
      </c>
      <c r="CR71">
        <f>SUM(TBA_Matches_All[[#This Row],[TspkrPts]]*TBA_Matches_All[[#This Row],[TspkrP]])</f>
        <v>0</v>
      </c>
      <c r="CS71" s="59">
        <f>IFERROR(SUM(TBA_Matches_All[[#This Row],[TtrapT]]/TBA_Matches_All[[#This Row],[Trap]]),0)</f>
        <v>0</v>
      </c>
      <c r="CT71" s="59">
        <f>IFERROR(SUM(TBA_Matches_All[[#This Row],[TotNotesT]]/TBA_Matches_All[[#This Row],[TotNotes]]),0)</f>
        <v>0</v>
      </c>
      <c r="CU71" s="66">
        <f>SUM((TBA_Matches_All[[#This Row],[AampT]]*2)+(TBA_Matches_All[[#This Row],[AspkrT]]*5)+(TBA_Matches_All[[#This Row],[AtrapT]]*5)+(TBA_Matches_All[[#This Row],[TampT]]*1)+(TBA_Matches_All[[#This Row],[TspkrptsC]]))</f>
        <v>0</v>
      </c>
      <c r="CV71" s="59">
        <f>IFERROR(TBA_Matches_All[[#This Row],[noteptsT]]/TBA_Matches_All[[#This Row],[NotePts]],0)</f>
        <v>0</v>
      </c>
      <c r="CW71">
        <f>SUM(IF(TBA_Matches_All[[#This Row],[stageStat]]="On",3,0),IF(TBA_Matches_All[[#This Row],[stageStat]]="Park",1,0),SUMIFS(TBA_Matches_All[[#This Row],[Spotlit]],TBA_Matches_All[[#This Row],[stageStat]],"On"),SUMIFS(TBA_Matches_All[[#This Row],[Harmony]],TBA_Matches_All[[#This Row],[stageStat]],"On"))</f>
        <v>3</v>
      </c>
      <c r="CX71" s="59">
        <f>IFERROR(TBA_Matches_All[[#This Row],[stageptsT]]/TBA_Matches_All[[#This Row],[StagePts]],0)</f>
        <v>0.5</v>
      </c>
      <c r="CY71">
        <f>SUM((TBA_Matches_All[[#This Row],[AptsT]]+TBA_Matches_All[[#This Row],[TampT]]+TBA_Matches_All[[#This Row],[TspkrptsC]]+(TBA_Matches_All[[#This Row],[TtrapT]]*5)+TBA_Matches_All[[#This Row],[stageptsT]]))</f>
        <v>5</v>
      </c>
      <c r="CZ71" s="59">
        <f>IFERROR(SUM(TBA_Matches_All[[#This Row],[TotptsC]]/TBA_Matches_All[[#This Row],[Score]]),0)</f>
        <v>0.1111111111111111</v>
      </c>
      <c r="DA7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0.6</v>
      </c>
      <c r="DB71" s="74">
        <f>SUMIFS(TBA_Matches_All[AveTeamTNoteDels],TBA_Matches_All[Match_Number],TBA_Matches_All[[#This Row],[Match_Number]],TBA_Matches_All[Alliance],"&lt;&gt;"&amp;TBA_Matches_All[[#This Row],[Alliance]],TBA_Matches_All[Scouted],"&gt;0")</f>
        <v>32.336112637362639</v>
      </c>
      <c r="DC71" s="74">
        <f>(TBA_Matches_All[[#This Row],[TampT]]+TBA_Matches_All[[#This Row],[TspkrptsC]])-TBA_Matches_All[[#This Row],[AveTeamTNoteDels]]</f>
        <v>-0.6</v>
      </c>
      <c r="DD71" s="74">
        <f>SUMIFS(TBA_Matches_All[AveTeamTNoteDels],TBA_Matches_All[Match_Number],TBA_Matches_All[[#This Row],[Match_Number]],TBA_Matches_All[Alliance],"&lt;&gt;"&amp;TBA_Matches_All[[#This Row],[Alliance]])-TBA_Matches_All[[#This Row],[AveOppTNoteDels]]</f>
        <v>0</v>
      </c>
    </row>
    <row r="72" spans="1:108" x14ac:dyDescent="0.3">
      <c r="A72" t="s">
        <v>1042</v>
      </c>
      <c r="B72" t="s">
        <v>489</v>
      </c>
      <c r="C72" t="s">
        <v>1321</v>
      </c>
      <c r="D72">
        <v>12</v>
      </c>
      <c r="E72" t="s">
        <v>1406</v>
      </c>
      <c r="F72" t="s">
        <v>1422</v>
      </c>
      <c r="G72" t="s">
        <v>105</v>
      </c>
      <c r="H72" t="s">
        <v>365</v>
      </c>
      <c r="I72" t="b">
        <v>1</v>
      </c>
      <c r="J72">
        <v>59</v>
      </c>
      <c r="K72">
        <v>0</v>
      </c>
      <c r="L72">
        <v>0</v>
      </c>
      <c r="M72">
        <v>0</v>
      </c>
      <c r="N72">
        <v>0</v>
      </c>
      <c r="O72">
        <v>4</v>
      </c>
      <c r="P72">
        <v>20</v>
      </c>
      <c r="Q72">
        <v>24</v>
      </c>
      <c r="R72">
        <v>5</v>
      </c>
      <c r="S72">
        <v>3</v>
      </c>
      <c r="T72">
        <v>5</v>
      </c>
      <c r="U72">
        <v>15</v>
      </c>
      <c r="V72">
        <v>10</v>
      </c>
      <c r="W72">
        <v>8</v>
      </c>
      <c r="X72">
        <v>25</v>
      </c>
      <c r="Y72">
        <v>30</v>
      </c>
      <c r="Z72">
        <v>0</v>
      </c>
      <c r="AA72">
        <v>0</v>
      </c>
      <c r="AB72">
        <v>17</v>
      </c>
      <c r="AC72">
        <v>50</v>
      </c>
      <c r="AD72">
        <v>1</v>
      </c>
      <c r="AE72">
        <f>IFERROR(6/(COUNTIF(Dyno_EndMatch[Match],TBA_Matches_All[[#This Row],[Match_Number]])),0)</f>
        <v>1</v>
      </c>
      <c r="AF72">
        <f>COUNTIFS(Dyno_Data[Team],TBA_Matches_All[[#This Row],[Team]],Dyno_Data[Match],TBA_Matches_All[[#This Row],[Match_Number]],Dyno_Data[RecordType],"EndMatch",Dyno_Data[HPAmp],"Y")</f>
        <v>1</v>
      </c>
      <c r="AG72">
        <f>SUMIFS(Dyno_Data[Mics], Dyno_Data[Team],TBA_Matches_All[[#This Row],[Team]],Dyno_Data[Match],TBA_Matches_All[[#This Row],[Match_Number]],Dyno_Data[RecordType],"EndMatch",Dyno_Data[HPAmp],"Y")</f>
        <v>0</v>
      </c>
      <c r="AH72">
        <f>SUMIFS(Dyno_Data[Leave], Dyno_Data[Team],TBA_Matches_All[[#This Row],[Team]],Dyno_Data[Match],TBA_Matches_All[[#This Row],[Match_Number]],Dyno_Data[RecordType],"EndAuto")</f>
        <v>1</v>
      </c>
      <c r="AI72">
        <f>COUNTIFS(Dyno_Data[Team],TBA_Matches_All[[#This Row],[Team]],Dyno_Data[Match],TBA_Matches_All[[#This Row],[Match_Number]],Dyno_Data[RecordType],"Activities",Dyno_Data[DelDest],"Amp", Dyno_Data[DelMiss],"0", Dyno_Data[Mode],"Auto")</f>
        <v>0</v>
      </c>
      <c r="AJ72">
        <f>COUNTIFS(Dyno_Data[Team],TBA_Matches_All[[#This Row],[Team]],Dyno_Data[Match],TBA_Matches_All[[#This Row],[Match_Number]],Dyno_Data[RecordType],"Activities",Dyno_Data[DelDest],"Spkr", Dyno_Data[DelMiss],"0", Dyno_Data[Mode],"Auto")</f>
        <v>1</v>
      </c>
      <c r="AK72">
        <f>COUNTIFS(Dyno_Data[Team],TBA_Matches_All[[#This Row],[Team]],Dyno_Data[Match],TBA_Matches_All[[#This Row],[Match_Number]],Dyno_Data[RecordType],"Activities",Dyno_Data[DelDest],"Trap", Dyno_Data[DelMiss],"0", Dyno_Data[Mode],"Auto")</f>
        <v>0</v>
      </c>
      <c r="AL72">
        <f>COUNTIFS(Dyno_Data[Team],TBA_Matches_All[[#This Row],[Team]],Dyno_Data[Match],TBA_Matches_All[[#This Row],[Match_Number]],Dyno_Data[RecordType],"Activities",Dyno_Data[DelDest],"Amp", Dyno_Data[DelMiss],"0", Dyno_Data[Mode],"Teleop")</f>
        <v>0</v>
      </c>
      <c r="AM72">
        <f>COUNTIFS(Dyno_Data[Team],TBA_Matches_All[[#This Row],[Team]],Dyno_Data[Match],TBA_Matches_All[[#This Row],[Match_Number]],Dyno_Data[RecordType],"Activities",Dyno_Data[DelDest],"Spkr", Dyno_Data[DelMiss],"0", Dyno_Data[Mode],"Teleop")</f>
        <v>4</v>
      </c>
      <c r="AN72">
        <f>COUNTIFS(Dyno_Data[Team],TBA_Matches_All[[#This Row],[Team]],Dyno_Data[Match],TBA_Matches_All[[#This Row],[Match_Number]],Dyno_Data[RecordType],"Activities",Dyno_Data[DelDest],"Trap", Dyno_Data[DelMiss],"0", Dyno_Data[Mode],"&lt;&gt;Auto")</f>
        <v>0</v>
      </c>
      <c r="AO72">
        <f>SUM(TBA_Matches_All[[#This Row],[AampT]]+TBA_Matches_All[[#This Row],[AspkrT]]+TBA_Matches_All[[#This Row],[AtrapT]]+TBA_Matches_All[[#This Row],[TampT]]+TBA_Matches_All[[#This Row],[TspkrT]]+TBA_Matches_All[[#This Row],[TtrapT]])</f>
        <v>5</v>
      </c>
      <c r="AP72">
        <f>COUNTIFS(Dyno_Data[Team],TBA_Matches_All[[#This Row],[Team]],Dyno_Data[Match],TBA_Matches_All[[#This Row],[Match_Number]],Dyno_Data[RecordType],"Activities",Dyno_Data[DelDest],"Neut", Dyno_Data[DelMiss],"0")</f>
        <v>0</v>
      </c>
      <c r="AQ72">
        <f>COUNTIFS(Dyno_Data[Team],TBA_Matches_All[[#This Row],[Team]],Dyno_Data[Match],TBA_Matches_All[[#This Row],[Match_Number]],Dyno_Data[RecordType],"Activities",Dyno_Data[DelDest],"AllyW", Dyno_Data[DelMiss],"0")</f>
        <v>0</v>
      </c>
      <c r="AR72" t="str">
        <f>_xlfn.XLOOKUP(SUM(MID(TBA_Matches_All[[#This Row],[Team]],4,5),(TBA_Matches_All[[#This Row],[Match_Number]]/100)),Dyno_EndMatch[teammat],Dyno_EndMatch[RobotSta],"_",0,1)</f>
        <v>Podm</v>
      </c>
      <c r="AS72">
        <f>SUMIFS(Dyno_Data[AcqDis], Dyno_Data[Team],TBA_Matches_All[[#This Row],[Team]],Dyno_Data[Match],TBA_Matches_All[[#This Row],[Match_Number]],Dyno_Data[RecordType],"Activities", Dyno_Data[AcqCenter],1,Dyno_Data[Mode],"Auto")</f>
        <v>0</v>
      </c>
      <c r="AT72">
        <f>SUMIFS(Dyno_Data[AcqDis], Dyno_Data[Team],TBA_Matches_All[[#This Row],[Team]],Dyno_Data[Match],TBA_Matches_All[[#This Row],[Match_Number]],Dyno_Data[RecordType],"Activities", Dyno_Data[AcqCenter],2,Dyno_Data[Mode],"Auto")</f>
        <v>0</v>
      </c>
      <c r="AU72">
        <f>SUMIFS(Dyno_Data[AcqDis], Dyno_Data[Team],TBA_Matches_All[[#This Row],[Team]],Dyno_Data[Match],TBA_Matches_All[[#This Row],[Match_Number]],Dyno_Data[RecordType],"Activities", Dyno_Data[AcqCenter],3,Dyno_Data[Mode],"Auto")</f>
        <v>0</v>
      </c>
      <c r="AV72">
        <f>SUMIFS(Dyno_Data[AcqDis], Dyno_Data[Team],TBA_Matches_All[[#This Row],[Team]],Dyno_Data[Match],TBA_Matches_All[[#This Row],[Match_Number]],Dyno_Data[RecordType],"Activities", Dyno_Data[AcqCenter],4,Dyno_Data[Mode],"Auto")</f>
        <v>0</v>
      </c>
      <c r="AW72">
        <f>SUMIFS(Dyno_Data[AcqDis], Dyno_Data[Team],TBA_Matches_All[[#This Row],[Team]],Dyno_Data[Match],TBA_Matches_All[[#This Row],[Match_Number]],Dyno_Data[RecordType],"Activities", Dyno_Data[AcqCenter],5,Dyno_Data[Mode],"Auto")</f>
        <v>0</v>
      </c>
      <c r="AX72">
        <f>SUMIFS(Dyno_Data[DelMiss], Dyno_Data[Team],TBA_Matches_All[[#This Row],[Team]],Dyno_Data[Match],TBA_Matches_All[[#This Row],[Match_Number]],Dyno_Data[RecordType],"Activities", Dyno_Data[DelDest],"Amp")</f>
        <v>0</v>
      </c>
      <c r="AY72" s="60">
        <f>IFERROR(SUM((TBA_Matches_All[[#This Row],[AampT]]+TBA_Matches_All[[#This Row],[TampT]])/(TBA_Matches_All[[#This Row],[AampT]]+TBA_Matches_All[[#This Row],[TampT]]+TBA_Matches_All[[#This Row],[ampM]])),0)</f>
        <v>0</v>
      </c>
      <c r="AZ72">
        <f>SUMIFS(Dyno_Data[DelMiss], Dyno_Data[Team],TBA_Matches_All[[#This Row],[Team]],Dyno_Data[Match],TBA_Matches_All[[#This Row],[Match_Number]],Dyno_Data[RecordType],"Activities", Dyno_Data[DelDest],"Spkr")</f>
        <v>8</v>
      </c>
      <c r="BA72" s="60">
        <f>IFERROR(SUM((TBA_Matches_All[[#This Row],[AspkrT]]+TBA_Matches_All[[#This Row],[TspkrT]])/(TBA_Matches_All[[#This Row],[AspkrT]]+TBA_Matches_All[[#This Row],[TspkrT]]+TBA_Matches_All[[#This Row],[spkrM]])),0)</f>
        <v>0.38461538461538464</v>
      </c>
      <c r="BB72">
        <f>SUMIFS(Dyno_Data[DelMiss], Dyno_Data[Team],TBA_Matches_All[[#This Row],[Team]],Dyno_Data[Match],TBA_Matches_All[[#This Row],[Match_Number]],Dyno_Data[RecordType],"Activities", Dyno_Data[DelDest],"Trap")</f>
        <v>0</v>
      </c>
      <c r="BC72" s="60">
        <f>IFERROR((TBA_Matches_All[[#This Row],[AtrapT]]+TBA_Matches_All[[#This Row],[TtrapT]])/(TBA_Matches_All[[#This Row],[AtrapT]]+TBA_Matches_All[[#This Row],[TtrapT]]+TBA_Matches_All[[#This Row],[trapM]]),0)</f>
        <v>0</v>
      </c>
      <c r="BD72">
        <f>COUNTIFS(Dyno_Data[Team],TBA_Matches_All[[#This Row],[Team]],Dyno_Data[Match],TBA_Matches_All[[#This Row],[Match_Number]],Dyno_Data[RecordType],"Activities",Dyno_Data[DelDest],"Neut", Dyno_Data[DelMiss],1)</f>
        <v>0</v>
      </c>
      <c r="BE72" s="60">
        <f>IFERROR(SUM((TBA_Matches_All[[#This Row],[NeutFlrT]])/(TBA_Matches_All[[#This Row],[NeutFlrT]]+TBA_Matches_All[[#This Row],[NZflM]])),0)</f>
        <v>0</v>
      </c>
      <c r="BF72">
        <f>COUNTIFS(Dyno_Data[Team],TBA_Matches_All[[#This Row],[Team]],Dyno_Data[Match],TBA_Matches_All[[#This Row],[Match_Number]],Dyno_Data[RecordType],"Activities",Dyno_Data[DelDest],"AllyW", Dyno_Data[DelMiss],1)</f>
        <v>0</v>
      </c>
      <c r="BG72" s="60">
        <f>IFERROR(SUM((TBA_Matches_All[[#This Row],[AllyWFlrT]])/(TBA_Matches_All[[#This Row],[AllyWFlrT]]+TBA_Matches_All[[#This Row],[AZflM]])),0)</f>
        <v>0</v>
      </c>
      <c r="BH72">
        <f>COUNTIFS(Dyno_Data[Team],TBA_Matches_All[[#This Row],[Team]],Dyno_Data[Match],TBA_Matches_All[[#This Row],[Match_Number]],Dyno_Data[RecordType],"Activities",Dyno_Data[DelOrig],"OppW", Dyno_Data[DelMiss],"0")</f>
        <v>0</v>
      </c>
      <c r="BI72">
        <f>COUNTIFS(Dyno_Data[Team],TBA_Matches_All[[#This Row],[Team]],Dyno_Data[Match],TBA_Matches_All[[#This Row],[Match_Number]],Dyno_Data[RecordType],"Activities",Dyno_Data[DelOrig],"OppW", Dyno_Data[DelMiss],"1")</f>
        <v>0</v>
      </c>
      <c r="BJ72" s="60">
        <f>IFERROR(SUM((TBA_Matches_All[[#This Row],[OZflrT]])/(TBA_Matches_All[[#This Row],[OZflrT]]+TBA_Matches_All[[#This Row],[OZflrM]])),0)</f>
        <v>0</v>
      </c>
      <c r="BK72">
        <f>COUNTIFS(Dyno_Data[Team],TBA_Matches_All[[#This Row],[Team]],Dyno_Data[Match],TBA_Matches_All[[#This Row],[Match_Number]],Dyno_Data[RecordType],"Activities",Dyno_Data[DelOrig],"Neut", Dyno_Data[DelMiss],"0")</f>
        <v>0</v>
      </c>
      <c r="BL72">
        <f>COUNTIFS(Dyno_Data[Team],TBA_Matches_All[[#This Row],[Team]],Dyno_Data[Match],TBA_Matches_All[[#This Row],[Match_Number]],Dyno_Data[RecordType],"Activities",Dyno_Data[DelOrig],"Neut", Dyno_Data[DelMiss],"1")</f>
        <v>0</v>
      </c>
      <c r="BM72" s="60">
        <f>IFERROR(SUM((TBA_Matches_All[[#This Row],[NZflrT]])/(TBA_Matches_All[[#This Row],[NZflrT]]+TBA_Matches_All[[#This Row],[NZflrM]])),0)</f>
        <v>0</v>
      </c>
      <c r="BN72">
        <f>COUNTIFS(Dyno_Data[Team],TBA_Matches_All[[#This Row],[Team]],Dyno_Data[Match],TBA_Matches_All[[#This Row],[Match_Number]],Dyno_Data[RecordType],"Activities",Dyno_Data[DelOrig],"AllyW", Dyno_Data[DelMiss],"0")</f>
        <v>5</v>
      </c>
      <c r="BO72">
        <f>COUNTIFS(Dyno_Data[Team],TBA_Matches_All[[#This Row],[Team]],Dyno_Data[Match],TBA_Matches_All[[#This Row],[Match_Number]],Dyno_Data[RecordType],"Activities",Dyno_Data[DelOrig],"AllyW", Dyno_Data[DelMiss],"1")</f>
        <v>6</v>
      </c>
      <c r="BP72" s="60">
        <f>IFERROR(SUM((TBA_Matches_All[[#This Row],[AZflrT]])/(TBA_Matches_All[[#This Row],[AZflrT]]+TBA_Matches_All[[#This Row],[AZflrM]])),0)</f>
        <v>0.45454545454545453</v>
      </c>
      <c r="BQ72">
        <f>COUNTIFS(Dyno_Data[Team],TBA_Matches_All[[#This Row],[Team]],Dyno_Data[Match],TBA_Matches_All[[#This Row],[Match_Number]],Dyno_Data[RecordType],"Activities",Dyno_Data[DelOrig],"SubW", Dyno_Data[DelMiss],"0")</f>
        <v>0</v>
      </c>
      <c r="BR72">
        <f>COUNTIFS(Dyno_Data[Team],TBA_Matches_All[[#This Row],[Team]],Dyno_Data[Match],TBA_Matches_All[[#This Row],[Match_Number]],Dyno_Data[RecordType],"Activities",Dyno_Data[DelOrig],"SubW", Dyno_Data[DelMiss],"1")</f>
        <v>2</v>
      </c>
      <c r="BS72" s="60">
        <f>IFERROR(SUM((TBA_Matches_All[[#This Row],[SubwT]])/(TBA_Matches_All[[#This Row],[SubwT]]+TBA_Matches_All[[#This Row],[SubwM]])),0)</f>
        <v>0</v>
      </c>
      <c r="BT72">
        <f>COUNTIFS(Dyno_Data[Team],TBA_Matches_All[[#This Row],[Team]],Dyno_Data[Match],TBA_Matches_All[[#This Row],[Match_Number]],Dyno_Data[RecordType],"Activities", Dyno_Data[AcqLoc],"OppWing")</f>
        <v>0</v>
      </c>
      <c r="BU72">
        <f>COUNTIFS(Dyno_Data[Team],TBA_Matches_All[[#This Row],[Team]],Dyno_Data[Match],TBA_Matches_All[[#This Row],[Match_Number]],Dyno_Data[RecordType],"Activities", Dyno_Data[AcqLoc],"Neutral")</f>
        <v>0</v>
      </c>
      <c r="BV72">
        <f>COUNTIFS(Dyno_Data[Team],TBA_Matches_All[[#This Row],[Team]],Dyno_Data[Match],TBA_Matches_All[[#This Row],[Match_Number]],Dyno_Data[RecordType],"Activities", Dyno_Data[AcqLoc],"AllyWing")</f>
        <v>0</v>
      </c>
      <c r="BW72">
        <f>COUNTIFS(Dyno_Data[Team],TBA_Matches_All[[#This Row],[Team]],Dyno_Data[Match],TBA_Matches_All[[#This Row],[Match_Number]],Dyno_Data[RecordType],"Activities", Dyno_Data[AcqLoc],"Source")</f>
        <v>0</v>
      </c>
      <c r="BX72">
        <f>SUMIFS(Dyno_Data[AcqDrp], Dyno_Data[Team],TBA_Matches_All[[#This Row],[Team]],Dyno_Data[Match],TBA_Matches_All[[#This Row],[Match_Number]],Dyno_Data[RecordType],"Activities", Dyno_Data[AcqLoc],"Source")</f>
        <v>0</v>
      </c>
      <c r="BY72">
        <f>SUMIFS(Dyno_Data[OZTime], Dyno_Data[Team],TBA_Matches_All[[#This Row],[Team]],Dyno_Data[Match],TBA_Matches_All[[#This Row],[Match_Number]],Dyno_Data[RecordType],"EndMatch")</f>
        <v>24.384572199999997</v>
      </c>
      <c r="BZ72">
        <f>SUMIFS(Dyno_Data[NZTime], Dyno_Data[Team],TBA_Matches_All[[#This Row],[Team]],Dyno_Data[Match],TBA_Matches_All[[#This Row],[Match_Number]],Dyno_Data[RecordType],"EndMatch")</f>
        <v>20.676027399999999</v>
      </c>
      <c r="CA72">
        <f>SUMIFS(Dyno_Data[AZTime], Dyno_Data[Team],TBA_Matches_All[[#This Row],[Team]],Dyno_Data[Match],TBA_Matches_All[[#This Row],[Match_Number]],Dyno_Data[RecordType],"EndMatch")</f>
        <v>93.974398699999995</v>
      </c>
      <c r="CB72">
        <f>SUMIFS(Dyno_Data[ClimbT], Dyno_Data[Team],TBA_Matches_All[[#This Row],[Team]],Dyno_Data[Match],TBA_Matches_All[[#This Row],[Match_Number]],Dyno_Data[RecordType],"EndMatch")</f>
        <v>0</v>
      </c>
      <c r="CC72" t="str">
        <f>_xlfn.XLOOKUP(SUM(MID(TBA_Matches_All[[#This Row],[Team]],4,5),(TBA_Matches_All[[#This Row],[Match_Number]]/100)),Dyno_EndMatch[teammat],Dyno_EndMatch[StageStat],"_",0,1)</f>
        <v>Else</v>
      </c>
      <c r="CD72" t="str">
        <f>_xlfn.XLOOKUP(TBA_Matches_All[[#This Row],[teammat]],Dyno_EndMatch[teammat],Dyno_EndMatch[StageAtt],"_",0,1)</f>
        <v>0</v>
      </c>
      <c r="CE72" t="str">
        <f>_xlfn.XLOOKUP(TBA_Matches_All[[#This Row],[teammat]],Dyno_EndMatch[teammat],Dyno_EndMatch[StageLoc],"_",0,1)</f>
        <v>A</v>
      </c>
      <c r="CF72">
        <f>SUMIFS(Dyno_Data[Harmony], Dyno_Data[Team],TBA_Matches_All[[#This Row],[Team]],Dyno_Data[Match],TBA_Matches_All[[#This Row],[Match_Number]],Dyno_Data[RecordType],"EndMatch", Dyno_Data[StageStat],"On",Dyno_Data[Harmony],"&lt;&gt;9")</f>
        <v>0</v>
      </c>
      <c r="CG72">
        <f>SUMIFS(Dyno_Data[Spotlit], Dyno_Data[Team],TBA_Matches_All[[#This Row],[Team]],Dyno_Data[Match],TBA_Matches_All[[#This Row],[Match_Number]],Dyno_Data[RecordType],"EndMatch", Dyno_Data[StageStat],"On",Dyno_Data[Spotlit],"&lt;&gt;9")</f>
        <v>0</v>
      </c>
      <c r="CH72" t="str">
        <f>_xlfn.XLOOKUP(TBA_Matches_All[[#This Row],[teammat]],Dyno_EndMatch[teammat],Dyno_EndMatch[Strategy],"_",0,1)</f>
        <v>Hybrid</v>
      </c>
      <c r="CI72">
        <f>SUMIFS(Dyno_Data[Defense], Dyno_Data[Team],TBA_Matches_All[[#This Row],[Team]],Dyno_Data[Match],TBA_Matches_All[[#This Row],[Match_Number]],Dyno_Data[RecordType],"EndMatch",Dyno_Data[Defense],"&lt;&gt;9")</f>
        <v>0</v>
      </c>
      <c r="CJ72">
        <f>SUMIFS(Dyno_Data[Avoidance], Dyno_Data[Team],TBA_Matches_All[[#This Row],[Team]],Dyno_Data[Match],TBA_Matches_All[[#This Row],[Match_Number]],Dyno_Data[RecordType],"EndMatch",Dyno_Data[Avoidance],"&lt;&gt;9")</f>
        <v>0</v>
      </c>
      <c r="CK72" s="82">
        <f>COUNTIF($H$2:TBA_Matches_All[[#This Row],[Team]],TBA_Matches_All[[#This Row],[Team]])</f>
        <v>2</v>
      </c>
      <c r="CL72" s="111">
        <f>SUM(MID(TBA_Matches_All[[#This Row],[Team]],4,5)+TBA_Matches_All[[#This Row],[Match_Number]]/100)</f>
        <v>3171.12</v>
      </c>
      <c r="CM72">
        <f>SUM((TBA_Matches_All[[#This Row],[Leave]]*2)+(TBA_Matches_All[[#This Row],[AampT]]*2)+(TBA_Matches_All[[#This Row],[AspkrT]]*5)+(TBA_Matches_All[[#This Row],[AtrapT]]*5))</f>
        <v>7</v>
      </c>
      <c r="CN72" s="59">
        <f>IFERROR(SUM(TBA_Matches_All[[#This Row],[AptsT]]/TBA_Matches_All[[#This Row],[AutoPts]]),0)</f>
        <v>0.29166666666666669</v>
      </c>
      <c r="CO72" s="59">
        <f>IFERROR(SUM(TBA_Matches_All[[#This Row],[AampT]]+TBA_Matches_All[[#This Row],[AspkrT]]+TBA_Matches_All[[#This Row],[AtrapT]]/TBA_Matches_All[[#This Row],[Aamp]]+TBA_Matches_All[[#This Row],[Aspkr]]+TBA_Matches_All[[#This Row],[AtrapT]]),0)</f>
        <v>0</v>
      </c>
      <c r="CP72" s="59">
        <f>IFERROR(SUM(TBA_Matches_All[[#This Row],[TampT]]/TBA_Matches_All[[#This Row],[Tamp]]),0)</f>
        <v>0</v>
      </c>
      <c r="CQ72" s="59">
        <f>IFERROR(SUM(TBA_Matches_All[[#This Row],[TspkrT]]/TBA_Matches_All[[#This Row],[Tspkr]]),0)</f>
        <v>0.5</v>
      </c>
      <c r="CR72">
        <f>SUM(TBA_Matches_All[[#This Row],[TspkrPts]]*TBA_Matches_All[[#This Row],[TspkrP]])</f>
        <v>12.5</v>
      </c>
      <c r="CS72" s="59">
        <f>IFERROR(SUM(TBA_Matches_All[[#This Row],[TtrapT]]/TBA_Matches_All[[#This Row],[Trap]]),0)</f>
        <v>0</v>
      </c>
      <c r="CT72" s="59">
        <f>IFERROR(SUM(TBA_Matches_All[[#This Row],[TotNotesT]]/TBA_Matches_All[[#This Row],[TotNotes]]),0)</f>
        <v>0.29411764705882354</v>
      </c>
      <c r="CU72" s="66">
        <f>SUM((TBA_Matches_All[[#This Row],[AampT]]*2)+(TBA_Matches_All[[#This Row],[AspkrT]]*5)+(TBA_Matches_All[[#This Row],[AtrapT]]*5)+(TBA_Matches_All[[#This Row],[TampT]]*1)+(TBA_Matches_All[[#This Row],[TspkrptsC]]))</f>
        <v>17.5</v>
      </c>
      <c r="CV72" s="59">
        <f>IFERROR(TBA_Matches_All[[#This Row],[noteptsT]]/TBA_Matches_All[[#This Row],[NotePts]],0)</f>
        <v>0.35</v>
      </c>
      <c r="CW72">
        <f>SUM(IF(TBA_Matches_All[[#This Row],[stageStat]]="On",3,0),IF(TBA_Matches_All[[#This Row],[stageStat]]="Park",1,0),SUMIFS(TBA_Matches_All[[#This Row],[Spotlit]],TBA_Matches_All[[#This Row],[stageStat]],"On"),SUMIFS(TBA_Matches_All[[#This Row],[Harmony]],TBA_Matches_All[[#This Row],[stageStat]],"On"))</f>
        <v>0</v>
      </c>
      <c r="CX72" s="59">
        <f>IFERROR(TBA_Matches_All[[#This Row],[stageptsT]]/TBA_Matches_All[[#This Row],[StagePts]],0)</f>
        <v>0</v>
      </c>
      <c r="CY72">
        <f>SUM((TBA_Matches_All[[#This Row],[AptsT]]+TBA_Matches_All[[#This Row],[TampT]]+TBA_Matches_All[[#This Row],[TspkrptsC]]+(TBA_Matches_All[[#This Row],[TtrapT]]*5)+TBA_Matches_All[[#This Row],[stageptsT]]))</f>
        <v>19.5</v>
      </c>
      <c r="CZ72" s="59">
        <f>IFERROR(SUM(TBA_Matches_All[[#This Row],[TotptsC]]/TBA_Matches_All[[#This Row],[Score]]),0)</f>
        <v>0.33050847457627119</v>
      </c>
      <c r="DA7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11.556923076923077</v>
      </c>
      <c r="DB72" s="74">
        <f>SUMIFS(TBA_Matches_All[AveTeamTNoteDels],TBA_Matches_All[Match_Number],TBA_Matches_All[[#This Row],[Match_Number]],TBA_Matches_All[Alliance],"&lt;&gt;"&amp;TBA_Matches_All[[#This Row],[Alliance]],TBA_Matches_All[Scouted],"&gt;0")</f>
        <v>18.171428571428571</v>
      </c>
      <c r="DC72" s="74">
        <f>(TBA_Matches_All[[#This Row],[TampT]]+TBA_Matches_All[[#This Row],[TspkrptsC]])-TBA_Matches_All[[#This Row],[AveTeamTNoteDels]]</f>
        <v>0.94307692307692292</v>
      </c>
      <c r="DD72" s="74">
        <f>SUMIFS(TBA_Matches_All[AveTeamTNoteDels],TBA_Matches_All[Match_Number],TBA_Matches_All[[#This Row],[Match_Number]],TBA_Matches_All[Alliance],"&lt;&gt;"&amp;TBA_Matches_All[[#This Row],[Alliance]])-TBA_Matches_All[[#This Row],[AveOppTNoteDels]]</f>
        <v>0</v>
      </c>
    </row>
    <row r="73" spans="1:108" x14ac:dyDescent="0.3">
      <c r="A73" t="s">
        <v>1042</v>
      </c>
      <c r="B73" t="s">
        <v>489</v>
      </c>
      <c r="C73" t="s">
        <v>1321</v>
      </c>
      <c r="D73">
        <v>12</v>
      </c>
      <c r="E73" t="s">
        <v>1420</v>
      </c>
      <c r="F73" t="s">
        <v>1423</v>
      </c>
      <c r="G73" t="s">
        <v>1409</v>
      </c>
      <c r="H73" t="s">
        <v>1300</v>
      </c>
      <c r="I73" t="b">
        <v>0</v>
      </c>
      <c r="J73">
        <v>45</v>
      </c>
      <c r="K73">
        <v>0</v>
      </c>
      <c r="L73">
        <v>0</v>
      </c>
      <c r="M73">
        <v>4</v>
      </c>
      <c r="N73">
        <v>0</v>
      </c>
      <c r="O73">
        <v>3</v>
      </c>
      <c r="P73">
        <v>15</v>
      </c>
      <c r="Q73">
        <v>19</v>
      </c>
      <c r="R73">
        <v>0</v>
      </c>
      <c r="S73">
        <v>0</v>
      </c>
      <c r="T73">
        <v>10</v>
      </c>
      <c r="U73">
        <v>0</v>
      </c>
      <c r="V73">
        <v>20</v>
      </c>
      <c r="W73">
        <v>10</v>
      </c>
      <c r="X73">
        <v>20</v>
      </c>
      <c r="Y73">
        <v>20</v>
      </c>
      <c r="Z73">
        <v>0</v>
      </c>
      <c r="AA73">
        <v>0</v>
      </c>
      <c r="AB73">
        <v>13</v>
      </c>
      <c r="AC73">
        <v>35</v>
      </c>
      <c r="AD73">
        <v>6</v>
      </c>
      <c r="AE73">
        <f>IFERROR(6/(COUNTIF(Dyno_EndMatch[Match],TBA_Matches_All[[#This Row],[Match_Number]])),0)</f>
        <v>1</v>
      </c>
      <c r="AF73">
        <f>COUNTIFS(Dyno_Data[Team],TBA_Matches_All[[#This Row],[Team]],Dyno_Data[Match],TBA_Matches_All[[#This Row],[Match_Number]],Dyno_Data[RecordType],"EndMatch",Dyno_Data[HPAmp],"Y")</f>
        <v>0</v>
      </c>
      <c r="AG73">
        <f>SUMIFS(Dyno_Data[Mics], Dyno_Data[Team],TBA_Matches_All[[#This Row],[Team]],Dyno_Data[Match],TBA_Matches_All[[#This Row],[Match_Number]],Dyno_Data[RecordType],"EndMatch",Dyno_Data[HPAmp],"Y")</f>
        <v>0</v>
      </c>
      <c r="AH73">
        <f>SUMIFS(Dyno_Data[Leave], Dyno_Data[Team],TBA_Matches_All[[#This Row],[Team]],Dyno_Data[Match],TBA_Matches_All[[#This Row],[Match_Number]],Dyno_Data[RecordType],"EndAuto")</f>
        <v>1</v>
      </c>
      <c r="AI73">
        <f>COUNTIFS(Dyno_Data[Team],TBA_Matches_All[[#This Row],[Team]],Dyno_Data[Match],TBA_Matches_All[[#This Row],[Match_Number]],Dyno_Data[RecordType],"Activities",Dyno_Data[DelDest],"Amp", Dyno_Data[DelMiss],"0", Dyno_Data[Mode],"Auto")</f>
        <v>0</v>
      </c>
      <c r="AJ73">
        <f>COUNTIFS(Dyno_Data[Team],TBA_Matches_All[[#This Row],[Team]],Dyno_Data[Match],TBA_Matches_All[[#This Row],[Match_Number]],Dyno_Data[RecordType],"Activities",Dyno_Data[DelDest],"Spkr", Dyno_Data[DelMiss],"0", Dyno_Data[Mode],"Auto")</f>
        <v>3</v>
      </c>
      <c r="AK73">
        <f>COUNTIFS(Dyno_Data[Team],TBA_Matches_All[[#This Row],[Team]],Dyno_Data[Match],TBA_Matches_All[[#This Row],[Match_Number]],Dyno_Data[RecordType],"Activities",Dyno_Data[DelDest],"Trap", Dyno_Data[DelMiss],"0", Dyno_Data[Mode],"Auto")</f>
        <v>0</v>
      </c>
      <c r="AL73">
        <f>COUNTIFS(Dyno_Data[Team],TBA_Matches_All[[#This Row],[Team]],Dyno_Data[Match],TBA_Matches_All[[#This Row],[Match_Number]],Dyno_Data[RecordType],"Activities",Dyno_Data[DelDest],"Amp", Dyno_Data[DelMiss],"0", Dyno_Data[Mode],"Teleop")</f>
        <v>0</v>
      </c>
      <c r="AM73">
        <f>COUNTIFS(Dyno_Data[Team],TBA_Matches_All[[#This Row],[Team]],Dyno_Data[Match],TBA_Matches_All[[#This Row],[Match_Number]],Dyno_Data[RecordType],"Activities",Dyno_Data[DelDest],"Spkr", Dyno_Data[DelMiss],"0", Dyno_Data[Mode],"Teleop")</f>
        <v>9</v>
      </c>
      <c r="AN73">
        <f>COUNTIFS(Dyno_Data[Team],TBA_Matches_All[[#This Row],[Team]],Dyno_Data[Match],TBA_Matches_All[[#This Row],[Match_Number]],Dyno_Data[RecordType],"Activities",Dyno_Data[DelDest],"Trap", Dyno_Data[DelMiss],"0", Dyno_Data[Mode],"&lt;&gt;Auto")</f>
        <v>0</v>
      </c>
      <c r="AO73">
        <f>SUM(TBA_Matches_All[[#This Row],[AampT]]+TBA_Matches_All[[#This Row],[AspkrT]]+TBA_Matches_All[[#This Row],[AtrapT]]+TBA_Matches_All[[#This Row],[TampT]]+TBA_Matches_All[[#This Row],[TspkrT]]+TBA_Matches_All[[#This Row],[TtrapT]])</f>
        <v>12</v>
      </c>
      <c r="AP73">
        <f>COUNTIFS(Dyno_Data[Team],TBA_Matches_All[[#This Row],[Team]],Dyno_Data[Match],TBA_Matches_All[[#This Row],[Match_Number]],Dyno_Data[RecordType],"Activities",Dyno_Data[DelDest],"Neut", Dyno_Data[DelMiss],"0")</f>
        <v>0</v>
      </c>
      <c r="AQ73">
        <f>COUNTIFS(Dyno_Data[Team],TBA_Matches_All[[#This Row],[Team]],Dyno_Data[Match],TBA_Matches_All[[#This Row],[Match_Number]],Dyno_Data[RecordType],"Activities",Dyno_Data[DelDest],"AllyW", Dyno_Data[DelMiss],"0")</f>
        <v>0</v>
      </c>
      <c r="AR73" t="str">
        <f>_xlfn.XLOOKUP(SUM(MID(TBA_Matches_All[[#This Row],[Team]],4,5),(TBA_Matches_All[[#This Row],[Match_Number]]/100)),Dyno_EndMatch[teammat],Dyno_EndMatch[RobotSta],"_",0,1)</f>
        <v>Podm</v>
      </c>
      <c r="AS73">
        <f>SUMIFS(Dyno_Data[AcqDis], Dyno_Data[Team],TBA_Matches_All[[#This Row],[Team]],Dyno_Data[Match],TBA_Matches_All[[#This Row],[Match_Number]],Dyno_Data[RecordType],"Activities", Dyno_Data[AcqCenter],1,Dyno_Data[Mode],"Auto")</f>
        <v>0</v>
      </c>
      <c r="AT73">
        <f>SUMIFS(Dyno_Data[AcqDis], Dyno_Data[Team],TBA_Matches_All[[#This Row],[Team]],Dyno_Data[Match],TBA_Matches_All[[#This Row],[Match_Number]],Dyno_Data[RecordType],"Activities", Dyno_Data[AcqCenter],2,Dyno_Data[Mode],"Auto")</f>
        <v>0</v>
      </c>
      <c r="AU73">
        <f>SUMIFS(Dyno_Data[AcqDis], Dyno_Data[Team],TBA_Matches_All[[#This Row],[Team]],Dyno_Data[Match],TBA_Matches_All[[#This Row],[Match_Number]],Dyno_Data[RecordType],"Activities", Dyno_Data[AcqCenter],3,Dyno_Data[Mode],"Auto")</f>
        <v>0</v>
      </c>
      <c r="AV73">
        <f>SUMIFS(Dyno_Data[AcqDis], Dyno_Data[Team],TBA_Matches_All[[#This Row],[Team]],Dyno_Data[Match],TBA_Matches_All[[#This Row],[Match_Number]],Dyno_Data[RecordType],"Activities", Dyno_Data[AcqCenter],4,Dyno_Data[Mode],"Auto")</f>
        <v>0</v>
      </c>
      <c r="AW73">
        <f>SUMIFS(Dyno_Data[AcqDis], Dyno_Data[Team],TBA_Matches_All[[#This Row],[Team]],Dyno_Data[Match],TBA_Matches_All[[#This Row],[Match_Number]],Dyno_Data[RecordType],"Activities", Dyno_Data[AcqCenter],5,Dyno_Data[Mode],"Auto")</f>
        <v>0</v>
      </c>
      <c r="AX73">
        <f>SUMIFS(Dyno_Data[DelMiss], Dyno_Data[Team],TBA_Matches_All[[#This Row],[Team]],Dyno_Data[Match],TBA_Matches_All[[#This Row],[Match_Number]],Dyno_Data[RecordType],"Activities", Dyno_Data[DelDest],"Amp")</f>
        <v>0</v>
      </c>
      <c r="AY73" s="60">
        <f>IFERROR(SUM((TBA_Matches_All[[#This Row],[AampT]]+TBA_Matches_All[[#This Row],[TampT]])/(TBA_Matches_All[[#This Row],[AampT]]+TBA_Matches_All[[#This Row],[TampT]]+TBA_Matches_All[[#This Row],[ampM]])),0)</f>
        <v>0</v>
      </c>
      <c r="AZ73">
        <f>SUMIFS(Dyno_Data[DelMiss], Dyno_Data[Team],TBA_Matches_All[[#This Row],[Team]],Dyno_Data[Match],TBA_Matches_All[[#This Row],[Match_Number]],Dyno_Data[RecordType],"Activities", Dyno_Data[DelDest],"Spkr")</f>
        <v>2</v>
      </c>
      <c r="BA73" s="60">
        <f>IFERROR(SUM((TBA_Matches_All[[#This Row],[AspkrT]]+TBA_Matches_All[[#This Row],[TspkrT]])/(TBA_Matches_All[[#This Row],[AspkrT]]+TBA_Matches_All[[#This Row],[TspkrT]]+TBA_Matches_All[[#This Row],[spkrM]])),0)</f>
        <v>0.8571428571428571</v>
      </c>
      <c r="BB73">
        <f>SUMIFS(Dyno_Data[DelMiss], Dyno_Data[Team],TBA_Matches_All[[#This Row],[Team]],Dyno_Data[Match],TBA_Matches_All[[#This Row],[Match_Number]],Dyno_Data[RecordType],"Activities", Dyno_Data[DelDest],"Trap")</f>
        <v>0</v>
      </c>
      <c r="BC73" s="60">
        <f>IFERROR((TBA_Matches_All[[#This Row],[AtrapT]]+TBA_Matches_All[[#This Row],[TtrapT]])/(TBA_Matches_All[[#This Row],[AtrapT]]+TBA_Matches_All[[#This Row],[TtrapT]]+TBA_Matches_All[[#This Row],[trapM]]),0)</f>
        <v>0</v>
      </c>
      <c r="BD73">
        <f>COUNTIFS(Dyno_Data[Team],TBA_Matches_All[[#This Row],[Team]],Dyno_Data[Match],TBA_Matches_All[[#This Row],[Match_Number]],Dyno_Data[RecordType],"Activities",Dyno_Data[DelDest],"Neut", Dyno_Data[DelMiss],1)</f>
        <v>0</v>
      </c>
      <c r="BE73" s="60">
        <f>IFERROR(SUM((TBA_Matches_All[[#This Row],[NeutFlrT]])/(TBA_Matches_All[[#This Row],[NeutFlrT]]+TBA_Matches_All[[#This Row],[NZflM]])),0)</f>
        <v>0</v>
      </c>
      <c r="BF73">
        <f>COUNTIFS(Dyno_Data[Team],TBA_Matches_All[[#This Row],[Team]],Dyno_Data[Match],TBA_Matches_All[[#This Row],[Match_Number]],Dyno_Data[RecordType],"Activities",Dyno_Data[DelDest],"AllyW", Dyno_Data[DelMiss],1)</f>
        <v>0</v>
      </c>
      <c r="BG73" s="60">
        <f>IFERROR(SUM((TBA_Matches_All[[#This Row],[AllyWFlrT]])/(TBA_Matches_All[[#This Row],[AllyWFlrT]]+TBA_Matches_All[[#This Row],[AZflM]])),0)</f>
        <v>0</v>
      </c>
      <c r="BH73">
        <f>COUNTIFS(Dyno_Data[Team],TBA_Matches_All[[#This Row],[Team]],Dyno_Data[Match],TBA_Matches_All[[#This Row],[Match_Number]],Dyno_Data[RecordType],"Activities",Dyno_Data[DelOrig],"OppW", Dyno_Data[DelMiss],"0")</f>
        <v>0</v>
      </c>
      <c r="BI73">
        <f>COUNTIFS(Dyno_Data[Team],TBA_Matches_All[[#This Row],[Team]],Dyno_Data[Match],TBA_Matches_All[[#This Row],[Match_Number]],Dyno_Data[RecordType],"Activities",Dyno_Data[DelOrig],"OppW", Dyno_Data[DelMiss],"1")</f>
        <v>0</v>
      </c>
      <c r="BJ73" s="60">
        <f>IFERROR(SUM((TBA_Matches_All[[#This Row],[OZflrT]])/(TBA_Matches_All[[#This Row],[OZflrT]]+TBA_Matches_All[[#This Row],[OZflrM]])),0)</f>
        <v>0</v>
      </c>
      <c r="BK73">
        <f>COUNTIFS(Dyno_Data[Team],TBA_Matches_All[[#This Row],[Team]],Dyno_Data[Match],TBA_Matches_All[[#This Row],[Match_Number]],Dyno_Data[RecordType],"Activities",Dyno_Data[DelOrig],"Neut", Dyno_Data[DelMiss],"0")</f>
        <v>0</v>
      </c>
      <c r="BL73">
        <f>COUNTIFS(Dyno_Data[Team],TBA_Matches_All[[#This Row],[Team]],Dyno_Data[Match],TBA_Matches_All[[#This Row],[Match_Number]],Dyno_Data[RecordType],"Activities",Dyno_Data[DelOrig],"Neut", Dyno_Data[DelMiss],"1")</f>
        <v>0</v>
      </c>
      <c r="BM73" s="60">
        <f>IFERROR(SUM((TBA_Matches_All[[#This Row],[NZflrT]])/(TBA_Matches_All[[#This Row],[NZflrT]]+TBA_Matches_All[[#This Row],[NZflrM]])),0)</f>
        <v>0</v>
      </c>
      <c r="BN73">
        <f>COUNTIFS(Dyno_Data[Team],TBA_Matches_All[[#This Row],[Team]],Dyno_Data[Match],TBA_Matches_All[[#This Row],[Match_Number]],Dyno_Data[RecordType],"Activities",Dyno_Data[DelOrig],"AllyW", Dyno_Data[DelMiss],"0")</f>
        <v>12</v>
      </c>
      <c r="BO73">
        <f>COUNTIFS(Dyno_Data[Team],TBA_Matches_All[[#This Row],[Team]],Dyno_Data[Match],TBA_Matches_All[[#This Row],[Match_Number]],Dyno_Data[RecordType],"Activities",Dyno_Data[DelOrig],"AllyW", Dyno_Data[DelMiss],"1")</f>
        <v>2</v>
      </c>
      <c r="BP73" s="60">
        <f>IFERROR(SUM((TBA_Matches_All[[#This Row],[AZflrT]])/(TBA_Matches_All[[#This Row],[AZflrT]]+TBA_Matches_All[[#This Row],[AZflrM]])),0)</f>
        <v>0.8571428571428571</v>
      </c>
      <c r="BQ73">
        <f>COUNTIFS(Dyno_Data[Team],TBA_Matches_All[[#This Row],[Team]],Dyno_Data[Match],TBA_Matches_All[[#This Row],[Match_Number]],Dyno_Data[RecordType],"Activities",Dyno_Data[DelOrig],"SubW", Dyno_Data[DelMiss],"0")</f>
        <v>0</v>
      </c>
      <c r="BR73">
        <f>COUNTIFS(Dyno_Data[Team],TBA_Matches_All[[#This Row],[Team]],Dyno_Data[Match],TBA_Matches_All[[#This Row],[Match_Number]],Dyno_Data[RecordType],"Activities",Dyno_Data[DelOrig],"SubW", Dyno_Data[DelMiss],"1")</f>
        <v>0</v>
      </c>
      <c r="BS73" s="60">
        <f>IFERROR(SUM((TBA_Matches_All[[#This Row],[SubwT]])/(TBA_Matches_All[[#This Row],[SubwT]]+TBA_Matches_All[[#This Row],[SubwM]])),0)</f>
        <v>0</v>
      </c>
      <c r="BT73">
        <f>COUNTIFS(Dyno_Data[Team],TBA_Matches_All[[#This Row],[Team]],Dyno_Data[Match],TBA_Matches_All[[#This Row],[Match_Number]],Dyno_Data[RecordType],"Activities", Dyno_Data[AcqLoc],"OppWing")</f>
        <v>0</v>
      </c>
      <c r="BU73">
        <f>COUNTIFS(Dyno_Data[Team],TBA_Matches_All[[#This Row],[Team]],Dyno_Data[Match],TBA_Matches_All[[#This Row],[Match_Number]],Dyno_Data[RecordType],"Activities", Dyno_Data[AcqLoc],"Neutral")</f>
        <v>0</v>
      </c>
      <c r="BV73">
        <f>COUNTIFS(Dyno_Data[Team],TBA_Matches_All[[#This Row],[Team]],Dyno_Data[Match],TBA_Matches_All[[#This Row],[Match_Number]],Dyno_Data[RecordType],"Activities", Dyno_Data[AcqLoc],"AllyWing")</f>
        <v>0</v>
      </c>
      <c r="BW73">
        <f>COUNTIFS(Dyno_Data[Team],TBA_Matches_All[[#This Row],[Team]],Dyno_Data[Match],TBA_Matches_All[[#This Row],[Match_Number]],Dyno_Data[RecordType],"Activities", Dyno_Data[AcqLoc],"Source")</f>
        <v>0</v>
      </c>
      <c r="BX73">
        <f>SUMIFS(Dyno_Data[AcqDrp], Dyno_Data[Team],TBA_Matches_All[[#This Row],[Team]],Dyno_Data[Match],TBA_Matches_All[[#This Row],[Match_Number]],Dyno_Data[RecordType],"Activities", Dyno_Data[AcqLoc],"Source")</f>
        <v>0</v>
      </c>
      <c r="BY73">
        <f>SUMIFS(Dyno_Data[OZTime], Dyno_Data[Team],TBA_Matches_All[[#This Row],[Team]],Dyno_Data[Match],TBA_Matches_All[[#This Row],[Match_Number]],Dyno_Data[RecordType],"EndMatch")</f>
        <v>26.9448723</v>
      </c>
      <c r="BZ73">
        <f>SUMIFS(Dyno_Data[NZTime], Dyno_Data[Team],TBA_Matches_All[[#This Row],[Team]],Dyno_Data[Match],TBA_Matches_All[[#This Row],[Match_Number]],Dyno_Data[RecordType],"EndMatch")</f>
        <v>24.805938999999999</v>
      </c>
      <c r="CA73">
        <f>SUMIFS(Dyno_Data[AZTime], Dyno_Data[Team],TBA_Matches_All[[#This Row],[Team]],Dyno_Data[Match],TBA_Matches_All[[#This Row],[Match_Number]],Dyno_Data[RecordType],"EndMatch")</f>
        <v>79.956862200000003</v>
      </c>
      <c r="CB73">
        <f>SUMIFS(Dyno_Data[ClimbT], Dyno_Data[Team],TBA_Matches_All[[#This Row],[Team]],Dyno_Data[Match],TBA_Matches_All[[#This Row],[Match_Number]],Dyno_Data[RecordType],"EndMatch")</f>
        <v>2.3304871</v>
      </c>
      <c r="CC73" t="str">
        <f>_xlfn.XLOOKUP(SUM(MID(TBA_Matches_All[[#This Row],[Team]],4,5),(TBA_Matches_All[[#This Row],[Match_Number]]/100)),Dyno_EndMatch[teammat],Dyno_EndMatch[StageStat],"_",0,1)</f>
        <v>On</v>
      </c>
      <c r="CD73" t="str">
        <f>_xlfn.XLOOKUP(TBA_Matches_All[[#This Row],[teammat]],Dyno_EndMatch[teammat],Dyno_EndMatch[StageAtt],"_",0,1)</f>
        <v>1</v>
      </c>
      <c r="CE73" t="str">
        <f>_xlfn.XLOOKUP(TBA_Matches_All[[#This Row],[teammat]],Dyno_EndMatch[teammat],Dyno_EndMatch[StageLoc],"_",0,1)</f>
        <v>L</v>
      </c>
      <c r="CF73">
        <f>SUMIFS(Dyno_Data[Harmony], Dyno_Data[Team],TBA_Matches_All[[#This Row],[Team]],Dyno_Data[Match],TBA_Matches_All[[#This Row],[Match_Number]],Dyno_Data[RecordType],"EndMatch", Dyno_Data[StageStat],"On",Dyno_Data[Harmony],"&lt;&gt;9")</f>
        <v>0</v>
      </c>
      <c r="CG73">
        <f>SUMIFS(Dyno_Data[Spotlit], Dyno_Data[Team],TBA_Matches_All[[#This Row],[Team]],Dyno_Data[Match],TBA_Matches_All[[#This Row],[Match_Number]],Dyno_Data[RecordType],"EndMatch", Dyno_Data[StageStat],"On",Dyno_Data[Spotlit],"&lt;&gt;9")</f>
        <v>0</v>
      </c>
      <c r="CH73" t="str">
        <f>_xlfn.XLOOKUP(TBA_Matches_All[[#This Row],[teammat]],Dyno_EndMatch[teammat],Dyno_EndMatch[Strategy],"_",0,1)</f>
        <v>Hybrid</v>
      </c>
      <c r="CI73">
        <f>SUMIFS(Dyno_Data[Defense], Dyno_Data[Team],TBA_Matches_All[[#This Row],[Team]],Dyno_Data[Match],TBA_Matches_All[[#This Row],[Match_Number]],Dyno_Data[RecordType],"EndMatch",Dyno_Data[Defense],"&lt;&gt;9")</f>
        <v>0</v>
      </c>
      <c r="CJ73">
        <f>SUMIFS(Dyno_Data[Avoidance], Dyno_Data[Team],TBA_Matches_All[[#This Row],[Team]],Dyno_Data[Match],TBA_Matches_All[[#This Row],[Match_Number]],Dyno_Data[RecordType],"EndMatch",Dyno_Data[Avoidance],"&lt;&gt;9")</f>
        <v>1</v>
      </c>
      <c r="CK73" s="82">
        <f>COUNTIF($H$2:TBA_Matches_All[[#This Row],[Team]],TBA_Matches_All[[#This Row],[Team]])</f>
        <v>2</v>
      </c>
      <c r="CL73" s="111">
        <f>SUM(MID(TBA_Matches_All[[#This Row],[Team]],4,5)+TBA_Matches_All[[#This Row],[Match_Number]]/100)</f>
        <v>3044.12</v>
      </c>
      <c r="CM73">
        <f>SUM((TBA_Matches_All[[#This Row],[Leave]]*2)+(TBA_Matches_All[[#This Row],[AampT]]*2)+(TBA_Matches_All[[#This Row],[AspkrT]]*5)+(TBA_Matches_All[[#This Row],[AtrapT]]*5))</f>
        <v>17</v>
      </c>
      <c r="CN73" s="59">
        <f>IFERROR(SUM(TBA_Matches_All[[#This Row],[AptsT]]/TBA_Matches_All[[#This Row],[AutoPts]]),0)</f>
        <v>0.89473684210526316</v>
      </c>
      <c r="CO73" s="59">
        <f>IFERROR(SUM(TBA_Matches_All[[#This Row],[AampT]]+TBA_Matches_All[[#This Row],[AspkrT]]+TBA_Matches_All[[#This Row],[AtrapT]]/TBA_Matches_All[[#This Row],[Aamp]]+TBA_Matches_All[[#This Row],[Aspkr]]+TBA_Matches_All[[#This Row],[AtrapT]]),0)</f>
        <v>0</v>
      </c>
      <c r="CP73" s="59">
        <f>IFERROR(SUM(TBA_Matches_All[[#This Row],[TampT]]/TBA_Matches_All[[#This Row],[Tamp]]),0)</f>
        <v>0</v>
      </c>
      <c r="CQ73" s="59">
        <f>IFERROR(SUM(TBA_Matches_All[[#This Row],[TspkrT]]/TBA_Matches_All[[#This Row],[Tspkr]]),0)</f>
        <v>0.9</v>
      </c>
      <c r="CR73">
        <f>SUM(TBA_Matches_All[[#This Row],[TspkrPts]]*TBA_Matches_All[[#This Row],[TspkrP]])</f>
        <v>18</v>
      </c>
      <c r="CS73" s="59">
        <f>IFERROR(SUM(TBA_Matches_All[[#This Row],[TtrapT]]/TBA_Matches_All[[#This Row],[Trap]]),0)</f>
        <v>0</v>
      </c>
      <c r="CT73" s="59">
        <f>IFERROR(SUM(TBA_Matches_All[[#This Row],[TotNotesT]]/TBA_Matches_All[[#This Row],[TotNotes]]),0)</f>
        <v>0.92307692307692313</v>
      </c>
      <c r="CU73" s="66">
        <f>SUM((TBA_Matches_All[[#This Row],[AampT]]*2)+(TBA_Matches_All[[#This Row],[AspkrT]]*5)+(TBA_Matches_All[[#This Row],[AtrapT]]*5)+(TBA_Matches_All[[#This Row],[TampT]]*1)+(TBA_Matches_All[[#This Row],[TspkrptsC]]))</f>
        <v>33</v>
      </c>
      <c r="CV73" s="59">
        <f>IFERROR(TBA_Matches_All[[#This Row],[noteptsT]]/TBA_Matches_All[[#This Row],[NotePts]],0)</f>
        <v>0.94285714285714284</v>
      </c>
      <c r="CW73">
        <f>SUM(IF(TBA_Matches_All[[#This Row],[stageStat]]="On",3,0),IF(TBA_Matches_All[[#This Row],[stageStat]]="Park",1,0),SUMIFS(TBA_Matches_All[[#This Row],[Spotlit]],TBA_Matches_All[[#This Row],[stageStat]],"On"),SUMIFS(TBA_Matches_All[[#This Row],[Harmony]],TBA_Matches_All[[#This Row],[stageStat]],"On"))</f>
        <v>3</v>
      </c>
      <c r="CX73" s="59">
        <f>IFERROR(TBA_Matches_All[[#This Row],[stageptsT]]/TBA_Matches_All[[#This Row],[StagePts]],0)</f>
        <v>0.5</v>
      </c>
      <c r="CY73">
        <f>SUM((TBA_Matches_All[[#This Row],[AptsT]]+TBA_Matches_All[[#This Row],[TampT]]+TBA_Matches_All[[#This Row],[TspkrptsC]]+(TBA_Matches_All[[#This Row],[TtrapT]]*5)+TBA_Matches_All[[#This Row],[stageptsT]]))</f>
        <v>38</v>
      </c>
      <c r="CZ73" s="59">
        <f>IFERROR(SUM(TBA_Matches_All[[#This Row],[TotptsC]]/TBA_Matches_All[[#This Row],[Score]]),0)</f>
        <v>0.84444444444444444</v>
      </c>
      <c r="DA7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12.171428571428571</v>
      </c>
      <c r="DB73" s="74">
        <f>SUMIFS(TBA_Matches_All[AveTeamTNoteDels],TBA_Matches_All[Match_Number],TBA_Matches_All[[#This Row],[Match_Number]],TBA_Matches_All[Alliance],"&lt;&gt;"&amp;TBA_Matches_All[[#This Row],[Alliance]],TBA_Matches_All[Scouted],"&gt;0")</f>
        <v>32.336112637362639</v>
      </c>
      <c r="DC73" s="74">
        <f>(TBA_Matches_All[[#This Row],[TampT]]+TBA_Matches_All[[#This Row],[TspkrptsC]])-TBA_Matches_All[[#This Row],[AveTeamTNoteDels]]</f>
        <v>5.8285714285714292</v>
      </c>
      <c r="DD73" s="74">
        <f>SUMIFS(TBA_Matches_All[AveTeamTNoteDels],TBA_Matches_All[Match_Number],TBA_Matches_All[[#This Row],[Match_Number]],TBA_Matches_All[Alliance],"&lt;&gt;"&amp;TBA_Matches_All[[#This Row],[Alliance]])-TBA_Matches_All[[#This Row],[AveOppTNoteDels]]</f>
        <v>0</v>
      </c>
    </row>
    <row r="74" spans="1:108" x14ac:dyDescent="0.3">
      <c r="A74" t="s">
        <v>1042</v>
      </c>
      <c r="B74" t="s">
        <v>489</v>
      </c>
      <c r="C74" t="s">
        <v>1321</v>
      </c>
      <c r="D74">
        <v>12</v>
      </c>
      <c r="E74" t="s">
        <v>1406</v>
      </c>
      <c r="F74" t="s">
        <v>1424</v>
      </c>
      <c r="G74" t="s">
        <v>1409</v>
      </c>
      <c r="H74" t="s">
        <v>1305</v>
      </c>
      <c r="I74" t="b">
        <v>1</v>
      </c>
      <c r="J74">
        <v>59</v>
      </c>
      <c r="K74">
        <v>0</v>
      </c>
      <c r="L74">
        <v>0</v>
      </c>
      <c r="M74">
        <v>0</v>
      </c>
      <c r="N74">
        <v>0</v>
      </c>
      <c r="O74">
        <v>4</v>
      </c>
      <c r="P74">
        <v>20</v>
      </c>
      <c r="Q74">
        <v>24</v>
      </c>
      <c r="R74">
        <v>5</v>
      </c>
      <c r="S74">
        <v>3</v>
      </c>
      <c r="T74">
        <v>5</v>
      </c>
      <c r="U74">
        <v>15</v>
      </c>
      <c r="V74">
        <v>10</v>
      </c>
      <c r="W74">
        <v>8</v>
      </c>
      <c r="X74">
        <v>25</v>
      </c>
      <c r="Y74">
        <v>30</v>
      </c>
      <c r="Z74">
        <v>0</v>
      </c>
      <c r="AA74">
        <v>0</v>
      </c>
      <c r="AB74">
        <v>17</v>
      </c>
      <c r="AC74">
        <v>50</v>
      </c>
      <c r="AD74">
        <v>1</v>
      </c>
      <c r="AE74">
        <f>IFERROR(6/(COUNTIF(Dyno_EndMatch[Match],TBA_Matches_All[[#This Row],[Match_Number]])),0)</f>
        <v>1</v>
      </c>
      <c r="AF74">
        <f>COUNTIFS(Dyno_Data[Team],TBA_Matches_All[[#This Row],[Team]],Dyno_Data[Match],TBA_Matches_All[[#This Row],[Match_Number]],Dyno_Data[RecordType],"EndMatch",Dyno_Data[HPAmp],"Y")</f>
        <v>0</v>
      </c>
      <c r="AG74">
        <f>SUMIFS(Dyno_Data[Mics], Dyno_Data[Team],TBA_Matches_All[[#This Row],[Team]],Dyno_Data[Match],TBA_Matches_All[[#This Row],[Match_Number]],Dyno_Data[RecordType],"EndMatch",Dyno_Data[HPAmp],"Y")</f>
        <v>0</v>
      </c>
      <c r="AH74">
        <f>SUMIFS(Dyno_Data[Leave], Dyno_Data[Team],TBA_Matches_All[[#This Row],[Team]],Dyno_Data[Match],TBA_Matches_All[[#This Row],[Match_Number]],Dyno_Data[RecordType],"EndAuto")</f>
        <v>1</v>
      </c>
      <c r="AI74">
        <f>COUNTIFS(Dyno_Data[Team],TBA_Matches_All[[#This Row],[Team]],Dyno_Data[Match],TBA_Matches_All[[#This Row],[Match_Number]],Dyno_Data[RecordType],"Activities",Dyno_Data[DelDest],"Amp", Dyno_Data[DelMiss],"0", Dyno_Data[Mode],"Auto")</f>
        <v>0</v>
      </c>
      <c r="AJ74">
        <f>COUNTIFS(Dyno_Data[Team],TBA_Matches_All[[#This Row],[Team]],Dyno_Data[Match],TBA_Matches_All[[#This Row],[Match_Number]],Dyno_Data[RecordType],"Activities",Dyno_Data[DelDest],"Spkr", Dyno_Data[DelMiss],"0", Dyno_Data[Mode],"Auto")</f>
        <v>3</v>
      </c>
      <c r="AK74">
        <f>COUNTIFS(Dyno_Data[Team],TBA_Matches_All[[#This Row],[Team]],Dyno_Data[Match],TBA_Matches_All[[#This Row],[Match_Number]],Dyno_Data[RecordType],"Activities",Dyno_Data[DelDest],"Trap", Dyno_Data[DelMiss],"0", Dyno_Data[Mode],"Auto")</f>
        <v>0</v>
      </c>
      <c r="AL74">
        <f>COUNTIFS(Dyno_Data[Team],TBA_Matches_All[[#This Row],[Team]],Dyno_Data[Match],TBA_Matches_All[[#This Row],[Match_Number]],Dyno_Data[RecordType],"Activities",Dyno_Data[DelDest],"Amp", Dyno_Data[DelMiss],"0", Dyno_Data[Mode],"Teleop")</f>
        <v>5</v>
      </c>
      <c r="AM74">
        <f>COUNTIFS(Dyno_Data[Team],TBA_Matches_All[[#This Row],[Team]],Dyno_Data[Match],TBA_Matches_All[[#This Row],[Match_Number]],Dyno_Data[RecordType],"Activities",Dyno_Data[DelDest],"Spkr", Dyno_Data[DelMiss],"0", Dyno_Data[Mode],"Teleop")</f>
        <v>4</v>
      </c>
      <c r="AN74">
        <f>COUNTIFS(Dyno_Data[Team],TBA_Matches_All[[#This Row],[Team]],Dyno_Data[Match],TBA_Matches_All[[#This Row],[Match_Number]],Dyno_Data[RecordType],"Activities",Dyno_Data[DelDest],"Trap", Dyno_Data[DelMiss],"0", Dyno_Data[Mode],"&lt;&gt;Auto")</f>
        <v>0</v>
      </c>
      <c r="AO74">
        <f>SUM(TBA_Matches_All[[#This Row],[AampT]]+TBA_Matches_All[[#This Row],[AspkrT]]+TBA_Matches_All[[#This Row],[AtrapT]]+TBA_Matches_All[[#This Row],[TampT]]+TBA_Matches_All[[#This Row],[TspkrT]]+TBA_Matches_All[[#This Row],[TtrapT]])</f>
        <v>12</v>
      </c>
      <c r="AP74">
        <f>COUNTIFS(Dyno_Data[Team],TBA_Matches_All[[#This Row],[Team]],Dyno_Data[Match],TBA_Matches_All[[#This Row],[Match_Number]],Dyno_Data[RecordType],"Activities",Dyno_Data[DelDest],"Neut", Dyno_Data[DelMiss],"0")</f>
        <v>0</v>
      </c>
      <c r="AQ74">
        <f>COUNTIFS(Dyno_Data[Team],TBA_Matches_All[[#This Row],[Team]],Dyno_Data[Match],TBA_Matches_All[[#This Row],[Match_Number]],Dyno_Data[RecordType],"Activities",Dyno_Data[DelDest],"AllyW", Dyno_Data[DelMiss],"0")</f>
        <v>0</v>
      </c>
      <c r="AR74" t="str">
        <f>_xlfn.XLOOKUP(SUM(MID(TBA_Matches_All[[#This Row],[Team]],4,5),(TBA_Matches_All[[#This Row],[Match_Number]]/100)),Dyno_EndMatch[teammat],Dyno_EndMatch[RobotSta],"_",0,1)</f>
        <v>Amp</v>
      </c>
      <c r="AS74">
        <f>SUMIFS(Dyno_Data[AcqDis], Dyno_Data[Team],TBA_Matches_All[[#This Row],[Team]],Dyno_Data[Match],TBA_Matches_All[[#This Row],[Match_Number]],Dyno_Data[RecordType],"Activities", Dyno_Data[AcqCenter],1,Dyno_Data[Mode],"Auto")</f>
        <v>1</v>
      </c>
      <c r="AT74">
        <f>SUMIFS(Dyno_Data[AcqDis], Dyno_Data[Team],TBA_Matches_All[[#This Row],[Team]],Dyno_Data[Match],TBA_Matches_All[[#This Row],[Match_Number]],Dyno_Data[RecordType],"Activities", Dyno_Data[AcqCenter],2,Dyno_Data[Mode],"Auto")</f>
        <v>0</v>
      </c>
      <c r="AU74">
        <f>SUMIFS(Dyno_Data[AcqDis], Dyno_Data[Team],TBA_Matches_All[[#This Row],[Team]],Dyno_Data[Match],TBA_Matches_All[[#This Row],[Match_Number]],Dyno_Data[RecordType],"Activities", Dyno_Data[AcqCenter],3,Dyno_Data[Mode],"Auto")</f>
        <v>0</v>
      </c>
      <c r="AV74">
        <f>SUMIFS(Dyno_Data[AcqDis], Dyno_Data[Team],TBA_Matches_All[[#This Row],[Team]],Dyno_Data[Match],TBA_Matches_All[[#This Row],[Match_Number]],Dyno_Data[RecordType],"Activities", Dyno_Data[AcqCenter],4,Dyno_Data[Mode],"Auto")</f>
        <v>0</v>
      </c>
      <c r="AW74">
        <f>SUMIFS(Dyno_Data[AcqDis], Dyno_Data[Team],TBA_Matches_All[[#This Row],[Team]],Dyno_Data[Match],TBA_Matches_All[[#This Row],[Match_Number]],Dyno_Data[RecordType],"Activities", Dyno_Data[AcqCenter],5,Dyno_Data[Mode],"Auto")</f>
        <v>0</v>
      </c>
      <c r="AX74">
        <f>SUMIFS(Dyno_Data[DelMiss], Dyno_Data[Team],TBA_Matches_All[[#This Row],[Team]],Dyno_Data[Match],TBA_Matches_All[[#This Row],[Match_Number]],Dyno_Data[RecordType],"Activities", Dyno_Data[DelDest],"Amp")</f>
        <v>1</v>
      </c>
      <c r="AY74" s="60">
        <f>IFERROR(SUM((TBA_Matches_All[[#This Row],[AampT]]+TBA_Matches_All[[#This Row],[TampT]])/(TBA_Matches_All[[#This Row],[AampT]]+TBA_Matches_All[[#This Row],[TampT]]+TBA_Matches_All[[#This Row],[ampM]])),0)</f>
        <v>0.83333333333333337</v>
      </c>
      <c r="AZ74">
        <f>SUMIFS(Dyno_Data[DelMiss], Dyno_Data[Team],TBA_Matches_All[[#This Row],[Team]],Dyno_Data[Match],TBA_Matches_All[[#This Row],[Match_Number]],Dyno_Data[RecordType],"Activities", Dyno_Data[DelDest],"Spkr")</f>
        <v>4</v>
      </c>
      <c r="BA74" s="60">
        <f>IFERROR(SUM((TBA_Matches_All[[#This Row],[AspkrT]]+TBA_Matches_All[[#This Row],[TspkrT]])/(TBA_Matches_All[[#This Row],[AspkrT]]+TBA_Matches_All[[#This Row],[TspkrT]]+TBA_Matches_All[[#This Row],[spkrM]])),0)</f>
        <v>0.63636363636363635</v>
      </c>
      <c r="BB74">
        <f>SUMIFS(Dyno_Data[DelMiss], Dyno_Data[Team],TBA_Matches_All[[#This Row],[Team]],Dyno_Data[Match],TBA_Matches_All[[#This Row],[Match_Number]],Dyno_Data[RecordType],"Activities", Dyno_Data[DelDest],"Trap")</f>
        <v>0</v>
      </c>
      <c r="BC74" s="60">
        <f>IFERROR((TBA_Matches_All[[#This Row],[AtrapT]]+TBA_Matches_All[[#This Row],[TtrapT]])/(TBA_Matches_All[[#This Row],[AtrapT]]+TBA_Matches_All[[#This Row],[TtrapT]]+TBA_Matches_All[[#This Row],[trapM]]),0)</f>
        <v>0</v>
      </c>
      <c r="BD74">
        <f>COUNTIFS(Dyno_Data[Team],TBA_Matches_All[[#This Row],[Team]],Dyno_Data[Match],TBA_Matches_All[[#This Row],[Match_Number]],Dyno_Data[RecordType],"Activities",Dyno_Data[DelDest],"Neut", Dyno_Data[DelMiss],1)</f>
        <v>0</v>
      </c>
      <c r="BE74" s="60">
        <f>IFERROR(SUM((TBA_Matches_All[[#This Row],[NeutFlrT]])/(TBA_Matches_All[[#This Row],[NeutFlrT]]+TBA_Matches_All[[#This Row],[NZflM]])),0)</f>
        <v>0</v>
      </c>
      <c r="BF74">
        <f>COUNTIFS(Dyno_Data[Team],TBA_Matches_All[[#This Row],[Team]],Dyno_Data[Match],TBA_Matches_All[[#This Row],[Match_Number]],Dyno_Data[RecordType],"Activities",Dyno_Data[DelDest],"AllyW", Dyno_Data[DelMiss],1)</f>
        <v>0</v>
      </c>
      <c r="BG74" s="60">
        <f>IFERROR(SUM((TBA_Matches_All[[#This Row],[AllyWFlrT]])/(TBA_Matches_All[[#This Row],[AllyWFlrT]]+TBA_Matches_All[[#This Row],[AZflM]])),0)</f>
        <v>0</v>
      </c>
      <c r="BH74">
        <f>COUNTIFS(Dyno_Data[Team],TBA_Matches_All[[#This Row],[Team]],Dyno_Data[Match],TBA_Matches_All[[#This Row],[Match_Number]],Dyno_Data[RecordType],"Activities",Dyno_Data[DelOrig],"OppW", Dyno_Data[DelMiss],"0")</f>
        <v>0</v>
      </c>
      <c r="BI74">
        <f>COUNTIFS(Dyno_Data[Team],TBA_Matches_All[[#This Row],[Team]],Dyno_Data[Match],TBA_Matches_All[[#This Row],[Match_Number]],Dyno_Data[RecordType],"Activities",Dyno_Data[DelOrig],"OppW", Dyno_Data[DelMiss],"1")</f>
        <v>0</v>
      </c>
      <c r="BJ74" s="60">
        <f>IFERROR(SUM((TBA_Matches_All[[#This Row],[OZflrT]])/(TBA_Matches_All[[#This Row],[OZflrT]]+TBA_Matches_All[[#This Row],[OZflrM]])),0)</f>
        <v>0</v>
      </c>
      <c r="BK74">
        <f>COUNTIFS(Dyno_Data[Team],TBA_Matches_All[[#This Row],[Team]],Dyno_Data[Match],TBA_Matches_All[[#This Row],[Match_Number]],Dyno_Data[RecordType],"Activities",Dyno_Data[DelOrig],"Neut", Dyno_Data[DelMiss],"0")</f>
        <v>0</v>
      </c>
      <c r="BL74">
        <f>COUNTIFS(Dyno_Data[Team],TBA_Matches_All[[#This Row],[Team]],Dyno_Data[Match],TBA_Matches_All[[#This Row],[Match_Number]],Dyno_Data[RecordType],"Activities",Dyno_Data[DelOrig],"Neut", Dyno_Data[DelMiss],"1")</f>
        <v>0</v>
      </c>
      <c r="BM74" s="60">
        <f>IFERROR(SUM((TBA_Matches_All[[#This Row],[NZflrT]])/(TBA_Matches_All[[#This Row],[NZflrT]]+TBA_Matches_All[[#This Row],[NZflrM]])),0)</f>
        <v>0</v>
      </c>
      <c r="BN74">
        <f>COUNTIFS(Dyno_Data[Team],TBA_Matches_All[[#This Row],[Team]],Dyno_Data[Match],TBA_Matches_All[[#This Row],[Match_Number]],Dyno_Data[RecordType],"Activities",Dyno_Data[DelOrig],"AllyW", Dyno_Data[DelMiss],"0")</f>
        <v>8</v>
      </c>
      <c r="BO74">
        <f>COUNTIFS(Dyno_Data[Team],TBA_Matches_All[[#This Row],[Team]],Dyno_Data[Match],TBA_Matches_All[[#This Row],[Match_Number]],Dyno_Data[RecordType],"Activities",Dyno_Data[DelOrig],"AllyW", Dyno_Data[DelMiss],"1")</f>
        <v>5</v>
      </c>
      <c r="BP74" s="60">
        <f>IFERROR(SUM((TBA_Matches_All[[#This Row],[AZflrT]])/(TBA_Matches_All[[#This Row],[AZflrT]]+TBA_Matches_All[[#This Row],[AZflrM]])),0)</f>
        <v>0.61538461538461542</v>
      </c>
      <c r="BQ74">
        <f>COUNTIFS(Dyno_Data[Team],TBA_Matches_All[[#This Row],[Team]],Dyno_Data[Match],TBA_Matches_All[[#This Row],[Match_Number]],Dyno_Data[RecordType],"Activities",Dyno_Data[DelOrig],"SubW", Dyno_Data[DelMiss],"0")</f>
        <v>4</v>
      </c>
      <c r="BR74">
        <f>COUNTIFS(Dyno_Data[Team],TBA_Matches_All[[#This Row],[Team]],Dyno_Data[Match],TBA_Matches_All[[#This Row],[Match_Number]],Dyno_Data[RecordType],"Activities",Dyno_Data[DelOrig],"SubW", Dyno_Data[DelMiss],"1")</f>
        <v>0</v>
      </c>
      <c r="BS74" s="60">
        <f>IFERROR(SUM((TBA_Matches_All[[#This Row],[SubwT]])/(TBA_Matches_All[[#This Row],[SubwT]]+TBA_Matches_All[[#This Row],[SubwM]])),0)</f>
        <v>1</v>
      </c>
      <c r="BT74">
        <f>COUNTIFS(Dyno_Data[Team],TBA_Matches_All[[#This Row],[Team]],Dyno_Data[Match],TBA_Matches_All[[#This Row],[Match_Number]],Dyno_Data[RecordType],"Activities", Dyno_Data[AcqLoc],"OppWing")</f>
        <v>0</v>
      </c>
      <c r="BU74">
        <f>COUNTIFS(Dyno_Data[Team],TBA_Matches_All[[#This Row],[Team]],Dyno_Data[Match],TBA_Matches_All[[#This Row],[Match_Number]],Dyno_Data[RecordType],"Activities", Dyno_Data[AcqLoc],"Neutral")</f>
        <v>2</v>
      </c>
      <c r="BV74">
        <f>COUNTIFS(Dyno_Data[Team],TBA_Matches_All[[#This Row],[Team]],Dyno_Data[Match],TBA_Matches_All[[#This Row],[Match_Number]],Dyno_Data[RecordType],"Activities", Dyno_Data[AcqLoc],"AllyWing")</f>
        <v>0</v>
      </c>
      <c r="BW74">
        <f>COUNTIFS(Dyno_Data[Team],TBA_Matches_All[[#This Row],[Team]],Dyno_Data[Match],TBA_Matches_All[[#This Row],[Match_Number]],Dyno_Data[RecordType],"Activities", Dyno_Data[AcqLoc],"Source")</f>
        <v>0</v>
      </c>
      <c r="BX74">
        <f>SUMIFS(Dyno_Data[AcqDrp], Dyno_Data[Team],TBA_Matches_All[[#This Row],[Team]],Dyno_Data[Match],TBA_Matches_All[[#This Row],[Match_Number]],Dyno_Data[RecordType],"Activities", Dyno_Data[AcqLoc],"Source")</f>
        <v>0</v>
      </c>
      <c r="BY74">
        <f>SUMIFS(Dyno_Data[OZTime], Dyno_Data[Team],TBA_Matches_All[[#This Row],[Team]],Dyno_Data[Match],TBA_Matches_All[[#This Row],[Match_Number]],Dyno_Data[RecordType],"EndMatch")</f>
        <v>27.723828699999999</v>
      </c>
      <c r="BZ74">
        <f>SUMIFS(Dyno_Data[NZTime], Dyno_Data[Team],TBA_Matches_All[[#This Row],[Team]],Dyno_Data[Match],TBA_Matches_All[[#This Row],[Match_Number]],Dyno_Data[RecordType],"EndMatch")</f>
        <v>25.778023299999997</v>
      </c>
      <c r="CA74">
        <f>SUMIFS(Dyno_Data[AZTime], Dyno_Data[Team],TBA_Matches_All[[#This Row],[Team]],Dyno_Data[Match],TBA_Matches_All[[#This Row],[Match_Number]],Dyno_Data[RecordType],"EndMatch")</f>
        <v>82.286590899999993</v>
      </c>
      <c r="CB74">
        <f>SUMIFS(Dyno_Data[ClimbT], Dyno_Data[Team],TBA_Matches_All[[#This Row],[Team]],Dyno_Data[Match],TBA_Matches_All[[#This Row],[Match_Number]],Dyno_Data[RecordType],"EndMatch")</f>
        <v>0</v>
      </c>
      <c r="CC74" t="str">
        <f>_xlfn.XLOOKUP(SUM(MID(TBA_Matches_All[[#This Row],[Team]],4,5),(TBA_Matches_All[[#This Row],[Match_Number]]/100)),Dyno_EndMatch[teammat],Dyno_EndMatch[StageStat],"_",0,1)</f>
        <v>Else</v>
      </c>
      <c r="CD74" t="str">
        <f>_xlfn.XLOOKUP(TBA_Matches_All[[#This Row],[teammat]],Dyno_EndMatch[teammat],Dyno_EndMatch[StageAtt],"_",0,1)</f>
        <v>0</v>
      </c>
      <c r="CE74" t="str">
        <f>_xlfn.XLOOKUP(TBA_Matches_All[[#This Row],[teammat]],Dyno_EndMatch[teammat],Dyno_EndMatch[StageLoc],"_",0,1)</f>
        <v>A</v>
      </c>
      <c r="CF74">
        <f>SUMIFS(Dyno_Data[Harmony], Dyno_Data[Team],TBA_Matches_All[[#This Row],[Team]],Dyno_Data[Match],TBA_Matches_All[[#This Row],[Match_Number]],Dyno_Data[RecordType],"EndMatch", Dyno_Data[StageStat],"On",Dyno_Data[Harmony],"&lt;&gt;9")</f>
        <v>0</v>
      </c>
      <c r="CG74">
        <f>SUMIFS(Dyno_Data[Spotlit], Dyno_Data[Team],TBA_Matches_All[[#This Row],[Team]],Dyno_Data[Match],TBA_Matches_All[[#This Row],[Match_Number]],Dyno_Data[RecordType],"EndMatch", Dyno_Data[StageStat],"On",Dyno_Data[Spotlit],"&lt;&gt;9")</f>
        <v>0</v>
      </c>
      <c r="CH74" t="str">
        <f>_xlfn.XLOOKUP(TBA_Matches_All[[#This Row],[teammat]],Dyno_EndMatch[teammat],Dyno_EndMatch[Strategy],"_",0,1)</f>
        <v>Hybrid</v>
      </c>
      <c r="CI74">
        <f>SUMIFS(Dyno_Data[Defense], Dyno_Data[Team],TBA_Matches_All[[#This Row],[Team]],Dyno_Data[Match],TBA_Matches_All[[#This Row],[Match_Number]],Dyno_Data[RecordType],"EndMatch",Dyno_Data[Defense],"&lt;&gt;9")</f>
        <v>0</v>
      </c>
      <c r="CJ74">
        <f>SUMIFS(Dyno_Data[Avoidance], Dyno_Data[Team],TBA_Matches_All[[#This Row],[Team]],Dyno_Data[Match],TBA_Matches_All[[#This Row],[Match_Number]],Dyno_Data[RecordType],"EndMatch",Dyno_Data[Avoidance],"&lt;&gt;9")</f>
        <v>0</v>
      </c>
      <c r="CK74" s="82">
        <f>COUNTIF($H$2:TBA_Matches_All[[#This Row],[Team]],TBA_Matches_All[[#This Row],[Team]])</f>
        <v>2</v>
      </c>
      <c r="CL74" s="111">
        <f>SUM(MID(TBA_Matches_All[[#This Row],[Team]],4,5)+TBA_Matches_All[[#This Row],[Match_Number]]/100)</f>
        <v>3173.12</v>
      </c>
      <c r="CM74">
        <f>SUM((TBA_Matches_All[[#This Row],[Leave]]*2)+(TBA_Matches_All[[#This Row],[AampT]]*2)+(TBA_Matches_All[[#This Row],[AspkrT]]*5)+(TBA_Matches_All[[#This Row],[AtrapT]]*5))</f>
        <v>17</v>
      </c>
      <c r="CN74" s="59">
        <f>IFERROR(SUM(TBA_Matches_All[[#This Row],[AptsT]]/TBA_Matches_All[[#This Row],[AutoPts]]),0)</f>
        <v>0.70833333333333337</v>
      </c>
      <c r="CO74" s="59">
        <f>IFERROR(SUM(TBA_Matches_All[[#This Row],[AampT]]+TBA_Matches_All[[#This Row],[AspkrT]]+TBA_Matches_All[[#This Row],[AtrapT]]/TBA_Matches_All[[#This Row],[Aamp]]+TBA_Matches_All[[#This Row],[Aspkr]]+TBA_Matches_All[[#This Row],[AtrapT]]),0)</f>
        <v>0</v>
      </c>
      <c r="CP74" s="59">
        <f>IFERROR(SUM(TBA_Matches_All[[#This Row],[TampT]]/TBA_Matches_All[[#This Row],[Tamp]]),0)</f>
        <v>1</v>
      </c>
      <c r="CQ74" s="59">
        <f>IFERROR(SUM(TBA_Matches_All[[#This Row],[TspkrT]]/TBA_Matches_All[[#This Row],[Tspkr]]),0)</f>
        <v>0.5</v>
      </c>
      <c r="CR74">
        <f>SUM(TBA_Matches_All[[#This Row],[TspkrPts]]*TBA_Matches_All[[#This Row],[TspkrP]])</f>
        <v>12.5</v>
      </c>
      <c r="CS74" s="59">
        <f>IFERROR(SUM(TBA_Matches_All[[#This Row],[TtrapT]]/TBA_Matches_All[[#This Row],[Trap]]),0)</f>
        <v>0</v>
      </c>
      <c r="CT74" s="59">
        <f>IFERROR(SUM(TBA_Matches_All[[#This Row],[TotNotesT]]/TBA_Matches_All[[#This Row],[TotNotes]]),0)</f>
        <v>0.70588235294117652</v>
      </c>
      <c r="CU74" s="66">
        <f>SUM((TBA_Matches_All[[#This Row],[AampT]]*2)+(TBA_Matches_All[[#This Row],[AspkrT]]*5)+(TBA_Matches_All[[#This Row],[AtrapT]]*5)+(TBA_Matches_All[[#This Row],[TampT]]*1)+(TBA_Matches_All[[#This Row],[TspkrptsC]]))</f>
        <v>32.5</v>
      </c>
      <c r="CV74" s="59">
        <f>IFERROR(TBA_Matches_All[[#This Row],[noteptsT]]/TBA_Matches_All[[#This Row],[NotePts]],0)</f>
        <v>0.65</v>
      </c>
      <c r="CW74">
        <f>SUM(IF(TBA_Matches_All[[#This Row],[stageStat]]="On",3,0),IF(TBA_Matches_All[[#This Row],[stageStat]]="Park",1,0),SUMIFS(TBA_Matches_All[[#This Row],[Spotlit]],TBA_Matches_All[[#This Row],[stageStat]],"On"),SUMIFS(TBA_Matches_All[[#This Row],[Harmony]],TBA_Matches_All[[#This Row],[stageStat]],"On"))</f>
        <v>0</v>
      </c>
      <c r="CX74" s="59">
        <f>IFERROR(TBA_Matches_All[[#This Row],[stageptsT]]/TBA_Matches_All[[#This Row],[StagePts]],0)</f>
        <v>0</v>
      </c>
      <c r="CY74">
        <f>SUM((TBA_Matches_All[[#This Row],[AptsT]]+TBA_Matches_All[[#This Row],[TampT]]+TBA_Matches_All[[#This Row],[TspkrptsC]]+(TBA_Matches_All[[#This Row],[TtrapT]]*5)+TBA_Matches_All[[#This Row],[stageptsT]]))</f>
        <v>34.5</v>
      </c>
      <c r="CZ74" s="59">
        <f>IFERROR(SUM(TBA_Matches_All[[#This Row],[TotptsC]]/TBA_Matches_All[[#This Row],[Score]]),0)</f>
        <v>0.5847457627118644</v>
      </c>
      <c r="DA7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20.779189560439562</v>
      </c>
      <c r="DB74" s="74">
        <f>SUMIFS(TBA_Matches_All[AveTeamTNoteDels],TBA_Matches_All[Match_Number],TBA_Matches_All[[#This Row],[Match_Number]],TBA_Matches_All[Alliance],"&lt;&gt;"&amp;TBA_Matches_All[[#This Row],[Alliance]],TBA_Matches_All[Scouted],"&gt;0")</f>
        <v>18.171428571428571</v>
      </c>
      <c r="DC74" s="74">
        <f>(TBA_Matches_All[[#This Row],[TampT]]+TBA_Matches_All[[#This Row],[TspkrptsC]])-TBA_Matches_All[[#This Row],[AveTeamTNoteDels]]</f>
        <v>-3.279189560439562</v>
      </c>
      <c r="DD74" s="74">
        <f>SUMIFS(TBA_Matches_All[AveTeamTNoteDels],TBA_Matches_All[Match_Number],TBA_Matches_All[[#This Row],[Match_Number]],TBA_Matches_All[Alliance],"&lt;&gt;"&amp;TBA_Matches_All[[#This Row],[Alliance]])-TBA_Matches_All[[#This Row],[AveOppTNoteDels]]</f>
        <v>0</v>
      </c>
    </row>
    <row r="75" spans="1:108" x14ac:dyDescent="0.3">
      <c r="A75" t="s">
        <v>1042</v>
      </c>
      <c r="B75" t="s">
        <v>489</v>
      </c>
      <c r="C75" t="s">
        <v>1322</v>
      </c>
      <c r="D75">
        <v>13</v>
      </c>
      <c r="E75" t="s">
        <v>1420</v>
      </c>
      <c r="F75" t="s">
        <v>1421</v>
      </c>
      <c r="G75" t="s">
        <v>164</v>
      </c>
      <c r="H75" t="s">
        <v>1314</v>
      </c>
      <c r="I75" t="b">
        <v>1</v>
      </c>
      <c r="J75">
        <v>80</v>
      </c>
      <c r="K75">
        <v>1</v>
      </c>
      <c r="L75">
        <v>0</v>
      </c>
      <c r="M75">
        <v>15</v>
      </c>
      <c r="N75">
        <v>0</v>
      </c>
      <c r="O75">
        <v>8</v>
      </c>
      <c r="P75">
        <v>40</v>
      </c>
      <c r="Q75">
        <v>44</v>
      </c>
      <c r="R75">
        <v>5</v>
      </c>
      <c r="S75">
        <v>2</v>
      </c>
      <c r="T75">
        <v>6</v>
      </c>
      <c r="U75">
        <v>10</v>
      </c>
      <c r="V75">
        <v>12</v>
      </c>
      <c r="W75">
        <v>8</v>
      </c>
      <c r="X75">
        <v>22</v>
      </c>
      <c r="Y75">
        <v>27</v>
      </c>
      <c r="Z75">
        <v>5</v>
      </c>
      <c r="AA75">
        <v>1</v>
      </c>
      <c r="AB75">
        <v>21</v>
      </c>
      <c r="AC75">
        <v>67</v>
      </c>
      <c r="AD75">
        <v>9</v>
      </c>
      <c r="AE75">
        <f>IFERROR(6/(COUNTIF(Dyno_EndMatch[Match],TBA_Matches_All[[#This Row],[Match_Number]])),0)</f>
        <v>1</v>
      </c>
      <c r="AF75">
        <f>COUNTIFS(Dyno_Data[Team],TBA_Matches_All[[#This Row],[Team]],Dyno_Data[Match],TBA_Matches_All[[#This Row],[Match_Number]],Dyno_Data[RecordType],"EndMatch",Dyno_Data[HPAmp],"Y")</f>
        <v>0</v>
      </c>
      <c r="AG75">
        <f>SUMIFS(Dyno_Data[Mics], Dyno_Data[Team],TBA_Matches_All[[#This Row],[Team]],Dyno_Data[Match],TBA_Matches_All[[#This Row],[Match_Number]],Dyno_Data[RecordType],"EndMatch",Dyno_Data[HPAmp],"Y")</f>
        <v>0</v>
      </c>
      <c r="AH75">
        <f>SUMIFS(Dyno_Data[Leave], Dyno_Data[Team],TBA_Matches_All[[#This Row],[Team]],Dyno_Data[Match],TBA_Matches_All[[#This Row],[Match_Number]],Dyno_Data[RecordType],"EndAuto")</f>
        <v>1</v>
      </c>
      <c r="AI75">
        <f>COUNTIFS(Dyno_Data[Team],TBA_Matches_All[[#This Row],[Team]],Dyno_Data[Match],TBA_Matches_All[[#This Row],[Match_Number]],Dyno_Data[RecordType],"Activities",Dyno_Data[DelDest],"Amp", Dyno_Data[DelMiss],"0", Dyno_Data[Mode],"Auto")</f>
        <v>0</v>
      </c>
      <c r="AJ75">
        <f>COUNTIFS(Dyno_Data[Team],TBA_Matches_All[[#This Row],[Team]],Dyno_Data[Match],TBA_Matches_All[[#This Row],[Match_Number]],Dyno_Data[RecordType],"Activities",Dyno_Data[DelDest],"Spkr", Dyno_Data[DelMiss],"0", Dyno_Data[Mode],"Auto")</f>
        <v>1</v>
      </c>
      <c r="AK75">
        <f>COUNTIFS(Dyno_Data[Team],TBA_Matches_All[[#This Row],[Team]],Dyno_Data[Match],TBA_Matches_All[[#This Row],[Match_Number]],Dyno_Data[RecordType],"Activities",Dyno_Data[DelDest],"Trap", Dyno_Data[DelMiss],"0", Dyno_Data[Mode],"Auto")</f>
        <v>0</v>
      </c>
      <c r="AL75">
        <f>COUNTIFS(Dyno_Data[Team],TBA_Matches_All[[#This Row],[Team]],Dyno_Data[Match],TBA_Matches_All[[#This Row],[Match_Number]],Dyno_Data[RecordType],"Activities",Dyno_Data[DelDest],"Amp", Dyno_Data[DelMiss],"0", Dyno_Data[Mode],"Teleop")</f>
        <v>0</v>
      </c>
      <c r="AM75">
        <f>COUNTIFS(Dyno_Data[Team],TBA_Matches_All[[#This Row],[Team]],Dyno_Data[Match],TBA_Matches_All[[#This Row],[Match_Number]],Dyno_Data[RecordType],"Activities",Dyno_Data[DelDest],"Spkr", Dyno_Data[DelMiss],"0", Dyno_Data[Mode],"Teleop")</f>
        <v>5</v>
      </c>
      <c r="AN75">
        <f>COUNTIFS(Dyno_Data[Team],TBA_Matches_All[[#This Row],[Team]],Dyno_Data[Match],TBA_Matches_All[[#This Row],[Match_Number]],Dyno_Data[RecordType],"Activities",Dyno_Data[DelDest],"Trap", Dyno_Data[DelMiss],"0", Dyno_Data[Mode],"&lt;&gt;Auto")</f>
        <v>0</v>
      </c>
      <c r="AO75">
        <f>SUM(TBA_Matches_All[[#This Row],[AampT]]+TBA_Matches_All[[#This Row],[AspkrT]]+TBA_Matches_All[[#This Row],[AtrapT]]+TBA_Matches_All[[#This Row],[TampT]]+TBA_Matches_All[[#This Row],[TspkrT]]+TBA_Matches_All[[#This Row],[TtrapT]])</f>
        <v>6</v>
      </c>
      <c r="AP75">
        <f>COUNTIFS(Dyno_Data[Team],TBA_Matches_All[[#This Row],[Team]],Dyno_Data[Match],TBA_Matches_All[[#This Row],[Match_Number]],Dyno_Data[RecordType],"Activities",Dyno_Data[DelDest],"Neut", Dyno_Data[DelMiss],"0")</f>
        <v>0</v>
      </c>
      <c r="AQ75">
        <f>COUNTIFS(Dyno_Data[Team],TBA_Matches_All[[#This Row],[Team]],Dyno_Data[Match],TBA_Matches_All[[#This Row],[Match_Number]],Dyno_Data[RecordType],"Activities",Dyno_Data[DelDest],"AllyW", Dyno_Data[DelMiss],"0")</f>
        <v>0</v>
      </c>
      <c r="AR75" t="str">
        <f>_xlfn.XLOOKUP(SUM(MID(TBA_Matches_All[[#This Row],[Team]],4,5),(TBA_Matches_All[[#This Row],[Match_Number]]/100)),Dyno_EndMatch[teammat],Dyno_EndMatch[RobotSta],"_",0,1)</f>
        <v>Podm</v>
      </c>
      <c r="AS75">
        <f>SUMIFS(Dyno_Data[AcqDis], Dyno_Data[Team],TBA_Matches_All[[#This Row],[Team]],Dyno_Data[Match],TBA_Matches_All[[#This Row],[Match_Number]],Dyno_Data[RecordType],"Activities", Dyno_Data[AcqCenter],1,Dyno_Data[Mode],"Auto")</f>
        <v>0</v>
      </c>
      <c r="AT75">
        <f>SUMIFS(Dyno_Data[AcqDis], Dyno_Data[Team],TBA_Matches_All[[#This Row],[Team]],Dyno_Data[Match],TBA_Matches_All[[#This Row],[Match_Number]],Dyno_Data[RecordType],"Activities", Dyno_Data[AcqCenter],2,Dyno_Data[Mode],"Auto")</f>
        <v>0</v>
      </c>
      <c r="AU75">
        <f>SUMIFS(Dyno_Data[AcqDis], Dyno_Data[Team],TBA_Matches_All[[#This Row],[Team]],Dyno_Data[Match],TBA_Matches_All[[#This Row],[Match_Number]],Dyno_Data[RecordType],"Activities", Dyno_Data[AcqCenter],3,Dyno_Data[Mode],"Auto")</f>
        <v>0</v>
      </c>
      <c r="AV75">
        <f>SUMIFS(Dyno_Data[AcqDis], Dyno_Data[Team],TBA_Matches_All[[#This Row],[Team]],Dyno_Data[Match],TBA_Matches_All[[#This Row],[Match_Number]],Dyno_Data[RecordType],"Activities", Dyno_Data[AcqCenter],4,Dyno_Data[Mode],"Auto")</f>
        <v>0</v>
      </c>
      <c r="AW75">
        <f>SUMIFS(Dyno_Data[AcqDis], Dyno_Data[Team],TBA_Matches_All[[#This Row],[Team]],Dyno_Data[Match],TBA_Matches_All[[#This Row],[Match_Number]],Dyno_Data[RecordType],"Activities", Dyno_Data[AcqCenter],5,Dyno_Data[Mode],"Auto")</f>
        <v>0</v>
      </c>
      <c r="AX75">
        <f>SUMIFS(Dyno_Data[DelMiss], Dyno_Data[Team],TBA_Matches_All[[#This Row],[Team]],Dyno_Data[Match],TBA_Matches_All[[#This Row],[Match_Number]],Dyno_Data[RecordType],"Activities", Dyno_Data[DelDest],"Amp")</f>
        <v>0</v>
      </c>
      <c r="AY75" s="60">
        <f>IFERROR(SUM((TBA_Matches_All[[#This Row],[AampT]]+TBA_Matches_All[[#This Row],[TampT]])/(TBA_Matches_All[[#This Row],[AampT]]+TBA_Matches_All[[#This Row],[TampT]]+TBA_Matches_All[[#This Row],[ampM]])),0)</f>
        <v>0</v>
      </c>
      <c r="AZ75">
        <f>SUMIFS(Dyno_Data[DelMiss], Dyno_Data[Team],TBA_Matches_All[[#This Row],[Team]],Dyno_Data[Match],TBA_Matches_All[[#This Row],[Match_Number]],Dyno_Data[RecordType],"Activities", Dyno_Data[DelDest],"Spkr")</f>
        <v>0</v>
      </c>
      <c r="BA75" s="60">
        <f>IFERROR(SUM((TBA_Matches_All[[#This Row],[AspkrT]]+TBA_Matches_All[[#This Row],[TspkrT]])/(TBA_Matches_All[[#This Row],[AspkrT]]+TBA_Matches_All[[#This Row],[TspkrT]]+TBA_Matches_All[[#This Row],[spkrM]])),0)</f>
        <v>1</v>
      </c>
      <c r="BB75">
        <f>SUMIFS(Dyno_Data[DelMiss], Dyno_Data[Team],TBA_Matches_All[[#This Row],[Team]],Dyno_Data[Match],TBA_Matches_All[[#This Row],[Match_Number]],Dyno_Data[RecordType],"Activities", Dyno_Data[DelDest],"Trap")</f>
        <v>0</v>
      </c>
      <c r="BC75" s="60">
        <f>IFERROR((TBA_Matches_All[[#This Row],[AtrapT]]+TBA_Matches_All[[#This Row],[TtrapT]])/(TBA_Matches_All[[#This Row],[AtrapT]]+TBA_Matches_All[[#This Row],[TtrapT]]+TBA_Matches_All[[#This Row],[trapM]]),0)</f>
        <v>0</v>
      </c>
      <c r="BD75">
        <f>COUNTIFS(Dyno_Data[Team],TBA_Matches_All[[#This Row],[Team]],Dyno_Data[Match],TBA_Matches_All[[#This Row],[Match_Number]],Dyno_Data[RecordType],"Activities",Dyno_Data[DelDest],"Neut", Dyno_Data[DelMiss],1)</f>
        <v>0</v>
      </c>
      <c r="BE75" s="60">
        <f>IFERROR(SUM((TBA_Matches_All[[#This Row],[NeutFlrT]])/(TBA_Matches_All[[#This Row],[NeutFlrT]]+TBA_Matches_All[[#This Row],[NZflM]])),0)</f>
        <v>0</v>
      </c>
      <c r="BF75">
        <f>COUNTIFS(Dyno_Data[Team],TBA_Matches_All[[#This Row],[Team]],Dyno_Data[Match],TBA_Matches_All[[#This Row],[Match_Number]],Dyno_Data[RecordType],"Activities",Dyno_Data[DelDest],"AllyW", Dyno_Data[DelMiss],1)</f>
        <v>0</v>
      </c>
      <c r="BG75" s="60">
        <f>IFERROR(SUM((TBA_Matches_All[[#This Row],[AllyWFlrT]])/(TBA_Matches_All[[#This Row],[AllyWFlrT]]+TBA_Matches_All[[#This Row],[AZflM]])),0)</f>
        <v>0</v>
      </c>
      <c r="BH75">
        <f>COUNTIFS(Dyno_Data[Team],TBA_Matches_All[[#This Row],[Team]],Dyno_Data[Match],TBA_Matches_All[[#This Row],[Match_Number]],Dyno_Data[RecordType],"Activities",Dyno_Data[DelOrig],"OppW", Dyno_Data[DelMiss],"0")</f>
        <v>0</v>
      </c>
      <c r="BI75">
        <f>COUNTIFS(Dyno_Data[Team],TBA_Matches_All[[#This Row],[Team]],Dyno_Data[Match],TBA_Matches_All[[#This Row],[Match_Number]],Dyno_Data[RecordType],"Activities",Dyno_Data[DelOrig],"OppW", Dyno_Data[DelMiss],"1")</f>
        <v>0</v>
      </c>
      <c r="BJ75" s="60">
        <f>IFERROR(SUM((TBA_Matches_All[[#This Row],[OZflrT]])/(TBA_Matches_All[[#This Row],[OZflrT]]+TBA_Matches_All[[#This Row],[OZflrM]])),0)</f>
        <v>0</v>
      </c>
      <c r="BK75">
        <f>COUNTIFS(Dyno_Data[Team],TBA_Matches_All[[#This Row],[Team]],Dyno_Data[Match],TBA_Matches_All[[#This Row],[Match_Number]],Dyno_Data[RecordType],"Activities",Dyno_Data[DelOrig],"Neut", Dyno_Data[DelMiss],"0")</f>
        <v>0</v>
      </c>
      <c r="BL75">
        <f>COUNTIFS(Dyno_Data[Team],TBA_Matches_All[[#This Row],[Team]],Dyno_Data[Match],TBA_Matches_All[[#This Row],[Match_Number]],Dyno_Data[RecordType],"Activities",Dyno_Data[DelOrig],"Neut", Dyno_Data[DelMiss],"1")</f>
        <v>0</v>
      </c>
      <c r="BM75" s="60">
        <f>IFERROR(SUM((TBA_Matches_All[[#This Row],[NZflrT]])/(TBA_Matches_All[[#This Row],[NZflrT]]+TBA_Matches_All[[#This Row],[NZflrM]])),0)</f>
        <v>0</v>
      </c>
      <c r="BN75">
        <f>COUNTIFS(Dyno_Data[Team],TBA_Matches_All[[#This Row],[Team]],Dyno_Data[Match],TBA_Matches_All[[#This Row],[Match_Number]],Dyno_Data[RecordType],"Activities",Dyno_Data[DelOrig],"AllyW", Dyno_Data[DelMiss],"0")</f>
        <v>6</v>
      </c>
      <c r="BO75">
        <f>COUNTIFS(Dyno_Data[Team],TBA_Matches_All[[#This Row],[Team]],Dyno_Data[Match],TBA_Matches_All[[#This Row],[Match_Number]],Dyno_Data[RecordType],"Activities",Dyno_Data[DelOrig],"AllyW", Dyno_Data[DelMiss],"1")</f>
        <v>0</v>
      </c>
      <c r="BP75" s="60">
        <f>IFERROR(SUM((TBA_Matches_All[[#This Row],[AZflrT]])/(TBA_Matches_All[[#This Row],[AZflrT]]+TBA_Matches_All[[#This Row],[AZflrM]])),0)</f>
        <v>1</v>
      </c>
      <c r="BQ75">
        <f>COUNTIFS(Dyno_Data[Team],TBA_Matches_All[[#This Row],[Team]],Dyno_Data[Match],TBA_Matches_All[[#This Row],[Match_Number]],Dyno_Data[RecordType],"Activities",Dyno_Data[DelOrig],"SubW", Dyno_Data[DelMiss],"0")</f>
        <v>0</v>
      </c>
      <c r="BR75">
        <f>COUNTIFS(Dyno_Data[Team],TBA_Matches_All[[#This Row],[Team]],Dyno_Data[Match],TBA_Matches_All[[#This Row],[Match_Number]],Dyno_Data[RecordType],"Activities",Dyno_Data[DelOrig],"SubW", Dyno_Data[DelMiss],"1")</f>
        <v>0</v>
      </c>
      <c r="BS75" s="60">
        <f>IFERROR(SUM((TBA_Matches_All[[#This Row],[SubwT]])/(TBA_Matches_All[[#This Row],[SubwT]]+TBA_Matches_All[[#This Row],[SubwM]])),0)</f>
        <v>0</v>
      </c>
      <c r="BT75">
        <f>COUNTIFS(Dyno_Data[Team],TBA_Matches_All[[#This Row],[Team]],Dyno_Data[Match],TBA_Matches_All[[#This Row],[Match_Number]],Dyno_Data[RecordType],"Activities", Dyno_Data[AcqLoc],"OppWing")</f>
        <v>0</v>
      </c>
      <c r="BU75">
        <f>COUNTIFS(Dyno_Data[Team],TBA_Matches_All[[#This Row],[Team]],Dyno_Data[Match],TBA_Matches_All[[#This Row],[Match_Number]],Dyno_Data[RecordType],"Activities", Dyno_Data[AcqLoc],"Neutral")</f>
        <v>0</v>
      </c>
      <c r="BV75">
        <f>COUNTIFS(Dyno_Data[Team],TBA_Matches_All[[#This Row],[Team]],Dyno_Data[Match],TBA_Matches_All[[#This Row],[Match_Number]],Dyno_Data[RecordType],"Activities", Dyno_Data[AcqLoc],"AllyWing")</f>
        <v>0</v>
      </c>
      <c r="BW75">
        <f>COUNTIFS(Dyno_Data[Team],TBA_Matches_All[[#This Row],[Team]],Dyno_Data[Match],TBA_Matches_All[[#This Row],[Match_Number]],Dyno_Data[RecordType],"Activities", Dyno_Data[AcqLoc],"Source")</f>
        <v>0</v>
      </c>
      <c r="BX75">
        <f>SUMIFS(Dyno_Data[AcqDrp], Dyno_Data[Team],TBA_Matches_All[[#This Row],[Team]],Dyno_Data[Match],TBA_Matches_All[[#This Row],[Match_Number]],Dyno_Data[RecordType],"Activities", Dyno_Data[AcqLoc],"Source")</f>
        <v>0</v>
      </c>
      <c r="BY75">
        <f>SUMIFS(Dyno_Data[OZTime], Dyno_Data[Team],TBA_Matches_All[[#This Row],[Team]],Dyno_Data[Match],TBA_Matches_All[[#This Row],[Match_Number]],Dyno_Data[RecordType],"EndMatch")</f>
        <v>19.019682700000001</v>
      </c>
      <c r="BZ75">
        <f>SUMIFS(Dyno_Data[NZTime], Dyno_Data[Team],TBA_Matches_All[[#This Row],[Team]],Dyno_Data[Match],TBA_Matches_All[[#This Row],[Match_Number]],Dyno_Data[RecordType],"EndMatch")</f>
        <v>15.797098099999999</v>
      </c>
      <c r="CA75">
        <f>SUMIFS(Dyno_Data[AZTime], Dyno_Data[Team],TBA_Matches_All[[#This Row],[Team]],Dyno_Data[Match],TBA_Matches_All[[#This Row],[Match_Number]],Dyno_Data[RecordType],"EndMatch")</f>
        <v>100.17324259999999</v>
      </c>
      <c r="CB75">
        <f>SUMIFS(Dyno_Data[ClimbT], Dyno_Data[Team],TBA_Matches_All[[#This Row],[Team]],Dyno_Data[Match],TBA_Matches_All[[#This Row],[Match_Number]],Dyno_Data[RecordType],"EndMatch")</f>
        <v>0</v>
      </c>
      <c r="CC75" t="str">
        <f>_xlfn.XLOOKUP(SUM(MID(TBA_Matches_All[[#This Row],[Team]],4,5),(TBA_Matches_All[[#This Row],[Match_Number]]/100)),Dyno_EndMatch[teammat],Dyno_EndMatch[StageStat],"_",0,1)</f>
        <v>Else</v>
      </c>
      <c r="CD75" t="str">
        <f>_xlfn.XLOOKUP(TBA_Matches_All[[#This Row],[teammat]],Dyno_EndMatch[teammat],Dyno_EndMatch[StageAtt],"_",0,1)</f>
        <v>0</v>
      </c>
      <c r="CE75" t="str">
        <f>_xlfn.XLOOKUP(TBA_Matches_All[[#This Row],[teammat]],Dyno_EndMatch[teammat],Dyno_EndMatch[StageLoc],"_",0,1)</f>
        <v>A</v>
      </c>
      <c r="CF75">
        <f>SUMIFS(Dyno_Data[Harmony], Dyno_Data[Team],TBA_Matches_All[[#This Row],[Team]],Dyno_Data[Match],TBA_Matches_All[[#This Row],[Match_Number]],Dyno_Data[RecordType],"EndMatch", Dyno_Data[StageStat],"On",Dyno_Data[Harmony],"&lt;&gt;9")</f>
        <v>0</v>
      </c>
      <c r="CG75">
        <f>SUMIFS(Dyno_Data[Spotlit], Dyno_Data[Team],TBA_Matches_All[[#This Row],[Team]],Dyno_Data[Match],TBA_Matches_All[[#This Row],[Match_Number]],Dyno_Data[RecordType],"EndMatch", Dyno_Data[StageStat],"On",Dyno_Data[Spotlit],"&lt;&gt;9")</f>
        <v>0</v>
      </c>
      <c r="CH75" t="str">
        <f>_xlfn.XLOOKUP(TBA_Matches_All[[#This Row],[teammat]],Dyno_EndMatch[teammat],Dyno_EndMatch[Strategy],"_",0,1)</f>
        <v>Hybrid</v>
      </c>
      <c r="CI75">
        <f>SUMIFS(Dyno_Data[Defense], Dyno_Data[Team],TBA_Matches_All[[#This Row],[Team]],Dyno_Data[Match],TBA_Matches_All[[#This Row],[Match_Number]],Dyno_Data[RecordType],"EndMatch",Dyno_Data[Defense],"&lt;&gt;9")</f>
        <v>0</v>
      </c>
      <c r="CJ75">
        <f>SUMIFS(Dyno_Data[Avoidance], Dyno_Data[Team],TBA_Matches_All[[#This Row],[Team]],Dyno_Data[Match],TBA_Matches_All[[#This Row],[Match_Number]],Dyno_Data[RecordType],"EndMatch",Dyno_Data[Avoidance],"&lt;&gt;9")</f>
        <v>0</v>
      </c>
      <c r="CK75" s="82">
        <f>COUNTIF($H$2:TBA_Matches_All[[#This Row],[Team]],TBA_Matches_All[[#This Row],[Team]])</f>
        <v>2</v>
      </c>
      <c r="CL75" s="111">
        <f>SUM(MID(TBA_Matches_All[[#This Row],[Team]],4,5)+TBA_Matches_All[[#This Row],[Match_Number]]/100)</f>
        <v>3419.13</v>
      </c>
      <c r="CM75">
        <f>SUM((TBA_Matches_All[[#This Row],[Leave]]*2)+(TBA_Matches_All[[#This Row],[AampT]]*2)+(TBA_Matches_All[[#This Row],[AspkrT]]*5)+(TBA_Matches_All[[#This Row],[AtrapT]]*5))</f>
        <v>7</v>
      </c>
      <c r="CN75" s="59">
        <f>IFERROR(SUM(TBA_Matches_All[[#This Row],[AptsT]]/TBA_Matches_All[[#This Row],[AutoPts]]),0)</f>
        <v>0.15909090909090909</v>
      </c>
      <c r="CO75" s="59">
        <f>IFERROR(SUM(TBA_Matches_All[[#This Row],[AampT]]+TBA_Matches_All[[#This Row],[AspkrT]]+TBA_Matches_All[[#This Row],[AtrapT]]/TBA_Matches_All[[#This Row],[Aamp]]+TBA_Matches_All[[#This Row],[Aspkr]]+TBA_Matches_All[[#This Row],[AtrapT]]),0)</f>
        <v>0</v>
      </c>
      <c r="CP75" s="59">
        <f>IFERROR(SUM(TBA_Matches_All[[#This Row],[TampT]]/TBA_Matches_All[[#This Row],[Tamp]]),0)</f>
        <v>0</v>
      </c>
      <c r="CQ75" s="59">
        <f>IFERROR(SUM(TBA_Matches_All[[#This Row],[TspkrT]]/TBA_Matches_All[[#This Row],[Tspkr]]),0)</f>
        <v>0.625</v>
      </c>
      <c r="CR75">
        <f>SUM(TBA_Matches_All[[#This Row],[TspkrPts]]*TBA_Matches_All[[#This Row],[TspkrP]])</f>
        <v>13.75</v>
      </c>
      <c r="CS75" s="59">
        <f>IFERROR(SUM(TBA_Matches_All[[#This Row],[TtrapT]]/TBA_Matches_All[[#This Row],[Trap]]),0)</f>
        <v>0</v>
      </c>
      <c r="CT75" s="59">
        <f>IFERROR(SUM(TBA_Matches_All[[#This Row],[TotNotesT]]/TBA_Matches_All[[#This Row],[TotNotes]]),0)</f>
        <v>0.2857142857142857</v>
      </c>
      <c r="CU75" s="66">
        <f>SUM((TBA_Matches_All[[#This Row],[AampT]]*2)+(TBA_Matches_All[[#This Row],[AspkrT]]*5)+(TBA_Matches_All[[#This Row],[AtrapT]]*5)+(TBA_Matches_All[[#This Row],[TampT]]*1)+(TBA_Matches_All[[#This Row],[TspkrptsC]]))</f>
        <v>18.75</v>
      </c>
      <c r="CV75" s="59">
        <f>IFERROR(TBA_Matches_All[[#This Row],[noteptsT]]/TBA_Matches_All[[#This Row],[NotePts]],0)</f>
        <v>0.27985074626865669</v>
      </c>
      <c r="CW75">
        <f>SUM(IF(TBA_Matches_All[[#This Row],[stageStat]]="On",3,0),IF(TBA_Matches_All[[#This Row],[stageStat]]="Park",1,0),SUMIFS(TBA_Matches_All[[#This Row],[Spotlit]],TBA_Matches_All[[#This Row],[stageStat]],"On"),SUMIFS(TBA_Matches_All[[#This Row],[Harmony]],TBA_Matches_All[[#This Row],[stageStat]],"On"))</f>
        <v>0</v>
      </c>
      <c r="CX75" s="59">
        <f>IFERROR(TBA_Matches_All[[#This Row],[stageptsT]]/TBA_Matches_All[[#This Row],[StagePts]],0)</f>
        <v>0</v>
      </c>
      <c r="CY75">
        <f>SUM((TBA_Matches_All[[#This Row],[AptsT]]+TBA_Matches_All[[#This Row],[TampT]]+TBA_Matches_All[[#This Row],[TspkrptsC]]+(TBA_Matches_All[[#This Row],[TtrapT]]*5)+TBA_Matches_All[[#This Row],[stageptsT]]))</f>
        <v>20.75</v>
      </c>
      <c r="CZ75" s="59">
        <f>IFERROR(SUM(TBA_Matches_All[[#This Row],[TotptsC]]/TBA_Matches_All[[#This Row],[Score]]),0)</f>
        <v>0.25937500000000002</v>
      </c>
      <c r="DA7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15.443181818181818</v>
      </c>
      <c r="DB75" s="74">
        <f>SUMIFS(TBA_Matches_All[AveTeamTNoteDels],TBA_Matches_All[Match_Number],TBA_Matches_All[[#This Row],[Match_Number]],TBA_Matches_All[Alliance],"&lt;&gt;"&amp;TBA_Matches_All[[#This Row],[Alliance]],TBA_Matches_All[Scouted],"&gt;0")</f>
        <v>22.248111888111886</v>
      </c>
      <c r="DC75" s="74">
        <f>(TBA_Matches_All[[#This Row],[TampT]]+TBA_Matches_All[[#This Row],[TspkrptsC]])-TBA_Matches_All[[#This Row],[AveTeamTNoteDels]]</f>
        <v>-1.6931818181818183</v>
      </c>
      <c r="DD75" s="74">
        <f>SUMIFS(TBA_Matches_All[AveTeamTNoteDels],TBA_Matches_All[Match_Number],TBA_Matches_All[[#This Row],[Match_Number]],TBA_Matches_All[Alliance],"&lt;&gt;"&amp;TBA_Matches_All[[#This Row],[Alliance]])-TBA_Matches_All[[#This Row],[AveOppTNoteDels]]</f>
        <v>0</v>
      </c>
    </row>
    <row r="76" spans="1:108" x14ac:dyDescent="0.3">
      <c r="A76" t="s">
        <v>1042</v>
      </c>
      <c r="B76" t="s">
        <v>489</v>
      </c>
      <c r="C76" t="s">
        <v>1322</v>
      </c>
      <c r="D76">
        <v>13</v>
      </c>
      <c r="E76" t="s">
        <v>1406</v>
      </c>
      <c r="F76" t="s">
        <v>1422</v>
      </c>
      <c r="G76" t="s">
        <v>105</v>
      </c>
      <c r="H76" t="s">
        <v>368</v>
      </c>
      <c r="I76" t="b">
        <v>1</v>
      </c>
      <c r="J76">
        <v>48</v>
      </c>
      <c r="K76">
        <v>0</v>
      </c>
      <c r="L76">
        <v>0</v>
      </c>
      <c r="M76">
        <v>0</v>
      </c>
      <c r="N76">
        <v>0</v>
      </c>
      <c r="O76">
        <v>2</v>
      </c>
      <c r="P76">
        <v>10</v>
      </c>
      <c r="Q76">
        <v>14</v>
      </c>
      <c r="R76">
        <v>3</v>
      </c>
      <c r="S76">
        <v>1</v>
      </c>
      <c r="T76">
        <v>2</v>
      </c>
      <c r="U76">
        <v>5</v>
      </c>
      <c r="V76">
        <v>4</v>
      </c>
      <c r="W76">
        <v>3</v>
      </c>
      <c r="X76">
        <v>9</v>
      </c>
      <c r="Y76">
        <v>12</v>
      </c>
      <c r="Z76">
        <v>0</v>
      </c>
      <c r="AA76">
        <v>0</v>
      </c>
      <c r="AB76">
        <v>8</v>
      </c>
      <c r="AC76">
        <v>22</v>
      </c>
      <c r="AD76">
        <v>7</v>
      </c>
      <c r="AE76">
        <f>IFERROR(6/(COUNTIF(Dyno_EndMatch[Match],TBA_Matches_All[[#This Row],[Match_Number]])),0)</f>
        <v>1</v>
      </c>
      <c r="AF76">
        <f>COUNTIFS(Dyno_Data[Team],TBA_Matches_All[[#This Row],[Team]],Dyno_Data[Match],TBA_Matches_All[[#This Row],[Match_Number]],Dyno_Data[RecordType],"EndMatch",Dyno_Data[HPAmp],"Y")</f>
        <v>1</v>
      </c>
      <c r="AG76">
        <f>SUMIFS(Dyno_Data[Mics], Dyno_Data[Team],TBA_Matches_All[[#This Row],[Team]],Dyno_Data[Match],TBA_Matches_All[[#This Row],[Match_Number]],Dyno_Data[RecordType],"EndMatch",Dyno_Data[HPAmp],"Y")</f>
        <v>0</v>
      </c>
      <c r="AH76">
        <f>SUMIFS(Dyno_Data[Leave], Dyno_Data[Team],TBA_Matches_All[[#This Row],[Team]],Dyno_Data[Match],TBA_Matches_All[[#This Row],[Match_Number]],Dyno_Data[RecordType],"EndAuto")</f>
        <v>0</v>
      </c>
      <c r="AI76">
        <f>COUNTIFS(Dyno_Data[Team],TBA_Matches_All[[#This Row],[Team]],Dyno_Data[Match],TBA_Matches_All[[#This Row],[Match_Number]],Dyno_Data[RecordType],"Activities",Dyno_Data[DelDest],"Amp", Dyno_Data[DelMiss],"0", Dyno_Data[Mode],"Auto")</f>
        <v>0</v>
      </c>
      <c r="AJ76">
        <f>COUNTIFS(Dyno_Data[Team],TBA_Matches_All[[#This Row],[Team]],Dyno_Data[Match],TBA_Matches_All[[#This Row],[Match_Number]],Dyno_Data[RecordType],"Activities",Dyno_Data[DelDest],"Spkr", Dyno_Data[DelMiss],"0", Dyno_Data[Mode],"Auto")</f>
        <v>0</v>
      </c>
      <c r="AK76">
        <f>COUNTIFS(Dyno_Data[Team],TBA_Matches_All[[#This Row],[Team]],Dyno_Data[Match],TBA_Matches_All[[#This Row],[Match_Number]],Dyno_Data[RecordType],"Activities",Dyno_Data[DelDest],"Trap", Dyno_Data[DelMiss],"0", Dyno_Data[Mode],"Auto")</f>
        <v>0</v>
      </c>
      <c r="AL76">
        <f>COUNTIFS(Dyno_Data[Team],TBA_Matches_All[[#This Row],[Team]],Dyno_Data[Match],TBA_Matches_All[[#This Row],[Match_Number]],Dyno_Data[RecordType],"Activities",Dyno_Data[DelDest],"Amp", Dyno_Data[DelMiss],"0", Dyno_Data[Mode],"Teleop")</f>
        <v>0</v>
      </c>
      <c r="AM76">
        <f>COUNTIFS(Dyno_Data[Team],TBA_Matches_All[[#This Row],[Team]],Dyno_Data[Match],TBA_Matches_All[[#This Row],[Match_Number]],Dyno_Data[RecordType],"Activities",Dyno_Data[DelDest],"Spkr", Dyno_Data[DelMiss],"0", Dyno_Data[Mode],"Teleop")</f>
        <v>0</v>
      </c>
      <c r="AN76">
        <f>COUNTIFS(Dyno_Data[Team],TBA_Matches_All[[#This Row],[Team]],Dyno_Data[Match],TBA_Matches_All[[#This Row],[Match_Number]],Dyno_Data[RecordType],"Activities",Dyno_Data[DelDest],"Trap", Dyno_Data[DelMiss],"0", Dyno_Data[Mode],"&lt;&gt;Auto")</f>
        <v>0</v>
      </c>
      <c r="AO76">
        <f>SUM(TBA_Matches_All[[#This Row],[AampT]]+TBA_Matches_All[[#This Row],[AspkrT]]+TBA_Matches_All[[#This Row],[AtrapT]]+TBA_Matches_All[[#This Row],[TampT]]+TBA_Matches_All[[#This Row],[TspkrT]]+TBA_Matches_All[[#This Row],[TtrapT]])</f>
        <v>0</v>
      </c>
      <c r="AP76">
        <f>COUNTIFS(Dyno_Data[Team],TBA_Matches_All[[#This Row],[Team]],Dyno_Data[Match],TBA_Matches_All[[#This Row],[Match_Number]],Dyno_Data[RecordType],"Activities",Dyno_Data[DelDest],"Neut", Dyno_Data[DelMiss],"0")</f>
        <v>0</v>
      </c>
      <c r="AQ76">
        <f>COUNTIFS(Dyno_Data[Team],TBA_Matches_All[[#This Row],[Team]],Dyno_Data[Match],TBA_Matches_All[[#This Row],[Match_Number]],Dyno_Data[RecordType],"Activities",Dyno_Data[DelDest],"AllyW", Dyno_Data[DelMiss],"0")</f>
        <v>0</v>
      </c>
      <c r="AR76" t="str">
        <f>_xlfn.XLOOKUP(SUM(MID(TBA_Matches_All[[#This Row],[Team]],4,5),(TBA_Matches_All[[#This Row],[Match_Number]]/100)),Dyno_EndMatch[teammat],Dyno_EndMatch[RobotSta],"_",0,1)</f>
        <v>Amp</v>
      </c>
      <c r="AS76">
        <f>SUMIFS(Dyno_Data[AcqDis], Dyno_Data[Team],TBA_Matches_All[[#This Row],[Team]],Dyno_Data[Match],TBA_Matches_All[[#This Row],[Match_Number]],Dyno_Data[RecordType],"Activities", Dyno_Data[AcqCenter],1,Dyno_Data[Mode],"Auto")</f>
        <v>0</v>
      </c>
      <c r="AT76">
        <f>SUMIFS(Dyno_Data[AcqDis], Dyno_Data[Team],TBA_Matches_All[[#This Row],[Team]],Dyno_Data[Match],TBA_Matches_All[[#This Row],[Match_Number]],Dyno_Data[RecordType],"Activities", Dyno_Data[AcqCenter],2,Dyno_Data[Mode],"Auto")</f>
        <v>0</v>
      </c>
      <c r="AU76">
        <f>SUMIFS(Dyno_Data[AcqDis], Dyno_Data[Team],TBA_Matches_All[[#This Row],[Team]],Dyno_Data[Match],TBA_Matches_All[[#This Row],[Match_Number]],Dyno_Data[RecordType],"Activities", Dyno_Data[AcqCenter],3,Dyno_Data[Mode],"Auto")</f>
        <v>0</v>
      </c>
      <c r="AV76">
        <f>SUMIFS(Dyno_Data[AcqDis], Dyno_Data[Team],TBA_Matches_All[[#This Row],[Team]],Dyno_Data[Match],TBA_Matches_All[[#This Row],[Match_Number]],Dyno_Data[RecordType],"Activities", Dyno_Data[AcqCenter],4,Dyno_Data[Mode],"Auto")</f>
        <v>0</v>
      </c>
      <c r="AW76">
        <f>SUMIFS(Dyno_Data[AcqDis], Dyno_Data[Team],TBA_Matches_All[[#This Row],[Team]],Dyno_Data[Match],TBA_Matches_All[[#This Row],[Match_Number]],Dyno_Data[RecordType],"Activities", Dyno_Data[AcqCenter],5,Dyno_Data[Mode],"Auto")</f>
        <v>0</v>
      </c>
      <c r="AX76">
        <f>SUMIFS(Dyno_Data[DelMiss], Dyno_Data[Team],TBA_Matches_All[[#This Row],[Team]],Dyno_Data[Match],TBA_Matches_All[[#This Row],[Match_Number]],Dyno_Data[RecordType],"Activities", Dyno_Data[DelDest],"Amp")</f>
        <v>0</v>
      </c>
      <c r="AY76" s="60">
        <f>IFERROR(SUM((TBA_Matches_All[[#This Row],[AampT]]+TBA_Matches_All[[#This Row],[TampT]])/(TBA_Matches_All[[#This Row],[AampT]]+TBA_Matches_All[[#This Row],[TampT]]+TBA_Matches_All[[#This Row],[ampM]])),0)</f>
        <v>0</v>
      </c>
      <c r="AZ76">
        <f>SUMIFS(Dyno_Data[DelMiss], Dyno_Data[Team],TBA_Matches_All[[#This Row],[Team]],Dyno_Data[Match],TBA_Matches_All[[#This Row],[Match_Number]],Dyno_Data[RecordType],"Activities", Dyno_Data[DelDest],"Spkr")</f>
        <v>1</v>
      </c>
      <c r="BA76" s="60">
        <f>IFERROR(SUM((TBA_Matches_All[[#This Row],[AspkrT]]+TBA_Matches_All[[#This Row],[TspkrT]])/(TBA_Matches_All[[#This Row],[AspkrT]]+TBA_Matches_All[[#This Row],[TspkrT]]+TBA_Matches_All[[#This Row],[spkrM]])),0)</f>
        <v>0</v>
      </c>
      <c r="BB76">
        <f>SUMIFS(Dyno_Data[DelMiss], Dyno_Data[Team],TBA_Matches_All[[#This Row],[Team]],Dyno_Data[Match],TBA_Matches_All[[#This Row],[Match_Number]],Dyno_Data[RecordType],"Activities", Dyno_Data[DelDest],"Trap")</f>
        <v>0</v>
      </c>
      <c r="BC76" s="60">
        <f>IFERROR((TBA_Matches_All[[#This Row],[AtrapT]]+TBA_Matches_All[[#This Row],[TtrapT]])/(TBA_Matches_All[[#This Row],[AtrapT]]+TBA_Matches_All[[#This Row],[TtrapT]]+TBA_Matches_All[[#This Row],[trapM]]),0)</f>
        <v>0</v>
      </c>
      <c r="BD76">
        <f>COUNTIFS(Dyno_Data[Team],TBA_Matches_All[[#This Row],[Team]],Dyno_Data[Match],TBA_Matches_All[[#This Row],[Match_Number]],Dyno_Data[RecordType],"Activities",Dyno_Data[DelDest],"Neut", Dyno_Data[DelMiss],1)</f>
        <v>0</v>
      </c>
      <c r="BE76" s="60">
        <f>IFERROR(SUM((TBA_Matches_All[[#This Row],[NeutFlrT]])/(TBA_Matches_All[[#This Row],[NeutFlrT]]+TBA_Matches_All[[#This Row],[NZflM]])),0)</f>
        <v>0</v>
      </c>
      <c r="BF76">
        <f>COUNTIFS(Dyno_Data[Team],TBA_Matches_All[[#This Row],[Team]],Dyno_Data[Match],TBA_Matches_All[[#This Row],[Match_Number]],Dyno_Data[RecordType],"Activities",Dyno_Data[DelDest],"AllyW", Dyno_Data[DelMiss],1)</f>
        <v>0</v>
      </c>
      <c r="BG76" s="60">
        <f>IFERROR(SUM((TBA_Matches_All[[#This Row],[AllyWFlrT]])/(TBA_Matches_All[[#This Row],[AllyWFlrT]]+TBA_Matches_All[[#This Row],[AZflM]])),0)</f>
        <v>0</v>
      </c>
      <c r="BH76">
        <f>COUNTIFS(Dyno_Data[Team],TBA_Matches_All[[#This Row],[Team]],Dyno_Data[Match],TBA_Matches_All[[#This Row],[Match_Number]],Dyno_Data[RecordType],"Activities",Dyno_Data[DelOrig],"OppW", Dyno_Data[DelMiss],"0")</f>
        <v>0</v>
      </c>
      <c r="BI76">
        <f>COUNTIFS(Dyno_Data[Team],TBA_Matches_All[[#This Row],[Team]],Dyno_Data[Match],TBA_Matches_All[[#This Row],[Match_Number]],Dyno_Data[RecordType],"Activities",Dyno_Data[DelOrig],"OppW", Dyno_Data[DelMiss],"1")</f>
        <v>0</v>
      </c>
      <c r="BJ76" s="60">
        <f>IFERROR(SUM((TBA_Matches_All[[#This Row],[OZflrT]])/(TBA_Matches_All[[#This Row],[OZflrT]]+TBA_Matches_All[[#This Row],[OZflrM]])),0)</f>
        <v>0</v>
      </c>
      <c r="BK76">
        <f>COUNTIFS(Dyno_Data[Team],TBA_Matches_All[[#This Row],[Team]],Dyno_Data[Match],TBA_Matches_All[[#This Row],[Match_Number]],Dyno_Data[RecordType],"Activities",Dyno_Data[DelOrig],"Neut", Dyno_Data[DelMiss],"0")</f>
        <v>0</v>
      </c>
      <c r="BL76">
        <f>COUNTIFS(Dyno_Data[Team],TBA_Matches_All[[#This Row],[Team]],Dyno_Data[Match],TBA_Matches_All[[#This Row],[Match_Number]],Dyno_Data[RecordType],"Activities",Dyno_Data[DelOrig],"Neut", Dyno_Data[DelMiss],"1")</f>
        <v>0</v>
      </c>
      <c r="BM76" s="60">
        <f>IFERROR(SUM((TBA_Matches_All[[#This Row],[NZflrT]])/(TBA_Matches_All[[#This Row],[NZflrT]]+TBA_Matches_All[[#This Row],[NZflrM]])),0)</f>
        <v>0</v>
      </c>
      <c r="BN76">
        <f>COUNTIFS(Dyno_Data[Team],TBA_Matches_All[[#This Row],[Team]],Dyno_Data[Match],TBA_Matches_All[[#This Row],[Match_Number]],Dyno_Data[RecordType],"Activities",Dyno_Data[DelOrig],"AllyW", Dyno_Data[DelMiss],"0")</f>
        <v>0</v>
      </c>
      <c r="BO76">
        <f>COUNTIFS(Dyno_Data[Team],TBA_Matches_All[[#This Row],[Team]],Dyno_Data[Match],TBA_Matches_All[[#This Row],[Match_Number]],Dyno_Data[RecordType],"Activities",Dyno_Data[DelOrig],"AllyW", Dyno_Data[DelMiss],"1")</f>
        <v>1</v>
      </c>
      <c r="BP76" s="60">
        <f>IFERROR(SUM((TBA_Matches_All[[#This Row],[AZflrT]])/(TBA_Matches_All[[#This Row],[AZflrT]]+TBA_Matches_All[[#This Row],[AZflrM]])),0)</f>
        <v>0</v>
      </c>
      <c r="BQ76">
        <f>COUNTIFS(Dyno_Data[Team],TBA_Matches_All[[#This Row],[Team]],Dyno_Data[Match],TBA_Matches_All[[#This Row],[Match_Number]],Dyno_Data[RecordType],"Activities",Dyno_Data[DelOrig],"SubW", Dyno_Data[DelMiss],"0")</f>
        <v>0</v>
      </c>
      <c r="BR76">
        <f>COUNTIFS(Dyno_Data[Team],TBA_Matches_All[[#This Row],[Team]],Dyno_Data[Match],TBA_Matches_All[[#This Row],[Match_Number]],Dyno_Data[RecordType],"Activities",Dyno_Data[DelOrig],"SubW", Dyno_Data[DelMiss],"1")</f>
        <v>0</v>
      </c>
      <c r="BS76" s="60">
        <f>IFERROR(SUM((TBA_Matches_All[[#This Row],[SubwT]])/(TBA_Matches_All[[#This Row],[SubwT]]+TBA_Matches_All[[#This Row],[SubwM]])),0)</f>
        <v>0</v>
      </c>
      <c r="BT76">
        <f>COUNTIFS(Dyno_Data[Team],TBA_Matches_All[[#This Row],[Team]],Dyno_Data[Match],TBA_Matches_All[[#This Row],[Match_Number]],Dyno_Data[RecordType],"Activities", Dyno_Data[AcqLoc],"OppWing")</f>
        <v>0</v>
      </c>
      <c r="BU76">
        <f>COUNTIFS(Dyno_Data[Team],TBA_Matches_All[[#This Row],[Team]],Dyno_Data[Match],TBA_Matches_All[[#This Row],[Match_Number]],Dyno_Data[RecordType],"Activities", Dyno_Data[AcqLoc],"Neutral")</f>
        <v>0</v>
      </c>
      <c r="BV76">
        <f>COUNTIFS(Dyno_Data[Team],TBA_Matches_All[[#This Row],[Team]],Dyno_Data[Match],TBA_Matches_All[[#This Row],[Match_Number]],Dyno_Data[RecordType],"Activities", Dyno_Data[AcqLoc],"AllyWing")</f>
        <v>0</v>
      </c>
      <c r="BW76">
        <f>COUNTIFS(Dyno_Data[Team],TBA_Matches_All[[#This Row],[Team]],Dyno_Data[Match],TBA_Matches_All[[#This Row],[Match_Number]],Dyno_Data[RecordType],"Activities", Dyno_Data[AcqLoc],"Source")</f>
        <v>0</v>
      </c>
      <c r="BX76">
        <f>SUMIFS(Dyno_Data[AcqDrp], Dyno_Data[Team],TBA_Matches_All[[#This Row],[Team]],Dyno_Data[Match],TBA_Matches_All[[#This Row],[Match_Number]],Dyno_Data[RecordType],"Activities", Dyno_Data[AcqLoc],"Source")</f>
        <v>0</v>
      </c>
      <c r="BY76">
        <f>SUMIFS(Dyno_Data[OZTime], Dyno_Data[Team],TBA_Matches_All[[#This Row],[Team]],Dyno_Data[Match],TBA_Matches_All[[#This Row],[Match_Number]],Dyno_Data[RecordType],"EndMatch")</f>
        <v>42.444657899999996</v>
      </c>
      <c r="BZ76">
        <f>SUMIFS(Dyno_Data[NZTime], Dyno_Data[Team],TBA_Matches_All[[#This Row],[Team]],Dyno_Data[Match],TBA_Matches_All[[#This Row],[Match_Number]],Dyno_Data[RecordType],"EndMatch")</f>
        <v>40.825649999999996</v>
      </c>
      <c r="CA76">
        <f>SUMIFS(Dyno_Data[AZTime], Dyno_Data[Team],TBA_Matches_All[[#This Row],[Team]],Dyno_Data[Match],TBA_Matches_All[[#This Row],[Match_Number]],Dyno_Data[RecordType],"EndMatch")</f>
        <v>29.556090399999999</v>
      </c>
      <c r="CB76">
        <f>SUMIFS(Dyno_Data[ClimbT], Dyno_Data[Team],TBA_Matches_All[[#This Row],[Team]],Dyno_Data[Match],TBA_Matches_All[[#This Row],[Match_Number]],Dyno_Data[RecordType],"EndMatch")</f>
        <v>21.925470399999998</v>
      </c>
      <c r="CC76" t="str">
        <f>_xlfn.XLOOKUP(SUM(MID(TBA_Matches_All[[#This Row],[Team]],4,5),(TBA_Matches_All[[#This Row],[Match_Number]]/100)),Dyno_EndMatch[teammat],Dyno_EndMatch[StageStat],"_",0,1)</f>
        <v>Park</v>
      </c>
      <c r="CD76" t="str">
        <f>_xlfn.XLOOKUP(TBA_Matches_All[[#This Row],[teammat]],Dyno_EndMatch[teammat],Dyno_EndMatch[StageAtt],"_",0,1)</f>
        <v>-1</v>
      </c>
      <c r="CE76" t="str">
        <f>_xlfn.XLOOKUP(TBA_Matches_All[[#This Row],[teammat]],Dyno_EndMatch[teammat],Dyno_EndMatch[StageLoc],"_",0,1)</f>
        <v>A</v>
      </c>
      <c r="CF76">
        <f>SUMIFS(Dyno_Data[Harmony], Dyno_Data[Team],TBA_Matches_All[[#This Row],[Team]],Dyno_Data[Match],TBA_Matches_All[[#This Row],[Match_Number]],Dyno_Data[RecordType],"EndMatch", Dyno_Data[StageStat],"On",Dyno_Data[Harmony],"&lt;&gt;9")</f>
        <v>0</v>
      </c>
      <c r="CG76">
        <f>SUMIFS(Dyno_Data[Spotlit], Dyno_Data[Team],TBA_Matches_All[[#This Row],[Team]],Dyno_Data[Match],TBA_Matches_All[[#This Row],[Match_Number]],Dyno_Data[RecordType],"EndMatch", Dyno_Data[StageStat],"On",Dyno_Data[Spotlit],"&lt;&gt;9")</f>
        <v>0</v>
      </c>
      <c r="CH76" t="str">
        <f>_xlfn.XLOOKUP(TBA_Matches_All[[#This Row],[teammat]],Dyno_EndMatch[teammat],Dyno_EndMatch[Strategy],"_",0,1)</f>
        <v>None</v>
      </c>
      <c r="CI76">
        <f>SUMIFS(Dyno_Data[Defense], Dyno_Data[Team],TBA_Matches_All[[#This Row],[Team]],Dyno_Data[Match],TBA_Matches_All[[#This Row],[Match_Number]],Dyno_Data[RecordType],"EndMatch",Dyno_Data[Defense],"&lt;&gt;9")</f>
        <v>0</v>
      </c>
      <c r="CJ76">
        <f>SUMIFS(Dyno_Data[Avoidance], Dyno_Data[Team],TBA_Matches_All[[#This Row],[Team]],Dyno_Data[Match],TBA_Matches_All[[#This Row],[Match_Number]],Dyno_Data[RecordType],"EndMatch",Dyno_Data[Avoidance],"&lt;&gt;9")</f>
        <v>2</v>
      </c>
      <c r="CK76" s="82">
        <f>COUNTIF($H$2:TBA_Matches_All[[#This Row],[Team]],TBA_Matches_All[[#This Row],[Team]])</f>
        <v>2</v>
      </c>
      <c r="CL76" s="111">
        <f>SUM(MID(TBA_Matches_All[[#This Row],[Team]],4,5)+TBA_Matches_All[[#This Row],[Match_Number]]/100)</f>
        <v>6401.13</v>
      </c>
      <c r="CM76">
        <f>SUM((TBA_Matches_All[[#This Row],[Leave]]*2)+(TBA_Matches_All[[#This Row],[AampT]]*2)+(TBA_Matches_All[[#This Row],[AspkrT]]*5)+(TBA_Matches_All[[#This Row],[AtrapT]]*5))</f>
        <v>0</v>
      </c>
      <c r="CN76" s="59">
        <f>IFERROR(SUM(TBA_Matches_All[[#This Row],[AptsT]]/TBA_Matches_All[[#This Row],[AutoPts]]),0)</f>
        <v>0</v>
      </c>
      <c r="CO76" s="59">
        <f>IFERROR(SUM(TBA_Matches_All[[#This Row],[AampT]]+TBA_Matches_All[[#This Row],[AspkrT]]+TBA_Matches_All[[#This Row],[AtrapT]]/TBA_Matches_All[[#This Row],[Aamp]]+TBA_Matches_All[[#This Row],[Aspkr]]+TBA_Matches_All[[#This Row],[AtrapT]]),0)</f>
        <v>0</v>
      </c>
      <c r="CP76" s="59">
        <f>IFERROR(SUM(TBA_Matches_All[[#This Row],[TampT]]/TBA_Matches_All[[#This Row],[Tamp]]),0)</f>
        <v>0</v>
      </c>
      <c r="CQ76" s="59">
        <f>IFERROR(SUM(TBA_Matches_All[[#This Row],[TspkrT]]/TBA_Matches_All[[#This Row],[Tspkr]]),0)</f>
        <v>0</v>
      </c>
      <c r="CR76">
        <f>SUM(TBA_Matches_All[[#This Row],[TspkrPts]]*TBA_Matches_All[[#This Row],[TspkrP]])</f>
        <v>0</v>
      </c>
      <c r="CS76" s="59">
        <f>IFERROR(SUM(TBA_Matches_All[[#This Row],[TtrapT]]/TBA_Matches_All[[#This Row],[Trap]]),0)</f>
        <v>0</v>
      </c>
      <c r="CT76" s="59">
        <f>IFERROR(SUM(TBA_Matches_All[[#This Row],[TotNotesT]]/TBA_Matches_All[[#This Row],[TotNotes]]),0)</f>
        <v>0</v>
      </c>
      <c r="CU76" s="66">
        <f>SUM((TBA_Matches_All[[#This Row],[AampT]]*2)+(TBA_Matches_All[[#This Row],[AspkrT]]*5)+(TBA_Matches_All[[#This Row],[AtrapT]]*5)+(TBA_Matches_All[[#This Row],[TampT]]*1)+(TBA_Matches_All[[#This Row],[TspkrptsC]]))</f>
        <v>0</v>
      </c>
      <c r="CV76" s="59">
        <f>IFERROR(TBA_Matches_All[[#This Row],[noteptsT]]/TBA_Matches_All[[#This Row],[NotePts]],0)</f>
        <v>0</v>
      </c>
      <c r="CW76">
        <f>SUM(IF(TBA_Matches_All[[#This Row],[stageStat]]="On",3,0),IF(TBA_Matches_All[[#This Row],[stageStat]]="Park",1,0),SUMIFS(TBA_Matches_All[[#This Row],[Spotlit]],TBA_Matches_All[[#This Row],[stageStat]],"On"),SUMIFS(TBA_Matches_All[[#This Row],[Harmony]],TBA_Matches_All[[#This Row],[stageStat]],"On"))</f>
        <v>1</v>
      </c>
      <c r="CX76" s="59">
        <f>IFERROR(TBA_Matches_All[[#This Row],[stageptsT]]/TBA_Matches_All[[#This Row],[StagePts]],0)</f>
        <v>0.14285714285714285</v>
      </c>
      <c r="CY76">
        <f>SUM((TBA_Matches_All[[#This Row],[AptsT]]+TBA_Matches_All[[#This Row],[TampT]]+TBA_Matches_All[[#This Row],[TspkrptsC]]+(TBA_Matches_All[[#This Row],[TtrapT]]*5)+TBA_Matches_All[[#This Row],[stageptsT]]))</f>
        <v>1</v>
      </c>
      <c r="CZ76" s="59">
        <f>IFERROR(SUM(TBA_Matches_All[[#This Row],[TotptsC]]/TBA_Matches_All[[#This Row],[Score]]),0)</f>
        <v>2.0833333333333332E-2</v>
      </c>
      <c r="DA7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5.16</v>
      </c>
      <c r="DB76" s="74">
        <f>SUMIFS(TBA_Matches_All[AveTeamTNoteDels],TBA_Matches_All[Match_Number],TBA_Matches_All[[#This Row],[Match_Number]],TBA_Matches_All[Alliance],"&lt;&gt;"&amp;TBA_Matches_All[[#This Row],[Alliance]],TBA_Matches_All[Scouted],"&gt;0")</f>
        <v>44.086038961038966</v>
      </c>
      <c r="DC76" s="74">
        <f>(TBA_Matches_All[[#This Row],[TampT]]+TBA_Matches_All[[#This Row],[TspkrptsC]])-TBA_Matches_All[[#This Row],[AveTeamTNoteDels]]</f>
        <v>-5.16</v>
      </c>
      <c r="DD76" s="74">
        <f>SUMIFS(TBA_Matches_All[AveTeamTNoteDels],TBA_Matches_All[Match_Number],TBA_Matches_All[[#This Row],[Match_Number]],TBA_Matches_All[Alliance],"&lt;&gt;"&amp;TBA_Matches_All[[#This Row],[Alliance]])-TBA_Matches_All[[#This Row],[AveOppTNoteDels]]</f>
        <v>0</v>
      </c>
    </row>
    <row r="77" spans="1:108" x14ac:dyDescent="0.3">
      <c r="A77" t="s">
        <v>1042</v>
      </c>
      <c r="B77" t="s">
        <v>489</v>
      </c>
      <c r="C77" t="s">
        <v>1322</v>
      </c>
      <c r="D77">
        <v>13</v>
      </c>
      <c r="E77" t="s">
        <v>1420</v>
      </c>
      <c r="F77" t="s">
        <v>1425</v>
      </c>
      <c r="G77" t="s">
        <v>105</v>
      </c>
      <c r="H77" t="s">
        <v>366</v>
      </c>
      <c r="I77" t="b">
        <v>1</v>
      </c>
      <c r="J77">
        <v>80</v>
      </c>
      <c r="K77">
        <v>1</v>
      </c>
      <c r="L77">
        <v>0</v>
      </c>
      <c r="M77">
        <v>15</v>
      </c>
      <c r="N77">
        <v>0</v>
      </c>
      <c r="O77">
        <v>8</v>
      </c>
      <c r="P77">
        <v>40</v>
      </c>
      <c r="Q77">
        <v>44</v>
      </c>
      <c r="R77">
        <v>5</v>
      </c>
      <c r="S77">
        <v>2</v>
      </c>
      <c r="T77">
        <v>6</v>
      </c>
      <c r="U77">
        <v>10</v>
      </c>
      <c r="V77">
        <v>12</v>
      </c>
      <c r="W77">
        <v>8</v>
      </c>
      <c r="X77">
        <v>22</v>
      </c>
      <c r="Y77">
        <v>27</v>
      </c>
      <c r="Z77">
        <v>5</v>
      </c>
      <c r="AA77">
        <v>1</v>
      </c>
      <c r="AB77">
        <v>21</v>
      </c>
      <c r="AC77">
        <v>67</v>
      </c>
      <c r="AD77">
        <v>9</v>
      </c>
      <c r="AE77">
        <f>IFERROR(6/(COUNTIF(Dyno_EndMatch[Match],TBA_Matches_All[[#This Row],[Match_Number]])),0)</f>
        <v>1</v>
      </c>
      <c r="AF77">
        <f>COUNTIFS(Dyno_Data[Team],TBA_Matches_All[[#This Row],[Team]],Dyno_Data[Match],TBA_Matches_All[[#This Row],[Match_Number]],Dyno_Data[RecordType],"EndMatch",Dyno_Data[HPAmp],"Y")</f>
        <v>0</v>
      </c>
      <c r="AG77">
        <f>SUMIFS(Dyno_Data[Mics], Dyno_Data[Team],TBA_Matches_All[[#This Row],[Team]],Dyno_Data[Match],TBA_Matches_All[[#This Row],[Match_Number]],Dyno_Data[RecordType],"EndMatch",Dyno_Data[HPAmp],"Y")</f>
        <v>0</v>
      </c>
      <c r="AH77">
        <f>SUMIFS(Dyno_Data[Leave], Dyno_Data[Team],TBA_Matches_All[[#This Row],[Team]],Dyno_Data[Match],TBA_Matches_All[[#This Row],[Match_Number]],Dyno_Data[RecordType],"EndAuto")</f>
        <v>0</v>
      </c>
      <c r="AI77">
        <f>COUNTIFS(Dyno_Data[Team],TBA_Matches_All[[#This Row],[Team]],Dyno_Data[Match],TBA_Matches_All[[#This Row],[Match_Number]],Dyno_Data[RecordType],"Activities",Dyno_Data[DelDest],"Amp", Dyno_Data[DelMiss],"0", Dyno_Data[Mode],"Auto")</f>
        <v>0</v>
      </c>
      <c r="AJ77">
        <f>COUNTIFS(Dyno_Data[Team],TBA_Matches_All[[#This Row],[Team]],Dyno_Data[Match],TBA_Matches_All[[#This Row],[Match_Number]],Dyno_Data[RecordType],"Activities",Dyno_Data[DelDest],"Spkr", Dyno_Data[DelMiss],"0", Dyno_Data[Mode],"Auto")</f>
        <v>1</v>
      </c>
      <c r="AK77">
        <f>COUNTIFS(Dyno_Data[Team],TBA_Matches_All[[#This Row],[Team]],Dyno_Data[Match],TBA_Matches_All[[#This Row],[Match_Number]],Dyno_Data[RecordType],"Activities",Dyno_Data[DelDest],"Trap", Dyno_Data[DelMiss],"0", Dyno_Data[Mode],"Auto")</f>
        <v>0</v>
      </c>
      <c r="AL77">
        <f>COUNTIFS(Dyno_Data[Team],TBA_Matches_All[[#This Row],[Team]],Dyno_Data[Match],TBA_Matches_All[[#This Row],[Match_Number]],Dyno_Data[RecordType],"Activities",Dyno_Data[DelDest],"Amp", Dyno_Data[DelMiss],"0", Dyno_Data[Mode],"Teleop")</f>
        <v>0</v>
      </c>
      <c r="AM77">
        <f>COUNTIFS(Dyno_Data[Team],TBA_Matches_All[[#This Row],[Team]],Dyno_Data[Match],TBA_Matches_All[[#This Row],[Match_Number]],Dyno_Data[RecordType],"Activities",Dyno_Data[DelDest],"Spkr", Dyno_Data[DelMiss],"0", Dyno_Data[Mode],"Teleop")</f>
        <v>2</v>
      </c>
      <c r="AN77">
        <f>COUNTIFS(Dyno_Data[Team],TBA_Matches_All[[#This Row],[Team]],Dyno_Data[Match],TBA_Matches_All[[#This Row],[Match_Number]],Dyno_Data[RecordType],"Activities",Dyno_Data[DelDest],"Trap", Dyno_Data[DelMiss],"0", Dyno_Data[Mode],"&lt;&gt;Auto")</f>
        <v>0</v>
      </c>
      <c r="AO77">
        <f>SUM(TBA_Matches_All[[#This Row],[AampT]]+TBA_Matches_All[[#This Row],[AspkrT]]+TBA_Matches_All[[#This Row],[AtrapT]]+TBA_Matches_All[[#This Row],[TampT]]+TBA_Matches_All[[#This Row],[TspkrT]]+TBA_Matches_All[[#This Row],[TtrapT]])</f>
        <v>3</v>
      </c>
      <c r="AP77">
        <f>COUNTIFS(Dyno_Data[Team],TBA_Matches_All[[#This Row],[Team]],Dyno_Data[Match],TBA_Matches_All[[#This Row],[Match_Number]],Dyno_Data[RecordType],"Activities",Dyno_Data[DelDest],"Neut", Dyno_Data[DelMiss],"0")</f>
        <v>0</v>
      </c>
      <c r="AQ77">
        <f>COUNTIFS(Dyno_Data[Team],TBA_Matches_All[[#This Row],[Team]],Dyno_Data[Match],TBA_Matches_All[[#This Row],[Match_Number]],Dyno_Data[RecordType],"Activities",Dyno_Data[DelDest],"AllyW", Dyno_Data[DelMiss],"0")</f>
        <v>0</v>
      </c>
      <c r="AR77" t="str">
        <f>_xlfn.XLOOKUP(SUM(MID(TBA_Matches_All[[#This Row],[Team]],4,5),(TBA_Matches_All[[#This Row],[Match_Number]]/100)),Dyno_EndMatch[teammat],Dyno_EndMatch[RobotSta],"_",0,1)</f>
        <v>Amp</v>
      </c>
      <c r="AS77">
        <f>SUMIFS(Dyno_Data[AcqDis], Dyno_Data[Team],TBA_Matches_All[[#This Row],[Team]],Dyno_Data[Match],TBA_Matches_All[[#This Row],[Match_Number]],Dyno_Data[RecordType],"Activities", Dyno_Data[AcqCenter],1,Dyno_Data[Mode],"Auto")</f>
        <v>0</v>
      </c>
      <c r="AT77">
        <f>SUMIFS(Dyno_Data[AcqDis], Dyno_Data[Team],TBA_Matches_All[[#This Row],[Team]],Dyno_Data[Match],TBA_Matches_All[[#This Row],[Match_Number]],Dyno_Data[RecordType],"Activities", Dyno_Data[AcqCenter],2,Dyno_Data[Mode],"Auto")</f>
        <v>0</v>
      </c>
      <c r="AU77">
        <f>SUMIFS(Dyno_Data[AcqDis], Dyno_Data[Team],TBA_Matches_All[[#This Row],[Team]],Dyno_Data[Match],TBA_Matches_All[[#This Row],[Match_Number]],Dyno_Data[RecordType],"Activities", Dyno_Data[AcqCenter],3,Dyno_Data[Mode],"Auto")</f>
        <v>0</v>
      </c>
      <c r="AV77">
        <f>SUMIFS(Dyno_Data[AcqDis], Dyno_Data[Team],TBA_Matches_All[[#This Row],[Team]],Dyno_Data[Match],TBA_Matches_All[[#This Row],[Match_Number]],Dyno_Data[RecordType],"Activities", Dyno_Data[AcqCenter],4,Dyno_Data[Mode],"Auto")</f>
        <v>0</v>
      </c>
      <c r="AW77">
        <f>SUMIFS(Dyno_Data[AcqDis], Dyno_Data[Team],TBA_Matches_All[[#This Row],[Team]],Dyno_Data[Match],TBA_Matches_All[[#This Row],[Match_Number]],Dyno_Data[RecordType],"Activities", Dyno_Data[AcqCenter],5,Dyno_Data[Mode],"Auto")</f>
        <v>0</v>
      </c>
      <c r="AX77">
        <f>SUMIFS(Dyno_Data[DelMiss], Dyno_Data[Team],TBA_Matches_All[[#This Row],[Team]],Dyno_Data[Match],TBA_Matches_All[[#This Row],[Match_Number]],Dyno_Data[RecordType],"Activities", Dyno_Data[DelDest],"Amp")</f>
        <v>0</v>
      </c>
      <c r="AY77" s="60">
        <f>IFERROR(SUM((TBA_Matches_All[[#This Row],[AampT]]+TBA_Matches_All[[#This Row],[TampT]])/(TBA_Matches_All[[#This Row],[AampT]]+TBA_Matches_All[[#This Row],[TampT]]+TBA_Matches_All[[#This Row],[ampM]])),0)</f>
        <v>0</v>
      </c>
      <c r="AZ77">
        <f>SUMIFS(Dyno_Data[DelMiss], Dyno_Data[Team],TBA_Matches_All[[#This Row],[Team]],Dyno_Data[Match],TBA_Matches_All[[#This Row],[Match_Number]],Dyno_Data[RecordType],"Activities", Dyno_Data[DelDest],"Spkr")</f>
        <v>0</v>
      </c>
      <c r="BA77" s="60">
        <f>IFERROR(SUM((TBA_Matches_All[[#This Row],[AspkrT]]+TBA_Matches_All[[#This Row],[TspkrT]])/(TBA_Matches_All[[#This Row],[AspkrT]]+TBA_Matches_All[[#This Row],[TspkrT]]+TBA_Matches_All[[#This Row],[spkrM]])),0)</f>
        <v>1</v>
      </c>
      <c r="BB77">
        <f>SUMIFS(Dyno_Data[DelMiss], Dyno_Data[Team],TBA_Matches_All[[#This Row],[Team]],Dyno_Data[Match],TBA_Matches_All[[#This Row],[Match_Number]],Dyno_Data[RecordType],"Activities", Dyno_Data[DelDest],"Trap")</f>
        <v>0</v>
      </c>
      <c r="BC77" s="60">
        <f>IFERROR((TBA_Matches_All[[#This Row],[AtrapT]]+TBA_Matches_All[[#This Row],[TtrapT]])/(TBA_Matches_All[[#This Row],[AtrapT]]+TBA_Matches_All[[#This Row],[TtrapT]]+TBA_Matches_All[[#This Row],[trapM]]),0)</f>
        <v>0</v>
      </c>
      <c r="BD77">
        <f>COUNTIFS(Dyno_Data[Team],TBA_Matches_All[[#This Row],[Team]],Dyno_Data[Match],TBA_Matches_All[[#This Row],[Match_Number]],Dyno_Data[RecordType],"Activities",Dyno_Data[DelDest],"Neut", Dyno_Data[DelMiss],1)</f>
        <v>0</v>
      </c>
      <c r="BE77" s="60">
        <f>IFERROR(SUM((TBA_Matches_All[[#This Row],[NeutFlrT]])/(TBA_Matches_All[[#This Row],[NeutFlrT]]+TBA_Matches_All[[#This Row],[NZflM]])),0)</f>
        <v>0</v>
      </c>
      <c r="BF77">
        <f>COUNTIFS(Dyno_Data[Team],TBA_Matches_All[[#This Row],[Team]],Dyno_Data[Match],TBA_Matches_All[[#This Row],[Match_Number]],Dyno_Data[RecordType],"Activities",Dyno_Data[DelDest],"AllyW", Dyno_Data[DelMiss],1)</f>
        <v>0</v>
      </c>
      <c r="BG77" s="60">
        <f>IFERROR(SUM((TBA_Matches_All[[#This Row],[AllyWFlrT]])/(TBA_Matches_All[[#This Row],[AllyWFlrT]]+TBA_Matches_All[[#This Row],[AZflM]])),0)</f>
        <v>0</v>
      </c>
      <c r="BH77">
        <f>COUNTIFS(Dyno_Data[Team],TBA_Matches_All[[#This Row],[Team]],Dyno_Data[Match],TBA_Matches_All[[#This Row],[Match_Number]],Dyno_Data[RecordType],"Activities",Dyno_Data[DelOrig],"OppW", Dyno_Data[DelMiss],"0")</f>
        <v>0</v>
      </c>
      <c r="BI77">
        <f>COUNTIFS(Dyno_Data[Team],TBA_Matches_All[[#This Row],[Team]],Dyno_Data[Match],TBA_Matches_All[[#This Row],[Match_Number]],Dyno_Data[RecordType],"Activities",Dyno_Data[DelOrig],"OppW", Dyno_Data[DelMiss],"1")</f>
        <v>0</v>
      </c>
      <c r="BJ77" s="60">
        <f>IFERROR(SUM((TBA_Matches_All[[#This Row],[OZflrT]])/(TBA_Matches_All[[#This Row],[OZflrT]]+TBA_Matches_All[[#This Row],[OZflrM]])),0)</f>
        <v>0</v>
      </c>
      <c r="BK77">
        <f>COUNTIFS(Dyno_Data[Team],TBA_Matches_All[[#This Row],[Team]],Dyno_Data[Match],TBA_Matches_All[[#This Row],[Match_Number]],Dyno_Data[RecordType],"Activities",Dyno_Data[DelOrig],"Neut", Dyno_Data[DelMiss],"0")</f>
        <v>0</v>
      </c>
      <c r="BL77">
        <f>COUNTIFS(Dyno_Data[Team],TBA_Matches_All[[#This Row],[Team]],Dyno_Data[Match],TBA_Matches_All[[#This Row],[Match_Number]],Dyno_Data[RecordType],"Activities",Dyno_Data[DelOrig],"Neut", Dyno_Data[DelMiss],"1")</f>
        <v>0</v>
      </c>
      <c r="BM77" s="60">
        <f>IFERROR(SUM((TBA_Matches_All[[#This Row],[NZflrT]])/(TBA_Matches_All[[#This Row],[NZflrT]]+TBA_Matches_All[[#This Row],[NZflrM]])),0)</f>
        <v>0</v>
      </c>
      <c r="BN77">
        <f>COUNTIFS(Dyno_Data[Team],TBA_Matches_All[[#This Row],[Team]],Dyno_Data[Match],TBA_Matches_All[[#This Row],[Match_Number]],Dyno_Data[RecordType],"Activities",Dyno_Data[DelOrig],"AllyW", Dyno_Data[DelMiss],"0")</f>
        <v>2</v>
      </c>
      <c r="BO77">
        <f>COUNTIFS(Dyno_Data[Team],TBA_Matches_All[[#This Row],[Team]],Dyno_Data[Match],TBA_Matches_All[[#This Row],[Match_Number]],Dyno_Data[RecordType],"Activities",Dyno_Data[DelOrig],"AllyW", Dyno_Data[DelMiss],"1")</f>
        <v>0</v>
      </c>
      <c r="BP77" s="60">
        <f>IFERROR(SUM((TBA_Matches_All[[#This Row],[AZflrT]])/(TBA_Matches_All[[#This Row],[AZflrT]]+TBA_Matches_All[[#This Row],[AZflrM]])),0)</f>
        <v>1</v>
      </c>
      <c r="BQ77">
        <f>COUNTIFS(Dyno_Data[Team],TBA_Matches_All[[#This Row],[Team]],Dyno_Data[Match],TBA_Matches_All[[#This Row],[Match_Number]],Dyno_Data[RecordType],"Activities",Dyno_Data[DelOrig],"SubW", Dyno_Data[DelMiss],"0")</f>
        <v>1</v>
      </c>
      <c r="BR77">
        <f>COUNTIFS(Dyno_Data[Team],TBA_Matches_All[[#This Row],[Team]],Dyno_Data[Match],TBA_Matches_All[[#This Row],[Match_Number]],Dyno_Data[RecordType],"Activities",Dyno_Data[DelOrig],"SubW", Dyno_Data[DelMiss],"1")</f>
        <v>0</v>
      </c>
      <c r="BS77" s="60">
        <f>IFERROR(SUM((TBA_Matches_All[[#This Row],[SubwT]])/(TBA_Matches_All[[#This Row],[SubwT]]+TBA_Matches_All[[#This Row],[SubwM]])),0)</f>
        <v>1</v>
      </c>
      <c r="BT77">
        <f>COUNTIFS(Dyno_Data[Team],TBA_Matches_All[[#This Row],[Team]],Dyno_Data[Match],TBA_Matches_All[[#This Row],[Match_Number]],Dyno_Data[RecordType],"Activities", Dyno_Data[AcqLoc],"OppWing")</f>
        <v>0</v>
      </c>
      <c r="BU77">
        <f>COUNTIFS(Dyno_Data[Team],TBA_Matches_All[[#This Row],[Team]],Dyno_Data[Match],TBA_Matches_All[[#This Row],[Match_Number]],Dyno_Data[RecordType],"Activities", Dyno_Data[AcqLoc],"Neutral")</f>
        <v>0</v>
      </c>
      <c r="BV77">
        <f>COUNTIFS(Dyno_Data[Team],TBA_Matches_All[[#This Row],[Team]],Dyno_Data[Match],TBA_Matches_All[[#This Row],[Match_Number]],Dyno_Data[RecordType],"Activities", Dyno_Data[AcqLoc],"AllyWing")</f>
        <v>0</v>
      </c>
      <c r="BW77">
        <f>COUNTIFS(Dyno_Data[Team],TBA_Matches_All[[#This Row],[Team]],Dyno_Data[Match],TBA_Matches_All[[#This Row],[Match_Number]],Dyno_Data[RecordType],"Activities", Dyno_Data[AcqLoc],"Source")</f>
        <v>0</v>
      </c>
      <c r="BX77">
        <f>SUMIFS(Dyno_Data[AcqDrp], Dyno_Data[Team],TBA_Matches_All[[#This Row],[Team]],Dyno_Data[Match],TBA_Matches_All[[#This Row],[Match_Number]],Dyno_Data[RecordType],"Activities", Dyno_Data[AcqLoc],"Source")</f>
        <v>0</v>
      </c>
      <c r="BY77">
        <f>SUMIFS(Dyno_Data[OZTime], Dyno_Data[Team],TBA_Matches_All[[#This Row],[Team]],Dyno_Data[Match],TBA_Matches_All[[#This Row],[Match_Number]],Dyno_Data[RecordType],"EndMatch")</f>
        <v>10.015668099999999</v>
      </c>
      <c r="BZ77">
        <f>SUMIFS(Dyno_Data[NZTime], Dyno_Data[Team],TBA_Matches_All[[#This Row],[Team]],Dyno_Data[Match],TBA_Matches_All[[#This Row],[Match_Number]],Dyno_Data[RecordType],"EndMatch")</f>
        <v>34.732824799999996</v>
      </c>
      <c r="CA77">
        <f>SUMIFS(Dyno_Data[AZTime], Dyno_Data[Team],TBA_Matches_All[[#This Row],[Team]],Dyno_Data[Match],TBA_Matches_All[[#This Row],[Match_Number]],Dyno_Data[RecordType],"EndMatch")</f>
        <v>90.183737499999992</v>
      </c>
      <c r="CB77">
        <f>SUMIFS(Dyno_Data[ClimbT], Dyno_Data[Team],TBA_Matches_All[[#This Row],[Team]],Dyno_Data[Match],TBA_Matches_All[[#This Row],[Match_Number]],Dyno_Data[RecordType],"EndMatch")</f>
        <v>0</v>
      </c>
      <c r="CC77" t="str">
        <f>_xlfn.XLOOKUP(SUM(MID(TBA_Matches_All[[#This Row],[Team]],4,5),(TBA_Matches_All[[#This Row],[Match_Number]]/100)),Dyno_EndMatch[teammat],Dyno_EndMatch[StageStat],"_",0,1)</f>
        <v>Park</v>
      </c>
      <c r="CD77" t="str">
        <f>_xlfn.XLOOKUP(TBA_Matches_All[[#This Row],[teammat]],Dyno_EndMatch[teammat],Dyno_EndMatch[StageAtt],"_",0,1)</f>
        <v>0</v>
      </c>
      <c r="CE77" t="str">
        <f>_xlfn.XLOOKUP(TBA_Matches_All[[#This Row],[teammat]],Dyno_EndMatch[teammat],Dyno_EndMatch[StageLoc],"_",0,1)</f>
        <v>A</v>
      </c>
      <c r="CF77">
        <f>SUMIFS(Dyno_Data[Harmony], Dyno_Data[Team],TBA_Matches_All[[#This Row],[Team]],Dyno_Data[Match],TBA_Matches_All[[#This Row],[Match_Number]],Dyno_Data[RecordType],"EndMatch", Dyno_Data[StageStat],"On",Dyno_Data[Harmony],"&lt;&gt;9")</f>
        <v>0</v>
      </c>
      <c r="CG77">
        <f>SUMIFS(Dyno_Data[Spotlit], Dyno_Data[Team],TBA_Matches_All[[#This Row],[Team]],Dyno_Data[Match],TBA_Matches_All[[#This Row],[Match_Number]],Dyno_Data[RecordType],"EndMatch", Dyno_Data[StageStat],"On",Dyno_Data[Spotlit],"&lt;&gt;9")</f>
        <v>0</v>
      </c>
      <c r="CH77" t="str">
        <f>_xlfn.XLOOKUP(TBA_Matches_All[[#This Row],[teammat]],Dyno_EndMatch[teammat],Dyno_EndMatch[Strategy],"_",0,1)</f>
        <v>Shooter</v>
      </c>
      <c r="CI77">
        <f>SUMIFS(Dyno_Data[Defense], Dyno_Data[Team],TBA_Matches_All[[#This Row],[Team]],Dyno_Data[Match],TBA_Matches_All[[#This Row],[Match_Number]],Dyno_Data[RecordType],"EndMatch",Dyno_Data[Defense],"&lt;&gt;9")</f>
        <v>2</v>
      </c>
      <c r="CJ77">
        <f>SUMIFS(Dyno_Data[Avoidance], Dyno_Data[Team],TBA_Matches_All[[#This Row],[Team]],Dyno_Data[Match],TBA_Matches_All[[#This Row],[Match_Number]],Dyno_Data[RecordType],"EndMatch",Dyno_Data[Avoidance],"&lt;&gt;9")</f>
        <v>0</v>
      </c>
      <c r="CK77" s="82">
        <f>COUNTIF($H$2:TBA_Matches_All[[#This Row],[Team]],TBA_Matches_All[[#This Row],[Team]])</f>
        <v>2</v>
      </c>
      <c r="CL77" s="111">
        <f>SUM(MID(TBA_Matches_All[[#This Row],[Team]],4,5)+TBA_Matches_All[[#This Row],[Match_Number]]/100)</f>
        <v>4122.13</v>
      </c>
      <c r="CM77">
        <f>SUM((TBA_Matches_All[[#This Row],[Leave]]*2)+(TBA_Matches_All[[#This Row],[AampT]]*2)+(TBA_Matches_All[[#This Row],[AspkrT]]*5)+(TBA_Matches_All[[#This Row],[AtrapT]]*5))</f>
        <v>5</v>
      </c>
      <c r="CN77" s="59">
        <f>IFERROR(SUM(TBA_Matches_All[[#This Row],[AptsT]]/TBA_Matches_All[[#This Row],[AutoPts]]),0)</f>
        <v>0.11363636363636363</v>
      </c>
      <c r="CO77" s="59">
        <f>IFERROR(SUM(TBA_Matches_All[[#This Row],[AampT]]+TBA_Matches_All[[#This Row],[AspkrT]]+TBA_Matches_All[[#This Row],[AtrapT]]/TBA_Matches_All[[#This Row],[Aamp]]+TBA_Matches_All[[#This Row],[Aspkr]]+TBA_Matches_All[[#This Row],[AtrapT]]),0)</f>
        <v>0</v>
      </c>
      <c r="CP77" s="59">
        <f>IFERROR(SUM(TBA_Matches_All[[#This Row],[TampT]]/TBA_Matches_All[[#This Row],[Tamp]]),0)</f>
        <v>0</v>
      </c>
      <c r="CQ77" s="59">
        <f>IFERROR(SUM(TBA_Matches_All[[#This Row],[TspkrT]]/TBA_Matches_All[[#This Row],[Tspkr]]),0)</f>
        <v>0.25</v>
      </c>
      <c r="CR77">
        <f>SUM(TBA_Matches_All[[#This Row],[TspkrPts]]*TBA_Matches_All[[#This Row],[TspkrP]])</f>
        <v>5.5</v>
      </c>
      <c r="CS77" s="59">
        <f>IFERROR(SUM(TBA_Matches_All[[#This Row],[TtrapT]]/TBA_Matches_All[[#This Row],[Trap]]),0)</f>
        <v>0</v>
      </c>
      <c r="CT77" s="59">
        <f>IFERROR(SUM(TBA_Matches_All[[#This Row],[TotNotesT]]/TBA_Matches_All[[#This Row],[TotNotes]]),0)</f>
        <v>0.14285714285714285</v>
      </c>
      <c r="CU77" s="66">
        <f>SUM((TBA_Matches_All[[#This Row],[AampT]]*2)+(TBA_Matches_All[[#This Row],[AspkrT]]*5)+(TBA_Matches_All[[#This Row],[AtrapT]]*5)+(TBA_Matches_All[[#This Row],[TampT]]*1)+(TBA_Matches_All[[#This Row],[TspkrptsC]]))</f>
        <v>10.5</v>
      </c>
      <c r="CV77" s="59">
        <f>IFERROR(TBA_Matches_All[[#This Row],[noteptsT]]/TBA_Matches_All[[#This Row],[NotePts]],0)</f>
        <v>0.15671641791044777</v>
      </c>
      <c r="CW77">
        <f>SUM(IF(TBA_Matches_All[[#This Row],[stageStat]]="On",3,0),IF(TBA_Matches_All[[#This Row],[stageStat]]="Park",1,0),SUMIFS(TBA_Matches_All[[#This Row],[Spotlit]],TBA_Matches_All[[#This Row],[stageStat]],"On"),SUMIFS(TBA_Matches_All[[#This Row],[Harmony]],TBA_Matches_All[[#This Row],[stageStat]],"On"))</f>
        <v>1</v>
      </c>
      <c r="CX77" s="59">
        <f>IFERROR(TBA_Matches_All[[#This Row],[stageptsT]]/TBA_Matches_All[[#This Row],[StagePts]],0)</f>
        <v>0.1111111111111111</v>
      </c>
      <c r="CY77">
        <f>SUM((TBA_Matches_All[[#This Row],[AptsT]]+TBA_Matches_All[[#This Row],[TampT]]+TBA_Matches_All[[#This Row],[TspkrptsC]]+(TBA_Matches_All[[#This Row],[TtrapT]]*5)+TBA_Matches_All[[#This Row],[stageptsT]]))</f>
        <v>11.5</v>
      </c>
      <c r="CZ77" s="59">
        <f>IFERROR(SUM(TBA_Matches_All[[#This Row],[TotptsC]]/TBA_Matches_All[[#This Row],[Score]]),0)</f>
        <v>0.14374999999999999</v>
      </c>
      <c r="DA7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12.267857142857144</v>
      </c>
      <c r="DB77" s="74">
        <f>SUMIFS(TBA_Matches_All[AveTeamTNoteDels],TBA_Matches_All[Match_Number],TBA_Matches_All[[#This Row],[Match_Number]],TBA_Matches_All[Alliance],"&lt;&gt;"&amp;TBA_Matches_All[[#This Row],[Alliance]],TBA_Matches_All[Scouted],"&gt;0")</f>
        <v>22.248111888111886</v>
      </c>
      <c r="DC77" s="74">
        <f>(TBA_Matches_All[[#This Row],[TampT]]+TBA_Matches_All[[#This Row],[TspkrptsC]])-TBA_Matches_All[[#This Row],[AveTeamTNoteDels]]</f>
        <v>-6.7678571428571441</v>
      </c>
      <c r="DD77" s="74">
        <f>SUMIFS(TBA_Matches_All[AveTeamTNoteDels],TBA_Matches_All[Match_Number],TBA_Matches_All[[#This Row],[Match_Number]],TBA_Matches_All[Alliance],"&lt;&gt;"&amp;TBA_Matches_All[[#This Row],[Alliance]])-TBA_Matches_All[[#This Row],[AveOppTNoteDels]]</f>
        <v>0</v>
      </c>
    </row>
    <row r="78" spans="1:108" x14ac:dyDescent="0.3">
      <c r="A78" t="s">
        <v>1042</v>
      </c>
      <c r="B78" t="s">
        <v>489</v>
      </c>
      <c r="C78" t="s">
        <v>1322</v>
      </c>
      <c r="D78">
        <v>13</v>
      </c>
      <c r="E78" t="s">
        <v>1406</v>
      </c>
      <c r="F78" t="s">
        <v>1426</v>
      </c>
      <c r="G78" t="s">
        <v>164</v>
      </c>
      <c r="H78" t="s">
        <v>1310</v>
      </c>
      <c r="I78" t="b">
        <v>1</v>
      </c>
      <c r="J78">
        <v>48</v>
      </c>
      <c r="K78">
        <v>0</v>
      </c>
      <c r="L78">
        <v>0</v>
      </c>
      <c r="M78">
        <v>0</v>
      </c>
      <c r="N78">
        <v>0</v>
      </c>
      <c r="O78">
        <v>2</v>
      </c>
      <c r="P78">
        <v>10</v>
      </c>
      <c r="Q78">
        <v>14</v>
      </c>
      <c r="R78">
        <v>3</v>
      </c>
      <c r="S78">
        <v>1</v>
      </c>
      <c r="T78">
        <v>2</v>
      </c>
      <c r="U78">
        <v>5</v>
      </c>
      <c r="V78">
        <v>4</v>
      </c>
      <c r="W78">
        <v>3</v>
      </c>
      <c r="X78">
        <v>9</v>
      </c>
      <c r="Y78">
        <v>12</v>
      </c>
      <c r="Z78">
        <v>0</v>
      </c>
      <c r="AA78">
        <v>0</v>
      </c>
      <c r="AB78">
        <v>8</v>
      </c>
      <c r="AC78">
        <v>22</v>
      </c>
      <c r="AD78">
        <v>7</v>
      </c>
      <c r="AE78">
        <f>IFERROR(6/(COUNTIF(Dyno_EndMatch[Match],TBA_Matches_All[[#This Row],[Match_Number]])),0)</f>
        <v>1</v>
      </c>
      <c r="AF78">
        <f>COUNTIFS(Dyno_Data[Team],TBA_Matches_All[[#This Row],[Team]],Dyno_Data[Match],TBA_Matches_All[[#This Row],[Match_Number]],Dyno_Data[RecordType],"EndMatch",Dyno_Data[HPAmp],"Y")</f>
        <v>0</v>
      </c>
      <c r="AG78">
        <f>SUMIFS(Dyno_Data[Mics], Dyno_Data[Team],TBA_Matches_All[[#This Row],[Team]],Dyno_Data[Match],TBA_Matches_All[[#This Row],[Match_Number]],Dyno_Data[RecordType],"EndMatch",Dyno_Data[HPAmp],"Y")</f>
        <v>0</v>
      </c>
      <c r="AH78">
        <f>SUMIFS(Dyno_Data[Leave], Dyno_Data[Team],TBA_Matches_All[[#This Row],[Team]],Dyno_Data[Match],TBA_Matches_All[[#This Row],[Match_Number]],Dyno_Data[RecordType],"EndAuto")</f>
        <v>0</v>
      </c>
      <c r="AI78">
        <f>COUNTIFS(Dyno_Data[Team],TBA_Matches_All[[#This Row],[Team]],Dyno_Data[Match],TBA_Matches_All[[#This Row],[Match_Number]],Dyno_Data[RecordType],"Activities",Dyno_Data[DelDest],"Amp", Dyno_Data[DelMiss],"0", Dyno_Data[Mode],"Auto")</f>
        <v>0</v>
      </c>
      <c r="AJ78">
        <f>COUNTIFS(Dyno_Data[Team],TBA_Matches_All[[#This Row],[Team]],Dyno_Data[Match],TBA_Matches_All[[#This Row],[Match_Number]],Dyno_Data[RecordType],"Activities",Dyno_Data[DelDest],"Spkr", Dyno_Data[DelMiss],"0", Dyno_Data[Mode],"Auto")</f>
        <v>1</v>
      </c>
      <c r="AK78">
        <f>COUNTIFS(Dyno_Data[Team],TBA_Matches_All[[#This Row],[Team]],Dyno_Data[Match],TBA_Matches_All[[#This Row],[Match_Number]],Dyno_Data[RecordType],"Activities",Dyno_Data[DelDest],"Trap", Dyno_Data[DelMiss],"0", Dyno_Data[Mode],"Auto")</f>
        <v>0</v>
      </c>
      <c r="AL78">
        <f>COUNTIFS(Dyno_Data[Team],TBA_Matches_All[[#This Row],[Team]],Dyno_Data[Match],TBA_Matches_All[[#This Row],[Match_Number]],Dyno_Data[RecordType],"Activities",Dyno_Data[DelDest],"Amp", Dyno_Data[DelMiss],"0", Dyno_Data[Mode],"Teleop")</f>
        <v>4</v>
      </c>
      <c r="AM78">
        <f>COUNTIFS(Dyno_Data[Team],TBA_Matches_All[[#This Row],[Team]],Dyno_Data[Match],TBA_Matches_All[[#This Row],[Match_Number]],Dyno_Data[RecordType],"Activities",Dyno_Data[DelDest],"Spkr", Dyno_Data[DelMiss],"0", Dyno_Data[Mode],"Teleop")</f>
        <v>0</v>
      </c>
      <c r="AN78">
        <f>COUNTIFS(Dyno_Data[Team],TBA_Matches_All[[#This Row],[Team]],Dyno_Data[Match],TBA_Matches_All[[#This Row],[Match_Number]],Dyno_Data[RecordType],"Activities",Dyno_Data[DelDest],"Trap", Dyno_Data[DelMiss],"0", Dyno_Data[Mode],"&lt;&gt;Auto")</f>
        <v>0</v>
      </c>
      <c r="AO78">
        <f>SUM(TBA_Matches_All[[#This Row],[AampT]]+TBA_Matches_All[[#This Row],[AspkrT]]+TBA_Matches_All[[#This Row],[AtrapT]]+TBA_Matches_All[[#This Row],[TampT]]+TBA_Matches_All[[#This Row],[TspkrT]]+TBA_Matches_All[[#This Row],[TtrapT]])</f>
        <v>5</v>
      </c>
      <c r="AP78">
        <f>COUNTIFS(Dyno_Data[Team],TBA_Matches_All[[#This Row],[Team]],Dyno_Data[Match],TBA_Matches_All[[#This Row],[Match_Number]],Dyno_Data[RecordType],"Activities",Dyno_Data[DelDest],"Neut", Dyno_Data[DelMiss],"0")</f>
        <v>0</v>
      </c>
      <c r="AQ78">
        <f>COUNTIFS(Dyno_Data[Team],TBA_Matches_All[[#This Row],[Team]],Dyno_Data[Match],TBA_Matches_All[[#This Row],[Match_Number]],Dyno_Data[RecordType],"Activities",Dyno_Data[DelDest],"AllyW", Dyno_Data[DelMiss],"0")</f>
        <v>0</v>
      </c>
      <c r="AR78" t="str">
        <f>_xlfn.XLOOKUP(SUM(MID(TBA_Matches_All[[#This Row],[Team]],4,5),(TBA_Matches_All[[#This Row],[Match_Number]]/100)),Dyno_EndMatch[teammat],Dyno_EndMatch[RobotSta],"_",0,1)</f>
        <v>Podm</v>
      </c>
      <c r="AS78">
        <f>SUMIFS(Dyno_Data[AcqDis], Dyno_Data[Team],TBA_Matches_All[[#This Row],[Team]],Dyno_Data[Match],TBA_Matches_All[[#This Row],[Match_Number]],Dyno_Data[RecordType],"Activities", Dyno_Data[AcqCenter],1,Dyno_Data[Mode],"Auto")</f>
        <v>0</v>
      </c>
      <c r="AT78">
        <f>SUMIFS(Dyno_Data[AcqDis], Dyno_Data[Team],TBA_Matches_All[[#This Row],[Team]],Dyno_Data[Match],TBA_Matches_All[[#This Row],[Match_Number]],Dyno_Data[RecordType],"Activities", Dyno_Data[AcqCenter],2,Dyno_Data[Mode],"Auto")</f>
        <v>0</v>
      </c>
      <c r="AU78">
        <f>SUMIFS(Dyno_Data[AcqDis], Dyno_Data[Team],TBA_Matches_All[[#This Row],[Team]],Dyno_Data[Match],TBA_Matches_All[[#This Row],[Match_Number]],Dyno_Data[RecordType],"Activities", Dyno_Data[AcqCenter],3,Dyno_Data[Mode],"Auto")</f>
        <v>0</v>
      </c>
      <c r="AV78">
        <f>SUMIFS(Dyno_Data[AcqDis], Dyno_Data[Team],TBA_Matches_All[[#This Row],[Team]],Dyno_Data[Match],TBA_Matches_All[[#This Row],[Match_Number]],Dyno_Data[RecordType],"Activities", Dyno_Data[AcqCenter],4,Dyno_Data[Mode],"Auto")</f>
        <v>0</v>
      </c>
      <c r="AW78">
        <f>SUMIFS(Dyno_Data[AcqDis], Dyno_Data[Team],TBA_Matches_All[[#This Row],[Team]],Dyno_Data[Match],TBA_Matches_All[[#This Row],[Match_Number]],Dyno_Data[RecordType],"Activities", Dyno_Data[AcqCenter],5,Dyno_Data[Mode],"Auto")</f>
        <v>0</v>
      </c>
      <c r="AX78">
        <f>SUMIFS(Dyno_Data[DelMiss], Dyno_Data[Team],TBA_Matches_All[[#This Row],[Team]],Dyno_Data[Match],TBA_Matches_All[[#This Row],[Match_Number]],Dyno_Data[RecordType],"Activities", Dyno_Data[DelDest],"Amp")</f>
        <v>0</v>
      </c>
      <c r="AY78" s="60">
        <f>IFERROR(SUM((TBA_Matches_All[[#This Row],[AampT]]+TBA_Matches_All[[#This Row],[TampT]])/(TBA_Matches_All[[#This Row],[AampT]]+TBA_Matches_All[[#This Row],[TampT]]+TBA_Matches_All[[#This Row],[ampM]])),0)</f>
        <v>1</v>
      </c>
      <c r="AZ78">
        <f>SUMIFS(Dyno_Data[DelMiss], Dyno_Data[Team],TBA_Matches_All[[#This Row],[Team]],Dyno_Data[Match],TBA_Matches_All[[#This Row],[Match_Number]],Dyno_Data[RecordType],"Activities", Dyno_Data[DelDest],"Spkr")</f>
        <v>2</v>
      </c>
      <c r="BA78" s="60">
        <f>IFERROR(SUM((TBA_Matches_All[[#This Row],[AspkrT]]+TBA_Matches_All[[#This Row],[TspkrT]])/(TBA_Matches_All[[#This Row],[AspkrT]]+TBA_Matches_All[[#This Row],[TspkrT]]+TBA_Matches_All[[#This Row],[spkrM]])),0)</f>
        <v>0.33333333333333331</v>
      </c>
      <c r="BB78">
        <f>SUMIFS(Dyno_Data[DelMiss], Dyno_Data[Team],TBA_Matches_All[[#This Row],[Team]],Dyno_Data[Match],TBA_Matches_All[[#This Row],[Match_Number]],Dyno_Data[RecordType],"Activities", Dyno_Data[DelDest],"Trap")</f>
        <v>0</v>
      </c>
      <c r="BC78" s="60">
        <f>IFERROR((TBA_Matches_All[[#This Row],[AtrapT]]+TBA_Matches_All[[#This Row],[TtrapT]])/(TBA_Matches_All[[#This Row],[AtrapT]]+TBA_Matches_All[[#This Row],[TtrapT]]+TBA_Matches_All[[#This Row],[trapM]]),0)</f>
        <v>0</v>
      </c>
      <c r="BD78">
        <f>COUNTIFS(Dyno_Data[Team],TBA_Matches_All[[#This Row],[Team]],Dyno_Data[Match],TBA_Matches_All[[#This Row],[Match_Number]],Dyno_Data[RecordType],"Activities",Dyno_Data[DelDest],"Neut", Dyno_Data[DelMiss],1)</f>
        <v>0</v>
      </c>
      <c r="BE78" s="60">
        <f>IFERROR(SUM((TBA_Matches_All[[#This Row],[NeutFlrT]])/(TBA_Matches_All[[#This Row],[NeutFlrT]]+TBA_Matches_All[[#This Row],[NZflM]])),0)</f>
        <v>0</v>
      </c>
      <c r="BF78">
        <f>COUNTIFS(Dyno_Data[Team],TBA_Matches_All[[#This Row],[Team]],Dyno_Data[Match],TBA_Matches_All[[#This Row],[Match_Number]],Dyno_Data[RecordType],"Activities",Dyno_Data[DelDest],"AllyW", Dyno_Data[DelMiss],1)</f>
        <v>0</v>
      </c>
      <c r="BG78" s="60">
        <f>IFERROR(SUM((TBA_Matches_All[[#This Row],[AllyWFlrT]])/(TBA_Matches_All[[#This Row],[AllyWFlrT]]+TBA_Matches_All[[#This Row],[AZflM]])),0)</f>
        <v>0</v>
      </c>
      <c r="BH78">
        <f>COUNTIFS(Dyno_Data[Team],TBA_Matches_All[[#This Row],[Team]],Dyno_Data[Match],TBA_Matches_All[[#This Row],[Match_Number]],Dyno_Data[RecordType],"Activities",Dyno_Data[DelOrig],"OppW", Dyno_Data[DelMiss],"0")</f>
        <v>0</v>
      </c>
      <c r="BI78">
        <f>COUNTIFS(Dyno_Data[Team],TBA_Matches_All[[#This Row],[Team]],Dyno_Data[Match],TBA_Matches_All[[#This Row],[Match_Number]],Dyno_Data[RecordType],"Activities",Dyno_Data[DelOrig],"OppW", Dyno_Data[DelMiss],"1")</f>
        <v>0</v>
      </c>
      <c r="BJ78" s="60">
        <f>IFERROR(SUM((TBA_Matches_All[[#This Row],[OZflrT]])/(TBA_Matches_All[[#This Row],[OZflrT]]+TBA_Matches_All[[#This Row],[OZflrM]])),0)</f>
        <v>0</v>
      </c>
      <c r="BK78">
        <f>COUNTIFS(Dyno_Data[Team],TBA_Matches_All[[#This Row],[Team]],Dyno_Data[Match],TBA_Matches_All[[#This Row],[Match_Number]],Dyno_Data[RecordType],"Activities",Dyno_Data[DelOrig],"Neut", Dyno_Data[DelMiss],"0")</f>
        <v>0</v>
      </c>
      <c r="BL78">
        <f>COUNTIFS(Dyno_Data[Team],TBA_Matches_All[[#This Row],[Team]],Dyno_Data[Match],TBA_Matches_All[[#This Row],[Match_Number]],Dyno_Data[RecordType],"Activities",Dyno_Data[DelOrig],"Neut", Dyno_Data[DelMiss],"1")</f>
        <v>0</v>
      </c>
      <c r="BM78" s="60">
        <f>IFERROR(SUM((TBA_Matches_All[[#This Row],[NZflrT]])/(TBA_Matches_All[[#This Row],[NZflrT]]+TBA_Matches_All[[#This Row],[NZflrM]])),0)</f>
        <v>0</v>
      </c>
      <c r="BN78">
        <f>COUNTIFS(Dyno_Data[Team],TBA_Matches_All[[#This Row],[Team]],Dyno_Data[Match],TBA_Matches_All[[#This Row],[Match_Number]],Dyno_Data[RecordType],"Activities",Dyno_Data[DelOrig],"AllyW", Dyno_Data[DelMiss],"0")</f>
        <v>5</v>
      </c>
      <c r="BO78">
        <f>COUNTIFS(Dyno_Data[Team],TBA_Matches_All[[#This Row],[Team]],Dyno_Data[Match],TBA_Matches_All[[#This Row],[Match_Number]],Dyno_Data[RecordType],"Activities",Dyno_Data[DelOrig],"AllyW", Dyno_Data[DelMiss],"1")</f>
        <v>2</v>
      </c>
      <c r="BP78" s="60">
        <f>IFERROR(SUM((TBA_Matches_All[[#This Row],[AZflrT]])/(TBA_Matches_All[[#This Row],[AZflrT]]+TBA_Matches_All[[#This Row],[AZflrM]])),0)</f>
        <v>0.7142857142857143</v>
      </c>
      <c r="BQ78">
        <f>COUNTIFS(Dyno_Data[Team],TBA_Matches_All[[#This Row],[Team]],Dyno_Data[Match],TBA_Matches_All[[#This Row],[Match_Number]],Dyno_Data[RecordType],"Activities",Dyno_Data[DelOrig],"SubW", Dyno_Data[DelMiss],"0")</f>
        <v>0</v>
      </c>
      <c r="BR78">
        <f>COUNTIFS(Dyno_Data[Team],TBA_Matches_All[[#This Row],[Team]],Dyno_Data[Match],TBA_Matches_All[[#This Row],[Match_Number]],Dyno_Data[RecordType],"Activities",Dyno_Data[DelOrig],"SubW", Dyno_Data[DelMiss],"1")</f>
        <v>0</v>
      </c>
      <c r="BS78" s="60">
        <f>IFERROR(SUM((TBA_Matches_All[[#This Row],[SubwT]])/(TBA_Matches_All[[#This Row],[SubwT]]+TBA_Matches_All[[#This Row],[SubwM]])),0)</f>
        <v>0</v>
      </c>
      <c r="BT78">
        <f>COUNTIFS(Dyno_Data[Team],TBA_Matches_All[[#This Row],[Team]],Dyno_Data[Match],TBA_Matches_All[[#This Row],[Match_Number]],Dyno_Data[RecordType],"Activities", Dyno_Data[AcqLoc],"OppWing")</f>
        <v>0</v>
      </c>
      <c r="BU78">
        <f>COUNTIFS(Dyno_Data[Team],TBA_Matches_All[[#This Row],[Team]],Dyno_Data[Match],TBA_Matches_All[[#This Row],[Match_Number]],Dyno_Data[RecordType],"Activities", Dyno_Data[AcqLoc],"Neutral")</f>
        <v>0</v>
      </c>
      <c r="BV78">
        <f>COUNTIFS(Dyno_Data[Team],TBA_Matches_All[[#This Row],[Team]],Dyno_Data[Match],TBA_Matches_All[[#This Row],[Match_Number]],Dyno_Data[RecordType],"Activities", Dyno_Data[AcqLoc],"AllyWing")</f>
        <v>0</v>
      </c>
      <c r="BW78">
        <f>COUNTIFS(Dyno_Data[Team],TBA_Matches_All[[#This Row],[Team]],Dyno_Data[Match],TBA_Matches_All[[#This Row],[Match_Number]],Dyno_Data[RecordType],"Activities", Dyno_Data[AcqLoc],"Source")</f>
        <v>0</v>
      </c>
      <c r="BX78">
        <f>SUMIFS(Dyno_Data[AcqDrp], Dyno_Data[Team],TBA_Matches_All[[#This Row],[Team]],Dyno_Data[Match],TBA_Matches_All[[#This Row],[Match_Number]],Dyno_Data[RecordType],"Activities", Dyno_Data[AcqLoc],"Source")</f>
        <v>0</v>
      </c>
      <c r="BY78">
        <f>SUMIFS(Dyno_Data[OZTime], Dyno_Data[Team],TBA_Matches_All[[#This Row],[Team]],Dyno_Data[Match],TBA_Matches_All[[#This Row],[Match_Number]],Dyno_Data[RecordType],"EndMatch")</f>
        <v>21.333344699999998</v>
      </c>
      <c r="BZ78">
        <f>SUMIFS(Dyno_Data[NZTime], Dyno_Data[Team],TBA_Matches_All[[#This Row],[Team]],Dyno_Data[Match],TBA_Matches_All[[#This Row],[Match_Number]],Dyno_Data[RecordType],"EndMatch")</f>
        <v>13.2644696</v>
      </c>
      <c r="CA78">
        <f>SUMIFS(Dyno_Data[AZTime], Dyno_Data[Team],TBA_Matches_All[[#This Row],[Team]],Dyno_Data[Match],TBA_Matches_All[[#This Row],[Match_Number]],Dyno_Data[RecordType],"EndMatch")</f>
        <v>84.466282899999996</v>
      </c>
      <c r="CB78">
        <f>SUMIFS(Dyno_Data[ClimbT], Dyno_Data[Team],TBA_Matches_All[[#This Row],[Team]],Dyno_Data[Match],TBA_Matches_All[[#This Row],[Match_Number]],Dyno_Data[RecordType],"EndMatch")</f>
        <v>10.8701975</v>
      </c>
      <c r="CC78" t="str">
        <f>_xlfn.XLOOKUP(SUM(MID(TBA_Matches_All[[#This Row],[Team]],4,5),(TBA_Matches_All[[#This Row],[Match_Number]]/100)),Dyno_EndMatch[teammat],Dyno_EndMatch[StageStat],"_",0,1)</f>
        <v>On</v>
      </c>
      <c r="CD78" t="str">
        <f>_xlfn.XLOOKUP(TBA_Matches_All[[#This Row],[teammat]],Dyno_EndMatch[teammat],Dyno_EndMatch[StageAtt],"_",0,1)</f>
        <v>1</v>
      </c>
      <c r="CE78" t="str">
        <f>_xlfn.XLOOKUP(TBA_Matches_All[[#This Row],[teammat]],Dyno_EndMatch[teammat],Dyno_EndMatch[StageLoc],"_",0,1)</f>
        <v>R</v>
      </c>
      <c r="CF78">
        <f>SUMIFS(Dyno_Data[Harmony], Dyno_Data[Team],TBA_Matches_All[[#This Row],[Team]],Dyno_Data[Match],TBA_Matches_All[[#This Row],[Match_Number]],Dyno_Data[RecordType],"EndMatch", Dyno_Data[StageStat],"On",Dyno_Data[Harmony],"&lt;&gt;9")</f>
        <v>0</v>
      </c>
      <c r="CG78">
        <f>SUMIFS(Dyno_Data[Spotlit], Dyno_Data[Team],TBA_Matches_All[[#This Row],[Team]],Dyno_Data[Match],TBA_Matches_All[[#This Row],[Match_Number]],Dyno_Data[RecordType],"EndMatch", Dyno_Data[StageStat],"On",Dyno_Data[Spotlit],"&lt;&gt;9")</f>
        <v>0</v>
      </c>
      <c r="CH78" t="str">
        <f>_xlfn.XLOOKUP(TBA_Matches_All[[#This Row],[teammat]],Dyno_EndMatch[teammat],Dyno_EndMatch[Strategy],"_",0,1)</f>
        <v>Hybrid</v>
      </c>
      <c r="CI78">
        <f>SUMIFS(Dyno_Data[Defense], Dyno_Data[Team],TBA_Matches_All[[#This Row],[Team]],Dyno_Data[Match],TBA_Matches_All[[#This Row],[Match_Number]],Dyno_Data[RecordType],"EndMatch",Dyno_Data[Defense],"&lt;&gt;9")</f>
        <v>0</v>
      </c>
      <c r="CJ78">
        <f>SUMIFS(Dyno_Data[Avoidance], Dyno_Data[Team],TBA_Matches_All[[#This Row],[Team]],Dyno_Data[Match],TBA_Matches_All[[#This Row],[Match_Number]],Dyno_Data[RecordType],"EndMatch",Dyno_Data[Avoidance],"&lt;&gt;9")</f>
        <v>3</v>
      </c>
      <c r="CK78" s="82">
        <f>COUNTIF($H$2:TBA_Matches_All[[#This Row],[Team]],TBA_Matches_All[[#This Row],[Team]])</f>
        <v>2</v>
      </c>
      <c r="CL78" s="111">
        <f>SUM(MID(TBA_Matches_All[[#This Row],[Team]],4,5)+TBA_Matches_All[[#This Row],[Match_Number]]/100)</f>
        <v>6621.13</v>
      </c>
      <c r="CM78">
        <f>SUM((TBA_Matches_All[[#This Row],[Leave]]*2)+(TBA_Matches_All[[#This Row],[AampT]]*2)+(TBA_Matches_All[[#This Row],[AspkrT]]*5)+(TBA_Matches_All[[#This Row],[AtrapT]]*5))</f>
        <v>5</v>
      </c>
      <c r="CN78" s="59">
        <f>IFERROR(SUM(TBA_Matches_All[[#This Row],[AptsT]]/TBA_Matches_All[[#This Row],[AutoPts]]),0)</f>
        <v>0.35714285714285715</v>
      </c>
      <c r="CO78" s="59">
        <f>IFERROR(SUM(TBA_Matches_All[[#This Row],[AampT]]+TBA_Matches_All[[#This Row],[AspkrT]]+TBA_Matches_All[[#This Row],[AtrapT]]/TBA_Matches_All[[#This Row],[Aamp]]+TBA_Matches_All[[#This Row],[Aspkr]]+TBA_Matches_All[[#This Row],[AtrapT]]),0)</f>
        <v>0</v>
      </c>
      <c r="CP78" s="59">
        <f>IFERROR(SUM(TBA_Matches_All[[#This Row],[TampT]]/TBA_Matches_All[[#This Row],[Tamp]]),0)</f>
        <v>1.3333333333333333</v>
      </c>
      <c r="CQ78" s="59">
        <f>IFERROR(SUM(TBA_Matches_All[[#This Row],[TspkrT]]/TBA_Matches_All[[#This Row],[Tspkr]]),0)</f>
        <v>0</v>
      </c>
      <c r="CR78">
        <f>SUM(TBA_Matches_All[[#This Row],[TspkrPts]]*TBA_Matches_All[[#This Row],[TspkrP]])</f>
        <v>0</v>
      </c>
      <c r="CS78" s="59">
        <f>IFERROR(SUM(TBA_Matches_All[[#This Row],[TtrapT]]/TBA_Matches_All[[#This Row],[Trap]]),0)</f>
        <v>0</v>
      </c>
      <c r="CT78" s="59">
        <f>IFERROR(SUM(TBA_Matches_All[[#This Row],[TotNotesT]]/TBA_Matches_All[[#This Row],[TotNotes]]),0)</f>
        <v>0.625</v>
      </c>
      <c r="CU78" s="66">
        <f>SUM((TBA_Matches_All[[#This Row],[AampT]]*2)+(TBA_Matches_All[[#This Row],[AspkrT]]*5)+(TBA_Matches_All[[#This Row],[AtrapT]]*5)+(TBA_Matches_All[[#This Row],[TampT]]*1)+(TBA_Matches_All[[#This Row],[TspkrptsC]]))</f>
        <v>9</v>
      </c>
      <c r="CV78" s="59">
        <f>IFERROR(TBA_Matches_All[[#This Row],[noteptsT]]/TBA_Matches_All[[#This Row],[NotePts]],0)</f>
        <v>0.40909090909090912</v>
      </c>
      <c r="CW78">
        <f>SUM(IF(TBA_Matches_All[[#This Row],[stageStat]]="On",3,0),IF(TBA_Matches_All[[#This Row],[stageStat]]="Park",1,0),SUMIFS(TBA_Matches_All[[#This Row],[Spotlit]],TBA_Matches_All[[#This Row],[stageStat]],"On"),SUMIFS(TBA_Matches_All[[#This Row],[Harmony]],TBA_Matches_All[[#This Row],[stageStat]],"On"))</f>
        <v>3</v>
      </c>
      <c r="CX78" s="59">
        <f>IFERROR(TBA_Matches_All[[#This Row],[stageptsT]]/TBA_Matches_All[[#This Row],[StagePts]],0)</f>
        <v>0.42857142857142855</v>
      </c>
      <c r="CY78">
        <f>SUM((TBA_Matches_All[[#This Row],[AptsT]]+TBA_Matches_All[[#This Row],[TampT]]+TBA_Matches_All[[#This Row],[TspkrptsC]]+(TBA_Matches_All[[#This Row],[TtrapT]]*5)+TBA_Matches_All[[#This Row],[stageptsT]]))</f>
        <v>12</v>
      </c>
      <c r="CZ78" s="59">
        <f>IFERROR(SUM(TBA_Matches_All[[#This Row],[TotptsC]]/TBA_Matches_All[[#This Row],[Score]]),0)</f>
        <v>0.25</v>
      </c>
      <c r="DA7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10.415384615384616</v>
      </c>
      <c r="DB78" s="74">
        <f>SUMIFS(TBA_Matches_All[AveTeamTNoteDels],TBA_Matches_All[Match_Number],TBA_Matches_All[[#This Row],[Match_Number]],TBA_Matches_All[Alliance],"&lt;&gt;"&amp;TBA_Matches_All[[#This Row],[Alliance]],TBA_Matches_All[Scouted],"&gt;0")</f>
        <v>44.086038961038966</v>
      </c>
      <c r="DC78" s="74">
        <f>(TBA_Matches_All[[#This Row],[TampT]]+TBA_Matches_All[[#This Row],[TspkrptsC]])-TBA_Matches_All[[#This Row],[AveTeamTNoteDels]]</f>
        <v>-6.4153846153846157</v>
      </c>
      <c r="DD78" s="74">
        <f>SUMIFS(TBA_Matches_All[AveTeamTNoteDels],TBA_Matches_All[Match_Number],TBA_Matches_All[[#This Row],[Match_Number]],TBA_Matches_All[Alliance],"&lt;&gt;"&amp;TBA_Matches_All[[#This Row],[Alliance]])-TBA_Matches_All[[#This Row],[AveOppTNoteDels]]</f>
        <v>0</v>
      </c>
    </row>
    <row r="79" spans="1:108" x14ac:dyDescent="0.3">
      <c r="A79" t="s">
        <v>1042</v>
      </c>
      <c r="B79" t="s">
        <v>489</v>
      </c>
      <c r="C79" t="s">
        <v>1322</v>
      </c>
      <c r="D79">
        <v>13</v>
      </c>
      <c r="E79" t="s">
        <v>1420</v>
      </c>
      <c r="F79" t="s">
        <v>1423</v>
      </c>
      <c r="G79" t="s">
        <v>1409</v>
      </c>
      <c r="H79" t="s">
        <v>360</v>
      </c>
      <c r="I79" t="b">
        <v>1</v>
      </c>
      <c r="J79">
        <v>80</v>
      </c>
      <c r="K79">
        <v>1</v>
      </c>
      <c r="L79">
        <v>0</v>
      </c>
      <c r="M79">
        <v>15</v>
      </c>
      <c r="N79">
        <v>0</v>
      </c>
      <c r="O79">
        <v>8</v>
      </c>
      <c r="P79">
        <v>40</v>
      </c>
      <c r="Q79">
        <v>44</v>
      </c>
      <c r="R79">
        <v>5</v>
      </c>
      <c r="S79">
        <v>2</v>
      </c>
      <c r="T79">
        <v>6</v>
      </c>
      <c r="U79">
        <v>10</v>
      </c>
      <c r="V79">
        <v>12</v>
      </c>
      <c r="W79">
        <v>8</v>
      </c>
      <c r="X79">
        <v>22</v>
      </c>
      <c r="Y79">
        <v>27</v>
      </c>
      <c r="Z79">
        <v>5</v>
      </c>
      <c r="AA79">
        <v>1</v>
      </c>
      <c r="AB79">
        <v>21</v>
      </c>
      <c r="AC79">
        <v>67</v>
      </c>
      <c r="AD79">
        <v>9</v>
      </c>
      <c r="AE79">
        <f>IFERROR(6/(COUNTIF(Dyno_EndMatch[Match],TBA_Matches_All[[#This Row],[Match_Number]])),0)</f>
        <v>1</v>
      </c>
      <c r="AF79">
        <f>COUNTIFS(Dyno_Data[Team],TBA_Matches_All[[#This Row],[Team]],Dyno_Data[Match],TBA_Matches_All[[#This Row],[Match_Number]],Dyno_Data[RecordType],"EndMatch",Dyno_Data[HPAmp],"Y")</f>
        <v>1</v>
      </c>
      <c r="AG79">
        <f>SUMIFS(Dyno_Data[Mics], Dyno_Data[Team],TBA_Matches_All[[#This Row],[Team]],Dyno_Data[Match],TBA_Matches_All[[#This Row],[Match_Number]],Dyno_Data[RecordType],"EndMatch",Dyno_Data[HPAmp],"Y")</f>
        <v>1</v>
      </c>
      <c r="AH79">
        <f>SUMIFS(Dyno_Data[Leave], Dyno_Data[Team],TBA_Matches_All[[#This Row],[Team]],Dyno_Data[Match],TBA_Matches_All[[#This Row],[Match_Number]],Dyno_Data[RecordType],"EndAuto")</f>
        <v>1</v>
      </c>
      <c r="AI79">
        <f>COUNTIFS(Dyno_Data[Team],TBA_Matches_All[[#This Row],[Team]],Dyno_Data[Match],TBA_Matches_All[[#This Row],[Match_Number]],Dyno_Data[RecordType],"Activities",Dyno_Data[DelDest],"Amp", Dyno_Data[DelMiss],"0", Dyno_Data[Mode],"Auto")</f>
        <v>0</v>
      </c>
      <c r="AJ79">
        <f>COUNTIFS(Dyno_Data[Team],TBA_Matches_All[[#This Row],[Team]],Dyno_Data[Match],TBA_Matches_All[[#This Row],[Match_Number]],Dyno_Data[RecordType],"Activities",Dyno_Data[DelDest],"Spkr", Dyno_Data[DelMiss],"0", Dyno_Data[Mode],"Auto")</f>
        <v>6</v>
      </c>
      <c r="AK79">
        <f>COUNTIFS(Dyno_Data[Team],TBA_Matches_All[[#This Row],[Team]],Dyno_Data[Match],TBA_Matches_All[[#This Row],[Match_Number]],Dyno_Data[RecordType],"Activities",Dyno_Data[DelDest],"Trap", Dyno_Data[DelMiss],"0", Dyno_Data[Mode],"Auto")</f>
        <v>0</v>
      </c>
      <c r="AL79">
        <f>COUNTIFS(Dyno_Data[Team],TBA_Matches_All[[#This Row],[Team]],Dyno_Data[Match],TBA_Matches_All[[#This Row],[Match_Number]],Dyno_Data[RecordType],"Activities",Dyno_Data[DelDest],"Amp", Dyno_Data[DelMiss],"0", Dyno_Data[Mode],"Teleop")</f>
        <v>5</v>
      </c>
      <c r="AM79">
        <f>COUNTIFS(Dyno_Data[Team],TBA_Matches_All[[#This Row],[Team]],Dyno_Data[Match],TBA_Matches_All[[#This Row],[Match_Number]],Dyno_Data[RecordType],"Activities",Dyno_Data[DelDest],"Spkr", Dyno_Data[DelMiss],"0", Dyno_Data[Mode],"Teleop")</f>
        <v>1</v>
      </c>
      <c r="AN79">
        <f>COUNTIFS(Dyno_Data[Team],TBA_Matches_All[[#This Row],[Team]],Dyno_Data[Match],TBA_Matches_All[[#This Row],[Match_Number]],Dyno_Data[RecordType],"Activities",Dyno_Data[DelDest],"Trap", Dyno_Data[DelMiss],"0", Dyno_Data[Mode],"&lt;&gt;Auto")</f>
        <v>1</v>
      </c>
      <c r="AO79">
        <f>SUM(TBA_Matches_All[[#This Row],[AampT]]+TBA_Matches_All[[#This Row],[AspkrT]]+TBA_Matches_All[[#This Row],[AtrapT]]+TBA_Matches_All[[#This Row],[TampT]]+TBA_Matches_All[[#This Row],[TspkrT]]+TBA_Matches_All[[#This Row],[TtrapT]])</f>
        <v>13</v>
      </c>
      <c r="AP79">
        <f>COUNTIFS(Dyno_Data[Team],TBA_Matches_All[[#This Row],[Team]],Dyno_Data[Match],TBA_Matches_All[[#This Row],[Match_Number]],Dyno_Data[RecordType],"Activities",Dyno_Data[DelDest],"Neut", Dyno_Data[DelMiss],"0")</f>
        <v>0</v>
      </c>
      <c r="AQ79">
        <f>COUNTIFS(Dyno_Data[Team],TBA_Matches_All[[#This Row],[Team]],Dyno_Data[Match],TBA_Matches_All[[#This Row],[Match_Number]],Dyno_Data[RecordType],"Activities",Dyno_Data[DelDest],"AllyW", Dyno_Data[DelMiss],"0")</f>
        <v>3</v>
      </c>
      <c r="AR79" t="str">
        <f>_xlfn.XLOOKUP(SUM(MID(TBA_Matches_All[[#This Row],[Team]],4,5),(TBA_Matches_All[[#This Row],[Match_Number]]/100)),Dyno_EndMatch[teammat],Dyno_EndMatch[RobotSta],"_",0,1)</f>
        <v>SubW</v>
      </c>
      <c r="AS79">
        <f>SUMIFS(Dyno_Data[AcqDis], Dyno_Data[Team],TBA_Matches_All[[#This Row],[Team]],Dyno_Data[Match],TBA_Matches_All[[#This Row],[Match_Number]],Dyno_Data[RecordType],"Activities", Dyno_Data[AcqCenter],1,Dyno_Data[Mode],"Auto")</f>
        <v>0</v>
      </c>
      <c r="AT79">
        <f>SUMIFS(Dyno_Data[AcqDis], Dyno_Data[Team],TBA_Matches_All[[#This Row],[Team]],Dyno_Data[Match],TBA_Matches_All[[#This Row],[Match_Number]],Dyno_Data[RecordType],"Activities", Dyno_Data[AcqCenter],2,Dyno_Data[Mode],"Auto")</f>
        <v>0</v>
      </c>
      <c r="AU79">
        <f>SUMIFS(Dyno_Data[AcqDis], Dyno_Data[Team],TBA_Matches_All[[#This Row],[Team]],Dyno_Data[Match],TBA_Matches_All[[#This Row],[Match_Number]],Dyno_Data[RecordType],"Activities", Dyno_Data[AcqCenter],3,Dyno_Data[Mode],"Auto")</f>
        <v>1</v>
      </c>
      <c r="AV79">
        <f>SUMIFS(Dyno_Data[AcqDis], Dyno_Data[Team],TBA_Matches_All[[#This Row],[Team]],Dyno_Data[Match],TBA_Matches_All[[#This Row],[Match_Number]],Dyno_Data[RecordType],"Activities", Dyno_Data[AcqCenter],4,Dyno_Data[Mode],"Auto")</f>
        <v>1</v>
      </c>
      <c r="AW79">
        <f>SUMIFS(Dyno_Data[AcqDis], Dyno_Data[Team],TBA_Matches_All[[#This Row],[Team]],Dyno_Data[Match],TBA_Matches_All[[#This Row],[Match_Number]],Dyno_Data[RecordType],"Activities", Dyno_Data[AcqCenter],5,Dyno_Data[Mode],"Auto")</f>
        <v>1</v>
      </c>
      <c r="AX79">
        <f>SUMIFS(Dyno_Data[DelMiss], Dyno_Data[Team],TBA_Matches_All[[#This Row],[Team]],Dyno_Data[Match],TBA_Matches_All[[#This Row],[Match_Number]],Dyno_Data[RecordType],"Activities", Dyno_Data[DelDest],"Amp")</f>
        <v>0</v>
      </c>
      <c r="AY79" s="60">
        <f>IFERROR(SUM((TBA_Matches_All[[#This Row],[AampT]]+TBA_Matches_All[[#This Row],[TampT]])/(TBA_Matches_All[[#This Row],[AampT]]+TBA_Matches_All[[#This Row],[TampT]]+TBA_Matches_All[[#This Row],[ampM]])),0)</f>
        <v>1</v>
      </c>
      <c r="AZ79">
        <f>SUMIFS(Dyno_Data[DelMiss], Dyno_Data[Team],TBA_Matches_All[[#This Row],[Team]],Dyno_Data[Match],TBA_Matches_All[[#This Row],[Match_Number]],Dyno_Data[RecordType],"Activities", Dyno_Data[DelDest],"Spkr")</f>
        <v>0</v>
      </c>
      <c r="BA79" s="60">
        <f>IFERROR(SUM((TBA_Matches_All[[#This Row],[AspkrT]]+TBA_Matches_All[[#This Row],[TspkrT]])/(TBA_Matches_All[[#This Row],[AspkrT]]+TBA_Matches_All[[#This Row],[TspkrT]]+TBA_Matches_All[[#This Row],[spkrM]])),0)</f>
        <v>1</v>
      </c>
      <c r="BB79">
        <f>SUMIFS(Dyno_Data[DelMiss], Dyno_Data[Team],TBA_Matches_All[[#This Row],[Team]],Dyno_Data[Match],TBA_Matches_All[[#This Row],[Match_Number]],Dyno_Data[RecordType],"Activities", Dyno_Data[DelDest],"Trap")</f>
        <v>0</v>
      </c>
      <c r="BC79" s="60">
        <f>IFERROR((TBA_Matches_All[[#This Row],[AtrapT]]+TBA_Matches_All[[#This Row],[TtrapT]])/(TBA_Matches_All[[#This Row],[AtrapT]]+TBA_Matches_All[[#This Row],[TtrapT]]+TBA_Matches_All[[#This Row],[trapM]]),0)</f>
        <v>1</v>
      </c>
      <c r="BD79">
        <f>COUNTIFS(Dyno_Data[Team],TBA_Matches_All[[#This Row],[Team]],Dyno_Data[Match],TBA_Matches_All[[#This Row],[Match_Number]],Dyno_Data[RecordType],"Activities",Dyno_Data[DelDest],"Neut", Dyno_Data[DelMiss],1)</f>
        <v>0</v>
      </c>
      <c r="BE79" s="60">
        <f>IFERROR(SUM((TBA_Matches_All[[#This Row],[NeutFlrT]])/(TBA_Matches_All[[#This Row],[NeutFlrT]]+TBA_Matches_All[[#This Row],[NZflM]])),0)</f>
        <v>0</v>
      </c>
      <c r="BF79">
        <f>COUNTIFS(Dyno_Data[Team],TBA_Matches_All[[#This Row],[Team]],Dyno_Data[Match],TBA_Matches_All[[#This Row],[Match_Number]],Dyno_Data[RecordType],"Activities",Dyno_Data[DelDest],"AllyW", Dyno_Data[DelMiss],1)</f>
        <v>0</v>
      </c>
      <c r="BG79" s="60">
        <f>IFERROR(SUM((TBA_Matches_All[[#This Row],[AllyWFlrT]])/(TBA_Matches_All[[#This Row],[AllyWFlrT]]+TBA_Matches_All[[#This Row],[AZflM]])),0)</f>
        <v>1</v>
      </c>
      <c r="BH79">
        <f>COUNTIFS(Dyno_Data[Team],TBA_Matches_All[[#This Row],[Team]],Dyno_Data[Match],TBA_Matches_All[[#This Row],[Match_Number]],Dyno_Data[RecordType],"Activities",Dyno_Data[DelOrig],"OppW", Dyno_Data[DelMiss],"0")</f>
        <v>0</v>
      </c>
      <c r="BI79">
        <f>COUNTIFS(Dyno_Data[Team],TBA_Matches_All[[#This Row],[Team]],Dyno_Data[Match],TBA_Matches_All[[#This Row],[Match_Number]],Dyno_Data[RecordType],"Activities",Dyno_Data[DelOrig],"OppW", Dyno_Data[DelMiss],"1")</f>
        <v>0</v>
      </c>
      <c r="BJ79" s="60">
        <f>IFERROR(SUM((TBA_Matches_All[[#This Row],[OZflrT]])/(TBA_Matches_All[[#This Row],[OZflrT]]+TBA_Matches_All[[#This Row],[OZflrM]])),0)</f>
        <v>0</v>
      </c>
      <c r="BK79">
        <f>COUNTIFS(Dyno_Data[Team],TBA_Matches_All[[#This Row],[Team]],Dyno_Data[Match],TBA_Matches_All[[#This Row],[Match_Number]],Dyno_Data[RecordType],"Activities",Dyno_Data[DelOrig],"Neut", Dyno_Data[DelMiss],"0")</f>
        <v>1</v>
      </c>
      <c r="BL79">
        <f>COUNTIFS(Dyno_Data[Team],TBA_Matches_All[[#This Row],[Team]],Dyno_Data[Match],TBA_Matches_All[[#This Row],[Match_Number]],Dyno_Data[RecordType],"Activities",Dyno_Data[DelOrig],"Neut", Dyno_Data[DelMiss],"1")</f>
        <v>0</v>
      </c>
      <c r="BM79" s="60">
        <f>IFERROR(SUM((TBA_Matches_All[[#This Row],[NZflrT]])/(TBA_Matches_All[[#This Row],[NZflrT]]+TBA_Matches_All[[#This Row],[NZflrM]])),0)</f>
        <v>1</v>
      </c>
      <c r="BN79">
        <f>COUNTIFS(Dyno_Data[Team],TBA_Matches_All[[#This Row],[Team]],Dyno_Data[Match],TBA_Matches_All[[#This Row],[Match_Number]],Dyno_Data[RecordType],"Activities",Dyno_Data[DelOrig],"AllyW", Dyno_Data[DelMiss],"0")</f>
        <v>12</v>
      </c>
      <c r="BO79">
        <f>COUNTIFS(Dyno_Data[Team],TBA_Matches_All[[#This Row],[Team]],Dyno_Data[Match],TBA_Matches_All[[#This Row],[Match_Number]],Dyno_Data[RecordType],"Activities",Dyno_Data[DelOrig],"AllyW", Dyno_Data[DelMiss],"1")</f>
        <v>0</v>
      </c>
      <c r="BP79" s="60">
        <f>IFERROR(SUM((TBA_Matches_All[[#This Row],[AZflrT]])/(TBA_Matches_All[[#This Row],[AZflrT]]+TBA_Matches_All[[#This Row],[AZflrM]])),0)</f>
        <v>1</v>
      </c>
      <c r="BQ79">
        <f>COUNTIFS(Dyno_Data[Team],TBA_Matches_All[[#This Row],[Team]],Dyno_Data[Match],TBA_Matches_All[[#This Row],[Match_Number]],Dyno_Data[RecordType],"Activities",Dyno_Data[DelOrig],"SubW", Dyno_Data[DelMiss],"0")</f>
        <v>2</v>
      </c>
      <c r="BR79">
        <f>COUNTIFS(Dyno_Data[Team],TBA_Matches_All[[#This Row],[Team]],Dyno_Data[Match],TBA_Matches_All[[#This Row],[Match_Number]],Dyno_Data[RecordType],"Activities",Dyno_Data[DelOrig],"SubW", Dyno_Data[DelMiss],"1")</f>
        <v>0</v>
      </c>
      <c r="BS79" s="60">
        <f>IFERROR(SUM((TBA_Matches_All[[#This Row],[SubwT]])/(TBA_Matches_All[[#This Row],[SubwT]]+TBA_Matches_All[[#This Row],[SubwM]])),0)</f>
        <v>1</v>
      </c>
      <c r="BT79">
        <f>COUNTIFS(Dyno_Data[Team],TBA_Matches_All[[#This Row],[Team]],Dyno_Data[Match],TBA_Matches_All[[#This Row],[Match_Number]],Dyno_Data[RecordType],"Activities", Dyno_Data[AcqLoc],"OppWing")</f>
        <v>0</v>
      </c>
      <c r="BU79">
        <f>COUNTIFS(Dyno_Data[Team],TBA_Matches_All[[#This Row],[Team]],Dyno_Data[Match],TBA_Matches_All[[#This Row],[Match_Number]],Dyno_Data[RecordType],"Activities", Dyno_Data[AcqLoc],"Neutral")</f>
        <v>6</v>
      </c>
      <c r="BV79">
        <f>COUNTIFS(Dyno_Data[Team],TBA_Matches_All[[#This Row],[Team]],Dyno_Data[Match],TBA_Matches_All[[#This Row],[Match_Number]],Dyno_Data[RecordType],"Activities", Dyno_Data[AcqLoc],"AllyWing")</f>
        <v>0</v>
      </c>
      <c r="BW79">
        <f>COUNTIFS(Dyno_Data[Team],TBA_Matches_All[[#This Row],[Team]],Dyno_Data[Match],TBA_Matches_All[[#This Row],[Match_Number]],Dyno_Data[RecordType],"Activities", Dyno_Data[AcqLoc],"Source")</f>
        <v>0</v>
      </c>
      <c r="BX79">
        <f>SUMIFS(Dyno_Data[AcqDrp], Dyno_Data[Team],TBA_Matches_All[[#This Row],[Team]],Dyno_Data[Match],TBA_Matches_All[[#This Row],[Match_Number]],Dyno_Data[RecordType],"Activities", Dyno_Data[AcqLoc],"Source")</f>
        <v>0</v>
      </c>
      <c r="BY79">
        <f>SUMIFS(Dyno_Data[OZTime], Dyno_Data[Team],TBA_Matches_All[[#This Row],[Team]],Dyno_Data[Match],TBA_Matches_All[[#This Row],[Match_Number]],Dyno_Data[RecordType],"EndMatch")</f>
        <v>39.954089699999997</v>
      </c>
      <c r="BZ79">
        <f>SUMIFS(Dyno_Data[NZTime], Dyno_Data[Team],TBA_Matches_All[[#This Row],[Team]],Dyno_Data[Match],TBA_Matches_All[[#This Row],[Match_Number]],Dyno_Data[RecordType],"EndMatch")</f>
        <v>20.213847099999999</v>
      </c>
      <c r="CA79">
        <f>SUMIFS(Dyno_Data[AZTime], Dyno_Data[Team],TBA_Matches_All[[#This Row],[Team]],Dyno_Data[Match],TBA_Matches_All[[#This Row],[Match_Number]],Dyno_Data[RecordType],"EndMatch")</f>
        <v>44.576704899999996</v>
      </c>
      <c r="CB79">
        <f>SUMIFS(Dyno_Data[ClimbT], Dyno_Data[Team],TBA_Matches_All[[#This Row],[Team]],Dyno_Data[Match],TBA_Matches_All[[#This Row],[Match_Number]],Dyno_Data[RecordType],"EndMatch")</f>
        <v>7.0685085999999995</v>
      </c>
      <c r="CC79" t="str">
        <f>_xlfn.XLOOKUP(SUM(MID(TBA_Matches_All[[#This Row],[Team]],4,5),(TBA_Matches_All[[#This Row],[Match_Number]]/100)),Dyno_EndMatch[teammat],Dyno_EndMatch[StageStat],"_",0,1)</f>
        <v>On</v>
      </c>
      <c r="CD79" t="str">
        <f>_xlfn.XLOOKUP(TBA_Matches_All[[#This Row],[teammat]],Dyno_EndMatch[teammat],Dyno_EndMatch[StageAtt],"_",0,1)</f>
        <v>1</v>
      </c>
      <c r="CE79" t="str">
        <f>_xlfn.XLOOKUP(TBA_Matches_All[[#This Row],[teammat]],Dyno_EndMatch[teammat],Dyno_EndMatch[StageLoc],"_",0,1)</f>
        <v>L</v>
      </c>
      <c r="CF79">
        <f>SUMIFS(Dyno_Data[Harmony], Dyno_Data[Team],TBA_Matches_All[[#This Row],[Team]],Dyno_Data[Match],TBA_Matches_All[[#This Row],[Match_Number]],Dyno_Data[RecordType],"EndMatch", Dyno_Data[StageStat],"On",Dyno_Data[Harmony],"&lt;&gt;9")</f>
        <v>0</v>
      </c>
      <c r="CG79">
        <f>SUMIFS(Dyno_Data[Spotlit], Dyno_Data[Team],TBA_Matches_All[[#This Row],[Team]],Dyno_Data[Match],TBA_Matches_All[[#This Row],[Match_Number]],Dyno_Data[RecordType],"EndMatch", Dyno_Data[StageStat],"On",Dyno_Data[Spotlit],"&lt;&gt;9")</f>
        <v>0</v>
      </c>
      <c r="CH79" t="str">
        <f>_xlfn.XLOOKUP(TBA_Matches_All[[#This Row],[teammat]],Dyno_EndMatch[teammat],Dyno_EndMatch[Strategy],"_",0,1)</f>
        <v>Celebity</v>
      </c>
      <c r="CI79">
        <f>SUMIFS(Dyno_Data[Defense], Dyno_Data[Team],TBA_Matches_All[[#This Row],[Team]],Dyno_Data[Match],TBA_Matches_All[[#This Row],[Match_Number]],Dyno_Data[RecordType],"EndMatch",Dyno_Data[Defense],"&lt;&gt;9")</f>
        <v>0</v>
      </c>
      <c r="CJ79">
        <f>SUMIFS(Dyno_Data[Avoidance], Dyno_Data[Team],TBA_Matches_All[[#This Row],[Team]],Dyno_Data[Match],TBA_Matches_All[[#This Row],[Match_Number]],Dyno_Data[RecordType],"EndMatch",Dyno_Data[Avoidance],"&lt;&gt;9")</f>
        <v>0</v>
      </c>
      <c r="CK79" s="82">
        <f>COUNTIF($H$2:TBA_Matches_All[[#This Row],[Team]],TBA_Matches_All[[#This Row],[Team]])</f>
        <v>2</v>
      </c>
      <c r="CL79" s="111">
        <f>SUM(MID(TBA_Matches_All[[#This Row],[Team]],4,5)+TBA_Matches_All[[#This Row],[Match_Number]]/100)</f>
        <v>1796.13</v>
      </c>
      <c r="CM79">
        <f>SUM((TBA_Matches_All[[#This Row],[Leave]]*2)+(TBA_Matches_All[[#This Row],[AampT]]*2)+(TBA_Matches_All[[#This Row],[AspkrT]]*5)+(TBA_Matches_All[[#This Row],[AtrapT]]*5))</f>
        <v>32</v>
      </c>
      <c r="CN79" s="59">
        <f>IFERROR(SUM(TBA_Matches_All[[#This Row],[AptsT]]/TBA_Matches_All[[#This Row],[AutoPts]]),0)</f>
        <v>0.72727272727272729</v>
      </c>
      <c r="CO79" s="59">
        <f>IFERROR(SUM(TBA_Matches_All[[#This Row],[AampT]]+TBA_Matches_All[[#This Row],[AspkrT]]+TBA_Matches_All[[#This Row],[AtrapT]]/TBA_Matches_All[[#This Row],[Aamp]]+TBA_Matches_All[[#This Row],[Aspkr]]+TBA_Matches_All[[#This Row],[AtrapT]]),0)</f>
        <v>0</v>
      </c>
      <c r="CP79" s="59">
        <f>IFERROR(SUM(TBA_Matches_All[[#This Row],[TampT]]/TBA_Matches_All[[#This Row],[Tamp]]),0)</f>
        <v>1</v>
      </c>
      <c r="CQ79" s="59">
        <f>IFERROR(SUM(TBA_Matches_All[[#This Row],[TspkrT]]/TBA_Matches_All[[#This Row],[Tspkr]]),0)</f>
        <v>0.125</v>
      </c>
      <c r="CR79">
        <f>SUM(TBA_Matches_All[[#This Row],[TspkrPts]]*TBA_Matches_All[[#This Row],[TspkrP]])</f>
        <v>2.75</v>
      </c>
      <c r="CS79" s="59">
        <f>IFERROR(SUM(TBA_Matches_All[[#This Row],[TtrapT]]/TBA_Matches_All[[#This Row],[Trap]]),0)</f>
        <v>1</v>
      </c>
      <c r="CT79" s="59">
        <f>IFERROR(SUM(TBA_Matches_All[[#This Row],[TotNotesT]]/TBA_Matches_All[[#This Row],[TotNotes]]),0)</f>
        <v>0.61904761904761907</v>
      </c>
      <c r="CU79" s="66">
        <f>SUM((TBA_Matches_All[[#This Row],[AampT]]*2)+(TBA_Matches_All[[#This Row],[AspkrT]]*5)+(TBA_Matches_All[[#This Row],[AtrapT]]*5)+(TBA_Matches_All[[#This Row],[TampT]]*1)+(TBA_Matches_All[[#This Row],[TspkrptsC]]))</f>
        <v>37.75</v>
      </c>
      <c r="CV79" s="59">
        <f>IFERROR(TBA_Matches_All[[#This Row],[noteptsT]]/TBA_Matches_All[[#This Row],[NotePts]],0)</f>
        <v>0.56343283582089554</v>
      </c>
      <c r="CW79">
        <f>SUM(IF(TBA_Matches_All[[#This Row],[stageStat]]="On",3,0),IF(TBA_Matches_All[[#This Row],[stageStat]]="Park",1,0),SUMIFS(TBA_Matches_All[[#This Row],[Spotlit]],TBA_Matches_All[[#This Row],[stageStat]],"On"),SUMIFS(TBA_Matches_All[[#This Row],[Harmony]],TBA_Matches_All[[#This Row],[stageStat]],"On"))</f>
        <v>3</v>
      </c>
      <c r="CX79" s="59">
        <f>IFERROR(TBA_Matches_All[[#This Row],[stageptsT]]/TBA_Matches_All[[#This Row],[StagePts]],0)</f>
        <v>0.33333333333333331</v>
      </c>
      <c r="CY79">
        <f>SUM((TBA_Matches_All[[#This Row],[AptsT]]+TBA_Matches_All[[#This Row],[TampT]]+TBA_Matches_All[[#This Row],[TspkrptsC]]+(TBA_Matches_All[[#This Row],[TtrapT]]*5)+TBA_Matches_All[[#This Row],[stageptsT]]))</f>
        <v>47.75</v>
      </c>
      <c r="CZ79" s="59">
        <f>IFERROR(SUM(TBA_Matches_All[[#This Row],[TotptsC]]/TBA_Matches_All[[#This Row],[Score]]),0)</f>
        <v>0.59687500000000004</v>
      </c>
      <c r="DA7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16.375</v>
      </c>
      <c r="DB79" s="74">
        <f>SUMIFS(TBA_Matches_All[AveTeamTNoteDels],TBA_Matches_All[Match_Number],TBA_Matches_All[[#This Row],[Match_Number]],TBA_Matches_All[Alliance],"&lt;&gt;"&amp;TBA_Matches_All[[#This Row],[Alliance]],TBA_Matches_All[Scouted],"&gt;0")</f>
        <v>22.248111888111886</v>
      </c>
      <c r="DC79" s="74">
        <f>(TBA_Matches_All[[#This Row],[TampT]]+TBA_Matches_All[[#This Row],[TspkrptsC]])-TBA_Matches_All[[#This Row],[AveTeamTNoteDels]]</f>
        <v>-8.625</v>
      </c>
      <c r="DD79" s="74">
        <f>SUMIFS(TBA_Matches_All[AveTeamTNoteDels],TBA_Matches_All[Match_Number],TBA_Matches_All[[#This Row],[Match_Number]],TBA_Matches_All[Alliance],"&lt;&gt;"&amp;TBA_Matches_All[[#This Row],[Alliance]])-TBA_Matches_All[[#This Row],[AveOppTNoteDels]]</f>
        <v>0</v>
      </c>
    </row>
    <row r="80" spans="1:108" x14ac:dyDescent="0.3">
      <c r="A80" t="s">
        <v>1042</v>
      </c>
      <c r="B80" t="s">
        <v>489</v>
      </c>
      <c r="C80" t="s">
        <v>1322</v>
      </c>
      <c r="D80">
        <v>13</v>
      </c>
      <c r="E80" t="s">
        <v>1406</v>
      </c>
      <c r="F80" t="s">
        <v>1424</v>
      </c>
      <c r="G80" t="s">
        <v>1409</v>
      </c>
      <c r="H80" t="s">
        <v>1290</v>
      </c>
      <c r="I80" t="b">
        <v>1</v>
      </c>
      <c r="J80">
        <v>48</v>
      </c>
      <c r="K80">
        <v>0</v>
      </c>
      <c r="L80">
        <v>0</v>
      </c>
      <c r="M80">
        <v>0</v>
      </c>
      <c r="N80">
        <v>0</v>
      </c>
      <c r="O80">
        <v>2</v>
      </c>
      <c r="P80">
        <v>10</v>
      </c>
      <c r="Q80">
        <v>14</v>
      </c>
      <c r="R80">
        <v>3</v>
      </c>
      <c r="S80">
        <v>1</v>
      </c>
      <c r="T80">
        <v>2</v>
      </c>
      <c r="U80">
        <v>5</v>
      </c>
      <c r="V80">
        <v>4</v>
      </c>
      <c r="W80">
        <v>3</v>
      </c>
      <c r="X80">
        <v>9</v>
      </c>
      <c r="Y80">
        <v>12</v>
      </c>
      <c r="Z80">
        <v>0</v>
      </c>
      <c r="AA80">
        <v>0</v>
      </c>
      <c r="AB80">
        <v>8</v>
      </c>
      <c r="AC80">
        <v>22</v>
      </c>
      <c r="AD80">
        <v>7</v>
      </c>
      <c r="AE80">
        <f>IFERROR(6/(COUNTIF(Dyno_EndMatch[Match],TBA_Matches_All[[#This Row],[Match_Number]])),0)</f>
        <v>1</v>
      </c>
      <c r="AF80">
        <f>COUNTIFS(Dyno_Data[Team],TBA_Matches_All[[#This Row],[Team]],Dyno_Data[Match],TBA_Matches_All[[#This Row],[Match_Number]],Dyno_Data[RecordType],"EndMatch",Dyno_Data[HPAmp],"Y")</f>
        <v>0</v>
      </c>
      <c r="AG80">
        <f>SUMIFS(Dyno_Data[Mics], Dyno_Data[Team],TBA_Matches_All[[#This Row],[Team]],Dyno_Data[Match],TBA_Matches_All[[#This Row],[Match_Number]],Dyno_Data[RecordType],"EndMatch",Dyno_Data[HPAmp],"Y")</f>
        <v>0</v>
      </c>
      <c r="AH80">
        <f>SUMIFS(Dyno_Data[Leave], Dyno_Data[Team],TBA_Matches_All[[#This Row],[Team]],Dyno_Data[Match],TBA_Matches_All[[#This Row],[Match_Number]],Dyno_Data[RecordType],"EndAuto")</f>
        <v>1</v>
      </c>
      <c r="AI80">
        <f>COUNTIFS(Dyno_Data[Team],TBA_Matches_All[[#This Row],[Team]],Dyno_Data[Match],TBA_Matches_All[[#This Row],[Match_Number]],Dyno_Data[RecordType],"Activities",Dyno_Data[DelDest],"Amp", Dyno_Data[DelMiss],"0", Dyno_Data[Mode],"Auto")</f>
        <v>0</v>
      </c>
      <c r="AJ80">
        <f>COUNTIFS(Dyno_Data[Team],TBA_Matches_All[[#This Row],[Team]],Dyno_Data[Match],TBA_Matches_All[[#This Row],[Match_Number]],Dyno_Data[RecordType],"Activities",Dyno_Data[DelDest],"Spkr", Dyno_Data[DelMiss],"0", Dyno_Data[Mode],"Auto")</f>
        <v>1</v>
      </c>
      <c r="AK80">
        <f>COUNTIFS(Dyno_Data[Team],TBA_Matches_All[[#This Row],[Team]],Dyno_Data[Match],TBA_Matches_All[[#This Row],[Match_Number]],Dyno_Data[RecordType],"Activities",Dyno_Data[DelDest],"Trap", Dyno_Data[DelMiss],"0", Dyno_Data[Mode],"Auto")</f>
        <v>0</v>
      </c>
      <c r="AL80">
        <f>COUNTIFS(Dyno_Data[Team],TBA_Matches_All[[#This Row],[Team]],Dyno_Data[Match],TBA_Matches_All[[#This Row],[Match_Number]],Dyno_Data[RecordType],"Activities",Dyno_Data[DelDest],"Amp", Dyno_Data[DelMiss],"0", Dyno_Data[Mode],"Teleop")</f>
        <v>0</v>
      </c>
      <c r="AM80">
        <f>COUNTIFS(Dyno_Data[Team],TBA_Matches_All[[#This Row],[Team]],Dyno_Data[Match],TBA_Matches_All[[#This Row],[Match_Number]],Dyno_Data[RecordType],"Activities",Dyno_Data[DelDest],"Spkr", Dyno_Data[DelMiss],"0", Dyno_Data[Mode],"Teleop")</f>
        <v>3</v>
      </c>
      <c r="AN80">
        <f>COUNTIFS(Dyno_Data[Team],TBA_Matches_All[[#This Row],[Team]],Dyno_Data[Match],TBA_Matches_All[[#This Row],[Match_Number]],Dyno_Data[RecordType],"Activities",Dyno_Data[DelDest],"Trap", Dyno_Data[DelMiss],"0", Dyno_Data[Mode],"&lt;&gt;Auto")</f>
        <v>0</v>
      </c>
      <c r="AO80">
        <f>SUM(TBA_Matches_All[[#This Row],[AampT]]+TBA_Matches_All[[#This Row],[AspkrT]]+TBA_Matches_All[[#This Row],[AtrapT]]+TBA_Matches_All[[#This Row],[TampT]]+TBA_Matches_All[[#This Row],[TspkrT]]+TBA_Matches_All[[#This Row],[TtrapT]])</f>
        <v>4</v>
      </c>
      <c r="AP80">
        <f>COUNTIFS(Dyno_Data[Team],TBA_Matches_All[[#This Row],[Team]],Dyno_Data[Match],TBA_Matches_All[[#This Row],[Match_Number]],Dyno_Data[RecordType],"Activities",Dyno_Data[DelDest],"Neut", Dyno_Data[DelMiss],"0")</f>
        <v>0</v>
      </c>
      <c r="AQ80">
        <f>COUNTIFS(Dyno_Data[Team],TBA_Matches_All[[#This Row],[Team]],Dyno_Data[Match],TBA_Matches_All[[#This Row],[Match_Number]],Dyno_Data[RecordType],"Activities",Dyno_Data[DelDest],"AllyW", Dyno_Data[DelMiss],"0")</f>
        <v>0</v>
      </c>
      <c r="AR80" t="str">
        <f>_xlfn.XLOOKUP(SUM(MID(TBA_Matches_All[[#This Row],[Team]],4,5),(TBA_Matches_All[[#This Row],[Match_Number]]/100)),Dyno_EndMatch[teammat],Dyno_EndMatch[RobotSta],"_",0,1)</f>
        <v>SubW</v>
      </c>
      <c r="AS80">
        <f>SUMIFS(Dyno_Data[AcqDis], Dyno_Data[Team],TBA_Matches_All[[#This Row],[Team]],Dyno_Data[Match],TBA_Matches_All[[#This Row],[Match_Number]],Dyno_Data[RecordType],"Activities", Dyno_Data[AcqCenter],1,Dyno_Data[Mode],"Auto")</f>
        <v>0</v>
      </c>
      <c r="AT80">
        <f>SUMIFS(Dyno_Data[AcqDis], Dyno_Data[Team],TBA_Matches_All[[#This Row],[Team]],Dyno_Data[Match],TBA_Matches_All[[#This Row],[Match_Number]],Dyno_Data[RecordType],"Activities", Dyno_Data[AcqCenter],2,Dyno_Data[Mode],"Auto")</f>
        <v>0</v>
      </c>
      <c r="AU80">
        <f>SUMIFS(Dyno_Data[AcqDis], Dyno_Data[Team],TBA_Matches_All[[#This Row],[Team]],Dyno_Data[Match],TBA_Matches_All[[#This Row],[Match_Number]],Dyno_Data[RecordType],"Activities", Dyno_Data[AcqCenter],3,Dyno_Data[Mode],"Auto")</f>
        <v>0</v>
      </c>
      <c r="AV80">
        <f>SUMIFS(Dyno_Data[AcqDis], Dyno_Data[Team],TBA_Matches_All[[#This Row],[Team]],Dyno_Data[Match],TBA_Matches_All[[#This Row],[Match_Number]],Dyno_Data[RecordType],"Activities", Dyno_Data[AcqCenter],4,Dyno_Data[Mode],"Auto")</f>
        <v>0</v>
      </c>
      <c r="AW80">
        <f>SUMIFS(Dyno_Data[AcqDis], Dyno_Data[Team],TBA_Matches_All[[#This Row],[Team]],Dyno_Data[Match],TBA_Matches_All[[#This Row],[Match_Number]],Dyno_Data[RecordType],"Activities", Dyno_Data[AcqCenter],5,Dyno_Data[Mode],"Auto")</f>
        <v>0</v>
      </c>
      <c r="AX80">
        <f>SUMIFS(Dyno_Data[DelMiss], Dyno_Data[Team],TBA_Matches_All[[#This Row],[Team]],Dyno_Data[Match],TBA_Matches_All[[#This Row],[Match_Number]],Dyno_Data[RecordType],"Activities", Dyno_Data[DelDest],"Amp")</f>
        <v>0</v>
      </c>
      <c r="AY80" s="60">
        <f>IFERROR(SUM((TBA_Matches_All[[#This Row],[AampT]]+TBA_Matches_All[[#This Row],[TampT]])/(TBA_Matches_All[[#This Row],[AampT]]+TBA_Matches_All[[#This Row],[TampT]]+TBA_Matches_All[[#This Row],[ampM]])),0)</f>
        <v>0</v>
      </c>
      <c r="AZ80">
        <f>SUMIFS(Dyno_Data[DelMiss], Dyno_Data[Team],TBA_Matches_All[[#This Row],[Team]],Dyno_Data[Match],TBA_Matches_All[[#This Row],[Match_Number]],Dyno_Data[RecordType],"Activities", Dyno_Data[DelDest],"Spkr")</f>
        <v>2</v>
      </c>
      <c r="BA80" s="60">
        <f>IFERROR(SUM((TBA_Matches_All[[#This Row],[AspkrT]]+TBA_Matches_All[[#This Row],[TspkrT]])/(TBA_Matches_All[[#This Row],[AspkrT]]+TBA_Matches_All[[#This Row],[TspkrT]]+TBA_Matches_All[[#This Row],[spkrM]])),0)</f>
        <v>0.66666666666666663</v>
      </c>
      <c r="BB80">
        <f>SUMIFS(Dyno_Data[DelMiss], Dyno_Data[Team],TBA_Matches_All[[#This Row],[Team]],Dyno_Data[Match],TBA_Matches_All[[#This Row],[Match_Number]],Dyno_Data[RecordType],"Activities", Dyno_Data[DelDest],"Trap")</f>
        <v>0</v>
      </c>
      <c r="BC80" s="60">
        <f>IFERROR((TBA_Matches_All[[#This Row],[AtrapT]]+TBA_Matches_All[[#This Row],[TtrapT]])/(TBA_Matches_All[[#This Row],[AtrapT]]+TBA_Matches_All[[#This Row],[TtrapT]]+TBA_Matches_All[[#This Row],[trapM]]),0)</f>
        <v>0</v>
      </c>
      <c r="BD80">
        <f>COUNTIFS(Dyno_Data[Team],TBA_Matches_All[[#This Row],[Team]],Dyno_Data[Match],TBA_Matches_All[[#This Row],[Match_Number]],Dyno_Data[RecordType],"Activities",Dyno_Data[DelDest],"Neut", Dyno_Data[DelMiss],1)</f>
        <v>0</v>
      </c>
      <c r="BE80" s="60">
        <f>IFERROR(SUM((TBA_Matches_All[[#This Row],[NeutFlrT]])/(TBA_Matches_All[[#This Row],[NeutFlrT]]+TBA_Matches_All[[#This Row],[NZflM]])),0)</f>
        <v>0</v>
      </c>
      <c r="BF80">
        <f>COUNTIFS(Dyno_Data[Team],TBA_Matches_All[[#This Row],[Team]],Dyno_Data[Match],TBA_Matches_All[[#This Row],[Match_Number]],Dyno_Data[RecordType],"Activities",Dyno_Data[DelDest],"AllyW", Dyno_Data[DelMiss],1)</f>
        <v>0</v>
      </c>
      <c r="BG80" s="60">
        <f>IFERROR(SUM((TBA_Matches_All[[#This Row],[AllyWFlrT]])/(TBA_Matches_All[[#This Row],[AllyWFlrT]]+TBA_Matches_All[[#This Row],[AZflM]])),0)</f>
        <v>0</v>
      </c>
      <c r="BH80">
        <f>COUNTIFS(Dyno_Data[Team],TBA_Matches_All[[#This Row],[Team]],Dyno_Data[Match],TBA_Matches_All[[#This Row],[Match_Number]],Dyno_Data[RecordType],"Activities",Dyno_Data[DelOrig],"OppW", Dyno_Data[DelMiss],"0")</f>
        <v>0</v>
      </c>
      <c r="BI80">
        <f>COUNTIFS(Dyno_Data[Team],TBA_Matches_All[[#This Row],[Team]],Dyno_Data[Match],TBA_Matches_All[[#This Row],[Match_Number]],Dyno_Data[RecordType],"Activities",Dyno_Data[DelOrig],"OppW", Dyno_Data[DelMiss],"1")</f>
        <v>0</v>
      </c>
      <c r="BJ80" s="60">
        <f>IFERROR(SUM((TBA_Matches_All[[#This Row],[OZflrT]])/(TBA_Matches_All[[#This Row],[OZflrT]]+TBA_Matches_All[[#This Row],[OZflrM]])),0)</f>
        <v>0</v>
      </c>
      <c r="BK80">
        <f>COUNTIFS(Dyno_Data[Team],TBA_Matches_All[[#This Row],[Team]],Dyno_Data[Match],TBA_Matches_All[[#This Row],[Match_Number]],Dyno_Data[RecordType],"Activities",Dyno_Data[DelOrig],"Neut", Dyno_Data[DelMiss],"0")</f>
        <v>0</v>
      </c>
      <c r="BL80">
        <f>COUNTIFS(Dyno_Data[Team],TBA_Matches_All[[#This Row],[Team]],Dyno_Data[Match],TBA_Matches_All[[#This Row],[Match_Number]],Dyno_Data[RecordType],"Activities",Dyno_Data[DelOrig],"Neut", Dyno_Data[DelMiss],"1")</f>
        <v>0</v>
      </c>
      <c r="BM80" s="60">
        <f>IFERROR(SUM((TBA_Matches_All[[#This Row],[NZflrT]])/(TBA_Matches_All[[#This Row],[NZflrT]]+TBA_Matches_All[[#This Row],[NZflrM]])),0)</f>
        <v>0</v>
      </c>
      <c r="BN80">
        <f>COUNTIFS(Dyno_Data[Team],TBA_Matches_All[[#This Row],[Team]],Dyno_Data[Match],TBA_Matches_All[[#This Row],[Match_Number]],Dyno_Data[RecordType],"Activities",Dyno_Data[DelOrig],"AllyW", Dyno_Data[DelMiss],"0")</f>
        <v>3</v>
      </c>
      <c r="BO80">
        <f>COUNTIFS(Dyno_Data[Team],TBA_Matches_All[[#This Row],[Team]],Dyno_Data[Match],TBA_Matches_All[[#This Row],[Match_Number]],Dyno_Data[RecordType],"Activities",Dyno_Data[DelOrig],"AllyW", Dyno_Data[DelMiss],"1")</f>
        <v>1</v>
      </c>
      <c r="BP80" s="60">
        <f>IFERROR(SUM((TBA_Matches_All[[#This Row],[AZflrT]])/(TBA_Matches_All[[#This Row],[AZflrT]]+TBA_Matches_All[[#This Row],[AZflrM]])),0)</f>
        <v>0.75</v>
      </c>
      <c r="BQ80">
        <f>COUNTIFS(Dyno_Data[Team],TBA_Matches_All[[#This Row],[Team]],Dyno_Data[Match],TBA_Matches_All[[#This Row],[Match_Number]],Dyno_Data[RecordType],"Activities",Dyno_Data[DelOrig],"SubW", Dyno_Data[DelMiss],"0")</f>
        <v>1</v>
      </c>
      <c r="BR80">
        <f>COUNTIFS(Dyno_Data[Team],TBA_Matches_All[[#This Row],[Team]],Dyno_Data[Match],TBA_Matches_All[[#This Row],[Match_Number]],Dyno_Data[RecordType],"Activities",Dyno_Data[DelOrig],"SubW", Dyno_Data[DelMiss],"1")</f>
        <v>1</v>
      </c>
      <c r="BS80" s="60">
        <f>IFERROR(SUM((TBA_Matches_All[[#This Row],[SubwT]])/(TBA_Matches_All[[#This Row],[SubwT]]+TBA_Matches_All[[#This Row],[SubwM]])),0)</f>
        <v>0.5</v>
      </c>
      <c r="BT80">
        <f>COUNTIFS(Dyno_Data[Team],TBA_Matches_All[[#This Row],[Team]],Dyno_Data[Match],TBA_Matches_All[[#This Row],[Match_Number]],Dyno_Data[RecordType],"Activities", Dyno_Data[AcqLoc],"OppWing")</f>
        <v>0</v>
      </c>
      <c r="BU80">
        <f>COUNTIFS(Dyno_Data[Team],TBA_Matches_All[[#This Row],[Team]],Dyno_Data[Match],TBA_Matches_All[[#This Row],[Match_Number]],Dyno_Data[RecordType],"Activities", Dyno_Data[AcqLoc],"Neutral")</f>
        <v>0</v>
      </c>
      <c r="BV80">
        <f>COUNTIFS(Dyno_Data[Team],TBA_Matches_All[[#This Row],[Team]],Dyno_Data[Match],TBA_Matches_All[[#This Row],[Match_Number]],Dyno_Data[RecordType],"Activities", Dyno_Data[AcqLoc],"AllyWing")</f>
        <v>0</v>
      </c>
      <c r="BW80">
        <f>COUNTIFS(Dyno_Data[Team],TBA_Matches_All[[#This Row],[Team]],Dyno_Data[Match],TBA_Matches_All[[#This Row],[Match_Number]],Dyno_Data[RecordType],"Activities", Dyno_Data[AcqLoc],"Source")</f>
        <v>0</v>
      </c>
      <c r="BX80">
        <f>SUMIFS(Dyno_Data[AcqDrp], Dyno_Data[Team],TBA_Matches_All[[#This Row],[Team]],Dyno_Data[Match],TBA_Matches_All[[#This Row],[Match_Number]],Dyno_Data[RecordType],"Activities", Dyno_Data[AcqLoc],"Source")</f>
        <v>0</v>
      </c>
      <c r="BY80">
        <f>SUMIFS(Dyno_Data[OZTime], Dyno_Data[Team],TBA_Matches_All[[#This Row],[Team]],Dyno_Data[Match],TBA_Matches_All[[#This Row],[Match_Number]],Dyno_Data[RecordType],"EndMatch")</f>
        <v>24.65474</v>
      </c>
      <c r="BZ80">
        <f>SUMIFS(Dyno_Data[NZTime], Dyno_Data[Team],TBA_Matches_All[[#This Row],[Team]],Dyno_Data[Match],TBA_Matches_All[[#This Row],[Match_Number]],Dyno_Data[RecordType],"EndMatch")</f>
        <v>29.281707299999997</v>
      </c>
      <c r="CA80">
        <f>SUMIFS(Dyno_Data[AZTime], Dyno_Data[Team],TBA_Matches_All[[#This Row],[Team]],Dyno_Data[Match],TBA_Matches_All[[#This Row],[Match_Number]],Dyno_Data[RecordType],"EndMatch")</f>
        <v>73.255912600000002</v>
      </c>
      <c r="CB80">
        <f>SUMIFS(Dyno_Data[ClimbT], Dyno_Data[Team],TBA_Matches_All[[#This Row],[Team]],Dyno_Data[Match],TBA_Matches_All[[#This Row],[Match_Number]],Dyno_Data[RecordType],"EndMatch")</f>
        <v>1.8727130999999999</v>
      </c>
      <c r="CC80" t="str">
        <f>_xlfn.XLOOKUP(SUM(MID(TBA_Matches_All[[#This Row],[Team]],4,5),(TBA_Matches_All[[#This Row],[Match_Number]]/100)),Dyno_EndMatch[teammat],Dyno_EndMatch[StageStat],"_",0,1)</f>
        <v>On</v>
      </c>
      <c r="CD80" t="str">
        <f>_xlfn.XLOOKUP(TBA_Matches_All[[#This Row],[teammat]],Dyno_EndMatch[teammat],Dyno_EndMatch[StageAtt],"_",0,1)</f>
        <v>1</v>
      </c>
      <c r="CE80" t="str">
        <f>_xlfn.XLOOKUP(TBA_Matches_All[[#This Row],[teammat]],Dyno_EndMatch[teammat],Dyno_EndMatch[StageLoc],"_",0,1)</f>
        <v>L</v>
      </c>
      <c r="CF80">
        <f>SUMIFS(Dyno_Data[Harmony], Dyno_Data[Team],TBA_Matches_All[[#This Row],[Team]],Dyno_Data[Match],TBA_Matches_All[[#This Row],[Match_Number]],Dyno_Data[RecordType],"EndMatch", Dyno_Data[StageStat],"On",Dyno_Data[Harmony],"&lt;&gt;9")</f>
        <v>0</v>
      </c>
      <c r="CG80">
        <f>SUMIFS(Dyno_Data[Spotlit], Dyno_Data[Team],TBA_Matches_All[[#This Row],[Team]],Dyno_Data[Match],TBA_Matches_All[[#This Row],[Match_Number]],Dyno_Data[RecordType],"EndMatch", Dyno_Data[StageStat],"On",Dyno_Data[Spotlit],"&lt;&gt;9")</f>
        <v>0</v>
      </c>
      <c r="CH80" t="str">
        <f>_xlfn.XLOOKUP(TBA_Matches_All[[#This Row],[teammat]],Dyno_EndMatch[teammat],Dyno_EndMatch[Strategy],"_",0,1)</f>
        <v>Hybrid</v>
      </c>
      <c r="CI80">
        <f>SUMIFS(Dyno_Data[Defense], Dyno_Data[Team],TBA_Matches_All[[#This Row],[Team]],Dyno_Data[Match],TBA_Matches_All[[#This Row],[Match_Number]],Dyno_Data[RecordType],"EndMatch",Dyno_Data[Defense],"&lt;&gt;9")</f>
        <v>1</v>
      </c>
      <c r="CJ80">
        <f>SUMIFS(Dyno_Data[Avoidance], Dyno_Data[Team],TBA_Matches_All[[#This Row],[Team]],Dyno_Data[Match],TBA_Matches_All[[#This Row],[Match_Number]],Dyno_Data[RecordType],"EndMatch",Dyno_Data[Avoidance],"&lt;&gt;9")</f>
        <v>1</v>
      </c>
      <c r="CK80" s="82">
        <f>COUNTIF($H$2:TBA_Matches_All[[#This Row],[Team]],TBA_Matches_All[[#This Row],[Team]])</f>
        <v>2</v>
      </c>
      <c r="CL80" s="111">
        <f>SUM(MID(TBA_Matches_All[[#This Row],[Team]],4,5)+TBA_Matches_All[[#This Row],[Match_Number]]/100)</f>
        <v>5881.13</v>
      </c>
      <c r="CM80">
        <f>SUM((TBA_Matches_All[[#This Row],[Leave]]*2)+(TBA_Matches_All[[#This Row],[AampT]]*2)+(TBA_Matches_All[[#This Row],[AspkrT]]*5)+(TBA_Matches_All[[#This Row],[AtrapT]]*5))</f>
        <v>7</v>
      </c>
      <c r="CN80" s="59">
        <f>IFERROR(SUM(TBA_Matches_All[[#This Row],[AptsT]]/TBA_Matches_All[[#This Row],[AutoPts]]),0)</f>
        <v>0.5</v>
      </c>
      <c r="CO80" s="59">
        <f>IFERROR(SUM(TBA_Matches_All[[#This Row],[AampT]]+TBA_Matches_All[[#This Row],[AspkrT]]+TBA_Matches_All[[#This Row],[AtrapT]]/TBA_Matches_All[[#This Row],[Aamp]]+TBA_Matches_All[[#This Row],[Aspkr]]+TBA_Matches_All[[#This Row],[AtrapT]]),0)</f>
        <v>0</v>
      </c>
      <c r="CP80" s="59">
        <f>IFERROR(SUM(TBA_Matches_All[[#This Row],[TampT]]/TBA_Matches_All[[#This Row],[Tamp]]),0)</f>
        <v>0</v>
      </c>
      <c r="CQ80" s="59">
        <f>IFERROR(SUM(TBA_Matches_All[[#This Row],[TspkrT]]/TBA_Matches_All[[#This Row],[Tspkr]]),0)</f>
        <v>1</v>
      </c>
      <c r="CR80">
        <f>SUM(TBA_Matches_All[[#This Row],[TspkrPts]]*TBA_Matches_All[[#This Row],[TspkrP]])</f>
        <v>9</v>
      </c>
      <c r="CS80" s="59">
        <f>IFERROR(SUM(TBA_Matches_All[[#This Row],[TtrapT]]/TBA_Matches_All[[#This Row],[Trap]]),0)</f>
        <v>0</v>
      </c>
      <c r="CT80" s="59">
        <f>IFERROR(SUM(TBA_Matches_All[[#This Row],[TotNotesT]]/TBA_Matches_All[[#This Row],[TotNotes]]),0)</f>
        <v>0.5</v>
      </c>
      <c r="CU80" s="66">
        <f>SUM((TBA_Matches_All[[#This Row],[AampT]]*2)+(TBA_Matches_All[[#This Row],[AspkrT]]*5)+(TBA_Matches_All[[#This Row],[AtrapT]]*5)+(TBA_Matches_All[[#This Row],[TampT]]*1)+(TBA_Matches_All[[#This Row],[TspkrptsC]]))</f>
        <v>14</v>
      </c>
      <c r="CV80" s="59">
        <f>IFERROR(TBA_Matches_All[[#This Row],[noteptsT]]/TBA_Matches_All[[#This Row],[NotePts]],0)</f>
        <v>0.63636363636363635</v>
      </c>
      <c r="CW80">
        <f>SUM(IF(TBA_Matches_All[[#This Row],[stageStat]]="On",3,0),IF(TBA_Matches_All[[#This Row],[stageStat]]="Park",1,0),SUMIFS(TBA_Matches_All[[#This Row],[Spotlit]],TBA_Matches_All[[#This Row],[stageStat]],"On"),SUMIFS(TBA_Matches_All[[#This Row],[Harmony]],TBA_Matches_All[[#This Row],[stageStat]],"On"))</f>
        <v>3</v>
      </c>
      <c r="CX80" s="59">
        <f>IFERROR(TBA_Matches_All[[#This Row],[stageptsT]]/TBA_Matches_All[[#This Row],[StagePts]],0)</f>
        <v>0.42857142857142855</v>
      </c>
      <c r="CY80">
        <f>SUM((TBA_Matches_All[[#This Row],[AptsT]]+TBA_Matches_All[[#This Row],[TampT]]+TBA_Matches_All[[#This Row],[TspkrptsC]]+(TBA_Matches_All[[#This Row],[TtrapT]]*5)+TBA_Matches_All[[#This Row],[stageptsT]]))</f>
        <v>19</v>
      </c>
      <c r="CZ80" s="59">
        <f>IFERROR(SUM(TBA_Matches_All[[#This Row],[TotptsC]]/TBA_Matches_All[[#This Row],[Score]]),0)</f>
        <v>0.39583333333333331</v>
      </c>
      <c r="DA8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6.672727272727272</v>
      </c>
      <c r="DB80" s="74">
        <f>SUMIFS(TBA_Matches_All[AveTeamTNoteDels],TBA_Matches_All[Match_Number],TBA_Matches_All[[#This Row],[Match_Number]],TBA_Matches_All[Alliance],"&lt;&gt;"&amp;TBA_Matches_All[[#This Row],[Alliance]],TBA_Matches_All[Scouted],"&gt;0")</f>
        <v>44.086038961038966</v>
      </c>
      <c r="DC80" s="74">
        <f>(TBA_Matches_All[[#This Row],[TampT]]+TBA_Matches_All[[#This Row],[TspkrptsC]])-TBA_Matches_All[[#This Row],[AveTeamTNoteDels]]</f>
        <v>2.327272727272728</v>
      </c>
      <c r="DD80" s="74">
        <f>SUMIFS(TBA_Matches_All[AveTeamTNoteDels],TBA_Matches_All[Match_Number],TBA_Matches_All[[#This Row],[Match_Number]],TBA_Matches_All[Alliance],"&lt;&gt;"&amp;TBA_Matches_All[[#This Row],[Alliance]])-TBA_Matches_All[[#This Row],[AveOppTNoteDels]]</f>
        <v>0</v>
      </c>
    </row>
    <row r="81" spans="1:108" x14ac:dyDescent="0.3">
      <c r="A81" t="s">
        <v>1042</v>
      </c>
      <c r="B81" t="s">
        <v>489</v>
      </c>
      <c r="C81" t="s">
        <v>1323</v>
      </c>
      <c r="D81">
        <v>14</v>
      </c>
      <c r="E81" t="s">
        <v>1420</v>
      </c>
      <c r="F81" t="s">
        <v>1421</v>
      </c>
      <c r="G81" t="s">
        <v>164</v>
      </c>
      <c r="H81" t="s">
        <v>1317</v>
      </c>
      <c r="I81" t="b">
        <v>0</v>
      </c>
      <c r="J81">
        <v>40</v>
      </c>
      <c r="K81">
        <v>0</v>
      </c>
      <c r="L81">
        <v>0</v>
      </c>
      <c r="M81">
        <v>2</v>
      </c>
      <c r="N81">
        <v>0</v>
      </c>
      <c r="O81">
        <v>4</v>
      </c>
      <c r="P81">
        <v>20</v>
      </c>
      <c r="Q81">
        <v>26</v>
      </c>
      <c r="R81">
        <v>0</v>
      </c>
      <c r="S81">
        <v>0</v>
      </c>
      <c r="T81">
        <v>5</v>
      </c>
      <c r="U81">
        <v>0</v>
      </c>
      <c r="V81">
        <v>10</v>
      </c>
      <c r="W81">
        <v>5</v>
      </c>
      <c r="X81">
        <v>10</v>
      </c>
      <c r="Y81">
        <v>10</v>
      </c>
      <c r="Z81">
        <v>0</v>
      </c>
      <c r="AA81">
        <v>0</v>
      </c>
      <c r="AB81">
        <v>9</v>
      </c>
      <c r="AC81">
        <v>30</v>
      </c>
      <c r="AD81">
        <v>4</v>
      </c>
      <c r="AE81">
        <f>IFERROR(6/(COUNTIF(Dyno_EndMatch[Match],TBA_Matches_All[[#This Row],[Match_Number]])),0)</f>
        <v>1</v>
      </c>
      <c r="AF81">
        <f>COUNTIFS(Dyno_Data[Team],TBA_Matches_All[[#This Row],[Team]],Dyno_Data[Match],TBA_Matches_All[[#This Row],[Match_Number]],Dyno_Data[RecordType],"EndMatch",Dyno_Data[HPAmp],"Y")</f>
        <v>0</v>
      </c>
      <c r="AG81">
        <f>SUMIFS(Dyno_Data[Mics], Dyno_Data[Team],TBA_Matches_All[[#This Row],[Team]],Dyno_Data[Match],TBA_Matches_All[[#This Row],[Match_Number]],Dyno_Data[RecordType],"EndMatch",Dyno_Data[HPAmp],"Y")</f>
        <v>0</v>
      </c>
      <c r="AH81">
        <f>SUMIFS(Dyno_Data[Leave], Dyno_Data[Team],TBA_Matches_All[[#This Row],[Team]],Dyno_Data[Match],TBA_Matches_All[[#This Row],[Match_Number]],Dyno_Data[RecordType],"EndAuto")</f>
        <v>1</v>
      </c>
      <c r="AI81">
        <f>COUNTIFS(Dyno_Data[Team],TBA_Matches_All[[#This Row],[Team]],Dyno_Data[Match],TBA_Matches_All[[#This Row],[Match_Number]],Dyno_Data[RecordType],"Activities",Dyno_Data[DelDest],"Amp", Dyno_Data[DelMiss],"0", Dyno_Data[Mode],"Auto")</f>
        <v>0</v>
      </c>
      <c r="AJ81">
        <f>COUNTIFS(Dyno_Data[Team],TBA_Matches_All[[#This Row],[Team]],Dyno_Data[Match],TBA_Matches_All[[#This Row],[Match_Number]],Dyno_Data[RecordType],"Activities",Dyno_Data[DelDest],"Spkr", Dyno_Data[DelMiss],"0", Dyno_Data[Mode],"Auto")</f>
        <v>1</v>
      </c>
      <c r="AK81">
        <f>COUNTIFS(Dyno_Data[Team],TBA_Matches_All[[#This Row],[Team]],Dyno_Data[Match],TBA_Matches_All[[#This Row],[Match_Number]],Dyno_Data[RecordType],"Activities",Dyno_Data[DelDest],"Trap", Dyno_Data[DelMiss],"0", Dyno_Data[Mode],"Auto")</f>
        <v>0</v>
      </c>
      <c r="AL81">
        <f>COUNTIFS(Dyno_Data[Team],TBA_Matches_All[[#This Row],[Team]],Dyno_Data[Match],TBA_Matches_All[[#This Row],[Match_Number]],Dyno_Data[RecordType],"Activities",Dyno_Data[DelDest],"Amp", Dyno_Data[DelMiss],"0", Dyno_Data[Mode],"Teleop")</f>
        <v>0</v>
      </c>
      <c r="AM81">
        <f>COUNTIFS(Dyno_Data[Team],TBA_Matches_All[[#This Row],[Team]],Dyno_Data[Match],TBA_Matches_All[[#This Row],[Match_Number]],Dyno_Data[RecordType],"Activities",Dyno_Data[DelDest],"Spkr", Dyno_Data[DelMiss],"0", Dyno_Data[Mode],"Teleop")</f>
        <v>1</v>
      </c>
      <c r="AN81">
        <f>COUNTIFS(Dyno_Data[Team],TBA_Matches_All[[#This Row],[Team]],Dyno_Data[Match],TBA_Matches_All[[#This Row],[Match_Number]],Dyno_Data[RecordType],"Activities",Dyno_Data[DelDest],"Trap", Dyno_Data[DelMiss],"0", Dyno_Data[Mode],"&lt;&gt;Auto")</f>
        <v>0</v>
      </c>
      <c r="AO81">
        <f>SUM(TBA_Matches_All[[#This Row],[AampT]]+TBA_Matches_All[[#This Row],[AspkrT]]+TBA_Matches_All[[#This Row],[AtrapT]]+TBA_Matches_All[[#This Row],[TampT]]+TBA_Matches_All[[#This Row],[TspkrT]]+TBA_Matches_All[[#This Row],[TtrapT]])</f>
        <v>2</v>
      </c>
      <c r="AP81">
        <f>COUNTIFS(Dyno_Data[Team],TBA_Matches_All[[#This Row],[Team]],Dyno_Data[Match],TBA_Matches_All[[#This Row],[Match_Number]],Dyno_Data[RecordType],"Activities",Dyno_Data[DelDest],"Neut", Dyno_Data[DelMiss],"0")</f>
        <v>0</v>
      </c>
      <c r="AQ81">
        <f>COUNTIFS(Dyno_Data[Team],TBA_Matches_All[[#This Row],[Team]],Dyno_Data[Match],TBA_Matches_All[[#This Row],[Match_Number]],Dyno_Data[RecordType],"Activities",Dyno_Data[DelDest],"AllyW", Dyno_Data[DelMiss],"0")</f>
        <v>0</v>
      </c>
      <c r="AR81" t="str">
        <f>_xlfn.XLOOKUP(SUM(MID(TBA_Matches_All[[#This Row],[Team]],4,5),(TBA_Matches_All[[#This Row],[Match_Number]]/100)),Dyno_EndMatch[teammat],Dyno_EndMatch[RobotSta],"_",0,1)</f>
        <v>Podm</v>
      </c>
      <c r="AS81">
        <f>SUMIFS(Dyno_Data[AcqDis], Dyno_Data[Team],TBA_Matches_All[[#This Row],[Team]],Dyno_Data[Match],TBA_Matches_All[[#This Row],[Match_Number]],Dyno_Data[RecordType],"Activities", Dyno_Data[AcqCenter],1,Dyno_Data[Mode],"Auto")</f>
        <v>0</v>
      </c>
      <c r="AT81">
        <f>SUMIFS(Dyno_Data[AcqDis], Dyno_Data[Team],TBA_Matches_All[[#This Row],[Team]],Dyno_Data[Match],TBA_Matches_All[[#This Row],[Match_Number]],Dyno_Data[RecordType],"Activities", Dyno_Data[AcqCenter],2,Dyno_Data[Mode],"Auto")</f>
        <v>0</v>
      </c>
      <c r="AU81">
        <f>SUMIFS(Dyno_Data[AcqDis], Dyno_Data[Team],TBA_Matches_All[[#This Row],[Team]],Dyno_Data[Match],TBA_Matches_All[[#This Row],[Match_Number]],Dyno_Data[RecordType],"Activities", Dyno_Data[AcqCenter],3,Dyno_Data[Mode],"Auto")</f>
        <v>0</v>
      </c>
      <c r="AV81">
        <f>SUMIFS(Dyno_Data[AcqDis], Dyno_Data[Team],TBA_Matches_All[[#This Row],[Team]],Dyno_Data[Match],TBA_Matches_All[[#This Row],[Match_Number]],Dyno_Data[RecordType],"Activities", Dyno_Data[AcqCenter],4,Dyno_Data[Mode],"Auto")</f>
        <v>0</v>
      </c>
      <c r="AW81">
        <f>SUMIFS(Dyno_Data[AcqDis], Dyno_Data[Team],TBA_Matches_All[[#This Row],[Team]],Dyno_Data[Match],TBA_Matches_All[[#This Row],[Match_Number]],Dyno_Data[RecordType],"Activities", Dyno_Data[AcqCenter],5,Dyno_Data[Mode],"Auto")</f>
        <v>0</v>
      </c>
      <c r="AX81">
        <f>SUMIFS(Dyno_Data[DelMiss], Dyno_Data[Team],TBA_Matches_All[[#This Row],[Team]],Dyno_Data[Match],TBA_Matches_All[[#This Row],[Match_Number]],Dyno_Data[RecordType],"Activities", Dyno_Data[DelDest],"Amp")</f>
        <v>0</v>
      </c>
      <c r="AY81" s="60">
        <f>IFERROR(SUM((TBA_Matches_All[[#This Row],[AampT]]+TBA_Matches_All[[#This Row],[TampT]])/(TBA_Matches_All[[#This Row],[AampT]]+TBA_Matches_All[[#This Row],[TampT]]+TBA_Matches_All[[#This Row],[ampM]])),0)</f>
        <v>0</v>
      </c>
      <c r="AZ81">
        <f>SUMIFS(Dyno_Data[DelMiss], Dyno_Data[Team],TBA_Matches_All[[#This Row],[Team]],Dyno_Data[Match],TBA_Matches_All[[#This Row],[Match_Number]],Dyno_Data[RecordType],"Activities", Dyno_Data[DelDest],"Spkr")</f>
        <v>1</v>
      </c>
      <c r="BA81" s="60">
        <f>IFERROR(SUM((TBA_Matches_All[[#This Row],[AspkrT]]+TBA_Matches_All[[#This Row],[TspkrT]])/(TBA_Matches_All[[#This Row],[AspkrT]]+TBA_Matches_All[[#This Row],[TspkrT]]+TBA_Matches_All[[#This Row],[spkrM]])),0)</f>
        <v>0.66666666666666663</v>
      </c>
      <c r="BB81">
        <f>SUMIFS(Dyno_Data[DelMiss], Dyno_Data[Team],TBA_Matches_All[[#This Row],[Team]],Dyno_Data[Match],TBA_Matches_All[[#This Row],[Match_Number]],Dyno_Data[RecordType],"Activities", Dyno_Data[DelDest],"Trap")</f>
        <v>0</v>
      </c>
      <c r="BC81" s="60">
        <f>IFERROR((TBA_Matches_All[[#This Row],[AtrapT]]+TBA_Matches_All[[#This Row],[TtrapT]])/(TBA_Matches_All[[#This Row],[AtrapT]]+TBA_Matches_All[[#This Row],[TtrapT]]+TBA_Matches_All[[#This Row],[trapM]]),0)</f>
        <v>0</v>
      </c>
      <c r="BD81">
        <f>COUNTIFS(Dyno_Data[Team],TBA_Matches_All[[#This Row],[Team]],Dyno_Data[Match],TBA_Matches_All[[#This Row],[Match_Number]],Dyno_Data[RecordType],"Activities",Dyno_Data[DelDest],"Neut", Dyno_Data[DelMiss],1)</f>
        <v>0</v>
      </c>
      <c r="BE81" s="60">
        <f>IFERROR(SUM((TBA_Matches_All[[#This Row],[NeutFlrT]])/(TBA_Matches_All[[#This Row],[NeutFlrT]]+TBA_Matches_All[[#This Row],[NZflM]])),0)</f>
        <v>0</v>
      </c>
      <c r="BF81">
        <f>COUNTIFS(Dyno_Data[Team],TBA_Matches_All[[#This Row],[Team]],Dyno_Data[Match],TBA_Matches_All[[#This Row],[Match_Number]],Dyno_Data[RecordType],"Activities",Dyno_Data[DelDest],"AllyW", Dyno_Data[DelMiss],1)</f>
        <v>0</v>
      </c>
      <c r="BG81" s="60">
        <f>IFERROR(SUM((TBA_Matches_All[[#This Row],[AllyWFlrT]])/(TBA_Matches_All[[#This Row],[AllyWFlrT]]+TBA_Matches_All[[#This Row],[AZflM]])),0)</f>
        <v>0</v>
      </c>
      <c r="BH81">
        <f>COUNTIFS(Dyno_Data[Team],TBA_Matches_All[[#This Row],[Team]],Dyno_Data[Match],TBA_Matches_All[[#This Row],[Match_Number]],Dyno_Data[RecordType],"Activities",Dyno_Data[DelOrig],"OppW", Dyno_Data[DelMiss],"0")</f>
        <v>0</v>
      </c>
      <c r="BI81">
        <f>COUNTIFS(Dyno_Data[Team],TBA_Matches_All[[#This Row],[Team]],Dyno_Data[Match],TBA_Matches_All[[#This Row],[Match_Number]],Dyno_Data[RecordType],"Activities",Dyno_Data[DelOrig],"OppW", Dyno_Data[DelMiss],"1")</f>
        <v>0</v>
      </c>
      <c r="BJ81" s="60">
        <f>IFERROR(SUM((TBA_Matches_All[[#This Row],[OZflrT]])/(TBA_Matches_All[[#This Row],[OZflrT]]+TBA_Matches_All[[#This Row],[OZflrM]])),0)</f>
        <v>0</v>
      </c>
      <c r="BK81">
        <f>COUNTIFS(Dyno_Data[Team],TBA_Matches_All[[#This Row],[Team]],Dyno_Data[Match],TBA_Matches_All[[#This Row],[Match_Number]],Dyno_Data[RecordType],"Activities",Dyno_Data[DelOrig],"Neut", Dyno_Data[DelMiss],"0")</f>
        <v>0</v>
      </c>
      <c r="BL81">
        <f>COUNTIFS(Dyno_Data[Team],TBA_Matches_All[[#This Row],[Team]],Dyno_Data[Match],TBA_Matches_All[[#This Row],[Match_Number]],Dyno_Data[RecordType],"Activities",Dyno_Data[DelOrig],"Neut", Dyno_Data[DelMiss],"1")</f>
        <v>0</v>
      </c>
      <c r="BM81" s="60">
        <f>IFERROR(SUM((TBA_Matches_All[[#This Row],[NZflrT]])/(TBA_Matches_All[[#This Row],[NZflrT]]+TBA_Matches_All[[#This Row],[NZflrM]])),0)</f>
        <v>0</v>
      </c>
      <c r="BN81">
        <f>COUNTIFS(Dyno_Data[Team],TBA_Matches_All[[#This Row],[Team]],Dyno_Data[Match],TBA_Matches_All[[#This Row],[Match_Number]],Dyno_Data[RecordType],"Activities",Dyno_Data[DelOrig],"AllyW", Dyno_Data[DelMiss],"0")</f>
        <v>2</v>
      </c>
      <c r="BO81">
        <f>COUNTIFS(Dyno_Data[Team],TBA_Matches_All[[#This Row],[Team]],Dyno_Data[Match],TBA_Matches_All[[#This Row],[Match_Number]],Dyno_Data[RecordType],"Activities",Dyno_Data[DelOrig],"AllyW", Dyno_Data[DelMiss],"1")</f>
        <v>1</v>
      </c>
      <c r="BP81" s="60">
        <f>IFERROR(SUM((TBA_Matches_All[[#This Row],[AZflrT]])/(TBA_Matches_All[[#This Row],[AZflrT]]+TBA_Matches_All[[#This Row],[AZflrM]])),0)</f>
        <v>0.66666666666666663</v>
      </c>
      <c r="BQ81">
        <f>COUNTIFS(Dyno_Data[Team],TBA_Matches_All[[#This Row],[Team]],Dyno_Data[Match],TBA_Matches_All[[#This Row],[Match_Number]],Dyno_Data[RecordType],"Activities",Dyno_Data[DelOrig],"SubW", Dyno_Data[DelMiss],"0")</f>
        <v>0</v>
      </c>
      <c r="BR81">
        <f>COUNTIFS(Dyno_Data[Team],TBA_Matches_All[[#This Row],[Team]],Dyno_Data[Match],TBA_Matches_All[[#This Row],[Match_Number]],Dyno_Data[RecordType],"Activities",Dyno_Data[DelOrig],"SubW", Dyno_Data[DelMiss],"1")</f>
        <v>0</v>
      </c>
      <c r="BS81" s="60">
        <f>IFERROR(SUM((TBA_Matches_All[[#This Row],[SubwT]])/(TBA_Matches_All[[#This Row],[SubwT]]+TBA_Matches_All[[#This Row],[SubwM]])),0)</f>
        <v>0</v>
      </c>
      <c r="BT81">
        <f>COUNTIFS(Dyno_Data[Team],TBA_Matches_All[[#This Row],[Team]],Dyno_Data[Match],TBA_Matches_All[[#This Row],[Match_Number]],Dyno_Data[RecordType],"Activities", Dyno_Data[AcqLoc],"OppWing")</f>
        <v>0</v>
      </c>
      <c r="BU81">
        <f>COUNTIFS(Dyno_Data[Team],TBA_Matches_All[[#This Row],[Team]],Dyno_Data[Match],TBA_Matches_All[[#This Row],[Match_Number]],Dyno_Data[RecordType],"Activities", Dyno_Data[AcqLoc],"Neutral")</f>
        <v>0</v>
      </c>
      <c r="BV81">
        <f>COUNTIFS(Dyno_Data[Team],TBA_Matches_All[[#This Row],[Team]],Dyno_Data[Match],TBA_Matches_All[[#This Row],[Match_Number]],Dyno_Data[RecordType],"Activities", Dyno_Data[AcqLoc],"AllyWing")</f>
        <v>0</v>
      </c>
      <c r="BW81">
        <f>COUNTIFS(Dyno_Data[Team],TBA_Matches_All[[#This Row],[Team]],Dyno_Data[Match],TBA_Matches_All[[#This Row],[Match_Number]],Dyno_Data[RecordType],"Activities", Dyno_Data[AcqLoc],"Source")</f>
        <v>0</v>
      </c>
      <c r="BX81">
        <f>SUMIFS(Dyno_Data[AcqDrp], Dyno_Data[Team],TBA_Matches_All[[#This Row],[Team]],Dyno_Data[Match],TBA_Matches_All[[#This Row],[Match_Number]],Dyno_Data[RecordType],"Activities", Dyno_Data[AcqLoc],"Source")</f>
        <v>0</v>
      </c>
      <c r="BY81">
        <f>SUMIFS(Dyno_Data[OZTime], Dyno_Data[Team],TBA_Matches_All[[#This Row],[Team]],Dyno_Data[Match],TBA_Matches_All[[#This Row],[Match_Number]],Dyno_Data[RecordType],"EndMatch")</f>
        <v>0</v>
      </c>
      <c r="BZ81">
        <f>SUMIFS(Dyno_Data[NZTime], Dyno_Data[Team],TBA_Matches_All[[#This Row],[Team]],Dyno_Data[Match],TBA_Matches_All[[#This Row],[Match_Number]],Dyno_Data[RecordType],"EndMatch")</f>
        <v>7.8251929999999996</v>
      </c>
      <c r="CA81">
        <f>SUMIFS(Dyno_Data[AZTime], Dyno_Data[Team],TBA_Matches_All[[#This Row],[Team]],Dyno_Data[Match],TBA_Matches_All[[#This Row],[Match_Number]],Dyno_Data[RecordType],"EndMatch")</f>
        <v>104.6292397</v>
      </c>
      <c r="CB81">
        <f>SUMIFS(Dyno_Data[ClimbT], Dyno_Data[Team],TBA_Matches_All[[#This Row],[Team]],Dyno_Data[Match],TBA_Matches_All[[#This Row],[Match_Number]],Dyno_Data[RecordType],"EndMatch")</f>
        <v>18.1644568</v>
      </c>
      <c r="CC81" t="str">
        <f>_xlfn.XLOOKUP(SUM(MID(TBA_Matches_All[[#This Row],[Team]],4,5),(TBA_Matches_All[[#This Row],[Match_Number]]/100)),Dyno_EndMatch[teammat],Dyno_EndMatch[StageStat],"_",0,1)</f>
        <v>Park</v>
      </c>
      <c r="CD81" t="str">
        <f>_xlfn.XLOOKUP(TBA_Matches_All[[#This Row],[teammat]],Dyno_EndMatch[teammat],Dyno_EndMatch[StageAtt],"_",0,1)</f>
        <v>-1</v>
      </c>
      <c r="CE81" t="str">
        <f>_xlfn.XLOOKUP(TBA_Matches_All[[#This Row],[teammat]],Dyno_EndMatch[teammat],Dyno_EndMatch[StageLoc],"_",0,1)</f>
        <v>A</v>
      </c>
      <c r="CF81">
        <f>SUMIFS(Dyno_Data[Harmony], Dyno_Data[Team],TBA_Matches_All[[#This Row],[Team]],Dyno_Data[Match],TBA_Matches_All[[#This Row],[Match_Number]],Dyno_Data[RecordType],"EndMatch", Dyno_Data[StageStat],"On",Dyno_Data[Harmony],"&lt;&gt;9")</f>
        <v>0</v>
      </c>
      <c r="CG81">
        <f>SUMIFS(Dyno_Data[Spotlit], Dyno_Data[Team],TBA_Matches_All[[#This Row],[Team]],Dyno_Data[Match],TBA_Matches_All[[#This Row],[Match_Number]],Dyno_Data[RecordType],"EndMatch", Dyno_Data[StageStat],"On",Dyno_Data[Spotlit],"&lt;&gt;9")</f>
        <v>0</v>
      </c>
      <c r="CH81" t="str">
        <f>_xlfn.XLOOKUP(TBA_Matches_All[[#This Row],[teammat]],Dyno_EndMatch[teammat],Dyno_EndMatch[Strategy],"_",0,1)</f>
        <v>Hybrid</v>
      </c>
      <c r="CI81">
        <f>SUMIFS(Dyno_Data[Defense], Dyno_Data[Team],TBA_Matches_All[[#This Row],[Team]],Dyno_Data[Match],TBA_Matches_All[[#This Row],[Match_Number]],Dyno_Data[RecordType],"EndMatch",Dyno_Data[Defense],"&lt;&gt;9")</f>
        <v>0</v>
      </c>
      <c r="CJ81">
        <f>SUMIFS(Dyno_Data[Avoidance], Dyno_Data[Team],TBA_Matches_All[[#This Row],[Team]],Dyno_Data[Match],TBA_Matches_All[[#This Row],[Match_Number]],Dyno_Data[RecordType],"EndMatch",Dyno_Data[Avoidance],"&lt;&gt;9")</f>
        <v>1</v>
      </c>
      <c r="CK81" s="82">
        <f>COUNTIF($H$2:TBA_Matches_All[[#This Row],[Team]],TBA_Matches_All[[#This Row],[Team]])</f>
        <v>2</v>
      </c>
      <c r="CL81" s="111">
        <f>SUM(MID(TBA_Matches_All[[#This Row],[Team]],4,5)+TBA_Matches_All[[#This Row],[Match_Number]]/100)</f>
        <v>296.14</v>
      </c>
      <c r="CM81">
        <f>SUM((TBA_Matches_All[[#This Row],[Leave]]*2)+(TBA_Matches_All[[#This Row],[AampT]]*2)+(TBA_Matches_All[[#This Row],[AspkrT]]*5)+(TBA_Matches_All[[#This Row],[AtrapT]]*5))</f>
        <v>7</v>
      </c>
      <c r="CN81" s="59">
        <f>IFERROR(SUM(TBA_Matches_All[[#This Row],[AptsT]]/TBA_Matches_All[[#This Row],[AutoPts]]),0)</f>
        <v>0.26923076923076922</v>
      </c>
      <c r="CO81" s="59">
        <f>IFERROR(SUM(TBA_Matches_All[[#This Row],[AampT]]+TBA_Matches_All[[#This Row],[AspkrT]]+TBA_Matches_All[[#This Row],[AtrapT]]/TBA_Matches_All[[#This Row],[Aamp]]+TBA_Matches_All[[#This Row],[Aspkr]]+TBA_Matches_All[[#This Row],[AtrapT]]),0)</f>
        <v>0</v>
      </c>
      <c r="CP81" s="59">
        <f>IFERROR(SUM(TBA_Matches_All[[#This Row],[TampT]]/TBA_Matches_All[[#This Row],[Tamp]]),0)</f>
        <v>0</v>
      </c>
      <c r="CQ81" s="59">
        <f>IFERROR(SUM(TBA_Matches_All[[#This Row],[TspkrT]]/TBA_Matches_All[[#This Row],[Tspkr]]),0)</f>
        <v>0.2</v>
      </c>
      <c r="CR81">
        <f>SUM(TBA_Matches_All[[#This Row],[TspkrPts]]*TBA_Matches_All[[#This Row],[TspkrP]])</f>
        <v>2</v>
      </c>
      <c r="CS81" s="59">
        <f>IFERROR(SUM(TBA_Matches_All[[#This Row],[TtrapT]]/TBA_Matches_All[[#This Row],[Trap]]),0)</f>
        <v>0</v>
      </c>
      <c r="CT81" s="59">
        <f>IFERROR(SUM(TBA_Matches_All[[#This Row],[TotNotesT]]/TBA_Matches_All[[#This Row],[TotNotes]]),0)</f>
        <v>0.22222222222222221</v>
      </c>
      <c r="CU81" s="66">
        <f>SUM((TBA_Matches_All[[#This Row],[AampT]]*2)+(TBA_Matches_All[[#This Row],[AspkrT]]*5)+(TBA_Matches_All[[#This Row],[AtrapT]]*5)+(TBA_Matches_All[[#This Row],[TampT]]*1)+(TBA_Matches_All[[#This Row],[TspkrptsC]]))</f>
        <v>7</v>
      </c>
      <c r="CV81" s="59">
        <f>IFERROR(TBA_Matches_All[[#This Row],[noteptsT]]/TBA_Matches_All[[#This Row],[NotePts]],0)</f>
        <v>0.23333333333333334</v>
      </c>
      <c r="CW81">
        <f>SUM(IF(TBA_Matches_All[[#This Row],[stageStat]]="On",3,0),IF(TBA_Matches_All[[#This Row],[stageStat]]="Park",1,0),SUMIFS(TBA_Matches_All[[#This Row],[Spotlit]],TBA_Matches_All[[#This Row],[stageStat]],"On"),SUMIFS(TBA_Matches_All[[#This Row],[Harmony]],TBA_Matches_All[[#This Row],[stageStat]],"On"))</f>
        <v>1</v>
      </c>
      <c r="CX81" s="59">
        <f>IFERROR(TBA_Matches_All[[#This Row],[stageptsT]]/TBA_Matches_All[[#This Row],[StagePts]],0)</f>
        <v>0.25</v>
      </c>
      <c r="CY81">
        <f>SUM((TBA_Matches_All[[#This Row],[AptsT]]+TBA_Matches_All[[#This Row],[TampT]]+TBA_Matches_All[[#This Row],[TspkrptsC]]+(TBA_Matches_All[[#This Row],[TtrapT]]*5)+TBA_Matches_All[[#This Row],[stageptsT]]))</f>
        <v>10</v>
      </c>
      <c r="CZ81" s="59">
        <f>IFERROR(SUM(TBA_Matches_All[[#This Row],[TotptsC]]/TBA_Matches_All[[#This Row],[Score]]),0)</f>
        <v>0.25</v>
      </c>
      <c r="DA8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10.428571428571427</v>
      </c>
      <c r="DB81" s="74">
        <f>SUMIFS(TBA_Matches_All[AveTeamTNoteDels],TBA_Matches_All[Match_Number],TBA_Matches_All[[#This Row],[Match_Number]],TBA_Matches_All[Alliance],"&lt;&gt;"&amp;TBA_Matches_All[[#This Row],[Alliance]],TBA_Matches_All[Scouted],"&gt;0")</f>
        <v>15.301236263736264</v>
      </c>
      <c r="DC81" s="74">
        <f>(TBA_Matches_All[[#This Row],[TampT]]+TBA_Matches_All[[#This Row],[TspkrptsC]])-TBA_Matches_All[[#This Row],[AveTeamTNoteDels]]</f>
        <v>-8.428571428571427</v>
      </c>
      <c r="DD81" s="74">
        <f>SUMIFS(TBA_Matches_All[AveTeamTNoteDels],TBA_Matches_All[Match_Number],TBA_Matches_All[[#This Row],[Match_Number]],TBA_Matches_All[Alliance],"&lt;&gt;"&amp;TBA_Matches_All[[#This Row],[Alliance]])-TBA_Matches_All[[#This Row],[AveOppTNoteDels]]</f>
        <v>0</v>
      </c>
    </row>
    <row r="82" spans="1:108" x14ac:dyDescent="0.3">
      <c r="A82" t="s">
        <v>1042</v>
      </c>
      <c r="B82" t="s">
        <v>489</v>
      </c>
      <c r="C82" t="s">
        <v>1323</v>
      </c>
      <c r="D82">
        <v>14</v>
      </c>
      <c r="E82" t="s">
        <v>1406</v>
      </c>
      <c r="F82" t="s">
        <v>1422</v>
      </c>
      <c r="G82" t="s">
        <v>105</v>
      </c>
      <c r="H82" t="s">
        <v>372</v>
      </c>
      <c r="I82" t="b">
        <v>0</v>
      </c>
      <c r="J82">
        <v>30</v>
      </c>
      <c r="K82">
        <v>0</v>
      </c>
      <c r="L82">
        <v>0</v>
      </c>
      <c r="M82">
        <v>0</v>
      </c>
      <c r="N82">
        <v>0</v>
      </c>
      <c r="O82">
        <v>2</v>
      </c>
      <c r="P82">
        <v>10</v>
      </c>
      <c r="Q82">
        <v>12</v>
      </c>
      <c r="R82">
        <v>2</v>
      </c>
      <c r="S82">
        <v>1</v>
      </c>
      <c r="T82">
        <v>3</v>
      </c>
      <c r="U82">
        <v>5</v>
      </c>
      <c r="V82">
        <v>6</v>
      </c>
      <c r="W82">
        <v>4</v>
      </c>
      <c r="X82">
        <v>11</v>
      </c>
      <c r="Y82">
        <v>13</v>
      </c>
      <c r="Z82">
        <v>0</v>
      </c>
      <c r="AA82">
        <v>0</v>
      </c>
      <c r="AB82">
        <v>8</v>
      </c>
      <c r="AC82">
        <v>23</v>
      </c>
      <c r="AD82">
        <v>3</v>
      </c>
      <c r="AE82">
        <f>IFERROR(6/(COUNTIF(Dyno_EndMatch[Match],TBA_Matches_All[[#This Row],[Match_Number]])),0)</f>
        <v>1</v>
      </c>
      <c r="AF82">
        <f>COUNTIFS(Dyno_Data[Team],TBA_Matches_All[[#This Row],[Team]],Dyno_Data[Match],TBA_Matches_All[[#This Row],[Match_Number]],Dyno_Data[RecordType],"EndMatch",Dyno_Data[HPAmp],"Y")</f>
        <v>0</v>
      </c>
      <c r="AG82">
        <f>SUMIFS(Dyno_Data[Mics], Dyno_Data[Team],TBA_Matches_All[[#This Row],[Team]],Dyno_Data[Match],TBA_Matches_All[[#This Row],[Match_Number]],Dyno_Data[RecordType],"EndMatch",Dyno_Data[HPAmp],"Y")</f>
        <v>0</v>
      </c>
      <c r="AH82">
        <f>SUMIFS(Dyno_Data[Leave], Dyno_Data[Team],TBA_Matches_All[[#This Row],[Team]],Dyno_Data[Match],TBA_Matches_All[[#This Row],[Match_Number]],Dyno_Data[RecordType],"EndAuto")</f>
        <v>1</v>
      </c>
      <c r="AI82">
        <f>COUNTIFS(Dyno_Data[Team],TBA_Matches_All[[#This Row],[Team]],Dyno_Data[Match],TBA_Matches_All[[#This Row],[Match_Number]],Dyno_Data[RecordType],"Activities",Dyno_Data[DelDest],"Amp", Dyno_Data[DelMiss],"0", Dyno_Data[Mode],"Auto")</f>
        <v>0</v>
      </c>
      <c r="AJ82">
        <f>COUNTIFS(Dyno_Data[Team],TBA_Matches_All[[#This Row],[Team]],Dyno_Data[Match],TBA_Matches_All[[#This Row],[Match_Number]],Dyno_Data[RecordType],"Activities",Dyno_Data[DelDest],"Spkr", Dyno_Data[DelMiss],"0", Dyno_Data[Mode],"Auto")</f>
        <v>1</v>
      </c>
      <c r="AK82">
        <f>COUNTIFS(Dyno_Data[Team],TBA_Matches_All[[#This Row],[Team]],Dyno_Data[Match],TBA_Matches_All[[#This Row],[Match_Number]],Dyno_Data[RecordType],"Activities",Dyno_Data[DelDest],"Trap", Dyno_Data[DelMiss],"0", Dyno_Data[Mode],"Auto")</f>
        <v>0</v>
      </c>
      <c r="AL82">
        <f>COUNTIFS(Dyno_Data[Team],TBA_Matches_All[[#This Row],[Team]],Dyno_Data[Match],TBA_Matches_All[[#This Row],[Match_Number]],Dyno_Data[RecordType],"Activities",Dyno_Data[DelDest],"Amp", Dyno_Data[DelMiss],"0", Dyno_Data[Mode],"Teleop")</f>
        <v>3</v>
      </c>
      <c r="AM82">
        <f>COUNTIFS(Dyno_Data[Team],TBA_Matches_All[[#This Row],[Team]],Dyno_Data[Match],TBA_Matches_All[[#This Row],[Match_Number]],Dyno_Data[RecordType],"Activities",Dyno_Data[DelDest],"Spkr", Dyno_Data[DelMiss],"0", Dyno_Data[Mode],"Teleop")</f>
        <v>4</v>
      </c>
      <c r="AN82">
        <f>COUNTIFS(Dyno_Data[Team],TBA_Matches_All[[#This Row],[Team]],Dyno_Data[Match],TBA_Matches_All[[#This Row],[Match_Number]],Dyno_Data[RecordType],"Activities",Dyno_Data[DelDest],"Trap", Dyno_Data[DelMiss],"0", Dyno_Data[Mode],"&lt;&gt;Auto")</f>
        <v>0</v>
      </c>
      <c r="AO82">
        <f>SUM(TBA_Matches_All[[#This Row],[AampT]]+TBA_Matches_All[[#This Row],[AspkrT]]+TBA_Matches_All[[#This Row],[AtrapT]]+TBA_Matches_All[[#This Row],[TampT]]+TBA_Matches_All[[#This Row],[TspkrT]]+TBA_Matches_All[[#This Row],[TtrapT]])</f>
        <v>8</v>
      </c>
      <c r="AP82">
        <f>COUNTIFS(Dyno_Data[Team],TBA_Matches_All[[#This Row],[Team]],Dyno_Data[Match],TBA_Matches_All[[#This Row],[Match_Number]],Dyno_Data[RecordType],"Activities",Dyno_Data[DelDest],"Neut", Dyno_Data[DelMiss],"0")</f>
        <v>0</v>
      </c>
      <c r="AQ82">
        <f>COUNTIFS(Dyno_Data[Team],TBA_Matches_All[[#This Row],[Team]],Dyno_Data[Match],TBA_Matches_All[[#This Row],[Match_Number]],Dyno_Data[RecordType],"Activities",Dyno_Data[DelDest],"AllyW", Dyno_Data[DelMiss],"0")</f>
        <v>0</v>
      </c>
      <c r="AR82" t="str">
        <f>_xlfn.XLOOKUP(SUM(MID(TBA_Matches_All[[#This Row],[Team]],4,5),(TBA_Matches_All[[#This Row],[Match_Number]]/100)),Dyno_EndMatch[teammat],Dyno_EndMatch[RobotSta],"_",0,1)</f>
        <v>SubW</v>
      </c>
      <c r="AS82">
        <f>SUMIFS(Dyno_Data[AcqDis], Dyno_Data[Team],TBA_Matches_All[[#This Row],[Team]],Dyno_Data[Match],TBA_Matches_All[[#This Row],[Match_Number]],Dyno_Data[RecordType],"Activities", Dyno_Data[AcqCenter],1,Dyno_Data[Mode],"Auto")</f>
        <v>0</v>
      </c>
      <c r="AT82">
        <f>SUMIFS(Dyno_Data[AcqDis], Dyno_Data[Team],TBA_Matches_All[[#This Row],[Team]],Dyno_Data[Match],TBA_Matches_All[[#This Row],[Match_Number]],Dyno_Data[RecordType],"Activities", Dyno_Data[AcqCenter],2,Dyno_Data[Mode],"Auto")</f>
        <v>0</v>
      </c>
      <c r="AU82">
        <f>SUMIFS(Dyno_Data[AcqDis], Dyno_Data[Team],TBA_Matches_All[[#This Row],[Team]],Dyno_Data[Match],TBA_Matches_All[[#This Row],[Match_Number]],Dyno_Data[RecordType],"Activities", Dyno_Data[AcqCenter],3,Dyno_Data[Mode],"Auto")</f>
        <v>0</v>
      </c>
      <c r="AV82">
        <f>SUMIFS(Dyno_Data[AcqDis], Dyno_Data[Team],TBA_Matches_All[[#This Row],[Team]],Dyno_Data[Match],TBA_Matches_All[[#This Row],[Match_Number]],Dyno_Data[RecordType],"Activities", Dyno_Data[AcqCenter],4,Dyno_Data[Mode],"Auto")</f>
        <v>0</v>
      </c>
      <c r="AW82">
        <f>SUMIFS(Dyno_Data[AcqDis], Dyno_Data[Team],TBA_Matches_All[[#This Row],[Team]],Dyno_Data[Match],TBA_Matches_All[[#This Row],[Match_Number]],Dyno_Data[RecordType],"Activities", Dyno_Data[AcqCenter],5,Dyno_Data[Mode],"Auto")</f>
        <v>0</v>
      </c>
      <c r="AX82">
        <f>SUMIFS(Dyno_Data[DelMiss], Dyno_Data[Team],TBA_Matches_All[[#This Row],[Team]],Dyno_Data[Match],TBA_Matches_All[[#This Row],[Match_Number]],Dyno_Data[RecordType],"Activities", Dyno_Data[DelDest],"Amp")</f>
        <v>0</v>
      </c>
      <c r="AY82" s="60">
        <f>IFERROR(SUM((TBA_Matches_All[[#This Row],[AampT]]+TBA_Matches_All[[#This Row],[TampT]])/(TBA_Matches_All[[#This Row],[AampT]]+TBA_Matches_All[[#This Row],[TampT]]+TBA_Matches_All[[#This Row],[ampM]])),0)</f>
        <v>1</v>
      </c>
      <c r="AZ82">
        <f>SUMIFS(Dyno_Data[DelMiss], Dyno_Data[Team],TBA_Matches_All[[#This Row],[Team]],Dyno_Data[Match],TBA_Matches_All[[#This Row],[Match_Number]],Dyno_Data[RecordType],"Activities", Dyno_Data[DelDest],"Spkr")</f>
        <v>0</v>
      </c>
      <c r="BA82" s="60">
        <f>IFERROR(SUM((TBA_Matches_All[[#This Row],[AspkrT]]+TBA_Matches_All[[#This Row],[TspkrT]])/(TBA_Matches_All[[#This Row],[AspkrT]]+TBA_Matches_All[[#This Row],[TspkrT]]+TBA_Matches_All[[#This Row],[spkrM]])),0)</f>
        <v>1</v>
      </c>
      <c r="BB82">
        <f>SUMIFS(Dyno_Data[DelMiss], Dyno_Data[Team],TBA_Matches_All[[#This Row],[Team]],Dyno_Data[Match],TBA_Matches_All[[#This Row],[Match_Number]],Dyno_Data[RecordType],"Activities", Dyno_Data[DelDest],"Trap")</f>
        <v>0</v>
      </c>
      <c r="BC82" s="60">
        <f>IFERROR((TBA_Matches_All[[#This Row],[AtrapT]]+TBA_Matches_All[[#This Row],[TtrapT]])/(TBA_Matches_All[[#This Row],[AtrapT]]+TBA_Matches_All[[#This Row],[TtrapT]]+TBA_Matches_All[[#This Row],[trapM]]),0)</f>
        <v>0</v>
      </c>
      <c r="BD82">
        <f>COUNTIFS(Dyno_Data[Team],TBA_Matches_All[[#This Row],[Team]],Dyno_Data[Match],TBA_Matches_All[[#This Row],[Match_Number]],Dyno_Data[RecordType],"Activities",Dyno_Data[DelDest],"Neut", Dyno_Data[DelMiss],1)</f>
        <v>0</v>
      </c>
      <c r="BE82" s="60">
        <f>IFERROR(SUM((TBA_Matches_All[[#This Row],[NeutFlrT]])/(TBA_Matches_All[[#This Row],[NeutFlrT]]+TBA_Matches_All[[#This Row],[NZflM]])),0)</f>
        <v>0</v>
      </c>
      <c r="BF82">
        <f>COUNTIFS(Dyno_Data[Team],TBA_Matches_All[[#This Row],[Team]],Dyno_Data[Match],TBA_Matches_All[[#This Row],[Match_Number]],Dyno_Data[RecordType],"Activities",Dyno_Data[DelDest],"AllyW", Dyno_Data[DelMiss],1)</f>
        <v>0</v>
      </c>
      <c r="BG82" s="60">
        <f>IFERROR(SUM((TBA_Matches_All[[#This Row],[AllyWFlrT]])/(TBA_Matches_All[[#This Row],[AllyWFlrT]]+TBA_Matches_All[[#This Row],[AZflM]])),0)</f>
        <v>0</v>
      </c>
      <c r="BH82">
        <f>COUNTIFS(Dyno_Data[Team],TBA_Matches_All[[#This Row],[Team]],Dyno_Data[Match],TBA_Matches_All[[#This Row],[Match_Number]],Dyno_Data[RecordType],"Activities",Dyno_Data[DelOrig],"OppW", Dyno_Data[DelMiss],"0")</f>
        <v>0</v>
      </c>
      <c r="BI82">
        <f>COUNTIFS(Dyno_Data[Team],TBA_Matches_All[[#This Row],[Team]],Dyno_Data[Match],TBA_Matches_All[[#This Row],[Match_Number]],Dyno_Data[RecordType],"Activities",Dyno_Data[DelOrig],"OppW", Dyno_Data[DelMiss],"1")</f>
        <v>0</v>
      </c>
      <c r="BJ82" s="60">
        <f>IFERROR(SUM((TBA_Matches_All[[#This Row],[OZflrT]])/(TBA_Matches_All[[#This Row],[OZflrT]]+TBA_Matches_All[[#This Row],[OZflrM]])),0)</f>
        <v>0</v>
      </c>
      <c r="BK82">
        <f>COUNTIFS(Dyno_Data[Team],TBA_Matches_All[[#This Row],[Team]],Dyno_Data[Match],TBA_Matches_All[[#This Row],[Match_Number]],Dyno_Data[RecordType],"Activities",Dyno_Data[DelOrig],"Neut", Dyno_Data[DelMiss],"0")</f>
        <v>0</v>
      </c>
      <c r="BL82">
        <f>COUNTIFS(Dyno_Data[Team],TBA_Matches_All[[#This Row],[Team]],Dyno_Data[Match],TBA_Matches_All[[#This Row],[Match_Number]],Dyno_Data[RecordType],"Activities",Dyno_Data[DelOrig],"Neut", Dyno_Data[DelMiss],"1")</f>
        <v>0</v>
      </c>
      <c r="BM82" s="60">
        <f>IFERROR(SUM((TBA_Matches_All[[#This Row],[NZflrT]])/(TBA_Matches_All[[#This Row],[NZflrT]]+TBA_Matches_All[[#This Row],[NZflrM]])),0)</f>
        <v>0</v>
      </c>
      <c r="BN82">
        <f>COUNTIFS(Dyno_Data[Team],TBA_Matches_All[[#This Row],[Team]],Dyno_Data[Match],TBA_Matches_All[[#This Row],[Match_Number]],Dyno_Data[RecordType],"Activities",Dyno_Data[DelOrig],"AllyW", Dyno_Data[DelMiss],"0")</f>
        <v>6</v>
      </c>
      <c r="BO82">
        <f>COUNTIFS(Dyno_Data[Team],TBA_Matches_All[[#This Row],[Team]],Dyno_Data[Match],TBA_Matches_All[[#This Row],[Match_Number]],Dyno_Data[RecordType],"Activities",Dyno_Data[DelOrig],"AllyW", Dyno_Data[DelMiss],"1")</f>
        <v>0</v>
      </c>
      <c r="BP82" s="60">
        <f>IFERROR(SUM((TBA_Matches_All[[#This Row],[AZflrT]])/(TBA_Matches_All[[#This Row],[AZflrT]]+TBA_Matches_All[[#This Row],[AZflrM]])),0)</f>
        <v>1</v>
      </c>
      <c r="BQ82">
        <f>COUNTIFS(Dyno_Data[Team],TBA_Matches_All[[#This Row],[Team]],Dyno_Data[Match],TBA_Matches_All[[#This Row],[Match_Number]],Dyno_Data[RecordType],"Activities",Dyno_Data[DelOrig],"SubW", Dyno_Data[DelMiss],"0")</f>
        <v>2</v>
      </c>
      <c r="BR82">
        <f>COUNTIFS(Dyno_Data[Team],TBA_Matches_All[[#This Row],[Team]],Dyno_Data[Match],TBA_Matches_All[[#This Row],[Match_Number]],Dyno_Data[RecordType],"Activities",Dyno_Data[DelOrig],"SubW", Dyno_Data[DelMiss],"1")</f>
        <v>0</v>
      </c>
      <c r="BS82" s="60">
        <f>IFERROR(SUM((TBA_Matches_All[[#This Row],[SubwT]])/(TBA_Matches_All[[#This Row],[SubwT]]+TBA_Matches_All[[#This Row],[SubwM]])),0)</f>
        <v>1</v>
      </c>
      <c r="BT82">
        <f>COUNTIFS(Dyno_Data[Team],TBA_Matches_All[[#This Row],[Team]],Dyno_Data[Match],TBA_Matches_All[[#This Row],[Match_Number]],Dyno_Data[RecordType],"Activities", Dyno_Data[AcqLoc],"OppWing")</f>
        <v>0</v>
      </c>
      <c r="BU82">
        <f>COUNTIFS(Dyno_Data[Team],TBA_Matches_All[[#This Row],[Team]],Dyno_Data[Match],TBA_Matches_All[[#This Row],[Match_Number]],Dyno_Data[RecordType],"Activities", Dyno_Data[AcqLoc],"Neutral")</f>
        <v>0</v>
      </c>
      <c r="BV82">
        <f>COUNTIFS(Dyno_Data[Team],TBA_Matches_All[[#This Row],[Team]],Dyno_Data[Match],TBA_Matches_All[[#This Row],[Match_Number]],Dyno_Data[RecordType],"Activities", Dyno_Data[AcqLoc],"AllyWing")</f>
        <v>0</v>
      </c>
      <c r="BW82">
        <f>COUNTIFS(Dyno_Data[Team],TBA_Matches_All[[#This Row],[Team]],Dyno_Data[Match],TBA_Matches_All[[#This Row],[Match_Number]],Dyno_Data[RecordType],"Activities", Dyno_Data[AcqLoc],"Source")</f>
        <v>0</v>
      </c>
      <c r="BX82">
        <f>SUMIFS(Dyno_Data[AcqDrp], Dyno_Data[Team],TBA_Matches_All[[#This Row],[Team]],Dyno_Data[Match],TBA_Matches_All[[#This Row],[Match_Number]],Dyno_Data[RecordType],"Activities", Dyno_Data[AcqLoc],"Source")</f>
        <v>0</v>
      </c>
      <c r="BY82">
        <f>SUMIFS(Dyno_Data[OZTime], Dyno_Data[Team],TBA_Matches_All[[#This Row],[Team]],Dyno_Data[Match],TBA_Matches_All[[#This Row],[Match_Number]],Dyno_Data[RecordType],"EndMatch")</f>
        <v>13.7050027</v>
      </c>
      <c r="BZ82">
        <f>SUMIFS(Dyno_Data[NZTime], Dyno_Data[Team],TBA_Matches_All[[#This Row],[Team]],Dyno_Data[Match],TBA_Matches_All[[#This Row],[Match_Number]],Dyno_Data[RecordType],"EndMatch")</f>
        <v>26.904339399999998</v>
      </c>
      <c r="CA82">
        <f>SUMIFS(Dyno_Data[AZTime], Dyno_Data[Team],TBA_Matches_All[[#This Row],[Team]],Dyno_Data[Match],TBA_Matches_All[[#This Row],[Match_Number]],Dyno_Data[RecordType],"EndMatch")</f>
        <v>77.726688600000003</v>
      </c>
      <c r="CB82">
        <f>SUMIFS(Dyno_Data[ClimbT], Dyno_Data[Team],TBA_Matches_All[[#This Row],[Team]],Dyno_Data[Match],TBA_Matches_All[[#This Row],[Match_Number]],Dyno_Data[RecordType],"EndMatch")</f>
        <v>14.971331299999999</v>
      </c>
      <c r="CC82" t="str">
        <f>_xlfn.XLOOKUP(SUM(MID(TBA_Matches_All[[#This Row],[Team]],4,5),(TBA_Matches_All[[#This Row],[Match_Number]]/100)),Dyno_EndMatch[teammat],Dyno_EndMatch[StageStat],"_",0,1)</f>
        <v>Park</v>
      </c>
      <c r="CD82" t="str">
        <f>_xlfn.XLOOKUP(TBA_Matches_All[[#This Row],[teammat]],Dyno_EndMatch[teammat],Dyno_EndMatch[StageAtt],"_",0,1)</f>
        <v>-1</v>
      </c>
      <c r="CE82" t="str">
        <f>_xlfn.XLOOKUP(TBA_Matches_All[[#This Row],[teammat]],Dyno_EndMatch[teammat],Dyno_EndMatch[StageLoc],"_",0,1)</f>
        <v>A</v>
      </c>
      <c r="CF82">
        <f>SUMIFS(Dyno_Data[Harmony], Dyno_Data[Team],TBA_Matches_All[[#This Row],[Team]],Dyno_Data[Match],TBA_Matches_All[[#This Row],[Match_Number]],Dyno_Data[RecordType],"EndMatch", Dyno_Data[StageStat],"On",Dyno_Data[Harmony],"&lt;&gt;9")</f>
        <v>0</v>
      </c>
      <c r="CG82">
        <f>SUMIFS(Dyno_Data[Spotlit], Dyno_Data[Team],TBA_Matches_All[[#This Row],[Team]],Dyno_Data[Match],TBA_Matches_All[[#This Row],[Match_Number]],Dyno_Data[RecordType],"EndMatch", Dyno_Data[StageStat],"On",Dyno_Data[Spotlit],"&lt;&gt;9")</f>
        <v>0</v>
      </c>
      <c r="CH82" t="str">
        <f>_xlfn.XLOOKUP(TBA_Matches_All[[#This Row],[teammat]],Dyno_EndMatch[teammat],Dyno_EndMatch[Strategy],"_",0,1)</f>
        <v>Hybrid</v>
      </c>
      <c r="CI82">
        <f>SUMIFS(Dyno_Data[Defense], Dyno_Data[Team],TBA_Matches_All[[#This Row],[Team]],Dyno_Data[Match],TBA_Matches_All[[#This Row],[Match_Number]],Dyno_Data[RecordType],"EndMatch",Dyno_Data[Defense],"&lt;&gt;9")</f>
        <v>0</v>
      </c>
      <c r="CJ82">
        <f>SUMIFS(Dyno_Data[Avoidance], Dyno_Data[Team],TBA_Matches_All[[#This Row],[Team]],Dyno_Data[Match],TBA_Matches_All[[#This Row],[Match_Number]],Dyno_Data[RecordType],"EndMatch",Dyno_Data[Avoidance],"&lt;&gt;9")</f>
        <v>0</v>
      </c>
      <c r="CK82" s="82">
        <f>COUNTIF($H$2:TBA_Matches_All[[#This Row],[Team]],TBA_Matches_All[[#This Row],[Team]])</f>
        <v>2</v>
      </c>
      <c r="CL82" s="111">
        <f>SUM(MID(TBA_Matches_All[[#This Row],[Team]],4,5)+TBA_Matches_All[[#This Row],[Match_Number]]/100)</f>
        <v>7504.14</v>
      </c>
      <c r="CM82">
        <f>SUM((TBA_Matches_All[[#This Row],[Leave]]*2)+(TBA_Matches_All[[#This Row],[AampT]]*2)+(TBA_Matches_All[[#This Row],[AspkrT]]*5)+(TBA_Matches_All[[#This Row],[AtrapT]]*5))</f>
        <v>7</v>
      </c>
      <c r="CN82" s="59">
        <f>IFERROR(SUM(TBA_Matches_All[[#This Row],[AptsT]]/TBA_Matches_All[[#This Row],[AutoPts]]),0)</f>
        <v>0.58333333333333337</v>
      </c>
      <c r="CO82" s="59">
        <f>IFERROR(SUM(TBA_Matches_All[[#This Row],[AampT]]+TBA_Matches_All[[#This Row],[AspkrT]]+TBA_Matches_All[[#This Row],[AtrapT]]/TBA_Matches_All[[#This Row],[Aamp]]+TBA_Matches_All[[#This Row],[Aspkr]]+TBA_Matches_All[[#This Row],[AtrapT]]),0)</f>
        <v>0</v>
      </c>
      <c r="CP82" s="59">
        <f>IFERROR(SUM(TBA_Matches_All[[#This Row],[TampT]]/TBA_Matches_All[[#This Row],[Tamp]]),0)</f>
        <v>1.5</v>
      </c>
      <c r="CQ82" s="59">
        <f>IFERROR(SUM(TBA_Matches_All[[#This Row],[TspkrT]]/TBA_Matches_All[[#This Row],[Tspkr]]),0)</f>
        <v>1</v>
      </c>
      <c r="CR82">
        <f>SUM(TBA_Matches_All[[#This Row],[TspkrPts]]*TBA_Matches_All[[#This Row],[TspkrP]])</f>
        <v>11</v>
      </c>
      <c r="CS82" s="59">
        <f>IFERROR(SUM(TBA_Matches_All[[#This Row],[TtrapT]]/TBA_Matches_All[[#This Row],[Trap]]),0)</f>
        <v>0</v>
      </c>
      <c r="CT82" s="59">
        <f>IFERROR(SUM(TBA_Matches_All[[#This Row],[TotNotesT]]/TBA_Matches_All[[#This Row],[TotNotes]]),0)</f>
        <v>1</v>
      </c>
      <c r="CU82" s="66">
        <f>SUM((TBA_Matches_All[[#This Row],[AampT]]*2)+(TBA_Matches_All[[#This Row],[AspkrT]]*5)+(TBA_Matches_All[[#This Row],[AtrapT]]*5)+(TBA_Matches_All[[#This Row],[TampT]]*1)+(TBA_Matches_All[[#This Row],[TspkrptsC]]))</f>
        <v>19</v>
      </c>
      <c r="CV82" s="59">
        <f>IFERROR(TBA_Matches_All[[#This Row],[noteptsT]]/TBA_Matches_All[[#This Row],[NotePts]],0)</f>
        <v>0.82608695652173914</v>
      </c>
      <c r="CW82">
        <f>SUM(IF(TBA_Matches_All[[#This Row],[stageStat]]="On",3,0),IF(TBA_Matches_All[[#This Row],[stageStat]]="Park",1,0),SUMIFS(TBA_Matches_All[[#This Row],[Spotlit]],TBA_Matches_All[[#This Row],[stageStat]],"On"),SUMIFS(TBA_Matches_All[[#This Row],[Harmony]],TBA_Matches_All[[#This Row],[stageStat]],"On"))</f>
        <v>1</v>
      </c>
      <c r="CX82" s="59">
        <f>IFERROR(TBA_Matches_All[[#This Row],[stageptsT]]/TBA_Matches_All[[#This Row],[StagePts]],0)</f>
        <v>0.33333333333333331</v>
      </c>
      <c r="CY82">
        <f>SUM((TBA_Matches_All[[#This Row],[AptsT]]+TBA_Matches_All[[#This Row],[TampT]]+TBA_Matches_All[[#This Row],[TspkrptsC]]+(TBA_Matches_All[[#This Row],[TtrapT]]*5)+TBA_Matches_All[[#This Row],[stageptsT]]))</f>
        <v>22</v>
      </c>
      <c r="CZ82" s="59">
        <f>IFERROR(SUM(TBA_Matches_All[[#This Row],[TotptsC]]/TBA_Matches_All[[#This Row],[Score]]),0)</f>
        <v>0.73333333333333328</v>
      </c>
      <c r="DA8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8.0089285714285712</v>
      </c>
      <c r="DB82" s="74">
        <f>SUMIFS(TBA_Matches_All[AveTeamTNoteDels],TBA_Matches_All[Match_Number],TBA_Matches_All[[#This Row],[Match_Number]],TBA_Matches_All[Alliance],"&lt;&gt;"&amp;TBA_Matches_All[[#This Row],[Alliance]],TBA_Matches_All[Scouted],"&gt;0")</f>
        <v>32.251071428571429</v>
      </c>
      <c r="DC82" s="74">
        <f>(TBA_Matches_All[[#This Row],[TampT]]+TBA_Matches_All[[#This Row],[TspkrptsC]])-TBA_Matches_All[[#This Row],[AveTeamTNoteDels]]</f>
        <v>5.9910714285714288</v>
      </c>
      <c r="DD82" s="74">
        <f>SUMIFS(TBA_Matches_All[AveTeamTNoteDels],TBA_Matches_All[Match_Number],TBA_Matches_All[[#This Row],[Match_Number]],TBA_Matches_All[Alliance],"&lt;&gt;"&amp;TBA_Matches_All[[#This Row],[Alliance]])-TBA_Matches_All[[#This Row],[AveOppTNoteDels]]</f>
        <v>0</v>
      </c>
    </row>
    <row r="83" spans="1:108" x14ac:dyDescent="0.3">
      <c r="A83" t="s">
        <v>1042</v>
      </c>
      <c r="B83" t="s">
        <v>489</v>
      </c>
      <c r="C83" t="s">
        <v>1323</v>
      </c>
      <c r="D83">
        <v>14</v>
      </c>
      <c r="E83" t="s">
        <v>1420</v>
      </c>
      <c r="F83" t="s">
        <v>1423</v>
      </c>
      <c r="G83" t="s">
        <v>1409</v>
      </c>
      <c r="H83" t="s">
        <v>364</v>
      </c>
      <c r="I83" t="b">
        <v>0</v>
      </c>
      <c r="J83">
        <v>40</v>
      </c>
      <c r="K83">
        <v>0</v>
      </c>
      <c r="L83">
        <v>0</v>
      </c>
      <c r="M83">
        <v>2</v>
      </c>
      <c r="N83">
        <v>0</v>
      </c>
      <c r="O83">
        <v>4</v>
      </c>
      <c r="P83">
        <v>20</v>
      </c>
      <c r="Q83">
        <v>26</v>
      </c>
      <c r="R83">
        <v>0</v>
      </c>
      <c r="S83">
        <v>0</v>
      </c>
      <c r="T83">
        <v>5</v>
      </c>
      <c r="U83">
        <v>0</v>
      </c>
      <c r="V83">
        <v>10</v>
      </c>
      <c r="W83">
        <v>5</v>
      </c>
      <c r="X83">
        <v>10</v>
      </c>
      <c r="Y83">
        <v>10</v>
      </c>
      <c r="Z83">
        <v>0</v>
      </c>
      <c r="AA83">
        <v>0</v>
      </c>
      <c r="AB83">
        <v>9</v>
      </c>
      <c r="AC83">
        <v>30</v>
      </c>
      <c r="AD83">
        <v>4</v>
      </c>
      <c r="AE83">
        <f>IFERROR(6/(COUNTIF(Dyno_EndMatch[Match],TBA_Matches_All[[#This Row],[Match_Number]])),0)</f>
        <v>1</v>
      </c>
      <c r="AF83">
        <f>COUNTIFS(Dyno_Data[Team],TBA_Matches_All[[#This Row],[Team]],Dyno_Data[Match],TBA_Matches_All[[#This Row],[Match_Number]],Dyno_Data[RecordType],"EndMatch",Dyno_Data[HPAmp],"Y")</f>
        <v>0</v>
      </c>
      <c r="AG83">
        <f>SUMIFS(Dyno_Data[Mics], Dyno_Data[Team],TBA_Matches_All[[#This Row],[Team]],Dyno_Data[Match],TBA_Matches_All[[#This Row],[Match_Number]],Dyno_Data[RecordType],"EndMatch",Dyno_Data[HPAmp],"Y")</f>
        <v>0</v>
      </c>
      <c r="AH83">
        <f>SUMIFS(Dyno_Data[Leave], Dyno_Data[Team],TBA_Matches_All[[#This Row],[Team]],Dyno_Data[Match],TBA_Matches_All[[#This Row],[Match_Number]],Dyno_Data[RecordType],"EndAuto")</f>
        <v>1</v>
      </c>
      <c r="AI83">
        <f>COUNTIFS(Dyno_Data[Team],TBA_Matches_All[[#This Row],[Team]],Dyno_Data[Match],TBA_Matches_All[[#This Row],[Match_Number]],Dyno_Data[RecordType],"Activities",Dyno_Data[DelDest],"Amp", Dyno_Data[DelMiss],"0", Dyno_Data[Mode],"Auto")</f>
        <v>0</v>
      </c>
      <c r="AJ83">
        <f>COUNTIFS(Dyno_Data[Team],TBA_Matches_All[[#This Row],[Team]],Dyno_Data[Match],TBA_Matches_All[[#This Row],[Match_Number]],Dyno_Data[RecordType],"Activities",Dyno_Data[DelDest],"Spkr", Dyno_Data[DelMiss],"0", Dyno_Data[Mode],"Auto")</f>
        <v>2</v>
      </c>
      <c r="AK83">
        <f>COUNTIFS(Dyno_Data[Team],TBA_Matches_All[[#This Row],[Team]],Dyno_Data[Match],TBA_Matches_All[[#This Row],[Match_Number]],Dyno_Data[RecordType],"Activities",Dyno_Data[DelDest],"Trap", Dyno_Data[DelMiss],"0", Dyno_Data[Mode],"Auto")</f>
        <v>0</v>
      </c>
      <c r="AL83">
        <f>COUNTIFS(Dyno_Data[Team],TBA_Matches_All[[#This Row],[Team]],Dyno_Data[Match],TBA_Matches_All[[#This Row],[Match_Number]],Dyno_Data[RecordType],"Activities",Dyno_Data[DelDest],"Amp", Dyno_Data[DelMiss],"0", Dyno_Data[Mode],"Teleop")</f>
        <v>0</v>
      </c>
      <c r="AM83">
        <f>COUNTIFS(Dyno_Data[Team],TBA_Matches_All[[#This Row],[Team]],Dyno_Data[Match],TBA_Matches_All[[#This Row],[Match_Number]],Dyno_Data[RecordType],"Activities",Dyno_Data[DelDest],"Spkr", Dyno_Data[DelMiss],"0", Dyno_Data[Mode],"Teleop")</f>
        <v>7</v>
      </c>
      <c r="AN83">
        <f>COUNTIFS(Dyno_Data[Team],TBA_Matches_All[[#This Row],[Team]],Dyno_Data[Match],TBA_Matches_All[[#This Row],[Match_Number]],Dyno_Data[RecordType],"Activities",Dyno_Data[DelDest],"Trap", Dyno_Data[DelMiss],"0", Dyno_Data[Mode],"&lt;&gt;Auto")</f>
        <v>0</v>
      </c>
      <c r="AO83">
        <f>SUM(TBA_Matches_All[[#This Row],[AampT]]+TBA_Matches_All[[#This Row],[AspkrT]]+TBA_Matches_All[[#This Row],[AtrapT]]+TBA_Matches_All[[#This Row],[TampT]]+TBA_Matches_All[[#This Row],[TspkrT]]+TBA_Matches_All[[#This Row],[TtrapT]])</f>
        <v>9</v>
      </c>
      <c r="AP83">
        <f>COUNTIFS(Dyno_Data[Team],TBA_Matches_All[[#This Row],[Team]],Dyno_Data[Match],TBA_Matches_All[[#This Row],[Match_Number]],Dyno_Data[RecordType],"Activities",Dyno_Data[DelDest],"Neut", Dyno_Data[DelMiss],"0")</f>
        <v>0</v>
      </c>
      <c r="AQ83">
        <f>COUNTIFS(Dyno_Data[Team],TBA_Matches_All[[#This Row],[Team]],Dyno_Data[Match],TBA_Matches_All[[#This Row],[Match_Number]],Dyno_Data[RecordType],"Activities",Dyno_Data[DelDest],"AllyW", Dyno_Data[DelMiss],"0")</f>
        <v>0</v>
      </c>
      <c r="AR83" t="str">
        <f>_xlfn.XLOOKUP(SUM(MID(TBA_Matches_All[[#This Row],[Team]],4,5),(TBA_Matches_All[[#This Row],[Match_Number]]/100)),Dyno_EndMatch[teammat],Dyno_EndMatch[RobotSta],"_",0,1)</f>
        <v>Amp</v>
      </c>
      <c r="AS83">
        <f>SUMIFS(Dyno_Data[AcqDis], Dyno_Data[Team],TBA_Matches_All[[#This Row],[Team]],Dyno_Data[Match],TBA_Matches_All[[#This Row],[Match_Number]],Dyno_Data[RecordType],"Activities", Dyno_Data[AcqCenter],1,Dyno_Data[Mode],"Auto")</f>
        <v>0</v>
      </c>
      <c r="AT83">
        <f>SUMIFS(Dyno_Data[AcqDis], Dyno_Data[Team],TBA_Matches_All[[#This Row],[Team]],Dyno_Data[Match],TBA_Matches_All[[#This Row],[Match_Number]],Dyno_Data[RecordType],"Activities", Dyno_Data[AcqCenter],2,Dyno_Data[Mode],"Auto")</f>
        <v>0</v>
      </c>
      <c r="AU83">
        <f>SUMIFS(Dyno_Data[AcqDis], Dyno_Data[Team],TBA_Matches_All[[#This Row],[Team]],Dyno_Data[Match],TBA_Matches_All[[#This Row],[Match_Number]],Dyno_Data[RecordType],"Activities", Dyno_Data[AcqCenter],3,Dyno_Data[Mode],"Auto")</f>
        <v>0</v>
      </c>
      <c r="AV83">
        <f>SUMIFS(Dyno_Data[AcqDis], Dyno_Data[Team],TBA_Matches_All[[#This Row],[Team]],Dyno_Data[Match],TBA_Matches_All[[#This Row],[Match_Number]],Dyno_Data[RecordType],"Activities", Dyno_Data[AcqCenter],4,Dyno_Data[Mode],"Auto")</f>
        <v>0</v>
      </c>
      <c r="AW83">
        <f>SUMIFS(Dyno_Data[AcqDis], Dyno_Data[Team],TBA_Matches_All[[#This Row],[Team]],Dyno_Data[Match],TBA_Matches_All[[#This Row],[Match_Number]],Dyno_Data[RecordType],"Activities", Dyno_Data[AcqCenter],5,Dyno_Data[Mode],"Auto")</f>
        <v>0</v>
      </c>
      <c r="AX83">
        <f>SUMIFS(Dyno_Data[DelMiss], Dyno_Data[Team],TBA_Matches_All[[#This Row],[Team]],Dyno_Data[Match],TBA_Matches_All[[#This Row],[Match_Number]],Dyno_Data[RecordType],"Activities", Dyno_Data[DelDest],"Amp")</f>
        <v>0</v>
      </c>
      <c r="AY83" s="60">
        <f>IFERROR(SUM((TBA_Matches_All[[#This Row],[AampT]]+TBA_Matches_All[[#This Row],[TampT]])/(TBA_Matches_All[[#This Row],[AampT]]+TBA_Matches_All[[#This Row],[TampT]]+TBA_Matches_All[[#This Row],[ampM]])),0)</f>
        <v>0</v>
      </c>
      <c r="AZ83">
        <f>SUMIFS(Dyno_Data[DelMiss], Dyno_Data[Team],TBA_Matches_All[[#This Row],[Team]],Dyno_Data[Match],TBA_Matches_All[[#This Row],[Match_Number]],Dyno_Data[RecordType],"Activities", Dyno_Data[DelDest],"Spkr")</f>
        <v>0</v>
      </c>
      <c r="BA83" s="60">
        <f>IFERROR(SUM((TBA_Matches_All[[#This Row],[AspkrT]]+TBA_Matches_All[[#This Row],[TspkrT]])/(TBA_Matches_All[[#This Row],[AspkrT]]+TBA_Matches_All[[#This Row],[TspkrT]]+TBA_Matches_All[[#This Row],[spkrM]])),0)</f>
        <v>1</v>
      </c>
      <c r="BB83">
        <f>SUMIFS(Dyno_Data[DelMiss], Dyno_Data[Team],TBA_Matches_All[[#This Row],[Team]],Dyno_Data[Match],TBA_Matches_All[[#This Row],[Match_Number]],Dyno_Data[RecordType],"Activities", Dyno_Data[DelDest],"Trap")</f>
        <v>0</v>
      </c>
      <c r="BC83" s="60">
        <f>IFERROR((TBA_Matches_All[[#This Row],[AtrapT]]+TBA_Matches_All[[#This Row],[TtrapT]])/(TBA_Matches_All[[#This Row],[AtrapT]]+TBA_Matches_All[[#This Row],[TtrapT]]+TBA_Matches_All[[#This Row],[trapM]]),0)</f>
        <v>0</v>
      </c>
      <c r="BD83">
        <f>COUNTIFS(Dyno_Data[Team],TBA_Matches_All[[#This Row],[Team]],Dyno_Data[Match],TBA_Matches_All[[#This Row],[Match_Number]],Dyno_Data[RecordType],"Activities",Dyno_Data[DelDest],"Neut", Dyno_Data[DelMiss],1)</f>
        <v>0</v>
      </c>
      <c r="BE83" s="60">
        <f>IFERROR(SUM((TBA_Matches_All[[#This Row],[NeutFlrT]])/(TBA_Matches_All[[#This Row],[NeutFlrT]]+TBA_Matches_All[[#This Row],[NZflM]])),0)</f>
        <v>0</v>
      </c>
      <c r="BF83">
        <f>COUNTIFS(Dyno_Data[Team],TBA_Matches_All[[#This Row],[Team]],Dyno_Data[Match],TBA_Matches_All[[#This Row],[Match_Number]],Dyno_Data[RecordType],"Activities",Dyno_Data[DelDest],"AllyW", Dyno_Data[DelMiss],1)</f>
        <v>0</v>
      </c>
      <c r="BG83" s="60">
        <f>IFERROR(SUM((TBA_Matches_All[[#This Row],[AllyWFlrT]])/(TBA_Matches_All[[#This Row],[AllyWFlrT]]+TBA_Matches_All[[#This Row],[AZflM]])),0)</f>
        <v>0</v>
      </c>
      <c r="BH83">
        <f>COUNTIFS(Dyno_Data[Team],TBA_Matches_All[[#This Row],[Team]],Dyno_Data[Match],TBA_Matches_All[[#This Row],[Match_Number]],Dyno_Data[RecordType],"Activities",Dyno_Data[DelOrig],"OppW", Dyno_Data[DelMiss],"0")</f>
        <v>0</v>
      </c>
      <c r="BI83">
        <f>COUNTIFS(Dyno_Data[Team],TBA_Matches_All[[#This Row],[Team]],Dyno_Data[Match],TBA_Matches_All[[#This Row],[Match_Number]],Dyno_Data[RecordType],"Activities",Dyno_Data[DelOrig],"OppW", Dyno_Data[DelMiss],"1")</f>
        <v>0</v>
      </c>
      <c r="BJ83" s="60">
        <f>IFERROR(SUM((TBA_Matches_All[[#This Row],[OZflrT]])/(TBA_Matches_All[[#This Row],[OZflrT]]+TBA_Matches_All[[#This Row],[OZflrM]])),0)</f>
        <v>0</v>
      </c>
      <c r="BK83">
        <f>COUNTIFS(Dyno_Data[Team],TBA_Matches_All[[#This Row],[Team]],Dyno_Data[Match],TBA_Matches_All[[#This Row],[Match_Number]],Dyno_Data[RecordType],"Activities",Dyno_Data[DelOrig],"Neut", Dyno_Data[DelMiss],"0")</f>
        <v>0</v>
      </c>
      <c r="BL83">
        <f>COUNTIFS(Dyno_Data[Team],TBA_Matches_All[[#This Row],[Team]],Dyno_Data[Match],TBA_Matches_All[[#This Row],[Match_Number]],Dyno_Data[RecordType],"Activities",Dyno_Data[DelOrig],"Neut", Dyno_Data[DelMiss],"1")</f>
        <v>0</v>
      </c>
      <c r="BM83" s="60">
        <f>IFERROR(SUM((TBA_Matches_All[[#This Row],[NZflrT]])/(TBA_Matches_All[[#This Row],[NZflrT]]+TBA_Matches_All[[#This Row],[NZflrM]])),0)</f>
        <v>0</v>
      </c>
      <c r="BN83">
        <f>COUNTIFS(Dyno_Data[Team],TBA_Matches_All[[#This Row],[Team]],Dyno_Data[Match],TBA_Matches_All[[#This Row],[Match_Number]],Dyno_Data[RecordType],"Activities",Dyno_Data[DelOrig],"AllyW", Dyno_Data[DelMiss],"0")</f>
        <v>6</v>
      </c>
      <c r="BO83">
        <f>COUNTIFS(Dyno_Data[Team],TBA_Matches_All[[#This Row],[Team]],Dyno_Data[Match],TBA_Matches_All[[#This Row],[Match_Number]],Dyno_Data[RecordType],"Activities",Dyno_Data[DelOrig],"AllyW", Dyno_Data[DelMiss],"1")</f>
        <v>0</v>
      </c>
      <c r="BP83" s="60">
        <f>IFERROR(SUM((TBA_Matches_All[[#This Row],[AZflrT]])/(TBA_Matches_All[[#This Row],[AZflrT]]+TBA_Matches_All[[#This Row],[AZflrM]])),0)</f>
        <v>1</v>
      </c>
      <c r="BQ83">
        <f>COUNTIFS(Dyno_Data[Team],TBA_Matches_All[[#This Row],[Team]],Dyno_Data[Match],TBA_Matches_All[[#This Row],[Match_Number]],Dyno_Data[RecordType],"Activities",Dyno_Data[DelOrig],"SubW", Dyno_Data[DelMiss],"0")</f>
        <v>3</v>
      </c>
      <c r="BR83">
        <f>COUNTIFS(Dyno_Data[Team],TBA_Matches_All[[#This Row],[Team]],Dyno_Data[Match],TBA_Matches_All[[#This Row],[Match_Number]],Dyno_Data[RecordType],"Activities",Dyno_Data[DelOrig],"SubW", Dyno_Data[DelMiss],"1")</f>
        <v>0</v>
      </c>
      <c r="BS83" s="60">
        <f>IFERROR(SUM((TBA_Matches_All[[#This Row],[SubwT]])/(TBA_Matches_All[[#This Row],[SubwT]]+TBA_Matches_All[[#This Row],[SubwM]])),0)</f>
        <v>1</v>
      </c>
      <c r="BT83">
        <f>COUNTIFS(Dyno_Data[Team],TBA_Matches_All[[#This Row],[Team]],Dyno_Data[Match],TBA_Matches_All[[#This Row],[Match_Number]],Dyno_Data[RecordType],"Activities", Dyno_Data[AcqLoc],"OppWing")</f>
        <v>0</v>
      </c>
      <c r="BU83">
        <f>COUNTIFS(Dyno_Data[Team],TBA_Matches_All[[#This Row],[Team]],Dyno_Data[Match],TBA_Matches_All[[#This Row],[Match_Number]],Dyno_Data[RecordType],"Activities", Dyno_Data[AcqLoc],"Neutral")</f>
        <v>0</v>
      </c>
      <c r="BV83">
        <f>COUNTIFS(Dyno_Data[Team],TBA_Matches_All[[#This Row],[Team]],Dyno_Data[Match],TBA_Matches_All[[#This Row],[Match_Number]],Dyno_Data[RecordType],"Activities", Dyno_Data[AcqLoc],"AllyWing")</f>
        <v>0</v>
      </c>
      <c r="BW83">
        <f>COUNTIFS(Dyno_Data[Team],TBA_Matches_All[[#This Row],[Team]],Dyno_Data[Match],TBA_Matches_All[[#This Row],[Match_Number]],Dyno_Data[RecordType],"Activities", Dyno_Data[AcqLoc],"Source")</f>
        <v>0</v>
      </c>
      <c r="BX83">
        <f>SUMIFS(Dyno_Data[AcqDrp], Dyno_Data[Team],TBA_Matches_All[[#This Row],[Team]],Dyno_Data[Match],TBA_Matches_All[[#This Row],[Match_Number]],Dyno_Data[RecordType],"Activities", Dyno_Data[AcqLoc],"Source")</f>
        <v>0</v>
      </c>
      <c r="BY83">
        <f>SUMIFS(Dyno_Data[OZTime], Dyno_Data[Team],TBA_Matches_All[[#This Row],[Team]],Dyno_Data[Match],TBA_Matches_All[[#This Row],[Match_Number]],Dyno_Data[RecordType],"EndMatch")</f>
        <v>31.159631999999998</v>
      </c>
      <c r="BZ83">
        <f>SUMIFS(Dyno_Data[NZTime], Dyno_Data[Team],TBA_Matches_All[[#This Row],[Team]],Dyno_Data[Match],TBA_Matches_All[[#This Row],[Match_Number]],Dyno_Data[RecordType],"EndMatch")</f>
        <v>23.0667075</v>
      </c>
      <c r="CA83">
        <f>SUMIFS(Dyno_Data[AZTime], Dyno_Data[Team],TBA_Matches_All[[#This Row],[Team]],Dyno_Data[Match],TBA_Matches_All[[#This Row],[Match_Number]],Dyno_Data[RecordType],"EndMatch")</f>
        <v>73.77450429999999</v>
      </c>
      <c r="CB83">
        <f>SUMIFS(Dyno_Data[ClimbT], Dyno_Data[Team],TBA_Matches_All[[#This Row],[Team]],Dyno_Data[Match],TBA_Matches_All[[#This Row],[Match_Number]],Dyno_Data[RecordType],"EndMatch")</f>
        <v>7.5796858</v>
      </c>
      <c r="CC83" t="str">
        <f>_xlfn.XLOOKUP(SUM(MID(TBA_Matches_All[[#This Row],[Team]],4,5),(TBA_Matches_All[[#This Row],[Match_Number]]/100)),Dyno_EndMatch[teammat],Dyno_EndMatch[StageStat],"_",0,1)</f>
        <v>On</v>
      </c>
      <c r="CD83" t="str">
        <f>_xlfn.XLOOKUP(TBA_Matches_All[[#This Row],[teammat]],Dyno_EndMatch[teammat],Dyno_EndMatch[StageAtt],"_",0,1)</f>
        <v>1</v>
      </c>
      <c r="CE83" t="str">
        <f>_xlfn.XLOOKUP(TBA_Matches_All[[#This Row],[teammat]],Dyno_EndMatch[teammat],Dyno_EndMatch[StageLoc],"_",0,1)</f>
        <v>C</v>
      </c>
      <c r="CF83">
        <f>SUMIFS(Dyno_Data[Harmony], Dyno_Data[Team],TBA_Matches_All[[#This Row],[Team]],Dyno_Data[Match],TBA_Matches_All[[#This Row],[Match_Number]],Dyno_Data[RecordType],"EndMatch", Dyno_Data[StageStat],"On",Dyno_Data[Harmony],"&lt;&gt;9")</f>
        <v>0</v>
      </c>
      <c r="CG83">
        <f>SUMIFS(Dyno_Data[Spotlit], Dyno_Data[Team],TBA_Matches_All[[#This Row],[Team]],Dyno_Data[Match],TBA_Matches_All[[#This Row],[Match_Number]],Dyno_Data[RecordType],"EndMatch", Dyno_Data[StageStat],"On",Dyno_Data[Spotlit],"&lt;&gt;9")</f>
        <v>0</v>
      </c>
      <c r="CH83" t="str">
        <f>_xlfn.XLOOKUP(TBA_Matches_All[[#This Row],[teammat]],Dyno_EndMatch[teammat],Dyno_EndMatch[Strategy],"_",0,1)</f>
        <v>Hybrid</v>
      </c>
      <c r="CI83">
        <f>SUMIFS(Dyno_Data[Defense], Dyno_Data[Team],TBA_Matches_All[[#This Row],[Team]],Dyno_Data[Match],TBA_Matches_All[[#This Row],[Match_Number]],Dyno_Data[RecordType],"EndMatch",Dyno_Data[Defense],"&lt;&gt;9")</f>
        <v>0</v>
      </c>
      <c r="CJ83">
        <f>SUMIFS(Dyno_Data[Avoidance], Dyno_Data[Team],TBA_Matches_All[[#This Row],[Team]],Dyno_Data[Match],TBA_Matches_All[[#This Row],[Match_Number]],Dyno_Data[RecordType],"EndMatch",Dyno_Data[Avoidance],"&lt;&gt;9")</f>
        <v>1</v>
      </c>
      <c r="CK83" s="82">
        <f>COUNTIF($H$2:TBA_Matches_All[[#This Row],[Team]],TBA_Matches_All[[#This Row],[Team]])</f>
        <v>2</v>
      </c>
      <c r="CL83" s="111">
        <f>SUM(MID(TBA_Matches_All[[#This Row],[Team]],4,5)+TBA_Matches_All[[#This Row],[Match_Number]]/100)</f>
        <v>2791.14</v>
      </c>
      <c r="CM83">
        <f>SUM((TBA_Matches_All[[#This Row],[Leave]]*2)+(TBA_Matches_All[[#This Row],[AampT]]*2)+(TBA_Matches_All[[#This Row],[AspkrT]]*5)+(TBA_Matches_All[[#This Row],[AtrapT]]*5))</f>
        <v>12</v>
      </c>
      <c r="CN83" s="59">
        <f>IFERROR(SUM(TBA_Matches_All[[#This Row],[AptsT]]/TBA_Matches_All[[#This Row],[AutoPts]]),0)</f>
        <v>0.46153846153846156</v>
      </c>
      <c r="CO83" s="59">
        <f>IFERROR(SUM(TBA_Matches_All[[#This Row],[AampT]]+TBA_Matches_All[[#This Row],[AspkrT]]+TBA_Matches_All[[#This Row],[AtrapT]]/TBA_Matches_All[[#This Row],[Aamp]]+TBA_Matches_All[[#This Row],[Aspkr]]+TBA_Matches_All[[#This Row],[AtrapT]]),0)</f>
        <v>0</v>
      </c>
      <c r="CP83" s="59">
        <f>IFERROR(SUM(TBA_Matches_All[[#This Row],[TampT]]/TBA_Matches_All[[#This Row],[Tamp]]),0)</f>
        <v>0</v>
      </c>
      <c r="CQ83" s="59">
        <f>IFERROR(SUM(TBA_Matches_All[[#This Row],[TspkrT]]/TBA_Matches_All[[#This Row],[Tspkr]]),0)</f>
        <v>1.4</v>
      </c>
      <c r="CR83">
        <f>SUM(TBA_Matches_All[[#This Row],[TspkrPts]]*TBA_Matches_All[[#This Row],[TspkrP]])</f>
        <v>14</v>
      </c>
      <c r="CS83" s="59">
        <f>IFERROR(SUM(TBA_Matches_All[[#This Row],[TtrapT]]/TBA_Matches_All[[#This Row],[Trap]]),0)</f>
        <v>0</v>
      </c>
      <c r="CT83" s="59">
        <f>IFERROR(SUM(TBA_Matches_All[[#This Row],[TotNotesT]]/TBA_Matches_All[[#This Row],[TotNotes]]),0)</f>
        <v>1</v>
      </c>
      <c r="CU83" s="66">
        <f>SUM((TBA_Matches_All[[#This Row],[AampT]]*2)+(TBA_Matches_All[[#This Row],[AspkrT]]*5)+(TBA_Matches_All[[#This Row],[AtrapT]]*5)+(TBA_Matches_All[[#This Row],[TampT]]*1)+(TBA_Matches_All[[#This Row],[TspkrptsC]]))</f>
        <v>24</v>
      </c>
      <c r="CV83" s="59">
        <f>IFERROR(TBA_Matches_All[[#This Row],[noteptsT]]/TBA_Matches_All[[#This Row],[NotePts]],0)</f>
        <v>0.8</v>
      </c>
      <c r="CW83">
        <f>SUM(IF(TBA_Matches_All[[#This Row],[stageStat]]="On",3,0),IF(TBA_Matches_All[[#This Row],[stageStat]]="Park",1,0),SUMIFS(TBA_Matches_All[[#This Row],[Spotlit]],TBA_Matches_All[[#This Row],[stageStat]],"On"),SUMIFS(TBA_Matches_All[[#This Row],[Harmony]],TBA_Matches_All[[#This Row],[stageStat]],"On"))</f>
        <v>3</v>
      </c>
      <c r="CX83" s="59">
        <f>IFERROR(TBA_Matches_All[[#This Row],[stageptsT]]/TBA_Matches_All[[#This Row],[StagePts]],0)</f>
        <v>0.75</v>
      </c>
      <c r="CY83">
        <f>SUM((TBA_Matches_All[[#This Row],[AptsT]]+TBA_Matches_All[[#This Row],[TampT]]+TBA_Matches_All[[#This Row],[TspkrptsC]]+(TBA_Matches_All[[#This Row],[TtrapT]]*5)+TBA_Matches_All[[#This Row],[stageptsT]]))</f>
        <v>29</v>
      </c>
      <c r="CZ83" s="59">
        <f>IFERROR(SUM(TBA_Matches_All[[#This Row],[TotptsC]]/TBA_Matches_All[[#This Row],[Score]]),0)</f>
        <v>0.72499999999999998</v>
      </c>
      <c r="DA8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8.76</v>
      </c>
      <c r="DB83" s="74">
        <f>SUMIFS(TBA_Matches_All[AveTeamTNoteDels],TBA_Matches_All[Match_Number],TBA_Matches_All[[#This Row],[Match_Number]],TBA_Matches_All[Alliance],"&lt;&gt;"&amp;TBA_Matches_All[[#This Row],[Alliance]],TBA_Matches_All[Scouted],"&gt;0")</f>
        <v>15.301236263736264</v>
      </c>
      <c r="DC83" s="74">
        <f>(TBA_Matches_All[[#This Row],[TampT]]+TBA_Matches_All[[#This Row],[TspkrptsC]])-TBA_Matches_All[[#This Row],[AveTeamTNoteDels]]</f>
        <v>5.24</v>
      </c>
      <c r="DD83" s="74">
        <f>SUMIFS(TBA_Matches_All[AveTeamTNoteDels],TBA_Matches_All[Match_Number],TBA_Matches_All[[#This Row],[Match_Number]],TBA_Matches_All[Alliance],"&lt;&gt;"&amp;TBA_Matches_All[[#This Row],[Alliance]])-TBA_Matches_All[[#This Row],[AveOppTNoteDels]]</f>
        <v>0</v>
      </c>
    </row>
    <row r="84" spans="1:108" x14ac:dyDescent="0.3">
      <c r="A84" t="s">
        <v>1042</v>
      </c>
      <c r="B84" t="s">
        <v>489</v>
      </c>
      <c r="C84" t="s">
        <v>1323</v>
      </c>
      <c r="D84">
        <v>14</v>
      </c>
      <c r="E84" t="s">
        <v>1406</v>
      </c>
      <c r="F84" t="s">
        <v>1424</v>
      </c>
      <c r="G84" t="s">
        <v>1409</v>
      </c>
      <c r="H84" t="s">
        <v>1309</v>
      </c>
      <c r="I84" t="b">
        <v>0</v>
      </c>
      <c r="J84">
        <v>30</v>
      </c>
      <c r="K84">
        <v>0</v>
      </c>
      <c r="L84">
        <v>0</v>
      </c>
      <c r="M84">
        <v>0</v>
      </c>
      <c r="N84">
        <v>0</v>
      </c>
      <c r="O84">
        <v>2</v>
      </c>
      <c r="P84">
        <v>10</v>
      </c>
      <c r="Q84">
        <v>12</v>
      </c>
      <c r="R84">
        <v>2</v>
      </c>
      <c r="S84">
        <v>1</v>
      </c>
      <c r="T84">
        <v>3</v>
      </c>
      <c r="U84">
        <v>5</v>
      </c>
      <c r="V84">
        <v>6</v>
      </c>
      <c r="W84">
        <v>4</v>
      </c>
      <c r="X84">
        <v>11</v>
      </c>
      <c r="Y84">
        <v>13</v>
      </c>
      <c r="Z84">
        <v>0</v>
      </c>
      <c r="AA84">
        <v>0</v>
      </c>
      <c r="AB84">
        <v>8</v>
      </c>
      <c r="AC84">
        <v>23</v>
      </c>
      <c r="AD84">
        <v>3</v>
      </c>
      <c r="AE84">
        <f>IFERROR(6/(COUNTIF(Dyno_EndMatch[Match],TBA_Matches_All[[#This Row],[Match_Number]])),0)</f>
        <v>1</v>
      </c>
      <c r="AF84">
        <f>COUNTIFS(Dyno_Data[Team],TBA_Matches_All[[#This Row],[Team]],Dyno_Data[Match],TBA_Matches_All[[#This Row],[Match_Number]],Dyno_Data[RecordType],"EndMatch",Dyno_Data[HPAmp],"Y")</f>
        <v>0</v>
      </c>
      <c r="AG84">
        <f>SUMIFS(Dyno_Data[Mics], Dyno_Data[Team],TBA_Matches_All[[#This Row],[Team]],Dyno_Data[Match],TBA_Matches_All[[#This Row],[Match_Number]],Dyno_Data[RecordType],"EndMatch",Dyno_Data[HPAmp],"Y")</f>
        <v>0</v>
      </c>
      <c r="AH84">
        <f>SUMIFS(Dyno_Data[Leave], Dyno_Data[Team],TBA_Matches_All[[#This Row],[Team]],Dyno_Data[Match],TBA_Matches_All[[#This Row],[Match_Number]],Dyno_Data[RecordType],"EndAuto")</f>
        <v>0</v>
      </c>
      <c r="AI84">
        <f>COUNTIFS(Dyno_Data[Team],TBA_Matches_All[[#This Row],[Team]],Dyno_Data[Match],TBA_Matches_All[[#This Row],[Match_Number]],Dyno_Data[RecordType],"Activities",Dyno_Data[DelDest],"Amp", Dyno_Data[DelMiss],"0", Dyno_Data[Mode],"Auto")</f>
        <v>0</v>
      </c>
      <c r="AJ84">
        <f>COUNTIFS(Dyno_Data[Team],TBA_Matches_All[[#This Row],[Team]],Dyno_Data[Match],TBA_Matches_All[[#This Row],[Match_Number]],Dyno_Data[RecordType],"Activities",Dyno_Data[DelDest],"Spkr", Dyno_Data[DelMiss],"0", Dyno_Data[Mode],"Auto")</f>
        <v>1</v>
      </c>
      <c r="AK84">
        <f>COUNTIFS(Dyno_Data[Team],TBA_Matches_All[[#This Row],[Team]],Dyno_Data[Match],TBA_Matches_All[[#This Row],[Match_Number]],Dyno_Data[RecordType],"Activities",Dyno_Data[DelDest],"Trap", Dyno_Data[DelMiss],"0", Dyno_Data[Mode],"Auto")</f>
        <v>0</v>
      </c>
      <c r="AL84">
        <f>COUNTIFS(Dyno_Data[Team],TBA_Matches_All[[#This Row],[Team]],Dyno_Data[Match],TBA_Matches_All[[#This Row],[Match_Number]],Dyno_Data[RecordType],"Activities",Dyno_Data[DelDest],"Amp", Dyno_Data[DelMiss],"0", Dyno_Data[Mode],"Teleop")</f>
        <v>0</v>
      </c>
      <c r="AM84">
        <f>COUNTIFS(Dyno_Data[Team],TBA_Matches_All[[#This Row],[Team]],Dyno_Data[Match],TBA_Matches_All[[#This Row],[Match_Number]],Dyno_Data[RecordType],"Activities",Dyno_Data[DelDest],"Spkr", Dyno_Data[DelMiss],"0", Dyno_Data[Mode],"Teleop")</f>
        <v>0</v>
      </c>
      <c r="AN84">
        <f>COUNTIFS(Dyno_Data[Team],TBA_Matches_All[[#This Row],[Team]],Dyno_Data[Match],TBA_Matches_All[[#This Row],[Match_Number]],Dyno_Data[RecordType],"Activities",Dyno_Data[DelDest],"Trap", Dyno_Data[DelMiss],"0", Dyno_Data[Mode],"&lt;&gt;Auto")</f>
        <v>0</v>
      </c>
      <c r="AO84">
        <f>SUM(TBA_Matches_All[[#This Row],[AampT]]+TBA_Matches_All[[#This Row],[AspkrT]]+TBA_Matches_All[[#This Row],[AtrapT]]+TBA_Matches_All[[#This Row],[TampT]]+TBA_Matches_All[[#This Row],[TspkrT]]+TBA_Matches_All[[#This Row],[TtrapT]])</f>
        <v>1</v>
      </c>
      <c r="AP84">
        <f>COUNTIFS(Dyno_Data[Team],TBA_Matches_All[[#This Row],[Team]],Dyno_Data[Match],TBA_Matches_All[[#This Row],[Match_Number]],Dyno_Data[RecordType],"Activities",Dyno_Data[DelDest],"Neut", Dyno_Data[DelMiss],"0")</f>
        <v>0</v>
      </c>
      <c r="AQ84">
        <f>COUNTIFS(Dyno_Data[Team],TBA_Matches_All[[#This Row],[Team]],Dyno_Data[Match],TBA_Matches_All[[#This Row],[Match_Number]],Dyno_Data[RecordType],"Activities",Dyno_Data[DelDest],"AllyW", Dyno_Data[DelMiss],"0")</f>
        <v>0</v>
      </c>
      <c r="AR84" t="str">
        <f>_xlfn.XLOOKUP(SUM(MID(TBA_Matches_All[[#This Row],[Team]],4,5),(TBA_Matches_All[[#This Row],[Match_Number]]/100)),Dyno_EndMatch[teammat],Dyno_EndMatch[RobotSta],"_",0,1)</f>
        <v>Podm</v>
      </c>
      <c r="AS84">
        <f>SUMIFS(Dyno_Data[AcqDis], Dyno_Data[Team],TBA_Matches_All[[#This Row],[Team]],Dyno_Data[Match],TBA_Matches_All[[#This Row],[Match_Number]],Dyno_Data[RecordType],"Activities", Dyno_Data[AcqCenter],1,Dyno_Data[Mode],"Auto")</f>
        <v>0</v>
      </c>
      <c r="AT84">
        <f>SUMIFS(Dyno_Data[AcqDis], Dyno_Data[Team],TBA_Matches_All[[#This Row],[Team]],Dyno_Data[Match],TBA_Matches_All[[#This Row],[Match_Number]],Dyno_Data[RecordType],"Activities", Dyno_Data[AcqCenter],2,Dyno_Data[Mode],"Auto")</f>
        <v>0</v>
      </c>
      <c r="AU84">
        <f>SUMIFS(Dyno_Data[AcqDis], Dyno_Data[Team],TBA_Matches_All[[#This Row],[Team]],Dyno_Data[Match],TBA_Matches_All[[#This Row],[Match_Number]],Dyno_Data[RecordType],"Activities", Dyno_Data[AcqCenter],3,Dyno_Data[Mode],"Auto")</f>
        <v>0</v>
      </c>
      <c r="AV84">
        <f>SUMIFS(Dyno_Data[AcqDis], Dyno_Data[Team],TBA_Matches_All[[#This Row],[Team]],Dyno_Data[Match],TBA_Matches_All[[#This Row],[Match_Number]],Dyno_Data[RecordType],"Activities", Dyno_Data[AcqCenter],4,Dyno_Data[Mode],"Auto")</f>
        <v>0</v>
      </c>
      <c r="AW84">
        <f>SUMIFS(Dyno_Data[AcqDis], Dyno_Data[Team],TBA_Matches_All[[#This Row],[Team]],Dyno_Data[Match],TBA_Matches_All[[#This Row],[Match_Number]],Dyno_Data[RecordType],"Activities", Dyno_Data[AcqCenter],5,Dyno_Data[Mode],"Auto")</f>
        <v>0</v>
      </c>
      <c r="AX84">
        <f>SUMIFS(Dyno_Data[DelMiss], Dyno_Data[Team],TBA_Matches_All[[#This Row],[Team]],Dyno_Data[Match],TBA_Matches_All[[#This Row],[Match_Number]],Dyno_Data[RecordType],"Activities", Dyno_Data[DelDest],"Amp")</f>
        <v>0</v>
      </c>
      <c r="AY84" s="60">
        <f>IFERROR(SUM((TBA_Matches_All[[#This Row],[AampT]]+TBA_Matches_All[[#This Row],[TampT]])/(TBA_Matches_All[[#This Row],[AampT]]+TBA_Matches_All[[#This Row],[TampT]]+TBA_Matches_All[[#This Row],[ampM]])),0)</f>
        <v>0</v>
      </c>
      <c r="AZ84">
        <f>SUMIFS(Dyno_Data[DelMiss], Dyno_Data[Team],TBA_Matches_All[[#This Row],[Team]],Dyno_Data[Match],TBA_Matches_All[[#This Row],[Match_Number]],Dyno_Data[RecordType],"Activities", Dyno_Data[DelDest],"Spkr")</f>
        <v>0</v>
      </c>
      <c r="BA84" s="60">
        <f>IFERROR(SUM((TBA_Matches_All[[#This Row],[AspkrT]]+TBA_Matches_All[[#This Row],[TspkrT]])/(TBA_Matches_All[[#This Row],[AspkrT]]+TBA_Matches_All[[#This Row],[TspkrT]]+TBA_Matches_All[[#This Row],[spkrM]])),0)</f>
        <v>1</v>
      </c>
      <c r="BB84">
        <f>SUMIFS(Dyno_Data[DelMiss], Dyno_Data[Team],TBA_Matches_All[[#This Row],[Team]],Dyno_Data[Match],TBA_Matches_All[[#This Row],[Match_Number]],Dyno_Data[RecordType],"Activities", Dyno_Data[DelDest],"Trap")</f>
        <v>0</v>
      </c>
      <c r="BC84" s="60">
        <f>IFERROR((TBA_Matches_All[[#This Row],[AtrapT]]+TBA_Matches_All[[#This Row],[TtrapT]])/(TBA_Matches_All[[#This Row],[AtrapT]]+TBA_Matches_All[[#This Row],[TtrapT]]+TBA_Matches_All[[#This Row],[trapM]]),0)</f>
        <v>0</v>
      </c>
      <c r="BD84">
        <f>COUNTIFS(Dyno_Data[Team],TBA_Matches_All[[#This Row],[Team]],Dyno_Data[Match],TBA_Matches_All[[#This Row],[Match_Number]],Dyno_Data[RecordType],"Activities",Dyno_Data[DelDest],"Neut", Dyno_Data[DelMiss],1)</f>
        <v>0</v>
      </c>
      <c r="BE84" s="60">
        <f>IFERROR(SUM((TBA_Matches_All[[#This Row],[NeutFlrT]])/(TBA_Matches_All[[#This Row],[NeutFlrT]]+TBA_Matches_All[[#This Row],[NZflM]])),0)</f>
        <v>0</v>
      </c>
      <c r="BF84">
        <f>COUNTIFS(Dyno_Data[Team],TBA_Matches_All[[#This Row],[Team]],Dyno_Data[Match],TBA_Matches_All[[#This Row],[Match_Number]],Dyno_Data[RecordType],"Activities",Dyno_Data[DelDest],"AllyW", Dyno_Data[DelMiss],1)</f>
        <v>1</v>
      </c>
      <c r="BG84" s="60">
        <f>IFERROR(SUM((TBA_Matches_All[[#This Row],[AllyWFlrT]])/(TBA_Matches_All[[#This Row],[AllyWFlrT]]+TBA_Matches_All[[#This Row],[AZflM]])),0)</f>
        <v>0</v>
      </c>
      <c r="BH84">
        <f>COUNTIFS(Dyno_Data[Team],TBA_Matches_All[[#This Row],[Team]],Dyno_Data[Match],TBA_Matches_All[[#This Row],[Match_Number]],Dyno_Data[RecordType],"Activities",Dyno_Data[DelOrig],"OppW", Dyno_Data[DelMiss],"0")</f>
        <v>0</v>
      </c>
      <c r="BI84">
        <f>COUNTIFS(Dyno_Data[Team],TBA_Matches_All[[#This Row],[Team]],Dyno_Data[Match],TBA_Matches_All[[#This Row],[Match_Number]],Dyno_Data[RecordType],"Activities",Dyno_Data[DelOrig],"OppW", Dyno_Data[DelMiss],"1")</f>
        <v>0</v>
      </c>
      <c r="BJ84" s="60">
        <f>IFERROR(SUM((TBA_Matches_All[[#This Row],[OZflrT]])/(TBA_Matches_All[[#This Row],[OZflrT]]+TBA_Matches_All[[#This Row],[OZflrM]])),0)</f>
        <v>0</v>
      </c>
      <c r="BK84">
        <f>COUNTIFS(Dyno_Data[Team],TBA_Matches_All[[#This Row],[Team]],Dyno_Data[Match],TBA_Matches_All[[#This Row],[Match_Number]],Dyno_Data[RecordType],"Activities",Dyno_Data[DelOrig],"Neut", Dyno_Data[DelMiss],"0")</f>
        <v>0</v>
      </c>
      <c r="BL84">
        <f>COUNTIFS(Dyno_Data[Team],TBA_Matches_All[[#This Row],[Team]],Dyno_Data[Match],TBA_Matches_All[[#This Row],[Match_Number]],Dyno_Data[RecordType],"Activities",Dyno_Data[DelOrig],"Neut", Dyno_Data[DelMiss],"1")</f>
        <v>1</v>
      </c>
      <c r="BM84" s="60">
        <f>IFERROR(SUM((TBA_Matches_All[[#This Row],[NZflrT]])/(TBA_Matches_All[[#This Row],[NZflrT]]+TBA_Matches_All[[#This Row],[NZflrM]])),0)</f>
        <v>0</v>
      </c>
      <c r="BN84">
        <f>COUNTIFS(Dyno_Data[Team],TBA_Matches_All[[#This Row],[Team]],Dyno_Data[Match],TBA_Matches_All[[#This Row],[Match_Number]],Dyno_Data[RecordType],"Activities",Dyno_Data[DelOrig],"AllyW", Dyno_Data[DelMiss],"0")</f>
        <v>0</v>
      </c>
      <c r="BO84">
        <f>COUNTIFS(Dyno_Data[Team],TBA_Matches_All[[#This Row],[Team]],Dyno_Data[Match],TBA_Matches_All[[#This Row],[Match_Number]],Dyno_Data[RecordType],"Activities",Dyno_Data[DelOrig],"AllyW", Dyno_Data[DelMiss],"1")</f>
        <v>0</v>
      </c>
      <c r="BP84" s="60">
        <f>IFERROR(SUM((TBA_Matches_All[[#This Row],[AZflrT]])/(TBA_Matches_All[[#This Row],[AZflrT]]+TBA_Matches_All[[#This Row],[AZflrM]])),0)</f>
        <v>0</v>
      </c>
      <c r="BQ84">
        <f>COUNTIFS(Dyno_Data[Team],TBA_Matches_All[[#This Row],[Team]],Dyno_Data[Match],TBA_Matches_All[[#This Row],[Match_Number]],Dyno_Data[RecordType],"Activities",Dyno_Data[DelOrig],"SubW", Dyno_Data[DelMiss],"0")</f>
        <v>1</v>
      </c>
      <c r="BR84">
        <f>COUNTIFS(Dyno_Data[Team],TBA_Matches_All[[#This Row],[Team]],Dyno_Data[Match],TBA_Matches_All[[#This Row],[Match_Number]],Dyno_Data[RecordType],"Activities",Dyno_Data[DelOrig],"SubW", Dyno_Data[DelMiss],"1")</f>
        <v>0</v>
      </c>
      <c r="BS84" s="60">
        <f>IFERROR(SUM((TBA_Matches_All[[#This Row],[SubwT]])/(TBA_Matches_All[[#This Row],[SubwT]]+TBA_Matches_All[[#This Row],[SubwM]])),0)</f>
        <v>1</v>
      </c>
      <c r="BT84">
        <f>COUNTIFS(Dyno_Data[Team],TBA_Matches_All[[#This Row],[Team]],Dyno_Data[Match],TBA_Matches_All[[#This Row],[Match_Number]],Dyno_Data[RecordType],"Activities", Dyno_Data[AcqLoc],"OppWing")</f>
        <v>0</v>
      </c>
      <c r="BU84">
        <f>COUNTIFS(Dyno_Data[Team],TBA_Matches_All[[#This Row],[Team]],Dyno_Data[Match],TBA_Matches_All[[#This Row],[Match_Number]],Dyno_Data[RecordType],"Activities", Dyno_Data[AcqLoc],"Neutral")</f>
        <v>0</v>
      </c>
      <c r="BV84">
        <f>COUNTIFS(Dyno_Data[Team],TBA_Matches_All[[#This Row],[Team]],Dyno_Data[Match],TBA_Matches_All[[#This Row],[Match_Number]],Dyno_Data[RecordType],"Activities", Dyno_Data[AcqLoc],"AllyWing")</f>
        <v>0</v>
      </c>
      <c r="BW84">
        <f>COUNTIFS(Dyno_Data[Team],TBA_Matches_All[[#This Row],[Team]],Dyno_Data[Match],TBA_Matches_All[[#This Row],[Match_Number]],Dyno_Data[RecordType],"Activities", Dyno_Data[AcqLoc],"Source")</f>
        <v>0</v>
      </c>
      <c r="BX84">
        <f>SUMIFS(Dyno_Data[AcqDrp], Dyno_Data[Team],TBA_Matches_All[[#This Row],[Team]],Dyno_Data[Match],TBA_Matches_All[[#This Row],[Match_Number]],Dyno_Data[RecordType],"Activities", Dyno_Data[AcqLoc],"Source")</f>
        <v>0</v>
      </c>
      <c r="BY84">
        <f>SUMIFS(Dyno_Data[OZTime], Dyno_Data[Team],TBA_Matches_All[[#This Row],[Team]],Dyno_Data[Match],TBA_Matches_All[[#This Row],[Match_Number]],Dyno_Data[RecordType],"EndMatch")</f>
        <v>10.232575599999999</v>
      </c>
      <c r="BZ84">
        <f>SUMIFS(Dyno_Data[NZTime], Dyno_Data[Team],TBA_Matches_All[[#This Row],[Team]],Dyno_Data[Match],TBA_Matches_All[[#This Row],[Match_Number]],Dyno_Data[RecordType],"EndMatch")</f>
        <v>27.103381199999998</v>
      </c>
      <c r="CA84">
        <f>SUMIFS(Dyno_Data[AZTime], Dyno_Data[Team],TBA_Matches_All[[#This Row],[Team]],Dyno_Data[Match],TBA_Matches_All[[#This Row],[Match_Number]],Dyno_Data[RecordType],"EndMatch")</f>
        <v>78.521997999999996</v>
      </c>
      <c r="CB84">
        <f>SUMIFS(Dyno_Data[ClimbT], Dyno_Data[Team],TBA_Matches_All[[#This Row],[Team]],Dyno_Data[Match],TBA_Matches_All[[#This Row],[Match_Number]],Dyno_Data[RecordType],"EndMatch")</f>
        <v>12.0612224</v>
      </c>
      <c r="CC84" t="str">
        <f>_xlfn.XLOOKUP(SUM(MID(TBA_Matches_All[[#This Row],[Team]],4,5),(TBA_Matches_All[[#This Row],[Match_Number]]/100)),Dyno_EndMatch[teammat],Dyno_EndMatch[StageStat],"_",0,1)</f>
        <v>Park</v>
      </c>
      <c r="CD84" t="str">
        <f>_xlfn.XLOOKUP(TBA_Matches_All[[#This Row],[teammat]],Dyno_EndMatch[teammat],Dyno_EndMatch[StageAtt],"_",0,1)</f>
        <v>-1</v>
      </c>
      <c r="CE84" t="str">
        <f>_xlfn.XLOOKUP(TBA_Matches_All[[#This Row],[teammat]],Dyno_EndMatch[teammat],Dyno_EndMatch[StageLoc],"_",0,1)</f>
        <v>A</v>
      </c>
      <c r="CF84">
        <f>SUMIFS(Dyno_Data[Harmony], Dyno_Data[Team],TBA_Matches_All[[#This Row],[Team]],Dyno_Data[Match],TBA_Matches_All[[#This Row],[Match_Number]],Dyno_Data[RecordType],"EndMatch", Dyno_Data[StageStat],"On",Dyno_Data[Harmony],"&lt;&gt;9")</f>
        <v>0</v>
      </c>
      <c r="CG84">
        <f>SUMIFS(Dyno_Data[Spotlit], Dyno_Data[Team],TBA_Matches_All[[#This Row],[Team]],Dyno_Data[Match],TBA_Matches_All[[#This Row],[Match_Number]],Dyno_Data[RecordType],"EndMatch", Dyno_Data[StageStat],"On",Dyno_Data[Spotlit],"&lt;&gt;9")</f>
        <v>0</v>
      </c>
      <c r="CH84" t="str">
        <f>_xlfn.XLOOKUP(TBA_Matches_All[[#This Row],[teammat]],Dyno_EndMatch[teammat],Dyno_EndMatch[Strategy],"_",0,1)</f>
        <v>Hybrid</v>
      </c>
      <c r="CI84">
        <f>SUMIFS(Dyno_Data[Defense], Dyno_Data[Team],TBA_Matches_All[[#This Row],[Team]],Dyno_Data[Match],TBA_Matches_All[[#This Row],[Match_Number]],Dyno_Data[RecordType],"EndMatch",Dyno_Data[Defense],"&lt;&gt;9")</f>
        <v>0</v>
      </c>
      <c r="CJ84">
        <f>SUMIFS(Dyno_Data[Avoidance], Dyno_Data[Team],TBA_Matches_All[[#This Row],[Team]],Dyno_Data[Match],TBA_Matches_All[[#This Row],[Match_Number]],Dyno_Data[RecordType],"EndMatch",Dyno_Data[Avoidance],"&lt;&gt;9")</f>
        <v>0</v>
      </c>
      <c r="CK84" s="82">
        <f>COUNTIF($H$2:TBA_Matches_All[[#This Row],[Team]],TBA_Matches_All[[#This Row],[Team]])</f>
        <v>2</v>
      </c>
      <c r="CL84" s="111">
        <f>SUM(MID(TBA_Matches_All[[#This Row],[Team]],4,5)+TBA_Matches_All[[#This Row],[Match_Number]]/100)</f>
        <v>3550.14</v>
      </c>
      <c r="CM84">
        <f>SUM((TBA_Matches_All[[#This Row],[Leave]]*2)+(TBA_Matches_All[[#This Row],[AampT]]*2)+(TBA_Matches_All[[#This Row],[AspkrT]]*5)+(TBA_Matches_All[[#This Row],[AtrapT]]*5))</f>
        <v>5</v>
      </c>
      <c r="CN84" s="59">
        <f>IFERROR(SUM(TBA_Matches_All[[#This Row],[AptsT]]/TBA_Matches_All[[#This Row],[AutoPts]]),0)</f>
        <v>0.41666666666666669</v>
      </c>
      <c r="CO84" s="59">
        <f>IFERROR(SUM(TBA_Matches_All[[#This Row],[AampT]]+TBA_Matches_All[[#This Row],[AspkrT]]+TBA_Matches_All[[#This Row],[AtrapT]]/TBA_Matches_All[[#This Row],[Aamp]]+TBA_Matches_All[[#This Row],[Aspkr]]+TBA_Matches_All[[#This Row],[AtrapT]]),0)</f>
        <v>0</v>
      </c>
      <c r="CP84" s="59">
        <f>IFERROR(SUM(TBA_Matches_All[[#This Row],[TampT]]/TBA_Matches_All[[#This Row],[Tamp]]),0)</f>
        <v>0</v>
      </c>
      <c r="CQ84" s="59">
        <f>IFERROR(SUM(TBA_Matches_All[[#This Row],[TspkrT]]/TBA_Matches_All[[#This Row],[Tspkr]]),0)</f>
        <v>0</v>
      </c>
      <c r="CR84">
        <f>SUM(TBA_Matches_All[[#This Row],[TspkrPts]]*TBA_Matches_All[[#This Row],[TspkrP]])</f>
        <v>0</v>
      </c>
      <c r="CS84" s="59">
        <f>IFERROR(SUM(TBA_Matches_All[[#This Row],[TtrapT]]/TBA_Matches_All[[#This Row],[Trap]]),0)</f>
        <v>0</v>
      </c>
      <c r="CT84" s="59">
        <f>IFERROR(SUM(TBA_Matches_All[[#This Row],[TotNotesT]]/TBA_Matches_All[[#This Row],[TotNotes]]),0)</f>
        <v>0.125</v>
      </c>
      <c r="CU84" s="66">
        <f>SUM((TBA_Matches_All[[#This Row],[AampT]]*2)+(TBA_Matches_All[[#This Row],[AspkrT]]*5)+(TBA_Matches_All[[#This Row],[AtrapT]]*5)+(TBA_Matches_All[[#This Row],[TampT]]*1)+(TBA_Matches_All[[#This Row],[TspkrptsC]]))</f>
        <v>5</v>
      </c>
      <c r="CV84" s="59">
        <f>IFERROR(TBA_Matches_All[[#This Row],[noteptsT]]/TBA_Matches_All[[#This Row],[NotePts]],0)</f>
        <v>0.21739130434782608</v>
      </c>
      <c r="CW84">
        <f>SUM(IF(TBA_Matches_All[[#This Row],[stageStat]]="On",3,0),IF(TBA_Matches_All[[#This Row],[stageStat]]="Park",1,0),SUMIFS(TBA_Matches_All[[#This Row],[Spotlit]],TBA_Matches_All[[#This Row],[stageStat]],"On"),SUMIFS(TBA_Matches_All[[#This Row],[Harmony]],TBA_Matches_All[[#This Row],[stageStat]],"On"))</f>
        <v>1</v>
      </c>
      <c r="CX84" s="59">
        <f>IFERROR(TBA_Matches_All[[#This Row],[stageptsT]]/TBA_Matches_All[[#This Row],[StagePts]],0)</f>
        <v>0.33333333333333331</v>
      </c>
      <c r="CY84">
        <f>SUM((TBA_Matches_All[[#This Row],[AptsT]]+TBA_Matches_All[[#This Row],[TampT]]+TBA_Matches_All[[#This Row],[TspkrptsC]]+(TBA_Matches_All[[#This Row],[TtrapT]]*5)+TBA_Matches_All[[#This Row],[stageptsT]]))</f>
        <v>6</v>
      </c>
      <c r="CZ84" s="59">
        <f>IFERROR(SUM(TBA_Matches_All[[#This Row],[TotptsC]]/TBA_Matches_All[[#This Row],[Score]]),0)</f>
        <v>0.2</v>
      </c>
      <c r="DA8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6.8923076923076927</v>
      </c>
      <c r="DB84" s="74">
        <f>SUMIFS(TBA_Matches_All[AveTeamTNoteDels],TBA_Matches_All[Match_Number],TBA_Matches_All[[#This Row],[Match_Number]],TBA_Matches_All[Alliance],"&lt;&gt;"&amp;TBA_Matches_All[[#This Row],[Alliance]],TBA_Matches_All[Scouted],"&gt;0")</f>
        <v>32.251071428571429</v>
      </c>
      <c r="DC84" s="74">
        <f>(TBA_Matches_All[[#This Row],[TampT]]+TBA_Matches_All[[#This Row],[TspkrptsC]])-TBA_Matches_All[[#This Row],[AveTeamTNoteDels]]</f>
        <v>-6.8923076923076927</v>
      </c>
      <c r="DD84" s="74">
        <f>SUMIFS(TBA_Matches_All[AveTeamTNoteDels],TBA_Matches_All[Match_Number],TBA_Matches_All[[#This Row],[Match_Number]],TBA_Matches_All[Alliance],"&lt;&gt;"&amp;TBA_Matches_All[[#This Row],[Alliance]])-TBA_Matches_All[[#This Row],[AveOppTNoteDels]]</f>
        <v>0</v>
      </c>
    </row>
    <row r="85" spans="1:108" x14ac:dyDescent="0.3">
      <c r="A85" t="s">
        <v>1042</v>
      </c>
      <c r="B85" t="s">
        <v>489</v>
      </c>
      <c r="C85" t="s">
        <v>1323</v>
      </c>
      <c r="D85">
        <v>14</v>
      </c>
      <c r="E85" t="s">
        <v>1420</v>
      </c>
      <c r="F85" t="s">
        <v>1425</v>
      </c>
      <c r="G85" t="s">
        <v>105</v>
      </c>
      <c r="H85" t="s">
        <v>1298</v>
      </c>
      <c r="I85" t="b">
        <v>0</v>
      </c>
      <c r="J85">
        <v>40</v>
      </c>
      <c r="K85">
        <v>0</v>
      </c>
      <c r="L85">
        <v>0</v>
      </c>
      <c r="M85">
        <v>2</v>
      </c>
      <c r="N85">
        <v>0</v>
      </c>
      <c r="O85">
        <v>4</v>
      </c>
      <c r="P85">
        <v>20</v>
      </c>
      <c r="Q85">
        <v>26</v>
      </c>
      <c r="R85">
        <v>0</v>
      </c>
      <c r="S85">
        <v>0</v>
      </c>
      <c r="T85">
        <v>5</v>
      </c>
      <c r="U85">
        <v>0</v>
      </c>
      <c r="V85">
        <v>10</v>
      </c>
      <c r="W85">
        <v>5</v>
      </c>
      <c r="X85">
        <v>10</v>
      </c>
      <c r="Y85">
        <v>10</v>
      </c>
      <c r="Z85">
        <v>0</v>
      </c>
      <c r="AA85">
        <v>0</v>
      </c>
      <c r="AB85">
        <v>9</v>
      </c>
      <c r="AC85">
        <v>30</v>
      </c>
      <c r="AD85">
        <v>4</v>
      </c>
      <c r="AE85">
        <f>IFERROR(6/(COUNTIF(Dyno_EndMatch[Match],TBA_Matches_All[[#This Row],[Match_Number]])),0)</f>
        <v>1</v>
      </c>
      <c r="AF85">
        <f>COUNTIFS(Dyno_Data[Team],TBA_Matches_All[[#This Row],[Team]],Dyno_Data[Match],TBA_Matches_All[[#This Row],[Match_Number]],Dyno_Data[RecordType],"EndMatch",Dyno_Data[HPAmp],"Y")</f>
        <v>1</v>
      </c>
      <c r="AG85">
        <f>SUMIFS(Dyno_Data[Mics], Dyno_Data[Team],TBA_Matches_All[[#This Row],[Team]],Dyno_Data[Match],TBA_Matches_All[[#This Row],[Match_Number]],Dyno_Data[RecordType],"EndMatch",Dyno_Data[HPAmp],"Y")</f>
        <v>0</v>
      </c>
      <c r="AH85">
        <f>SUMIFS(Dyno_Data[Leave], Dyno_Data[Team],TBA_Matches_All[[#This Row],[Team]],Dyno_Data[Match],TBA_Matches_All[[#This Row],[Match_Number]],Dyno_Data[RecordType],"EndAuto")</f>
        <v>1</v>
      </c>
      <c r="AI85">
        <f>COUNTIFS(Dyno_Data[Team],TBA_Matches_All[[#This Row],[Team]],Dyno_Data[Match],TBA_Matches_All[[#This Row],[Match_Number]],Dyno_Data[RecordType],"Activities",Dyno_Data[DelDest],"Amp", Dyno_Data[DelMiss],"0", Dyno_Data[Mode],"Auto")</f>
        <v>0</v>
      </c>
      <c r="AJ85">
        <f>COUNTIFS(Dyno_Data[Team],TBA_Matches_All[[#This Row],[Team]],Dyno_Data[Match],TBA_Matches_All[[#This Row],[Match_Number]],Dyno_Data[RecordType],"Activities",Dyno_Data[DelDest],"Spkr", Dyno_Data[DelMiss],"0", Dyno_Data[Mode],"Auto")</f>
        <v>1</v>
      </c>
      <c r="AK85">
        <f>COUNTIFS(Dyno_Data[Team],TBA_Matches_All[[#This Row],[Team]],Dyno_Data[Match],TBA_Matches_All[[#This Row],[Match_Number]],Dyno_Data[RecordType],"Activities",Dyno_Data[DelDest],"Trap", Dyno_Data[DelMiss],"0", Dyno_Data[Mode],"Auto")</f>
        <v>0</v>
      </c>
      <c r="AL85">
        <f>COUNTIFS(Dyno_Data[Team],TBA_Matches_All[[#This Row],[Team]],Dyno_Data[Match],TBA_Matches_All[[#This Row],[Match_Number]],Dyno_Data[RecordType],"Activities",Dyno_Data[DelDest],"Amp", Dyno_Data[DelMiss],"0", Dyno_Data[Mode],"Teleop")</f>
        <v>0</v>
      </c>
      <c r="AM85">
        <f>COUNTIFS(Dyno_Data[Team],TBA_Matches_All[[#This Row],[Team]],Dyno_Data[Match],TBA_Matches_All[[#This Row],[Match_Number]],Dyno_Data[RecordType],"Activities",Dyno_Data[DelDest],"Spkr", Dyno_Data[DelMiss],"0", Dyno_Data[Mode],"Teleop")</f>
        <v>0</v>
      </c>
      <c r="AN85">
        <f>COUNTIFS(Dyno_Data[Team],TBA_Matches_All[[#This Row],[Team]],Dyno_Data[Match],TBA_Matches_All[[#This Row],[Match_Number]],Dyno_Data[RecordType],"Activities",Dyno_Data[DelDest],"Trap", Dyno_Data[DelMiss],"0", Dyno_Data[Mode],"&lt;&gt;Auto")</f>
        <v>0</v>
      </c>
      <c r="AO85">
        <f>SUM(TBA_Matches_All[[#This Row],[AampT]]+TBA_Matches_All[[#This Row],[AspkrT]]+TBA_Matches_All[[#This Row],[AtrapT]]+TBA_Matches_All[[#This Row],[TampT]]+TBA_Matches_All[[#This Row],[TspkrT]]+TBA_Matches_All[[#This Row],[TtrapT]])</f>
        <v>1</v>
      </c>
      <c r="AP85">
        <f>COUNTIFS(Dyno_Data[Team],TBA_Matches_All[[#This Row],[Team]],Dyno_Data[Match],TBA_Matches_All[[#This Row],[Match_Number]],Dyno_Data[RecordType],"Activities",Dyno_Data[DelDest],"Neut", Dyno_Data[DelMiss],"0")</f>
        <v>0</v>
      </c>
      <c r="AQ85">
        <f>COUNTIFS(Dyno_Data[Team],TBA_Matches_All[[#This Row],[Team]],Dyno_Data[Match],TBA_Matches_All[[#This Row],[Match_Number]],Dyno_Data[RecordType],"Activities",Dyno_Data[DelDest],"AllyW", Dyno_Data[DelMiss],"0")</f>
        <v>0</v>
      </c>
      <c r="AR85" t="str">
        <f>_xlfn.XLOOKUP(SUM(MID(TBA_Matches_All[[#This Row],[Team]],4,5),(TBA_Matches_All[[#This Row],[Match_Number]]/100)),Dyno_EndMatch[teammat],Dyno_EndMatch[RobotSta],"_",0,1)</f>
        <v>SubW</v>
      </c>
      <c r="AS85">
        <f>SUMIFS(Dyno_Data[AcqDis], Dyno_Data[Team],TBA_Matches_All[[#This Row],[Team]],Dyno_Data[Match],TBA_Matches_All[[#This Row],[Match_Number]],Dyno_Data[RecordType],"Activities", Dyno_Data[AcqCenter],1,Dyno_Data[Mode],"Auto")</f>
        <v>0</v>
      </c>
      <c r="AT85">
        <f>SUMIFS(Dyno_Data[AcqDis], Dyno_Data[Team],TBA_Matches_All[[#This Row],[Team]],Dyno_Data[Match],TBA_Matches_All[[#This Row],[Match_Number]],Dyno_Data[RecordType],"Activities", Dyno_Data[AcqCenter],2,Dyno_Data[Mode],"Auto")</f>
        <v>0</v>
      </c>
      <c r="AU85">
        <f>SUMIFS(Dyno_Data[AcqDis], Dyno_Data[Team],TBA_Matches_All[[#This Row],[Team]],Dyno_Data[Match],TBA_Matches_All[[#This Row],[Match_Number]],Dyno_Data[RecordType],"Activities", Dyno_Data[AcqCenter],3,Dyno_Data[Mode],"Auto")</f>
        <v>0</v>
      </c>
      <c r="AV85">
        <f>SUMIFS(Dyno_Data[AcqDis], Dyno_Data[Team],TBA_Matches_All[[#This Row],[Team]],Dyno_Data[Match],TBA_Matches_All[[#This Row],[Match_Number]],Dyno_Data[RecordType],"Activities", Dyno_Data[AcqCenter],4,Dyno_Data[Mode],"Auto")</f>
        <v>0</v>
      </c>
      <c r="AW85">
        <f>SUMIFS(Dyno_Data[AcqDis], Dyno_Data[Team],TBA_Matches_All[[#This Row],[Team]],Dyno_Data[Match],TBA_Matches_All[[#This Row],[Match_Number]],Dyno_Data[RecordType],"Activities", Dyno_Data[AcqCenter],5,Dyno_Data[Mode],"Auto")</f>
        <v>0</v>
      </c>
      <c r="AX85">
        <f>SUMIFS(Dyno_Data[DelMiss], Dyno_Data[Team],TBA_Matches_All[[#This Row],[Team]],Dyno_Data[Match],TBA_Matches_All[[#This Row],[Match_Number]],Dyno_Data[RecordType],"Activities", Dyno_Data[DelDest],"Amp")</f>
        <v>0</v>
      </c>
      <c r="AY85" s="60">
        <f>IFERROR(SUM((TBA_Matches_All[[#This Row],[AampT]]+TBA_Matches_All[[#This Row],[TampT]])/(TBA_Matches_All[[#This Row],[AampT]]+TBA_Matches_All[[#This Row],[TampT]]+TBA_Matches_All[[#This Row],[ampM]])),0)</f>
        <v>0</v>
      </c>
      <c r="AZ85">
        <f>SUMIFS(Dyno_Data[DelMiss], Dyno_Data[Team],TBA_Matches_All[[#This Row],[Team]],Dyno_Data[Match],TBA_Matches_All[[#This Row],[Match_Number]],Dyno_Data[RecordType],"Activities", Dyno_Data[DelDest],"Spkr")</f>
        <v>1</v>
      </c>
      <c r="BA85" s="60">
        <f>IFERROR(SUM((TBA_Matches_All[[#This Row],[AspkrT]]+TBA_Matches_All[[#This Row],[TspkrT]])/(TBA_Matches_All[[#This Row],[AspkrT]]+TBA_Matches_All[[#This Row],[TspkrT]]+TBA_Matches_All[[#This Row],[spkrM]])),0)</f>
        <v>0.5</v>
      </c>
      <c r="BB85">
        <f>SUMIFS(Dyno_Data[DelMiss], Dyno_Data[Team],TBA_Matches_All[[#This Row],[Team]],Dyno_Data[Match],TBA_Matches_All[[#This Row],[Match_Number]],Dyno_Data[RecordType],"Activities", Dyno_Data[DelDest],"Trap")</f>
        <v>0</v>
      </c>
      <c r="BC85" s="60">
        <f>IFERROR((TBA_Matches_All[[#This Row],[AtrapT]]+TBA_Matches_All[[#This Row],[TtrapT]])/(TBA_Matches_All[[#This Row],[AtrapT]]+TBA_Matches_All[[#This Row],[TtrapT]]+TBA_Matches_All[[#This Row],[trapM]]),0)</f>
        <v>0</v>
      </c>
      <c r="BD85">
        <f>COUNTIFS(Dyno_Data[Team],TBA_Matches_All[[#This Row],[Team]],Dyno_Data[Match],TBA_Matches_All[[#This Row],[Match_Number]],Dyno_Data[RecordType],"Activities",Dyno_Data[DelDest],"Neut", Dyno_Data[DelMiss],1)</f>
        <v>0</v>
      </c>
      <c r="BE85" s="60">
        <f>IFERROR(SUM((TBA_Matches_All[[#This Row],[NeutFlrT]])/(TBA_Matches_All[[#This Row],[NeutFlrT]]+TBA_Matches_All[[#This Row],[NZflM]])),0)</f>
        <v>0</v>
      </c>
      <c r="BF85">
        <f>COUNTIFS(Dyno_Data[Team],TBA_Matches_All[[#This Row],[Team]],Dyno_Data[Match],TBA_Matches_All[[#This Row],[Match_Number]],Dyno_Data[RecordType],"Activities",Dyno_Data[DelDest],"AllyW", Dyno_Data[DelMiss],1)</f>
        <v>0</v>
      </c>
      <c r="BG85" s="60">
        <f>IFERROR(SUM((TBA_Matches_All[[#This Row],[AllyWFlrT]])/(TBA_Matches_All[[#This Row],[AllyWFlrT]]+TBA_Matches_All[[#This Row],[AZflM]])),0)</f>
        <v>0</v>
      </c>
      <c r="BH85">
        <f>COUNTIFS(Dyno_Data[Team],TBA_Matches_All[[#This Row],[Team]],Dyno_Data[Match],TBA_Matches_All[[#This Row],[Match_Number]],Dyno_Data[RecordType],"Activities",Dyno_Data[DelOrig],"OppW", Dyno_Data[DelMiss],"0")</f>
        <v>0</v>
      </c>
      <c r="BI85">
        <f>COUNTIFS(Dyno_Data[Team],TBA_Matches_All[[#This Row],[Team]],Dyno_Data[Match],TBA_Matches_All[[#This Row],[Match_Number]],Dyno_Data[RecordType],"Activities",Dyno_Data[DelOrig],"OppW", Dyno_Data[DelMiss],"1")</f>
        <v>0</v>
      </c>
      <c r="BJ85" s="60">
        <f>IFERROR(SUM((TBA_Matches_All[[#This Row],[OZflrT]])/(TBA_Matches_All[[#This Row],[OZflrT]]+TBA_Matches_All[[#This Row],[OZflrM]])),0)</f>
        <v>0</v>
      </c>
      <c r="BK85">
        <f>COUNTIFS(Dyno_Data[Team],TBA_Matches_All[[#This Row],[Team]],Dyno_Data[Match],TBA_Matches_All[[#This Row],[Match_Number]],Dyno_Data[RecordType],"Activities",Dyno_Data[DelOrig],"Neut", Dyno_Data[DelMiss],"0")</f>
        <v>0</v>
      </c>
      <c r="BL85">
        <f>COUNTIFS(Dyno_Data[Team],TBA_Matches_All[[#This Row],[Team]],Dyno_Data[Match],TBA_Matches_All[[#This Row],[Match_Number]],Dyno_Data[RecordType],"Activities",Dyno_Data[DelOrig],"Neut", Dyno_Data[DelMiss],"1")</f>
        <v>0</v>
      </c>
      <c r="BM85" s="60">
        <f>IFERROR(SUM((TBA_Matches_All[[#This Row],[NZflrT]])/(TBA_Matches_All[[#This Row],[NZflrT]]+TBA_Matches_All[[#This Row],[NZflrM]])),0)</f>
        <v>0</v>
      </c>
      <c r="BN85">
        <f>COUNTIFS(Dyno_Data[Team],TBA_Matches_All[[#This Row],[Team]],Dyno_Data[Match],TBA_Matches_All[[#This Row],[Match_Number]],Dyno_Data[RecordType],"Activities",Dyno_Data[DelOrig],"AllyW", Dyno_Data[DelMiss],"0")</f>
        <v>1</v>
      </c>
      <c r="BO85">
        <f>COUNTIFS(Dyno_Data[Team],TBA_Matches_All[[#This Row],[Team]],Dyno_Data[Match],TBA_Matches_All[[#This Row],[Match_Number]],Dyno_Data[RecordType],"Activities",Dyno_Data[DelOrig],"AllyW", Dyno_Data[DelMiss],"1")</f>
        <v>1</v>
      </c>
      <c r="BP85" s="60">
        <f>IFERROR(SUM((TBA_Matches_All[[#This Row],[AZflrT]])/(TBA_Matches_All[[#This Row],[AZflrT]]+TBA_Matches_All[[#This Row],[AZflrM]])),0)</f>
        <v>0.5</v>
      </c>
      <c r="BQ85">
        <f>COUNTIFS(Dyno_Data[Team],TBA_Matches_All[[#This Row],[Team]],Dyno_Data[Match],TBA_Matches_All[[#This Row],[Match_Number]],Dyno_Data[RecordType],"Activities",Dyno_Data[DelOrig],"SubW", Dyno_Data[DelMiss],"0")</f>
        <v>0</v>
      </c>
      <c r="BR85">
        <f>COUNTIFS(Dyno_Data[Team],TBA_Matches_All[[#This Row],[Team]],Dyno_Data[Match],TBA_Matches_All[[#This Row],[Match_Number]],Dyno_Data[RecordType],"Activities",Dyno_Data[DelOrig],"SubW", Dyno_Data[DelMiss],"1")</f>
        <v>0</v>
      </c>
      <c r="BS85" s="60">
        <f>IFERROR(SUM((TBA_Matches_All[[#This Row],[SubwT]])/(TBA_Matches_All[[#This Row],[SubwT]]+TBA_Matches_All[[#This Row],[SubwM]])),0)</f>
        <v>0</v>
      </c>
      <c r="BT85">
        <f>COUNTIFS(Dyno_Data[Team],TBA_Matches_All[[#This Row],[Team]],Dyno_Data[Match],TBA_Matches_All[[#This Row],[Match_Number]],Dyno_Data[RecordType],"Activities", Dyno_Data[AcqLoc],"OppWing")</f>
        <v>0</v>
      </c>
      <c r="BU85">
        <f>COUNTIFS(Dyno_Data[Team],TBA_Matches_All[[#This Row],[Team]],Dyno_Data[Match],TBA_Matches_All[[#This Row],[Match_Number]],Dyno_Data[RecordType],"Activities", Dyno_Data[AcqLoc],"Neutral")</f>
        <v>0</v>
      </c>
      <c r="BV85">
        <f>COUNTIFS(Dyno_Data[Team],TBA_Matches_All[[#This Row],[Team]],Dyno_Data[Match],TBA_Matches_All[[#This Row],[Match_Number]],Dyno_Data[RecordType],"Activities", Dyno_Data[AcqLoc],"AllyWing")</f>
        <v>0</v>
      </c>
      <c r="BW85">
        <f>COUNTIFS(Dyno_Data[Team],TBA_Matches_All[[#This Row],[Team]],Dyno_Data[Match],TBA_Matches_All[[#This Row],[Match_Number]],Dyno_Data[RecordType],"Activities", Dyno_Data[AcqLoc],"Source")</f>
        <v>0</v>
      </c>
      <c r="BX85">
        <f>SUMIFS(Dyno_Data[AcqDrp], Dyno_Data[Team],TBA_Matches_All[[#This Row],[Team]],Dyno_Data[Match],TBA_Matches_All[[#This Row],[Match_Number]],Dyno_Data[RecordType],"Activities", Dyno_Data[AcqLoc],"Source")</f>
        <v>0</v>
      </c>
      <c r="BY85">
        <f>SUMIFS(Dyno_Data[OZTime], Dyno_Data[Team],TBA_Matches_All[[#This Row],[Team]],Dyno_Data[Match],TBA_Matches_All[[#This Row],[Match_Number]],Dyno_Data[RecordType],"EndMatch")</f>
        <v>0</v>
      </c>
      <c r="BZ85">
        <f>SUMIFS(Dyno_Data[NZTime], Dyno_Data[Team],TBA_Matches_All[[#This Row],[Team]],Dyno_Data[Match],TBA_Matches_All[[#This Row],[Match_Number]],Dyno_Data[RecordType],"EndMatch")</f>
        <v>0</v>
      </c>
      <c r="CA85">
        <f>SUMIFS(Dyno_Data[AZTime], Dyno_Data[Team],TBA_Matches_All[[#This Row],[Team]],Dyno_Data[Match],TBA_Matches_All[[#This Row],[Match_Number]],Dyno_Data[RecordType],"EndMatch")</f>
        <v>133.55304749999999</v>
      </c>
      <c r="CB85">
        <f>SUMIFS(Dyno_Data[ClimbT], Dyno_Data[Team],TBA_Matches_All[[#This Row],[Team]],Dyno_Data[Match],TBA_Matches_All[[#This Row],[Match_Number]],Dyno_Data[RecordType],"EndMatch")</f>
        <v>0</v>
      </c>
      <c r="CC85" t="str">
        <f>_xlfn.XLOOKUP(SUM(MID(TBA_Matches_All[[#This Row],[Team]],4,5),(TBA_Matches_All[[#This Row],[Match_Number]]/100)),Dyno_EndMatch[teammat],Dyno_EndMatch[StageStat],"_",0,1)</f>
        <v>Else</v>
      </c>
      <c r="CD85" t="str">
        <f>_xlfn.XLOOKUP(TBA_Matches_All[[#This Row],[teammat]],Dyno_EndMatch[teammat],Dyno_EndMatch[StageAtt],"_",0,1)</f>
        <v>0</v>
      </c>
      <c r="CE85" t="str">
        <f>_xlfn.XLOOKUP(TBA_Matches_All[[#This Row],[teammat]],Dyno_EndMatch[teammat],Dyno_EndMatch[StageLoc],"_",0,1)</f>
        <v>A</v>
      </c>
      <c r="CF85">
        <f>SUMIFS(Dyno_Data[Harmony], Dyno_Data[Team],TBA_Matches_All[[#This Row],[Team]],Dyno_Data[Match],TBA_Matches_All[[#This Row],[Match_Number]],Dyno_Data[RecordType],"EndMatch", Dyno_Data[StageStat],"On",Dyno_Data[Harmony],"&lt;&gt;9")</f>
        <v>0</v>
      </c>
      <c r="CG85">
        <f>SUMIFS(Dyno_Data[Spotlit], Dyno_Data[Team],TBA_Matches_All[[#This Row],[Team]],Dyno_Data[Match],TBA_Matches_All[[#This Row],[Match_Number]],Dyno_Data[RecordType],"EndMatch", Dyno_Data[StageStat],"On",Dyno_Data[Spotlit],"&lt;&gt;9")</f>
        <v>0</v>
      </c>
      <c r="CH85" t="str">
        <f>_xlfn.XLOOKUP(TBA_Matches_All[[#This Row],[teammat]],Dyno_EndMatch[teammat],Dyno_EndMatch[Strategy],"_",0,1)</f>
        <v>None</v>
      </c>
      <c r="CI85">
        <f>SUMIFS(Dyno_Data[Defense], Dyno_Data[Team],TBA_Matches_All[[#This Row],[Team]],Dyno_Data[Match],TBA_Matches_All[[#This Row],[Match_Number]],Dyno_Data[RecordType],"EndMatch",Dyno_Data[Defense],"&lt;&gt;9")</f>
        <v>0</v>
      </c>
      <c r="CJ85">
        <f>SUMIFS(Dyno_Data[Avoidance], Dyno_Data[Team],TBA_Matches_All[[#This Row],[Team]],Dyno_Data[Match],TBA_Matches_All[[#This Row],[Match_Number]],Dyno_Data[RecordType],"EndMatch",Dyno_Data[Avoidance],"&lt;&gt;9")</f>
        <v>0</v>
      </c>
      <c r="CK85" s="82">
        <f>COUNTIF($H$2:TBA_Matches_All[[#This Row],[Team]],TBA_Matches_All[[#This Row],[Team]])</f>
        <v>2</v>
      </c>
      <c r="CL85" s="111">
        <f>SUM(MID(TBA_Matches_All[[#This Row],[Team]],4,5)+TBA_Matches_All[[#This Row],[Match_Number]]/100)</f>
        <v>9624.14</v>
      </c>
      <c r="CM85">
        <f>SUM((TBA_Matches_All[[#This Row],[Leave]]*2)+(TBA_Matches_All[[#This Row],[AampT]]*2)+(TBA_Matches_All[[#This Row],[AspkrT]]*5)+(TBA_Matches_All[[#This Row],[AtrapT]]*5))</f>
        <v>7</v>
      </c>
      <c r="CN85" s="59">
        <f>IFERROR(SUM(TBA_Matches_All[[#This Row],[AptsT]]/TBA_Matches_All[[#This Row],[AutoPts]]),0)</f>
        <v>0.26923076923076922</v>
      </c>
      <c r="CO85" s="59">
        <f>IFERROR(SUM(TBA_Matches_All[[#This Row],[AampT]]+TBA_Matches_All[[#This Row],[AspkrT]]+TBA_Matches_All[[#This Row],[AtrapT]]/TBA_Matches_All[[#This Row],[Aamp]]+TBA_Matches_All[[#This Row],[Aspkr]]+TBA_Matches_All[[#This Row],[AtrapT]]),0)</f>
        <v>0</v>
      </c>
      <c r="CP85" s="59">
        <f>IFERROR(SUM(TBA_Matches_All[[#This Row],[TampT]]/TBA_Matches_All[[#This Row],[Tamp]]),0)</f>
        <v>0</v>
      </c>
      <c r="CQ85" s="59">
        <f>IFERROR(SUM(TBA_Matches_All[[#This Row],[TspkrT]]/TBA_Matches_All[[#This Row],[Tspkr]]),0)</f>
        <v>0</v>
      </c>
      <c r="CR85">
        <f>SUM(TBA_Matches_All[[#This Row],[TspkrPts]]*TBA_Matches_All[[#This Row],[TspkrP]])</f>
        <v>0</v>
      </c>
      <c r="CS85" s="59">
        <f>IFERROR(SUM(TBA_Matches_All[[#This Row],[TtrapT]]/TBA_Matches_All[[#This Row],[Trap]]),0)</f>
        <v>0</v>
      </c>
      <c r="CT85" s="59">
        <f>IFERROR(SUM(TBA_Matches_All[[#This Row],[TotNotesT]]/TBA_Matches_All[[#This Row],[TotNotes]]),0)</f>
        <v>0.1111111111111111</v>
      </c>
      <c r="CU85" s="66">
        <f>SUM((TBA_Matches_All[[#This Row],[AampT]]*2)+(TBA_Matches_All[[#This Row],[AspkrT]]*5)+(TBA_Matches_All[[#This Row],[AtrapT]]*5)+(TBA_Matches_All[[#This Row],[TampT]]*1)+(TBA_Matches_All[[#This Row],[TspkrptsC]]))</f>
        <v>5</v>
      </c>
      <c r="CV85" s="59">
        <f>IFERROR(TBA_Matches_All[[#This Row],[noteptsT]]/TBA_Matches_All[[#This Row],[NotePts]],0)</f>
        <v>0.16666666666666666</v>
      </c>
      <c r="CW85">
        <f>SUM(IF(TBA_Matches_All[[#This Row],[stageStat]]="On",3,0),IF(TBA_Matches_All[[#This Row],[stageStat]]="Park",1,0),SUMIFS(TBA_Matches_All[[#This Row],[Spotlit]],TBA_Matches_All[[#This Row],[stageStat]],"On"),SUMIFS(TBA_Matches_All[[#This Row],[Harmony]],TBA_Matches_All[[#This Row],[stageStat]],"On"))</f>
        <v>0</v>
      </c>
      <c r="CX85" s="59">
        <f>IFERROR(TBA_Matches_All[[#This Row],[stageptsT]]/TBA_Matches_All[[#This Row],[StagePts]],0)</f>
        <v>0</v>
      </c>
      <c r="CY85">
        <f>SUM((TBA_Matches_All[[#This Row],[AptsT]]+TBA_Matches_All[[#This Row],[TampT]]+TBA_Matches_All[[#This Row],[TspkrptsC]]+(TBA_Matches_All[[#This Row],[TtrapT]]*5)+TBA_Matches_All[[#This Row],[stageptsT]]))</f>
        <v>7</v>
      </c>
      <c r="CZ85" s="59">
        <f>IFERROR(SUM(TBA_Matches_All[[#This Row],[TotptsC]]/TBA_Matches_All[[#This Row],[Score]]),0)</f>
        <v>0.17499999999999999</v>
      </c>
      <c r="DA8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13.0625</v>
      </c>
      <c r="DB85" s="74">
        <f>SUMIFS(TBA_Matches_All[AveTeamTNoteDels],TBA_Matches_All[Match_Number],TBA_Matches_All[[#This Row],[Match_Number]],TBA_Matches_All[Alliance],"&lt;&gt;"&amp;TBA_Matches_All[[#This Row],[Alliance]],TBA_Matches_All[Scouted],"&gt;0")</f>
        <v>15.301236263736264</v>
      </c>
      <c r="DC85" s="74">
        <f>(TBA_Matches_All[[#This Row],[TampT]]+TBA_Matches_All[[#This Row],[TspkrptsC]])-TBA_Matches_All[[#This Row],[AveTeamTNoteDels]]</f>
        <v>-13.0625</v>
      </c>
      <c r="DD85" s="74">
        <f>SUMIFS(TBA_Matches_All[AveTeamTNoteDels],TBA_Matches_All[Match_Number],TBA_Matches_All[[#This Row],[Match_Number]],TBA_Matches_All[Alliance],"&lt;&gt;"&amp;TBA_Matches_All[[#This Row],[Alliance]])-TBA_Matches_All[[#This Row],[AveOppTNoteDels]]</f>
        <v>0</v>
      </c>
    </row>
    <row r="86" spans="1:108" x14ac:dyDescent="0.3">
      <c r="A86" t="s">
        <v>1042</v>
      </c>
      <c r="B86" t="s">
        <v>489</v>
      </c>
      <c r="C86" t="s">
        <v>1323</v>
      </c>
      <c r="D86">
        <v>14</v>
      </c>
      <c r="E86" t="s">
        <v>1406</v>
      </c>
      <c r="F86" t="s">
        <v>1426</v>
      </c>
      <c r="G86" t="s">
        <v>164</v>
      </c>
      <c r="H86" t="s">
        <v>1289</v>
      </c>
      <c r="I86" t="b">
        <v>0</v>
      </c>
      <c r="J86">
        <v>30</v>
      </c>
      <c r="K86">
        <v>0</v>
      </c>
      <c r="L86">
        <v>0</v>
      </c>
      <c r="M86">
        <v>0</v>
      </c>
      <c r="N86">
        <v>0</v>
      </c>
      <c r="O86">
        <v>2</v>
      </c>
      <c r="P86">
        <v>10</v>
      </c>
      <c r="Q86">
        <v>12</v>
      </c>
      <c r="R86">
        <v>2</v>
      </c>
      <c r="S86">
        <v>1</v>
      </c>
      <c r="T86">
        <v>3</v>
      </c>
      <c r="U86">
        <v>5</v>
      </c>
      <c r="V86">
        <v>6</v>
      </c>
      <c r="W86">
        <v>4</v>
      </c>
      <c r="X86">
        <v>11</v>
      </c>
      <c r="Y86">
        <v>13</v>
      </c>
      <c r="Z86">
        <v>0</v>
      </c>
      <c r="AA86">
        <v>0</v>
      </c>
      <c r="AB86">
        <v>8</v>
      </c>
      <c r="AC86">
        <v>23</v>
      </c>
      <c r="AD86">
        <v>3</v>
      </c>
      <c r="AE86">
        <f>IFERROR(6/(COUNTIF(Dyno_EndMatch[Match],TBA_Matches_All[[#This Row],[Match_Number]])),0)</f>
        <v>1</v>
      </c>
      <c r="AF86">
        <f>COUNTIFS(Dyno_Data[Team],TBA_Matches_All[[#This Row],[Team]],Dyno_Data[Match],TBA_Matches_All[[#This Row],[Match_Number]],Dyno_Data[RecordType],"EndMatch",Dyno_Data[HPAmp],"Y")</f>
        <v>1</v>
      </c>
      <c r="AG86">
        <f>SUMIFS(Dyno_Data[Mics], Dyno_Data[Team],TBA_Matches_All[[#This Row],[Team]],Dyno_Data[Match],TBA_Matches_All[[#This Row],[Match_Number]],Dyno_Data[RecordType],"EndMatch",Dyno_Data[HPAmp],"Y")</f>
        <v>1</v>
      </c>
      <c r="AH86">
        <f>SUMIFS(Dyno_Data[Leave], Dyno_Data[Team],TBA_Matches_All[[#This Row],[Team]],Dyno_Data[Match],TBA_Matches_All[[#This Row],[Match_Number]],Dyno_Data[RecordType],"EndAuto")</f>
        <v>0</v>
      </c>
      <c r="AI86">
        <f>COUNTIFS(Dyno_Data[Team],TBA_Matches_All[[#This Row],[Team]],Dyno_Data[Match],TBA_Matches_All[[#This Row],[Match_Number]],Dyno_Data[RecordType],"Activities",Dyno_Data[DelDest],"Amp", Dyno_Data[DelMiss],"0", Dyno_Data[Mode],"Auto")</f>
        <v>0</v>
      </c>
      <c r="AJ86">
        <f>COUNTIFS(Dyno_Data[Team],TBA_Matches_All[[#This Row],[Team]],Dyno_Data[Match],TBA_Matches_All[[#This Row],[Match_Number]],Dyno_Data[RecordType],"Activities",Dyno_Data[DelDest],"Spkr", Dyno_Data[DelMiss],"0", Dyno_Data[Mode],"Auto")</f>
        <v>0</v>
      </c>
      <c r="AK86">
        <f>COUNTIFS(Dyno_Data[Team],TBA_Matches_All[[#This Row],[Team]],Dyno_Data[Match],TBA_Matches_All[[#This Row],[Match_Number]],Dyno_Data[RecordType],"Activities",Dyno_Data[DelDest],"Trap", Dyno_Data[DelMiss],"0", Dyno_Data[Mode],"Auto")</f>
        <v>0</v>
      </c>
      <c r="AL86">
        <f>COUNTIFS(Dyno_Data[Team],TBA_Matches_All[[#This Row],[Team]],Dyno_Data[Match],TBA_Matches_All[[#This Row],[Match_Number]],Dyno_Data[RecordType],"Activities",Dyno_Data[DelDest],"Amp", Dyno_Data[DelMiss],"0", Dyno_Data[Mode],"Teleop")</f>
        <v>0</v>
      </c>
      <c r="AM86">
        <f>COUNTIFS(Dyno_Data[Team],TBA_Matches_All[[#This Row],[Team]],Dyno_Data[Match],TBA_Matches_All[[#This Row],[Match_Number]],Dyno_Data[RecordType],"Activities",Dyno_Data[DelDest],"Spkr", Dyno_Data[DelMiss],"0", Dyno_Data[Mode],"Teleop")</f>
        <v>0</v>
      </c>
      <c r="AN86">
        <f>COUNTIFS(Dyno_Data[Team],TBA_Matches_All[[#This Row],[Team]],Dyno_Data[Match],TBA_Matches_All[[#This Row],[Match_Number]],Dyno_Data[RecordType],"Activities",Dyno_Data[DelDest],"Trap", Dyno_Data[DelMiss],"0", Dyno_Data[Mode],"&lt;&gt;Auto")</f>
        <v>0</v>
      </c>
      <c r="AO86">
        <f>SUM(TBA_Matches_All[[#This Row],[AampT]]+TBA_Matches_All[[#This Row],[AspkrT]]+TBA_Matches_All[[#This Row],[AtrapT]]+TBA_Matches_All[[#This Row],[TampT]]+TBA_Matches_All[[#This Row],[TspkrT]]+TBA_Matches_All[[#This Row],[TtrapT]])</f>
        <v>0</v>
      </c>
      <c r="AP86">
        <f>COUNTIFS(Dyno_Data[Team],TBA_Matches_All[[#This Row],[Team]],Dyno_Data[Match],TBA_Matches_All[[#This Row],[Match_Number]],Dyno_Data[RecordType],"Activities",Dyno_Data[DelDest],"Neut", Dyno_Data[DelMiss],"0")</f>
        <v>0</v>
      </c>
      <c r="AQ86">
        <f>COUNTIFS(Dyno_Data[Team],TBA_Matches_All[[#This Row],[Team]],Dyno_Data[Match],TBA_Matches_All[[#This Row],[Match_Number]],Dyno_Data[RecordType],"Activities",Dyno_Data[DelDest],"AllyW", Dyno_Data[DelMiss],"0")</f>
        <v>0</v>
      </c>
      <c r="AR86" t="str">
        <f>_xlfn.XLOOKUP(SUM(MID(TBA_Matches_All[[#This Row],[Team]],4,5),(TBA_Matches_All[[#This Row],[Match_Number]]/100)),Dyno_EndMatch[teammat],Dyno_EndMatch[RobotSta],"_",0,1)</f>
        <v>Amp</v>
      </c>
      <c r="AS86">
        <f>SUMIFS(Dyno_Data[AcqDis], Dyno_Data[Team],TBA_Matches_All[[#This Row],[Team]],Dyno_Data[Match],TBA_Matches_All[[#This Row],[Match_Number]],Dyno_Data[RecordType],"Activities", Dyno_Data[AcqCenter],1,Dyno_Data[Mode],"Auto")</f>
        <v>0</v>
      </c>
      <c r="AT86">
        <f>SUMIFS(Dyno_Data[AcqDis], Dyno_Data[Team],TBA_Matches_All[[#This Row],[Team]],Dyno_Data[Match],TBA_Matches_All[[#This Row],[Match_Number]],Dyno_Data[RecordType],"Activities", Dyno_Data[AcqCenter],2,Dyno_Data[Mode],"Auto")</f>
        <v>0</v>
      </c>
      <c r="AU86">
        <f>SUMIFS(Dyno_Data[AcqDis], Dyno_Data[Team],TBA_Matches_All[[#This Row],[Team]],Dyno_Data[Match],TBA_Matches_All[[#This Row],[Match_Number]],Dyno_Data[RecordType],"Activities", Dyno_Data[AcqCenter],3,Dyno_Data[Mode],"Auto")</f>
        <v>0</v>
      </c>
      <c r="AV86">
        <f>SUMIFS(Dyno_Data[AcqDis], Dyno_Data[Team],TBA_Matches_All[[#This Row],[Team]],Dyno_Data[Match],TBA_Matches_All[[#This Row],[Match_Number]],Dyno_Data[RecordType],"Activities", Dyno_Data[AcqCenter],4,Dyno_Data[Mode],"Auto")</f>
        <v>0</v>
      </c>
      <c r="AW86">
        <f>SUMIFS(Dyno_Data[AcqDis], Dyno_Data[Team],TBA_Matches_All[[#This Row],[Team]],Dyno_Data[Match],TBA_Matches_All[[#This Row],[Match_Number]],Dyno_Data[RecordType],"Activities", Dyno_Data[AcqCenter],5,Dyno_Data[Mode],"Auto")</f>
        <v>0</v>
      </c>
      <c r="AX86">
        <f>SUMIFS(Dyno_Data[DelMiss], Dyno_Data[Team],TBA_Matches_All[[#This Row],[Team]],Dyno_Data[Match],TBA_Matches_All[[#This Row],[Match_Number]],Dyno_Data[RecordType],"Activities", Dyno_Data[DelDest],"Amp")</f>
        <v>1</v>
      </c>
      <c r="AY86" s="60">
        <f>IFERROR(SUM((TBA_Matches_All[[#This Row],[AampT]]+TBA_Matches_All[[#This Row],[TampT]])/(TBA_Matches_All[[#This Row],[AampT]]+TBA_Matches_All[[#This Row],[TampT]]+TBA_Matches_All[[#This Row],[ampM]])),0)</f>
        <v>0</v>
      </c>
      <c r="AZ86">
        <f>SUMIFS(Dyno_Data[DelMiss], Dyno_Data[Team],TBA_Matches_All[[#This Row],[Team]],Dyno_Data[Match],TBA_Matches_All[[#This Row],[Match_Number]],Dyno_Data[RecordType],"Activities", Dyno_Data[DelDest],"Spkr")</f>
        <v>0</v>
      </c>
      <c r="BA86" s="60">
        <f>IFERROR(SUM((TBA_Matches_All[[#This Row],[AspkrT]]+TBA_Matches_All[[#This Row],[TspkrT]])/(TBA_Matches_All[[#This Row],[AspkrT]]+TBA_Matches_All[[#This Row],[TspkrT]]+TBA_Matches_All[[#This Row],[spkrM]])),0)</f>
        <v>0</v>
      </c>
      <c r="BB86">
        <f>SUMIFS(Dyno_Data[DelMiss], Dyno_Data[Team],TBA_Matches_All[[#This Row],[Team]],Dyno_Data[Match],TBA_Matches_All[[#This Row],[Match_Number]],Dyno_Data[RecordType],"Activities", Dyno_Data[DelDest],"Trap")</f>
        <v>0</v>
      </c>
      <c r="BC86" s="60">
        <f>IFERROR((TBA_Matches_All[[#This Row],[AtrapT]]+TBA_Matches_All[[#This Row],[TtrapT]])/(TBA_Matches_All[[#This Row],[AtrapT]]+TBA_Matches_All[[#This Row],[TtrapT]]+TBA_Matches_All[[#This Row],[trapM]]),0)</f>
        <v>0</v>
      </c>
      <c r="BD86">
        <f>COUNTIFS(Dyno_Data[Team],TBA_Matches_All[[#This Row],[Team]],Dyno_Data[Match],TBA_Matches_All[[#This Row],[Match_Number]],Dyno_Data[RecordType],"Activities",Dyno_Data[DelDest],"Neut", Dyno_Data[DelMiss],1)</f>
        <v>0</v>
      </c>
      <c r="BE86" s="60">
        <f>IFERROR(SUM((TBA_Matches_All[[#This Row],[NeutFlrT]])/(TBA_Matches_All[[#This Row],[NeutFlrT]]+TBA_Matches_All[[#This Row],[NZflM]])),0)</f>
        <v>0</v>
      </c>
      <c r="BF86">
        <f>COUNTIFS(Dyno_Data[Team],TBA_Matches_All[[#This Row],[Team]],Dyno_Data[Match],TBA_Matches_All[[#This Row],[Match_Number]],Dyno_Data[RecordType],"Activities",Dyno_Data[DelDest],"AllyW", Dyno_Data[DelMiss],1)</f>
        <v>0</v>
      </c>
      <c r="BG86" s="60">
        <f>IFERROR(SUM((TBA_Matches_All[[#This Row],[AllyWFlrT]])/(TBA_Matches_All[[#This Row],[AllyWFlrT]]+TBA_Matches_All[[#This Row],[AZflM]])),0)</f>
        <v>0</v>
      </c>
      <c r="BH86">
        <f>COUNTIFS(Dyno_Data[Team],TBA_Matches_All[[#This Row],[Team]],Dyno_Data[Match],TBA_Matches_All[[#This Row],[Match_Number]],Dyno_Data[RecordType],"Activities",Dyno_Data[DelOrig],"OppW", Dyno_Data[DelMiss],"0")</f>
        <v>0</v>
      </c>
      <c r="BI86">
        <f>COUNTIFS(Dyno_Data[Team],TBA_Matches_All[[#This Row],[Team]],Dyno_Data[Match],TBA_Matches_All[[#This Row],[Match_Number]],Dyno_Data[RecordType],"Activities",Dyno_Data[DelOrig],"OppW", Dyno_Data[DelMiss],"1")</f>
        <v>0</v>
      </c>
      <c r="BJ86" s="60">
        <f>IFERROR(SUM((TBA_Matches_All[[#This Row],[OZflrT]])/(TBA_Matches_All[[#This Row],[OZflrT]]+TBA_Matches_All[[#This Row],[OZflrM]])),0)</f>
        <v>0</v>
      </c>
      <c r="BK86">
        <f>COUNTIFS(Dyno_Data[Team],TBA_Matches_All[[#This Row],[Team]],Dyno_Data[Match],TBA_Matches_All[[#This Row],[Match_Number]],Dyno_Data[RecordType],"Activities",Dyno_Data[DelOrig],"Neut", Dyno_Data[DelMiss],"0")</f>
        <v>0</v>
      </c>
      <c r="BL86">
        <f>COUNTIFS(Dyno_Data[Team],TBA_Matches_All[[#This Row],[Team]],Dyno_Data[Match],TBA_Matches_All[[#This Row],[Match_Number]],Dyno_Data[RecordType],"Activities",Dyno_Data[DelOrig],"Neut", Dyno_Data[DelMiss],"1")</f>
        <v>0</v>
      </c>
      <c r="BM86" s="60">
        <f>IFERROR(SUM((TBA_Matches_All[[#This Row],[NZflrT]])/(TBA_Matches_All[[#This Row],[NZflrT]]+TBA_Matches_All[[#This Row],[NZflrM]])),0)</f>
        <v>0</v>
      </c>
      <c r="BN86">
        <f>COUNTIFS(Dyno_Data[Team],TBA_Matches_All[[#This Row],[Team]],Dyno_Data[Match],TBA_Matches_All[[#This Row],[Match_Number]],Dyno_Data[RecordType],"Activities",Dyno_Data[DelOrig],"AllyW", Dyno_Data[DelMiss],"0")</f>
        <v>0</v>
      </c>
      <c r="BO86">
        <f>COUNTIFS(Dyno_Data[Team],TBA_Matches_All[[#This Row],[Team]],Dyno_Data[Match],TBA_Matches_All[[#This Row],[Match_Number]],Dyno_Data[RecordType],"Activities",Dyno_Data[DelOrig],"AllyW", Dyno_Data[DelMiss],"1")</f>
        <v>0</v>
      </c>
      <c r="BP86" s="60">
        <f>IFERROR(SUM((TBA_Matches_All[[#This Row],[AZflrT]])/(TBA_Matches_All[[#This Row],[AZflrT]]+TBA_Matches_All[[#This Row],[AZflrM]])),0)</f>
        <v>0</v>
      </c>
      <c r="BQ86">
        <f>COUNTIFS(Dyno_Data[Team],TBA_Matches_All[[#This Row],[Team]],Dyno_Data[Match],TBA_Matches_All[[#This Row],[Match_Number]],Dyno_Data[RecordType],"Activities",Dyno_Data[DelOrig],"SubW", Dyno_Data[DelMiss],"0")</f>
        <v>0</v>
      </c>
      <c r="BR86">
        <f>COUNTIFS(Dyno_Data[Team],TBA_Matches_All[[#This Row],[Team]],Dyno_Data[Match],TBA_Matches_All[[#This Row],[Match_Number]],Dyno_Data[RecordType],"Activities",Dyno_Data[DelOrig],"SubW", Dyno_Data[DelMiss],"1")</f>
        <v>1</v>
      </c>
      <c r="BS86" s="60">
        <f>IFERROR(SUM((TBA_Matches_All[[#This Row],[SubwT]])/(TBA_Matches_All[[#This Row],[SubwT]]+TBA_Matches_All[[#This Row],[SubwM]])),0)</f>
        <v>0</v>
      </c>
      <c r="BT86">
        <f>COUNTIFS(Dyno_Data[Team],TBA_Matches_All[[#This Row],[Team]],Dyno_Data[Match],TBA_Matches_All[[#This Row],[Match_Number]],Dyno_Data[RecordType],"Activities", Dyno_Data[AcqLoc],"OppWing")</f>
        <v>0</v>
      </c>
      <c r="BU86">
        <f>COUNTIFS(Dyno_Data[Team],TBA_Matches_All[[#This Row],[Team]],Dyno_Data[Match],TBA_Matches_All[[#This Row],[Match_Number]],Dyno_Data[RecordType],"Activities", Dyno_Data[AcqLoc],"Neutral")</f>
        <v>0</v>
      </c>
      <c r="BV86">
        <f>COUNTIFS(Dyno_Data[Team],TBA_Matches_All[[#This Row],[Team]],Dyno_Data[Match],TBA_Matches_All[[#This Row],[Match_Number]],Dyno_Data[RecordType],"Activities", Dyno_Data[AcqLoc],"AllyWing")</f>
        <v>0</v>
      </c>
      <c r="BW86">
        <f>COUNTIFS(Dyno_Data[Team],TBA_Matches_All[[#This Row],[Team]],Dyno_Data[Match],TBA_Matches_All[[#This Row],[Match_Number]],Dyno_Data[RecordType],"Activities", Dyno_Data[AcqLoc],"Source")</f>
        <v>0</v>
      </c>
      <c r="BX86">
        <f>SUMIFS(Dyno_Data[AcqDrp], Dyno_Data[Team],TBA_Matches_All[[#This Row],[Team]],Dyno_Data[Match],TBA_Matches_All[[#This Row],[Match_Number]],Dyno_Data[RecordType],"Activities", Dyno_Data[AcqLoc],"Source")</f>
        <v>0</v>
      </c>
      <c r="BY86">
        <f>SUMIFS(Dyno_Data[OZTime], Dyno_Data[Team],TBA_Matches_All[[#This Row],[Team]],Dyno_Data[Match],TBA_Matches_All[[#This Row],[Match_Number]],Dyno_Data[RecordType],"EndMatch")</f>
        <v>22.031511999999999</v>
      </c>
      <c r="BZ86">
        <f>SUMIFS(Dyno_Data[NZTime], Dyno_Data[Team],TBA_Matches_All[[#This Row],[Team]],Dyno_Data[Match],TBA_Matches_All[[#This Row],[Match_Number]],Dyno_Data[RecordType],"EndMatch")</f>
        <v>9.0312514999999998</v>
      </c>
      <c r="CA86">
        <f>SUMIFS(Dyno_Data[AZTime], Dyno_Data[Team],TBA_Matches_All[[#This Row],[Team]],Dyno_Data[Match],TBA_Matches_All[[#This Row],[Match_Number]],Dyno_Data[RecordType],"EndMatch")</f>
        <v>105.84275359999999</v>
      </c>
      <c r="CB86">
        <f>SUMIFS(Dyno_Data[ClimbT], Dyno_Data[Team],TBA_Matches_All[[#This Row],[Team]],Dyno_Data[Match],TBA_Matches_All[[#This Row],[Match_Number]],Dyno_Data[RecordType],"EndMatch")</f>
        <v>0</v>
      </c>
      <c r="CC86" t="str">
        <f>_xlfn.XLOOKUP(SUM(MID(TBA_Matches_All[[#This Row],[Team]],4,5),(TBA_Matches_All[[#This Row],[Match_Number]]/100)),Dyno_EndMatch[teammat],Dyno_EndMatch[StageStat],"_",0,1)</f>
        <v>Park</v>
      </c>
      <c r="CD86" t="str">
        <f>_xlfn.XLOOKUP(TBA_Matches_All[[#This Row],[teammat]],Dyno_EndMatch[teammat],Dyno_EndMatch[StageAtt],"_",0,1)</f>
        <v>0</v>
      </c>
      <c r="CE86" t="str">
        <f>_xlfn.XLOOKUP(TBA_Matches_All[[#This Row],[teammat]],Dyno_EndMatch[teammat],Dyno_EndMatch[StageLoc],"_",0,1)</f>
        <v>A</v>
      </c>
      <c r="CF86">
        <f>SUMIFS(Dyno_Data[Harmony], Dyno_Data[Team],TBA_Matches_All[[#This Row],[Team]],Dyno_Data[Match],TBA_Matches_All[[#This Row],[Match_Number]],Dyno_Data[RecordType],"EndMatch", Dyno_Data[StageStat],"On",Dyno_Data[Harmony],"&lt;&gt;9")</f>
        <v>0</v>
      </c>
      <c r="CG86">
        <f>SUMIFS(Dyno_Data[Spotlit], Dyno_Data[Team],TBA_Matches_All[[#This Row],[Team]],Dyno_Data[Match],TBA_Matches_All[[#This Row],[Match_Number]],Dyno_Data[RecordType],"EndMatch", Dyno_Data[StageStat],"On",Dyno_Data[Spotlit],"&lt;&gt;9")</f>
        <v>0</v>
      </c>
      <c r="CH86" t="str">
        <f>_xlfn.XLOOKUP(TBA_Matches_All[[#This Row],[teammat]],Dyno_EndMatch[teammat],Dyno_EndMatch[Strategy],"_",0,1)</f>
        <v>Defense</v>
      </c>
      <c r="CI86">
        <f>SUMIFS(Dyno_Data[Defense], Dyno_Data[Team],TBA_Matches_All[[#This Row],[Team]],Dyno_Data[Match],TBA_Matches_All[[#This Row],[Match_Number]],Dyno_Data[RecordType],"EndMatch",Dyno_Data[Defense],"&lt;&gt;9")</f>
        <v>3</v>
      </c>
      <c r="CJ86">
        <f>SUMIFS(Dyno_Data[Avoidance], Dyno_Data[Team],TBA_Matches_All[[#This Row],[Team]],Dyno_Data[Match],TBA_Matches_All[[#This Row],[Match_Number]],Dyno_Data[RecordType],"EndMatch",Dyno_Data[Avoidance],"&lt;&gt;9")</f>
        <v>0</v>
      </c>
      <c r="CK86" s="82">
        <f>COUNTIF($H$2:TBA_Matches_All[[#This Row],[Team]],TBA_Matches_All[[#This Row],[Team]])</f>
        <v>2</v>
      </c>
      <c r="CL86" s="111">
        <f>SUM(MID(TBA_Matches_All[[#This Row],[Team]],4,5)+TBA_Matches_All[[#This Row],[Match_Number]]/100)</f>
        <v>6648.14</v>
      </c>
      <c r="CM86">
        <f>SUM((TBA_Matches_All[[#This Row],[Leave]]*2)+(TBA_Matches_All[[#This Row],[AampT]]*2)+(TBA_Matches_All[[#This Row],[AspkrT]]*5)+(TBA_Matches_All[[#This Row],[AtrapT]]*5))</f>
        <v>0</v>
      </c>
      <c r="CN86" s="59">
        <f>IFERROR(SUM(TBA_Matches_All[[#This Row],[AptsT]]/TBA_Matches_All[[#This Row],[AutoPts]]),0)</f>
        <v>0</v>
      </c>
      <c r="CO86" s="59">
        <f>IFERROR(SUM(TBA_Matches_All[[#This Row],[AampT]]+TBA_Matches_All[[#This Row],[AspkrT]]+TBA_Matches_All[[#This Row],[AtrapT]]/TBA_Matches_All[[#This Row],[Aamp]]+TBA_Matches_All[[#This Row],[Aspkr]]+TBA_Matches_All[[#This Row],[AtrapT]]),0)</f>
        <v>0</v>
      </c>
      <c r="CP86" s="59">
        <f>IFERROR(SUM(TBA_Matches_All[[#This Row],[TampT]]/TBA_Matches_All[[#This Row],[Tamp]]),0)</f>
        <v>0</v>
      </c>
      <c r="CQ86" s="59">
        <f>IFERROR(SUM(TBA_Matches_All[[#This Row],[TspkrT]]/TBA_Matches_All[[#This Row],[Tspkr]]),0)</f>
        <v>0</v>
      </c>
      <c r="CR86">
        <f>SUM(TBA_Matches_All[[#This Row],[TspkrPts]]*TBA_Matches_All[[#This Row],[TspkrP]])</f>
        <v>0</v>
      </c>
      <c r="CS86" s="59">
        <f>IFERROR(SUM(TBA_Matches_All[[#This Row],[TtrapT]]/TBA_Matches_All[[#This Row],[Trap]]),0)</f>
        <v>0</v>
      </c>
      <c r="CT86" s="59">
        <f>IFERROR(SUM(TBA_Matches_All[[#This Row],[TotNotesT]]/TBA_Matches_All[[#This Row],[TotNotes]]),0)</f>
        <v>0</v>
      </c>
      <c r="CU86" s="66">
        <f>SUM((TBA_Matches_All[[#This Row],[AampT]]*2)+(TBA_Matches_All[[#This Row],[AspkrT]]*5)+(TBA_Matches_All[[#This Row],[AtrapT]]*5)+(TBA_Matches_All[[#This Row],[TampT]]*1)+(TBA_Matches_All[[#This Row],[TspkrptsC]]))</f>
        <v>0</v>
      </c>
      <c r="CV86" s="59">
        <f>IFERROR(TBA_Matches_All[[#This Row],[noteptsT]]/TBA_Matches_All[[#This Row],[NotePts]],0)</f>
        <v>0</v>
      </c>
      <c r="CW86">
        <f>SUM(IF(TBA_Matches_All[[#This Row],[stageStat]]="On",3,0),IF(TBA_Matches_All[[#This Row],[stageStat]]="Park",1,0),SUMIFS(TBA_Matches_All[[#This Row],[Spotlit]],TBA_Matches_All[[#This Row],[stageStat]],"On"),SUMIFS(TBA_Matches_All[[#This Row],[Harmony]],TBA_Matches_All[[#This Row],[stageStat]],"On"))</f>
        <v>1</v>
      </c>
      <c r="CX86" s="59">
        <f>IFERROR(TBA_Matches_All[[#This Row],[stageptsT]]/TBA_Matches_All[[#This Row],[StagePts]],0)</f>
        <v>0.33333333333333331</v>
      </c>
      <c r="CY86">
        <f>SUM((TBA_Matches_All[[#This Row],[AptsT]]+TBA_Matches_All[[#This Row],[TampT]]+TBA_Matches_All[[#This Row],[TspkrptsC]]+(TBA_Matches_All[[#This Row],[TtrapT]]*5)+TBA_Matches_All[[#This Row],[stageptsT]]))</f>
        <v>1</v>
      </c>
      <c r="CZ86" s="59">
        <f>IFERROR(SUM(TBA_Matches_All[[#This Row],[TotptsC]]/TBA_Matches_All[[#This Row],[Score]]),0)</f>
        <v>3.3333333333333333E-2</v>
      </c>
      <c r="DA8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0.4</v>
      </c>
      <c r="DB86" s="74">
        <f>SUMIFS(TBA_Matches_All[AveTeamTNoteDels],TBA_Matches_All[Match_Number],TBA_Matches_All[[#This Row],[Match_Number]],TBA_Matches_All[Alliance],"&lt;&gt;"&amp;TBA_Matches_All[[#This Row],[Alliance]],TBA_Matches_All[Scouted],"&gt;0")</f>
        <v>32.251071428571429</v>
      </c>
      <c r="DC86" s="74">
        <f>(TBA_Matches_All[[#This Row],[TampT]]+TBA_Matches_All[[#This Row],[TspkrptsC]])-TBA_Matches_All[[#This Row],[AveTeamTNoteDels]]</f>
        <v>-0.4</v>
      </c>
      <c r="DD86" s="74">
        <f>SUMIFS(TBA_Matches_All[AveTeamTNoteDels],TBA_Matches_All[Match_Number],TBA_Matches_All[[#This Row],[Match_Number]],TBA_Matches_All[Alliance],"&lt;&gt;"&amp;TBA_Matches_All[[#This Row],[Alliance]])-TBA_Matches_All[[#This Row],[AveOppTNoteDels]]</f>
        <v>0</v>
      </c>
    </row>
    <row r="87" spans="1:108" x14ac:dyDescent="0.3">
      <c r="A87" t="s">
        <v>1042</v>
      </c>
      <c r="B87" t="s">
        <v>489</v>
      </c>
      <c r="C87" t="s">
        <v>1324</v>
      </c>
      <c r="D87">
        <v>15</v>
      </c>
      <c r="E87" t="s">
        <v>1420</v>
      </c>
      <c r="F87" t="s">
        <v>1421</v>
      </c>
      <c r="G87" t="s">
        <v>164</v>
      </c>
      <c r="H87" t="s">
        <v>1308</v>
      </c>
      <c r="I87" t="b">
        <v>1</v>
      </c>
      <c r="J87">
        <v>111</v>
      </c>
      <c r="K87">
        <v>1</v>
      </c>
      <c r="L87">
        <v>1</v>
      </c>
      <c r="M87">
        <v>0</v>
      </c>
      <c r="N87">
        <v>0</v>
      </c>
      <c r="O87">
        <v>6</v>
      </c>
      <c r="P87">
        <v>30</v>
      </c>
      <c r="Q87">
        <v>36</v>
      </c>
      <c r="R87">
        <v>1</v>
      </c>
      <c r="S87">
        <v>0</v>
      </c>
      <c r="T87">
        <v>21</v>
      </c>
      <c r="U87">
        <v>0</v>
      </c>
      <c r="V87">
        <v>42</v>
      </c>
      <c r="W87">
        <v>21</v>
      </c>
      <c r="X87">
        <v>42</v>
      </c>
      <c r="Y87">
        <v>43</v>
      </c>
      <c r="Z87">
        <v>0</v>
      </c>
      <c r="AA87">
        <v>0</v>
      </c>
      <c r="AB87">
        <v>28</v>
      </c>
      <c r="AC87">
        <v>73</v>
      </c>
      <c r="AD87">
        <v>12</v>
      </c>
      <c r="AE87">
        <f>IFERROR(6/(COUNTIF(Dyno_EndMatch[Match],TBA_Matches_All[[#This Row],[Match_Number]])),0)</f>
        <v>1</v>
      </c>
      <c r="AF87">
        <f>COUNTIFS(Dyno_Data[Team],TBA_Matches_All[[#This Row],[Team]],Dyno_Data[Match],TBA_Matches_All[[#This Row],[Match_Number]],Dyno_Data[RecordType],"EndMatch",Dyno_Data[HPAmp],"Y")</f>
        <v>0</v>
      </c>
      <c r="AG87">
        <f>SUMIFS(Dyno_Data[Mics], Dyno_Data[Team],TBA_Matches_All[[#This Row],[Team]],Dyno_Data[Match],TBA_Matches_All[[#This Row],[Match_Number]],Dyno_Data[RecordType],"EndMatch",Dyno_Data[HPAmp],"Y")</f>
        <v>0</v>
      </c>
      <c r="AH87">
        <f>SUMIFS(Dyno_Data[Leave], Dyno_Data[Team],TBA_Matches_All[[#This Row],[Team]],Dyno_Data[Match],TBA_Matches_All[[#This Row],[Match_Number]],Dyno_Data[RecordType],"EndAuto")</f>
        <v>0</v>
      </c>
      <c r="AI87">
        <f>COUNTIFS(Dyno_Data[Team],TBA_Matches_All[[#This Row],[Team]],Dyno_Data[Match],TBA_Matches_All[[#This Row],[Match_Number]],Dyno_Data[RecordType],"Activities",Dyno_Data[DelDest],"Amp", Dyno_Data[DelMiss],"0", Dyno_Data[Mode],"Auto")</f>
        <v>0</v>
      </c>
      <c r="AJ87">
        <f>COUNTIFS(Dyno_Data[Team],TBA_Matches_All[[#This Row],[Team]],Dyno_Data[Match],TBA_Matches_All[[#This Row],[Match_Number]],Dyno_Data[RecordType],"Activities",Dyno_Data[DelDest],"Spkr", Dyno_Data[DelMiss],"0", Dyno_Data[Mode],"Auto")</f>
        <v>1</v>
      </c>
      <c r="AK87">
        <f>COUNTIFS(Dyno_Data[Team],TBA_Matches_All[[#This Row],[Team]],Dyno_Data[Match],TBA_Matches_All[[#This Row],[Match_Number]],Dyno_Data[RecordType],"Activities",Dyno_Data[DelDest],"Trap", Dyno_Data[DelMiss],"0", Dyno_Data[Mode],"Auto")</f>
        <v>0</v>
      </c>
      <c r="AL87">
        <f>COUNTIFS(Dyno_Data[Team],TBA_Matches_All[[#This Row],[Team]],Dyno_Data[Match],TBA_Matches_All[[#This Row],[Match_Number]],Dyno_Data[RecordType],"Activities",Dyno_Data[DelDest],"Amp", Dyno_Data[DelMiss],"0", Dyno_Data[Mode],"Teleop")</f>
        <v>0</v>
      </c>
      <c r="AM87">
        <f>COUNTIFS(Dyno_Data[Team],TBA_Matches_All[[#This Row],[Team]],Dyno_Data[Match],TBA_Matches_All[[#This Row],[Match_Number]],Dyno_Data[RecordType],"Activities",Dyno_Data[DelDest],"Spkr", Dyno_Data[DelMiss],"0", Dyno_Data[Mode],"Teleop")</f>
        <v>7</v>
      </c>
      <c r="AN87">
        <f>COUNTIFS(Dyno_Data[Team],TBA_Matches_All[[#This Row],[Team]],Dyno_Data[Match],TBA_Matches_All[[#This Row],[Match_Number]],Dyno_Data[RecordType],"Activities",Dyno_Data[DelDest],"Trap", Dyno_Data[DelMiss],"0", Dyno_Data[Mode],"&lt;&gt;Auto")</f>
        <v>0</v>
      </c>
      <c r="AO87">
        <f>SUM(TBA_Matches_All[[#This Row],[AampT]]+TBA_Matches_All[[#This Row],[AspkrT]]+TBA_Matches_All[[#This Row],[AtrapT]]+TBA_Matches_All[[#This Row],[TampT]]+TBA_Matches_All[[#This Row],[TspkrT]]+TBA_Matches_All[[#This Row],[TtrapT]])</f>
        <v>8</v>
      </c>
      <c r="AP87">
        <f>COUNTIFS(Dyno_Data[Team],TBA_Matches_All[[#This Row],[Team]],Dyno_Data[Match],TBA_Matches_All[[#This Row],[Match_Number]],Dyno_Data[RecordType],"Activities",Dyno_Data[DelDest],"Neut", Dyno_Data[DelMiss],"0")</f>
        <v>0</v>
      </c>
      <c r="AQ87">
        <f>COUNTIFS(Dyno_Data[Team],TBA_Matches_All[[#This Row],[Team]],Dyno_Data[Match],TBA_Matches_All[[#This Row],[Match_Number]],Dyno_Data[RecordType],"Activities",Dyno_Data[DelDest],"AllyW", Dyno_Data[DelMiss],"0")</f>
        <v>0</v>
      </c>
      <c r="AR87" t="str">
        <f>_xlfn.XLOOKUP(SUM(MID(TBA_Matches_All[[#This Row],[Team]],4,5),(TBA_Matches_All[[#This Row],[Match_Number]]/100)),Dyno_EndMatch[teammat],Dyno_EndMatch[RobotSta],"_",0,1)</f>
        <v>Amp</v>
      </c>
      <c r="AS87">
        <f>SUMIFS(Dyno_Data[AcqDis], Dyno_Data[Team],TBA_Matches_All[[#This Row],[Team]],Dyno_Data[Match],TBA_Matches_All[[#This Row],[Match_Number]],Dyno_Data[RecordType],"Activities", Dyno_Data[AcqCenter],1,Dyno_Data[Mode],"Auto")</f>
        <v>0</v>
      </c>
      <c r="AT87">
        <f>SUMIFS(Dyno_Data[AcqDis], Dyno_Data[Team],TBA_Matches_All[[#This Row],[Team]],Dyno_Data[Match],TBA_Matches_All[[#This Row],[Match_Number]],Dyno_Data[RecordType],"Activities", Dyno_Data[AcqCenter],2,Dyno_Data[Mode],"Auto")</f>
        <v>0</v>
      </c>
      <c r="AU87">
        <f>SUMIFS(Dyno_Data[AcqDis], Dyno_Data[Team],TBA_Matches_All[[#This Row],[Team]],Dyno_Data[Match],TBA_Matches_All[[#This Row],[Match_Number]],Dyno_Data[RecordType],"Activities", Dyno_Data[AcqCenter],3,Dyno_Data[Mode],"Auto")</f>
        <v>0</v>
      </c>
      <c r="AV87">
        <f>SUMIFS(Dyno_Data[AcqDis], Dyno_Data[Team],TBA_Matches_All[[#This Row],[Team]],Dyno_Data[Match],TBA_Matches_All[[#This Row],[Match_Number]],Dyno_Data[RecordType],"Activities", Dyno_Data[AcqCenter],4,Dyno_Data[Mode],"Auto")</f>
        <v>0</v>
      </c>
      <c r="AW87">
        <f>SUMIFS(Dyno_Data[AcqDis], Dyno_Data[Team],TBA_Matches_All[[#This Row],[Team]],Dyno_Data[Match],TBA_Matches_All[[#This Row],[Match_Number]],Dyno_Data[RecordType],"Activities", Dyno_Data[AcqCenter],5,Dyno_Data[Mode],"Auto")</f>
        <v>0</v>
      </c>
      <c r="AX87">
        <f>SUMIFS(Dyno_Data[DelMiss], Dyno_Data[Team],TBA_Matches_All[[#This Row],[Team]],Dyno_Data[Match],TBA_Matches_All[[#This Row],[Match_Number]],Dyno_Data[RecordType],"Activities", Dyno_Data[DelDest],"Amp")</f>
        <v>0</v>
      </c>
      <c r="AY87" s="60">
        <f>IFERROR(SUM((TBA_Matches_All[[#This Row],[AampT]]+TBA_Matches_All[[#This Row],[TampT]])/(TBA_Matches_All[[#This Row],[AampT]]+TBA_Matches_All[[#This Row],[TampT]]+TBA_Matches_All[[#This Row],[ampM]])),0)</f>
        <v>0</v>
      </c>
      <c r="AZ87">
        <f>SUMIFS(Dyno_Data[DelMiss], Dyno_Data[Team],TBA_Matches_All[[#This Row],[Team]],Dyno_Data[Match],TBA_Matches_All[[#This Row],[Match_Number]],Dyno_Data[RecordType],"Activities", Dyno_Data[DelDest],"Spkr")</f>
        <v>0</v>
      </c>
      <c r="BA87" s="60">
        <f>IFERROR(SUM((TBA_Matches_All[[#This Row],[AspkrT]]+TBA_Matches_All[[#This Row],[TspkrT]])/(TBA_Matches_All[[#This Row],[AspkrT]]+TBA_Matches_All[[#This Row],[TspkrT]]+TBA_Matches_All[[#This Row],[spkrM]])),0)</f>
        <v>1</v>
      </c>
      <c r="BB87">
        <f>SUMIFS(Dyno_Data[DelMiss], Dyno_Data[Team],TBA_Matches_All[[#This Row],[Team]],Dyno_Data[Match],TBA_Matches_All[[#This Row],[Match_Number]],Dyno_Data[RecordType],"Activities", Dyno_Data[DelDest],"Trap")</f>
        <v>0</v>
      </c>
      <c r="BC87" s="60">
        <f>IFERROR((TBA_Matches_All[[#This Row],[AtrapT]]+TBA_Matches_All[[#This Row],[TtrapT]])/(TBA_Matches_All[[#This Row],[AtrapT]]+TBA_Matches_All[[#This Row],[TtrapT]]+TBA_Matches_All[[#This Row],[trapM]]),0)</f>
        <v>0</v>
      </c>
      <c r="BD87">
        <f>COUNTIFS(Dyno_Data[Team],TBA_Matches_All[[#This Row],[Team]],Dyno_Data[Match],TBA_Matches_All[[#This Row],[Match_Number]],Dyno_Data[RecordType],"Activities",Dyno_Data[DelDest],"Neut", Dyno_Data[DelMiss],1)</f>
        <v>0</v>
      </c>
      <c r="BE87" s="60">
        <f>IFERROR(SUM((TBA_Matches_All[[#This Row],[NeutFlrT]])/(TBA_Matches_All[[#This Row],[NeutFlrT]]+TBA_Matches_All[[#This Row],[NZflM]])),0)</f>
        <v>0</v>
      </c>
      <c r="BF87">
        <f>COUNTIFS(Dyno_Data[Team],TBA_Matches_All[[#This Row],[Team]],Dyno_Data[Match],TBA_Matches_All[[#This Row],[Match_Number]],Dyno_Data[RecordType],"Activities",Dyno_Data[DelDest],"AllyW", Dyno_Data[DelMiss],1)</f>
        <v>0</v>
      </c>
      <c r="BG87" s="60">
        <f>IFERROR(SUM((TBA_Matches_All[[#This Row],[AllyWFlrT]])/(TBA_Matches_All[[#This Row],[AllyWFlrT]]+TBA_Matches_All[[#This Row],[AZflM]])),0)</f>
        <v>0</v>
      </c>
      <c r="BH87">
        <f>COUNTIFS(Dyno_Data[Team],TBA_Matches_All[[#This Row],[Team]],Dyno_Data[Match],TBA_Matches_All[[#This Row],[Match_Number]],Dyno_Data[RecordType],"Activities",Dyno_Data[DelOrig],"OppW", Dyno_Data[DelMiss],"0")</f>
        <v>0</v>
      </c>
      <c r="BI87">
        <f>COUNTIFS(Dyno_Data[Team],TBA_Matches_All[[#This Row],[Team]],Dyno_Data[Match],TBA_Matches_All[[#This Row],[Match_Number]],Dyno_Data[RecordType],"Activities",Dyno_Data[DelOrig],"OppW", Dyno_Data[DelMiss],"1")</f>
        <v>0</v>
      </c>
      <c r="BJ87" s="60">
        <f>IFERROR(SUM((TBA_Matches_All[[#This Row],[OZflrT]])/(TBA_Matches_All[[#This Row],[OZflrT]]+TBA_Matches_All[[#This Row],[OZflrM]])),0)</f>
        <v>0</v>
      </c>
      <c r="BK87">
        <f>COUNTIFS(Dyno_Data[Team],TBA_Matches_All[[#This Row],[Team]],Dyno_Data[Match],TBA_Matches_All[[#This Row],[Match_Number]],Dyno_Data[RecordType],"Activities",Dyno_Data[DelOrig],"Neut", Dyno_Data[DelMiss],"0")</f>
        <v>0</v>
      </c>
      <c r="BL87">
        <f>COUNTIFS(Dyno_Data[Team],TBA_Matches_All[[#This Row],[Team]],Dyno_Data[Match],TBA_Matches_All[[#This Row],[Match_Number]],Dyno_Data[RecordType],"Activities",Dyno_Data[DelOrig],"Neut", Dyno_Data[DelMiss],"1")</f>
        <v>0</v>
      </c>
      <c r="BM87" s="60">
        <f>IFERROR(SUM((TBA_Matches_All[[#This Row],[NZflrT]])/(TBA_Matches_All[[#This Row],[NZflrT]]+TBA_Matches_All[[#This Row],[NZflrM]])),0)</f>
        <v>0</v>
      </c>
      <c r="BN87">
        <f>COUNTIFS(Dyno_Data[Team],TBA_Matches_All[[#This Row],[Team]],Dyno_Data[Match],TBA_Matches_All[[#This Row],[Match_Number]],Dyno_Data[RecordType],"Activities",Dyno_Data[DelOrig],"AllyW", Dyno_Data[DelMiss],"0")</f>
        <v>4</v>
      </c>
      <c r="BO87">
        <f>COUNTIFS(Dyno_Data[Team],TBA_Matches_All[[#This Row],[Team]],Dyno_Data[Match],TBA_Matches_All[[#This Row],[Match_Number]],Dyno_Data[RecordType],"Activities",Dyno_Data[DelOrig],"AllyW", Dyno_Data[DelMiss],"1")</f>
        <v>0</v>
      </c>
      <c r="BP87" s="60">
        <f>IFERROR(SUM((TBA_Matches_All[[#This Row],[AZflrT]])/(TBA_Matches_All[[#This Row],[AZflrT]]+TBA_Matches_All[[#This Row],[AZflrM]])),0)</f>
        <v>1</v>
      </c>
      <c r="BQ87">
        <f>COUNTIFS(Dyno_Data[Team],TBA_Matches_All[[#This Row],[Team]],Dyno_Data[Match],TBA_Matches_All[[#This Row],[Match_Number]],Dyno_Data[RecordType],"Activities",Dyno_Data[DelOrig],"SubW", Dyno_Data[DelMiss],"0")</f>
        <v>4</v>
      </c>
      <c r="BR87">
        <f>COUNTIFS(Dyno_Data[Team],TBA_Matches_All[[#This Row],[Team]],Dyno_Data[Match],TBA_Matches_All[[#This Row],[Match_Number]],Dyno_Data[RecordType],"Activities",Dyno_Data[DelOrig],"SubW", Dyno_Data[DelMiss],"1")</f>
        <v>0</v>
      </c>
      <c r="BS87" s="60">
        <f>IFERROR(SUM((TBA_Matches_All[[#This Row],[SubwT]])/(TBA_Matches_All[[#This Row],[SubwT]]+TBA_Matches_All[[#This Row],[SubwM]])),0)</f>
        <v>1</v>
      </c>
      <c r="BT87">
        <f>COUNTIFS(Dyno_Data[Team],TBA_Matches_All[[#This Row],[Team]],Dyno_Data[Match],TBA_Matches_All[[#This Row],[Match_Number]],Dyno_Data[RecordType],"Activities", Dyno_Data[AcqLoc],"OppWing")</f>
        <v>0</v>
      </c>
      <c r="BU87">
        <f>COUNTIFS(Dyno_Data[Team],TBA_Matches_All[[#This Row],[Team]],Dyno_Data[Match],TBA_Matches_All[[#This Row],[Match_Number]],Dyno_Data[RecordType],"Activities", Dyno_Data[AcqLoc],"Neutral")</f>
        <v>0</v>
      </c>
      <c r="BV87">
        <f>COUNTIFS(Dyno_Data[Team],TBA_Matches_All[[#This Row],[Team]],Dyno_Data[Match],TBA_Matches_All[[#This Row],[Match_Number]],Dyno_Data[RecordType],"Activities", Dyno_Data[AcqLoc],"AllyWing")</f>
        <v>0</v>
      </c>
      <c r="BW87">
        <f>COUNTIFS(Dyno_Data[Team],TBA_Matches_All[[#This Row],[Team]],Dyno_Data[Match],TBA_Matches_All[[#This Row],[Match_Number]],Dyno_Data[RecordType],"Activities", Dyno_Data[AcqLoc],"Source")</f>
        <v>0</v>
      </c>
      <c r="BX87">
        <f>SUMIFS(Dyno_Data[AcqDrp], Dyno_Data[Team],TBA_Matches_All[[#This Row],[Team]],Dyno_Data[Match],TBA_Matches_All[[#This Row],[Match_Number]],Dyno_Data[RecordType],"Activities", Dyno_Data[AcqLoc],"Source")</f>
        <v>0</v>
      </c>
      <c r="BY87">
        <f>SUMIFS(Dyno_Data[OZTime], Dyno_Data[Team],TBA_Matches_All[[#This Row],[Team]],Dyno_Data[Match],TBA_Matches_All[[#This Row],[Match_Number]],Dyno_Data[RecordType],"EndMatch")</f>
        <v>41.600759799999999</v>
      </c>
      <c r="BZ87">
        <f>SUMIFS(Dyno_Data[NZTime], Dyno_Data[Team],TBA_Matches_All[[#This Row],[Team]],Dyno_Data[Match],TBA_Matches_All[[#This Row],[Match_Number]],Dyno_Data[RecordType],"EndMatch")</f>
        <v>17.427111499999999</v>
      </c>
      <c r="CA87">
        <f>SUMIFS(Dyno_Data[AZTime], Dyno_Data[Team],TBA_Matches_All[[#This Row],[Team]],Dyno_Data[Match],TBA_Matches_All[[#This Row],[Match_Number]],Dyno_Data[RecordType],"EndMatch")</f>
        <v>65.6737076</v>
      </c>
      <c r="CB87">
        <f>SUMIFS(Dyno_Data[ClimbT], Dyno_Data[Team],TBA_Matches_All[[#This Row],[Team]],Dyno_Data[Match],TBA_Matches_All[[#This Row],[Match_Number]],Dyno_Data[RecordType],"EndMatch")</f>
        <v>3.3705628999999999</v>
      </c>
      <c r="CC87" t="str">
        <f>_xlfn.XLOOKUP(SUM(MID(TBA_Matches_All[[#This Row],[Team]],4,5),(TBA_Matches_All[[#This Row],[Match_Number]]/100)),Dyno_EndMatch[teammat],Dyno_EndMatch[StageStat],"_",0,1)</f>
        <v>On</v>
      </c>
      <c r="CD87" t="str">
        <f>_xlfn.XLOOKUP(TBA_Matches_All[[#This Row],[teammat]],Dyno_EndMatch[teammat],Dyno_EndMatch[StageAtt],"_",0,1)</f>
        <v>1</v>
      </c>
      <c r="CE87" t="str">
        <f>_xlfn.XLOOKUP(TBA_Matches_All[[#This Row],[teammat]],Dyno_EndMatch[teammat],Dyno_EndMatch[StageLoc],"_",0,1)</f>
        <v>R</v>
      </c>
      <c r="CF87">
        <f>SUMIFS(Dyno_Data[Harmony], Dyno_Data[Team],TBA_Matches_All[[#This Row],[Team]],Dyno_Data[Match],TBA_Matches_All[[#This Row],[Match_Number]],Dyno_Data[RecordType],"EndMatch", Dyno_Data[StageStat],"On",Dyno_Data[Harmony],"&lt;&gt;9")</f>
        <v>1</v>
      </c>
      <c r="CG87">
        <f>SUMIFS(Dyno_Data[Spotlit], Dyno_Data[Team],TBA_Matches_All[[#This Row],[Team]],Dyno_Data[Match],TBA_Matches_All[[#This Row],[Match_Number]],Dyno_Data[RecordType],"EndMatch", Dyno_Data[StageStat],"On",Dyno_Data[Spotlit],"&lt;&gt;9")</f>
        <v>0</v>
      </c>
      <c r="CH87" t="str">
        <f>_xlfn.XLOOKUP(TBA_Matches_All[[#This Row],[teammat]],Dyno_EndMatch[teammat],Dyno_EndMatch[Strategy],"_",0,1)</f>
        <v>Hybrid</v>
      </c>
      <c r="CI87">
        <f>SUMIFS(Dyno_Data[Defense], Dyno_Data[Team],TBA_Matches_All[[#This Row],[Team]],Dyno_Data[Match],TBA_Matches_All[[#This Row],[Match_Number]],Dyno_Data[RecordType],"EndMatch",Dyno_Data[Defense],"&lt;&gt;9")</f>
        <v>1</v>
      </c>
      <c r="CJ87">
        <f>SUMIFS(Dyno_Data[Avoidance], Dyno_Data[Team],TBA_Matches_All[[#This Row],[Team]],Dyno_Data[Match],TBA_Matches_All[[#This Row],[Match_Number]],Dyno_Data[RecordType],"EndMatch",Dyno_Data[Avoidance],"&lt;&gt;9")</f>
        <v>1</v>
      </c>
      <c r="CK87" s="82">
        <f>COUNTIF($H$2:TBA_Matches_All[[#This Row],[Team]],TBA_Matches_All[[#This Row],[Team]])</f>
        <v>2</v>
      </c>
      <c r="CL87" s="111">
        <f>SUM(MID(TBA_Matches_All[[#This Row],[Team]],4,5)+TBA_Matches_All[[#This Row],[Match_Number]]/100)</f>
        <v>3799.15</v>
      </c>
      <c r="CM87">
        <f>SUM((TBA_Matches_All[[#This Row],[Leave]]*2)+(TBA_Matches_All[[#This Row],[AampT]]*2)+(TBA_Matches_All[[#This Row],[AspkrT]]*5)+(TBA_Matches_All[[#This Row],[AtrapT]]*5))</f>
        <v>5</v>
      </c>
      <c r="CN87" s="59">
        <f>IFERROR(SUM(TBA_Matches_All[[#This Row],[AptsT]]/TBA_Matches_All[[#This Row],[AutoPts]]),0)</f>
        <v>0.1388888888888889</v>
      </c>
      <c r="CO87" s="59">
        <f>IFERROR(SUM(TBA_Matches_All[[#This Row],[AampT]]+TBA_Matches_All[[#This Row],[AspkrT]]+TBA_Matches_All[[#This Row],[AtrapT]]/TBA_Matches_All[[#This Row],[Aamp]]+TBA_Matches_All[[#This Row],[Aspkr]]+TBA_Matches_All[[#This Row],[AtrapT]]),0)</f>
        <v>0</v>
      </c>
      <c r="CP87" s="59">
        <f>IFERROR(SUM(TBA_Matches_All[[#This Row],[TampT]]/TBA_Matches_All[[#This Row],[Tamp]]),0)</f>
        <v>0</v>
      </c>
      <c r="CQ87" s="59">
        <f>IFERROR(SUM(TBA_Matches_All[[#This Row],[TspkrT]]/TBA_Matches_All[[#This Row],[Tspkr]]),0)</f>
        <v>0.33333333333333331</v>
      </c>
      <c r="CR87">
        <f>SUM(TBA_Matches_All[[#This Row],[TspkrPts]]*TBA_Matches_All[[#This Row],[TspkrP]])</f>
        <v>14</v>
      </c>
      <c r="CS87" s="59">
        <f>IFERROR(SUM(TBA_Matches_All[[#This Row],[TtrapT]]/TBA_Matches_All[[#This Row],[Trap]]),0)</f>
        <v>0</v>
      </c>
      <c r="CT87" s="59">
        <f>IFERROR(SUM(TBA_Matches_All[[#This Row],[TotNotesT]]/TBA_Matches_All[[#This Row],[TotNotes]]),0)</f>
        <v>0.2857142857142857</v>
      </c>
      <c r="CU87" s="66">
        <f>SUM((TBA_Matches_All[[#This Row],[AampT]]*2)+(TBA_Matches_All[[#This Row],[AspkrT]]*5)+(TBA_Matches_All[[#This Row],[AtrapT]]*5)+(TBA_Matches_All[[#This Row],[TampT]]*1)+(TBA_Matches_All[[#This Row],[TspkrptsC]]))</f>
        <v>19</v>
      </c>
      <c r="CV87" s="59">
        <f>IFERROR(TBA_Matches_All[[#This Row],[noteptsT]]/TBA_Matches_All[[#This Row],[NotePts]],0)</f>
        <v>0.26027397260273971</v>
      </c>
      <c r="CW87">
        <f>SUM(IF(TBA_Matches_All[[#This Row],[stageStat]]="On",3,0),IF(TBA_Matches_All[[#This Row],[stageStat]]="Park",1,0),SUMIFS(TBA_Matches_All[[#This Row],[Spotlit]],TBA_Matches_All[[#This Row],[stageStat]],"On"),SUMIFS(TBA_Matches_All[[#This Row],[Harmony]],TBA_Matches_All[[#This Row],[stageStat]],"On"))</f>
        <v>4</v>
      </c>
      <c r="CX87" s="59">
        <f>IFERROR(TBA_Matches_All[[#This Row],[stageptsT]]/TBA_Matches_All[[#This Row],[StagePts]],0)</f>
        <v>0.33333333333333331</v>
      </c>
      <c r="CY87">
        <f>SUM((TBA_Matches_All[[#This Row],[AptsT]]+TBA_Matches_All[[#This Row],[TampT]]+TBA_Matches_All[[#This Row],[TspkrptsC]]+(TBA_Matches_All[[#This Row],[TtrapT]]*5)+TBA_Matches_All[[#This Row],[stageptsT]]))</f>
        <v>23</v>
      </c>
      <c r="CZ87" s="59">
        <f>IFERROR(SUM(TBA_Matches_All[[#This Row],[TotptsC]]/TBA_Matches_All[[#This Row],[Score]]),0)</f>
        <v>0.2072072072072072</v>
      </c>
      <c r="DA8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22.23951048951049</v>
      </c>
      <c r="DB87" s="74">
        <f>SUMIFS(TBA_Matches_All[AveTeamTNoteDels],TBA_Matches_All[Match_Number],TBA_Matches_All[[#This Row],[Match_Number]],TBA_Matches_All[Alliance],"&lt;&gt;"&amp;TBA_Matches_All[[#This Row],[Alliance]],TBA_Matches_All[Scouted],"&gt;0")</f>
        <v>10.633333333333333</v>
      </c>
      <c r="DC87" s="74">
        <f>(TBA_Matches_All[[#This Row],[TampT]]+TBA_Matches_All[[#This Row],[TspkrptsC]])-TBA_Matches_All[[#This Row],[AveTeamTNoteDels]]</f>
        <v>-8.23951048951049</v>
      </c>
      <c r="DD87" s="74">
        <f>SUMIFS(TBA_Matches_All[AveTeamTNoteDels],TBA_Matches_All[Match_Number],TBA_Matches_All[[#This Row],[Match_Number]],TBA_Matches_All[Alliance],"&lt;&gt;"&amp;TBA_Matches_All[[#This Row],[Alliance]])-TBA_Matches_All[[#This Row],[AveOppTNoteDels]]</f>
        <v>0</v>
      </c>
    </row>
    <row r="88" spans="1:108" x14ac:dyDescent="0.3">
      <c r="A88" t="s">
        <v>1042</v>
      </c>
      <c r="B88" t="s">
        <v>489</v>
      </c>
      <c r="C88" t="s">
        <v>1324</v>
      </c>
      <c r="D88">
        <v>15</v>
      </c>
      <c r="E88" t="s">
        <v>1406</v>
      </c>
      <c r="F88" t="s">
        <v>1422</v>
      </c>
      <c r="G88" t="s">
        <v>105</v>
      </c>
      <c r="H88" t="s">
        <v>1301</v>
      </c>
      <c r="I88" t="b">
        <v>1</v>
      </c>
      <c r="J88">
        <v>39</v>
      </c>
      <c r="K88">
        <v>0</v>
      </c>
      <c r="L88">
        <v>0</v>
      </c>
      <c r="M88">
        <v>20</v>
      </c>
      <c r="N88">
        <v>0</v>
      </c>
      <c r="O88">
        <v>4</v>
      </c>
      <c r="P88">
        <v>20</v>
      </c>
      <c r="Q88">
        <v>22</v>
      </c>
      <c r="R88">
        <v>3</v>
      </c>
      <c r="S88">
        <v>2</v>
      </c>
      <c r="T88">
        <v>1</v>
      </c>
      <c r="U88">
        <v>10</v>
      </c>
      <c r="V88">
        <v>2</v>
      </c>
      <c r="W88">
        <v>3</v>
      </c>
      <c r="X88">
        <v>12</v>
      </c>
      <c r="Y88">
        <v>15</v>
      </c>
      <c r="Z88">
        <v>0</v>
      </c>
      <c r="AA88">
        <v>0</v>
      </c>
      <c r="AB88">
        <v>10</v>
      </c>
      <c r="AC88">
        <v>35</v>
      </c>
      <c r="AD88">
        <v>2</v>
      </c>
      <c r="AE88">
        <f>IFERROR(6/(COUNTIF(Dyno_EndMatch[Match],TBA_Matches_All[[#This Row],[Match_Number]])),0)</f>
        <v>1</v>
      </c>
      <c r="AF88">
        <f>COUNTIFS(Dyno_Data[Team],TBA_Matches_All[[#This Row],[Team]],Dyno_Data[Match],TBA_Matches_All[[#This Row],[Match_Number]],Dyno_Data[RecordType],"EndMatch",Dyno_Data[HPAmp],"Y")</f>
        <v>0</v>
      </c>
      <c r="AG88">
        <f>SUMIFS(Dyno_Data[Mics], Dyno_Data[Team],TBA_Matches_All[[#This Row],[Team]],Dyno_Data[Match],TBA_Matches_All[[#This Row],[Match_Number]],Dyno_Data[RecordType],"EndMatch",Dyno_Data[HPAmp],"Y")</f>
        <v>0</v>
      </c>
      <c r="AH88">
        <f>SUMIFS(Dyno_Data[Leave], Dyno_Data[Team],TBA_Matches_All[[#This Row],[Team]],Dyno_Data[Match],TBA_Matches_All[[#This Row],[Match_Number]],Dyno_Data[RecordType],"EndAuto")</f>
        <v>0</v>
      </c>
      <c r="AI88">
        <f>COUNTIFS(Dyno_Data[Team],TBA_Matches_All[[#This Row],[Team]],Dyno_Data[Match],TBA_Matches_All[[#This Row],[Match_Number]],Dyno_Data[RecordType],"Activities",Dyno_Data[DelDest],"Amp", Dyno_Data[DelMiss],"0", Dyno_Data[Mode],"Auto")</f>
        <v>0</v>
      </c>
      <c r="AJ88">
        <f>COUNTIFS(Dyno_Data[Team],TBA_Matches_All[[#This Row],[Team]],Dyno_Data[Match],TBA_Matches_All[[#This Row],[Match_Number]],Dyno_Data[RecordType],"Activities",Dyno_Data[DelDest],"Spkr", Dyno_Data[DelMiss],"0", Dyno_Data[Mode],"Auto")</f>
        <v>0</v>
      </c>
      <c r="AK88">
        <f>COUNTIFS(Dyno_Data[Team],TBA_Matches_All[[#This Row],[Team]],Dyno_Data[Match],TBA_Matches_All[[#This Row],[Match_Number]],Dyno_Data[RecordType],"Activities",Dyno_Data[DelDest],"Trap", Dyno_Data[DelMiss],"0", Dyno_Data[Mode],"Auto")</f>
        <v>0</v>
      </c>
      <c r="AL88">
        <f>COUNTIFS(Dyno_Data[Team],TBA_Matches_All[[#This Row],[Team]],Dyno_Data[Match],TBA_Matches_All[[#This Row],[Match_Number]],Dyno_Data[RecordType],"Activities",Dyno_Data[DelDest],"Amp", Dyno_Data[DelMiss],"0", Dyno_Data[Mode],"Teleop")</f>
        <v>0</v>
      </c>
      <c r="AM88">
        <f>COUNTIFS(Dyno_Data[Team],TBA_Matches_All[[#This Row],[Team]],Dyno_Data[Match],TBA_Matches_All[[#This Row],[Match_Number]],Dyno_Data[RecordType],"Activities",Dyno_Data[DelDest],"Spkr", Dyno_Data[DelMiss],"0", Dyno_Data[Mode],"Teleop")</f>
        <v>0</v>
      </c>
      <c r="AN88">
        <f>COUNTIFS(Dyno_Data[Team],TBA_Matches_All[[#This Row],[Team]],Dyno_Data[Match],TBA_Matches_All[[#This Row],[Match_Number]],Dyno_Data[RecordType],"Activities",Dyno_Data[DelDest],"Trap", Dyno_Data[DelMiss],"0", Dyno_Data[Mode],"&lt;&gt;Auto")</f>
        <v>0</v>
      </c>
      <c r="AO88">
        <f>SUM(TBA_Matches_All[[#This Row],[AampT]]+TBA_Matches_All[[#This Row],[AspkrT]]+TBA_Matches_All[[#This Row],[AtrapT]]+TBA_Matches_All[[#This Row],[TampT]]+TBA_Matches_All[[#This Row],[TspkrT]]+TBA_Matches_All[[#This Row],[TtrapT]])</f>
        <v>0</v>
      </c>
      <c r="AP88">
        <f>COUNTIFS(Dyno_Data[Team],TBA_Matches_All[[#This Row],[Team]],Dyno_Data[Match],TBA_Matches_All[[#This Row],[Match_Number]],Dyno_Data[RecordType],"Activities",Dyno_Data[DelDest],"Neut", Dyno_Data[DelMiss],"0")</f>
        <v>0</v>
      </c>
      <c r="AQ88">
        <f>COUNTIFS(Dyno_Data[Team],TBA_Matches_All[[#This Row],[Team]],Dyno_Data[Match],TBA_Matches_All[[#This Row],[Match_Number]],Dyno_Data[RecordType],"Activities",Dyno_Data[DelDest],"AllyW", Dyno_Data[DelMiss],"0")</f>
        <v>0</v>
      </c>
      <c r="AR88" t="str">
        <f>_xlfn.XLOOKUP(SUM(MID(TBA_Matches_All[[#This Row],[Team]],4,5),(TBA_Matches_All[[#This Row],[Match_Number]]/100)),Dyno_EndMatch[teammat],Dyno_EndMatch[RobotSta],"_",0,1)</f>
        <v>OppS</v>
      </c>
      <c r="AS88">
        <f>SUMIFS(Dyno_Data[AcqDis], Dyno_Data[Team],TBA_Matches_All[[#This Row],[Team]],Dyno_Data[Match],TBA_Matches_All[[#This Row],[Match_Number]],Dyno_Data[RecordType],"Activities", Dyno_Data[AcqCenter],1,Dyno_Data[Mode],"Auto")</f>
        <v>0</v>
      </c>
      <c r="AT88">
        <f>SUMIFS(Dyno_Data[AcqDis], Dyno_Data[Team],TBA_Matches_All[[#This Row],[Team]],Dyno_Data[Match],TBA_Matches_All[[#This Row],[Match_Number]],Dyno_Data[RecordType],"Activities", Dyno_Data[AcqCenter],2,Dyno_Data[Mode],"Auto")</f>
        <v>0</v>
      </c>
      <c r="AU88">
        <f>SUMIFS(Dyno_Data[AcqDis], Dyno_Data[Team],TBA_Matches_All[[#This Row],[Team]],Dyno_Data[Match],TBA_Matches_All[[#This Row],[Match_Number]],Dyno_Data[RecordType],"Activities", Dyno_Data[AcqCenter],3,Dyno_Data[Mode],"Auto")</f>
        <v>0</v>
      </c>
      <c r="AV88">
        <f>SUMIFS(Dyno_Data[AcqDis], Dyno_Data[Team],TBA_Matches_All[[#This Row],[Team]],Dyno_Data[Match],TBA_Matches_All[[#This Row],[Match_Number]],Dyno_Data[RecordType],"Activities", Dyno_Data[AcqCenter],4,Dyno_Data[Mode],"Auto")</f>
        <v>0</v>
      </c>
      <c r="AW88">
        <f>SUMIFS(Dyno_Data[AcqDis], Dyno_Data[Team],TBA_Matches_All[[#This Row],[Team]],Dyno_Data[Match],TBA_Matches_All[[#This Row],[Match_Number]],Dyno_Data[RecordType],"Activities", Dyno_Data[AcqCenter],5,Dyno_Data[Mode],"Auto")</f>
        <v>0</v>
      </c>
      <c r="AX88">
        <f>SUMIFS(Dyno_Data[DelMiss], Dyno_Data[Team],TBA_Matches_All[[#This Row],[Team]],Dyno_Data[Match],TBA_Matches_All[[#This Row],[Match_Number]],Dyno_Data[RecordType],"Activities", Dyno_Data[DelDest],"Amp")</f>
        <v>0</v>
      </c>
      <c r="AY88" s="60">
        <f>IFERROR(SUM((TBA_Matches_All[[#This Row],[AampT]]+TBA_Matches_All[[#This Row],[TampT]])/(TBA_Matches_All[[#This Row],[AampT]]+TBA_Matches_All[[#This Row],[TampT]]+TBA_Matches_All[[#This Row],[ampM]])),0)</f>
        <v>0</v>
      </c>
      <c r="AZ88">
        <f>SUMIFS(Dyno_Data[DelMiss], Dyno_Data[Team],TBA_Matches_All[[#This Row],[Team]],Dyno_Data[Match],TBA_Matches_All[[#This Row],[Match_Number]],Dyno_Data[RecordType],"Activities", Dyno_Data[DelDest],"Spkr")</f>
        <v>0</v>
      </c>
      <c r="BA88" s="60">
        <f>IFERROR(SUM((TBA_Matches_All[[#This Row],[AspkrT]]+TBA_Matches_All[[#This Row],[TspkrT]])/(TBA_Matches_All[[#This Row],[AspkrT]]+TBA_Matches_All[[#This Row],[TspkrT]]+TBA_Matches_All[[#This Row],[spkrM]])),0)</f>
        <v>0</v>
      </c>
      <c r="BB88">
        <f>SUMIFS(Dyno_Data[DelMiss], Dyno_Data[Team],TBA_Matches_All[[#This Row],[Team]],Dyno_Data[Match],TBA_Matches_All[[#This Row],[Match_Number]],Dyno_Data[RecordType],"Activities", Dyno_Data[DelDest],"Trap")</f>
        <v>0</v>
      </c>
      <c r="BC88" s="60">
        <f>IFERROR((TBA_Matches_All[[#This Row],[AtrapT]]+TBA_Matches_All[[#This Row],[TtrapT]])/(TBA_Matches_All[[#This Row],[AtrapT]]+TBA_Matches_All[[#This Row],[TtrapT]]+TBA_Matches_All[[#This Row],[trapM]]),0)</f>
        <v>0</v>
      </c>
      <c r="BD88">
        <f>COUNTIFS(Dyno_Data[Team],TBA_Matches_All[[#This Row],[Team]],Dyno_Data[Match],TBA_Matches_All[[#This Row],[Match_Number]],Dyno_Data[RecordType],"Activities",Dyno_Data[DelDest],"Neut", Dyno_Data[DelMiss],1)</f>
        <v>0</v>
      </c>
      <c r="BE88" s="60">
        <f>IFERROR(SUM((TBA_Matches_All[[#This Row],[NeutFlrT]])/(TBA_Matches_All[[#This Row],[NeutFlrT]]+TBA_Matches_All[[#This Row],[NZflM]])),0)</f>
        <v>0</v>
      </c>
      <c r="BF88">
        <f>COUNTIFS(Dyno_Data[Team],TBA_Matches_All[[#This Row],[Team]],Dyno_Data[Match],TBA_Matches_All[[#This Row],[Match_Number]],Dyno_Data[RecordType],"Activities",Dyno_Data[DelDest],"AllyW", Dyno_Data[DelMiss],1)</f>
        <v>0</v>
      </c>
      <c r="BG88" s="60">
        <f>IFERROR(SUM((TBA_Matches_All[[#This Row],[AllyWFlrT]])/(TBA_Matches_All[[#This Row],[AllyWFlrT]]+TBA_Matches_All[[#This Row],[AZflM]])),0)</f>
        <v>0</v>
      </c>
      <c r="BH88">
        <f>COUNTIFS(Dyno_Data[Team],TBA_Matches_All[[#This Row],[Team]],Dyno_Data[Match],TBA_Matches_All[[#This Row],[Match_Number]],Dyno_Data[RecordType],"Activities",Dyno_Data[DelOrig],"OppW", Dyno_Data[DelMiss],"0")</f>
        <v>0</v>
      </c>
      <c r="BI88">
        <f>COUNTIFS(Dyno_Data[Team],TBA_Matches_All[[#This Row],[Team]],Dyno_Data[Match],TBA_Matches_All[[#This Row],[Match_Number]],Dyno_Data[RecordType],"Activities",Dyno_Data[DelOrig],"OppW", Dyno_Data[DelMiss],"1")</f>
        <v>0</v>
      </c>
      <c r="BJ88" s="60">
        <f>IFERROR(SUM((TBA_Matches_All[[#This Row],[OZflrT]])/(TBA_Matches_All[[#This Row],[OZflrT]]+TBA_Matches_All[[#This Row],[OZflrM]])),0)</f>
        <v>0</v>
      </c>
      <c r="BK88">
        <f>COUNTIFS(Dyno_Data[Team],TBA_Matches_All[[#This Row],[Team]],Dyno_Data[Match],TBA_Matches_All[[#This Row],[Match_Number]],Dyno_Data[RecordType],"Activities",Dyno_Data[DelOrig],"Neut", Dyno_Data[DelMiss],"0")</f>
        <v>0</v>
      </c>
      <c r="BL88">
        <f>COUNTIFS(Dyno_Data[Team],TBA_Matches_All[[#This Row],[Team]],Dyno_Data[Match],TBA_Matches_All[[#This Row],[Match_Number]],Dyno_Data[RecordType],"Activities",Dyno_Data[DelOrig],"Neut", Dyno_Data[DelMiss],"1")</f>
        <v>0</v>
      </c>
      <c r="BM88" s="60">
        <f>IFERROR(SUM((TBA_Matches_All[[#This Row],[NZflrT]])/(TBA_Matches_All[[#This Row],[NZflrT]]+TBA_Matches_All[[#This Row],[NZflrM]])),0)</f>
        <v>0</v>
      </c>
      <c r="BN88">
        <f>COUNTIFS(Dyno_Data[Team],TBA_Matches_All[[#This Row],[Team]],Dyno_Data[Match],TBA_Matches_All[[#This Row],[Match_Number]],Dyno_Data[RecordType],"Activities",Dyno_Data[DelOrig],"AllyW", Dyno_Data[DelMiss],"0")</f>
        <v>0</v>
      </c>
      <c r="BO88">
        <f>COUNTIFS(Dyno_Data[Team],TBA_Matches_All[[#This Row],[Team]],Dyno_Data[Match],TBA_Matches_All[[#This Row],[Match_Number]],Dyno_Data[RecordType],"Activities",Dyno_Data[DelOrig],"AllyW", Dyno_Data[DelMiss],"1")</f>
        <v>0</v>
      </c>
      <c r="BP88" s="60">
        <f>IFERROR(SUM((TBA_Matches_All[[#This Row],[AZflrT]])/(TBA_Matches_All[[#This Row],[AZflrT]]+TBA_Matches_All[[#This Row],[AZflrM]])),0)</f>
        <v>0</v>
      </c>
      <c r="BQ88">
        <f>COUNTIFS(Dyno_Data[Team],TBA_Matches_All[[#This Row],[Team]],Dyno_Data[Match],TBA_Matches_All[[#This Row],[Match_Number]],Dyno_Data[RecordType],"Activities",Dyno_Data[DelOrig],"SubW", Dyno_Data[DelMiss],"0")</f>
        <v>0</v>
      </c>
      <c r="BR88">
        <f>COUNTIFS(Dyno_Data[Team],TBA_Matches_All[[#This Row],[Team]],Dyno_Data[Match],TBA_Matches_All[[#This Row],[Match_Number]],Dyno_Data[RecordType],"Activities",Dyno_Data[DelOrig],"SubW", Dyno_Data[DelMiss],"1")</f>
        <v>0</v>
      </c>
      <c r="BS88" s="60">
        <f>IFERROR(SUM((TBA_Matches_All[[#This Row],[SubwT]])/(TBA_Matches_All[[#This Row],[SubwT]]+TBA_Matches_All[[#This Row],[SubwM]])),0)</f>
        <v>0</v>
      </c>
      <c r="BT88">
        <f>COUNTIFS(Dyno_Data[Team],TBA_Matches_All[[#This Row],[Team]],Dyno_Data[Match],TBA_Matches_All[[#This Row],[Match_Number]],Dyno_Data[RecordType],"Activities", Dyno_Data[AcqLoc],"OppWing")</f>
        <v>0</v>
      </c>
      <c r="BU88">
        <f>COUNTIFS(Dyno_Data[Team],TBA_Matches_All[[#This Row],[Team]],Dyno_Data[Match],TBA_Matches_All[[#This Row],[Match_Number]],Dyno_Data[RecordType],"Activities", Dyno_Data[AcqLoc],"Neutral")</f>
        <v>0</v>
      </c>
      <c r="BV88">
        <f>COUNTIFS(Dyno_Data[Team],TBA_Matches_All[[#This Row],[Team]],Dyno_Data[Match],TBA_Matches_All[[#This Row],[Match_Number]],Dyno_Data[RecordType],"Activities", Dyno_Data[AcqLoc],"AllyWing")</f>
        <v>0</v>
      </c>
      <c r="BW88">
        <f>COUNTIFS(Dyno_Data[Team],TBA_Matches_All[[#This Row],[Team]],Dyno_Data[Match],TBA_Matches_All[[#This Row],[Match_Number]],Dyno_Data[RecordType],"Activities", Dyno_Data[AcqLoc],"Source")</f>
        <v>0</v>
      </c>
      <c r="BX88">
        <f>SUMIFS(Dyno_Data[AcqDrp], Dyno_Data[Team],TBA_Matches_All[[#This Row],[Team]],Dyno_Data[Match],TBA_Matches_All[[#This Row],[Match_Number]],Dyno_Data[RecordType],"Activities", Dyno_Data[AcqLoc],"Source")</f>
        <v>0</v>
      </c>
      <c r="BY88">
        <f>SUMIFS(Dyno_Data[OZTime], Dyno_Data[Team],TBA_Matches_All[[#This Row],[Team]],Dyno_Data[Match],TBA_Matches_All[[#This Row],[Match_Number]],Dyno_Data[RecordType],"EndMatch")</f>
        <v>0</v>
      </c>
      <c r="BZ88">
        <f>SUMIFS(Dyno_Data[NZTime], Dyno_Data[Team],TBA_Matches_All[[#This Row],[Team]],Dyno_Data[Match],TBA_Matches_All[[#This Row],[Match_Number]],Dyno_Data[RecordType],"EndMatch")</f>
        <v>81.6031184</v>
      </c>
      <c r="CA88">
        <f>SUMIFS(Dyno_Data[AZTime], Dyno_Data[Team],TBA_Matches_All[[#This Row],[Team]],Dyno_Data[Match],TBA_Matches_All[[#This Row],[Match_Number]],Dyno_Data[RecordType],"EndMatch")</f>
        <v>57.348993399999998</v>
      </c>
      <c r="CB88">
        <f>SUMIFS(Dyno_Data[ClimbT], Dyno_Data[Team],TBA_Matches_All[[#This Row],[Team]],Dyno_Data[Match],TBA_Matches_All[[#This Row],[Match_Number]],Dyno_Data[RecordType],"EndMatch")</f>
        <v>0</v>
      </c>
      <c r="CC88" t="str">
        <f>_xlfn.XLOOKUP(SUM(MID(TBA_Matches_All[[#This Row],[Team]],4,5),(TBA_Matches_All[[#This Row],[Match_Number]]/100)),Dyno_EndMatch[teammat],Dyno_EndMatch[StageStat],"_",0,1)</f>
        <v>Park</v>
      </c>
      <c r="CD88" t="str">
        <f>_xlfn.XLOOKUP(TBA_Matches_All[[#This Row],[teammat]],Dyno_EndMatch[teammat],Dyno_EndMatch[StageAtt],"_",0,1)</f>
        <v>0</v>
      </c>
      <c r="CE88" t="str">
        <f>_xlfn.XLOOKUP(TBA_Matches_All[[#This Row],[teammat]],Dyno_EndMatch[teammat],Dyno_EndMatch[StageLoc],"_",0,1)</f>
        <v>A</v>
      </c>
      <c r="CF88">
        <f>SUMIFS(Dyno_Data[Harmony], Dyno_Data[Team],TBA_Matches_All[[#This Row],[Team]],Dyno_Data[Match],TBA_Matches_All[[#This Row],[Match_Number]],Dyno_Data[RecordType],"EndMatch", Dyno_Data[StageStat],"On",Dyno_Data[Harmony],"&lt;&gt;9")</f>
        <v>0</v>
      </c>
      <c r="CG88">
        <f>SUMIFS(Dyno_Data[Spotlit], Dyno_Data[Team],TBA_Matches_All[[#This Row],[Team]],Dyno_Data[Match],TBA_Matches_All[[#This Row],[Match_Number]],Dyno_Data[RecordType],"EndMatch", Dyno_Data[StageStat],"On",Dyno_Data[Spotlit],"&lt;&gt;9")</f>
        <v>0</v>
      </c>
      <c r="CH88" t="str">
        <f>_xlfn.XLOOKUP(TBA_Matches_All[[#This Row],[teammat]],Dyno_EndMatch[teammat],Dyno_EndMatch[Strategy],"_",0,1)</f>
        <v>None</v>
      </c>
      <c r="CI88">
        <f>SUMIFS(Dyno_Data[Defense], Dyno_Data[Team],TBA_Matches_All[[#This Row],[Team]],Dyno_Data[Match],TBA_Matches_All[[#This Row],[Match_Number]],Dyno_Data[RecordType],"EndMatch",Dyno_Data[Defense],"&lt;&gt;9")</f>
        <v>0</v>
      </c>
      <c r="CJ88">
        <f>SUMIFS(Dyno_Data[Avoidance], Dyno_Data[Team],TBA_Matches_All[[#This Row],[Team]],Dyno_Data[Match],TBA_Matches_All[[#This Row],[Match_Number]],Dyno_Data[RecordType],"EndMatch",Dyno_Data[Avoidance],"&lt;&gt;9")</f>
        <v>0</v>
      </c>
      <c r="CK88" s="82">
        <f>COUNTIF($H$2:TBA_Matches_All[[#This Row],[Team]],TBA_Matches_All[[#This Row],[Team]])</f>
        <v>2</v>
      </c>
      <c r="CL88" s="111">
        <f>SUM(MID(TBA_Matches_All[[#This Row],[Team]],4,5)+TBA_Matches_All[[#This Row],[Match_Number]]/100)</f>
        <v>7031.15</v>
      </c>
      <c r="CM88">
        <f>SUM((TBA_Matches_All[[#This Row],[Leave]]*2)+(TBA_Matches_All[[#This Row],[AampT]]*2)+(TBA_Matches_All[[#This Row],[AspkrT]]*5)+(TBA_Matches_All[[#This Row],[AtrapT]]*5))</f>
        <v>0</v>
      </c>
      <c r="CN88" s="59">
        <f>IFERROR(SUM(TBA_Matches_All[[#This Row],[AptsT]]/TBA_Matches_All[[#This Row],[AutoPts]]),0)</f>
        <v>0</v>
      </c>
      <c r="CO88" s="59">
        <f>IFERROR(SUM(TBA_Matches_All[[#This Row],[AampT]]+TBA_Matches_All[[#This Row],[AspkrT]]+TBA_Matches_All[[#This Row],[AtrapT]]/TBA_Matches_All[[#This Row],[Aamp]]+TBA_Matches_All[[#This Row],[Aspkr]]+TBA_Matches_All[[#This Row],[AtrapT]]),0)</f>
        <v>0</v>
      </c>
      <c r="CP88" s="59">
        <f>IFERROR(SUM(TBA_Matches_All[[#This Row],[TampT]]/TBA_Matches_All[[#This Row],[Tamp]]),0)</f>
        <v>0</v>
      </c>
      <c r="CQ88" s="59">
        <f>IFERROR(SUM(TBA_Matches_All[[#This Row],[TspkrT]]/TBA_Matches_All[[#This Row],[Tspkr]]),0)</f>
        <v>0</v>
      </c>
      <c r="CR88">
        <f>SUM(TBA_Matches_All[[#This Row],[TspkrPts]]*TBA_Matches_All[[#This Row],[TspkrP]])</f>
        <v>0</v>
      </c>
      <c r="CS88" s="59">
        <f>IFERROR(SUM(TBA_Matches_All[[#This Row],[TtrapT]]/TBA_Matches_All[[#This Row],[Trap]]),0)</f>
        <v>0</v>
      </c>
      <c r="CT88" s="59">
        <f>IFERROR(SUM(TBA_Matches_All[[#This Row],[TotNotesT]]/TBA_Matches_All[[#This Row],[TotNotes]]),0)</f>
        <v>0</v>
      </c>
      <c r="CU88" s="66">
        <f>SUM((TBA_Matches_All[[#This Row],[AampT]]*2)+(TBA_Matches_All[[#This Row],[AspkrT]]*5)+(TBA_Matches_All[[#This Row],[AtrapT]]*5)+(TBA_Matches_All[[#This Row],[TampT]]*1)+(TBA_Matches_All[[#This Row],[TspkrptsC]]))</f>
        <v>0</v>
      </c>
      <c r="CV88" s="59">
        <f>IFERROR(TBA_Matches_All[[#This Row],[noteptsT]]/TBA_Matches_All[[#This Row],[NotePts]],0)</f>
        <v>0</v>
      </c>
      <c r="CW88">
        <f>SUM(IF(TBA_Matches_All[[#This Row],[stageStat]]="On",3,0),IF(TBA_Matches_All[[#This Row],[stageStat]]="Park",1,0),SUMIFS(TBA_Matches_All[[#This Row],[Spotlit]],TBA_Matches_All[[#This Row],[stageStat]],"On"),SUMIFS(TBA_Matches_All[[#This Row],[Harmony]],TBA_Matches_All[[#This Row],[stageStat]],"On"))</f>
        <v>1</v>
      </c>
      <c r="CX88" s="59">
        <f>IFERROR(TBA_Matches_All[[#This Row],[stageptsT]]/TBA_Matches_All[[#This Row],[StagePts]],0)</f>
        <v>0.5</v>
      </c>
      <c r="CY88">
        <f>SUM((TBA_Matches_All[[#This Row],[AptsT]]+TBA_Matches_All[[#This Row],[TampT]]+TBA_Matches_All[[#This Row],[TspkrptsC]]+(TBA_Matches_All[[#This Row],[TtrapT]]*5)+TBA_Matches_All[[#This Row],[stageptsT]]))</f>
        <v>1</v>
      </c>
      <c r="CZ88" s="59">
        <f>IFERROR(SUM(TBA_Matches_All[[#This Row],[TotptsC]]/TBA_Matches_All[[#This Row],[Score]]),0)</f>
        <v>2.564102564102564E-2</v>
      </c>
      <c r="DA8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88" s="74">
        <f>SUMIFS(TBA_Matches_All[AveTeamTNoteDels],TBA_Matches_All[Match_Number],TBA_Matches_All[[#This Row],[Match_Number]],TBA_Matches_All[Alliance],"&lt;&gt;"&amp;TBA_Matches_All[[#This Row],[Alliance]],TBA_Matches_All[Scouted],"&gt;0")</f>
        <v>61.118434482184483</v>
      </c>
      <c r="DC88" s="74">
        <f>(TBA_Matches_All[[#This Row],[TampT]]+TBA_Matches_All[[#This Row],[TspkrptsC]])-TBA_Matches_All[[#This Row],[AveTeamTNoteDels]]</f>
        <v>0</v>
      </c>
      <c r="DD88" s="74">
        <f>SUMIFS(TBA_Matches_All[AveTeamTNoteDels],TBA_Matches_All[Match_Number],TBA_Matches_All[[#This Row],[Match_Number]],TBA_Matches_All[Alliance],"&lt;&gt;"&amp;TBA_Matches_All[[#This Row],[Alliance]])-TBA_Matches_All[[#This Row],[AveOppTNoteDels]]</f>
        <v>0</v>
      </c>
    </row>
    <row r="89" spans="1:108" x14ac:dyDescent="0.3">
      <c r="A89" t="s">
        <v>1042</v>
      </c>
      <c r="B89" t="s">
        <v>489</v>
      </c>
      <c r="C89" t="s">
        <v>1324</v>
      </c>
      <c r="D89">
        <v>15</v>
      </c>
      <c r="E89" t="s">
        <v>1420</v>
      </c>
      <c r="F89" t="s">
        <v>1425</v>
      </c>
      <c r="G89" t="s">
        <v>105</v>
      </c>
      <c r="H89" t="s">
        <v>363</v>
      </c>
      <c r="I89" t="b">
        <v>1</v>
      </c>
      <c r="J89">
        <v>111</v>
      </c>
      <c r="K89">
        <v>1</v>
      </c>
      <c r="L89">
        <v>1</v>
      </c>
      <c r="M89">
        <v>0</v>
      </c>
      <c r="N89">
        <v>0</v>
      </c>
      <c r="O89">
        <v>6</v>
      </c>
      <c r="P89">
        <v>30</v>
      </c>
      <c r="Q89">
        <v>36</v>
      </c>
      <c r="R89">
        <v>1</v>
      </c>
      <c r="S89">
        <v>0</v>
      </c>
      <c r="T89">
        <v>21</v>
      </c>
      <c r="U89">
        <v>0</v>
      </c>
      <c r="V89">
        <v>42</v>
      </c>
      <c r="W89">
        <v>21</v>
      </c>
      <c r="X89">
        <v>42</v>
      </c>
      <c r="Y89">
        <v>43</v>
      </c>
      <c r="Z89">
        <v>0</v>
      </c>
      <c r="AA89">
        <v>0</v>
      </c>
      <c r="AB89">
        <v>28</v>
      </c>
      <c r="AC89">
        <v>73</v>
      </c>
      <c r="AD89">
        <v>12</v>
      </c>
      <c r="AE89">
        <f>IFERROR(6/(COUNTIF(Dyno_EndMatch[Match],TBA_Matches_All[[#This Row],[Match_Number]])),0)</f>
        <v>1</v>
      </c>
      <c r="AF89">
        <f>COUNTIFS(Dyno_Data[Team],TBA_Matches_All[[#This Row],[Team]],Dyno_Data[Match],TBA_Matches_All[[#This Row],[Match_Number]],Dyno_Data[RecordType],"EndMatch",Dyno_Data[HPAmp],"Y")</f>
        <v>1</v>
      </c>
      <c r="AG89">
        <f>SUMIFS(Dyno_Data[Mics], Dyno_Data[Team],TBA_Matches_All[[#This Row],[Team]],Dyno_Data[Match],TBA_Matches_All[[#This Row],[Match_Number]],Dyno_Data[RecordType],"EndMatch",Dyno_Data[HPAmp],"Y")</f>
        <v>1</v>
      </c>
      <c r="AH89">
        <f>SUMIFS(Dyno_Data[Leave], Dyno_Data[Team],TBA_Matches_All[[#This Row],[Team]],Dyno_Data[Match],TBA_Matches_All[[#This Row],[Match_Number]],Dyno_Data[RecordType],"EndAuto")</f>
        <v>1</v>
      </c>
      <c r="AI89">
        <f>COUNTIFS(Dyno_Data[Team],TBA_Matches_All[[#This Row],[Team]],Dyno_Data[Match],TBA_Matches_All[[#This Row],[Match_Number]],Dyno_Data[RecordType],"Activities",Dyno_Data[DelDest],"Amp", Dyno_Data[DelMiss],"0", Dyno_Data[Mode],"Auto")</f>
        <v>0</v>
      </c>
      <c r="AJ89">
        <f>COUNTIFS(Dyno_Data[Team],TBA_Matches_All[[#This Row],[Team]],Dyno_Data[Match],TBA_Matches_All[[#This Row],[Match_Number]],Dyno_Data[RecordType],"Activities",Dyno_Data[DelDest],"Spkr", Dyno_Data[DelMiss],"0", Dyno_Data[Mode],"Auto")</f>
        <v>1</v>
      </c>
      <c r="AK89">
        <f>COUNTIFS(Dyno_Data[Team],TBA_Matches_All[[#This Row],[Team]],Dyno_Data[Match],TBA_Matches_All[[#This Row],[Match_Number]],Dyno_Data[RecordType],"Activities",Dyno_Data[DelDest],"Trap", Dyno_Data[DelMiss],"0", Dyno_Data[Mode],"Auto")</f>
        <v>0</v>
      </c>
      <c r="AL89">
        <f>COUNTIFS(Dyno_Data[Team],TBA_Matches_All[[#This Row],[Team]],Dyno_Data[Match],TBA_Matches_All[[#This Row],[Match_Number]],Dyno_Data[RecordType],"Activities",Dyno_Data[DelDest],"Amp", Dyno_Data[DelMiss],"0", Dyno_Data[Mode],"Teleop")</f>
        <v>0</v>
      </c>
      <c r="AM89">
        <f>COUNTIFS(Dyno_Data[Team],TBA_Matches_All[[#This Row],[Team]],Dyno_Data[Match],TBA_Matches_All[[#This Row],[Match_Number]],Dyno_Data[RecordType],"Activities",Dyno_Data[DelDest],"Spkr", Dyno_Data[DelMiss],"0", Dyno_Data[Mode],"Teleop")</f>
        <v>6</v>
      </c>
      <c r="AN89">
        <f>COUNTIFS(Dyno_Data[Team],TBA_Matches_All[[#This Row],[Team]],Dyno_Data[Match],TBA_Matches_All[[#This Row],[Match_Number]],Dyno_Data[RecordType],"Activities",Dyno_Data[DelDest],"Trap", Dyno_Data[DelMiss],"0", Dyno_Data[Mode],"&lt;&gt;Auto")</f>
        <v>0</v>
      </c>
      <c r="AO89">
        <f>SUM(TBA_Matches_All[[#This Row],[AampT]]+TBA_Matches_All[[#This Row],[AspkrT]]+TBA_Matches_All[[#This Row],[AtrapT]]+TBA_Matches_All[[#This Row],[TampT]]+TBA_Matches_All[[#This Row],[TspkrT]]+TBA_Matches_All[[#This Row],[TtrapT]])</f>
        <v>7</v>
      </c>
      <c r="AP89">
        <f>COUNTIFS(Dyno_Data[Team],TBA_Matches_All[[#This Row],[Team]],Dyno_Data[Match],TBA_Matches_All[[#This Row],[Match_Number]],Dyno_Data[RecordType],"Activities",Dyno_Data[DelDest],"Neut", Dyno_Data[DelMiss],"0")</f>
        <v>0</v>
      </c>
      <c r="AQ89">
        <f>COUNTIFS(Dyno_Data[Team],TBA_Matches_All[[#This Row],[Team]],Dyno_Data[Match],TBA_Matches_All[[#This Row],[Match_Number]],Dyno_Data[RecordType],"Activities",Dyno_Data[DelDest],"AllyW", Dyno_Data[DelMiss],"0")</f>
        <v>0</v>
      </c>
      <c r="AR89" t="str">
        <f>_xlfn.XLOOKUP(SUM(MID(TBA_Matches_All[[#This Row],[Team]],4,5),(TBA_Matches_All[[#This Row],[Match_Number]]/100)),Dyno_EndMatch[teammat],Dyno_EndMatch[RobotSta],"_",0,1)</f>
        <v>Podm</v>
      </c>
      <c r="AS89">
        <f>SUMIFS(Dyno_Data[AcqDis], Dyno_Data[Team],TBA_Matches_All[[#This Row],[Team]],Dyno_Data[Match],TBA_Matches_All[[#This Row],[Match_Number]],Dyno_Data[RecordType],"Activities", Dyno_Data[AcqCenter],1,Dyno_Data[Mode],"Auto")</f>
        <v>-1</v>
      </c>
      <c r="AT89">
        <f>SUMIFS(Dyno_Data[AcqDis], Dyno_Data[Team],TBA_Matches_All[[#This Row],[Team]],Dyno_Data[Match],TBA_Matches_All[[#This Row],[Match_Number]],Dyno_Data[RecordType],"Activities", Dyno_Data[AcqCenter],2,Dyno_Data[Mode],"Auto")</f>
        <v>0</v>
      </c>
      <c r="AU89">
        <f>SUMIFS(Dyno_Data[AcqDis], Dyno_Data[Team],TBA_Matches_All[[#This Row],[Team]],Dyno_Data[Match],TBA_Matches_All[[#This Row],[Match_Number]],Dyno_Data[RecordType],"Activities", Dyno_Data[AcqCenter],3,Dyno_Data[Mode],"Auto")</f>
        <v>0</v>
      </c>
      <c r="AV89">
        <f>SUMIFS(Dyno_Data[AcqDis], Dyno_Data[Team],TBA_Matches_All[[#This Row],[Team]],Dyno_Data[Match],TBA_Matches_All[[#This Row],[Match_Number]],Dyno_Data[RecordType],"Activities", Dyno_Data[AcqCenter],4,Dyno_Data[Mode],"Auto")</f>
        <v>0</v>
      </c>
      <c r="AW89">
        <f>SUMIFS(Dyno_Data[AcqDis], Dyno_Data[Team],TBA_Matches_All[[#This Row],[Team]],Dyno_Data[Match],TBA_Matches_All[[#This Row],[Match_Number]],Dyno_Data[RecordType],"Activities", Dyno_Data[AcqCenter],5,Dyno_Data[Mode],"Auto")</f>
        <v>0</v>
      </c>
      <c r="AX89">
        <f>SUMIFS(Dyno_Data[DelMiss], Dyno_Data[Team],TBA_Matches_All[[#This Row],[Team]],Dyno_Data[Match],TBA_Matches_All[[#This Row],[Match_Number]],Dyno_Data[RecordType],"Activities", Dyno_Data[DelDest],"Amp")</f>
        <v>0</v>
      </c>
      <c r="AY89" s="60">
        <f>IFERROR(SUM((TBA_Matches_All[[#This Row],[AampT]]+TBA_Matches_All[[#This Row],[TampT]])/(TBA_Matches_All[[#This Row],[AampT]]+TBA_Matches_All[[#This Row],[TampT]]+TBA_Matches_All[[#This Row],[ampM]])),0)</f>
        <v>0</v>
      </c>
      <c r="AZ89">
        <f>SUMIFS(Dyno_Data[DelMiss], Dyno_Data[Team],TBA_Matches_All[[#This Row],[Team]],Dyno_Data[Match],TBA_Matches_All[[#This Row],[Match_Number]],Dyno_Data[RecordType],"Activities", Dyno_Data[DelDest],"Spkr")</f>
        <v>0</v>
      </c>
      <c r="BA89" s="60">
        <f>IFERROR(SUM((TBA_Matches_All[[#This Row],[AspkrT]]+TBA_Matches_All[[#This Row],[TspkrT]])/(TBA_Matches_All[[#This Row],[AspkrT]]+TBA_Matches_All[[#This Row],[TspkrT]]+TBA_Matches_All[[#This Row],[spkrM]])),0)</f>
        <v>1</v>
      </c>
      <c r="BB89">
        <f>SUMIFS(Dyno_Data[DelMiss], Dyno_Data[Team],TBA_Matches_All[[#This Row],[Team]],Dyno_Data[Match],TBA_Matches_All[[#This Row],[Match_Number]],Dyno_Data[RecordType],"Activities", Dyno_Data[DelDest],"Trap")</f>
        <v>0</v>
      </c>
      <c r="BC89" s="60">
        <f>IFERROR((TBA_Matches_All[[#This Row],[AtrapT]]+TBA_Matches_All[[#This Row],[TtrapT]])/(TBA_Matches_All[[#This Row],[AtrapT]]+TBA_Matches_All[[#This Row],[TtrapT]]+TBA_Matches_All[[#This Row],[trapM]]),0)</f>
        <v>0</v>
      </c>
      <c r="BD89">
        <f>COUNTIFS(Dyno_Data[Team],TBA_Matches_All[[#This Row],[Team]],Dyno_Data[Match],TBA_Matches_All[[#This Row],[Match_Number]],Dyno_Data[RecordType],"Activities",Dyno_Data[DelDest],"Neut", Dyno_Data[DelMiss],1)</f>
        <v>0</v>
      </c>
      <c r="BE89" s="60">
        <f>IFERROR(SUM((TBA_Matches_All[[#This Row],[NeutFlrT]])/(TBA_Matches_All[[#This Row],[NeutFlrT]]+TBA_Matches_All[[#This Row],[NZflM]])),0)</f>
        <v>0</v>
      </c>
      <c r="BF89">
        <f>COUNTIFS(Dyno_Data[Team],TBA_Matches_All[[#This Row],[Team]],Dyno_Data[Match],TBA_Matches_All[[#This Row],[Match_Number]],Dyno_Data[RecordType],"Activities",Dyno_Data[DelDest],"AllyW", Dyno_Data[DelMiss],1)</f>
        <v>0</v>
      </c>
      <c r="BG89" s="60">
        <f>IFERROR(SUM((TBA_Matches_All[[#This Row],[AllyWFlrT]])/(TBA_Matches_All[[#This Row],[AllyWFlrT]]+TBA_Matches_All[[#This Row],[AZflM]])),0)</f>
        <v>0</v>
      </c>
      <c r="BH89">
        <f>COUNTIFS(Dyno_Data[Team],TBA_Matches_All[[#This Row],[Team]],Dyno_Data[Match],TBA_Matches_All[[#This Row],[Match_Number]],Dyno_Data[RecordType],"Activities",Dyno_Data[DelOrig],"OppW", Dyno_Data[DelMiss],"0")</f>
        <v>0</v>
      </c>
      <c r="BI89">
        <f>COUNTIFS(Dyno_Data[Team],TBA_Matches_All[[#This Row],[Team]],Dyno_Data[Match],TBA_Matches_All[[#This Row],[Match_Number]],Dyno_Data[RecordType],"Activities",Dyno_Data[DelOrig],"OppW", Dyno_Data[DelMiss],"1")</f>
        <v>0</v>
      </c>
      <c r="BJ89" s="60">
        <f>IFERROR(SUM((TBA_Matches_All[[#This Row],[OZflrT]])/(TBA_Matches_All[[#This Row],[OZflrT]]+TBA_Matches_All[[#This Row],[OZflrM]])),0)</f>
        <v>0</v>
      </c>
      <c r="BK89">
        <f>COUNTIFS(Dyno_Data[Team],TBA_Matches_All[[#This Row],[Team]],Dyno_Data[Match],TBA_Matches_All[[#This Row],[Match_Number]],Dyno_Data[RecordType],"Activities",Dyno_Data[DelOrig],"Neut", Dyno_Data[DelMiss],"0")</f>
        <v>0</v>
      </c>
      <c r="BL89">
        <f>COUNTIFS(Dyno_Data[Team],TBA_Matches_All[[#This Row],[Team]],Dyno_Data[Match],TBA_Matches_All[[#This Row],[Match_Number]],Dyno_Data[RecordType],"Activities",Dyno_Data[DelOrig],"Neut", Dyno_Data[DelMiss],"1")</f>
        <v>0</v>
      </c>
      <c r="BM89" s="60">
        <f>IFERROR(SUM((TBA_Matches_All[[#This Row],[NZflrT]])/(TBA_Matches_All[[#This Row],[NZflrT]]+TBA_Matches_All[[#This Row],[NZflrM]])),0)</f>
        <v>0</v>
      </c>
      <c r="BN89">
        <f>COUNTIFS(Dyno_Data[Team],TBA_Matches_All[[#This Row],[Team]],Dyno_Data[Match],TBA_Matches_All[[#This Row],[Match_Number]],Dyno_Data[RecordType],"Activities",Dyno_Data[DelOrig],"AllyW", Dyno_Data[DelMiss],"0")</f>
        <v>7</v>
      </c>
      <c r="BO89">
        <f>COUNTIFS(Dyno_Data[Team],TBA_Matches_All[[#This Row],[Team]],Dyno_Data[Match],TBA_Matches_All[[#This Row],[Match_Number]],Dyno_Data[RecordType],"Activities",Dyno_Data[DelOrig],"AllyW", Dyno_Data[DelMiss],"1")</f>
        <v>0</v>
      </c>
      <c r="BP89" s="60">
        <f>IFERROR(SUM((TBA_Matches_All[[#This Row],[AZflrT]])/(TBA_Matches_All[[#This Row],[AZflrT]]+TBA_Matches_All[[#This Row],[AZflrM]])),0)</f>
        <v>1</v>
      </c>
      <c r="BQ89">
        <f>COUNTIFS(Dyno_Data[Team],TBA_Matches_All[[#This Row],[Team]],Dyno_Data[Match],TBA_Matches_All[[#This Row],[Match_Number]],Dyno_Data[RecordType],"Activities",Dyno_Data[DelOrig],"SubW", Dyno_Data[DelMiss],"0")</f>
        <v>0</v>
      </c>
      <c r="BR89">
        <f>COUNTIFS(Dyno_Data[Team],TBA_Matches_All[[#This Row],[Team]],Dyno_Data[Match],TBA_Matches_All[[#This Row],[Match_Number]],Dyno_Data[RecordType],"Activities",Dyno_Data[DelOrig],"SubW", Dyno_Data[DelMiss],"1")</f>
        <v>0</v>
      </c>
      <c r="BS89" s="60">
        <f>IFERROR(SUM((TBA_Matches_All[[#This Row],[SubwT]])/(TBA_Matches_All[[#This Row],[SubwT]]+TBA_Matches_All[[#This Row],[SubwM]])),0)</f>
        <v>0</v>
      </c>
      <c r="BT89">
        <f>COUNTIFS(Dyno_Data[Team],TBA_Matches_All[[#This Row],[Team]],Dyno_Data[Match],TBA_Matches_All[[#This Row],[Match_Number]],Dyno_Data[RecordType],"Activities", Dyno_Data[AcqLoc],"OppWing")</f>
        <v>0</v>
      </c>
      <c r="BU89">
        <f>COUNTIFS(Dyno_Data[Team],TBA_Matches_All[[#This Row],[Team]],Dyno_Data[Match],TBA_Matches_All[[#This Row],[Match_Number]],Dyno_Data[RecordType],"Activities", Dyno_Data[AcqLoc],"Neutral")</f>
        <v>1</v>
      </c>
      <c r="BV89">
        <f>COUNTIFS(Dyno_Data[Team],TBA_Matches_All[[#This Row],[Team]],Dyno_Data[Match],TBA_Matches_All[[#This Row],[Match_Number]],Dyno_Data[RecordType],"Activities", Dyno_Data[AcqLoc],"AllyWing")</f>
        <v>0</v>
      </c>
      <c r="BW89">
        <f>COUNTIFS(Dyno_Data[Team],TBA_Matches_All[[#This Row],[Team]],Dyno_Data[Match],TBA_Matches_All[[#This Row],[Match_Number]],Dyno_Data[RecordType],"Activities", Dyno_Data[AcqLoc],"Source")</f>
        <v>0</v>
      </c>
      <c r="BX89">
        <f>SUMIFS(Dyno_Data[AcqDrp], Dyno_Data[Team],TBA_Matches_All[[#This Row],[Team]],Dyno_Data[Match],TBA_Matches_All[[#This Row],[Match_Number]],Dyno_Data[RecordType],"Activities", Dyno_Data[AcqLoc],"Source")</f>
        <v>0</v>
      </c>
      <c r="BY89">
        <f>SUMIFS(Dyno_Data[OZTime], Dyno_Data[Team],TBA_Matches_All[[#This Row],[Team]],Dyno_Data[Match],TBA_Matches_All[[#This Row],[Match_Number]],Dyno_Data[RecordType],"EndMatch")</f>
        <v>44.073602099999995</v>
      </c>
      <c r="BZ89">
        <f>SUMIFS(Dyno_Data[NZTime], Dyno_Data[Team],TBA_Matches_All[[#This Row],[Team]],Dyno_Data[Match],TBA_Matches_All[[#This Row],[Match_Number]],Dyno_Data[RecordType],"EndMatch")</f>
        <v>21.417432299999998</v>
      </c>
      <c r="CA89">
        <f>SUMIFS(Dyno_Data[AZTime], Dyno_Data[Team],TBA_Matches_All[[#This Row],[Team]],Dyno_Data[Match],TBA_Matches_All[[#This Row],[Match_Number]],Dyno_Data[RecordType],"EndMatch")</f>
        <v>43.717856300000001</v>
      </c>
      <c r="CB89">
        <f>SUMIFS(Dyno_Data[ClimbT], Dyno_Data[Team],TBA_Matches_All[[#This Row],[Team]],Dyno_Data[Match],TBA_Matches_All[[#This Row],[Match_Number]],Dyno_Data[RecordType],"EndMatch")</f>
        <v>11.7344261</v>
      </c>
      <c r="CC89" t="str">
        <f>_xlfn.XLOOKUP(SUM(MID(TBA_Matches_All[[#This Row],[Team]],4,5),(TBA_Matches_All[[#This Row],[Match_Number]]/100)),Dyno_EndMatch[teammat],Dyno_EndMatch[StageStat],"_",0,1)</f>
        <v>On</v>
      </c>
      <c r="CD89" t="str">
        <f>_xlfn.XLOOKUP(TBA_Matches_All[[#This Row],[teammat]],Dyno_EndMatch[teammat],Dyno_EndMatch[StageAtt],"_",0,1)</f>
        <v>1</v>
      </c>
      <c r="CE89" t="str">
        <f>_xlfn.XLOOKUP(TBA_Matches_All[[#This Row],[teammat]],Dyno_EndMatch[teammat],Dyno_EndMatch[StageLoc],"_",0,1)</f>
        <v>L</v>
      </c>
      <c r="CF89">
        <f>SUMIFS(Dyno_Data[Harmony], Dyno_Data[Team],TBA_Matches_All[[#This Row],[Team]],Dyno_Data[Match],TBA_Matches_All[[#This Row],[Match_Number]],Dyno_Data[RecordType],"EndMatch", Dyno_Data[StageStat],"On",Dyno_Data[Harmony],"&lt;&gt;9")</f>
        <v>0</v>
      </c>
      <c r="CG89">
        <f>SUMIFS(Dyno_Data[Spotlit], Dyno_Data[Team],TBA_Matches_All[[#This Row],[Team]],Dyno_Data[Match],TBA_Matches_All[[#This Row],[Match_Number]],Dyno_Data[RecordType],"EndMatch", Dyno_Data[StageStat],"On",Dyno_Data[Spotlit],"&lt;&gt;9")</f>
        <v>1</v>
      </c>
      <c r="CH89" t="str">
        <f>_xlfn.XLOOKUP(TBA_Matches_All[[#This Row],[teammat]],Dyno_EndMatch[teammat],Dyno_EndMatch[Strategy],"_",0,1)</f>
        <v>Hybrid</v>
      </c>
      <c r="CI89">
        <f>SUMIFS(Dyno_Data[Defense], Dyno_Data[Team],TBA_Matches_All[[#This Row],[Team]],Dyno_Data[Match],TBA_Matches_All[[#This Row],[Match_Number]],Dyno_Data[RecordType],"EndMatch",Dyno_Data[Defense],"&lt;&gt;9")</f>
        <v>0</v>
      </c>
      <c r="CJ89">
        <f>SUMIFS(Dyno_Data[Avoidance], Dyno_Data[Team],TBA_Matches_All[[#This Row],[Team]],Dyno_Data[Match],TBA_Matches_All[[#This Row],[Match_Number]],Dyno_Data[RecordType],"EndMatch",Dyno_Data[Avoidance],"&lt;&gt;9")</f>
        <v>0</v>
      </c>
      <c r="CK89" s="82">
        <f>COUNTIF($H$2:TBA_Matches_All[[#This Row],[Team]],TBA_Matches_All[[#This Row],[Team]])</f>
        <v>2</v>
      </c>
      <c r="CL89" s="111">
        <f>SUM(MID(TBA_Matches_All[[#This Row],[Team]],4,5)+TBA_Matches_All[[#This Row],[Match_Number]]/100)</f>
        <v>2601.15</v>
      </c>
      <c r="CM89">
        <f>SUM((TBA_Matches_All[[#This Row],[Leave]]*2)+(TBA_Matches_All[[#This Row],[AampT]]*2)+(TBA_Matches_All[[#This Row],[AspkrT]]*5)+(TBA_Matches_All[[#This Row],[AtrapT]]*5))</f>
        <v>7</v>
      </c>
      <c r="CN89" s="59">
        <f>IFERROR(SUM(TBA_Matches_All[[#This Row],[AptsT]]/TBA_Matches_All[[#This Row],[AutoPts]]),0)</f>
        <v>0.19444444444444445</v>
      </c>
      <c r="CO89" s="59">
        <f>IFERROR(SUM(TBA_Matches_All[[#This Row],[AampT]]+TBA_Matches_All[[#This Row],[AspkrT]]+TBA_Matches_All[[#This Row],[AtrapT]]/TBA_Matches_All[[#This Row],[Aamp]]+TBA_Matches_All[[#This Row],[Aspkr]]+TBA_Matches_All[[#This Row],[AtrapT]]),0)</f>
        <v>0</v>
      </c>
      <c r="CP89" s="59">
        <f>IFERROR(SUM(TBA_Matches_All[[#This Row],[TampT]]/TBA_Matches_All[[#This Row],[Tamp]]),0)</f>
        <v>0</v>
      </c>
      <c r="CQ89" s="59">
        <f>IFERROR(SUM(TBA_Matches_All[[#This Row],[TspkrT]]/TBA_Matches_All[[#This Row],[Tspkr]]),0)</f>
        <v>0.2857142857142857</v>
      </c>
      <c r="CR89">
        <f>SUM(TBA_Matches_All[[#This Row],[TspkrPts]]*TBA_Matches_All[[#This Row],[TspkrP]])</f>
        <v>12</v>
      </c>
      <c r="CS89" s="59">
        <f>IFERROR(SUM(TBA_Matches_All[[#This Row],[TtrapT]]/TBA_Matches_All[[#This Row],[Trap]]),0)</f>
        <v>0</v>
      </c>
      <c r="CT89" s="59">
        <f>IFERROR(SUM(TBA_Matches_All[[#This Row],[TotNotesT]]/TBA_Matches_All[[#This Row],[TotNotes]]),0)</f>
        <v>0.25</v>
      </c>
      <c r="CU89" s="66">
        <f>SUM((TBA_Matches_All[[#This Row],[AampT]]*2)+(TBA_Matches_All[[#This Row],[AspkrT]]*5)+(TBA_Matches_All[[#This Row],[AtrapT]]*5)+(TBA_Matches_All[[#This Row],[TampT]]*1)+(TBA_Matches_All[[#This Row],[TspkrptsC]]))</f>
        <v>17</v>
      </c>
      <c r="CV89" s="59">
        <f>IFERROR(TBA_Matches_All[[#This Row],[noteptsT]]/TBA_Matches_All[[#This Row],[NotePts]],0)</f>
        <v>0.23287671232876711</v>
      </c>
      <c r="CW89">
        <f>SUM(IF(TBA_Matches_All[[#This Row],[stageStat]]="On",3,0),IF(TBA_Matches_All[[#This Row],[stageStat]]="Park",1,0),SUMIFS(TBA_Matches_All[[#This Row],[Spotlit]],TBA_Matches_All[[#This Row],[stageStat]],"On"),SUMIFS(TBA_Matches_All[[#This Row],[Harmony]],TBA_Matches_All[[#This Row],[stageStat]],"On"))</f>
        <v>4</v>
      </c>
      <c r="CX89" s="59">
        <f>IFERROR(TBA_Matches_All[[#This Row],[stageptsT]]/TBA_Matches_All[[#This Row],[StagePts]],0)</f>
        <v>0.33333333333333331</v>
      </c>
      <c r="CY89">
        <f>SUM((TBA_Matches_All[[#This Row],[AptsT]]+TBA_Matches_All[[#This Row],[TampT]]+TBA_Matches_All[[#This Row],[TspkrptsC]]+(TBA_Matches_All[[#This Row],[TtrapT]]*5)+TBA_Matches_All[[#This Row],[stageptsT]]))</f>
        <v>23</v>
      </c>
      <c r="CZ89" s="59">
        <f>IFERROR(SUM(TBA_Matches_All[[#This Row],[TotptsC]]/TBA_Matches_All[[#This Row],[Score]]),0)</f>
        <v>0.2072072072072072</v>
      </c>
      <c r="DA8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17.639340659340657</v>
      </c>
      <c r="DB89" s="74">
        <f>SUMIFS(TBA_Matches_All[AveTeamTNoteDels],TBA_Matches_All[Match_Number],TBA_Matches_All[[#This Row],[Match_Number]],TBA_Matches_All[Alliance],"&lt;&gt;"&amp;TBA_Matches_All[[#This Row],[Alliance]],TBA_Matches_All[Scouted],"&gt;0")</f>
        <v>10.633333333333333</v>
      </c>
      <c r="DC89" s="74">
        <f>(TBA_Matches_All[[#This Row],[TampT]]+TBA_Matches_All[[#This Row],[TspkrptsC]])-TBA_Matches_All[[#This Row],[AveTeamTNoteDels]]</f>
        <v>-5.6393406593406574</v>
      </c>
      <c r="DD89" s="74">
        <f>SUMIFS(TBA_Matches_All[AveTeamTNoteDels],TBA_Matches_All[Match_Number],TBA_Matches_All[[#This Row],[Match_Number]],TBA_Matches_All[Alliance],"&lt;&gt;"&amp;TBA_Matches_All[[#This Row],[Alliance]])-TBA_Matches_All[[#This Row],[AveOppTNoteDels]]</f>
        <v>0</v>
      </c>
    </row>
    <row r="90" spans="1:108" x14ac:dyDescent="0.3">
      <c r="A90" t="s">
        <v>1042</v>
      </c>
      <c r="B90" t="s">
        <v>489</v>
      </c>
      <c r="C90" t="s">
        <v>1324</v>
      </c>
      <c r="D90">
        <v>15</v>
      </c>
      <c r="E90" t="s">
        <v>1406</v>
      </c>
      <c r="F90" t="s">
        <v>1426</v>
      </c>
      <c r="G90" t="s">
        <v>164</v>
      </c>
      <c r="H90" t="s">
        <v>369</v>
      </c>
      <c r="I90" t="b">
        <v>1</v>
      </c>
      <c r="J90">
        <v>39</v>
      </c>
      <c r="K90">
        <v>0</v>
      </c>
      <c r="L90">
        <v>0</v>
      </c>
      <c r="M90">
        <v>20</v>
      </c>
      <c r="N90">
        <v>0</v>
      </c>
      <c r="O90">
        <v>4</v>
      </c>
      <c r="P90">
        <v>20</v>
      </c>
      <c r="Q90">
        <v>22</v>
      </c>
      <c r="R90">
        <v>3</v>
      </c>
      <c r="S90">
        <v>2</v>
      </c>
      <c r="T90">
        <v>1</v>
      </c>
      <c r="U90">
        <v>10</v>
      </c>
      <c r="V90">
        <v>2</v>
      </c>
      <c r="W90">
        <v>3</v>
      </c>
      <c r="X90">
        <v>12</v>
      </c>
      <c r="Y90">
        <v>15</v>
      </c>
      <c r="Z90">
        <v>0</v>
      </c>
      <c r="AA90">
        <v>0</v>
      </c>
      <c r="AB90">
        <v>10</v>
      </c>
      <c r="AC90">
        <v>35</v>
      </c>
      <c r="AD90">
        <v>2</v>
      </c>
      <c r="AE90">
        <f>IFERROR(6/(COUNTIF(Dyno_EndMatch[Match],TBA_Matches_All[[#This Row],[Match_Number]])),0)</f>
        <v>1</v>
      </c>
      <c r="AF90">
        <f>COUNTIFS(Dyno_Data[Team],TBA_Matches_All[[#This Row],[Team]],Dyno_Data[Match],TBA_Matches_All[[#This Row],[Match_Number]],Dyno_Data[RecordType],"EndMatch",Dyno_Data[HPAmp],"Y")</f>
        <v>0</v>
      </c>
      <c r="AG90">
        <f>SUMIFS(Dyno_Data[Mics], Dyno_Data[Team],TBA_Matches_All[[#This Row],[Team]],Dyno_Data[Match],TBA_Matches_All[[#This Row],[Match_Number]],Dyno_Data[RecordType],"EndMatch",Dyno_Data[HPAmp],"Y")</f>
        <v>0</v>
      </c>
      <c r="AH90">
        <f>SUMIFS(Dyno_Data[Leave], Dyno_Data[Team],TBA_Matches_All[[#This Row],[Team]],Dyno_Data[Match],TBA_Matches_All[[#This Row],[Match_Number]],Dyno_Data[RecordType],"EndAuto")</f>
        <v>0</v>
      </c>
      <c r="AI90">
        <f>COUNTIFS(Dyno_Data[Team],TBA_Matches_All[[#This Row],[Team]],Dyno_Data[Match],TBA_Matches_All[[#This Row],[Match_Number]],Dyno_Data[RecordType],"Activities",Dyno_Data[DelDest],"Amp", Dyno_Data[DelMiss],"0", Dyno_Data[Mode],"Auto")</f>
        <v>0</v>
      </c>
      <c r="AJ90">
        <f>COUNTIFS(Dyno_Data[Team],TBA_Matches_All[[#This Row],[Team]],Dyno_Data[Match],TBA_Matches_All[[#This Row],[Match_Number]],Dyno_Data[RecordType],"Activities",Dyno_Data[DelDest],"Spkr", Dyno_Data[DelMiss],"0", Dyno_Data[Mode],"Auto")</f>
        <v>0</v>
      </c>
      <c r="AK90">
        <f>COUNTIFS(Dyno_Data[Team],TBA_Matches_All[[#This Row],[Team]],Dyno_Data[Match],TBA_Matches_All[[#This Row],[Match_Number]],Dyno_Data[RecordType],"Activities",Dyno_Data[DelDest],"Trap", Dyno_Data[DelMiss],"0", Dyno_Data[Mode],"Auto")</f>
        <v>0</v>
      </c>
      <c r="AL90">
        <f>COUNTIFS(Dyno_Data[Team],TBA_Matches_All[[#This Row],[Team]],Dyno_Data[Match],TBA_Matches_All[[#This Row],[Match_Number]],Dyno_Data[RecordType],"Activities",Dyno_Data[DelDest],"Amp", Dyno_Data[DelMiss],"0", Dyno_Data[Mode],"Teleop")</f>
        <v>0</v>
      </c>
      <c r="AM90">
        <f>COUNTIFS(Dyno_Data[Team],TBA_Matches_All[[#This Row],[Team]],Dyno_Data[Match],TBA_Matches_All[[#This Row],[Match_Number]],Dyno_Data[RecordType],"Activities",Dyno_Data[DelDest],"Spkr", Dyno_Data[DelMiss],"0", Dyno_Data[Mode],"Teleop")</f>
        <v>0</v>
      </c>
      <c r="AN90">
        <f>COUNTIFS(Dyno_Data[Team],TBA_Matches_All[[#This Row],[Team]],Dyno_Data[Match],TBA_Matches_All[[#This Row],[Match_Number]],Dyno_Data[RecordType],"Activities",Dyno_Data[DelDest],"Trap", Dyno_Data[DelMiss],"0", Dyno_Data[Mode],"&lt;&gt;Auto")</f>
        <v>0</v>
      </c>
      <c r="AO90">
        <f>SUM(TBA_Matches_All[[#This Row],[AampT]]+TBA_Matches_All[[#This Row],[AspkrT]]+TBA_Matches_All[[#This Row],[AtrapT]]+TBA_Matches_All[[#This Row],[TampT]]+TBA_Matches_All[[#This Row],[TspkrT]]+TBA_Matches_All[[#This Row],[TtrapT]])</f>
        <v>0</v>
      </c>
      <c r="AP90">
        <f>COUNTIFS(Dyno_Data[Team],TBA_Matches_All[[#This Row],[Team]],Dyno_Data[Match],TBA_Matches_All[[#This Row],[Match_Number]],Dyno_Data[RecordType],"Activities",Dyno_Data[DelDest],"Neut", Dyno_Data[DelMiss],"0")</f>
        <v>0</v>
      </c>
      <c r="AQ90">
        <f>COUNTIFS(Dyno_Data[Team],TBA_Matches_All[[#This Row],[Team]],Dyno_Data[Match],TBA_Matches_All[[#This Row],[Match_Number]],Dyno_Data[RecordType],"Activities",Dyno_Data[DelDest],"AllyW", Dyno_Data[DelMiss],"0")</f>
        <v>0</v>
      </c>
      <c r="AR90" t="str">
        <f>_xlfn.XLOOKUP(SUM(MID(TBA_Matches_All[[#This Row],[Team]],4,5),(TBA_Matches_All[[#This Row],[Match_Number]]/100)),Dyno_EndMatch[teammat],Dyno_EndMatch[RobotSta],"_",0,1)</f>
        <v>OppS</v>
      </c>
      <c r="AS90">
        <f>SUMIFS(Dyno_Data[AcqDis], Dyno_Data[Team],TBA_Matches_All[[#This Row],[Team]],Dyno_Data[Match],TBA_Matches_All[[#This Row],[Match_Number]],Dyno_Data[RecordType],"Activities", Dyno_Data[AcqCenter],1,Dyno_Data[Mode],"Auto")</f>
        <v>0</v>
      </c>
      <c r="AT90">
        <f>SUMIFS(Dyno_Data[AcqDis], Dyno_Data[Team],TBA_Matches_All[[#This Row],[Team]],Dyno_Data[Match],TBA_Matches_All[[#This Row],[Match_Number]],Dyno_Data[RecordType],"Activities", Dyno_Data[AcqCenter],2,Dyno_Data[Mode],"Auto")</f>
        <v>0</v>
      </c>
      <c r="AU90">
        <f>SUMIFS(Dyno_Data[AcqDis], Dyno_Data[Team],TBA_Matches_All[[#This Row],[Team]],Dyno_Data[Match],TBA_Matches_All[[#This Row],[Match_Number]],Dyno_Data[RecordType],"Activities", Dyno_Data[AcqCenter],3,Dyno_Data[Mode],"Auto")</f>
        <v>0</v>
      </c>
      <c r="AV90">
        <f>SUMIFS(Dyno_Data[AcqDis], Dyno_Data[Team],TBA_Matches_All[[#This Row],[Team]],Dyno_Data[Match],TBA_Matches_All[[#This Row],[Match_Number]],Dyno_Data[RecordType],"Activities", Dyno_Data[AcqCenter],4,Dyno_Data[Mode],"Auto")</f>
        <v>0</v>
      </c>
      <c r="AW90">
        <f>SUMIFS(Dyno_Data[AcqDis], Dyno_Data[Team],TBA_Matches_All[[#This Row],[Team]],Dyno_Data[Match],TBA_Matches_All[[#This Row],[Match_Number]],Dyno_Data[RecordType],"Activities", Dyno_Data[AcqCenter],5,Dyno_Data[Mode],"Auto")</f>
        <v>0</v>
      </c>
      <c r="AX90">
        <f>SUMIFS(Dyno_Data[DelMiss], Dyno_Data[Team],TBA_Matches_All[[#This Row],[Team]],Dyno_Data[Match],TBA_Matches_All[[#This Row],[Match_Number]],Dyno_Data[RecordType],"Activities", Dyno_Data[DelDest],"Amp")</f>
        <v>0</v>
      </c>
      <c r="AY90" s="60">
        <f>IFERROR(SUM((TBA_Matches_All[[#This Row],[AampT]]+TBA_Matches_All[[#This Row],[TampT]])/(TBA_Matches_All[[#This Row],[AampT]]+TBA_Matches_All[[#This Row],[TampT]]+TBA_Matches_All[[#This Row],[ampM]])),0)</f>
        <v>0</v>
      </c>
      <c r="AZ90">
        <f>SUMIFS(Dyno_Data[DelMiss], Dyno_Data[Team],TBA_Matches_All[[#This Row],[Team]],Dyno_Data[Match],TBA_Matches_All[[#This Row],[Match_Number]],Dyno_Data[RecordType],"Activities", Dyno_Data[DelDest],"Spkr")</f>
        <v>0</v>
      </c>
      <c r="BA90" s="60">
        <f>IFERROR(SUM((TBA_Matches_All[[#This Row],[AspkrT]]+TBA_Matches_All[[#This Row],[TspkrT]])/(TBA_Matches_All[[#This Row],[AspkrT]]+TBA_Matches_All[[#This Row],[TspkrT]]+TBA_Matches_All[[#This Row],[spkrM]])),0)</f>
        <v>0</v>
      </c>
      <c r="BB90">
        <f>SUMIFS(Dyno_Data[DelMiss], Dyno_Data[Team],TBA_Matches_All[[#This Row],[Team]],Dyno_Data[Match],TBA_Matches_All[[#This Row],[Match_Number]],Dyno_Data[RecordType],"Activities", Dyno_Data[DelDest],"Trap")</f>
        <v>0</v>
      </c>
      <c r="BC90" s="60">
        <f>IFERROR((TBA_Matches_All[[#This Row],[AtrapT]]+TBA_Matches_All[[#This Row],[TtrapT]])/(TBA_Matches_All[[#This Row],[AtrapT]]+TBA_Matches_All[[#This Row],[TtrapT]]+TBA_Matches_All[[#This Row],[trapM]]),0)</f>
        <v>0</v>
      </c>
      <c r="BD90">
        <f>COUNTIFS(Dyno_Data[Team],TBA_Matches_All[[#This Row],[Team]],Dyno_Data[Match],TBA_Matches_All[[#This Row],[Match_Number]],Dyno_Data[RecordType],"Activities",Dyno_Data[DelDest],"Neut", Dyno_Data[DelMiss],1)</f>
        <v>0</v>
      </c>
      <c r="BE90" s="60">
        <f>IFERROR(SUM((TBA_Matches_All[[#This Row],[NeutFlrT]])/(TBA_Matches_All[[#This Row],[NeutFlrT]]+TBA_Matches_All[[#This Row],[NZflM]])),0)</f>
        <v>0</v>
      </c>
      <c r="BF90">
        <f>COUNTIFS(Dyno_Data[Team],TBA_Matches_All[[#This Row],[Team]],Dyno_Data[Match],TBA_Matches_All[[#This Row],[Match_Number]],Dyno_Data[RecordType],"Activities",Dyno_Data[DelDest],"AllyW", Dyno_Data[DelMiss],1)</f>
        <v>0</v>
      </c>
      <c r="BG90" s="60">
        <f>IFERROR(SUM((TBA_Matches_All[[#This Row],[AllyWFlrT]])/(TBA_Matches_All[[#This Row],[AllyWFlrT]]+TBA_Matches_All[[#This Row],[AZflM]])),0)</f>
        <v>0</v>
      </c>
      <c r="BH90">
        <f>COUNTIFS(Dyno_Data[Team],TBA_Matches_All[[#This Row],[Team]],Dyno_Data[Match],TBA_Matches_All[[#This Row],[Match_Number]],Dyno_Data[RecordType],"Activities",Dyno_Data[DelOrig],"OppW", Dyno_Data[DelMiss],"0")</f>
        <v>0</v>
      </c>
      <c r="BI90">
        <f>COUNTIFS(Dyno_Data[Team],TBA_Matches_All[[#This Row],[Team]],Dyno_Data[Match],TBA_Matches_All[[#This Row],[Match_Number]],Dyno_Data[RecordType],"Activities",Dyno_Data[DelOrig],"OppW", Dyno_Data[DelMiss],"1")</f>
        <v>0</v>
      </c>
      <c r="BJ90" s="60">
        <f>IFERROR(SUM((TBA_Matches_All[[#This Row],[OZflrT]])/(TBA_Matches_All[[#This Row],[OZflrT]]+TBA_Matches_All[[#This Row],[OZflrM]])),0)</f>
        <v>0</v>
      </c>
      <c r="BK90">
        <f>COUNTIFS(Dyno_Data[Team],TBA_Matches_All[[#This Row],[Team]],Dyno_Data[Match],TBA_Matches_All[[#This Row],[Match_Number]],Dyno_Data[RecordType],"Activities",Dyno_Data[DelOrig],"Neut", Dyno_Data[DelMiss],"0")</f>
        <v>0</v>
      </c>
      <c r="BL90">
        <f>COUNTIFS(Dyno_Data[Team],TBA_Matches_All[[#This Row],[Team]],Dyno_Data[Match],TBA_Matches_All[[#This Row],[Match_Number]],Dyno_Data[RecordType],"Activities",Dyno_Data[DelOrig],"Neut", Dyno_Data[DelMiss],"1")</f>
        <v>0</v>
      </c>
      <c r="BM90" s="60">
        <f>IFERROR(SUM((TBA_Matches_All[[#This Row],[NZflrT]])/(TBA_Matches_All[[#This Row],[NZflrT]]+TBA_Matches_All[[#This Row],[NZflrM]])),0)</f>
        <v>0</v>
      </c>
      <c r="BN90">
        <f>COUNTIFS(Dyno_Data[Team],TBA_Matches_All[[#This Row],[Team]],Dyno_Data[Match],TBA_Matches_All[[#This Row],[Match_Number]],Dyno_Data[RecordType],"Activities",Dyno_Data[DelOrig],"AllyW", Dyno_Data[DelMiss],"0")</f>
        <v>0</v>
      </c>
      <c r="BO90">
        <f>COUNTIFS(Dyno_Data[Team],TBA_Matches_All[[#This Row],[Team]],Dyno_Data[Match],TBA_Matches_All[[#This Row],[Match_Number]],Dyno_Data[RecordType],"Activities",Dyno_Data[DelOrig],"AllyW", Dyno_Data[DelMiss],"1")</f>
        <v>0</v>
      </c>
      <c r="BP90" s="60">
        <f>IFERROR(SUM((TBA_Matches_All[[#This Row],[AZflrT]])/(TBA_Matches_All[[#This Row],[AZflrT]]+TBA_Matches_All[[#This Row],[AZflrM]])),0)</f>
        <v>0</v>
      </c>
      <c r="BQ90">
        <f>COUNTIFS(Dyno_Data[Team],TBA_Matches_All[[#This Row],[Team]],Dyno_Data[Match],TBA_Matches_All[[#This Row],[Match_Number]],Dyno_Data[RecordType],"Activities",Dyno_Data[DelOrig],"SubW", Dyno_Data[DelMiss],"0")</f>
        <v>0</v>
      </c>
      <c r="BR90">
        <f>COUNTIFS(Dyno_Data[Team],TBA_Matches_All[[#This Row],[Team]],Dyno_Data[Match],TBA_Matches_All[[#This Row],[Match_Number]],Dyno_Data[RecordType],"Activities",Dyno_Data[DelOrig],"SubW", Dyno_Data[DelMiss],"1")</f>
        <v>0</v>
      </c>
      <c r="BS90" s="60">
        <f>IFERROR(SUM((TBA_Matches_All[[#This Row],[SubwT]])/(TBA_Matches_All[[#This Row],[SubwT]]+TBA_Matches_All[[#This Row],[SubwM]])),0)</f>
        <v>0</v>
      </c>
      <c r="BT90">
        <f>COUNTIFS(Dyno_Data[Team],TBA_Matches_All[[#This Row],[Team]],Dyno_Data[Match],TBA_Matches_All[[#This Row],[Match_Number]],Dyno_Data[RecordType],"Activities", Dyno_Data[AcqLoc],"OppWing")</f>
        <v>0</v>
      </c>
      <c r="BU90">
        <f>COUNTIFS(Dyno_Data[Team],TBA_Matches_All[[#This Row],[Team]],Dyno_Data[Match],TBA_Matches_All[[#This Row],[Match_Number]],Dyno_Data[RecordType],"Activities", Dyno_Data[AcqLoc],"Neutral")</f>
        <v>0</v>
      </c>
      <c r="BV90">
        <f>COUNTIFS(Dyno_Data[Team],TBA_Matches_All[[#This Row],[Team]],Dyno_Data[Match],TBA_Matches_All[[#This Row],[Match_Number]],Dyno_Data[RecordType],"Activities", Dyno_Data[AcqLoc],"AllyWing")</f>
        <v>0</v>
      </c>
      <c r="BW90">
        <f>COUNTIFS(Dyno_Data[Team],TBA_Matches_All[[#This Row],[Team]],Dyno_Data[Match],TBA_Matches_All[[#This Row],[Match_Number]],Dyno_Data[RecordType],"Activities", Dyno_Data[AcqLoc],"Source")</f>
        <v>0</v>
      </c>
      <c r="BX90">
        <f>SUMIFS(Dyno_Data[AcqDrp], Dyno_Data[Team],TBA_Matches_All[[#This Row],[Team]],Dyno_Data[Match],TBA_Matches_All[[#This Row],[Match_Number]],Dyno_Data[RecordType],"Activities", Dyno_Data[AcqLoc],"Source")</f>
        <v>0</v>
      </c>
      <c r="BY90">
        <f>SUMIFS(Dyno_Data[OZTime], Dyno_Data[Team],TBA_Matches_All[[#This Row],[Team]],Dyno_Data[Match],TBA_Matches_All[[#This Row],[Match_Number]],Dyno_Data[RecordType],"EndMatch")</f>
        <v>95.8305984</v>
      </c>
      <c r="BZ90">
        <f>SUMIFS(Dyno_Data[NZTime], Dyno_Data[Team],TBA_Matches_All[[#This Row],[Team]],Dyno_Data[Match],TBA_Matches_All[[#This Row],[Match_Number]],Dyno_Data[RecordType],"EndMatch")</f>
        <v>37.686518199999995</v>
      </c>
      <c r="CA90">
        <f>SUMIFS(Dyno_Data[AZTime], Dyno_Data[Team],TBA_Matches_All[[#This Row],[Team]],Dyno_Data[Match],TBA_Matches_All[[#This Row],[Match_Number]],Dyno_Data[RecordType],"EndMatch")</f>
        <v>2.8692365999999998</v>
      </c>
      <c r="CB90">
        <f>SUMIFS(Dyno_Data[ClimbT], Dyno_Data[Team],TBA_Matches_All[[#This Row],[Team]],Dyno_Data[Match],TBA_Matches_All[[#This Row],[Match_Number]],Dyno_Data[RecordType],"EndMatch")</f>
        <v>0</v>
      </c>
      <c r="CC90" t="str">
        <f>_xlfn.XLOOKUP(SUM(MID(TBA_Matches_All[[#This Row],[Team]],4,5),(TBA_Matches_All[[#This Row],[Match_Number]]/100)),Dyno_EndMatch[teammat],Dyno_EndMatch[StageStat],"_",0,1)</f>
        <v>Else</v>
      </c>
      <c r="CD90" t="str">
        <f>_xlfn.XLOOKUP(TBA_Matches_All[[#This Row],[teammat]],Dyno_EndMatch[teammat],Dyno_EndMatch[StageAtt],"_",0,1)</f>
        <v>0</v>
      </c>
      <c r="CE90" t="str">
        <f>_xlfn.XLOOKUP(TBA_Matches_All[[#This Row],[teammat]],Dyno_EndMatch[teammat],Dyno_EndMatch[StageLoc],"_",0,1)</f>
        <v>A</v>
      </c>
      <c r="CF90">
        <f>SUMIFS(Dyno_Data[Harmony], Dyno_Data[Team],TBA_Matches_All[[#This Row],[Team]],Dyno_Data[Match],TBA_Matches_All[[#This Row],[Match_Number]],Dyno_Data[RecordType],"EndMatch", Dyno_Data[StageStat],"On",Dyno_Data[Harmony],"&lt;&gt;9")</f>
        <v>0</v>
      </c>
      <c r="CG90">
        <f>SUMIFS(Dyno_Data[Spotlit], Dyno_Data[Team],TBA_Matches_All[[#This Row],[Team]],Dyno_Data[Match],TBA_Matches_All[[#This Row],[Match_Number]],Dyno_Data[RecordType],"EndMatch", Dyno_Data[StageStat],"On",Dyno_Data[Spotlit],"&lt;&gt;9")</f>
        <v>0</v>
      </c>
      <c r="CH90" t="str">
        <f>_xlfn.XLOOKUP(TBA_Matches_All[[#This Row],[teammat]],Dyno_EndMatch[teammat],Dyno_EndMatch[Strategy],"_",0,1)</f>
        <v>Defense</v>
      </c>
      <c r="CI90">
        <f>SUMIFS(Dyno_Data[Defense], Dyno_Data[Team],TBA_Matches_All[[#This Row],[Team]],Dyno_Data[Match],TBA_Matches_All[[#This Row],[Match_Number]],Dyno_Data[RecordType],"EndMatch",Dyno_Data[Defense],"&lt;&gt;9")</f>
        <v>3</v>
      </c>
      <c r="CJ90">
        <f>SUMIFS(Dyno_Data[Avoidance], Dyno_Data[Team],TBA_Matches_All[[#This Row],[Team]],Dyno_Data[Match],TBA_Matches_All[[#This Row],[Match_Number]],Dyno_Data[RecordType],"EndMatch",Dyno_Data[Avoidance],"&lt;&gt;9")</f>
        <v>0</v>
      </c>
      <c r="CK90" s="82">
        <f>COUNTIF($H$2:TBA_Matches_All[[#This Row],[Team]],TBA_Matches_All[[#This Row],[Team]])</f>
        <v>2</v>
      </c>
      <c r="CL90" s="111">
        <f>SUM(MID(TBA_Matches_All[[#This Row],[Team]],4,5)+TBA_Matches_All[[#This Row],[Match_Number]]/100)</f>
        <v>6463.15</v>
      </c>
      <c r="CM90">
        <f>SUM((TBA_Matches_All[[#This Row],[Leave]]*2)+(TBA_Matches_All[[#This Row],[AampT]]*2)+(TBA_Matches_All[[#This Row],[AspkrT]]*5)+(TBA_Matches_All[[#This Row],[AtrapT]]*5))</f>
        <v>0</v>
      </c>
      <c r="CN90" s="59">
        <f>IFERROR(SUM(TBA_Matches_All[[#This Row],[AptsT]]/TBA_Matches_All[[#This Row],[AutoPts]]),0)</f>
        <v>0</v>
      </c>
      <c r="CO90" s="59">
        <f>IFERROR(SUM(TBA_Matches_All[[#This Row],[AampT]]+TBA_Matches_All[[#This Row],[AspkrT]]+TBA_Matches_All[[#This Row],[AtrapT]]/TBA_Matches_All[[#This Row],[Aamp]]+TBA_Matches_All[[#This Row],[Aspkr]]+TBA_Matches_All[[#This Row],[AtrapT]]),0)</f>
        <v>0</v>
      </c>
      <c r="CP90" s="59">
        <f>IFERROR(SUM(TBA_Matches_All[[#This Row],[TampT]]/TBA_Matches_All[[#This Row],[Tamp]]),0)</f>
        <v>0</v>
      </c>
      <c r="CQ90" s="59">
        <f>IFERROR(SUM(TBA_Matches_All[[#This Row],[TspkrT]]/TBA_Matches_All[[#This Row],[Tspkr]]),0)</f>
        <v>0</v>
      </c>
      <c r="CR90">
        <f>SUM(TBA_Matches_All[[#This Row],[TspkrPts]]*TBA_Matches_All[[#This Row],[TspkrP]])</f>
        <v>0</v>
      </c>
      <c r="CS90" s="59">
        <f>IFERROR(SUM(TBA_Matches_All[[#This Row],[TtrapT]]/TBA_Matches_All[[#This Row],[Trap]]),0)</f>
        <v>0</v>
      </c>
      <c r="CT90" s="59">
        <f>IFERROR(SUM(TBA_Matches_All[[#This Row],[TotNotesT]]/TBA_Matches_All[[#This Row],[TotNotes]]),0)</f>
        <v>0</v>
      </c>
      <c r="CU90" s="66">
        <f>SUM((TBA_Matches_All[[#This Row],[AampT]]*2)+(TBA_Matches_All[[#This Row],[AspkrT]]*5)+(TBA_Matches_All[[#This Row],[AtrapT]]*5)+(TBA_Matches_All[[#This Row],[TampT]]*1)+(TBA_Matches_All[[#This Row],[TspkrptsC]]))</f>
        <v>0</v>
      </c>
      <c r="CV90" s="59">
        <f>IFERROR(TBA_Matches_All[[#This Row],[noteptsT]]/TBA_Matches_All[[#This Row],[NotePts]],0)</f>
        <v>0</v>
      </c>
      <c r="CW90">
        <f>SUM(IF(TBA_Matches_All[[#This Row],[stageStat]]="On",3,0),IF(TBA_Matches_All[[#This Row],[stageStat]]="Park",1,0),SUMIFS(TBA_Matches_All[[#This Row],[Spotlit]],TBA_Matches_All[[#This Row],[stageStat]],"On"),SUMIFS(TBA_Matches_All[[#This Row],[Harmony]],TBA_Matches_All[[#This Row],[stageStat]],"On"))</f>
        <v>0</v>
      </c>
      <c r="CX90" s="59">
        <f>IFERROR(TBA_Matches_All[[#This Row],[stageptsT]]/TBA_Matches_All[[#This Row],[StagePts]],0)</f>
        <v>0</v>
      </c>
      <c r="CY90">
        <f>SUM((TBA_Matches_All[[#This Row],[AptsT]]+TBA_Matches_All[[#This Row],[TampT]]+TBA_Matches_All[[#This Row],[TspkrptsC]]+(TBA_Matches_All[[#This Row],[TtrapT]]*5)+TBA_Matches_All[[#This Row],[stageptsT]]))</f>
        <v>0</v>
      </c>
      <c r="CZ90" s="59">
        <f>IFERROR(SUM(TBA_Matches_All[[#This Row],[TotptsC]]/TBA_Matches_All[[#This Row],[Score]]),0)</f>
        <v>0</v>
      </c>
      <c r="DA9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90" s="74">
        <f>SUMIFS(TBA_Matches_All[AveTeamTNoteDels],TBA_Matches_All[Match_Number],TBA_Matches_All[[#This Row],[Match_Number]],TBA_Matches_All[Alliance],"&lt;&gt;"&amp;TBA_Matches_All[[#This Row],[Alliance]],TBA_Matches_All[Scouted],"&gt;0")</f>
        <v>61.118434482184483</v>
      </c>
      <c r="DC90" s="74">
        <f>(TBA_Matches_All[[#This Row],[TampT]]+TBA_Matches_All[[#This Row],[TspkrptsC]])-TBA_Matches_All[[#This Row],[AveTeamTNoteDels]]</f>
        <v>0</v>
      </c>
      <c r="DD90" s="74">
        <f>SUMIFS(TBA_Matches_All[AveTeamTNoteDels],TBA_Matches_All[Match_Number],TBA_Matches_All[[#This Row],[Match_Number]],TBA_Matches_All[Alliance],"&lt;&gt;"&amp;TBA_Matches_All[[#This Row],[Alliance]])-TBA_Matches_All[[#This Row],[AveOppTNoteDels]]</f>
        <v>0</v>
      </c>
    </row>
    <row r="91" spans="1:108" x14ac:dyDescent="0.3">
      <c r="A91" t="s">
        <v>1042</v>
      </c>
      <c r="B91" t="s">
        <v>489</v>
      </c>
      <c r="C91" t="s">
        <v>1324</v>
      </c>
      <c r="D91">
        <v>15</v>
      </c>
      <c r="E91" t="s">
        <v>1420</v>
      </c>
      <c r="F91" t="s">
        <v>1423</v>
      </c>
      <c r="G91" t="s">
        <v>1409</v>
      </c>
      <c r="H91" t="s">
        <v>1286</v>
      </c>
      <c r="I91" t="b">
        <v>1</v>
      </c>
      <c r="J91">
        <v>111</v>
      </c>
      <c r="K91">
        <v>1</v>
      </c>
      <c r="L91">
        <v>1</v>
      </c>
      <c r="M91">
        <v>0</v>
      </c>
      <c r="N91">
        <v>0</v>
      </c>
      <c r="O91">
        <v>6</v>
      </c>
      <c r="P91">
        <v>30</v>
      </c>
      <c r="Q91">
        <v>36</v>
      </c>
      <c r="R91">
        <v>1</v>
      </c>
      <c r="S91">
        <v>0</v>
      </c>
      <c r="T91">
        <v>21</v>
      </c>
      <c r="U91">
        <v>0</v>
      </c>
      <c r="V91">
        <v>42</v>
      </c>
      <c r="W91">
        <v>21</v>
      </c>
      <c r="X91">
        <v>42</v>
      </c>
      <c r="Y91">
        <v>43</v>
      </c>
      <c r="Z91">
        <v>0</v>
      </c>
      <c r="AA91">
        <v>0</v>
      </c>
      <c r="AB91">
        <v>28</v>
      </c>
      <c r="AC91">
        <v>73</v>
      </c>
      <c r="AD91">
        <v>12</v>
      </c>
      <c r="AE91">
        <f>IFERROR(6/(COUNTIF(Dyno_EndMatch[Match],TBA_Matches_All[[#This Row],[Match_Number]])),0)</f>
        <v>1</v>
      </c>
      <c r="AF91">
        <f>COUNTIFS(Dyno_Data[Team],TBA_Matches_All[[#This Row],[Team]],Dyno_Data[Match],TBA_Matches_All[[#This Row],[Match_Number]],Dyno_Data[RecordType],"EndMatch",Dyno_Data[HPAmp],"Y")</f>
        <v>0</v>
      </c>
      <c r="AG91">
        <f>SUMIFS(Dyno_Data[Mics], Dyno_Data[Team],TBA_Matches_All[[#This Row],[Team]],Dyno_Data[Match],TBA_Matches_All[[#This Row],[Match_Number]],Dyno_Data[RecordType],"EndMatch",Dyno_Data[HPAmp],"Y")</f>
        <v>0</v>
      </c>
      <c r="AH91">
        <f>SUMIFS(Dyno_Data[Leave], Dyno_Data[Team],TBA_Matches_All[[#This Row],[Team]],Dyno_Data[Match],TBA_Matches_All[[#This Row],[Match_Number]],Dyno_Data[RecordType],"EndAuto")</f>
        <v>1</v>
      </c>
      <c r="AI91">
        <f>COUNTIFS(Dyno_Data[Team],TBA_Matches_All[[#This Row],[Team]],Dyno_Data[Match],TBA_Matches_All[[#This Row],[Match_Number]],Dyno_Data[RecordType],"Activities",Dyno_Data[DelDest],"Amp", Dyno_Data[DelMiss],"0", Dyno_Data[Mode],"Auto")</f>
        <v>0</v>
      </c>
      <c r="AJ91">
        <f>COUNTIFS(Dyno_Data[Team],TBA_Matches_All[[#This Row],[Team]],Dyno_Data[Match],TBA_Matches_All[[#This Row],[Match_Number]],Dyno_Data[RecordType],"Activities",Dyno_Data[DelDest],"Spkr", Dyno_Data[DelMiss],"0", Dyno_Data[Mode],"Auto")</f>
        <v>4</v>
      </c>
      <c r="AK91">
        <f>COUNTIFS(Dyno_Data[Team],TBA_Matches_All[[#This Row],[Team]],Dyno_Data[Match],TBA_Matches_All[[#This Row],[Match_Number]],Dyno_Data[RecordType],"Activities",Dyno_Data[DelDest],"Trap", Dyno_Data[DelMiss],"0", Dyno_Data[Mode],"Auto")</f>
        <v>0</v>
      </c>
      <c r="AL91">
        <f>COUNTIFS(Dyno_Data[Team],TBA_Matches_All[[#This Row],[Team]],Dyno_Data[Match],TBA_Matches_All[[#This Row],[Match_Number]],Dyno_Data[RecordType],"Activities",Dyno_Data[DelDest],"Amp", Dyno_Data[DelMiss],"0", Dyno_Data[Mode],"Teleop")</f>
        <v>1</v>
      </c>
      <c r="AM91">
        <f>COUNTIFS(Dyno_Data[Team],TBA_Matches_All[[#This Row],[Team]],Dyno_Data[Match],TBA_Matches_All[[#This Row],[Match_Number]],Dyno_Data[RecordType],"Activities",Dyno_Data[DelDest],"Spkr", Dyno_Data[DelMiss],"0", Dyno_Data[Mode],"Teleop")</f>
        <v>8</v>
      </c>
      <c r="AN91">
        <f>COUNTIFS(Dyno_Data[Team],TBA_Matches_All[[#This Row],[Team]],Dyno_Data[Match],TBA_Matches_All[[#This Row],[Match_Number]],Dyno_Data[RecordType],"Activities",Dyno_Data[DelDest],"Trap", Dyno_Data[DelMiss],"0", Dyno_Data[Mode],"&lt;&gt;Auto")</f>
        <v>0</v>
      </c>
      <c r="AO91">
        <f>SUM(TBA_Matches_All[[#This Row],[AampT]]+TBA_Matches_All[[#This Row],[AspkrT]]+TBA_Matches_All[[#This Row],[AtrapT]]+TBA_Matches_All[[#This Row],[TampT]]+TBA_Matches_All[[#This Row],[TspkrT]]+TBA_Matches_All[[#This Row],[TtrapT]])</f>
        <v>13</v>
      </c>
      <c r="AP91">
        <f>COUNTIFS(Dyno_Data[Team],TBA_Matches_All[[#This Row],[Team]],Dyno_Data[Match],TBA_Matches_All[[#This Row],[Match_Number]],Dyno_Data[RecordType],"Activities",Dyno_Data[DelDest],"Neut", Dyno_Data[DelMiss],"0")</f>
        <v>0</v>
      </c>
      <c r="AQ91">
        <f>COUNTIFS(Dyno_Data[Team],TBA_Matches_All[[#This Row],[Team]],Dyno_Data[Match],TBA_Matches_All[[#This Row],[Match_Number]],Dyno_Data[RecordType],"Activities",Dyno_Data[DelDest],"AllyW", Dyno_Data[DelMiss],"0")</f>
        <v>0</v>
      </c>
      <c r="AR91" t="str">
        <f>_xlfn.XLOOKUP(SUM(MID(TBA_Matches_All[[#This Row],[Team]],4,5),(TBA_Matches_All[[#This Row],[Match_Number]]/100)),Dyno_EndMatch[teammat],Dyno_EndMatch[RobotSta],"_",0,1)</f>
        <v>SubW</v>
      </c>
      <c r="AS91">
        <f>SUMIFS(Dyno_Data[AcqDis], Dyno_Data[Team],TBA_Matches_All[[#This Row],[Team]],Dyno_Data[Match],TBA_Matches_All[[#This Row],[Match_Number]],Dyno_Data[RecordType],"Activities", Dyno_Data[AcqCenter],1,Dyno_Data[Mode],"Auto")</f>
        <v>0</v>
      </c>
      <c r="AT91">
        <f>SUMIFS(Dyno_Data[AcqDis], Dyno_Data[Team],TBA_Matches_All[[#This Row],[Team]],Dyno_Data[Match],TBA_Matches_All[[#This Row],[Match_Number]],Dyno_Data[RecordType],"Activities", Dyno_Data[AcqCenter],2,Dyno_Data[Mode],"Auto")</f>
        <v>0</v>
      </c>
      <c r="AU91">
        <f>SUMIFS(Dyno_Data[AcqDis], Dyno_Data[Team],TBA_Matches_All[[#This Row],[Team]],Dyno_Data[Match],TBA_Matches_All[[#This Row],[Match_Number]],Dyno_Data[RecordType],"Activities", Dyno_Data[AcqCenter],3,Dyno_Data[Mode],"Auto")</f>
        <v>0</v>
      </c>
      <c r="AV91">
        <f>SUMIFS(Dyno_Data[AcqDis], Dyno_Data[Team],TBA_Matches_All[[#This Row],[Team]],Dyno_Data[Match],TBA_Matches_All[[#This Row],[Match_Number]],Dyno_Data[RecordType],"Activities", Dyno_Data[AcqCenter],4,Dyno_Data[Mode],"Auto")</f>
        <v>0</v>
      </c>
      <c r="AW91">
        <f>SUMIFS(Dyno_Data[AcqDis], Dyno_Data[Team],TBA_Matches_All[[#This Row],[Team]],Dyno_Data[Match],TBA_Matches_All[[#This Row],[Match_Number]],Dyno_Data[RecordType],"Activities", Dyno_Data[AcqCenter],5,Dyno_Data[Mode],"Auto")</f>
        <v>1</v>
      </c>
      <c r="AX91">
        <f>SUMIFS(Dyno_Data[DelMiss], Dyno_Data[Team],TBA_Matches_All[[#This Row],[Team]],Dyno_Data[Match],TBA_Matches_All[[#This Row],[Match_Number]],Dyno_Data[RecordType],"Activities", Dyno_Data[DelDest],"Amp")</f>
        <v>0</v>
      </c>
      <c r="AY91" s="60">
        <f>IFERROR(SUM((TBA_Matches_All[[#This Row],[AampT]]+TBA_Matches_All[[#This Row],[TampT]])/(TBA_Matches_All[[#This Row],[AampT]]+TBA_Matches_All[[#This Row],[TampT]]+TBA_Matches_All[[#This Row],[ampM]])),0)</f>
        <v>1</v>
      </c>
      <c r="AZ91">
        <f>SUMIFS(Dyno_Data[DelMiss], Dyno_Data[Team],TBA_Matches_All[[#This Row],[Team]],Dyno_Data[Match],TBA_Matches_All[[#This Row],[Match_Number]],Dyno_Data[RecordType],"Activities", Dyno_Data[DelDest],"Spkr")</f>
        <v>0</v>
      </c>
      <c r="BA91" s="60">
        <f>IFERROR(SUM((TBA_Matches_All[[#This Row],[AspkrT]]+TBA_Matches_All[[#This Row],[TspkrT]])/(TBA_Matches_All[[#This Row],[AspkrT]]+TBA_Matches_All[[#This Row],[TspkrT]]+TBA_Matches_All[[#This Row],[spkrM]])),0)</f>
        <v>1</v>
      </c>
      <c r="BB91">
        <f>SUMIFS(Dyno_Data[DelMiss], Dyno_Data[Team],TBA_Matches_All[[#This Row],[Team]],Dyno_Data[Match],TBA_Matches_All[[#This Row],[Match_Number]],Dyno_Data[RecordType],"Activities", Dyno_Data[DelDest],"Trap")</f>
        <v>0</v>
      </c>
      <c r="BC91" s="60">
        <f>IFERROR((TBA_Matches_All[[#This Row],[AtrapT]]+TBA_Matches_All[[#This Row],[TtrapT]])/(TBA_Matches_All[[#This Row],[AtrapT]]+TBA_Matches_All[[#This Row],[TtrapT]]+TBA_Matches_All[[#This Row],[trapM]]),0)</f>
        <v>0</v>
      </c>
      <c r="BD91">
        <f>COUNTIFS(Dyno_Data[Team],TBA_Matches_All[[#This Row],[Team]],Dyno_Data[Match],TBA_Matches_All[[#This Row],[Match_Number]],Dyno_Data[RecordType],"Activities",Dyno_Data[DelDest],"Neut", Dyno_Data[DelMiss],1)</f>
        <v>0</v>
      </c>
      <c r="BE91" s="60">
        <f>IFERROR(SUM((TBA_Matches_All[[#This Row],[NeutFlrT]])/(TBA_Matches_All[[#This Row],[NeutFlrT]]+TBA_Matches_All[[#This Row],[NZflM]])),0)</f>
        <v>0</v>
      </c>
      <c r="BF91">
        <f>COUNTIFS(Dyno_Data[Team],TBA_Matches_All[[#This Row],[Team]],Dyno_Data[Match],TBA_Matches_All[[#This Row],[Match_Number]],Dyno_Data[RecordType],"Activities",Dyno_Data[DelDest],"AllyW", Dyno_Data[DelMiss],1)</f>
        <v>0</v>
      </c>
      <c r="BG91" s="60">
        <f>IFERROR(SUM((TBA_Matches_All[[#This Row],[AllyWFlrT]])/(TBA_Matches_All[[#This Row],[AllyWFlrT]]+TBA_Matches_All[[#This Row],[AZflM]])),0)</f>
        <v>0</v>
      </c>
      <c r="BH91">
        <f>COUNTIFS(Dyno_Data[Team],TBA_Matches_All[[#This Row],[Team]],Dyno_Data[Match],TBA_Matches_All[[#This Row],[Match_Number]],Dyno_Data[RecordType],"Activities",Dyno_Data[DelOrig],"OppW", Dyno_Data[DelMiss],"0")</f>
        <v>0</v>
      </c>
      <c r="BI91">
        <f>COUNTIFS(Dyno_Data[Team],TBA_Matches_All[[#This Row],[Team]],Dyno_Data[Match],TBA_Matches_All[[#This Row],[Match_Number]],Dyno_Data[RecordType],"Activities",Dyno_Data[DelOrig],"OppW", Dyno_Data[DelMiss],"1")</f>
        <v>0</v>
      </c>
      <c r="BJ91" s="60">
        <f>IFERROR(SUM((TBA_Matches_All[[#This Row],[OZflrT]])/(TBA_Matches_All[[#This Row],[OZflrT]]+TBA_Matches_All[[#This Row],[OZflrM]])),0)</f>
        <v>0</v>
      </c>
      <c r="BK91">
        <f>COUNTIFS(Dyno_Data[Team],TBA_Matches_All[[#This Row],[Team]],Dyno_Data[Match],TBA_Matches_All[[#This Row],[Match_Number]],Dyno_Data[RecordType],"Activities",Dyno_Data[DelOrig],"Neut", Dyno_Data[DelMiss],"0")</f>
        <v>0</v>
      </c>
      <c r="BL91">
        <f>COUNTIFS(Dyno_Data[Team],TBA_Matches_All[[#This Row],[Team]],Dyno_Data[Match],TBA_Matches_All[[#This Row],[Match_Number]],Dyno_Data[RecordType],"Activities",Dyno_Data[DelOrig],"Neut", Dyno_Data[DelMiss],"1")</f>
        <v>0</v>
      </c>
      <c r="BM91" s="60">
        <f>IFERROR(SUM((TBA_Matches_All[[#This Row],[NZflrT]])/(TBA_Matches_All[[#This Row],[NZflrT]]+TBA_Matches_All[[#This Row],[NZflrM]])),0)</f>
        <v>0</v>
      </c>
      <c r="BN91">
        <f>COUNTIFS(Dyno_Data[Team],TBA_Matches_All[[#This Row],[Team]],Dyno_Data[Match],TBA_Matches_All[[#This Row],[Match_Number]],Dyno_Data[RecordType],"Activities",Dyno_Data[DelOrig],"AllyW", Dyno_Data[DelMiss],"0")</f>
        <v>10</v>
      </c>
      <c r="BO91">
        <f>COUNTIFS(Dyno_Data[Team],TBA_Matches_All[[#This Row],[Team]],Dyno_Data[Match],TBA_Matches_All[[#This Row],[Match_Number]],Dyno_Data[RecordType],"Activities",Dyno_Data[DelOrig],"AllyW", Dyno_Data[DelMiss],"1")</f>
        <v>0</v>
      </c>
      <c r="BP91" s="60">
        <f>IFERROR(SUM((TBA_Matches_All[[#This Row],[AZflrT]])/(TBA_Matches_All[[#This Row],[AZflrT]]+TBA_Matches_All[[#This Row],[AZflrM]])),0)</f>
        <v>1</v>
      </c>
      <c r="BQ91">
        <f>COUNTIFS(Dyno_Data[Team],TBA_Matches_All[[#This Row],[Team]],Dyno_Data[Match],TBA_Matches_All[[#This Row],[Match_Number]],Dyno_Data[RecordType],"Activities",Dyno_Data[DelOrig],"SubW", Dyno_Data[DelMiss],"0")</f>
        <v>3</v>
      </c>
      <c r="BR91">
        <f>COUNTIFS(Dyno_Data[Team],TBA_Matches_All[[#This Row],[Team]],Dyno_Data[Match],TBA_Matches_All[[#This Row],[Match_Number]],Dyno_Data[RecordType],"Activities",Dyno_Data[DelOrig],"SubW", Dyno_Data[DelMiss],"1")</f>
        <v>0</v>
      </c>
      <c r="BS91" s="60">
        <f>IFERROR(SUM((TBA_Matches_All[[#This Row],[SubwT]])/(TBA_Matches_All[[#This Row],[SubwT]]+TBA_Matches_All[[#This Row],[SubwM]])),0)</f>
        <v>1</v>
      </c>
      <c r="BT91">
        <f>COUNTIFS(Dyno_Data[Team],TBA_Matches_All[[#This Row],[Team]],Dyno_Data[Match],TBA_Matches_All[[#This Row],[Match_Number]],Dyno_Data[RecordType],"Activities", Dyno_Data[AcqLoc],"OppWing")</f>
        <v>0</v>
      </c>
      <c r="BU91">
        <f>COUNTIFS(Dyno_Data[Team],TBA_Matches_All[[#This Row],[Team]],Dyno_Data[Match],TBA_Matches_All[[#This Row],[Match_Number]],Dyno_Data[RecordType],"Activities", Dyno_Data[AcqLoc],"Neutral")</f>
        <v>2</v>
      </c>
      <c r="BV91">
        <f>COUNTIFS(Dyno_Data[Team],TBA_Matches_All[[#This Row],[Team]],Dyno_Data[Match],TBA_Matches_All[[#This Row],[Match_Number]],Dyno_Data[RecordType],"Activities", Dyno_Data[AcqLoc],"AllyWing")</f>
        <v>0</v>
      </c>
      <c r="BW91">
        <f>COUNTIFS(Dyno_Data[Team],TBA_Matches_All[[#This Row],[Team]],Dyno_Data[Match],TBA_Matches_All[[#This Row],[Match_Number]],Dyno_Data[RecordType],"Activities", Dyno_Data[AcqLoc],"Source")</f>
        <v>0</v>
      </c>
      <c r="BX91">
        <f>SUMIFS(Dyno_Data[AcqDrp], Dyno_Data[Team],TBA_Matches_All[[#This Row],[Team]],Dyno_Data[Match],TBA_Matches_All[[#This Row],[Match_Number]],Dyno_Data[RecordType],"Activities", Dyno_Data[AcqLoc],"Source")</f>
        <v>0</v>
      </c>
      <c r="BY91">
        <f>SUMIFS(Dyno_Data[OZTime], Dyno_Data[Team],TBA_Matches_All[[#This Row],[Team]],Dyno_Data[Match],TBA_Matches_All[[#This Row],[Match_Number]],Dyno_Data[RecordType],"EndMatch")</f>
        <v>35.924963499999997</v>
      </c>
      <c r="BZ91">
        <f>SUMIFS(Dyno_Data[NZTime], Dyno_Data[Team],TBA_Matches_All[[#This Row],[Team]],Dyno_Data[Match],TBA_Matches_All[[#This Row],[Match_Number]],Dyno_Data[RecordType],"EndMatch")</f>
        <v>17.219394299999998</v>
      </c>
      <c r="CA91">
        <f>SUMIFS(Dyno_Data[AZTime], Dyno_Data[Team],TBA_Matches_All[[#This Row],[Team]],Dyno_Data[Match],TBA_Matches_All[[#This Row],[Match_Number]],Dyno_Data[RecordType],"EndMatch")</f>
        <v>55.4469657</v>
      </c>
      <c r="CB91">
        <f>SUMIFS(Dyno_Data[ClimbT], Dyno_Data[Team],TBA_Matches_All[[#This Row],[Team]],Dyno_Data[Match],TBA_Matches_All[[#This Row],[Match_Number]],Dyno_Data[RecordType],"EndMatch")</f>
        <v>16.543976199999999</v>
      </c>
      <c r="CC91" t="str">
        <f>_xlfn.XLOOKUP(SUM(MID(TBA_Matches_All[[#This Row],[Team]],4,5),(TBA_Matches_All[[#This Row],[Match_Number]]/100)),Dyno_EndMatch[teammat],Dyno_EndMatch[StageStat],"_",0,1)</f>
        <v>On</v>
      </c>
      <c r="CD91" t="str">
        <f>_xlfn.XLOOKUP(TBA_Matches_All[[#This Row],[teammat]],Dyno_EndMatch[teammat],Dyno_EndMatch[StageAtt],"_",0,1)</f>
        <v>1</v>
      </c>
      <c r="CE91" t="str">
        <f>_xlfn.XLOOKUP(TBA_Matches_All[[#This Row],[teammat]],Dyno_EndMatch[teammat],Dyno_EndMatch[StageLoc],"_",0,1)</f>
        <v>R</v>
      </c>
      <c r="CF91">
        <f>SUMIFS(Dyno_Data[Harmony], Dyno_Data[Team],TBA_Matches_All[[#This Row],[Team]],Dyno_Data[Match],TBA_Matches_All[[#This Row],[Match_Number]],Dyno_Data[RecordType],"EndMatch", Dyno_Data[StageStat],"On",Dyno_Data[Harmony],"&lt;&gt;9")</f>
        <v>1</v>
      </c>
      <c r="CG91">
        <f>SUMIFS(Dyno_Data[Spotlit], Dyno_Data[Team],TBA_Matches_All[[#This Row],[Team]],Dyno_Data[Match],TBA_Matches_All[[#This Row],[Match_Number]],Dyno_Data[RecordType],"EndMatch", Dyno_Data[StageStat],"On",Dyno_Data[Spotlit],"&lt;&gt;9")</f>
        <v>0</v>
      </c>
      <c r="CH91" t="str">
        <f>_xlfn.XLOOKUP(TBA_Matches_All[[#This Row],[teammat]],Dyno_EndMatch[teammat],Dyno_EndMatch[Strategy],"_",0,1)</f>
        <v>Hybrid</v>
      </c>
      <c r="CI91">
        <f>SUMIFS(Dyno_Data[Defense], Dyno_Data[Team],TBA_Matches_All[[#This Row],[Team]],Dyno_Data[Match],TBA_Matches_All[[#This Row],[Match_Number]],Dyno_Data[RecordType],"EndMatch",Dyno_Data[Defense],"&lt;&gt;9")</f>
        <v>0</v>
      </c>
      <c r="CJ91">
        <f>SUMIFS(Dyno_Data[Avoidance], Dyno_Data[Team],TBA_Matches_All[[#This Row],[Team]],Dyno_Data[Match],TBA_Matches_All[[#This Row],[Match_Number]],Dyno_Data[RecordType],"EndMatch",Dyno_Data[Avoidance],"&lt;&gt;9")</f>
        <v>1</v>
      </c>
      <c r="CK91" s="82">
        <f>COUNTIF($H$2:TBA_Matches_All[[#This Row],[Team]],TBA_Matches_All[[#This Row],[Team]])</f>
        <v>2</v>
      </c>
      <c r="CL91" s="111">
        <f>SUM(MID(TBA_Matches_All[[#This Row],[Team]],4,5)+TBA_Matches_All[[#This Row],[Match_Number]]/100)</f>
        <v>1591.15</v>
      </c>
      <c r="CM91">
        <f>SUM((TBA_Matches_All[[#This Row],[Leave]]*2)+(TBA_Matches_All[[#This Row],[AampT]]*2)+(TBA_Matches_All[[#This Row],[AspkrT]]*5)+(TBA_Matches_All[[#This Row],[AtrapT]]*5))</f>
        <v>22</v>
      </c>
      <c r="CN91" s="59">
        <f>IFERROR(SUM(TBA_Matches_All[[#This Row],[AptsT]]/TBA_Matches_All[[#This Row],[AutoPts]]),0)</f>
        <v>0.61111111111111116</v>
      </c>
      <c r="CO91" s="59">
        <f>IFERROR(SUM(TBA_Matches_All[[#This Row],[AampT]]+TBA_Matches_All[[#This Row],[AspkrT]]+TBA_Matches_All[[#This Row],[AtrapT]]/TBA_Matches_All[[#This Row],[Aamp]]+TBA_Matches_All[[#This Row],[Aspkr]]+TBA_Matches_All[[#This Row],[AtrapT]]),0)</f>
        <v>0</v>
      </c>
      <c r="CP91" s="59">
        <f>IFERROR(SUM(TBA_Matches_All[[#This Row],[TampT]]/TBA_Matches_All[[#This Row],[Tamp]]),0)</f>
        <v>1</v>
      </c>
      <c r="CQ91" s="59">
        <f>IFERROR(SUM(TBA_Matches_All[[#This Row],[TspkrT]]/TBA_Matches_All[[#This Row],[Tspkr]]),0)</f>
        <v>0.38095238095238093</v>
      </c>
      <c r="CR91">
        <f>SUM(TBA_Matches_All[[#This Row],[TspkrPts]]*TBA_Matches_All[[#This Row],[TspkrP]])</f>
        <v>16</v>
      </c>
      <c r="CS91" s="59">
        <f>IFERROR(SUM(TBA_Matches_All[[#This Row],[TtrapT]]/TBA_Matches_All[[#This Row],[Trap]]),0)</f>
        <v>0</v>
      </c>
      <c r="CT91" s="59">
        <f>IFERROR(SUM(TBA_Matches_All[[#This Row],[TotNotesT]]/TBA_Matches_All[[#This Row],[TotNotes]]),0)</f>
        <v>0.4642857142857143</v>
      </c>
      <c r="CU91" s="66">
        <f>SUM((TBA_Matches_All[[#This Row],[AampT]]*2)+(TBA_Matches_All[[#This Row],[AspkrT]]*5)+(TBA_Matches_All[[#This Row],[AtrapT]]*5)+(TBA_Matches_All[[#This Row],[TampT]]*1)+(TBA_Matches_All[[#This Row],[TspkrptsC]]))</f>
        <v>37</v>
      </c>
      <c r="CV91" s="59">
        <f>IFERROR(TBA_Matches_All[[#This Row],[noteptsT]]/TBA_Matches_All[[#This Row],[NotePts]],0)</f>
        <v>0.50684931506849318</v>
      </c>
      <c r="CW91">
        <f>SUM(IF(TBA_Matches_All[[#This Row],[stageStat]]="On",3,0),IF(TBA_Matches_All[[#This Row],[stageStat]]="Park",1,0),SUMIFS(TBA_Matches_All[[#This Row],[Spotlit]],TBA_Matches_All[[#This Row],[stageStat]],"On"),SUMIFS(TBA_Matches_All[[#This Row],[Harmony]],TBA_Matches_All[[#This Row],[stageStat]],"On"))</f>
        <v>4</v>
      </c>
      <c r="CX91" s="59">
        <f>IFERROR(TBA_Matches_All[[#This Row],[stageptsT]]/TBA_Matches_All[[#This Row],[StagePts]],0)</f>
        <v>0.33333333333333331</v>
      </c>
      <c r="CY91">
        <f>SUM((TBA_Matches_All[[#This Row],[AptsT]]+TBA_Matches_All[[#This Row],[TampT]]+TBA_Matches_All[[#This Row],[TspkrptsC]]+(TBA_Matches_All[[#This Row],[TtrapT]]*5)+TBA_Matches_All[[#This Row],[stageptsT]]))</f>
        <v>43</v>
      </c>
      <c r="CZ91" s="59">
        <f>IFERROR(SUM(TBA_Matches_All[[#This Row],[TotptsC]]/TBA_Matches_All[[#This Row],[Score]]),0)</f>
        <v>0.38738738738738737</v>
      </c>
      <c r="DA9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21.239583333333336</v>
      </c>
      <c r="DB91" s="74">
        <f>SUMIFS(TBA_Matches_All[AveTeamTNoteDels],TBA_Matches_All[Match_Number],TBA_Matches_All[[#This Row],[Match_Number]],TBA_Matches_All[Alliance],"&lt;&gt;"&amp;TBA_Matches_All[[#This Row],[Alliance]],TBA_Matches_All[Scouted],"&gt;0")</f>
        <v>10.633333333333333</v>
      </c>
      <c r="DC91" s="74">
        <f>(TBA_Matches_All[[#This Row],[TampT]]+TBA_Matches_All[[#This Row],[TspkrptsC]])-TBA_Matches_All[[#This Row],[AveTeamTNoteDels]]</f>
        <v>-4.2395833333333357</v>
      </c>
      <c r="DD91" s="74">
        <f>SUMIFS(TBA_Matches_All[AveTeamTNoteDels],TBA_Matches_All[Match_Number],TBA_Matches_All[[#This Row],[Match_Number]],TBA_Matches_All[Alliance],"&lt;&gt;"&amp;TBA_Matches_All[[#This Row],[Alliance]])-TBA_Matches_All[[#This Row],[AveOppTNoteDels]]</f>
        <v>0</v>
      </c>
    </row>
    <row r="92" spans="1:108" x14ac:dyDescent="0.3">
      <c r="A92" t="s">
        <v>1042</v>
      </c>
      <c r="B92" t="s">
        <v>489</v>
      </c>
      <c r="C92" t="s">
        <v>1324</v>
      </c>
      <c r="D92">
        <v>15</v>
      </c>
      <c r="E92" t="s">
        <v>1406</v>
      </c>
      <c r="F92" t="s">
        <v>1424</v>
      </c>
      <c r="G92" t="s">
        <v>1409</v>
      </c>
      <c r="H92" t="s">
        <v>1277</v>
      </c>
      <c r="I92" t="b">
        <v>1</v>
      </c>
      <c r="J92">
        <v>39</v>
      </c>
      <c r="K92">
        <v>0</v>
      </c>
      <c r="L92">
        <v>0</v>
      </c>
      <c r="M92">
        <v>20</v>
      </c>
      <c r="N92">
        <v>0</v>
      </c>
      <c r="O92">
        <v>4</v>
      </c>
      <c r="P92">
        <v>20</v>
      </c>
      <c r="Q92">
        <v>22</v>
      </c>
      <c r="R92">
        <v>3</v>
      </c>
      <c r="S92">
        <v>2</v>
      </c>
      <c r="T92">
        <v>1</v>
      </c>
      <c r="U92">
        <v>10</v>
      </c>
      <c r="V92">
        <v>2</v>
      </c>
      <c r="W92">
        <v>3</v>
      </c>
      <c r="X92">
        <v>12</v>
      </c>
      <c r="Y92">
        <v>15</v>
      </c>
      <c r="Z92">
        <v>0</v>
      </c>
      <c r="AA92">
        <v>0</v>
      </c>
      <c r="AB92">
        <v>10</v>
      </c>
      <c r="AC92">
        <v>35</v>
      </c>
      <c r="AD92">
        <v>2</v>
      </c>
      <c r="AE92">
        <f>IFERROR(6/(COUNTIF(Dyno_EndMatch[Match],TBA_Matches_All[[#This Row],[Match_Number]])),0)</f>
        <v>1</v>
      </c>
      <c r="AF92">
        <f>COUNTIFS(Dyno_Data[Team],TBA_Matches_All[[#This Row],[Team]],Dyno_Data[Match],TBA_Matches_All[[#This Row],[Match_Number]],Dyno_Data[RecordType],"EndMatch",Dyno_Data[HPAmp],"Y")</f>
        <v>1</v>
      </c>
      <c r="AG92">
        <f>SUMIFS(Dyno_Data[Mics], Dyno_Data[Team],TBA_Matches_All[[#This Row],[Team]],Dyno_Data[Match],TBA_Matches_All[[#This Row],[Match_Number]],Dyno_Data[RecordType],"EndMatch",Dyno_Data[HPAmp],"Y")</f>
        <v>0</v>
      </c>
      <c r="AH92">
        <f>SUMIFS(Dyno_Data[Leave], Dyno_Data[Team],TBA_Matches_All[[#This Row],[Team]],Dyno_Data[Match],TBA_Matches_All[[#This Row],[Match_Number]],Dyno_Data[RecordType],"EndAuto")</f>
        <v>1</v>
      </c>
      <c r="AI92">
        <f>COUNTIFS(Dyno_Data[Team],TBA_Matches_All[[#This Row],[Team]],Dyno_Data[Match],TBA_Matches_All[[#This Row],[Match_Number]],Dyno_Data[RecordType],"Activities",Dyno_Data[DelDest],"Amp", Dyno_Data[DelMiss],"0", Dyno_Data[Mode],"Auto")</f>
        <v>1</v>
      </c>
      <c r="AJ92">
        <f>COUNTIFS(Dyno_Data[Team],TBA_Matches_All[[#This Row],[Team]],Dyno_Data[Match],TBA_Matches_All[[#This Row],[Match_Number]],Dyno_Data[RecordType],"Activities",Dyno_Data[DelDest],"Spkr", Dyno_Data[DelMiss],"0", Dyno_Data[Mode],"Auto")</f>
        <v>3</v>
      </c>
      <c r="AK92">
        <f>COUNTIFS(Dyno_Data[Team],TBA_Matches_All[[#This Row],[Team]],Dyno_Data[Match],TBA_Matches_All[[#This Row],[Match_Number]],Dyno_Data[RecordType],"Activities",Dyno_Data[DelDest],"Trap", Dyno_Data[DelMiss],"0", Dyno_Data[Mode],"Auto")</f>
        <v>0</v>
      </c>
      <c r="AL92">
        <f>COUNTIFS(Dyno_Data[Team],TBA_Matches_All[[#This Row],[Team]],Dyno_Data[Match],TBA_Matches_All[[#This Row],[Match_Number]],Dyno_Data[RecordType],"Activities",Dyno_Data[DelDest],"Amp", Dyno_Data[DelMiss],"0", Dyno_Data[Mode],"Teleop")</f>
        <v>3</v>
      </c>
      <c r="AM92">
        <f>COUNTIFS(Dyno_Data[Team],TBA_Matches_All[[#This Row],[Team]],Dyno_Data[Match],TBA_Matches_All[[#This Row],[Match_Number]],Dyno_Data[RecordType],"Activities",Dyno_Data[DelDest],"Spkr", Dyno_Data[DelMiss],"0", Dyno_Data[Mode],"Teleop")</f>
        <v>3</v>
      </c>
      <c r="AN92">
        <f>COUNTIFS(Dyno_Data[Team],TBA_Matches_All[[#This Row],[Team]],Dyno_Data[Match],TBA_Matches_All[[#This Row],[Match_Number]],Dyno_Data[RecordType],"Activities",Dyno_Data[DelDest],"Trap", Dyno_Data[DelMiss],"0", Dyno_Data[Mode],"&lt;&gt;Auto")</f>
        <v>0</v>
      </c>
      <c r="AO92">
        <f>SUM(TBA_Matches_All[[#This Row],[AampT]]+TBA_Matches_All[[#This Row],[AspkrT]]+TBA_Matches_All[[#This Row],[AtrapT]]+TBA_Matches_All[[#This Row],[TampT]]+TBA_Matches_All[[#This Row],[TspkrT]]+TBA_Matches_All[[#This Row],[TtrapT]])</f>
        <v>10</v>
      </c>
      <c r="AP92">
        <f>COUNTIFS(Dyno_Data[Team],TBA_Matches_All[[#This Row],[Team]],Dyno_Data[Match],TBA_Matches_All[[#This Row],[Match_Number]],Dyno_Data[RecordType],"Activities",Dyno_Data[DelDest],"Neut", Dyno_Data[DelMiss],"0")</f>
        <v>0</v>
      </c>
      <c r="AQ92">
        <f>COUNTIFS(Dyno_Data[Team],TBA_Matches_All[[#This Row],[Team]],Dyno_Data[Match],TBA_Matches_All[[#This Row],[Match_Number]],Dyno_Data[RecordType],"Activities",Dyno_Data[DelDest],"AllyW", Dyno_Data[DelMiss],"0")</f>
        <v>0</v>
      </c>
      <c r="AR92" t="str">
        <f>_xlfn.XLOOKUP(SUM(MID(TBA_Matches_All[[#This Row],[Team]],4,5),(TBA_Matches_All[[#This Row],[Match_Number]]/100)),Dyno_EndMatch[teammat],Dyno_EndMatch[RobotSta],"_",0,1)</f>
        <v>SubW</v>
      </c>
      <c r="AS92">
        <f>SUMIFS(Dyno_Data[AcqDis], Dyno_Data[Team],TBA_Matches_All[[#This Row],[Team]],Dyno_Data[Match],TBA_Matches_All[[#This Row],[Match_Number]],Dyno_Data[RecordType],"Activities", Dyno_Data[AcqCenter],1,Dyno_Data[Mode],"Auto")</f>
        <v>0</v>
      </c>
      <c r="AT92">
        <f>SUMIFS(Dyno_Data[AcqDis], Dyno_Data[Team],TBA_Matches_All[[#This Row],[Team]],Dyno_Data[Match],TBA_Matches_All[[#This Row],[Match_Number]],Dyno_Data[RecordType],"Activities", Dyno_Data[AcqCenter],2,Dyno_Data[Mode],"Auto")</f>
        <v>0</v>
      </c>
      <c r="AU92">
        <f>SUMIFS(Dyno_Data[AcqDis], Dyno_Data[Team],TBA_Matches_All[[#This Row],[Team]],Dyno_Data[Match],TBA_Matches_All[[#This Row],[Match_Number]],Dyno_Data[RecordType],"Activities", Dyno_Data[AcqCenter],3,Dyno_Data[Mode],"Auto")</f>
        <v>0</v>
      </c>
      <c r="AV92">
        <f>SUMIFS(Dyno_Data[AcqDis], Dyno_Data[Team],TBA_Matches_All[[#This Row],[Team]],Dyno_Data[Match],TBA_Matches_All[[#This Row],[Match_Number]],Dyno_Data[RecordType],"Activities", Dyno_Data[AcqCenter],4,Dyno_Data[Mode],"Auto")</f>
        <v>0</v>
      </c>
      <c r="AW92">
        <f>SUMIFS(Dyno_Data[AcqDis], Dyno_Data[Team],TBA_Matches_All[[#This Row],[Team]],Dyno_Data[Match],TBA_Matches_All[[#This Row],[Match_Number]],Dyno_Data[RecordType],"Activities", Dyno_Data[AcqCenter],5,Dyno_Data[Mode],"Auto")</f>
        <v>0</v>
      </c>
      <c r="AX92">
        <f>SUMIFS(Dyno_Data[DelMiss], Dyno_Data[Team],TBA_Matches_All[[#This Row],[Team]],Dyno_Data[Match],TBA_Matches_All[[#This Row],[Match_Number]],Dyno_Data[RecordType],"Activities", Dyno_Data[DelDest],"Amp")</f>
        <v>0</v>
      </c>
      <c r="AY92" s="60">
        <f>IFERROR(SUM((TBA_Matches_All[[#This Row],[AampT]]+TBA_Matches_All[[#This Row],[TampT]])/(TBA_Matches_All[[#This Row],[AampT]]+TBA_Matches_All[[#This Row],[TampT]]+TBA_Matches_All[[#This Row],[ampM]])),0)</f>
        <v>1</v>
      </c>
      <c r="AZ92">
        <f>SUMIFS(Dyno_Data[DelMiss], Dyno_Data[Team],TBA_Matches_All[[#This Row],[Team]],Dyno_Data[Match],TBA_Matches_All[[#This Row],[Match_Number]],Dyno_Data[RecordType],"Activities", Dyno_Data[DelDest],"Spkr")</f>
        <v>0</v>
      </c>
      <c r="BA92" s="60">
        <f>IFERROR(SUM((TBA_Matches_All[[#This Row],[AspkrT]]+TBA_Matches_All[[#This Row],[TspkrT]])/(TBA_Matches_All[[#This Row],[AspkrT]]+TBA_Matches_All[[#This Row],[TspkrT]]+TBA_Matches_All[[#This Row],[spkrM]])),0)</f>
        <v>1</v>
      </c>
      <c r="BB92">
        <f>SUMIFS(Dyno_Data[DelMiss], Dyno_Data[Team],TBA_Matches_All[[#This Row],[Team]],Dyno_Data[Match],TBA_Matches_All[[#This Row],[Match_Number]],Dyno_Data[RecordType],"Activities", Dyno_Data[DelDest],"Trap")</f>
        <v>0</v>
      </c>
      <c r="BC92" s="60">
        <f>IFERROR((TBA_Matches_All[[#This Row],[AtrapT]]+TBA_Matches_All[[#This Row],[TtrapT]])/(TBA_Matches_All[[#This Row],[AtrapT]]+TBA_Matches_All[[#This Row],[TtrapT]]+TBA_Matches_All[[#This Row],[trapM]]),0)</f>
        <v>0</v>
      </c>
      <c r="BD92">
        <f>COUNTIFS(Dyno_Data[Team],TBA_Matches_All[[#This Row],[Team]],Dyno_Data[Match],TBA_Matches_All[[#This Row],[Match_Number]],Dyno_Data[RecordType],"Activities",Dyno_Data[DelDest],"Neut", Dyno_Data[DelMiss],1)</f>
        <v>0</v>
      </c>
      <c r="BE92" s="60">
        <f>IFERROR(SUM((TBA_Matches_All[[#This Row],[NeutFlrT]])/(TBA_Matches_All[[#This Row],[NeutFlrT]]+TBA_Matches_All[[#This Row],[NZflM]])),0)</f>
        <v>0</v>
      </c>
      <c r="BF92">
        <f>COUNTIFS(Dyno_Data[Team],TBA_Matches_All[[#This Row],[Team]],Dyno_Data[Match],TBA_Matches_All[[#This Row],[Match_Number]],Dyno_Data[RecordType],"Activities",Dyno_Data[DelDest],"AllyW", Dyno_Data[DelMiss],1)</f>
        <v>0</v>
      </c>
      <c r="BG92" s="60">
        <f>IFERROR(SUM((TBA_Matches_All[[#This Row],[AllyWFlrT]])/(TBA_Matches_All[[#This Row],[AllyWFlrT]]+TBA_Matches_All[[#This Row],[AZflM]])),0)</f>
        <v>0</v>
      </c>
      <c r="BH92">
        <f>COUNTIFS(Dyno_Data[Team],TBA_Matches_All[[#This Row],[Team]],Dyno_Data[Match],TBA_Matches_All[[#This Row],[Match_Number]],Dyno_Data[RecordType],"Activities",Dyno_Data[DelOrig],"OppW", Dyno_Data[DelMiss],"0")</f>
        <v>0</v>
      </c>
      <c r="BI92">
        <f>COUNTIFS(Dyno_Data[Team],TBA_Matches_All[[#This Row],[Team]],Dyno_Data[Match],TBA_Matches_All[[#This Row],[Match_Number]],Dyno_Data[RecordType],"Activities",Dyno_Data[DelOrig],"OppW", Dyno_Data[DelMiss],"1")</f>
        <v>0</v>
      </c>
      <c r="BJ92" s="60">
        <f>IFERROR(SUM((TBA_Matches_All[[#This Row],[OZflrT]])/(TBA_Matches_All[[#This Row],[OZflrT]]+TBA_Matches_All[[#This Row],[OZflrM]])),0)</f>
        <v>0</v>
      </c>
      <c r="BK92">
        <f>COUNTIFS(Dyno_Data[Team],TBA_Matches_All[[#This Row],[Team]],Dyno_Data[Match],TBA_Matches_All[[#This Row],[Match_Number]],Dyno_Data[RecordType],"Activities",Dyno_Data[DelOrig],"Neut", Dyno_Data[DelMiss],"0")</f>
        <v>0</v>
      </c>
      <c r="BL92">
        <f>COUNTIFS(Dyno_Data[Team],TBA_Matches_All[[#This Row],[Team]],Dyno_Data[Match],TBA_Matches_All[[#This Row],[Match_Number]],Dyno_Data[RecordType],"Activities",Dyno_Data[DelOrig],"Neut", Dyno_Data[DelMiss],"1")</f>
        <v>0</v>
      </c>
      <c r="BM92" s="60">
        <f>IFERROR(SUM((TBA_Matches_All[[#This Row],[NZflrT]])/(TBA_Matches_All[[#This Row],[NZflrT]]+TBA_Matches_All[[#This Row],[NZflrM]])),0)</f>
        <v>0</v>
      </c>
      <c r="BN92">
        <f>COUNTIFS(Dyno_Data[Team],TBA_Matches_All[[#This Row],[Team]],Dyno_Data[Match],TBA_Matches_All[[#This Row],[Match_Number]],Dyno_Data[RecordType],"Activities",Dyno_Data[DelOrig],"AllyW", Dyno_Data[DelMiss],"0")</f>
        <v>6</v>
      </c>
      <c r="BO92">
        <f>COUNTIFS(Dyno_Data[Team],TBA_Matches_All[[#This Row],[Team]],Dyno_Data[Match],TBA_Matches_All[[#This Row],[Match_Number]],Dyno_Data[RecordType],"Activities",Dyno_Data[DelOrig],"AllyW", Dyno_Data[DelMiss],"1")</f>
        <v>0</v>
      </c>
      <c r="BP92" s="60">
        <f>IFERROR(SUM((TBA_Matches_All[[#This Row],[AZflrT]])/(TBA_Matches_All[[#This Row],[AZflrT]]+TBA_Matches_All[[#This Row],[AZflrM]])),0)</f>
        <v>1</v>
      </c>
      <c r="BQ92">
        <f>COUNTIFS(Dyno_Data[Team],TBA_Matches_All[[#This Row],[Team]],Dyno_Data[Match],TBA_Matches_All[[#This Row],[Match_Number]],Dyno_Data[RecordType],"Activities",Dyno_Data[DelOrig],"SubW", Dyno_Data[DelMiss],"0")</f>
        <v>4</v>
      </c>
      <c r="BR92">
        <f>COUNTIFS(Dyno_Data[Team],TBA_Matches_All[[#This Row],[Team]],Dyno_Data[Match],TBA_Matches_All[[#This Row],[Match_Number]],Dyno_Data[RecordType],"Activities",Dyno_Data[DelOrig],"SubW", Dyno_Data[DelMiss],"1")</f>
        <v>0</v>
      </c>
      <c r="BS92" s="60">
        <f>IFERROR(SUM((TBA_Matches_All[[#This Row],[SubwT]])/(TBA_Matches_All[[#This Row],[SubwT]]+TBA_Matches_All[[#This Row],[SubwM]])),0)</f>
        <v>1</v>
      </c>
      <c r="BT92">
        <f>COUNTIFS(Dyno_Data[Team],TBA_Matches_All[[#This Row],[Team]],Dyno_Data[Match],TBA_Matches_All[[#This Row],[Match_Number]],Dyno_Data[RecordType],"Activities", Dyno_Data[AcqLoc],"OppWing")</f>
        <v>0</v>
      </c>
      <c r="BU92">
        <f>COUNTIFS(Dyno_Data[Team],TBA_Matches_All[[#This Row],[Team]],Dyno_Data[Match],TBA_Matches_All[[#This Row],[Match_Number]],Dyno_Data[RecordType],"Activities", Dyno_Data[AcqLoc],"Neutral")</f>
        <v>0</v>
      </c>
      <c r="BV92">
        <f>COUNTIFS(Dyno_Data[Team],TBA_Matches_All[[#This Row],[Team]],Dyno_Data[Match],TBA_Matches_All[[#This Row],[Match_Number]],Dyno_Data[RecordType],"Activities", Dyno_Data[AcqLoc],"AllyWing")</f>
        <v>0</v>
      </c>
      <c r="BW92">
        <f>COUNTIFS(Dyno_Data[Team],TBA_Matches_All[[#This Row],[Team]],Dyno_Data[Match],TBA_Matches_All[[#This Row],[Match_Number]],Dyno_Data[RecordType],"Activities", Dyno_Data[AcqLoc],"Source")</f>
        <v>0</v>
      </c>
      <c r="BX92">
        <f>SUMIFS(Dyno_Data[AcqDrp], Dyno_Data[Team],TBA_Matches_All[[#This Row],[Team]],Dyno_Data[Match],TBA_Matches_All[[#This Row],[Match_Number]],Dyno_Data[RecordType],"Activities", Dyno_Data[AcqLoc],"Source")</f>
        <v>0</v>
      </c>
      <c r="BY92">
        <f>SUMIFS(Dyno_Data[OZTime], Dyno_Data[Team],TBA_Matches_All[[#This Row],[Team]],Dyno_Data[Match],TBA_Matches_All[[#This Row],[Match_Number]],Dyno_Data[RecordType],"EndMatch")</f>
        <v>42.338616399999999</v>
      </c>
      <c r="BZ92">
        <f>SUMIFS(Dyno_Data[NZTime], Dyno_Data[Team],TBA_Matches_All[[#This Row],[Team]],Dyno_Data[Match],TBA_Matches_All[[#This Row],[Match_Number]],Dyno_Data[RecordType],"EndMatch")</f>
        <v>32.577637599999996</v>
      </c>
      <c r="CA92">
        <f>SUMIFS(Dyno_Data[AZTime], Dyno_Data[Team],TBA_Matches_All[[#This Row],[Team]],Dyno_Data[Match],TBA_Matches_All[[#This Row],[Match_Number]],Dyno_Data[RecordType],"EndMatch")</f>
        <v>60.723513999999994</v>
      </c>
      <c r="CB92">
        <f>SUMIFS(Dyno_Data[ClimbT], Dyno_Data[Team],TBA_Matches_All[[#This Row],[Team]],Dyno_Data[Match],TBA_Matches_All[[#This Row],[Match_Number]],Dyno_Data[RecordType],"EndMatch")</f>
        <v>0</v>
      </c>
      <c r="CC92" t="str">
        <f>_xlfn.XLOOKUP(SUM(MID(TBA_Matches_All[[#This Row],[Team]],4,5),(TBA_Matches_All[[#This Row],[Match_Number]]/100)),Dyno_EndMatch[teammat],Dyno_EndMatch[StageStat],"_",0,1)</f>
        <v>Park</v>
      </c>
      <c r="CD92" t="str">
        <f>_xlfn.XLOOKUP(TBA_Matches_All[[#This Row],[teammat]],Dyno_EndMatch[teammat],Dyno_EndMatch[StageAtt],"_",0,1)</f>
        <v>0</v>
      </c>
      <c r="CE92" t="str">
        <f>_xlfn.XLOOKUP(TBA_Matches_All[[#This Row],[teammat]],Dyno_EndMatch[teammat],Dyno_EndMatch[StageLoc],"_",0,1)</f>
        <v>A</v>
      </c>
      <c r="CF92">
        <f>SUMIFS(Dyno_Data[Harmony], Dyno_Data[Team],TBA_Matches_All[[#This Row],[Team]],Dyno_Data[Match],TBA_Matches_All[[#This Row],[Match_Number]],Dyno_Data[RecordType],"EndMatch", Dyno_Data[StageStat],"On",Dyno_Data[Harmony],"&lt;&gt;9")</f>
        <v>0</v>
      </c>
      <c r="CG92">
        <f>SUMIFS(Dyno_Data[Spotlit], Dyno_Data[Team],TBA_Matches_All[[#This Row],[Team]],Dyno_Data[Match],TBA_Matches_All[[#This Row],[Match_Number]],Dyno_Data[RecordType],"EndMatch", Dyno_Data[StageStat],"On",Dyno_Data[Spotlit],"&lt;&gt;9")</f>
        <v>0</v>
      </c>
      <c r="CH92" t="str">
        <f>_xlfn.XLOOKUP(TBA_Matches_All[[#This Row],[teammat]],Dyno_EndMatch[teammat],Dyno_EndMatch[Strategy],"_",0,1)</f>
        <v>Hybrid</v>
      </c>
      <c r="CI92">
        <f>SUMIFS(Dyno_Data[Defense], Dyno_Data[Team],TBA_Matches_All[[#This Row],[Team]],Dyno_Data[Match],TBA_Matches_All[[#This Row],[Match_Number]],Dyno_Data[RecordType],"EndMatch",Dyno_Data[Defense],"&lt;&gt;9")</f>
        <v>0</v>
      </c>
      <c r="CJ92">
        <f>SUMIFS(Dyno_Data[Avoidance], Dyno_Data[Team],TBA_Matches_All[[#This Row],[Team]],Dyno_Data[Match],TBA_Matches_All[[#This Row],[Match_Number]],Dyno_Data[RecordType],"EndMatch",Dyno_Data[Avoidance],"&lt;&gt;9")</f>
        <v>0</v>
      </c>
      <c r="CK92" s="82">
        <f>COUNTIF($H$2:TBA_Matches_All[[#This Row],[Team]],TBA_Matches_All[[#This Row],[Team]])</f>
        <v>2</v>
      </c>
      <c r="CL92" s="111">
        <f>SUM(MID(TBA_Matches_All[[#This Row],[Team]],4,5)+TBA_Matches_All[[#This Row],[Match_Number]]/100)</f>
        <v>3360.15</v>
      </c>
      <c r="CM92">
        <f>SUM((TBA_Matches_All[[#This Row],[Leave]]*2)+(TBA_Matches_All[[#This Row],[AampT]]*2)+(TBA_Matches_All[[#This Row],[AspkrT]]*5)+(TBA_Matches_All[[#This Row],[AtrapT]]*5))</f>
        <v>19</v>
      </c>
      <c r="CN92" s="59">
        <f>IFERROR(SUM(TBA_Matches_All[[#This Row],[AptsT]]/TBA_Matches_All[[#This Row],[AutoPts]]),0)</f>
        <v>0.86363636363636365</v>
      </c>
      <c r="CO92" s="59">
        <f>IFERROR(SUM(TBA_Matches_All[[#This Row],[AampT]]+TBA_Matches_All[[#This Row],[AspkrT]]+TBA_Matches_All[[#This Row],[AtrapT]]/TBA_Matches_All[[#This Row],[Aamp]]+TBA_Matches_All[[#This Row],[Aspkr]]+TBA_Matches_All[[#This Row],[AtrapT]]),0)</f>
        <v>0</v>
      </c>
      <c r="CP92" s="59">
        <f>IFERROR(SUM(TBA_Matches_All[[#This Row],[TampT]]/TBA_Matches_All[[#This Row],[Tamp]]),0)</f>
        <v>1</v>
      </c>
      <c r="CQ92" s="59">
        <f>IFERROR(SUM(TBA_Matches_All[[#This Row],[TspkrT]]/TBA_Matches_All[[#This Row],[Tspkr]]),0)</f>
        <v>1</v>
      </c>
      <c r="CR92">
        <f>SUM(TBA_Matches_All[[#This Row],[TspkrPts]]*TBA_Matches_All[[#This Row],[TspkrP]])</f>
        <v>12</v>
      </c>
      <c r="CS92" s="59">
        <f>IFERROR(SUM(TBA_Matches_All[[#This Row],[TtrapT]]/TBA_Matches_All[[#This Row],[Trap]]),0)</f>
        <v>0</v>
      </c>
      <c r="CT92" s="59">
        <f>IFERROR(SUM(TBA_Matches_All[[#This Row],[TotNotesT]]/TBA_Matches_All[[#This Row],[TotNotes]]),0)</f>
        <v>1</v>
      </c>
      <c r="CU92" s="66">
        <f>SUM((TBA_Matches_All[[#This Row],[AampT]]*2)+(TBA_Matches_All[[#This Row],[AspkrT]]*5)+(TBA_Matches_All[[#This Row],[AtrapT]]*5)+(TBA_Matches_All[[#This Row],[TampT]]*1)+(TBA_Matches_All[[#This Row],[TspkrptsC]]))</f>
        <v>32</v>
      </c>
      <c r="CV92" s="59">
        <f>IFERROR(TBA_Matches_All[[#This Row],[noteptsT]]/TBA_Matches_All[[#This Row],[NotePts]],0)</f>
        <v>0.91428571428571426</v>
      </c>
      <c r="CW92">
        <f>SUM(IF(TBA_Matches_All[[#This Row],[stageStat]]="On",3,0),IF(TBA_Matches_All[[#This Row],[stageStat]]="Park",1,0),SUMIFS(TBA_Matches_All[[#This Row],[Spotlit]],TBA_Matches_All[[#This Row],[stageStat]],"On"),SUMIFS(TBA_Matches_All[[#This Row],[Harmony]],TBA_Matches_All[[#This Row],[stageStat]],"On"))</f>
        <v>1</v>
      </c>
      <c r="CX92" s="59">
        <f>IFERROR(TBA_Matches_All[[#This Row],[stageptsT]]/TBA_Matches_All[[#This Row],[StagePts]],0)</f>
        <v>0.5</v>
      </c>
      <c r="CY92">
        <f>SUM((TBA_Matches_All[[#This Row],[AptsT]]+TBA_Matches_All[[#This Row],[TampT]]+TBA_Matches_All[[#This Row],[TspkrptsC]]+(TBA_Matches_All[[#This Row],[TtrapT]]*5)+TBA_Matches_All[[#This Row],[stageptsT]]))</f>
        <v>35</v>
      </c>
      <c r="CZ92" s="59">
        <f>IFERROR(SUM(TBA_Matches_All[[#This Row],[TotptsC]]/TBA_Matches_All[[#This Row],[Score]]),0)</f>
        <v>0.89743589743589747</v>
      </c>
      <c r="DA9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10.633333333333333</v>
      </c>
      <c r="DB92" s="74">
        <f>SUMIFS(TBA_Matches_All[AveTeamTNoteDels],TBA_Matches_All[Match_Number],TBA_Matches_All[[#This Row],[Match_Number]],TBA_Matches_All[Alliance],"&lt;&gt;"&amp;TBA_Matches_All[[#This Row],[Alliance]],TBA_Matches_All[Scouted],"&gt;0")</f>
        <v>61.118434482184483</v>
      </c>
      <c r="DC92" s="74">
        <f>(TBA_Matches_All[[#This Row],[TampT]]+TBA_Matches_All[[#This Row],[TspkrptsC]])-TBA_Matches_All[[#This Row],[AveTeamTNoteDels]]</f>
        <v>4.3666666666666671</v>
      </c>
      <c r="DD92" s="74">
        <f>SUMIFS(TBA_Matches_All[AveTeamTNoteDels],TBA_Matches_All[Match_Number],TBA_Matches_All[[#This Row],[Match_Number]],TBA_Matches_All[Alliance],"&lt;&gt;"&amp;TBA_Matches_All[[#This Row],[Alliance]])-TBA_Matches_All[[#This Row],[AveOppTNoteDels]]</f>
        <v>0</v>
      </c>
    </row>
    <row r="93" spans="1:108" x14ac:dyDescent="0.3">
      <c r="A93" t="s">
        <v>1042</v>
      </c>
      <c r="B93" t="s">
        <v>489</v>
      </c>
      <c r="C93" t="s">
        <v>1325</v>
      </c>
      <c r="D93">
        <v>16</v>
      </c>
      <c r="E93" t="s">
        <v>1420</v>
      </c>
      <c r="F93" t="s">
        <v>1425</v>
      </c>
      <c r="G93" t="s">
        <v>105</v>
      </c>
      <c r="H93" t="s">
        <v>1318</v>
      </c>
      <c r="I93" t="b">
        <v>1</v>
      </c>
      <c r="J93">
        <v>70</v>
      </c>
      <c r="K93">
        <v>1</v>
      </c>
      <c r="L93">
        <v>1</v>
      </c>
      <c r="M93">
        <v>2</v>
      </c>
      <c r="N93">
        <v>0</v>
      </c>
      <c r="O93">
        <v>2</v>
      </c>
      <c r="P93">
        <v>10</v>
      </c>
      <c r="Q93">
        <v>14</v>
      </c>
      <c r="R93">
        <v>3</v>
      </c>
      <c r="S93">
        <v>2</v>
      </c>
      <c r="T93">
        <v>8</v>
      </c>
      <c r="U93">
        <v>10</v>
      </c>
      <c r="V93">
        <v>16</v>
      </c>
      <c r="W93">
        <v>10</v>
      </c>
      <c r="X93">
        <v>26</v>
      </c>
      <c r="Y93">
        <v>29</v>
      </c>
      <c r="Z93">
        <v>0</v>
      </c>
      <c r="AA93">
        <v>0</v>
      </c>
      <c r="AB93">
        <v>15</v>
      </c>
      <c r="AC93">
        <v>39</v>
      </c>
      <c r="AD93">
        <v>2</v>
      </c>
      <c r="AE93">
        <f>IFERROR(6/(COUNTIF(Dyno_EndMatch[Match],TBA_Matches_All[[#This Row],[Match_Number]])),0)</f>
        <v>1</v>
      </c>
      <c r="AF93">
        <f>COUNTIFS(Dyno_Data[Team],TBA_Matches_All[[#This Row],[Team]],Dyno_Data[Match],TBA_Matches_All[[#This Row],[Match_Number]],Dyno_Data[RecordType],"EndMatch",Dyno_Data[HPAmp],"Y")</f>
        <v>1</v>
      </c>
      <c r="AG93">
        <f>SUMIFS(Dyno_Data[Mics], Dyno_Data[Team],TBA_Matches_All[[#This Row],[Team]],Dyno_Data[Match],TBA_Matches_All[[#This Row],[Match_Number]],Dyno_Data[RecordType],"EndMatch",Dyno_Data[HPAmp],"Y")</f>
        <v>0</v>
      </c>
      <c r="AH93">
        <f>SUMIFS(Dyno_Data[Leave], Dyno_Data[Team],TBA_Matches_All[[#This Row],[Team]],Dyno_Data[Match],TBA_Matches_All[[#This Row],[Match_Number]],Dyno_Data[RecordType],"EndAuto")</f>
        <v>0</v>
      </c>
      <c r="AI93">
        <f>COUNTIFS(Dyno_Data[Team],TBA_Matches_All[[#This Row],[Team]],Dyno_Data[Match],TBA_Matches_All[[#This Row],[Match_Number]],Dyno_Data[RecordType],"Activities",Dyno_Data[DelDest],"Amp", Dyno_Data[DelMiss],"0", Dyno_Data[Mode],"Auto")</f>
        <v>0</v>
      </c>
      <c r="AJ93">
        <f>COUNTIFS(Dyno_Data[Team],TBA_Matches_All[[#This Row],[Team]],Dyno_Data[Match],TBA_Matches_All[[#This Row],[Match_Number]],Dyno_Data[RecordType],"Activities",Dyno_Data[DelDest],"Spkr", Dyno_Data[DelMiss],"0", Dyno_Data[Mode],"Auto")</f>
        <v>0</v>
      </c>
      <c r="AK93">
        <f>COUNTIFS(Dyno_Data[Team],TBA_Matches_All[[#This Row],[Team]],Dyno_Data[Match],TBA_Matches_All[[#This Row],[Match_Number]],Dyno_Data[RecordType],"Activities",Dyno_Data[DelDest],"Trap", Dyno_Data[DelMiss],"0", Dyno_Data[Mode],"Auto")</f>
        <v>0</v>
      </c>
      <c r="AL93">
        <f>COUNTIFS(Dyno_Data[Team],TBA_Matches_All[[#This Row],[Team]],Dyno_Data[Match],TBA_Matches_All[[#This Row],[Match_Number]],Dyno_Data[RecordType],"Activities",Dyno_Data[DelDest],"Amp", Dyno_Data[DelMiss],"0", Dyno_Data[Mode],"Teleop")</f>
        <v>0</v>
      </c>
      <c r="AM93">
        <f>COUNTIFS(Dyno_Data[Team],TBA_Matches_All[[#This Row],[Team]],Dyno_Data[Match],TBA_Matches_All[[#This Row],[Match_Number]],Dyno_Data[RecordType],"Activities",Dyno_Data[DelDest],"Spkr", Dyno_Data[DelMiss],"0", Dyno_Data[Mode],"Teleop")</f>
        <v>6</v>
      </c>
      <c r="AN93">
        <f>COUNTIFS(Dyno_Data[Team],TBA_Matches_All[[#This Row],[Team]],Dyno_Data[Match],TBA_Matches_All[[#This Row],[Match_Number]],Dyno_Data[RecordType],"Activities",Dyno_Data[DelDest],"Trap", Dyno_Data[DelMiss],"0", Dyno_Data[Mode],"&lt;&gt;Auto")</f>
        <v>0</v>
      </c>
      <c r="AO93">
        <f>SUM(TBA_Matches_All[[#This Row],[AampT]]+TBA_Matches_All[[#This Row],[AspkrT]]+TBA_Matches_All[[#This Row],[AtrapT]]+TBA_Matches_All[[#This Row],[TampT]]+TBA_Matches_All[[#This Row],[TspkrT]]+TBA_Matches_All[[#This Row],[TtrapT]])</f>
        <v>6</v>
      </c>
      <c r="AP93">
        <f>COUNTIFS(Dyno_Data[Team],TBA_Matches_All[[#This Row],[Team]],Dyno_Data[Match],TBA_Matches_All[[#This Row],[Match_Number]],Dyno_Data[RecordType],"Activities",Dyno_Data[DelDest],"Neut", Dyno_Data[DelMiss],"0")</f>
        <v>0</v>
      </c>
      <c r="AQ93">
        <f>COUNTIFS(Dyno_Data[Team],TBA_Matches_All[[#This Row],[Team]],Dyno_Data[Match],TBA_Matches_All[[#This Row],[Match_Number]],Dyno_Data[RecordType],"Activities",Dyno_Data[DelDest],"AllyW", Dyno_Data[DelMiss],"0")</f>
        <v>1</v>
      </c>
      <c r="AR93" t="str">
        <f>_xlfn.XLOOKUP(SUM(MID(TBA_Matches_All[[#This Row],[Team]],4,5),(TBA_Matches_All[[#This Row],[Match_Number]]/100)),Dyno_EndMatch[teammat],Dyno_EndMatch[RobotSta],"_",0,1)</f>
        <v>Amp</v>
      </c>
      <c r="AS93">
        <f>SUMIFS(Dyno_Data[AcqDis], Dyno_Data[Team],TBA_Matches_All[[#This Row],[Team]],Dyno_Data[Match],TBA_Matches_All[[#This Row],[Match_Number]],Dyno_Data[RecordType],"Activities", Dyno_Data[AcqCenter],1,Dyno_Data[Mode],"Auto")</f>
        <v>0</v>
      </c>
      <c r="AT93">
        <f>SUMIFS(Dyno_Data[AcqDis], Dyno_Data[Team],TBA_Matches_All[[#This Row],[Team]],Dyno_Data[Match],TBA_Matches_All[[#This Row],[Match_Number]],Dyno_Data[RecordType],"Activities", Dyno_Data[AcqCenter],2,Dyno_Data[Mode],"Auto")</f>
        <v>0</v>
      </c>
      <c r="AU93">
        <f>SUMIFS(Dyno_Data[AcqDis], Dyno_Data[Team],TBA_Matches_All[[#This Row],[Team]],Dyno_Data[Match],TBA_Matches_All[[#This Row],[Match_Number]],Dyno_Data[RecordType],"Activities", Dyno_Data[AcqCenter],3,Dyno_Data[Mode],"Auto")</f>
        <v>0</v>
      </c>
      <c r="AV93">
        <f>SUMIFS(Dyno_Data[AcqDis], Dyno_Data[Team],TBA_Matches_All[[#This Row],[Team]],Dyno_Data[Match],TBA_Matches_All[[#This Row],[Match_Number]],Dyno_Data[RecordType],"Activities", Dyno_Data[AcqCenter],4,Dyno_Data[Mode],"Auto")</f>
        <v>0</v>
      </c>
      <c r="AW93">
        <f>SUMIFS(Dyno_Data[AcqDis], Dyno_Data[Team],TBA_Matches_All[[#This Row],[Team]],Dyno_Data[Match],TBA_Matches_All[[#This Row],[Match_Number]],Dyno_Data[RecordType],"Activities", Dyno_Data[AcqCenter],5,Dyno_Data[Mode],"Auto")</f>
        <v>0</v>
      </c>
      <c r="AX93">
        <f>SUMIFS(Dyno_Data[DelMiss], Dyno_Data[Team],TBA_Matches_All[[#This Row],[Team]],Dyno_Data[Match],TBA_Matches_All[[#This Row],[Match_Number]],Dyno_Data[RecordType],"Activities", Dyno_Data[DelDest],"Amp")</f>
        <v>0</v>
      </c>
      <c r="AY93" s="60">
        <f>IFERROR(SUM((TBA_Matches_All[[#This Row],[AampT]]+TBA_Matches_All[[#This Row],[TampT]])/(TBA_Matches_All[[#This Row],[AampT]]+TBA_Matches_All[[#This Row],[TampT]]+TBA_Matches_All[[#This Row],[ampM]])),0)</f>
        <v>0</v>
      </c>
      <c r="AZ93">
        <f>SUMIFS(Dyno_Data[DelMiss], Dyno_Data[Team],TBA_Matches_All[[#This Row],[Team]],Dyno_Data[Match],TBA_Matches_All[[#This Row],[Match_Number]],Dyno_Data[RecordType],"Activities", Dyno_Data[DelDest],"Spkr")</f>
        <v>1</v>
      </c>
      <c r="BA93" s="60">
        <f>IFERROR(SUM((TBA_Matches_All[[#This Row],[AspkrT]]+TBA_Matches_All[[#This Row],[TspkrT]])/(TBA_Matches_All[[#This Row],[AspkrT]]+TBA_Matches_All[[#This Row],[TspkrT]]+TBA_Matches_All[[#This Row],[spkrM]])),0)</f>
        <v>0.8571428571428571</v>
      </c>
      <c r="BB93">
        <f>SUMIFS(Dyno_Data[DelMiss], Dyno_Data[Team],TBA_Matches_All[[#This Row],[Team]],Dyno_Data[Match],TBA_Matches_All[[#This Row],[Match_Number]],Dyno_Data[RecordType],"Activities", Dyno_Data[DelDest],"Trap")</f>
        <v>0</v>
      </c>
      <c r="BC93" s="60">
        <f>IFERROR((TBA_Matches_All[[#This Row],[AtrapT]]+TBA_Matches_All[[#This Row],[TtrapT]])/(TBA_Matches_All[[#This Row],[AtrapT]]+TBA_Matches_All[[#This Row],[TtrapT]]+TBA_Matches_All[[#This Row],[trapM]]),0)</f>
        <v>0</v>
      </c>
      <c r="BD93">
        <f>COUNTIFS(Dyno_Data[Team],TBA_Matches_All[[#This Row],[Team]],Dyno_Data[Match],TBA_Matches_All[[#This Row],[Match_Number]],Dyno_Data[RecordType],"Activities",Dyno_Data[DelDest],"Neut", Dyno_Data[DelMiss],1)</f>
        <v>0</v>
      </c>
      <c r="BE93" s="60">
        <f>IFERROR(SUM((TBA_Matches_All[[#This Row],[NeutFlrT]])/(TBA_Matches_All[[#This Row],[NeutFlrT]]+TBA_Matches_All[[#This Row],[NZflM]])),0)</f>
        <v>0</v>
      </c>
      <c r="BF93">
        <f>COUNTIFS(Dyno_Data[Team],TBA_Matches_All[[#This Row],[Team]],Dyno_Data[Match],TBA_Matches_All[[#This Row],[Match_Number]],Dyno_Data[RecordType],"Activities",Dyno_Data[DelDest],"AllyW", Dyno_Data[DelMiss],1)</f>
        <v>1</v>
      </c>
      <c r="BG93" s="60">
        <f>IFERROR(SUM((TBA_Matches_All[[#This Row],[AllyWFlrT]])/(TBA_Matches_All[[#This Row],[AllyWFlrT]]+TBA_Matches_All[[#This Row],[AZflM]])),0)</f>
        <v>0.5</v>
      </c>
      <c r="BH93">
        <f>COUNTIFS(Dyno_Data[Team],TBA_Matches_All[[#This Row],[Team]],Dyno_Data[Match],TBA_Matches_All[[#This Row],[Match_Number]],Dyno_Data[RecordType],"Activities",Dyno_Data[DelOrig],"OppW", Dyno_Data[DelMiss],"0")</f>
        <v>0</v>
      </c>
      <c r="BI93">
        <f>COUNTIFS(Dyno_Data[Team],TBA_Matches_All[[#This Row],[Team]],Dyno_Data[Match],TBA_Matches_All[[#This Row],[Match_Number]],Dyno_Data[RecordType],"Activities",Dyno_Data[DelOrig],"OppW", Dyno_Data[DelMiss],"1")</f>
        <v>0</v>
      </c>
      <c r="BJ93" s="60">
        <f>IFERROR(SUM((TBA_Matches_All[[#This Row],[OZflrT]])/(TBA_Matches_All[[#This Row],[OZflrT]]+TBA_Matches_All[[#This Row],[OZflrM]])),0)</f>
        <v>0</v>
      </c>
      <c r="BK93">
        <f>COUNTIFS(Dyno_Data[Team],TBA_Matches_All[[#This Row],[Team]],Dyno_Data[Match],TBA_Matches_All[[#This Row],[Match_Number]],Dyno_Data[RecordType],"Activities",Dyno_Data[DelOrig],"Neut", Dyno_Data[DelMiss],"0")</f>
        <v>1</v>
      </c>
      <c r="BL93">
        <f>COUNTIFS(Dyno_Data[Team],TBA_Matches_All[[#This Row],[Team]],Dyno_Data[Match],TBA_Matches_All[[#This Row],[Match_Number]],Dyno_Data[RecordType],"Activities",Dyno_Data[DelOrig],"Neut", Dyno_Data[DelMiss],"1")</f>
        <v>1</v>
      </c>
      <c r="BM93" s="60">
        <f>IFERROR(SUM((TBA_Matches_All[[#This Row],[NZflrT]])/(TBA_Matches_All[[#This Row],[NZflrT]]+TBA_Matches_All[[#This Row],[NZflrM]])),0)</f>
        <v>0.5</v>
      </c>
      <c r="BN93">
        <f>COUNTIFS(Dyno_Data[Team],TBA_Matches_All[[#This Row],[Team]],Dyno_Data[Match],TBA_Matches_All[[#This Row],[Match_Number]],Dyno_Data[RecordType],"Activities",Dyno_Data[DelOrig],"AllyW", Dyno_Data[DelMiss],"0")</f>
        <v>1</v>
      </c>
      <c r="BO93">
        <f>COUNTIFS(Dyno_Data[Team],TBA_Matches_All[[#This Row],[Team]],Dyno_Data[Match],TBA_Matches_All[[#This Row],[Match_Number]],Dyno_Data[RecordType],"Activities",Dyno_Data[DelOrig],"AllyW", Dyno_Data[DelMiss],"1")</f>
        <v>0</v>
      </c>
      <c r="BP93" s="60">
        <f>IFERROR(SUM((TBA_Matches_All[[#This Row],[AZflrT]])/(TBA_Matches_All[[#This Row],[AZflrT]]+TBA_Matches_All[[#This Row],[AZflrM]])),0)</f>
        <v>1</v>
      </c>
      <c r="BQ93">
        <f>COUNTIFS(Dyno_Data[Team],TBA_Matches_All[[#This Row],[Team]],Dyno_Data[Match],TBA_Matches_All[[#This Row],[Match_Number]],Dyno_Data[RecordType],"Activities",Dyno_Data[DelOrig],"SubW", Dyno_Data[DelMiss],"0")</f>
        <v>5</v>
      </c>
      <c r="BR93">
        <f>COUNTIFS(Dyno_Data[Team],TBA_Matches_All[[#This Row],[Team]],Dyno_Data[Match],TBA_Matches_All[[#This Row],[Match_Number]],Dyno_Data[RecordType],"Activities",Dyno_Data[DelOrig],"SubW", Dyno_Data[DelMiss],"1")</f>
        <v>1</v>
      </c>
      <c r="BS93" s="60">
        <f>IFERROR(SUM((TBA_Matches_All[[#This Row],[SubwT]])/(TBA_Matches_All[[#This Row],[SubwT]]+TBA_Matches_All[[#This Row],[SubwM]])),0)</f>
        <v>0.83333333333333337</v>
      </c>
      <c r="BT93">
        <f>COUNTIFS(Dyno_Data[Team],TBA_Matches_All[[#This Row],[Team]],Dyno_Data[Match],TBA_Matches_All[[#This Row],[Match_Number]],Dyno_Data[RecordType],"Activities", Dyno_Data[AcqLoc],"OppWing")</f>
        <v>0</v>
      </c>
      <c r="BU93">
        <f>COUNTIFS(Dyno_Data[Team],TBA_Matches_All[[#This Row],[Team]],Dyno_Data[Match],TBA_Matches_All[[#This Row],[Match_Number]],Dyno_Data[RecordType],"Activities", Dyno_Data[AcqLoc],"Neutral")</f>
        <v>0</v>
      </c>
      <c r="BV93">
        <f>COUNTIFS(Dyno_Data[Team],TBA_Matches_All[[#This Row],[Team]],Dyno_Data[Match],TBA_Matches_All[[#This Row],[Match_Number]],Dyno_Data[RecordType],"Activities", Dyno_Data[AcqLoc],"AllyWing")</f>
        <v>0</v>
      </c>
      <c r="BW93">
        <f>COUNTIFS(Dyno_Data[Team],TBA_Matches_All[[#This Row],[Team]],Dyno_Data[Match],TBA_Matches_All[[#This Row],[Match_Number]],Dyno_Data[RecordType],"Activities", Dyno_Data[AcqLoc],"Source")</f>
        <v>0</v>
      </c>
      <c r="BX93">
        <f>SUMIFS(Dyno_Data[AcqDrp], Dyno_Data[Team],TBA_Matches_All[[#This Row],[Team]],Dyno_Data[Match],TBA_Matches_All[[#This Row],[Match_Number]],Dyno_Data[RecordType],"Activities", Dyno_Data[AcqLoc],"Source")</f>
        <v>0</v>
      </c>
      <c r="BY93">
        <f>SUMIFS(Dyno_Data[OZTime], Dyno_Data[Team],TBA_Matches_All[[#This Row],[Team]],Dyno_Data[Match],TBA_Matches_All[[#This Row],[Match_Number]],Dyno_Data[RecordType],"EndMatch")</f>
        <v>31.445748099999999</v>
      </c>
      <c r="BZ93">
        <f>SUMIFS(Dyno_Data[NZTime], Dyno_Data[Team],TBA_Matches_All[[#This Row],[Team]],Dyno_Data[Match],TBA_Matches_All[[#This Row],[Match_Number]],Dyno_Data[RecordType],"EndMatch")</f>
        <v>33.835610799999998</v>
      </c>
      <c r="CA93">
        <f>SUMIFS(Dyno_Data[AZTime], Dyno_Data[Team],TBA_Matches_All[[#This Row],[Team]],Dyno_Data[Match],TBA_Matches_All[[#This Row],[Match_Number]],Dyno_Data[RecordType],"EndMatch")</f>
        <v>72.893384900000001</v>
      </c>
      <c r="CB93">
        <f>SUMIFS(Dyno_Data[ClimbT], Dyno_Data[Team],TBA_Matches_All[[#This Row],[Team]],Dyno_Data[Match],TBA_Matches_All[[#This Row],[Match_Number]],Dyno_Data[RecordType],"EndMatch")</f>
        <v>0</v>
      </c>
      <c r="CC93" t="str">
        <f>_xlfn.XLOOKUP(SUM(MID(TBA_Matches_All[[#This Row],[Team]],4,5),(TBA_Matches_All[[#This Row],[Match_Number]]/100)),Dyno_EndMatch[teammat],Dyno_EndMatch[StageStat],"_",0,1)</f>
        <v>Else</v>
      </c>
      <c r="CD93" t="str">
        <f>_xlfn.XLOOKUP(TBA_Matches_All[[#This Row],[teammat]],Dyno_EndMatch[teammat],Dyno_EndMatch[StageAtt],"_",0,1)</f>
        <v>0</v>
      </c>
      <c r="CE93" t="str">
        <f>_xlfn.XLOOKUP(TBA_Matches_All[[#This Row],[teammat]],Dyno_EndMatch[teammat],Dyno_EndMatch[StageLoc],"_",0,1)</f>
        <v>A</v>
      </c>
      <c r="CF93">
        <f>SUMIFS(Dyno_Data[Harmony], Dyno_Data[Team],TBA_Matches_All[[#This Row],[Team]],Dyno_Data[Match],TBA_Matches_All[[#This Row],[Match_Number]],Dyno_Data[RecordType],"EndMatch", Dyno_Data[StageStat],"On",Dyno_Data[Harmony],"&lt;&gt;9")</f>
        <v>0</v>
      </c>
      <c r="CG93">
        <f>SUMIFS(Dyno_Data[Spotlit], Dyno_Data[Team],TBA_Matches_All[[#This Row],[Team]],Dyno_Data[Match],TBA_Matches_All[[#This Row],[Match_Number]],Dyno_Data[RecordType],"EndMatch", Dyno_Data[StageStat],"On",Dyno_Data[Spotlit],"&lt;&gt;9")</f>
        <v>0</v>
      </c>
      <c r="CH93" t="str">
        <f>_xlfn.XLOOKUP(TBA_Matches_All[[#This Row],[teammat]],Dyno_EndMatch[teammat],Dyno_EndMatch[Strategy],"_",0,1)</f>
        <v>Hybrid</v>
      </c>
      <c r="CI93">
        <f>SUMIFS(Dyno_Data[Defense], Dyno_Data[Team],TBA_Matches_All[[#This Row],[Team]],Dyno_Data[Match],TBA_Matches_All[[#This Row],[Match_Number]],Dyno_Data[RecordType],"EndMatch",Dyno_Data[Defense],"&lt;&gt;9")</f>
        <v>1</v>
      </c>
      <c r="CJ93">
        <f>SUMIFS(Dyno_Data[Avoidance], Dyno_Data[Team],TBA_Matches_All[[#This Row],[Team]],Dyno_Data[Match],TBA_Matches_All[[#This Row],[Match_Number]],Dyno_Data[RecordType],"EndMatch",Dyno_Data[Avoidance],"&lt;&gt;9")</f>
        <v>0</v>
      </c>
      <c r="CK93" s="82">
        <f>COUNTIF($H$2:TBA_Matches_All[[#This Row],[Team]],TBA_Matches_All[[#This Row],[Team]])</f>
        <v>2</v>
      </c>
      <c r="CL93" s="111">
        <f>SUM(MID(TBA_Matches_All[[#This Row],[Team]],4,5)+TBA_Matches_All[[#This Row],[Match_Number]]/100)</f>
        <v>7709.16</v>
      </c>
      <c r="CM93">
        <f>SUM((TBA_Matches_All[[#This Row],[Leave]]*2)+(TBA_Matches_All[[#This Row],[AampT]]*2)+(TBA_Matches_All[[#This Row],[AspkrT]]*5)+(TBA_Matches_All[[#This Row],[AtrapT]]*5))</f>
        <v>0</v>
      </c>
      <c r="CN93" s="59">
        <f>IFERROR(SUM(TBA_Matches_All[[#This Row],[AptsT]]/TBA_Matches_All[[#This Row],[AutoPts]]),0)</f>
        <v>0</v>
      </c>
      <c r="CO93" s="59">
        <f>IFERROR(SUM(TBA_Matches_All[[#This Row],[AampT]]+TBA_Matches_All[[#This Row],[AspkrT]]+TBA_Matches_All[[#This Row],[AtrapT]]/TBA_Matches_All[[#This Row],[Aamp]]+TBA_Matches_All[[#This Row],[Aspkr]]+TBA_Matches_All[[#This Row],[AtrapT]]),0)</f>
        <v>0</v>
      </c>
      <c r="CP93" s="59">
        <f>IFERROR(SUM(TBA_Matches_All[[#This Row],[TampT]]/TBA_Matches_All[[#This Row],[Tamp]]),0)</f>
        <v>0</v>
      </c>
      <c r="CQ93" s="59">
        <f>IFERROR(SUM(TBA_Matches_All[[#This Row],[TspkrT]]/TBA_Matches_All[[#This Row],[Tspkr]]),0)</f>
        <v>0.6</v>
      </c>
      <c r="CR93">
        <f>SUM(TBA_Matches_All[[#This Row],[TspkrPts]]*TBA_Matches_All[[#This Row],[TspkrP]])</f>
        <v>15.6</v>
      </c>
      <c r="CS93" s="59">
        <f>IFERROR(SUM(TBA_Matches_All[[#This Row],[TtrapT]]/TBA_Matches_All[[#This Row],[Trap]]),0)</f>
        <v>0</v>
      </c>
      <c r="CT93" s="59">
        <f>IFERROR(SUM(TBA_Matches_All[[#This Row],[TotNotesT]]/TBA_Matches_All[[#This Row],[TotNotes]]),0)</f>
        <v>0.4</v>
      </c>
      <c r="CU93" s="66">
        <f>SUM((TBA_Matches_All[[#This Row],[AampT]]*2)+(TBA_Matches_All[[#This Row],[AspkrT]]*5)+(TBA_Matches_All[[#This Row],[AtrapT]]*5)+(TBA_Matches_All[[#This Row],[TampT]]*1)+(TBA_Matches_All[[#This Row],[TspkrptsC]]))</f>
        <v>15.6</v>
      </c>
      <c r="CV93" s="59">
        <f>IFERROR(TBA_Matches_All[[#This Row],[noteptsT]]/TBA_Matches_All[[#This Row],[NotePts]],0)</f>
        <v>0.39999999999999997</v>
      </c>
      <c r="CW93">
        <f>SUM(IF(TBA_Matches_All[[#This Row],[stageStat]]="On",3,0),IF(TBA_Matches_All[[#This Row],[stageStat]]="Park",1,0),SUMIFS(TBA_Matches_All[[#This Row],[Spotlit]],TBA_Matches_All[[#This Row],[stageStat]],"On"),SUMIFS(TBA_Matches_All[[#This Row],[Harmony]],TBA_Matches_All[[#This Row],[stageStat]],"On"))</f>
        <v>0</v>
      </c>
      <c r="CX93" s="59">
        <f>IFERROR(TBA_Matches_All[[#This Row],[stageptsT]]/TBA_Matches_All[[#This Row],[StagePts]],0)</f>
        <v>0</v>
      </c>
      <c r="CY93">
        <f>SUM((TBA_Matches_All[[#This Row],[AptsT]]+TBA_Matches_All[[#This Row],[TampT]]+TBA_Matches_All[[#This Row],[TspkrptsC]]+(TBA_Matches_All[[#This Row],[TtrapT]]*5)+TBA_Matches_All[[#This Row],[stageptsT]]))</f>
        <v>15.6</v>
      </c>
      <c r="CZ93" s="59">
        <f>IFERROR(SUM(TBA_Matches_All[[#This Row],[TotptsC]]/TBA_Matches_All[[#This Row],[Score]]),0)</f>
        <v>0.22285714285714286</v>
      </c>
      <c r="DA9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13.5</v>
      </c>
      <c r="DB93" s="74">
        <f>SUMIFS(TBA_Matches_All[AveTeamTNoteDels],TBA_Matches_All[Match_Number],TBA_Matches_All[[#This Row],[Match_Number]],TBA_Matches_All[Alliance],"&lt;&gt;"&amp;TBA_Matches_All[[#This Row],[Alliance]],TBA_Matches_All[Scouted],"&gt;0")</f>
        <v>26.329696969696968</v>
      </c>
      <c r="DC93" s="74">
        <f>(TBA_Matches_All[[#This Row],[TampT]]+TBA_Matches_All[[#This Row],[TspkrptsC]])-TBA_Matches_All[[#This Row],[AveTeamTNoteDels]]</f>
        <v>2.0999999999999996</v>
      </c>
      <c r="DD93" s="74">
        <f>SUMIFS(TBA_Matches_All[AveTeamTNoteDels],TBA_Matches_All[Match_Number],TBA_Matches_All[[#This Row],[Match_Number]],TBA_Matches_All[Alliance],"&lt;&gt;"&amp;TBA_Matches_All[[#This Row],[Alliance]])-TBA_Matches_All[[#This Row],[AveOppTNoteDels]]</f>
        <v>0</v>
      </c>
    </row>
    <row r="94" spans="1:108" x14ac:dyDescent="0.3">
      <c r="A94" t="s">
        <v>1042</v>
      </c>
      <c r="B94" t="s">
        <v>489</v>
      </c>
      <c r="C94" t="s">
        <v>1325</v>
      </c>
      <c r="D94">
        <v>16</v>
      </c>
      <c r="E94" t="s">
        <v>1406</v>
      </c>
      <c r="F94" t="s">
        <v>1426</v>
      </c>
      <c r="G94" t="s">
        <v>164</v>
      </c>
      <c r="H94" t="s">
        <v>1306</v>
      </c>
      <c r="I94" t="b">
        <v>1</v>
      </c>
      <c r="J94">
        <v>50</v>
      </c>
      <c r="K94">
        <v>0</v>
      </c>
      <c r="L94">
        <v>0</v>
      </c>
      <c r="M94">
        <v>25</v>
      </c>
      <c r="N94">
        <v>0</v>
      </c>
      <c r="O94">
        <v>3</v>
      </c>
      <c r="P94">
        <v>15</v>
      </c>
      <c r="Q94">
        <v>21</v>
      </c>
      <c r="R94">
        <v>6</v>
      </c>
      <c r="S94">
        <v>3</v>
      </c>
      <c r="T94">
        <v>1</v>
      </c>
      <c r="U94">
        <v>15</v>
      </c>
      <c r="V94">
        <v>2</v>
      </c>
      <c r="W94">
        <v>4</v>
      </c>
      <c r="X94">
        <v>17</v>
      </c>
      <c r="Y94">
        <v>23</v>
      </c>
      <c r="Z94">
        <v>0</v>
      </c>
      <c r="AA94">
        <v>0</v>
      </c>
      <c r="AB94">
        <v>13</v>
      </c>
      <c r="AC94">
        <v>38</v>
      </c>
      <c r="AD94">
        <v>4</v>
      </c>
      <c r="AE94">
        <f>IFERROR(6/(COUNTIF(Dyno_EndMatch[Match],TBA_Matches_All[[#This Row],[Match_Number]])),0)</f>
        <v>1</v>
      </c>
      <c r="AF94">
        <f>COUNTIFS(Dyno_Data[Team],TBA_Matches_All[[#This Row],[Team]],Dyno_Data[Match],TBA_Matches_All[[#This Row],[Match_Number]],Dyno_Data[RecordType],"EndMatch",Dyno_Data[HPAmp],"Y")</f>
        <v>0</v>
      </c>
      <c r="AG94">
        <f>SUMIFS(Dyno_Data[Mics], Dyno_Data[Team],TBA_Matches_All[[#This Row],[Team]],Dyno_Data[Match],TBA_Matches_All[[#This Row],[Match_Number]],Dyno_Data[RecordType],"EndMatch",Dyno_Data[HPAmp],"Y")</f>
        <v>0</v>
      </c>
      <c r="AH94">
        <f>SUMIFS(Dyno_Data[Leave], Dyno_Data[Team],TBA_Matches_All[[#This Row],[Team]],Dyno_Data[Match],TBA_Matches_All[[#This Row],[Match_Number]],Dyno_Data[RecordType],"EndAuto")</f>
        <v>1</v>
      </c>
      <c r="AI94">
        <f>COUNTIFS(Dyno_Data[Team],TBA_Matches_All[[#This Row],[Team]],Dyno_Data[Match],TBA_Matches_All[[#This Row],[Match_Number]],Dyno_Data[RecordType],"Activities",Dyno_Data[DelDest],"Amp", Dyno_Data[DelMiss],"0", Dyno_Data[Mode],"Auto")</f>
        <v>0</v>
      </c>
      <c r="AJ94">
        <f>COUNTIFS(Dyno_Data[Team],TBA_Matches_All[[#This Row],[Team]],Dyno_Data[Match],TBA_Matches_All[[#This Row],[Match_Number]],Dyno_Data[RecordType],"Activities",Dyno_Data[DelDest],"Spkr", Dyno_Data[DelMiss],"0", Dyno_Data[Mode],"Auto")</f>
        <v>0</v>
      </c>
      <c r="AK94">
        <f>COUNTIFS(Dyno_Data[Team],TBA_Matches_All[[#This Row],[Team]],Dyno_Data[Match],TBA_Matches_All[[#This Row],[Match_Number]],Dyno_Data[RecordType],"Activities",Dyno_Data[DelDest],"Trap", Dyno_Data[DelMiss],"0", Dyno_Data[Mode],"Auto")</f>
        <v>0</v>
      </c>
      <c r="AL94">
        <f>COUNTIFS(Dyno_Data[Team],TBA_Matches_All[[#This Row],[Team]],Dyno_Data[Match],TBA_Matches_All[[#This Row],[Match_Number]],Dyno_Data[RecordType],"Activities",Dyno_Data[DelDest],"Amp", Dyno_Data[DelMiss],"0", Dyno_Data[Mode],"Teleop")</f>
        <v>0</v>
      </c>
      <c r="AM94">
        <f>COUNTIFS(Dyno_Data[Team],TBA_Matches_All[[#This Row],[Team]],Dyno_Data[Match],TBA_Matches_All[[#This Row],[Match_Number]],Dyno_Data[RecordType],"Activities",Dyno_Data[DelDest],"Spkr", Dyno_Data[DelMiss],"0", Dyno_Data[Mode],"Teleop")</f>
        <v>0</v>
      </c>
      <c r="AN94">
        <f>COUNTIFS(Dyno_Data[Team],TBA_Matches_All[[#This Row],[Team]],Dyno_Data[Match],TBA_Matches_All[[#This Row],[Match_Number]],Dyno_Data[RecordType],"Activities",Dyno_Data[DelDest],"Trap", Dyno_Data[DelMiss],"0", Dyno_Data[Mode],"&lt;&gt;Auto")</f>
        <v>0</v>
      </c>
      <c r="AO94">
        <f>SUM(TBA_Matches_All[[#This Row],[AampT]]+TBA_Matches_All[[#This Row],[AspkrT]]+TBA_Matches_All[[#This Row],[AtrapT]]+TBA_Matches_All[[#This Row],[TampT]]+TBA_Matches_All[[#This Row],[TspkrT]]+TBA_Matches_All[[#This Row],[TtrapT]])</f>
        <v>0</v>
      </c>
      <c r="AP94">
        <f>COUNTIFS(Dyno_Data[Team],TBA_Matches_All[[#This Row],[Team]],Dyno_Data[Match],TBA_Matches_All[[#This Row],[Match_Number]],Dyno_Data[RecordType],"Activities",Dyno_Data[DelDest],"Neut", Dyno_Data[DelMiss],"0")</f>
        <v>1</v>
      </c>
      <c r="AQ94">
        <f>COUNTIFS(Dyno_Data[Team],TBA_Matches_All[[#This Row],[Team]],Dyno_Data[Match],TBA_Matches_All[[#This Row],[Match_Number]],Dyno_Data[RecordType],"Activities",Dyno_Data[DelDest],"AllyW", Dyno_Data[DelMiss],"0")</f>
        <v>0</v>
      </c>
      <c r="AR94" t="str">
        <f>_xlfn.XLOOKUP(SUM(MID(TBA_Matches_All[[#This Row],[Team]],4,5),(TBA_Matches_All[[#This Row],[Match_Number]]/100)),Dyno_EndMatch[teammat],Dyno_EndMatch[RobotSta],"_",0,1)</f>
        <v>OppS</v>
      </c>
      <c r="AS94">
        <f>SUMIFS(Dyno_Data[AcqDis], Dyno_Data[Team],TBA_Matches_All[[#This Row],[Team]],Dyno_Data[Match],TBA_Matches_All[[#This Row],[Match_Number]],Dyno_Data[RecordType],"Activities", Dyno_Data[AcqCenter],1,Dyno_Data[Mode],"Auto")</f>
        <v>1</v>
      </c>
      <c r="AT94">
        <f>SUMIFS(Dyno_Data[AcqDis], Dyno_Data[Team],TBA_Matches_All[[#This Row],[Team]],Dyno_Data[Match],TBA_Matches_All[[#This Row],[Match_Number]],Dyno_Data[RecordType],"Activities", Dyno_Data[AcqCenter],2,Dyno_Data[Mode],"Auto")</f>
        <v>0</v>
      </c>
      <c r="AU94">
        <f>SUMIFS(Dyno_Data[AcqDis], Dyno_Data[Team],TBA_Matches_All[[#This Row],[Team]],Dyno_Data[Match],TBA_Matches_All[[#This Row],[Match_Number]],Dyno_Data[RecordType],"Activities", Dyno_Data[AcqCenter],3,Dyno_Data[Mode],"Auto")</f>
        <v>0</v>
      </c>
      <c r="AV94">
        <f>SUMIFS(Dyno_Data[AcqDis], Dyno_Data[Team],TBA_Matches_All[[#This Row],[Team]],Dyno_Data[Match],TBA_Matches_All[[#This Row],[Match_Number]],Dyno_Data[RecordType],"Activities", Dyno_Data[AcqCenter],4,Dyno_Data[Mode],"Auto")</f>
        <v>0</v>
      </c>
      <c r="AW94">
        <f>SUMIFS(Dyno_Data[AcqDis], Dyno_Data[Team],TBA_Matches_All[[#This Row],[Team]],Dyno_Data[Match],TBA_Matches_All[[#This Row],[Match_Number]],Dyno_Data[RecordType],"Activities", Dyno_Data[AcqCenter],5,Dyno_Data[Mode],"Auto")</f>
        <v>0</v>
      </c>
      <c r="AX94">
        <f>SUMIFS(Dyno_Data[DelMiss], Dyno_Data[Team],TBA_Matches_All[[#This Row],[Team]],Dyno_Data[Match],TBA_Matches_All[[#This Row],[Match_Number]],Dyno_Data[RecordType],"Activities", Dyno_Data[DelDest],"Amp")</f>
        <v>0</v>
      </c>
      <c r="AY94" s="60">
        <f>IFERROR(SUM((TBA_Matches_All[[#This Row],[AampT]]+TBA_Matches_All[[#This Row],[TampT]])/(TBA_Matches_All[[#This Row],[AampT]]+TBA_Matches_All[[#This Row],[TampT]]+TBA_Matches_All[[#This Row],[ampM]])),0)</f>
        <v>0</v>
      </c>
      <c r="AZ94">
        <f>SUMIFS(Dyno_Data[DelMiss], Dyno_Data[Team],TBA_Matches_All[[#This Row],[Team]],Dyno_Data[Match],TBA_Matches_All[[#This Row],[Match_Number]],Dyno_Data[RecordType],"Activities", Dyno_Data[DelDest],"Spkr")</f>
        <v>0</v>
      </c>
      <c r="BA94" s="60">
        <f>IFERROR(SUM((TBA_Matches_All[[#This Row],[AspkrT]]+TBA_Matches_All[[#This Row],[TspkrT]])/(TBA_Matches_All[[#This Row],[AspkrT]]+TBA_Matches_All[[#This Row],[TspkrT]]+TBA_Matches_All[[#This Row],[spkrM]])),0)</f>
        <v>0</v>
      </c>
      <c r="BB94">
        <f>SUMIFS(Dyno_Data[DelMiss], Dyno_Data[Team],TBA_Matches_All[[#This Row],[Team]],Dyno_Data[Match],TBA_Matches_All[[#This Row],[Match_Number]],Dyno_Data[RecordType],"Activities", Dyno_Data[DelDest],"Trap")</f>
        <v>0</v>
      </c>
      <c r="BC94" s="60">
        <f>IFERROR((TBA_Matches_All[[#This Row],[AtrapT]]+TBA_Matches_All[[#This Row],[TtrapT]])/(TBA_Matches_All[[#This Row],[AtrapT]]+TBA_Matches_All[[#This Row],[TtrapT]]+TBA_Matches_All[[#This Row],[trapM]]),0)</f>
        <v>0</v>
      </c>
      <c r="BD94">
        <f>COUNTIFS(Dyno_Data[Team],TBA_Matches_All[[#This Row],[Team]],Dyno_Data[Match],TBA_Matches_All[[#This Row],[Match_Number]],Dyno_Data[RecordType],"Activities",Dyno_Data[DelDest],"Neut", Dyno_Data[DelMiss],1)</f>
        <v>0</v>
      </c>
      <c r="BE94" s="60">
        <f>IFERROR(SUM((TBA_Matches_All[[#This Row],[NeutFlrT]])/(TBA_Matches_All[[#This Row],[NeutFlrT]]+TBA_Matches_All[[#This Row],[NZflM]])),0)</f>
        <v>1</v>
      </c>
      <c r="BF94">
        <f>COUNTIFS(Dyno_Data[Team],TBA_Matches_All[[#This Row],[Team]],Dyno_Data[Match],TBA_Matches_All[[#This Row],[Match_Number]],Dyno_Data[RecordType],"Activities",Dyno_Data[DelDest],"AllyW", Dyno_Data[DelMiss],1)</f>
        <v>0</v>
      </c>
      <c r="BG94" s="60">
        <f>IFERROR(SUM((TBA_Matches_All[[#This Row],[AllyWFlrT]])/(TBA_Matches_All[[#This Row],[AllyWFlrT]]+TBA_Matches_All[[#This Row],[AZflM]])),0)</f>
        <v>0</v>
      </c>
      <c r="BH94">
        <f>COUNTIFS(Dyno_Data[Team],TBA_Matches_All[[#This Row],[Team]],Dyno_Data[Match],TBA_Matches_All[[#This Row],[Match_Number]],Dyno_Data[RecordType],"Activities",Dyno_Data[DelOrig],"OppW", Dyno_Data[DelMiss],"0")</f>
        <v>1</v>
      </c>
      <c r="BI94">
        <f>COUNTIFS(Dyno_Data[Team],TBA_Matches_All[[#This Row],[Team]],Dyno_Data[Match],TBA_Matches_All[[#This Row],[Match_Number]],Dyno_Data[RecordType],"Activities",Dyno_Data[DelOrig],"OppW", Dyno_Data[DelMiss],"1")</f>
        <v>0</v>
      </c>
      <c r="BJ94" s="60">
        <f>IFERROR(SUM((TBA_Matches_All[[#This Row],[OZflrT]])/(TBA_Matches_All[[#This Row],[OZflrT]]+TBA_Matches_All[[#This Row],[OZflrM]])),0)</f>
        <v>1</v>
      </c>
      <c r="BK94">
        <f>COUNTIFS(Dyno_Data[Team],TBA_Matches_All[[#This Row],[Team]],Dyno_Data[Match],TBA_Matches_All[[#This Row],[Match_Number]],Dyno_Data[RecordType],"Activities",Dyno_Data[DelOrig],"Neut", Dyno_Data[DelMiss],"0")</f>
        <v>0</v>
      </c>
      <c r="BL94">
        <f>COUNTIFS(Dyno_Data[Team],TBA_Matches_All[[#This Row],[Team]],Dyno_Data[Match],TBA_Matches_All[[#This Row],[Match_Number]],Dyno_Data[RecordType],"Activities",Dyno_Data[DelOrig],"Neut", Dyno_Data[DelMiss],"1")</f>
        <v>0</v>
      </c>
      <c r="BM94" s="60">
        <f>IFERROR(SUM((TBA_Matches_All[[#This Row],[NZflrT]])/(TBA_Matches_All[[#This Row],[NZflrT]]+TBA_Matches_All[[#This Row],[NZflrM]])),0)</f>
        <v>0</v>
      </c>
      <c r="BN94">
        <f>COUNTIFS(Dyno_Data[Team],TBA_Matches_All[[#This Row],[Team]],Dyno_Data[Match],TBA_Matches_All[[#This Row],[Match_Number]],Dyno_Data[RecordType],"Activities",Dyno_Data[DelOrig],"AllyW", Dyno_Data[DelMiss],"0")</f>
        <v>0</v>
      </c>
      <c r="BO94">
        <f>COUNTIFS(Dyno_Data[Team],TBA_Matches_All[[#This Row],[Team]],Dyno_Data[Match],TBA_Matches_All[[#This Row],[Match_Number]],Dyno_Data[RecordType],"Activities",Dyno_Data[DelOrig],"AllyW", Dyno_Data[DelMiss],"1")</f>
        <v>0</v>
      </c>
      <c r="BP94" s="60">
        <f>IFERROR(SUM((TBA_Matches_All[[#This Row],[AZflrT]])/(TBA_Matches_All[[#This Row],[AZflrT]]+TBA_Matches_All[[#This Row],[AZflrM]])),0)</f>
        <v>0</v>
      </c>
      <c r="BQ94">
        <f>COUNTIFS(Dyno_Data[Team],TBA_Matches_All[[#This Row],[Team]],Dyno_Data[Match],TBA_Matches_All[[#This Row],[Match_Number]],Dyno_Data[RecordType],"Activities",Dyno_Data[DelOrig],"SubW", Dyno_Data[DelMiss],"0")</f>
        <v>0</v>
      </c>
      <c r="BR94">
        <f>COUNTIFS(Dyno_Data[Team],TBA_Matches_All[[#This Row],[Team]],Dyno_Data[Match],TBA_Matches_All[[#This Row],[Match_Number]],Dyno_Data[RecordType],"Activities",Dyno_Data[DelOrig],"SubW", Dyno_Data[DelMiss],"1")</f>
        <v>0</v>
      </c>
      <c r="BS94" s="60">
        <f>IFERROR(SUM((TBA_Matches_All[[#This Row],[SubwT]])/(TBA_Matches_All[[#This Row],[SubwT]]+TBA_Matches_All[[#This Row],[SubwM]])),0)</f>
        <v>0</v>
      </c>
      <c r="BT94">
        <f>COUNTIFS(Dyno_Data[Team],TBA_Matches_All[[#This Row],[Team]],Dyno_Data[Match],TBA_Matches_All[[#This Row],[Match_Number]],Dyno_Data[RecordType],"Activities", Dyno_Data[AcqLoc],"OppWing")</f>
        <v>0</v>
      </c>
      <c r="BU94">
        <f>COUNTIFS(Dyno_Data[Team],TBA_Matches_All[[#This Row],[Team]],Dyno_Data[Match],TBA_Matches_All[[#This Row],[Match_Number]],Dyno_Data[RecordType],"Activities", Dyno_Data[AcqLoc],"Neutral")</f>
        <v>2</v>
      </c>
      <c r="BV94">
        <f>COUNTIFS(Dyno_Data[Team],TBA_Matches_All[[#This Row],[Team]],Dyno_Data[Match],TBA_Matches_All[[#This Row],[Match_Number]],Dyno_Data[RecordType],"Activities", Dyno_Data[AcqLoc],"AllyWing")</f>
        <v>0</v>
      </c>
      <c r="BW94">
        <f>COUNTIFS(Dyno_Data[Team],TBA_Matches_All[[#This Row],[Team]],Dyno_Data[Match],TBA_Matches_All[[#This Row],[Match_Number]],Dyno_Data[RecordType],"Activities", Dyno_Data[AcqLoc],"Source")</f>
        <v>0</v>
      </c>
      <c r="BX94">
        <f>SUMIFS(Dyno_Data[AcqDrp], Dyno_Data[Team],TBA_Matches_All[[#This Row],[Team]],Dyno_Data[Match],TBA_Matches_All[[#This Row],[Match_Number]],Dyno_Data[RecordType],"Activities", Dyno_Data[AcqLoc],"Source")</f>
        <v>0</v>
      </c>
      <c r="BY94">
        <f>SUMIFS(Dyno_Data[OZTime], Dyno_Data[Team],TBA_Matches_All[[#This Row],[Team]],Dyno_Data[Match],TBA_Matches_All[[#This Row],[Match_Number]],Dyno_Data[RecordType],"EndMatch")</f>
        <v>101.822902</v>
      </c>
      <c r="BZ94">
        <f>SUMIFS(Dyno_Data[NZTime], Dyno_Data[Team],TBA_Matches_All[[#This Row],[Team]],Dyno_Data[Match],TBA_Matches_All[[#This Row],[Match_Number]],Dyno_Data[RecordType],"EndMatch")</f>
        <v>6.8058212999999999</v>
      </c>
      <c r="CA94">
        <f>SUMIFS(Dyno_Data[AZTime], Dyno_Data[Team],TBA_Matches_All[[#This Row],[Team]],Dyno_Data[Match],TBA_Matches_All[[#This Row],[Match_Number]],Dyno_Data[RecordType],"EndMatch")</f>
        <v>28.728598399999999</v>
      </c>
      <c r="CB94">
        <f>SUMIFS(Dyno_Data[ClimbT], Dyno_Data[Team],TBA_Matches_All[[#This Row],[Team]],Dyno_Data[Match],TBA_Matches_All[[#This Row],[Match_Number]],Dyno_Data[RecordType],"EndMatch")</f>
        <v>0</v>
      </c>
      <c r="CC94" t="str">
        <f>_xlfn.XLOOKUP(SUM(MID(TBA_Matches_All[[#This Row],[Team]],4,5),(TBA_Matches_All[[#This Row],[Match_Number]]/100)),Dyno_EndMatch[teammat],Dyno_EndMatch[StageStat],"_",0,1)</f>
        <v>Else</v>
      </c>
      <c r="CD94" t="str">
        <f>_xlfn.XLOOKUP(TBA_Matches_All[[#This Row],[teammat]],Dyno_EndMatch[teammat],Dyno_EndMatch[StageAtt],"_",0,1)</f>
        <v>0</v>
      </c>
      <c r="CE94" t="str">
        <f>_xlfn.XLOOKUP(TBA_Matches_All[[#This Row],[teammat]],Dyno_EndMatch[teammat],Dyno_EndMatch[StageLoc],"_",0,1)</f>
        <v>A</v>
      </c>
      <c r="CF94">
        <f>SUMIFS(Dyno_Data[Harmony], Dyno_Data[Team],TBA_Matches_All[[#This Row],[Team]],Dyno_Data[Match],TBA_Matches_All[[#This Row],[Match_Number]],Dyno_Data[RecordType],"EndMatch", Dyno_Data[StageStat],"On",Dyno_Data[Harmony],"&lt;&gt;9")</f>
        <v>0</v>
      </c>
      <c r="CG94">
        <f>SUMIFS(Dyno_Data[Spotlit], Dyno_Data[Team],TBA_Matches_All[[#This Row],[Team]],Dyno_Data[Match],TBA_Matches_All[[#This Row],[Match_Number]],Dyno_Data[RecordType],"EndMatch", Dyno_Data[StageStat],"On",Dyno_Data[Spotlit],"&lt;&gt;9")</f>
        <v>0</v>
      </c>
      <c r="CH94" t="str">
        <f>_xlfn.XLOOKUP(TBA_Matches_All[[#This Row],[teammat]],Dyno_EndMatch[teammat],Dyno_EndMatch[Strategy],"_",0,1)</f>
        <v>Defense</v>
      </c>
      <c r="CI94">
        <f>SUMIFS(Dyno_Data[Defense], Dyno_Data[Team],TBA_Matches_All[[#This Row],[Team]],Dyno_Data[Match],TBA_Matches_All[[#This Row],[Match_Number]],Dyno_Data[RecordType],"EndMatch",Dyno_Data[Defense],"&lt;&gt;9")</f>
        <v>3</v>
      </c>
      <c r="CJ94">
        <f>SUMIFS(Dyno_Data[Avoidance], Dyno_Data[Team],TBA_Matches_All[[#This Row],[Team]],Dyno_Data[Match],TBA_Matches_All[[#This Row],[Match_Number]],Dyno_Data[RecordType],"EndMatch",Dyno_Data[Avoidance],"&lt;&gt;9")</f>
        <v>0</v>
      </c>
      <c r="CK94" s="82">
        <f>COUNTIF($H$2:TBA_Matches_All[[#This Row],[Team]],TBA_Matches_All[[#This Row],[Team]])</f>
        <v>2</v>
      </c>
      <c r="CL94" s="111">
        <f>SUM(MID(TBA_Matches_All[[#This Row],[Team]],4,5)+TBA_Matches_All[[#This Row],[Match_Number]]/100)</f>
        <v>3986.16</v>
      </c>
      <c r="CM94">
        <f>SUM((TBA_Matches_All[[#This Row],[Leave]]*2)+(TBA_Matches_All[[#This Row],[AampT]]*2)+(TBA_Matches_All[[#This Row],[AspkrT]]*5)+(TBA_Matches_All[[#This Row],[AtrapT]]*5))</f>
        <v>2</v>
      </c>
      <c r="CN94" s="59">
        <f>IFERROR(SUM(TBA_Matches_All[[#This Row],[AptsT]]/TBA_Matches_All[[#This Row],[AutoPts]]),0)</f>
        <v>9.5238095238095233E-2</v>
      </c>
      <c r="CO94" s="59">
        <f>IFERROR(SUM(TBA_Matches_All[[#This Row],[AampT]]+TBA_Matches_All[[#This Row],[AspkrT]]+TBA_Matches_All[[#This Row],[AtrapT]]/TBA_Matches_All[[#This Row],[Aamp]]+TBA_Matches_All[[#This Row],[Aspkr]]+TBA_Matches_All[[#This Row],[AtrapT]]),0)</f>
        <v>0</v>
      </c>
      <c r="CP94" s="59">
        <f>IFERROR(SUM(TBA_Matches_All[[#This Row],[TampT]]/TBA_Matches_All[[#This Row],[Tamp]]),0)</f>
        <v>0</v>
      </c>
      <c r="CQ94" s="59">
        <f>IFERROR(SUM(TBA_Matches_All[[#This Row],[TspkrT]]/TBA_Matches_All[[#This Row],[Tspkr]]),0)</f>
        <v>0</v>
      </c>
      <c r="CR94">
        <f>SUM(TBA_Matches_All[[#This Row],[TspkrPts]]*TBA_Matches_All[[#This Row],[TspkrP]])</f>
        <v>0</v>
      </c>
      <c r="CS94" s="59">
        <f>IFERROR(SUM(TBA_Matches_All[[#This Row],[TtrapT]]/TBA_Matches_All[[#This Row],[Trap]]),0)</f>
        <v>0</v>
      </c>
      <c r="CT94" s="59">
        <f>IFERROR(SUM(TBA_Matches_All[[#This Row],[TotNotesT]]/TBA_Matches_All[[#This Row],[TotNotes]]),0)</f>
        <v>0</v>
      </c>
      <c r="CU94" s="66">
        <f>SUM((TBA_Matches_All[[#This Row],[AampT]]*2)+(TBA_Matches_All[[#This Row],[AspkrT]]*5)+(TBA_Matches_All[[#This Row],[AtrapT]]*5)+(TBA_Matches_All[[#This Row],[TampT]]*1)+(TBA_Matches_All[[#This Row],[TspkrptsC]]))</f>
        <v>0</v>
      </c>
      <c r="CV94" s="59">
        <f>IFERROR(TBA_Matches_All[[#This Row],[noteptsT]]/TBA_Matches_All[[#This Row],[NotePts]],0)</f>
        <v>0</v>
      </c>
      <c r="CW94">
        <f>SUM(IF(TBA_Matches_All[[#This Row],[stageStat]]="On",3,0),IF(TBA_Matches_All[[#This Row],[stageStat]]="Park",1,0),SUMIFS(TBA_Matches_All[[#This Row],[Spotlit]],TBA_Matches_All[[#This Row],[stageStat]],"On"),SUMIFS(TBA_Matches_All[[#This Row],[Harmony]],TBA_Matches_All[[#This Row],[stageStat]],"On"))</f>
        <v>0</v>
      </c>
      <c r="CX94" s="59">
        <f>IFERROR(TBA_Matches_All[[#This Row],[stageptsT]]/TBA_Matches_All[[#This Row],[StagePts]],0)</f>
        <v>0</v>
      </c>
      <c r="CY94">
        <f>SUM((TBA_Matches_All[[#This Row],[AptsT]]+TBA_Matches_All[[#This Row],[TampT]]+TBA_Matches_All[[#This Row],[TspkrptsC]]+(TBA_Matches_All[[#This Row],[TtrapT]]*5)+TBA_Matches_All[[#This Row],[stageptsT]]))</f>
        <v>2</v>
      </c>
      <c r="CZ94" s="59">
        <f>IFERROR(SUM(TBA_Matches_All[[#This Row],[TotptsC]]/TBA_Matches_All[[#This Row],[Score]]),0)</f>
        <v>0.04</v>
      </c>
      <c r="DA9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9.2363636363636363</v>
      </c>
      <c r="DB94" s="74">
        <f>SUMIFS(TBA_Matches_All[AveTeamTNoteDels],TBA_Matches_All[Match_Number],TBA_Matches_All[[#This Row],[Match_Number]],TBA_Matches_All[Alliance],"&lt;&gt;"&amp;TBA_Matches_All[[#This Row],[Alliance]],TBA_Matches_All[Scouted],"&gt;0")</f>
        <v>31.245021645021644</v>
      </c>
      <c r="DC94" s="74">
        <f>(TBA_Matches_All[[#This Row],[TampT]]+TBA_Matches_All[[#This Row],[TspkrptsC]])-TBA_Matches_All[[#This Row],[AveTeamTNoteDels]]</f>
        <v>-9.2363636363636363</v>
      </c>
      <c r="DD94" s="74">
        <f>SUMIFS(TBA_Matches_All[AveTeamTNoteDels],TBA_Matches_All[Match_Number],TBA_Matches_All[[#This Row],[Match_Number]],TBA_Matches_All[Alliance],"&lt;&gt;"&amp;TBA_Matches_All[[#This Row],[Alliance]])-TBA_Matches_All[[#This Row],[AveOppTNoteDels]]</f>
        <v>0</v>
      </c>
    </row>
    <row r="95" spans="1:108" x14ac:dyDescent="0.3">
      <c r="A95" t="s">
        <v>1042</v>
      </c>
      <c r="B95" t="s">
        <v>489</v>
      </c>
      <c r="C95" t="s">
        <v>1325</v>
      </c>
      <c r="D95">
        <v>16</v>
      </c>
      <c r="E95" t="s">
        <v>1420</v>
      </c>
      <c r="F95" t="s">
        <v>1423</v>
      </c>
      <c r="G95" t="s">
        <v>1409</v>
      </c>
      <c r="H95" t="s">
        <v>1295</v>
      </c>
      <c r="I95" t="b">
        <v>1</v>
      </c>
      <c r="J95">
        <v>70</v>
      </c>
      <c r="K95">
        <v>1</v>
      </c>
      <c r="L95">
        <v>1</v>
      </c>
      <c r="M95">
        <v>2</v>
      </c>
      <c r="N95">
        <v>0</v>
      </c>
      <c r="O95">
        <v>2</v>
      </c>
      <c r="P95">
        <v>10</v>
      </c>
      <c r="Q95">
        <v>14</v>
      </c>
      <c r="R95">
        <v>3</v>
      </c>
      <c r="S95">
        <v>2</v>
      </c>
      <c r="T95">
        <v>8</v>
      </c>
      <c r="U95">
        <v>10</v>
      </c>
      <c r="V95">
        <v>16</v>
      </c>
      <c r="W95">
        <v>10</v>
      </c>
      <c r="X95">
        <v>26</v>
      </c>
      <c r="Y95">
        <v>29</v>
      </c>
      <c r="Z95">
        <v>0</v>
      </c>
      <c r="AA95">
        <v>0</v>
      </c>
      <c r="AB95">
        <v>15</v>
      </c>
      <c r="AC95">
        <v>39</v>
      </c>
      <c r="AD95">
        <v>2</v>
      </c>
      <c r="AE95">
        <f>IFERROR(6/(COUNTIF(Dyno_EndMatch[Match],TBA_Matches_All[[#This Row],[Match_Number]])),0)</f>
        <v>1</v>
      </c>
      <c r="AF95">
        <f>COUNTIFS(Dyno_Data[Team],TBA_Matches_All[[#This Row],[Team]],Dyno_Data[Match],TBA_Matches_All[[#This Row],[Match_Number]],Dyno_Data[RecordType],"EndMatch",Dyno_Data[HPAmp],"Y")</f>
        <v>0</v>
      </c>
      <c r="AG95">
        <f>SUMIFS(Dyno_Data[Mics], Dyno_Data[Team],TBA_Matches_All[[#This Row],[Team]],Dyno_Data[Match],TBA_Matches_All[[#This Row],[Match_Number]],Dyno_Data[RecordType],"EndMatch",Dyno_Data[HPAmp],"Y")</f>
        <v>0</v>
      </c>
      <c r="AH95">
        <f>SUMIFS(Dyno_Data[Leave], Dyno_Data[Team],TBA_Matches_All[[#This Row],[Team]],Dyno_Data[Match],TBA_Matches_All[[#This Row],[Match_Number]],Dyno_Data[RecordType],"EndAuto")</f>
        <v>1</v>
      </c>
      <c r="AI95">
        <f>COUNTIFS(Dyno_Data[Team],TBA_Matches_All[[#This Row],[Team]],Dyno_Data[Match],TBA_Matches_All[[#This Row],[Match_Number]],Dyno_Data[RecordType],"Activities",Dyno_Data[DelDest],"Amp", Dyno_Data[DelMiss],"0", Dyno_Data[Mode],"Auto")</f>
        <v>0</v>
      </c>
      <c r="AJ95">
        <f>COUNTIFS(Dyno_Data[Team],TBA_Matches_All[[#This Row],[Team]],Dyno_Data[Match],TBA_Matches_All[[#This Row],[Match_Number]],Dyno_Data[RecordType],"Activities",Dyno_Data[DelDest],"Spkr", Dyno_Data[DelMiss],"0", Dyno_Data[Mode],"Auto")</f>
        <v>3</v>
      </c>
      <c r="AK95">
        <f>COUNTIFS(Dyno_Data[Team],TBA_Matches_All[[#This Row],[Team]],Dyno_Data[Match],TBA_Matches_All[[#This Row],[Match_Number]],Dyno_Data[RecordType],"Activities",Dyno_Data[DelDest],"Trap", Dyno_Data[DelMiss],"0", Dyno_Data[Mode],"Auto")</f>
        <v>0</v>
      </c>
      <c r="AL95">
        <f>COUNTIFS(Dyno_Data[Team],TBA_Matches_All[[#This Row],[Team]],Dyno_Data[Match],TBA_Matches_All[[#This Row],[Match_Number]],Dyno_Data[RecordType],"Activities",Dyno_Data[DelDest],"Amp", Dyno_Data[DelMiss],"0", Dyno_Data[Mode],"Teleop")</f>
        <v>4</v>
      </c>
      <c r="AM95">
        <f>COUNTIFS(Dyno_Data[Team],TBA_Matches_All[[#This Row],[Team]],Dyno_Data[Match],TBA_Matches_All[[#This Row],[Match_Number]],Dyno_Data[RecordType],"Activities",Dyno_Data[DelDest],"Spkr", Dyno_Data[DelMiss],"0", Dyno_Data[Mode],"Teleop")</f>
        <v>6</v>
      </c>
      <c r="AN95">
        <f>COUNTIFS(Dyno_Data[Team],TBA_Matches_All[[#This Row],[Team]],Dyno_Data[Match],TBA_Matches_All[[#This Row],[Match_Number]],Dyno_Data[RecordType],"Activities",Dyno_Data[DelDest],"Trap", Dyno_Data[DelMiss],"0", Dyno_Data[Mode],"&lt;&gt;Auto")</f>
        <v>0</v>
      </c>
      <c r="AO95">
        <f>SUM(TBA_Matches_All[[#This Row],[AampT]]+TBA_Matches_All[[#This Row],[AspkrT]]+TBA_Matches_All[[#This Row],[AtrapT]]+TBA_Matches_All[[#This Row],[TampT]]+TBA_Matches_All[[#This Row],[TspkrT]]+TBA_Matches_All[[#This Row],[TtrapT]])</f>
        <v>13</v>
      </c>
      <c r="AP95">
        <f>COUNTIFS(Dyno_Data[Team],TBA_Matches_All[[#This Row],[Team]],Dyno_Data[Match],TBA_Matches_All[[#This Row],[Match_Number]],Dyno_Data[RecordType],"Activities",Dyno_Data[DelDest],"Neut", Dyno_Data[DelMiss],"0")</f>
        <v>0</v>
      </c>
      <c r="AQ95">
        <f>COUNTIFS(Dyno_Data[Team],TBA_Matches_All[[#This Row],[Team]],Dyno_Data[Match],TBA_Matches_All[[#This Row],[Match_Number]],Dyno_Data[RecordType],"Activities",Dyno_Data[DelDest],"AllyW", Dyno_Data[DelMiss],"0")</f>
        <v>0</v>
      </c>
      <c r="AR95" t="str">
        <f>_xlfn.XLOOKUP(SUM(MID(TBA_Matches_All[[#This Row],[Team]],4,5),(TBA_Matches_All[[#This Row],[Match_Number]]/100)),Dyno_EndMatch[teammat],Dyno_EndMatch[RobotSta],"_",0,1)</f>
        <v>Podm</v>
      </c>
      <c r="AS95">
        <f>SUMIFS(Dyno_Data[AcqDis], Dyno_Data[Team],TBA_Matches_All[[#This Row],[Team]],Dyno_Data[Match],TBA_Matches_All[[#This Row],[Match_Number]],Dyno_Data[RecordType],"Activities", Dyno_Data[AcqCenter],1,Dyno_Data[Mode],"Auto")</f>
        <v>0</v>
      </c>
      <c r="AT95">
        <f>SUMIFS(Dyno_Data[AcqDis], Dyno_Data[Team],TBA_Matches_All[[#This Row],[Team]],Dyno_Data[Match],TBA_Matches_All[[#This Row],[Match_Number]],Dyno_Data[RecordType],"Activities", Dyno_Data[AcqCenter],2,Dyno_Data[Mode],"Auto")</f>
        <v>0</v>
      </c>
      <c r="AU95">
        <f>SUMIFS(Dyno_Data[AcqDis], Dyno_Data[Team],TBA_Matches_All[[#This Row],[Team]],Dyno_Data[Match],TBA_Matches_All[[#This Row],[Match_Number]],Dyno_Data[RecordType],"Activities", Dyno_Data[AcqCenter],3,Dyno_Data[Mode],"Auto")</f>
        <v>0</v>
      </c>
      <c r="AV95">
        <f>SUMIFS(Dyno_Data[AcqDis], Dyno_Data[Team],TBA_Matches_All[[#This Row],[Team]],Dyno_Data[Match],TBA_Matches_All[[#This Row],[Match_Number]],Dyno_Data[RecordType],"Activities", Dyno_Data[AcqCenter],4,Dyno_Data[Mode],"Auto")</f>
        <v>0</v>
      </c>
      <c r="AW95">
        <f>SUMIFS(Dyno_Data[AcqDis], Dyno_Data[Team],TBA_Matches_All[[#This Row],[Team]],Dyno_Data[Match],TBA_Matches_All[[#This Row],[Match_Number]],Dyno_Data[RecordType],"Activities", Dyno_Data[AcqCenter],5,Dyno_Data[Mode],"Auto")</f>
        <v>0</v>
      </c>
      <c r="AX95">
        <f>SUMIFS(Dyno_Data[DelMiss], Dyno_Data[Team],TBA_Matches_All[[#This Row],[Team]],Dyno_Data[Match],TBA_Matches_All[[#This Row],[Match_Number]],Dyno_Data[RecordType],"Activities", Dyno_Data[DelDest],"Amp")</f>
        <v>0</v>
      </c>
      <c r="AY95" s="60">
        <f>IFERROR(SUM((TBA_Matches_All[[#This Row],[AampT]]+TBA_Matches_All[[#This Row],[TampT]])/(TBA_Matches_All[[#This Row],[AampT]]+TBA_Matches_All[[#This Row],[TampT]]+TBA_Matches_All[[#This Row],[ampM]])),0)</f>
        <v>1</v>
      </c>
      <c r="AZ95">
        <f>SUMIFS(Dyno_Data[DelMiss], Dyno_Data[Team],TBA_Matches_All[[#This Row],[Team]],Dyno_Data[Match],TBA_Matches_All[[#This Row],[Match_Number]],Dyno_Data[RecordType],"Activities", Dyno_Data[DelDest],"Spkr")</f>
        <v>0</v>
      </c>
      <c r="BA95" s="60">
        <f>IFERROR(SUM((TBA_Matches_All[[#This Row],[AspkrT]]+TBA_Matches_All[[#This Row],[TspkrT]])/(TBA_Matches_All[[#This Row],[AspkrT]]+TBA_Matches_All[[#This Row],[TspkrT]]+TBA_Matches_All[[#This Row],[spkrM]])),0)</f>
        <v>1</v>
      </c>
      <c r="BB95">
        <f>SUMIFS(Dyno_Data[DelMiss], Dyno_Data[Team],TBA_Matches_All[[#This Row],[Team]],Dyno_Data[Match],TBA_Matches_All[[#This Row],[Match_Number]],Dyno_Data[RecordType],"Activities", Dyno_Data[DelDest],"Trap")</f>
        <v>0</v>
      </c>
      <c r="BC95" s="60">
        <f>IFERROR((TBA_Matches_All[[#This Row],[AtrapT]]+TBA_Matches_All[[#This Row],[TtrapT]])/(TBA_Matches_All[[#This Row],[AtrapT]]+TBA_Matches_All[[#This Row],[TtrapT]]+TBA_Matches_All[[#This Row],[trapM]]),0)</f>
        <v>0</v>
      </c>
      <c r="BD95">
        <f>COUNTIFS(Dyno_Data[Team],TBA_Matches_All[[#This Row],[Team]],Dyno_Data[Match],TBA_Matches_All[[#This Row],[Match_Number]],Dyno_Data[RecordType],"Activities",Dyno_Data[DelDest],"Neut", Dyno_Data[DelMiss],1)</f>
        <v>0</v>
      </c>
      <c r="BE95" s="60">
        <f>IFERROR(SUM((TBA_Matches_All[[#This Row],[NeutFlrT]])/(TBA_Matches_All[[#This Row],[NeutFlrT]]+TBA_Matches_All[[#This Row],[NZflM]])),0)</f>
        <v>0</v>
      </c>
      <c r="BF95">
        <f>COUNTIFS(Dyno_Data[Team],TBA_Matches_All[[#This Row],[Team]],Dyno_Data[Match],TBA_Matches_All[[#This Row],[Match_Number]],Dyno_Data[RecordType],"Activities",Dyno_Data[DelDest],"AllyW", Dyno_Data[DelMiss],1)</f>
        <v>0</v>
      </c>
      <c r="BG95" s="60">
        <f>IFERROR(SUM((TBA_Matches_All[[#This Row],[AllyWFlrT]])/(TBA_Matches_All[[#This Row],[AllyWFlrT]]+TBA_Matches_All[[#This Row],[AZflM]])),0)</f>
        <v>0</v>
      </c>
      <c r="BH95">
        <f>COUNTIFS(Dyno_Data[Team],TBA_Matches_All[[#This Row],[Team]],Dyno_Data[Match],TBA_Matches_All[[#This Row],[Match_Number]],Dyno_Data[RecordType],"Activities",Dyno_Data[DelOrig],"OppW", Dyno_Data[DelMiss],"0")</f>
        <v>0</v>
      </c>
      <c r="BI95">
        <f>COUNTIFS(Dyno_Data[Team],TBA_Matches_All[[#This Row],[Team]],Dyno_Data[Match],TBA_Matches_All[[#This Row],[Match_Number]],Dyno_Data[RecordType],"Activities",Dyno_Data[DelOrig],"OppW", Dyno_Data[DelMiss],"1")</f>
        <v>0</v>
      </c>
      <c r="BJ95" s="60">
        <f>IFERROR(SUM((TBA_Matches_All[[#This Row],[OZflrT]])/(TBA_Matches_All[[#This Row],[OZflrT]]+TBA_Matches_All[[#This Row],[OZflrM]])),0)</f>
        <v>0</v>
      </c>
      <c r="BK95">
        <f>COUNTIFS(Dyno_Data[Team],TBA_Matches_All[[#This Row],[Team]],Dyno_Data[Match],TBA_Matches_All[[#This Row],[Match_Number]],Dyno_Data[RecordType],"Activities",Dyno_Data[DelOrig],"Neut", Dyno_Data[DelMiss],"0")</f>
        <v>0</v>
      </c>
      <c r="BL95">
        <f>COUNTIFS(Dyno_Data[Team],TBA_Matches_All[[#This Row],[Team]],Dyno_Data[Match],TBA_Matches_All[[#This Row],[Match_Number]],Dyno_Data[RecordType],"Activities",Dyno_Data[DelOrig],"Neut", Dyno_Data[DelMiss],"1")</f>
        <v>0</v>
      </c>
      <c r="BM95" s="60">
        <f>IFERROR(SUM((TBA_Matches_All[[#This Row],[NZflrT]])/(TBA_Matches_All[[#This Row],[NZflrT]]+TBA_Matches_All[[#This Row],[NZflrM]])),0)</f>
        <v>0</v>
      </c>
      <c r="BN95">
        <f>COUNTIFS(Dyno_Data[Team],TBA_Matches_All[[#This Row],[Team]],Dyno_Data[Match],TBA_Matches_All[[#This Row],[Match_Number]],Dyno_Data[RecordType],"Activities",Dyno_Data[DelOrig],"AllyW", Dyno_Data[DelMiss],"0")</f>
        <v>11</v>
      </c>
      <c r="BO95">
        <f>COUNTIFS(Dyno_Data[Team],TBA_Matches_All[[#This Row],[Team]],Dyno_Data[Match],TBA_Matches_All[[#This Row],[Match_Number]],Dyno_Data[RecordType],"Activities",Dyno_Data[DelOrig],"AllyW", Dyno_Data[DelMiss],"1")</f>
        <v>0</v>
      </c>
      <c r="BP95" s="60">
        <f>IFERROR(SUM((TBA_Matches_All[[#This Row],[AZflrT]])/(TBA_Matches_All[[#This Row],[AZflrT]]+TBA_Matches_All[[#This Row],[AZflrM]])),0)</f>
        <v>1</v>
      </c>
      <c r="BQ95">
        <f>COUNTIFS(Dyno_Data[Team],TBA_Matches_All[[#This Row],[Team]],Dyno_Data[Match],TBA_Matches_All[[#This Row],[Match_Number]],Dyno_Data[RecordType],"Activities",Dyno_Data[DelOrig],"SubW", Dyno_Data[DelMiss],"0")</f>
        <v>2</v>
      </c>
      <c r="BR95">
        <f>COUNTIFS(Dyno_Data[Team],TBA_Matches_All[[#This Row],[Team]],Dyno_Data[Match],TBA_Matches_All[[#This Row],[Match_Number]],Dyno_Data[RecordType],"Activities",Dyno_Data[DelOrig],"SubW", Dyno_Data[DelMiss],"1")</f>
        <v>0</v>
      </c>
      <c r="BS95" s="60">
        <f>IFERROR(SUM((TBA_Matches_All[[#This Row],[SubwT]])/(TBA_Matches_All[[#This Row],[SubwT]]+TBA_Matches_All[[#This Row],[SubwM]])),0)</f>
        <v>1</v>
      </c>
      <c r="BT95">
        <f>COUNTIFS(Dyno_Data[Team],TBA_Matches_All[[#This Row],[Team]],Dyno_Data[Match],TBA_Matches_All[[#This Row],[Match_Number]],Dyno_Data[RecordType],"Activities", Dyno_Data[AcqLoc],"OppWing")</f>
        <v>0</v>
      </c>
      <c r="BU95">
        <f>COUNTIFS(Dyno_Data[Team],TBA_Matches_All[[#This Row],[Team]],Dyno_Data[Match],TBA_Matches_All[[#This Row],[Match_Number]],Dyno_Data[RecordType],"Activities", Dyno_Data[AcqLoc],"Neutral")</f>
        <v>0</v>
      </c>
      <c r="BV95">
        <f>COUNTIFS(Dyno_Data[Team],TBA_Matches_All[[#This Row],[Team]],Dyno_Data[Match],TBA_Matches_All[[#This Row],[Match_Number]],Dyno_Data[RecordType],"Activities", Dyno_Data[AcqLoc],"AllyWing")</f>
        <v>0</v>
      </c>
      <c r="BW95">
        <f>COUNTIFS(Dyno_Data[Team],TBA_Matches_All[[#This Row],[Team]],Dyno_Data[Match],TBA_Matches_All[[#This Row],[Match_Number]],Dyno_Data[RecordType],"Activities", Dyno_Data[AcqLoc],"Source")</f>
        <v>0</v>
      </c>
      <c r="BX95">
        <f>SUMIFS(Dyno_Data[AcqDrp], Dyno_Data[Team],TBA_Matches_All[[#This Row],[Team]],Dyno_Data[Match],TBA_Matches_All[[#This Row],[Match_Number]],Dyno_Data[RecordType],"Activities", Dyno_Data[AcqLoc],"Source")</f>
        <v>0</v>
      </c>
      <c r="BY95">
        <f>SUMIFS(Dyno_Data[OZTime], Dyno_Data[Team],TBA_Matches_All[[#This Row],[Team]],Dyno_Data[Match],TBA_Matches_All[[#This Row],[Match_Number]],Dyno_Data[RecordType],"EndMatch")</f>
        <v>16.974126899999998</v>
      </c>
      <c r="BZ95">
        <f>SUMIFS(Dyno_Data[NZTime], Dyno_Data[Team],TBA_Matches_All[[#This Row],[Team]],Dyno_Data[Match],TBA_Matches_All[[#This Row],[Match_Number]],Dyno_Data[RecordType],"EndMatch")</f>
        <v>12.293234799999999</v>
      </c>
      <c r="CA95">
        <f>SUMIFS(Dyno_Data[AZTime], Dyno_Data[Team],TBA_Matches_All[[#This Row],[Team]],Dyno_Data[Match],TBA_Matches_All[[#This Row],[Match_Number]],Dyno_Data[RecordType],"EndMatch")</f>
        <v>98.162991199999993</v>
      </c>
      <c r="CB95">
        <f>SUMIFS(Dyno_Data[ClimbT], Dyno_Data[Team],TBA_Matches_All[[#This Row],[Team]],Dyno_Data[Match],TBA_Matches_All[[#This Row],[Match_Number]],Dyno_Data[RecordType],"EndMatch")</f>
        <v>7.0435428</v>
      </c>
      <c r="CC95" t="str">
        <f>_xlfn.XLOOKUP(SUM(MID(TBA_Matches_All[[#This Row],[Team]],4,5),(TBA_Matches_All[[#This Row],[Match_Number]]/100)),Dyno_EndMatch[teammat],Dyno_EndMatch[StageStat],"_",0,1)</f>
        <v>Park</v>
      </c>
      <c r="CD95" t="str">
        <f>_xlfn.XLOOKUP(TBA_Matches_All[[#This Row],[teammat]],Dyno_EndMatch[teammat],Dyno_EndMatch[StageAtt],"_",0,1)</f>
        <v>-1</v>
      </c>
      <c r="CE95" t="str">
        <f>_xlfn.XLOOKUP(TBA_Matches_All[[#This Row],[teammat]],Dyno_EndMatch[teammat],Dyno_EndMatch[StageLoc],"_",0,1)</f>
        <v>A</v>
      </c>
      <c r="CF95">
        <f>SUMIFS(Dyno_Data[Harmony], Dyno_Data[Team],TBA_Matches_All[[#This Row],[Team]],Dyno_Data[Match],TBA_Matches_All[[#This Row],[Match_Number]],Dyno_Data[RecordType],"EndMatch", Dyno_Data[StageStat],"On",Dyno_Data[Harmony],"&lt;&gt;9")</f>
        <v>0</v>
      </c>
      <c r="CG95">
        <f>SUMIFS(Dyno_Data[Spotlit], Dyno_Data[Team],TBA_Matches_All[[#This Row],[Team]],Dyno_Data[Match],TBA_Matches_All[[#This Row],[Match_Number]],Dyno_Data[RecordType],"EndMatch", Dyno_Data[StageStat],"On",Dyno_Data[Spotlit],"&lt;&gt;9")</f>
        <v>0</v>
      </c>
      <c r="CH95" t="str">
        <f>_xlfn.XLOOKUP(TBA_Matches_All[[#This Row],[teammat]],Dyno_EndMatch[teammat],Dyno_EndMatch[Strategy],"_",0,1)</f>
        <v>Shooter</v>
      </c>
      <c r="CI95">
        <f>SUMIFS(Dyno_Data[Defense], Dyno_Data[Team],TBA_Matches_All[[#This Row],[Team]],Dyno_Data[Match],TBA_Matches_All[[#This Row],[Match_Number]],Dyno_Data[RecordType],"EndMatch",Dyno_Data[Defense],"&lt;&gt;9")</f>
        <v>0</v>
      </c>
      <c r="CJ95">
        <f>SUMIFS(Dyno_Data[Avoidance], Dyno_Data[Team],TBA_Matches_All[[#This Row],[Team]],Dyno_Data[Match],TBA_Matches_All[[#This Row],[Match_Number]],Dyno_Data[RecordType],"EndMatch",Dyno_Data[Avoidance],"&lt;&gt;9")</f>
        <v>0</v>
      </c>
      <c r="CK95" s="82">
        <f>COUNTIF($H$2:TBA_Matches_All[[#This Row],[Team]],TBA_Matches_All[[#This Row],[Team]])</f>
        <v>2</v>
      </c>
      <c r="CL95" s="111">
        <f>SUM(MID(TBA_Matches_All[[#This Row],[Team]],4,5)+TBA_Matches_All[[#This Row],[Match_Number]]/100)</f>
        <v>6300.16</v>
      </c>
      <c r="CM95">
        <f>SUM((TBA_Matches_All[[#This Row],[Leave]]*2)+(TBA_Matches_All[[#This Row],[AampT]]*2)+(TBA_Matches_All[[#This Row],[AspkrT]]*5)+(TBA_Matches_All[[#This Row],[AtrapT]]*5))</f>
        <v>17</v>
      </c>
      <c r="CN95" s="59">
        <f>IFERROR(SUM(TBA_Matches_All[[#This Row],[AptsT]]/TBA_Matches_All[[#This Row],[AutoPts]]),0)</f>
        <v>1.2142857142857142</v>
      </c>
      <c r="CO95" s="59">
        <f>IFERROR(SUM(TBA_Matches_All[[#This Row],[AampT]]+TBA_Matches_All[[#This Row],[AspkrT]]+TBA_Matches_All[[#This Row],[AtrapT]]/TBA_Matches_All[[#This Row],[Aamp]]+TBA_Matches_All[[#This Row],[Aspkr]]+TBA_Matches_All[[#This Row],[AtrapT]]),0)</f>
        <v>0</v>
      </c>
      <c r="CP95" s="59">
        <f>IFERROR(SUM(TBA_Matches_All[[#This Row],[TampT]]/TBA_Matches_All[[#This Row],[Tamp]]),0)</f>
        <v>1.3333333333333333</v>
      </c>
      <c r="CQ95" s="59">
        <f>IFERROR(SUM(TBA_Matches_All[[#This Row],[TspkrT]]/TBA_Matches_All[[#This Row],[Tspkr]]),0)</f>
        <v>0.6</v>
      </c>
      <c r="CR95">
        <f>SUM(TBA_Matches_All[[#This Row],[TspkrPts]]*TBA_Matches_All[[#This Row],[TspkrP]])</f>
        <v>15.6</v>
      </c>
      <c r="CS95" s="59">
        <f>IFERROR(SUM(TBA_Matches_All[[#This Row],[TtrapT]]/TBA_Matches_All[[#This Row],[Trap]]),0)</f>
        <v>0</v>
      </c>
      <c r="CT95" s="59">
        <f>IFERROR(SUM(TBA_Matches_All[[#This Row],[TotNotesT]]/TBA_Matches_All[[#This Row],[TotNotes]]),0)</f>
        <v>0.8666666666666667</v>
      </c>
      <c r="CU95" s="66">
        <f>SUM((TBA_Matches_All[[#This Row],[AampT]]*2)+(TBA_Matches_All[[#This Row],[AspkrT]]*5)+(TBA_Matches_All[[#This Row],[AtrapT]]*5)+(TBA_Matches_All[[#This Row],[TampT]]*1)+(TBA_Matches_All[[#This Row],[TspkrptsC]]))</f>
        <v>34.6</v>
      </c>
      <c r="CV95" s="59">
        <f>IFERROR(TBA_Matches_All[[#This Row],[noteptsT]]/TBA_Matches_All[[#This Row],[NotePts]],0)</f>
        <v>0.88717948717948725</v>
      </c>
      <c r="CW95">
        <f>SUM(IF(TBA_Matches_All[[#This Row],[stageStat]]="On",3,0),IF(TBA_Matches_All[[#This Row],[stageStat]]="Park",1,0),SUMIFS(TBA_Matches_All[[#This Row],[Spotlit]],TBA_Matches_All[[#This Row],[stageStat]],"On"),SUMIFS(TBA_Matches_All[[#This Row],[Harmony]],TBA_Matches_All[[#This Row],[stageStat]],"On"))</f>
        <v>1</v>
      </c>
      <c r="CX95" s="59">
        <f>IFERROR(TBA_Matches_All[[#This Row],[stageptsT]]/TBA_Matches_All[[#This Row],[StagePts]],0)</f>
        <v>0.5</v>
      </c>
      <c r="CY95">
        <f>SUM((TBA_Matches_All[[#This Row],[AptsT]]+TBA_Matches_All[[#This Row],[TampT]]+TBA_Matches_All[[#This Row],[TspkrptsC]]+(TBA_Matches_All[[#This Row],[TtrapT]]*5)+TBA_Matches_All[[#This Row],[stageptsT]]))</f>
        <v>37.6</v>
      </c>
      <c r="CZ95" s="59">
        <f>IFERROR(SUM(TBA_Matches_All[[#This Row],[TotptsC]]/TBA_Matches_All[[#This Row],[Score]]),0)</f>
        <v>0.53714285714285714</v>
      </c>
      <c r="DA9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16.345021645021646</v>
      </c>
      <c r="DB95" s="74">
        <f>SUMIFS(TBA_Matches_All[AveTeamTNoteDels],TBA_Matches_All[Match_Number],TBA_Matches_All[[#This Row],[Match_Number]],TBA_Matches_All[Alliance],"&lt;&gt;"&amp;TBA_Matches_All[[#This Row],[Alliance]],TBA_Matches_All[Scouted],"&gt;0")</f>
        <v>26.329696969696968</v>
      </c>
      <c r="DC95" s="74">
        <f>(TBA_Matches_All[[#This Row],[TampT]]+TBA_Matches_All[[#This Row],[TspkrptsC]])-TBA_Matches_All[[#This Row],[AveTeamTNoteDels]]</f>
        <v>3.2549783549783555</v>
      </c>
      <c r="DD95" s="74">
        <f>SUMIFS(TBA_Matches_All[AveTeamTNoteDels],TBA_Matches_All[Match_Number],TBA_Matches_All[[#This Row],[Match_Number]],TBA_Matches_All[Alliance],"&lt;&gt;"&amp;TBA_Matches_All[[#This Row],[Alliance]])-TBA_Matches_All[[#This Row],[AveOppTNoteDels]]</f>
        <v>0</v>
      </c>
    </row>
    <row r="96" spans="1:108" x14ac:dyDescent="0.3">
      <c r="A96" t="s">
        <v>1042</v>
      </c>
      <c r="B96" t="s">
        <v>489</v>
      </c>
      <c r="C96" t="s">
        <v>1325</v>
      </c>
      <c r="D96">
        <v>16</v>
      </c>
      <c r="E96" t="s">
        <v>1406</v>
      </c>
      <c r="F96" t="s">
        <v>1424</v>
      </c>
      <c r="G96" t="s">
        <v>1409</v>
      </c>
      <c r="H96" t="s">
        <v>1280</v>
      </c>
      <c r="I96" t="b">
        <v>1</v>
      </c>
      <c r="J96">
        <v>50</v>
      </c>
      <c r="K96">
        <v>0</v>
      </c>
      <c r="L96">
        <v>0</v>
      </c>
      <c r="M96">
        <v>25</v>
      </c>
      <c r="N96">
        <v>0</v>
      </c>
      <c r="O96">
        <v>3</v>
      </c>
      <c r="P96">
        <v>15</v>
      </c>
      <c r="Q96">
        <v>21</v>
      </c>
      <c r="R96">
        <v>6</v>
      </c>
      <c r="S96">
        <v>3</v>
      </c>
      <c r="T96">
        <v>1</v>
      </c>
      <c r="U96">
        <v>15</v>
      </c>
      <c r="V96">
        <v>2</v>
      </c>
      <c r="W96">
        <v>4</v>
      </c>
      <c r="X96">
        <v>17</v>
      </c>
      <c r="Y96">
        <v>23</v>
      </c>
      <c r="Z96">
        <v>0</v>
      </c>
      <c r="AA96">
        <v>0</v>
      </c>
      <c r="AB96">
        <v>13</v>
      </c>
      <c r="AC96">
        <v>38</v>
      </c>
      <c r="AD96">
        <v>4</v>
      </c>
      <c r="AE96">
        <f>IFERROR(6/(COUNTIF(Dyno_EndMatch[Match],TBA_Matches_All[[#This Row],[Match_Number]])),0)</f>
        <v>1</v>
      </c>
      <c r="AF96">
        <f>COUNTIFS(Dyno_Data[Team],TBA_Matches_All[[#This Row],[Team]],Dyno_Data[Match],TBA_Matches_All[[#This Row],[Match_Number]],Dyno_Data[RecordType],"EndMatch",Dyno_Data[HPAmp],"Y")</f>
        <v>0</v>
      </c>
      <c r="AG96">
        <f>SUMIFS(Dyno_Data[Mics], Dyno_Data[Team],TBA_Matches_All[[#This Row],[Team]],Dyno_Data[Match],TBA_Matches_All[[#This Row],[Match_Number]],Dyno_Data[RecordType],"EndMatch",Dyno_Data[HPAmp],"Y")</f>
        <v>0</v>
      </c>
      <c r="AH96">
        <f>SUMIFS(Dyno_Data[Leave], Dyno_Data[Team],TBA_Matches_All[[#This Row],[Team]],Dyno_Data[Match],TBA_Matches_All[[#This Row],[Match_Number]],Dyno_Data[RecordType],"EndAuto")</f>
        <v>1</v>
      </c>
      <c r="AI96">
        <f>COUNTIFS(Dyno_Data[Team],TBA_Matches_All[[#This Row],[Team]],Dyno_Data[Match],TBA_Matches_All[[#This Row],[Match_Number]],Dyno_Data[RecordType],"Activities",Dyno_Data[DelDest],"Amp", Dyno_Data[DelMiss],"0", Dyno_Data[Mode],"Auto")</f>
        <v>0</v>
      </c>
      <c r="AJ96">
        <f>COUNTIFS(Dyno_Data[Team],TBA_Matches_All[[#This Row],[Team]],Dyno_Data[Match],TBA_Matches_All[[#This Row],[Match_Number]],Dyno_Data[RecordType],"Activities",Dyno_Data[DelDest],"Spkr", Dyno_Data[DelMiss],"0", Dyno_Data[Mode],"Auto")</f>
        <v>0</v>
      </c>
      <c r="AK96">
        <f>COUNTIFS(Dyno_Data[Team],TBA_Matches_All[[#This Row],[Team]],Dyno_Data[Match],TBA_Matches_All[[#This Row],[Match_Number]],Dyno_Data[RecordType],"Activities",Dyno_Data[DelDest],"Trap", Dyno_Data[DelMiss],"0", Dyno_Data[Mode],"Auto")</f>
        <v>0</v>
      </c>
      <c r="AL96">
        <f>COUNTIFS(Dyno_Data[Team],TBA_Matches_All[[#This Row],[Team]],Dyno_Data[Match],TBA_Matches_All[[#This Row],[Match_Number]],Dyno_Data[RecordType],"Activities",Dyno_Data[DelDest],"Amp", Dyno_Data[DelMiss],"0", Dyno_Data[Mode],"Teleop")</f>
        <v>0</v>
      </c>
      <c r="AM96">
        <f>COUNTIFS(Dyno_Data[Team],TBA_Matches_All[[#This Row],[Team]],Dyno_Data[Match],TBA_Matches_All[[#This Row],[Match_Number]],Dyno_Data[RecordType],"Activities",Dyno_Data[DelDest],"Spkr", Dyno_Data[DelMiss],"0", Dyno_Data[Mode],"Teleop")</f>
        <v>3</v>
      </c>
      <c r="AN96">
        <f>COUNTIFS(Dyno_Data[Team],TBA_Matches_All[[#This Row],[Team]],Dyno_Data[Match],TBA_Matches_All[[#This Row],[Match_Number]],Dyno_Data[RecordType],"Activities",Dyno_Data[DelDest],"Trap", Dyno_Data[DelMiss],"0", Dyno_Data[Mode],"&lt;&gt;Auto")</f>
        <v>0</v>
      </c>
      <c r="AO96">
        <f>SUM(TBA_Matches_All[[#This Row],[AampT]]+TBA_Matches_All[[#This Row],[AspkrT]]+TBA_Matches_All[[#This Row],[AtrapT]]+TBA_Matches_All[[#This Row],[TampT]]+TBA_Matches_All[[#This Row],[TspkrT]]+TBA_Matches_All[[#This Row],[TtrapT]])</f>
        <v>3</v>
      </c>
      <c r="AP96">
        <f>COUNTIFS(Dyno_Data[Team],TBA_Matches_All[[#This Row],[Team]],Dyno_Data[Match],TBA_Matches_All[[#This Row],[Match_Number]],Dyno_Data[RecordType],"Activities",Dyno_Data[DelDest],"Neut", Dyno_Data[DelMiss],"0")</f>
        <v>0</v>
      </c>
      <c r="AQ96">
        <f>COUNTIFS(Dyno_Data[Team],TBA_Matches_All[[#This Row],[Team]],Dyno_Data[Match],TBA_Matches_All[[#This Row],[Match_Number]],Dyno_Data[RecordType],"Activities",Dyno_Data[DelDest],"AllyW", Dyno_Data[DelMiss],"0")</f>
        <v>0</v>
      </c>
      <c r="AR96" t="str">
        <f>_xlfn.XLOOKUP(SUM(MID(TBA_Matches_All[[#This Row],[Team]],4,5),(TBA_Matches_All[[#This Row],[Match_Number]]/100)),Dyno_EndMatch[teammat],Dyno_EndMatch[RobotSta],"_",0,1)</f>
        <v>Amp</v>
      </c>
      <c r="AS96">
        <f>SUMIFS(Dyno_Data[AcqDis], Dyno_Data[Team],TBA_Matches_All[[#This Row],[Team]],Dyno_Data[Match],TBA_Matches_All[[#This Row],[Match_Number]],Dyno_Data[RecordType],"Activities", Dyno_Data[AcqCenter],1,Dyno_Data[Mode],"Auto")</f>
        <v>0</v>
      </c>
      <c r="AT96">
        <f>SUMIFS(Dyno_Data[AcqDis], Dyno_Data[Team],TBA_Matches_All[[#This Row],[Team]],Dyno_Data[Match],TBA_Matches_All[[#This Row],[Match_Number]],Dyno_Data[RecordType],"Activities", Dyno_Data[AcqCenter],2,Dyno_Data[Mode],"Auto")</f>
        <v>0</v>
      </c>
      <c r="AU96">
        <f>SUMIFS(Dyno_Data[AcqDis], Dyno_Data[Team],TBA_Matches_All[[#This Row],[Team]],Dyno_Data[Match],TBA_Matches_All[[#This Row],[Match_Number]],Dyno_Data[RecordType],"Activities", Dyno_Data[AcqCenter],3,Dyno_Data[Mode],"Auto")</f>
        <v>0</v>
      </c>
      <c r="AV96">
        <f>SUMIFS(Dyno_Data[AcqDis], Dyno_Data[Team],TBA_Matches_All[[#This Row],[Team]],Dyno_Data[Match],TBA_Matches_All[[#This Row],[Match_Number]],Dyno_Data[RecordType],"Activities", Dyno_Data[AcqCenter],4,Dyno_Data[Mode],"Auto")</f>
        <v>0</v>
      </c>
      <c r="AW96">
        <f>SUMIFS(Dyno_Data[AcqDis], Dyno_Data[Team],TBA_Matches_All[[#This Row],[Team]],Dyno_Data[Match],TBA_Matches_All[[#This Row],[Match_Number]],Dyno_Data[RecordType],"Activities", Dyno_Data[AcqCenter],5,Dyno_Data[Mode],"Auto")</f>
        <v>0</v>
      </c>
      <c r="AX96">
        <f>SUMIFS(Dyno_Data[DelMiss], Dyno_Data[Team],TBA_Matches_All[[#This Row],[Team]],Dyno_Data[Match],TBA_Matches_All[[#This Row],[Match_Number]],Dyno_Data[RecordType],"Activities", Dyno_Data[DelDest],"Amp")</f>
        <v>0</v>
      </c>
      <c r="AY96" s="60">
        <f>IFERROR(SUM((TBA_Matches_All[[#This Row],[AampT]]+TBA_Matches_All[[#This Row],[TampT]])/(TBA_Matches_All[[#This Row],[AampT]]+TBA_Matches_All[[#This Row],[TampT]]+TBA_Matches_All[[#This Row],[ampM]])),0)</f>
        <v>0</v>
      </c>
      <c r="AZ96">
        <f>SUMIFS(Dyno_Data[DelMiss], Dyno_Data[Team],TBA_Matches_All[[#This Row],[Team]],Dyno_Data[Match],TBA_Matches_All[[#This Row],[Match_Number]],Dyno_Data[RecordType],"Activities", Dyno_Data[DelDest],"Spkr")</f>
        <v>1</v>
      </c>
      <c r="BA96" s="60">
        <f>IFERROR(SUM((TBA_Matches_All[[#This Row],[AspkrT]]+TBA_Matches_All[[#This Row],[TspkrT]])/(TBA_Matches_All[[#This Row],[AspkrT]]+TBA_Matches_All[[#This Row],[TspkrT]]+TBA_Matches_All[[#This Row],[spkrM]])),0)</f>
        <v>0.75</v>
      </c>
      <c r="BB96">
        <f>SUMIFS(Dyno_Data[DelMiss], Dyno_Data[Team],TBA_Matches_All[[#This Row],[Team]],Dyno_Data[Match],TBA_Matches_All[[#This Row],[Match_Number]],Dyno_Data[RecordType],"Activities", Dyno_Data[DelDest],"Trap")</f>
        <v>0</v>
      </c>
      <c r="BC96" s="60">
        <f>IFERROR((TBA_Matches_All[[#This Row],[AtrapT]]+TBA_Matches_All[[#This Row],[TtrapT]])/(TBA_Matches_All[[#This Row],[AtrapT]]+TBA_Matches_All[[#This Row],[TtrapT]]+TBA_Matches_All[[#This Row],[trapM]]),0)</f>
        <v>0</v>
      </c>
      <c r="BD96">
        <f>COUNTIFS(Dyno_Data[Team],TBA_Matches_All[[#This Row],[Team]],Dyno_Data[Match],TBA_Matches_All[[#This Row],[Match_Number]],Dyno_Data[RecordType],"Activities",Dyno_Data[DelDest],"Neut", Dyno_Data[DelMiss],1)</f>
        <v>0</v>
      </c>
      <c r="BE96" s="60">
        <f>IFERROR(SUM((TBA_Matches_All[[#This Row],[NeutFlrT]])/(TBA_Matches_All[[#This Row],[NeutFlrT]]+TBA_Matches_All[[#This Row],[NZflM]])),0)</f>
        <v>0</v>
      </c>
      <c r="BF96">
        <f>COUNTIFS(Dyno_Data[Team],TBA_Matches_All[[#This Row],[Team]],Dyno_Data[Match],TBA_Matches_All[[#This Row],[Match_Number]],Dyno_Data[RecordType],"Activities",Dyno_Data[DelDest],"AllyW", Dyno_Data[DelMiss],1)</f>
        <v>0</v>
      </c>
      <c r="BG96" s="60">
        <f>IFERROR(SUM((TBA_Matches_All[[#This Row],[AllyWFlrT]])/(TBA_Matches_All[[#This Row],[AllyWFlrT]]+TBA_Matches_All[[#This Row],[AZflM]])),0)</f>
        <v>0</v>
      </c>
      <c r="BH96">
        <f>COUNTIFS(Dyno_Data[Team],TBA_Matches_All[[#This Row],[Team]],Dyno_Data[Match],TBA_Matches_All[[#This Row],[Match_Number]],Dyno_Data[RecordType],"Activities",Dyno_Data[DelOrig],"OppW", Dyno_Data[DelMiss],"0")</f>
        <v>0</v>
      </c>
      <c r="BI96">
        <f>COUNTIFS(Dyno_Data[Team],TBA_Matches_All[[#This Row],[Team]],Dyno_Data[Match],TBA_Matches_All[[#This Row],[Match_Number]],Dyno_Data[RecordType],"Activities",Dyno_Data[DelOrig],"OppW", Dyno_Data[DelMiss],"1")</f>
        <v>0</v>
      </c>
      <c r="BJ96" s="60">
        <f>IFERROR(SUM((TBA_Matches_All[[#This Row],[OZflrT]])/(TBA_Matches_All[[#This Row],[OZflrT]]+TBA_Matches_All[[#This Row],[OZflrM]])),0)</f>
        <v>0</v>
      </c>
      <c r="BK96">
        <f>COUNTIFS(Dyno_Data[Team],TBA_Matches_All[[#This Row],[Team]],Dyno_Data[Match],TBA_Matches_All[[#This Row],[Match_Number]],Dyno_Data[RecordType],"Activities",Dyno_Data[DelOrig],"Neut", Dyno_Data[DelMiss],"0")</f>
        <v>0</v>
      </c>
      <c r="BL96">
        <f>COUNTIFS(Dyno_Data[Team],TBA_Matches_All[[#This Row],[Team]],Dyno_Data[Match],TBA_Matches_All[[#This Row],[Match_Number]],Dyno_Data[RecordType],"Activities",Dyno_Data[DelOrig],"Neut", Dyno_Data[DelMiss],"1")</f>
        <v>0</v>
      </c>
      <c r="BM96" s="60">
        <f>IFERROR(SUM((TBA_Matches_All[[#This Row],[NZflrT]])/(TBA_Matches_All[[#This Row],[NZflrT]]+TBA_Matches_All[[#This Row],[NZflrM]])),0)</f>
        <v>0</v>
      </c>
      <c r="BN96">
        <f>COUNTIFS(Dyno_Data[Team],TBA_Matches_All[[#This Row],[Team]],Dyno_Data[Match],TBA_Matches_All[[#This Row],[Match_Number]],Dyno_Data[RecordType],"Activities",Dyno_Data[DelOrig],"AllyW", Dyno_Data[DelMiss],"0")</f>
        <v>3</v>
      </c>
      <c r="BO96">
        <f>COUNTIFS(Dyno_Data[Team],TBA_Matches_All[[#This Row],[Team]],Dyno_Data[Match],TBA_Matches_All[[#This Row],[Match_Number]],Dyno_Data[RecordType],"Activities",Dyno_Data[DelOrig],"AllyW", Dyno_Data[DelMiss],"1")</f>
        <v>1</v>
      </c>
      <c r="BP96" s="60">
        <f>IFERROR(SUM((TBA_Matches_All[[#This Row],[AZflrT]])/(TBA_Matches_All[[#This Row],[AZflrT]]+TBA_Matches_All[[#This Row],[AZflrM]])),0)</f>
        <v>0.75</v>
      </c>
      <c r="BQ96">
        <f>COUNTIFS(Dyno_Data[Team],TBA_Matches_All[[#This Row],[Team]],Dyno_Data[Match],TBA_Matches_All[[#This Row],[Match_Number]],Dyno_Data[RecordType],"Activities",Dyno_Data[DelOrig],"SubW", Dyno_Data[DelMiss],"0")</f>
        <v>0</v>
      </c>
      <c r="BR96">
        <f>COUNTIFS(Dyno_Data[Team],TBA_Matches_All[[#This Row],[Team]],Dyno_Data[Match],TBA_Matches_All[[#This Row],[Match_Number]],Dyno_Data[RecordType],"Activities",Dyno_Data[DelOrig],"SubW", Dyno_Data[DelMiss],"1")</f>
        <v>0</v>
      </c>
      <c r="BS96" s="60">
        <f>IFERROR(SUM((TBA_Matches_All[[#This Row],[SubwT]])/(TBA_Matches_All[[#This Row],[SubwT]]+TBA_Matches_All[[#This Row],[SubwM]])),0)</f>
        <v>0</v>
      </c>
      <c r="BT96">
        <f>COUNTIFS(Dyno_Data[Team],TBA_Matches_All[[#This Row],[Team]],Dyno_Data[Match],TBA_Matches_All[[#This Row],[Match_Number]],Dyno_Data[RecordType],"Activities", Dyno_Data[AcqLoc],"OppWing")</f>
        <v>0</v>
      </c>
      <c r="BU96">
        <f>COUNTIFS(Dyno_Data[Team],TBA_Matches_All[[#This Row],[Team]],Dyno_Data[Match],TBA_Matches_All[[#This Row],[Match_Number]],Dyno_Data[RecordType],"Activities", Dyno_Data[AcqLoc],"Neutral")</f>
        <v>0</v>
      </c>
      <c r="BV96">
        <f>COUNTIFS(Dyno_Data[Team],TBA_Matches_All[[#This Row],[Team]],Dyno_Data[Match],TBA_Matches_All[[#This Row],[Match_Number]],Dyno_Data[RecordType],"Activities", Dyno_Data[AcqLoc],"AllyWing")</f>
        <v>0</v>
      </c>
      <c r="BW96">
        <f>COUNTIFS(Dyno_Data[Team],TBA_Matches_All[[#This Row],[Team]],Dyno_Data[Match],TBA_Matches_All[[#This Row],[Match_Number]],Dyno_Data[RecordType],"Activities", Dyno_Data[AcqLoc],"Source")</f>
        <v>0</v>
      </c>
      <c r="BX96">
        <f>SUMIFS(Dyno_Data[AcqDrp], Dyno_Data[Team],TBA_Matches_All[[#This Row],[Team]],Dyno_Data[Match],TBA_Matches_All[[#This Row],[Match_Number]],Dyno_Data[RecordType],"Activities", Dyno_Data[AcqLoc],"Source")</f>
        <v>0</v>
      </c>
      <c r="BY96">
        <f>SUMIFS(Dyno_Data[OZTime], Dyno_Data[Team],TBA_Matches_All[[#This Row],[Team]],Dyno_Data[Match],TBA_Matches_All[[#This Row],[Match_Number]],Dyno_Data[RecordType],"EndMatch")</f>
        <v>47.9125972</v>
      </c>
      <c r="BZ96">
        <f>SUMIFS(Dyno_Data[NZTime], Dyno_Data[Team],TBA_Matches_All[[#This Row],[Team]],Dyno_Data[Match],TBA_Matches_All[[#This Row],[Match_Number]],Dyno_Data[RecordType],"EndMatch")</f>
        <v>11.567718599999999</v>
      </c>
      <c r="CA96">
        <f>SUMIFS(Dyno_Data[AZTime], Dyno_Data[Team],TBA_Matches_All[[#This Row],[Team]],Dyno_Data[Match],TBA_Matches_All[[#This Row],[Match_Number]],Dyno_Data[RecordType],"EndMatch")</f>
        <v>46.315389499999995</v>
      </c>
      <c r="CB96">
        <f>SUMIFS(Dyno_Data[ClimbT], Dyno_Data[Team],TBA_Matches_All[[#This Row],[Team]],Dyno_Data[Match],TBA_Matches_All[[#This Row],[Match_Number]],Dyno_Data[RecordType],"EndMatch")</f>
        <v>2.2699265999999998</v>
      </c>
      <c r="CC96" t="str">
        <f>_xlfn.XLOOKUP(SUM(MID(TBA_Matches_All[[#This Row],[Team]],4,5),(TBA_Matches_All[[#This Row],[Match_Number]]/100)),Dyno_EndMatch[teammat],Dyno_EndMatch[StageStat],"_",0,1)</f>
        <v>On</v>
      </c>
      <c r="CD96" t="str">
        <f>_xlfn.XLOOKUP(TBA_Matches_All[[#This Row],[teammat]],Dyno_EndMatch[teammat],Dyno_EndMatch[StageAtt],"_",0,1)</f>
        <v>1</v>
      </c>
      <c r="CE96" t="str">
        <f>_xlfn.XLOOKUP(TBA_Matches_All[[#This Row],[teammat]],Dyno_EndMatch[teammat],Dyno_EndMatch[StageLoc],"_",0,1)</f>
        <v>R</v>
      </c>
      <c r="CF96">
        <f>SUMIFS(Dyno_Data[Harmony], Dyno_Data[Team],TBA_Matches_All[[#This Row],[Team]],Dyno_Data[Match],TBA_Matches_All[[#This Row],[Match_Number]],Dyno_Data[RecordType],"EndMatch", Dyno_Data[StageStat],"On",Dyno_Data[Harmony],"&lt;&gt;9")</f>
        <v>0</v>
      </c>
      <c r="CG96">
        <f>SUMIFS(Dyno_Data[Spotlit], Dyno_Data[Team],TBA_Matches_All[[#This Row],[Team]],Dyno_Data[Match],TBA_Matches_All[[#This Row],[Match_Number]],Dyno_Data[RecordType],"EndMatch", Dyno_Data[StageStat],"On",Dyno_Data[Spotlit],"&lt;&gt;9")</f>
        <v>0</v>
      </c>
      <c r="CH96" t="str">
        <f>_xlfn.XLOOKUP(TBA_Matches_All[[#This Row],[teammat]],Dyno_EndMatch[teammat],Dyno_EndMatch[Strategy],"_",0,1)</f>
        <v>Hybrid</v>
      </c>
      <c r="CI96">
        <f>SUMIFS(Dyno_Data[Defense], Dyno_Data[Team],TBA_Matches_All[[#This Row],[Team]],Dyno_Data[Match],TBA_Matches_All[[#This Row],[Match_Number]],Dyno_Data[RecordType],"EndMatch",Dyno_Data[Defense],"&lt;&gt;9")</f>
        <v>0</v>
      </c>
      <c r="CJ96">
        <f>SUMIFS(Dyno_Data[Avoidance], Dyno_Data[Team],TBA_Matches_All[[#This Row],[Team]],Dyno_Data[Match],TBA_Matches_All[[#This Row],[Match_Number]],Dyno_Data[RecordType],"EndMatch",Dyno_Data[Avoidance],"&lt;&gt;9")</f>
        <v>2</v>
      </c>
      <c r="CK96" s="82">
        <f>COUNTIF($H$2:TBA_Matches_All[[#This Row],[Team]],TBA_Matches_All[[#This Row],[Team]])</f>
        <v>2</v>
      </c>
      <c r="CL96" s="111">
        <f>SUM(MID(TBA_Matches_All[[#This Row],[Team]],4,5)+TBA_Matches_All[[#This Row],[Match_Number]]/100)</f>
        <v>1559.16</v>
      </c>
      <c r="CM96">
        <f>SUM((TBA_Matches_All[[#This Row],[Leave]]*2)+(TBA_Matches_All[[#This Row],[AampT]]*2)+(TBA_Matches_All[[#This Row],[AspkrT]]*5)+(TBA_Matches_All[[#This Row],[AtrapT]]*5))</f>
        <v>2</v>
      </c>
      <c r="CN96" s="59">
        <f>IFERROR(SUM(TBA_Matches_All[[#This Row],[AptsT]]/TBA_Matches_All[[#This Row],[AutoPts]]),0)</f>
        <v>9.5238095238095233E-2</v>
      </c>
      <c r="CO96" s="59">
        <f>IFERROR(SUM(TBA_Matches_All[[#This Row],[AampT]]+TBA_Matches_All[[#This Row],[AspkrT]]+TBA_Matches_All[[#This Row],[AtrapT]]/TBA_Matches_All[[#This Row],[Aamp]]+TBA_Matches_All[[#This Row],[Aspkr]]+TBA_Matches_All[[#This Row],[AtrapT]]),0)</f>
        <v>0</v>
      </c>
      <c r="CP96" s="59">
        <f>IFERROR(SUM(TBA_Matches_All[[#This Row],[TampT]]/TBA_Matches_All[[#This Row],[Tamp]]),0)</f>
        <v>0</v>
      </c>
      <c r="CQ96" s="59">
        <f>IFERROR(SUM(TBA_Matches_All[[#This Row],[TspkrT]]/TBA_Matches_All[[#This Row],[Tspkr]]),0)</f>
        <v>0.75</v>
      </c>
      <c r="CR96">
        <f>SUM(TBA_Matches_All[[#This Row],[TspkrPts]]*TBA_Matches_All[[#This Row],[TspkrP]])</f>
        <v>12.75</v>
      </c>
      <c r="CS96" s="59">
        <f>IFERROR(SUM(TBA_Matches_All[[#This Row],[TtrapT]]/TBA_Matches_All[[#This Row],[Trap]]),0)</f>
        <v>0</v>
      </c>
      <c r="CT96" s="59">
        <f>IFERROR(SUM(TBA_Matches_All[[#This Row],[TotNotesT]]/TBA_Matches_All[[#This Row],[TotNotes]]),0)</f>
        <v>0.23076923076923078</v>
      </c>
      <c r="CU96" s="66">
        <f>SUM((TBA_Matches_All[[#This Row],[AampT]]*2)+(TBA_Matches_All[[#This Row],[AspkrT]]*5)+(TBA_Matches_All[[#This Row],[AtrapT]]*5)+(TBA_Matches_All[[#This Row],[TampT]]*1)+(TBA_Matches_All[[#This Row],[TspkrptsC]]))</f>
        <v>12.75</v>
      </c>
      <c r="CV96" s="59">
        <f>IFERROR(TBA_Matches_All[[#This Row],[noteptsT]]/TBA_Matches_All[[#This Row],[NotePts]],0)</f>
        <v>0.33552631578947367</v>
      </c>
      <c r="CW96">
        <f>SUM(IF(TBA_Matches_All[[#This Row],[stageStat]]="On",3,0),IF(TBA_Matches_All[[#This Row],[stageStat]]="Park",1,0),SUMIFS(TBA_Matches_All[[#This Row],[Spotlit]],TBA_Matches_All[[#This Row],[stageStat]],"On"),SUMIFS(TBA_Matches_All[[#This Row],[Harmony]],TBA_Matches_All[[#This Row],[stageStat]],"On"))</f>
        <v>3</v>
      </c>
      <c r="CX96" s="59">
        <f>IFERROR(TBA_Matches_All[[#This Row],[stageptsT]]/TBA_Matches_All[[#This Row],[StagePts]],0)</f>
        <v>0.75</v>
      </c>
      <c r="CY96">
        <f>SUM((TBA_Matches_All[[#This Row],[AptsT]]+TBA_Matches_All[[#This Row],[TampT]]+TBA_Matches_All[[#This Row],[TspkrptsC]]+(TBA_Matches_All[[#This Row],[TtrapT]]*5)+TBA_Matches_All[[#This Row],[stageptsT]]))</f>
        <v>17.75</v>
      </c>
      <c r="CZ96" s="59">
        <f>IFERROR(SUM(TBA_Matches_All[[#This Row],[TotptsC]]/TBA_Matches_All[[#This Row],[Score]]),0)</f>
        <v>0.35499999999999998</v>
      </c>
      <c r="DA9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8.5599999999999987</v>
      </c>
      <c r="DB96" s="74">
        <f>SUMIFS(TBA_Matches_All[AveTeamTNoteDels],TBA_Matches_All[Match_Number],TBA_Matches_All[[#This Row],[Match_Number]],TBA_Matches_All[Alliance],"&lt;&gt;"&amp;TBA_Matches_All[[#This Row],[Alliance]],TBA_Matches_All[Scouted],"&gt;0")</f>
        <v>31.245021645021644</v>
      </c>
      <c r="DC96" s="74">
        <f>(TBA_Matches_All[[#This Row],[TampT]]+TBA_Matches_All[[#This Row],[TspkrptsC]])-TBA_Matches_All[[#This Row],[AveTeamTNoteDels]]</f>
        <v>4.1900000000000013</v>
      </c>
      <c r="DD96" s="74">
        <f>SUMIFS(TBA_Matches_All[AveTeamTNoteDels],TBA_Matches_All[Match_Number],TBA_Matches_All[[#This Row],[Match_Number]],TBA_Matches_All[Alliance],"&lt;&gt;"&amp;TBA_Matches_All[[#This Row],[Alliance]])-TBA_Matches_All[[#This Row],[AveOppTNoteDels]]</f>
        <v>0</v>
      </c>
    </row>
    <row r="97" spans="1:108" x14ac:dyDescent="0.3">
      <c r="A97" t="s">
        <v>1042</v>
      </c>
      <c r="B97" t="s">
        <v>489</v>
      </c>
      <c r="C97" t="s">
        <v>1325</v>
      </c>
      <c r="D97">
        <v>16</v>
      </c>
      <c r="E97" t="s">
        <v>1420</v>
      </c>
      <c r="F97" t="s">
        <v>1421</v>
      </c>
      <c r="G97" t="s">
        <v>164</v>
      </c>
      <c r="H97" t="s">
        <v>1311</v>
      </c>
      <c r="I97" t="b">
        <v>1</v>
      </c>
      <c r="J97">
        <v>70</v>
      </c>
      <c r="K97">
        <v>1</v>
      </c>
      <c r="L97">
        <v>1</v>
      </c>
      <c r="M97">
        <v>2</v>
      </c>
      <c r="N97">
        <v>0</v>
      </c>
      <c r="O97">
        <v>2</v>
      </c>
      <c r="P97">
        <v>10</v>
      </c>
      <c r="Q97">
        <v>14</v>
      </c>
      <c r="R97">
        <v>3</v>
      </c>
      <c r="S97">
        <v>2</v>
      </c>
      <c r="T97">
        <v>8</v>
      </c>
      <c r="U97">
        <v>10</v>
      </c>
      <c r="V97">
        <v>16</v>
      </c>
      <c r="W97">
        <v>10</v>
      </c>
      <c r="X97">
        <v>26</v>
      </c>
      <c r="Y97">
        <v>29</v>
      </c>
      <c r="Z97">
        <v>0</v>
      </c>
      <c r="AA97">
        <v>0</v>
      </c>
      <c r="AB97">
        <v>15</v>
      </c>
      <c r="AC97">
        <v>39</v>
      </c>
      <c r="AD97">
        <v>2</v>
      </c>
      <c r="AE97">
        <f>IFERROR(6/(COUNTIF(Dyno_EndMatch[Match],TBA_Matches_All[[#This Row],[Match_Number]])),0)</f>
        <v>1</v>
      </c>
      <c r="AF97">
        <f>COUNTIFS(Dyno_Data[Team],TBA_Matches_All[[#This Row],[Team]],Dyno_Data[Match],TBA_Matches_All[[#This Row],[Match_Number]],Dyno_Data[RecordType],"EndMatch",Dyno_Data[HPAmp],"Y")</f>
        <v>0</v>
      </c>
      <c r="AG97">
        <f>SUMIFS(Dyno_Data[Mics], Dyno_Data[Team],TBA_Matches_All[[#This Row],[Team]],Dyno_Data[Match],TBA_Matches_All[[#This Row],[Match_Number]],Dyno_Data[RecordType],"EndMatch",Dyno_Data[HPAmp],"Y")</f>
        <v>0</v>
      </c>
      <c r="AH97">
        <f>SUMIFS(Dyno_Data[Leave], Dyno_Data[Team],TBA_Matches_All[[#This Row],[Team]],Dyno_Data[Match],TBA_Matches_All[[#This Row],[Match_Number]],Dyno_Data[RecordType],"EndAuto")</f>
        <v>1</v>
      </c>
      <c r="AI97">
        <f>COUNTIFS(Dyno_Data[Team],TBA_Matches_All[[#This Row],[Team]],Dyno_Data[Match],TBA_Matches_All[[#This Row],[Match_Number]],Dyno_Data[RecordType],"Activities",Dyno_Data[DelDest],"Amp", Dyno_Data[DelMiss],"0", Dyno_Data[Mode],"Auto")</f>
        <v>0</v>
      </c>
      <c r="AJ97">
        <f>COUNTIFS(Dyno_Data[Team],TBA_Matches_All[[#This Row],[Team]],Dyno_Data[Match],TBA_Matches_All[[#This Row],[Match_Number]],Dyno_Data[RecordType],"Activities",Dyno_Data[DelDest],"Spkr", Dyno_Data[DelMiss],"0", Dyno_Data[Mode],"Auto")</f>
        <v>0</v>
      </c>
      <c r="AK97">
        <f>COUNTIFS(Dyno_Data[Team],TBA_Matches_All[[#This Row],[Team]],Dyno_Data[Match],TBA_Matches_All[[#This Row],[Match_Number]],Dyno_Data[RecordType],"Activities",Dyno_Data[DelDest],"Trap", Dyno_Data[DelMiss],"0", Dyno_Data[Mode],"Auto")</f>
        <v>0</v>
      </c>
      <c r="AL97">
        <f>COUNTIFS(Dyno_Data[Team],TBA_Matches_All[[#This Row],[Team]],Dyno_Data[Match],TBA_Matches_All[[#This Row],[Match_Number]],Dyno_Data[RecordType],"Activities",Dyno_Data[DelDest],"Amp", Dyno_Data[DelMiss],"0", Dyno_Data[Mode],"Teleop")</f>
        <v>0</v>
      </c>
      <c r="AM97">
        <f>COUNTIFS(Dyno_Data[Team],TBA_Matches_All[[#This Row],[Team]],Dyno_Data[Match],TBA_Matches_All[[#This Row],[Match_Number]],Dyno_Data[RecordType],"Activities",Dyno_Data[DelDest],"Spkr", Dyno_Data[DelMiss],"0", Dyno_Data[Mode],"Teleop")</f>
        <v>0</v>
      </c>
      <c r="AN97">
        <f>COUNTIFS(Dyno_Data[Team],TBA_Matches_All[[#This Row],[Team]],Dyno_Data[Match],TBA_Matches_All[[#This Row],[Match_Number]],Dyno_Data[RecordType],"Activities",Dyno_Data[DelDest],"Trap", Dyno_Data[DelMiss],"0", Dyno_Data[Mode],"&lt;&gt;Auto")</f>
        <v>0</v>
      </c>
      <c r="AO97">
        <f>SUM(TBA_Matches_All[[#This Row],[AampT]]+TBA_Matches_All[[#This Row],[AspkrT]]+TBA_Matches_All[[#This Row],[AtrapT]]+TBA_Matches_All[[#This Row],[TampT]]+TBA_Matches_All[[#This Row],[TspkrT]]+TBA_Matches_All[[#This Row],[TtrapT]])</f>
        <v>0</v>
      </c>
      <c r="AP97">
        <f>COUNTIFS(Dyno_Data[Team],TBA_Matches_All[[#This Row],[Team]],Dyno_Data[Match],TBA_Matches_All[[#This Row],[Match_Number]],Dyno_Data[RecordType],"Activities",Dyno_Data[DelDest],"Neut", Dyno_Data[DelMiss],"0")</f>
        <v>0</v>
      </c>
      <c r="AQ97">
        <f>COUNTIFS(Dyno_Data[Team],TBA_Matches_All[[#This Row],[Team]],Dyno_Data[Match],TBA_Matches_All[[#This Row],[Match_Number]],Dyno_Data[RecordType],"Activities",Dyno_Data[DelDest],"AllyW", Dyno_Data[DelMiss],"0")</f>
        <v>0</v>
      </c>
      <c r="AR97" t="str">
        <f>_xlfn.XLOOKUP(SUM(MID(TBA_Matches_All[[#This Row],[Team]],4,5),(TBA_Matches_All[[#This Row],[Match_Number]]/100)),Dyno_EndMatch[teammat],Dyno_EndMatch[RobotSta],"_",0,1)</f>
        <v>OppS</v>
      </c>
      <c r="AS97">
        <f>SUMIFS(Dyno_Data[AcqDis], Dyno_Data[Team],TBA_Matches_All[[#This Row],[Team]],Dyno_Data[Match],TBA_Matches_All[[#This Row],[Match_Number]],Dyno_Data[RecordType],"Activities", Dyno_Data[AcqCenter],1,Dyno_Data[Mode],"Auto")</f>
        <v>0</v>
      </c>
      <c r="AT97">
        <f>SUMIFS(Dyno_Data[AcqDis], Dyno_Data[Team],TBA_Matches_All[[#This Row],[Team]],Dyno_Data[Match],TBA_Matches_All[[#This Row],[Match_Number]],Dyno_Data[RecordType],"Activities", Dyno_Data[AcqCenter],2,Dyno_Data[Mode],"Auto")</f>
        <v>0</v>
      </c>
      <c r="AU97">
        <f>SUMIFS(Dyno_Data[AcqDis], Dyno_Data[Team],TBA_Matches_All[[#This Row],[Team]],Dyno_Data[Match],TBA_Matches_All[[#This Row],[Match_Number]],Dyno_Data[RecordType],"Activities", Dyno_Data[AcqCenter],3,Dyno_Data[Mode],"Auto")</f>
        <v>0</v>
      </c>
      <c r="AV97">
        <f>SUMIFS(Dyno_Data[AcqDis], Dyno_Data[Team],TBA_Matches_All[[#This Row],[Team]],Dyno_Data[Match],TBA_Matches_All[[#This Row],[Match_Number]],Dyno_Data[RecordType],"Activities", Dyno_Data[AcqCenter],4,Dyno_Data[Mode],"Auto")</f>
        <v>0</v>
      </c>
      <c r="AW97">
        <f>SUMIFS(Dyno_Data[AcqDis], Dyno_Data[Team],TBA_Matches_All[[#This Row],[Team]],Dyno_Data[Match],TBA_Matches_All[[#This Row],[Match_Number]],Dyno_Data[RecordType],"Activities", Dyno_Data[AcqCenter],5,Dyno_Data[Mode],"Auto")</f>
        <v>0</v>
      </c>
      <c r="AX97">
        <f>SUMIFS(Dyno_Data[DelMiss], Dyno_Data[Team],TBA_Matches_All[[#This Row],[Team]],Dyno_Data[Match],TBA_Matches_All[[#This Row],[Match_Number]],Dyno_Data[RecordType],"Activities", Dyno_Data[DelDest],"Amp")</f>
        <v>0</v>
      </c>
      <c r="AY97" s="60">
        <f>IFERROR(SUM((TBA_Matches_All[[#This Row],[AampT]]+TBA_Matches_All[[#This Row],[TampT]])/(TBA_Matches_All[[#This Row],[AampT]]+TBA_Matches_All[[#This Row],[TampT]]+TBA_Matches_All[[#This Row],[ampM]])),0)</f>
        <v>0</v>
      </c>
      <c r="AZ97">
        <f>SUMIFS(Dyno_Data[DelMiss], Dyno_Data[Team],TBA_Matches_All[[#This Row],[Team]],Dyno_Data[Match],TBA_Matches_All[[#This Row],[Match_Number]],Dyno_Data[RecordType],"Activities", Dyno_Data[DelDest],"Spkr")</f>
        <v>0</v>
      </c>
      <c r="BA97" s="60">
        <f>IFERROR(SUM((TBA_Matches_All[[#This Row],[AspkrT]]+TBA_Matches_All[[#This Row],[TspkrT]])/(TBA_Matches_All[[#This Row],[AspkrT]]+TBA_Matches_All[[#This Row],[TspkrT]]+TBA_Matches_All[[#This Row],[spkrM]])),0)</f>
        <v>0</v>
      </c>
      <c r="BB97">
        <f>SUMIFS(Dyno_Data[DelMiss], Dyno_Data[Team],TBA_Matches_All[[#This Row],[Team]],Dyno_Data[Match],TBA_Matches_All[[#This Row],[Match_Number]],Dyno_Data[RecordType],"Activities", Dyno_Data[DelDest],"Trap")</f>
        <v>0</v>
      </c>
      <c r="BC97" s="60">
        <f>IFERROR((TBA_Matches_All[[#This Row],[AtrapT]]+TBA_Matches_All[[#This Row],[TtrapT]])/(TBA_Matches_All[[#This Row],[AtrapT]]+TBA_Matches_All[[#This Row],[TtrapT]]+TBA_Matches_All[[#This Row],[trapM]]),0)</f>
        <v>0</v>
      </c>
      <c r="BD97">
        <f>COUNTIFS(Dyno_Data[Team],TBA_Matches_All[[#This Row],[Team]],Dyno_Data[Match],TBA_Matches_All[[#This Row],[Match_Number]],Dyno_Data[RecordType],"Activities",Dyno_Data[DelDest],"Neut", Dyno_Data[DelMiss],1)</f>
        <v>0</v>
      </c>
      <c r="BE97" s="60">
        <f>IFERROR(SUM((TBA_Matches_All[[#This Row],[NeutFlrT]])/(TBA_Matches_All[[#This Row],[NeutFlrT]]+TBA_Matches_All[[#This Row],[NZflM]])),0)</f>
        <v>0</v>
      </c>
      <c r="BF97">
        <f>COUNTIFS(Dyno_Data[Team],TBA_Matches_All[[#This Row],[Team]],Dyno_Data[Match],TBA_Matches_All[[#This Row],[Match_Number]],Dyno_Data[RecordType],"Activities",Dyno_Data[DelDest],"AllyW", Dyno_Data[DelMiss],1)</f>
        <v>0</v>
      </c>
      <c r="BG97" s="60">
        <f>IFERROR(SUM((TBA_Matches_All[[#This Row],[AllyWFlrT]])/(TBA_Matches_All[[#This Row],[AllyWFlrT]]+TBA_Matches_All[[#This Row],[AZflM]])),0)</f>
        <v>0</v>
      </c>
      <c r="BH97">
        <f>COUNTIFS(Dyno_Data[Team],TBA_Matches_All[[#This Row],[Team]],Dyno_Data[Match],TBA_Matches_All[[#This Row],[Match_Number]],Dyno_Data[RecordType],"Activities",Dyno_Data[DelOrig],"OppW", Dyno_Data[DelMiss],"0")</f>
        <v>0</v>
      </c>
      <c r="BI97">
        <f>COUNTIFS(Dyno_Data[Team],TBA_Matches_All[[#This Row],[Team]],Dyno_Data[Match],TBA_Matches_All[[#This Row],[Match_Number]],Dyno_Data[RecordType],"Activities",Dyno_Data[DelOrig],"OppW", Dyno_Data[DelMiss],"1")</f>
        <v>0</v>
      </c>
      <c r="BJ97" s="60">
        <f>IFERROR(SUM((TBA_Matches_All[[#This Row],[OZflrT]])/(TBA_Matches_All[[#This Row],[OZflrT]]+TBA_Matches_All[[#This Row],[OZflrM]])),0)</f>
        <v>0</v>
      </c>
      <c r="BK97">
        <f>COUNTIFS(Dyno_Data[Team],TBA_Matches_All[[#This Row],[Team]],Dyno_Data[Match],TBA_Matches_All[[#This Row],[Match_Number]],Dyno_Data[RecordType],"Activities",Dyno_Data[DelOrig],"Neut", Dyno_Data[DelMiss],"0")</f>
        <v>0</v>
      </c>
      <c r="BL97">
        <f>COUNTIFS(Dyno_Data[Team],TBA_Matches_All[[#This Row],[Team]],Dyno_Data[Match],TBA_Matches_All[[#This Row],[Match_Number]],Dyno_Data[RecordType],"Activities",Dyno_Data[DelOrig],"Neut", Dyno_Data[DelMiss],"1")</f>
        <v>0</v>
      </c>
      <c r="BM97" s="60">
        <f>IFERROR(SUM((TBA_Matches_All[[#This Row],[NZflrT]])/(TBA_Matches_All[[#This Row],[NZflrT]]+TBA_Matches_All[[#This Row],[NZflrM]])),0)</f>
        <v>0</v>
      </c>
      <c r="BN97">
        <f>COUNTIFS(Dyno_Data[Team],TBA_Matches_All[[#This Row],[Team]],Dyno_Data[Match],TBA_Matches_All[[#This Row],[Match_Number]],Dyno_Data[RecordType],"Activities",Dyno_Data[DelOrig],"AllyW", Dyno_Data[DelMiss],"0")</f>
        <v>0</v>
      </c>
      <c r="BO97">
        <f>COUNTIFS(Dyno_Data[Team],TBA_Matches_All[[#This Row],[Team]],Dyno_Data[Match],TBA_Matches_All[[#This Row],[Match_Number]],Dyno_Data[RecordType],"Activities",Dyno_Data[DelOrig],"AllyW", Dyno_Data[DelMiss],"1")</f>
        <v>0</v>
      </c>
      <c r="BP97" s="60">
        <f>IFERROR(SUM((TBA_Matches_All[[#This Row],[AZflrT]])/(TBA_Matches_All[[#This Row],[AZflrT]]+TBA_Matches_All[[#This Row],[AZflrM]])),0)</f>
        <v>0</v>
      </c>
      <c r="BQ97">
        <f>COUNTIFS(Dyno_Data[Team],TBA_Matches_All[[#This Row],[Team]],Dyno_Data[Match],TBA_Matches_All[[#This Row],[Match_Number]],Dyno_Data[RecordType],"Activities",Dyno_Data[DelOrig],"SubW", Dyno_Data[DelMiss],"0")</f>
        <v>0</v>
      </c>
      <c r="BR97">
        <f>COUNTIFS(Dyno_Data[Team],TBA_Matches_All[[#This Row],[Team]],Dyno_Data[Match],TBA_Matches_All[[#This Row],[Match_Number]],Dyno_Data[RecordType],"Activities",Dyno_Data[DelOrig],"SubW", Dyno_Data[DelMiss],"1")</f>
        <v>0</v>
      </c>
      <c r="BS97" s="60">
        <f>IFERROR(SUM((TBA_Matches_All[[#This Row],[SubwT]])/(TBA_Matches_All[[#This Row],[SubwT]]+TBA_Matches_All[[#This Row],[SubwM]])),0)</f>
        <v>0</v>
      </c>
      <c r="BT97">
        <f>COUNTIFS(Dyno_Data[Team],TBA_Matches_All[[#This Row],[Team]],Dyno_Data[Match],TBA_Matches_All[[#This Row],[Match_Number]],Dyno_Data[RecordType],"Activities", Dyno_Data[AcqLoc],"OppWing")</f>
        <v>0</v>
      </c>
      <c r="BU97">
        <f>COUNTIFS(Dyno_Data[Team],TBA_Matches_All[[#This Row],[Team]],Dyno_Data[Match],TBA_Matches_All[[#This Row],[Match_Number]],Dyno_Data[RecordType],"Activities", Dyno_Data[AcqLoc],"Neutral")</f>
        <v>0</v>
      </c>
      <c r="BV97">
        <f>COUNTIFS(Dyno_Data[Team],TBA_Matches_All[[#This Row],[Team]],Dyno_Data[Match],TBA_Matches_All[[#This Row],[Match_Number]],Dyno_Data[RecordType],"Activities", Dyno_Data[AcqLoc],"AllyWing")</f>
        <v>0</v>
      </c>
      <c r="BW97">
        <f>COUNTIFS(Dyno_Data[Team],TBA_Matches_All[[#This Row],[Team]],Dyno_Data[Match],TBA_Matches_All[[#This Row],[Match_Number]],Dyno_Data[RecordType],"Activities", Dyno_Data[AcqLoc],"Source")</f>
        <v>0</v>
      </c>
      <c r="BX97">
        <f>SUMIFS(Dyno_Data[AcqDrp], Dyno_Data[Team],TBA_Matches_All[[#This Row],[Team]],Dyno_Data[Match],TBA_Matches_All[[#This Row],[Match_Number]],Dyno_Data[RecordType],"Activities", Dyno_Data[AcqLoc],"Source")</f>
        <v>0</v>
      </c>
      <c r="BY97">
        <f>SUMIFS(Dyno_Data[OZTime], Dyno_Data[Team],TBA_Matches_All[[#This Row],[Team]],Dyno_Data[Match],TBA_Matches_All[[#This Row],[Match_Number]],Dyno_Data[RecordType],"EndMatch")</f>
        <v>0</v>
      </c>
      <c r="BZ97">
        <f>SUMIFS(Dyno_Data[NZTime], Dyno_Data[Team],TBA_Matches_All[[#This Row],[Team]],Dyno_Data[Match],TBA_Matches_All[[#This Row],[Match_Number]],Dyno_Data[RecordType],"EndMatch")</f>
        <v>15.854542799999999</v>
      </c>
      <c r="CA97">
        <f>SUMIFS(Dyno_Data[AZTime], Dyno_Data[Team],TBA_Matches_All[[#This Row],[Team]],Dyno_Data[Match],TBA_Matches_All[[#This Row],[Match_Number]],Dyno_Data[RecordType],"EndMatch")</f>
        <v>117.5088816</v>
      </c>
      <c r="CB97">
        <f>SUMIFS(Dyno_Data[ClimbT], Dyno_Data[Team],TBA_Matches_All[[#This Row],[Team]],Dyno_Data[Match],TBA_Matches_All[[#This Row],[Match_Number]],Dyno_Data[RecordType],"EndMatch")</f>
        <v>4.3115607000000002</v>
      </c>
      <c r="CC97" t="str">
        <f>_xlfn.XLOOKUP(SUM(MID(TBA_Matches_All[[#This Row],[Team]],4,5),(TBA_Matches_All[[#This Row],[Match_Number]]/100)),Dyno_EndMatch[teammat],Dyno_EndMatch[StageStat],"_",0,1)</f>
        <v>Park</v>
      </c>
      <c r="CD97" t="str">
        <f>_xlfn.XLOOKUP(TBA_Matches_All[[#This Row],[teammat]],Dyno_EndMatch[teammat],Dyno_EndMatch[StageAtt],"_",0,1)</f>
        <v>-1</v>
      </c>
      <c r="CE97" t="str">
        <f>_xlfn.XLOOKUP(TBA_Matches_All[[#This Row],[teammat]],Dyno_EndMatch[teammat],Dyno_EndMatch[StageLoc],"_",0,1)</f>
        <v>A</v>
      </c>
      <c r="CF97">
        <f>SUMIFS(Dyno_Data[Harmony], Dyno_Data[Team],TBA_Matches_All[[#This Row],[Team]],Dyno_Data[Match],TBA_Matches_All[[#This Row],[Match_Number]],Dyno_Data[RecordType],"EndMatch", Dyno_Data[StageStat],"On",Dyno_Data[Harmony],"&lt;&gt;9")</f>
        <v>0</v>
      </c>
      <c r="CG97">
        <f>SUMIFS(Dyno_Data[Spotlit], Dyno_Data[Team],TBA_Matches_All[[#This Row],[Team]],Dyno_Data[Match],TBA_Matches_All[[#This Row],[Match_Number]],Dyno_Data[RecordType],"EndMatch", Dyno_Data[StageStat],"On",Dyno_Data[Spotlit],"&lt;&gt;9")</f>
        <v>0</v>
      </c>
      <c r="CH97" t="str">
        <f>_xlfn.XLOOKUP(TBA_Matches_All[[#This Row],[teammat]],Dyno_EndMatch[teammat],Dyno_EndMatch[Strategy],"_",0,1)</f>
        <v>Defense</v>
      </c>
      <c r="CI97">
        <f>SUMIFS(Dyno_Data[Defense], Dyno_Data[Team],TBA_Matches_All[[#This Row],[Team]],Dyno_Data[Match],TBA_Matches_All[[#This Row],[Match_Number]],Dyno_Data[RecordType],"EndMatch",Dyno_Data[Defense],"&lt;&gt;9")</f>
        <v>3</v>
      </c>
      <c r="CJ97">
        <f>SUMIFS(Dyno_Data[Avoidance], Dyno_Data[Team],TBA_Matches_All[[#This Row],[Team]],Dyno_Data[Match],TBA_Matches_All[[#This Row],[Match_Number]],Dyno_Data[RecordType],"EndMatch",Dyno_Data[Avoidance],"&lt;&gt;9")</f>
        <v>0</v>
      </c>
      <c r="CK97" s="82">
        <f>COUNTIF($H$2:TBA_Matches_All[[#This Row],[Team]],TBA_Matches_All[[#This Row],[Team]])</f>
        <v>2</v>
      </c>
      <c r="CL97" s="111">
        <f>SUM(MID(TBA_Matches_All[[#This Row],[Team]],4,5)+TBA_Matches_All[[#This Row],[Match_Number]]/100)</f>
        <v>2234.16</v>
      </c>
      <c r="CM97">
        <f>SUM((TBA_Matches_All[[#This Row],[Leave]]*2)+(TBA_Matches_All[[#This Row],[AampT]]*2)+(TBA_Matches_All[[#This Row],[AspkrT]]*5)+(TBA_Matches_All[[#This Row],[AtrapT]]*5))</f>
        <v>2</v>
      </c>
      <c r="CN97" s="59">
        <f>IFERROR(SUM(TBA_Matches_All[[#This Row],[AptsT]]/TBA_Matches_All[[#This Row],[AutoPts]]),0)</f>
        <v>0.14285714285714285</v>
      </c>
      <c r="CO97" s="59">
        <f>IFERROR(SUM(TBA_Matches_All[[#This Row],[AampT]]+TBA_Matches_All[[#This Row],[AspkrT]]+TBA_Matches_All[[#This Row],[AtrapT]]/TBA_Matches_All[[#This Row],[Aamp]]+TBA_Matches_All[[#This Row],[Aspkr]]+TBA_Matches_All[[#This Row],[AtrapT]]),0)</f>
        <v>0</v>
      </c>
      <c r="CP97" s="59">
        <f>IFERROR(SUM(TBA_Matches_All[[#This Row],[TampT]]/TBA_Matches_All[[#This Row],[Tamp]]),0)</f>
        <v>0</v>
      </c>
      <c r="CQ97" s="59">
        <f>IFERROR(SUM(TBA_Matches_All[[#This Row],[TspkrT]]/TBA_Matches_All[[#This Row],[Tspkr]]),0)</f>
        <v>0</v>
      </c>
      <c r="CR97">
        <f>SUM(TBA_Matches_All[[#This Row],[TspkrPts]]*TBA_Matches_All[[#This Row],[TspkrP]])</f>
        <v>0</v>
      </c>
      <c r="CS97" s="59">
        <f>IFERROR(SUM(TBA_Matches_All[[#This Row],[TtrapT]]/TBA_Matches_All[[#This Row],[Trap]]),0)</f>
        <v>0</v>
      </c>
      <c r="CT97" s="59">
        <f>IFERROR(SUM(TBA_Matches_All[[#This Row],[TotNotesT]]/TBA_Matches_All[[#This Row],[TotNotes]]),0)</f>
        <v>0</v>
      </c>
      <c r="CU97" s="66">
        <f>SUM((TBA_Matches_All[[#This Row],[AampT]]*2)+(TBA_Matches_All[[#This Row],[AspkrT]]*5)+(TBA_Matches_All[[#This Row],[AtrapT]]*5)+(TBA_Matches_All[[#This Row],[TampT]]*1)+(TBA_Matches_All[[#This Row],[TspkrptsC]]))</f>
        <v>0</v>
      </c>
      <c r="CV97" s="59">
        <f>IFERROR(TBA_Matches_All[[#This Row],[noteptsT]]/TBA_Matches_All[[#This Row],[NotePts]],0)</f>
        <v>0</v>
      </c>
      <c r="CW97">
        <f>SUM(IF(TBA_Matches_All[[#This Row],[stageStat]]="On",3,0),IF(TBA_Matches_All[[#This Row],[stageStat]]="Park",1,0),SUMIFS(TBA_Matches_All[[#This Row],[Spotlit]],TBA_Matches_All[[#This Row],[stageStat]],"On"),SUMIFS(TBA_Matches_All[[#This Row],[Harmony]],TBA_Matches_All[[#This Row],[stageStat]],"On"))</f>
        <v>1</v>
      </c>
      <c r="CX97" s="59">
        <f>IFERROR(TBA_Matches_All[[#This Row],[stageptsT]]/TBA_Matches_All[[#This Row],[StagePts]],0)</f>
        <v>0.5</v>
      </c>
      <c r="CY97">
        <f>SUM((TBA_Matches_All[[#This Row],[AptsT]]+TBA_Matches_All[[#This Row],[TampT]]+TBA_Matches_All[[#This Row],[TspkrptsC]]+(TBA_Matches_All[[#This Row],[TtrapT]]*5)+TBA_Matches_All[[#This Row],[stageptsT]]))</f>
        <v>3</v>
      </c>
      <c r="CZ97" s="59">
        <f>IFERROR(SUM(TBA_Matches_All[[#This Row],[TotptsC]]/TBA_Matches_All[[#This Row],[Score]]),0)</f>
        <v>4.2857142857142858E-2</v>
      </c>
      <c r="DA9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1.4</v>
      </c>
      <c r="DB97" s="74">
        <f>SUMIFS(TBA_Matches_All[AveTeamTNoteDels],TBA_Matches_All[Match_Number],TBA_Matches_All[[#This Row],[Match_Number]],TBA_Matches_All[Alliance],"&lt;&gt;"&amp;TBA_Matches_All[[#This Row],[Alliance]],TBA_Matches_All[Scouted],"&gt;0")</f>
        <v>26.329696969696968</v>
      </c>
      <c r="DC97" s="74">
        <f>(TBA_Matches_All[[#This Row],[TampT]]+TBA_Matches_All[[#This Row],[TspkrptsC]])-TBA_Matches_All[[#This Row],[AveTeamTNoteDels]]</f>
        <v>-1.4</v>
      </c>
      <c r="DD97" s="74">
        <f>SUMIFS(TBA_Matches_All[AveTeamTNoteDels],TBA_Matches_All[Match_Number],TBA_Matches_All[[#This Row],[Match_Number]],TBA_Matches_All[Alliance],"&lt;&gt;"&amp;TBA_Matches_All[[#This Row],[Alliance]])-TBA_Matches_All[[#This Row],[AveOppTNoteDels]]</f>
        <v>0</v>
      </c>
    </row>
    <row r="98" spans="1:108" x14ac:dyDescent="0.3">
      <c r="A98" t="s">
        <v>1042</v>
      </c>
      <c r="B98" t="s">
        <v>489</v>
      </c>
      <c r="C98" t="s">
        <v>1325</v>
      </c>
      <c r="D98">
        <v>16</v>
      </c>
      <c r="E98" t="s">
        <v>1406</v>
      </c>
      <c r="F98" t="s">
        <v>1422</v>
      </c>
      <c r="G98" t="s">
        <v>105</v>
      </c>
      <c r="H98" t="s">
        <v>1315</v>
      </c>
      <c r="I98" t="b">
        <v>1</v>
      </c>
      <c r="J98">
        <v>50</v>
      </c>
      <c r="K98">
        <v>0</v>
      </c>
      <c r="L98">
        <v>0</v>
      </c>
      <c r="M98">
        <v>25</v>
      </c>
      <c r="N98">
        <v>0</v>
      </c>
      <c r="O98">
        <v>3</v>
      </c>
      <c r="P98">
        <v>15</v>
      </c>
      <c r="Q98">
        <v>21</v>
      </c>
      <c r="R98">
        <v>6</v>
      </c>
      <c r="S98">
        <v>3</v>
      </c>
      <c r="T98">
        <v>1</v>
      </c>
      <c r="U98">
        <v>15</v>
      </c>
      <c r="V98">
        <v>2</v>
      </c>
      <c r="W98">
        <v>4</v>
      </c>
      <c r="X98">
        <v>17</v>
      </c>
      <c r="Y98">
        <v>23</v>
      </c>
      <c r="Z98">
        <v>0</v>
      </c>
      <c r="AA98">
        <v>0</v>
      </c>
      <c r="AB98">
        <v>13</v>
      </c>
      <c r="AC98">
        <v>38</v>
      </c>
      <c r="AD98">
        <v>4</v>
      </c>
      <c r="AE98">
        <f>IFERROR(6/(COUNTIF(Dyno_EndMatch[Match],TBA_Matches_All[[#This Row],[Match_Number]])),0)</f>
        <v>1</v>
      </c>
      <c r="AF98">
        <f>COUNTIFS(Dyno_Data[Team],TBA_Matches_All[[#This Row],[Team]],Dyno_Data[Match],TBA_Matches_All[[#This Row],[Match_Number]],Dyno_Data[RecordType],"EndMatch",Dyno_Data[HPAmp],"Y")</f>
        <v>1</v>
      </c>
      <c r="AG98">
        <f>SUMIFS(Dyno_Data[Mics], Dyno_Data[Team],TBA_Matches_All[[#This Row],[Team]],Dyno_Data[Match],TBA_Matches_All[[#This Row],[Match_Number]],Dyno_Data[RecordType],"EndMatch",Dyno_Data[HPAmp],"Y")</f>
        <v>1</v>
      </c>
      <c r="AH98">
        <f>SUMIFS(Dyno_Data[Leave], Dyno_Data[Team],TBA_Matches_All[[#This Row],[Team]],Dyno_Data[Match],TBA_Matches_All[[#This Row],[Match_Number]],Dyno_Data[RecordType],"EndAuto")</f>
        <v>0</v>
      </c>
      <c r="AI98">
        <f>COUNTIFS(Dyno_Data[Team],TBA_Matches_All[[#This Row],[Team]],Dyno_Data[Match],TBA_Matches_All[[#This Row],[Match_Number]],Dyno_Data[RecordType],"Activities",Dyno_Data[DelDest],"Amp", Dyno_Data[DelMiss],"0", Dyno_Data[Mode],"Auto")</f>
        <v>0</v>
      </c>
      <c r="AJ98">
        <f>COUNTIFS(Dyno_Data[Team],TBA_Matches_All[[#This Row],[Team]],Dyno_Data[Match],TBA_Matches_All[[#This Row],[Match_Number]],Dyno_Data[RecordType],"Activities",Dyno_Data[DelDest],"Spkr", Dyno_Data[DelMiss],"0", Dyno_Data[Mode],"Auto")</f>
        <v>2</v>
      </c>
      <c r="AK98">
        <f>COUNTIFS(Dyno_Data[Team],TBA_Matches_All[[#This Row],[Team]],Dyno_Data[Match],TBA_Matches_All[[#This Row],[Match_Number]],Dyno_Data[RecordType],"Activities",Dyno_Data[DelDest],"Trap", Dyno_Data[DelMiss],"0", Dyno_Data[Mode],"Auto")</f>
        <v>0</v>
      </c>
      <c r="AL98">
        <f>COUNTIFS(Dyno_Data[Team],TBA_Matches_All[[#This Row],[Team]],Dyno_Data[Match],TBA_Matches_All[[#This Row],[Match_Number]],Dyno_Data[RecordType],"Activities",Dyno_Data[DelDest],"Amp", Dyno_Data[DelMiss],"0", Dyno_Data[Mode],"Teleop")</f>
        <v>4</v>
      </c>
      <c r="AM98">
        <f>COUNTIFS(Dyno_Data[Team],TBA_Matches_All[[#This Row],[Team]],Dyno_Data[Match],TBA_Matches_All[[#This Row],[Match_Number]],Dyno_Data[RecordType],"Activities",Dyno_Data[DelDest],"Spkr", Dyno_Data[DelMiss],"0", Dyno_Data[Mode],"Teleop")</f>
        <v>4</v>
      </c>
      <c r="AN98">
        <f>COUNTIFS(Dyno_Data[Team],TBA_Matches_All[[#This Row],[Team]],Dyno_Data[Match],TBA_Matches_All[[#This Row],[Match_Number]],Dyno_Data[RecordType],"Activities",Dyno_Data[DelDest],"Trap", Dyno_Data[DelMiss],"0", Dyno_Data[Mode],"&lt;&gt;Auto")</f>
        <v>0</v>
      </c>
      <c r="AO98">
        <f>SUM(TBA_Matches_All[[#This Row],[AampT]]+TBA_Matches_All[[#This Row],[AspkrT]]+TBA_Matches_All[[#This Row],[AtrapT]]+TBA_Matches_All[[#This Row],[TampT]]+TBA_Matches_All[[#This Row],[TspkrT]]+TBA_Matches_All[[#This Row],[TtrapT]])</f>
        <v>10</v>
      </c>
      <c r="AP98">
        <f>COUNTIFS(Dyno_Data[Team],TBA_Matches_All[[#This Row],[Team]],Dyno_Data[Match],TBA_Matches_All[[#This Row],[Match_Number]],Dyno_Data[RecordType],"Activities",Dyno_Data[DelDest],"Neut", Dyno_Data[DelMiss],"0")</f>
        <v>0</v>
      </c>
      <c r="AQ98">
        <f>COUNTIFS(Dyno_Data[Team],TBA_Matches_All[[#This Row],[Team]],Dyno_Data[Match],TBA_Matches_All[[#This Row],[Match_Number]],Dyno_Data[RecordType],"Activities",Dyno_Data[DelDest],"AllyW", Dyno_Data[DelMiss],"0")</f>
        <v>0</v>
      </c>
      <c r="AR98" t="str">
        <f>_xlfn.XLOOKUP(SUM(MID(TBA_Matches_All[[#This Row],[Team]],4,5),(TBA_Matches_All[[#This Row],[Match_Number]]/100)),Dyno_EndMatch[teammat],Dyno_EndMatch[RobotSta],"_",0,1)</f>
        <v>SubW</v>
      </c>
      <c r="AS98">
        <f>SUMIFS(Dyno_Data[AcqDis], Dyno_Data[Team],TBA_Matches_All[[#This Row],[Team]],Dyno_Data[Match],TBA_Matches_All[[#This Row],[Match_Number]],Dyno_Data[RecordType],"Activities", Dyno_Data[AcqCenter],1,Dyno_Data[Mode],"Auto")</f>
        <v>0</v>
      </c>
      <c r="AT98">
        <f>SUMIFS(Dyno_Data[AcqDis], Dyno_Data[Team],TBA_Matches_All[[#This Row],[Team]],Dyno_Data[Match],TBA_Matches_All[[#This Row],[Match_Number]],Dyno_Data[RecordType],"Activities", Dyno_Data[AcqCenter],2,Dyno_Data[Mode],"Auto")</f>
        <v>0</v>
      </c>
      <c r="AU98">
        <f>SUMIFS(Dyno_Data[AcqDis], Dyno_Data[Team],TBA_Matches_All[[#This Row],[Team]],Dyno_Data[Match],TBA_Matches_All[[#This Row],[Match_Number]],Dyno_Data[RecordType],"Activities", Dyno_Data[AcqCenter],3,Dyno_Data[Mode],"Auto")</f>
        <v>0</v>
      </c>
      <c r="AV98">
        <f>SUMIFS(Dyno_Data[AcqDis], Dyno_Data[Team],TBA_Matches_All[[#This Row],[Team]],Dyno_Data[Match],TBA_Matches_All[[#This Row],[Match_Number]],Dyno_Data[RecordType],"Activities", Dyno_Data[AcqCenter],4,Dyno_Data[Mode],"Auto")</f>
        <v>0</v>
      </c>
      <c r="AW98">
        <f>SUMIFS(Dyno_Data[AcqDis], Dyno_Data[Team],TBA_Matches_All[[#This Row],[Team]],Dyno_Data[Match],TBA_Matches_All[[#This Row],[Match_Number]],Dyno_Data[RecordType],"Activities", Dyno_Data[AcqCenter],5,Dyno_Data[Mode],"Auto")</f>
        <v>0</v>
      </c>
      <c r="AX98">
        <f>SUMIFS(Dyno_Data[DelMiss], Dyno_Data[Team],TBA_Matches_All[[#This Row],[Team]],Dyno_Data[Match],TBA_Matches_All[[#This Row],[Match_Number]],Dyno_Data[RecordType],"Activities", Dyno_Data[DelDest],"Amp")</f>
        <v>0</v>
      </c>
      <c r="AY98" s="60">
        <f>IFERROR(SUM((TBA_Matches_All[[#This Row],[AampT]]+TBA_Matches_All[[#This Row],[TampT]])/(TBA_Matches_All[[#This Row],[AampT]]+TBA_Matches_All[[#This Row],[TampT]]+TBA_Matches_All[[#This Row],[ampM]])),0)</f>
        <v>1</v>
      </c>
      <c r="AZ98">
        <f>SUMIFS(Dyno_Data[DelMiss], Dyno_Data[Team],TBA_Matches_All[[#This Row],[Team]],Dyno_Data[Match],TBA_Matches_All[[#This Row],[Match_Number]],Dyno_Data[RecordType],"Activities", Dyno_Data[DelDest],"Spkr")</f>
        <v>0</v>
      </c>
      <c r="BA98" s="60">
        <f>IFERROR(SUM((TBA_Matches_All[[#This Row],[AspkrT]]+TBA_Matches_All[[#This Row],[TspkrT]])/(TBA_Matches_All[[#This Row],[AspkrT]]+TBA_Matches_All[[#This Row],[TspkrT]]+TBA_Matches_All[[#This Row],[spkrM]])),0)</f>
        <v>1</v>
      </c>
      <c r="BB98">
        <f>SUMIFS(Dyno_Data[DelMiss], Dyno_Data[Team],TBA_Matches_All[[#This Row],[Team]],Dyno_Data[Match],TBA_Matches_All[[#This Row],[Match_Number]],Dyno_Data[RecordType],"Activities", Dyno_Data[DelDest],"Trap")</f>
        <v>0</v>
      </c>
      <c r="BC98" s="60">
        <f>IFERROR((TBA_Matches_All[[#This Row],[AtrapT]]+TBA_Matches_All[[#This Row],[TtrapT]])/(TBA_Matches_All[[#This Row],[AtrapT]]+TBA_Matches_All[[#This Row],[TtrapT]]+TBA_Matches_All[[#This Row],[trapM]]),0)</f>
        <v>0</v>
      </c>
      <c r="BD98">
        <f>COUNTIFS(Dyno_Data[Team],TBA_Matches_All[[#This Row],[Team]],Dyno_Data[Match],TBA_Matches_All[[#This Row],[Match_Number]],Dyno_Data[RecordType],"Activities",Dyno_Data[DelDest],"Neut", Dyno_Data[DelMiss],1)</f>
        <v>0</v>
      </c>
      <c r="BE98" s="60">
        <f>IFERROR(SUM((TBA_Matches_All[[#This Row],[NeutFlrT]])/(TBA_Matches_All[[#This Row],[NeutFlrT]]+TBA_Matches_All[[#This Row],[NZflM]])),0)</f>
        <v>0</v>
      </c>
      <c r="BF98">
        <f>COUNTIFS(Dyno_Data[Team],TBA_Matches_All[[#This Row],[Team]],Dyno_Data[Match],TBA_Matches_All[[#This Row],[Match_Number]],Dyno_Data[RecordType],"Activities",Dyno_Data[DelDest],"AllyW", Dyno_Data[DelMiss],1)</f>
        <v>0</v>
      </c>
      <c r="BG98" s="60">
        <f>IFERROR(SUM((TBA_Matches_All[[#This Row],[AllyWFlrT]])/(TBA_Matches_All[[#This Row],[AllyWFlrT]]+TBA_Matches_All[[#This Row],[AZflM]])),0)</f>
        <v>0</v>
      </c>
      <c r="BH98">
        <f>COUNTIFS(Dyno_Data[Team],TBA_Matches_All[[#This Row],[Team]],Dyno_Data[Match],TBA_Matches_All[[#This Row],[Match_Number]],Dyno_Data[RecordType],"Activities",Dyno_Data[DelOrig],"OppW", Dyno_Data[DelMiss],"0")</f>
        <v>0</v>
      </c>
      <c r="BI98">
        <f>COUNTIFS(Dyno_Data[Team],TBA_Matches_All[[#This Row],[Team]],Dyno_Data[Match],TBA_Matches_All[[#This Row],[Match_Number]],Dyno_Data[RecordType],"Activities",Dyno_Data[DelOrig],"OppW", Dyno_Data[DelMiss],"1")</f>
        <v>0</v>
      </c>
      <c r="BJ98" s="60">
        <f>IFERROR(SUM((TBA_Matches_All[[#This Row],[OZflrT]])/(TBA_Matches_All[[#This Row],[OZflrT]]+TBA_Matches_All[[#This Row],[OZflrM]])),0)</f>
        <v>0</v>
      </c>
      <c r="BK98">
        <f>COUNTIFS(Dyno_Data[Team],TBA_Matches_All[[#This Row],[Team]],Dyno_Data[Match],TBA_Matches_All[[#This Row],[Match_Number]],Dyno_Data[RecordType],"Activities",Dyno_Data[DelOrig],"Neut", Dyno_Data[DelMiss],"0")</f>
        <v>0</v>
      </c>
      <c r="BL98">
        <f>COUNTIFS(Dyno_Data[Team],TBA_Matches_All[[#This Row],[Team]],Dyno_Data[Match],TBA_Matches_All[[#This Row],[Match_Number]],Dyno_Data[RecordType],"Activities",Dyno_Data[DelOrig],"Neut", Dyno_Data[DelMiss],"1")</f>
        <v>0</v>
      </c>
      <c r="BM98" s="60">
        <f>IFERROR(SUM((TBA_Matches_All[[#This Row],[NZflrT]])/(TBA_Matches_All[[#This Row],[NZflrT]]+TBA_Matches_All[[#This Row],[NZflrM]])),0)</f>
        <v>0</v>
      </c>
      <c r="BN98">
        <f>COUNTIFS(Dyno_Data[Team],TBA_Matches_All[[#This Row],[Team]],Dyno_Data[Match],TBA_Matches_All[[#This Row],[Match_Number]],Dyno_Data[RecordType],"Activities",Dyno_Data[DelOrig],"AllyW", Dyno_Data[DelMiss],"0")</f>
        <v>8</v>
      </c>
      <c r="BO98">
        <f>COUNTIFS(Dyno_Data[Team],TBA_Matches_All[[#This Row],[Team]],Dyno_Data[Match],TBA_Matches_All[[#This Row],[Match_Number]],Dyno_Data[RecordType],"Activities",Dyno_Data[DelOrig],"AllyW", Dyno_Data[DelMiss],"1")</f>
        <v>0</v>
      </c>
      <c r="BP98" s="60">
        <f>IFERROR(SUM((TBA_Matches_All[[#This Row],[AZflrT]])/(TBA_Matches_All[[#This Row],[AZflrT]]+TBA_Matches_All[[#This Row],[AZflrM]])),0)</f>
        <v>1</v>
      </c>
      <c r="BQ98">
        <f>COUNTIFS(Dyno_Data[Team],TBA_Matches_All[[#This Row],[Team]],Dyno_Data[Match],TBA_Matches_All[[#This Row],[Match_Number]],Dyno_Data[RecordType],"Activities",Dyno_Data[DelOrig],"SubW", Dyno_Data[DelMiss],"0")</f>
        <v>2</v>
      </c>
      <c r="BR98">
        <f>COUNTIFS(Dyno_Data[Team],TBA_Matches_All[[#This Row],[Team]],Dyno_Data[Match],TBA_Matches_All[[#This Row],[Match_Number]],Dyno_Data[RecordType],"Activities",Dyno_Data[DelOrig],"SubW", Dyno_Data[DelMiss],"1")</f>
        <v>0</v>
      </c>
      <c r="BS98" s="60">
        <f>IFERROR(SUM((TBA_Matches_All[[#This Row],[SubwT]])/(TBA_Matches_All[[#This Row],[SubwT]]+TBA_Matches_All[[#This Row],[SubwM]])),0)</f>
        <v>1</v>
      </c>
      <c r="BT98">
        <f>COUNTIFS(Dyno_Data[Team],TBA_Matches_All[[#This Row],[Team]],Dyno_Data[Match],TBA_Matches_All[[#This Row],[Match_Number]],Dyno_Data[RecordType],"Activities", Dyno_Data[AcqLoc],"OppWing")</f>
        <v>0</v>
      </c>
      <c r="BU98">
        <f>COUNTIFS(Dyno_Data[Team],TBA_Matches_All[[#This Row],[Team]],Dyno_Data[Match],TBA_Matches_All[[#This Row],[Match_Number]],Dyno_Data[RecordType],"Activities", Dyno_Data[AcqLoc],"Neutral")</f>
        <v>0</v>
      </c>
      <c r="BV98">
        <f>COUNTIFS(Dyno_Data[Team],TBA_Matches_All[[#This Row],[Team]],Dyno_Data[Match],TBA_Matches_All[[#This Row],[Match_Number]],Dyno_Data[RecordType],"Activities", Dyno_Data[AcqLoc],"AllyWing")</f>
        <v>1</v>
      </c>
      <c r="BW98">
        <f>COUNTIFS(Dyno_Data[Team],TBA_Matches_All[[#This Row],[Team]],Dyno_Data[Match],TBA_Matches_All[[#This Row],[Match_Number]],Dyno_Data[RecordType],"Activities", Dyno_Data[AcqLoc],"Source")</f>
        <v>0</v>
      </c>
      <c r="BX98">
        <f>SUMIFS(Dyno_Data[AcqDrp], Dyno_Data[Team],TBA_Matches_All[[#This Row],[Team]],Dyno_Data[Match],TBA_Matches_All[[#This Row],[Match_Number]],Dyno_Data[RecordType],"Activities", Dyno_Data[AcqLoc],"Source")</f>
        <v>0</v>
      </c>
      <c r="BY98">
        <f>SUMIFS(Dyno_Data[OZTime], Dyno_Data[Team],TBA_Matches_All[[#This Row],[Team]],Dyno_Data[Match],TBA_Matches_All[[#This Row],[Match_Number]],Dyno_Data[RecordType],"EndMatch")</f>
        <v>34.672804899999996</v>
      </c>
      <c r="BZ98">
        <f>SUMIFS(Dyno_Data[NZTime], Dyno_Data[Team],TBA_Matches_All[[#This Row],[Team]],Dyno_Data[Match],TBA_Matches_All[[#This Row],[Match_Number]],Dyno_Data[RecordType],"EndMatch")</f>
        <v>20.395621899999998</v>
      </c>
      <c r="CA98">
        <f>SUMIFS(Dyno_Data[AZTime], Dyno_Data[Team],TBA_Matches_All[[#This Row],[Team]],Dyno_Data[Match],TBA_Matches_All[[#This Row],[Match_Number]],Dyno_Data[RecordType],"EndMatch")</f>
        <v>77.448165099999997</v>
      </c>
      <c r="CB98">
        <f>SUMIFS(Dyno_Data[ClimbT], Dyno_Data[Team],TBA_Matches_All[[#This Row],[Team]],Dyno_Data[Match],TBA_Matches_All[[#This Row],[Match_Number]],Dyno_Data[RecordType],"EndMatch")</f>
        <v>0</v>
      </c>
      <c r="CC98" t="str">
        <f>_xlfn.XLOOKUP(SUM(MID(TBA_Matches_All[[#This Row],[Team]],4,5),(TBA_Matches_All[[#This Row],[Match_Number]]/100)),Dyno_EndMatch[teammat],Dyno_EndMatch[StageStat],"_",0,1)</f>
        <v>Park</v>
      </c>
      <c r="CD98" t="str">
        <f>_xlfn.XLOOKUP(TBA_Matches_All[[#This Row],[teammat]],Dyno_EndMatch[teammat],Dyno_EndMatch[StageAtt],"_",0,1)</f>
        <v>0</v>
      </c>
      <c r="CE98" t="str">
        <f>_xlfn.XLOOKUP(TBA_Matches_All[[#This Row],[teammat]],Dyno_EndMatch[teammat],Dyno_EndMatch[StageLoc],"_",0,1)</f>
        <v>A</v>
      </c>
      <c r="CF98">
        <f>SUMIFS(Dyno_Data[Harmony], Dyno_Data[Team],TBA_Matches_All[[#This Row],[Team]],Dyno_Data[Match],TBA_Matches_All[[#This Row],[Match_Number]],Dyno_Data[RecordType],"EndMatch", Dyno_Data[StageStat],"On",Dyno_Data[Harmony],"&lt;&gt;9")</f>
        <v>0</v>
      </c>
      <c r="CG98">
        <f>SUMIFS(Dyno_Data[Spotlit], Dyno_Data[Team],TBA_Matches_All[[#This Row],[Team]],Dyno_Data[Match],TBA_Matches_All[[#This Row],[Match_Number]],Dyno_Data[RecordType],"EndMatch", Dyno_Data[StageStat],"On",Dyno_Data[Spotlit],"&lt;&gt;9")</f>
        <v>0</v>
      </c>
      <c r="CH98" t="str">
        <f>_xlfn.XLOOKUP(TBA_Matches_All[[#This Row],[teammat]],Dyno_EndMatch[teammat],Dyno_EndMatch[Strategy],"_",0,1)</f>
        <v>Hybrid</v>
      </c>
      <c r="CI98">
        <f>SUMIFS(Dyno_Data[Defense], Dyno_Data[Team],TBA_Matches_All[[#This Row],[Team]],Dyno_Data[Match],TBA_Matches_All[[#This Row],[Match_Number]],Dyno_Data[RecordType],"EndMatch",Dyno_Data[Defense],"&lt;&gt;9")</f>
        <v>0</v>
      </c>
      <c r="CJ98">
        <f>SUMIFS(Dyno_Data[Avoidance], Dyno_Data[Team],TBA_Matches_All[[#This Row],[Team]],Dyno_Data[Match],TBA_Matches_All[[#This Row],[Match_Number]],Dyno_Data[RecordType],"EndMatch",Dyno_Data[Avoidance],"&lt;&gt;9")</f>
        <v>1</v>
      </c>
      <c r="CK98" s="82">
        <f>COUNTIF($H$2:TBA_Matches_All[[#This Row],[Team]],TBA_Matches_All[[#This Row],[Team]])</f>
        <v>2</v>
      </c>
      <c r="CL98" s="111">
        <f>SUM(MID(TBA_Matches_All[[#This Row],[Team]],4,5)+TBA_Matches_All[[#This Row],[Match_Number]]/100)</f>
        <v>1511.16</v>
      </c>
      <c r="CM98">
        <f>SUM((TBA_Matches_All[[#This Row],[Leave]]*2)+(TBA_Matches_All[[#This Row],[AampT]]*2)+(TBA_Matches_All[[#This Row],[AspkrT]]*5)+(TBA_Matches_All[[#This Row],[AtrapT]]*5))</f>
        <v>10</v>
      </c>
      <c r="CN98" s="59">
        <f>IFERROR(SUM(TBA_Matches_All[[#This Row],[AptsT]]/TBA_Matches_All[[#This Row],[AutoPts]]),0)</f>
        <v>0.47619047619047616</v>
      </c>
      <c r="CO98" s="59">
        <f>IFERROR(SUM(TBA_Matches_All[[#This Row],[AampT]]+TBA_Matches_All[[#This Row],[AspkrT]]+TBA_Matches_All[[#This Row],[AtrapT]]/TBA_Matches_All[[#This Row],[Aamp]]+TBA_Matches_All[[#This Row],[Aspkr]]+TBA_Matches_All[[#This Row],[AtrapT]]),0)</f>
        <v>0</v>
      </c>
      <c r="CP98" s="59">
        <f>IFERROR(SUM(TBA_Matches_All[[#This Row],[TampT]]/TBA_Matches_All[[#This Row],[Tamp]]),0)</f>
        <v>0.66666666666666663</v>
      </c>
      <c r="CQ98" s="59">
        <f>IFERROR(SUM(TBA_Matches_All[[#This Row],[TspkrT]]/TBA_Matches_All[[#This Row],[Tspkr]]),0)</f>
        <v>1</v>
      </c>
      <c r="CR98">
        <f>SUM(TBA_Matches_All[[#This Row],[TspkrPts]]*TBA_Matches_All[[#This Row],[TspkrP]])</f>
        <v>17</v>
      </c>
      <c r="CS98" s="59">
        <f>IFERROR(SUM(TBA_Matches_All[[#This Row],[TtrapT]]/TBA_Matches_All[[#This Row],[Trap]]),0)</f>
        <v>0</v>
      </c>
      <c r="CT98" s="59">
        <f>IFERROR(SUM(TBA_Matches_All[[#This Row],[TotNotesT]]/TBA_Matches_All[[#This Row],[TotNotes]]),0)</f>
        <v>0.76923076923076927</v>
      </c>
      <c r="CU98" s="66">
        <f>SUM((TBA_Matches_All[[#This Row],[AampT]]*2)+(TBA_Matches_All[[#This Row],[AspkrT]]*5)+(TBA_Matches_All[[#This Row],[AtrapT]]*5)+(TBA_Matches_All[[#This Row],[TampT]]*1)+(TBA_Matches_All[[#This Row],[TspkrptsC]]))</f>
        <v>31</v>
      </c>
      <c r="CV98" s="59">
        <f>IFERROR(TBA_Matches_All[[#This Row],[noteptsT]]/TBA_Matches_All[[#This Row],[NotePts]],0)</f>
        <v>0.81578947368421051</v>
      </c>
      <c r="CW98">
        <f>SUM(IF(TBA_Matches_All[[#This Row],[stageStat]]="On",3,0),IF(TBA_Matches_All[[#This Row],[stageStat]]="Park",1,0),SUMIFS(TBA_Matches_All[[#This Row],[Spotlit]],TBA_Matches_All[[#This Row],[stageStat]],"On"),SUMIFS(TBA_Matches_All[[#This Row],[Harmony]],TBA_Matches_All[[#This Row],[stageStat]],"On"))</f>
        <v>1</v>
      </c>
      <c r="CX98" s="59">
        <f>IFERROR(TBA_Matches_All[[#This Row],[stageptsT]]/TBA_Matches_All[[#This Row],[StagePts]],0)</f>
        <v>0.25</v>
      </c>
      <c r="CY98">
        <f>SUM((TBA_Matches_All[[#This Row],[AptsT]]+TBA_Matches_All[[#This Row],[TampT]]+TBA_Matches_All[[#This Row],[TspkrptsC]]+(TBA_Matches_All[[#This Row],[TtrapT]]*5)+TBA_Matches_All[[#This Row],[stageptsT]]))</f>
        <v>32</v>
      </c>
      <c r="CZ98" s="59">
        <f>IFERROR(SUM(TBA_Matches_All[[#This Row],[TotptsC]]/TBA_Matches_All[[#This Row],[Score]]),0)</f>
        <v>0.64</v>
      </c>
      <c r="DA9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8.5333333333333332</v>
      </c>
      <c r="DB98" s="74">
        <f>SUMIFS(TBA_Matches_All[AveTeamTNoteDels],TBA_Matches_All[Match_Number],TBA_Matches_All[[#This Row],[Match_Number]],TBA_Matches_All[Alliance],"&lt;&gt;"&amp;TBA_Matches_All[[#This Row],[Alliance]],TBA_Matches_All[Scouted],"&gt;0")</f>
        <v>31.245021645021644</v>
      </c>
      <c r="DC98" s="74">
        <f>(TBA_Matches_All[[#This Row],[TampT]]+TBA_Matches_All[[#This Row],[TspkrptsC]])-TBA_Matches_All[[#This Row],[AveTeamTNoteDels]]</f>
        <v>12.466666666666667</v>
      </c>
      <c r="DD98" s="74">
        <f>SUMIFS(TBA_Matches_All[AveTeamTNoteDels],TBA_Matches_All[Match_Number],TBA_Matches_All[[#This Row],[Match_Number]],TBA_Matches_All[Alliance],"&lt;&gt;"&amp;TBA_Matches_All[[#This Row],[Alliance]])-TBA_Matches_All[[#This Row],[AveOppTNoteDels]]</f>
        <v>0</v>
      </c>
    </row>
    <row r="99" spans="1:108" x14ac:dyDescent="0.3">
      <c r="A99" t="s">
        <v>1042</v>
      </c>
      <c r="B99" t="s">
        <v>489</v>
      </c>
      <c r="C99" t="s">
        <v>1326</v>
      </c>
      <c r="D99">
        <v>17</v>
      </c>
      <c r="E99" t="s">
        <v>1420</v>
      </c>
      <c r="F99" t="s">
        <v>1423</v>
      </c>
      <c r="G99" t="s">
        <v>1409</v>
      </c>
      <c r="H99" t="s">
        <v>373</v>
      </c>
      <c r="I99" t="b">
        <v>0</v>
      </c>
      <c r="J99">
        <v>29</v>
      </c>
      <c r="K99">
        <v>0</v>
      </c>
      <c r="L99">
        <v>0</v>
      </c>
      <c r="M99">
        <v>0</v>
      </c>
      <c r="N99">
        <v>0</v>
      </c>
      <c r="O99">
        <v>1</v>
      </c>
      <c r="P99">
        <v>5</v>
      </c>
      <c r="Q99">
        <v>9</v>
      </c>
      <c r="R99">
        <v>7</v>
      </c>
      <c r="S99">
        <v>0</v>
      </c>
      <c r="T99">
        <v>4</v>
      </c>
      <c r="U99">
        <v>0</v>
      </c>
      <c r="V99">
        <v>8</v>
      </c>
      <c r="W99">
        <v>4</v>
      </c>
      <c r="X99">
        <v>8</v>
      </c>
      <c r="Y99">
        <v>15</v>
      </c>
      <c r="Z99">
        <v>0</v>
      </c>
      <c r="AA99">
        <v>0</v>
      </c>
      <c r="AB99">
        <v>12</v>
      </c>
      <c r="AC99">
        <v>20</v>
      </c>
      <c r="AD99">
        <v>3</v>
      </c>
      <c r="AE99">
        <f>IFERROR(6/(COUNTIF(Dyno_EndMatch[Match],TBA_Matches_All[[#This Row],[Match_Number]])),0)</f>
        <v>1</v>
      </c>
      <c r="AF99">
        <f>COUNTIFS(Dyno_Data[Team],TBA_Matches_All[[#This Row],[Team]],Dyno_Data[Match],TBA_Matches_All[[#This Row],[Match_Number]],Dyno_Data[RecordType],"EndMatch",Dyno_Data[HPAmp],"Y")</f>
        <v>1</v>
      </c>
      <c r="AG99">
        <f>SUMIFS(Dyno_Data[Mics], Dyno_Data[Team],TBA_Matches_All[[#This Row],[Team]],Dyno_Data[Match],TBA_Matches_All[[#This Row],[Match_Number]],Dyno_Data[RecordType],"EndMatch",Dyno_Data[HPAmp],"Y")</f>
        <v>0</v>
      </c>
      <c r="AH99">
        <f>SUMIFS(Dyno_Data[Leave], Dyno_Data[Team],TBA_Matches_All[[#This Row],[Team]],Dyno_Data[Match],TBA_Matches_All[[#This Row],[Match_Number]],Dyno_Data[RecordType],"EndAuto")</f>
        <v>0</v>
      </c>
      <c r="AI99">
        <f>COUNTIFS(Dyno_Data[Team],TBA_Matches_All[[#This Row],[Team]],Dyno_Data[Match],TBA_Matches_All[[#This Row],[Match_Number]],Dyno_Data[RecordType],"Activities",Dyno_Data[DelDest],"Amp", Dyno_Data[DelMiss],"0", Dyno_Data[Mode],"Auto")</f>
        <v>0</v>
      </c>
      <c r="AJ99">
        <f>COUNTIFS(Dyno_Data[Team],TBA_Matches_All[[#This Row],[Team]],Dyno_Data[Match],TBA_Matches_All[[#This Row],[Match_Number]],Dyno_Data[RecordType],"Activities",Dyno_Data[DelDest],"Spkr", Dyno_Data[DelMiss],"0", Dyno_Data[Mode],"Auto")</f>
        <v>0</v>
      </c>
      <c r="AK99">
        <f>COUNTIFS(Dyno_Data[Team],TBA_Matches_All[[#This Row],[Team]],Dyno_Data[Match],TBA_Matches_All[[#This Row],[Match_Number]],Dyno_Data[RecordType],"Activities",Dyno_Data[DelDest],"Trap", Dyno_Data[DelMiss],"0", Dyno_Data[Mode],"Auto")</f>
        <v>0</v>
      </c>
      <c r="AL99">
        <f>COUNTIFS(Dyno_Data[Team],TBA_Matches_All[[#This Row],[Team]],Dyno_Data[Match],TBA_Matches_All[[#This Row],[Match_Number]],Dyno_Data[RecordType],"Activities",Dyno_Data[DelDest],"Amp", Dyno_Data[DelMiss],"0", Dyno_Data[Mode],"Teleop")</f>
        <v>0</v>
      </c>
      <c r="AM99">
        <f>COUNTIFS(Dyno_Data[Team],TBA_Matches_All[[#This Row],[Team]],Dyno_Data[Match],TBA_Matches_All[[#This Row],[Match_Number]],Dyno_Data[RecordType],"Activities",Dyno_Data[DelDest],"Spkr", Dyno_Data[DelMiss],"0", Dyno_Data[Mode],"Teleop")</f>
        <v>0</v>
      </c>
      <c r="AN99">
        <f>COUNTIFS(Dyno_Data[Team],TBA_Matches_All[[#This Row],[Team]],Dyno_Data[Match],TBA_Matches_All[[#This Row],[Match_Number]],Dyno_Data[RecordType],"Activities",Dyno_Data[DelDest],"Trap", Dyno_Data[DelMiss],"0", Dyno_Data[Mode],"&lt;&gt;Auto")</f>
        <v>0</v>
      </c>
      <c r="AO99">
        <f>SUM(TBA_Matches_All[[#This Row],[AampT]]+TBA_Matches_All[[#This Row],[AspkrT]]+TBA_Matches_All[[#This Row],[AtrapT]]+TBA_Matches_All[[#This Row],[TampT]]+TBA_Matches_All[[#This Row],[TspkrT]]+TBA_Matches_All[[#This Row],[TtrapT]])</f>
        <v>0</v>
      </c>
      <c r="AP99">
        <f>COUNTIFS(Dyno_Data[Team],TBA_Matches_All[[#This Row],[Team]],Dyno_Data[Match],TBA_Matches_All[[#This Row],[Match_Number]],Dyno_Data[RecordType],"Activities",Dyno_Data[DelDest],"Neut", Dyno_Data[DelMiss],"0")</f>
        <v>0</v>
      </c>
      <c r="AQ99">
        <f>COUNTIFS(Dyno_Data[Team],TBA_Matches_All[[#This Row],[Team]],Dyno_Data[Match],TBA_Matches_All[[#This Row],[Match_Number]],Dyno_Data[RecordType],"Activities",Dyno_Data[DelDest],"AllyW", Dyno_Data[DelMiss],"0")</f>
        <v>0</v>
      </c>
      <c r="AR99" t="str">
        <f>_xlfn.XLOOKUP(SUM(MID(TBA_Matches_All[[#This Row],[Team]],4,5),(TBA_Matches_All[[#This Row],[Match_Number]]/100)),Dyno_EndMatch[teammat],Dyno_EndMatch[RobotSta],"_",0,1)</f>
        <v>Podm</v>
      </c>
      <c r="AS99">
        <f>SUMIFS(Dyno_Data[AcqDis], Dyno_Data[Team],TBA_Matches_All[[#This Row],[Team]],Dyno_Data[Match],TBA_Matches_All[[#This Row],[Match_Number]],Dyno_Data[RecordType],"Activities", Dyno_Data[AcqCenter],1,Dyno_Data[Mode],"Auto")</f>
        <v>0</v>
      </c>
      <c r="AT99">
        <f>SUMIFS(Dyno_Data[AcqDis], Dyno_Data[Team],TBA_Matches_All[[#This Row],[Team]],Dyno_Data[Match],TBA_Matches_All[[#This Row],[Match_Number]],Dyno_Data[RecordType],"Activities", Dyno_Data[AcqCenter],2,Dyno_Data[Mode],"Auto")</f>
        <v>0</v>
      </c>
      <c r="AU99">
        <f>SUMIFS(Dyno_Data[AcqDis], Dyno_Data[Team],TBA_Matches_All[[#This Row],[Team]],Dyno_Data[Match],TBA_Matches_All[[#This Row],[Match_Number]],Dyno_Data[RecordType],"Activities", Dyno_Data[AcqCenter],3,Dyno_Data[Mode],"Auto")</f>
        <v>0</v>
      </c>
      <c r="AV99">
        <f>SUMIFS(Dyno_Data[AcqDis], Dyno_Data[Team],TBA_Matches_All[[#This Row],[Team]],Dyno_Data[Match],TBA_Matches_All[[#This Row],[Match_Number]],Dyno_Data[RecordType],"Activities", Dyno_Data[AcqCenter],4,Dyno_Data[Mode],"Auto")</f>
        <v>0</v>
      </c>
      <c r="AW99">
        <f>SUMIFS(Dyno_Data[AcqDis], Dyno_Data[Team],TBA_Matches_All[[#This Row],[Team]],Dyno_Data[Match],TBA_Matches_All[[#This Row],[Match_Number]],Dyno_Data[RecordType],"Activities", Dyno_Data[AcqCenter],5,Dyno_Data[Mode],"Auto")</f>
        <v>0</v>
      </c>
      <c r="AX99">
        <f>SUMIFS(Dyno_Data[DelMiss], Dyno_Data[Team],TBA_Matches_All[[#This Row],[Team]],Dyno_Data[Match],TBA_Matches_All[[#This Row],[Match_Number]],Dyno_Data[RecordType],"Activities", Dyno_Data[DelDest],"Amp")</f>
        <v>0</v>
      </c>
      <c r="AY99" s="60">
        <f>IFERROR(SUM((TBA_Matches_All[[#This Row],[AampT]]+TBA_Matches_All[[#This Row],[TampT]])/(TBA_Matches_All[[#This Row],[AampT]]+TBA_Matches_All[[#This Row],[TampT]]+TBA_Matches_All[[#This Row],[ampM]])),0)</f>
        <v>0</v>
      </c>
      <c r="AZ99">
        <f>SUMIFS(Dyno_Data[DelMiss], Dyno_Data[Team],TBA_Matches_All[[#This Row],[Team]],Dyno_Data[Match],TBA_Matches_All[[#This Row],[Match_Number]],Dyno_Data[RecordType],"Activities", Dyno_Data[DelDest],"Spkr")</f>
        <v>0</v>
      </c>
      <c r="BA99" s="60">
        <f>IFERROR(SUM((TBA_Matches_All[[#This Row],[AspkrT]]+TBA_Matches_All[[#This Row],[TspkrT]])/(TBA_Matches_All[[#This Row],[AspkrT]]+TBA_Matches_All[[#This Row],[TspkrT]]+TBA_Matches_All[[#This Row],[spkrM]])),0)</f>
        <v>0</v>
      </c>
      <c r="BB99">
        <f>SUMIFS(Dyno_Data[DelMiss], Dyno_Data[Team],TBA_Matches_All[[#This Row],[Team]],Dyno_Data[Match],TBA_Matches_All[[#This Row],[Match_Number]],Dyno_Data[RecordType],"Activities", Dyno_Data[DelDest],"Trap")</f>
        <v>0</v>
      </c>
      <c r="BC99" s="60">
        <f>IFERROR((TBA_Matches_All[[#This Row],[AtrapT]]+TBA_Matches_All[[#This Row],[TtrapT]])/(TBA_Matches_All[[#This Row],[AtrapT]]+TBA_Matches_All[[#This Row],[TtrapT]]+TBA_Matches_All[[#This Row],[trapM]]),0)</f>
        <v>0</v>
      </c>
      <c r="BD99">
        <f>COUNTIFS(Dyno_Data[Team],TBA_Matches_All[[#This Row],[Team]],Dyno_Data[Match],TBA_Matches_All[[#This Row],[Match_Number]],Dyno_Data[RecordType],"Activities",Dyno_Data[DelDest],"Neut", Dyno_Data[DelMiss],1)</f>
        <v>0</v>
      </c>
      <c r="BE99" s="60">
        <f>IFERROR(SUM((TBA_Matches_All[[#This Row],[NeutFlrT]])/(TBA_Matches_All[[#This Row],[NeutFlrT]]+TBA_Matches_All[[#This Row],[NZflM]])),0)</f>
        <v>0</v>
      </c>
      <c r="BF99">
        <f>COUNTIFS(Dyno_Data[Team],TBA_Matches_All[[#This Row],[Team]],Dyno_Data[Match],TBA_Matches_All[[#This Row],[Match_Number]],Dyno_Data[RecordType],"Activities",Dyno_Data[DelDest],"AllyW", Dyno_Data[DelMiss],1)</f>
        <v>0</v>
      </c>
      <c r="BG99" s="60">
        <f>IFERROR(SUM((TBA_Matches_All[[#This Row],[AllyWFlrT]])/(TBA_Matches_All[[#This Row],[AllyWFlrT]]+TBA_Matches_All[[#This Row],[AZflM]])),0)</f>
        <v>0</v>
      </c>
      <c r="BH99">
        <f>COUNTIFS(Dyno_Data[Team],TBA_Matches_All[[#This Row],[Team]],Dyno_Data[Match],TBA_Matches_All[[#This Row],[Match_Number]],Dyno_Data[RecordType],"Activities",Dyno_Data[DelOrig],"OppW", Dyno_Data[DelMiss],"0")</f>
        <v>0</v>
      </c>
      <c r="BI99">
        <f>COUNTIFS(Dyno_Data[Team],TBA_Matches_All[[#This Row],[Team]],Dyno_Data[Match],TBA_Matches_All[[#This Row],[Match_Number]],Dyno_Data[RecordType],"Activities",Dyno_Data[DelOrig],"OppW", Dyno_Data[DelMiss],"1")</f>
        <v>0</v>
      </c>
      <c r="BJ99" s="60">
        <f>IFERROR(SUM((TBA_Matches_All[[#This Row],[OZflrT]])/(TBA_Matches_All[[#This Row],[OZflrT]]+TBA_Matches_All[[#This Row],[OZflrM]])),0)</f>
        <v>0</v>
      </c>
      <c r="BK99">
        <f>COUNTIFS(Dyno_Data[Team],TBA_Matches_All[[#This Row],[Team]],Dyno_Data[Match],TBA_Matches_All[[#This Row],[Match_Number]],Dyno_Data[RecordType],"Activities",Dyno_Data[DelOrig],"Neut", Dyno_Data[DelMiss],"0")</f>
        <v>0</v>
      </c>
      <c r="BL99">
        <f>COUNTIFS(Dyno_Data[Team],TBA_Matches_All[[#This Row],[Team]],Dyno_Data[Match],TBA_Matches_All[[#This Row],[Match_Number]],Dyno_Data[RecordType],"Activities",Dyno_Data[DelOrig],"Neut", Dyno_Data[DelMiss],"1")</f>
        <v>0</v>
      </c>
      <c r="BM99" s="60">
        <f>IFERROR(SUM((TBA_Matches_All[[#This Row],[NZflrT]])/(TBA_Matches_All[[#This Row],[NZflrT]]+TBA_Matches_All[[#This Row],[NZflrM]])),0)</f>
        <v>0</v>
      </c>
      <c r="BN99">
        <f>COUNTIFS(Dyno_Data[Team],TBA_Matches_All[[#This Row],[Team]],Dyno_Data[Match],TBA_Matches_All[[#This Row],[Match_Number]],Dyno_Data[RecordType],"Activities",Dyno_Data[DelOrig],"AllyW", Dyno_Data[DelMiss],"0")</f>
        <v>0</v>
      </c>
      <c r="BO99">
        <f>COUNTIFS(Dyno_Data[Team],TBA_Matches_All[[#This Row],[Team]],Dyno_Data[Match],TBA_Matches_All[[#This Row],[Match_Number]],Dyno_Data[RecordType],"Activities",Dyno_Data[DelOrig],"AllyW", Dyno_Data[DelMiss],"1")</f>
        <v>0</v>
      </c>
      <c r="BP99" s="60">
        <f>IFERROR(SUM((TBA_Matches_All[[#This Row],[AZflrT]])/(TBA_Matches_All[[#This Row],[AZflrT]]+TBA_Matches_All[[#This Row],[AZflrM]])),0)</f>
        <v>0</v>
      </c>
      <c r="BQ99">
        <f>COUNTIFS(Dyno_Data[Team],TBA_Matches_All[[#This Row],[Team]],Dyno_Data[Match],TBA_Matches_All[[#This Row],[Match_Number]],Dyno_Data[RecordType],"Activities",Dyno_Data[DelOrig],"SubW", Dyno_Data[DelMiss],"0")</f>
        <v>0</v>
      </c>
      <c r="BR99">
        <f>COUNTIFS(Dyno_Data[Team],TBA_Matches_All[[#This Row],[Team]],Dyno_Data[Match],TBA_Matches_All[[#This Row],[Match_Number]],Dyno_Data[RecordType],"Activities",Dyno_Data[DelOrig],"SubW", Dyno_Data[DelMiss],"1")</f>
        <v>0</v>
      </c>
      <c r="BS99" s="60">
        <f>IFERROR(SUM((TBA_Matches_All[[#This Row],[SubwT]])/(TBA_Matches_All[[#This Row],[SubwT]]+TBA_Matches_All[[#This Row],[SubwM]])),0)</f>
        <v>0</v>
      </c>
      <c r="BT99">
        <f>COUNTIFS(Dyno_Data[Team],TBA_Matches_All[[#This Row],[Team]],Dyno_Data[Match],TBA_Matches_All[[#This Row],[Match_Number]],Dyno_Data[RecordType],"Activities", Dyno_Data[AcqLoc],"OppWing")</f>
        <v>0</v>
      </c>
      <c r="BU99">
        <f>COUNTIFS(Dyno_Data[Team],TBA_Matches_All[[#This Row],[Team]],Dyno_Data[Match],TBA_Matches_All[[#This Row],[Match_Number]],Dyno_Data[RecordType],"Activities", Dyno_Data[AcqLoc],"Neutral")</f>
        <v>0</v>
      </c>
      <c r="BV99">
        <f>COUNTIFS(Dyno_Data[Team],TBA_Matches_All[[#This Row],[Team]],Dyno_Data[Match],TBA_Matches_All[[#This Row],[Match_Number]],Dyno_Data[RecordType],"Activities", Dyno_Data[AcqLoc],"AllyWing")</f>
        <v>0</v>
      </c>
      <c r="BW99">
        <f>COUNTIFS(Dyno_Data[Team],TBA_Matches_All[[#This Row],[Team]],Dyno_Data[Match],TBA_Matches_All[[#This Row],[Match_Number]],Dyno_Data[RecordType],"Activities", Dyno_Data[AcqLoc],"Source")</f>
        <v>0</v>
      </c>
      <c r="BX99">
        <f>SUMIFS(Dyno_Data[AcqDrp], Dyno_Data[Team],TBA_Matches_All[[#This Row],[Team]],Dyno_Data[Match],TBA_Matches_All[[#This Row],[Match_Number]],Dyno_Data[RecordType],"Activities", Dyno_Data[AcqLoc],"Source")</f>
        <v>0</v>
      </c>
      <c r="BY99">
        <f>SUMIFS(Dyno_Data[OZTime], Dyno_Data[Team],TBA_Matches_All[[#This Row],[Team]],Dyno_Data[Match],TBA_Matches_All[[#This Row],[Match_Number]],Dyno_Data[RecordType],"EndMatch")</f>
        <v>0</v>
      </c>
      <c r="BZ99">
        <f>SUMIFS(Dyno_Data[NZTime], Dyno_Data[Team],TBA_Matches_All[[#This Row],[Team]],Dyno_Data[Match],TBA_Matches_All[[#This Row],[Match_Number]],Dyno_Data[RecordType],"EndMatch")</f>
        <v>39.536111999999996</v>
      </c>
      <c r="CA99">
        <f>SUMIFS(Dyno_Data[AZTime], Dyno_Data[Team],TBA_Matches_All[[#This Row],[Team]],Dyno_Data[Match],TBA_Matches_All[[#This Row],[Match_Number]],Dyno_Data[RecordType],"EndMatch")</f>
        <v>72.081060800000003</v>
      </c>
      <c r="CB99">
        <f>SUMIFS(Dyno_Data[ClimbT], Dyno_Data[Team],TBA_Matches_All[[#This Row],[Team]],Dyno_Data[Match],TBA_Matches_All[[#This Row],[Match_Number]],Dyno_Data[RecordType],"EndMatch")</f>
        <v>13.0777629</v>
      </c>
      <c r="CC99" t="str">
        <f>_xlfn.XLOOKUP(SUM(MID(TBA_Matches_All[[#This Row],[Team]],4,5),(TBA_Matches_All[[#This Row],[Match_Number]]/100)),Dyno_EndMatch[teammat],Dyno_EndMatch[StageStat],"_",0,1)</f>
        <v>Park</v>
      </c>
      <c r="CD99" t="str">
        <f>_xlfn.XLOOKUP(TBA_Matches_All[[#This Row],[teammat]],Dyno_EndMatch[teammat],Dyno_EndMatch[StageAtt],"_",0,1)</f>
        <v>-1</v>
      </c>
      <c r="CE99" t="str">
        <f>_xlfn.XLOOKUP(TBA_Matches_All[[#This Row],[teammat]],Dyno_EndMatch[teammat],Dyno_EndMatch[StageLoc],"_",0,1)</f>
        <v>A</v>
      </c>
      <c r="CF99">
        <f>SUMIFS(Dyno_Data[Harmony], Dyno_Data[Team],TBA_Matches_All[[#This Row],[Team]],Dyno_Data[Match],TBA_Matches_All[[#This Row],[Match_Number]],Dyno_Data[RecordType],"EndMatch", Dyno_Data[StageStat],"On",Dyno_Data[Harmony],"&lt;&gt;9")</f>
        <v>0</v>
      </c>
      <c r="CG99">
        <f>SUMIFS(Dyno_Data[Spotlit], Dyno_Data[Team],TBA_Matches_All[[#This Row],[Team]],Dyno_Data[Match],TBA_Matches_All[[#This Row],[Match_Number]],Dyno_Data[RecordType],"EndMatch", Dyno_Data[StageStat],"On",Dyno_Data[Spotlit],"&lt;&gt;9")</f>
        <v>0</v>
      </c>
      <c r="CH99" t="str">
        <f>_xlfn.XLOOKUP(TBA_Matches_All[[#This Row],[teammat]],Dyno_EndMatch[teammat],Dyno_EndMatch[Strategy],"_",0,1)</f>
        <v>Defense</v>
      </c>
      <c r="CI99">
        <f>SUMIFS(Dyno_Data[Defense], Dyno_Data[Team],TBA_Matches_All[[#This Row],[Team]],Dyno_Data[Match],TBA_Matches_All[[#This Row],[Match_Number]],Dyno_Data[RecordType],"EndMatch",Dyno_Data[Defense],"&lt;&gt;9")</f>
        <v>1</v>
      </c>
      <c r="CJ99">
        <f>SUMIFS(Dyno_Data[Avoidance], Dyno_Data[Team],TBA_Matches_All[[#This Row],[Team]],Dyno_Data[Match],TBA_Matches_All[[#This Row],[Match_Number]],Dyno_Data[RecordType],"EndMatch",Dyno_Data[Avoidance],"&lt;&gt;9")</f>
        <v>0</v>
      </c>
      <c r="CK99" s="82">
        <f>COUNTIF($H$2:TBA_Matches_All[[#This Row],[Team]],TBA_Matches_All[[#This Row],[Team]])</f>
        <v>2</v>
      </c>
      <c r="CL99" s="111">
        <f>SUM(MID(TBA_Matches_All[[#This Row],[Team]],4,5)+TBA_Matches_All[[#This Row],[Match_Number]]/100)</f>
        <v>7718.17</v>
      </c>
      <c r="CM99">
        <f>SUM((TBA_Matches_All[[#This Row],[Leave]]*2)+(TBA_Matches_All[[#This Row],[AampT]]*2)+(TBA_Matches_All[[#This Row],[AspkrT]]*5)+(TBA_Matches_All[[#This Row],[AtrapT]]*5))</f>
        <v>0</v>
      </c>
      <c r="CN99" s="59">
        <f>IFERROR(SUM(TBA_Matches_All[[#This Row],[AptsT]]/TBA_Matches_All[[#This Row],[AutoPts]]),0)</f>
        <v>0</v>
      </c>
      <c r="CO99" s="59">
        <f>IFERROR(SUM(TBA_Matches_All[[#This Row],[AampT]]+TBA_Matches_All[[#This Row],[AspkrT]]+TBA_Matches_All[[#This Row],[AtrapT]]/TBA_Matches_All[[#This Row],[Aamp]]+TBA_Matches_All[[#This Row],[Aspkr]]+TBA_Matches_All[[#This Row],[AtrapT]]),0)</f>
        <v>0</v>
      </c>
      <c r="CP99" s="59">
        <f>IFERROR(SUM(TBA_Matches_All[[#This Row],[TampT]]/TBA_Matches_All[[#This Row],[Tamp]]),0)</f>
        <v>0</v>
      </c>
      <c r="CQ99" s="59">
        <f>IFERROR(SUM(TBA_Matches_All[[#This Row],[TspkrT]]/TBA_Matches_All[[#This Row],[Tspkr]]),0)</f>
        <v>0</v>
      </c>
      <c r="CR99">
        <f>SUM(TBA_Matches_All[[#This Row],[TspkrPts]]*TBA_Matches_All[[#This Row],[TspkrP]])</f>
        <v>0</v>
      </c>
      <c r="CS99" s="59">
        <f>IFERROR(SUM(TBA_Matches_All[[#This Row],[TtrapT]]/TBA_Matches_All[[#This Row],[Trap]]),0)</f>
        <v>0</v>
      </c>
      <c r="CT99" s="59">
        <f>IFERROR(SUM(TBA_Matches_All[[#This Row],[TotNotesT]]/TBA_Matches_All[[#This Row],[TotNotes]]),0)</f>
        <v>0</v>
      </c>
      <c r="CU99" s="66">
        <f>SUM((TBA_Matches_All[[#This Row],[AampT]]*2)+(TBA_Matches_All[[#This Row],[AspkrT]]*5)+(TBA_Matches_All[[#This Row],[AtrapT]]*5)+(TBA_Matches_All[[#This Row],[TampT]]*1)+(TBA_Matches_All[[#This Row],[TspkrptsC]]))</f>
        <v>0</v>
      </c>
      <c r="CV99" s="59">
        <f>IFERROR(TBA_Matches_All[[#This Row],[noteptsT]]/TBA_Matches_All[[#This Row],[NotePts]],0)</f>
        <v>0</v>
      </c>
      <c r="CW99">
        <f>SUM(IF(TBA_Matches_All[[#This Row],[stageStat]]="On",3,0),IF(TBA_Matches_All[[#This Row],[stageStat]]="Park",1,0),SUMIFS(TBA_Matches_All[[#This Row],[Spotlit]],TBA_Matches_All[[#This Row],[stageStat]],"On"),SUMIFS(TBA_Matches_All[[#This Row],[Harmony]],TBA_Matches_All[[#This Row],[stageStat]],"On"))</f>
        <v>1</v>
      </c>
      <c r="CX99" s="59">
        <f>IFERROR(TBA_Matches_All[[#This Row],[stageptsT]]/TBA_Matches_All[[#This Row],[StagePts]],0)</f>
        <v>0.33333333333333331</v>
      </c>
      <c r="CY99">
        <f>SUM((TBA_Matches_All[[#This Row],[AptsT]]+TBA_Matches_All[[#This Row],[TampT]]+TBA_Matches_All[[#This Row],[TspkrptsC]]+(TBA_Matches_All[[#This Row],[TtrapT]]*5)+TBA_Matches_All[[#This Row],[stageptsT]]))</f>
        <v>1</v>
      </c>
      <c r="CZ99" s="59">
        <f>IFERROR(SUM(TBA_Matches_All[[#This Row],[TotptsC]]/TBA_Matches_All[[#This Row],[Score]]),0)</f>
        <v>3.4482758620689655E-2</v>
      </c>
      <c r="DA9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99" s="74">
        <f>SUMIFS(TBA_Matches_All[AveTeamTNoteDels],TBA_Matches_All[Match_Number],TBA_Matches_All[[#This Row],[Match_Number]],TBA_Matches_All[Alliance],"&lt;&gt;"&amp;TBA_Matches_All[[#This Row],[Alliance]],TBA_Matches_All[Scouted],"&gt;0")</f>
        <v>36.38292748917749</v>
      </c>
      <c r="DC99" s="74">
        <f>(TBA_Matches_All[[#This Row],[TampT]]+TBA_Matches_All[[#This Row],[TspkrptsC]])-TBA_Matches_All[[#This Row],[AveTeamTNoteDels]]</f>
        <v>0</v>
      </c>
      <c r="DD99" s="74">
        <f>SUMIFS(TBA_Matches_All[AveTeamTNoteDels],TBA_Matches_All[Match_Number],TBA_Matches_All[[#This Row],[Match_Number]],TBA_Matches_All[Alliance],"&lt;&gt;"&amp;TBA_Matches_All[[#This Row],[Alliance]])-TBA_Matches_All[[#This Row],[AveOppTNoteDels]]</f>
        <v>0</v>
      </c>
    </row>
    <row r="100" spans="1:108" x14ac:dyDescent="0.3">
      <c r="A100" t="s">
        <v>1042</v>
      </c>
      <c r="B100" t="s">
        <v>489</v>
      </c>
      <c r="C100" t="s">
        <v>1326</v>
      </c>
      <c r="D100">
        <v>17</v>
      </c>
      <c r="E100" t="s">
        <v>1406</v>
      </c>
      <c r="F100" t="s">
        <v>1424</v>
      </c>
      <c r="G100" t="s">
        <v>1409</v>
      </c>
      <c r="H100" t="s">
        <v>1278</v>
      </c>
      <c r="I100" t="b">
        <v>0</v>
      </c>
      <c r="J100">
        <v>64</v>
      </c>
      <c r="K100">
        <v>1</v>
      </c>
      <c r="L100">
        <v>0</v>
      </c>
      <c r="M100">
        <v>2</v>
      </c>
      <c r="N100">
        <v>0</v>
      </c>
      <c r="O100">
        <v>4</v>
      </c>
      <c r="P100">
        <v>20</v>
      </c>
      <c r="Q100">
        <v>22</v>
      </c>
      <c r="R100">
        <v>3</v>
      </c>
      <c r="S100">
        <v>2</v>
      </c>
      <c r="T100">
        <v>12</v>
      </c>
      <c r="U100">
        <v>10</v>
      </c>
      <c r="V100">
        <v>24</v>
      </c>
      <c r="W100">
        <v>14</v>
      </c>
      <c r="X100">
        <v>34</v>
      </c>
      <c r="Y100">
        <v>37</v>
      </c>
      <c r="Z100">
        <v>0</v>
      </c>
      <c r="AA100">
        <v>0</v>
      </c>
      <c r="AB100">
        <v>21</v>
      </c>
      <c r="AC100">
        <v>57</v>
      </c>
      <c r="AD100">
        <v>5</v>
      </c>
      <c r="AE100">
        <f>IFERROR(6/(COUNTIF(Dyno_EndMatch[Match],TBA_Matches_All[[#This Row],[Match_Number]])),0)</f>
        <v>1</v>
      </c>
      <c r="AF100">
        <f>COUNTIFS(Dyno_Data[Team],TBA_Matches_All[[#This Row],[Team]],Dyno_Data[Match],TBA_Matches_All[[#This Row],[Match_Number]],Dyno_Data[RecordType],"EndMatch",Dyno_Data[HPAmp],"Y")</f>
        <v>1</v>
      </c>
      <c r="AG100">
        <f>SUMIFS(Dyno_Data[Mics], Dyno_Data[Team],TBA_Matches_All[[#This Row],[Team]],Dyno_Data[Match],TBA_Matches_All[[#This Row],[Match_Number]],Dyno_Data[RecordType],"EndMatch",Dyno_Data[HPAmp],"Y")</f>
        <v>1</v>
      </c>
      <c r="AH100">
        <f>SUMIFS(Dyno_Data[Leave], Dyno_Data[Team],TBA_Matches_All[[#This Row],[Team]],Dyno_Data[Match],TBA_Matches_All[[#This Row],[Match_Number]],Dyno_Data[RecordType],"EndAuto")</f>
        <v>0</v>
      </c>
      <c r="AI100">
        <f>COUNTIFS(Dyno_Data[Team],TBA_Matches_All[[#This Row],[Team]],Dyno_Data[Match],TBA_Matches_All[[#This Row],[Match_Number]],Dyno_Data[RecordType],"Activities",Dyno_Data[DelDest],"Amp", Dyno_Data[DelMiss],"0", Dyno_Data[Mode],"Auto")</f>
        <v>0</v>
      </c>
      <c r="AJ100">
        <f>COUNTIFS(Dyno_Data[Team],TBA_Matches_All[[#This Row],[Team]],Dyno_Data[Match],TBA_Matches_All[[#This Row],[Match_Number]],Dyno_Data[RecordType],"Activities",Dyno_Data[DelDest],"Spkr", Dyno_Data[DelMiss],"0", Dyno_Data[Mode],"Auto")</f>
        <v>1</v>
      </c>
      <c r="AK100">
        <f>COUNTIFS(Dyno_Data[Team],TBA_Matches_All[[#This Row],[Team]],Dyno_Data[Match],TBA_Matches_All[[#This Row],[Match_Number]],Dyno_Data[RecordType],"Activities",Dyno_Data[DelDest],"Trap", Dyno_Data[DelMiss],"0", Dyno_Data[Mode],"Auto")</f>
        <v>0</v>
      </c>
      <c r="AL100">
        <f>COUNTIFS(Dyno_Data[Team],TBA_Matches_All[[#This Row],[Team]],Dyno_Data[Match],TBA_Matches_All[[#This Row],[Match_Number]],Dyno_Data[RecordType],"Activities",Dyno_Data[DelDest],"Amp", Dyno_Data[DelMiss],"0", Dyno_Data[Mode],"Teleop")</f>
        <v>4</v>
      </c>
      <c r="AM100">
        <f>COUNTIFS(Dyno_Data[Team],TBA_Matches_All[[#This Row],[Team]],Dyno_Data[Match],TBA_Matches_All[[#This Row],[Match_Number]],Dyno_Data[RecordType],"Activities",Dyno_Data[DelDest],"Spkr", Dyno_Data[DelMiss],"0", Dyno_Data[Mode],"Teleop")</f>
        <v>0</v>
      </c>
      <c r="AN100">
        <f>COUNTIFS(Dyno_Data[Team],TBA_Matches_All[[#This Row],[Team]],Dyno_Data[Match],TBA_Matches_All[[#This Row],[Match_Number]],Dyno_Data[RecordType],"Activities",Dyno_Data[DelDest],"Trap", Dyno_Data[DelMiss],"0", Dyno_Data[Mode],"&lt;&gt;Auto")</f>
        <v>0</v>
      </c>
      <c r="AO100">
        <f>SUM(TBA_Matches_All[[#This Row],[AampT]]+TBA_Matches_All[[#This Row],[AspkrT]]+TBA_Matches_All[[#This Row],[AtrapT]]+TBA_Matches_All[[#This Row],[TampT]]+TBA_Matches_All[[#This Row],[TspkrT]]+TBA_Matches_All[[#This Row],[TtrapT]])</f>
        <v>5</v>
      </c>
      <c r="AP100">
        <f>COUNTIFS(Dyno_Data[Team],TBA_Matches_All[[#This Row],[Team]],Dyno_Data[Match],TBA_Matches_All[[#This Row],[Match_Number]],Dyno_Data[RecordType],"Activities",Dyno_Data[DelDest],"Neut", Dyno_Data[DelMiss],"0")</f>
        <v>0</v>
      </c>
      <c r="AQ100">
        <f>COUNTIFS(Dyno_Data[Team],TBA_Matches_All[[#This Row],[Team]],Dyno_Data[Match],TBA_Matches_All[[#This Row],[Match_Number]],Dyno_Data[RecordType],"Activities",Dyno_Data[DelDest],"AllyW", Dyno_Data[DelMiss],"0")</f>
        <v>0</v>
      </c>
      <c r="AR100" t="str">
        <f>_xlfn.XLOOKUP(SUM(MID(TBA_Matches_All[[#This Row],[Team]],4,5),(TBA_Matches_All[[#This Row],[Match_Number]]/100)),Dyno_EndMatch[teammat],Dyno_EndMatch[RobotSta],"_",0,1)</f>
        <v>SubW</v>
      </c>
      <c r="AS100">
        <f>SUMIFS(Dyno_Data[AcqDis], Dyno_Data[Team],TBA_Matches_All[[#This Row],[Team]],Dyno_Data[Match],TBA_Matches_All[[#This Row],[Match_Number]],Dyno_Data[RecordType],"Activities", Dyno_Data[AcqCenter],1,Dyno_Data[Mode],"Auto")</f>
        <v>0</v>
      </c>
      <c r="AT100">
        <f>SUMIFS(Dyno_Data[AcqDis], Dyno_Data[Team],TBA_Matches_All[[#This Row],[Team]],Dyno_Data[Match],TBA_Matches_All[[#This Row],[Match_Number]],Dyno_Data[RecordType],"Activities", Dyno_Data[AcqCenter],2,Dyno_Data[Mode],"Auto")</f>
        <v>0</v>
      </c>
      <c r="AU100">
        <f>SUMIFS(Dyno_Data[AcqDis], Dyno_Data[Team],TBA_Matches_All[[#This Row],[Team]],Dyno_Data[Match],TBA_Matches_All[[#This Row],[Match_Number]],Dyno_Data[RecordType],"Activities", Dyno_Data[AcqCenter],3,Dyno_Data[Mode],"Auto")</f>
        <v>0</v>
      </c>
      <c r="AV100">
        <f>SUMIFS(Dyno_Data[AcqDis], Dyno_Data[Team],TBA_Matches_All[[#This Row],[Team]],Dyno_Data[Match],TBA_Matches_All[[#This Row],[Match_Number]],Dyno_Data[RecordType],"Activities", Dyno_Data[AcqCenter],4,Dyno_Data[Mode],"Auto")</f>
        <v>0</v>
      </c>
      <c r="AW100">
        <f>SUMIFS(Dyno_Data[AcqDis], Dyno_Data[Team],TBA_Matches_All[[#This Row],[Team]],Dyno_Data[Match],TBA_Matches_All[[#This Row],[Match_Number]],Dyno_Data[RecordType],"Activities", Dyno_Data[AcqCenter],5,Dyno_Data[Mode],"Auto")</f>
        <v>0</v>
      </c>
      <c r="AX100">
        <f>SUMIFS(Dyno_Data[DelMiss], Dyno_Data[Team],TBA_Matches_All[[#This Row],[Team]],Dyno_Data[Match],TBA_Matches_All[[#This Row],[Match_Number]],Dyno_Data[RecordType],"Activities", Dyno_Data[DelDest],"Amp")</f>
        <v>0</v>
      </c>
      <c r="AY100" s="60">
        <f>IFERROR(SUM((TBA_Matches_All[[#This Row],[AampT]]+TBA_Matches_All[[#This Row],[TampT]])/(TBA_Matches_All[[#This Row],[AampT]]+TBA_Matches_All[[#This Row],[TampT]]+TBA_Matches_All[[#This Row],[ampM]])),0)</f>
        <v>1</v>
      </c>
      <c r="AZ100">
        <f>SUMIFS(Dyno_Data[DelMiss], Dyno_Data[Team],TBA_Matches_All[[#This Row],[Team]],Dyno_Data[Match],TBA_Matches_All[[#This Row],[Match_Number]],Dyno_Data[RecordType],"Activities", Dyno_Data[DelDest],"Spkr")</f>
        <v>0</v>
      </c>
      <c r="BA100" s="60">
        <f>IFERROR(SUM((TBA_Matches_All[[#This Row],[AspkrT]]+TBA_Matches_All[[#This Row],[TspkrT]])/(TBA_Matches_All[[#This Row],[AspkrT]]+TBA_Matches_All[[#This Row],[TspkrT]]+TBA_Matches_All[[#This Row],[spkrM]])),0)</f>
        <v>1</v>
      </c>
      <c r="BB100">
        <f>SUMIFS(Dyno_Data[DelMiss], Dyno_Data[Team],TBA_Matches_All[[#This Row],[Team]],Dyno_Data[Match],TBA_Matches_All[[#This Row],[Match_Number]],Dyno_Data[RecordType],"Activities", Dyno_Data[DelDest],"Trap")</f>
        <v>0</v>
      </c>
      <c r="BC100" s="60">
        <f>IFERROR((TBA_Matches_All[[#This Row],[AtrapT]]+TBA_Matches_All[[#This Row],[TtrapT]])/(TBA_Matches_All[[#This Row],[AtrapT]]+TBA_Matches_All[[#This Row],[TtrapT]]+TBA_Matches_All[[#This Row],[trapM]]),0)</f>
        <v>0</v>
      </c>
      <c r="BD100">
        <f>COUNTIFS(Dyno_Data[Team],TBA_Matches_All[[#This Row],[Team]],Dyno_Data[Match],TBA_Matches_All[[#This Row],[Match_Number]],Dyno_Data[RecordType],"Activities",Dyno_Data[DelDest],"Neut", Dyno_Data[DelMiss],1)</f>
        <v>0</v>
      </c>
      <c r="BE100" s="60">
        <f>IFERROR(SUM((TBA_Matches_All[[#This Row],[NeutFlrT]])/(TBA_Matches_All[[#This Row],[NeutFlrT]]+TBA_Matches_All[[#This Row],[NZflM]])),0)</f>
        <v>0</v>
      </c>
      <c r="BF100">
        <f>COUNTIFS(Dyno_Data[Team],TBA_Matches_All[[#This Row],[Team]],Dyno_Data[Match],TBA_Matches_All[[#This Row],[Match_Number]],Dyno_Data[RecordType],"Activities",Dyno_Data[DelDest],"AllyW", Dyno_Data[DelMiss],1)</f>
        <v>0</v>
      </c>
      <c r="BG100" s="60">
        <f>IFERROR(SUM((TBA_Matches_All[[#This Row],[AllyWFlrT]])/(TBA_Matches_All[[#This Row],[AllyWFlrT]]+TBA_Matches_All[[#This Row],[AZflM]])),0)</f>
        <v>0</v>
      </c>
      <c r="BH100">
        <f>COUNTIFS(Dyno_Data[Team],TBA_Matches_All[[#This Row],[Team]],Dyno_Data[Match],TBA_Matches_All[[#This Row],[Match_Number]],Dyno_Data[RecordType],"Activities",Dyno_Data[DelOrig],"OppW", Dyno_Data[DelMiss],"0")</f>
        <v>0</v>
      </c>
      <c r="BI100">
        <f>COUNTIFS(Dyno_Data[Team],TBA_Matches_All[[#This Row],[Team]],Dyno_Data[Match],TBA_Matches_All[[#This Row],[Match_Number]],Dyno_Data[RecordType],"Activities",Dyno_Data[DelOrig],"OppW", Dyno_Data[DelMiss],"1")</f>
        <v>0</v>
      </c>
      <c r="BJ100" s="60">
        <f>IFERROR(SUM((TBA_Matches_All[[#This Row],[OZflrT]])/(TBA_Matches_All[[#This Row],[OZflrT]]+TBA_Matches_All[[#This Row],[OZflrM]])),0)</f>
        <v>0</v>
      </c>
      <c r="BK100">
        <f>COUNTIFS(Dyno_Data[Team],TBA_Matches_All[[#This Row],[Team]],Dyno_Data[Match],TBA_Matches_All[[#This Row],[Match_Number]],Dyno_Data[RecordType],"Activities",Dyno_Data[DelOrig],"Neut", Dyno_Data[DelMiss],"0")</f>
        <v>0</v>
      </c>
      <c r="BL100">
        <f>COUNTIFS(Dyno_Data[Team],TBA_Matches_All[[#This Row],[Team]],Dyno_Data[Match],TBA_Matches_All[[#This Row],[Match_Number]],Dyno_Data[RecordType],"Activities",Dyno_Data[DelOrig],"Neut", Dyno_Data[DelMiss],"1")</f>
        <v>0</v>
      </c>
      <c r="BM100" s="60">
        <f>IFERROR(SUM((TBA_Matches_All[[#This Row],[NZflrT]])/(TBA_Matches_All[[#This Row],[NZflrT]]+TBA_Matches_All[[#This Row],[NZflrM]])),0)</f>
        <v>0</v>
      </c>
      <c r="BN100">
        <f>COUNTIFS(Dyno_Data[Team],TBA_Matches_All[[#This Row],[Team]],Dyno_Data[Match],TBA_Matches_All[[#This Row],[Match_Number]],Dyno_Data[RecordType],"Activities",Dyno_Data[DelOrig],"AllyW", Dyno_Data[DelMiss],"0")</f>
        <v>4</v>
      </c>
      <c r="BO100">
        <f>COUNTIFS(Dyno_Data[Team],TBA_Matches_All[[#This Row],[Team]],Dyno_Data[Match],TBA_Matches_All[[#This Row],[Match_Number]],Dyno_Data[RecordType],"Activities",Dyno_Data[DelOrig],"AllyW", Dyno_Data[DelMiss],"1")</f>
        <v>0</v>
      </c>
      <c r="BP100" s="60">
        <f>IFERROR(SUM((TBA_Matches_All[[#This Row],[AZflrT]])/(TBA_Matches_All[[#This Row],[AZflrT]]+TBA_Matches_All[[#This Row],[AZflrM]])),0)</f>
        <v>1</v>
      </c>
      <c r="BQ100">
        <f>COUNTIFS(Dyno_Data[Team],TBA_Matches_All[[#This Row],[Team]],Dyno_Data[Match],TBA_Matches_All[[#This Row],[Match_Number]],Dyno_Data[RecordType],"Activities",Dyno_Data[DelOrig],"SubW", Dyno_Data[DelMiss],"0")</f>
        <v>1</v>
      </c>
      <c r="BR100">
        <f>COUNTIFS(Dyno_Data[Team],TBA_Matches_All[[#This Row],[Team]],Dyno_Data[Match],TBA_Matches_All[[#This Row],[Match_Number]],Dyno_Data[RecordType],"Activities",Dyno_Data[DelOrig],"SubW", Dyno_Data[DelMiss],"1")</f>
        <v>0</v>
      </c>
      <c r="BS100" s="60">
        <f>IFERROR(SUM((TBA_Matches_All[[#This Row],[SubwT]])/(TBA_Matches_All[[#This Row],[SubwT]]+TBA_Matches_All[[#This Row],[SubwM]])),0)</f>
        <v>1</v>
      </c>
      <c r="BT100">
        <f>COUNTIFS(Dyno_Data[Team],TBA_Matches_All[[#This Row],[Team]],Dyno_Data[Match],TBA_Matches_All[[#This Row],[Match_Number]],Dyno_Data[RecordType],"Activities", Dyno_Data[AcqLoc],"OppWing")</f>
        <v>0</v>
      </c>
      <c r="BU100">
        <f>COUNTIFS(Dyno_Data[Team],TBA_Matches_All[[#This Row],[Team]],Dyno_Data[Match],TBA_Matches_All[[#This Row],[Match_Number]],Dyno_Data[RecordType],"Activities", Dyno_Data[AcqLoc],"Neutral")</f>
        <v>0</v>
      </c>
      <c r="BV100">
        <f>COUNTIFS(Dyno_Data[Team],TBA_Matches_All[[#This Row],[Team]],Dyno_Data[Match],TBA_Matches_All[[#This Row],[Match_Number]],Dyno_Data[RecordType],"Activities", Dyno_Data[AcqLoc],"AllyWing")</f>
        <v>0</v>
      </c>
      <c r="BW100">
        <f>COUNTIFS(Dyno_Data[Team],TBA_Matches_All[[#This Row],[Team]],Dyno_Data[Match],TBA_Matches_All[[#This Row],[Match_Number]],Dyno_Data[RecordType],"Activities", Dyno_Data[AcqLoc],"Source")</f>
        <v>0</v>
      </c>
      <c r="BX100">
        <f>SUMIFS(Dyno_Data[AcqDrp], Dyno_Data[Team],TBA_Matches_All[[#This Row],[Team]],Dyno_Data[Match],TBA_Matches_All[[#This Row],[Match_Number]],Dyno_Data[RecordType],"Activities", Dyno_Data[AcqLoc],"Source")</f>
        <v>0</v>
      </c>
      <c r="BY100">
        <f>SUMIFS(Dyno_Data[OZTime], Dyno_Data[Team],TBA_Matches_All[[#This Row],[Team]],Dyno_Data[Match],TBA_Matches_All[[#This Row],[Match_Number]],Dyno_Data[RecordType],"EndMatch")</f>
        <v>12.605853399999999</v>
      </c>
      <c r="BZ100">
        <f>SUMIFS(Dyno_Data[NZTime], Dyno_Data[Team],TBA_Matches_All[[#This Row],[Team]],Dyno_Data[Match],TBA_Matches_All[[#This Row],[Match_Number]],Dyno_Data[RecordType],"EndMatch")</f>
        <v>5.9637209999999996</v>
      </c>
      <c r="CA100">
        <f>SUMIFS(Dyno_Data[AZTime], Dyno_Data[Team],TBA_Matches_All[[#This Row],[Team]],Dyno_Data[Match],TBA_Matches_All[[#This Row],[Match_Number]],Dyno_Data[RecordType],"EndMatch")</f>
        <v>104.7703774</v>
      </c>
      <c r="CB100">
        <f>SUMIFS(Dyno_Data[ClimbT], Dyno_Data[Team],TBA_Matches_All[[#This Row],[Team]],Dyno_Data[Match],TBA_Matches_All[[#This Row],[Match_Number]],Dyno_Data[RecordType],"EndMatch")</f>
        <v>0</v>
      </c>
      <c r="CC100" t="str">
        <f>_xlfn.XLOOKUP(SUM(MID(TBA_Matches_All[[#This Row],[Team]],4,5),(TBA_Matches_All[[#This Row],[Match_Number]]/100)),Dyno_EndMatch[teammat],Dyno_EndMatch[StageStat],"_",0,1)</f>
        <v>Park</v>
      </c>
      <c r="CD100" t="str">
        <f>_xlfn.XLOOKUP(TBA_Matches_All[[#This Row],[teammat]],Dyno_EndMatch[teammat],Dyno_EndMatch[StageAtt],"_",0,1)</f>
        <v>0</v>
      </c>
      <c r="CE100" t="str">
        <f>_xlfn.XLOOKUP(TBA_Matches_All[[#This Row],[teammat]],Dyno_EndMatch[teammat],Dyno_EndMatch[StageLoc],"_",0,1)</f>
        <v>A</v>
      </c>
      <c r="CF100">
        <f>SUMIFS(Dyno_Data[Harmony], Dyno_Data[Team],TBA_Matches_All[[#This Row],[Team]],Dyno_Data[Match],TBA_Matches_All[[#This Row],[Match_Number]],Dyno_Data[RecordType],"EndMatch", Dyno_Data[StageStat],"On",Dyno_Data[Harmony],"&lt;&gt;9")</f>
        <v>0</v>
      </c>
      <c r="CG100">
        <f>SUMIFS(Dyno_Data[Spotlit], Dyno_Data[Team],TBA_Matches_All[[#This Row],[Team]],Dyno_Data[Match],TBA_Matches_All[[#This Row],[Match_Number]],Dyno_Data[RecordType],"EndMatch", Dyno_Data[StageStat],"On",Dyno_Data[Spotlit],"&lt;&gt;9")</f>
        <v>0</v>
      </c>
      <c r="CH100" t="str">
        <f>_xlfn.XLOOKUP(TBA_Matches_All[[#This Row],[teammat]],Dyno_EndMatch[teammat],Dyno_EndMatch[Strategy],"_",0,1)</f>
        <v>Shooter</v>
      </c>
      <c r="CI100">
        <f>SUMIFS(Dyno_Data[Defense], Dyno_Data[Team],TBA_Matches_All[[#This Row],[Team]],Dyno_Data[Match],TBA_Matches_All[[#This Row],[Match_Number]],Dyno_Data[RecordType],"EndMatch",Dyno_Data[Defense],"&lt;&gt;9")</f>
        <v>0</v>
      </c>
      <c r="CJ100">
        <f>SUMIFS(Dyno_Data[Avoidance], Dyno_Data[Team],TBA_Matches_All[[#This Row],[Team]],Dyno_Data[Match],TBA_Matches_All[[#This Row],[Match_Number]],Dyno_Data[RecordType],"EndMatch",Dyno_Data[Avoidance],"&lt;&gt;9")</f>
        <v>0</v>
      </c>
      <c r="CK100" s="82">
        <f>COUNTIF($H$2:TBA_Matches_All[[#This Row],[Team]],TBA_Matches_All[[#This Row],[Team]])</f>
        <v>2</v>
      </c>
      <c r="CL100" s="111">
        <f>SUM(MID(TBA_Matches_All[[#This Row],[Team]],4,5)+TBA_Matches_All[[#This Row],[Match_Number]]/100)</f>
        <v>3951.17</v>
      </c>
      <c r="CM100">
        <f>SUM((TBA_Matches_All[[#This Row],[Leave]]*2)+(TBA_Matches_All[[#This Row],[AampT]]*2)+(TBA_Matches_All[[#This Row],[AspkrT]]*5)+(TBA_Matches_All[[#This Row],[AtrapT]]*5))</f>
        <v>5</v>
      </c>
      <c r="CN100" s="59">
        <f>IFERROR(SUM(TBA_Matches_All[[#This Row],[AptsT]]/TBA_Matches_All[[#This Row],[AutoPts]]),0)</f>
        <v>0.22727272727272727</v>
      </c>
      <c r="CO100" s="59">
        <f>IFERROR(SUM(TBA_Matches_All[[#This Row],[AampT]]+TBA_Matches_All[[#This Row],[AspkrT]]+TBA_Matches_All[[#This Row],[AtrapT]]/TBA_Matches_All[[#This Row],[Aamp]]+TBA_Matches_All[[#This Row],[Aspkr]]+TBA_Matches_All[[#This Row],[AtrapT]]),0)</f>
        <v>0</v>
      </c>
      <c r="CP100" s="59">
        <f>IFERROR(SUM(TBA_Matches_All[[#This Row],[TampT]]/TBA_Matches_All[[#This Row],[Tamp]]),0)</f>
        <v>1.3333333333333333</v>
      </c>
      <c r="CQ100" s="59">
        <f>IFERROR(SUM(TBA_Matches_All[[#This Row],[TspkrT]]/TBA_Matches_All[[#This Row],[Tspkr]]),0)</f>
        <v>0</v>
      </c>
      <c r="CR100">
        <f>SUM(TBA_Matches_All[[#This Row],[TspkrPts]]*TBA_Matches_All[[#This Row],[TspkrP]])</f>
        <v>0</v>
      </c>
      <c r="CS100" s="59">
        <f>IFERROR(SUM(TBA_Matches_All[[#This Row],[TtrapT]]/TBA_Matches_All[[#This Row],[Trap]]),0)</f>
        <v>0</v>
      </c>
      <c r="CT100" s="59">
        <f>IFERROR(SUM(TBA_Matches_All[[#This Row],[TotNotesT]]/TBA_Matches_All[[#This Row],[TotNotes]]),0)</f>
        <v>0.23809523809523808</v>
      </c>
      <c r="CU100" s="66">
        <f>SUM((TBA_Matches_All[[#This Row],[AampT]]*2)+(TBA_Matches_All[[#This Row],[AspkrT]]*5)+(TBA_Matches_All[[#This Row],[AtrapT]]*5)+(TBA_Matches_All[[#This Row],[TampT]]*1)+(TBA_Matches_All[[#This Row],[TspkrptsC]]))</f>
        <v>9</v>
      </c>
      <c r="CV100" s="59">
        <f>IFERROR(TBA_Matches_All[[#This Row],[noteptsT]]/TBA_Matches_All[[#This Row],[NotePts]],0)</f>
        <v>0.15789473684210525</v>
      </c>
      <c r="CW100">
        <f>SUM(IF(TBA_Matches_All[[#This Row],[stageStat]]="On",3,0),IF(TBA_Matches_All[[#This Row],[stageStat]]="Park",1,0),SUMIFS(TBA_Matches_All[[#This Row],[Spotlit]],TBA_Matches_All[[#This Row],[stageStat]],"On"),SUMIFS(TBA_Matches_All[[#This Row],[Harmony]],TBA_Matches_All[[#This Row],[stageStat]],"On"))</f>
        <v>1</v>
      </c>
      <c r="CX100" s="59">
        <f>IFERROR(TBA_Matches_All[[#This Row],[stageptsT]]/TBA_Matches_All[[#This Row],[StagePts]],0)</f>
        <v>0.2</v>
      </c>
      <c r="CY100">
        <f>SUM((TBA_Matches_All[[#This Row],[AptsT]]+TBA_Matches_All[[#This Row],[TampT]]+TBA_Matches_All[[#This Row],[TspkrptsC]]+(TBA_Matches_All[[#This Row],[TtrapT]]*5)+TBA_Matches_All[[#This Row],[stageptsT]]))</f>
        <v>10</v>
      </c>
      <c r="CZ100" s="59">
        <f>IFERROR(SUM(TBA_Matches_All[[#This Row],[TotptsC]]/TBA_Matches_All[[#This Row],[Score]]),0)</f>
        <v>0.15625</v>
      </c>
      <c r="DA10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4.05</v>
      </c>
      <c r="DB100" s="74">
        <f>SUMIFS(TBA_Matches_All[AveTeamTNoteDels],TBA_Matches_All[Match_Number],TBA_Matches_All[[#This Row],[Match_Number]],TBA_Matches_All[Alliance],"&lt;&gt;"&amp;TBA_Matches_All[[#This Row],[Alliance]],TBA_Matches_All[Scouted],"&gt;0")</f>
        <v>15.633333333333333</v>
      </c>
      <c r="DC100" s="74">
        <f>(TBA_Matches_All[[#This Row],[TampT]]+TBA_Matches_All[[#This Row],[TspkrptsC]])-TBA_Matches_All[[#This Row],[AveTeamTNoteDels]]</f>
        <v>-4.9999999999999822E-2</v>
      </c>
      <c r="DD100" s="74">
        <f>SUMIFS(TBA_Matches_All[AveTeamTNoteDels],TBA_Matches_All[Match_Number],TBA_Matches_All[[#This Row],[Match_Number]],TBA_Matches_All[Alliance],"&lt;&gt;"&amp;TBA_Matches_All[[#This Row],[Alliance]])-TBA_Matches_All[[#This Row],[AveOppTNoteDels]]</f>
        <v>0</v>
      </c>
    </row>
    <row r="101" spans="1:108" x14ac:dyDescent="0.3">
      <c r="A101" t="s">
        <v>1042</v>
      </c>
      <c r="B101" t="s">
        <v>489</v>
      </c>
      <c r="C101" t="s">
        <v>1326</v>
      </c>
      <c r="D101">
        <v>17</v>
      </c>
      <c r="E101" t="s">
        <v>1420</v>
      </c>
      <c r="F101" t="s">
        <v>1421</v>
      </c>
      <c r="G101" t="s">
        <v>164</v>
      </c>
      <c r="H101" t="s">
        <v>1282</v>
      </c>
      <c r="I101" t="b">
        <v>0</v>
      </c>
      <c r="J101">
        <v>29</v>
      </c>
      <c r="K101">
        <v>0</v>
      </c>
      <c r="L101">
        <v>0</v>
      </c>
      <c r="M101">
        <v>0</v>
      </c>
      <c r="N101">
        <v>0</v>
      </c>
      <c r="O101">
        <v>1</v>
      </c>
      <c r="P101">
        <v>5</v>
      </c>
      <c r="Q101">
        <v>9</v>
      </c>
      <c r="R101">
        <v>7</v>
      </c>
      <c r="S101">
        <v>0</v>
      </c>
      <c r="T101">
        <v>4</v>
      </c>
      <c r="U101">
        <v>0</v>
      </c>
      <c r="V101">
        <v>8</v>
      </c>
      <c r="W101">
        <v>4</v>
      </c>
      <c r="X101">
        <v>8</v>
      </c>
      <c r="Y101">
        <v>15</v>
      </c>
      <c r="Z101">
        <v>0</v>
      </c>
      <c r="AA101">
        <v>0</v>
      </c>
      <c r="AB101">
        <v>12</v>
      </c>
      <c r="AC101">
        <v>20</v>
      </c>
      <c r="AD101">
        <v>3</v>
      </c>
      <c r="AE101">
        <f>IFERROR(6/(COUNTIF(Dyno_EndMatch[Match],TBA_Matches_All[[#This Row],[Match_Number]])),0)</f>
        <v>1</v>
      </c>
      <c r="AF101">
        <f>COUNTIFS(Dyno_Data[Team],TBA_Matches_All[[#This Row],[Team]],Dyno_Data[Match],TBA_Matches_All[[#This Row],[Match_Number]],Dyno_Data[RecordType],"EndMatch",Dyno_Data[HPAmp],"Y")</f>
        <v>0</v>
      </c>
      <c r="AG101">
        <f>SUMIFS(Dyno_Data[Mics], Dyno_Data[Team],TBA_Matches_All[[#This Row],[Team]],Dyno_Data[Match],TBA_Matches_All[[#This Row],[Match_Number]],Dyno_Data[RecordType],"EndMatch",Dyno_Data[HPAmp],"Y")</f>
        <v>0</v>
      </c>
      <c r="AH101">
        <f>SUMIFS(Dyno_Data[Leave], Dyno_Data[Team],TBA_Matches_All[[#This Row],[Team]],Dyno_Data[Match],TBA_Matches_All[[#This Row],[Match_Number]],Dyno_Data[RecordType],"EndAuto")</f>
        <v>1</v>
      </c>
      <c r="AI101">
        <f>COUNTIFS(Dyno_Data[Team],TBA_Matches_All[[#This Row],[Team]],Dyno_Data[Match],TBA_Matches_All[[#This Row],[Match_Number]],Dyno_Data[RecordType],"Activities",Dyno_Data[DelDest],"Amp", Dyno_Data[DelMiss],"0", Dyno_Data[Mode],"Auto")</f>
        <v>0</v>
      </c>
      <c r="AJ101">
        <f>COUNTIFS(Dyno_Data[Team],TBA_Matches_All[[#This Row],[Team]],Dyno_Data[Match],TBA_Matches_All[[#This Row],[Match_Number]],Dyno_Data[RecordType],"Activities",Dyno_Data[DelDest],"Spkr", Dyno_Data[DelMiss],"0", Dyno_Data[Mode],"Auto")</f>
        <v>1</v>
      </c>
      <c r="AK101">
        <f>COUNTIFS(Dyno_Data[Team],TBA_Matches_All[[#This Row],[Team]],Dyno_Data[Match],TBA_Matches_All[[#This Row],[Match_Number]],Dyno_Data[RecordType],"Activities",Dyno_Data[DelDest],"Trap", Dyno_Data[DelMiss],"0", Dyno_Data[Mode],"Auto")</f>
        <v>0</v>
      </c>
      <c r="AL101">
        <f>COUNTIFS(Dyno_Data[Team],TBA_Matches_All[[#This Row],[Team]],Dyno_Data[Match],TBA_Matches_All[[#This Row],[Match_Number]],Dyno_Data[RecordType],"Activities",Dyno_Data[DelDest],"Amp", Dyno_Data[DelMiss],"0", Dyno_Data[Mode],"Teleop")</f>
        <v>2</v>
      </c>
      <c r="AM101">
        <f>COUNTIFS(Dyno_Data[Team],TBA_Matches_All[[#This Row],[Team]],Dyno_Data[Match],TBA_Matches_All[[#This Row],[Match_Number]],Dyno_Data[RecordType],"Activities",Dyno_Data[DelDest],"Spkr", Dyno_Data[DelMiss],"0", Dyno_Data[Mode],"Teleop")</f>
        <v>2</v>
      </c>
      <c r="AN101">
        <f>COUNTIFS(Dyno_Data[Team],TBA_Matches_All[[#This Row],[Team]],Dyno_Data[Match],TBA_Matches_All[[#This Row],[Match_Number]],Dyno_Data[RecordType],"Activities",Dyno_Data[DelDest],"Trap", Dyno_Data[DelMiss],"0", Dyno_Data[Mode],"&lt;&gt;Auto")</f>
        <v>0</v>
      </c>
      <c r="AO101">
        <f>SUM(TBA_Matches_All[[#This Row],[AampT]]+TBA_Matches_All[[#This Row],[AspkrT]]+TBA_Matches_All[[#This Row],[AtrapT]]+TBA_Matches_All[[#This Row],[TampT]]+TBA_Matches_All[[#This Row],[TspkrT]]+TBA_Matches_All[[#This Row],[TtrapT]])</f>
        <v>5</v>
      </c>
      <c r="AP101">
        <f>COUNTIFS(Dyno_Data[Team],TBA_Matches_All[[#This Row],[Team]],Dyno_Data[Match],TBA_Matches_All[[#This Row],[Match_Number]],Dyno_Data[RecordType],"Activities",Dyno_Data[DelDest],"Neut", Dyno_Data[DelMiss],"0")</f>
        <v>0</v>
      </c>
      <c r="AQ101">
        <f>COUNTIFS(Dyno_Data[Team],TBA_Matches_All[[#This Row],[Team]],Dyno_Data[Match],TBA_Matches_All[[#This Row],[Match_Number]],Dyno_Data[RecordType],"Activities",Dyno_Data[DelDest],"AllyW", Dyno_Data[DelMiss],"0")</f>
        <v>0</v>
      </c>
      <c r="AR101" t="str">
        <f>_xlfn.XLOOKUP(SUM(MID(TBA_Matches_All[[#This Row],[Team]],4,5),(TBA_Matches_All[[#This Row],[Match_Number]]/100)),Dyno_EndMatch[teammat],Dyno_EndMatch[RobotSta],"_",0,1)</f>
        <v>SubW</v>
      </c>
      <c r="AS101">
        <f>SUMIFS(Dyno_Data[AcqDis], Dyno_Data[Team],TBA_Matches_All[[#This Row],[Team]],Dyno_Data[Match],TBA_Matches_All[[#This Row],[Match_Number]],Dyno_Data[RecordType],"Activities", Dyno_Data[AcqCenter],1,Dyno_Data[Mode],"Auto")</f>
        <v>-1</v>
      </c>
      <c r="AT101">
        <f>SUMIFS(Dyno_Data[AcqDis], Dyno_Data[Team],TBA_Matches_All[[#This Row],[Team]],Dyno_Data[Match],TBA_Matches_All[[#This Row],[Match_Number]],Dyno_Data[RecordType],"Activities", Dyno_Data[AcqCenter],2,Dyno_Data[Mode],"Auto")</f>
        <v>0</v>
      </c>
      <c r="AU101">
        <f>SUMIFS(Dyno_Data[AcqDis], Dyno_Data[Team],TBA_Matches_All[[#This Row],[Team]],Dyno_Data[Match],TBA_Matches_All[[#This Row],[Match_Number]],Dyno_Data[RecordType],"Activities", Dyno_Data[AcqCenter],3,Dyno_Data[Mode],"Auto")</f>
        <v>0</v>
      </c>
      <c r="AV101">
        <f>SUMIFS(Dyno_Data[AcqDis], Dyno_Data[Team],TBA_Matches_All[[#This Row],[Team]],Dyno_Data[Match],TBA_Matches_All[[#This Row],[Match_Number]],Dyno_Data[RecordType],"Activities", Dyno_Data[AcqCenter],4,Dyno_Data[Mode],"Auto")</f>
        <v>0</v>
      </c>
      <c r="AW101">
        <f>SUMIFS(Dyno_Data[AcqDis], Dyno_Data[Team],TBA_Matches_All[[#This Row],[Team]],Dyno_Data[Match],TBA_Matches_All[[#This Row],[Match_Number]],Dyno_Data[RecordType],"Activities", Dyno_Data[AcqCenter],5,Dyno_Data[Mode],"Auto")</f>
        <v>0</v>
      </c>
      <c r="AX101">
        <f>SUMIFS(Dyno_Data[DelMiss], Dyno_Data[Team],TBA_Matches_All[[#This Row],[Team]],Dyno_Data[Match],TBA_Matches_All[[#This Row],[Match_Number]],Dyno_Data[RecordType],"Activities", Dyno_Data[DelDest],"Amp")</f>
        <v>0</v>
      </c>
      <c r="AY101" s="60">
        <f>IFERROR(SUM((TBA_Matches_All[[#This Row],[AampT]]+TBA_Matches_All[[#This Row],[TampT]])/(TBA_Matches_All[[#This Row],[AampT]]+TBA_Matches_All[[#This Row],[TampT]]+TBA_Matches_All[[#This Row],[ampM]])),0)</f>
        <v>1</v>
      </c>
      <c r="AZ101">
        <f>SUMIFS(Dyno_Data[DelMiss], Dyno_Data[Team],TBA_Matches_All[[#This Row],[Team]],Dyno_Data[Match],TBA_Matches_All[[#This Row],[Match_Number]],Dyno_Data[RecordType],"Activities", Dyno_Data[DelDest],"Spkr")</f>
        <v>0</v>
      </c>
      <c r="BA101" s="60">
        <f>IFERROR(SUM((TBA_Matches_All[[#This Row],[AspkrT]]+TBA_Matches_All[[#This Row],[TspkrT]])/(TBA_Matches_All[[#This Row],[AspkrT]]+TBA_Matches_All[[#This Row],[TspkrT]]+TBA_Matches_All[[#This Row],[spkrM]])),0)</f>
        <v>1</v>
      </c>
      <c r="BB101">
        <f>SUMIFS(Dyno_Data[DelMiss], Dyno_Data[Team],TBA_Matches_All[[#This Row],[Team]],Dyno_Data[Match],TBA_Matches_All[[#This Row],[Match_Number]],Dyno_Data[RecordType],"Activities", Dyno_Data[DelDest],"Trap")</f>
        <v>0</v>
      </c>
      <c r="BC101" s="60">
        <f>IFERROR((TBA_Matches_All[[#This Row],[AtrapT]]+TBA_Matches_All[[#This Row],[TtrapT]])/(TBA_Matches_All[[#This Row],[AtrapT]]+TBA_Matches_All[[#This Row],[TtrapT]]+TBA_Matches_All[[#This Row],[trapM]]),0)</f>
        <v>0</v>
      </c>
      <c r="BD101">
        <f>COUNTIFS(Dyno_Data[Team],TBA_Matches_All[[#This Row],[Team]],Dyno_Data[Match],TBA_Matches_All[[#This Row],[Match_Number]],Dyno_Data[RecordType],"Activities",Dyno_Data[DelDest],"Neut", Dyno_Data[DelMiss],1)</f>
        <v>0</v>
      </c>
      <c r="BE101" s="60">
        <f>IFERROR(SUM((TBA_Matches_All[[#This Row],[NeutFlrT]])/(TBA_Matches_All[[#This Row],[NeutFlrT]]+TBA_Matches_All[[#This Row],[NZflM]])),0)</f>
        <v>0</v>
      </c>
      <c r="BF101">
        <f>COUNTIFS(Dyno_Data[Team],TBA_Matches_All[[#This Row],[Team]],Dyno_Data[Match],TBA_Matches_All[[#This Row],[Match_Number]],Dyno_Data[RecordType],"Activities",Dyno_Data[DelDest],"AllyW", Dyno_Data[DelMiss],1)</f>
        <v>0</v>
      </c>
      <c r="BG101" s="60">
        <f>IFERROR(SUM((TBA_Matches_All[[#This Row],[AllyWFlrT]])/(TBA_Matches_All[[#This Row],[AllyWFlrT]]+TBA_Matches_All[[#This Row],[AZflM]])),0)</f>
        <v>0</v>
      </c>
      <c r="BH101">
        <f>COUNTIFS(Dyno_Data[Team],TBA_Matches_All[[#This Row],[Team]],Dyno_Data[Match],TBA_Matches_All[[#This Row],[Match_Number]],Dyno_Data[RecordType],"Activities",Dyno_Data[DelOrig],"OppW", Dyno_Data[DelMiss],"0")</f>
        <v>0</v>
      </c>
      <c r="BI101">
        <f>COUNTIFS(Dyno_Data[Team],TBA_Matches_All[[#This Row],[Team]],Dyno_Data[Match],TBA_Matches_All[[#This Row],[Match_Number]],Dyno_Data[RecordType],"Activities",Dyno_Data[DelOrig],"OppW", Dyno_Data[DelMiss],"1")</f>
        <v>0</v>
      </c>
      <c r="BJ101" s="60">
        <f>IFERROR(SUM((TBA_Matches_All[[#This Row],[OZflrT]])/(TBA_Matches_All[[#This Row],[OZflrT]]+TBA_Matches_All[[#This Row],[OZflrM]])),0)</f>
        <v>0</v>
      </c>
      <c r="BK101">
        <f>COUNTIFS(Dyno_Data[Team],TBA_Matches_All[[#This Row],[Team]],Dyno_Data[Match],TBA_Matches_All[[#This Row],[Match_Number]],Dyno_Data[RecordType],"Activities",Dyno_Data[DelOrig],"Neut", Dyno_Data[DelMiss],"0")</f>
        <v>0</v>
      </c>
      <c r="BL101">
        <f>COUNTIFS(Dyno_Data[Team],TBA_Matches_All[[#This Row],[Team]],Dyno_Data[Match],TBA_Matches_All[[#This Row],[Match_Number]],Dyno_Data[RecordType],"Activities",Dyno_Data[DelOrig],"Neut", Dyno_Data[DelMiss],"1")</f>
        <v>0</v>
      </c>
      <c r="BM101" s="60">
        <f>IFERROR(SUM((TBA_Matches_All[[#This Row],[NZflrT]])/(TBA_Matches_All[[#This Row],[NZflrT]]+TBA_Matches_All[[#This Row],[NZflrM]])),0)</f>
        <v>0</v>
      </c>
      <c r="BN101">
        <f>COUNTIFS(Dyno_Data[Team],TBA_Matches_All[[#This Row],[Team]],Dyno_Data[Match],TBA_Matches_All[[#This Row],[Match_Number]],Dyno_Data[RecordType],"Activities",Dyno_Data[DelOrig],"AllyW", Dyno_Data[DelMiss],"0")</f>
        <v>4</v>
      </c>
      <c r="BO101">
        <f>COUNTIFS(Dyno_Data[Team],TBA_Matches_All[[#This Row],[Team]],Dyno_Data[Match],TBA_Matches_All[[#This Row],[Match_Number]],Dyno_Data[RecordType],"Activities",Dyno_Data[DelOrig],"AllyW", Dyno_Data[DelMiss],"1")</f>
        <v>0</v>
      </c>
      <c r="BP101" s="60">
        <f>IFERROR(SUM((TBA_Matches_All[[#This Row],[AZflrT]])/(TBA_Matches_All[[#This Row],[AZflrT]]+TBA_Matches_All[[#This Row],[AZflrM]])),0)</f>
        <v>1</v>
      </c>
      <c r="BQ101">
        <f>COUNTIFS(Dyno_Data[Team],TBA_Matches_All[[#This Row],[Team]],Dyno_Data[Match],TBA_Matches_All[[#This Row],[Match_Number]],Dyno_Data[RecordType],"Activities",Dyno_Data[DelOrig],"SubW", Dyno_Data[DelMiss],"0")</f>
        <v>1</v>
      </c>
      <c r="BR101">
        <f>COUNTIFS(Dyno_Data[Team],TBA_Matches_All[[#This Row],[Team]],Dyno_Data[Match],TBA_Matches_All[[#This Row],[Match_Number]],Dyno_Data[RecordType],"Activities",Dyno_Data[DelOrig],"SubW", Dyno_Data[DelMiss],"1")</f>
        <v>0</v>
      </c>
      <c r="BS101" s="60">
        <f>IFERROR(SUM((TBA_Matches_All[[#This Row],[SubwT]])/(TBA_Matches_All[[#This Row],[SubwT]]+TBA_Matches_All[[#This Row],[SubwM]])),0)</f>
        <v>1</v>
      </c>
      <c r="BT101">
        <f>COUNTIFS(Dyno_Data[Team],TBA_Matches_All[[#This Row],[Team]],Dyno_Data[Match],TBA_Matches_All[[#This Row],[Match_Number]],Dyno_Data[RecordType],"Activities", Dyno_Data[AcqLoc],"OppWing")</f>
        <v>0</v>
      </c>
      <c r="BU101">
        <f>COUNTIFS(Dyno_Data[Team],TBA_Matches_All[[#This Row],[Team]],Dyno_Data[Match],TBA_Matches_All[[#This Row],[Match_Number]],Dyno_Data[RecordType],"Activities", Dyno_Data[AcqLoc],"Neutral")</f>
        <v>1</v>
      </c>
      <c r="BV101">
        <f>COUNTIFS(Dyno_Data[Team],TBA_Matches_All[[#This Row],[Team]],Dyno_Data[Match],TBA_Matches_All[[#This Row],[Match_Number]],Dyno_Data[RecordType],"Activities", Dyno_Data[AcqLoc],"AllyWing")</f>
        <v>0</v>
      </c>
      <c r="BW101">
        <f>COUNTIFS(Dyno_Data[Team],TBA_Matches_All[[#This Row],[Team]],Dyno_Data[Match],TBA_Matches_All[[#This Row],[Match_Number]],Dyno_Data[RecordType],"Activities", Dyno_Data[AcqLoc],"Source")</f>
        <v>0</v>
      </c>
      <c r="BX101">
        <f>SUMIFS(Dyno_Data[AcqDrp], Dyno_Data[Team],TBA_Matches_All[[#This Row],[Team]],Dyno_Data[Match],TBA_Matches_All[[#This Row],[Match_Number]],Dyno_Data[RecordType],"Activities", Dyno_Data[AcqLoc],"Source")</f>
        <v>0</v>
      </c>
      <c r="BY101">
        <f>SUMIFS(Dyno_Data[OZTime], Dyno_Data[Team],TBA_Matches_All[[#This Row],[Team]],Dyno_Data[Match],TBA_Matches_All[[#This Row],[Match_Number]],Dyno_Data[RecordType],"EndMatch")</f>
        <v>15.046293799999999</v>
      </c>
      <c r="BZ101">
        <f>SUMIFS(Dyno_Data[NZTime], Dyno_Data[Team],TBA_Matches_All[[#This Row],[Team]],Dyno_Data[Match],TBA_Matches_All[[#This Row],[Match_Number]],Dyno_Data[RecordType],"EndMatch")</f>
        <v>20.093516599999997</v>
      </c>
      <c r="CA101">
        <f>SUMIFS(Dyno_Data[AZTime], Dyno_Data[Team],TBA_Matches_All[[#This Row],[Team]],Dyno_Data[Match],TBA_Matches_All[[#This Row],[Match_Number]],Dyno_Data[RecordType],"EndMatch")</f>
        <v>74.530004300000002</v>
      </c>
      <c r="CB101">
        <f>SUMIFS(Dyno_Data[ClimbT], Dyno_Data[Team],TBA_Matches_All[[#This Row],[Team]],Dyno_Data[Match],TBA_Matches_All[[#This Row],[Match_Number]],Dyno_Data[RecordType],"EndMatch")</f>
        <v>25.9026633</v>
      </c>
      <c r="CC101" t="str">
        <f>_xlfn.XLOOKUP(SUM(MID(TBA_Matches_All[[#This Row],[Team]],4,5),(TBA_Matches_All[[#This Row],[Match_Number]]/100)),Dyno_EndMatch[teammat],Dyno_EndMatch[StageStat],"_",0,1)</f>
        <v>Park</v>
      </c>
      <c r="CD101" t="str">
        <f>_xlfn.XLOOKUP(TBA_Matches_All[[#This Row],[teammat]],Dyno_EndMatch[teammat],Dyno_EndMatch[StageAtt],"_",0,1)</f>
        <v>-1</v>
      </c>
      <c r="CE101" t="str">
        <f>_xlfn.XLOOKUP(TBA_Matches_All[[#This Row],[teammat]],Dyno_EndMatch[teammat],Dyno_EndMatch[StageLoc],"_",0,1)</f>
        <v>A</v>
      </c>
      <c r="CF101">
        <f>SUMIFS(Dyno_Data[Harmony], Dyno_Data[Team],TBA_Matches_All[[#This Row],[Team]],Dyno_Data[Match],TBA_Matches_All[[#This Row],[Match_Number]],Dyno_Data[RecordType],"EndMatch", Dyno_Data[StageStat],"On",Dyno_Data[Harmony],"&lt;&gt;9")</f>
        <v>0</v>
      </c>
      <c r="CG101">
        <f>SUMIFS(Dyno_Data[Spotlit], Dyno_Data[Team],TBA_Matches_All[[#This Row],[Team]],Dyno_Data[Match],TBA_Matches_All[[#This Row],[Match_Number]],Dyno_Data[RecordType],"EndMatch", Dyno_Data[StageStat],"On",Dyno_Data[Spotlit],"&lt;&gt;9")</f>
        <v>0</v>
      </c>
      <c r="CH101" t="str">
        <f>_xlfn.XLOOKUP(TBA_Matches_All[[#This Row],[teammat]],Dyno_EndMatch[teammat],Dyno_EndMatch[Strategy],"_",0,1)</f>
        <v>Hybrid</v>
      </c>
      <c r="CI101">
        <f>SUMIFS(Dyno_Data[Defense], Dyno_Data[Team],TBA_Matches_All[[#This Row],[Team]],Dyno_Data[Match],TBA_Matches_All[[#This Row],[Match_Number]],Dyno_Data[RecordType],"EndMatch",Dyno_Data[Defense],"&lt;&gt;9")</f>
        <v>0</v>
      </c>
      <c r="CJ101">
        <f>SUMIFS(Dyno_Data[Avoidance], Dyno_Data[Team],TBA_Matches_All[[#This Row],[Team]],Dyno_Data[Match],TBA_Matches_All[[#This Row],[Match_Number]],Dyno_Data[RecordType],"EndMatch",Dyno_Data[Avoidance],"&lt;&gt;9")</f>
        <v>0</v>
      </c>
      <c r="CK101" s="82">
        <f>COUNTIF($H$2:TBA_Matches_All[[#This Row],[Team]],TBA_Matches_All[[#This Row],[Team]])</f>
        <v>2</v>
      </c>
      <c r="CL101" s="111">
        <f>SUM(MID(TBA_Matches_All[[#This Row],[Team]],4,5)+TBA_Matches_All[[#This Row],[Match_Number]]/100)</f>
        <v>333.17</v>
      </c>
      <c r="CM101">
        <f>SUM((TBA_Matches_All[[#This Row],[Leave]]*2)+(TBA_Matches_All[[#This Row],[AampT]]*2)+(TBA_Matches_All[[#This Row],[AspkrT]]*5)+(TBA_Matches_All[[#This Row],[AtrapT]]*5))</f>
        <v>7</v>
      </c>
      <c r="CN101" s="59">
        <f>IFERROR(SUM(TBA_Matches_All[[#This Row],[AptsT]]/TBA_Matches_All[[#This Row],[AutoPts]]),0)</f>
        <v>0.77777777777777779</v>
      </c>
      <c r="CO101" s="59">
        <f>IFERROR(SUM(TBA_Matches_All[[#This Row],[AampT]]+TBA_Matches_All[[#This Row],[AspkrT]]+TBA_Matches_All[[#This Row],[AtrapT]]/TBA_Matches_All[[#This Row],[Aamp]]+TBA_Matches_All[[#This Row],[Aspkr]]+TBA_Matches_All[[#This Row],[AtrapT]]),0)</f>
        <v>0</v>
      </c>
      <c r="CP101" s="59">
        <f>IFERROR(SUM(TBA_Matches_All[[#This Row],[TampT]]/TBA_Matches_All[[#This Row],[Tamp]]),0)</f>
        <v>0.2857142857142857</v>
      </c>
      <c r="CQ101" s="59">
        <f>IFERROR(SUM(TBA_Matches_All[[#This Row],[TspkrT]]/TBA_Matches_All[[#This Row],[Tspkr]]),0)</f>
        <v>0.5</v>
      </c>
      <c r="CR101">
        <f>SUM(TBA_Matches_All[[#This Row],[TspkrPts]]*TBA_Matches_All[[#This Row],[TspkrP]])</f>
        <v>4</v>
      </c>
      <c r="CS101" s="59">
        <f>IFERROR(SUM(TBA_Matches_All[[#This Row],[TtrapT]]/TBA_Matches_All[[#This Row],[Trap]]),0)</f>
        <v>0</v>
      </c>
      <c r="CT101" s="59">
        <f>IFERROR(SUM(TBA_Matches_All[[#This Row],[TotNotesT]]/TBA_Matches_All[[#This Row],[TotNotes]]),0)</f>
        <v>0.41666666666666669</v>
      </c>
      <c r="CU101" s="66">
        <f>SUM((TBA_Matches_All[[#This Row],[AampT]]*2)+(TBA_Matches_All[[#This Row],[AspkrT]]*5)+(TBA_Matches_All[[#This Row],[AtrapT]]*5)+(TBA_Matches_All[[#This Row],[TampT]]*1)+(TBA_Matches_All[[#This Row],[TspkrptsC]]))</f>
        <v>11</v>
      </c>
      <c r="CV101" s="59">
        <f>IFERROR(TBA_Matches_All[[#This Row],[noteptsT]]/TBA_Matches_All[[#This Row],[NotePts]],0)</f>
        <v>0.55000000000000004</v>
      </c>
      <c r="CW101">
        <f>SUM(IF(TBA_Matches_All[[#This Row],[stageStat]]="On",3,0),IF(TBA_Matches_All[[#This Row],[stageStat]]="Park",1,0),SUMIFS(TBA_Matches_All[[#This Row],[Spotlit]],TBA_Matches_All[[#This Row],[stageStat]],"On"),SUMIFS(TBA_Matches_All[[#This Row],[Harmony]],TBA_Matches_All[[#This Row],[stageStat]],"On"))</f>
        <v>1</v>
      </c>
      <c r="CX101" s="59">
        <f>IFERROR(TBA_Matches_All[[#This Row],[stageptsT]]/TBA_Matches_All[[#This Row],[StagePts]],0)</f>
        <v>0.33333333333333331</v>
      </c>
      <c r="CY101">
        <f>SUM((TBA_Matches_All[[#This Row],[AptsT]]+TBA_Matches_All[[#This Row],[TampT]]+TBA_Matches_All[[#This Row],[TspkrptsC]]+(TBA_Matches_All[[#This Row],[TtrapT]]*5)+TBA_Matches_All[[#This Row],[stageptsT]]))</f>
        <v>14</v>
      </c>
      <c r="CZ101" s="59">
        <f>IFERROR(SUM(TBA_Matches_All[[#This Row],[TotptsC]]/TBA_Matches_All[[#This Row],[Score]]),0)</f>
        <v>0.48275862068965519</v>
      </c>
      <c r="DA10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5.0666666666666673</v>
      </c>
      <c r="DB101" s="74">
        <f>SUMIFS(TBA_Matches_All[AveTeamTNoteDels],TBA_Matches_All[Match_Number],TBA_Matches_All[[#This Row],[Match_Number]],TBA_Matches_All[Alliance],"&lt;&gt;"&amp;TBA_Matches_All[[#This Row],[Alliance]],TBA_Matches_All[Scouted],"&gt;0")</f>
        <v>36.38292748917749</v>
      </c>
      <c r="DC101" s="74">
        <f>(TBA_Matches_All[[#This Row],[TampT]]+TBA_Matches_All[[#This Row],[TspkrptsC]])-TBA_Matches_All[[#This Row],[AveTeamTNoteDels]]</f>
        <v>0.93333333333333268</v>
      </c>
      <c r="DD101" s="74">
        <f>SUMIFS(TBA_Matches_All[AveTeamTNoteDels],TBA_Matches_All[Match_Number],TBA_Matches_All[[#This Row],[Match_Number]],TBA_Matches_All[Alliance],"&lt;&gt;"&amp;TBA_Matches_All[[#This Row],[Alliance]])-TBA_Matches_All[[#This Row],[AveOppTNoteDels]]</f>
        <v>0</v>
      </c>
    </row>
    <row r="102" spans="1:108" x14ac:dyDescent="0.3">
      <c r="A102" t="s">
        <v>1042</v>
      </c>
      <c r="B102" t="s">
        <v>489</v>
      </c>
      <c r="C102" t="s">
        <v>1326</v>
      </c>
      <c r="D102">
        <v>17</v>
      </c>
      <c r="E102" t="s">
        <v>1406</v>
      </c>
      <c r="F102" t="s">
        <v>1422</v>
      </c>
      <c r="G102" t="s">
        <v>105</v>
      </c>
      <c r="H102" t="s">
        <v>318</v>
      </c>
      <c r="I102" t="b">
        <v>0</v>
      </c>
      <c r="J102">
        <v>64</v>
      </c>
      <c r="K102">
        <v>1</v>
      </c>
      <c r="L102">
        <v>0</v>
      </c>
      <c r="M102">
        <v>2</v>
      </c>
      <c r="N102">
        <v>0</v>
      </c>
      <c r="O102">
        <v>4</v>
      </c>
      <c r="P102">
        <v>20</v>
      </c>
      <c r="Q102">
        <v>22</v>
      </c>
      <c r="R102">
        <v>3</v>
      </c>
      <c r="S102">
        <v>2</v>
      </c>
      <c r="T102">
        <v>12</v>
      </c>
      <c r="U102">
        <v>10</v>
      </c>
      <c r="V102">
        <v>24</v>
      </c>
      <c r="W102">
        <v>14</v>
      </c>
      <c r="X102">
        <v>34</v>
      </c>
      <c r="Y102">
        <v>37</v>
      </c>
      <c r="Z102">
        <v>0</v>
      </c>
      <c r="AA102">
        <v>0</v>
      </c>
      <c r="AB102">
        <v>21</v>
      </c>
      <c r="AC102">
        <v>57</v>
      </c>
      <c r="AD102">
        <v>5</v>
      </c>
      <c r="AE102">
        <f>IFERROR(6/(COUNTIF(Dyno_EndMatch[Match],TBA_Matches_All[[#This Row],[Match_Number]])),0)</f>
        <v>1</v>
      </c>
      <c r="AF102">
        <f>COUNTIFS(Dyno_Data[Team],TBA_Matches_All[[#This Row],[Team]],Dyno_Data[Match],TBA_Matches_All[[#This Row],[Match_Number]],Dyno_Data[RecordType],"EndMatch",Dyno_Data[HPAmp],"Y")</f>
        <v>0</v>
      </c>
      <c r="AG102">
        <f>SUMIFS(Dyno_Data[Mics], Dyno_Data[Team],TBA_Matches_All[[#This Row],[Team]],Dyno_Data[Match],TBA_Matches_All[[#This Row],[Match_Number]],Dyno_Data[RecordType],"EndMatch",Dyno_Data[HPAmp],"Y")</f>
        <v>0</v>
      </c>
      <c r="AH102">
        <f>SUMIFS(Dyno_Data[Leave], Dyno_Data[Team],TBA_Matches_All[[#This Row],[Team]],Dyno_Data[Match],TBA_Matches_All[[#This Row],[Match_Number]],Dyno_Data[RecordType],"EndAuto")</f>
        <v>0</v>
      </c>
      <c r="AI102">
        <f>COUNTIFS(Dyno_Data[Team],TBA_Matches_All[[#This Row],[Team]],Dyno_Data[Match],TBA_Matches_All[[#This Row],[Match_Number]],Dyno_Data[RecordType],"Activities",Dyno_Data[DelDest],"Amp", Dyno_Data[DelMiss],"0", Dyno_Data[Mode],"Auto")</f>
        <v>0</v>
      </c>
      <c r="AJ102">
        <f>COUNTIFS(Dyno_Data[Team],TBA_Matches_All[[#This Row],[Team]],Dyno_Data[Match],TBA_Matches_All[[#This Row],[Match_Number]],Dyno_Data[RecordType],"Activities",Dyno_Data[DelDest],"Spkr", Dyno_Data[DelMiss],"0", Dyno_Data[Mode],"Auto")</f>
        <v>0</v>
      </c>
      <c r="AK102">
        <f>COUNTIFS(Dyno_Data[Team],TBA_Matches_All[[#This Row],[Team]],Dyno_Data[Match],TBA_Matches_All[[#This Row],[Match_Number]],Dyno_Data[RecordType],"Activities",Dyno_Data[DelDest],"Trap", Dyno_Data[DelMiss],"0", Dyno_Data[Mode],"Auto")</f>
        <v>0</v>
      </c>
      <c r="AL102">
        <f>COUNTIFS(Dyno_Data[Team],TBA_Matches_All[[#This Row],[Team]],Dyno_Data[Match],TBA_Matches_All[[#This Row],[Match_Number]],Dyno_Data[RecordType],"Activities",Dyno_Data[DelDest],"Amp", Dyno_Data[DelMiss],"0", Dyno_Data[Mode],"Teleop")</f>
        <v>0</v>
      </c>
      <c r="AM102">
        <f>COUNTIFS(Dyno_Data[Team],TBA_Matches_All[[#This Row],[Team]],Dyno_Data[Match],TBA_Matches_All[[#This Row],[Match_Number]],Dyno_Data[RecordType],"Activities",Dyno_Data[DelDest],"Spkr", Dyno_Data[DelMiss],"0", Dyno_Data[Mode],"Teleop")</f>
        <v>9</v>
      </c>
      <c r="AN102">
        <f>COUNTIFS(Dyno_Data[Team],TBA_Matches_All[[#This Row],[Team]],Dyno_Data[Match],TBA_Matches_All[[#This Row],[Match_Number]],Dyno_Data[RecordType],"Activities",Dyno_Data[DelDest],"Trap", Dyno_Data[DelMiss],"0", Dyno_Data[Mode],"&lt;&gt;Auto")</f>
        <v>0</v>
      </c>
      <c r="AO102">
        <f>SUM(TBA_Matches_All[[#This Row],[AampT]]+TBA_Matches_All[[#This Row],[AspkrT]]+TBA_Matches_All[[#This Row],[AtrapT]]+TBA_Matches_All[[#This Row],[TampT]]+TBA_Matches_All[[#This Row],[TspkrT]]+TBA_Matches_All[[#This Row],[TtrapT]])</f>
        <v>9</v>
      </c>
      <c r="AP102">
        <f>COUNTIFS(Dyno_Data[Team],TBA_Matches_All[[#This Row],[Team]],Dyno_Data[Match],TBA_Matches_All[[#This Row],[Match_Number]],Dyno_Data[RecordType],"Activities",Dyno_Data[DelDest],"Neut", Dyno_Data[DelMiss],"0")</f>
        <v>0</v>
      </c>
      <c r="AQ102">
        <f>COUNTIFS(Dyno_Data[Team],TBA_Matches_All[[#This Row],[Team]],Dyno_Data[Match],TBA_Matches_All[[#This Row],[Match_Number]],Dyno_Data[RecordType],"Activities",Dyno_Data[DelDest],"AllyW", Dyno_Data[DelMiss],"0")</f>
        <v>0</v>
      </c>
      <c r="AR102" t="str">
        <f>_xlfn.XLOOKUP(SUM(MID(TBA_Matches_All[[#This Row],[Team]],4,5),(TBA_Matches_All[[#This Row],[Match_Number]]/100)),Dyno_EndMatch[teammat],Dyno_EndMatch[RobotSta],"_",0,1)</f>
        <v>Amp</v>
      </c>
      <c r="AS102">
        <f>SUMIFS(Dyno_Data[AcqDis], Dyno_Data[Team],TBA_Matches_All[[#This Row],[Team]],Dyno_Data[Match],TBA_Matches_All[[#This Row],[Match_Number]],Dyno_Data[RecordType],"Activities", Dyno_Data[AcqCenter],1,Dyno_Data[Mode],"Auto")</f>
        <v>0</v>
      </c>
      <c r="AT102">
        <f>SUMIFS(Dyno_Data[AcqDis], Dyno_Data[Team],TBA_Matches_All[[#This Row],[Team]],Dyno_Data[Match],TBA_Matches_All[[#This Row],[Match_Number]],Dyno_Data[RecordType],"Activities", Dyno_Data[AcqCenter],2,Dyno_Data[Mode],"Auto")</f>
        <v>0</v>
      </c>
      <c r="AU102">
        <f>SUMIFS(Dyno_Data[AcqDis], Dyno_Data[Team],TBA_Matches_All[[#This Row],[Team]],Dyno_Data[Match],TBA_Matches_All[[#This Row],[Match_Number]],Dyno_Data[RecordType],"Activities", Dyno_Data[AcqCenter],3,Dyno_Data[Mode],"Auto")</f>
        <v>0</v>
      </c>
      <c r="AV102">
        <f>SUMIFS(Dyno_Data[AcqDis], Dyno_Data[Team],TBA_Matches_All[[#This Row],[Team]],Dyno_Data[Match],TBA_Matches_All[[#This Row],[Match_Number]],Dyno_Data[RecordType],"Activities", Dyno_Data[AcqCenter],4,Dyno_Data[Mode],"Auto")</f>
        <v>0</v>
      </c>
      <c r="AW102">
        <f>SUMIFS(Dyno_Data[AcqDis], Dyno_Data[Team],TBA_Matches_All[[#This Row],[Team]],Dyno_Data[Match],TBA_Matches_All[[#This Row],[Match_Number]],Dyno_Data[RecordType],"Activities", Dyno_Data[AcqCenter],5,Dyno_Data[Mode],"Auto")</f>
        <v>0</v>
      </c>
      <c r="AX102">
        <f>SUMIFS(Dyno_Data[DelMiss], Dyno_Data[Team],TBA_Matches_All[[#This Row],[Team]],Dyno_Data[Match],TBA_Matches_All[[#This Row],[Match_Number]],Dyno_Data[RecordType],"Activities", Dyno_Data[DelDest],"Amp")</f>
        <v>0</v>
      </c>
      <c r="AY102" s="60">
        <f>IFERROR(SUM((TBA_Matches_All[[#This Row],[AampT]]+TBA_Matches_All[[#This Row],[TampT]])/(TBA_Matches_All[[#This Row],[AampT]]+TBA_Matches_All[[#This Row],[TampT]]+TBA_Matches_All[[#This Row],[ampM]])),0)</f>
        <v>0</v>
      </c>
      <c r="AZ102">
        <f>SUMIFS(Dyno_Data[DelMiss], Dyno_Data[Team],TBA_Matches_All[[#This Row],[Team]],Dyno_Data[Match],TBA_Matches_All[[#This Row],[Match_Number]],Dyno_Data[RecordType],"Activities", Dyno_Data[DelDest],"Spkr")</f>
        <v>0</v>
      </c>
      <c r="BA102" s="60">
        <f>IFERROR(SUM((TBA_Matches_All[[#This Row],[AspkrT]]+TBA_Matches_All[[#This Row],[TspkrT]])/(TBA_Matches_All[[#This Row],[AspkrT]]+TBA_Matches_All[[#This Row],[TspkrT]]+TBA_Matches_All[[#This Row],[spkrM]])),0)</f>
        <v>1</v>
      </c>
      <c r="BB102">
        <f>SUMIFS(Dyno_Data[DelMiss], Dyno_Data[Team],TBA_Matches_All[[#This Row],[Team]],Dyno_Data[Match],TBA_Matches_All[[#This Row],[Match_Number]],Dyno_Data[RecordType],"Activities", Dyno_Data[DelDest],"Trap")</f>
        <v>0</v>
      </c>
      <c r="BC102" s="60">
        <f>IFERROR((TBA_Matches_All[[#This Row],[AtrapT]]+TBA_Matches_All[[#This Row],[TtrapT]])/(TBA_Matches_All[[#This Row],[AtrapT]]+TBA_Matches_All[[#This Row],[TtrapT]]+TBA_Matches_All[[#This Row],[trapM]]),0)</f>
        <v>0</v>
      </c>
      <c r="BD102">
        <f>COUNTIFS(Dyno_Data[Team],TBA_Matches_All[[#This Row],[Team]],Dyno_Data[Match],TBA_Matches_All[[#This Row],[Match_Number]],Dyno_Data[RecordType],"Activities",Dyno_Data[DelDest],"Neut", Dyno_Data[DelMiss],1)</f>
        <v>0</v>
      </c>
      <c r="BE102" s="60">
        <f>IFERROR(SUM((TBA_Matches_All[[#This Row],[NeutFlrT]])/(TBA_Matches_All[[#This Row],[NeutFlrT]]+TBA_Matches_All[[#This Row],[NZflM]])),0)</f>
        <v>0</v>
      </c>
      <c r="BF102">
        <f>COUNTIFS(Dyno_Data[Team],TBA_Matches_All[[#This Row],[Team]],Dyno_Data[Match],TBA_Matches_All[[#This Row],[Match_Number]],Dyno_Data[RecordType],"Activities",Dyno_Data[DelDest],"AllyW", Dyno_Data[DelMiss],1)</f>
        <v>0</v>
      </c>
      <c r="BG102" s="60">
        <f>IFERROR(SUM((TBA_Matches_All[[#This Row],[AllyWFlrT]])/(TBA_Matches_All[[#This Row],[AllyWFlrT]]+TBA_Matches_All[[#This Row],[AZflM]])),0)</f>
        <v>0</v>
      </c>
      <c r="BH102">
        <f>COUNTIFS(Dyno_Data[Team],TBA_Matches_All[[#This Row],[Team]],Dyno_Data[Match],TBA_Matches_All[[#This Row],[Match_Number]],Dyno_Data[RecordType],"Activities",Dyno_Data[DelOrig],"OppW", Dyno_Data[DelMiss],"0")</f>
        <v>0</v>
      </c>
      <c r="BI102">
        <f>COUNTIFS(Dyno_Data[Team],TBA_Matches_All[[#This Row],[Team]],Dyno_Data[Match],TBA_Matches_All[[#This Row],[Match_Number]],Dyno_Data[RecordType],"Activities",Dyno_Data[DelOrig],"OppW", Dyno_Data[DelMiss],"1")</f>
        <v>0</v>
      </c>
      <c r="BJ102" s="60">
        <f>IFERROR(SUM((TBA_Matches_All[[#This Row],[OZflrT]])/(TBA_Matches_All[[#This Row],[OZflrT]]+TBA_Matches_All[[#This Row],[OZflrM]])),0)</f>
        <v>0</v>
      </c>
      <c r="BK102">
        <f>COUNTIFS(Dyno_Data[Team],TBA_Matches_All[[#This Row],[Team]],Dyno_Data[Match],TBA_Matches_All[[#This Row],[Match_Number]],Dyno_Data[RecordType],"Activities",Dyno_Data[DelOrig],"Neut", Dyno_Data[DelMiss],"0")</f>
        <v>0</v>
      </c>
      <c r="BL102">
        <f>COUNTIFS(Dyno_Data[Team],TBA_Matches_All[[#This Row],[Team]],Dyno_Data[Match],TBA_Matches_All[[#This Row],[Match_Number]],Dyno_Data[RecordType],"Activities",Dyno_Data[DelOrig],"Neut", Dyno_Data[DelMiss],"1")</f>
        <v>0</v>
      </c>
      <c r="BM102" s="60">
        <f>IFERROR(SUM((TBA_Matches_All[[#This Row],[NZflrT]])/(TBA_Matches_All[[#This Row],[NZflrT]]+TBA_Matches_All[[#This Row],[NZflrM]])),0)</f>
        <v>0</v>
      </c>
      <c r="BN102">
        <f>COUNTIFS(Dyno_Data[Team],TBA_Matches_All[[#This Row],[Team]],Dyno_Data[Match],TBA_Matches_All[[#This Row],[Match_Number]],Dyno_Data[RecordType],"Activities",Dyno_Data[DelOrig],"AllyW", Dyno_Data[DelMiss],"0")</f>
        <v>7</v>
      </c>
      <c r="BO102">
        <f>COUNTIFS(Dyno_Data[Team],TBA_Matches_All[[#This Row],[Team]],Dyno_Data[Match],TBA_Matches_All[[#This Row],[Match_Number]],Dyno_Data[RecordType],"Activities",Dyno_Data[DelOrig],"AllyW", Dyno_Data[DelMiss],"1")</f>
        <v>0</v>
      </c>
      <c r="BP102" s="60">
        <f>IFERROR(SUM((TBA_Matches_All[[#This Row],[AZflrT]])/(TBA_Matches_All[[#This Row],[AZflrT]]+TBA_Matches_All[[#This Row],[AZflrM]])),0)</f>
        <v>1</v>
      </c>
      <c r="BQ102">
        <f>COUNTIFS(Dyno_Data[Team],TBA_Matches_All[[#This Row],[Team]],Dyno_Data[Match],TBA_Matches_All[[#This Row],[Match_Number]],Dyno_Data[RecordType],"Activities",Dyno_Data[DelOrig],"SubW", Dyno_Data[DelMiss],"0")</f>
        <v>2</v>
      </c>
      <c r="BR102">
        <f>COUNTIFS(Dyno_Data[Team],TBA_Matches_All[[#This Row],[Team]],Dyno_Data[Match],TBA_Matches_All[[#This Row],[Match_Number]],Dyno_Data[RecordType],"Activities",Dyno_Data[DelOrig],"SubW", Dyno_Data[DelMiss],"1")</f>
        <v>0</v>
      </c>
      <c r="BS102" s="60">
        <f>IFERROR(SUM((TBA_Matches_All[[#This Row],[SubwT]])/(TBA_Matches_All[[#This Row],[SubwT]]+TBA_Matches_All[[#This Row],[SubwM]])),0)</f>
        <v>1</v>
      </c>
      <c r="BT102">
        <f>COUNTIFS(Dyno_Data[Team],TBA_Matches_All[[#This Row],[Team]],Dyno_Data[Match],TBA_Matches_All[[#This Row],[Match_Number]],Dyno_Data[RecordType],"Activities", Dyno_Data[AcqLoc],"OppWing")</f>
        <v>0</v>
      </c>
      <c r="BU102">
        <f>COUNTIFS(Dyno_Data[Team],TBA_Matches_All[[#This Row],[Team]],Dyno_Data[Match],TBA_Matches_All[[#This Row],[Match_Number]],Dyno_Data[RecordType],"Activities", Dyno_Data[AcqLoc],"Neutral")</f>
        <v>0</v>
      </c>
      <c r="BV102">
        <f>COUNTIFS(Dyno_Data[Team],TBA_Matches_All[[#This Row],[Team]],Dyno_Data[Match],TBA_Matches_All[[#This Row],[Match_Number]],Dyno_Data[RecordType],"Activities", Dyno_Data[AcqLoc],"AllyWing")</f>
        <v>0</v>
      </c>
      <c r="BW102">
        <f>COUNTIFS(Dyno_Data[Team],TBA_Matches_All[[#This Row],[Team]],Dyno_Data[Match],TBA_Matches_All[[#This Row],[Match_Number]],Dyno_Data[RecordType],"Activities", Dyno_Data[AcqLoc],"Source")</f>
        <v>0</v>
      </c>
      <c r="BX102">
        <f>SUMIFS(Dyno_Data[AcqDrp], Dyno_Data[Team],TBA_Matches_All[[#This Row],[Team]],Dyno_Data[Match],TBA_Matches_All[[#This Row],[Match_Number]],Dyno_Data[RecordType],"Activities", Dyno_Data[AcqLoc],"Source")</f>
        <v>0</v>
      </c>
      <c r="BY102">
        <f>SUMIFS(Dyno_Data[OZTime], Dyno_Data[Team],TBA_Matches_All[[#This Row],[Team]],Dyno_Data[Match],TBA_Matches_All[[#This Row],[Match_Number]],Dyno_Data[RecordType],"EndMatch")</f>
        <v>34.505620100000002</v>
      </c>
      <c r="BZ102">
        <f>SUMIFS(Dyno_Data[NZTime], Dyno_Data[Team],TBA_Matches_All[[#This Row],[Team]],Dyno_Data[Match],TBA_Matches_All[[#This Row],[Match_Number]],Dyno_Data[RecordType],"EndMatch")</f>
        <v>19.905557399999999</v>
      </c>
      <c r="CA102">
        <f>SUMIFS(Dyno_Data[AZTime], Dyno_Data[Team],TBA_Matches_All[[#This Row],[Team]],Dyno_Data[Match],TBA_Matches_All[[#This Row],[Match_Number]],Dyno_Data[RecordType],"EndMatch")</f>
        <v>63.902189699999994</v>
      </c>
      <c r="CB102">
        <f>SUMIFS(Dyno_Data[ClimbT], Dyno_Data[Team],TBA_Matches_All[[#This Row],[Team]],Dyno_Data[Match],TBA_Matches_All[[#This Row],[Match_Number]],Dyno_Data[RecordType],"EndMatch")</f>
        <v>16.330018599999999</v>
      </c>
      <c r="CC102" t="str">
        <f>_xlfn.XLOOKUP(SUM(MID(TBA_Matches_All[[#This Row],[Team]],4,5),(TBA_Matches_All[[#This Row],[Match_Number]]/100)),Dyno_EndMatch[teammat],Dyno_EndMatch[StageStat],"_",0,1)</f>
        <v>Park</v>
      </c>
      <c r="CD102" t="str">
        <f>_xlfn.XLOOKUP(TBA_Matches_All[[#This Row],[teammat]],Dyno_EndMatch[teammat],Dyno_EndMatch[StageAtt],"_",0,1)</f>
        <v>-1</v>
      </c>
      <c r="CE102" t="str">
        <f>_xlfn.XLOOKUP(TBA_Matches_All[[#This Row],[teammat]],Dyno_EndMatch[teammat],Dyno_EndMatch[StageLoc],"_",0,1)</f>
        <v>A</v>
      </c>
      <c r="CF102">
        <f>SUMIFS(Dyno_Data[Harmony], Dyno_Data[Team],TBA_Matches_All[[#This Row],[Team]],Dyno_Data[Match],TBA_Matches_All[[#This Row],[Match_Number]],Dyno_Data[RecordType],"EndMatch", Dyno_Data[StageStat],"On",Dyno_Data[Harmony],"&lt;&gt;9")</f>
        <v>0</v>
      </c>
      <c r="CG102">
        <f>SUMIFS(Dyno_Data[Spotlit], Dyno_Data[Team],TBA_Matches_All[[#This Row],[Team]],Dyno_Data[Match],TBA_Matches_All[[#This Row],[Match_Number]],Dyno_Data[RecordType],"EndMatch", Dyno_Data[StageStat],"On",Dyno_Data[Spotlit],"&lt;&gt;9")</f>
        <v>0</v>
      </c>
      <c r="CH102" t="str">
        <f>_xlfn.XLOOKUP(TBA_Matches_All[[#This Row],[teammat]],Dyno_EndMatch[teammat],Dyno_EndMatch[Strategy],"_",0,1)</f>
        <v>Hybrid</v>
      </c>
      <c r="CI102">
        <f>SUMIFS(Dyno_Data[Defense], Dyno_Data[Team],TBA_Matches_All[[#This Row],[Team]],Dyno_Data[Match],TBA_Matches_All[[#This Row],[Match_Number]],Dyno_Data[RecordType],"EndMatch",Dyno_Data[Defense],"&lt;&gt;9")</f>
        <v>0</v>
      </c>
      <c r="CJ102">
        <f>SUMIFS(Dyno_Data[Avoidance], Dyno_Data[Team],TBA_Matches_All[[#This Row],[Team]],Dyno_Data[Match],TBA_Matches_All[[#This Row],[Match_Number]],Dyno_Data[RecordType],"EndMatch",Dyno_Data[Avoidance],"&lt;&gt;9")</f>
        <v>0</v>
      </c>
      <c r="CK102" s="82">
        <f>COUNTIF($H$2:TBA_Matches_All[[#This Row],[Team]],TBA_Matches_All[[#This Row],[Team]])</f>
        <v>2</v>
      </c>
      <c r="CL102" s="111">
        <f>SUM(MID(TBA_Matches_All[[#This Row],[Team]],4,5)+TBA_Matches_All[[#This Row],[Match_Number]]/100)</f>
        <v>639.16999999999996</v>
      </c>
      <c r="CM102">
        <f>SUM((TBA_Matches_All[[#This Row],[Leave]]*2)+(TBA_Matches_All[[#This Row],[AampT]]*2)+(TBA_Matches_All[[#This Row],[AspkrT]]*5)+(TBA_Matches_All[[#This Row],[AtrapT]]*5))</f>
        <v>0</v>
      </c>
      <c r="CN102" s="59">
        <f>IFERROR(SUM(TBA_Matches_All[[#This Row],[AptsT]]/TBA_Matches_All[[#This Row],[AutoPts]]),0)</f>
        <v>0</v>
      </c>
      <c r="CO102" s="59">
        <f>IFERROR(SUM(TBA_Matches_All[[#This Row],[AampT]]+TBA_Matches_All[[#This Row],[AspkrT]]+TBA_Matches_All[[#This Row],[AtrapT]]/TBA_Matches_All[[#This Row],[Aamp]]+TBA_Matches_All[[#This Row],[Aspkr]]+TBA_Matches_All[[#This Row],[AtrapT]]),0)</f>
        <v>0</v>
      </c>
      <c r="CP102" s="59">
        <f>IFERROR(SUM(TBA_Matches_All[[#This Row],[TampT]]/TBA_Matches_All[[#This Row],[Tamp]]),0)</f>
        <v>0</v>
      </c>
      <c r="CQ102" s="59">
        <f>IFERROR(SUM(TBA_Matches_All[[#This Row],[TspkrT]]/TBA_Matches_All[[#This Row],[Tspkr]]),0)</f>
        <v>0.6428571428571429</v>
      </c>
      <c r="CR102">
        <f>SUM(TBA_Matches_All[[#This Row],[TspkrPts]]*TBA_Matches_All[[#This Row],[TspkrP]])</f>
        <v>21.857142857142858</v>
      </c>
      <c r="CS102" s="59">
        <f>IFERROR(SUM(TBA_Matches_All[[#This Row],[TtrapT]]/TBA_Matches_All[[#This Row],[Trap]]),0)</f>
        <v>0</v>
      </c>
      <c r="CT102" s="59">
        <f>IFERROR(SUM(TBA_Matches_All[[#This Row],[TotNotesT]]/TBA_Matches_All[[#This Row],[TotNotes]]),0)</f>
        <v>0.42857142857142855</v>
      </c>
      <c r="CU102" s="66">
        <f>SUM((TBA_Matches_All[[#This Row],[AampT]]*2)+(TBA_Matches_All[[#This Row],[AspkrT]]*5)+(TBA_Matches_All[[#This Row],[AtrapT]]*5)+(TBA_Matches_All[[#This Row],[TampT]]*1)+(TBA_Matches_All[[#This Row],[TspkrptsC]]))</f>
        <v>21.857142857142858</v>
      </c>
      <c r="CV102" s="59">
        <f>IFERROR(TBA_Matches_All[[#This Row],[noteptsT]]/TBA_Matches_All[[#This Row],[NotePts]],0)</f>
        <v>0.38345864661654139</v>
      </c>
      <c r="CW102">
        <f>SUM(IF(TBA_Matches_All[[#This Row],[stageStat]]="On",3,0),IF(TBA_Matches_All[[#This Row],[stageStat]]="Park",1,0),SUMIFS(TBA_Matches_All[[#This Row],[Spotlit]],TBA_Matches_All[[#This Row],[stageStat]],"On"),SUMIFS(TBA_Matches_All[[#This Row],[Harmony]],TBA_Matches_All[[#This Row],[stageStat]],"On"))</f>
        <v>1</v>
      </c>
      <c r="CX102" s="59">
        <f>IFERROR(TBA_Matches_All[[#This Row],[stageptsT]]/TBA_Matches_All[[#This Row],[StagePts]],0)</f>
        <v>0.2</v>
      </c>
      <c r="CY102">
        <f>SUM((TBA_Matches_All[[#This Row],[AptsT]]+TBA_Matches_All[[#This Row],[TampT]]+TBA_Matches_All[[#This Row],[TspkrptsC]]+(TBA_Matches_All[[#This Row],[TtrapT]]*5)+TBA_Matches_All[[#This Row],[stageptsT]]))</f>
        <v>22.857142857142858</v>
      </c>
      <c r="CZ102" s="59">
        <f>IFERROR(SUM(TBA_Matches_All[[#This Row],[TotptsC]]/TBA_Matches_All[[#This Row],[Score]]),0)</f>
        <v>0.35714285714285715</v>
      </c>
      <c r="DA10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17.11904761904762</v>
      </c>
      <c r="DB102" s="74">
        <f>SUMIFS(TBA_Matches_All[AveTeamTNoteDels],TBA_Matches_All[Match_Number],TBA_Matches_All[[#This Row],[Match_Number]],TBA_Matches_All[Alliance],"&lt;&gt;"&amp;TBA_Matches_All[[#This Row],[Alliance]],TBA_Matches_All[Scouted],"&gt;0")</f>
        <v>15.633333333333333</v>
      </c>
      <c r="DC102" s="74">
        <f>(TBA_Matches_All[[#This Row],[TampT]]+TBA_Matches_All[[#This Row],[TspkrptsC]])-TBA_Matches_All[[#This Row],[AveTeamTNoteDels]]</f>
        <v>4.7380952380952372</v>
      </c>
      <c r="DD102" s="74">
        <f>SUMIFS(TBA_Matches_All[AveTeamTNoteDels],TBA_Matches_All[Match_Number],TBA_Matches_All[[#This Row],[Match_Number]],TBA_Matches_All[Alliance],"&lt;&gt;"&amp;TBA_Matches_All[[#This Row],[Alliance]])-TBA_Matches_All[[#This Row],[AveOppTNoteDels]]</f>
        <v>0</v>
      </c>
    </row>
    <row r="103" spans="1:108" x14ac:dyDescent="0.3">
      <c r="A103" t="s">
        <v>1042</v>
      </c>
      <c r="B103" t="s">
        <v>489</v>
      </c>
      <c r="C103" t="s">
        <v>1326</v>
      </c>
      <c r="D103">
        <v>17</v>
      </c>
      <c r="E103" t="s">
        <v>1420</v>
      </c>
      <c r="F103" t="s">
        <v>1425</v>
      </c>
      <c r="G103" t="s">
        <v>105</v>
      </c>
      <c r="H103" t="s">
        <v>1312</v>
      </c>
      <c r="I103" t="b">
        <v>0</v>
      </c>
      <c r="J103">
        <v>29</v>
      </c>
      <c r="K103">
        <v>0</v>
      </c>
      <c r="L103">
        <v>0</v>
      </c>
      <c r="M103">
        <v>0</v>
      </c>
      <c r="N103">
        <v>0</v>
      </c>
      <c r="O103">
        <v>1</v>
      </c>
      <c r="P103">
        <v>5</v>
      </c>
      <c r="Q103">
        <v>9</v>
      </c>
      <c r="R103">
        <v>7</v>
      </c>
      <c r="S103">
        <v>0</v>
      </c>
      <c r="T103">
        <v>4</v>
      </c>
      <c r="U103">
        <v>0</v>
      </c>
      <c r="V103">
        <v>8</v>
      </c>
      <c r="W103">
        <v>4</v>
      </c>
      <c r="X103">
        <v>8</v>
      </c>
      <c r="Y103">
        <v>15</v>
      </c>
      <c r="Z103">
        <v>0</v>
      </c>
      <c r="AA103">
        <v>0</v>
      </c>
      <c r="AB103">
        <v>12</v>
      </c>
      <c r="AC103">
        <v>20</v>
      </c>
      <c r="AD103">
        <v>3</v>
      </c>
      <c r="AE103">
        <f>IFERROR(6/(COUNTIF(Dyno_EndMatch[Match],TBA_Matches_All[[#This Row],[Match_Number]])),0)</f>
        <v>1</v>
      </c>
      <c r="AF103">
        <f>COUNTIFS(Dyno_Data[Team],TBA_Matches_All[[#This Row],[Team]],Dyno_Data[Match],TBA_Matches_All[[#This Row],[Match_Number]],Dyno_Data[RecordType],"EndMatch",Dyno_Data[HPAmp],"Y")</f>
        <v>0</v>
      </c>
      <c r="AG103">
        <f>SUMIFS(Dyno_Data[Mics], Dyno_Data[Team],TBA_Matches_All[[#This Row],[Team]],Dyno_Data[Match],TBA_Matches_All[[#This Row],[Match_Number]],Dyno_Data[RecordType],"EndMatch",Dyno_Data[HPAmp],"Y")</f>
        <v>0</v>
      </c>
      <c r="AH103">
        <f>SUMIFS(Dyno_Data[Leave], Dyno_Data[Team],TBA_Matches_All[[#This Row],[Team]],Dyno_Data[Match],TBA_Matches_All[[#This Row],[Match_Number]],Dyno_Data[RecordType],"EndAuto")</f>
        <v>1</v>
      </c>
      <c r="AI103">
        <f>COUNTIFS(Dyno_Data[Team],TBA_Matches_All[[#This Row],[Team]],Dyno_Data[Match],TBA_Matches_All[[#This Row],[Match_Number]],Dyno_Data[RecordType],"Activities",Dyno_Data[DelDest],"Amp", Dyno_Data[DelMiss],"0", Dyno_Data[Mode],"Auto")</f>
        <v>0</v>
      </c>
      <c r="AJ103">
        <f>COUNTIFS(Dyno_Data[Team],TBA_Matches_All[[#This Row],[Team]],Dyno_Data[Match],TBA_Matches_All[[#This Row],[Match_Number]],Dyno_Data[RecordType],"Activities",Dyno_Data[DelDest],"Spkr", Dyno_Data[DelMiss],"0", Dyno_Data[Mode],"Auto")</f>
        <v>0</v>
      </c>
      <c r="AK103">
        <f>COUNTIFS(Dyno_Data[Team],TBA_Matches_All[[#This Row],[Team]],Dyno_Data[Match],TBA_Matches_All[[#This Row],[Match_Number]],Dyno_Data[RecordType],"Activities",Dyno_Data[DelDest],"Trap", Dyno_Data[DelMiss],"0", Dyno_Data[Mode],"Auto")</f>
        <v>0</v>
      </c>
      <c r="AL103">
        <f>COUNTIFS(Dyno_Data[Team],TBA_Matches_All[[#This Row],[Team]],Dyno_Data[Match],TBA_Matches_All[[#This Row],[Match_Number]],Dyno_Data[RecordType],"Activities",Dyno_Data[DelDest],"Amp", Dyno_Data[DelMiss],"0", Dyno_Data[Mode],"Teleop")</f>
        <v>5</v>
      </c>
      <c r="AM103">
        <f>COUNTIFS(Dyno_Data[Team],TBA_Matches_All[[#This Row],[Team]],Dyno_Data[Match],TBA_Matches_All[[#This Row],[Match_Number]],Dyno_Data[RecordType],"Activities",Dyno_Data[DelDest],"Spkr", Dyno_Data[DelMiss],"0", Dyno_Data[Mode],"Teleop")</f>
        <v>1</v>
      </c>
      <c r="AN103">
        <f>COUNTIFS(Dyno_Data[Team],TBA_Matches_All[[#This Row],[Team]],Dyno_Data[Match],TBA_Matches_All[[#This Row],[Match_Number]],Dyno_Data[RecordType],"Activities",Dyno_Data[DelDest],"Trap", Dyno_Data[DelMiss],"0", Dyno_Data[Mode],"&lt;&gt;Auto")</f>
        <v>0</v>
      </c>
      <c r="AO103">
        <f>SUM(TBA_Matches_All[[#This Row],[AampT]]+TBA_Matches_All[[#This Row],[AspkrT]]+TBA_Matches_All[[#This Row],[AtrapT]]+TBA_Matches_All[[#This Row],[TampT]]+TBA_Matches_All[[#This Row],[TspkrT]]+TBA_Matches_All[[#This Row],[TtrapT]])</f>
        <v>6</v>
      </c>
      <c r="AP103">
        <f>COUNTIFS(Dyno_Data[Team],TBA_Matches_All[[#This Row],[Team]],Dyno_Data[Match],TBA_Matches_All[[#This Row],[Match_Number]],Dyno_Data[RecordType],"Activities",Dyno_Data[DelDest],"Neut", Dyno_Data[DelMiss],"0")</f>
        <v>0</v>
      </c>
      <c r="AQ103">
        <f>COUNTIFS(Dyno_Data[Team],TBA_Matches_All[[#This Row],[Team]],Dyno_Data[Match],TBA_Matches_All[[#This Row],[Match_Number]],Dyno_Data[RecordType],"Activities",Dyno_Data[DelDest],"AllyW", Dyno_Data[DelMiss],"0")</f>
        <v>0</v>
      </c>
      <c r="AR103" t="str">
        <f>_xlfn.XLOOKUP(SUM(MID(TBA_Matches_All[[#This Row],[Team]],4,5),(TBA_Matches_All[[#This Row],[Match_Number]]/100)),Dyno_EndMatch[teammat],Dyno_EndMatch[RobotSta],"_",0,1)</f>
        <v>SubW</v>
      </c>
      <c r="AS103">
        <f>SUMIFS(Dyno_Data[AcqDis], Dyno_Data[Team],TBA_Matches_All[[#This Row],[Team]],Dyno_Data[Match],TBA_Matches_All[[#This Row],[Match_Number]],Dyno_Data[RecordType],"Activities", Dyno_Data[AcqCenter],1,Dyno_Data[Mode],"Auto")</f>
        <v>0</v>
      </c>
      <c r="AT103">
        <f>SUMIFS(Dyno_Data[AcqDis], Dyno_Data[Team],TBA_Matches_All[[#This Row],[Team]],Dyno_Data[Match],TBA_Matches_All[[#This Row],[Match_Number]],Dyno_Data[RecordType],"Activities", Dyno_Data[AcqCenter],2,Dyno_Data[Mode],"Auto")</f>
        <v>0</v>
      </c>
      <c r="AU103">
        <f>SUMIFS(Dyno_Data[AcqDis], Dyno_Data[Team],TBA_Matches_All[[#This Row],[Team]],Dyno_Data[Match],TBA_Matches_All[[#This Row],[Match_Number]],Dyno_Data[RecordType],"Activities", Dyno_Data[AcqCenter],3,Dyno_Data[Mode],"Auto")</f>
        <v>1</v>
      </c>
      <c r="AV103">
        <f>SUMIFS(Dyno_Data[AcqDis], Dyno_Data[Team],TBA_Matches_All[[#This Row],[Team]],Dyno_Data[Match],TBA_Matches_All[[#This Row],[Match_Number]],Dyno_Data[RecordType],"Activities", Dyno_Data[AcqCenter],4,Dyno_Data[Mode],"Auto")</f>
        <v>0</v>
      </c>
      <c r="AW103">
        <f>SUMIFS(Dyno_Data[AcqDis], Dyno_Data[Team],TBA_Matches_All[[#This Row],[Team]],Dyno_Data[Match],TBA_Matches_All[[#This Row],[Match_Number]],Dyno_Data[RecordType],"Activities", Dyno_Data[AcqCenter],5,Dyno_Data[Mode],"Auto")</f>
        <v>0</v>
      </c>
      <c r="AX103">
        <f>SUMIFS(Dyno_Data[DelMiss], Dyno_Data[Team],TBA_Matches_All[[#This Row],[Team]],Dyno_Data[Match],TBA_Matches_All[[#This Row],[Match_Number]],Dyno_Data[RecordType],"Activities", Dyno_Data[DelDest],"Amp")</f>
        <v>0</v>
      </c>
      <c r="AY103" s="60">
        <f>IFERROR(SUM((TBA_Matches_All[[#This Row],[AampT]]+TBA_Matches_All[[#This Row],[TampT]])/(TBA_Matches_All[[#This Row],[AampT]]+TBA_Matches_All[[#This Row],[TampT]]+TBA_Matches_All[[#This Row],[ampM]])),0)</f>
        <v>1</v>
      </c>
      <c r="AZ103">
        <f>SUMIFS(Dyno_Data[DelMiss], Dyno_Data[Team],TBA_Matches_All[[#This Row],[Team]],Dyno_Data[Match],TBA_Matches_All[[#This Row],[Match_Number]],Dyno_Data[RecordType],"Activities", Dyno_Data[DelDest],"Spkr")</f>
        <v>3</v>
      </c>
      <c r="BA103" s="60">
        <f>IFERROR(SUM((TBA_Matches_All[[#This Row],[AspkrT]]+TBA_Matches_All[[#This Row],[TspkrT]])/(TBA_Matches_All[[#This Row],[AspkrT]]+TBA_Matches_All[[#This Row],[TspkrT]]+TBA_Matches_All[[#This Row],[spkrM]])),0)</f>
        <v>0.25</v>
      </c>
      <c r="BB103">
        <f>SUMIFS(Dyno_Data[DelMiss], Dyno_Data[Team],TBA_Matches_All[[#This Row],[Team]],Dyno_Data[Match],TBA_Matches_All[[#This Row],[Match_Number]],Dyno_Data[RecordType],"Activities", Dyno_Data[DelDest],"Trap")</f>
        <v>0</v>
      </c>
      <c r="BC103" s="60">
        <f>IFERROR((TBA_Matches_All[[#This Row],[AtrapT]]+TBA_Matches_All[[#This Row],[TtrapT]])/(TBA_Matches_All[[#This Row],[AtrapT]]+TBA_Matches_All[[#This Row],[TtrapT]]+TBA_Matches_All[[#This Row],[trapM]]),0)</f>
        <v>0</v>
      </c>
      <c r="BD103">
        <f>COUNTIFS(Dyno_Data[Team],TBA_Matches_All[[#This Row],[Team]],Dyno_Data[Match],TBA_Matches_All[[#This Row],[Match_Number]],Dyno_Data[RecordType],"Activities",Dyno_Data[DelDest],"Neut", Dyno_Data[DelMiss],1)</f>
        <v>0</v>
      </c>
      <c r="BE103" s="60">
        <f>IFERROR(SUM((TBA_Matches_All[[#This Row],[NeutFlrT]])/(TBA_Matches_All[[#This Row],[NeutFlrT]]+TBA_Matches_All[[#This Row],[NZflM]])),0)</f>
        <v>0</v>
      </c>
      <c r="BF103">
        <f>COUNTIFS(Dyno_Data[Team],TBA_Matches_All[[#This Row],[Team]],Dyno_Data[Match],TBA_Matches_All[[#This Row],[Match_Number]],Dyno_Data[RecordType],"Activities",Dyno_Data[DelDest],"AllyW", Dyno_Data[DelMiss],1)</f>
        <v>0</v>
      </c>
      <c r="BG103" s="60">
        <f>IFERROR(SUM((TBA_Matches_All[[#This Row],[AllyWFlrT]])/(TBA_Matches_All[[#This Row],[AllyWFlrT]]+TBA_Matches_All[[#This Row],[AZflM]])),0)</f>
        <v>0</v>
      </c>
      <c r="BH103">
        <f>COUNTIFS(Dyno_Data[Team],TBA_Matches_All[[#This Row],[Team]],Dyno_Data[Match],TBA_Matches_All[[#This Row],[Match_Number]],Dyno_Data[RecordType],"Activities",Dyno_Data[DelOrig],"OppW", Dyno_Data[DelMiss],"0")</f>
        <v>0</v>
      </c>
      <c r="BI103">
        <f>COUNTIFS(Dyno_Data[Team],TBA_Matches_All[[#This Row],[Team]],Dyno_Data[Match],TBA_Matches_All[[#This Row],[Match_Number]],Dyno_Data[RecordType],"Activities",Dyno_Data[DelOrig],"OppW", Dyno_Data[DelMiss],"1")</f>
        <v>2</v>
      </c>
      <c r="BJ103" s="60">
        <f>IFERROR(SUM((TBA_Matches_All[[#This Row],[OZflrT]])/(TBA_Matches_All[[#This Row],[OZflrT]]+TBA_Matches_All[[#This Row],[OZflrM]])),0)</f>
        <v>0</v>
      </c>
      <c r="BK103">
        <f>COUNTIFS(Dyno_Data[Team],TBA_Matches_All[[#This Row],[Team]],Dyno_Data[Match],TBA_Matches_All[[#This Row],[Match_Number]],Dyno_Data[RecordType],"Activities",Dyno_Data[DelOrig],"Neut", Dyno_Data[DelMiss],"0")</f>
        <v>0</v>
      </c>
      <c r="BL103">
        <f>COUNTIFS(Dyno_Data[Team],TBA_Matches_All[[#This Row],[Team]],Dyno_Data[Match],TBA_Matches_All[[#This Row],[Match_Number]],Dyno_Data[RecordType],"Activities",Dyno_Data[DelOrig],"Neut", Dyno_Data[DelMiss],"1")</f>
        <v>0</v>
      </c>
      <c r="BM103" s="60">
        <f>IFERROR(SUM((TBA_Matches_All[[#This Row],[NZflrT]])/(TBA_Matches_All[[#This Row],[NZflrT]]+TBA_Matches_All[[#This Row],[NZflrM]])),0)</f>
        <v>0</v>
      </c>
      <c r="BN103">
        <f>COUNTIFS(Dyno_Data[Team],TBA_Matches_All[[#This Row],[Team]],Dyno_Data[Match],TBA_Matches_All[[#This Row],[Match_Number]],Dyno_Data[RecordType],"Activities",Dyno_Data[DelOrig],"AllyW", Dyno_Data[DelMiss],"0")</f>
        <v>6</v>
      </c>
      <c r="BO103">
        <f>COUNTIFS(Dyno_Data[Team],TBA_Matches_All[[#This Row],[Team]],Dyno_Data[Match],TBA_Matches_All[[#This Row],[Match_Number]],Dyno_Data[RecordType],"Activities",Dyno_Data[DelOrig],"AllyW", Dyno_Data[DelMiss],"1")</f>
        <v>1</v>
      </c>
      <c r="BP103" s="60">
        <f>IFERROR(SUM((TBA_Matches_All[[#This Row],[AZflrT]])/(TBA_Matches_All[[#This Row],[AZflrT]]+TBA_Matches_All[[#This Row],[AZflrM]])),0)</f>
        <v>0.8571428571428571</v>
      </c>
      <c r="BQ103">
        <f>COUNTIFS(Dyno_Data[Team],TBA_Matches_All[[#This Row],[Team]],Dyno_Data[Match],TBA_Matches_All[[#This Row],[Match_Number]],Dyno_Data[RecordType],"Activities",Dyno_Data[DelOrig],"SubW", Dyno_Data[DelMiss],"0")</f>
        <v>0</v>
      </c>
      <c r="BR103">
        <f>COUNTIFS(Dyno_Data[Team],TBA_Matches_All[[#This Row],[Team]],Dyno_Data[Match],TBA_Matches_All[[#This Row],[Match_Number]],Dyno_Data[RecordType],"Activities",Dyno_Data[DelOrig],"SubW", Dyno_Data[DelMiss],"1")</f>
        <v>0</v>
      </c>
      <c r="BS103" s="60">
        <f>IFERROR(SUM((TBA_Matches_All[[#This Row],[SubwT]])/(TBA_Matches_All[[#This Row],[SubwT]]+TBA_Matches_All[[#This Row],[SubwM]])),0)</f>
        <v>0</v>
      </c>
      <c r="BT103">
        <f>COUNTIFS(Dyno_Data[Team],TBA_Matches_All[[#This Row],[Team]],Dyno_Data[Match],TBA_Matches_All[[#This Row],[Match_Number]],Dyno_Data[RecordType],"Activities", Dyno_Data[AcqLoc],"OppWing")</f>
        <v>0</v>
      </c>
      <c r="BU103">
        <f>COUNTIFS(Dyno_Data[Team],TBA_Matches_All[[#This Row],[Team]],Dyno_Data[Match],TBA_Matches_All[[#This Row],[Match_Number]],Dyno_Data[RecordType],"Activities", Dyno_Data[AcqLoc],"Neutral")</f>
        <v>2</v>
      </c>
      <c r="BV103">
        <f>COUNTIFS(Dyno_Data[Team],TBA_Matches_All[[#This Row],[Team]],Dyno_Data[Match],TBA_Matches_All[[#This Row],[Match_Number]],Dyno_Data[RecordType],"Activities", Dyno_Data[AcqLoc],"AllyWing")</f>
        <v>0</v>
      </c>
      <c r="BW103">
        <f>COUNTIFS(Dyno_Data[Team],TBA_Matches_All[[#This Row],[Team]],Dyno_Data[Match],TBA_Matches_All[[#This Row],[Match_Number]],Dyno_Data[RecordType],"Activities", Dyno_Data[AcqLoc],"Source")</f>
        <v>0</v>
      </c>
      <c r="BX103">
        <f>SUMIFS(Dyno_Data[AcqDrp], Dyno_Data[Team],TBA_Matches_All[[#This Row],[Team]],Dyno_Data[Match],TBA_Matches_All[[#This Row],[Match_Number]],Dyno_Data[RecordType],"Activities", Dyno_Data[AcqLoc],"Source")</f>
        <v>0</v>
      </c>
      <c r="BY103">
        <f>SUMIFS(Dyno_Data[OZTime], Dyno_Data[Team],TBA_Matches_All[[#This Row],[Team]],Dyno_Data[Match],TBA_Matches_All[[#This Row],[Match_Number]],Dyno_Data[RecordType],"EndMatch")</f>
        <v>36.049422199999995</v>
      </c>
      <c r="BZ103">
        <f>SUMIFS(Dyno_Data[NZTime], Dyno_Data[Team],TBA_Matches_All[[#This Row],[Team]],Dyno_Data[Match],TBA_Matches_All[[#This Row],[Match_Number]],Dyno_Data[RecordType],"EndMatch")</f>
        <v>18.657697299999999</v>
      </c>
      <c r="CA103">
        <f>SUMIFS(Dyno_Data[AZTime], Dyno_Data[Team],TBA_Matches_All[[#This Row],[Team]],Dyno_Data[Match],TBA_Matches_All[[#This Row],[Match_Number]],Dyno_Data[RecordType],"EndMatch")</f>
        <v>77.930810100000002</v>
      </c>
      <c r="CB103">
        <f>SUMIFS(Dyno_Data[ClimbT], Dyno_Data[Team],TBA_Matches_All[[#This Row],[Team]],Dyno_Data[Match],TBA_Matches_All[[#This Row],[Match_Number]],Dyno_Data[RecordType],"EndMatch")</f>
        <v>0.1843774</v>
      </c>
      <c r="CC103" t="str">
        <f>_xlfn.XLOOKUP(SUM(MID(TBA_Matches_All[[#This Row],[Team]],4,5),(TBA_Matches_All[[#This Row],[Match_Number]]/100)),Dyno_EndMatch[teammat],Dyno_EndMatch[StageStat],"_",0,1)</f>
        <v>Park</v>
      </c>
      <c r="CD103" t="str">
        <f>_xlfn.XLOOKUP(TBA_Matches_All[[#This Row],[teammat]],Dyno_EndMatch[teammat],Dyno_EndMatch[StageAtt],"_",0,1)</f>
        <v>-1</v>
      </c>
      <c r="CE103" t="str">
        <f>_xlfn.XLOOKUP(TBA_Matches_All[[#This Row],[teammat]],Dyno_EndMatch[teammat],Dyno_EndMatch[StageLoc],"_",0,1)</f>
        <v>A</v>
      </c>
      <c r="CF103">
        <f>SUMIFS(Dyno_Data[Harmony], Dyno_Data[Team],TBA_Matches_All[[#This Row],[Team]],Dyno_Data[Match],TBA_Matches_All[[#This Row],[Match_Number]],Dyno_Data[RecordType],"EndMatch", Dyno_Data[StageStat],"On",Dyno_Data[Harmony],"&lt;&gt;9")</f>
        <v>0</v>
      </c>
      <c r="CG103">
        <f>SUMIFS(Dyno_Data[Spotlit], Dyno_Data[Team],TBA_Matches_All[[#This Row],[Team]],Dyno_Data[Match],TBA_Matches_All[[#This Row],[Match_Number]],Dyno_Data[RecordType],"EndMatch", Dyno_Data[StageStat],"On",Dyno_Data[Spotlit],"&lt;&gt;9")</f>
        <v>0</v>
      </c>
      <c r="CH103" t="str">
        <f>_xlfn.XLOOKUP(TBA_Matches_All[[#This Row],[teammat]],Dyno_EndMatch[teammat],Dyno_EndMatch[Strategy],"_",0,1)</f>
        <v>Hybrid</v>
      </c>
      <c r="CI103">
        <f>SUMIFS(Dyno_Data[Defense], Dyno_Data[Team],TBA_Matches_All[[#This Row],[Team]],Dyno_Data[Match],TBA_Matches_All[[#This Row],[Match_Number]],Dyno_Data[RecordType],"EndMatch",Dyno_Data[Defense],"&lt;&gt;9")</f>
        <v>1</v>
      </c>
      <c r="CJ103">
        <f>SUMIFS(Dyno_Data[Avoidance], Dyno_Data[Team],TBA_Matches_All[[#This Row],[Team]],Dyno_Data[Match],TBA_Matches_All[[#This Row],[Match_Number]],Dyno_Data[RecordType],"EndMatch",Dyno_Data[Avoidance],"&lt;&gt;9")</f>
        <v>0</v>
      </c>
      <c r="CK103" s="82">
        <f>COUNTIF($H$2:TBA_Matches_All[[#This Row],[Team]],TBA_Matches_All[[#This Row],[Team]])</f>
        <v>2</v>
      </c>
      <c r="CL103" s="111">
        <f>SUM(MID(TBA_Matches_All[[#This Row],[Team]],4,5)+TBA_Matches_All[[#This Row],[Match_Number]]/100)</f>
        <v>2053.17</v>
      </c>
      <c r="CM103">
        <f>SUM((TBA_Matches_All[[#This Row],[Leave]]*2)+(TBA_Matches_All[[#This Row],[AampT]]*2)+(TBA_Matches_All[[#This Row],[AspkrT]]*5)+(TBA_Matches_All[[#This Row],[AtrapT]]*5))</f>
        <v>2</v>
      </c>
      <c r="CN103" s="59">
        <f>IFERROR(SUM(TBA_Matches_All[[#This Row],[AptsT]]/TBA_Matches_All[[#This Row],[AutoPts]]),0)</f>
        <v>0.22222222222222221</v>
      </c>
      <c r="CO103" s="59">
        <f>IFERROR(SUM(TBA_Matches_All[[#This Row],[AampT]]+TBA_Matches_All[[#This Row],[AspkrT]]+TBA_Matches_All[[#This Row],[AtrapT]]/TBA_Matches_All[[#This Row],[Aamp]]+TBA_Matches_All[[#This Row],[Aspkr]]+TBA_Matches_All[[#This Row],[AtrapT]]),0)</f>
        <v>0</v>
      </c>
      <c r="CP103" s="59">
        <f>IFERROR(SUM(TBA_Matches_All[[#This Row],[TampT]]/TBA_Matches_All[[#This Row],[Tamp]]),0)</f>
        <v>0.7142857142857143</v>
      </c>
      <c r="CQ103" s="59">
        <f>IFERROR(SUM(TBA_Matches_All[[#This Row],[TspkrT]]/TBA_Matches_All[[#This Row],[Tspkr]]),0)</f>
        <v>0.25</v>
      </c>
      <c r="CR103">
        <f>SUM(TBA_Matches_All[[#This Row],[TspkrPts]]*TBA_Matches_All[[#This Row],[TspkrP]])</f>
        <v>2</v>
      </c>
      <c r="CS103" s="59">
        <f>IFERROR(SUM(TBA_Matches_All[[#This Row],[TtrapT]]/TBA_Matches_All[[#This Row],[Trap]]),0)</f>
        <v>0</v>
      </c>
      <c r="CT103" s="59">
        <f>IFERROR(SUM(TBA_Matches_All[[#This Row],[TotNotesT]]/TBA_Matches_All[[#This Row],[TotNotes]]),0)</f>
        <v>0.5</v>
      </c>
      <c r="CU103" s="66">
        <f>SUM((TBA_Matches_All[[#This Row],[AampT]]*2)+(TBA_Matches_All[[#This Row],[AspkrT]]*5)+(TBA_Matches_All[[#This Row],[AtrapT]]*5)+(TBA_Matches_All[[#This Row],[TampT]]*1)+(TBA_Matches_All[[#This Row],[TspkrptsC]]))</f>
        <v>7</v>
      </c>
      <c r="CV103" s="59">
        <f>IFERROR(TBA_Matches_All[[#This Row],[noteptsT]]/TBA_Matches_All[[#This Row],[NotePts]],0)</f>
        <v>0.35</v>
      </c>
      <c r="CW103">
        <f>SUM(IF(TBA_Matches_All[[#This Row],[stageStat]]="On",3,0),IF(TBA_Matches_All[[#This Row],[stageStat]]="Park",1,0),SUMIFS(TBA_Matches_All[[#This Row],[Spotlit]],TBA_Matches_All[[#This Row],[stageStat]],"On"),SUMIFS(TBA_Matches_All[[#This Row],[Harmony]],TBA_Matches_All[[#This Row],[stageStat]],"On"))</f>
        <v>1</v>
      </c>
      <c r="CX103" s="59">
        <f>IFERROR(TBA_Matches_All[[#This Row],[stageptsT]]/TBA_Matches_All[[#This Row],[StagePts]],0)</f>
        <v>0.33333333333333331</v>
      </c>
      <c r="CY103">
        <f>SUM((TBA_Matches_All[[#This Row],[AptsT]]+TBA_Matches_All[[#This Row],[TampT]]+TBA_Matches_All[[#This Row],[TspkrptsC]]+(TBA_Matches_All[[#This Row],[TtrapT]]*5)+TBA_Matches_All[[#This Row],[stageptsT]]))</f>
        <v>10</v>
      </c>
      <c r="CZ103" s="59">
        <f>IFERROR(SUM(TBA_Matches_All[[#This Row],[TotptsC]]/TBA_Matches_All[[#This Row],[Score]]),0)</f>
        <v>0.34482758620689657</v>
      </c>
      <c r="DA10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10.566666666666666</v>
      </c>
      <c r="DB103" s="74">
        <f>SUMIFS(TBA_Matches_All[AveTeamTNoteDels],TBA_Matches_All[Match_Number],TBA_Matches_All[[#This Row],[Match_Number]],TBA_Matches_All[Alliance],"&lt;&gt;"&amp;TBA_Matches_All[[#This Row],[Alliance]],TBA_Matches_All[Scouted],"&gt;0")</f>
        <v>36.38292748917749</v>
      </c>
      <c r="DC103" s="74">
        <f>(TBA_Matches_All[[#This Row],[TampT]]+TBA_Matches_All[[#This Row],[TspkrptsC]])-TBA_Matches_All[[#This Row],[AveTeamTNoteDels]]</f>
        <v>-3.5666666666666664</v>
      </c>
      <c r="DD103" s="74">
        <f>SUMIFS(TBA_Matches_All[AveTeamTNoteDels],TBA_Matches_All[Match_Number],TBA_Matches_All[[#This Row],[Match_Number]],TBA_Matches_All[Alliance],"&lt;&gt;"&amp;TBA_Matches_All[[#This Row],[Alliance]])-TBA_Matches_All[[#This Row],[AveOppTNoteDels]]</f>
        <v>0</v>
      </c>
    </row>
    <row r="104" spans="1:108" x14ac:dyDescent="0.3">
      <c r="A104" t="s">
        <v>1042</v>
      </c>
      <c r="B104" t="s">
        <v>489</v>
      </c>
      <c r="C104" t="s">
        <v>1326</v>
      </c>
      <c r="D104">
        <v>17</v>
      </c>
      <c r="E104" t="s">
        <v>1406</v>
      </c>
      <c r="F104" t="s">
        <v>1426</v>
      </c>
      <c r="G104" t="s">
        <v>164</v>
      </c>
      <c r="H104" t="s">
        <v>361</v>
      </c>
      <c r="I104" t="b">
        <v>0</v>
      </c>
      <c r="J104">
        <v>64</v>
      </c>
      <c r="K104">
        <v>1</v>
      </c>
      <c r="L104">
        <v>0</v>
      </c>
      <c r="M104">
        <v>2</v>
      </c>
      <c r="N104">
        <v>0</v>
      </c>
      <c r="O104">
        <v>4</v>
      </c>
      <c r="P104">
        <v>20</v>
      </c>
      <c r="Q104">
        <v>22</v>
      </c>
      <c r="R104">
        <v>3</v>
      </c>
      <c r="S104">
        <v>2</v>
      </c>
      <c r="T104">
        <v>12</v>
      </c>
      <c r="U104">
        <v>10</v>
      </c>
      <c r="V104">
        <v>24</v>
      </c>
      <c r="W104">
        <v>14</v>
      </c>
      <c r="X104">
        <v>34</v>
      </c>
      <c r="Y104">
        <v>37</v>
      </c>
      <c r="Z104">
        <v>0</v>
      </c>
      <c r="AA104">
        <v>0</v>
      </c>
      <c r="AB104">
        <v>21</v>
      </c>
      <c r="AC104">
        <v>57</v>
      </c>
      <c r="AD104">
        <v>5</v>
      </c>
      <c r="AE104">
        <f>IFERROR(6/(COUNTIF(Dyno_EndMatch[Match],TBA_Matches_All[[#This Row],[Match_Number]])),0)</f>
        <v>1</v>
      </c>
      <c r="AF104">
        <f>COUNTIFS(Dyno_Data[Team],TBA_Matches_All[[#This Row],[Team]],Dyno_Data[Match],TBA_Matches_All[[#This Row],[Match_Number]],Dyno_Data[RecordType],"EndMatch",Dyno_Data[HPAmp],"Y")</f>
        <v>0</v>
      </c>
      <c r="AG104">
        <f>SUMIFS(Dyno_Data[Mics], Dyno_Data[Team],TBA_Matches_All[[#This Row],[Team]],Dyno_Data[Match],TBA_Matches_All[[#This Row],[Match_Number]],Dyno_Data[RecordType],"EndMatch",Dyno_Data[HPAmp],"Y")</f>
        <v>0</v>
      </c>
      <c r="AH104">
        <f>SUMIFS(Dyno_Data[Leave], Dyno_Data[Team],TBA_Matches_All[[#This Row],[Team]],Dyno_Data[Match],TBA_Matches_All[[#This Row],[Match_Number]],Dyno_Data[RecordType],"EndAuto")</f>
        <v>1</v>
      </c>
      <c r="AI104">
        <f>COUNTIFS(Dyno_Data[Team],TBA_Matches_All[[#This Row],[Team]],Dyno_Data[Match],TBA_Matches_All[[#This Row],[Match_Number]],Dyno_Data[RecordType],"Activities",Dyno_Data[DelDest],"Amp", Dyno_Data[DelMiss],"0", Dyno_Data[Mode],"Auto")</f>
        <v>0</v>
      </c>
      <c r="AJ104">
        <f>COUNTIFS(Dyno_Data[Team],TBA_Matches_All[[#This Row],[Team]],Dyno_Data[Match],TBA_Matches_All[[#This Row],[Match_Number]],Dyno_Data[RecordType],"Activities",Dyno_Data[DelDest],"Spkr", Dyno_Data[DelMiss],"0", Dyno_Data[Mode],"Auto")</f>
        <v>3</v>
      </c>
      <c r="AK104">
        <f>COUNTIFS(Dyno_Data[Team],TBA_Matches_All[[#This Row],[Team]],Dyno_Data[Match],TBA_Matches_All[[#This Row],[Match_Number]],Dyno_Data[RecordType],"Activities",Dyno_Data[DelDest],"Trap", Dyno_Data[DelMiss],"0", Dyno_Data[Mode],"Auto")</f>
        <v>0</v>
      </c>
      <c r="AL104">
        <f>COUNTIFS(Dyno_Data[Team],TBA_Matches_All[[#This Row],[Team]],Dyno_Data[Match],TBA_Matches_All[[#This Row],[Match_Number]],Dyno_Data[RecordType],"Activities",Dyno_Data[DelDest],"Amp", Dyno_Data[DelMiss],"0", Dyno_Data[Mode],"Teleop")</f>
        <v>0</v>
      </c>
      <c r="AM104">
        <f>COUNTIFS(Dyno_Data[Team],TBA_Matches_All[[#This Row],[Team]],Dyno_Data[Match],TBA_Matches_All[[#This Row],[Match_Number]],Dyno_Data[RecordType],"Activities",Dyno_Data[DelDest],"Spkr", Dyno_Data[DelMiss],"0", Dyno_Data[Mode],"Teleop")</f>
        <v>5</v>
      </c>
      <c r="AN104">
        <f>COUNTIFS(Dyno_Data[Team],TBA_Matches_All[[#This Row],[Team]],Dyno_Data[Match],TBA_Matches_All[[#This Row],[Match_Number]],Dyno_Data[RecordType],"Activities",Dyno_Data[DelDest],"Trap", Dyno_Data[DelMiss],"0", Dyno_Data[Mode],"&lt;&gt;Auto")</f>
        <v>0</v>
      </c>
      <c r="AO104">
        <f>SUM(TBA_Matches_All[[#This Row],[AampT]]+TBA_Matches_All[[#This Row],[AspkrT]]+TBA_Matches_All[[#This Row],[AtrapT]]+TBA_Matches_All[[#This Row],[TampT]]+TBA_Matches_All[[#This Row],[TspkrT]]+TBA_Matches_All[[#This Row],[TtrapT]])</f>
        <v>8</v>
      </c>
      <c r="AP104">
        <f>COUNTIFS(Dyno_Data[Team],TBA_Matches_All[[#This Row],[Team]],Dyno_Data[Match],TBA_Matches_All[[#This Row],[Match_Number]],Dyno_Data[RecordType],"Activities",Dyno_Data[DelDest],"Neut", Dyno_Data[DelMiss],"0")</f>
        <v>0</v>
      </c>
      <c r="AQ104">
        <f>COUNTIFS(Dyno_Data[Team],TBA_Matches_All[[#This Row],[Team]],Dyno_Data[Match],TBA_Matches_All[[#This Row],[Match_Number]],Dyno_Data[RecordType],"Activities",Dyno_Data[DelDest],"AllyW", Dyno_Data[DelMiss],"0")</f>
        <v>3</v>
      </c>
      <c r="AR104" t="str">
        <f>_xlfn.XLOOKUP(SUM(MID(TBA_Matches_All[[#This Row],[Team]],4,5),(TBA_Matches_All[[#This Row],[Match_Number]]/100)),Dyno_EndMatch[teammat],Dyno_EndMatch[RobotSta],"_",0,1)</f>
        <v>Podm</v>
      </c>
      <c r="AS104">
        <f>SUMIFS(Dyno_Data[AcqDis], Dyno_Data[Team],TBA_Matches_All[[#This Row],[Team]],Dyno_Data[Match],TBA_Matches_All[[#This Row],[Match_Number]],Dyno_Data[RecordType],"Activities", Dyno_Data[AcqCenter],1,Dyno_Data[Mode],"Auto")</f>
        <v>0</v>
      </c>
      <c r="AT104">
        <f>SUMIFS(Dyno_Data[AcqDis], Dyno_Data[Team],TBA_Matches_All[[#This Row],[Team]],Dyno_Data[Match],TBA_Matches_All[[#This Row],[Match_Number]],Dyno_Data[RecordType],"Activities", Dyno_Data[AcqCenter],2,Dyno_Data[Mode],"Auto")</f>
        <v>0</v>
      </c>
      <c r="AU104">
        <f>SUMIFS(Dyno_Data[AcqDis], Dyno_Data[Team],TBA_Matches_All[[#This Row],[Team]],Dyno_Data[Match],TBA_Matches_All[[#This Row],[Match_Number]],Dyno_Data[RecordType],"Activities", Dyno_Data[AcqCenter],3,Dyno_Data[Mode],"Auto")</f>
        <v>0</v>
      </c>
      <c r="AV104">
        <f>SUMIFS(Dyno_Data[AcqDis], Dyno_Data[Team],TBA_Matches_All[[#This Row],[Team]],Dyno_Data[Match],TBA_Matches_All[[#This Row],[Match_Number]],Dyno_Data[RecordType],"Activities", Dyno_Data[AcqCenter],4,Dyno_Data[Mode],"Auto")</f>
        <v>0</v>
      </c>
      <c r="AW104">
        <f>SUMIFS(Dyno_Data[AcqDis], Dyno_Data[Team],TBA_Matches_All[[#This Row],[Team]],Dyno_Data[Match],TBA_Matches_All[[#This Row],[Match_Number]],Dyno_Data[RecordType],"Activities", Dyno_Data[AcqCenter],5,Dyno_Data[Mode],"Auto")</f>
        <v>-1</v>
      </c>
      <c r="AX104">
        <f>SUMIFS(Dyno_Data[DelMiss], Dyno_Data[Team],TBA_Matches_All[[#This Row],[Team]],Dyno_Data[Match],TBA_Matches_All[[#This Row],[Match_Number]],Dyno_Data[RecordType],"Activities", Dyno_Data[DelDest],"Amp")</f>
        <v>0</v>
      </c>
      <c r="AY104" s="60">
        <f>IFERROR(SUM((TBA_Matches_All[[#This Row],[AampT]]+TBA_Matches_All[[#This Row],[TampT]])/(TBA_Matches_All[[#This Row],[AampT]]+TBA_Matches_All[[#This Row],[TampT]]+TBA_Matches_All[[#This Row],[ampM]])),0)</f>
        <v>0</v>
      </c>
      <c r="AZ104">
        <f>SUMIFS(Dyno_Data[DelMiss], Dyno_Data[Team],TBA_Matches_All[[#This Row],[Team]],Dyno_Data[Match],TBA_Matches_All[[#This Row],[Match_Number]],Dyno_Data[RecordType],"Activities", Dyno_Data[DelDest],"Spkr")</f>
        <v>2</v>
      </c>
      <c r="BA104" s="60">
        <f>IFERROR(SUM((TBA_Matches_All[[#This Row],[AspkrT]]+TBA_Matches_All[[#This Row],[TspkrT]])/(TBA_Matches_All[[#This Row],[AspkrT]]+TBA_Matches_All[[#This Row],[TspkrT]]+TBA_Matches_All[[#This Row],[spkrM]])),0)</f>
        <v>0.8</v>
      </c>
      <c r="BB104">
        <f>SUMIFS(Dyno_Data[DelMiss], Dyno_Data[Team],TBA_Matches_All[[#This Row],[Team]],Dyno_Data[Match],TBA_Matches_All[[#This Row],[Match_Number]],Dyno_Data[RecordType],"Activities", Dyno_Data[DelDest],"Trap")</f>
        <v>0</v>
      </c>
      <c r="BC104" s="60">
        <f>IFERROR((TBA_Matches_All[[#This Row],[AtrapT]]+TBA_Matches_All[[#This Row],[TtrapT]])/(TBA_Matches_All[[#This Row],[AtrapT]]+TBA_Matches_All[[#This Row],[TtrapT]]+TBA_Matches_All[[#This Row],[trapM]]),0)</f>
        <v>0</v>
      </c>
      <c r="BD104">
        <f>COUNTIFS(Dyno_Data[Team],TBA_Matches_All[[#This Row],[Team]],Dyno_Data[Match],TBA_Matches_All[[#This Row],[Match_Number]],Dyno_Data[RecordType],"Activities",Dyno_Data[DelDest],"Neut", Dyno_Data[DelMiss],1)</f>
        <v>0</v>
      </c>
      <c r="BE104" s="60">
        <f>IFERROR(SUM((TBA_Matches_All[[#This Row],[NeutFlrT]])/(TBA_Matches_All[[#This Row],[NeutFlrT]]+TBA_Matches_All[[#This Row],[NZflM]])),0)</f>
        <v>0</v>
      </c>
      <c r="BF104">
        <f>COUNTIFS(Dyno_Data[Team],TBA_Matches_All[[#This Row],[Team]],Dyno_Data[Match],TBA_Matches_All[[#This Row],[Match_Number]],Dyno_Data[RecordType],"Activities",Dyno_Data[DelDest],"AllyW", Dyno_Data[DelMiss],1)</f>
        <v>0</v>
      </c>
      <c r="BG104" s="60">
        <f>IFERROR(SUM((TBA_Matches_All[[#This Row],[AllyWFlrT]])/(TBA_Matches_All[[#This Row],[AllyWFlrT]]+TBA_Matches_All[[#This Row],[AZflM]])),0)</f>
        <v>1</v>
      </c>
      <c r="BH104">
        <f>COUNTIFS(Dyno_Data[Team],TBA_Matches_All[[#This Row],[Team]],Dyno_Data[Match],TBA_Matches_All[[#This Row],[Match_Number]],Dyno_Data[RecordType],"Activities",Dyno_Data[DelOrig],"OppW", Dyno_Data[DelMiss],"0")</f>
        <v>0</v>
      </c>
      <c r="BI104">
        <f>COUNTIFS(Dyno_Data[Team],TBA_Matches_All[[#This Row],[Team]],Dyno_Data[Match],TBA_Matches_All[[#This Row],[Match_Number]],Dyno_Data[RecordType],"Activities",Dyno_Data[DelOrig],"OppW", Dyno_Data[DelMiss],"1")</f>
        <v>0</v>
      </c>
      <c r="BJ104" s="60">
        <f>IFERROR(SUM((TBA_Matches_All[[#This Row],[OZflrT]])/(TBA_Matches_All[[#This Row],[OZflrT]]+TBA_Matches_All[[#This Row],[OZflrM]])),0)</f>
        <v>0</v>
      </c>
      <c r="BK104">
        <f>COUNTIFS(Dyno_Data[Team],TBA_Matches_All[[#This Row],[Team]],Dyno_Data[Match],TBA_Matches_All[[#This Row],[Match_Number]],Dyno_Data[RecordType],"Activities",Dyno_Data[DelOrig],"Neut", Dyno_Data[DelMiss],"0")</f>
        <v>3</v>
      </c>
      <c r="BL104">
        <f>COUNTIFS(Dyno_Data[Team],TBA_Matches_All[[#This Row],[Team]],Dyno_Data[Match],TBA_Matches_All[[#This Row],[Match_Number]],Dyno_Data[RecordType],"Activities",Dyno_Data[DelOrig],"Neut", Dyno_Data[DelMiss],"1")</f>
        <v>0</v>
      </c>
      <c r="BM104" s="60">
        <f>IFERROR(SUM((TBA_Matches_All[[#This Row],[NZflrT]])/(TBA_Matches_All[[#This Row],[NZflrT]]+TBA_Matches_All[[#This Row],[NZflrM]])),0)</f>
        <v>1</v>
      </c>
      <c r="BN104">
        <f>COUNTIFS(Dyno_Data[Team],TBA_Matches_All[[#This Row],[Team]],Dyno_Data[Match],TBA_Matches_All[[#This Row],[Match_Number]],Dyno_Data[RecordType],"Activities",Dyno_Data[DelOrig],"AllyW", Dyno_Data[DelMiss],"0")</f>
        <v>7</v>
      </c>
      <c r="BO104">
        <f>COUNTIFS(Dyno_Data[Team],TBA_Matches_All[[#This Row],[Team]],Dyno_Data[Match],TBA_Matches_All[[#This Row],[Match_Number]],Dyno_Data[RecordType],"Activities",Dyno_Data[DelOrig],"AllyW", Dyno_Data[DelMiss],"1")</f>
        <v>2</v>
      </c>
      <c r="BP104" s="60">
        <f>IFERROR(SUM((TBA_Matches_All[[#This Row],[AZflrT]])/(TBA_Matches_All[[#This Row],[AZflrT]]+TBA_Matches_All[[#This Row],[AZflrM]])),0)</f>
        <v>0.77777777777777779</v>
      </c>
      <c r="BQ104">
        <f>COUNTIFS(Dyno_Data[Team],TBA_Matches_All[[#This Row],[Team]],Dyno_Data[Match],TBA_Matches_All[[#This Row],[Match_Number]],Dyno_Data[RecordType],"Activities",Dyno_Data[DelOrig],"SubW", Dyno_Data[DelMiss],"0")</f>
        <v>1</v>
      </c>
      <c r="BR104">
        <f>COUNTIFS(Dyno_Data[Team],TBA_Matches_All[[#This Row],[Team]],Dyno_Data[Match],TBA_Matches_All[[#This Row],[Match_Number]],Dyno_Data[RecordType],"Activities",Dyno_Data[DelOrig],"SubW", Dyno_Data[DelMiss],"1")</f>
        <v>0</v>
      </c>
      <c r="BS104" s="60">
        <f>IFERROR(SUM((TBA_Matches_All[[#This Row],[SubwT]])/(TBA_Matches_All[[#This Row],[SubwT]]+TBA_Matches_All[[#This Row],[SubwM]])),0)</f>
        <v>1</v>
      </c>
      <c r="BT104">
        <f>COUNTIFS(Dyno_Data[Team],TBA_Matches_All[[#This Row],[Team]],Dyno_Data[Match],TBA_Matches_All[[#This Row],[Match_Number]],Dyno_Data[RecordType],"Activities", Dyno_Data[AcqLoc],"OppWing")</f>
        <v>0</v>
      </c>
      <c r="BU104">
        <f>COUNTIFS(Dyno_Data[Team],TBA_Matches_All[[#This Row],[Team]],Dyno_Data[Match],TBA_Matches_All[[#This Row],[Match_Number]],Dyno_Data[RecordType],"Activities", Dyno_Data[AcqLoc],"Neutral")</f>
        <v>1</v>
      </c>
      <c r="BV104">
        <f>COUNTIFS(Dyno_Data[Team],TBA_Matches_All[[#This Row],[Team]],Dyno_Data[Match],TBA_Matches_All[[#This Row],[Match_Number]],Dyno_Data[RecordType],"Activities", Dyno_Data[AcqLoc],"AllyWing")</f>
        <v>0</v>
      </c>
      <c r="BW104">
        <f>COUNTIFS(Dyno_Data[Team],TBA_Matches_All[[#This Row],[Team]],Dyno_Data[Match],TBA_Matches_All[[#This Row],[Match_Number]],Dyno_Data[RecordType],"Activities", Dyno_Data[AcqLoc],"Source")</f>
        <v>0</v>
      </c>
      <c r="BX104">
        <f>SUMIFS(Dyno_Data[AcqDrp], Dyno_Data[Team],TBA_Matches_All[[#This Row],[Team]],Dyno_Data[Match],TBA_Matches_All[[#This Row],[Match_Number]],Dyno_Data[RecordType],"Activities", Dyno_Data[AcqLoc],"Source")</f>
        <v>0</v>
      </c>
      <c r="BY104">
        <f>SUMIFS(Dyno_Data[OZTime], Dyno_Data[Team],TBA_Matches_All[[#This Row],[Team]],Dyno_Data[Match],TBA_Matches_All[[#This Row],[Match_Number]],Dyno_Data[RecordType],"EndMatch")</f>
        <v>48.157598499999999</v>
      </c>
      <c r="BZ104">
        <f>SUMIFS(Dyno_Data[NZTime], Dyno_Data[Team],TBA_Matches_All[[#This Row],[Team]],Dyno_Data[Match],TBA_Matches_All[[#This Row],[Match_Number]],Dyno_Data[RecordType],"EndMatch")</f>
        <v>36.839543999999997</v>
      </c>
      <c r="CA104">
        <f>SUMIFS(Dyno_Data[AZTime], Dyno_Data[Team],TBA_Matches_All[[#This Row],[Team]],Dyno_Data[Match],TBA_Matches_All[[#This Row],[Match_Number]],Dyno_Data[RecordType],"EndMatch")</f>
        <v>37.2072875</v>
      </c>
      <c r="CB104">
        <f>SUMIFS(Dyno_Data[ClimbT], Dyno_Data[Team],TBA_Matches_All[[#This Row],[Team]],Dyno_Data[Match],TBA_Matches_All[[#This Row],[Match_Number]],Dyno_Data[RecordType],"EndMatch")</f>
        <v>5.3142683000000002</v>
      </c>
      <c r="CC104" t="str">
        <f>_xlfn.XLOOKUP(SUM(MID(TBA_Matches_All[[#This Row],[Team]],4,5),(TBA_Matches_All[[#This Row],[Match_Number]]/100)),Dyno_EndMatch[teammat],Dyno_EndMatch[StageStat],"_",0,1)</f>
        <v>On</v>
      </c>
      <c r="CD104" t="str">
        <f>_xlfn.XLOOKUP(TBA_Matches_All[[#This Row],[teammat]],Dyno_EndMatch[teammat],Dyno_EndMatch[StageAtt],"_",0,1)</f>
        <v>1</v>
      </c>
      <c r="CE104" t="str">
        <f>_xlfn.XLOOKUP(TBA_Matches_All[[#This Row],[teammat]],Dyno_EndMatch[teammat],Dyno_EndMatch[StageLoc],"_",0,1)</f>
        <v>L</v>
      </c>
      <c r="CF104">
        <f>SUMIFS(Dyno_Data[Harmony], Dyno_Data[Team],TBA_Matches_All[[#This Row],[Team]],Dyno_Data[Match],TBA_Matches_All[[#This Row],[Match_Number]],Dyno_Data[RecordType],"EndMatch", Dyno_Data[StageStat],"On",Dyno_Data[Harmony],"&lt;&gt;9")</f>
        <v>0</v>
      </c>
      <c r="CG104">
        <f>SUMIFS(Dyno_Data[Spotlit], Dyno_Data[Team],TBA_Matches_All[[#This Row],[Team]],Dyno_Data[Match],TBA_Matches_All[[#This Row],[Match_Number]],Dyno_Data[RecordType],"EndMatch", Dyno_Data[StageStat],"On",Dyno_Data[Spotlit],"&lt;&gt;9")</f>
        <v>0</v>
      </c>
      <c r="CH104" t="str">
        <f>_xlfn.XLOOKUP(TBA_Matches_All[[#This Row],[teammat]],Dyno_EndMatch[teammat],Dyno_EndMatch[Strategy],"_",0,1)</f>
        <v>Hybrid</v>
      </c>
      <c r="CI104">
        <f>SUMIFS(Dyno_Data[Defense], Dyno_Data[Team],TBA_Matches_All[[#This Row],[Team]],Dyno_Data[Match],TBA_Matches_All[[#This Row],[Match_Number]],Dyno_Data[RecordType],"EndMatch",Dyno_Data[Defense],"&lt;&gt;9")</f>
        <v>0</v>
      </c>
      <c r="CJ104">
        <f>SUMIFS(Dyno_Data[Avoidance], Dyno_Data[Team],TBA_Matches_All[[#This Row],[Team]],Dyno_Data[Match],TBA_Matches_All[[#This Row],[Match_Number]],Dyno_Data[RecordType],"EndMatch",Dyno_Data[Avoidance],"&lt;&gt;9")</f>
        <v>1</v>
      </c>
      <c r="CK104" s="82">
        <f>COUNTIF($H$2:TBA_Matches_All[[#This Row],[Team]],TBA_Matches_All[[#This Row],[Team]])</f>
        <v>2</v>
      </c>
      <c r="CL104" s="111">
        <f>SUM(MID(TBA_Matches_All[[#This Row],[Team]],4,5)+TBA_Matches_All[[#This Row],[Match_Number]]/100)</f>
        <v>20.170000000000002</v>
      </c>
      <c r="CM104">
        <f>SUM((TBA_Matches_All[[#This Row],[Leave]]*2)+(TBA_Matches_All[[#This Row],[AampT]]*2)+(TBA_Matches_All[[#This Row],[AspkrT]]*5)+(TBA_Matches_All[[#This Row],[AtrapT]]*5))</f>
        <v>17</v>
      </c>
      <c r="CN104" s="59">
        <f>IFERROR(SUM(TBA_Matches_All[[#This Row],[AptsT]]/TBA_Matches_All[[#This Row],[AutoPts]]),0)</f>
        <v>0.77272727272727271</v>
      </c>
      <c r="CO104" s="59">
        <f>IFERROR(SUM(TBA_Matches_All[[#This Row],[AampT]]+TBA_Matches_All[[#This Row],[AspkrT]]+TBA_Matches_All[[#This Row],[AtrapT]]/TBA_Matches_All[[#This Row],[Aamp]]+TBA_Matches_All[[#This Row],[Aspkr]]+TBA_Matches_All[[#This Row],[AtrapT]]),0)</f>
        <v>0</v>
      </c>
      <c r="CP104" s="59">
        <f>IFERROR(SUM(TBA_Matches_All[[#This Row],[TampT]]/TBA_Matches_All[[#This Row],[Tamp]]),0)</f>
        <v>0</v>
      </c>
      <c r="CQ104" s="59">
        <f>IFERROR(SUM(TBA_Matches_All[[#This Row],[TspkrT]]/TBA_Matches_All[[#This Row],[Tspkr]]),0)</f>
        <v>0.35714285714285715</v>
      </c>
      <c r="CR104">
        <f>SUM(TBA_Matches_All[[#This Row],[TspkrPts]]*TBA_Matches_All[[#This Row],[TspkrP]])</f>
        <v>12.142857142857142</v>
      </c>
      <c r="CS104" s="59">
        <f>IFERROR(SUM(TBA_Matches_All[[#This Row],[TtrapT]]/TBA_Matches_All[[#This Row],[Trap]]),0)</f>
        <v>0</v>
      </c>
      <c r="CT104" s="59">
        <f>IFERROR(SUM(TBA_Matches_All[[#This Row],[TotNotesT]]/TBA_Matches_All[[#This Row],[TotNotes]]),0)</f>
        <v>0.38095238095238093</v>
      </c>
      <c r="CU104" s="66">
        <f>SUM((TBA_Matches_All[[#This Row],[AampT]]*2)+(TBA_Matches_All[[#This Row],[AspkrT]]*5)+(TBA_Matches_All[[#This Row],[AtrapT]]*5)+(TBA_Matches_All[[#This Row],[TampT]]*1)+(TBA_Matches_All[[#This Row],[TspkrptsC]]))</f>
        <v>27.142857142857142</v>
      </c>
      <c r="CV104" s="59">
        <f>IFERROR(TBA_Matches_All[[#This Row],[noteptsT]]/TBA_Matches_All[[#This Row],[NotePts]],0)</f>
        <v>0.47619047619047616</v>
      </c>
      <c r="CW104">
        <f>SUM(IF(TBA_Matches_All[[#This Row],[stageStat]]="On",3,0),IF(TBA_Matches_All[[#This Row],[stageStat]]="Park",1,0),SUMIFS(TBA_Matches_All[[#This Row],[Spotlit]],TBA_Matches_All[[#This Row],[stageStat]],"On"),SUMIFS(TBA_Matches_All[[#This Row],[Harmony]],TBA_Matches_All[[#This Row],[stageStat]],"On"))</f>
        <v>3</v>
      </c>
      <c r="CX104" s="59">
        <f>IFERROR(TBA_Matches_All[[#This Row],[stageptsT]]/TBA_Matches_All[[#This Row],[StagePts]],0)</f>
        <v>0.6</v>
      </c>
      <c r="CY104">
        <f>SUM((TBA_Matches_All[[#This Row],[AptsT]]+TBA_Matches_All[[#This Row],[TampT]]+TBA_Matches_All[[#This Row],[TspkrptsC]]+(TBA_Matches_All[[#This Row],[TtrapT]]*5)+TBA_Matches_All[[#This Row],[stageptsT]]))</f>
        <v>32.142857142857139</v>
      </c>
      <c r="CZ104" s="59">
        <f>IFERROR(SUM(TBA_Matches_All[[#This Row],[TotptsC]]/TBA_Matches_All[[#This Row],[Score]]),0)</f>
        <v>0.50223214285714279</v>
      </c>
      <c r="DA10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15.213879870129871</v>
      </c>
      <c r="DB104" s="74">
        <f>SUMIFS(TBA_Matches_All[AveTeamTNoteDels],TBA_Matches_All[Match_Number],TBA_Matches_All[[#This Row],[Match_Number]],TBA_Matches_All[Alliance],"&lt;&gt;"&amp;TBA_Matches_All[[#This Row],[Alliance]],TBA_Matches_All[Scouted],"&gt;0")</f>
        <v>15.633333333333333</v>
      </c>
      <c r="DC104" s="74">
        <f>(TBA_Matches_All[[#This Row],[TampT]]+TBA_Matches_All[[#This Row],[TspkrptsC]])-TBA_Matches_All[[#This Row],[AveTeamTNoteDels]]</f>
        <v>-3.0710227272727284</v>
      </c>
      <c r="DD104" s="74">
        <f>SUMIFS(TBA_Matches_All[AveTeamTNoteDels],TBA_Matches_All[Match_Number],TBA_Matches_All[[#This Row],[Match_Number]],TBA_Matches_All[Alliance],"&lt;&gt;"&amp;TBA_Matches_All[[#This Row],[Alliance]])-TBA_Matches_All[[#This Row],[AveOppTNoteDels]]</f>
        <v>0</v>
      </c>
    </row>
    <row r="105" spans="1:108" x14ac:dyDescent="0.3">
      <c r="A105" t="s">
        <v>1042</v>
      </c>
      <c r="B105" t="s">
        <v>489</v>
      </c>
      <c r="C105" t="s">
        <v>1327</v>
      </c>
      <c r="D105">
        <v>18</v>
      </c>
      <c r="E105" t="s">
        <v>1420</v>
      </c>
      <c r="F105" t="s">
        <v>1425</v>
      </c>
      <c r="G105" t="s">
        <v>105</v>
      </c>
      <c r="H105" t="s">
        <v>371</v>
      </c>
      <c r="I105" t="b">
        <v>1</v>
      </c>
      <c r="J105">
        <v>40</v>
      </c>
      <c r="K105">
        <v>0</v>
      </c>
      <c r="L105">
        <v>0</v>
      </c>
      <c r="M105">
        <v>40</v>
      </c>
      <c r="N105">
        <v>0</v>
      </c>
      <c r="O105">
        <v>4</v>
      </c>
      <c r="P105">
        <v>20</v>
      </c>
      <c r="Q105">
        <v>22</v>
      </c>
      <c r="R105">
        <v>3</v>
      </c>
      <c r="S105">
        <v>0</v>
      </c>
      <c r="T105">
        <v>7</v>
      </c>
      <c r="U105">
        <v>0</v>
      </c>
      <c r="V105">
        <v>14</v>
      </c>
      <c r="W105">
        <v>7</v>
      </c>
      <c r="X105">
        <v>14</v>
      </c>
      <c r="Y105">
        <v>17</v>
      </c>
      <c r="Z105">
        <v>0</v>
      </c>
      <c r="AA105">
        <v>0</v>
      </c>
      <c r="AB105">
        <v>14</v>
      </c>
      <c r="AC105">
        <v>37</v>
      </c>
      <c r="AD105">
        <v>1</v>
      </c>
      <c r="AE105">
        <f>IFERROR(6/(COUNTIF(Dyno_EndMatch[Match],TBA_Matches_All[[#This Row],[Match_Number]])),0)</f>
        <v>1</v>
      </c>
      <c r="AF105">
        <f>COUNTIFS(Dyno_Data[Team],TBA_Matches_All[[#This Row],[Team]],Dyno_Data[Match],TBA_Matches_All[[#This Row],[Match_Number]],Dyno_Data[RecordType],"EndMatch",Dyno_Data[HPAmp],"Y")</f>
        <v>1</v>
      </c>
      <c r="AG105">
        <f>SUMIFS(Dyno_Data[Mics], Dyno_Data[Team],TBA_Matches_All[[#This Row],[Team]],Dyno_Data[Match],TBA_Matches_All[[#This Row],[Match_Number]],Dyno_Data[RecordType],"EndMatch",Dyno_Data[HPAmp],"Y")</f>
        <v>0</v>
      </c>
      <c r="AH105">
        <f>SUMIFS(Dyno_Data[Leave], Dyno_Data[Team],TBA_Matches_All[[#This Row],[Team]],Dyno_Data[Match],TBA_Matches_All[[#This Row],[Match_Number]],Dyno_Data[RecordType],"EndAuto")</f>
        <v>0</v>
      </c>
      <c r="AI105">
        <f>COUNTIFS(Dyno_Data[Team],TBA_Matches_All[[#This Row],[Team]],Dyno_Data[Match],TBA_Matches_All[[#This Row],[Match_Number]],Dyno_Data[RecordType],"Activities",Dyno_Data[DelDest],"Amp", Dyno_Data[DelMiss],"0", Dyno_Data[Mode],"Auto")</f>
        <v>0</v>
      </c>
      <c r="AJ105">
        <f>COUNTIFS(Dyno_Data[Team],TBA_Matches_All[[#This Row],[Team]],Dyno_Data[Match],TBA_Matches_All[[#This Row],[Match_Number]],Dyno_Data[RecordType],"Activities",Dyno_Data[DelDest],"Spkr", Dyno_Data[DelMiss],"0", Dyno_Data[Mode],"Auto")</f>
        <v>0</v>
      </c>
      <c r="AK105">
        <f>COUNTIFS(Dyno_Data[Team],TBA_Matches_All[[#This Row],[Team]],Dyno_Data[Match],TBA_Matches_All[[#This Row],[Match_Number]],Dyno_Data[RecordType],"Activities",Dyno_Data[DelDest],"Trap", Dyno_Data[DelMiss],"0", Dyno_Data[Mode],"Auto")</f>
        <v>0</v>
      </c>
      <c r="AL105">
        <f>COUNTIFS(Dyno_Data[Team],TBA_Matches_All[[#This Row],[Team]],Dyno_Data[Match],TBA_Matches_All[[#This Row],[Match_Number]],Dyno_Data[RecordType],"Activities",Dyno_Data[DelDest],"Amp", Dyno_Data[DelMiss],"0", Dyno_Data[Mode],"Teleop")</f>
        <v>0</v>
      </c>
      <c r="AM105">
        <f>COUNTIFS(Dyno_Data[Team],TBA_Matches_All[[#This Row],[Team]],Dyno_Data[Match],TBA_Matches_All[[#This Row],[Match_Number]],Dyno_Data[RecordType],"Activities",Dyno_Data[DelDest],"Spkr", Dyno_Data[DelMiss],"0", Dyno_Data[Mode],"Teleop")</f>
        <v>0</v>
      </c>
      <c r="AN105">
        <f>COUNTIFS(Dyno_Data[Team],TBA_Matches_All[[#This Row],[Team]],Dyno_Data[Match],TBA_Matches_All[[#This Row],[Match_Number]],Dyno_Data[RecordType],"Activities",Dyno_Data[DelDest],"Trap", Dyno_Data[DelMiss],"0", Dyno_Data[Mode],"&lt;&gt;Auto")</f>
        <v>0</v>
      </c>
      <c r="AO105">
        <f>SUM(TBA_Matches_All[[#This Row],[AampT]]+TBA_Matches_All[[#This Row],[AspkrT]]+TBA_Matches_All[[#This Row],[AtrapT]]+TBA_Matches_All[[#This Row],[TampT]]+TBA_Matches_All[[#This Row],[TspkrT]]+TBA_Matches_All[[#This Row],[TtrapT]])</f>
        <v>0</v>
      </c>
      <c r="AP105">
        <f>COUNTIFS(Dyno_Data[Team],TBA_Matches_All[[#This Row],[Team]],Dyno_Data[Match],TBA_Matches_All[[#This Row],[Match_Number]],Dyno_Data[RecordType],"Activities",Dyno_Data[DelDest],"Neut", Dyno_Data[DelMiss],"0")</f>
        <v>0</v>
      </c>
      <c r="AQ105">
        <f>COUNTIFS(Dyno_Data[Team],TBA_Matches_All[[#This Row],[Team]],Dyno_Data[Match],TBA_Matches_All[[#This Row],[Match_Number]],Dyno_Data[RecordType],"Activities",Dyno_Data[DelDest],"AllyW", Dyno_Data[DelMiss],"0")</f>
        <v>0</v>
      </c>
      <c r="AR105" t="str">
        <f>_xlfn.XLOOKUP(SUM(MID(TBA_Matches_All[[#This Row],[Team]],4,5),(TBA_Matches_All[[#This Row],[Match_Number]]/100)),Dyno_EndMatch[teammat],Dyno_EndMatch[RobotSta],"_",0,1)</f>
        <v>OppS</v>
      </c>
      <c r="AS105">
        <f>SUMIFS(Dyno_Data[AcqDis], Dyno_Data[Team],TBA_Matches_All[[#This Row],[Team]],Dyno_Data[Match],TBA_Matches_All[[#This Row],[Match_Number]],Dyno_Data[RecordType],"Activities", Dyno_Data[AcqCenter],1,Dyno_Data[Mode],"Auto")</f>
        <v>0</v>
      </c>
      <c r="AT105">
        <f>SUMIFS(Dyno_Data[AcqDis], Dyno_Data[Team],TBA_Matches_All[[#This Row],[Team]],Dyno_Data[Match],TBA_Matches_All[[#This Row],[Match_Number]],Dyno_Data[RecordType],"Activities", Dyno_Data[AcqCenter],2,Dyno_Data[Mode],"Auto")</f>
        <v>0</v>
      </c>
      <c r="AU105">
        <f>SUMIFS(Dyno_Data[AcqDis], Dyno_Data[Team],TBA_Matches_All[[#This Row],[Team]],Dyno_Data[Match],TBA_Matches_All[[#This Row],[Match_Number]],Dyno_Data[RecordType],"Activities", Dyno_Data[AcqCenter],3,Dyno_Data[Mode],"Auto")</f>
        <v>0</v>
      </c>
      <c r="AV105">
        <f>SUMIFS(Dyno_Data[AcqDis], Dyno_Data[Team],TBA_Matches_All[[#This Row],[Team]],Dyno_Data[Match],TBA_Matches_All[[#This Row],[Match_Number]],Dyno_Data[RecordType],"Activities", Dyno_Data[AcqCenter],4,Dyno_Data[Mode],"Auto")</f>
        <v>0</v>
      </c>
      <c r="AW105">
        <f>SUMIFS(Dyno_Data[AcqDis], Dyno_Data[Team],TBA_Matches_All[[#This Row],[Team]],Dyno_Data[Match],TBA_Matches_All[[#This Row],[Match_Number]],Dyno_Data[RecordType],"Activities", Dyno_Data[AcqCenter],5,Dyno_Data[Mode],"Auto")</f>
        <v>0</v>
      </c>
      <c r="AX105">
        <f>SUMIFS(Dyno_Data[DelMiss], Dyno_Data[Team],TBA_Matches_All[[#This Row],[Team]],Dyno_Data[Match],TBA_Matches_All[[#This Row],[Match_Number]],Dyno_Data[RecordType],"Activities", Dyno_Data[DelDest],"Amp")</f>
        <v>0</v>
      </c>
      <c r="AY105" s="60">
        <f>IFERROR(SUM((TBA_Matches_All[[#This Row],[AampT]]+TBA_Matches_All[[#This Row],[TampT]])/(TBA_Matches_All[[#This Row],[AampT]]+TBA_Matches_All[[#This Row],[TampT]]+TBA_Matches_All[[#This Row],[ampM]])),0)</f>
        <v>0</v>
      </c>
      <c r="AZ105">
        <f>SUMIFS(Dyno_Data[DelMiss], Dyno_Data[Team],TBA_Matches_All[[#This Row],[Team]],Dyno_Data[Match],TBA_Matches_All[[#This Row],[Match_Number]],Dyno_Data[RecordType],"Activities", Dyno_Data[DelDest],"Spkr")</f>
        <v>0</v>
      </c>
      <c r="BA105" s="60">
        <f>IFERROR(SUM((TBA_Matches_All[[#This Row],[AspkrT]]+TBA_Matches_All[[#This Row],[TspkrT]])/(TBA_Matches_All[[#This Row],[AspkrT]]+TBA_Matches_All[[#This Row],[TspkrT]]+TBA_Matches_All[[#This Row],[spkrM]])),0)</f>
        <v>0</v>
      </c>
      <c r="BB105">
        <f>SUMIFS(Dyno_Data[DelMiss], Dyno_Data[Team],TBA_Matches_All[[#This Row],[Team]],Dyno_Data[Match],TBA_Matches_All[[#This Row],[Match_Number]],Dyno_Data[RecordType],"Activities", Dyno_Data[DelDest],"Trap")</f>
        <v>0</v>
      </c>
      <c r="BC105" s="60">
        <f>IFERROR((TBA_Matches_All[[#This Row],[AtrapT]]+TBA_Matches_All[[#This Row],[TtrapT]])/(TBA_Matches_All[[#This Row],[AtrapT]]+TBA_Matches_All[[#This Row],[TtrapT]]+TBA_Matches_All[[#This Row],[trapM]]),0)</f>
        <v>0</v>
      </c>
      <c r="BD105">
        <f>COUNTIFS(Dyno_Data[Team],TBA_Matches_All[[#This Row],[Team]],Dyno_Data[Match],TBA_Matches_All[[#This Row],[Match_Number]],Dyno_Data[RecordType],"Activities",Dyno_Data[DelDest],"Neut", Dyno_Data[DelMiss],1)</f>
        <v>0</v>
      </c>
      <c r="BE105" s="60">
        <f>IFERROR(SUM((TBA_Matches_All[[#This Row],[NeutFlrT]])/(TBA_Matches_All[[#This Row],[NeutFlrT]]+TBA_Matches_All[[#This Row],[NZflM]])),0)</f>
        <v>0</v>
      </c>
      <c r="BF105">
        <f>COUNTIFS(Dyno_Data[Team],TBA_Matches_All[[#This Row],[Team]],Dyno_Data[Match],TBA_Matches_All[[#This Row],[Match_Number]],Dyno_Data[RecordType],"Activities",Dyno_Data[DelDest],"AllyW", Dyno_Data[DelMiss],1)</f>
        <v>0</v>
      </c>
      <c r="BG105" s="60">
        <f>IFERROR(SUM((TBA_Matches_All[[#This Row],[AllyWFlrT]])/(TBA_Matches_All[[#This Row],[AllyWFlrT]]+TBA_Matches_All[[#This Row],[AZflM]])),0)</f>
        <v>0</v>
      </c>
      <c r="BH105">
        <f>COUNTIFS(Dyno_Data[Team],TBA_Matches_All[[#This Row],[Team]],Dyno_Data[Match],TBA_Matches_All[[#This Row],[Match_Number]],Dyno_Data[RecordType],"Activities",Dyno_Data[DelOrig],"OppW", Dyno_Data[DelMiss],"0")</f>
        <v>0</v>
      </c>
      <c r="BI105">
        <f>COUNTIFS(Dyno_Data[Team],TBA_Matches_All[[#This Row],[Team]],Dyno_Data[Match],TBA_Matches_All[[#This Row],[Match_Number]],Dyno_Data[RecordType],"Activities",Dyno_Data[DelOrig],"OppW", Dyno_Data[DelMiss],"1")</f>
        <v>0</v>
      </c>
      <c r="BJ105" s="60">
        <f>IFERROR(SUM((TBA_Matches_All[[#This Row],[OZflrT]])/(TBA_Matches_All[[#This Row],[OZflrT]]+TBA_Matches_All[[#This Row],[OZflrM]])),0)</f>
        <v>0</v>
      </c>
      <c r="BK105">
        <f>COUNTIFS(Dyno_Data[Team],TBA_Matches_All[[#This Row],[Team]],Dyno_Data[Match],TBA_Matches_All[[#This Row],[Match_Number]],Dyno_Data[RecordType],"Activities",Dyno_Data[DelOrig],"Neut", Dyno_Data[DelMiss],"0")</f>
        <v>0</v>
      </c>
      <c r="BL105">
        <f>COUNTIFS(Dyno_Data[Team],TBA_Matches_All[[#This Row],[Team]],Dyno_Data[Match],TBA_Matches_All[[#This Row],[Match_Number]],Dyno_Data[RecordType],"Activities",Dyno_Data[DelOrig],"Neut", Dyno_Data[DelMiss],"1")</f>
        <v>0</v>
      </c>
      <c r="BM105" s="60">
        <f>IFERROR(SUM((TBA_Matches_All[[#This Row],[NZflrT]])/(TBA_Matches_All[[#This Row],[NZflrT]]+TBA_Matches_All[[#This Row],[NZflrM]])),0)</f>
        <v>0</v>
      </c>
      <c r="BN105">
        <f>COUNTIFS(Dyno_Data[Team],TBA_Matches_All[[#This Row],[Team]],Dyno_Data[Match],TBA_Matches_All[[#This Row],[Match_Number]],Dyno_Data[RecordType],"Activities",Dyno_Data[DelOrig],"AllyW", Dyno_Data[DelMiss],"0")</f>
        <v>0</v>
      </c>
      <c r="BO105">
        <f>COUNTIFS(Dyno_Data[Team],TBA_Matches_All[[#This Row],[Team]],Dyno_Data[Match],TBA_Matches_All[[#This Row],[Match_Number]],Dyno_Data[RecordType],"Activities",Dyno_Data[DelOrig],"AllyW", Dyno_Data[DelMiss],"1")</f>
        <v>0</v>
      </c>
      <c r="BP105" s="60">
        <f>IFERROR(SUM((TBA_Matches_All[[#This Row],[AZflrT]])/(TBA_Matches_All[[#This Row],[AZflrT]]+TBA_Matches_All[[#This Row],[AZflrM]])),0)</f>
        <v>0</v>
      </c>
      <c r="BQ105">
        <f>COUNTIFS(Dyno_Data[Team],TBA_Matches_All[[#This Row],[Team]],Dyno_Data[Match],TBA_Matches_All[[#This Row],[Match_Number]],Dyno_Data[RecordType],"Activities",Dyno_Data[DelOrig],"SubW", Dyno_Data[DelMiss],"0")</f>
        <v>0</v>
      </c>
      <c r="BR105">
        <f>COUNTIFS(Dyno_Data[Team],TBA_Matches_All[[#This Row],[Team]],Dyno_Data[Match],TBA_Matches_All[[#This Row],[Match_Number]],Dyno_Data[RecordType],"Activities",Dyno_Data[DelOrig],"SubW", Dyno_Data[DelMiss],"1")</f>
        <v>0</v>
      </c>
      <c r="BS105" s="60">
        <f>IFERROR(SUM((TBA_Matches_All[[#This Row],[SubwT]])/(TBA_Matches_All[[#This Row],[SubwT]]+TBA_Matches_All[[#This Row],[SubwM]])),0)</f>
        <v>0</v>
      </c>
      <c r="BT105">
        <f>COUNTIFS(Dyno_Data[Team],TBA_Matches_All[[#This Row],[Team]],Dyno_Data[Match],TBA_Matches_All[[#This Row],[Match_Number]],Dyno_Data[RecordType],"Activities", Dyno_Data[AcqLoc],"OppWing")</f>
        <v>0</v>
      </c>
      <c r="BU105">
        <f>COUNTIFS(Dyno_Data[Team],TBA_Matches_All[[#This Row],[Team]],Dyno_Data[Match],TBA_Matches_All[[#This Row],[Match_Number]],Dyno_Data[RecordType],"Activities", Dyno_Data[AcqLoc],"Neutral")</f>
        <v>0</v>
      </c>
      <c r="BV105">
        <f>COUNTIFS(Dyno_Data[Team],TBA_Matches_All[[#This Row],[Team]],Dyno_Data[Match],TBA_Matches_All[[#This Row],[Match_Number]],Dyno_Data[RecordType],"Activities", Dyno_Data[AcqLoc],"AllyWing")</f>
        <v>0</v>
      </c>
      <c r="BW105">
        <f>COUNTIFS(Dyno_Data[Team],TBA_Matches_All[[#This Row],[Team]],Dyno_Data[Match],TBA_Matches_All[[#This Row],[Match_Number]],Dyno_Data[RecordType],"Activities", Dyno_Data[AcqLoc],"Source")</f>
        <v>0</v>
      </c>
      <c r="BX105">
        <f>SUMIFS(Dyno_Data[AcqDrp], Dyno_Data[Team],TBA_Matches_All[[#This Row],[Team]],Dyno_Data[Match],TBA_Matches_All[[#This Row],[Match_Number]],Dyno_Data[RecordType],"Activities", Dyno_Data[AcqLoc],"Source")</f>
        <v>0</v>
      </c>
      <c r="BY105">
        <f>SUMIFS(Dyno_Data[OZTime], Dyno_Data[Team],TBA_Matches_All[[#This Row],[Team]],Dyno_Data[Match],TBA_Matches_All[[#This Row],[Match_Number]],Dyno_Data[RecordType],"EndMatch")</f>
        <v>0</v>
      </c>
      <c r="BZ105">
        <f>SUMIFS(Dyno_Data[NZTime], Dyno_Data[Team],TBA_Matches_All[[#This Row],[Team]],Dyno_Data[Match],TBA_Matches_All[[#This Row],[Match_Number]],Dyno_Data[RecordType],"EndMatch")</f>
        <v>0</v>
      </c>
      <c r="CA105">
        <f>SUMIFS(Dyno_Data[AZTime], Dyno_Data[Team],TBA_Matches_All[[#This Row],[Team]],Dyno_Data[Match],TBA_Matches_All[[#This Row],[Match_Number]],Dyno_Data[RecordType],"EndMatch")</f>
        <v>136.74451449999998</v>
      </c>
      <c r="CB105">
        <f>SUMIFS(Dyno_Data[ClimbT], Dyno_Data[Team],TBA_Matches_All[[#This Row],[Team]],Dyno_Data[Match],TBA_Matches_All[[#This Row],[Match_Number]],Dyno_Data[RecordType],"EndMatch")</f>
        <v>0</v>
      </c>
      <c r="CC105" t="str">
        <f>_xlfn.XLOOKUP(SUM(MID(TBA_Matches_All[[#This Row],[Team]],4,5),(TBA_Matches_All[[#This Row],[Match_Number]]/100)),Dyno_EndMatch[teammat],Dyno_EndMatch[StageStat],"_",0,1)</f>
        <v>Else</v>
      </c>
      <c r="CD105" t="str">
        <f>_xlfn.XLOOKUP(TBA_Matches_All[[#This Row],[teammat]],Dyno_EndMatch[teammat],Dyno_EndMatch[StageAtt],"_",0,1)</f>
        <v>0</v>
      </c>
      <c r="CE105" t="str">
        <f>_xlfn.XLOOKUP(TBA_Matches_All[[#This Row],[teammat]],Dyno_EndMatch[teammat],Dyno_EndMatch[StageLoc],"_",0,1)</f>
        <v>A</v>
      </c>
      <c r="CF105">
        <f>SUMIFS(Dyno_Data[Harmony], Dyno_Data[Team],TBA_Matches_All[[#This Row],[Team]],Dyno_Data[Match],TBA_Matches_All[[#This Row],[Match_Number]],Dyno_Data[RecordType],"EndMatch", Dyno_Data[StageStat],"On",Dyno_Data[Harmony],"&lt;&gt;9")</f>
        <v>0</v>
      </c>
      <c r="CG105">
        <f>SUMIFS(Dyno_Data[Spotlit], Dyno_Data[Team],TBA_Matches_All[[#This Row],[Team]],Dyno_Data[Match],TBA_Matches_All[[#This Row],[Match_Number]],Dyno_Data[RecordType],"EndMatch", Dyno_Data[StageStat],"On",Dyno_Data[Spotlit],"&lt;&gt;9")</f>
        <v>0</v>
      </c>
      <c r="CH105" t="str">
        <f>_xlfn.XLOOKUP(TBA_Matches_All[[#This Row],[teammat]],Dyno_EndMatch[teammat],Dyno_EndMatch[Strategy],"_",0,1)</f>
        <v>None</v>
      </c>
      <c r="CI105">
        <f>SUMIFS(Dyno_Data[Defense], Dyno_Data[Team],TBA_Matches_All[[#This Row],[Team]],Dyno_Data[Match],TBA_Matches_All[[#This Row],[Match_Number]],Dyno_Data[RecordType],"EndMatch",Dyno_Data[Defense],"&lt;&gt;9")</f>
        <v>0</v>
      </c>
      <c r="CJ105">
        <f>SUMIFS(Dyno_Data[Avoidance], Dyno_Data[Team],TBA_Matches_All[[#This Row],[Team]],Dyno_Data[Match],TBA_Matches_All[[#This Row],[Match_Number]],Dyno_Data[RecordType],"EndMatch",Dyno_Data[Avoidance],"&lt;&gt;9")</f>
        <v>1</v>
      </c>
      <c r="CK105" s="82">
        <f>COUNTIF($H$2:TBA_Matches_All[[#This Row],[Team]],TBA_Matches_All[[#This Row],[Team]])</f>
        <v>3</v>
      </c>
      <c r="CL105" s="111">
        <f>SUM(MID(TBA_Matches_All[[#This Row],[Team]],4,5)+TBA_Matches_All[[#This Row],[Match_Number]]/100)</f>
        <v>6969.18</v>
      </c>
      <c r="CM105">
        <f>SUM((TBA_Matches_All[[#This Row],[Leave]]*2)+(TBA_Matches_All[[#This Row],[AampT]]*2)+(TBA_Matches_All[[#This Row],[AspkrT]]*5)+(TBA_Matches_All[[#This Row],[AtrapT]]*5))</f>
        <v>0</v>
      </c>
      <c r="CN105" s="59">
        <f>IFERROR(SUM(TBA_Matches_All[[#This Row],[AptsT]]/TBA_Matches_All[[#This Row],[AutoPts]]),0)</f>
        <v>0</v>
      </c>
      <c r="CO105" s="59">
        <f>IFERROR(SUM(TBA_Matches_All[[#This Row],[AampT]]+TBA_Matches_All[[#This Row],[AspkrT]]+TBA_Matches_All[[#This Row],[AtrapT]]/TBA_Matches_All[[#This Row],[Aamp]]+TBA_Matches_All[[#This Row],[Aspkr]]+TBA_Matches_All[[#This Row],[AtrapT]]),0)</f>
        <v>0</v>
      </c>
      <c r="CP105" s="59">
        <f>IFERROR(SUM(TBA_Matches_All[[#This Row],[TampT]]/TBA_Matches_All[[#This Row],[Tamp]]),0)</f>
        <v>0</v>
      </c>
      <c r="CQ105" s="59">
        <f>IFERROR(SUM(TBA_Matches_All[[#This Row],[TspkrT]]/TBA_Matches_All[[#This Row],[Tspkr]]),0)</f>
        <v>0</v>
      </c>
      <c r="CR105">
        <f>SUM(TBA_Matches_All[[#This Row],[TspkrPts]]*TBA_Matches_All[[#This Row],[TspkrP]])</f>
        <v>0</v>
      </c>
      <c r="CS105" s="59">
        <f>IFERROR(SUM(TBA_Matches_All[[#This Row],[TtrapT]]/TBA_Matches_All[[#This Row],[Trap]]),0)</f>
        <v>0</v>
      </c>
      <c r="CT105" s="59">
        <f>IFERROR(SUM(TBA_Matches_All[[#This Row],[TotNotesT]]/TBA_Matches_All[[#This Row],[TotNotes]]),0)</f>
        <v>0</v>
      </c>
      <c r="CU105" s="66">
        <f>SUM((TBA_Matches_All[[#This Row],[AampT]]*2)+(TBA_Matches_All[[#This Row],[AspkrT]]*5)+(TBA_Matches_All[[#This Row],[AtrapT]]*5)+(TBA_Matches_All[[#This Row],[TampT]]*1)+(TBA_Matches_All[[#This Row],[TspkrptsC]]))</f>
        <v>0</v>
      </c>
      <c r="CV105" s="59">
        <f>IFERROR(TBA_Matches_All[[#This Row],[noteptsT]]/TBA_Matches_All[[#This Row],[NotePts]],0)</f>
        <v>0</v>
      </c>
      <c r="CW105">
        <f>SUM(IF(TBA_Matches_All[[#This Row],[stageStat]]="On",3,0),IF(TBA_Matches_All[[#This Row],[stageStat]]="Park",1,0),SUMIFS(TBA_Matches_All[[#This Row],[Spotlit]],TBA_Matches_All[[#This Row],[stageStat]],"On"),SUMIFS(TBA_Matches_All[[#This Row],[Harmony]],TBA_Matches_All[[#This Row],[stageStat]],"On"))</f>
        <v>0</v>
      </c>
      <c r="CX105" s="59">
        <f>IFERROR(TBA_Matches_All[[#This Row],[stageptsT]]/TBA_Matches_All[[#This Row],[StagePts]],0)</f>
        <v>0</v>
      </c>
      <c r="CY105">
        <f>SUM((TBA_Matches_All[[#This Row],[AptsT]]+TBA_Matches_All[[#This Row],[TampT]]+TBA_Matches_All[[#This Row],[TspkrptsC]]+(TBA_Matches_All[[#This Row],[TtrapT]]*5)+TBA_Matches_All[[#This Row],[stageptsT]]))</f>
        <v>0</v>
      </c>
      <c r="CZ105" s="59">
        <f>IFERROR(SUM(TBA_Matches_All[[#This Row],[TotptsC]]/TBA_Matches_All[[#This Row],[Score]]),0)</f>
        <v>0</v>
      </c>
      <c r="DA10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105" s="74">
        <f>SUMIFS(TBA_Matches_All[AveTeamTNoteDels],TBA_Matches_All[Match_Number],TBA_Matches_All[[#This Row],[Match_Number]],TBA_Matches_All[Alliance],"&lt;&gt;"&amp;TBA_Matches_All[[#This Row],[Alliance]],TBA_Matches_All[Scouted],"&gt;0")</f>
        <v>22.489090909090908</v>
      </c>
      <c r="DC105" s="74">
        <f>(TBA_Matches_All[[#This Row],[TampT]]+TBA_Matches_All[[#This Row],[TspkrptsC]])-TBA_Matches_All[[#This Row],[AveTeamTNoteDels]]</f>
        <v>-1</v>
      </c>
      <c r="DD105" s="74">
        <f>SUMIFS(TBA_Matches_All[AveTeamTNoteDels],TBA_Matches_All[Match_Number],TBA_Matches_All[[#This Row],[Match_Number]],TBA_Matches_All[Alliance],"&lt;&gt;"&amp;TBA_Matches_All[[#This Row],[Alliance]])-TBA_Matches_All[[#This Row],[AveOppTNoteDels]]</f>
        <v>0</v>
      </c>
    </row>
    <row r="106" spans="1:108" x14ac:dyDescent="0.3">
      <c r="A106" t="s">
        <v>1042</v>
      </c>
      <c r="B106" t="s">
        <v>489</v>
      </c>
      <c r="C106" t="s">
        <v>1327</v>
      </c>
      <c r="D106">
        <v>18</v>
      </c>
      <c r="E106" t="s">
        <v>1406</v>
      </c>
      <c r="F106" t="s">
        <v>1426</v>
      </c>
      <c r="G106" t="s">
        <v>164</v>
      </c>
      <c r="H106" t="s">
        <v>1294</v>
      </c>
      <c r="I106" t="b">
        <v>1</v>
      </c>
      <c r="J106">
        <v>92</v>
      </c>
      <c r="K106">
        <v>1</v>
      </c>
      <c r="L106">
        <v>0</v>
      </c>
      <c r="M106">
        <v>0</v>
      </c>
      <c r="N106">
        <v>0</v>
      </c>
      <c r="O106">
        <v>2</v>
      </c>
      <c r="P106">
        <v>10</v>
      </c>
      <c r="Q106">
        <v>14</v>
      </c>
      <c r="R106">
        <v>3</v>
      </c>
      <c r="S106">
        <v>2</v>
      </c>
      <c r="T106">
        <v>11</v>
      </c>
      <c r="U106">
        <v>10</v>
      </c>
      <c r="V106">
        <v>22</v>
      </c>
      <c r="W106">
        <v>13</v>
      </c>
      <c r="X106">
        <v>32</v>
      </c>
      <c r="Y106">
        <v>35</v>
      </c>
      <c r="Z106">
        <v>0</v>
      </c>
      <c r="AA106">
        <v>0</v>
      </c>
      <c r="AB106">
        <v>18</v>
      </c>
      <c r="AC106">
        <v>45</v>
      </c>
      <c r="AD106">
        <v>3</v>
      </c>
      <c r="AE106">
        <f>IFERROR(6/(COUNTIF(Dyno_EndMatch[Match],TBA_Matches_All[[#This Row],[Match_Number]])),0)</f>
        <v>1</v>
      </c>
      <c r="AF106">
        <f>COUNTIFS(Dyno_Data[Team],TBA_Matches_All[[#This Row],[Team]],Dyno_Data[Match],TBA_Matches_All[[#This Row],[Match_Number]],Dyno_Data[RecordType],"EndMatch",Dyno_Data[HPAmp],"Y")</f>
        <v>0</v>
      </c>
      <c r="AG106">
        <f>SUMIFS(Dyno_Data[Mics], Dyno_Data[Team],TBA_Matches_All[[#This Row],[Team]],Dyno_Data[Match],TBA_Matches_All[[#This Row],[Match_Number]],Dyno_Data[RecordType],"EndMatch",Dyno_Data[HPAmp],"Y")</f>
        <v>0</v>
      </c>
      <c r="AH106">
        <f>SUMIFS(Dyno_Data[Leave], Dyno_Data[Team],TBA_Matches_All[[#This Row],[Team]],Dyno_Data[Match],TBA_Matches_All[[#This Row],[Match_Number]],Dyno_Data[RecordType],"EndAuto")</f>
        <v>0</v>
      </c>
      <c r="AI106">
        <f>COUNTIFS(Dyno_Data[Team],TBA_Matches_All[[#This Row],[Team]],Dyno_Data[Match],TBA_Matches_All[[#This Row],[Match_Number]],Dyno_Data[RecordType],"Activities",Dyno_Data[DelDest],"Amp", Dyno_Data[DelMiss],"0", Dyno_Data[Mode],"Auto")</f>
        <v>0</v>
      </c>
      <c r="AJ106">
        <f>COUNTIFS(Dyno_Data[Team],TBA_Matches_All[[#This Row],[Team]],Dyno_Data[Match],TBA_Matches_All[[#This Row],[Match_Number]],Dyno_Data[RecordType],"Activities",Dyno_Data[DelDest],"Spkr", Dyno_Data[DelMiss],"0", Dyno_Data[Mode],"Auto")</f>
        <v>0</v>
      </c>
      <c r="AK106">
        <f>COUNTIFS(Dyno_Data[Team],TBA_Matches_All[[#This Row],[Team]],Dyno_Data[Match],TBA_Matches_All[[#This Row],[Match_Number]],Dyno_Data[RecordType],"Activities",Dyno_Data[DelDest],"Trap", Dyno_Data[DelMiss],"0", Dyno_Data[Mode],"Auto")</f>
        <v>0</v>
      </c>
      <c r="AL106">
        <f>COUNTIFS(Dyno_Data[Team],TBA_Matches_All[[#This Row],[Team]],Dyno_Data[Match],TBA_Matches_All[[#This Row],[Match_Number]],Dyno_Data[RecordType],"Activities",Dyno_Data[DelDest],"Amp", Dyno_Data[DelMiss],"0", Dyno_Data[Mode],"Teleop")</f>
        <v>0</v>
      </c>
      <c r="AM106">
        <f>COUNTIFS(Dyno_Data[Team],TBA_Matches_All[[#This Row],[Team]],Dyno_Data[Match],TBA_Matches_All[[#This Row],[Match_Number]],Dyno_Data[RecordType],"Activities",Dyno_Data[DelDest],"Spkr", Dyno_Data[DelMiss],"0", Dyno_Data[Mode],"Teleop")</f>
        <v>2</v>
      </c>
      <c r="AN106">
        <f>COUNTIFS(Dyno_Data[Team],TBA_Matches_All[[#This Row],[Team]],Dyno_Data[Match],TBA_Matches_All[[#This Row],[Match_Number]],Dyno_Data[RecordType],"Activities",Dyno_Data[DelDest],"Trap", Dyno_Data[DelMiss],"0", Dyno_Data[Mode],"&lt;&gt;Auto")</f>
        <v>0</v>
      </c>
      <c r="AO106">
        <f>SUM(TBA_Matches_All[[#This Row],[AampT]]+TBA_Matches_All[[#This Row],[AspkrT]]+TBA_Matches_All[[#This Row],[AtrapT]]+TBA_Matches_All[[#This Row],[TampT]]+TBA_Matches_All[[#This Row],[TspkrT]]+TBA_Matches_All[[#This Row],[TtrapT]])</f>
        <v>2</v>
      </c>
      <c r="AP106">
        <f>COUNTIFS(Dyno_Data[Team],TBA_Matches_All[[#This Row],[Team]],Dyno_Data[Match],TBA_Matches_All[[#This Row],[Match_Number]],Dyno_Data[RecordType],"Activities",Dyno_Data[DelDest],"Neut", Dyno_Data[DelMiss],"0")</f>
        <v>0</v>
      </c>
      <c r="AQ106">
        <f>COUNTIFS(Dyno_Data[Team],TBA_Matches_All[[#This Row],[Team]],Dyno_Data[Match],TBA_Matches_All[[#This Row],[Match_Number]],Dyno_Data[RecordType],"Activities",Dyno_Data[DelDest],"AllyW", Dyno_Data[DelMiss],"0")</f>
        <v>0</v>
      </c>
      <c r="AR106" t="str">
        <f>_xlfn.XLOOKUP(SUM(MID(TBA_Matches_All[[#This Row],[Team]],4,5),(TBA_Matches_All[[#This Row],[Match_Number]]/100)),Dyno_EndMatch[teammat],Dyno_EndMatch[RobotSta],"_",0,1)</f>
        <v>OppS</v>
      </c>
      <c r="AS106">
        <f>SUMIFS(Dyno_Data[AcqDis], Dyno_Data[Team],TBA_Matches_All[[#This Row],[Team]],Dyno_Data[Match],TBA_Matches_All[[#This Row],[Match_Number]],Dyno_Data[RecordType],"Activities", Dyno_Data[AcqCenter],1,Dyno_Data[Mode],"Auto")</f>
        <v>0</v>
      </c>
      <c r="AT106">
        <f>SUMIFS(Dyno_Data[AcqDis], Dyno_Data[Team],TBA_Matches_All[[#This Row],[Team]],Dyno_Data[Match],TBA_Matches_All[[#This Row],[Match_Number]],Dyno_Data[RecordType],"Activities", Dyno_Data[AcqCenter],2,Dyno_Data[Mode],"Auto")</f>
        <v>0</v>
      </c>
      <c r="AU106">
        <f>SUMIFS(Dyno_Data[AcqDis], Dyno_Data[Team],TBA_Matches_All[[#This Row],[Team]],Dyno_Data[Match],TBA_Matches_All[[#This Row],[Match_Number]],Dyno_Data[RecordType],"Activities", Dyno_Data[AcqCenter],3,Dyno_Data[Mode],"Auto")</f>
        <v>0</v>
      </c>
      <c r="AV106">
        <f>SUMIFS(Dyno_Data[AcqDis], Dyno_Data[Team],TBA_Matches_All[[#This Row],[Team]],Dyno_Data[Match],TBA_Matches_All[[#This Row],[Match_Number]],Dyno_Data[RecordType],"Activities", Dyno_Data[AcqCenter],4,Dyno_Data[Mode],"Auto")</f>
        <v>0</v>
      </c>
      <c r="AW106">
        <f>SUMIFS(Dyno_Data[AcqDis], Dyno_Data[Team],TBA_Matches_All[[#This Row],[Team]],Dyno_Data[Match],TBA_Matches_All[[#This Row],[Match_Number]],Dyno_Data[RecordType],"Activities", Dyno_Data[AcqCenter],5,Dyno_Data[Mode],"Auto")</f>
        <v>0</v>
      </c>
      <c r="AX106">
        <f>SUMIFS(Dyno_Data[DelMiss], Dyno_Data[Team],TBA_Matches_All[[#This Row],[Team]],Dyno_Data[Match],TBA_Matches_All[[#This Row],[Match_Number]],Dyno_Data[RecordType],"Activities", Dyno_Data[DelDest],"Amp")</f>
        <v>0</v>
      </c>
      <c r="AY106" s="60">
        <f>IFERROR(SUM((TBA_Matches_All[[#This Row],[AampT]]+TBA_Matches_All[[#This Row],[TampT]])/(TBA_Matches_All[[#This Row],[AampT]]+TBA_Matches_All[[#This Row],[TampT]]+TBA_Matches_All[[#This Row],[ampM]])),0)</f>
        <v>0</v>
      </c>
      <c r="AZ106">
        <f>SUMIFS(Dyno_Data[DelMiss], Dyno_Data[Team],TBA_Matches_All[[#This Row],[Team]],Dyno_Data[Match],TBA_Matches_All[[#This Row],[Match_Number]],Dyno_Data[RecordType],"Activities", Dyno_Data[DelDest],"Spkr")</f>
        <v>5</v>
      </c>
      <c r="BA106" s="60">
        <f>IFERROR(SUM((TBA_Matches_All[[#This Row],[AspkrT]]+TBA_Matches_All[[#This Row],[TspkrT]])/(TBA_Matches_All[[#This Row],[AspkrT]]+TBA_Matches_All[[#This Row],[TspkrT]]+TBA_Matches_All[[#This Row],[spkrM]])),0)</f>
        <v>0.2857142857142857</v>
      </c>
      <c r="BB106">
        <f>SUMIFS(Dyno_Data[DelMiss], Dyno_Data[Team],TBA_Matches_All[[#This Row],[Team]],Dyno_Data[Match],TBA_Matches_All[[#This Row],[Match_Number]],Dyno_Data[RecordType],"Activities", Dyno_Data[DelDest],"Trap")</f>
        <v>0</v>
      </c>
      <c r="BC106" s="60">
        <f>IFERROR((TBA_Matches_All[[#This Row],[AtrapT]]+TBA_Matches_All[[#This Row],[TtrapT]])/(TBA_Matches_All[[#This Row],[AtrapT]]+TBA_Matches_All[[#This Row],[TtrapT]]+TBA_Matches_All[[#This Row],[trapM]]),0)</f>
        <v>0</v>
      </c>
      <c r="BD106">
        <f>COUNTIFS(Dyno_Data[Team],TBA_Matches_All[[#This Row],[Team]],Dyno_Data[Match],TBA_Matches_All[[#This Row],[Match_Number]],Dyno_Data[RecordType],"Activities",Dyno_Data[DelDest],"Neut", Dyno_Data[DelMiss],1)</f>
        <v>0</v>
      </c>
      <c r="BE106" s="60">
        <f>IFERROR(SUM((TBA_Matches_All[[#This Row],[NeutFlrT]])/(TBA_Matches_All[[#This Row],[NeutFlrT]]+TBA_Matches_All[[#This Row],[NZflM]])),0)</f>
        <v>0</v>
      </c>
      <c r="BF106">
        <f>COUNTIFS(Dyno_Data[Team],TBA_Matches_All[[#This Row],[Team]],Dyno_Data[Match],TBA_Matches_All[[#This Row],[Match_Number]],Dyno_Data[RecordType],"Activities",Dyno_Data[DelDest],"AllyW", Dyno_Data[DelMiss],1)</f>
        <v>0</v>
      </c>
      <c r="BG106" s="60">
        <f>IFERROR(SUM((TBA_Matches_All[[#This Row],[AllyWFlrT]])/(TBA_Matches_All[[#This Row],[AllyWFlrT]]+TBA_Matches_All[[#This Row],[AZflM]])),0)</f>
        <v>0</v>
      </c>
      <c r="BH106">
        <f>COUNTIFS(Dyno_Data[Team],TBA_Matches_All[[#This Row],[Team]],Dyno_Data[Match],TBA_Matches_All[[#This Row],[Match_Number]],Dyno_Data[RecordType],"Activities",Dyno_Data[DelOrig],"OppW", Dyno_Data[DelMiss],"0")</f>
        <v>0</v>
      </c>
      <c r="BI106">
        <f>COUNTIFS(Dyno_Data[Team],TBA_Matches_All[[#This Row],[Team]],Dyno_Data[Match],TBA_Matches_All[[#This Row],[Match_Number]],Dyno_Data[RecordType],"Activities",Dyno_Data[DelOrig],"OppW", Dyno_Data[DelMiss],"1")</f>
        <v>0</v>
      </c>
      <c r="BJ106" s="60">
        <f>IFERROR(SUM((TBA_Matches_All[[#This Row],[OZflrT]])/(TBA_Matches_All[[#This Row],[OZflrT]]+TBA_Matches_All[[#This Row],[OZflrM]])),0)</f>
        <v>0</v>
      </c>
      <c r="BK106">
        <f>COUNTIFS(Dyno_Data[Team],TBA_Matches_All[[#This Row],[Team]],Dyno_Data[Match],TBA_Matches_All[[#This Row],[Match_Number]],Dyno_Data[RecordType],"Activities",Dyno_Data[DelOrig],"Neut", Dyno_Data[DelMiss],"0")</f>
        <v>0</v>
      </c>
      <c r="BL106">
        <f>COUNTIFS(Dyno_Data[Team],TBA_Matches_All[[#This Row],[Team]],Dyno_Data[Match],TBA_Matches_All[[#This Row],[Match_Number]],Dyno_Data[RecordType],"Activities",Dyno_Data[DelOrig],"Neut", Dyno_Data[DelMiss],"1")</f>
        <v>0</v>
      </c>
      <c r="BM106" s="60">
        <f>IFERROR(SUM((TBA_Matches_All[[#This Row],[NZflrT]])/(TBA_Matches_All[[#This Row],[NZflrT]]+TBA_Matches_All[[#This Row],[NZflrM]])),0)</f>
        <v>0</v>
      </c>
      <c r="BN106">
        <f>COUNTIFS(Dyno_Data[Team],TBA_Matches_All[[#This Row],[Team]],Dyno_Data[Match],TBA_Matches_All[[#This Row],[Match_Number]],Dyno_Data[RecordType],"Activities",Dyno_Data[DelOrig],"AllyW", Dyno_Data[DelMiss],"0")</f>
        <v>0</v>
      </c>
      <c r="BO106">
        <f>COUNTIFS(Dyno_Data[Team],TBA_Matches_All[[#This Row],[Team]],Dyno_Data[Match],TBA_Matches_All[[#This Row],[Match_Number]],Dyno_Data[RecordType],"Activities",Dyno_Data[DelOrig],"AllyW", Dyno_Data[DelMiss],"1")</f>
        <v>0</v>
      </c>
      <c r="BP106" s="60">
        <f>IFERROR(SUM((TBA_Matches_All[[#This Row],[AZflrT]])/(TBA_Matches_All[[#This Row],[AZflrT]]+TBA_Matches_All[[#This Row],[AZflrM]])),0)</f>
        <v>0</v>
      </c>
      <c r="BQ106">
        <f>COUNTIFS(Dyno_Data[Team],TBA_Matches_All[[#This Row],[Team]],Dyno_Data[Match],TBA_Matches_All[[#This Row],[Match_Number]],Dyno_Data[RecordType],"Activities",Dyno_Data[DelOrig],"SubW", Dyno_Data[DelMiss],"0")</f>
        <v>2</v>
      </c>
      <c r="BR106">
        <f>COUNTIFS(Dyno_Data[Team],TBA_Matches_All[[#This Row],[Team]],Dyno_Data[Match],TBA_Matches_All[[#This Row],[Match_Number]],Dyno_Data[RecordType],"Activities",Dyno_Data[DelOrig],"SubW", Dyno_Data[DelMiss],"1")</f>
        <v>5</v>
      </c>
      <c r="BS106" s="60">
        <f>IFERROR(SUM((TBA_Matches_All[[#This Row],[SubwT]])/(TBA_Matches_All[[#This Row],[SubwT]]+TBA_Matches_All[[#This Row],[SubwM]])),0)</f>
        <v>0.2857142857142857</v>
      </c>
      <c r="BT106">
        <f>COUNTIFS(Dyno_Data[Team],TBA_Matches_All[[#This Row],[Team]],Dyno_Data[Match],TBA_Matches_All[[#This Row],[Match_Number]],Dyno_Data[RecordType],"Activities", Dyno_Data[AcqLoc],"OppWing")</f>
        <v>0</v>
      </c>
      <c r="BU106">
        <f>COUNTIFS(Dyno_Data[Team],TBA_Matches_All[[#This Row],[Team]],Dyno_Data[Match],TBA_Matches_All[[#This Row],[Match_Number]],Dyno_Data[RecordType],"Activities", Dyno_Data[AcqLoc],"Neutral")</f>
        <v>0</v>
      </c>
      <c r="BV106">
        <f>COUNTIFS(Dyno_Data[Team],TBA_Matches_All[[#This Row],[Team]],Dyno_Data[Match],TBA_Matches_All[[#This Row],[Match_Number]],Dyno_Data[RecordType],"Activities", Dyno_Data[AcqLoc],"AllyWing")</f>
        <v>0</v>
      </c>
      <c r="BW106">
        <f>COUNTIFS(Dyno_Data[Team],TBA_Matches_All[[#This Row],[Team]],Dyno_Data[Match],TBA_Matches_All[[#This Row],[Match_Number]],Dyno_Data[RecordType],"Activities", Dyno_Data[AcqLoc],"Source")</f>
        <v>0</v>
      </c>
      <c r="BX106">
        <f>SUMIFS(Dyno_Data[AcqDrp], Dyno_Data[Team],TBA_Matches_All[[#This Row],[Team]],Dyno_Data[Match],TBA_Matches_All[[#This Row],[Match_Number]],Dyno_Data[RecordType],"Activities", Dyno_Data[AcqLoc],"Source")</f>
        <v>0</v>
      </c>
      <c r="BY106">
        <f>SUMIFS(Dyno_Data[OZTime], Dyno_Data[Team],TBA_Matches_All[[#This Row],[Team]],Dyno_Data[Match],TBA_Matches_All[[#This Row],[Match_Number]],Dyno_Data[RecordType],"EndMatch")</f>
        <v>0</v>
      </c>
      <c r="BZ106">
        <f>SUMIFS(Dyno_Data[NZTime], Dyno_Data[Team],TBA_Matches_All[[#This Row],[Team]],Dyno_Data[Match],TBA_Matches_All[[#This Row],[Match_Number]],Dyno_Data[RecordType],"EndMatch")</f>
        <v>0</v>
      </c>
      <c r="CA106">
        <f>SUMIFS(Dyno_Data[AZTime], Dyno_Data[Team],TBA_Matches_All[[#This Row],[Team]],Dyno_Data[Match],TBA_Matches_All[[#This Row],[Match_Number]],Dyno_Data[RecordType],"EndMatch")</f>
        <v>130.61326199999999</v>
      </c>
      <c r="CB106">
        <f>SUMIFS(Dyno_Data[ClimbT], Dyno_Data[Team],TBA_Matches_All[[#This Row],[Team]],Dyno_Data[Match],TBA_Matches_All[[#This Row],[Match_Number]],Dyno_Data[RecordType],"EndMatch")</f>
        <v>5.8205923999999998</v>
      </c>
      <c r="CC106" t="str">
        <f>_xlfn.XLOOKUP(SUM(MID(TBA_Matches_All[[#This Row],[Team]],4,5),(TBA_Matches_All[[#This Row],[Match_Number]]/100)),Dyno_EndMatch[teammat],Dyno_EndMatch[StageStat],"_",0,1)</f>
        <v>Park</v>
      </c>
      <c r="CD106" t="str">
        <f>_xlfn.XLOOKUP(TBA_Matches_All[[#This Row],[teammat]],Dyno_EndMatch[teammat],Dyno_EndMatch[StageAtt],"_",0,1)</f>
        <v>-1</v>
      </c>
      <c r="CE106" t="str">
        <f>_xlfn.XLOOKUP(TBA_Matches_All[[#This Row],[teammat]],Dyno_EndMatch[teammat],Dyno_EndMatch[StageLoc],"_",0,1)</f>
        <v>A</v>
      </c>
      <c r="CF106">
        <f>SUMIFS(Dyno_Data[Harmony], Dyno_Data[Team],TBA_Matches_All[[#This Row],[Team]],Dyno_Data[Match],TBA_Matches_All[[#This Row],[Match_Number]],Dyno_Data[RecordType],"EndMatch", Dyno_Data[StageStat],"On",Dyno_Data[Harmony],"&lt;&gt;9")</f>
        <v>0</v>
      </c>
      <c r="CG106">
        <f>SUMIFS(Dyno_Data[Spotlit], Dyno_Data[Team],TBA_Matches_All[[#This Row],[Team]],Dyno_Data[Match],TBA_Matches_All[[#This Row],[Match_Number]],Dyno_Data[RecordType],"EndMatch", Dyno_Data[StageStat],"On",Dyno_Data[Spotlit],"&lt;&gt;9")</f>
        <v>0</v>
      </c>
      <c r="CH106" t="str">
        <f>_xlfn.XLOOKUP(TBA_Matches_All[[#This Row],[teammat]],Dyno_EndMatch[teammat],Dyno_EndMatch[Strategy],"_",0,1)</f>
        <v>Hybrid</v>
      </c>
      <c r="CI106">
        <f>SUMIFS(Dyno_Data[Defense], Dyno_Data[Team],TBA_Matches_All[[#This Row],[Team]],Dyno_Data[Match],TBA_Matches_All[[#This Row],[Match_Number]],Dyno_Data[RecordType],"EndMatch",Dyno_Data[Defense],"&lt;&gt;9")</f>
        <v>0</v>
      </c>
      <c r="CJ106">
        <f>SUMIFS(Dyno_Data[Avoidance], Dyno_Data[Team],TBA_Matches_All[[#This Row],[Team]],Dyno_Data[Match],TBA_Matches_All[[#This Row],[Match_Number]],Dyno_Data[RecordType],"EndMatch",Dyno_Data[Avoidance],"&lt;&gt;9")</f>
        <v>0</v>
      </c>
      <c r="CK106" s="82">
        <f>COUNTIF($H$2:TBA_Matches_All[[#This Row],[Team]],TBA_Matches_All[[#This Row],[Team]])</f>
        <v>3</v>
      </c>
      <c r="CL106" s="111">
        <f>SUM(MID(TBA_Matches_All[[#This Row],[Team]],4,5)+TBA_Matches_All[[#This Row],[Match_Number]]/100)</f>
        <v>9076.18</v>
      </c>
      <c r="CM106">
        <f>SUM((TBA_Matches_All[[#This Row],[Leave]]*2)+(TBA_Matches_All[[#This Row],[AampT]]*2)+(TBA_Matches_All[[#This Row],[AspkrT]]*5)+(TBA_Matches_All[[#This Row],[AtrapT]]*5))</f>
        <v>0</v>
      </c>
      <c r="CN106" s="59">
        <f>IFERROR(SUM(TBA_Matches_All[[#This Row],[AptsT]]/TBA_Matches_All[[#This Row],[AutoPts]]),0)</f>
        <v>0</v>
      </c>
      <c r="CO106" s="59">
        <f>IFERROR(SUM(TBA_Matches_All[[#This Row],[AampT]]+TBA_Matches_All[[#This Row],[AspkrT]]+TBA_Matches_All[[#This Row],[AtrapT]]/TBA_Matches_All[[#This Row],[Aamp]]+TBA_Matches_All[[#This Row],[Aspkr]]+TBA_Matches_All[[#This Row],[AtrapT]]),0)</f>
        <v>0</v>
      </c>
      <c r="CP106" s="59">
        <f>IFERROR(SUM(TBA_Matches_All[[#This Row],[TampT]]/TBA_Matches_All[[#This Row],[Tamp]]),0)</f>
        <v>0</v>
      </c>
      <c r="CQ106" s="59">
        <f>IFERROR(SUM(TBA_Matches_All[[#This Row],[TspkrT]]/TBA_Matches_All[[#This Row],[Tspkr]]),0)</f>
        <v>0.15384615384615385</v>
      </c>
      <c r="CR106">
        <f>SUM(TBA_Matches_All[[#This Row],[TspkrPts]]*TBA_Matches_All[[#This Row],[TspkrP]])</f>
        <v>4.9230769230769234</v>
      </c>
      <c r="CS106" s="59">
        <f>IFERROR(SUM(TBA_Matches_All[[#This Row],[TtrapT]]/TBA_Matches_All[[#This Row],[Trap]]),0)</f>
        <v>0</v>
      </c>
      <c r="CT106" s="59">
        <f>IFERROR(SUM(TBA_Matches_All[[#This Row],[TotNotesT]]/TBA_Matches_All[[#This Row],[TotNotes]]),0)</f>
        <v>0.1111111111111111</v>
      </c>
      <c r="CU106" s="66">
        <f>SUM((TBA_Matches_All[[#This Row],[AampT]]*2)+(TBA_Matches_All[[#This Row],[AspkrT]]*5)+(TBA_Matches_All[[#This Row],[AtrapT]]*5)+(TBA_Matches_All[[#This Row],[TampT]]*1)+(TBA_Matches_All[[#This Row],[TspkrptsC]]))</f>
        <v>4.9230769230769234</v>
      </c>
      <c r="CV106" s="59">
        <f>IFERROR(TBA_Matches_All[[#This Row],[noteptsT]]/TBA_Matches_All[[#This Row],[NotePts]],0)</f>
        <v>0.1094017094017094</v>
      </c>
      <c r="CW106">
        <f>SUM(IF(TBA_Matches_All[[#This Row],[stageStat]]="On",3,0),IF(TBA_Matches_All[[#This Row],[stageStat]]="Park",1,0),SUMIFS(TBA_Matches_All[[#This Row],[Spotlit]],TBA_Matches_All[[#This Row],[stageStat]],"On"),SUMIFS(TBA_Matches_All[[#This Row],[Harmony]],TBA_Matches_All[[#This Row],[stageStat]],"On"))</f>
        <v>1</v>
      </c>
      <c r="CX106" s="59">
        <f>IFERROR(TBA_Matches_All[[#This Row],[stageptsT]]/TBA_Matches_All[[#This Row],[StagePts]],0)</f>
        <v>0.33333333333333331</v>
      </c>
      <c r="CY106">
        <f>SUM((TBA_Matches_All[[#This Row],[AptsT]]+TBA_Matches_All[[#This Row],[TampT]]+TBA_Matches_All[[#This Row],[TspkrptsC]]+(TBA_Matches_All[[#This Row],[TtrapT]]*5)+TBA_Matches_All[[#This Row],[stageptsT]]))</f>
        <v>5.9230769230769234</v>
      </c>
      <c r="CZ106" s="59">
        <f>IFERROR(SUM(TBA_Matches_All[[#This Row],[TotptsC]]/TBA_Matches_All[[#This Row],[Score]]),0)</f>
        <v>6.4381270903010032E-2</v>
      </c>
      <c r="DA10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4.9090909090909092</v>
      </c>
      <c r="DB106" s="74">
        <f>SUMIFS(TBA_Matches_All[AveTeamTNoteDels],TBA_Matches_All[Match_Number],TBA_Matches_All[[#This Row],[Match_Number]],TBA_Matches_All[Alliance],"&lt;&gt;"&amp;TBA_Matches_All[[#This Row],[Alliance]],TBA_Matches_All[Scouted],"&gt;0")</f>
        <v>20.560822510822511</v>
      </c>
      <c r="DC106" s="74">
        <f>(TBA_Matches_All[[#This Row],[TampT]]+TBA_Matches_All[[#This Row],[TspkrptsC]])-TBA_Matches_All[[#This Row],[AveTeamTNoteDels]]</f>
        <v>1.3986013986014179E-2</v>
      </c>
      <c r="DD106" s="74">
        <f>SUMIFS(TBA_Matches_All[AveTeamTNoteDels],TBA_Matches_All[Match_Number],TBA_Matches_All[[#This Row],[Match_Number]],TBA_Matches_All[Alliance],"&lt;&gt;"&amp;TBA_Matches_All[[#This Row],[Alliance]])-TBA_Matches_All[[#This Row],[AveOppTNoteDels]]</f>
        <v>0</v>
      </c>
    </row>
    <row r="107" spans="1:108" x14ac:dyDescent="0.3">
      <c r="A107" t="s">
        <v>1042</v>
      </c>
      <c r="B107" t="s">
        <v>489</v>
      </c>
      <c r="C107" t="s">
        <v>1327</v>
      </c>
      <c r="D107">
        <v>18</v>
      </c>
      <c r="E107" t="s">
        <v>1420</v>
      </c>
      <c r="F107" t="s">
        <v>1421</v>
      </c>
      <c r="G107" t="s">
        <v>164</v>
      </c>
      <c r="H107" t="s">
        <v>1290</v>
      </c>
      <c r="I107" t="b">
        <v>1</v>
      </c>
      <c r="J107">
        <v>40</v>
      </c>
      <c r="K107">
        <v>0</v>
      </c>
      <c r="L107">
        <v>0</v>
      </c>
      <c r="M107">
        <v>40</v>
      </c>
      <c r="N107">
        <v>0</v>
      </c>
      <c r="O107">
        <v>4</v>
      </c>
      <c r="P107">
        <v>20</v>
      </c>
      <c r="Q107">
        <v>22</v>
      </c>
      <c r="R107">
        <v>3</v>
      </c>
      <c r="S107">
        <v>0</v>
      </c>
      <c r="T107">
        <v>7</v>
      </c>
      <c r="U107">
        <v>0</v>
      </c>
      <c r="V107">
        <v>14</v>
      </c>
      <c r="W107">
        <v>7</v>
      </c>
      <c r="X107">
        <v>14</v>
      </c>
      <c r="Y107">
        <v>17</v>
      </c>
      <c r="Z107">
        <v>0</v>
      </c>
      <c r="AA107">
        <v>0</v>
      </c>
      <c r="AB107">
        <v>14</v>
      </c>
      <c r="AC107">
        <v>37</v>
      </c>
      <c r="AD107">
        <v>1</v>
      </c>
      <c r="AE107">
        <f>IFERROR(6/(COUNTIF(Dyno_EndMatch[Match],TBA_Matches_All[[#This Row],[Match_Number]])),0)</f>
        <v>1</v>
      </c>
      <c r="AF107">
        <f>COUNTIFS(Dyno_Data[Team],TBA_Matches_All[[#This Row],[Team]],Dyno_Data[Match],TBA_Matches_All[[#This Row],[Match_Number]],Dyno_Data[RecordType],"EndMatch",Dyno_Data[HPAmp],"Y")</f>
        <v>0</v>
      </c>
      <c r="AG107">
        <f>SUMIFS(Dyno_Data[Mics], Dyno_Data[Team],TBA_Matches_All[[#This Row],[Team]],Dyno_Data[Match],TBA_Matches_All[[#This Row],[Match_Number]],Dyno_Data[RecordType],"EndMatch",Dyno_Data[HPAmp],"Y")</f>
        <v>0</v>
      </c>
      <c r="AH107">
        <f>SUMIFS(Dyno_Data[Leave], Dyno_Data[Team],TBA_Matches_All[[#This Row],[Team]],Dyno_Data[Match],TBA_Matches_All[[#This Row],[Match_Number]],Dyno_Data[RecordType],"EndAuto")</f>
        <v>0</v>
      </c>
      <c r="AI107">
        <f>COUNTIFS(Dyno_Data[Team],TBA_Matches_All[[#This Row],[Team]],Dyno_Data[Match],TBA_Matches_All[[#This Row],[Match_Number]],Dyno_Data[RecordType],"Activities",Dyno_Data[DelDest],"Amp", Dyno_Data[DelMiss],"0", Dyno_Data[Mode],"Auto")</f>
        <v>0</v>
      </c>
      <c r="AJ107">
        <f>COUNTIFS(Dyno_Data[Team],TBA_Matches_All[[#This Row],[Team]],Dyno_Data[Match],TBA_Matches_All[[#This Row],[Match_Number]],Dyno_Data[RecordType],"Activities",Dyno_Data[DelDest],"Spkr", Dyno_Data[DelMiss],"0", Dyno_Data[Mode],"Auto")</f>
        <v>1</v>
      </c>
      <c r="AK107">
        <f>COUNTIFS(Dyno_Data[Team],TBA_Matches_All[[#This Row],[Team]],Dyno_Data[Match],TBA_Matches_All[[#This Row],[Match_Number]],Dyno_Data[RecordType],"Activities",Dyno_Data[DelDest],"Trap", Dyno_Data[DelMiss],"0", Dyno_Data[Mode],"Auto")</f>
        <v>0</v>
      </c>
      <c r="AL107">
        <f>COUNTIFS(Dyno_Data[Team],TBA_Matches_All[[#This Row],[Team]],Dyno_Data[Match],TBA_Matches_All[[#This Row],[Match_Number]],Dyno_Data[RecordType],"Activities",Dyno_Data[DelDest],"Amp", Dyno_Data[DelMiss],"0", Dyno_Data[Mode],"Teleop")</f>
        <v>0</v>
      </c>
      <c r="AM107">
        <f>COUNTIFS(Dyno_Data[Team],TBA_Matches_All[[#This Row],[Team]],Dyno_Data[Match],TBA_Matches_All[[#This Row],[Match_Number]],Dyno_Data[RecordType],"Activities",Dyno_Data[DelDest],"Spkr", Dyno_Data[DelMiss],"0", Dyno_Data[Mode],"Teleop")</f>
        <v>3</v>
      </c>
      <c r="AN107">
        <f>COUNTIFS(Dyno_Data[Team],TBA_Matches_All[[#This Row],[Team]],Dyno_Data[Match],TBA_Matches_All[[#This Row],[Match_Number]],Dyno_Data[RecordType],"Activities",Dyno_Data[DelDest],"Trap", Dyno_Data[DelMiss],"0", Dyno_Data[Mode],"&lt;&gt;Auto")</f>
        <v>0</v>
      </c>
      <c r="AO107">
        <f>SUM(TBA_Matches_All[[#This Row],[AampT]]+TBA_Matches_All[[#This Row],[AspkrT]]+TBA_Matches_All[[#This Row],[AtrapT]]+TBA_Matches_All[[#This Row],[TampT]]+TBA_Matches_All[[#This Row],[TspkrT]]+TBA_Matches_All[[#This Row],[TtrapT]])</f>
        <v>4</v>
      </c>
      <c r="AP107">
        <f>COUNTIFS(Dyno_Data[Team],TBA_Matches_All[[#This Row],[Team]],Dyno_Data[Match],TBA_Matches_All[[#This Row],[Match_Number]],Dyno_Data[RecordType],"Activities",Dyno_Data[DelDest],"Neut", Dyno_Data[DelMiss],"0")</f>
        <v>0</v>
      </c>
      <c r="AQ107">
        <f>COUNTIFS(Dyno_Data[Team],TBA_Matches_All[[#This Row],[Team]],Dyno_Data[Match],TBA_Matches_All[[#This Row],[Match_Number]],Dyno_Data[RecordType],"Activities",Dyno_Data[DelDest],"AllyW", Dyno_Data[DelMiss],"0")</f>
        <v>0</v>
      </c>
      <c r="AR107" t="str">
        <f>_xlfn.XLOOKUP(SUM(MID(TBA_Matches_All[[#This Row],[Team]],4,5),(TBA_Matches_All[[#This Row],[Match_Number]]/100)),Dyno_EndMatch[teammat],Dyno_EndMatch[RobotSta],"_",0,1)</f>
        <v>Amp</v>
      </c>
      <c r="AS107">
        <f>SUMIFS(Dyno_Data[AcqDis], Dyno_Data[Team],TBA_Matches_All[[#This Row],[Team]],Dyno_Data[Match],TBA_Matches_All[[#This Row],[Match_Number]],Dyno_Data[RecordType],"Activities", Dyno_Data[AcqCenter],1,Dyno_Data[Mode],"Auto")</f>
        <v>0</v>
      </c>
      <c r="AT107">
        <f>SUMIFS(Dyno_Data[AcqDis], Dyno_Data[Team],TBA_Matches_All[[#This Row],[Team]],Dyno_Data[Match],TBA_Matches_All[[#This Row],[Match_Number]],Dyno_Data[RecordType],"Activities", Dyno_Data[AcqCenter],2,Dyno_Data[Mode],"Auto")</f>
        <v>0</v>
      </c>
      <c r="AU107">
        <f>SUMIFS(Dyno_Data[AcqDis], Dyno_Data[Team],TBA_Matches_All[[#This Row],[Team]],Dyno_Data[Match],TBA_Matches_All[[#This Row],[Match_Number]],Dyno_Data[RecordType],"Activities", Dyno_Data[AcqCenter],3,Dyno_Data[Mode],"Auto")</f>
        <v>0</v>
      </c>
      <c r="AV107">
        <f>SUMIFS(Dyno_Data[AcqDis], Dyno_Data[Team],TBA_Matches_All[[#This Row],[Team]],Dyno_Data[Match],TBA_Matches_All[[#This Row],[Match_Number]],Dyno_Data[RecordType],"Activities", Dyno_Data[AcqCenter],4,Dyno_Data[Mode],"Auto")</f>
        <v>0</v>
      </c>
      <c r="AW107">
        <f>SUMIFS(Dyno_Data[AcqDis], Dyno_Data[Team],TBA_Matches_All[[#This Row],[Team]],Dyno_Data[Match],TBA_Matches_All[[#This Row],[Match_Number]],Dyno_Data[RecordType],"Activities", Dyno_Data[AcqCenter],5,Dyno_Data[Mode],"Auto")</f>
        <v>0</v>
      </c>
      <c r="AX107">
        <f>SUMIFS(Dyno_Data[DelMiss], Dyno_Data[Team],TBA_Matches_All[[#This Row],[Team]],Dyno_Data[Match],TBA_Matches_All[[#This Row],[Match_Number]],Dyno_Data[RecordType],"Activities", Dyno_Data[DelDest],"Amp")</f>
        <v>0</v>
      </c>
      <c r="AY107" s="60">
        <f>IFERROR(SUM((TBA_Matches_All[[#This Row],[AampT]]+TBA_Matches_All[[#This Row],[TampT]])/(TBA_Matches_All[[#This Row],[AampT]]+TBA_Matches_All[[#This Row],[TampT]]+TBA_Matches_All[[#This Row],[ampM]])),0)</f>
        <v>0</v>
      </c>
      <c r="AZ107">
        <f>SUMIFS(Dyno_Data[DelMiss], Dyno_Data[Team],TBA_Matches_All[[#This Row],[Team]],Dyno_Data[Match],TBA_Matches_All[[#This Row],[Match_Number]],Dyno_Data[RecordType],"Activities", Dyno_Data[DelDest],"Spkr")</f>
        <v>3</v>
      </c>
      <c r="BA107" s="60">
        <f>IFERROR(SUM((TBA_Matches_All[[#This Row],[AspkrT]]+TBA_Matches_All[[#This Row],[TspkrT]])/(TBA_Matches_All[[#This Row],[AspkrT]]+TBA_Matches_All[[#This Row],[TspkrT]]+TBA_Matches_All[[#This Row],[spkrM]])),0)</f>
        <v>0.5714285714285714</v>
      </c>
      <c r="BB107">
        <f>SUMIFS(Dyno_Data[DelMiss], Dyno_Data[Team],TBA_Matches_All[[#This Row],[Team]],Dyno_Data[Match],TBA_Matches_All[[#This Row],[Match_Number]],Dyno_Data[RecordType],"Activities", Dyno_Data[DelDest],"Trap")</f>
        <v>0</v>
      </c>
      <c r="BC107" s="60">
        <f>IFERROR((TBA_Matches_All[[#This Row],[AtrapT]]+TBA_Matches_All[[#This Row],[TtrapT]])/(TBA_Matches_All[[#This Row],[AtrapT]]+TBA_Matches_All[[#This Row],[TtrapT]]+TBA_Matches_All[[#This Row],[trapM]]),0)</f>
        <v>0</v>
      </c>
      <c r="BD107">
        <f>COUNTIFS(Dyno_Data[Team],TBA_Matches_All[[#This Row],[Team]],Dyno_Data[Match],TBA_Matches_All[[#This Row],[Match_Number]],Dyno_Data[RecordType],"Activities",Dyno_Data[DelDest],"Neut", Dyno_Data[DelMiss],1)</f>
        <v>0</v>
      </c>
      <c r="BE107" s="60">
        <f>IFERROR(SUM((TBA_Matches_All[[#This Row],[NeutFlrT]])/(TBA_Matches_All[[#This Row],[NeutFlrT]]+TBA_Matches_All[[#This Row],[NZflM]])),0)</f>
        <v>0</v>
      </c>
      <c r="BF107">
        <f>COUNTIFS(Dyno_Data[Team],TBA_Matches_All[[#This Row],[Team]],Dyno_Data[Match],TBA_Matches_All[[#This Row],[Match_Number]],Dyno_Data[RecordType],"Activities",Dyno_Data[DelDest],"AllyW", Dyno_Data[DelMiss],1)</f>
        <v>0</v>
      </c>
      <c r="BG107" s="60">
        <f>IFERROR(SUM((TBA_Matches_All[[#This Row],[AllyWFlrT]])/(TBA_Matches_All[[#This Row],[AllyWFlrT]]+TBA_Matches_All[[#This Row],[AZflM]])),0)</f>
        <v>0</v>
      </c>
      <c r="BH107">
        <f>COUNTIFS(Dyno_Data[Team],TBA_Matches_All[[#This Row],[Team]],Dyno_Data[Match],TBA_Matches_All[[#This Row],[Match_Number]],Dyno_Data[RecordType],"Activities",Dyno_Data[DelOrig],"OppW", Dyno_Data[DelMiss],"0")</f>
        <v>0</v>
      </c>
      <c r="BI107">
        <f>COUNTIFS(Dyno_Data[Team],TBA_Matches_All[[#This Row],[Team]],Dyno_Data[Match],TBA_Matches_All[[#This Row],[Match_Number]],Dyno_Data[RecordType],"Activities",Dyno_Data[DelOrig],"OppW", Dyno_Data[DelMiss],"1")</f>
        <v>0</v>
      </c>
      <c r="BJ107" s="60">
        <f>IFERROR(SUM((TBA_Matches_All[[#This Row],[OZflrT]])/(TBA_Matches_All[[#This Row],[OZflrT]]+TBA_Matches_All[[#This Row],[OZflrM]])),0)</f>
        <v>0</v>
      </c>
      <c r="BK107">
        <f>COUNTIFS(Dyno_Data[Team],TBA_Matches_All[[#This Row],[Team]],Dyno_Data[Match],TBA_Matches_All[[#This Row],[Match_Number]],Dyno_Data[RecordType],"Activities",Dyno_Data[DelOrig],"Neut", Dyno_Data[DelMiss],"0")</f>
        <v>0</v>
      </c>
      <c r="BL107">
        <f>COUNTIFS(Dyno_Data[Team],TBA_Matches_All[[#This Row],[Team]],Dyno_Data[Match],TBA_Matches_All[[#This Row],[Match_Number]],Dyno_Data[RecordType],"Activities",Dyno_Data[DelOrig],"Neut", Dyno_Data[DelMiss],"1")</f>
        <v>0</v>
      </c>
      <c r="BM107" s="60">
        <f>IFERROR(SUM((TBA_Matches_All[[#This Row],[NZflrT]])/(TBA_Matches_All[[#This Row],[NZflrT]]+TBA_Matches_All[[#This Row],[NZflrM]])),0)</f>
        <v>0</v>
      </c>
      <c r="BN107">
        <f>COUNTIFS(Dyno_Data[Team],TBA_Matches_All[[#This Row],[Team]],Dyno_Data[Match],TBA_Matches_All[[#This Row],[Match_Number]],Dyno_Data[RecordType],"Activities",Dyno_Data[DelOrig],"AllyW", Dyno_Data[DelMiss],"0")</f>
        <v>4</v>
      </c>
      <c r="BO107">
        <f>COUNTIFS(Dyno_Data[Team],TBA_Matches_All[[#This Row],[Team]],Dyno_Data[Match],TBA_Matches_All[[#This Row],[Match_Number]],Dyno_Data[RecordType],"Activities",Dyno_Data[DelOrig],"AllyW", Dyno_Data[DelMiss],"1")</f>
        <v>3</v>
      </c>
      <c r="BP107" s="60">
        <f>IFERROR(SUM((TBA_Matches_All[[#This Row],[AZflrT]])/(TBA_Matches_All[[#This Row],[AZflrT]]+TBA_Matches_All[[#This Row],[AZflrM]])),0)</f>
        <v>0.5714285714285714</v>
      </c>
      <c r="BQ107">
        <f>COUNTIFS(Dyno_Data[Team],TBA_Matches_All[[#This Row],[Team]],Dyno_Data[Match],TBA_Matches_All[[#This Row],[Match_Number]],Dyno_Data[RecordType],"Activities",Dyno_Data[DelOrig],"SubW", Dyno_Data[DelMiss],"0")</f>
        <v>0</v>
      </c>
      <c r="BR107">
        <f>COUNTIFS(Dyno_Data[Team],TBA_Matches_All[[#This Row],[Team]],Dyno_Data[Match],TBA_Matches_All[[#This Row],[Match_Number]],Dyno_Data[RecordType],"Activities",Dyno_Data[DelOrig],"SubW", Dyno_Data[DelMiss],"1")</f>
        <v>0</v>
      </c>
      <c r="BS107" s="60">
        <f>IFERROR(SUM((TBA_Matches_All[[#This Row],[SubwT]])/(TBA_Matches_All[[#This Row],[SubwT]]+TBA_Matches_All[[#This Row],[SubwM]])),0)</f>
        <v>0</v>
      </c>
      <c r="BT107">
        <f>COUNTIFS(Dyno_Data[Team],TBA_Matches_All[[#This Row],[Team]],Dyno_Data[Match],TBA_Matches_All[[#This Row],[Match_Number]],Dyno_Data[RecordType],"Activities", Dyno_Data[AcqLoc],"OppWing")</f>
        <v>0</v>
      </c>
      <c r="BU107">
        <f>COUNTIFS(Dyno_Data[Team],TBA_Matches_All[[#This Row],[Team]],Dyno_Data[Match],TBA_Matches_All[[#This Row],[Match_Number]],Dyno_Data[RecordType],"Activities", Dyno_Data[AcqLoc],"Neutral")</f>
        <v>0</v>
      </c>
      <c r="BV107">
        <f>COUNTIFS(Dyno_Data[Team],TBA_Matches_All[[#This Row],[Team]],Dyno_Data[Match],TBA_Matches_All[[#This Row],[Match_Number]],Dyno_Data[RecordType],"Activities", Dyno_Data[AcqLoc],"AllyWing")</f>
        <v>0</v>
      </c>
      <c r="BW107">
        <f>COUNTIFS(Dyno_Data[Team],TBA_Matches_All[[#This Row],[Team]],Dyno_Data[Match],TBA_Matches_All[[#This Row],[Match_Number]],Dyno_Data[RecordType],"Activities", Dyno_Data[AcqLoc],"Source")</f>
        <v>0</v>
      </c>
      <c r="BX107">
        <f>SUMIFS(Dyno_Data[AcqDrp], Dyno_Data[Team],TBA_Matches_All[[#This Row],[Team]],Dyno_Data[Match],TBA_Matches_All[[#This Row],[Match_Number]],Dyno_Data[RecordType],"Activities", Dyno_Data[AcqLoc],"Source")</f>
        <v>0</v>
      </c>
      <c r="BY107">
        <f>SUMIFS(Dyno_Data[OZTime], Dyno_Data[Team],TBA_Matches_All[[#This Row],[Team]],Dyno_Data[Match],TBA_Matches_All[[#This Row],[Match_Number]],Dyno_Data[RecordType],"EndMatch")</f>
        <v>18.855120100000001</v>
      </c>
      <c r="BZ107">
        <f>SUMIFS(Dyno_Data[NZTime], Dyno_Data[Team],TBA_Matches_All[[#This Row],[Team]],Dyno_Data[Match],TBA_Matches_All[[#This Row],[Match_Number]],Dyno_Data[RecordType],"EndMatch")</f>
        <v>15.756474899999999</v>
      </c>
      <c r="CA107">
        <f>SUMIFS(Dyno_Data[AZTime], Dyno_Data[Team],TBA_Matches_All[[#This Row],[Team]],Dyno_Data[Match],TBA_Matches_All[[#This Row],[Match_Number]],Dyno_Data[RecordType],"EndMatch")</f>
        <v>100.80262549999999</v>
      </c>
      <c r="CB107">
        <f>SUMIFS(Dyno_Data[ClimbT], Dyno_Data[Team],TBA_Matches_All[[#This Row],[Team]],Dyno_Data[Match],TBA_Matches_All[[#This Row],[Match_Number]],Dyno_Data[RecordType],"EndMatch")</f>
        <v>0</v>
      </c>
      <c r="CC107" t="str">
        <f>_xlfn.XLOOKUP(SUM(MID(TBA_Matches_All[[#This Row],[Team]],4,5),(TBA_Matches_All[[#This Row],[Match_Number]]/100)),Dyno_EndMatch[teammat],Dyno_EndMatch[StageStat],"_",0,1)</f>
        <v>Park</v>
      </c>
      <c r="CD107" t="str">
        <f>_xlfn.XLOOKUP(TBA_Matches_All[[#This Row],[teammat]],Dyno_EndMatch[teammat],Dyno_EndMatch[StageAtt],"_",0,1)</f>
        <v>0</v>
      </c>
      <c r="CE107" t="str">
        <f>_xlfn.XLOOKUP(TBA_Matches_All[[#This Row],[teammat]],Dyno_EndMatch[teammat],Dyno_EndMatch[StageLoc],"_",0,1)</f>
        <v>A</v>
      </c>
      <c r="CF107">
        <f>SUMIFS(Dyno_Data[Harmony], Dyno_Data[Team],TBA_Matches_All[[#This Row],[Team]],Dyno_Data[Match],TBA_Matches_All[[#This Row],[Match_Number]],Dyno_Data[RecordType],"EndMatch", Dyno_Data[StageStat],"On",Dyno_Data[Harmony],"&lt;&gt;9")</f>
        <v>0</v>
      </c>
      <c r="CG107">
        <f>SUMIFS(Dyno_Data[Spotlit], Dyno_Data[Team],TBA_Matches_All[[#This Row],[Team]],Dyno_Data[Match],TBA_Matches_All[[#This Row],[Match_Number]],Dyno_Data[RecordType],"EndMatch", Dyno_Data[StageStat],"On",Dyno_Data[Spotlit],"&lt;&gt;9")</f>
        <v>0</v>
      </c>
      <c r="CH107" t="str">
        <f>_xlfn.XLOOKUP(TBA_Matches_All[[#This Row],[teammat]],Dyno_EndMatch[teammat],Dyno_EndMatch[Strategy],"_",0,1)</f>
        <v>Hybrid</v>
      </c>
      <c r="CI107">
        <f>SUMIFS(Dyno_Data[Defense], Dyno_Data[Team],TBA_Matches_All[[#This Row],[Team]],Dyno_Data[Match],TBA_Matches_All[[#This Row],[Match_Number]],Dyno_Data[RecordType],"EndMatch",Dyno_Data[Defense],"&lt;&gt;9")</f>
        <v>0</v>
      </c>
      <c r="CJ107">
        <f>SUMIFS(Dyno_Data[Avoidance], Dyno_Data[Team],TBA_Matches_All[[#This Row],[Team]],Dyno_Data[Match],TBA_Matches_All[[#This Row],[Match_Number]],Dyno_Data[RecordType],"EndMatch",Dyno_Data[Avoidance],"&lt;&gt;9")</f>
        <v>0</v>
      </c>
      <c r="CK107" s="82">
        <f>COUNTIF($H$2:TBA_Matches_All[[#This Row],[Team]],TBA_Matches_All[[#This Row],[Team]])</f>
        <v>3</v>
      </c>
      <c r="CL107" s="111">
        <f>SUM(MID(TBA_Matches_All[[#This Row],[Team]],4,5)+TBA_Matches_All[[#This Row],[Match_Number]]/100)</f>
        <v>5881.18</v>
      </c>
      <c r="CM107">
        <f>SUM((TBA_Matches_All[[#This Row],[Leave]]*2)+(TBA_Matches_All[[#This Row],[AampT]]*2)+(TBA_Matches_All[[#This Row],[AspkrT]]*5)+(TBA_Matches_All[[#This Row],[AtrapT]]*5))</f>
        <v>5</v>
      </c>
      <c r="CN107" s="59">
        <f>IFERROR(SUM(TBA_Matches_All[[#This Row],[AptsT]]/TBA_Matches_All[[#This Row],[AutoPts]]),0)</f>
        <v>0.22727272727272727</v>
      </c>
      <c r="CO107" s="59">
        <f>IFERROR(SUM(TBA_Matches_All[[#This Row],[AampT]]+TBA_Matches_All[[#This Row],[AspkrT]]+TBA_Matches_All[[#This Row],[AtrapT]]/TBA_Matches_All[[#This Row],[Aamp]]+TBA_Matches_All[[#This Row],[Aspkr]]+TBA_Matches_All[[#This Row],[AtrapT]]),0)</f>
        <v>0</v>
      </c>
      <c r="CP107" s="59">
        <f>IFERROR(SUM(TBA_Matches_All[[#This Row],[TampT]]/TBA_Matches_All[[#This Row],[Tamp]]),0)</f>
        <v>0</v>
      </c>
      <c r="CQ107" s="59">
        <f>IFERROR(SUM(TBA_Matches_All[[#This Row],[TspkrT]]/TBA_Matches_All[[#This Row],[Tspkr]]),0)</f>
        <v>0.42857142857142855</v>
      </c>
      <c r="CR107">
        <f>SUM(TBA_Matches_All[[#This Row],[TspkrPts]]*TBA_Matches_All[[#This Row],[TspkrP]])</f>
        <v>6</v>
      </c>
      <c r="CS107" s="59">
        <f>IFERROR(SUM(TBA_Matches_All[[#This Row],[TtrapT]]/TBA_Matches_All[[#This Row],[Trap]]),0)</f>
        <v>0</v>
      </c>
      <c r="CT107" s="59">
        <f>IFERROR(SUM(TBA_Matches_All[[#This Row],[TotNotesT]]/TBA_Matches_All[[#This Row],[TotNotes]]),0)</f>
        <v>0.2857142857142857</v>
      </c>
      <c r="CU107" s="66">
        <f>SUM((TBA_Matches_All[[#This Row],[AampT]]*2)+(TBA_Matches_All[[#This Row],[AspkrT]]*5)+(TBA_Matches_All[[#This Row],[AtrapT]]*5)+(TBA_Matches_All[[#This Row],[TampT]]*1)+(TBA_Matches_All[[#This Row],[TspkrptsC]]))</f>
        <v>11</v>
      </c>
      <c r="CV107" s="59">
        <f>IFERROR(TBA_Matches_All[[#This Row],[noteptsT]]/TBA_Matches_All[[#This Row],[NotePts]],0)</f>
        <v>0.29729729729729731</v>
      </c>
      <c r="CW107">
        <f>SUM(IF(TBA_Matches_All[[#This Row],[stageStat]]="On",3,0),IF(TBA_Matches_All[[#This Row],[stageStat]]="Park",1,0),SUMIFS(TBA_Matches_All[[#This Row],[Spotlit]],TBA_Matches_All[[#This Row],[stageStat]],"On"),SUMIFS(TBA_Matches_All[[#This Row],[Harmony]],TBA_Matches_All[[#This Row],[stageStat]],"On"))</f>
        <v>1</v>
      </c>
      <c r="CX107" s="59">
        <f>IFERROR(TBA_Matches_All[[#This Row],[stageptsT]]/TBA_Matches_All[[#This Row],[StagePts]],0)</f>
        <v>1</v>
      </c>
      <c r="CY107">
        <f>SUM((TBA_Matches_All[[#This Row],[AptsT]]+TBA_Matches_All[[#This Row],[TampT]]+TBA_Matches_All[[#This Row],[TspkrptsC]]+(TBA_Matches_All[[#This Row],[TtrapT]]*5)+TBA_Matches_All[[#This Row],[stageptsT]]))</f>
        <v>12</v>
      </c>
      <c r="CZ107" s="59">
        <f>IFERROR(SUM(TBA_Matches_All[[#This Row],[TotptsC]]/TBA_Matches_All[[#This Row],[Score]]),0)</f>
        <v>0.3</v>
      </c>
      <c r="DA10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7.2727272727272716</v>
      </c>
      <c r="DB107" s="74">
        <f>SUMIFS(TBA_Matches_All[AveTeamTNoteDels],TBA_Matches_All[Match_Number],TBA_Matches_All[[#This Row],[Match_Number]],TBA_Matches_All[Alliance],"&lt;&gt;"&amp;TBA_Matches_All[[#This Row],[Alliance]],TBA_Matches_All[Scouted],"&gt;0")</f>
        <v>22.489090909090908</v>
      </c>
      <c r="DC107" s="74">
        <f>(TBA_Matches_All[[#This Row],[TampT]]+TBA_Matches_All[[#This Row],[TspkrptsC]])-TBA_Matches_All[[#This Row],[AveTeamTNoteDels]]</f>
        <v>-1.2727272727272716</v>
      </c>
      <c r="DD107" s="74">
        <f>SUMIFS(TBA_Matches_All[AveTeamTNoteDels],TBA_Matches_All[Match_Number],TBA_Matches_All[[#This Row],[Match_Number]],TBA_Matches_All[Alliance],"&lt;&gt;"&amp;TBA_Matches_All[[#This Row],[Alliance]])-TBA_Matches_All[[#This Row],[AveOppTNoteDels]]</f>
        <v>0</v>
      </c>
    </row>
    <row r="108" spans="1:108" x14ac:dyDescent="0.3">
      <c r="A108" t="s">
        <v>1042</v>
      </c>
      <c r="B108" t="s">
        <v>489</v>
      </c>
      <c r="C108" t="s">
        <v>1327</v>
      </c>
      <c r="D108">
        <v>18</v>
      </c>
      <c r="E108" t="s">
        <v>1406</v>
      </c>
      <c r="F108" t="s">
        <v>1422</v>
      </c>
      <c r="G108" t="s">
        <v>105</v>
      </c>
      <c r="H108" t="s">
        <v>365</v>
      </c>
      <c r="I108" t="b">
        <v>1</v>
      </c>
      <c r="J108">
        <v>92</v>
      </c>
      <c r="K108">
        <v>1</v>
      </c>
      <c r="L108">
        <v>0</v>
      </c>
      <c r="M108">
        <v>0</v>
      </c>
      <c r="N108">
        <v>0</v>
      </c>
      <c r="O108">
        <v>2</v>
      </c>
      <c r="P108">
        <v>10</v>
      </c>
      <c r="Q108">
        <v>14</v>
      </c>
      <c r="R108">
        <v>3</v>
      </c>
      <c r="S108">
        <v>2</v>
      </c>
      <c r="T108">
        <v>11</v>
      </c>
      <c r="U108">
        <v>10</v>
      </c>
      <c r="V108">
        <v>22</v>
      </c>
      <c r="W108">
        <v>13</v>
      </c>
      <c r="X108">
        <v>32</v>
      </c>
      <c r="Y108">
        <v>35</v>
      </c>
      <c r="Z108">
        <v>0</v>
      </c>
      <c r="AA108">
        <v>0</v>
      </c>
      <c r="AB108">
        <v>18</v>
      </c>
      <c r="AC108">
        <v>45</v>
      </c>
      <c r="AD108">
        <v>3</v>
      </c>
      <c r="AE108">
        <f>IFERROR(6/(COUNTIF(Dyno_EndMatch[Match],TBA_Matches_All[[#This Row],[Match_Number]])),0)</f>
        <v>1</v>
      </c>
      <c r="AF108">
        <f>COUNTIFS(Dyno_Data[Team],TBA_Matches_All[[#This Row],[Team]],Dyno_Data[Match],TBA_Matches_All[[#This Row],[Match_Number]],Dyno_Data[RecordType],"EndMatch",Dyno_Data[HPAmp],"Y")</f>
        <v>1</v>
      </c>
      <c r="AG108">
        <f>SUMIFS(Dyno_Data[Mics], Dyno_Data[Team],TBA_Matches_All[[#This Row],[Team]],Dyno_Data[Match],TBA_Matches_All[[#This Row],[Match_Number]],Dyno_Data[RecordType],"EndMatch",Dyno_Data[HPAmp],"Y")</f>
        <v>1</v>
      </c>
      <c r="AH108">
        <f>SUMIFS(Dyno_Data[Leave], Dyno_Data[Team],TBA_Matches_All[[#This Row],[Team]],Dyno_Data[Match],TBA_Matches_All[[#This Row],[Match_Number]],Dyno_Data[RecordType],"EndAuto")</f>
        <v>1</v>
      </c>
      <c r="AI108">
        <f>COUNTIFS(Dyno_Data[Team],TBA_Matches_All[[#This Row],[Team]],Dyno_Data[Match],TBA_Matches_All[[#This Row],[Match_Number]],Dyno_Data[RecordType],"Activities",Dyno_Data[DelDest],"Amp", Dyno_Data[DelMiss],"0", Dyno_Data[Mode],"Auto")</f>
        <v>0</v>
      </c>
      <c r="AJ108">
        <f>COUNTIFS(Dyno_Data[Team],TBA_Matches_All[[#This Row],[Team]],Dyno_Data[Match],TBA_Matches_All[[#This Row],[Match_Number]],Dyno_Data[RecordType],"Activities",Dyno_Data[DelDest],"Spkr", Dyno_Data[DelMiss],"0", Dyno_Data[Mode],"Auto")</f>
        <v>2</v>
      </c>
      <c r="AK108">
        <f>COUNTIFS(Dyno_Data[Team],TBA_Matches_All[[#This Row],[Team]],Dyno_Data[Match],TBA_Matches_All[[#This Row],[Match_Number]],Dyno_Data[RecordType],"Activities",Dyno_Data[DelDest],"Trap", Dyno_Data[DelMiss],"0", Dyno_Data[Mode],"Auto")</f>
        <v>0</v>
      </c>
      <c r="AL108">
        <f>COUNTIFS(Dyno_Data[Team],TBA_Matches_All[[#This Row],[Team]],Dyno_Data[Match],TBA_Matches_All[[#This Row],[Match_Number]],Dyno_Data[RecordType],"Activities",Dyno_Data[DelDest],"Amp", Dyno_Data[DelMiss],"0", Dyno_Data[Mode],"Teleop")</f>
        <v>4</v>
      </c>
      <c r="AM108">
        <f>COUNTIFS(Dyno_Data[Team],TBA_Matches_All[[#This Row],[Team]],Dyno_Data[Match],TBA_Matches_All[[#This Row],[Match_Number]],Dyno_Data[RecordType],"Activities",Dyno_Data[DelDest],"Spkr", Dyno_Data[DelMiss],"0", Dyno_Data[Mode],"Teleop")</f>
        <v>3</v>
      </c>
      <c r="AN108">
        <f>COUNTIFS(Dyno_Data[Team],TBA_Matches_All[[#This Row],[Team]],Dyno_Data[Match],TBA_Matches_All[[#This Row],[Match_Number]],Dyno_Data[RecordType],"Activities",Dyno_Data[DelDest],"Trap", Dyno_Data[DelMiss],"0", Dyno_Data[Mode],"&lt;&gt;Auto")</f>
        <v>0</v>
      </c>
      <c r="AO108">
        <f>SUM(TBA_Matches_All[[#This Row],[AampT]]+TBA_Matches_All[[#This Row],[AspkrT]]+TBA_Matches_All[[#This Row],[AtrapT]]+TBA_Matches_All[[#This Row],[TampT]]+TBA_Matches_All[[#This Row],[TspkrT]]+TBA_Matches_All[[#This Row],[TtrapT]])</f>
        <v>9</v>
      </c>
      <c r="AP108">
        <f>COUNTIFS(Dyno_Data[Team],TBA_Matches_All[[#This Row],[Team]],Dyno_Data[Match],TBA_Matches_All[[#This Row],[Match_Number]],Dyno_Data[RecordType],"Activities",Dyno_Data[DelDest],"Neut", Dyno_Data[DelMiss],"0")</f>
        <v>0</v>
      </c>
      <c r="AQ108">
        <f>COUNTIFS(Dyno_Data[Team],TBA_Matches_All[[#This Row],[Team]],Dyno_Data[Match],TBA_Matches_All[[#This Row],[Match_Number]],Dyno_Data[RecordType],"Activities",Dyno_Data[DelDest],"AllyW", Dyno_Data[DelMiss],"0")</f>
        <v>0</v>
      </c>
      <c r="AR108" t="str">
        <f>_xlfn.XLOOKUP(SUM(MID(TBA_Matches_All[[#This Row],[Team]],4,5),(TBA_Matches_All[[#This Row],[Match_Number]]/100)),Dyno_EndMatch[teammat],Dyno_EndMatch[RobotSta],"_",0,1)</f>
        <v>SubW</v>
      </c>
      <c r="AS108">
        <f>SUMIFS(Dyno_Data[AcqDis], Dyno_Data[Team],TBA_Matches_All[[#This Row],[Team]],Dyno_Data[Match],TBA_Matches_All[[#This Row],[Match_Number]],Dyno_Data[RecordType],"Activities", Dyno_Data[AcqCenter],1,Dyno_Data[Mode],"Auto")</f>
        <v>0</v>
      </c>
      <c r="AT108">
        <f>SUMIFS(Dyno_Data[AcqDis], Dyno_Data[Team],TBA_Matches_All[[#This Row],[Team]],Dyno_Data[Match],TBA_Matches_All[[#This Row],[Match_Number]],Dyno_Data[RecordType],"Activities", Dyno_Data[AcqCenter],2,Dyno_Data[Mode],"Auto")</f>
        <v>0</v>
      </c>
      <c r="AU108">
        <f>SUMIFS(Dyno_Data[AcqDis], Dyno_Data[Team],TBA_Matches_All[[#This Row],[Team]],Dyno_Data[Match],TBA_Matches_All[[#This Row],[Match_Number]],Dyno_Data[RecordType],"Activities", Dyno_Data[AcqCenter],3,Dyno_Data[Mode],"Auto")</f>
        <v>0</v>
      </c>
      <c r="AV108">
        <f>SUMIFS(Dyno_Data[AcqDis], Dyno_Data[Team],TBA_Matches_All[[#This Row],[Team]],Dyno_Data[Match],TBA_Matches_All[[#This Row],[Match_Number]],Dyno_Data[RecordType],"Activities", Dyno_Data[AcqCenter],4,Dyno_Data[Mode],"Auto")</f>
        <v>0</v>
      </c>
      <c r="AW108">
        <f>SUMIFS(Dyno_Data[AcqDis], Dyno_Data[Team],TBA_Matches_All[[#This Row],[Team]],Dyno_Data[Match],TBA_Matches_All[[#This Row],[Match_Number]],Dyno_Data[RecordType],"Activities", Dyno_Data[AcqCenter],5,Dyno_Data[Mode],"Auto")</f>
        <v>0</v>
      </c>
      <c r="AX108">
        <f>SUMIFS(Dyno_Data[DelMiss], Dyno_Data[Team],TBA_Matches_All[[#This Row],[Team]],Dyno_Data[Match],TBA_Matches_All[[#This Row],[Match_Number]],Dyno_Data[RecordType],"Activities", Dyno_Data[DelDest],"Amp")</f>
        <v>0</v>
      </c>
      <c r="AY108" s="60">
        <f>IFERROR(SUM((TBA_Matches_All[[#This Row],[AampT]]+TBA_Matches_All[[#This Row],[TampT]])/(TBA_Matches_All[[#This Row],[AampT]]+TBA_Matches_All[[#This Row],[TampT]]+TBA_Matches_All[[#This Row],[ampM]])),0)</f>
        <v>1</v>
      </c>
      <c r="AZ108">
        <f>SUMIFS(Dyno_Data[DelMiss], Dyno_Data[Team],TBA_Matches_All[[#This Row],[Team]],Dyno_Data[Match],TBA_Matches_All[[#This Row],[Match_Number]],Dyno_Data[RecordType],"Activities", Dyno_Data[DelDest],"Spkr")</f>
        <v>0</v>
      </c>
      <c r="BA108" s="60">
        <f>IFERROR(SUM((TBA_Matches_All[[#This Row],[AspkrT]]+TBA_Matches_All[[#This Row],[TspkrT]])/(TBA_Matches_All[[#This Row],[AspkrT]]+TBA_Matches_All[[#This Row],[TspkrT]]+TBA_Matches_All[[#This Row],[spkrM]])),0)</f>
        <v>1</v>
      </c>
      <c r="BB108">
        <f>SUMIFS(Dyno_Data[DelMiss], Dyno_Data[Team],TBA_Matches_All[[#This Row],[Team]],Dyno_Data[Match],TBA_Matches_All[[#This Row],[Match_Number]],Dyno_Data[RecordType],"Activities", Dyno_Data[DelDest],"Trap")</f>
        <v>0</v>
      </c>
      <c r="BC108" s="60">
        <f>IFERROR((TBA_Matches_All[[#This Row],[AtrapT]]+TBA_Matches_All[[#This Row],[TtrapT]])/(TBA_Matches_All[[#This Row],[AtrapT]]+TBA_Matches_All[[#This Row],[TtrapT]]+TBA_Matches_All[[#This Row],[trapM]]),0)</f>
        <v>0</v>
      </c>
      <c r="BD108">
        <f>COUNTIFS(Dyno_Data[Team],TBA_Matches_All[[#This Row],[Team]],Dyno_Data[Match],TBA_Matches_All[[#This Row],[Match_Number]],Dyno_Data[RecordType],"Activities",Dyno_Data[DelDest],"Neut", Dyno_Data[DelMiss],1)</f>
        <v>0</v>
      </c>
      <c r="BE108" s="60">
        <f>IFERROR(SUM((TBA_Matches_All[[#This Row],[NeutFlrT]])/(TBA_Matches_All[[#This Row],[NeutFlrT]]+TBA_Matches_All[[#This Row],[NZflM]])),0)</f>
        <v>0</v>
      </c>
      <c r="BF108">
        <f>COUNTIFS(Dyno_Data[Team],TBA_Matches_All[[#This Row],[Team]],Dyno_Data[Match],TBA_Matches_All[[#This Row],[Match_Number]],Dyno_Data[RecordType],"Activities",Dyno_Data[DelDest],"AllyW", Dyno_Data[DelMiss],1)</f>
        <v>0</v>
      </c>
      <c r="BG108" s="60">
        <f>IFERROR(SUM((TBA_Matches_All[[#This Row],[AllyWFlrT]])/(TBA_Matches_All[[#This Row],[AllyWFlrT]]+TBA_Matches_All[[#This Row],[AZflM]])),0)</f>
        <v>0</v>
      </c>
      <c r="BH108">
        <f>COUNTIFS(Dyno_Data[Team],TBA_Matches_All[[#This Row],[Team]],Dyno_Data[Match],TBA_Matches_All[[#This Row],[Match_Number]],Dyno_Data[RecordType],"Activities",Dyno_Data[DelOrig],"OppW", Dyno_Data[DelMiss],"0")</f>
        <v>0</v>
      </c>
      <c r="BI108">
        <f>COUNTIFS(Dyno_Data[Team],TBA_Matches_All[[#This Row],[Team]],Dyno_Data[Match],TBA_Matches_All[[#This Row],[Match_Number]],Dyno_Data[RecordType],"Activities",Dyno_Data[DelOrig],"OppW", Dyno_Data[DelMiss],"1")</f>
        <v>0</v>
      </c>
      <c r="BJ108" s="60">
        <f>IFERROR(SUM((TBA_Matches_All[[#This Row],[OZflrT]])/(TBA_Matches_All[[#This Row],[OZflrT]]+TBA_Matches_All[[#This Row],[OZflrM]])),0)</f>
        <v>0</v>
      </c>
      <c r="BK108">
        <f>COUNTIFS(Dyno_Data[Team],TBA_Matches_All[[#This Row],[Team]],Dyno_Data[Match],TBA_Matches_All[[#This Row],[Match_Number]],Dyno_Data[RecordType],"Activities",Dyno_Data[DelOrig],"Neut", Dyno_Data[DelMiss],"0")</f>
        <v>0</v>
      </c>
      <c r="BL108">
        <f>COUNTIFS(Dyno_Data[Team],TBA_Matches_All[[#This Row],[Team]],Dyno_Data[Match],TBA_Matches_All[[#This Row],[Match_Number]],Dyno_Data[RecordType],"Activities",Dyno_Data[DelOrig],"Neut", Dyno_Data[DelMiss],"1")</f>
        <v>0</v>
      </c>
      <c r="BM108" s="60">
        <f>IFERROR(SUM((TBA_Matches_All[[#This Row],[NZflrT]])/(TBA_Matches_All[[#This Row],[NZflrT]]+TBA_Matches_All[[#This Row],[NZflrM]])),0)</f>
        <v>0</v>
      </c>
      <c r="BN108">
        <f>COUNTIFS(Dyno_Data[Team],TBA_Matches_All[[#This Row],[Team]],Dyno_Data[Match],TBA_Matches_All[[#This Row],[Match_Number]],Dyno_Data[RecordType],"Activities",Dyno_Data[DelOrig],"AllyW", Dyno_Data[DelMiss],"0")</f>
        <v>4</v>
      </c>
      <c r="BO108">
        <f>COUNTIFS(Dyno_Data[Team],TBA_Matches_All[[#This Row],[Team]],Dyno_Data[Match],TBA_Matches_All[[#This Row],[Match_Number]],Dyno_Data[RecordType],"Activities",Dyno_Data[DelOrig],"AllyW", Dyno_Data[DelMiss],"1")</f>
        <v>0</v>
      </c>
      <c r="BP108" s="60">
        <f>IFERROR(SUM((TBA_Matches_All[[#This Row],[AZflrT]])/(TBA_Matches_All[[#This Row],[AZflrT]]+TBA_Matches_All[[#This Row],[AZflrM]])),0)</f>
        <v>1</v>
      </c>
      <c r="BQ108">
        <f>COUNTIFS(Dyno_Data[Team],TBA_Matches_All[[#This Row],[Team]],Dyno_Data[Match],TBA_Matches_All[[#This Row],[Match_Number]],Dyno_Data[RecordType],"Activities",Dyno_Data[DelOrig],"SubW", Dyno_Data[DelMiss],"0")</f>
        <v>5</v>
      </c>
      <c r="BR108">
        <f>COUNTIFS(Dyno_Data[Team],TBA_Matches_All[[#This Row],[Team]],Dyno_Data[Match],TBA_Matches_All[[#This Row],[Match_Number]],Dyno_Data[RecordType],"Activities",Dyno_Data[DelOrig],"SubW", Dyno_Data[DelMiss],"1")</f>
        <v>0</v>
      </c>
      <c r="BS108" s="60">
        <f>IFERROR(SUM((TBA_Matches_All[[#This Row],[SubwT]])/(TBA_Matches_All[[#This Row],[SubwT]]+TBA_Matches_All[[#This Row],[SubwM]])),0)</f>
        <v>1</v>
      </c>
      <c r="BT108">
        <f>COUNTIFS(Dyno_Data[Team],TBA_Matches_All[[#This Row],[Team]],Dyno_Data[Match],TBA_Matches_All[[#This Row],[Match_Number]],Dyno_Data[RecordType],"Activities", Dyno_Data[AcqLoc],"OppWing")</f>
        <v>0</v>
      </c>
      <c r="BU108">
        <f>COUNTIFS(Dyno_Data[Team],TBA_Matches_All[[#This Row],[Team]],Dyno_Data[Match],TBA_Matches_All[[#This Row],[Match_Number]],Dyno_Data[RecordType],"Activities", Dyno_Data[AcqLoc],"Neutral")</f>
        <v>0</v>
      </c>
      <c r="BV108">
        <f>COUNTIFS(Dyno_Data[Team],TBA_Matches_All[[#This Row],[Team]],Dyno_Data[Match],TBA_Matches_All[[#This Row],[Match_Number]],Dyno_Data[RecordType],"Activities", Dyno_Data[AcqLoc],"AllyWing")</f>
        <v>0</v>
      </c>
      <c r="BW108">
        <f>COUNTIFS(Dyno_Data[Team],TBA_Matches_All[[#This Row],[Team]],Dyno_Data[Match],TBA_Matches_All[[#This Row],[Match_Number]],Dyno_Data[RecordType],"Activities", Dyno_Data[AcqLoc],"Source")</f>
        <v>0</v>
      </c>
      <c r="BX108">
        <f>SUMIFS(Dyno_Data[AcqDrp], Dyno_Data[Team],TBA_Matches_All[[#This Row],[Team]],Dyno_Data[Match],TBA_Matches_All[[#This Row],[Match_Number]],Dyno_Data[RecordType],"Activities", Dyno_Data[AcqLoc],"Source")</f>
        <v>0</v>
      </c>
      <c r="BY108">
        <f>SUMIFS(Dyno_Data[OZTime], Dyno_Data[Team],TBA_Matches_All[[#This Row],[Team]],Dyno_Data[Match],TBA_Matches_All[[#This Row],[Match_Number]],Dyno_Data[RecordType],"EndMatch")</f>
        <v>57.328654799999995</v>
      </c>
      <c r="BZ108">
        <f>SUMIFS(Dyno_Data[NZTime], Dyno_Data[Team],TBA_Matches_All[[#This Row],[Team]],Dyno_Data[Match],TBA_Matches_All[[#This Row],[Match_Number]],Dyno_Data[RecordType],"EndMatch")</f>
        <v>21.676994999999998</v>
      </c>
      <c r="CA108">
        <f>SUMIFS(Dyno_Data[AZTime], Dyno_Data[Team],TBA_Matches_All[[#This Row],[Team]],Dyno_Data[Match],TBA_Matches_All[[#This Row],[Match_Number]],Dyno_Data[RecordType],"EndMatch")</f>
        <v>59.5436926</v>
      </c>
      <c r="CB108">
        <f>SUMIFS(Dyno_Data[ClimbT], Dyno_Data[Team],TBA_Matches_All[[#This Row],[Team]],Dyno_Data[Match],TBA_Matches_All[[#This Row],[Match_Number]],Dyno_Data[RecordType],"EndMatch")</f>
        <v>0</v>
      </c>
      <c r="CC108" t="str">
        <f>_xlfn.XLOOKUP(SUM(MID(TBA_Matches_All[[#This Row],[Team]],4,5),(TBA_Matches_All[[#This Row],[Match_Number]]/100)),Dyno_EndMatch[teammat],Dyno_EndMatch[StageStat],"_",0,1)</f>
        <v>Park</v>
      </c>
      <c r="CD108" t="str">
        <f>_xlfn.XLOOKUP(TBA_Matches_All[[#This Row],[teammat]],Dyno_EndMatch[teammat],Dyno_EndMatch[StageAtt],"_",0,1)</f>
        <v>0</v>
      </c>
      <c r="CE108" t="str">
        <f>_xlfn.XLOOKUP(TBA_Matches_All[[#This Row],[teammat]],Dyno_EndMatch[teammat],Dyno_EndMatch[StageLoc],"_",0,1)</f>
        <v>A</v>
      </c>
      <c r="CF108">
        <f>SUMIFS(Dyno_Data[Harmony], Dyno_Data[Team],TBA_Matches_All[[#This Row],[Team]],Dyno_Data[Match],TBA_Matches_All[[#This Row],[Match_Number]],Dyno_Data[RecordType],"EndMatch", Dyno_Data[StageStat],"On",Dyno_Data[Harmony],"&lt;&gt;9")</f>
        <v>0</v>
      </c>
      <c r="CG108">
        <f>SUMIFS(Dyno_Data[Spotlit], Dyno_Data[Team],TBA_Matches_All[[#This Row],[Team]],Dyno_Data[Match],TBA_Matches_All[[#This Row],[Match_Number]],Dyno_Data[RecordType],"EndMatch", Dyno_Data[StageStat],"On",Dyno_Data[Spotlit],"&lt;&gt;9")</f>
        <v>0</v>
      </c>
      <c r="CH108" t="str">
        <f>_xlfn.XLOOKUP(TBA_Matches_All[[#This Row],[teammat]],Dyno_EndMatch[teammat],Dyno_EndMatch[Strategy],"_",0,1)</f>
        <v>Hybrid</v>
      </c>
      <c r="CI108">
        <f>SUMIFS(Dyno_Data[Defense], Dyno_Data[Team],TBA_Matches_All[[#This Row],[Team]],Dyno_Data[Match],TBA_Matches_All[[#This Row],[Match_Number]],Dyno_Data[RecordType],"EndMatch",Dyno_Data[Defense],"&lt;&gt;9")</f>
        <v>0</v>
      </c>
      <c r="CJ108">
        <f>SUMIFS(Dyno_Data[Avoidance], Dyno_Data[Team],TBA_Matches_All[[#This Row],[Team]],Dyno_Data[Match],TBA_Matches_All[[#This Row],[Match_Number]],Dyno_Data[RecordType],"EndMatch",Dyno_Data[Avoidance],"&lt;&gt;9")</f>
        <v>0</v>
      </c>
      <c r="CK108" s="82">
        <f>COUNTIF($H$2:TBA_Matches_All[[#This Row],[Team]],TBA_Matches_All[[#This Row],[Team]])</f>
        <v>3</v>
      </c>
      <c r="CL108" s="111">
        <f>SUM(MID(TBA_Matches_All[[#This Row],[Team]],4,5)+TBA_Matches_All[[#This Row],[Match_Number]]/100)</f>
        <v>3171.18</v>
      </c>
      <c r="CM108">
        <f>SUM((TBA_Matches_All[[#This Row],[Leave]]*2)+(TBA_Matches_All[[#This Row],[AampT]]*2)+(TBA_Matches_All[[#This Row],[AspkrT]]*5)+(TBA_Matches_All[[#This Row],[AtrapT]]*5))</f>
        <v>12</v>
      </c>
      <c r="CN108" s="59">
        <f>IFERROR(SUM(TBA_Matches_All[[#This Row],[AptsT]]/TBA_Matches_All[[#This Row],[AutoPts]]),0)</f>
        <v>0.8571428571428571</v>
      </c>
      <c r="CO108" s="59">
        <f>IFERROR(SUM(TBA_Matches_All[[#This Row],[AampT]]+TBA_Matches_All[[#This Row],[AspkrT]]+TBA_Matches_All[[#This Row],[AtrapT]]/TBA_Matches_All[[#This Row],[Aamp]]+TBA_Matches_All[[#This Row],[Aspkr]]+TBA_Matches_All[[#This Row],[AtrapT]]),0)</f>
        <v>0</v>
      </c>
      <c r="CP108" s="59">
        <f>IFERROR(SUM(TBA_Matches_All[[#This Row],[TampT]]/TBA_Matches_All[[#This Row],[Tamp]]),0)</f>
        <v>1.3333333333333333</v>
      </c>
      <c r="CQ108" s="59">
        <f>IFERROR(SUM(TBA_Matches_All[[#This Row],[TspkrT]]/TBA_Matches_All[[#This Row],[Tspkr]]),0)</f>
        <v>0.23076923076923078</v>
      </c>
      <c r="CR108">
        <f>SUM(TBA_Matches_All[[#This Row],[TspkrPts]]*TBA_Matches_All[[#This Row],[TspkrP]])</f>
        <v>7.384615384615385</v>
      </c>
      <c r="CS108" s="59">
        <f>IFERROR(SUM(TBA_Matches_All[[#This Row],[TtrapT]]/TBA_Matches_All[[#This Row],[Trap]]),0)</f>
        <v>0</v>
      </c>
      <c r="CT108" s="59">
        <f>IFERROR(SUM(TBA_Matches_All[[#This Row],[TotNotesT]]/TBA_Matches_All[[#This Row],[TotNotes]]),0)</f>
        <v>0.5</v>
      </c>
      <c r="CU108" s="66">
        <f>SUM((TBA_Matches_All[[#This Row],[AampT]]*2)+(TBA_Matches_All[[#This Row],[AspkrT]]*5)+(TBA_Matches_All[[#This Row],[AtrapT]]*5)+(TBA_Matches_All[[#This Row],[TampT]]*1)+(TBA_Matches_All[[#This Row],[TspkrptsC]]))</f>
        <v>21.384615384615387</v>
      </c>
      <c r="CV108" s="59">
        <f>IFERROR(TBA_Matches_All[[#This Row],[noteptsT]]/TBA_Matches_All[[#This Row],[NotePts]],0)</f>
        <v>0.47521367521367525</v>
      </c>
      <c r="CW108">
        <f>SUM(IF(TBA_Matches_All[[#This Row],[stageStat]]="On",3,0),IF(TBA_Matches_All[[#This Row],[stageStat]]="Park",1,0),SUMIFS(TBA_Matches_All[[#This Row],[Spotlit]],TBA_Matches_All[[#This Row],[stageStat]],"On"),SUMIFS(TBA_Matches_All[[#This Row],[Harmony]],TBA_Matches_All[[#This Row],[stageStat]],"On"))</f>
        <v>1</v>
      </c>
      <c r="CX108" s="59">
        <f>IFERROR(TBA_Matches_All[[#This Row],[stageptsT]]/TBA_Matches_All[[#This Row],[StagePts]],0)</f>
        <v>0.33333333333333331</v>
      </c>
      <c r="CY108">
        <f>SUM((TBA_Matches_All[[#This Row],[AptsT]]+TBA_Matches_All[[#This Row],[TampT]]+TBA_Matches_All[[#This Row],[TspkrptsC]]+(TBA_Matches_All[[#This Row],[TtrapT]]*5)+TBA_Matches_All[[#This Row],[stageptsT]]))</f>
        <v>24.384615384615387</v>
      </c>
      <c r="CZ108" s="59">
        <f>IFERROR(SUM(TBA_Matches_All[[#This Row],[TotptsC]]/TBA_Matches_All[[#This Row],[Score]]),0)</f>
        <v>0.26505016722408031</v>
      </c>
      <c r="DA10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11.78</v>
      </c>
      <c r="DB108" s="74">
        <f>SUMIFS(TBA_Matches_All[AveTeamTNoteDels],TBA_Matches_All[Match_Number],TBA_Matches_All[[#This Row],[Match_Number]],TBA_Matches_All[Alliance],"&lt;&gt;"&amp;TBA_Matches_All[[#This Row],[Alliance]],TBA_Matches_All[Scouted],"&gt;0")</f>
        <v>20.560822510822511</v>
      </c>
      <c r="DC108" s="74">
        <f>(TBA_Matches_All[[#This Row],[TampT]]+TBA_Matches_All[[#This Row],[TspkrptsC]])-TBA_Matches_All[[#This Row],[AveTeamTNoteDels]]</f>
        <v>-0.39538461538461434</v>
      </c>
      <c r="DD108" s="74">
        <f>SUMIFS(TBA_Matches_All[AveTeamTNoteDels],TBA_Matches_All[Match_Number],TBA_Matches_All[[#This Row],[Match_Number]],TBA_Matches_All[Alliance],"&lt;&gt;"&amp;TBA_Matches_All[[#This Row],[Alliance]])-TBA_Matches_All[[#This Row],[AveOppTNoteDels]]</f>
        <v>0</v>
      </c>
    </row>
    <row r="109" spans="1:108" x14ac:dyDescent="0.3">
      <c r="A109" t="s">
        <v>1042</v>
      </c>
      <c r="B109" t="s">
        <v>489</v>
      </c>
      <c r="C109" t="s">
        <v>1327</v>
      </c>
      <c r="D109">
        <v>18</v>
      </c>
      <c r="E109" t="s">
        <v>1420</v>
      </c>
      <c r="F109" t="s">
        <v>1423</v>
      </c>
      <c r="G109" t="s">
        <v>1409</v>
      </c>
      <c r="H109" t="s">
        <v>1291</v>
      </c>
      <c r="I109" t="b">
        <v>1</v>
      </c>
      <c r="J109">
        <v>40</v>
      </c>
      <c r="K109">
        <v>0</v>
      </c>
      <c r="L109">
        <v>0</v>
      </c>
      <c r="M109">
        <v>40</v>
      </c>
      <c r="N109">
        <v>0</v>
      </c>
      <c r="O109">
        <v>4</v>
      </c>
      <c r="P109">
        <v>20</v>
      </c>
      <c r="Q109">
        <v>22</v>
      </c>
      <c r="R109">
        <v>3</v>
      </c>
      <c r="S109">
        <v>0</v>
      </c>
      <c r="T109">
        <v>7</v>
      </c>
      <c r="U109">
        <v>0</v>
      </c>
      <c r="V109">
        <v>14</v>
      </c>
      <c r="W109">
        <v>7</v>
      </c>
      <c r="X109">
        <v>14</v>
      </c>
      <c r="Y109">
        <v>17</v>
      </c>
      <c r="Z109">
        <v>0</v>
      </c>
      <c r="AA109">
        <v>0</v>
      </c>
      <c r="AB109">
        <v>14</v>
      </c>
      <c r="AC109">
        <v>37</v>
      </c>
      <c r="AD109">
        <v>1</v>
      </c>
      <c r="AE109">
        <f>IFERROR(6/(COUNTIF(Dyno_EndMatch[Match],TBA_Matches_All[[#This Row],[Match_Number]])),0)</f>
        <v>1</v>
      </c>
      <c r="AF109">
        <f>COUNTIFS(Dyno_Data[Team],TBA_Matches_All[[#This Row],[Team]],Dyno_Data[Match],TBA_Matches_All[[#This Row],[Match_Number]],Dyno_Data[RecordType],"EndMatch",Dyno_Data[HPAmp],"Y")</f>
        <v>0</v>
      </c>
      <c r="AG109">
        <f>SUMIFS(Dyno_Data[Mics], Dyno_Data[Team],TBA_Matches_All[[#This Row],[Team]],Dyno_Data[Match],TBA_Matches_All[[#This Row],[Match_Number]],Dyno_Data[RecordType],"EndMatch",Dyno_Data[HPAmp],"Y")</f>
        <v>0</v>
      </c>
      <c r="AH109">
        <f>SUMIFS(Dyno_Data[Leave], Dyno_Data[Team],TBA_Matches_All[[#This Row],[Team]],Dyno_Data[Match],TBA_Matches_All[[#This Row],[Match_Number]],Dyno_Data[RecordType],"EndAuto")</f>
        <v>1</v>
      </c>
      <c r="AI109">
        <f>COUNTIFS(Dyno_Data[Team],TBA_Matches_All[[#This Row],[Team]],Dyno_Data[Match],TBA_Matches_All[[#This Row],[Match_Number]],Dyno_Data[RecordType],"Activities",Dyno_Data[DelDest],"Amp", Dyno_Data[DelMiss],"0", Dyno_Data[Mode],"Auto")</f>
        <v>0</v>
      </c>
      <c r="AJ109">
        <f>COUNTIFS(Dyno_Data[Team],TBA_Matches_All[[#This Row],[Team]],Dyno_Data[Match],TBA_Matches_All[[#This Row],[Match_Number]],Dyno_Data[RecordType],"Activities",Dyno_Data[DelDest],"Spkr", Dyno_Data[DelMiss],"0", Dyno_Data[Mode],"Auto")</f>
        <v>3</v>
      </c>
      <c r="AK109">
        <f>COUNTIFS(Dyno_Data[Team],TBA_Matches_All[[#This Row],[Team]],Dyno_Data[Match],TBA_Matches_All[[#This Row],[Match_Number]],Dyno_Data[RecordType],"Activities",Dyno_Data[DelDest],"Trap", Dyno_Data[DelMiss],"0", Dyno_Data[Mode],"Auto")</f>
        <v>0</v>
      </c>
      <c r="AL109">
        <f>COUNTIFS(Dyno_Data[Team],TBA_Matches_All[[#This Row],[Team]],Dyno_Data[Match],TBA_Matches_All[[#This Row],[Match_Number]],Dyno_Data[RecordType],"Activities",Dyno_Data[DelDest],"Amp", Dyno_Data[DelMiss],"0", Dyno_Data[Mode],"Teleop")</f>
        <v>3</v>
      </c>
      <c r="AM109">
        <f>COUNTIFS(Dyno_Data[Team],TBA_Matches_All[[#This Row],[Team]],Dyno_Data[Match],TBA_Matches_All[[#This Row],[Match_Number]],Dyno_Data[RecordType],"Activities",Dyno_Data[DelDest],"Spkr", Dyno_Data[DelMiss],"0", Dyno_Data[Mode],"Teleop")</f>
        <v>5</v>
      </c>
      <c r="AN109">
        <f>COUNTIFS(Dyno_Data[Team],TBA_Matches_All[[#This Row],[Team]],Dyno_Data[Match],TBA_Matches_All[[#This Row],[Match_Number]],Dyno_Data[RecordType],"Activities",Dyno_Data[DelDest],"Trap", Dyno_Data[DelMiss],"0", Dyno_Data[Mode],"&lt;&gt;Auto")</f>
        <v>0</v>
      </c>
      <c r="AO109">
        <f>SUM(TBA_Matches_All[[#This Row],[AampT]]+TBA_Matches_All[[#This Row],[AspkrT]]+TBA_Matches_All[[#This Row],[AtrapT]]+TBA_Matches_All[[#This Row],[TampT]]+TBA_Matches_All[[#This Row],[TspkrT]]+TBA_Matches_All[[#This Row],[TtrapT]])</f>
        <v>11</v>
      </c>
      <c r="AP109">
        <f>COUNTIFS(Dyno_Data[Team],TBA_Matches_All[[#This Row],[Team]],Dyno_Data[Match],TBA_Matches_All[[#This Row],[Match_Number]],Dyno_Data[RecordType],"Activities",Dyno_Data[DelDest],"Neut", Dyno_Data[DelMiss],"0")</f>
        <v>1</v>
      </c>
      <c r="AQ109">
        <f>COUNTIFS(Dyno_Data[Team],TBA_Matches_All[[#This Row],[Team]],Dyno_Data[Match],TBA_Matches_All[[#This Row],[Match_Number]],Dyno_Data[RecordType],"Activities",Dyno_Data[DelDest],"AllyW", Dyno_Data[DelMiss],"0")</f>
        <v>1</v>
      </c>
      <c r="AR109" t="str">
        <f>_xlfn.XLOOKUP(SUM(MID(TBA_Matches_All[[#This Row],[Team]],4,5),(TBA_Matches_All[[#This Row],[Match_Number]]/100)),Dyno_EndMatch[teammat],Dyno_EndMatch[RobotSta],"_",0,1)</f>
        <v>SubW</v>
      </c>
      <c r="AS109">
        <f>SUMIFS(Dyno_Data[AcqDis], Dyno_Data[Team],TBA_Matches_All[[#This Row],[Team]],Dyno_Data[Match],TBA_Matches_All[[#This Row],[Match_Number]],Dyno_Data[RecordType],"Activities", Dyno_Data[AcqCenter],1,Dyno_Data[Mode],"Auto")</f>
        <v>0</v>
      </c>
      <c r="AT109">
        <f>SUMIFS(Dyno_Data[AcqDis], Dyno_Data[Team],TBA_Matches_All[[#This Row],[Team]],Dyno_Data[Match],TBA_Matches_All[[#This Row],[Match_Number]],Dyno_Data[RecordType],"Activities", Dyno_Data[AcqCenter],2,Dyno_Data[Mode],"Auto")</f>
        <v>0</v>
      </c>
      <c r="AU109">
        <f>SUMIFS(Dyno_Data[AcqDis], Dyno_Data[Team],TBA_Matches_All[[#This Row],[Team]],Dyno_Data[Match],TBA_Matches_All[[#This Row],[Match_Number]],Dyno_Data[RecordType],"Activities", Dyno_Data[AcqCenter],3,Dyno_Data[Mode],"Auto")</f>
        <v>0</v>
      </c>
      <c r="AV109">
        <f>SUMIFS(Dyno_Data[AcqDis], Dyno_Data[Team],TBA_Matches_All[[#This Row],[Team]],Dyno_Data[Match],TBA_Matches_All[[#This Row],[Match_Number]],Dyno_Data[RecordType],"Activities", Dyno_Data[AcqCenter],4,Dyno_Data[Mode],"Auto")</f>
        <v>0</v>
      </c>
      <c r="AW109">
        <f>SUMIFS(Dyno_Data[AcqDis], Dyno_Data[Team],TBA_Matches_All[[#This Row],[Team]],Dyno_Data[Match],TBA_Matches_All[[#This Row],[Match_Number]],Dyno_Data[RecordType],"Activities", Dyno_Data[AcqCenter],5,Dyno_Data[Mode],"Auto")</f>
        <v>0</v>
      </c>
      <c r="AX109">
        <f>SUMIFS(Dyno_Data[DelMiss], Dyno_Data[Team],TBA_Matches_All[[#This Row],[Team]],Dyno_Data[Match],TBA_Matches_All[[#This Row],[Match_Number]],Dyno_Data[RecordType],"Activities", Dyno_Data[DelDest],"Amp")</f>
        <v>0</v>
      </c>
      <c r="AY109" s="60">
        <f>IFERROR(SUM((TBA_Matches_All[[#This Row],[AampT]]+TBA_Matches_All[[#This Row],[TampT]])/(TBA_Matches_All[[#This Row],[AampT]]+TBA_Matches_All[[#This Row],[TampT]]+TBA_Matches_All[[#This Row],[ampM]])),0)</f>
        <v>1</v>
      </c>
      <c r="AZ109">
        <f>SUMIFS(Dyno_Data[DelMiss], Dyno_Data[Team],TBA_Matches_All[[#This Row],[Team]],Dyno_Data[Match],TBA_Matches_All[[#This Row],[Match_Number]],Dyno_Data[RecordType],"Activities", Dyno_Data[DelDest],"Spkr")</f>
        <v>1</v>
      </c>
      <c r="BA109" s="60">
        <f>IFERROR(SUM((TBA_Matches_All[[#This Row],[AspkrT]]+TBA_Matches_All[[#This Row],[TspkrT]])/(TBA_Matches_All[[#This Row],[AspkrT]]+TBA_Matches_All[[#This Row],[TspkrT]]+TBA_Matches_All[[#This Row],[spkrM]])),0)</f>
        <v>0.88888888888888884</v>
      </c>
      <c r="BB109">
        <f>SUMIFS(Dyno_Data[DelMiss], Dyno_Data[Team],TBA_Matches_All[[#This Row],[Team]],Dyno_Data[Match],TBA_Matches_All[[#This Row],[Match_Number]],Dyno_Data[RecordType],"Activities", Dyno_Data[DelDest],"Trap")</f>
        <v>0</v>
      </c>
      <c r="BC109" s="60">
        <f>IFERROR((TBA_Matches_All[[#This Row],[AtrapT]]+TBA_Matches_All[[#This Row],[TtrapT]])/(TBA_Matches_All[[#This Row],[AtrapT]]+TBA_Matches_All[[#This Row],[TtrapT]]+TBA_Matches_All[[#This Row],[trapM]]),0)</f>
        <v>0</v>
      </c>
      <c r="BD109">
        <f>COUNTIFS(Dyno_Data[Team],TBA_Matches_All[[#This Row],[Team]],Dyno_Data[Match],TBA_Matches_All[[#This Row],[Match_Number]],Dyno_Data[RecordType],"Activities",Dyno_Data[DelDest],"Neut", Dyno_Data[DelMiss],1)</f>
        <v>0</v>
      </c>
      <c r="BE109" s="60">
        <f>IFERROR(SUM((TBA_Matches_All[[#This Row],[NeutFlrT]])/(TBA_Matches_All[[#This Row],[NeutFlrT]]+TBA_Matches_All[[#This Row],[NZflM]])),0)</f>
        <v>1</v>
      </c>
      <c r="BF109">
        <f>COUNTIFS(Dyno_Data[Team],TBA_Matches_All[[#This Row],[Team]],Dyno_Data[Match],TBA_Matches_All[[#This Row],[Match_Number]],Dyno_Data[RecordType],"Activities",Dyno_Data[DelDest],"AllyW", Dyno_Data[DelMiss],1)</f>
        <v>0</v>
      </c>
      <c r="BG109" s="60">
        <f>IFERROR(SUM((TBA_Matches_All[[#This Row],[AllyWFlrT]])/(TBA_Matches_All[[#This Row],[AllyWFlrT]]+TBA_Matches_All[[#This Row],[AZflM]])),0)</f>
        <v>1</v>
      </c>
      <c r="BH109">
        <f>COUNTIFS(Dyno_Data[Team],TBA_Matches_All[[#This Row],[Team]],Dyno_Data[Match],TBA_Matches_All[[#This Row],[Match_Number]],Dyno_Data[RecordType],"Activities",Dyno_Data[DelOrig],"OppW", Dyno_Data[DelMiss],"0")</f>
        <v>0</v>
      </c>
      <c r="BI109">
        <f>COUNTIFS(Dyno_Data[Team],TBA_Matches_All[[#This Row],[Team]],Dyno_Data[Match],TBA_Matches_All[[#This Row],[Match_Number]],Dyno_Data[RecordType],"Activities",Dyno_Data[DelOrig],"OppW", Dyno_Data[DelMiss],"1")</f>
        <v>0</v>
      </c>
      <c r="BJ109" s="60">
        <f>IFERROR(SUM((TBA_Matches_All[[#This Row],[OZflrT]])/(TBA_Matches_All[[#This Row],[OZflrT]]+TBA_Matches_All[[#This Row],[OZflrM]])),0)</f>
        <v>0</v>
      </c>
      <c r="BK109">
        <f>COUNTIFS(Dyno_Data[Team],TBA_Matches_All[[#This Row],[Team]],Dyno_Data[Match],TBA_Matches_All[[#This Row],[Match_Number]],Dyno_Data[RecordType],"Activities",Dyno_Data[DelOrig],"Neut", Dyno_Data[DelMiss],"0")</f>
        <v>2</v>
      </c>
      <c r="BL109">
        <f>COUNTIFS(Dyno_Data[Team],TBA_Matches_All[[#This Row],[Team]],Dyno_Data[Match],TBA_Matches_All[[#This Row],[Match_Number]],Dyno_Data[RecordType],"Activities",Dyno_Data[DelOrig],"Neut", Dyno_Data[DelMiss],"1")</f>
        <v>0</v>
      </c>
      <c r="BM109" s="60">
        <f>IFERROR(SUM((TBA_Matches_All[[#This Row],[NZflrT]])/(TBA_Matches_All[[#This Row],[NZflrT]]+TBA_Matches_All[[#This Row],[NZflrM]])),0)</f>
        <v>1</v>
      </c>
      <c r="BN109">
        <f>COUNTIFS(Dyno_Data[Team],TBA_Matches_All[[#This Row],[Team]],Dyno_Data[Match],TBA_Matches_All[[#This Row],[Match_Number]],Dyno_Data[RecordType],"Activities",Dyno_Data[DelOrig],"AllyW", Dyno_Data[DelMiss],"0")</f>
        <v>8</v>
      </c>
      <c r="BO109">
        <f>COUNTIFS(Dyno_Data[Team],TBA_Matches_All[[#This Row],[Team]],Dyno_Data[Match],TBA_Matches_All[[#This Row],[Match_Number]],Dyno_Data[RecordType],"Activities",Dyno_Data[DelOrig],"AllyW", Dyno_Data[DelMiss],"1")</f>
        <v>1</v>
      </c>
      <c r="BP109" s="60">
        <f>IFERROR(SUM((TBA_Matches_All[[#This Row],[AZflrT]])/(TBA_Matches_All[[#This Row],[AZflrT]]+TBA_Matches_All[[#This Row],[AZflrM]])),0)</f>
        <v>0.88888888888888884</v>
      </c>
      <c r="BQ109">
        <f>COUNTIFS(Dyno_Data[Team],TBA_Matches_All[[#This Row],[Team]],Dyno_Data[Match],TBA_Matches_All[[#This Row],[Match_Number]],Dyno_Data[RecordType],"Activities",Dyno_Data[DelOrig],"SubW", Dyno_Data[DelMiss],"0")</f>
        <v>3</v>
      </c>
      <c r="BR109">
        <f>COUNTIFS(Dyno_Data[Team],TBA_Matches_All[[#This Row],[Team]],Dyno_Data[Match],TBA_Matches_All[[#This Row],[Match_Number]],Dyno_Data[RecordType],"Activities",Dyno_Data[DelOrig],"SubW", Dyno_Data[DelMiss],"1")</f>
        <v>0</v>
      </c>
      <c r="BS109" s="60">
        <f>IFERROR(SUM((TBA_Matches_All[[#This Row],[SubwT]])/(TBA_Matches_All[[#This Row],[SubwT]]+TBA_Matches_All[[#This Row],[SubwM]])),0)</f>
        <v>1</v>
      </c>
      <c r="BT109">
        <f>COUNTIFS(Dyno_Data[Team],TBA_Matches_All[[#This Row],[Team]],Dyno_Data[Match],TBA_Matches_All[[#This Row],[Match_Number]],Dyno_Data[RecordType],"Activities", Dyno_Data[AcqLoc],"OppWing")</f>
        <v>0</v>
      </c>
      <c r="BU109">
        <f>COUNTIFS(Dyno_Data[Team],TBA_Matches_All[[#This Row],[Team]],Dyno_Data[Match],TBA_Matches_All[[#This Row],[Match_Number]],Dyno_Data[RecordType],"Activities", Dyno_Data[AcqLoc],"Neutral")</f>
        <v>0</v>
      </c>
      <c r="BV109">
        <f>COUNTIFS(Dyno_Data[Team],TBA_Matches_All[[#This Row],[Team]],Dyno_Data[Match],TBA_Matches_All[[#This Row],[Match_Number]],Dyno_Data[RecordType],"Activities", Dyno_Data[AcqLoc],"AllyWing")</f>
        <v>0</v>
      </c>
      <c r="BW109">
        <f>COUNTIFS(Dyno_Data[Team],TBA_Matches_All[[#This Row],[Team]],Dyno_Data[Match],TBA_Matches_All[[#This Row],[Match_Number]],Dyno_Data[RecordType],"Activities", Dyno_Data[AcqLoc],"Source")</f>
        <v>0</v>
      </c>
      <c r="BX109">
        <f>SUMIFS(Dyno_Data[AcqDrp], Dyno_Data[Team],TBA_Matches_All[[#This Row],[Team]],Dyno_Data[Match],TBA_Matches_All[[#This Row],[Match_Number]],Dyno_Data[RecordType],"Activities", Dyno_Data[AcqLoc],"Source")</f>
        <v>0</v>
      </c>
      <c r="BY109">
        <f>SUMIFS(Dyno_Data[OZTime], Dyno_Data[Team],TBA_Matches_All[[#This Row],[Team]],Dyno_Data[Match],TBA_Matches_All[[#This Row],[Match_Number]],Dyno_Data[RecordType],"EndMatch")</f>
        <v>28.781019599999997</v>
      </c>
      <c r="BZ109">
        <f>SUMIFS(Dyno_Data[NZTime], Dyno_Data[Team],TBA_Matches_All[[#This Row],[Team]],Dyno_Data[Match],TBA_Matches_All[[#This Row],[Match_Number]],Dyno_Data[RecordType],"EndMatch")</f>
        <v>33.024901499999999</v>
      </c>
      <c r="CA109">
        <f>SUMIFS(Dyno_Data[AZTime], Dyno_Data[Team],TBA_Matches_All[[#This Row],[Team]],Dyno_Data[Match],TBA_Matches_All[[#This Row],[Match_Number]],Dyno_Data[RecordType],"EndMatch")</f>
        <v>74.614331399999998</v>
      </c>
      <c r="CB109">
        <f>SUMIFS(Dyno_Data[ClimbT], Dyno_Data[Team],TBA_Matches_All[[#This Row],[Team]],Dyno_Data[Match],TBA_Matches_All[[#This Row],[Match_Number]],Dyno_Data[RecordType],"EndMatch")</f>
        <v>0</v>
      </c>
      <c r="CC109" t="str">
        <f>_xlfn.XLOOKUP(SUM(MID(TBA_Matches_All[[#This Row],[Team]],4,5),(TBA_Matches_All[[#This Row],[Match_Number]]/100)),Dyno_EndMatch[teammat],Dyno_EndMatch[StageStat],"_",0,1)</f>
        <v>Else</v>
      </c>
      <c r="CD109" t="str">
        <f>_xlfn.XLOOKUP(TBA_Matches_All[[#This Row],[teammat]],Dyno_EndMatch[teammat],Dyno_EndMatch[StageAtt],"_",0,1)</f>
        <v>0</v>
      </c>
      <c r="CE109" t="str">
        <f>_xlfn.XLOOKUP(TBA_Matches_All[[#This Row],[teammat]],Dyno_EndMatch[teammat],Dyno_EndMatch[StageLoc],"_",0,1)</f>
        <v>A</v>
      </c>
      <c r="CF109">
        <f>SUMIFS(Dyno_Data[Harmony], Dyno_Data[Team],TBA_Matches_All[[#This Row],[Team]],Dyno_Data[Match],TBA_Matches_All[[#This Row],[Match_Number]],Dyno_Data[RecordType],"EndMatch", Dyno_Data[StageStat],"On",Dyno_Data[Harmony],"&lt;&gt;9")</f>
        <v>0</v>
      </c>
      <c r="CG109">
        <f>SUMIFS(Dyno_Data[Spotlit], Dyno_Data[Team],TBA_Matches_All[[#This Row],[Team]],Dyno_Data[Match],TBA_Matches_All[[#This Row],[Match_Number]],Dyno_Data[RecordType],"EndMatch", Dyno_Data[StageStat],"On",Dyno_Data[Spotlit],"&lt;&gt;9")</f>
        <v>0</v>
      </c>
      <c r="CH109" t="str">
        <f>_xlfn.XLOOKUP(TBA_Matches_All[[#This Row],[teammat]],Dyno_EndMatch[teammat],Dyno_EndMatch[Strategy],"_",0,1)</f>
        <v>Hybrid</v>
      </c>
      <c r="CI109">
        <f>SUMIFS(Dyno_Data[Defense], Dyno_Data[Team],TBA_Matches_All[[#This Row],[Team]],Dyno_Data[Match],TBA_Matches_All[[#This Row],[Match_Number]],Dyno_Data[RecordType],"EndMatch",Dyno_Data[Defense],"&lt;&gt;9")</f>
        <v>0</v>
      </c>
      <c r="CJ109">
        <f>SUMIFS(Dyno_Data[Avoidance], Dyno_Data[Team],TBA_Matches_All[[#This Row],[Team]],Dyno_Data[Match],TBA_Matches_All[[#This Row],[Match_Number]],Dyno_Data[RecordType],"EndMatch",Dyno_Data[Avoidance],"&lt;&gt;9")</f>
        <v>0</v>
      </c>
      <c r="CK109" s="82">
        <f>COUNTIF($H$2:TBA_Matches_All[[#This Row],[Team]],TBA_Matches_All[[#This Row],[Team]])</f>
        <v>3</v>
      </c>
      <c r="CL109" s="111">
        <f>SUM(MID(TBA_Matches_All[[#This Row],[Team]],4,5)+TBA_Matches_All[[#This Row],[Match_Number]]/100)</f>
        <v>1493.18</v>
      </c>
      <c r="CM109">
        <f>SUM((TBA_Matches_All[[#This Row],[Leave]]*2)+(TBA_Matches_All[[#This Row],[AampT]]*2)+(TBA_Matches_All[[#This Row],[AspkrT]]*5)+(TBA_Matches_All[[#This Row],[AtrapT]]*5))</f>
        <v>17</v>
      </c>
      <c r="CN109" s="59">
        <f>IFERROR(SUM(TBA_Matches_All[[#This Row],[AptsT]]/TBA_Matches_All[[#This Row],[AutoPts]]),0)</f>
        <v>0.77272727272727271</v>
      </c>
      <c r="CO109" s="59">
        <f>IFERROR(SUM(TBA_Matches_All[[#This Row],[AampT]]+TBA_Matches_All[[#This Row],[AspkrT]]+TBA_Matches_All[[#This Row],[AtrapT]]/TBA_Matches_All[[#This Row],[Aamp]]+TBA_Matches_All[[#This Row],[Aspkr]]+TBA_Matches_All[[#This Row],[AtrapT]]),0)</f>
        <v>0</v>
      </c>
      <c r="CP109" s="59">
        <f>IFERROR(SUM(TBA_Matches_All[[#This Row],[TampT]]/TBA_Matches_All[[#This Row],[Tamp]]),0)</f>
        <v>1</v>
      </c>
      <c r="CQ109" s="59">
        <f>IFERROR(SUM(TBA_Matches_All[[#This Row],[TspkrT]]/TBA_Matches_All[[#This Row],[Tspkr]]),0)</f>
        <v>0.7142857142857143</v>
      </c>
      <c r="CR109">
        <f>SUM(TBA_Matches_All[[#This Row],[TspkrPts]]*TBA_Matches_All[[#This Row],[TspkrP]])</f>
        <v>10</v>
      </c>
      <c r="CS109" s="59">
        <f>IFERROR(SUM(TBA_Matches_All[[#This Row],[TtrapT]]/TBA_Matches_All[[#This Row],[Trap]]),0)</f>
        <v>0</v>
      </c>
      <c r="CT109" s="59">
        <f>IFERROR(SUM(TBA_Matches_All[[#This Row],[TotNotesT]]/TBA_Matches_All[[#This Row],[TotNotes]]),0)</f>
        <v>0.7857142857142857</v>
      </c>
      <c r="CU109" s="66">
        <f>SUM((TBA_Matches_All[[#This Row],[AampT]]*2)+(TBA_Matches_All[[#This Row],[AspkrT]]*5)+(TBA_Matches_All[[#This Row],[AtrapT]]*5)+(TBA_Matches_All[[#This Row],[TampT]]*1)+(TBA_Matches_All[[#This Row],[TspkrptsC]]))</f>
        <v>28</v>
      </c>
      <c r="CV109" s="59">
        <f>IFERROR(TBA_Matches_All[[#This Row],[noteptsT]]/TBA_Matches_All[[#This Row],[NotePts]],0)</f>
        <v>0.7567567567567568</v>
      </c>
      <c r="CW109">
        <f>SUM(IF(TBA_Matches_All[[#This Row],[stageStat]]="On",3,0),IF(TBA_Matches_All[[#This Row],[stageStat]]="Park",1,0),SUMIFS(TBA_Matches_All[[#This Row],[Spotlit]],TBA_Matches_All[[#This Row],[stageStat]],"On"),SUMIFS(TBA_Matches_All[[#This Row],[Harmony]],TBA_Matches_All[[#This Row],[stageStat]],"On"))</f>
        <v>0</v>
      </c>
      <c r="CX109" s="59">
        <f>IFERROR(TBA_Matches_All[[#This Row],[stageptsT]]/TBA_Matches_All[[#This Row],[StagePts]],0)</f>
        <v>0</v>
      </c>
      <c r="CY109">
        <f>SUM((TBA_Matches_All[[#This Row],[AptsT]]+TBA_Matches_All[[#This Row],[TampT]]+TBA_Matches_All[[#This Row],[TspkrptsC]]+(TBA_Matches_All[[#This Row],[TtrapT]]*5)+TBA_Matches_All[[#This Row],[stageptsT]]))</f>
        <v>30</v>
      </c>
      <c r="CZ109" s="59">
        <f>IFERROR(SUM(TBA_Matches_All[[#This Row],[TotptsC]]/TBA_Matches_All[[#This Row],[Score]]),0)</f>
        <v>0.75</v>
      </c>
      <c r="DA10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12.288095238095238</v>
      </c>
      <c r="DB109" s="74">
        <f>SUMIFS(TBA_Matches_All[AveTeamTNoteDels],TBA_Matches_All[Match_Number],TBA_Matches_All[[#This Row],[Match_Number]],TBA_Matches_All[Alliance],"&lt;&gt;"&amp;TBA_Matches_All[[#This Row],[Alliance]],TBA_Matches_All[Scouted],"&gt;0")</f>
        <v>22.489090909090908</v>
      </c>
      <c r="DC109" s="74">
        <f>(TBA_Matches_All[[#This Row],[TampT]]+TBA_Matches_All[[#This Row],[TspkrptsC]])-TBA_Matches_All[[#This Row],[AveTeamTNoteDels]]</f>
        <v>0.71190476190476204</v>
      </c>
      <c r="DD109" s="74">
        <f>SUMIFS(TBA_Matches_All[AveTeamTNoteDels],TBA_Matches_All[Match_Number],TBA_Matches_All[[#This Row],[Match_Number]],TBA_Matches_All[Alliance],"&lt;&gt;"&amp;TBA_Matches_All[[#This Row],[Alliance]])-TBA_Matches_All[[#This Row],[AveOppTNoteDels]]</f>
        <v>0</v>
      </c>
    </row>
    <row r="110" spans="1:108" x14ac:dyDescent="0.3">
      <c r="A110" t="s">
        <v>1042</v>
      </c>
      <c r="B110" t="s">
        <v>489</v>
      </c>
      <c r="C110" t="s">
        <v>1327</v>
      </c>
      <c r="D110">
        <v>18</v>
      </c>
      <c r="E110" t="s">
        <v>1406</v>
      </c>
      <c r="F110" t="s">
        <v>1424</v>
      </c>
      <c r="G110" t="s">
        <v>1409</v>
      </c>
      <c r="H110" t="s">
        <v>1310</v>
      </c>
      <c r="I110" t="b">
        <v>1</v>
      </c>
      <c r="J110">
        <v>92</v>
      </c>
      <c r="K110">
        <v>1</v>
      </c>
      <c r="L110">
        <v>0</v>
      </c>
      <c r="M110">
        <v>0</v>
      </c>
      <c r="N110">
        <v>0</v>
      </c>
      <c r="O110">
        <v>2</v>
      </c>
      <c r="P110">
        <v>10</v>
      </c>
      <c r="Q110">
        <v>14</v>
      </c>
      <c r="R110">
        <v>3</v>
      </c>
      <c r="S110">
        <v>2</v>
      </c>
      <c r="T110">
        <v>11</v>
      </c>
      <c r="U110">
        <v>10</v>
      </c>
      <c r="V110">
        <v>22</v>
      </c>
      <c r="W110">
        <v>13</v>
      </c>
      <c r="X110">
        <v>32</v>
      </c>
      <c r="Y110">
        <v>35</v>
      </c>
      <c r="Z110">
        <v>0</v>
      </c>
      <c r="AA110">
        <v>0</v>
      </c>
      <c r="AB110">
        <v>18</v>
      </c>
      <c r="AC110">
        <v>45</v>
      </c>
      <c r="AD110">
        <v>3</v>
      </c>
      <c r="AE110">
        <f>IFERROR(6/(COUNTIF(Dyno_EndMatch[Match],TBA_Matches_All[[#This Row],[Match_Number]])),0)</f>
        <v>1</v>
      </c>
      <c r="AF110">
        <f>COUNTIFS(Dyno_Data[Team],TBA_Matches_All[[#This Row],[Team]],Dyno_Data[Match],TBA_Matches_All[[#This Row],[Match_Number]],Dyno_Data[RecordType],"EndMatch",Dyno_Data[HPAmp],"Y")</f>
        <v>0</v>
      </c>
      <c r="AG110">
        <f>SUMIFS(Dyno_Data[Mics], Dyno_Data[Team],TBA_Matches_All[[#This Row],[Team]],Dyno_Data[Match],TBA_Matches_All[[#This Row],[Match_Number]],Dyno_Data[RecordType],"EndMatch",Dyno_Data[HPAmp],"Y")</f>
        <v>0</v>
      </c>
      <c r="AH110">
        <f>SUMIFS(Dyno_Data[Leave], Dyno_Data[Team],TBA_Matches_All[[#This Row],[Team]],Dyno_Data[Match],TBA_Matches_All[[#This Row],[Match_Number]],Dyno_Data[RecordType],"EndAuto")</f>
        <v>1</v>
      </c>
      <c r="AI110">
        <f>COUNTIFS(Dyno_Data[Team],TBA_Matches_All[[#This Row],[Team]],Dyno_Data[Match],TBA_Matches_All[[#This Row],[Match_Number]],Dyno_Data[RecordType],"Activities",Dyno_Data[DelDest],"Amp", Dyno_Data[DelMiss],"0", Dyno_Data[Mode],"Auto")</f>
        <v>0</v>
      </c>
      <c r="AJ110">
        <f>COUNTIFS(Dyno_Data[Team],TBA_Matches_All[[#This Row],[Team]],Dyno_Data[Match],TBA_Matches_All[[#This Row],[Match_Number]],Dyno_Data[RecordType],"Activities",Dyno_Data[DelDest],"Spkr", Dyno_Data[DelMiss],"0", Dyno_Data[Mode],"Auto")</f>
        <v>1</v>
      </c>
      <c r="AK110">
        <f>COUNTIFS(Dyno_Data[Team],TBA_Matches_All[[#This Row],[Team]],Dyno_Data[Match],TBA_Matches_All[[#This Row],[Match_Number]],Dyno_Data[RecordType],"Activities",Dyno_Data[DelDest],"Trap", Dyno_Data[DelMiss],"0", Dyno_Data[Mode],"Auto")</f>
        <v>0</v>
      </c>
      <c r="AL110">
        <f>COUNTIFS(Dyno_Data[Team],TBA_Matches_All[[#This Row],[Team]],Dyno_Data[Match],TBA_Matches_All[[#This Row],[Match_Number]],Dyno_Data[RecordType],"Activities",Dyno_Data[DelDest],"Amp", Dyno_Data[DelMiss],"0", Dyno_Data[Mode],"Teleop")</f>
        <v>0</v>
      </c>
      <c r="AM110">
        <f>COUNTIFS(Dyno_Data[Team],TBA_Matches_All[[#This Row],[Team]],Dyno_Data[Match],TBA_Matches_All[[#This Row],[Match_Number]],Dyno_Data[RecordType],"Activities",Dyno_Data[DelDest],"Spkr", Dyno_Data[DelMiss],"0", Dyno_Data[Mode],"Teleop")</f>
        <v>11</v>
      </c>
      <c r="AN110">
        <f>COUNTIFS(Dyno_Data[Team],TBA_Matches_All[[#This Row],[Team]],Dyno_Data[Match],TBA_Matches_All[[#This Row],[Match_Number]],Dyno_Data[RecordType],"Activities",Dyno_Data[DelDest],"Trap", Dyno_Data[DelMiss],"0", Dyno_Data[Mode],"&lt;&gt;Auto")</f>
        <v>0</v>
      </c>
      <c r="AO110">
        <f>SUM(TBA_Matches_All[[#This Row],[AampT]]+TBA_Matches_All[[#This Row],[AspkrT]]+TBA_Matches_All[[#This Row],[AtrapT]]+TBA_Matches_All[[#This Row],[TampT]]+TBA_Matches_All[[#This Row],[TspkrT]]+TBA_Matches_All[[#This Row],[TtrapT]])</f>
        <v>12</v>
      </c>
      <c r="AP110">
        <f>COUNTIFS(Dyno_Data[Team],TBA_Matches_All[[#This Row],[Team]],Dyno_Data[Match],TBA_Matches_All[[#This Row],[Match_Number]],Dyno_Data[RecordType],"Activities",Dyno_Data[DelDest],"Neut", Dyno_Data[DelMiss],"0")</f>
        <v>0</v>
      </c>
      <c r="AQ110">
        <f>COUNTIFS(Dyno_Data[Team],TBA_Matches_All[[#This Row],[Team]],Dyno_Data[Match],TBA_Matches_All[[#This Row],[Match_Number]],Dyno_Data[RecordType],"Activities",Dyno_Data[DelDest],"AllyW", Dyno_Data[DelMiss],"0")</f>
        <v>0</v>
      </c>
      <c r="AR110" t="str">
        <f>_xlfn.XLOOKUP(SUM(MID(TBA_Matches_All[[#This Row],[Team]],4,5),(TBA_Matches_All[[#This Row],[Match_Number]]/100)),Dyno_EndMatch[teammat],Dyno_EndMatch[RobotSta],"_",0,1)</f>
        <v>Podm</v>
      </c>
      <c r="AS110">
        <f>SUMIFS(Dyno_Data[AcqDis], Dyno_Data[Team],TBA_Matches_All[[#This Row],[Team]],Dyno_Data[Match],TBA_Matches_All[[#This Row],[Match_Number]],Dyno_Data[RecordType],"Activities", Dyno_Data[AcqCenter],1,Dyno_Data[Mode],"Auto")</f>
        <v>0</v>
      </c>
      <c r="AT110">
        <f>SUMIFS(Dyno_Data[AcqDis], Dyno_Data[Team],TBA_Matches_All[[#This Row],[Team]],Dyno_Data[Match],TBA_Matches_All[[#This Row],[Match_Number]],Dyno_Data[RecordType],"Activities", Dyno_Data[AcqCenter],2,Dyno_Data[Mode],"Auto")</f>
        <v>0</v>
      </c>
      <c r="AU110">
        <f>SUMIFS(Dyno_Data[AcqDis], Dyno_Data[Team],TBA_Matches_All[[#This Row],[Team]],Dyno_Data[Match],TBA_Matches_All[[#This Row],[Match_Number]],Dyno_Data[RecordType],"Activities", Dyno_Data[AcqCenter],3,Dyno_Data[Mode],"Auto")</f>
        <v>0</v>
      </c>
      <c r="AV110">
        <f>SUMIFS(Dyno_Data[AcqDis], Dyno_Data[Team],TBA_Matches_All[[#This Row],[Team]],Dyno_Data[Match],TBA_Matches_All[[#This Row],[Match_Number]],Dyno_Data[RecordType],"Activities", Dyno_Data[AcqCenter],4,Dyno_Data[Mode],"Auto")</f>
        <v>0</v>
      </c>
      <c r="AW110">
        <f>SUMIFS(Dyno_Data[AcqDis], Dyno_Data[Team],TBA_Matches_All[[#This Row],[Team]],Dyno_Data[Match],TBA_Matches_All[[#This Row],[Match_Number]],Dyno_Data[RecordType],"Activities", Dyno_Data[AcqCenter],5,Dyno_Data[Mode],"Auto")</f>
        <v>0</v>
      </c>
      <c r="AX110">
        <f>SUMIFS(Dyno_Data[DelMiss], Dyno_Data[Team],TBA_Matches_All[[#This Row],[Team]],Dyno_Data[Match],TBA_Matches_All[[#This Row],[Match_Number]],Dyno_Data[RecordType],"Activities", Dyno_Data[DelDest],"Amp")</f>
        <v>0</v>
      </c>
      <c r="AY110" s="60">
        <f>IFERROR(SUM((TBA_Matches_All[[#This Row],[AampT]]+TBA_Matches_All[[#This Row],[TampT]])/(TBA_Matches_All[[#This Row],[AampT]]+TBA_Matches_All[[#This Row],[TampT]]+TBA_Matches_All[[#This Row],[ampM]])),0)</f>
        <v>0</v>
      </c>
      <c r="AZ110">
        <f>SUMIFS(Dyno_Data[DelMiss], Dyno_Data[Team],TBA_Matches_All[[#This Row],[Team]],Dyno_Data[Match],TBA_Matches_All[[#This Row],[Match_Number]],Dyno_Data[RecordType],"Activities", Dyno_Data[DelDest],"Spkr")</f>
        <v>0</v>
      </c>
      <c r="BA110" s="60">
        <f>IFERROR(SUM((TBA_Matches_All[[#This Row],[AspkrT]]+TBA_Matches_All[[#This Row],[TspkrT]])/(TBA_Matches_All[[#This Row],[AspkrT]]+TBA_Matches_All[[#This Row],[TspkrT]]+TBA_Matches_All[[#This Row],[spkrM]])),0)</f>
        <v>1</v>
      </c>
      <c r="BB110">
        <f>SUMIFS(Dyno_Data[DelMiss], Dyno_Data[Team],TBA_Matches_All[[#This Row],[Team]],Dyno_Data[Match],TBA_Matches_All[[#This Row],[Match_Number]],Dyno_Data[RecordType],"Activities", Dyno_Data[DelDest],"Trap")</f>
        <v>0</v>
      </c>
      <c r="BC110" s="60">
        <f>IFERROR((TBA_Matches_All[[#This Row],[AtrapT]]+TBA_Matches_All[[#This Row],[TtrapT]])/(TBA_Matches_All[[#This Row],[AtrapT]]+TBA_Matches_All[[#This Row],[TtrapT]]+TBA_Matches_All[[#This Row],[trapM]]),0)</f>
        <v>0</v>
      </c>
      <c r="BD110">
        <f>COUNTIFS(Dyno_Data[Team],TBA_Matches_All[[#This Row],[Team]],Dyno_Data[Match],TBA_Matches_All[[#This Row],[Match_Number]],Dyno_Data[RecordType],"Activities",Dyno_Data[DelDest],"Neut", Dyno_Data[DelMiss],1)</f>
        <v>0</v>
      </c>
      <c r="BE110" s="60">
        <f>IFERROR(SUM((TBA_Matches_All[[#This Row],[NeutFlrT]])/(TBA_Matches_All[[#This Row],[NeutFlrT]]+TBA_Matches_All[[#This Row],[NZflM]])),0)</f>
        <v>0</v>
      </c>
      <c r="BF110">
        <f>COUNTIFS(Dyno_Data[Team],TBA_Matches_All[[#This Row],[Team]],Dyno_Data[Match],TBA_Matches_All[[#This Row],[Match_Number]],Dyno_Data[RecordType],"Activities",Dyno_Data[DelDest],"AllyW", Dyno_Data[DelMiss],1)</f>
        <v>0</v>
      </c>
      <c r="BG110" s="60">
        <f>IFERROR(SUM((TBA_Matches_All[[#This Row],[AllyWFlrT]])/(TBA_Matches_All[[#This Row],[AllyWFlrT]]+TBA_Matches_All[[#This Row],[AZflM]])),0)</f>
        <v>0</v>
      </c>
      <c r="BH110">
        <f>COUNTIFS(Dyno_Data[Team],TBA_Matches_All[[#This Row],[Team]],Dyno_Data[Match],TBA_Matches_All[[#This Row],[Match_Number]],Dyno_Data[RecordType],"Activities",Dyno_Data[DelOrig],"OppW", Dyno_Data[DelMiss],"0")</f>
        <v>0</v>
      </c>
      <c r="BI110">
        <f>COUNTIFS(Dyno_Data[Team],TBA_Matches_All[[#This Row],[Team]],Dyno_Data[Match],TBA_Matches_All[[#This Row],[Match_Number]],Dyno_Data[RecordType],"Activities",Dyno_Data[DelOrig],"OppW", Dyno_Data[DelMiss],"1")</f>
        <v>0</v>
      </c>
      <c r="BJ110" s="60">
        <f>IFERROR(SUM((TBA_Matches_All[[#This Row],[OZflrT]])/(TBA_Matches_All[[#This Row],[OZflrT]]+TBA_Matches_All[[#This Row],[OZflrM]])),0)</f>
        <v>0</v>
      </c>
      <c r="BK110">
        <f>COUNTIFS(Dyno_Data[Team],TBA_Matches_All[[#This Row],[Team]],Dyno_Data[Match],TBA_Matches_All[[#This Row],[Match_Number]],Dyno_Data[RecordType],"Activities",Dyno_Data[DelOrig],"Neut", Dyno_Data[DelMiss],"0")</f>
        <v>0</v>
      </c>
      <c r="BL110">
        <f>COUNTIFS(Dyno_Data[Team],TBA_Matches_All[[#This Row],[Team]],Dyno_Data[Match],TBA_Matches_All[[#This Row],[Match_Number]],Dyno_Data[RecordType],"Activities",Dyno_Data[DelOrig],"Neut", Dyno_Data[DelMiss],"1")</f>
        <v>0</v>
      </c>
      <c r="BM110" s="60">
        <f>IFERROR(SUM((TBA_Matches_All[[#This Row],[NZflrT]])/(TBA_Matches_All[[#This Row],[NZflrT]]+TBA_Matches_All[[#This Row],[NZflrM]])),0)</f>
        <v>0</v>
      </c>
      <c r="BN110">
        <f>COUNTIFS(Dyno_Data[Team],TBA_Matches_All[[#This Row],[Team]],Dyno_Data[Match],TBA_Matches_All[[#This Row],[Match_Number]],Dyno_Data[RecordType],"Activities",Dyno_Data[DelOrig],"AllyW", Dyno_Data[DelMiss],"0")</f>
        <v>12</v>
      </c>
      <c r="BO110">
        <f>COUNTIFS(Dyno_Data[Team],TBA_Matches_All[[#This Row],[Team]],Dyno_Data[Match],TBA_Matches_All[[#This Row],[Match_Number]],Dyno_Data[RecordType],"Activities",Dyno_Data[DelOrig],"AllyW", Dyno_Data[DelMiss],"1")</f>
        <v>0</v>
      </c>
      <c r="BP110" s="60">
        <f>IFERROR(SUM((TBA_Matches_All[[#This Row],[AZflrT]])/(TBA_Matches_All[[#This Row],[AZflrT]]+TBA_Matches_All[[#This Row],[AZflrM]])),0)</f>
        <v>1</v>
      </c>
      <c r="BQ110">
        <f>COUNTIFS(Dyno_Data[Team],TBA_Matches_All[[#This Row],[Team]],Dyno_Data[Match],TBA_Matches_All[[#This Row],[Match_Number]],Dyno_Data[RecordType],"Activities",Dyno_Data[DelOrig],"SubW", Dyno_Data[DelMiss],"0")</f>
        <v>0</v>
      </c>
      <c r="BR110">
        <f>COUNTIFS(Dyno_Data[Team],TBA_Matches_All[[#This Row],[Team]],Dyno_Data[Match],TBA_Matches_All[[#This Row],[Match_Number]],Dyno_Data[RecordType],"Activities",Dyno_Data[DelOrig],"SubW", Dyno_Data[DelMiss],"1")</f>
        <v>0</v>
      </c>
      <c r="BS110" s="60">
        <f>IFERROR(SUM((TBA_Matches_All[[#This Row],[SubwT]])/(TBA_Matches_All[[#This Row],[SubwT]]+TBA_Matches_All[[#This Row],[SubwM]])),0)</f>
        <v>0</v>
      </c>
      <c r="BT110">
        <f>COUNTIFS(Dyno_Data[Team],TBA_Matches_All[[#This Row],[Team]],Dyno_Data[Match],TBA_Matches_All[[#This Row],[Match_Number]],Dyno_Data[RecordType],"Activities", Dyno_Data[AcqLoc],"OppWing")</f>
        <v>0</v>
      </c>
      <c r="BU110">
        <f>COUNTIFS(Dyno_Data[Team],TBA_Matches_All[[#This Row],[Team]],Dyno_Data[Match],TBA_Matches_All[[#This Row],[Match_Number]],Dyno_Data[RecordType],"Activities", Dyno_Data[AcqLoc],"Neutral")</f>
        <v>0</v>
      </c>
      <c r="BV110">
        <f>COUNTIFS(Dyno_Data[Team],TBA_Matches_All[[#This Row],[Team]],Dyno_Data[Match],TBA_Matches_All[[#This Row],[Match_Number]],Dyno_Data[RecordType],"Activities", Dyno_Data[AcqLoc],"AllyWing")</f>
        <v>0</v>
      </c>
      <c r="BW110">
        <f>COUNTIFS(Dyno_Data[Team],TBA_Matches_All[[#This Row],[Team]],Dyno_Data[Match],TBA_Matches_All[[#This Row],[Match_Number]],Dyno_Data[RecordType],"Activities", Dyno_Data[AcqLoc],"Source")</f>
        <v>0</v>
      </c>
      <c r="BX110">
        <f>SUMIFS(Dyno_Data[AcqDrp], Dyno_Data[Team],TBA_Matches_All[[#This Row],[Team]],Dyno_Data[Match],TBA_Matches_All[[#This Row],[Match_Number]],Dyno_Data[RecordType],"Activities", Dyno_Data[AcqLoc],"Source")</f>
        <v>0</v>
      </c>
      <c r="BY110">
        <f>SUMIFS(Dyno_Data[OZTime], Dyno_Data[Team],TBA_Matches_All[[#This Row],[Team]],Dyno_Data[Match],TBA_Matches_All[[#This Row],[Match_Number]],Dyno_Data[RecordType],"EndMatch")</f>
        <v>28.862688799999997</v>
      </c>
      <c r="BZ110">
        <f>SUMIFS(Dyno_Data[NZTime], Dyno_Data[Team],TBA_Matches_All[[#This Row],[Team]],Dyno_Data[Match],TBA_Matches_All[[#This Row],[Match_Number]],Dyno_Data[RecordType],"EndMatch")</f>
        <v>20.958608599999998</v>
      </c>
      <c r="CA110">
        <f>SUMIFS(Dyno_Data[AZTime], Dyno_Data[Team],TBA_Matches_All[[#This Row],[Team]],Dyno_Data[Match],TBA_Matches_All[[#This Row],[Match_Number]],Dyno_Data[RecordType],"EndMatch")</f>
        <v>83.107420399999995</v>
      </c>
      <c r="CB110">
        <f>SUMIFS(Dyno_Data[ClimbT], Dyno_Data[Team],TBA_Matches_All[[#This Row],[Team]],Dyno_Data[Match],TBA_Matches_All[[#This Row],[Match_Number]],Dyno_Data[RecordType],"EndMatch")</f>
        <v>2.7449502999999997</v>
      </c>
      <c r="CC110" t="str">
        <f>_xlfn.XLOOKUP(SUM(MID(TBA_Matches_All[[#This Row],[Team]],4,5),(TBA_Matches_All[[#This Row],[Match_Number]]/100)),Dyno_EndMatch[teammat],Dyno_EndMatch[StageStat],"_",0,1)</f>
        <v>Park</v>
      </c>
      <c r="CD110" t="str">
        <f>_xlfn.XLOOKUP(TBA_Matches_All[[#This Row],[teammat]],Dyno_EndMatch[teammat],Dyno_EndMatch[StageAtt],"_",0,1)</f>
        <v>-1</v>
      </c>
      <c r="CE110" t="str">
        <f>_xlfn.XLOOKUP(TBA_Matches_All[[#This Row],[teammat]],Dyno_EndMatch[teammat],Dyno_EndMatch[StageLoc],"_",0,1)</f>
        <v>A</v>
      </c>
      <c r="CF110">
        <f>SUMIFS(Dyno_Data[Harmony], Dyno_Data[Team],TBA_Matches_All[[#This Row],[Team]],Dyno_Data[Match],TBA_Matches_All[[#This Row],[Match_Number]],Dyno_Data[RecordType],"EndMatch", Dyno_Data[StageStat],"On",Dyno_Data[Harmony],"&lt;&gt;9")</f>
        <v>0</v>
      </c>
      <c r="CG110">
        <f>SUMIFS(Dyno_Data[Spotlit], Dyno_Data[Team],TBA_Matches_All[[#This Row],[Team]],Dyno_Data[Match],TBA_Matches_All[[#This Row],[Match_Number]],Dyno_Data[RecordType],"EndMatch", Dyno_Data[StageStat],"On",Dyno_Data[Spotlit],"&lt;&gt;9")</f>
        <v>0</v>
      </c>
      <c r="CH110" t="str">
        <f>_xlfn.XLOOKUP(TBA_Matches_All[[#This Row],[teammat]],Dyno_EndMatch[teammat],Dyno_EndMatch[Strategy],"_",0,1)</f>
        <v>Shooter</v>
      </c>
      <c r="CI110">
        <f>SUMIFS(Dyno_Data[Defense], Dyno_Data[Team],TBA_Matches_All[[#This Row],[Team]],Dyno_Data[Match],TBA_Matches_All[[#This Row],[Match_Number]],Dyno_Data[RecordType],"EndMatch",Dyno_Data[Defense],"&lt;&gt;9")</f>
        <v>0</v>
      </c>
      <c r="CJ110">
        <f>SUMIFS(Dyno_Data[Avoidance], Dyno_Data[Team],TBA_Matches_All[[#This Row],[Team]],Dyno_Data[Match],TBA_Matches_All[[#This Row],[Match_Number]],Dyno_Data[RecordType],"EndMatch",Dyno_Data[Avoidance],"&lt;&gt;9")</f>
        <v>0</v>
      </c>
      <c r="CK110" s="82">
        <f>COUNTIF($H$2:TBA_Matches_All[[#This Row],[Team]],TBA_Matches_All[[#This Row],[Team]])</f>
        <v>3</v>
      </c>
      <c r="CL110" s="111">
        <f>SUM(MID(TBA_Matches_All[[#This Row],[Team]],4,5)+TBA_Matches_All[[#This Row],[Match_Number]]/100)</f>
        <v>6621.18</v>
      </c>
      <c r="CM110">
        <f>SUM((TBA_Matches_All[[#This Row],[Leave]]*2)+(TBA_Matches_All[[#This Row],[AampT]]*2)+(TBA_Matches_All[[#This Row],[AspkrT]]*5)+(TBA_Matches_All[[#This Row],[AtrapT]]*5))</f>
        <v>7</v>
      </c>
      <c r="CN110" s="59">
        <f>IFERROR(SUM(TBA_Matches_All[[#This Row],[AptsT]]/TBA_Matches_All[[#This Row],[AutoPts]]),0)</f>
        <v>0.5</v>
      </c>
      <c r="CO110" s="59">
        <f>IFERROR(SUM(TBA_Matches_All[[#This Row],[AampT]]+TBA_Matches_All[[#This Row],[AspkrT]]+TBA_Matches_All[[#This Row],[AtrapT]]/TBA_Matches_All[[#This Row],[Aamp]]+TBA_Matches_All[[#This Row],[Aspkr]]+TBA_Matches_All[[#This Row],[AtrapT]]),0)</f>
        <v>0</v>
      </c>
      <c r="CP110" s="59">
        <f>IFERROR(SUM(TBA_Matches_All[[#This Row],[TampT]]/TBA_Matches_All[[#This Row],[Tamp]]),0)</f>
        <v>0</v>
      </c>
      <c r="CQ110" s="59">
        <f>IFERROR(SUM(TBA_Matches_All[[#This Row],[TspkrT]]/TBA_Matches_All[[#This Row],[Tspkr]]),0)</f>
        <v>0.84615384615384615</v>
      </c>
      <c r="CR110">
        <f>SUM(TBA_Matches_All[[#This Row],[TspkrPts]]*TBA_Matches_All[[#This Row],[TspkrP]])</f>
        <v>27.076923076923077</v>
      </c>
      <c r="CS110" s="59">
        <f>IFERROR(SUM(TBA_Matches_All[[#This Row],[TtrapT]]/TBA_Matches_All[[#This Row],[Trap]]),0)</f>
        <v>0</v>
      </c>
      <c r="CT110" s="59">
        <f>IFERROR(SUM(TBA_Matches_All[[#This Row],[TotNotesT]]/TBA_Matches_All[[#This Row],[TotNotes]]),0)</f>
        <v>0.66666666666666663</v>
      </c>
      <c r="CU110" s="66">
        <f>SUM((TBA_Matches_All[[#This Row],[AampT]]*2)+(TBA_Matches_All[[#This Row],[AspkrT]]*5)+(TBA_Matches_All[[#This Row],[AtrapT]]*5)+(TBA_Matches_All[[#This Row],[TampT]]*1)+(TBA_Matches_All[[#This Row],[TspkrptsC]]))</f>
        <v>32.07692307692308</v>
      </c>
      <c r="CV110" s="59">
        <f>IFERROR(TBA_Matches_All[[#This Row],[noteptsT]]/TBA_Matches_All[[#This Row],[NotePts]],0)</f>
        <v>0.71282051282051284</v>
      </c>
      <c r="CW110">
        <f>SUM(IF(TBA_Matches_All[[#This Row],[stageStat]]="On",3,0),IF(TBA_Matches_All[[#This Row],[stageStat]]="Park",1,0),SUMIFS(TBA_Matches_All[[#This Row],[Spotlit]],TBA_Matches_All[[#This Row],[stageStat]],"On"),SUMIFS(TBA_Matches_All[[#This Row],[Harmony]],TBA_Matches_All[[#This Row],[stageStat]],"On"))</f>
        <v>1</v>
      </c>
      <c r="CX110" s="59">
        <f>IFERROR(TBA_Matches_All[[#This Row],[stageptsT]]/TBA_Matches_All[[#This Row],[StagePts]],0)</f>
        <v>0.33333333333333331</v>
      </c>
      <c r="CY110">
        <f>SUM((TBA_Matches_All[[#This Row],[AptsT]]+TBA_Matches_All[[#This Row],[TampT]]+TBA_Matches_All[[#This Row],[TspkrptsC]]+(TBA_Matches_All[[#This Row],[TtrapT]]*5)+TBA_Matches_All[[#This Row],[stageptsT]]))</f>
        <v>35.07692307692308</v>
      </c>
      <c r="CZ110" s="59">
        <f>IFERROR(SUM(TBA_Matches_All[[#This Row],[TotptsC]]/TBA_Matches_All[[#This Row],[Score]]),0)</f>
        <v>0.38127090301003347</v>
      </c>
      <c r="DA11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5.8000000000000007</v>
      </c>
      <c r="DB110" s="74">
        <f>SUMIFS(TBA_Matches_All[AveTeamTNoteDels],TBA_Matches_All[Match_Number],TBA_Matches_All[[#This Row],[Match_Number]],TBA_Matches_All[Alliance],"&lt;&gt;"&amp;TBA_Matches_All[[#This Row],[Alliance]],TBA_Matches_All[Scouted],"&gt;0")</f>
        <v>20.560822510822511</v>
      </c>
      <c r="DC110" s="74">
        <f>(TBA_Matches_All[[#This Row],[TampT]]+TBA_Matches_All[[#This Row],[TspkrptsC]])-TBA_Matches_All[[#This Row],[AveTeamTNoteDels]]</f>
        <v>21.276923076923076</v>
      </c>
      <c r="DD110" s="74">
        <f>SUMIFS(TBA_Matches_All[AveTeamTNoteDels],TBA_Matches_All[Match_Number],TBA_Matches_All[[#This Row],[Match_Number]],TBA_Matches_All[Alliance],"&lt;&gt;"&amp;TBA_Matches_All[[#This Row],[Alliance]])-TBA_Matches_All[[#This Row],[AveOppTNoteDels]]</f>
        <v>0</v>
      </c>
    </row>
    <row r="111" spans="1:108" x14ac:dyDescent="0.3">
      <c r="A111" t="s">
        <v>1042</v>
      </c>
      <c r="B111" t="s">
        <v>489</v>
      </c>
      <c r="C111" t="s">
        <v>1328</v>
      </c>
      <c r="D111">
        <v>19</v>
      </c>
      <c r="E111" t="s">
        <v>1420</v>
      </c>
      <c r="F111" t="s">
        <v>1423</v>
      </c>
      <c r="G111" t="s">
        <v>1409</v>
      </c>
      <c r="H111" t="s">
        <v>1298</v>
      </c>
      <c r="I111" t="b">
        <v>1</v>
      </c>
      <c r="J111">
        <v>31</v>
      </c>
      <c r="K111">
        <v>0</v>
      </c>
      <c r="L111">
        <v>0</v>
      </c>
      <c r="M111">
        <v>5</v>
      </c>
      <c r="N111">
        <v>0</v>
      </c>
      <c r="O111">
        <v>3</v>
      </c>
      <c r="P111">
        <v>15</v>
      </c>
      <c r="Q111">
        <v>17</v>
      </c>
      <c r="R111">
        <v>1</v>
      </c>
      <c r="S111">
        <v>0</v>
      </c>
      <c r="T111">
        <v>4</v>
      </c>
      <c r="U111">
        <v>0</v>
      </c>
      <c r="V111">
        <v>8</v>
      </c>
      <c r="W111">
        <v>4</v>
      </c>
      <c r="X111">
        <v>8</v>
      </c>
      <c r="Y111">
        <v>9</v>
      </c>
      <c r="Z111">
        <v>0</v>
      </c>
      <c r="AA111">
        <v>0</v>
      </c>
      <c r="AB111">
        <v>8</v>
      </c>
      <c r="AC111">
        <v>24</v>
      </c>
      <c r="AD111">
        <v>5</v>
      </c>
      <c r="AE111">
        <f>IFERROR(6/(COUNTIF(Dyno_EndMatch[Match],TBA_Matches_All[[#This Row],[Match_Number]])),0)</f>
        <v>1</v>
      </c>
      <c r="AF111">
        <f>COUNTIFS(Dyno_Data[Team],TBA_Matches_All[[#This Row],[Team]],Dyno_Data[Match],TBA_Matches_All[[#This Row],[Match_Number]],Dyno_Data[RecordType],"EndMatch",Dyno_Data[HPAmp],"Y")</f>
        <v>1</v>
      </c>
      <c r="AG111">
        <f>SUMIFS(Dyno_Data[Mics], Dyno_Data[Team],TBA_Matches_All[[#This Row],[Team]],Dyno_Data[Match],TBA_Matches_All[[#This Row],[Match_Number]],Dyno_Data[RecordType],"EndMatch",Dyno_Data[HPAmp],"Y")</f>
        <v>0</v>
      </c>
      <c r="AH111">
        <f>SUMIFS(Dyno_Data[Leave], Dyno_Data[Team],TBA_Matches_All[[#This Row],[Team]],Dyno_Data[Match],TBA_Matches_All[[#This Row],[Match_Number]],Dyno_Data[RecordType],"EndAuto")</f>
        <v>0</v>
      </c>
      <c r="AI111">
        <f>COUNTIFS(Dyno_Data[Team],TBA_Matches_All[[#This Row],[Team]],Dyno_Data[Match],TBA_Matches_All[[#This Row],[Match_Number]],Dyno_Data[RecordType],"Activities",Dyno_Data[DelDest],"Amp", Dyno_Data[DelMiss],"0", Dyno_Data[Mode],"Auto")</f>
        <v>0</v>
      </c>
      <c r="AJ111">
        <f>COUNTIFS(Dyno_Data[Team],TBA_Matches_All[[#This Row],[Team]],Dyno_Data[Match],TBA_Matches_All[[#This Row],[Match_Number]],Dyno_Data[RecordType],"Activities",Dyno_Data[DelDest],"Spkr", Dyno_Data[DelMiss],"0", Dyno_Data[Mode],"Auto")</f>
        <v>2</v>
      </c>
      <c r="AK111">
        <f>COUNTIFS(Dyno_Data[Team],TBA_Matches_All[[#This Row],[Team]],Dyno_Data[Match],TBA_Matches_All[[#This Row],[Match_Number]],Dyno_Data[RecordType],"Activities",Dyno_Data[DelDest],"Trap", Dyno_Data[DelMiss],"0", Dyno_Data[Mode],"Auto")</f>
        <v>0</v>
      </c>
      <c r="AL111">
        <f>COUNTIFS(Dyno_Data[Team],TBA_Matches_All[[#This Row],[Team]],Dyno_Data[Match],TBA_Matches_All[[#This Row],[Match_Number]],Dyno_Data[RecordType],"Activities",Dyno_Data[DelDest],"Amp", Dyno_Data[DelMiss],"0", Dyno_Data[Mode],"Teleop")</f>
        <v>0</v>
      </c>
      <c r="AM111">
        <f>COUNTIFS(Dyno_Data[Team],TBA_Matches_All[[#This Row],[Team]],Dyno_Data[Match],TBA_Matches_All[[#This Row],[Match_Number]],Dyno_Data[RecordType],"Activities",Dyno_Data[DelDest],"Spkr", Dyno_Data[DelMiss],"0", Dyno_Data[Mode],"Teleop")</f>
        <v>5</v>
      </c>
      <c r="AN111">
        <f>COUNTIFS(Dyno_Data[Team],TBA_Matches_All[[#This Row],[Team]],Dyno_Data[Match],TBA_Matches_All[[#This Row],[Match_Number]],Dyno_Data[RecordType],"Activities",Dyno_Data[DelDest],"Trap", Dyno_Data[DelMiss],"0", Dyno_Data[Mode],"&lt;&gt;Auto")</f>
        <v>0</v>
      </c>
      <c r="AO111">
        <f>SUM(TBA_Matches_All[[#This Row],[AampT]]+TBA_Matches_All[[#This Row],[AspkrT]]+TBA_Matches_All[[#This Row],[AtrapT]]+TBA_Matches_All[[#This Row],[TampT]]+TBA_Matches_All[[#This Row],[TspkrT]]+TBA_Matches_All[[#This Row],[TtrapT]])</f>
        <v>7</v>
      </c>
      <c r="AP111">
        <f>COUNTIFS(Dyno_Data[Team],TBA_Matches_All[[#This Row],[Team]],Dyno_Data[Match],TBA_Matches_All[[#This Row],[Match_Number]],Dyno_Data[RecordType],"Activities",Dyno_Data[DelDest],"Neut", Dyno_Data[DelMiss],"0")</f>
        <v>0</v>
      </c>
      <c r="AQ111">
        <f>COUNTIFS(Dyno_Data[Team],TBA_Matches_All[[#This Row],[Team]],Dyno_Data[Match],TBA_Matches_All[[#This Row],[Match_Number]],Dyno_Data[RecordType],"Activities",Dyno_Data[DelDest],"AllyW", Dyno_Data[DelMiss],"0")</f>
        <v>0</v>
      </c>
      <c r="AR111" t="str">
        <f>_xlfn.XLOOKUP(SUM(MID(TBA_Matches_All[[#This Row],[Team]],4,5),(TBA_Matches_All[[#This Row],[Match_Number]]/100)),Dyno_EndMatch[teammat],Dyno_EndMatch[RobotSta],"_",0,1)</f>
        <v>SubW</v>
      </c>
      <c r="AS111">
        <f>SUMIFS(Dyno_Data[AcqDis], Dyno_Data[Team],TBA_Matches_All[[#This Row],[Team]],Dyno_Data[Match],TBA_Matches_All[[#This Row],[Match_Number]],Dyno_Data[RecordType],"Activities", Dyno_Data[AcqCenter],1,Dyno_Data[Mode],"Auto")</f>
        <v>0</v>
      </c>
      <c r="AT111">
        <f>SUMIFS(Dyno_Data[AcqDis], Dyno_Data[Team],TBA_Matches_All[[#This Row],[Team]],Dyno_Data[Match],TBA_Matches_All[[#This Row],[Match_Number]],Dyno_Data[RecordType],"Activities", Dyno_Data[AcqCenter],2,Dyno_Data[Mode],"Auto")</f>
        <v>0</v>
      </c>
      <c r="AU111">
        <f>SUMIFS(Dyno_Data[AcqDis], Dyno_Data[Team],TBA_Matches_All[[#This Row],[Team]],Dyno_Data[Match],TBA_Matches_All[[#This Row],[Match_Number]],Dyno_Data[RecordType],"Activities", Dyno_Data[AcqCenter],3,Dyno_Data[Mode],"Auto")</f>
        <v>0</v>
      </c>
      <c r="AV111">
        <f>SUMIFS(Dyno_Data[AcqDis], Dyno_Data[Team],TBA_Matches_All[[#This Row],[Team]],Dyno_Data[Match],TBA_Matches_All[[#This Row],[Match_Number]],Dyno_Data[RecordType],"Activities", Dyno_Data[AcqCenter],4,Dyno_Data[Mode],"Auto")</f>
        <v>0</v>
      </c>
      <c r="AW111">
        <f>SUMIFS(Dyno_Data[AcqDis], Dyno_Data[Team],TBA_Matches_All[[#This Row],[Team]],Dyno_Data[Match],TBA_Matches_All[[#This Row],[Match_Number]],Dyno_Data[RecordType],"Activities", Dyno_Data[AcqCenter],5,Dyno_Data[Mode],"Auto")</f>
        <v>0</v>
      </c>
      <c r="AX111">
        <f>SUMIFS(Dyno_Data[DelMiss], Dyno_Data[Team],TBA_Matches_All[[#This Row],[Team]],Dyno_Data[Match],TBA_Matches_All[[#This Row],[Match_Number]],Dyno_Data[RecordType],"Activities", Dyno_Data[DelDest],"Amp")</f>
        <v>0</v>
      </c>
      <c r="AY111" s="60">
        <f>IFERROR(SUM((TBA_Matches_All[[#This Row],[AampT]]+TBA_Matches_All[[#This Row],[TampT]])/(TBA_Matches_All[[#This Row],[AampT]]+TBA_Matches_All[[#This Row],[TampT]]+TBA_Matches_All[[#This Row],[ampM]])),0)</f>
        <v>0</v>
      </c>
      <c r="AZ111">
        <f>SUMIFS(Dyno_Data[DelMiss], Dyno_Data[Team],TBA_Matches_All[[#This Row],[Team]],Dyno_Data[Match],TBA_Matches_All[[#This Row],[Match_Number]],Dyno_Data[RecordType],"Activities", Dyno_Data[DelDest],"Spkr")</f>
        <v>0</v>
      </c>
      <c r="BA111" s="60">
        <f>IFERROR(SUM((TBA_Matches_All[[#This Row],[AspkrT]]+TBA_Matches_All[[#This Row],[TspkrT]])/(TBA_Matches_All[[#This Row],[AspkrT]]+TBA_Matches_All[[#This Row],[TspkrT]]+TBA_Matches_All[[#This Row],[spkrM]])),0)</f>
        <v>1</v>
      </c>
      <c r="BB111">
        <f>SUMIFS(Dyno_Data[DelMiss], Dyno_Data[Team],TBA_Matches_All[[#This Row],[Team]],Dyno_Data[Match],TBA_Matches_All[[#This Row],[Match_Number]],Dyno_Data[RecordType],"Activities", Dyno_Data[DelDest],"Trap")</f>
        <v>0</v>
      </c>
      <c r="BC111" s="60">
        <f>IFERROR((TBA_Matches_All[[#This Row],[AtrapT]]+TBA_Matches_All[[#This Row],[TtrapT]])/(TBA_Matches_All[[#This Row],[AtrapT]]+TBA_Matches_All[[#This Row],[TtrapT]]+TBA_Matches_All[[#This Row],[trapM]]),0)</f>
        <v>0</v>
      </c>
      <c r="BD111">
        <f>COUNTIFS(Dyno_Data[Team],TBA_Matches_All[[#This Row],[Team]],Dyno_Data[Match],TBA_Matches_All[[#This Row],[Match_Number]],Dyno_Data[RecordType],"Activities",Dyno_Data[DelDest],"Neut", Dyno_Data[DelMiss],1)</f>
        <v>0</v>
      </c>
      <c r="BE111" s="60">
        <f>IFERROR(SUM((TBA_Matches_All[[#This Row],[NeutFlrT]])/(TBA_Matches_All[[#This Row],[NeutFlrT]]+TBA_Matches_All[[#This Row],[NZflM]])),0)</f>
        <v>0</v>
      </c>
      <c r="BF111">
        <f>COUNTIFS(Dyno_Data[Team],TBA_Matches_All[[#This Row],[Team]],Dyno_Data[Match],TBA_Matches_All[[#This Row],[Match_Number]],Dyno_Data[RecordType],"Activities",Dyno_Data[DelDest],"AllyW", Dyno_Data[DelMiss],1)</f>
        <v>0</v>
      </c>
      <c r="BG111" s="60">
        <f>IFERROR(SUM((TBA_Matches_All[[#This Row],[AllyWFlrT]])/(TBA_Matches_All[[#This Row],[AllyWFlrT]]+TBA_Matches_All[[#This Row],[AZflM]])),0)</f>
        <v>0</v>
      </c>
      <c r="BH111">
        <f>COUNTIFS(Dyno_Data[Team],TBA_Matches_All[[#This Row],[Team]],Dyno_Data[Match],TBA_Matches_All[[#This Row],[Match_Number]],Dyno_Data[RecordType],"Activities",Dyno_Data[DelOrig],"OppW", Dyno_Data[DelMiss],"0")</f>
        <v>3</v>
      </c>
      <c r="BI111">
        <f>COUNTIFS(Dyno_Data[Team],TBA_Matches_All[[#This Row],[Team]],Dyno_Data[Match],TBA_Matches_All[[#This Row],[Match_Number]],Dyno_Data[RecordType],"Activities",Dyno_Data[DelOrig],"OppW", Dyno_Data[DelMiss],"1")</f>
        <v>0</v>
      </c>
      <c r="BJ111" s="60">
        <f>IFERROR(SUM((TBA_Matches_All[[#This Row],[OZflrT]])/(TBA_Matches_All[[#This Row],[OZflrT]]+TBA_Matches_All[[#This Row],[OZflrM]])),0)</f>
        <v>1</v>
      </c>
      <c r="BK111">
        <f>COUNTIFS(Dyno_Data[Team],TBA_Matches_All[[#This Row],[Team]],Dyno_Data[Match],TBA_Matches_All[[#This Row],[Match_Number]],Dyno_Data[RecordType],"Activities",Dyno_Data[DelOrig],"Neut", Dyno_Data[DelMiss],"0")</f>
        <v>1</v>
      </c>
      <c r="BL111">
        <f>COUNTIFS(Dyno_Data[Team],TBA_Matches_All[[#This Row],[Team]],Dyno_Data[Match],TBA_Matches_All[[#This Row],[Match_Number]],Dyno_Data[RecordType],"Activities",Dyno_Data[DelOrig],"Neut", Dyno_Data[DelMiss],"1")</f>
        <v>0</v>
      </c>
      <c r="BM111" s="60">
        <f>IFERROR(SUM((TBA_Matches_All[[#This Row],[NZflrT]])/(TBA_Matches_All[[#This Row],[NZflrT]]+TBA_Matches_All[[#This Row],[NZflrM]])),0)</f>
        <v>1</v>
      </c>
      <c r="BN111">
        <f>COUNTIFS(Dyno_Data[Team],TBA_Matches_All[[#This Row],[Team]],Dyno_Data[Match],TBA_Matches_All[[#This Row],[Match_Number]],Dyno_Data[RecordType],"Activities",Dyno_Data[DelOrig],"AllyW", Dyno_Data[DelMiss],"0")</f>
        <v>0</v>
      </c>
      <c r="BO111">
        <f>COUNTIFS(Dyno_Data[Team],TBA_Matches_All[[#This Row],[Team]],Dyno_Data[Match],TBA_Matches_All[[#This Row],[Match_Number]],Dyno_Data[RecordType],"Activities",Dyno_Data[DelOrig],"AllyW", Dyno_Data[DelMiss],"1")</f>
        <v>0</v>
      </c>
      <c r="BP111" s="60">
        <f>IFERROR(SUM((TBA_Matches_All[[#This Row],[AZflrT]])/(TBA_Matches_All[[#This Row],[AZflrT]]+TBA_Matches_All[[#This Row],[AZflrM]])),0)</f>
        <v>0</v>
      </c>
      <c r="BQ111">
        <f>COUNTIFS(Dyno_Data[Team],TBA_Matches_All[[#This Row],[Team]],Dyno_Data[Match],TBA_Matches_All[[#This Row],[Match_Number]],Dyno_Data[RecordType],"Activities",Dyno_Data[DelOrig],"SubW", Dyno_Data[DelMiss],"0")</f>
        <v>3</v>
      </c>
      <c r="BR111">
        <f>COUNTIFS(Dyno_Data[Team],TBA_Matches_All[[#This Row],[Team]],Dyno_Data[Match],TBA_Matches_All[[#This Row],[Match_Number]],Dyno_Data[RecordType],"Activities",Dyno_Data[DelOrig],"SubW", Dyno_Data[DelMiss],"1")</f>
        <v>0</v>
      </c>
      <c r="BS111" s="60">
        <f>IFERROR(SUM((TBA_Matches_All[[#This Row],[SubwT]])/(TBA_Matches_All[[#This Row],[SubwT]]+TBA_Matches_All[[#This Row],[SubwM]])),0)</f>
        <v>1</v>
      </c>
      <c r="BT111">
        <f>COUNTIFS(Dyno_Data[Team],TBA_Matches_All[[#This Row],[Team]],Dyno_Data[Match],TBA_Matches_All[[#This Row],[Match_Number]],Dyno_Data[RecordType],"Activities", Dyno_Data[AcqLoc],"OppWing")</f>
        <v>0</v>
      </c>
      <c r="BU111">
        <f>COUNTIFS(Dyno_Data[Team],TBA_Matches_All[[#This Row],[Team]],Dyno_Data[Match],TBA_Matches_All[[#This Row],[Match_Number]],Dyno_Data[RecordType],"Activities", Dyno_Data[AcqLoc],"Neutral")</f>
        <v>0</v>
      </c>
      <c r="BV111">
        <f>COUNTIFS(Dyno_Data[Team],TBA_Matches_All[[#This Row],[Team]],Dyno_Data[Match],TBA_Matches_All[[#This Row],[Match_Number]],Dyno_Data[RecordType],"Activities", Dyno_Data[AcqLoc],"AllyWing")</f>
        <v>0</v>
      </c>
      <c r="BW111">
        <f>COUNTIFS(Dyno_Data[Team],TBA_Matches_All[[#This Row],[Team]],Dyno_Data[Match],TBA_Matches_All[[#This Row],[Match_Number]],Dyno_Data[RecordType],"Activities", Dyno_Data[AcqLoc],"Source")</f>
        <v>0</v>
      </c>
      <c r="BX111">
        <f>SUMIFS(Dyno_Data[AcqDrp], Dyno_Data[Team],TBA_Matches_All[[#This Row],[Team]],Dyno_Data[Match],TBA_Matches_All[[#This Row],[Match_Number]],Dyno_Data[RecordType],"Activities", Dyno_Data[AcqLoc],"Source")</f>
        <v>0</v>
      </c>
      <c r="BY111">
        <f>SUMIFS(Dyno_Data[OZTime], Dyno_Data[Team],TBA_Matches_All[[#This Row],[Team]],Dyno_Data[Match],TBA_Matches_All[[#This Row],[Match_Number]],Dyno_Data[RecordType],"EndMatch")</f>
        <v>62.874082999999999</v>
      </c>
      <c r="BZ111">
        <f>SUMIFS(Dyno_Data[NZTime], Dyno_Data[Team],TBA_Matches_All[[#This Row],[Team]],Dyno_Data[Match],TBA_Matches_All[[#This Row],[Match_Number]],Dyno_Data[RecordType],"EndMatch")</f>
        <v>25.4790557</v>
      </c>
      <c r="CA111">
        <f>SUMIFS(Dyno_Data[AZTime], Dyno_Data[Team],TBA_Matches_All[[#This Row],[Team]],Dyno_Data[Match],TBA_Matches_All[[#This Row],[Match_Number]],Dyno_Data[RecordType],"EndMatch")</f>
        <v>51.365396599999997</v>
      </c>
      <c r="CB111">
        <f>SUMIFS(Dyno_Data[ClimbT], Dyno_Data[Team],TBA_Matches_All[[#This Row],[Team]],Dyno_Data[Match],TBA_Matches_All[[#This Row],[Match_Number]],Dyno_Data[RecordType],"EndMatch")</f>
        <v>0.24144739999999998</v>
      </c>
      <c r="CC111" t="str">
        <f>_xlfn.XLOOKUP(SUM(MID(TBA_Matches_All[[#This Row],[Team]],4,5),(TBA_Matches_All[[#This Row],[Match_Number]]/100)),Dyno_EndMatch[teammat],Dyno_EndMatch[StageStat],"_",0,1)</f>
        <v>Park</v>
      </c>
      <c r="CD111" t="str">
        <f>_xlfn.XLOOKUP(TBA_Matches_All[[#This Row],[teammat]],Dyno_EndMatch[teammat],Dyno_EndMatch[StageAtt],"_",0,1)</f>
        <v>-1</v>
      </c>
      <c r="CE111" t="str">
        <f>_xlfn.XLOOKUP(TBA_Matches_All[[#This Row],[teammat]],Dyno_EndMatch[teammat],Dyno_EndMatch[StageLoc],"_",0,1)</f>
        <v>A</v>
      </c>
      <c r="CF111">
        <f>SUMIFS(Dyno_Data[Harmony], Dyno_Data[Team],TBA_Matches_All[[#This Row],[Team]],Dyno_Data[Match],TBA_Matches_All[[#This Row],[Match_Number]],Dyno_Data[RecordType],"EndMatch", Dyno_Data[StageStat],"On",Dyno_Data[Harmony],"&lt;&gt;9")</f>
        <v>0</v>
      </c>
      <c r="CG111">
        <f>SUMIFS(Dyno_Data[Spotlit], Dyno_Data[Team],TBA_Matches_All[[#This Row],[Team]],Dyno_Data[Match],TBA_Matches_All[[#This Row],[Match_Number]],Dyno_Data[RecordType],"EndMatch", Dyno_Data[StageStat],"On",Dyno_Data[Spotlit],"&lt;&gt;9")</f>
        <v>0</v>
      </c>
      <c r="CH111" t="str">
        <f>_xlfn.XLOOKUP(TBA_Matches_All[[#This Row],[teammat]],Dyno_EndMatch[teammat],Dyno_EndMatch[Strategy],"_",0,1)</f>
        <v>Hybrid</v>
      </c>
      <c r="CI111">
        <f>SUMIFS(Dyno_Data[Defense], Dyno_Data[Team],TBA_Matches_All[[#This Row],[Team]],Dyno_Data[Match],TBA_Matches_All[[#This Row],[Match_Number]],Dyno_Data[RecordType],"EndMatch",Dyno_Data[Defense],"&lt;&gt;9")</f>
        <v>0</v>
      </c>
      <c r="CJ111">
        <f>SUMIFS(Dyno_Data[Avoidance], Dyno_Data[Team],TBA_Matches_All[[#This Row],[Team]],Dyno_Data[Match],TBA_Matches_All[[#This Row],[Match_Number]],Dyno_Data[RecordType],"EndMatch",Dyno_Data[Avoidance],"&lt;&gt;9")</f>
        <v>0</v>
      </c>
      <c r="CK111" s="82">
        <f>COUNTIF($H$2:TBA_Matches_All[[#This Row],[Team]],TBA_Matches_All[[#This Row],[Team]])</f>
        <v>3</v>
      </c>
      <c r="CL111" s="111">
        <f>SUM(MID(TBA_Matches_All[[#This Row],[Team]],4,5)+TBA_Matches_All[[#This Row],[Match_Number]]/100)</f>
        <v>9624.19</v>
      </c>
      <c r="CM111">
        <f>SUM((TBA_Matches_All[[#This Row],[Leave]]*2)+(TBA_Matches_All[[#This Row],[AampT]]*2)+(TBA_Matches_All[[#This Row],[AspkrT]]*5)+(TBA_Matches_All[[#This Row],[AtrapT]]*5))</f>
        <v>10</v>
      </c>
      <c r="CN111" s="59">
        <f>IFERROR(SUM(TBA_Matches_All[[#This Row],[AptsT]]/TBA_Matches_All[[#This Row],[AutoPts]]),0)</f>
        <v>0.58823529411764708</v>
      </c>
      <c r="CO111" s="59">
        <f>IFERROR(SUM(TBA_Matches_All[[#This Row],[AampT]]+TBA_Matches_All[[#This Row],[AspkrT]]+TBA_Matches_All[[#This Row],[AtrapT]]/TBA_Matches_All[[#This Row],[Aamp]]+TBA_Matches_All[[#This Row],[Aspkr]]+TBA_Matches_All[[#This Row],[AtrapT]]),0)</f>
        <v>0</v>
      </c>
      <c r="CP111" s="59">
        <f>IFERROR(SUM(TBA_Matches_All[[#This Row],[TampT]]/TBA_Matches_All[[#This Row],[Tamp]]),0)</f>
        <v>0</v>
      </c>
      <c r="CQ111" s="59">
        <f>IFERROR(SUM(TBA_Matches_All[[#This Row],[TspkrT]]/TBA_Matches_All[[#This Row],[Tspkr]]),0)</f>
        <v>1.25</v>
      </c>
      <c r="CR111">
        <f>SUM(TBA_Matches_All[[#This Row],[TspkrPts]]*TBA_Matches_All[[#This Row],[TspkrP]])</f>
        <v>10</v>
      </c>
      <c r="CS111" s="59">
        <f>IFERROR(SUM(TBA_Matches_All[[#This Row],[TtrapT]]/TBA_Matches_All[[#This Row],[Trap]]),0)</f>
        <v>0</v>
      </c>
      <c r="CT111" s="59">
        <f>IFERROR(SUM(TBA_Matches_All[[#This Row],[TotNotesT]]/TBA_Matches_All[[#This Row],[TotNotes]]),0)</f>
        <v>0.875</v>
      </c>
      <c r="CU111" s="66">
        <f>SUM((TBA_Matches_All[[#This Row],[AampT]]*2)+(TBA_Matches_All[[#This Row],[AspkrT]]*5)+(TBA_Matches_All[[#This Row],[AtrapT]]*5)+(TBA_Matches_All[[#This Row],[TampT]]*1)+(TBA_Matches_All[[#This Row],[TspkrptsC]]))</f>
        <v>20</v>
      </c>
      <c r="CV111" s="59">
        <f>IFERROR(TBA_Matches_All[[#This Row],[noteptsT]]/TBA_Matches_All[[#This Row],[NotePts]],0)</f>
        <v>0.83333333333333337</v>
      </c>
      <c r="CW111">
        <f>SUM(IF(TBA_Matches_All[[#This Row],[stageStat]]="On",3,0),IF(TBA_Matches_All[[#This Row],[stageStat]]="Park",1,0),SUMIFS(TBA_Matches_All[[#This Row],[Spotlit]],TBA_Matches_All[[#This Row],[stageStat]],"On"),SUMIFS(TBA_Matches_All[[#This Row],[Harmony]],TBA_Matches_All[[#This Row],[stageStat]],"On"))</f>
        <v>1</v>
      </c>
      <c r="CX111" s="59">
        <f>IFERROR(TBA_Matches_All[[#This Row],[stageptsT]]/TBA_Matches_All[[#This Row],[StagePts]],0)</f>
        <v>0.2</v>
      </c>
      <c r="CY111">
        <f>SUM((TBA_Matches_All[[#This Row],[AptsT]]+TBA_Matches_All[[#This Row],[TampT]]+TBA_Matches_All[[#This Row],[TspkrptsC]]+(TBA_Matches_All[[#This Row],[TtrapT]]*5)+TBA_Matches_All[[#This Row],[stageptsT]]))</f>
        <v>21</v>
      </c>
      <c r="CZ111" s="59">
        <f>IFERROR(SUM(TBA_Matches_All[[#This Row],[TotptsC]]/TBA_Matches_All[[#This Row],[Score]]),0)</f>
        <v>0.67741935483870963</v>
      </c>
      <c r="DA11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11.0625</v>
      </c>
      <c r="DB111" s="74">
        <f>SUMIFS(TBA_Matches_All[AveTeamTNoteDels],TBA_Matches_All[Match_Number],TBA_Matches_All[[#This Row],[Match_Number]],TBA_Matches_All[Alliance],"&lt;&gt;"&amp;TBA_Matches_All[[#This Row],[Alliance]],TBA_Matches_All[Scouted],"&gt;0")</f>
        <v>36.06666666666667</v>
      </c>
      <c r="DC111" s="74">
        <f>(TBA_Matches_All[[#This Row],[TampT]]+TBA_Matches_All[[#This Row],[TspkrptsC]])-TBA_Matches_All[[#This Row],[AveTeamTNoteDels]]</f>
        <v>-1.0625</v>
      </c>
      <c r="DD111" s="74">
        <f>SUMIFS(TBA_Matches_All[AveTeamTNoteDels],TBA_Matches_All[Match_Number],TBA_Matches_All[[#This Row],[Match_Number]],TBA_Matches_All[Alliance],"&lt;&gt;"&amp;TBA_Matches_All[[#This Row],[Alliance]])-TBA_Matches_All[[#This Row],[AveOppTNoteDels]]</f>
        <v>0</v>
      </c>
    </row>
    <row r="112" spans="1:108" x14ac:dyDescent="0.3">
      <c r="A112" t="s">
        <v>1042</v>
      </c>
      <c r="B112" t="s">
        <v>489</v>
      </c>
      <c r="C112" t="s">
        <v>1328</v>
      </c>
      <c r="D112">
        <v>19</v>
      </c>
      <c r="E112" t="s">
        <v>1406</v>
      </c>
      <c r="F112" t="s">
        <v>1424</v>
      </c>
      <c r="G112" t="s">
        <v>1409</v>
      </c>
      <c r="H112" t="s">
        <v>1303</v>
      </c>
      <c r="I112" t="b">
        <v>1</v>
      </c>
      <c r="J112">
        <v>74</v>
      </c>
      <c r="K112">
        <v>1</v>
      </c>
      <c r="L112">
        <v>1</v>
      </c>
      <c r="M112">
        <v>0</v>
      </c>
      <c r="N112">
        <v>0</v>
      </c>
      <c r="O112">
        <v>4</v>
      </c>
      <c r="P112">
        <v>20</v>
      </c>
      <c r="Q112">
        <v>24</v>
      </c>
      <c r="R112">
        <v>5</v>
      </c>
      <c r="S112">
        <v>3</v>
      </c>
      <c r="T112">
        <v>7</v>
      </c>
      <c r="U112">
        <v>15</v>
      </c>
      <c r="V112">
        <v>14</v>
      </c>
      <c r="W112">
        <v>10</v>
      </c>
      <c r="X112">
        <v>29</v>
      </c>
      <c r="Y112">
        <v>34</v>
      </c>
      <c r="Z112">
        <v>0</v>
      </c>
      <c r="AA112">
        <v>0</v>
      </c>
      <c r="AB112">
        <v>19</v>
      </c>
      <c r="AC112">
        <v>54</v>
      </c>
      <c r="AD112">
        <v>11</v>
      </c>
      <c r="AE112">
        <f>IFERROR(6/(COUNTIF(Dyno_EndMatch[Match],TBA_Matches_All[[#This Row],[Match_Number]])),0)</f>
        <v>1</v>
      </c>
      <c r="AF112">
        <f>COUNTIFS(Dyno_Data[Team],TBA_Matches_All[[#This Row],[Team]],Dyno_Data[Match],TBA_Matches_All[[#This Row],[Match_Number]],Dyno_Data[RecordType],"EndMatch",Dyno_Data[HPAmp],"Y")</f>
        <v>0</v>
      </c>
      <c r="AG112">
        <f>SUMIFS(Dyno_Data[Mics], Dyno_Data[Team],TBA_Matches_All[[#This Row],[Team]],Dyno_Data[Match],TBA_Matches_All[[#This Row],[Match_Number]],Dyno_Data[RecordType],"EndMatch",Dyno_Data[HPAmp],"Y")</f>
        <v>0</v>
      </c>
      <c r="AH112">
        <f>SUMIFS(Dyno_Data[Leave], Dyno_Data[Team],TBA_Matches_All[[#This Row],[Team]],Dyno_Data[Match],TBA_Matches_All[[#This Row],[Match_Number]],Dyno_Data[RecordType],"EndAuto")</f>
        <v>1</v>
      </c>
      <c r="AI112">
        <f>COUNTIFS(Dyno_Data[Team],TBA_Matches_All[[#This Row],[Team]],Dyno_Data[Match],TBA_Matches_All[[#This Row],[Match_Number]],Dyno_Data[RecordType],"Activities",Dyno_Data[DelDest],"Amp", Dyno_Data[DelMiss],"0", Dyno_Data[Mode],"Auto")</f>
        <v>0</v>
      </c>
      <c r="AJ112">
        <f>COUNTIFS(Dyno_Data[Team],TBA_Matches_All[[#This Row],[Team]],Dyno_Data[Match],TBA_Matches_All[[#This Row],[Match_Number]],Dyno_Data[RecordType],"Activities",Dyno_Data[DelDest],"Spkr", Dyno_Data[DelMiss],"0", Dyno_Data[Mode],"Auto")</f>
        <v>4</v>
      </c>
      <c r="AK112">
        <f>COUNTIFS(Dyno_Data[Team],TBA_Matches_All[[#This Row],[Team]],Dyno_Data[Match],TBA_Matches_All[[#This Row],[Match_Number]],Dyno_Data[RecordType],"Activities",Dyno_Data[DelDest],"Trap", Dyno_Data[DelMiss],"0", Dyno_Data[Mode],"Auto")</f>
        <v>0</v>
      </c>
      <c r="AL112">
        <f>COUNTIFS(Dyno_Data[Team],TBA_Matches_All[[#This Row],[Team]],Dyno_Data[Match],TBA_Matches_All[[#This Row],[Match_Number]],Dyno_Data[RecordType],"Activities",Dyno_Data[DelDest],"Amp", Dyno_Data[DelMiss],"0", Dyno_Data[Mode],"Teleop")</f>
        <v>0</v>
      </c>
      <c r="AM112">
        <f>COUNTIFS(Dyno_Data[Team],TBA_Matches_All[[#This Row],[Team]],Dyno_Data[Match],TBA_Matches_All[[#This Row],[Match_Number]],Dyno_Data[RecordType],"Activities",Dyno_Data[DelDest],"Spkr", Dyno_Data[DelMiss],"0", Dyno_Data[Mode],"Teleop")</f>
        <v>4</v>
      </c>
      <c r="AN112">
        <f>COUNTIFS(Dyno_Data[Team],TBA_Matches_All[[#This Row],[Team]],Dyno_Data[Match],TBA_Matches_All[[#This Row],[Match_Number]],Dyno_Data[RecordType],"Activities",Dyno_Data[DelDest],"Trap", Dyno_Data[DelMiss],"0", Dyno_Data[Mode],"&lt;&gt;Auto")</f>
        <v>0</v>
      </c>
      <c r="AO112">
        <f>SUM(TBA_Matches_All[[#This Row],[AampT]]+TBA_Matches_All[[#This Row],[AspkrT]]+TBA_Matches_All[[#This Row],[AtrapT]]+TBA_Matches_All[[#This Row],[TampT]]+TBA_Matches_All[[#This Row],[TspkrT]]+TBA_Matches_All[[#This Row],[TtrapT]])</f>
        <v>8</v>
      </c>
      <c r="AP112">
        <f>COUNTIFS(Dyno_Data[Team],TBA_Matches_All[[#This Row],[Team]],Dyno_Data[Match],TBA_Matches_All[[#This Row],[Match_Number]],Dyno_Data[RecordType],"Activities",Dyno_Data[DelDest],"Neut", Dyno_Data[DelMiss],"0")</f>
        <v>0</v>
      </c>
      <c r="AQ112">
        <f>COUNTIFS(Dyno_Data[Team],TBA_Matches_All[[#This Row],[Team]],Dyno_Data[Match],TBA_Matches_All[[#This Row],[Match_Number]],Dyno_Data[RecordType],"Activities",Dyno_Data[DelDest],"AllyW", Dyno_Data[DelMiss],"0")</f>
        <v>0</v>
      </c>
      <c r="AR112" t="str">
        <f>_xlfn.XLOOKUP(SUM(MID(TBA_Matches_All[[#This Row],[Team]],4,5),(TBA_Matches_All[[#This Row],[Match_Number]]/100)),Dyno_EndMatch[teammat],Dyno_EndMatch[RobotSta],"_",0,1)</f>
        <v>Amp</v>
      </c>
      <c r="AS112">
        <f>SUMIFS(Dyno_Data[AcqDis], Dyno_Data[Team],TBA_Matches_All[[#This Row],[Team]],Dyno_Data[Match],TBA_Matches_All[[#This Row],[Match_Number]],Dyno_Data[RecordType],"Activities", Dyno_Data[AcqCenter],1,Dyno_Data[Mode],"Auto")</f>
        <v>0</v>
      </c>
      <c r="AT112">
        <f>SUMIFS(Dyno_Data[AcqDis], Dyno_Data[Team],TBA_Matches_All[[#This Row],[Team]],Dyno_Data[Match],TBA_Matches_All[[#This Row],[Match_Number]],Dyno_Data[RecordType],"Activities", Dyno_Data[AcqCenter],2,Dyno_Data[Mode],"Auto")</f>
        <v>0</v>
      </c>
      <c r="AU112">
        <f>SUMIFS(Dyno_Data[AcqDis], Dyno_Data[Team],TBA_Matches_All[[#This Row],[Team]],Dyno_Data[Match],TBA_Matches_All[[#This Row],[Match_Number]],Dyno_Data[RecordType],"Activities", Dyno_Data[AcqCenter],3,Dyno_Data[Mode],"Auto")</f>
        <v>0</v>
      </c>
      <c r="AV112">
        <f>SUMIFS(Dyno_Data[AcqDis], Dyno_Data[Team],TBA_Matches_All[[#This Row],[Team]],Dyno_Data[Match],TBA_Matches_All[[#This Row],[Match_Number]],Dyno_Data[RecordType],"Activities", Dyno_Data[AcqCenter],4,Dyno_Data[Mode],"Auto")</f>
        <v>1</v>
      </c>
      <c r="AW112">
        <f>SUMIFS(Dyno_Data[AcqDis], Dyno_Data[Team],TBA_Matches_All[[#This Row],[Team]],Dyno_Data[Match],TBA_Matches_All[[#This Row],[Match_Number]],Dyno_Data[RecordType],"Activities", Dyno_Data[AcqCenter],5,Dyno_Data[Mode],"Auto")</f>
        <v>1</v>
      </c>
      <c r="AX112">
        <f>SUMIFS(Dyno_Data[DelMiss], Dyno_Data[Team],TBA_Matches_All[[#This Row],[Team]],Dyno_Data[Match],TBA_Matches_All[[#This Row],[Match_Number]],Dyno_Data[RecordType],"Activities", Dyno_Data[DelDest],"Amp")</f>
        <v>0</v>
      </c>
      <c r="AY112" s="60">
        <f>IFERROR(SUM((TBA_Matches_All[[#This Row],[AampT]]+TBA_Matches_All[[#This Row],[TampT]])/(TBA_Matches_All[[#This Row],[AampT]]+TBA_Matches_All[[#This Row],[TampT]]+TBA_Matches_All[[#This Row],[ampM]])),0)</f>
        <v>0</v>
      </c>
      <c r="AZ112">
        <f>SUMIFS(Dyno_Data[DelMiss], Dyno_Data[Team],TBA_Matches_All[[#This Row],[Team]],Dyno_Data[Match],TBA_Matches_All[[#This Row],[Match_Number]],Dyno_Data[RecordType],"Activities", Dyno_Data[DelDest],"Spkr")</f>
        <v>0</v>
      </c>
      <c r="BA112" s="60">
        <f>IFERROR(SUM((TBA_Matches_All[[#This Row],[AspkrT]]+TBA_Matches_All[[#This Row],[TspkrT]])/(TBA_Matches_All[[#This Row],[AspkrT]]+TBA_Matches_All[[#This Row],[TspkrT]]+TBA_Matches_All[[#This Row],[spkrM]])),0)</f>
        <v>1</v>
      </c>
      <c r="BB112">
        <f>SUMIFS(Dyno_Data[DelMiss], Dyno_Data[Team],TBA_Matches_All[[#This Row],[Team]],Dyno_Data[Match],TBA_Matches_All[[#This Row],[Match_Number]],Dyno_Data[RecordType],"Activities", Dyno_Data[DelDest],"Trap")</f>
        <v>0</v>
      </c>
      <c r="BC112" s="60">
        <f>IFERROR((TBA_Matches_All[[#This Row],[AtrapT]]+TBA_Matches_All[[#This Row],[TtrapT]])/(TBA_Matches_All[[#This Row],[AtrapT]]+TBA_Matches_All[[#This Row],[TtrapT]]+TBA_Matches_All[[#This Row],[trapM]]),0)</f>
        <v>0</v>
      </c>
      <c r="BD112">
        <f>COUNTIFS(Dyno_Data[Team],TBA_Matches_All[[#This Row],[Team]],Dyno_Data[Match],TBA_Matches_All[[#This Row],[Match_Number]],Dyno_Data[RecordType],"Activities",Dyno_Data[DelDest],"Neut", Dyno_Data[DelMiss],1)</f>
        <v>0</v>
      </c>
      <c r="BE112" s="60">
        <f>IFERROR(SUM((TBA_Matches_All[[#This Row],[NeutFlrT]])/(TBA_Matches_All[[#This Row],[NeutFlrT]]+TBA_Matches_All[[#This Row],[NZflM]])),0)</f>
        <v>0</v>
      </c>
      <c r="BF112">
        <f>COUNTIFS(Dyno_Data[Team],TBA_Matches_All[[#This Row],[Team]],Dyno_Data[Match],TBA_Matches_All[[#This Row],[Match_Number]],Dyno_Data[RecordType],"Activities",Dyno_Data[DelDest],"AllyW", Dyno_Data[DelMiss],1)</f>
        <v>0</v>
      </c>
      <c r="BG112" s="60">
        <f>IFERROR(SUM((TBA_Matches_All[[#This Row],[AllyWFlrT]])/(TBA_Matches_All[[#This Row],[AllyWFlrT]]+TBA_Matches_All[[#This Row],[AZflM]])),0)</f>
        <v>0</v>
      </c>
      <c r="BH112">
        <f>COUNTIFS(Dyno_Data[Team],TBA_Matches_All[[#This Row],[Team]],Dyno_Data[Match],TBA_Matches_All[[#This Row],[Match_Number]],Dyno_Data[RecordType],"Activities",Dyno_Data[DelOrig],"OppW", Dyno_Data[DelMiss],"0")</f>
        <v>0</v>
      </c>
      <c r="BI112">
        <f>COUNTIFS(Dyno_Data[Team],TBA_Matches_All[[#This Row],[Team]],Dyno_Data[Match],TBA_Matches_All[[#This Row],[Match_Number]],Dyno_Data[RecordType],"Activities",Dyno_Data[DelOrig],"OppW", Dyno_Data[DelMiss],"1")</f>
        <v>0</v>
      </c>
      <c r="BJ112" s="60">
        <f>IFERROR(SUM((TBA_Matches_All[[#This Row],[OZflrT]])/(TBA_Matches_All[[#This Row],[OZflrT]]+TBA_Matches_All[[#This Row],[OZflrM]])),0)</f>
        <v>0</v>
      </c>
      <c r="BK112">
        <f>COUNTIFS(Dyno_Data[Team],TBA_Matches_All[[#This Row],[Team]],Dyno_Data[Match],TBA_Matches_All[[#This Row],[Match_Number]],Dyno_Data[RecordType],"Activities",Dyno_Data[DelOrig],"Neut", Dyno_Data[DelMiss],"0")</f>
        <v>0</v>
      </c>
      <c r="BL112">
        <f>COUNTIFS(Dyno_Data[Team],TBA_Matches_All[[#This Row],[Team]],Dyno_Data[Match],TBA_Matches_All[[#This Row],[Match_Number]],Dyno_Data[RecordType],"Activities",Dyno_Data[DelOrig],"Neut", Dyno_Data[DelMiss],"1")</f>
        <v>0</v>
      </c>
      <c r="BM112" s="60">
        <f>IFERROR(SUM((TBA_Matches_All[[#This Row],[NZflrT]])/(TBA_Matches_All[[#This Row],[NZflrT]]+TBA_Matches_All[[#This Row],[NZflrM]])),0)</f>
        <v>0</v>
      </c>
      <c r="BN112">
        <f>COUNTIFS(Dyno_Data[Team],TBA_Matches_All[[#This Row],[Team]],Dyno_Data[Match],TBA_Matches_All[[#This Row],[Match_Number]],Dyno_Data[RecordType],"Activities",Dyno_Data[DelOrig],"AllyW", Dyno_Data[DelMiss],"0")</f>
        <v>8</v>
      </c>
      <c r="BO112">
        <f>COUNTIFS(Dyno_Data[Team],TBA_Matches_All[[#This Row],[Team]],Dyno_Data[Match],TBA_Matches_All[[#This Row],[Match_Number]],Dyno_Data[RecordType],"Activities",Dyno_Data[DelOrig],"AllyW", Dyno_Data[DelMiss],"1")</f>
        <v>0</v>
      </c>
      <c r="BP112" s="60">
        <f>IFERROR(SUM((TBA_Matches_All[[#This Row],[AZflrT]])/(TBA_Matches_All[[#This Row],[AZflrT]]+TBA_Matches_All[[#This Row],[AZflrM]])),0)</f>
        <v>1</v>
      </c>
      <c r="BQ112">
        <f>COUNTIFS(Dyno_Data[Team],TBA_Matches_All[[#This Row],[Team]],Dyno_Data[Match],TBA_Matches_All[[#This Row],[Match_Number]],Dyno_Data[RecordType],"Activities",Dyno_Data[DelOrig],"SubW", Dyno_Data[DelMiss],"0")</f>
        <v>0</v>
      </c>
      <c r="BR112">
        <f>COUNTIFS(Dyno_Data[Team],TBA_Matches_All[[#This Row],[Team]],Dyno_Data[Match],TBA_Matches_All[[#This Row],[Match_Number]],Dyno_Data[RecordType],"Activities",Dyno_Data[DelOrig],"SubW", Dyno_Data[DelMiss],"1")</f>
        <v>0</v>
      </c>
      <c r="BS112" s="60">
        <f>IFERROR(SUM((TBA_Matches_All[[#This Row],[SubwT]])/(TBA_Matches_All[[#This Row],[SubwT]]+TBA_Matches_All[[#This Row],[SubwM]])),0)</f>
        <v>0</v>
      </c>
      <c r="BT112">
        <f>COUNTIFS(Dyno_Data[Team],TBA_Matches_All[[#This Row],[Team]],Dyno_Data[Match],TBA_Matches_All[[#This Row],[Match_Number]],Dyno_Data[RecordType],"Activities", Dyno_Data[AcqLoc],"OppWing")</f>
        <v>0</v>
      </c>
      <c r="BU112">
        <f>COUNTIFS(Dyno_Data[Team],TBA_Matches_All[[#This Row],[Team]],Dyno_Data[Match],TBA_Matches_All[[#This Row],[Match_Number]],Dyno_Data[RecordType],"Activities", Dyno_Data[AcqLoc],"Neutral")</f>
        <v>4</v>
      </c>
      <c r="BV112">
        <f>COUNTIFS(Dyno_Data[Team],TBA_Matches_All[[#This Row],[Team]],Dyno_Data[Match],TBA_Matches_All[[#This Row],[Match_Number]],Dyno_Data[RecordType],"Activities", Dyno_Data[AcqLoc],"AllyWing")</f>
        <v>0</v>
      </c>
      <c r="BW112">
        <f>COUNTIFS(Dyno_Data[Team],TBA_Matches_All[[#This Row],[Team]],Dyno_Data[Match],TBA_Matches_All[[#This Row],[Match_Number]],Dyno_Data[RecordType],"Activities", Dyno_Data[AcqLoc],"Source")</f>
        <v>0</v>
      </c>
      <c r="BX112">
        <f>SUMIFS(Dyno_Data[AcqDrp], Dyno_Data[Team],TBA_Matches_All[[#This Row],[Team]],Dyno_Data[Match],TBA_Matches_All[[#This Row],[Match_Number]],Dyno_Data[RecordType],"Activities", Dyno_Data[AcqLoc],"Source")</f>
        <v>0</v>
      </c>
      <c r="BY112">
        <f>SUMIFS(Dyno_Data[OZTime], Dyno_Data[Team],TBA_Matches_All[[#This Row],[Team]],Dyno_Data[Match],TBA_Matches_All[[#This Row],[Match_Number]],Dyno_Data[RecordType],"EndMatch")</f>
        <v>51.403816299999995</v>
      </c>
      <c r="BZ112">
        <f>SUMIFS(Dyno_Data[NZTime], Dyno_Data[Team],TBA_Matches_All[[#This Row],[Team]],Dyno_Data[Match],TBA_Matches_All[[#This Row],[Match_Number]],Dyno_Data[RecordType],"EndMatch")</f>
        <v>21.211812899999998</v>
      </c>
      <c r="CA112">
        <f>SUMIFS(Dyno_Data[AZTime], Dyno_Data[Team],TBA_Matches_All[[#This Row],[Team]],Dyno_Data[Match],TBA_Matches_All[[#This Row],[Match_Number]],Dyno_Data[RecordType],"EndMatch")</f>
        <v>30.337225799999999</v>
      </c>
      <c r="CB112">
        <f>SUMIFS(Dyno_Data[ClimbT], Dyno_Data[Team],TBA_Matches_All[[#This Row],[Team]],Dyno_Data[Match],TBA_Matches_All[[#This Row],[Match_Number]],Dyno_Data[RecordType],"EndMatch")</f>
        <v>6.5594469999999996</v>
      </c>
      <c r="CC112" t="str">
        <f>_xlfn.XLOOKUP(SUM(MID(TBA_Matches_All[[#This Row],[Team]],4,5),(TBA_Matches_All[[#This Row],[Match_Number]]/100)),Dyno_EndMatch[teammat],Dyno_EndMatch[StageStat],"_",0,1)</f>
        <v>On</v>
      </c>
      <c r="CD112" t="str">
        <f>_xlfn.XLOOKUP(TBA_Matches_All[[#This Row],[teammat]],Dyno_EndMatch[teammat],Dyno_EndMatch[StageAtt],"_",0,1)</f>
        <v>1</v>
      </c>
      <c r="CE112" t="str">
        <f>_xlfn.XLOOKUP(TBA_Matches_All[[#This Row],[teammat]],Dyno_EndMatch[teammat],Dyno_EndMatch[StageLoc],"_",0,1)</f>
        <v>L</v>
      </c>
      <c r="CF112">
        <f>SUMIFS(Dyno_Data[Harmony], Dyno_Data[Team],TBA_Matches_All[[#This Row],[Team]],Dyno_Data[Match],TBA_Matches_All[[#This Row],[Match_Number]],Dyno_Data[RecordType],"EndMatch", Dyno_Data[StageStat],"On",Dyno_Data[Harmony],"&lt;&gt;9")</f>
        <v>0</v>
      </c>
      <c r="CG112">
        <f>SUMIFS(Dyno_Data[Spotlit], Dyno_Data[Team],TBA_Matches_All[[#This Row],[Team]],Dyno_Data[Match],TBA_Matches_All[[#This Row],[Match_Number]],Dyno_Data[RecordType],"EndMatch", Dyno_Data[StageStat],"On",Dyno_Data[Spotlit],"&lt;&gt;9")</f>
        <v>0</v>
      </c>
      <c r="CH112" t="str">
        <f>_xlfn.XLOOKUP(TBA_Matches_All[[#This Row],[teammat]],Dyno_EndMatch[teammat],Dyno_EndMatch[Strategy],"_",0,1)</f>
        <v>Hybrid</v>
      </c>
      <c r="CI112">
        <f>SUMIFS(Dyno_Data[Defense], Dyno_Data[Team],TBA_Matches_All[[#This Row],[Team]],Dyno_Data[Match],TBA_Matches_All[[#This Row],[Match_Number]],Dyno_Data[RecordType],"EndMatch",Dyno_Data[Defense],"&lt;&gt;9")</f>
        <v>0</v>
      </c>
      <c r="CJ112">
        <f>SUMIFS(Dyno_Data[Avoidance], Dyno_Data[Team],TBA_Matches_All[[#This Row],[Team]],Dyno_Data[Match],TBA_Matches_All[[#This Row],[Match_Number]],Dyno_Data[RecordType],"EndMatch",Dyno_Data[Avoidance],"&lt;&gt;9")</f>
        <v>1</v>
      </c>
      <c r="CK112" s="82">
        <f>COUNTIF($H$2:TBA_Matches_All[[#This Row],[Team]],TBA_Matches_All[[#This Row],[Team]])</f>
        <v>3</v>
      </c>
      <c r="CL112" s="111">
        <f>SUM(MID(TBA_Matches_All[[#This Row],[Team]],4,5)+TBA_Matches_All[[#This Row],[Match_Number]]/100)</f>
        <v>7605.19</v>
      </c>
      <c r="CM112">
        <f>SUM((TBA_Matches_All[[#This Row],[Leave]]*2)+(TBA_Matches_All[[#This Row],[AampT]]*2)+(TBA_Matches_All[[#This Row],[AspkrT]]*5)+(TBA_Matches_All[[#This Row],[AtrapT]]*5))</f>
        <v>22</v>
      </c>
      <c r="CN112" s="59">
        <f>IFERROR(SUM(TBA_Matches_All[[#This Row],[AptsT]]/TBA_Matches_All[[#This Row],[AutoPts]]),0)</f>
        <v>0.91666666666666663</v>
      </c>
      <c r="CO112" s="59">
        <f>IFERROR(SUM(TBA_Matches_All[[#This Row],[AampT]]+TBA_Matches_All[[#This Row],[AspkrT]]+TBA_Matches_All[[#This Row],[AtrapT]]/TBA_Matches_All[[#This Row],[Aamp]]+TBA_Matches_All[[#This Row],[Aspkr]]+TBA_Matches_All[[#This Row],[AtrapT]]),0)</f>
        <v>0</v>
      </c>
      <c r="CP112" s="59">
        <f>IFERROR(SUM(TBA_Matches_All[[#This Row],[TampT]]/TBA_Matches_All[[#This Row],[Tamp]]),0)</f>
        <v>0</v>
      </c>
      <c r="CQ112" s="59">
        <f>IFERROR(SUM(TBA_Matches_All[[#This Row],[TspkrT]]/TBA_Matches_All[[#This Row],[Tspkr]]),0)</f>
        <v>0.4</v>
      </c>
      <c r="CR112">
        <f>SUM(TBA_Matches_All[[#This Row],[TspkrPts]]*TBA_Matches_All[[#This Row],[TspkrP]])</f>
        <v>11.600000000000001</v>
      </c>
      <c r="CS112" s="59">
        <f>IFERROR(SUM(TBA_Matches_All[[#This Row],[TtrapT]]/TBA_Matches_All[[#This Row],[Trap]]),0)</f>
        <v>0</v>
      </c>
      <c r="CT112" s="59">
        <f>IFERROR(SUM(TBA_Matches_All[[#This Row],[TotNotesT]]/TBA_Matches_All[[#This Row],[TotNotes]]),0)</f>
        <v>0.42105263157894735</v>
      </c>
      <c r="CU112" s="66">
        <f>SUM((TBA_Matches_All[[#This Row],[AampT]]*2)+(TBA_Matches_All[[#This Row],[AspkrT]]*5)+(TBA_Matches_All[[#This Row],[AtrapT]]*5)+(TBA_Matches_All[[#This Row],[TampT]]*1)+(TBA_Matches_All[[#This Row],[TspkrptsC]]))</f>
        <v>31.6</v>
      </c>
      <c r="CV112" s="59">
        <f>IFERROR(TBA_Matches_All[[#This Row],[noteptsT]]/TBA_Matches_All[[#This Row],[NotePts]],0)</f>
        <v>0.58518518518518525</v>
      </c>
      <c r="CW112">
        <f>SUM(IF(TBA_Matches_All[[#This Row],[stageStat]]="On",3,0),IF(TBA_Matches_All[[#This Row],[stageStat]]="Park",1,0),SUMIFS(TBA_Matches_All[[#This Row],[Spotlit]],TBA_Matches_All[[#This Row],[stageStat]],"On"),SUMIFS(TBA_Matches_All[[#This Row],[Harmony]],TBA_Matches_All[[#This Row],[stageStat]],"On"))</f>
        <v>3</v>
      </c>
      <c r="CX112" s="59">
        <f>IFERROR(TBA_Matches_All[[#This Row],[stageptsT]]/TBA_Matches_All[[#This Row],[StagePts]],0)</f>
        <v>0.27272727272727271</v>
      </c>
      <c r="CY112">
        <f>SUM((TBA_Matches_All[[#This Row],[AptsT]]+TBA_Matches_All[[#This Row],[TampT]]+TBA_Matches_All[[#This Row],[TspkrptsC]]+(TBA_Matches_All[[#This Row],[TtrapT]]*5)+TBA_Matches_All[[#This Row],[stageptsT]]))</f>
        <v>36.6</v>
      </c>
      <c r="CZ112" s="59">
        <f>IFERROR(SUM(TBA_Matches_All[[#This Row],[TotptsC]]/TBA_Matches_All[[#This Row],[Score]]),0)</f>
        <v>0.49459459459459459</v>
      </c>
      <c r="DA11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11.466666666666667</v>
      </c>
      <c r="DB112" s="74">
        <f>SUMIFS(TBA_Matches_All[AveTeamTNoteDels],TBA_Matches_All[Match_Number],TBA_Matches_All[[#This Row],[Match_Number]],TBA_Matches_All[Alliance],"&lt;&gt;"&amp;TBA_Matches_All[[#This Row],[Alliance]],TBA_Matches_All[Scouted],"&gt;0")</f>
        <v>20.649621212121211</v>
      </c>
      <c r="DC112" s="74">
        <f>(TBA_Matches_All[[#This Row],[TampT]]+TBA_Matches_All[[#This Row],[TspkrptsC]])-TBA_Matches_All[[#This Row],[AveTeamTNoteDels]]</f>
        <v>0.13333333333333464</v>
      </c>
      <c r="DD112" s="74">
        <f>SUMIFS(TBA_Matches_All[AveTeamTNoteDels],TBA_Matches_All[Match_Number],TBA_Matches_All[[#This Row],[Match_Number]],TBA_Matches_All[Alliance],"&lt;&gt;"&amp;TBA_Matches_All[[#This Row],[Alliance]])-TBA_Matches_All[[#This Row],[AveOppTNoteDels]]</f>
        <v>0</v>
      </c>
    </row>
    <row r="113" spans="1:108" x14ac:dyDescent="0.3">
      <c r="A113" t="s">
        <v>1042</v>
      </c>
      <c r="B113" t="s">
        <v>489</v>
      </c>
      <c r="C113" t="s">
        <v>1328</v>
      </c>
      <c r="D113">
        <v>19</v>
      </c>
      <c r="E113" t="s">
        <v>1420</v>
      </c>
      <c r="F113" t="s">
        <v>1425</v>
      </c>
      <c r="G113" t="s">
        <v>105</v>
      </c>
      <c r="H113" t="s">
        <v>1292</v>
      </c>
      <c r="I113" t="b">
        <v>1</v>
      </c>
      <c r="J113">
        <v>31</v>
      </c>
      <c r="K113">
        <v>0</v>
      </c>
      <c r="L113">
        <v>0</v>
      </c>
      <c r="M113">
        <v>5</v>
      </c>
      <c r="N113">
        <v>0</v>
      </c>
      <c r="O113">
        <v>3</v>
      </c>
      <c r="P113">
        <v>15</v>
      </c>
      <c r="Q113">
        <v>17</v>
      </c>
      <c r="R113">
        <v>1</v>
      </c>
      <c r="S113">
        <v>0</v>
      </c>
      <c r="T113">
        <v>4</v>
      </c>
      <c r="U113">
        <v>0</v>
      </c>
      <c r="V113">
        <v>8</v>
      </c>
      <c r="W113">
        <v>4</v>
      </c>
      <c r="X113">
        <v>8</v>
      </c>
      <c r="Y113">
        <v>9</v>
      </c>
      <c r="Z113">
        <v>0</v>
      </c>
      <c r="AA113">
        <v>0</v>
      </c>
      <c r="AB113">
        <v>8</v>
      </c>
      <c r="AC113">
        <v>24</v>
      </c>
      <c r="AD113">
        <v>5</v>
      </c>
      <c r="AE113">
        <f>IFERROR(6/(COUNTIF(Dyno_EndMatch[Match],TBA_Matches_All[[#This Row],[Match_Number]])),0)</f>
        <v>1</v>
      </c>
      <c r="AF113">
        <f>COUNTIFS(Dyno_Data[Team],TBA_Matches_All[[#This Row],[Team]],Dyno_Data[Match],TBA_Matches_All[[#This Row],[Match_Number]],Dyno_Data[RecordType],"EndMatch",Dyno_Data[HPAmp],"Y")</f>
        <v>0</v>
      </c>
      <c r="AG113">
        <f>SUMIFS(Dyno_Data[Mics], Dyno_Data[Team],TBA_Matches_All[[#This Row],[Team]],Dyno_Data[Match],TBA_Matches_All[[#This Row],[Match_Number]],Dyno_Data[RecordType],"EndMatch",Dyno_Data[HPAmp],"Y")</f>
        <v>0</v>
      </c>
      <c r="AH113">
        <f>SUMIFS(Dyno_Data[Leave], Dyno_Data[Team],TBA_Matches_All[[#This Row],[Team]],Dyno_Data[Match],TBA_Matches_All[[#This Row],[Match_Number]],Dyno_Data[RecordType],"EndAuto")</f>
        <v>0</v>
      </c>
      <c r="AI113">
        <f>COUNTIFS(Dyno_Data[Team],TBA_Matches_All[[#This Row],[Team]],Dyno_Data[Match],TBA_Matches_All[[#This Row],[Match_Number]],Dyno_Data[RecordType],"Activities",Dyno_Data[DelDest],"Amp", Dyno_Data[DelMiss],"0", Dyno_Data[Mode],"Auto")</f>
        <v>0</v>
      </c>
      <c r="AJ113">
        <f>COUNTIFS(Dyno_Data[Team],TBA_Matches_All[[#This Row],[Team]],Dyno_Data[Match],TBA_Matches_All[[#This Row],[Match_Number]],Dyno_Data[RecordType],"Activities",Dyno_Data[DelDest],"Spkr", Dyno_Data[DelMiss],"0", Dyno_Data[Mode],"Auto")</f>
        <v>0</v>
      </c>
      <c r="AK113">
        <f>COUNTIFS(Dyno_Data[Team],TBA_Matches_All[[#This Row],[Team]],Dyno_Data[Match],TBA_Matches_All[[#This Row],[Match_Number]],Dyno_Data[RecordType],"Activities",Dyno_Data[DelDest],"Trap", Dyno_Data[DelMiss],"0", Dyno_Data[Mode],"Auto")</f>
        <v>0</v>
      </c>
      <c r="AL113">
        <f>COUNTIFS(Dyno_Data[Team],TBA_Matches_All[[#This Row],[Team]],Dyno_Data[Match],TBA_Matches_All[[#This Row],[Match_Number]],Dyno_Data[RecordType],"Activities",Dyno_Data[DelDest],"Amp", Dyno_Data[DelMiss],"0", Dyno_Data[Mode],"Teleop")</f>
        <v>0</v>
      </c>
      <c r="AM113">
        <f>COUNTIFS(Dyno_Data[Team],TBA_Matches_All[[#This Row],[Team]],Dyno_Data[Match],TBA_Matches_All[[#This Row],[Match_Number]],Dyno_Data[RecordType],"Activities",Dyno_Data[DelDest],"Spkr", Dyno_Data[DelMiss],"0", Dyno_Data[Mode],"Teleop")</f>
        <v>0</v>
      </c>
      <c r="AN113">
        <f>COUNTIFS(Dyno_Data[Team],TBA_Matches_All[[#This Row],[Team]],Dyno_Data[Match],TBA_Matches_All[[#This Row],[Match_Number]],Dyno_Data[RecordType],"Activities",Dyno_Data[DelDest],"Trap", Dyno_Data[DelMiss],"0", Dyno_Data[Mode],"&lt;&gt;Auto")</f>
        <v>0</v>
      </c>
      <c r="AO113">
        <f>SUM(TBA_Matches_All[[#This Row],[AampT]]+TBA_Matches_All[[#This Row],[AspkrT]]+TBA_Matches_All[[#This Row],[AtrapT]]+TBA_Matches_All[[#This Row],[TampT]]+TBA_Matches_All[[#This Row],[TspkrT]]+TBA_Matches_All[[#This Row],[TtrapT]])</f>
        <v>0</v>
      </c>
      <c r="AP113">
        <f>COUNTIFS(Dyno_Data[Team],TBA_Matches_All[[#This Row],[Team]],Dyno_Data[Match],TBA_Matches_All[[#This Row],[Match_Number]],Dyno_Data[RecordType],"Activities",Dyno_Data[DelDest],"Neut", Dyno_Data[DelMiss],"0")</f>
        <v>0</v>
      </c>
      <c r="AQ113">
        <f>COUNTIFS(Dyno_Data[Team],TBA_Matches_All[[#This Row],[Team]],Dyno_Data[Match],TBA_Matches_All[[#This Row],[Match_Number]],Dyno_Data[RecordType],"Activities",Dyno_Data[DelDest],"AllyW", Dyno_Data[DelMiss],"0")</f>
        <v>0</v>
      </c>
      <c r="AR113" t="str">
        <f>_xlfn.XLOOKUP(SUM(MID(TBA_Matches_All[[#This Row],[Team]],4,5),(TBA_Matches_All[[#This Row],[Match_Number]]/100)),Dyno_EndMatch[teammat],Dyno_EndMatch[RobotSta],"_",0,1)</f>
        <v>OppS</v>
      </c>
      <c r="AS113">
        <f>SUMIFS(Dyno_Data[AcqDis], Dyno_Data[Team],TBA_Matches_All[[#This Row],[Team]],Dyno_Data[Match],TBA_Matches_All[[#This Row],[Match_Number]],Dyno_Data[RecordType],"Activities", Dyno_Data[AcqCenter],1,Dyno_Data[Mode],"Auto")</f>
        <v>0</v>
      </c>
      <c r="AT113">
        <f>SUMIFS(Dyno_Data[AcqDis], Dyno_Data[Team],TBA_Matches_All[[#This Row],[Team]],Dyno_Data[Match],TBA_Matches_All[[#This Row],[Match_Number]],Dyno_Data[RecordType],"Activities", Dyno_Data[AcqCenter],2,Dyno_Data[Mode],"Auto")</f>
        <v>0</v>
      </c>
      <c r="AU113">
        <f>SUMIFS(Dyno_Data[AcqDis], Dyno_Data[Team],TBA_Matches_All[[#This Row],[Team]],Dyno_Data[Match],TBA_Matches_All[[#This Row],[Match_Number]],Dyno_Data[RecordType],"Activities", Dyno_Data[AcqCenter],3,Dyno_Data[Mode],"Auto")</f>
        <v>0</v>
      </c>
      <c r="AV113">
        <f>SUMIFS(Dyno_Data[AcqDis], Dyno_Data[Team],TBA_Matches_All[[#This Row],[Team]],Dyno_Data[Match],TBA_Matches_All[[#This Row],[Match_Number]],Dyno_Data[RecordType],"Activities", Dyno_Data[AcqCenter],4,Dyno_Data[Mode],"Auto")</f>
        <v>0</v>
      </c>
      <c r="AW113">
        <f>SUMIFS(Dyno_Data[AcqDis], Dyno_Data[Team],TBA_Matches_All[[#This Row],[Team]],Dyno_Data[Match],TBA_Matches_All[[#This Row],[Match_Number]],Dyno_Data[RecordType],"Activities", Dyno_Data[AcqCenter],5,Dyno_Data[Mode],"Auto")</f>
        <v>0</v>
      </c>
      <c r="AX113">
        <f>SUMIFS(Dyno_Data[DelMiss], Dyno_Data[Team],TBA_Matches_All[[#This Row],[Team]],Dyno_Data[Match],TBA_Matches_All[[#This Row],[Match_Number]],Dyno_Data[RecordType],"Activities", Dyno_Data[DelDest],"Amp")</f>
        <v>0</v>
      </c>
      <c r="AY113" s="60">
        <f>IFERROR(SUM((TBA_Matches_All[[#This Row],[AampT]]+TBA_Matches_All[[#This Row],[TampT]])/(TBA_Matches_All[[#This Row],[AampT]]+TBA_Matches_All[[#This Row],[TampT]]+TBA_Matches_All[[#This Row],[ampM]])),0)</f>
        <v>0</v>
      </c>
      <c r="AZ113">
        <f>SUMIFS(Dyno_Data[DelMiss], Dyno_Data[Team],TBA_Matches_All[[#This Row],[Team]],Dyno_Data[Match],TBA_Matches_All[[#This Row],[Match_Number]],Dyno_Data[RecordType],"Activities", Dyno_Data[DelDest],"Spkr")</f>
        <v>0</v>
      </c>
      <c r="BA113" s="60">
        <f>IFERROR(SUM((TBA_Matches_All[[#This Row],[AspkrT]]+TBA_Matches_All[[#This Row],[TspkrT]])/(TBA_Matches_All[[#This Row],[AspkrT]]+TBA_Matches_All[[#This Row],[TspkrT]]+TBA_Matches_All[[#This Row],[spkrM]])),0)</f>
        <v>0</v>
      </c>
      <c r="BB113">
        <f>SUMIFS(Dyno_Data[DelMiss], Dyno_Data[Team],TBA_Matches_All[[#This Row],[Team]],Dyno_Data[Match],TBA_Matches_All[[#This Row],[Match_Number]],Dyno_Data[RecordType],"Activities", Dyno_Data[DelDest],"Trap")</f>
        <v>0</v>
      </c>
      <c r="BC113" s="60">
        <f>IFERROR((TBA_Matches_All[[#This Row],[AtrapT]]+TBA_Matches_All[[#This Row],[TtrapT]])/(TBA_Matches_All[[#This Row],[AtrapT]]+TBA_Matches_All[[#This Row],[TtrapT]]+TBA_Matches_All[[#This Row],[trapM]]),0)</f>
        <v>0</v>
      </c>
      <c r="BD113">
        <f>COUNTIFS(Dyno_Data[Team],TBA_Matches_All[[#This Row],[Team]],Dyno_Data[Match],TBA_Matches_All[[#This Row],[Match_Number]],Dyno_Data[RecordType],"Activities",Dyno_Data[DelDest],"Neut", Dyno_Data[DelMiss],1)</f>
        <v>0</v>
      </c>
      <c r="BE113" s="60">
        <f>IFERROR(SUM((TBA_Matches_All[[#This Row],[NeutFlrT]])/(TBA_Matches_All[[#This Row],[NeutFlrT]]+TBA_Matches_All[[#This Row],[NZflM]])),0)</f>
        <v>0</v>
      </c>
      <c r="BF113">
        <f>COUNTIFS(Dyno_Data[Team],TBA_Matches_All[[#This Row],[Team]],Dyno_Data[Match],TBA_Matches_All[[#This Row],[Match_Number]],Dyno_Data[RecordType],"Activities",Dyno_Data[DelDest],"AllyW", Dyno_Data[DelMiss],1)</f>
        <v>0</v>
      </c>
      <c r="BG113" s="60">
        <f>IFERROR(SUM((TBA_Matches_All[[#This Row],[AllyWFlrT]])/(TBA_Matches_All[[#This Row],[AllyWFlrT]]+TBA_Matches_All[[#This Row],[AZflM]])),0)</f>
        <v>0</v>
      </c>
      <c r="BH113">
        <f>COUNTIFS(Dyno_Data[Team],TBA_Matches_All[[#This Row],[Team]],Dyno_Data[Match],TBA_Matches_All[[#This Row],[Match_Number]],Dyno_Data[RecordType],"Activities",Dyno_Data[DelOrig],"OppW", Dyno_Data[DelMiss],"0")</f>
        <v>0</v>
      </c>
      <c r="BI113">
        <f>COUNTIFS(Dyno_Data[Team],TBA_Matches_All[[#This Row],[Team]],Dyno_Data[Match],TBA_Matches_All[[#This Row],[Match_Number]],Dyno_Data[RecordType],"Activities",Dyno_Data[DelOrig],"OppW", Dyno_Data[DelMiss],"1")</f>
        <v>0</v>
      </c>
      <c r="BJ113" s="60">
        <f>IFERROR(SUM((TBA_Matches_All[[#This Row],[OZflrT]])/(TBA_Matches_All[[#This Row],[OZflrT]]+TBA_Matches_All[[#This Row],[OZflrM]])),0)</f>
        <v>0</v>
      </c>
      <c r="BK113">
        <f>COUNTIFS(Dyno_Data[Team],TBA_Matches_All[[#This Row],[Team]],Dyno_Data[Match],TBA_Matches_All[[#This Row],[Match_Number]],Dyno_Data[RecordType],"Activities",Dyno_Data[DelOrig],"Neut", Dyno_Data[DelMiss],"0")</f>
        <v>0</v>
      </c>
      <c r="BL113">
        <f>COUNTIFS(Dyno_Data[Team],TBA_Matches_All[[#This Row],[Team]],Dyno_Data[Match],TBA_Matches_All[[#This Row],[Match_Number]],Dyno_Data[RecordType],"Activities",Dyno_Data[DelOrig],"Neut", Dyno_Data[DelMiss],"1")</f>
        <v>0</v>
      </c>
      <c r="BM113" s="60">
        <f>IFERROR(SUM((TBA_Matches_All[[#This Row],[NZflrT]])/(TBA_Matches_All[[#This Row],[NZflrT]]+TBA_Matches_All[[#This Row],[NZflrM]])),0)</f>
        <v>0</v>
      </c>
      <c r="BN113">
        <f>COUNTIFS(Dyno_Data[Team],TBA_Matches_All[[#This Row],[Team]],Dyno_Data[Match],TBA_Matches_All[[#This Row],[Match_Number]],Dyno_Data[RecordType],"Activities",Dyno_Data[DelOrig],"AllyW", Dyno_Data[DelMiss],"0")</f>
        <v>0</v>
      </c>
      <c r="BO113">
        <f>COUNTIFS(Dyno_Data[Team],TBA_Matches_All[[#This Row],[Team]],Dyno_Data[Match],TBA_Matches_All[[#This Row],[Match_Number]],Dyno_Data[RecordType],"Activities",Dyno_Data[DelOrig],"AllyW", Dyno_Data[DelMiss],"1")</f>
        <v>0</v>
      </c>
      <c r="BP113" s="60">
        <f>IFERROR(SUM((TBA_Matches_All[[#This Row],[AZflrT]])/(TBA_Matches_All[[#This Row],[AZflrT]]+TBA_Matches_All[[#This Row],[AZflrM]])),0)</f>
        <v>0</v>
      </c>
      <c r="BQ113">
        <f>COUNTIFS(Dyno_Data[Team],TBA_Matches_All[[#This Row],[Team]],Dyno_Data[Match],TBA_Matches_All[[#This Row],[Match_Number]],Dyno_Data[RecordType],"Activities",Dyno_Data[DelOrig],"SubW", Dyno_Data[DelMiss],"0")</f>
        <v>0</v>
      </c>
      <c r="BR113">
        <f>COUNTIFS(Dyno_Data[Team],TBA_Matches_All[[#This Row],[Team]],Dyno_Data[Match],TBA_Matches_All[[#This Row],[Match_Number]],Dyno_Data[RecordType],"Activities",Dyno_Data[DelOrig],"SubW", Dyno_Data[DelMiss],"1")</f>
        <v>0</v>
      </c>
      <c r="BS113" s="60">
        <f>IFERROR(SUM((TBA_Matches_All[[#This Row],[SubwT]])/(TBA_Matches_All[[#This Row],[SubwT]]+TBA_Matches_All[[#This Row],[SubwM]])),0)</f>
        <v>0</v>
      </c>
      <c r="BT113">
        <f>COUNTIFS(Dyno_Data[Team],TBA_Matches_All[[#This Row],[Team]],Dyno_Data[Match],TBA_Matches_All[[#This Row],[Match_Number]],Dyno_Data[RecordType],"Activities", Dyno_Data[AcqLoc],"OppWing")</f>
        <v>0</v>
      </c>
      <c r="BU113">
        <f>COUNTIFS(Dyno_Data[Team],TBA_Matches_All[[#This Row],[Team]],Dyno_Data[Match],TBA_Matches_All[[#This Row],[Match_Number]],Dyno_Data[RecordType],"Activities", Dyno_Data[AcqLoc],"Neutral")</f>
        <v>0</v>
      </c>
      <c r="BV113">
        <f>COUNTIFS(Dyno_Data[Team],TBA_Matches_All[[#This Row],[Team]],Dyno_Data[Match],TBA_Matches_All[[#This Row],[Match_Number]],Dyno_Data[RecordType],"Activities", Dyno_Data[AcqLoc],"AllyWing")</f>
        <v>0</v>
      </c>
      <c r="BW113">
        <f>COUNTIFS(Dyno_Data[Team],TBA_Matches_All[[#This Row],[Team]],Dyno_Data[Match],TBA_Matches_All[[#This Row],[Match_Number]],Dyno_Data[RecordType],"Activities", Dyno_Data[AcqLoc],"Source")</f>
        <v>0</v>
      </c>
      <c r="BX113">
        <f>SUMIFS(Dyno_Data[AcqDrp], Dyno_Data[Team],TBA_Matches_All[[#This Row],[Team]],Dyno_Data[Match],TBA_Matches_All[[#This Row],[Match_Number]],Dyno_Data[RecordType],"Activities", Dyno_Data[AcqLoc],"Source")</f>
        <v>0</v>
      </c>
      <c r="BY113">
        <f>SUMIFS(Dyno_Data[OZTime], Dyno_Data[Team],TBA_Matches_All[[#This Row],[Team]],Dyno_Data[Match],TBA_Matches_All[[#This Row],[Match_Number]],Dyno_Data[RecordType],"EndMatch")</f>
        <v>0</v>
      </c>
      <c r="BZ113">
        <f>SUMIFS(Dyno_Data[NZTime], Dyno_Data[Team],TBA_Matches_All[[#This Row],[Team]],Dyno_Data[Match],TBA_Matches_All[[#This Row],[Match_Number]],Dyno_Data[RecordType],"EndMatch")</f>
        <v>89.851017499999998</v>
      </c>
      <c r="CA113">
        <f>SUMIFS(Dyno_Data[AZTime], Dyno_Data[Team],TBA_Matches_All[[#This Row],[Team]],Dyno_Data[Match],TBA_Matches_All[[#This Row],[Match_Number]],Dyno_Data[RecordType],"EndMatch")</f>
        <v>44.5485215</v>
      </c>
      <c r="CB113">
        <f>SUMIFS(Dyno_Data[ClimbT], Dyno_Data[Team],TBA_Matches_All[[#This Row],[Team]],Dyno_Data[Match],TBA_Matches_All[[#This Row],[Match_Number]],Dyno_Data[RecordType],"EndMatch")</f>
        <v>0</v>
      </c>
      <c r="CC113" t="str">
        <f>_xlfn.XLOOKUP(SUM(MID(TBA_Matches_All[[#This Row],[Team]],4,5),(TBA_Matches_All[[#This Row],[Match_Number]]/100)),Dyno_EndMatch[teammat],Dyno_EndMatch[StageStat],"_",0,1)</f>
        <v>Park</v>
      </c>
      <c r="CD113" t="str">
        <f>_xlfn.XLOOKUP(TBA_Matches_All[[#This Row],[teammat]],Dyno_EndMatch[teammat],Dyno_EndMatch[StageAtt],"_",0,1)</f>
        <v>0</v>
      </c>
      <c r="CE113" t="str">
        <f>_xlfn.XLOOKUP(TBA_Matches_All[[#This Row],[teammat]],Dyno_EndMatch[teammat],Dyno_EndMatch[StageLoc],"_",0,1)</f>
        <v>A</v>
      </c>
      <c r="CF113">
        <f>SUMIFS(Dyno_Data[Harmony], Dyno_Data[Team],TBA_Matches_All[[#This Row],[Team]],Dyno_Data[Match],TBA_Matches_All[[#This Row],[Match_Number]],Dyno_Data[RecordType],"EndMatch", Dyno_Data[StageStat],"On",Dyno_Data[Harmony],"&lt;&gt;9")</f>
        <v>0</v>
      </c>
      <c r="CG113">
        <f>SUMIFS(Dyno_Data[Spotlit], Dyno_Data[Team],TBA_Matches_All[[#This Row],[Team]],Dyno_Data[Match],TBA_Matches_All[[#This Row],[Match_Number]],Dyno_Data[RecordType],"EndMatch", Dyno_Data[StageStat],"On",Dyno_Data[Spotlit],"&lt;&gt;9")</f>
        <v>0</v>
      </c>
      <c r="CH113" t="str">
        <f>_xlfn.XLOOKUP(TBA_Matches_All[[#This Row],[teammat]],Dyno_EndMatch[teammat],Dyno_EndMatch[Strategy],"_",0,1)</f>
        <v>Defense</v>
      </c>
      <c r="CI113">
        <f>SUMIFS(Dyno_Data[Defense], Dyno_Data[Team],TBA_Matches_All[[#This Row],[Team]],Dyno_Data[Match],TBA_Matches_All[[#This Row],[Match_Number]],Dyno_Data[RecordType],"EndMatch",Dyno_Data[Defense],"&lt;&gt;9")</f>
        <v>2</v>
      </c>
      <c r="CJ113">
        <f>SUMIFS(Dyno_Data[Avoidance], Dyno_Data[Team],TBA_Matches_All[[#This Row],[Team]],Dyno_Data[Match],TBA_Matches_All[[#This Row],[Match_Number]],Dyno_Data[RecordType],"EndMatch",Dyno_Data[Avoidance],"&lt;&gt;9")</f>
        <v>0</v>
      </c>
      <c r="CK113" s="82">
        <f>COUNTIF($H$2:TBA_Matches_All[[#This Row],[Team]],TBA_Matches_All[[#This Row],[Team]])</f>
        <v>3</v>
      </c>
      <c r="CL113" s="111">
        <f>SUM(MID(TBA_Matches_All[[#This Row],[Team]],4,5)+TBA_Matches_All[[#This Row],[Match_Number]]/100)</f>
        <v>7030.19</v>
      </c>
      <c r="CM113">
        <f>SUM((TBA_Matches_All[[#This Row],[Leave]]*2)+(TBA_Matches_All[[#This Row],[AampT]]*2)+(TBA_Matches_All[[#This Row],[AspkrT]]*5)+(TBA_Matches_All[[#This Row],[AtrapT]]*5))</f>
        <v>0</v>
      </c>
      <c r="CN113" s="59">
        <f>IFERROR(SUM(TBA_Matches_All[[#This Row],[AptsT]]/TBA_Matches_All[[#This Row],[AutoPts]]),0)</f>
        <v>0</v>
      </c>
      <c r="CO113" s="59">
        <f>IFERROR(SUM(TBA_Matches_All[[#This Row],[AampT]]+TBA_Matches_All[[#This Row],[AspkrT]]+TBA_Matches_All[[#This Row],[AtrapT]]/TBA_Matches_All[[#This Row],[Aamp]]+TBA_Matches_All[[#This Row],[Aspkr]]+TBA_Matches_All[[#This Row],[AtrapT]]),0)</f>
        <v>0</v>
      </c>
      <c r="CP113" s="59">
        <f>IFERROR(SUM(TBA_Matches_All[[#This Row],[TampT]]/TBA_Matches_All[[#This Row],[Tamp]]),0)</f>
        <v>0</v>
      </c>
      <c r="CQ113" s="59">
        <f>IFERROR(SUM(TBA_Matches_All[[#This Row],[TspkrT]]/TBA_Matches_All[[#This Row],[Tspkr]]),0)</f>
        <v>0</v>
      </c>
      <c r="CR113">
        <f>SUM(TBA_Matches_All[[#This Row],[TspkrPts]]*TBA_Matches_All[[#This Row],[TspkrP]])</f>
        <v>0</v>
      </c>
      <c r="CS113" s="59">
        <f>IFERROR(SUM(TBA_Matches_All[[#This Row],[TtrapT]]/TBA_Matches_All[[#This Row],[Trap]]),0)</f>
        <v>0</v>
      </c>
      <c r="CT113" s="59">
        <f>IFERROR(SUM(TBA_Matches_All[[#This Row],[TotNotesT]]/TBA_Matches_All[[#This Row],[TotNotes]]),0)</f>
        <v>0</v>
      </c>
      <c r="CU113" s="66">
        <f>SUM((TBA_Matches_All[[#This Row],[AampT]]*2)+(TBA_Matches_All[[#This Row],[AspkrT]]*5)+(TBA_Matches_All[[#This Row],[AtrapT]]*5)+(TBA_Matches_All[[#This Row],[TampT]]*1)+(TBA_Matches_All[[#This Row],[TspkrptsC]]))</f>
        <v>0</v>
      </c>
      <c r="CV113" s="59">
        <f>IFERROR(TBA_Matches_All[[#This Row],[noteptsT]]/TBA_Matches_All[[#This Row],[NotePts]],0)</f>
        <v>0</v>
      </c>
      <c r="CW113">
        <f>SUM(IF(TBA_Matches_All[[#This Row],[stageStat]]="On",3,0),IF(TBA_Matches_All[[#This Row],[stageStat]]="Park",1,0),SUMIFS(TBA_Matches_All[[#This Row],[Spotlit]],TBA_Matches_All[[#This Row],[stageStat]],"On"),SUMIFS(TBA_Matches_All[[#This Row],[Harmony]],TBA_Matches_All[[#This Row],[stageStat]],"On"))</f>
        <v>1</v>
      </c>
      <c r="CX113" s="59">
        <f>IFERROR(TBA_Matches_All[[#This Row],[stageptsT]]/TBA_Matches_All[[#This Row],[StagePts]],0)</f>
        <v>0.2</v>
      </c>
      <c r="CY113">
        <f>SUM((TBA_Matches_All[[#This Row],[AptsT]]+TBA_Matches_All[[#This Row],[TampT]]+TBA_Matches_All[[#This Row],[TspkrptsC]]+(TBA_Matches_All[[#This Row],[TtrapT]]*5)+TBA_Matches_All[[#This Row],[stageptsT]]))</f>
        <v>1</v>
      </c>
      <c r="CZ113" s="59">
        <f>IFERROR(SUM(TBA_Matches_All[[#This Row],[TotptsC]]/TBA_Matches_All[[#This Row],[Score]]),0)</f>
        <v>3.2258064516129031E-2</v>
      </c>
      <c r="DA11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13" s="74">
        <f>SUMIFS(TBA_Matches_All[AveTeamTNoteDels],TBA_Matches_All[Match_Number],TBA_Matches_All[[#This Row],[Match_Number]],TBA_Matches_All[Alliance],"&lt;&gt;"&amp;TBA_Matches_All[[#This Row],[Alliance]],TBA_Matches_All[Scouted],"&gt;0")</f>
        <v>36.06666666666667</v>
      </c>
      <c r="DC113" s="74">
        <f>(TBA_Matches_All[[#This Row],[TampT]]+TBA_Matches_All[[#This Row],[TspkrptsC]])-TBA_Matches_All[[#This Row],[AveTeamTNoteDels]]</f>
        <v>0</v>
      </c>
      <c r="DD113" s="74">
        <f>SUMIFS(TBA_Matches_All[AveTeamTNoteDels],TBA_Matches_All[Match_Number],TBA_Matches_All[[#This Row],[Match_Number]],TBA_Matches_All[Alliance],"&lt;&gt;"&amp;TBA_Matches_All[[#This Row],[Alliance]])-TBA_Matches_All[[#This Row],[AveOppTNoteDels]]</f>
        <v>0</v>
      </c>
    </row>
    <row r="114" spans="1:108" x14ac:dyDescent="0.3">
      <c r="A114" t="s">
        <v>1042</v>
      </c>
      <c r="B114" t="s">
        <v>489</v>
      </c>
      <c r="C114" t="s">
        <v>1328</v>
      </c>
      <c r="D114">
        <v>19</v>
      </c>
      <c r="E114" t="s">
        <v>1406</v>
      </c>
      <c r="F114" t="s">
        <v>1426</v>
      </c>
      <c r="G114" t="s">
        <v>164</v>
      </c>
      <c r="H114" t="s">
        <v>370</v>
      </c>
      <c r="I114" t="b">
        <v>1</v>
      </c>
      <c r="J114">
        <v>74</v>
      </c>
      <c r="K114">
        <v>1</v>
      </c>
      <c r="L114">
        <v>1</v>
      </c>
      <c r="M114">
        <v>0</v>
      </c>
      <c r="N114">
        <v>0</v>
      </c>
      <c r="O114">
        <v>4</v>
      </c>
      <c r="P114">
        <v>20</v>
      </c>
      <c r="Q114">
        <v>24</v>
      </c>
      <c r="R114">
        <v>5</v>
      </c>
      <c r="S114">
        <v>3</v>
      </c>
      <c r="T114">
        <v>7</v>
      </c>
      <c r="U114">
        <v>15</v>
      </c>
      <c r="V114">
        <v>14</v>
      </c>
      <c r="W114">
        <v>10</v>
      </c>
      <c r="X114">
        <v>29</v>
      </c>
      <c r="Y114">
        <v>34</v>
      </c>
      <c r="Z114">
        <v>0</v>
      </c>
      <c r="AA114">
        <v>0</v>
      </c>
      <c r="AB114">
        <v>19</v>
      </c>
      <c r="AC114">
        <v>54</v>
      </c>
      <c r="AD114">
        <v>11</v>
      </c>
      <c r="AE114">
        <f>IFERROR(6/(COUNTIF(Dyno_EndMatch[Match],TBA_Matches_All[[#This Row],[Match_Number]])),0)</f>
        <v>1</v>
      </c>
      <c r="AF114">
        <f>COUNTIFS(Dyno_Data[Team],TBA_Matches_All[[#This Row],[Team]],Dyno_Data[Match],TBA_Matches_All[[#This Row],[Match_Number]],Dyno_Data[RecordType],"EndMatch",Dyno_Data[HPAmp],"Y")</f>
        <v>0</v>
      </c>
      <c r="AG114">
        <f>SUMIFS(Dyno_Data[Mics], Dyno_Data[Team],TBA_Matches_All[[#This Row],[Team]],Dyno_Data[Match],TBA_Matches_All[[#This Row],[Match_Number]],Dyno_Data[RecordType],"EndMatch",Dyno_Data[HPAmp],"Y")</f>
        <v>0</v>
      </c>
      <c r="AH114">
        <f>SUMIFS(Dyno_Data[Leave], Dyno_Data[Team],TBA_Matches_All[[#This Row],[Team]],Dyno_Data[Match],TBA_Matches_All[[#This Row],[Match_Number]],Dyno_Data[RecordType],"EndAuto")</f>
        <v>1</v>
      </c>
      <c r="AI114">
        <f>COUNTIFS(Dyno_Data[Team],TBA_Matches_All[[#This Row],[Team]],Dyno_Data[Match],TBA_Matches_All[[#This Row],[Match_Number]],Dyno_Data[RecordType],"Activities",Dyno_Data[DelDest],"Amp", Dyno_Data[DelMiss],"0", Dyno_Data[Mode],"Auto")</f>
        <v>0</v>
      </c>
      <c r="AJ114">
        <f>COUNTIFS(Dyno_Data[Team],TBA_Matches_All[[#This Row],[Team]],Dyno_Data[Match],TBA_Matches_All[[#This Row],[Match_Number]],Dyno_Data[RecordType],"Activities",Dyno_Data[DelDest],"Spkr", Dyno_Data[DelMiss],"0", Dyno_Data[Mode],"Auto")</f>
        <v>0</v>
      </c>
      <c r="AK114">
        <f>COUNTIFS(Dyno_Data[Team],TBA_Matches_All[[#This Row],[Team]],Dyno_Data[Match],TBA_Matches_All[[#This Row],[Match_Number]],Dyno_Data[RecordType],"Activities",Dyno_Data[DelDest],"Trap", Dyno_Data[DelMiss],"0", Dyno_Data[Mode],"Auto")</f>
        <v>0</v>
      </c>
      <c r="AL114">
        <f>COUNTIFS(Dyno_Data[Team],TBA_Matches_All[[#This Row],[Team]],Dyno_Data[Match],TBA_Matches_All[[#This Row],[Match_Number]],Dyno_Data[RecordType],"Activities",Dyno_Data[DelDest],"Amp", Dyno_Data[DelMiss],"0", Dyno_Data[Mode],"Teleop")</f>
        <v>0</v>
      </c>
      <c r="AM114">
        <f>COUNTIFS(Dyno_Data[Team],TBA_Matches_All[[#This Row],[Team]],Dyno_Data[Match],TBA_Matches_All[[#This Row],[Match_Number]],Dyno_Data[RecordType],"Activities",Dyno_Data[DelDest],"Spkr", Dyno_Data[DelMiss],"0", Dyno_Data[Mode],"Teleop")</f>
        <v>5</v>
      </c>
      <c r="AN114">
        <f>COUNTIFS(Dyno_Data[Team],TBA_Matches_All[[#This Row],[Team]],Dyno_Data[Match],TBA_Matches_All[[#This Row],[Match_Number]],Dyno_Data[RecordType],"Activities",Dyno_Data[DelDest],"Trap", Dyno_Data[DelMiss],"0", Dyno_Data[Mode],"&lt;&gt;Auto")</f>
        <v>0</v>
      </c>
      <c r="AO114">
        <f>SUM(TBA_Matches_All[[#This Row],[AampT]]+TBA_Matches_All[[#This Row],[AspkrT]]+TBA_Matches_All[[#This Row],[AtrapT]]+TBA_Matches_All[[#This Row],[TampT]]+TBA_Matches_All[[#This Row],[TspkrT]]+TBA_Matches_All[[#This Row],[TtrapT]])</f>
        <v>5</v>
      </c>
      <c r="AP114">
        <f>COUNTIFS(Dyno_Data[Team],TBA_Matches_All[[#This Row],[Team]],Dyno_Data[Match],TBA_Matches_All[[#This Row],[Match_Number]],Dyno_Data[RecordType],"Activities",Dyno_Data[DelDest],"Neut", Dyno_Data[DelMiss],"0")</f>
        <v>0</v>
      </c>
      <c r="AQ114">
        <f>COUNTIFS(Dyno_Data[Team],TBA_Matches_All[[#This Row],[Team]],Dyno_Data[Match],TBA_Matches_All[[#This Row],[Match_Number]],Dyno_Data[RecordType],"Activities",Dyno_Data[DelDest],"AllyW", Dyno_Data[DelMiss],"0")</f>
        <v>0</v>
      </c>
      <c r="AR114" t="str">
        <f>_xlfn.XLOOKUP(SUM(MID(TBA_Matches_All[[#This Row],[Team]],4,5),(TBA_Matches_All[[#This Row],[Match_Number]]/100)),Dyno_EndMatch[teammat],Dyno_EndMatch[RobotSta],"_",0,1)</f>
        <v>Podm</v>
      </c>
      <c r="AS114">
        <f>SUMIFS(Dyno_Data[AcqDis], Dyno_Data[Team],TBA_Matches_All[[#This Row],[Team]],Dyno_Data[Match],TBA_Matches_All[[#This Row],[Match_Number]],Dyno_Data[RecordType],"Activities", Dyno_Data[AcqCenter],1,Dyno_Data[Mode],"Auto")</f>
        <v>0</v>
      </c>
      <c r="AT114">
        <f>SUMIFS(Dyno_Data[AcqDis], Dyno_Data[Team],TBA_Matches_All[[#This Row],[Team]],Dyno_Data[Match],TBA_Matches_All[[#This Row],[Match_Number]],Dyno_Data[RecordType],"Activities", Dyno_Data[AcqCenter],2,Dyno_Data[Mode],"Auto")</f>
        <v>0</v>
      </c>
      <c r="AU114">
        <f>SUMIFS(Dyno_Data[AcqDis], Dyno_Data[Team],TBA_Matches_All[[#This Row],[Team]],Dyno_Data[Match],TBA_Matches_All[[#This Row],[Match_Number]],Dyno_Data[RecordType],"Activities", Dyno_Data[AcqCenter],3,Dyno_Data[Mode],"Auto")</f>
        <v>0</v>
      </c>
      <c r="AV114">
        <f>SUMIFS(Dyno_Data[AcqDis], Dyno_Data[Team],TBA_Matches_All[[#This Row],[Team]],Dyno_Data[Match],TBA_Matches_All[[#This Row],[Match_Number]],Dyno_Data[RecordType],"Activities", Dyno_Data[AcqCenter],4,Dyno_Data[Mode],"Auto")</f>
        <v>0</v>
      </c>
      <c r="AW114">
        <f>SUMIFS(Dyno_Data[AcqDis], Dyno_Data[Team],TBA_Matches_All[[#This Row],[Team]],Dyno_Data[Match],TBA_Matches_All[[#This Row],[Match_Number]],Dyno_Data[RecordType],"Activities", Dyno_Data[AcqCenter],5,Dyno_Data[Mode],"Auto")</f>
        <v>0</v>
      </c>
      <c r="AX114">
        <f>SUMIFS(Dyno_Data[DelMiss], Dyno_Data[Team],TBA_Matches_All[[#This Row],[Team]],Dyno_Data[Match],TBA_Matches_All[[#This Row],[Match_Number]],Dyno_Data[RecordType],"Activities", Dyno_Data[DelDest],"Amp")</f>
        <v>0</v>
      </c>
      <c r="AY114" s="60">
        <f>IFERROR(SUM((TBA_Matches_All[[#This Row],[AampT]]+TBA_Matches_All[[#This Row],[TampT]])/(TBA_Matches_All[[#This Row],[AampT]]+TBA_Matches_All[[#This Row],[TampT]]+TBA_Matches_All[[#This Row],[ampM]])),0)</f>
        <v>0</v>
      </c>
      <c r="AZ114">
        <f>SUMIFS(Dyno_Data[DelMiss], Dyno_Data[Team],TBA_Matches_All[[#This Row],[Team]],Dyno_Data[Match],TBA_Matches_All[[#This Row],[Match_Number]],Dyno_Data[RecordType],"Activities", Dyno_Data[DelDest],"Spkr")</f>
        <v>2</v>
      </c>
      <c r="BA114" s="60">
        <f>IFERROR(SUM((TBA_Matches_All[[#This Row],[AspkrT]]+TBA_Matches_All[[#This Row],[TspkrT]])/(TBA_Matches_All[[#This Row],[AspkrT]]+TBA_Matches_All[[#This Row],[TspkrT]]+TBA_Matches_All[[#This Row],[spkrM]])),0)</f>
        <v>0.7142857142857143</v>
      </c>
      <c r="BB114">
        <f>SUMIFS(Dyno_Data[DelMiss], Dyno_Data[Team],TBA_Matches_All[[#This Row],[Team]],Dyno_Data[Match],TBA_Matches_All[[#This Row],[Match_Number]],Dyno_Data[RecordType],"Activities", Dyno_Data[DelDest],"Trap")</f>
        <v>0</v>
      </c>
      <c r="BC114" s="60">
        <f>IFERROR((TBA_Matches_All[[#This Row],[AtrapT]]+TBA_Matches_All[[#This Row],[TtrapT]])/(TBA_Matches_All[[#This Row],[AtrapT]]+TBA_Matches_All[[#This Row],[TtrapT]]+TBA_Matches_All[[#This Row],[trapM]]),0)</f>
        <v>0</v>
      </c>
      <c r="BD114">
        <f>COUNTIFS(Dyno_Data[Team],TBA_Matches_All[[#This Row],[Team]],Dyno_Data[Match],TBA_Matches_All[[#This Row],[Match_Number]],Dyno_Data[RecordType],"Activities",Dyno_Data[DelDest],"Neut", Dyno_Data[DelMiss],1)</f>
        <v>0</v>
      </c>
      <c r="BE114" s="60">
        <f>IFERROR(SUM((TBA_Matches_All[[#This Row],[NeutFlrT]])/(TBA_Matches_All[[#This Row],[NeutFlrT]]+TBA_Matches_All[[#This Row],[NZflM]])),0)</f>
        <v>0</v>
      </c>
      <c r="BF114">
        <f>COUNTIFS(Dyno_Data[Team],TBA_Matches_All[[#This Row],[Team]],Dyno_Data[Match],TBA_Matches_All[[#This Row],[Match_Number]],Dyno_Data[RecordType],"Activities",Dyno_Data[DelDest],"AllyW", Dyno_Data[DelMiss],1)</f>
        <v>0</v>
      </c>
      <c r="BG114" s="60">
        <f>IFERROR(SUM((TBA_Matches_All[[#This Row],[AllyWFlrT]])/(TBA_Matches_All[[#This Row],[AllyWFlrT]]+TBA_Matches_All[[#This Row],[AZflM]])),0)</f>
        <v>0</v>
      </c>
      <c r="BH114">
        <f>COUNTIFS(Dyno_Data[Team],TBA_Matches_All[[#This Row],[Team]],Dyno_Data[Match],TBA_Matches_All[[#This Row],[Match_Number]],Dyno_Data[RecordType],"Activities",Dyno_Data[DelOrig],"OppW", Dyno_Data[DelMiss],"0")</f>
        <v>0</v>
      </c>
      <c r="BI114">
        <f>COUNTIFS(Dyno_Data[Team],TBA_Matches_All[[#This Row],[Team]],Dyno_Data[Match],TBA_Matches_All[[#This Row],[Match_Number]],Dyno_Data[RecordType],"Activities",Dyno_Data[DelOrig],"OppW", Dyno_Data[DelMiss],"1")</f>
        <v>0</v>
      </c>
      <c r="BJ114" s="60">
        <f>IFERROR(SUM((TBA_Matches_All[[#This Row],[OZflrT]])/(TBA_Matches_All[[#This Row],[OZflrT]]+TBA_Matches_All[[#This Row],[OZflrM]])),0)</f>
        <v>0</v>
      </c>
      <c r="BK114">
        <f>COUNTIFS(Dyno_Data[Team],TBA_Matches_All[[#This Row],[Team]],Dyno_Data[Match],TBA_Matches_All[[#This Row],[Match_Number]],Dyno_Data[RecordType],"Activities",Dyno_Data[DelOrig],"Neut", Dyno_Data[DelMiss],"0")</f>
        <v>0</v>
      </c>
      <c r="BL114">
        <f>COUNTIFS(Dyno_Data[Team],TBA_Matches_All[[#This Row],[Team]],Dyno_Data[Match],TBA_Matches_All[[#This Row],[Match_Number]],Dyno_Data[RecordType],"Activities",Dyno_Data[DelOrig],"Neut", Dyno_Data[DelMiss],"1")</f>
        <v>0</v>
      </c>
      <c r="BM114" s="60">
        <f>IFERROR(SUM((TBA_Matches_All[[#This Row],[NZflrT]])/(TBA_Matches_All[[#This Row],[NZflrT]]+TBA_Matches_All[[#This Row],[NZflrM]])),0)</f>
        <v>0</v>
      </c>
      <c r="BN114">
        <f>COUNTIFS(Dyno_Data[Team],TBA_Matches_All[[#This Row],[Team]],Dyno_Data[Match],TBA_Matches_All[[#This Row],[Match_Number]],Dyno_Data[RecordType],"Activities",Dyno_Data[DelOrig],"AllyW", Dyno_Data[DelMiss],"0")</f>
        <v>5</v>
      </c>
      <c r="BO114">
        <f>COUNTIFS(Dyno_Data[Team],TBA_Matches_All[[#This Row],[Team]],Dyno_Data[Match],TBA_Matches_All[[#This Row],[Match_Number]],Dyno_Data[RecordType],"Activities",Dyno_Data[DelOrig],"AllyW", Dyno_Data[DelMiss],"1")</f>
        <v>2</v>
      </c>
      <c r="BP114" s="60">
        <f>IFERROR(SUM((TBA_Matches_All[[#This Row],[AZflrT]])/(TBA_Matches_All[[#This Row],[AZflrT]]+TBA_Matches_All[[#This Row],[AZflrM]])),0)</f>
        <v>0.7142857142857143</v>
      </c>
      <c r="BQ114">
        <f>COUNTIFS(Dyno_Data[Team],TBA_Matches_All[[#This Row],[Team]],Dyno_Data[Match],TBA_Matches_All[[#This Row],[Match_Number]],Dyno_Data[RecordType],"Activities",Dyno_Data[DelOrig],"SubW", Dyno_Data[DelMiss],"0")</f>
        <v>0</v>
      </c>
      <c r="BR114">
        <f>COUNTIFS(Dyno_Data[Team],TBA_Matches_All[[#This Row],[Team]],Dyno_Data[Match],TBA_Matches_All[[#This Row],[Match_Number]],Dyno_Data[RecordType],"Activities",Dyno_Data[DelOrig],"SubW", Dyno_Data[DelMiss],"1")</f>
        <v>0</v>
      </c>
      <c r="BS114" s="60">
        <f>IFERROR(SUM((TBA_Matches_All[[#This Row],[SubwT]])/(TBA_Matches_All[[#This Row],[SubwT]]+TBA_Matches_All[[#This Row],[SubwM]])),0)</f>
        <v>0</v>
      </c>
      <c r="BT114">
        <f>COUNTIFS(Dyno_Data[Team],TBA_Matches_All[[#This Row],[Team]],Dyno_Data[Match],TBA_Matches_All[[#This Row],[Match_Number]],Dyno_Data[RecordType],"Activities", Dyno_Data[AcqLoc],"OppWing")</f>
        <v>0</v>
      </c>
      <c r="BU114">
        <f>COUNTIFS(Dyno_Data[Team],TBA_Matches_All[[#This Row],[Team]],Dyno_Data[Match],TBA_Matches_All[[#This Row],[Match_Number]],Dyno_Data[RecordType],"Activities", Dyno_Data[AcqLoc],"Neutral")</f>
        <v>0</v>
      </c>
      <c r="BV114">
        <f>COUNTIFS(Dyno_Data[Team],TBA_Matches_All[[#This Row],[Team]],Dyno_Data[Match],TBA_Matches_All[[#This Row],[Match_Number]],Dyno_Data[RecordType],"Activities", Dyno_Data[AcqLoc],"AllyWing")</f>
        <v>0</v>
      </c>
      <c r="BW114">
        <f>COUNTIFS(Dyno_Data[Team],TBA_Matches_All[[#This Row],[Team]],Dyno_Data[Match],TBA_Matches_All[[#This Row],[Match_Number]],Dyno_Data[RecordType],"Activities", Dyno_Data[AcqLoc],"Source")</f>
        <v>0</v>
      </c>
      <c r="BX114">
        <f>SUMIFS(Dyno_Data[AcqDrp], Dyno_Data[Team],TBA_Matches_All[[#This Row],[Team]],Dyno_Data[Match],TBA_Matches_All[[#This Row],[Match_Number]],Dyno_Data[RecordType],"Activities", Dyno_Data[AcqLoc],"Source")</f>
        <v>0</v>
      </c>
      <c r="BY114">
        <f>SUMIFS(Dyno_Data[OZTime], Dyno_Data[Team],TBA_Matches_All[[#This Row],[Team]],Dyno_Data[Match],TBA_Matches_All[[#This Row],[Match_Number]],Dyno_Data[RecordType],"EndMatch")</f>
        <v>18.566584899999999</v>
      </c>
      <c r="BZ114">
        <f>SUMIFS(Dyno_Data[NZTime], Dyno_Data[Team],TBA_Matches_All[[#This Row],[Team]],Dyno_Data[Match],TBA_Matches_All[[#This Row],[Match_Number]],Dyno_Data[RecordType],"EndMatch")</f>
        <v>26.119009699999999</v>
      </c>
      <c r="CA114">
        <f>SUMIFS(Dyno_Data[AZTime], Dyno_Data[Team],TBA_Matches_All[[#This Row],[Team]],Dyno_Data[Match],TBA_Matches_All[[#This Row],[Match_Number]],Dyno_Data[RecordType],"EndMatch")</f>
        <v>54.980634199999997</v>
      </c>
      <c r="CB114">
        <f>SUMIFS(Dyno_Data[ClimbT], Dyno_Data[Team],TBA_Matches_All[[#This Row],[Team]],Dyno_Data[Match],TBA_Matches_All[[#This Row],[Match_Number]],Dyno_Data[RecordType],"EndMatch")</f>
        <v>26.8994961</v>
      </c>
      <c r="CC114" t="str">
        <f>_xlfn.XLOOKUP(SUM(MID(TBA_Matches_All[[#This Row],[Team]],4,5),(TBA_Matches_All[[#This Row],[Match_Number]]/100)),Dyno_EndMatch[teammat],Dyno_EndMatch[StageStat],"_",0,1)</f>
        <v>On</v>
      </c>
      <c r="CD114" t="str">
        <f>_xlfn.XLOOKUP(TBA_Matches_All[[#This Row],[teammat]],Dyno_EndMatch[teammat],Dyno_EndMatch[StageAtt],"_",0,1)</f>
        <v>1</v>
      </c>
      <c r="CE114" t="str">
        <f>_xlfn.XLOOKUP(TBA_Matches_All[[#This Row],[teammat]],Dyno_EndMatch[teammat],Dyno_EndMatch[StageLoc],"_",0,1)</f>
        <v>R</v>
      </c>
      <c r="CF114">
        <f>SUMIFS(Dyno_Data[Harmony], Dyno_Data[Team],TBA_Matches_All[[#This Row],[Team]],Dyno_Data[Match],TBA_Matches_All[[#This Row],[Match_Number]],Dyno_Data[RecordType],"EndMatch", Dyno_Data[StageStat],"On",Dyno_Data[Harmony],"&lt;&gt;9")</f>
        <v>1</v>
      </c>
      <c r="CG114">
        <f>SUMIFS(Dyno_Data[Spotlit], Dyno_Data[Team],TBA_Matches_All[[#This Row],[Team]],Dyno_Data[Match],TBA_Matches_All[[#This Row],[Match_Number]],Dyno_Data[RecordType],"EndMatch", Dyno_Data[StageStat],"On",Dyno_Data[Spotlit],"&lt;&gt;9")</f>
        <v>0</v>
      </c>
      <c r="CH114" t="str">
        <f>_xlfn.XLOOKUP(TBA_Matches_All[[#This Row],[teammat]],Dyno_EndMatch[teammat],Dyno_EndMatch[Strategy],"_",0,1)</f>
        <v>Hybrid</v>
      </c>
      <c r="CI114">
        <f>SUMIFS(Dyno_Data[Defense], Dyno_Data[Team],TBA_Matches_All[[#This Row],[Team]],Dyno_Data[Match],TBA_Matches_All[[#This Row],[Match_Number]],Dyno_Data[RecordType],"EndMatch",Dyno_Data[Defense],"&lt;&gt;9")</f>
        <v>0</v>
      </c>
      <c r="CJ114">
        <f>SUMIFS(Dyno_Data[Avoidance], Dyno_Data[Team],TBA_Matches_All[[#This Row],[Team]],Dyno_Data[Match],TBA_Matches_All[[#This Row],[Match_Number]],Dyno_Data[RecordType],"EndMatch",Dyno_Data[Avoidance],"&lt;&gt;9")</f>
        <v>1</v>
      </c>
      <c r="CK114" s="82">
        <f>COUNTIF($H$2:TBA_Matches_All[[#This Row],[Team]],TBA_Matches_All[[#This Row],[Team]])</f>
        <v>3</v>
      </c>
      <c r="CL114" s="111">
        <f>SUM(MID(TBA_Matches_All[[#This Row],[Team]],4,5)+TBA_Matches_All[[#This Row],[Match_Number]]/100)</f>
        <v>6911.19</v>
      </c>
      <c r="CM114">
        <f>SUM((TBA_Matches_All[[#This Row],[Leave]]*2)+(TBA_Matches_All[[#This Row],[AampT]]*2)+(TBA_Matches_All[[#This Row],[AspkrT]]*5)+(TBA_Matches_All[[#This Row],[AtrapT]]*5))</f>
        <v>2</v>
      </c>
      <c r="CN114" s="59">
        <f>IFERROR(SUM(TBA_Matches_All[[#This Row],[AptsT]]/TBA_Matches_All[[#This Row],[AutoPts]]),0)</f>
        <v>8.3333333333333329E-2</v>
      </c>
      <c r="CO114" s="59">
        <f>IFERROR(SUM(TBA_Matches_All[[#This Row],[AampT]]+TBA_Matches_All[[#This Row],[AspkrT]]+TBA_Matches_All[[#This Row],[AtrapT]]/TBA_Matches_All[[#This Row],[Aamp]]+TBA_Matches_All[[#This Row],[Aspkr]]+TBA_Matches_All[[#This Row],[AtrapT]]),0)</f>
        <v>0</v>
      </c>
      <c r="CP114" s="59">
        <f>IFERROR(SUM(TBA_Matches_All[[#This Row],[TampT]]/TBA_Matches_All[[#This Row],[Tamp]]),0)</f>
        <v>0</v>
      </c>
      <c r="CQ114" s="59">
        <f>IFERROR(SUM(TBA_Matches_All[[#This Row],[TspkrT]]/TBA_Matches_All[[#This Row],[Tspkr]]),0)</f>
        <v>0.5</v>
      </c>
      <c r="CR114">
        <f>SUM(TBA_Matches_All[[#This Row],[TspkrPts]]*TBA_Matches_All[[#This Row],[TspkrP]])</f>
        <v>14.5</v>
      </c>
      <c r="CS114" s="59">
        <f>IFERROR(SUM(TBA_Matches_All[[#This Row],[TtrapT]]/TBA_Matches_All[[#This Row],[Trap]]),0)</f>
        <v>0</v>
      </c>
      <c r="CT114" s="59">
        <f>IFERROR(SUM(TBA_Matches_All[[#This Row],[TotNotesT]]/TBA_Matches_All[[#This Row],[TotNotes]]),0)</f>
        <v>0.26315789473684209</v>
      </c>
      <c r="CU114" s="66">
        <f>SUM((TBA_Matches_All[[#This Row],[AampT]]*2)+(TBA_Matches_All[[#This Row],[AspkrT]]*5)+(TBA_Matches_All[[#This Row],[AtrapT]]*5)+(TBA_Matches_All[[#This Row],[TampT]]*1)+(TBA_Matches_All[[#This Row],[TspkrptsC]]))</f>
        <v>14.5</v>
      </c>
      <c r="CV114" s="59">
        <f>IFERROR(TBA_Matches_All[[#This Row],[noteptsT]]/TBA_Matches_All[[#This Row],[NotePts]],0)</f>
        <v>0.26851851851851855</v>
      </c>
      <c r="CW114">
        <f>SUM(IF(TBA_Matches_All[[#This Row],[stageStat]]="On",3,0),IF(TBA_Matches_All[[#This Row],[stageStat]]="Park",1,0),SUMIFS(TBA_Matches_All[[#This Row],[Spotlit]],TBA_Matches_All[[#This Row],[stageStat]],"On"),SUMIFS(TBA_Matches_All[[#This Row],[Harmony]],TBA_Matches_All[[#This Row],[stageStat]],"On"))</f>
        <v>4</v>
      </c>
      <c r="CX114" s="59">
        <f>IFERROR(TBA_Matches_All[[#This Row],[stageptsT]]/TBA_Matches_All[[#This Row],[StagePts]],0)</f>
        <v>0.36363636363636365</v>
      </c>
      <c r="CY114">
        <f>SUM((TBA_Matches_All[[#This Row],[AptsT]]+TBA_Matches_All[[#This Row],[TampT]]+TBA_Matches_All[[#This Row],[TspkrptsC]]+(TBA_Matches_All[[#This Row],[TtrapT]]*5)+TBA_Matches_All[[#This Row],[stageptsT]]))</f>
        <v>20.5</v>
      </c>
      <c r="CZ114" s="59">
        <f>IFERROR(SUM(TBA_Matches_All[[#This Row],[TotptsC]]/TBA_Matches_All[[#This Row],[Score]]),0)</f>
        <v>0.27702702702702703</v>
      </c>
      <c r="DA11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v>
      </c>
      <c r="DB114" s="74">
        <f>SUMIFS(TBA_Matches_All[AveTeamTNoteDels],TBA_Matches_All[Match_Number],TBA_Matches_All[[#This Row],[Match_Number]],TBA_Matches_All[Alliance],"&lt;&gt;"&amp;TBA_Matches_All[[#This Row],[Alliance]],TBA_Matches_All[Scouted],"&gt;0")</f>
        <v>20.649621212121211</v>
      </c>
      <c r="DC114" s="74">
        <f>(TBA_Matches_All[[#This Row],[TampT]]+TBA_Matches_All[[#This Row],[TspkrptsC]])-TBA_Matches_All[[#This Row],[AveTeamTNoteDels]]</f>
        <v>-0.5</v>
      </c>
      <c r="DD114" s="74">
        <f>SUMIFS(TBA_Matches_All[AveTeamTNoteDels],TBA_Matches_All[Match_Number],TBA_Matches_All[[#This Row],[Match_Number]],TBA_Matches_All[Alliance],"&lt;&gt;"&amp;TBA_Matches_All[[#This Row],[Alliance]])-TBA_Matches_All[[#This Row],[AveOppTNoteDels]]</f>
        <v>0</v>
      </c>
    </row>
    <row r="115" spans="1:108" x14ac:dyDescent="0.3">
      <c r="A115" t="s">
        <v>1042</v>
      </c>
      <c r="B115" t="s">
        <v>489</v>
      </c>
      <c r="C115" t="s">
        <v>1328</v>
      </c>
      <c r="D115">
        <v>19</v>
      </c>
      <c r="E115" t="s">
        <v>1420</v>
      </c>
      <c r="F115" t="s">
        <v>1421</v>
      </c>
      <c r="G115" t="s">
        <v>164</v>
      </c>
      <c r="H115" t="s">
        <v>1288</v>
      </c>
      <c r="I115" t="b">
        <v>1</v>
      </c>
      <c r="J115">
        <v>31</v>
      </c>
      <c r="K115">
        <v>0</v>
      </c>
      <c r="L115">
        <v>0</v>
      </c>
      <c r="M115">
        <v>5</v>
      </c>
      <c r="N115">
        <v>0</v>
      </c>
      <c r="O115">
        <v>3</v>
      </c>
      <c r="P115">
        <v>15</v>
      </c>
      <c r="Q115">
        <v>17</v>
      </c>
      <c r="R115">
        <v>1</v>
      </c>
      <c r="S115">
        <v>0</v>
      </c>
      <c r="T115">
        <v>4</v>
      </c>
      <c r="U115">
        <v>0</v>
      </c>
      <c r="V115">
        <v>8</v>
      </c>
      <c r="W115">
        <v>4</v>
      </c>
      <c r="X115">
        <v>8</v>
      </c>
      <c r="Y115">
        <v>9</v>
      </c>
      <c r="Z115">
        <v>0</v>
      </c>
      <c r="AA115">
        <v>0</v>
      </c>
      <c r="AB115">
        <v>8</v>
      </c>
      <c r="AC115">
        <v>24</v>
      </c>
      <c r="AD115">
        <v>5</v>
      </c>
      <c r="AE115">
        <f>IFERROR(6/(COUNTIF(Dyno_EndMatch[Match],TBA_Matches_All[[#This Row],[Match_Number]])),0)</f>
        <v>1</v>
      </c>
      <c r="AF115">
        <f>COUNTIFS(Dyno_Data[Team],TBA_Matches_All[[#This Row],[Team]],Dyno_Data[Match],TBA_Matches_All[[#This Row],[Match_Number]],Dyno_Data[RecordType],"EndMatch",Dyno_Data[HPAmp],"Y")</f>
        <v>0</v>
      </c>
      <c r="AG115">
        <f>SUMIFS(Dyno_Data[Mics], Dyno_Data[Team],TBA_Matches_All[[#This Row],[Team]],Dyno_Data[Match],TBA_Matches_All[[#This Row],[Match_Number]],Dyno_Data[RecordType],"EndMatch",Dyno_Data[HPAmp],"Y")</f>
        <v>0</v>
      </c>
      <c r="AH115">
        <f>SUMIFS(Dyno_Data[Leave], Dyno_Data[Team],TBA_Matches_All[[#This Row],[Team]],Dyno_Data[Match],TBA_Matches_All[[#This Row],[Match_Number]],Dyno_Data[RecordType],"EndAuto")</f>
        <v>1</v>
      </c>
      <c r="AI115">
        <f>COUNTIFS(Dyno_Data[Team],TBA_Matches_All[[#This Row],[Team]],Dyno_Data[Match],TBA_Matches_All[[#This Row],[Match_Number]],Dyno_Data[RecordType],"Activities",Dyno_Data[DelDest],"Amp", Dyno_Data[DelMiss],"0", Dyno_Data[Mode],"Auto")</f>
        <v>0</v>
      </c>
      <c r="AJ115">
        <f>COUNTIFS(Dyno_Data[Team],TBA_Matches_All[[#This Row],[Team]],Dyno_Data[Match],TBA_Matches_All[[#This Row],[Match_Number]],Dyno_Data[RecordType],"Activities",Dyno_Data[DelDest],"Spkr", Dyno_Data[DelMiss],"0", Dyno_Data[Mode],"Auto")</f>
        <v>2</v>
      </c>
      <c r="AK115">
        <f>COUNTIFS(Dyno_Data[Team],TBA_Matches_All[[#This Row],[Team]],Dyno_Data[Match],TBA_Matches_All[[#This Row],[Match_Number]],Dyno_Data[RecordType],"Activities",Dyno_Data[DelDest],"Trap", Dyno_Data[DelMiss],"0", Dyno_Data[Mode],"Auto")</f>
        <v>0</v>
      </c>
      <c r="AL115">
        <f>COUNTIFS(Dyno_Data[Team],TBA_Matches_All[[#This Row],[Team]],Dyno_Data[Match],TBA_Matches_All[[#This Row],[Match_Number]],Dyno_Data[RecordType],"Activities",Dyno_Data[DelDest],"Amp", Dyno_Data[DelMiss],"0", Dyno_Data[Mode],"Teleop")</f>
        <v>0</v>
      </c>
      <c r="AM115">
        <f>COUNTIFS(Dyno_Data[Team],TBA_Matches_All[[#This Row],[Team]],Dyno_Data[Match],TBA_Matches_All[[#This Row],[Match_Number]],Dyno_Data[RecordType],"Activities",Dyno_Data[DelDest],"Spkr", Dyno_Data[DelMiss],"0", Dyno_Data[Mode],"Teleop")</f>
        <v>0</v>
      </c>
      <c r="AN115">
        <f>COUNTIFS(Dyno_Data[Team],TBA_Matches_All[[#This Row],[Team]],Dyno_Data[Match],TBA_Matches_All[[#This Row],[Match_Number]],Dyno_Data[RecordType],"Activities",Dyno_Data[DelDest],"Trap", Dyno_Data[DelMiss],"0", Dyno_Data[Mode],"&lt;&gt;Auto")</f>
        <v>0</v>
      </c>
      <c r="AO115">
        <f>SUM(TBA_Matches_All[[#This Row],[AampT]]+TBA_Matches_All[[#This Row],[AspkrT]]+TBA_Matches_All[[#This Row],[AtrapT]]+TBA_Matches_All[[#This Row],[TampT]]+TBA_Matches_All[[#This Row],[TspkrT]]+TBA_Matches_All[[#This Row],[TtrapT]])</f>
        <v>2</v>
      </c>
      <c r="AP115">
        <f>COUNTIFS(Dyno_Data[Team],TBA_Matches_All[[#This Row],[Team]],Dyno_Data[Match],TBA_Matches_All[[#This Row],[Match_Number]],Dyno_Data[RecordType],"Activities",Dyno_Data[DelDest],"Neut", Dyno_Data[DelMiss],"0")</f>
        <v>0</v>
      </c>
      <c r="AQ115">
        <f>COUNTIFS(Dyno_Data[Team],TBA_Matches_All[[#This Row],[Team]],Dyno_Data[Match],TBA_Matches_All[[#This Row],[Match_Number]],Dyno_Data[RecordType],"Activities",Dyno_Data[DelDest],"AllyW", Dyno_Data[DelMiss],"0")</f>
        <v>0</v>
      </c>
      <c r="AR115" t="str">
        <f>_xlfn.XLOOKUP(SUM(MID(TBA_Matches_All[[#This Row],[Team]],4,5),(TBA_Matches_All[[#This Row],[Match_Number]]/100)),Dyno_EndMatch[teammat],Dyno_EndMatch[RobotSta],"_",0,1)</f>
        <v>Podm</v>
      </c>
      <c r="AS115">
        <f>SUMIFS(Dyno_Data[AcqDis], Dyno_Data[Team],TBA_Matches_All[[#This Row],[Team]],Dyno_Data[Match],TBA_Matches_All[[#This Row],[Match_Number]],Dyno_Data[RecordType],"Activities", Dyno_Data[AcqCenter],1,Dyno_Data[Mode],"Auto")</f>
        <v>0</v>
      </c>
      <c r="AT115">
        <f>SUMIFS(Dyno_Data[AcqDis], Dyno_Data[Team],TBA_Matches_All[[#This Row],[Team]],Dyno_Data[Match],TBA_Matches_All[[#This Row],[Match_Number]],Dyno_Data[RecordType],"Activities", Dyno_Data[AcqCenter],2,Dyno_Data[Mode],"Auto")</f>
        <v>0</v>
      </c>
      <c r="AU115">
        <f>SUMIFS(Dyno_Data[AcqDis], Dyno_Data[Team],TBA_Matches_All[[#This Row],[Team]],Dyno_Data[Match],TBA_Matches_All[[#This Row],[Match_Number]],Dyno_Data[RecordType],"Activities", Dyno_Data[AcqCenter],3,Dyno_Data[Mode],"Auto")</f>
        <v>-1</v>
      </c>
      <c r="AV115">
        <f>SUMIFS(Dyno_Data[AcqDis], Dyno_Data[Team],TBA_Matches_All[[#This Row],[Team]],Dyno_Data[Match],TBA_Matches_All[[#This Row],[Match_Number]],Dyno_Data[RecordType],"Activities", Dyno_Data[AcqCenter],4,Dyno_Data[Mode],"Auto")</f>
        <v>0</v>
      </c>
      <c r="AW115">
        <f>SUMIFS(Dyno_Data[AcqDis], Dyno_Data[Team],TBA_Matches_All[[#This Row],[Team]],Dyno_Data[Match],TBA_Matches_All[[#This Row],[Match_Number]],Dyno_Data[RecordType],"Activities", Dyno_Data[AcqCenter],5,Dyno_Data[Mode],"Auto")</f>
        <v>0</v>
      </c>
      <c r="AX115">
        <f>SUMIFS(Dyno_Data[DelMiss], Dyno_Data[Team],TBA_Matches_All[[#This Row],[Team]],Dyno_Data[Match],TBA_Matches_All[[#This Row],[Match_Number]],Dyno_Data[RecordType],"Activities", Dyno_Data[DelDest],"Amp")</f>
        <v>0</v>
      </c>
      <c r="AY115" s="60">
        <f>IFERROR(SUM((TBA_Matches_All[[#This Row],[AampT]]+TBA_Matches_All[[#This Row],[TampT]])/(TBA_Matches_All[[#This Row],[AampT]]+TBA_Matches_All[[#This Row],[TampT]]+TBA_Matches_All[[#This Row],[ampM]])),0)</f>
        <v>0</v>
      </c>
      <c r="AZ115">
        <f>SUMIFS(Dyno_Data[DelMiss], Dyno_Data[Team],TBA_Matches_All[[#This Row],[Team]],Dyno_Data[Match],TBA_Matches_All[[#This Row],[Match_Number]],Dyno_Data[RecordType],"Activities", Dyno_Data[DelDest],"Spkr")</f>
        <v>0</v>
      </c>
      <c r="BA115" s="60">
        <f>IFERROR(SUM((TBA_Matches_All[[#This Row],[AspkrT]]+TBA_Matches_All[[#This Row],[TspkrT]])/(TBA_Matches_All[[#This Row],[AspkrT]]+TBA_Matches_All[[#This Row],[TspkrT]]+TBA_Matches_All[[#This Row],[spkrM]])),0)</f>
        <v>1</v>
      </c>
      <c r="BB115">
        <f>SUMIFS(Dyno_Data[DelMiss], Dyno_Data[Team],TBA_Matches_All[[#This Row],[Team]],Dyno_Data[Match],TBA_Matches_All[[#This Row],[Match_Number]],Dyno_Data[RecordType],"Activities", Dyno_Data[DelDest],"Trap")</f>
        <v>0</v>
      </c>
      <c r="BC115" s="60">
        <f>IFERROR((TBA_Matches_All[[#This Row],[AtrapT]]+TBA_Matches_All[[#This Row],[TtrapT]])/(TBA_Matches_All[[#This Row],[AtrapT]]+TBA_Matches_All[[#This Row],[TtrapT]]+TBA_Matches_All[[#This Row],[trapM]]),0)</f>
        <v>0</v>
      </c>
      <c r="BD115">
        <f>COUNTIFS(Dyno_Data[Team],TBA_Matches_All[[#This Row],[Team]],Dyno_Data[Match],TBA_Matches_All[[#This Row],[Match_Number]],Dyno_Data[RecordType],"Activities",Dyno_Data[DelDest],"Neut", Dyno_Data[DelMiss],1)</f>
        <v>0</v>
      </c>
      <c r="BE115" s="60">
        <f>IFERROR(SUM((TBA_Matches_All[[#This Row],[NeutFlrT]])/(TBA_Matches_All[[#This Row],[NeutFlrT]]+TBA_Matches_All[[#This Row],[NZflM]])),0)</f>
        <v>0</v>
      </c>
      <c r="BF115">
        <f>COUNTIFS(Dyno_Data[Team],TBA_Matches_All[[#This Row],[Team]],Dyno_Data[Match],TBA_Matches_All[[#This Row],[Match_Number]],Dyno_Data[RecordType],"Activities",Dyno_Data[DelDest],"AllyW", Dyno_Data[DelMiss],1)</f>
        <v>0</v>
      </c>
      <c r="BG115" s="60">
        <f>IFERROR(SUM((TBA_Matches_All[[#This Row],[AllyWFlrT]])/(TBA_Matches_All[[#This Row],[AllyWFlrT]]+TBA_Matches_All[[#This Row],[AZflM]])),0)</f>
        <v>0</v>
      </c>
      <c r="BH115">
        <f>COUNTIFS(Dyno_Data[Team],TBA_Matches_All[[#This Row],[Team]],Dyno_Data[Match],TBA_Matches_All[[#This Row],[Match_Number]],Dyno_Data[RecordType],"Activities",Dyno_Data[DelOrig],"OppW", Dyno_Data[DelMiss],"0")</f>
        <v>0</v>
      </c>
      <c r="BI115">
        <f>COUNTIFS(Dyno_Data[Team],TBA_Matches_All[[#This Row],[Team]],Dyno_Data[Match],TBA_Matches_All[[#This Row],[Match_Number]],Dyno_Data[RecordType],"Activities",Dyno_Data[DelOrig],"OppW", Dyno_Data[DelMiss],"1")</f>
        <v>0</v>
      </c>
      <c r="BJ115" s="60">
        <f>IFERROR(SUM((TBA_Matches_All[[#This Row],[OZflrT]])/(TBA_Matches_All[[#This Row],[OZflrT]]+TBA_Matches_All[[#This Row],[OZflrM]])),0)</f>
        <v>0</v>
      </c>
      <c r="BK115">
        <f>COUNTIFS(Dyno_Data[Team],TBA_Matches_All[[#This Row],[Team]],Dyno_Data[Match],TBA_Matches_All[[#This Row],[Match_Number]],Dyno_Data[RecordType],"Activities",Dyno_Data[DelOrig],"Neut", Dyno_Data[DelMiss],"0")</f>
        <v>1</v>
      </c>
      <c r="BL115">
        <f>COUNTIFS(Dyno_Data[Team],TBA_Matches_All[[#This Row],[Team]],Dyno_Data[Match],TBA_Matches_All[[#This Row],[Match_Number]],Dyno_Data[RecordType],"Activities",Dyno_Data[DelOrig],"Neut", Dyno_Data[DelMiss],"1")</f>
        <v>0</v>
      </c>
      <c r="BM115" s="60">
        <f>IFERROR(SUM((TBA_Matches_All[[#This Row],[NZflrT]])/(TBA_Matches_All[[#This Row],[NZflrT]]+TBA_Matches_All[[#This Row],[NZflrM]])),0)</f>
        <v>1</v>
      </c>
      <c r="BN115">
        <f>COUNTIFS(Dyno_Data[Team],TBA_Matches_All[[#This Row],[Team]],Dyno_Data[Match],TBA_Matches_All[[#This Row],[Match_Number]],Dyno_Data[RecordType],"Activities",Dyno_Data[DelOrig],"AllyW", Dyno_Data[DelMiss],"0")</f>
        <v>1</v>
      </c>
      <c r="BO115">
        <f>COUNTIFS(Dyno_Data[Team],TBA_Matches_All[[#This Row],[Team]],Dyno_Data[Match],TBA_Matches_All[[#This Row],[Match_Number]],Dyno_Data[RecordType],"Activities",Dyno_Data[DelOrig],"AllyW", Dyno_Data[DelMiss],"1")</f>
        <v>0</v>
      </c>
      <c r="BP115" s="60">
        <f>IFERROR(SUM((TBA_Matches_All[[#This Row],[AZflrT]])/(TBA_Matches_All[[#This Row],[AZflrT]]+TBA_Matches_All[[#This Row],[AZflrM]])),0)</f>
        <v>1</v>
      </c>
      <c r="BQ115">
        <f>COUNTIFS(Dyno_Data[Team],TBA_Matches_All[[#This Row],[Team]],Dyno_Data[Match],TBA_Matches_All[[#This Row],[Match_Number]],Dyno_Data[RecordType],"Activities",Dyno_Data[DelOrig],"SubW", Dyno_Data[DelMiss],"0")</f>
        <v>0</v>
      </c>
      <c r="BR115">
        <f>COUNTIFS(Dyno_Data[Team],TBA_Matches_All[[#This Row],[Team]],Dyno_Data[Match],TBA_Matches_All[[#This Row],[Match_Number]],Dyno_Data[RecordType],"Activities",Dyno_Data[DelOrig],"SubW", Dyno_Data[DelMiss],"1")</f>
        <v>0</v>
      </c>
      <c r="BS115" s="60">
        <f>IFERROR(SUM((TBA_Matches_All[[#This Row],[SubwT]])/(TBA_Matches_All[[#This Row],[SubwT]]+TBA_Matches_All[[#This Row],[SubwM]])),0)</f>
        <v>0</v>
      </c>
      <c r="BT115">
        <f>COUNTIFS(Dyno_Data[Team],TBA_Matches_All[[#This Row],[Team]],Dyno_Data[Match],TBA_Matches_All[[#This Row],[Match_Number]],Dyno_Data[RecordType],"Activities", Dyno_Data[AcqLoc],"OppWing")</f>
        <v>0</v>
      </c>
      <c r="BU115">
        <f>COUNTIFS(Dyno_Data[Team],TBA_Matches_All[[#This Row],[Team]],Dyno_Data[Match],TBA_Matches_All[[#This Row],[Match_Number]],Dyno_Data[RecordType],"Activities", Dyno_Data[AcqLoc],"Neutral")</f>
        <v>1</v>
      </c>
      <c r="BV115">
        <f>COUNTIFS(Dyno_Data[Team],TBA_Matches_All[[#This Row],[Team]],Dyno_Data[Match],TBA_Matches_All[[#This Row],[Match_Number]],Dyno_Data[RecordType],"Activities", Dyno_Data[AcqLoc],"AllyWing")</f>
        <v>0</v>
      </c>
      <c r="BW115">
        <f>COUNTIFS(Dyno_Data[Team],TBA_Matches_All[[#This Row],[Team]],Dyno_Data[Match],TBA_Matches_All[[#This Row],[Match_Number]],Dyno_Data[RecordType],"Activities", Dyno_Data[AcqLoc],"Source")</f>
        <v>0</v>
      </c>
      <c r="BX115">
        <f>SUMIFS(Dyno_Data[AcqDrp], Dyno_Data[Team],TBA_Matches_All[[#This Row],[Team]],Dyno_Data[Match],TBA_Matches_All[[#This Row],[Match_Number]],Dyno_Data[RecordType],"Activities", Dyno_Data[AcqLoc],"Source")</f>
        <v>0</v>
      </c>
      <c r="BY115">
        <f>SUMIFS(Dyno_Data[OZTime], Dyno_Data[Team],TBA_Matches_All[[#This Row],[Team]],Dyno_Data[Match],TBA_Matches_All[[#This Row],[Match_Number]],Dyno_Data[RecordType],"EndMatch")</f>
        <v>19.211180199999998</v>
      </c>
      <c r="BZ115">
        <f>SUMIFS(Dyno_Data[NZTime], Dyno_Data[Team],TBA_Matches_All[[#This Row],[Team]],Dyno_Data[Match],TBA_Matches_All[[#This Row],[Match_Number]],Dyno_Data[RecordType],"EndMatch")</f>
        <v>35.843882299999997</v>
      </c>
      <c r="CA115">
        <f>SUMIFS(Dyno_Data[AZTime], Dyno_Data[Team],TBA_Matches_All[[#This Row],[Team]],Dyno_Data[Match],TBA_Matches_All[[#This Row],[Match_Number]],Dyno_Data[RecordType],"EndMatch")</f>
        <v>55.798890699999994</v>
      </c>
      <c r="CB115">
        <f>SUMIFS(Dyno_Data[ClimbT], Dyno_Data[Team],TBA_Matches_All[[#This Row],[Team]],Dyno_Data[Match],TBA_Matches_All[[#This Row],[Match_Number]],Dyno_Data[RecordType],"EndMatch")</f>
        <v>6.7446899999999994</v>
      </c>
      <c r="CC115" t="str">
        <f>_xlfn.XLOOKUP(SUM(MID(TBA_Matches_All[[#This Row],[Team]],4,5),(TBA_Matches_All[[#This Row],[Match_Number]]/100)),Dyno_EndMatch[teammat],Dyno_EndMatch[StageStat],"_",0,1)</f>
        <v>On</v>
      </c>
      <c r="CD115" t="str">
        <f>_xlfn.XLOOKUP(TBA_Matches_All[[#This Row],[teammat]],Dyno_EndMatch[teammat],Dyno_EndMatch[StageAtt],"_",0,1)</f>
        <v>1</v>
      </c>
      <c r="CE115" t="str">
        <f>_xlfn.XLOOKUP(TBA_Matches_All[[#This Row],[teammat]],Dyno_EndMatch[teammat],Dyno_EndMatch[StageLoc],"_",0,1)</f>
        <v>R</v>
      </c>
      <c r="CF115">
        <f>SUMIFS(Dyno_Data[Harmony], Dyno_Data[Team],TBA_Matches_All[[#This Row],[Team]],Dyno_Data[Match],TBA_Matches_All[[#This Row],[Match_Number]],Dyno_Data[RecordType],"EndMatch", Dyno_Data[StageStat],"On",Dyno_Data[Harmony],"&lt;&gt;9")</f>
        <v>0</v>
      </c>
      <c r="CG115">
        <f>SUMIFS(Dyno_Data[Spotlit], Dyno_Data[Team],TBA_Matches_All[[#This Row],[Team]],Dyno_Data[Match],TBA_Matches_All[[#This Row],[Match_Number]],Dyno_Data[RecordType],"EndMatch", Dyno_Data[StageStat],"On",Dyno_Data[Spotlit],"&lt;&gt;9")</f>
        <v>0</v>
      </c>
      <c r="CH115" t="str">
        <f>_xlfn.XLOOKUP(TBA_Matches_All[[#This Row],[teammat]],Dyno_EndMatch[teammat],Dyno_EndMatch[Strategy],"_",0,1)</f>
        <v>Defense</v>
      </c>
      <c r="CI115">
        <f>SUMIFS(Dyno_Data[Defense], Dyno_Data[Team],TBA_Matches_All[[#This Row],[Team]],Dyno_Data[Match],TBA_Matches_All[[#This Row],[Match_Number]],Dyno_Data[RecordType],"EndMatch",Dyno_Data[Defense],"&lt;&gt;9")</f>
        <v>3</v>
      </c>
      <c r="CJ115">
        <f>SUMIFS(Dyno_Data[Avoidance], Dyno_Data[Team],TBA_Matches_All[[#This Row],[Team]],Dyno_Data[Match],TBA_Matches_All[[#This Row],[Match_Number]],Dyno_Data[RecordType],"EndMatch",Dyno_Data[Avoidance],"&lt;&gt;9")</f>
        <v>0</v>
      </c>
      <c r="CK115" s="82">
        <f>COUNTIF($H$2:TBA_Matches_All[[#This Row],[Team]],TBA_Matches_All[[#This Row],[Team]])</f>
        <v>3</v>
      </c>
      <c r="CL115" s="111">
        <f>SUM(MID(TBA_Matches_All[[#This Row],[Team]],4,5)+TBA_Matches_All[[#This Row],[Match_Number]]/100)</f>
        <v>3181.19</v>
      </c>
      <c r="CM115">
        <f>SUM((TBA_Matches_All[[#This Row],[Leave]]*2)+(TBA_Matches_All[[#This Row],[AampT]]*2)+(TBA_Matches_All[[#This Row],[AspkrT]]*5)+(TBA_Matches_All[[#This Row],[AtrapT]]*5))</f>
        <v>12</v>
      </c>
      <c r="CN115" s="59">
        <f>IFERROR(SUM(TBA_Matches_All[[#This Row],[AptsT]]/TBA_Matches_All[[#This Row],[AutoPts]]),0)</f>
        <v>0.70588235294117652</v>
      </c>
      <c r="CO115" s="59">
        <f>IFERROR(SUM(TBA_Matches_All[[#This Row],[AampT]]+TBA_Matches_All[[#This Row],[AspkrT]]+TBA_Matches_All[[#This Row],[AtrapT]]/TBA_Matches_All[[#This Row],[Aamp]]+TBA_Matches_All[[#This Row],[Aspkr]]+TBA_Matches_All[[#This Row],[AtrapT]]),0)</f>
        <v>0</v>
      </c>
      <c r="CP115" s="59">
        <f>IFERROR(SUM(TBA_Matches_All[[#This Row],[TampT]]/TBA_Matches_All[[#This Row],[Tamp]]),0)</f>
        <v>0</v>
      </c>
      <c r="CQ115" s="59">
        <f>IFERROR(SUM(TBA_Matches_All[[#This Row],[TspkrT]]/TBA_Matches_All[[#This Row],[Tspkr]]),0)</f>
        <v>0</v>
      </c>
      <c r="CR115">
        <f>SUM(TBA_Matches_All[[#This Row],[TspkrPts]]*TBA_Matches_All[[#This Row],[TspkrP]])</f>
        <v>0</v>
      </c>
      <c r="CS115" s="59">
        <f>IFERROR(SUM(TBA_Matches_All[[#This Row],[TtrapT]]/TBA_Matches_All[[#This Row],[Trap]]),0)</f>
        <v>0</v>
      </c>
      <c r="CT115" s="59">
        <f>IFERROR(SUM(TBA_Matches_All[[#This Row],[TotNotesT]]/TBA_Matches_All[[#This Row],[TotNotes]]),0)</f>
        <v>0.25</v>
      </c>
      <c r="CU115" s="66">
        <f>SUM((TBA_Matches_All[[#This Row],[AampT]]*2)+(TBA_Matches_All[[#This Row],[AspkrT]]*5)+(TBA_Matches_All[[#This Row],[AtrapT]]*5)+(TBA_Matches_All[[#This Row],[TampT]]*1)+(TBA_Matches_All[[#This Row],[TspkrptsC]]))</f>
        <v>10</v>
      </c>
      <c r="CV115" s="59">
        <f>IFERROR(TBA_Matches_All[[#This Row],[noteptsT]]/TBA_Matches_All[[#This Row],[NotePts]],0)</f>
        <v>0.41666666666666669</v>
      </c>
      <c r="CW115">
        <f>SUM(IF(TBA_Matches_All[[#This Row],[stageStat]]="On",3,0),IF(TBA_Matches_All[[#This Row],[stageStat]]="Park",1,0),SUMIFS(TBA_Matches_All[[#This Row],[Spotlit]],TBA_Matches_All[[#This Row],[stageStat]],"On"),SUMIFS(TBA_Matches_All[[#This Row],[Harmony]],TBA_Matches_All[[#This Row],[stageStat]],"On"))</f>
        <v>3</v>
      </c>
      <c r="CX115" s="59">
        <f>IFERROR(TBA_Matches_All[[#This Row],[stageptsT]]/TBA_Matches_All[[#This Row],[StagePts]],0)</f>
        <v>0.6</v>
      </c>
      <c r="CY115">
        <f>SUM((TBA_Matches_All[[#This Row],[AptsT]]+TBA_Matches_All[[#This Row],[TampT]]+TBA_Matches_All[[#This Row],[TspkrptsC]]+(TBA_Matches_All[[#This Row],[TtrapT]]*5)+TBA_Matches_All[[#This Row],[stageptsT]]))</f>
        <v>15</v>
      </c>
      <c r="CZ115" s="59">
        <f>IFERROR(SUM(TBA_Matches_All[[#This Row],[TotptsC]]/TBA_Matches_All[[#This Row],[Score]]),0)</f>
        <v>0.4838709677419355</v>
      </c>
      <c r="DA11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9.5871212121212128</v>
      </c>
      <c r="DB115" s="74">
        <f>SUMIFS(TBA_Matches_All[AveTeamTNoteDels],TBA_Matches_All[Match_Number],TBA_Matches_All[[#This Row],[Match_Number]],TBA_Matches_All[Alliance],"&lt;&gt;"&amp;TBA_Matches_All[[#This Row],[Alliance]],TBA_Matches_All[Scouted],"&gt;0")</f>
        <v>36.06666666666667</v>
      </c>
      <c r="DC115" s="74">
        <f>(TBA_Matches_All[[#This Row],[TampT]]+TBA_Matches_All[[#This Row],[TspkrptsC]])-TBA_Matches_All[[#This Row],[AveTeamTNoteDels]]</f>
        <v>-9.5871212121212128</v>
      </c>
      <c r="DD115" s="74">
        <f>SUMIFS(TBA_Matches_All[AveTeamTNoteDels],TBA_Matches_All[Match_Number],TBA_Matches_All[[#This Row],[Match_Number]],TBA_Matches_All[Alliance],"&lt;&gt;"&amp;TBA_Matches_All[[#This Row],[Alliance]])-TBA_Matches_All[[#This Row],[AveOppTNoteDels]]</f>
        <v>0</v>
      </c>
    </row>
    <row r="116" spans="1:108" x14ac:dyDescent="0.3">
      <c r="A116" t="s">
        <v>1042</v>
      </c>
      <c r="B116" t="s">
        <v>489</v>
      </c>
      <c r="C116" t="s">
        <v>1328</v>
      </c>
      <c r="D116">
        <v>19</v>
      </c>
      <c r="E116" t="s">
        <v>1406</v>
      </c>
      <c r="F116" t="s">
        <v>1422</v>
      </c>
      <c r="G116" t="s">
        <v>105</v>
      </c>
      <c r="H116" t="s">
        <v>364</v>
      </c>
      <c r="I116" t="b">
        <v>1</v>
      </c>
      <c r="J116">
        <v>74</v>
      </c>
      <c r="K116">
        <v>1</v>
      </c>
      <c r="L116">
        <v>1</v>
      </c>
      <c r="M116">
        <v>0</v>
      </c>
      <c r="N116">
        <v>0</v>
      </c>
      <c r="O116">
        <v>4</v>
      </c>
      <c r="P116">
        <v>20</v>
      </c>
      <c r="Q116">
        <v>24</v>
      </c>
      <c r="R116">
        <v>5</v>
      </c>
      <c r="S116">
        <v>3</v>
      </c>
      <c r="T116">
        <v>7</v>
      </c>
      <c r="U116">
        <v>15</v>
      </c>
      <c r="V116">
        <v>14</v>
      </c>
      <c r="W116">
        <v>10</v>
      </c>
      <c r="X116">
        <v>29</v>
      </c>
      <c r="Y116">
        <v>34</v>
      </c>
      <c r="Z116">
        <v>0</v>
      </c>
      <c r="AA116">
        <v>0</v>
      </c>
      <c r="AB116">
        <v>19</v>
      </c>
      <c r="AC116">
        <v>54</v>
      </c>
      <c r="AD116">
        <v>11</v>
      </c>
      <c r="AE116">
        <f>IFERROR(6/(COUNTIF(Dyno_EndMatch[Match],TBA_Matches_All[[#This Row],[Match_Number]])),0)</f>
        <v>1</v>
      </c>
      <c r="AF116">
        <f>COUNTIFS(Dyno_Data[Team],TBA_Matches_All[[#This Row],[Team]],Dyno_Data[Match],TBA_Matches_All[[#This Row],[Match_Number]],Dyno_Data[RecordType],"EndMatch",Dyno_Data[HPAmp],"Y")</f>
        <v>1</v>
      </c>
      <c r="AG116">
        <f>SUMIFS(Dyno_Data[Mics], Dyno_Data[Team],TBA_Matches_All[[#This Row],[Team]],Dyno_Data[Match],TBA_Matches_All[[#This Row],[Match_Number]],Dyno_Data[RecordType],"EndMatch",Dyno_Data[HPAmp],"Y")</f>
        <v>0</v>
      </c>
      <c r="AH116">
        <f>SUMIFS(Dyno_Data[Leave], Dyno_Data[Team],TBA_Matches_All[[#This Row],[Team]],Dyno_Data[Match],TBA_Matches_All[[#This Row],[Match_Number]],Dyno_Data[RecordType],"EndAuto")</f>
        <v>1</v>
      </c>
      <c r="AI116">
        <f>COUNTIFS(Dyno_Data[Team],TBA_Matches_All[[#This Row],[Team]],Dyno_Data[Match],TBA_Matches_All[[#This Row],[Match_Number]],Dyno_Data[RecordType],"Activities",Dyno_Data[DelDest],"Amp", Dyno_Data[DelMiss],"0", Dyno_Data[Mode],"Auto")</f>
        <v>0</v>
      </c>
      <c r="AJ116">
        <f>COUNTIFS(Dyno_Data[Team],TBA_Matches_All[[#This Row],[Team]],Dyno_Data[Match],TBA_Matches_All[[#This Row],[Match_Number]],Dyno_Data[RecordType],"Activities",Dyno_Data[DelDest],"Spkr", Dyno_Data[DelMiss],"0", Dyno_Data[Mode],"Auto")</f>
        <v>1</v>
      </c>
      <c r="AK116">
        <f>COUNTIFS(Dyno_Data[Team],TBA_Matches_All[[#This Row],[Team]],Dyno_Data[Match],TBA_Matches_All[[#This Row],[Match_Number]],Dyno_Data[RecordType],"Activities",Dyno_Data[DelDest],"Trap", Dyno_Data[DelMiss],"0", Dyno_Data[Mode],"Auto")</f>
        <v>0</v>
      </c>
      <c r="AL116">
        <f>COUNTIFS(Dyno_Data[Team],TBA_Matches_All[[#This Row],[Team]],Dyno_Data[Match],TBA_Matches_All[[#This Row],[Match_Number]],Dyno_Data[RecordType],"Activities",Dyno_Data[DelDest],"Amp", Dyno_Data[DelMiss],"0", Dyno_Data[Mode],"Teleop")</f>
        <v>4</v>
      </c>
      <c r="AM116">
        <f>COUNTIFS(Dyno_Data[Team],TBA_Matches_All[[#This Row],[Team]],Dyno_Data[Match],TBA_Matches_All[[#This Row],[Match_Number]],Dyno_Data[RecordType],"Activities",Dyno_Data[DelDest],"Spkr", Dyno_Data[DelMiss],"0", Dyno_Data[Mode],"Teleop")</f>
        <v>2</v>
      </c>
      <c r="AN116">
        <f>COUNTIFS(Dyno_Data[Team],TBA_Matches_All[[#This Row],[Team]],Dyno_Data[Match],TBA_Matches_All[[#This Row],[Match_Number]],Dyno_Data[RecordType],"Activities",Dyno_Data[DelDest],"Trap", Dyno_Data[DelMiss],"0", Dyno_Data[Mode],"&lt;&gt;Auto")</f>
        <v>0</v>
      </c>
      <c r="AO116">
        <f>SUM(TBA_Matches_All[[#This Row],[AampT]]+TBA_Matches_All[[#This Row],[AspkrT]]+TBA_Matches_All[[#This Row],[AtrapT]]+TBA_Matches_All[[#This Row],[TampT]]+TBA_Matches_All[[#This Row],[TspkrT]]+TBA_Matches_All[[#This Row],[TtrapT]])</f>
        <v>7</v>
      </c>
      <c r="AP116">
        <f>COUNTIFS(Dyno_Data[Team],TBA_Matches_All[[#This Row],[Team]],Dyno_Data[Match],TBA_Matches_All[[#This Row],[Match_Number]],Dyno_Data[RecordType],"Activities",Dyno_Data[DelDest],"Neut", Dyno_Data[DelMiss],"0")</f>
        <v>0</v>
      </c>
      <c r="AQ116">
        <f>COUNTIFS(Dyno_Data[Team],TBA_Matches_All[[#This Row],[Team]],Dyno_Data[Match],TBA_Matches_All[[#This Row],[Match_Number]],Dyno_Data[RecordType],"Activities",Dyno_Data[DelDest],"AllyW", Dyno_Data[DelMiss],"0")</f>
        <v>0</v>
      </c>
      <c r="AR116" t="str">
        <f>_xlfn.XLOOKUP(SUM(MID(TBA_Matches_All[[#This Row],[Team]],4,5),(TBA_Matches_All[[#This Row],[Match_Number]]/100)),Dyno_EndMatch[teammat],Dyno_EndMatch[RobotSta],"_",0,1)</f>
        <v>SubW</v>
      </c>
      <c r="AS116">
        <f>SUMIFS(Dyno_Data[AcqDis], Dyno_Data[Team],TBA_Matches_All[[#This Row],[Team]],Dyno_Data[Match],TBA_Matches_All[[#This Row],[Match_Number]],Dyno_Data[RecordType],"Activities", Dyno_Data[AcqCenter],1,Dyno_Data[Mode],"Auto")</f>
        <v>0</v>
      </c>
      <c r="AT116">
        <f>SUMIFS(Dyno_Data[AcqDis], Dyno_Data[Team],TBA_Matches_All[[#This Row],[Team]],Dyno_Data[Match],TBA_Matches_All[[#This Row],[Match_Number]],Dyno_Data[RecordType],"Activities", Dyno_Data[AcqCenter],2,Dyno_Data[Mode],"Auto")</f>
        <v>0</v>
      </c>
      <c r="AU116">
        <f>SUMIFS(Dyno_Data[AcqDis], Dyno_Data[Team],TBA_Matches_All[[#This Row],[Team]],Dyno_Data[Match],TBA_Matches_All[[#This Row],[Match_Number]],Dyno_Data[RecordType],"Activities", Dyno_Data[AcqCenter],3,Dyno_Data[Mode],"Auto")</f>
        <v>1</v>
      </c>
      <c r="AV116">
        <f>SUMIFS(Dyno_Data[AcqDis], Dyno_Data[Team],TBA_Matches_All[[#This Row],[Team]],Dyno_Data[Match],TBA_Matches_All[[#This Row],[Match_Number]],Dyno_Data[RecordType],"Activities", Dyno_Data[AcqCenter],4,Dyno_Data[Mode],"Auto")</f>
        <v>0</v>
      </c>
      <c r="AW116">
        <f>SUMIFS(Dyno_Data[AcqDis], Dyno_Data[Team],TBA_Matches_All[[#This Row],[Team]],Dyno_Data[Match],TBA_Matches_All[[#This Row],[Match_Number]],Dyno_Data[RecordType],"Activities", Dyno_Data[AcqCenter],5,Dyno_Data[Mode],"Auto")</f>
        <v>0</v>
      </c>
      <c r="AX116">
        <f>SUMIFS(Dyno_Data[DelMiss], Dyno_Data[Team],TBA_Matches_All[[#This Row],[Team]],Dyno_Data[Match],TBA_Matches_All[[#This Row],[Match_Number]],Dyno_Data[RecordType],"Activities", Dyno_Data[DelDest],"Amp")</f>
        <v>0</v>
      </c>
      <c r="AY116" s="60">
        <f>IFERROR(SUM((TBA_Matches_All[[#This Row],[AampT]]+TBA_Matches_All[[#This Row],[TampT]])/(TBA_Matches_All[[#This Row],[AampT]]+TBA_Matches_All[[#This Row],[TampT]]+TBA_Matches_All[[#This Row],[ampM]])),0)</f>
        <v>1</v>
      </c>
      <c r="AZ116">
        <f>SUMIFS(Dyno_Data[DelMiss], Dyno_Data[Team],TBA_Matches_All[[#This Row],[Team]],Dyno_Data[Match],TBA_Matches_All[[#This Row],[Match_Number]],Dyno_Data[RecordType],"Activities", Dyno_Data[DelDest],"Spkr")</f>
        <v>0</v>
      </c>
      <c r="BA116" s="60">
        <f>IFERROR(SUM((TBA_Matches_All[[#This Row],[AspkrT]]+TBA_Matches_All[[#This Row],[TspkrT]])/(TBA_Matches_All[[#This Row],[AspkrT]]+TBA_Matches_All[[#This Row],[TspkrT]]+TBA_Matches_All[[#This Row],[spkrM]])),0)</f>
        <v>1</v>
      </c>
      <c r="BB116">
        <f>SUMIFS(Dyno_Data[DelMiss], Dyno_Data[Team],TBA_Matches_All[[#This Row],[Team]],Dyno_Data[Match],TBA_Matches_All[[#This Row],[Match_Number]],Dyno_Data[RecordType],"Activities", Dyno_Data[DelDest],"Trap")</f>
        <v>0</v>
      </c>
      <c r="BC116" s="60">
        <f>IFERROR((TBA_Matches_All[[#This Row],[AtrapT]]+TBA_Matches_All[[#This Row],[TtrapT]])/(TBA_Matches_All[[#This Row],[AtrapT]]+TBA_Matches_All[[#This Row],[TtrapT]]+TBA_Matches_All[[#This Row],[trapM]]),0)</f>
        <v>0</v>
      </c>
      <c r="BD116">
        <f>COUNTIFS(Dyno_Data[Team],TBA_Matches_All[[#This Row],[Team]],Dyno_Data[Match],TBA_Matches_All[[#This Row],[Match_Number]],Dyno_Data[RecordType],"Activities",Dyno_Data[DelDest],"Neut", Dyno_Data[DelMiss],1)</f>
        <v>0</v>
      </c>
      <c r="BE116" s="60">
        <f>IFERROR(SUM((TBA_Matches_All[[#This Row],[NeutFlrT]])/(TBA_Matches_All[[#This Row],[NeutFlrT]]+TBA_Matches_All[[#This Row],[NZflM]])),0)</f>
        <v>0</v>
      </c>
      <c r="BF116">
        <f>COUNTIFS(Dyno_Data[Team],TBA_Matches_All[[#This Row],[Team]],Dyno_Data[Match],TBA_Matches_All[[#This Row],[Match_Number]],Dyno_Data[RecordType],"Activities",Dyno_Data[DelDest],"AllyW", Dyno_Data[DelMiss],1)</f>
        <v>0</v>
      </c>
      <c r="BG116" s="60">
        <f>IFERROR(SUM((TBA_Matches_All[[#This Row],[AllyWFlrT]])/(TBA_Matches_All[[#This Row],[AllyWFlrT]]+TBA_Matches_All[[#This Row],[AZflM]])),0)</f>
        <v>0</v>
      </c>
      <c r="BH116">
        <f>COUNTIFS(Dyno_Data[Team],TBA_Matches_All[[#This Row],[Team]],Dyno_Data[Match],TBA_Matches_All[[#This Row],[Match_Number]],Dyno_Data[RecordType],"Activities",Dyno_Data[DelOrig],"OppW", Dyno_Data[DelMiss],"0")</f>
        <v>0</v>
      </c>
      <c r="BI116">
        <f>COUNTIFS(Dyno_Data[Team],TBA_Matches_All[[#This Row],[Team]],Dyno_Data[Match],TBA_Matches_All[[#This Row],[Match_Number]],Dyno_Data[RecordType],"Activities",Dyno_Data[DelOrig],"OppW", Dyno_Data[DelMiss],"1")</f>
        <v>0</v>
      </c>
      <c r="BJ116" s="60">
        <f>IFERROR(SUM((TBA_Matches_All[[#This Row],[OZflrT]])/(TBA_Matches_All[[#This Row],[OZflrT]]+TBA_Matches_All[[#This Row],[OZflrM]])),0)</f>
        <v>0</v>
      </c>
      <c r="BK116">
        <f>COUNTIFS(Dyno_Data[Team],TBA_Matches_All[[#This Row],[Team]],Dyno_Data[Match],TBA_Matches_All[[#This Row],[Match_Number]],Dyno_Data[RecordType],"Activities",Dyno_Data[DelOrig],"Neut", Dyno_Data[DelMiss],"0")</f>
        <v>0</v>
      </c>
      <c r="BL116">
        <f>COUNTIFS(Dyno_Data[Team],TBA_Matches_All[[#This Row],[Team]],Dyno_Data[Match],TBA_Matches_All[[#This Row],[Match_Number]],Dyno_Data[RecordType],"Activities",Dyno_Data[DelOrig],"Neut", Dyno_Data[DelMiss],"1")</f>
        <v>0</v>
      </c>
      <c r="BM116" s="60">
        <f>IFERROR(SUM((TBA_Matches_All[[#This Row],[NZflrT]])/(TBA_Matches_All[[#This Row],[NZflrT]]+TBA_Matches_All[[#This Row],[NZflrM]])),0)</f>
        <v>0</v>
      </c>
      <c r="BN116">
        <f>COUNTIFS(Dyno_Data[Team],TBA_Matches_All[[#This Row],[Team]],Dyno_Data[Match],TBA_Matches_All[[#This Row],[Match_Number]],Dyno_Data[RecordType],"Activities",Dyno_Data[DelOrig],"AllyW", Dyno_Data[DelMiss],"0")</f>
        <v>4</v>
      </c>
      <c r="BO116">
        <f>COUNTIFS(Dyno_Data[Team],TBA_Matches_All[[#This Row],[Team]],Dyno_Data[Match],TBA_Matches_All[[#This Row],[Match_Number]],Dyno_Data[RecordType],"Activities",Dyno_Data[DelOrig],"AllyW", Dyno_Data[DelMiss],"1")</f>
        <v>0</v>
      </c>
      <c r="BP116" s="60">
        <f>IFERROR(SUM((TBA_Matches_All[[#This Row],[AZflrT]])/(TBA_Matches_All[[#This Row],[AZflrT]]+TBA_Matches_All[[#This Row],[AZflrM]])),0)</f>
        <v>1</v>
      </c>
      <c r="BQ116">
        <f>COUNTIFS(Dyno_Data[Team],TBA_Matches_All[[#This Row],[Team]],Dyno_Data[Match],TBA_Matches_All[[#This Row],[Match_Number]],Dyno_Data[RecordType],"Activities",Dyno_Data[DelOrig],"SubW", Dyno_Data[DelMiss],"0")</f>
        <v>3</v>
      </c>
      <c r="BR116">
        <f>COUNTIFS(Dyno_Data[Team],TBA_Matches_All[[#This Row],[Team]],Dyno_Data[Match],TBA_Matches_All[[#This Row],[Match_Number]],Dyno_Data[RecordType],"Activities",Dyno_Data[DelOrig],"SubW", Dyno_Data[DelMiss],"1")</f>
        <v>0</v>
      </c>
      <c r="BS116" s="60">
        <f>IFERROR(SUM((TBA_Matches_All[[#This Row],[SubwT]])/(TBA_Matches_All[[#This Row],[SubwT]]+TBA_Matches_All[[#This Row],[SubwM]])),0)</f>
        <v>1</v>
      </c>
      <c r="BT116">
        <f>COUNTIFS(Dyno_Data[Team],TBA_Matches_All[[#This Row],[Team]],Dyno_Data[Match],TBA_Matches_All[[#This Row],[Match_Number]],Dyno_Data[RecordType],"Activities", Dyno_Data[AcqLoc],"OppWing")</f>
        <v>0</v>
      </c>
      <c r="BU116">
        <f>COUNTIFS(Dyno_Data[Team],TBA_Matches_All[[#This Row],[Team]],Dyno_Data[Match],TBA_Matches_All[[#This Row],[Match_Number]],Dyno_Data[RecordType],"Activities", Dyno_Data[AcqLoc],"Neutral")</f>
        <v>2</v>
      </c>
      <c r="BV116">
        <f>COUNTIFS(Dyno_Data[Team],TBA_Matches_All[[#This Row],[Team]],Dyno_Data[Match],TBA_Matches_All[[#This Row],[Match_Number]],Dyno_Data[RecordType],"Activities", Dyno_Data[AcqLoc],"AllyWing")</f>
        <v>0</v>
      </c>
      <c r="BW116">
        <f>COUNTIFS(Dyno_Data[Team],TBA_Matches_All[[#This Row],[Team]],Dyno_Data[Match],TBA_Matches_All[[#This Row],[Match_Number]],Dyno_Data[RecordType],"Activities", Dyno_Data[AcqLoc],"Source")</f>
        <v>0</v>
      </c>
      <c r="BX116">
        <f>SUMIFS(Dyno_Data[AcqDrp], Dyno_Data[Team],TBA_Matches_All[[#This Row],[Team]],Dyno_Data[Match],TBA_Matches_All[[#This Row],[Match_Number]],Dyno_Data[RecordType],"Activities", Dyno_Data[AcqLoc],"Source")</f>
        <v>0</v>
      </c>
      <c r="BY116">
        <f>SUMIFS(Dyno_Data[OZTime], Dyno_Data[Team],TBA_Matches_All[[#This Row],[Team]],Dyno_Data[Match],TBA_Matches_All[[#This Row],[Match_Number]],Dyno_Data[RecordType],"EndMatch")</f>
        <v>32.937038099999995</v>
      </c>
      <c r="BZ116">
        <f>SUMIFS(Dyno_Data[NZTime], Dyno_Data[Team],TBA_Matches_All[[#This Row],[Team]],Dyno_Data[Match],TBA_Matches_All[[#This Row],[Match_Number]],Dyno_Data[RecordType],"EndMatch")</f>
        <v>17.8568231</v>
      </c>
      <c r="CA116">
        <f>SUMIFS(Dyno_Data[AZTime], Dyno_Data[Team],TBA_Matches_All[[#This Row],[Team]],Dyno_Data[Match],TBA_Matches_All[[#This Row],[Match_Number]],Dyno_Data[RecordType],"EndMatch")</f>
        <v>56.107944199999999</v>
      </c>
      <c r="CB116">
        <f>SUMIFS(Dyno_Data[ClimbT], Dyno_Data[Team],TBA_Matches_All[[#This Row],[Team]],Dyno_Data[Match],TBA_Matches_All[[#This Row],[Match_Number]],Dyno_Data[RecordType],"EndMatch")</f>
        <v>19.7140424</v>
      </c>
      <c r="CC116" t="str">
        <f>_xlfn.XLOOKUP(SUM(MID(TBA_Matches_All[[#This Row],[Team]],4,5),(TBA_Matches_All[[#This Row],[Match_Number]]/100)),Dyno_EndMatch[teammat],Dyno_EndMatch[StageStat],"_",0,1)</f>
        <v>On</v>
      </c>
      <c r="CD116" t="str">
        <f>_xlfn.XLOOKUP(TBA_Matches_All[[#This Row],[teammat]],Dyno_EndMatch[teammat],Dyno_EndMatch[StageAtt],"_",0,1)</f>
        <v>1</v>
      </c>
      <c r="CE116" t="str">
        <f>_xlfn.XLOOKUP(TBA_Matches_All[[#This Row],[teammat]],Dyno_EndMatch[teammat],Dyno_EndMatch[StageLoc],"_",0,1)</f>
        <v>R</v>
      </c>
      <c r="CF116">
        <f>SUMIFS(Dyno_Data[Harmony], Dyno_Data[Team],TBA_Matches_All[[#This Row],[Team]],Dyno_Data[Match],TBA_Matches_All[[#This Row],[Match_Number]],Dyno_Data[RecordType],"EndMatch", Dyno_Data[StageStat],"On",Dyno_Data[Harmony],"&lt;&gt;9")</f>
        <v>1</v>
      </c>
      <c r="CG116">
        <f>SUMIFS(Dyno_Data[Spotlit], Dyno_Data[Team],TBA_Matches_All[[#This Row],[Team]],Dyno_Data[Match],TBA_Matches_All[[#This Row],[Match_Number]],Dyno_Data[RecordType],"EndMatch", Dyno_Data[StageStat],"On",Dyno_Data[Spotlit],"&lt;&gt;9")</f>
        <v>0</v>
      </c>
      <c r="CH116" t="str">
        <f>_xlfn.XLOOKUP(TBA_Matches_All[[#This Row],[teammat]],Dyno_EndMatch[teammat],Dyno_EndMatch[Strategy],"_",0,1)</f>
        <v>Hybrid</v>
      </c>
      <c r="CI116">
        <f>SUMIFS(Dyno_Data[Defense], Dyno_Data[Team],TBA_Matches_All[[#This Row],[Team]],Dyno_Data[Match],TBA_Matches_All[[#This Row],[Match_Number]],Dyno_Data[RecordType],"EndMatch",Dyno_Data[Defense],"&lt;&gt;9")</f>
        <v>0</v>
      </c>
      <c r="CJ116">
        <f>SUMIFS(Dyno_Data[Avoidance], Dyno_Data[Team],TBA_Matches_All[[#This Row],[Team]],Dyno_Data[Match],TBA_Matches_All[[#This Row],[Match_Number]],Dyno_Data[RecordType],"EndMatch",Dyno_Data[Avoidance],"&lt;&gt;9")</f>
        <v>1</v>
      </c>
      <c r="CK116" s="82">
        <f>COUNTIF($H$2:TBA_Matches_All[[#This Row],[Team]],TBA_Matches_All[[#This Row],[Team]])</f>
        <v>3</v>
      </c>
      <c r="CL116" s="111">
        <f>SUM(MID(TBA_Matches_All[[#This Row],[Team]],4,5)+TBA_Matches_All[[#This Row],[Match_Number]]/100)</f>
        <v>2791.19</v>
      </c>
      <c r="CM116">
        <f>SUM((TBA_Matches_All[[#This Row],[Leave]]*2)+(TBA_Matches_All[[#This Row],[AampT]]*2)+(TBA_Matches_All[[#This Row],[AspkrT]]*5)+(TBA_Matches_All[[#This Row],[AtrapT]]*5))</f>
        <v>7</v>
      </c>
      <c r="CN116" s="59">
        <f>IFERROR(SUM(TBA_Matches_All[[#This Row],[AptsT]]/TBA_Matches_All[[#This Row],[AutoPts]]),0)</f>
        <v>0.29166666666666669</v>
      </c>
      <c r="CO116" s="59">
        <f>IFERROR(SUM(TBA_Matches_All[[#This Row],[AampT]]+TBA_Matches_All[[#This Row],[AspkrT]]+TBA_Matches_All[[#This Row],[AtrapT]]/TBA_Matches_All[[#This Row],[Aamp]]+TBA_Matches_All[[#This Row],[Aspkr]]+TBA_Matches_All[[#This Row],[AtrapT]]),0)</f>
        <v>0</v>
      </c>
      <c r="CP116" s="59">
        <f>IFERROR(SUM(TBA_Matches_All[[#This Row],[TampT]]/TBA_Matches_All[[#This Row],[Tamp]]),0)</f>
        <v>0.8</v>
      </c>
      <c r="CQ116" s="59">
        <f>IFERROR(SUM(TBA_Matches_All[[#This Row],[TspkrT]]/TBA_Matches_All[[#This Row],[Tspkr]]),0)</f>
        <v>0.2</v>
      </c>
      <c r="CR116">
        <f>SUM(TBA_Matches_All[[#This Row],[TspkrPts]]*TBA_Matches_All[[#This Row],[TspkrP]])</f>
        <v>5.8000000000000007</v>
      </c>
      <c r="CS116" s="59">
        <f>IFERROR(SUM(TBA_Matches_All[[#This Row],[TtrapT]]/TBA_Matches_All[[#This Row],[Trap]]),0)</f>
        <v>0</v>
      </c>
      <c r="CT116" s="59">
        <f>IFERROR(SUM(TBA_Matches_All[[#This Row],[TotNotesT]]/TBA_Matches_All[[#This Row],[TotNotes]]),0)</f>
        <v>0.36842105263157893</v>
      </c>
      <c r="CU116" s="66">
        <f>SUM((TBA_Matches_All[[#This Row],[AampT]]*2)+(TBA_Matches_All[[#This Row],[AspkrT]]*5)+(TBA_Matches_All[[#This Row],[AtrapT]]*5)+(TBA_Matches_All[[#This Row],[TampT]]*1)+(TBA_Matches_All[[#This Row],[TspkrptsC]]))</f>
        <v>14.8</v>
      </c>
      <c r="CV116" s="59">
        <f>IFERROR(TBA_Matches_All[[#This Row],[noteptsT]]/TBA_Matches_All[[#This Row],[NotePts]],0)</f>
        <v>0.27407407407407408</v>
      </c>
      <c r="CW116">
        <f>SUM(IF(TBA_Matches_All[[#This Row],[stageStat]]="On",3,0),IF(TBA_Matches_All[[#This Row],[stageStat]]="Park",1,0),SUMIFS(TBA_Matches_All[[#This Row],[Spotlit]],TBA_Matches_All[[#This Row],[stageStat]],"On"),SUMIFS(TBA_Matches_All[[#This Row],[Harmony]],TBA_Matches_All[[#This Row],[stageStat]],"On"))</f>
        <v>4</v>
      </c>
      <c r="CX116" s="59">
        <f>IFERROR(TBA_Matches_All[[#This Row],[stageptsT]]/TBA_Matches_All[[#This Row],[StagePts]],0)</f>
        <v>0.36363636363636365</v>
      </c>
      <c r="CY116">
        <f>SUM((TBA_Matches_All[[#This Row],[AptsT]]+TBA_Matches_All[[#This Row],[TampT]]+TBA_Matches_All[[#This Row],[TspkrptsC]]+(TBA_Matches_All[[#This Row],[TtrapT]]*5)+TBA_Matches_All[[#This Row],[stageptsT]]))</f>
        <v>20.8</v>
      </c>
      <c r="CZ116" s="59">
        <f>IFERROR(SUM(TBA_Matches_All[[#This Row],[TotptsC]]/TBA_Matches_All[[#This Row],[Score]]),0)</f>
        <v>0.2810810810810811</v>
      </c>
      <c r="DA11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9.6</v>
      </c>
      <c r="DB116" s="74">
        <f>SUMIFS(TBA_Matches_All[AveTeamTNoteDels],TBA_Matches_All[Match_Number],TBA_Matches_All[[#This Row],[Match_Number]],TBA_Matches_All[Alliance],"&lt;&gt;"&amp;TBA_Matches_All[[#This Row],[Alliance]],TBA_Matches_All[Scouted],"&gt;0")</f>
        <v>20.649621212121211</v>
      </c>
      <c r="DC116" s="74">
        <f>(TBA_Matches_All[[#This Row],[TampT]]+TBA_Matches_All[[#This Row],[TspkrptsC]])-TBA_Matches_All[[#This Row],[AveTeamTNoteDels]]</f>
        <v>0.20000000000000107</v>
      </c>
      <c r="DD116" s="74">
        <f>SUMIFS(TBA_Matches_All[AveTeamTNoteDels],TBA_Matches_All[Match_Number],TBA_Matches_All[[#This Row],[Match_Number]],TBA_Matches_All[Alliance],"&lt;&gt;"&amp;TBA_Matches_All[[#This Row],[Alliance]])-TBA_Matches_All[[#This Row],[AveOppTNoteDels]]</f>
        <v>0</v>
      </c>
    </row>
    <row r="117" spans="1:108" x14ac:dyDescent="0.3">
      <c r="A117" t="s">
        <v>1042</v>
      </c>
      <c r="B117" t="s">
        <v>489</v>
      </c>
      <c r="C117" t="s">
        <v>1329</v>
      </c>
      <c r="D117">
        <v>20</v>
      </c>
      <c r="E117" t="s">
        <v>1420</v>
      </c>
      <c r="F117" t="s">
        <v>1425</v>
      </c>
      <c r="G117" t="s">
        <v>105</v>
      </c>
      <c r="H117" t="s">
        <v>1308</v>
      </c>
      <c r="I117" t="b">
        <v>1</v>
      </c>
      <c r="J117">
        <v>72</v>
      </c>
      <c r="K117">
        <v>1</v>
      </c>
      <c r="L117">
        <v>0</v>
      </c>
      <c r="M117">
        <v>6</v>
      </c>
      <c r="N117">
        <v>0</v>
      </c>
      <c r="O117">
        <v>3</v>
      </c>
      <c r="P117">
        <v>15</v>
      </c>
      <c r="Q117">
        <v>17</v>
      </c>
      <c r="R117">
        <v>5</v>
      </c>
      <c r="S117">
        <v>4</v>
      </c>
      <c r="T117">
        <v>8</v>
      </c>
      <c r="U117">
        <v>20</v>
      </c>
      <c r="V117">
        <v>16</v>
      </c>
      <c r="W117">
        <v>12</v>
      </c>
      <c r="X117">
        <v>36</v>
      </c>
      <c r="Y117">
        <v>41</v>
      </c>
      <c r="Z117">
        <v>0</v>
      </c>
      <c r="AA117">
        <v>0</v>
      </c>
      <c r="AB117">
        <v>20</v>
      </c>
      <c r="AC117">
        <v>56</v>
      </c>
      <c r="AD117">
        <v>9</v>
      </c>
      <c r="AE117">
        <f>IFERROR(6/(COUNTIF(Dyno_EndMatch[Match],TBA_Matches_All[[#This Row],[Match_Number]])),0)</f>
        <v>1</v>
      </c>
      <c r="AF117">
        <f>COUNTIFS(Dyno_Data[Team],TBA_Matches_All[[#This Row],[Team]],Dyno_Data[Match],TBA_Matches_All[[#This Row],[Match_Number]],Dyno_Data[RecordType],"EndMatch",Dyno_Data[HPAmp],"Y")</f>
        <v>0</v>
      </c>
      <c r="AG117">
        <f>SUMIFS(Dyno_Data[Mics], Dyno_Data[Team],TBA_Matches_All[[#This Row],[Team]],Dyno_Data[Match],TBA_Matches_All[[#This Row],[Match_Number]],Dyno_Data[RecordType],"EndMatch",Dyno_Data[HPAmp],"Y")</f>
        <v>0</v>
      </c>
      <c r="AH117">
        <f>SUMIFS(Dyno_Data[Leave], Dyno_Data[Team],TBA_Matches_All[[#This Row],[Team]],Dyno_Data[Match],TBA_Matches_All[[#This Row],[Match_Number]],Dyno_Data[RecordType],"EndAuto")</f>
        <v>0</v>
      </c>
      <c r="AI117">
        <f>COUNTIFS(Dyno_Data[Team],TBA_Matches_All[[#This Row],[Team]],Dyno_Data[Match],TBA_Matches_All[[#This Row],[Match_Number]],Dyno_Data[RecordType],"Activities",Dyno_Data[DelDest],"Amp", Dyno_Data[DelMiss],"0", Dyno_Data[Mode],"Auto")</f>
        <v>0</v>
      </c>
      <c r="AJ117">
        <f>COUNTIFS(Dyno_Data[Team],TBA_Matches_All[[#This Row],[Team]],Dyno_Data[Match],TBA_Matches_All[[#This Row],[Match_Number]],Dyno_Data[RecordType],"Activities",Dyno_Data[DelDest],"Spkr", Dyno_Data[DelMiss],"0", Dyno_Data[Mode],"Auto")</f>
        <v>1</v>
      </c>
      <c r="AK117">
        <f>COUNTIFS(Dyno_Data[Team],TBA_Matches_All[[#This Row],[Team]],Dyno_Data[Match],TBA_Matches_All[[#This Row],[Match_Number]],Dyno_Data[RecordType],"Activities",Dyno_Data[DelDest],"Trap", Dyno_Data[DelMiss],"0", Dyno_Data[Mode],"Auto")</f>
        <v>0</v>
      </c>
      <c r="AL117">
        <f>COUNTIFS(Dyno_Data[Team],TBA_Matches_All[[#This Row],[Team]],Dyno_Data[Match],TBA_Matches_All[[#This Row],[Match_Number]],Dyno_Data[RecordType],"Activities",Dyno_Data[DelDest],"Amp", Dyno_Data[DelMiss],"0", Dyno_Data[Mode],"Teleop")</f>
        <v>1</v>
      </c>
      <c r="AM117">
        <f>COUNTIFS(Dyno_Data[Team],TBA_Matches_All[[#This Row],[Team]],Dyno_Data[Match],TBA_Matches_All[[#This Row],[Match_Number]],Dyno_Data[RecordType],"Activities",Dyno_Data[DelDest],"Spkr", Dyno_Data[DelMiss],"0", Dyno_Data[Mode],"Teleop")</f>
        <v>6</v>
      </c>
      <c r="AN117">
        <f>COUNTIFS(Dyno_Data[Team],TBA_Matches_All[[#This Row],[Team]],Dyno_Data[Match],TBA_Matches_All[[#This Row],[Match_Number]],Dyno_Data[RecordType],"Activities",Dyno_Data[DelDest],"Trap", Dyno_Data[DelMiss],"0", Dyno_Data[Mode],"&lt;&gt;Auto")</f>
        <v>0</v>
      </c>
      <c r="AO117">
        <f>SUM(TBA_Matches_All[[#This Row],[AampT]]+TBA_Matches_All[[#This Row],[AspkrT]]+TBA_Matches_All[[#This Row],[AtrapT]]+TBA_Matches_All[[#This Row],[TampT]]+TBA_Matches_All[[#This Row],[TspkrT]]+TBA_Matches_All[[#This Row],[TtrapT]])</f>
        <v>8</v>
      </c>
      <c r="AP117">
        <f>COUNTIFS(Dyno_Data[Team],TBA_Matches_All[[#This Row],[Team]],Dyno_Data[Match],TBA_Matches_All[[#This Row],[Match_Number]],Dyno_Data[RecordType],"Activities",Dyno_Data[DelDest],"Neut", Dyno_Data[DelMiss],"0")</f>
        <v>0</v>
      </c>
      <c r="AQ117">
        <f>COUNTIFS(Dyno_Data[Team],TBA_Matches_All[[#This Row],[Team]],Dyno_Data[Match],TBA_Matches_All[[#This Row],[Match_Number]],Dyno_Data[RecordType],"Activities",Dyno_Data[DelDest],"AllyW", Dyno_Data[DelMiss],"0")</f>
        <v>0</v>
      </c>
      <c r="AR117" t="str">
        <f>_xlfn.XLOOKUP(SUM(MID(TBA_Matches_All[[#This Row],[Team]],4,5),(TBA_Matches_All[[#This Row],[Match_Number]]/100)),Dyno_EndMatch[teammat],Dyno_EndMatch[RobotSta],"_",0,1)</f>
        <v>Podm</v>
      </c>
      <c r="AS117">
        <f>SUMIFS(Dyno_Data[AcqDis], Dyno_Data[Team],TBA_Matches_All[[#This Row],[Team]],Dyno_Data[Match],TBA_Matches_All[[#This Row],[Match_Number]],Dyno_Data[RecordType],"Activities", Dyno_Data[AcqCenter],1,Dyno_Data[Mode],"Auto")</f>
        <v>0</v>
      </c>
      <c r="AT117">
        <f>SUMIFS(Dyno_Data[AcqDis], Dyno_Data[Team],TBA_Matches_All[[#This Row],[Team]],Dyno_Data[Match],TBA_Matches_All[[#This Row],[Match_Number]],Dyno_Data[RecordType],"Activities", Dyno_Data[AcqCenter],2,Dyno_Data[Mode],"Auto")</f>
        <v>0</v>
      </c>
      <c r="AU117">
        <f>SUMIFS(Dyno_Data[AcqDis], Dyno_Data[Team],TBA_Matches_All[[#This Row],[Team]],Dyno_Data[Match],TBA_Matches_All[[#This Row],[Match_Number]],Dyno_Data[RecordType],"Activities", Dyno_Data[AcqCenter],3,Dyno_Data[Mode],"Auto")</f>
        <v>0</v>
      </c>
      <c r="AV117">
        <f>SUMIFS(Dyno_Data[AcqDis], Dyno_Data[Team],TBA_Matches_All[[#This Row],[Team]],Dyno_Data[Match],TBA_Matches_All[[#This Row],[Match_Number]],Dyno_Data[RecordType],"Activities", Dyno_Data[AcqCenter],4,Dyno_Data[Mode],"Auto")</f>
        <v>0</v>
      </c>
      <c r="AW117">
        <f>SUMIFS(Dyno_Data[AcqDis], Dyno_Data[Team],TBA_Matches_All[[#This Row],[Team]],Dyno_Data[Match],TBA_Matches_All[[#This Row],[Match_Number]],Dyno_Data[RecordType],"Activities", Dyno_Data[AcqCenter],5,Dyno_Data[Mode],"Auto")</f>
        <v>0</v>
      </c>
      <c r="AX117">
        <f>SUMIFS(Dyno_Data[DelMiss], Dyno_Data[Team],TBA_Matches_All[[#This Row],[Team]],Dyno_Data[Match],TBA_Matches_All[[#This Row],[Match_Number]],Dyno_Data[RecordType],"Activities", Dyno_Data[DelDest],"Amp")</f>
        <v>0</v>
      </c>
      <c r="AY117" s="60">
        <f>IFERROR(SUM((TBA_Matches_All[[#This Row],[AampT]]+TBA_Matches_All[[#This Row],[TampT]])/(TBA_Matches_All[[#This Row],[AampT]]+TBA_Matches_All[[#This Row],[TampT]]+TBA_Matches_All[[#This Row],[ampM]])),0)</f>
        <v>1</v>
      </c>
      <c r="AZ117">
        <f>SUMIFS(Dyno_Data[DelMiss], Dyno_Data[Team],TBA_Matches_All[[#This Row],[Team]],Dyno_Data[Match],TBA_Matches_All[[#This Row],[Match_Number]],Dyno_Data[RecordType],"Activities", Dyno_Data[DelDest],"Spkr")</f>
        <v>0</v>
      </c>
      <c r="BA117" s="60">
        <f>IFERROR(SUM((TBA_Matches_All[[#This Row],[AspkrT]]+TBA_Matches_All[[#This Row],[TspkrT]])/(TBA_Matches_All[[#This Row],[AspkrT]]+TBA_Matches_All[[#This Row],[TspkrT]]+TBA_Matches_All[[#This Row],[spkrM]])),0)</f>
        <v>1</v>
      </c>
      <c r="BB117">
        <f>SUMIFS(Dyno_Data[DelMiss], Dyno_Data[Team],TBA_Matches_All[[#This Row],[Team]],Dyno_Data[Match],TBA_Matches_All[[#This Row],[Match_Number]],Dyno_Data[RecordType],"Activities", Dyno_Data[DelDest],"Trap")</f>
        <v>0</v>
      </c>
      <c r="BC117" s="60">
        <f>IFERROR((TBA_Matches_All[[#This Row],[AtrapT]]+TBA_Matches_All[[#This Row],[TtrapT]])/(TBA_Matches_All[[#This Row],[AtrapT]]+TBA_Matches_All[[#This Row],[TtrapT]]+TBA_Matches_All[[#This Row],[trapM]]),0)</f>
        <v>0</v>
      </c>
      <c r="BD117">
        <f>COUNTIFS(Dyno_Data[Team],TBA_Matches_All[[#This Row],[Team]],Dyno_Data[Match],TBA_Matches_All[[#This Row],[Match_Number]],Dyno_Data[RecordType],"Activities",Dyno_Data[DelDest],"Neut", Dyno_Data[DelMiss],1)</f>
        <v>0</v>
      </c>
      <c r="BE117" s="60">
        <f>IFERROR(SUM((TBA_Matches_All[[#This Row],[NeutFlrT]])/(TBA_Matches_All[[#This Row],[NeutFlrT]]+TBA_Matches_All[[#This Row],[NZflM]])),0)</f>
        <v>0</v>
      </c>
      <c r="BF117">
        <f>COUNTIFS(Dyno_Data[Team],TBA_Matches_All[[#This Row],[Team]],Dyno_Data[Match],TBA_Matches_All[[#This Row],[Match_Number]],Dyno_Data[RecordType],"Activities",Dyno_Data[DelDest],"AllyW", Dyno_Data[DelMiss],1)</f>
        <v>0</v>
      </c>
      <c r="BG117" s="60">
        <f>IFERROR(SUM((TBA_Matches_All[[#This Row],[AllyWFlrT]])/(TBA_Matches_All[[#This Row],[AllyWFlrT]]+TBA_Matches_All[[#This Row],[AZflM]])),0)</f>
        <v>0</v>
      </c>
      <c r="BH117">
        <f>COUNTIFS(Dyno_Data[Team],TBA_Matches_All[[#This Row],[Team]],Dyno_Data[Match],TBA_Matches_All[[#This Row],[Match_Number]],Dyno_Data[RecordType],"Activities",Dyno_Data[DelOrig],"OppW", Dyno_Data[DelMiss],"0")</f>
        <v>1</v>
      </c>
      <c r="BI117">
        <f>COUNTIFS(Dyno_Data[Team],TBA_Matches_All[[#This Row],[Team]],Dyno_Data[Match],TBA_Matches_All[[#This Row],[Match_Number]],Dyno_Data[RecordType],"Activities",Dyno_Data[DelOrig],"OppW", Dyno_Data[DelMiss],"1")</f>
        <v>0</v>
      </c>
      <c r="BJ117" s="60">
        <f>IFERROR(SUM((TBA_Matches_All[[#This Row],[OZflrT]])/(TBA_Matches_All[[#This Row],[OZflrT]]+TBA_Matches_All[[#This Row],[OZflrM]])),0)</f>
        <v>1</v>
      </c>
      <c r="BK117">
        <f>COUNTIFS(Dyno_Data[Team],TBA_Matches_All[[#This Row],[Team]],Dyno_Data[Match],TBA_Matches_All[[#This Row],[Match_Number]],Dyno_Data[RecordType],"Activities",Dyno_Data[DelOrig],"Neut", Dyno_Data[DelMiss],"0")</f>
        <v>0</v>
      </c>
      <c r="BL117">
        <f>COUNTIFS(Dyno_Data[Team],TBA_Matches_All[[#This Row],[Team]],Dyno_Data[Match],TBA_Matches_All[[#This Row],[Match_Number]],Dyno_Data[RecordType],"Activities",Dyno_Data[DelOrig],"Neut", Dyno_Data[DelMiss],"1")</f>
        <v>0</v>
      </c>
      <c r="BM117" s="60">
        <f>IFERROR(SUM((TBA_Matches_All[[#This Row],[NZflrT]])/(TBA_Matches_All[[#This Row],[NZflrT]]+TBA_Matches_All[[#This Row],[NZflrM]])),0)</f>
        <v>0</v>
      </c>
      <c r="BN117">
        <f>COUNTIFS(Dyno_Data[Team],TBA_Matches_All[[#This Row],[Team]],Dyno_Data[Match],TBA_Matches_All[[#This Row],[Match_Number]],Dyno_Data[RecordType],"Activities",Dyno_Data[DelOrig],"AllyW", Dyno_Data[DelMiss],"0")</f>
        <v>5</v>
      </c>
      <c r="BO117">
        <f>COUNTIFS(Dyno_Data[Team],TBA_Matches_All[[#This Row],[Team]],Dyno_Data[Match],TBA_Matches_All[[#This Row],[Match_Number]],Dyno_Data[RecordType],"Activities",Dyno_Data[DelOrig],"AllyW", Dyno_Data[DelMiss],"1")</f>
        <v>0</v>
      </c>
      <c r="BP117" s="60">
        <f>IFERROR(SUM((TBA_Matches_All[[#This Row],[AZflrT]])/(TBA_Matches_All[[#This Row],[AZflrT]]+TBA_Matches_All[[#This Row],[AZflrM]])),0)</f>
        <v>1</v>
      </c>
      <c r="BQ117">
        <f>COUNTIFS(Dyno_Data[Team],TBA_Matches_All[[#This Row],[Team]],Dyno_Data[Match],TBA_Matches_All[[#This Row],[Match_Number]],Dyno_Data[RecordType],"Activities",Dyno_Data[DelOrig],"SubW", Dyno_Data[DelMiss],"0")</f>
        <v>2</v>
      </c>
      <c r="BR117">
        <f>COUNTIFS(Dyno_Data[Team],TBA_Matches_All[[#This Row],[Team]],Dyno_Data[Match],TBA_Matches_All[[#This Row],[Match_Number]],Dyno_Data[RecordType],"Activities",Dyno_Data[DelOrig],"SubW", Dyno_Data[DelMiss],"1")</f>
        <v>0</v>
      </c>
      <c r="BS117" s="60">
        <f>IFERROR(SUM((TBA_Matches_All[[#This Row],[SubwT]])/(TBA_Matches_All[[#This Row],[SubwT]]+TBA_Matches_All[[#This Row],[SubwM]])),0)</f>
        <v>1</v>
      </c>
      <c r="BT117">
        <f>COUNTIFS(Dyno_Data[Team],TBA_Matches_All[[#This Row],[Team]],Dyno_Data[Match],TBA_Matches_All[[#This Row],[Match_Number]],Dyno_Data[RecordType],"Activities", Dyno_Data[AcqLoc],"OppWing")</f>
        <v>0</v>
      </c>
      <c r="BU117">
        <f>COUNTIFS(Dyno_Data[Team],TBA_Matches_All[[#This Row],[Team]],Dyno_Data[Match],TBA_Matches_All[[#This Row],[Match_Number]],Dyno_Data[RecordType],"Activities", Dyno_Data[AcqLoc],"Neutral")</f>
        <v>0</v>
      </c>
      <c r="BV117">
        <f>COUNTIFS(Dyno_Data[Team],TBA_Matches_All[[#This Row],[Team]],Dyno_Data[Match],TBA_Matches_All[[#This Row],[Match_Number]],Dyno_Data[RecordType],"Activities", Dyno_Data[AcqLoc],"AllyWing")</f>
        <v>0</v>
      </c>
      <c r="BW117">
        <f>COUNTIFS(Dyno_Data[Team],TBA_Matches_All[[#This Row],[Team]],Dyno_Data[Match],TBA_Matches_All[[#This Row],[Match_Number]],Dyno_Data[RecordType],"Activities", Dyno_Data[AcqLoc],"Source")</f>
        <v>0</v>
      </c>
      <c r="BX117">
        <f>SUMIFS(Dyno_Data[AcqDrp], Dyno_Data[Team],TBA_Matches_All[[#This Row],[Team]],Dyno_Data[Match],TBA_Matches_All[[#This Row],[Match_Number]],Dyno_Data[RecordType],"Activities", Dyno_Data[AcqLoc],"Source")</f>
        <v>0</v>
      </c>
      <c r="BY117">
        <f>SUMIFS(Dyno_Data[OZTime], Dyno_Data[Team],TBA_Matches_All[[#This Row],[Team]],Dyno_Data[Match],TBA_Matches_All[[#This Row],[Match_Number]],Dyno_Data[RecordType],"EndMatch")</f>
        <v>54.546390099999996</v>
      </c>
      <c r="BZ117">
        <f>SUMIFS(Dyno_Data[NZTime], Dyno_Data[Team],TBA_Matches_All[[#This Row],[Team]],Dyno_Data[Match],TBA_Matches_All[[#This Row],[Match_Number]],Dyno_Data[RecordType],"EndMatch")</f>
        <v>18.809898</v>
      </c>
      <c r="CA117">
        <f>SUMIFS(Dyno_Data[AZTime], Dyno_Data[Team],TBA_Matches_All[[#This Row],[Team]],Dyno_Data[Match],TBA_Matches_All[[#This Row],[Match_Number]],Dyno_Data[RecordType],"EndMatch")</f>
        <v>46.792921</v>
      </c>
      <c r="CB117">
        <f>SUMIFS(Dyno_Data[ClimbT], Dyno_Data[Team],TBA_Matches_All[[#This Row],[Team]],Dyno_Data[Match],TBA_Matches_All[[#This Row],[Match_Number]],Dyno_Data[RecordType],"EndMatch")</f>
        <v>3.8237915999999998</v>
      </c>
      <c r="CC117" t="str">
        <f>_xlfn.XLOOKUP(SUM(MID(TBA_Matches_All[[#This Row],[Team]],4,5),(TBA_Matches_All[[#This Row],[Match_Number]]/100)),Dyno_EndMatch[teammat],Dyno_EndMatch[StageStat],"_",0,1)</f>
        <v>On</v>
      </c>
      <c r="CD117" t="str">
        <f>_xlfn.XLOOKUP(TBA_Matches_All[[#This Row],[teammat]],Dyno_EndMatch[teammat],Dyno_EndMatch[StageAtt],"_",0,1)</f>
        <v>1</v>
      </c>
      <c r="CE117" t="str">
        <f>_xlfn.XLOOKUP(TBA_Matches_All[[#This Row],[teammat]],Dyno_EndMatch[teammat],Dyno_EndMatch[StageLoc],"_",0,1)</f>
        <v>L</v>
      </c>
      <c r="CF117">
        <f>SUMIFS(Dyno_Data[Harmony], Dyno_Data[Team],TBA_Matches_All[[#This Row],[Team]],Dyno_Data[Match],TBA_Matches_All[[#This Row],[Match_Number]],Dyno_Data[RecordType],"EndMatch", Dyno_Data[StageStat],"On",Dyno_Data[Harmony],"&lt;&gt;9")</f>
        <v>1</v>
      </c>
      <c r="CG117">
        <f>SUMIFS(Dyno_Data[Spotlit], Dyno_Data[Team],TBA_Matches_All[[#This Row],[Team]],Dyno_Data[Match],TBA_Matches_All[[#This Row],[Match_Number]],Dyno_Data[RecordType],"EndMatch", Dyno_Data[StageStat],"On",Dyno_Data[Spotlit],"&lt;&gt;9")</f>
        <v>0</v>
      </c>
      <c r="CH117" t="str">
        <f>_xlfn.XLOOKUP(TBA_Matches_All[[#This Row],[teammat]],Dyno_EndMatch[teammat],Dyno_EndMatch[Strategy],"_",0,1)</f>
        <v>Hybrid</v>
      </c>
      <c r="CI117">
        <f>SUMIFS(Dyno_Data[Defense], Dyno_Data[Team],TBA_Matches_All[[#This Row],[Team]],Dyno_Data[Match],TBA_Matches_All[[#This Row],[Match_Number]],Dyno_Data[RecordType],"EndMatch",Dyno_Data[Defense],"&lt;&gt;9")</f>
        <v>1</v>
      </c>
      <c r="CJ117">
        <f>SUMIFS(Dyno_Data[Avoidance], Dyno_Data[Team],TBA_Matches_All[[#This Row],[Team]],Dyno_Data[Match],TBA_Matches_All[[#This Row],[Match_Number]],Dyno_Data[RecordType],"EndMatch",Dyno_Data[Avoidance],"&lt;&gt;9")</f>
        <v>0</v>
      </c>
      <c r="CK117" s="82">
        <f>COUNTIF($H$2:TBA_Matches_All[[#This Row],[Team]],TBA_Matches_All[[#This Row],[Team]])</f>
        <v>3</v>
      </c>
      <c r="CL117" s="111">
        <f>SUM(MID(TBA_Matches_All[[#This Row],[Team]],4,5)+TBA_Matches_All[[#This Row],[Match_Number]]/100)</f>
        <v>3799.2</v>
      </c>
      <c r="CM117">
        <f>SUM((TBA_Matches_All[[#This Row],[Leave]]*2)+(TBA_Matches_All[[#This Row],[AampT]]*2)+(TBA_Matches_All[[#This Row],[AspkrT]]*5)+(TBA_Matches_All[[#This Row],[AtrapT]]*5))</f>
        <v>5</v>
      </c>
      <c r="CN117" s="59">
        <f>IFERROR(SUM(TBA_Matches_All[[#This Row],[AptsT]]/TBA_Matches_All[[#This Row],[AutoPts]]),0)</f>
        <v>0.29411764705882354</v>
      </c>
      <c r="CO117" s="59">
        <f>IFERROR(SUM(TBA_Matches_All[[#This Row],[AampT]]+TBA_Matches_All[[#This Row],[AspkrT]]+TBA_Matches_All[[#This Row],[AtrapT]]/TBA_Matches_All[[#This Row],[Aamp]]+TBA_Matches_All[[#This Row],[Aspkr]]+TBA_Matches_All[[#This Row],[AtrapT]]),0)</f>
        <v>0</v>
      </c>
      <c r="CP117" s="59">
        <f>IFERROR(SUM(TBA_Matches_All[[#This Row],[TampT]]/TBA_Matches_All[[#This Row],[Tamp]]),0)</f>
        <v>0.2</v>
      </c>
      <c r="CQ117" s="59">
        <f>IFERROR(SUM(TBA_Matches_All[[#This Row],[TspkrT]]/TBA_Matches_All[[#This Row],[Tspkr]]),0)</f>
        <v>0.5</v>
      </c>
      <c r="CR117">
        <f>SUM(TBA_Matches_All[[#This Row],[TspkrPts]]*TBA_Matches_All[[#This Row],[TspkrP]])</f>
        <v>18</v>
      </c>
      <c r="CS117" s="59">
        <f>IFERROR(SUM(TBA_Matches_All[[#This Row],[TtrapT]]/TBA_Matches_All[[#This Row],[Trap]]),0)</f>
        <v>0</v>
      </c>
      <c r="CT117" s="59">
        <f>IFERROR(SUM(TBA_Matches_All[[#This Row],[TotNotesT]]/TBA_Matches_All[[#This Row],[TotNotes]]),0)</f>
        <v>0.4</v>
      </c>
      <c r="CU117" s="66">
        <f>SUM((TBA_Matches_All[[#This Row],[AampT]]*2)+(TBA_Matches_All[[#This Row],[AspkrT]]*5)+(TBA_Matches_All[[#This Row],[AtrapT]]*5)+(TBA_Matches_All[[#This Row],[TampT]]*1)+(TBA_Matches_All[[#This Row],[TspkrptsC]]))</f>
        <v>24</v>
      </c>
      <c r="CV117" s="59">
        <f>IFERROR(TBA_Matches_All[[#This Row],[noteptsT]]/TBA_Matches_All[[#This Row],[NotePts]],0)</f>
        <v>0.42857142857142855</v>
      </c>
      <c r="CW117">
        <f>SUM(IF(TBA_Matches_All[[#This Row],[stageStat]]="On",3,0),IF(TBA_Matches_All[[#This Row],[stageStat]]="Park",1,0),SUMIFS(TBA_Matches_All[[#This Row],[Spotlit]],TBA_Matches_All[[#This Row],[stageStat]],"On"),SUMIFS(TBA_Matches_All[[#This Row],[Harmony]],TBA_Matches_All[[#This Row],[stageStat]],"On"))</f>
        <v>4</v>
      </c>
      <c r="CX117" s="59">
        <f>IFERROR(TBA_Matches_All[[#This Row],[stageptsT]]/TBA_Matches_All[[#This Row],[StagePts]],0)</f>
        <v>0.44444444444444442</v>
      </c>
      <c r="CY117">
        <f>SUM((TBA_Matches_All[[#This Row],[AptsT]]+TBA_Matches_All[[#This Row],[TampT]]+TBA_Matches_All[[#This Row],[TspkrptsC]]+(TBA_Matches_All[[#This Row],[TtrapT]]*5)+TBA_Matches_All[[#This Row],[stageptsT]]))</f>
        <v>28</v>
      </c>
      <c r="CZ117" s="59">
        <f>IFERROR(SUM(TBA_Matches_All[[#This Row],[TotptsC]]/TBA_Matches_All[[#This Row],[Score]]),0)</f>
        <v>0.3888888888888889</v>
      </c>
      <c r="DA11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20.98951048951049</v>
      </c>
      <c r="DB117" s="74">
        <f>SUMIFS(TBA_Matches_All[AveTeamTNoteDels],TBA_Matches_All[Match_Number],TBA_Matches_All[[#This Row],[Match_Number]],TBA_Matches_All[Alliance],"&lt;&gt;"&amp;TBA_Matches_All[[#This Row],[Alliance]],TBA_Matches_All[Scouted],"&gt;0")</f>
        <v>21.516904761904762</v>
      </c>
      <c r="DC117" s="74">
        <f>(TBA_Matches_All[[#This Row],[TampT]]+TBA_Matches_All[[#This Row],[TspkrptsC]])-TBA_Matches_All[[#This Row],[AveTeamTNoteDels]]</f>
        <v>-1.98951048951049</v>
      </c>
      <c r="DD117" s="74">
        <f>SUMIFS(TBA_Matches_All[AveTeamTNoteDels],TBA_Matches_All[Match_Number],TBA_Matches_All[[#This Row],[Match_Number]],TBA_Matches_All[Alliance],"&lt;&gt;"&amp;TBA_Matches_All[[#This Row],[Alliance]])-TBA_Matches_All[[#This Row],[AveOppTNoteDels]]</f>
        <v>0</v>
      </c>
    </row>
    <row r="118" spans="1:108" x14ac:dyDescent="0.3">
      <c r="A118" t="s">
        <v>1042</v>
      </c>
      <c r="B118" t="s">
        <v>489</v>
      </c>
      <c r="C118" t="s">
        <v>1329</v>
      </c>
      <c r="D118">
        <v>20</v>
      </c>
      <c r="E118" t="s">
        <v>1406</v>
      </c>
      <c r="F118" t="s">
        <v>1426</v>
      </c>
      <c r="G118" t="s">
        <v>164</v>
      </c>
      <c r="H118" t="s">
        <v>1317</v>
      </c>
      <c r="I118" t="b">
        <v>1</v>
      </c>
      <c r="J118">
        <v>43</v>
      </c>
      <c r="K118">
        <v>0</v>
      </c>
      <c r="L118">
        <v>0</v>
      </c>
      <c r="M118">
        <v>5</v>
      </c>
      <c r="N118">
        <v>0</v>
      </c>
      <c r="O118">
        <v>2</v>
      </c>
      <c r="P118">
        <v>10</v>
      </c>
      <c r="Q118">
        <v>14</v>
      </c>
      <c r="R118">
        <v>2</v>
      </c>
      <c r="S118">
        <v>0</v>
      </c>
      <c r="T118">
        <v>8</v>
      </c>
      <c r="U118">
        <v>0</v>
      </c>
      <c r="V118">
        <v>16</v>
      </c>
      <c r="W118">
        <v>8</v>
      </c>
      <c r="X118">
        <v>16</v>
      </c>
      <c r="Y118">
        <v>18</v>
      </c>
      <c r="Z118">
        <v>0</v>
      </c>
      <c r="AA118">
        <v>0</v>
      </c>
      <c r="AB118">
        <v>12</v>
      </c>
      <c r="AC118">
        <v>28</v>
      </c>
      <c r="AD118">
        <v>5</v>
      </c>
      <c r="AE118">
        <f>IFERROR(6/(COUNTIF(Dyno_EndMatch[Match],TBA_Matches_All[[#This Row],[Match_Number]])),0)</f>
        <v>1</v>
      </c>
      <c r="AF118">
        <f>COUNTIFS(Dyno_Data[Team],TBA_Matches_All[[#This Row],[Team]],Dyno_Data[Match],TBA_Matches_All[[#This Row],[Match_Number]],Dyno_Data[RecordType],"EndMatch",Dyno_Data[HPAmp],"Y")</f>
        <v>1</v>
      </c>
      <c r="AG118">
        <f>SUMIFS(Dyno_Data[Mics], Dyno_Data[Team],TBA_Matches_All[[#This Row],[Team]],Dyno_Data[Match],TBA_Matches_All[[#This Row],[Match_Number]],Dyno_Data[RecordType],"EndMatch",Dyno_Data[HPAmp],"Y")</f>
        <v>0</v>
      </c>
      <c r="AH118">
        <f>SUMIFS(Dyno_Data[Leave], Dyno_Data[Team],TBA_Matches_All[[#This Row],[Team]],Dyno_Data[Match],TBA_Matches_All[[#This Row],[Match_Number]],Dyno_Data[RecordType],"EndAuto")</f>
        <v>1</v>
      </c>
      <c r="AI118">
        <f>COUNTIFS(Dyno_Data[Team],TBA_Matches_All[[#This Row],[Team]],Dyno_Data[Match],TBA_Matches_All[[#This Row],[Match_Number]],Dyno_Data[RecordType],"Activities",Dyno_Data[DelDest],"Amp", Dyno_Data[DelMiss],"0", Dyno_Data[Mode],"Auto")</f>
        <v>0</v>
      </c>
      <c r="AJ118">
        <f>COUNTIFS(Dyno_Data[Team],TBA_Matches_All[[#This Row],[Team]],Dyno_Data[Match],TBA_Matches_All[[#This Row],[Match_Number]],Dyno_Data[RecordType],"Activities",Dyno_Data[DelDest],"Spkr", Dyno_Data[DelMiss],"0", Dyno_Data[Mode],"Auto")</f>
        <v>2</v>
      </c>
      <c r="AK118">
        <f>COUNTIFS(Dyno_Data[Team],TBA_Matches_All[[#This Row],[Team]],Dyno_Data[Match],TBA_Matches_All[[#This Row],[Match_Number]],Dyno_Data[RecordType],"Activities",Dyno_Data[DelDest],"Trap", Dyno_Data[DelMiss],"0", Dyno_Data[Mode],"Auto")</f>
        <v>0</v>
      </c>
      <c r="AL118">
        <f>COUNTIFS(Dyno_Data[Team],TBA_Matches_All[[#This Row],[Team]],Dyno_Data[Match],TBA_Matches_All[[#This Row],[Match_Number]],Dyno_Data[RecordType],"Activities",Dyno_Data[DelDest],"Amp", Dyno_Data[DelMiss],"0", Dyno_Data[Mode],"Teleop")</f>
        <v>0</v>
      </c>
      <c r="AM118">
        <f>COUNTIFS(Dyno_Data[Team],TBA_Matches_All[[#This Row],[Team]],Dyno_Data[Match],TBA_Matches_All[[#This Row],[Match_Number]],Dyno_Data[RecordType],"Activities",Dyno_Data[DelDest],"Spkr", Dyno_Data[DelMiss],"0", Dyno_Data[Mode],"Teleop")</f>
        <v>5</v>
      </c>
      <c r="AN118">
        <f>COUNTIFS(Dyno_Data[Team],TBA_Matches_All[[#This Row],[Team]],Dyno_Data[Match],TBA_Matches_All[[#This Row],[Match_Number]],Dyno_Data[RecordType],"Activities",Dyno_Data[DelDest],"Trap", Dyno_Data[DelMiss],"0", Dyno_Data[Mode],"&lt;&gt;Auto")</f>
        <v>0</v>
      </c>
      <c r="AO118">
        <f>SUM(TBA_Matches_All[[#This Row],[AampT]]+TBA_Matches_All[[#This Row],[AspkrT]]+TBA_Matches_All[[#This Row],[AtrapT]]+TBA_Matches_All[[#This Row],[TampT]]+TBA_Matches_All[[#This Row],[TspkrT]]+TBA_Matches_All[[#This Row],[TtrapT]])</f>
        <v>7</v>
      </c>
      <c r="AP118">
        <f>COUNTIFS(Dyno_Data[Team],TBA_Matches_All[[#This Row],[Team]],Dyno_Data[Match],TBA_Matches_All[[#This Row],[Match_Number]],Dyno_Data[RecordType],"Activities",Dyno_Data[DelDest],"Neut", Dyno_Data[DelMiss],"0")</f>
        <v>0</v>
      </c>
      <c r="AQ118">
        <f>COUNTIFS(Dyno_Data[Team],TBA_Matches_All[[#This Row],[Team]],Dyno_Data[Match],TBA_Matches_All[[#This Row],[Match_Number]],Dyno_Data[RecordType],"Activities",Dyno_Data[DelDest],"AllyW", Dyno_Data[DelMiss],"0")</f>
        <v>0</v>
      </c>
      <c r="AR118" t="str">
        <f>_xlfn.XLOOKUP(SUM(MID(TBA_Matches_All[[#This Row],[Team]],4,5),(TBA_Matches_All[[#This Row],[Match_Number]]/100)),Dyno_EndMatch[teammat],Dyno_EndMatch[RobotSta],"_",0,1)</f>
        <v>SubW</v>
      </c>
      <c r="AS118">
        <f>SUMIFS(Dyno_Data[AcqDis], Dyno_Data[Team],TBA_Matches_All[[#This Row],[Team]],Dyno_Data[Match],TBA_Matches_All[[#This Row],[Match_Number]],Dyno_Data[RecordType],"Activities", Dyno_Data[AcqCenter],1,Dyno_Data[Mode],"Auto")</f>
        <v>0</v>
      </c>
      <c r="AT118">
        <f>SUMIFS(Dyno_Data[AcqDis], Dyno_Data[Team],TBA_Matches_All[[#This Row],[Team]],Dyno_Data[Match],TBA_Matches_All[[#This Row],[Match_Number]],Dyno_Data[RecordType],"Activities", Dyno_Data[AcqCenter],2,Dyno_Data[Mode],"Auto")</f>
        <v>0</v>
      </c>
      <c r="AU118">
        <f>SUMIFS(Dyno_Data[AcqDis], Dyno_Data[Team],TBA_Matches_All[[#This Row],[Team]],Dyno_Data[Match],TBA_Matches_All[[#This Row],[Match_Number]],Dyno_Data[RecordType],"Activities", Dyno_Data[AcqCenter],3,Dyno_Data[Mode],"Auto")</f>
        <v>0</v>
      </c>
      <c r="AV118">
        <f>SUMIFS(Dyno_Data[AcqDis], Dyno_Data[Team],TBA_Matches_All[[#This Row],[Team]],Dyno_Data[Match],TBA_Matches_All[[#This Row],[Match_Number]],Dyno_Data[RecordType],"Activities", Dyno_Data[AcqCenter],4,Dyno_Data[Mode],"Auto")</f>
        <v>0</v>
      </c>
      <c r="AW118">
        <f>SUMIFS(Dyno_Data[AcqDis], Dyno_Data[Team],TBA_Matches_All[[#This Row],[Team]],Dyno_Data[Match],TBA_Matches_All[[#This Row],[Match_Number]],Dyno_Data[RecordType],"Activities", Dyno_Data[AcqCenter],5,Dyno_Data[Mode],"Auto")</f>
        <v>0</v>
      </c>
      <c r="AX118">
        <f>SUMIFS(Dyno_Data[DelMiss], Dyno_Data[Team],TBA_Matches_All[[#This Row],[Team]],Dyno_Data[Match],TBA_Matches_All[[#This Row],[Match_Number]],Dyno_Data[RecordType],"Activities", Dyno_Data[DelDest],"Amp")</f>
        <v>0</v>
      </c>
      <c r="AY118" s="60">
        <f>IFERROR(SUM((TBA_Matches_All[[#This Row],[AampT]]+TBA_Matches_All[[#This Row],[TampT]])/(TBA_Matches_All[[#This Row],[AampT]]+TBA_Matches_All[[#This Row],[TampT]]+TBA_Matches_All[[#This Row],[ampM]])),0)</f>
        <v>0</v>
      </c>
      <c r="AZ118">
        <f>SUMIFS(Dyno_Data[DelMiss], Dyno_Data[Team],TBA_Matches_All[[#This Row],[Team]],Dyno_Data[Match],TBA_Matches_All[[#This Row],[Match_Number]],Dyno_Data[RecordType],"Activities", Dyno_Data[DelDest],"Spkr")</f>
        <v>0</v>
      </c>
      <c r="BA118" s="60">
        <f>IFERROR(SUM((TBA_Matches_All[[#This Row],[AspkrT]]+TBA_Matches_All[[#This Row],[TspkrT]])/(TBA_Matches_All[[#This Row],[AspkrT]]+TBA_Matches_All[[#This Row],[TspkrT]]+TBA_Matches_All[[#This Row],[spkrM]])),0)</f>
        <v>1</v>
      </c>
      <c r="BB118">
        <f>SUMIFS(Dyno_Data[DelMiss], Dyno_Data[Team],TBA_Matches_All[[#This Row],[Team]],Dyno_Data[Match],TBA_Matches_All[[#This Row],[Match_Number]],Dyno_Data[RecordType],"Activities", Dyno_Data[DelDest],"Trap")</f>
        <v>0</v>
      </c>
      <c r="BC118" s="60">
        <f>IFERROR((TBA_Matches_All[[#This Row],[AtrapT]]+TBA_Matches_All[[#This Row],[TtrapT]])/(TBA_Matches_All[[#This Row],[AtrapT]]+TBA_Matches_All[[#This Row],[TtrapT]]+TBA_Matches_All[[#This Row],[trapM]]),0)</f>
        <v>0</v>
      </c>
      <c r="BD118">
        <f>COUNTIFS(Dyno_Data[Team],TBA_Matches_All[[#This Row],[Team]],Dyno_Data[Match],TBA_Matches_All[[#This Row],[Match_Number]],Dyno_Data[RecordType],"Activities",Dyno_Data[DelDest],"Neut", Dyno_Data[DelMiss],1)</f>
        <v>0</v>
      </c>
      <c r="BE118" s="60">
        <f>IFERROR(SUM((TBA_Matches_All[[#This Row],[NeutFlrT]])/(TBA_Matches_All[[#This Row],[NeutFlrT]]+TBA_Matches_All[[#This Row],[NZflM]])),0)</f>
        <v>0</v>
      </c>
      <c r="BF118">
        <f>COUNTIFS(Dyno_Data[Team],TBA_Matches_All[[#This Row],[Team]],Dyno_Data[Match],TBA_Matches_All[[#This Row],[Match_Number]],Dyno_Data[RecordType],"Activities",Dyno_Data[DelDest],"AllyW", Dyno_Data[DelMiss],1)</f>
        <v>0</v>
      </c>
      <c r="BG118" s="60">
        <f>IFERROR(SUM((TBA_Matches_All[[#This Row],[AllyWFlrT]])/(TBA_Matches_All[[#This Row],[AllyWFlrT]]+TBA_Matches_All[[#This Row],[AZflM]])),0)</f>
        <v>0</v>
      </c>
      <c r="BH118">
        <f>COUNTIFS(Dyno_Data[Team],TBA_Matches_All[[#This Row],[Team]],Dyno_Data[Match],TBA_Matches_All[[#This Row],[Match_Number]],Dyno_Data[RecordType],"Activities",Dyno_Data[DelOrig],"OppW", Dyno_Data[DelMiss],"0")</f>
        <v>0</v>
      </c>
      <c r="BI118">
        <f>COUNTIFS(Dyno_Data[Team],TBA_Matches_All[[#This Row],[Team]],Dyno_Data[Match],TBA_Matches_All[[#This Row],[Match_Number]],Dyno_Data[RecordType],"Activities",Dyno_Data[DelOrig],"OppW", Dyno_Data[DelMiss],"1")</f>
        <v>0</v>
      </c>
      <c r="BJ118" s="60">
        <f>IFERROR(SUM((TBA_Matches_All[[#This Row],[OZflrT]])/(TBA_Matches_All[[#This Row],[OZflrT]]+TBA_Matches_All[[#This Row],[OZflrM]])),0)</f>
        <v>0</v>
      </c>
      <c r="BK118">
        <f>COUNTIFS(Dyno_Data[Team],TBA_Matches_All[[#This Row],[Team]],Dyno_Data[Match],TBA_Matches_All[[#This Row],[Match_Number]],Dyno_Data[RecordType],"Activities",Dyno_Data[DelOrig],"Neut", Dyno_Data[DelMiss],"0")</f>
        <v>0</v>
      </c>
      <c r="BL118">
        <f>COUNTIFS(Dyno_Data[Team],TBA_Matches_All[[#This Row],[Team]],Dyno_Data[Match],TBA_Matches_All[[#This Row],[Match_Number]],Dyno_Data[RecordType],"Activities",Dyno_Data[DelOrig],"Neut", Dyno_Data[DelMiss],"1")</f>
        <v>0</v>
      </c>
      <c r="BM118" s="60">
        <f>IFERROR(SUM((TBA_Matches_All[[#This Row],[NZflrT]])/(TBA_Matches_All[[#This Row],[NZflrT]]+TBA_Matches_All[[#This Row],[NZflrM]])),0)</f>
        <v>0</v>
      </c>
      <c r="BN118">
        <f>COUNTIFS(Dyno_Data[Team],TBA_Matches_All[[#This Row],[Team]],Dyno_Data[Match],TBA_Matches_All[[#This Row],[Match_Number]],Dyno_Data[RecordType],"Activities",Dyno_Data[DelOrig],"AllyW", Dyno_Data[DelMiss],"0")</f>
        <v>4</v>
      </c>
      <c r="BO118">
        <f>COUNTIFS(Dyno_Data[Team],TBA_Matches_All[[#This Row],[Team]],Dyno_Data[Match],TBA_Matches_All[[#This Row],[Match_Number]],Dyno_Data[RecordType],"Activities",Dyno_Data[DelOrig],"AllyW", Dyno_Data[DelMiss],"1")</f>
        <v>0</v>
      </c>
      <c r="BP118" s="60">
        <f>IFERROR(SUM((TBA_Matches_All[[#This Row],[AZflrT]])/(TBA_Matches_All[[#This Row],[AZflrT]]+TBA_Matches_All[[#This Row],[AZflrM]])),0)</f>
        <v>1</v>
      </c>
      <c r="BQ118">
        <f>COUNTIFS(Dyno_Data[Team],TBA_Matches_All[[#This Row],[Team]],Dyno_Data[Match],TBA_Matches_All[[#This Row],[Match_Number]],Dyno_Data[RecordType],"Activities",Dyno_Data[DelOrig],"SubW", Dyno_Data[DelMiss],"0")</f>
        <v>3</v>
      </c>
      <c r="BR118">
        <f>COUNTIFS(Dyno_Data[Team],TBA_Matches_All[[#This Row],[Team]],Dyno_Data[Match],TBA_Matches_All[[#This Row],[Match_Number]],Dyno_Data[RecordType],"Activities",Dyno_Data[DelOrig],"SubW", Dyno_Data[DelMiss],"1")</f>
        <v>0</v>
      </c>
      <c r="BS118" s="60">
        <f>IFERROR(SUM((TBA_Matches_All[[#This Row],[SubwT]])/(TBA_Matches_All[[#This Row],[SubwT]]+TBA_Matches_All[[#This Row],[SubwM]])),0)</f>
        <v>1</v>
      </c>
      <c r="BT118">
        <f>COUNTIFS(Dyno_Data[Team],TBA_Matches_All[[#This Row],[Team]],Dyno_Data[Match],TBA_Matches_All[[#This Row],[Match_Number]],Dyno_Data[RecordType],"Activities", Dyno_Data[AcqLoc],"OppWing")</f>
        <v>0</v>
      </c>
      <c r="BU118">
        <f>COUNTIFS(Dyno_Data[Team],TBA_Matches_All[[#This Row],[Team]],Dyno_Data[Match],TBA_Matches_All[[#This Row],[Match_Number]],Dyno_Data[RecordType],"Activities", Dyno_Data[AcqLoc],"Neutral")</f>
        <v>0</v>
      </c>
      <c r="BV118">
        <f>COUNTIFS(Dyno_Data[Team],TBA_Matches_All[[#This Row],[Team]],Dyno_Data[Match],TBA_Matches_All[[#This Row],[Match_Number]],Dyno_Data[RecordType],"Activities", Dyno_Data[AcqLoc],"AllyWing")</f>
        <v>0</v>
      </c>
      <c r="BW118">
        <f>COUNTIFS(Dyno_Data[Team],TBA_Matches_All[[#This Row],[Team]],Dyno_Data[Match],TBA_Matches_All[[#This Row],[Match_Number]],Dyno_Data[RecordType],"Activities", Dyno_Data[AcqLoc],"Source")</f>
        <v>0</v>
      </c>
      <c r="BX118">
        <f>SUMIFS(Dyno_Data[AcqDrp], Dyno_Data[Team],TBA_Matches_All[[#This Row],[Team]],Dyno_Data[Match],TBA_Matches_All[[#This Row],[Match_Number]],Dyno_Data[RecordType],"Activities", Dyno_Data[AcqLoc],"Source")</f>
        <v>0</v>
      </c>
      <c r="BY118">
        <f>SUMIFS(Dyno_Data[OZTime], Dyno_Data[Team],TBA_Matches_All[[#This Row],[Team]],Dyno_Data[Match],TBA_Matches_All[[#This Row],[Match_Number]],Dyno_Data[RecordType],"EndMatch")</f>
        <v>29.882662799999999</v>
      </c>
      <c r="BZ118">
        <f>SUMIFS(Dyno_Data[NZTime], Dyno_Data[Team],TBA_Matches_All[[#This Row],[Team]],Dyno_Data[Match],TBA_Matches_All[[#This Row],[Match_Number]],Dyno_Data[RecordType],"EndMatch")</f>
        <v>12.461206299999999</v>
      </c>
      <c r="CA118">
        <f>SUMIFS(Dyno_Data[AZTime], Dyno_Data[Team],TBA_Matches_All[[#This Row],[Team]],Dyno_Data[Match],TBA_Matches_All[[#This Row],[Match_Number]],Dyno_Data[RecordType],"EndMatch")</f>
        <v>79.362588399999993</v>
      </c>
      <c r="CB118">
        <f>SUMIFS(Dyno_Data[ClimbT], Dyno_Data[Team],TBA_Matches_All[[#This Row],[Team]],Dyno_Data[Match],TBA_Matches_All[[#This Row],[Match_Number]],Dyno_Data[RecordType],"EndMatch")</f>
        <v>15.399913</v>
      </c>
      <c r="CC118" t="str">
        <f>_xlfn.XLOOKUP(SUM(MID(TBA_Matches_All[[#This Row],[Team]],4,5),(TBA_Matches_All[[#This Row],[Match_Number]]/100)),Dyno_EndMatch[teammat],Dyno_EndMatch[StageStat],"_",0,1)</f>
        <v>Park</v>
      </c>
      <c r="CD118" t="str">
        <f>_xlfn.XLOOKUP(TBA_Matches_All[[#This Row],[teammat]],Dyno_EndMatch[teammat],Dyno_EndMatch[StageAtt],"_",0,1)</f>
        <v>-1</v>
      </c>
      <c r="CE118" t="str">
        <f>_xlfn.XLOOKUP(TBA_Matches_All[[#This Row],[teammat]],Dyno_EndMatch[teammat],Dyno_EndMatch[StageLoc],"_",0,1)</f>
        <v>A</v>
      </c>
      <c r="CF118">
        <f>SUMIFS(Dyno_Data[Harmony], Dyno_Data[Team],TBA_Matches_All[[#This Row],[Team]],Dyno_Data[Match],TBA_Matches_All[[#This Row],[Match_Number]],Dyno_Data[RecordType],"EndMatch", Dyno_Data[StageStat],"On",Dyno_Data[Harmony],"&lt;&gt;9")</f>
        <v>0</v>
      </c>
      <c r="CG118">
        <f>SUMIFS(Dyno_Data[Spotlit], Dyno_Data[Team],TBA_Matches_All[[#This Row],[Team]],Dyno_Data[Match],TBA_Matches_All[[#This Row],[Match_Number]],Dyno_Data[RecordType],"EndMatch", Dyno_Data[StageStat],"On",Dyno_Data[Spotlit],"&lt;&gt;9")</f>
        <v>0</v>
      </c>
      <c r="CH118" t="str">
        <f>_xlfn.XLOOKUP(TBA_Matches_All[[#This Row],[teammat]],Dyno_EndMatch[teammat],Dyno_EndMatch[Strategy],"_",0,1)</f>
        <v>Shooter</v>
      </c>
      <c r="CI118">
        <f>SUMIFS(Dyno_Data[Defense], Dyno_Data[Team],TBA_Matches_All[[#This Row],[Team]],Dyno_Data[Match],TBA_Matches_All[[#This Row],[Match_Number]],Dyno_Data[RecordType],"EndMatch",Dyno_Data[Defense],"&lt;&gt;9")</f>
        <v>0</v>
      </c>
      <c r="CJ118">
        <f>SUMIFS(Dyno_Data[Avoidance], Dyno_Data[Team],TBA_Matches_All[[#This Row],[Team]],Dyno_Data[Match],TBA_Matches_All[[#This Row],[Match_Number]],Dyno_Data[RecordType],"EndMatch",Dyno_Data[Avoidance],"&lt;&gt;9")</f>
        <v>0</v>
      </c>
      <c r="CK118" s="82">
        <f>COUNTIF($H$2:TBA_Matches_All[[#This Row],[Team]],TBA_Matches_All[[#This Row],[Team]])</f>
        <v>3</v>
      </c>
      <c r="CL118" s="111">
        <f>SUM(MID(TBA_Matches_All[[#This Row],[Team]],4,5)+TBA_Matches_All[[#This Row],[Match_Number]]/100)</f>
        <v>296.2</v>
      </c>
      <c r="CM118">
        <f>SUM((TBA_Matches_All[[#This Row],[Leave]]*2)+(TBA_Matches_All[[#This Row],[AampT]]*2)+(TBA_Matches_All[[#This Row],[AspkrT]]*5)+(TBA_Matches_All[[#This Row],[AtrapT]]*5))</f>
        <v>12</v>
      </c>
      <c r="CN118" s="59">
        <f>IFERROR(SUM(TBA_Matches_All[[#This Row],[AptsT]]/TBA_Matches_All[[#This Row],[AutoPts]]),0)</f>
        <v>0.8571428571428571</v>
      </c>
      <c r="CO118" s="59">
        <f>IFERROR(SUM(TBA_Matches_All[[#This Row],[AampT]]+TBA_Matches_All[[#This Row],[AspkrT]]+TBA_Matches_All[[#This Row],[AtrapT]]/TBA_Matches_All[[#This Row],[Aamp]]+TBA_Matches_All[[#This Row],[Aspkr]]+TBA_Matches_All[[#This Row],[AtrapT]]),0)</f>
        <v>0</v>
      </c>
      <c r="CP118" s="59">
        <f>IFERROR(SUM(TBA_Matches_All[[#This Row],[TampT]]/TBA_Matches_All[[#This Row],[Tamp]]),0)</f>
        <v>0</v>
      </c>
      <c r="CQ118" s="59">
        <f>IFERROR(SUM(TBA_Matches_All[[#This Row],[TspkrT]]/TBA_Matches_All[[#This Row],[Tspkr]]),0)</f>
        <v>0.625</v>
      </c>
      <c r="CR118">
        <f>SUM(TBA_Matches_All[[#This Row],[TspkrPts]]*TBA_Matches_All[[#This Row],[TspkrP]])</f>
        <v>10</v>
      </c>
      <c r="CS118" s="59">
        <f>IFERROR(SUM(TBA_Matches_All[[#This Row],[TtrapT]]/TBA_Matches_All[[#This Row],[Trap]]),0)</f>
        <v>0</v>
      </c>
      <c r="CT118" s="59">
        <f>IFERROR(SUM(TBA_Matches_All[[#This Row],[TotNotesT]]/TBA_Matches_All[[#This Row],[TotNotes]]),0)</f>
        <v>0.58333333333333337</v>
      </c>
      <c r="CU118" s="66">
        <f>SUM((TBA_Matches_All[[#This Row],[AampT]]*2)+(TBA_Matches_All[[#This Row],[AspkrT]]*5)+(TBA_Matches_All[[#This Row],[AtrapT]]*5)+(TBA_Matches_All[[#This Row],[TampT]]*1)+(TBA_Matches_All[[#This Row],[TspkrptsC]]))</f>
        <v>20</v>
      </c>
      <c r="CV118" s="59">
        <f>IFERROR(TBA_Matches_All[[#This Row],[noteptsT]]/TBA_Matches_All[[#This Row],[NotePts]],0)</f>
        <v>0.7142857142857143</v>
      </c>
      <c r="CW118">
        <f>SUM(IF(TBA_Matches_All[[#This Row],[stageStat]]="On",3,0),IF(TBA_Matches_All[[#This Row],[stageStat]]="Park",1,0),SUMIFS(TBA_Matches_All[[#This Row],[Spotlit]],TBA_Matches_All[[#This Row],[stageStat]],"On"),SUMIFS(TBA_Matches_All[[#This Row],[Harmony]],TBA_Matches_All[[#This Row],[stageStat]],"On"))</f>
        <v>1</v>
      </c>
      <c r="CX118" s="59">
        <f>IFERROR(TBA_Matches_All[[#This Row],[stageptsT]]/TBA_Matches_All[[#This Row],[StagePts]],0)</f>
        <v>0.2</v>
      </c>
      <c r="CY118">
        <f>SUM((TBA_Matches_All[[#This Row],[AptsT]]+TBA_Matches_All[[#This Row],[TampT]]+TBA_Matches_All[[#This Row],[TspkrptsC]]+(TBA_Matches_All[[#This Row],[TtrapT]]*5)+TBA_Matches_All[[#This Row],[stageptsT]]))</f>
        <v>23</v>
      </c>
      <c r="CZ118" s="59">
        <f>IFERROR(SUM(TBA_Matches_All[[#This Row],[TotptsC]]/TBA_Matches_All[[#This Row],[Score]]),0)</f>
        <v>0.53488372093023251</v>
      </c>
      <c r="DA11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8.8285714285714274</v>
      </c>
      <c r="DB118" s="74">
        <f>SUMIFS(TBA_Matches_All[AveTeamTNoteDels],TBA_Matches_All[Match_Number],TBA_Matches_All[[#This Row],[Match_Number]],TBA_Matches_All[Alliance],"&lt;&gt;"&amp;TBA_Matches_All[[#This Row],[Alliance]],TBA_Matches_All[Scouted],"&gt;0")</f>
        <v>36.182843822843822</v>
      </c>
      <c r="DC118" s="74">
        <f>(TBA_Matches_All[[#This Row],[TampT]]+TBA_Matches_All[[#This Row],[TspkrptsC]])-TBA_Matches_All[[#This Row],[AveTeamTNoteDels]]</f>
        <v>1.1714285714285726</v>
      </c>
      <c r="DD118" s="74">
        <f>SUMIFS(TBA_Matches_All[AveTeamTNoteDels],TBA_Matches_All[Match_Number],TBA_Matches_All[[#This Row],[Match_Number]],TBA_Matches_All[Alliance],"&lt;&gt;"&amp;TBA_Matches_All[[#This Row],[Alliance]])-TBA_Matches_All[[#This Row],[AveOppTNoteDels]]</f>
        <v>0</v>
      </c>
    </row>
    <row r="119" spans="1:108" x14ac:dyDescent="0.3">
      <c r="A119" t="s">
        <v>1042</v>
      </c>
      <c r="B119" t="s">
        <v>489</v>
      </c>
      <c r="C119" t="s">
        <v>1329</v>
      </c>
      <c r="D119">
        <v>20</v>
      </c>
      <c r="E119" t="s">
        <v>1420</v>
      </c>
      <c r="F119" t="s">
        <v>1423</v>
      </c>
      <c r="G119" t="s">
        <v>1409</v>
      </c>
      <c r="H119" t="s">
        <v>368</v>
      </c>
      <c r="I119" t="b">
        <v>1</v>
      </c>
      <c r="J119">
        <v>72</v>
      </c>
      <c r="K119">
        <v>1</v>
      </c>
      <c r="L119">
        <v>0</v>
      </c>
      <c r="M119">
        <v>6</v>
      </c>
      <c r="N119">
        <v>0</v>
      </c>
      <c r="O119">
        <v>3</v>
      </c>
      <c r="P119">
        <v>15</v>
      </c>
      <c r="Q119">
        <v>17</v>
      </c>
      <c r="R119">
        <v>5</v>
      </c>
      <c r="S119">
        <v>4</v>
      </c>
      <c r="T119">
        <v>8</v>
      </c>
      <c r="U119">
        <v>20</v>
      </c>
      <c r="V119">
        <v>16</v>
      </c>
      <c r="W119">
        <v>12</v>
      </c>
      <c r="X119">
        <v>36</v>
      </c>
      <c r="Y119">
        <v>41</v>
      </c>
      <c r="Z119">
        <v>0</v>
      </c>
      <c r="AA119">
        <v>0</v>
      </c>
      <c r="AB119">
        <v>20</v>
      </c>
      <c r="AC119">
        <v>56</v>
      </c>
      <c r="AD119">
        <v>9</v>
      </c>
      <c r="AE119">
        <f>IFERROR(6/(COUNTIF(Dyno_EndMatch[Match],TBA_Matches_All[[#This Row],[Match_Number]])),0)</f>
        <v>1</v>
      </c>
      <c r="AF119">
        <f>COUNTIFS(Dyno_Data[Team],TBA_Matches_All[[#This Row],[Team]],Dyno_Data[Match],TBA_Matches_All[[#This Row],[Match_Number]],Dyno_Data[RecordType],"EndMatch",Dyno_Data[HPAmp],"Y")</f>
        <v>0</v>
      </c>
      <c r="AG119">
        <f>SUMIFS(Dyno_Data[Mics], Dyno_Data[Team],TBA_Matches_All[[#This Row],[Team]],Dyno_Data[Match],TBA_Matches_All[[#This Row],[Match_Number]],Dyno_Data[RecordType],"EndMatch",Dyno_Data[HPAmp],"Y")</f>
        <v>0</v>
      </c>
      <c r="AH119">
        <f>SUMIFS(Dyno_Data[Leave], Dyno_Data[Team],TBA_Matches_All[[#This Row],[Team]],Dyno_Data[Match],TBA_Matches_All[[#This Row],[Match_Number]],Dyno_Data[RecordType],"EndAuto")</f>
        <v>1</v>
      </c>
      <c r="AI119">
        <f>COUNTIFS(Dyno_Data[Team],TBA_Matches_All[[#This Row],[Team]],Dyno_Data[Match],TBA_Matches_All[[#This Row],[Match_Number]],Dyno_Data[RecordType],"Activities",Dyno_Data[DelDest],"Amp", Dyno_Data[DelMiss],"0", Dyno_Data[Mode],"Auto")</f>
        <v>0</v>
      </c>
      <c r="AJ119">
        <f>COUNTIFS(Dyno_Data[Team],TBA_Matches_All[[#This Row],[Team]],Dyno_Data[Match],TBA_Matches_All[[#This Row],[Match_Number]],Dyno_Data[RecordType],"Activities",Dyno_Data[DelDest],"Spkr", Dyno_Data[DelMiss],"0", Dyno_Data[Mode],"Auto")</f>
        <v>0</v>
      </c>
      <c r="AK119">
        <f>COUNTIFS(Dyno_Data[Team],TBA_Matches_All[[#This Row],[Team]],Dyno_Data[Match],TBA_Matches_All[[#This Row],[Match_Number]],Dyno_Data[RecordType],"Activities",Dyno_Data[DelDest],"Trap", Dyno_Data[DelMiss],"0", Dyno_Data[Mode],"Auto")</f>
        <v>0</v>
      </c>
      <c r="AL119">
        <f>COUNTIFS(Dyno_Data[Team],TBA_Matches_All[[#This Row],[Team]],Dyno_Data[Match],TBA_Matches_All[[#This Row],[Match_Number]],Dyno_Data[RecordType],"Activities",Dyno_Data[DelDest],"Amp", Dyno_Data[DelMiss],"0", Dyno_Data[Mode],"Teleop")</f>
        <v>0</v>
      </c>
      <c r="AM119">
        <f>COUNTIFS(Dyno_Data[Team],TBA_Matches_All[[#This Row],[Team]],Dyno_Data[Match],TBA_Matches_All[[#This Row],[Match_Number]],Dyno_Data[RecordType],"Activities",Dyno_Data[DelDest],"Spkr", Dyno_Data[DelMiss],"0", Dyno_Data[Mode],"Teleop")</f>
        <v>2</v>
      </c>
      <c r="AN119">
        <f>COUNTIFS(Dyno_Data[Team],TBA_Matches_All[[#This Row],[Team]],Dyno_Data[Match],TBA_Matches_All[[#This Row],[Match_Number]],Dyno_Data[RecordType],"Activities",Dyno_Data[DelDest],"Trap", Dyno_Data[DelMiss],"0", Dyno_Data[Mode],"&lt;&gt;Auto")</f>
        <v>0</v>
      </c>
      <c r="AO119">
        <f>SUM(TBA_Matches_All[[#This Row],[AampT]]+TBA_Matches_All[[#This Row],[AspkrT]]+TBA_Matches_All[[#This Row],[AtrapT]]+TBA_Matches_All[[#This Row],[TampT]]+TBA_Matches_All[[#This Row],[TspkrT]]+TBA_Matches_All[[#This Row],[TtrapT]])</f>
        <v>2</v>
      </c>
      <c r="AP119">
        <f>COUNTIFS(Dyno_Data[Team],TBA_Matches_All[[#This Row],[Team]],Dyno_Data[Match],TBA_Matches_All[[#This Row],[Match_Number]],Dyno_Data[RecordType],"Activities",Dyno_Data[DelDest],"Neut", Dyno_Data[DelMiss],"0")</f>
        <v>0</v>
      </c>
      <c r="AQ119">
        <f>COUNTIFS(Dyno_Data[Team],TBA_Matches_All[[#This Row],[Team]],Dyno_Data[Match],TBA_Matches_All[[#This Row],[Match_Number]],Dyno_Data[RecordType],"Activities",Dyno_Data[DelDest],"AllyW", Dyno_Data[DelMiss],"0")</f>
        <v>0</v>
      </c>
      <c r="AR119" t="str">
        <f>_xlfn.XLOOKUP(SUM(MID(TBA_Matches_All[[#This Row],[Team]],4,5),(TBA_Matches_All[[#This Row],[Match_Number]]/100)),Dyno_EndMatch[teammat],Dyno_EndMatch[RobotSta],"_",0,1)</f>
        <v>OppS</v>
      </c>
      <c r="AS119">
        <f>SUMIFS(Dyno_Data[AcqDis], Dyno_Data[Team],TBA_Matches_All[[#This Row],[Team]],Dyno_Data[Match],TBA_Matches_All[[#This Row],[Match_Number]],Dyno_Data[RecordType],"Activities", Dyno_Data[AcqCenter],1,Dyno_Data[Mode],"Auto")</f>
        <v>0</v>
      </c>
      <c r="AT119">
        <f>SUMIFS(Dyno_Data[AcqDis], Dyno_Data[Team],TBA_Matches_All[[#This Row],[Team]],Dyno_Data[Match],TBA_Matches_All[[#This Row],[Match_Number]],Dyno_Data[RecordType],"Activities", Dyno_Data[AcqCenter],2,Dyno_Data[Mode],"Auto")</f>
        <v>0</v>
      </c>
      <c r="AU119">
        <f>SUMIFS(Dyno_Data[AcqDis], Dyno_Data[Team],TBA_Matches_All[[#This Row],[Team]],Dyno_Data[Match],TBA_Matches_All[[#This Row],[Match_Number]],Dyno_Data[RecordType],"Activities", Dyno_Data[AcqCenter],3,Dyno_Data[Mode],"Auto")</f>
        <v>0</v>
      </c>
      <c r="AV119">
        <f>SUMIFS(Dyno_Data[AcqDis], Dyno_Data[Team],TBA_Matches_All[[#This Row],[Team]],Dyno_Data[Match],TBA_Matches_All[[#This Row],[Match_Number]],Dyno_Data[RecordType],"Activities", Dyno_Data[AcqCenter],4,Dyno_Data[Mode],"Auto")</f>
        <v>0</v>
      </c>
      <c r="AW119">
        <f>SUMIFS(Dyno_Data[AcqDis], Dyno_Data[Team],TBA_Matches_All[[#This Row],[Team]],Dyno_Data[Match],TBA_Matches_All[[#This Row],[Match_Number]],Dyno_Data[RecordType],"Activities", Dyno_Data[AcqCenter],5,Dyno_Data[Mode],"Auto")</f>
        <v>0</v>
      </c>
      <c r="AX119">
        <f>SUMIFS(Dyno_Data[DelMiss], Dyno_Data[Team],TBA_Matches_All[[#This Row],[Team]],Dyno_Data[Match],TBA_Matches_All[[#This Row],[Match_Number]],Dyno_Data[RecordType],"Activities", Dyno_Data[DelDest],"Amp")</f>
        <v>0</v>
      </c>
      <c r="AY119" s="60">
        <f>IFERROR(SUM((TBA_Matches_All[[#This Row],[AampT]]+TBA_Matches_All[[#This Row],[TampT]])/(TBA_Matches_All[[#This Row],[AampT]]+TBA_Matches_All[[#This Row],[TampT]]+TBA_Matches_All[[#This Row],[ampM]])),0)</f>
        <v>0</v>
      </c>
      <c r="AZ119">
        <f>SUMIFS(Dyno_Data[DelMiss], Dyno_Data[Team],TBA_Matches_All[[#This Row],[Team]],Dyno_Data[Match],TBA_Matches_All[[#This Row],[Match_Number]],Dyno_Data[RecordType],"Activities", Dyno_Data[DelDest],"Spkr")</f>
        <v>1</v>
      </c>
      <c r="BA119" s="60">
        <f>IFERROR(SUM((TBA_Matches_All[[#This Row],[AspkrT]]+TBA_Matches_All[[#This Row],[TspkrT]])/(TBA_Matches_All[[#This Row],[AspkrT]]+TBA_Matches_All[[#This Row],[TspkrT]]+TBA_Matches_All[[#This Row],[spkrM]])),0)</f>
        <v>0.66666666666666663</v>
      </c>
      <c r="BB119">
        <f>SUMIFS(Dyno_Data[DelMiss], Dyno_Data[Team],TBA_Matches_All[[#This Row],[Team]],Dyno_Data[Match],TBA_Matches_All[[#This Row],[Match_Number]],Dyno_Data[RecordType],"Activities", Dyno_Data[DelDest],"Trap")</f>
        <v>0</v>
      </c>
      <c r="BC119" s="60">
        <f>IFERROR((TBA_Matches_All[[#This Row],[AtrapT]]+TBA_Matches_All[[#This Row],[TtrapT]])/(TBA_Matches_All[[#This Row],[AtrapT]]+TBA_Matches_All[[#This Row],[TtrapT]]+TBA_Matches_All[[#This Row],[trapM]]),0)</f>
        <v>0</v>
      </c>
      <c r="BD119">
        <f>COUNTIFS(Dyno_Data[Team],TBA_Matches_All[[#This Row],[Team]],Dyno_Data[Match],TBA_Matches_All[[#This Row],[Match_Number]],Dyno_Data[RecordType],"Activities",Dyno_Data[DelDest],"Neut", Dyno_Data[DelMiss],1)</f>
        <v>0</v>
      </c>
      <c r="BE119" s="60">
        <f>IFERROR(SUM((TBA_Matches_All[[#This Row],[NeutFlrT]])/(TBA_Matches_All[[#This Row],[NeutFlrT]]+TBA_Matches_All[[#This Row],[NZflM]])),0)</f>
        <v>0</v>
      </c>
      <c r="BF119">
        <f>COUNTIFS(Dyno_Data[Team],TBA_Matches_All[[#This Row],[Team]],Dyno_Data[Match],TBA_Matches_All[[#This Row],[Match_Number]],Dyno_Data[RecordType],"Activities",Dyno_Data[DelDest],"AllyW", Dyno_Data[DelMiss],1)</f>
        <v>0</v>
      </c>
      <c r="BG119" s="60">
        <f>IFERROR(SUM((TBA_Matches_All[[#This Row],[AllyWFlrT]])/(TBA_Matches_All[[#This Row],[AllyWFlrT]]+TBA_Matches_All[[#This Row],[AZflM]])),0)</f>
        <v>0</v>
      </c>
      <c r="BH119">
        <f>COUNTIFS(Dyno_Data[Team],TBA_Matches_All[[#This Row],[Team]],Dyno_Data[Match],TBA_Matches_All[[#This Row],[Match_Number]],Dyno_Data[RecordType],"Activities",Dyno_Data[DelOrig],"OppW", Dyno_Data[DelMiss],"0")</f>
        <v>0</v>
      </c>
      <c r="BI119">
        <f>COUNTIFS(Dyno_Data[Team],TBA_Matches_All[[#This Row],[Team]],Dyno_Data[Match],TBA_Matches_All[[#This Row],[Match_Number]],Dyno_Data[RecordType],"Activities",Dyno_Data[DelOrig],"OppW", Dyno_Data[DelMiss],"1")</f>
        <v>0</v>
      </c>
      <c r="BJ119" s="60">
        <f>IFERROR(SUM((TBA_Matches_All[[#This Row],[OZflrT]])/(TBA_Matches_All[[#This Row],[OZflrT]]+TBA_Matches_All[[#This Row],[OZflrM]])),0)</f>
        <v>0</v>
      </c>
      <c r="BK119">
        <f>COUNTIFS(Dyno_Data[Team],TBA_Matches_All[[#This Row],[Team]],Dyno_Data[Match],TBA_Matches_All[[#This Row],[Match_Number]],Dyno_Data[RecordType],"Activities",Dyno_Data[DelOrig],"Neut", Dyno_Data[DelMiss],"0")</f>
        <v>0</v>
      </c>
      <c r="BL119">
        <f>COUNTIFS(Dyno_Data[Team],TBA_Matches_All[[#This Row],[Team]],Dyno_Data[Match],TBA_Matches_All[[#This Row],[Match_Number]],Dyno_Data[RecordType],"Activities",Dyno_Data[DelOrig],"Neut", Dyno_Data[DelMiss],"1")</f>
        <v>0</v>
      </c>
      <c r="BM119" s="60">
        <f>IFERROR(SUM((TBA_Matches_All[[#This Row],[NZflrT]])/(TBA_Matches_All[[#This Row],[NZflrT]]+TBA_Matches_All[[#This Row],[NZflrM]])),0)</f>
        <v>0</v>
      </c>
      <c r="BN119">
        <f>COUNTIFS(Dyno_Data[Team],TBA_Matches_All[[#This Row],[Team]],Dyno_Data[Match],TBA_Matches_All[[#This Row],[Match_Number]],Dyno_Data[RecordType],"Activities",Dyno_Data[DelOrig],"AllyW", Dyno_Data[DelMiss],"0")</f>
        <v>2</v>
      </c>
      <c r="BO119">
        <f>COUNTIFS(Dyno_Data[Team],TBA_Matches_All[[#This Row],[Team]],Dyno_Data[Match],TBA_Matches_All[[#This Row],[Match_Number]],Dyno_Data[RecordType],"Activities",Dyno_Data[DelOrig],"AllyW", Dyno_Data[DelMiss],"1")</f>
        <v>1</v>
      </c>
      <c r="BP119" s="60">
        <f>IFERROR(SUM((TBA_Matches_All[[#This Row],[AZflrT]])/(TBA_Matches_All[[#This Row],[AZflrT]]+TBA_Matches_All[[#This Row],[AZflrM]])),0)</f>
        <v>0.66666666666666663</v>
      </c>
      <c r="BQ119">
        <f>COUNTIFS(Dyno_Data[Team],TBA_Matches_All[[#This Row],[Team]],Dyno_Data[Match],TBA_Matches_All[[#This Row],[Match_Number]],Dyno_Data[RecordType],"Activities",Dyno_Data[DelOrig],"SubW", Dyno_Data[DelMiss],"0")</f>
        <v>0</v>
      </c>
      <c r="BR119">
        <f>COUNTIFS(Dyno_Data[Team],TBA_Matches_All[[#This Row],[Team]],Dyno_Data[Match],TBA_Matches_All[[#This Row],[Match_Number]],Dyno_Data[RecordType],"Activities",Dyno_Data[DelOrig],"SubW", Dyno_Data[DelMiss],"1")</f>
        <v>0</v>
      </c>
      <c r="BS119" s="60">
        <f>IFERROR(SUM((TBA_Matches_All[[#This Row],[SubwT]])/(TBA_Matches_All[[#This Row],[SubwT]]+TBA_Matches_All[[#This Row],[SubwM]])),0)</f>
        <v>0</v>
      </c>
      <c r="BT119">
        <f>COUNTIFS(Dyno_Data[Team],TBA_Matches_All[[#This Row],[Team]],Dyno_Data[Match],TBA_Matches_All[[#This Row],[Match_Number]],Dyno_Data[RecordType],"Activities", Dyno_Data[AcqLoc],"OppWing")</f>
        <v>0</v>
      </c>
      <c r="BU119">
        <f>COUNTIFS(Dyno_Data[Team],TBA_Matches_All[[#This Row],[Team]],Dyno_Data[Match],TBA_Matches_All[[#This Row],[Match_Number]],Dyno_Data[RecordType],"Activities", Dyno_Data[AcqLoc],"Neutral")</f>
        <v>0</v>
      </c>
      <c r="BV119">
        <f>COUNTIFS(Dyno_Data[Team],TBA_Matches_All[[#This Row],[Team]],Dyno_Data[Match],TBA_Matches_All[[#This Row],[Match_Number]],Dyno_Data[RecordType],"Activities", Dyno_Data[AcqLoc],"AllyWing")</f>
        <v>0</v>
      </c>
      <c r="BW119">
        <f>COUNTIFS(Dyno_Data[Team],TBA_Matches_All[[#This Row],[Team]],Dyno_Data[Match],TBA_Matches_All[[#This Row],[Match_Number]],Dyno_Data[RecordType],"Activities", Dyno_Data[AcqLoc],"Source")</f>
        <v>0</v>
      </c>
      <c r="BX119">
        <f>SUMIFS(Dyno_Data[AcqDrp], Dyno_Data[Team],TBA_Matches_All[[#This Row],[Team]],Dyno_Data[Match],TBA_Matches_All[[#This Row],[Match_Number]],Dyno_Data[RecordType],"Activities", Dyno_Data[AcqLoc],"Source")</f>
        <v>0</v>
      </c>
      <c r="BY119">
        <f>SUMIFS(Dyno_Data[OZTime], Dyno_Data[Team],TBA_Matches_All[[#This Row],[Team]],Dyno_Data[Match],TBA_Matches_All[[#This Row],[Match_Number]],Dyno_Data[RecordType],"EndMatch")</f>
        <v>38.9676787</v>
      </c>
      <c r="BZ119">
        <f>SUMIFS(Dyno_Data[NZTime], Dyno_Data[Team],TBA_Matches_All[[#This Row],[Team]],Dyno_Data[Match],TBA_Matches_All[[#This Row],[Match_Number]],Dyno_Data[RecordType],"EndMatch")</f>
        <v>8.6873398999999996</v>
      </c>
      <c r="CA119">
        <f>SUMIFS(Dyno_Data[AZTime], Dyno_Data[Team],TBA_Matches_All[[#This Row],[Team]],Dyno_Data[Match],TBA_Matches_All[[#This Row],[Match_Number]],Dyno_Data[RecordType],"EndMatch")</f>
        <v>63.684725299999997</v>
      </c>
      <c r="CB119">
        <f>SUMIFS(Dyno_Data[ClimbT], Dyno_Data[Team],TBA_Matches_All[[#This Row],[Team]],Dyno_Data[Match],TBA_Matches_All[[#This Row],[Match_Number]],Dyno_Data[RecordType],"EndMatch")</f>
        <v>11.877455099999999</v>
      </c>
      <c r="CC119" t="str">
        <f>_xlfn.XLOOKUP(SUM(MID(TBA_Matches_All[[#This Row],[Team]],4,5),(TBA_Matches_All[[#This Row],[Match_Number]]/100)),Dyno_EndMatch[teammat],Dyno_EndMatch[StageStat],"_",0,1)</f>
        <v>On</v>
      </c>
      <c r="CD119" t="str">
        <f>_xlfn.XLOOKUP(TBA_Matches_All[[#This Row],[teammat]],Dyno_EndMatch[teammat],Dyno_EndMatch[StageAtt],"_",0,1)</f>
        <v>1</v>
      </c>
      <c r="CE119" t="str">
        <f>_xlfn.XLOOKUP(TBA_Matches_All[[#This Row],[teammat]],Dyno_EndMatch[teammat],Dyno_EndMatch[StageLoc],"_",0,1)</f>
        <v>L</v>
      </c>
      <c r="CF119">
        <f>SUMIFS(Dyno_Data[Harmony], Dyno_Data[Team],TBA_Matches_All[[#This Row],[Team]],Dyno_Data[Match],TBA_Matches_All[[#This Row],[Match_Number]],Dyno_Data[RecordType],"EndMatch", Dyno_Data[StageStat],"On",Dyno_Data[Harmony],"&lt;&gt;9")</f>
        <v>1</v>
      </c>
      <c r="CG119">
        <f>SUMIFS(Dyno_Data[Spotlit], Dyno_Data[Team],TBA_Matches_All[[#This Row],[Team]],Dyno_Data[Match],TBA_Matches_All[[#This Row],[Match_Number]],Dyno_Data[RecordType],"EndMatch", Dyno_Data[StageStat],"On",Dyno_Data[Spotlit],"&lt;&gt;9")</f>
        <v>0</v>
      </c>
      <c r="CH119" t="str">
        <f>_xlfn.XLOOKUP(TBA_Matches_All[[#This Row],[teammat]],Dyno_EndMatch[teammat],Dyno_EndMatch[Strategy],"_",0,1)</f>
        <v>Hybrid</v>
      </c>
      <c r="CI119">
        <f>SUMIFS(Dyno_Data[Defense], Dyno_Data[Team],TBA_Matches_All[[#This Row],[Team]],Dyno_Data[Match],TBA_Matches_All[[#This Row],[Match_Number]],Dyno_Data[RecordType],"EndMatch",Dyno_Data[Defense],"&lt;&gt;9")</f>
        <v>0</v>
      </c>
      <c r="CJ119">
        <f>SUMIFS(Dyno_Data[Avoidance], Dyno_Data[Team],TBA_Matches_All[[#This Row],[Team]],Dyno_Data[Match],TBA_Matches_All[[#This Row],[Match_Number]],Dyno_Data[RecordType],"EndMatch",Dyno_Data[Avoidance],"&lt;&gt;9")</f>
        <v>1</v>
      </c>
      <c r="CK119" s="82">
        <f>COUNTIF($H$2:TBA_Matches_All[[#This Row],[Team]],TBA_Matches_All[[#This Row],[Team]])</f>
        <v>3</v>
      </c>
      <c r="CL119" s="111">
        <f>SUM(MID(TBA_Matches_All[[#This Row],[Team]],4,5)+TBA_Matches_All[[#This Row],[Match_Number]]/100)</f>
        <v>6401.2</v>
      </c>
      <c r="CM119">
        <f>SUM((TBA_Matches_All[[#This Row],[Leave]]*2)+(TBA_Matches_All[[#This Row],[AampT]]*2)+(TBA_Matches_All[[#This Row],[AspkrT]]*5)+(TBA_Matches_All[[#This Row],[AtrapT]]*5))</f>
        <v>2</v>
      </c>
      <c r="CN119" s="59">
        <f>IFERROR(SUM(TBA_Matches_All[[#This Row],[AptsT]]/TBA_Matches_All[[#This Row],[AutoPts]]),0)</f>
        <v>0.11764705882352941</v>
      </c>
      <c r="CO119" s="59">
        <f>IFERROR(SUM(TBA_Matches_All[[#This Row],[AampT]]+TBA_Matches_All[[#This Row],[AspkrT]]+TBA_Matches_All[[#This Row],[AtrapT]]/TBA_Matches_All[[#This Row],[Aamp]]+TBA_Matches_All[[#This Row],[Aspkr]]+TBA_Matches_All[[#This Row],[AtrapT]]),0)</f>
        <v>0</v>
      </c>
      <c r="CP119" s="59">
        <f>IFERROR(SUM(TBA_Matches_All[[#This Row],[TampT]]/TBA_Matches_All[[#This Row],[Tamp]]),0)</f>
        <v>0</v>
      </c>
      <c r="CQ119" s="59">
        <f>IFERROR(SUM(TBA_Matches_All[[#This Row],[TspkrT]]/TBA_Matches_All[[#This Row],[Tspkr]]),0)</f>
        <v>0.16666666666666666</v>
      </c>
      <c r="CR119">
        <f>SUM(TBA_Matches_All[[#This Row],[TspkrPts]]*TBA_Matches_All[[#This Row],[TspkrP]])</f>
        <v>6</v>
      </c>
      <c r="CS119" s="59">
        <f>IFERROR(SUM(TBA_Matches_All[[#This Row],[TtrapT]]/TBA_Matches_All[[#This Row],[Trap]]),0)</f>
        <v>0</v>
      </c>
      <c r="CT119" s="59">
        <f>IFERROR(SUM(TBA_Matches_All[[#This Row],[TotNotesT]]/TBA_Matches_All[[#This Row],[TotNotes]]),0)</f>
        <v>0.1</v>
      </c>
      <c r="CU119" s="66">
        <f>SUM((TBA_Matches_All[[#This Row],[AampT]]*2)+(TBA_Matches_All[[#This Row],[AspkrT]]*5)+(TBA_Matches_All[[#This Row],[AtrapT]]*5)+(TBA_Matches_All[[#This Row],[TampT]]*1)+(TBA_Matches_All[[#This Row],[TspkrptsC]]))</f>
        <v>6</v>
      </c>
      <c r="CV119" s="59">
        <f>IFERROR(TBA_Matches_All[[#This Row],[noteptsT]]/TBA_Matches_All[[#This Row],[NotePts]],0)</f>
        <v>0.10714285714285714</v>
      </c>
      <c r="CW119">
        <f>SUM(IF(TBA_Matches_All[[#This Row],[stageStat]]="On",3,0),IF(TBA_Matches_All[[#This Row],[stageStat]]="Park",1,0),SUMIFS(TBA_Matches_All[[#This Row],[Spotlit]],TBA_Matches_All[[#This Row],[stageStat]],"On"),SUMIFS(TBA_Matches_All[[#This Row],[Harmony]],TBA_Matches_All[[#This Row],[stageStat]],"On"))</f>
        <v>4</v>
      </c>
      <c r="CX119" s="59">
        <f>IFERROR(TBA_Matches_All[[#This Row],[stageptsT]]/TBA_Matches_All[[#This Row],[StagePts]],0)</f>
        <v>0.44444444444444442</v>
      </c>
      <c r="CY119">
        <f>SUM((TBA_Matches_All[[#This Row],[AptsT]]+TBA_Matches_All[[#This Row],[TampT]]+TBA_Matches_All[[#This Row],[TspkrptsC]]+(TBA_Matches_All[[#This Row],[TtrapT]]*5)+TBA_Matches_All[[#This Row],[stageptsT]]))</f>
        <v>12</v>
      </c>
      <c r="CZ119" s="59">
        <f>IFERROR(SUM(TBA_Matches_All[[#This Row],[TotptsC]]/TBA_Matches_All[[#This Row],[Score]]),0)</f>
        <v>0.16666666666666666</v>
      </c>
      <c r="DA11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3.96</v>
      </c>
      <c r="DB119" s="74">
        <f>SUMIFS(TBA_Matches_All[AveTeamTNoteDels],TBA_Matches_All[Match_Number],TBA_Matches_All[[#This Row],[Match_Number]],TBA_Matches_All[Alliance],"&lt;&gt;"&amp;TBA_Matches_All[[#This Row],[Alliance]],TBA_Matches_All[Scouted],"&gt;0")</f>
        <v>21.516904761904762</v>
      </c>
      <c r="DC119" s="74">
        <f>(TBA_Matches_All[[#This Row],[TampT]]+TBA_Matches_All[[#This Row],[TspkrptsC]])-TBA_Matches_All[[#This Row],[AveTeamTNoteDels]]</f>
        <v>2.04</v>
      </c>
      <c r="DD119" s="74">
        <f>SUMIFS(TBA_Matches_All[AveTeamTNoteDels],TBA_Matches_All[Match_Number],TBA_Matches_All[[#This Row],[Match_Number]],TBA_Matches_All[Alliance],"&lt;&gt;"&amp;TBA_Matches_All[[#This Row],[Alliance]])-TBA_Matches_All[[#This Row],[AveOppTNoteDels]]</f>
        <v>0</v>
      </c>
    </row>
    <row r="120" spans="1:108" x14ac:dyDescent="0.3">
      <c r="A120" t="s">
        <v>1042</v>
      </c>
      <c r="B120" t="s">
        <v>489</v>
      </c>
      <c r="C120" t="s">
        <v>1329</v>
      </c>
      <c r="D120">
        <v>20</v>
      </c>
      <c r="E120" t="s">
        <v>1406</v>
      </c>
      <c r="F120" t="s">
        <v>1424</v>
      </c>
      <c r="G120" t="s">
        <v>1409</v>
      </c>
      <c r="H120" t="s">
        <v>362</v>
      </c>
      <c r="I120" t="b">
        <v>1</v>
      </c>
      <c r="J120">
        <v>43</v>
      </c>
      <c r="K120">
        <v>0</v>
      </c>
      <c r="L120">
        <v>0</v>
      </c>
      <c r="M120">
        <v>5</v>
      </c>
      <c r="N120">
        <v>0</v>
      </c>
      <c r="O120">
        <v>2</v>
      </c>
      <c r="P120">
        <v>10</v>
      </c>
      <c r="Q120">
        <v>14</v>
      </c>
      <c r="R120">
        <v>2</v>
      </c>
      <c r="S120">
        <v>0</v>
      </c>
      <c r="T120">
        <v>8</v>
      </c>
      <c r="U120">
        <v>0</v>
      </c>
      <c r="V120">
        <v>16</v>
      </c>
      <c r="W120">
        <v>8</v>
      </c>
      <c r="X120">
        <v>16</v>
      </c>
      <c r="Y120">
        <v>18</v>
      </c>
      <c r="Z120">
        <v>0</v>
      </c>
      <c r="AA120">
        <v>0</v>
      </c>
      <c r="AB120">
        <v>12</v>
      </c>
      <c r="AC120">
        <v>28</v>
      </c>
      <c r="AD120">
        <v>5</v>
      </c>
      <c r="AE120">
        <f>IFERROR(6/(COUNTIF(Dyno_EndMatch[Match],TBA_Matches_All[[#This Row],[Match_Number]])),0)</f>
        <v>1</v>
      </c>
      <c r="AF120">
        <f>COUNTIFS(Dyno_Data[Team],TBA_Matches_All[[#This Row],[Team]],Dyno_Data[Match],TBA_Matches_All[[#This Row],[Match_Number]],Dyno_Data[RecordType],"EndMatch",Dyno_Data[HPAmp],"Y")</f>
        <v>0</v>
      </c>
      <c r="AG120">
        <f>SUMIFS(Dyno_Data[Mics], Dyno_Data[Team],TBA_Matches_All[[#This Row],[Team]],Dyno_Data[Match],TBA_Matches_All[[#This Row],[Match_Number]],Dyno_Data[RecordType],"EndMatch",Dyno_Data[HPAmp],"Y")</f>
        <v>0</v>
      </c>
      <c r="AH120">
        <f>SUMIFS(Dyno_Data[Leave], Dyno_Data[Team],TBA_Matches_All[[#This Row],[Team]],Dyno_Data[Match],TBA_Matches_All[[#This Row],[Match_Number]],Dyno_Data[RecordType],"EndAuto")</f>
        <v>1</v>
      </c>
      <c r="AI120">
        <f>COUNTIFS(Dyno_Data[Team],TBA_Matches_All[[#This Row],[Team]],Dyno_Data[Match],TBA_Matches_All[[#This Row],[Match_Number]],Dyno_Data[RecordType],"Activities",Dyno_Data[DelDest],"Amp", Dyno_Data[DelMiss],"0", Dyno_Data[Mode],"Auto")</f>
        <v>0</v>
      </c>
      <c r="AJ120">
        <f>COUNTIFS(Dyno_Data[Team],TBA_Matches_All[[#This Row],[Team]],Dyno_Data[Match],TBA_Matches_All[[#This Row],[Match_Number]],Dyno_Data[RecordType],"Activities",Dyno_Data[DelDest],"Spkr", Dyno_Data[DelMiss],"0", Dyno_Data[Mode],"Auto")</f>
        <v>0</v>
      </c>
      <c r="AK120">
        <f>COUNTIFS(Dyno_Data[Team],TBA_Matches_All[[#This Row],[Team]],Dyno_Data[Match],TBA_Matches_All[[#This Row],[Match_Number]],Dyno_Data[RecordType],"Activities",Dyno_Data[DelDest],"Trap", Dyno_Data[DelMiss],"0", Dyno_Data[Mode],"Auto")</f>
        <v>0</v>
      </c>
      <c r="AL120">
        <f>COUNTIFS(Dyno_Data[Team],TBA_Matches_All[[#This Row],[Team]],Dyno_Data[Match],TBA_Matches_All[[#This Row],[Match_Number]],Dyno_Data[RecordType],"Activities",Dyno_Data[DelDest],"Amp", Dyno_Data[DelMiss],"0", Dyno_Data[Mode],"Teleop")</f>
        <v>0</v>
      </c>
      <c r="AM120">
        <f>COUNTIFS(Dyno_Data[Team],TBA_Matches_All[[#This Row],[Team]],Dyno_Data[Match],TBA_Matches_All[[#This Row],[Match_Number]],Dyno_Data[RecordType],"Activities",Dyno_Data[DelDest],"Spkr", Dyno_Data[DelMiss],"0", Dyno_Data[Mode],"Teleop")</f>
        <v>1</v>
      </c>
      <c r="AN120">
        <f>COUNTIFS(Dyno_Data[Team],TBA_Matches_All[[#This Row],[Team]],Dyno_Data[Match],TBA_Matches_All[[#This Row],[Match_Number]],Dyno_Data[RecordType],"Activities",Dyno_Data[DelDest],"Trap", Dyno_Data[DelMiss],"0", Dyno_Data[Mode],"&lt;&gt;Auto")</f>
        <v>0</v>
      </c>
      <c r="AO120">
        <f>SUM(TBA_Matches_All[[#This Row],[AampT]]+TBA_Matches_All[[#This Row],[AspkrT]]+TBA_Matches_All[[#This Row],[AtrapT]]+TBA_Matches_All[[#This Row],[TampT]]+TBA_Matches_All[[#This Row],[TspkrT]]+TBA_Matches_All[[#This Row],[TtrapT]])</f>
        <v>1</v>
      </c>
      <c r="AP120">
        <f>COUNTIFS(Dyno_Data[Team],TBA_Matches_All[[#This Row],[Team]],Dyno_Data[Match],TBA_Matches_All[[#This Row],[Match_Number]],Dyno_Data[RecordType],"Activities",Dyno_Data[DelDest],"Neut", Dyno_Data[DelMiss],"0")</f>
        <v>0</v>
      </c>
      <c r="AQ120">
        <f>COUNTIFS(Dyno_Data[Team],TBA_Matches_All[[#This Row],[Team]],Dyno_Data[Match],TBA_Matches_All[[#This Row],[Match_Number]],Dyno_Data[RecordType],"Activities",Dyno_Data[DelDest],"AllyW", Dyno_Data[DelMiss],"0")</f>
        <v>2</v>
      </c>
      <c r="AR120" t="str">
        <f>_xlfn.XLOOKUP(SUM(MID(TBA_Matches_All[[#This Row],[Team]],4,5),(TBA_Matches_All[[#This Row],[Match_Number]]/100)),Dyno_EndMatch[teammat],Dyno_EndMatch[RobotSta],"_",0,1)</f>
        <v>OppS</v>
      </c>
      <c r="AS120">
        <f>SUMIFS(Dyno_Data[AcqDis], Dyno_Data[Team],TBA_Matches_All[[#This Row],[Team]],Dyno_Data[Match],TBA_Matches_All[[#This Row],[Match_Number]],Dyno_Data[RecordType],"Activities", Dyno_Data[AcqCenter],1,Dyno_Data[Mode],"Auto")</f>
        <v>0</v>
      </c>
      <c r="AT120">
        <f>SUMIFS(Dyno_Data[AcqDis], Dyno_Data[Team],TBA_Matches_All[[#This Row],[Team]],Dyno_Data[Match],TBA_Matches_All[[#This Row],[Match_Number]],Dyno_Data[RecordType],"Activities", Dyno_Data[AcqCenter],2,Dyno_Data[Mode],"Auto")</f>
        <v>0</v>
      </c>
      <c r="AU120">
        <f>SUMIFS(Dyno_Data[AcqDis], Dyno_Data[Team],TBA_Matches_All[[#This Row],[Team]],Dyno_Data[Match],TBA_Matches_All[[#This Row],[Match_Number]],Dyno_Data[RecordType],"Activities", Dyno_Data[AcqCenter],3,Dyno_Data[Mode],"Auto")</f>
        <v>0</v>
      </c>
      <c r="AV120">
        <f>SUMIFS(Dyno_Data[AcqDis], Dyno_Data[Team],TBA_Matches_All[[#This Row],[Team]],Dyno_Data[Match],TBA_Matches_All[[#This Row],[Match_Number]],Dyno_Data[RecordType],"Activities", Dyno_Data[AcqCenter],4,Dyno_Data[Mode],"Auto")</f>
        <v>0</v>
      </c>
      <c r="AW120">
        <f>SUMIFS(Dyno_Data[AcqDis], Dyno_Data[Team],TBA_Matches_All[[#This Row],[Team]],Dyno_Data[Match],TBA_Matches_All[[#This Row],[Match_Number]],Dyno_Data[RecordType],"Activities", Dyno_Data[AcqCenter],5,Dyno_Data[Mode],"Auto")</f>
        <v>0</v>
      </c>
      <c r="AX120">
        <f>SUMIFS(Dyno_Data[DelMiss], Dyno_Data[Team],TBA_Matches_All[[#This Row],[Team]],Dyno_Data[Match],TBA_Matches_All[[#This Row],[Match_Number]],Dyno_Data[RecordType],"Activities", Dyno_Data[DelDest],"Amp")</f>
        <v>0</v>
      </c>
      <c r="AY120" s="60">
        <f>IFERROR(SUM((TBA_Matches_All[[#This Row],[AampT]]+TBA_Matches_All[[#This Row],[TampT]])/(TBA_Matches_All[[#This Row],[AampT]]+TBA_Matches_All[[#This Row],[TampT]]+TBA_Matches_All[[#This Row],[ampM]])),0)</f>
        <v>0</v>
      </c>
      <c r="AZ120">
        <f>SUMIFS(Dyno_Data[DelMiss], Dyno_Data[Team],TBA_Matches_All[[#This Row],[Team]],Dyno_Data[Match],TBA_Matches_All[[#This Row],[Match_Number]],Dyno_Data[RecordType],"Activities", Dyno_Data[DelDest],"Spkr")</f>
        <v>0</v>
      </c>
      <c r="BA120" s="60">
        <f>IFERROR(SUM((TBA_Matches_All[[#This Row],[AspkrT]]+TBA_Matches_All[[#This Row],[TspkrT]])/(TBA_Matches_All[[#This Row],[AspkrT]]+TBA_Matches_All[[#This Row],[TspkrT]]+TBA_Matches_All[[#This Row],[spkrM]])),0)</f>
        <v>1</v>
      </c>
      <c r="BB120">
        <f>SUMIFS(Dyno_Data[DelMiss], Dyno_Data[Team],TBA_Matches_All[[#This Row],[Team]],Dyno_Data[Match],TBA_Matches_All[[#This Row],[Match_Number]],Dyno_Data[RecordType],"Activities", Dyno_Data[DelDest],"Trap")</f>
        <v>0</v>
      </c>
      <c r="BC120" s="60">
        <f>IFERROR((TBA_Matches_All[[#This Row],[AtrapT]]+TBA_Matches_All[[#This Row],[TtrapT]])/(TBA_Matches_All[[#This Row],[AtrapT]]+TBA_Matches_All[[#This Row],[TtrapT]]+TBA_Matches_All[[#This Row],[trapM]]),0)</f>
        <v>0</v>
      </c>
      <c r="BD120">
        <f>COUNTIFS(Dyno_Data[Team],TBA_Matches_All[[#This Row],[Team]],Dyno_Data[Match],TBA_Matches_All[[#This Row],[Match_Number]],Dyno_Data[RecordType],"Activities",Dyno_Data[DelDest],"Neut", Dyno_Data[DelMiss],1)</f>
        <v>0</v>
      </c>
      <c r="BE120" s="60">
        <f>IFERROR(SUM((TBA_Matches_All[[#This Row],[NeutFlrT]])/(TBA_Matches_All[[#This Row],[NeutFlrT]]+TBA_Matches_All[[#This Row],[NZflM]])),0)</f>
        <v>0</v>
      </c>
      <c r="BF120">
        <f>COUNTIFS(Dyno_Data[Team],TBA_Matches_All[[#This Row],[Team]],Dyno_Data[Match],TBA_Matches_All[[#This Row],[Match_Number]],Dyno_Data[RecordType],"Activities",Dyno_Data[DelDest],"AllyW", Dyno_Data[DelMiss],1)</f>
        <v>1</v>
      </c>
      <c r="BG120" s="60">
        <f>IFERROR(SUM((TBA_Matches_All[[#This Row],[AllyWFlrT]])/(TBA_Matches_All[[#This Row],[AllyWFlrT]]+TBA_Matches_All[[#This Row],[AZflM]])),0)</f>
        <v>0.66666666666666663</v>
      </c>
      <c r="BH120">
        <f>COUNTIFS(Dyno_Data[Team],TBA_Matches_All[[#This Row],[Team]],Dyno_Data[Match],TBA_Matches_All[[#This Row],[Match_Number]],Dyno_Data[RecordType],"Activities",Dyno_Data[DelOrig],"OppW", Dyno_Data[DelMiss],"0")</f>
        <v>0</v>
      </c>
      <c r="BI120">
        <f>COUNTIFS(Dyno_Data[Team],TBA_Matches_All[[#This Row],[Team]],Dyno_Data[Match],TBA_Matches_All[[#This Row],[Match_Number]],Dyno_Data[RecordType],"Activities",Dyno_Data[DelOrig],"OppW", Dyno_Data[DelMiss],"1")</f>
        <v>0</v>
      </c>
      <c r="BJ120" s="60">
        <f>IFERROR(SUM((TBA_Matches_All[[#This Row],[OZflrT]])/(TBA_Matches_All[[#This Row],[OZflrT]]+TBA_Matches_All[[#This Row],[OZflrM]])),0)</f>
        <v>0</v>
      </c>
      <c r="BK120">
        <f>COUNTIFS(Dyno_Data[Team],TBA_Matches_All[[#This Row],[Team]],Dyno_Data[Match],TBA_Matches_All[[#This Row],[Match_Number]],Dyno_Data[RecordType],"Activities",Dyno_Data[DelOrig],"Neut", Dyno_Data[DelMiss],"0")</f>
        <v>1</v>
      </c>
      <c r="BL120">
        <f>COUNTIFS(Dyno_Data[Team],TBA_Matches_All[[#This Row],[Team]],Dyno_Data[Match],TBA_Matches_All[[#This Row],[Match_Number]],Dyno_Data[RecordType],"Activities",Dyno_Data[DelOrig],"Neut", Dyno_Data[DelMiss],"1")</f>
        <v>1</v>
      </c>
      <c r="BM120" s="60">
        <f>IFERROR(SUM((TBA_Matches_All[[#This Row],[NZflrT]])/(TBA_Matches_All[[#This Row],[NZflrT]]+TBA_Matches_All[[#This Row],[NZflrM]])),0)</f>
        <v>0.5</v>
      </c>
      <c r="BN120">
        <f>COUNTIFS(Dyno_Data[Team],TBA_Matches_All[[#This Row],[Team]],Dyno_Data[Match],TBA_Matches_All[[#This Row],[Match_Number]],Dyno_Data[RecordType],"Activities",Dyno_Data[DelOrig],"AllyW", Dyno_Data[DelMiss],"0")</f>
        <v>1</v>
      </c>
      <c r="BO120">
        <f>COUNTIFS(Dyno_Data[Team],TBA_Matches_All[[#This Row],[Team]],Dyno_Data[Match],TBA_Matches_All[[#This Row],[Match_Number]],Dyno_Data[RecordType],"Activities",Dyno_Data[DelOrig],"AllyW", Dyno_Data[DelMiss],"1")</f>
        <v>0</v>
      </c>
      <c r="BP120" s="60">
        <f>IFERROR(SUM((TBA_Matches_All[[#This Row],[AZflrT]])/(TBA_Matches_All[[#This Row],[AZflrT]]+TBA_Matches_All[[#This Row],[AZflrM]])),0)</f>
        <v>1</v>
      </c>
      <c r="BQ120">
        <f>COUNTIFS(Dyno_Data[Team],TBA_Matches_All[[#This Row],[Team]],Dyno_Data[Match],TBA_Matches_All[[#This Row],[Match_Number]],Dyno_Data[RecordType],"Activities",Dyno_Data[DelOrig],"SubW", Dyno_Data[DelMiss],"0")</f>
        <v>1</v>
      </c>
      <c r="BR120">
        <f>COUNTIFS(Dyno_Data[Team],TBA_Matches_All[[#This Row],[Team]],Dyno_Data[Match],TBA_Matches_All[[#This Row],[Match_Number]],Dyno_Data[RecordType],"Activities",Dyno_Data[DelOrig],"SubW", Dyno_Data[DelMiss],"1")</f>
        <v>0</v>
      </c>
      <c r="BS120" s="60">
        <f>IFERROR(SUM((TBA_Matches_All[[#This Row],[SubwT]])/(TBA_Matches_All[[#This Row],[SubwT]]+TBA_Matches_All[[#This Row],[SubwM]])),0)</f>
        <v>1</v>
      </c>
      <c r="BT120">
        <f>COUNTIFS(Dyno_Data[Team],TBA_Matches_All[[#This Row],[Team]],Dyno_Data[Match],TBA_Matches_All[[#This Row],[Match_Number]],Dyno_Data[RecordType],"Activities", Dyno_Data[AcqLoc],"OppWing")</f>
        <v>0</v>
      </c>
      <c r="BU120">
        <f>COUNTIFS(Dyno_Data[Team],TBA_Matches_All[[#This Row],[Team]],Dyno_Data[Match],TBA_Matches_All[[#This Row],[Match_Number]],Dyno_Data[RecordType],"Activities", Dyno_Data[AcqLoc],"Neutral")</f>
        <v>0</v>
      </c>
      <c r="BV120">
        <f>COUNTIFS(Dyno_Data[Team],TBA_Matches_All[[#This Row],[Team]],Dyno_Data[Match],TBA_Matches_All[[#This Row],[Match_Number]],Dyno_Data[RecordType],"Activities", Dyno_Data[AcqLoc],"AllyWing")</f>
        <v>0</v>
      </c>
      <c r="BW120">
        <f>COUNTIFS(Dyno_Data[Team],TBA_Matches_All[[#This Row],[Team]],Dyno_Data[Match],TBA_Matches_All[[#This Row],[Match_Number]],Dyno_Data[RecordType],"Activities", Dyno_Data[AcqLoc],"Source")</f>
        <v>0</v>
      </c>
      <c r="BX120">
        <f>SUMIFS(Dyno_Data[AcqDrp], Dyno_Data[Team],TBA_Matches_All[[#This Row],[Team]],Dyno_Data[Match],TBA_Matches_All[[#This Row],[Match_Number]],Dyno_Data[RecordType],"Activities", Dyno_Data[AcqLoc],"Source")</f>
        <v>0</v>
      </c>
      <c r="BY120">
        <f>SUMIFS(Dyno_Data[OZTime], Dyno_Data[Team],TBA_Matches_All[[#This Row],[Team]],Dyno_Data[Match],TBA_Matches_All[[#This Row],[Match_Number]],Dyno_Data[RecordType],"EndMatch")</f>
        <v>13.998425299999999</v>
      </c>
      <c r="BZ120">
        <f>SUMIFS(Dyno_Data[NZTime], Dyno_Data[Team],TBA_Matches_All[[#This Row],[Team]],Dyno_Data[Match],TBA_Matches_All[[#This Row],[Match_Number]],Dyno_Data[RecordType],"EndMatch")</f>
        <v>38.672578999999999</v>
      </c>
      <c r="CA120">
        <f>SUMIFS(Dyno_Data[AZTime], Dyno_Data[Team],TBA_Matches_All[[#This Row],[Team]],Dyno_Data[Match],TBA_Matches_All[[#This Row],[Match_Number]],Dyno_Data[RecordType],"EndMatch")</f>
        <v>88.115526099999997</v>
      </c>
      <c r="CB120">
        <f>SUMIFS(Dyno_Data[ClimbT], Dyno_Data[Team],TBA_Matches_All[[#This Row],[Team]],Dyno_Data[Match],TBA_Matches_All[[#This Row],[Match_Number]],Dyno_Data[RecordType],"EndMatch")</f>
        <v>0</v>
      </c>
      <c r="CC120" t="str">
        <f>_xlfn.XLOOKUP(SUM(MID(TBA_Matches_All[[#This Row],[Team]],4,5),(TBA_Matches_All[[#This Row],[Match_Number]]/100)),Dyno_EndMatch[teammat],Dyno_EndMatch[StageStat],"_",0,1)</f>
        <v>Park</v>
      </c>
      <c r="CD120" t="str">
        <f>_xlfn.XLOOKUP(TBA_Matches_All[[#This Row],[teammat]],Dyno_EndMatch[teammat],Dyno_EndMatch[StageAtt],"_",0,1)</f>
        <v>0</v>
      </c>
      <c r="CE120" t="str">
        <f>_xlfn.XLOOKUP(TBA_Matches_All[[#This Row],[teammat]],Dyno_EndMatch[teammat],Dyno_EndMatch[StageLoc],"_",0,1)</f>
        <v>A</v>
      </c>
      <c r="CF120">
        <f>SUMIFS(Dyno_Data[Harmony], Dyno_Data[Team],TBA_Matches_All[[#This Row],[Team]],Dyno_Data[Match],TBA_Matches_All[[#This Row],[Match_Number]],Dyno_Data[RecordType],"EndMatch", Dyno_Data[StageStat],"On",Dyno_Data[Harmony],"&lt;&gt;9")</f>
        <v>0</v>
      </c>
      <c r="CG120">
        <f>SUMIFS(Dyno_Data[Spotlit], Dyno_Data[Team],TBA_Matches_All[[#This Row],[Team]],Dyno_Data[Match],TBA_Matches_All[[#This Row],[Match_Number]],Dyno_Data[RecordType],"EndMatch", Dyno_Data[StageStat],"On",Dyno_Data[Spotlit],"&lt;&gt;9")</f>
        <v>0</v>
      </c>
      <c r="CH120" t="str">
        <f>_xlfn.XLOOKUP(TBA_Matches_All[[#This Row],[teammat]],Dyno_EndMatch[teammat],Dyno_EndMatch[Strategy],"_",0,1)</f>
        <v>Defense</v>
      </c>
      <c r="CI120">
        <f>SUMIFS(Dyno_Data[Defense], Dyno_Data[Team],TBA_Matches_All[[#This Row],[Team]],Dyno_Data[Match],TBA_Matches_All[[#This Row],[Match_Number]],Dyno_Data[RecordType],"EndMatch",Dyno_Data[Defense],"&lt;&gt;9")</f>
        <v>3</v>
      </c>
      <c r="CJ120">
        <f>SUMIFS(Dyno_Data[Avoidance], Dyno_Data[Team],TBA_Matches_All[[#This Row],[Team]],Dyno_Data[Match],TBA_Matches_All[[#This Row],[Match_Number]],Dyno_Data[RecordType],"EndMatch",Dyno_Data[Avoidance],"&lt;&gt;9")</f>
        <v>0</v>
      </c>
      <c r="CK120" s="82">
        <f>COUNTIF($H$2:TBA_Matches_All[[#This Row],[Team]],TBA_Matches_All[[#This Row],[Team]])</f>
        <v>3</v>
      </c>
      <c r="CL120" s="111">
        <f>SUM(MID(TBA_Matches_All[[#This Row],[Team]],4,5)+TBA_Matches_All[[#This Row],[Match_Number]]/100)</f>
        <v>250.2</v>
      </c>
      <c r="CM120">
        <f>SUM((TBA_Matches_All[[#This Row],[Leave]]*2)+(TBA_Matches_All[[#This Row],[AampT]]*2)+(TBA_Matches_All[[#This Row],[AspkrT]]*5)+(TBA_Matches_All[[#This Row],[AtrapT]]*5))</f>
        <v>2</v>
      </c>
      <c r="CN120" s="59">
        <f>IFERROR(SUM(TBA_Matches_All[[#This Row],[AptsT]]/TBA_Matches_All[[#This Row],[AutoPts]]),0)</f>
        <v>0.14285714285714285</v>
      </c>
      <c r="CO120" s="59">
        <f>IFERROR(SUM(TBA_Matches_All[[#This Row],[AampT]]+TBA_Matches_All[[#This Row],[AspkrT]]+TBA_Matches_All[[#This Row],[AtrapT]]/TBA_Matches_All[[#This Row],[Aamp]]+TBA_Matches_All[[#This Row],[Aspkr]]+TBA_Matches_All[[#This Row],[AtrapT]]),0)</f>
        <v>0</v>
      </c>
      <c r="CP120" s="59">
        <f>IFERROR(SUM(TBA_Matches_All[[#This Row],[TampT]]/TBA_Matches_All[[#This Row],[Tamp]]),0)</f>
        <v>0</v>
      </c>
      <c r="CQ120" s="59">
        <f>IFERROR(SUM(TBA_Matches_All[[#This Row],[TspkrT]]/TBA_Matches_All[[#This Row],[Tspkr]]),0)</f>
        <v>0.125</v>
      </c>
      <c r="CR120">
        <f>SUM(TBA_Matches_All[[#This Row],[TspkrPts]]*TBA_Matches_All[[#This Row],[TspkrP]])</f>
        <v>2</v>
      </c>
      <c r="CS120" s="59">
        <f>IFERROR(SUM(TBA_Matches_All[[#This Row],[TtrapT]]/TBA_Matches_All[[#This Row],[Trap]]),0)</f>
        <v>0</v>
      </c>
      <c r="CT120" s="59">
        <f>IFERROR(SUM(TBA_Matches_All[[#This Row],[TotNotesT]]/TBA_Matches_All[[#This Row],[TotNotes]]),0)</f>
        <v>8.3333333333333329E-2</v>
      </c>
      <c r="CU120" s="66">
        <f>SUM((TBA_Matches_All[[#This Row],[AampT]]*2)+(TBA_Matches_All[[#This Row],[AspkrT]]*5)+(TBA_Matches_All[[#This Row],[AtrapT]]*5)+(TBA_Matches_All[[#This Row],[TampT]]*1)+(TBA_Matches_All[[#This Row],[TspkrptsC]]))</f>
        <v>2</v>
      </c>
      <c r="CV120" s="59">
        <f>IFERROR(TBA_Matches_All[[#This Row],[noteptsT]]/TBA_Matches_All[[#This Row],[NotePts]],0)</f>
        <v>7.1428571428571425E-2</v>
      </c>
      <c r="CW120">
        <f>SUM(IF(TBA_Matches_All[[#This Row],[stageStat]]="On",3,0),IF(TBA_Matches_All[[#This Row],[stageStat]]="Park",1,0),SUMIFS(TBA_Matches_All[[#This Row],[Spotlit]],TBA_Matches_All[[#This Row],[stageStat]],"On"),SUMIFS(TBA_Matches_All[[#This Row],[Harmony]],TBA_Matches_All[[#This Row],[stageStat]],"On"))</f>
        <v>1</v>
      </c>
      <c r="CX120" s="59">
        <f>IFERROR(TBA_Matches_All[[#This Row],[stageptsT]]/TBA_Matches_All[[#This Row],[StagePts]],0)</f>
        <v>0.2</v>
      </c>
      <c r="CY120">
        <f>SUM((TBA_Matches_All[[#This Row],[AptsT]]+TBA_Matches_All[[#This Row],[TampT]]+TBA_Matches_All[[#This Row],[TspkrptsC]]+(TBA_Matches_All[[#This Row],[TtrapT]]*5)+TBA_Matches_All[[#This Row],[stageptsT]]))</f>
        <v>5</v>
      </c>
      <c r="CZ120" s="59">
        <f>IFERROR(SUM(TBA_Matches_All[[#This Row],[TotptsC]]/TBA_Matches_All[[#This Row],[Score]]),0)</f>
        <v>0.11627906976744186</v>
      </c>
      <c r="DA12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4.041666666666667</v>
      </c>
      <c r="DB120" s="74">
        <f>SUMIFS(TBA_Matches_All[AveTeamTNoteDels],TBA_Matches_All[Match_Number],TBA_Matches_All[[#This Row],[Match_Number]],TBA_Matches_All[Alliance],"&lt;&gt;"&amp;TBA_Matches_All[[#This Row],[Alliance]],TBA_Matches_All[Scouted],"&gt;0")</f>
        <v>36.182843822843822</v>
      </c>
      <c r="DC120" s="74">
        <f>(TBA_Matches_All[[#This Row],[TampT]]+TBA_Matches_All[[#This Row],[TspkrptsC]])-TBA_Matches_All[[#This Row],[AveTeamTNoteDels]]</f>
        <v>-2.041666666666667</v>
      </c>
      <c r="DD120" s="74">
        <f>SUMIFS(TBA_Matches_All[AveTeamTNoteDels],TBA_Matches_All[Match_Number],TBA_Matches_All[[#This Row],[Match_Number]],TBA_Matches_All[Alliance],"&lt;&gt;"&amp;TBA_Matches_All[[#This Row],[Alliance]])-TBA_Matches_All[[#This Row],[AveOppTNoteDels]]</f>
        <v>0</v>
      </c>
    </row>
    <row r="121" spans="1:108" x14ac:dyDescent="0.3">
      <c r="A121" t="s">
        <v>1042</v>
      </c>
      <c r="B121" t="s">
        <v>489</v>
      </c>
      <c r="C121" t="s">
        <v>1329</v>
      </c>
      <c r="D121">
        <v>20</v>
      </c>
      <c r="E121" t="s">
        <v>1420</v>
      </c>
      <c r="F121" t="s">
        <v>1421</v>
      </c>
      <c r="G121" t="s">
        <v>164</v>
      </c>
      <c r="H121" t="s">
        <v>1277</v>
      </c>
      <c r="I121" t="b">
        <v>1</v>
      </c>
      <c r="J121">
        <v>72</v>
      </c>
      <c r="K121">
        <v>1</v>
      </c>
      <c r="L121">
        <v>0</v>
      </c>
      <c r="M121">
        <v>6</v>
      </c>
      <c r="N121">
        <v>0</v>
      </c>
      <c r="O121">
        <v>3</v>
      </c>
      <c r="P121">
        <v>15</v>
      </c>
      <c r="Q121">
        <v>17</v>
      </c>
      <c r="R121">
        <v>5</v>
      </c>
      <c r="S121">
        <v>4</v>
      </c>
      <c r="T121">
        <v>8</v>
      </c>
      <c r="U121">
        <v>20</v>
      </c>
      <c r="V121">
        <v>16</v>
      </c>
      <c r="W121">
        <v>12</v>
      </c>
      <c r="X121">
        <v>36</v>
      </c>
      <c r="Y121">
        <v>41</v>
      </c>
      <c r="Z121">
        <v>0</v>
      </c>
      <c r="AA121">
        <v>0</v>
      </c>
      <c r="AB121">
        <v>20</v>
      </c>
      <c r="AC121">
        <v>56</v>
      </c>
      <c r="AD121">
        <v>9</v>
      </c>
      <c r="AE121">
        <f>IFERROR(6/(COUNTIF(Dyno_EndMatch[Match],TBA_Matches_All[[#This Row],[Match_Number]])),0)</f>
        <v>1</v>
      </c>
      <c r="AF121">
        <f>COUNTIFS(Dyno_Data[Team],TBA_Matches_All[[#This Row],[Team]],Dyno_Data[Match],TBA_Matches_All[[#This Row],[Match_Number]],Dyno_Data[RecordType],"EndMatch",Dyno_Data[HPAmp],"Y")</f>
        <v>1</v>
      </c>
      <c r="AG121">
        <f>SUMIFS(Dyno_Data[Mics], Dyno_Data[Team],TBA_Matches_All[[#This Row],[Team]],Dyno_Data[Match],TBA_Matches_All[[#This Row],[Match_Number]],Dyno_Data[RecordType],"EndMatch",Dyno_Data[HPAmp],"Y")</f>
        <v>2</v>
      </c>
      <c r="AH121">
        <f>SUMIFS(Dyno_Data[Leave], Dyno_Data[Team],TBA_Matches_All[[#This Row],[Team]],Dyno_Data[Match],TBA_Matches_All[[#This Row],[Match_Number]],Dyno_Data[RecordType],"EndAuto")</f>
        <v>0</v>
      </c>
      <c r="AI121">
        <f>COUNTIFS(Dyno_Data[Team],TBA_Matches_All[[#This Row],[Team]],Dyno_Data[Match],TBA_Matches_All[[#This Row],[Match_Number]],Dyno_Data[RecordType],"Activities",Dyno_Data[DelDest],"Amp", Dyno_Data[DelMiss],"0", Dyno_Data[Mode],"Auto")</f>
        <v>0</v>
      </c>
      <c r="AJ121">
        <f>COUNTIFS(Dyno_Data[Team],TBA_Matches_All[[#This Row],[Team]],Dyno_Data[Match],TBA_Matches_All[[#This Row],[Match_Number]],Dyno_Data[RecordType],"Activities",Dyno_Data[DelDest],"Spkr", Dyno_Data[DelMiss],"0", Dyno_Data[Mode],"Auto")</f>
        <v>0</v>
      </c>
      <c r="AK121">
        <f>COUNTIFS(Dyno_Data[Team],TBA_Matches_All[[#This Row],[Team]],Dyno_Data[Match],TBA_Matches_All[[#This Row],[Match_Number]],Dyno_Data[RecordType],"Activities",Dyno_Data[DelDest],"Trap", Dyno_Data[DelMiss],"0", Dyno_Data[Mode],"Auto")</f>
        <v>0</v>
      </c>
      <c r="AL121">
        <f>COUNTIFS(Dyno_Data[Team],TBA_Matches_All[[#This Row],[Team]],Dyno_Data[Match],TBA_Matches_All[[#This Row],[Match_Number]],Dyno_Data[RecordType],"Activities",Dyno_Data[DelDest],"Amp", Dyno_Data[DelMiss],"0", Dyno_Data[Mode],"Teleop")</f>
        <v>3</v>
      </c>
      <c r="AM121">
        <f>COUNTIFS(Dyno_Data[Team],TBA_Matches_All[[#This Row],[Team]],Dyno_Data[Match],TBA_Matches_All[[#This Row],[Match_Number]],Dyno_Data[RecordType],"Activities",Dyno_Data[DelDest],"Spkr", Dyno_Data[DelMiss],"0", Dyno_Data[Mode],"Teleop")</f>
        <v>3</v>
      </c>
      <c r="AN121">
        <f>COUNTIFS(Dyno_Data[Team],TBA_Matches_All[[#This Row],[Team]],Dyno_Data[Match],TBA_Matches_All[[#This Row],[Match_Number]],Dyno_Data[RecordType],"Activities",Dyno_Data[DelDest],"Trap", Dyno_Data[DelMiss],"0", Dyno_Data[Mode],"&lt;&gt;Auto")</f>
        <v>0</v>
      </c>
      <c r="AO121">
        <f>SUM(TBA_Matches_All[[#This Row],[AampT]]+TBA_Matches_All[[#This Row],[AspkrT]]+TBA_Matches_All[[#This Row],[AtrapT]]+TBA_Matches_All[[#This Row],[TampT]]+TBA_Matches_All[[#This Row],[TspkrT]]+TBA_Matches_All[[#This Row],[TtrapT]])</f>
        <v>6</v>
      </c>
      <c r="AP121">
        <f>COUNTIFS(Dyno_Data[Team],TBA_Matches_All[[#This Row],[Team]],Dyno_Data[Match],TBA_Matches_All[[#This Row],[Match_Number]],Dyno_Data[RecordType],"Activities",Dyno_Data[DelDest],"Neut", Dyno_Data[DelMiss],"0")</f>
        <v>0</v>
      </c>
      <c r="AQ121">
        <f>COUNTIFS(Dyno_Data[Team],TBA_Matches_All[[#This Row],[Team]],Dyno_Data[Match],TBA_Matches_All[[#This Row],[Match_Number]],Dyno_Data[RecordType],"Activities",Dyno_Data[DelDest],"AllyW", Dyno_Data[DelMiss],"0")</f>
        <v>0</v>
      </c>
      <c r="AR121" t="str">
        <f>_xlfn.XLOOKUP(SUM(MID(TBA_Matches_All[[#This Row],[Team]],4,5),(TBA_Matches_All[[#This Row],[Match_Number]]/100)),Dyno_EndMatch[teammat],Dyno_EndMatch[RobotSta],"_",0,1)</f>
        <v>Amp</v>
      </c>
      <c r="AS121">
        <f>SUMIFS(Dyno_Data[AcqDis], Dyno_Data[Team],TBA_Matches_All[[#This Row],[Team]],Dyno_Data[Match],TBA_Matches_All[[#This Row],[Match_Number]],Dyno_Data[RecordType],"Activities", Dyno_Data[AcqCenter],1,Dyno_Data[Mode],"Auto")</f>
        <v>0</v>
      </c>
      <c r="AT121">
        <f>SUMIFS(Dyno_Data[AcqDis], Dyno_Data[Team],TBA_Matches_All[[#This Row],[Team]],Dyno_Data[Match],TBA_Matches_All[[#This Row],[Match_Number]],Dyno_Data[RecordType],"Activities", Dyno_Data[AcqCenter],2,Dyno_Data[Mode],"Auto")</f>
        <v>0</v>
      </c>
      <c r="AU121">
        <f>SUMIFS(Dyno_Data[AcqDis], Dyno_Data[Team],TBA_Matches_All[[#This Row],[Team]],Dyno_Data[Match],TBA_Matches_All[[#This Row],[Match_Number]],Dyno_Data[RecordType],"Activities", Dyno_Data[AcqCenter],3,Dyno_Data[Mode],"Auto")</f>
        <v>0</v>
      </c>
      <c r="AV121">
        <f>SUMIFS(Dyno_Data[AcqDis], Dyno_Data[Team],TBA_Matches_All[[#This Row],[Team]],Dyno_Data[Match],TBA_Matches_All[[#This Row],[Match_Number]],Dyno_Data[RecordType],"Activities", Dyno_Data[AcqCenter],4,Dyno_Data[Mode],"Auto")</f>
        <v>0</v>
      </c>
      <c r="AW121">
        <f>SUMIFS(Dyno_Data[AcqDis], Dyno_Data[Team],TBA_Matches_All[[#This Row],[Team]],Dyno_Data[Match],TBA_Matches_All[[#This Row],[Match_Number]],Dyno_Data[RecordType],"Activities", Dyno_Data[AcqCenter],5,Dyno_Data[Mode],"Auto")</f>
        <v>0</v>
      </c>
      <c r="AX121">
        <f>SUMIFS(Dyno_Data[DelMiss], Dyno_Data[Team],TBA_Matches_All[[#This Row],[Team]],Dyno_Data[Match],TBA_Matches_All[[#This Row],[Match_Number]],Dyno_Data[RecordType],"Activities", Dyno_Data[DelDest],"Amp")</f>
        <v>0</v>
      </c>
      <c r="AY121" s="60">
        <f>IFERROR(SUM((TBA_Matches_All[[#This Row],[AampT]]+TBA_Matches_All[[#This Row],[TampT]])/(TBA_Matches_All[[#This Row],[AampT]]+TBA_Matches_All[[#This Row],[TampT]]+TBA_Matches_All[[#This Row],[ampM]])),0)</f>
        <v>1</v>
      </c>
      <c r="AZ121">
        <f>SUMIFS(Dyno_Data[DelMiss], Dyno_Data[Team],TBA_Matches_All[[#This Row],[Team]],Dyno_Data[Match],TBA_Matches_All[[#This Row],[Match_Number]],Dyno_Data[RecordType],"Activities", Dyno_Data[DelDest],"Spkr")</f>
        <v>0</v>
      </c>
      <c r="BA121" s="60">
        <f>IFERROR(SUM((TBA_Matches_All[[#This Row],[AspkrT]]+TBA_Matches_All[[#This Row],[TspkrT]])/(TBA_Matches_All[[#This Row],[AspkrT]]+TBA_Matches_All[[#This Row],[TspkrT]]+TBA_Matches_All[[#This Row],[spkrM]])),0)</f>
        <v>1</v>
      </c>
      <c r="BB121">
        <f>SUMIFS(Dyno_Data[DelMiss], Dyno_Data[Team],TBA_Matches_All[[#This Row],[Team]],Dyno_Data[Match],TBA_Matches_All[[#This Row],[Match_Number]],Dyno_Data[RecordType],"Activities", Dyno_Data[DelDest],"Trap")</f>
        <v>0</v>
      </c>
      <c r="BC121" s="60">
        <f>IFERROR((TBA_Matches_All[[#This Row],[AtrapT]]+TBA_Matches_All[[#This Row],[TtrapT]])/(TBA_Matches_All[[#This Row],[AtrapT]]+TBA_Matches_All[[#This Row],[TtrapT]]+TBA_Matches_All[[#This Row],[trapM]]),0)</f>
        <v>0</v>
      </c>
      <c r="BD121">
        <f>COUNTIFS(Dyno_Data[Team],TBA_Matches_All[[#This Row],[Team]],Dyno_Data[Match],TBA_Matches_All[[#This Row],[Match_Number]],Dyno_Data[RecordType],"Activities",Dyno_Data[DelDest],"Neut", Dyno_Data[DelMiss],1)</f>
        <v>0</v>
      </c>
      <c r="BE121" s="60">
        <f>IFERROR(SUM((TBA_Matches_All[[#This Row],[NeutFlrT]])/(TBA_Matches_All[[#This Row],[NeutFlrT]]+TBA_Matches_All[[#This Row],[NZflM]])),0)</f>
        <v>0</v>
      </c>
      <c r="BF121">
        <f>COUNTIFS(Dyno_Data[Team],TBA_Matches_All[[#This Row],[Team]],Dyno_Data[Match],TBA_Matches_All[[#This Row],[Match_Number]],Dyno_Data[RecordType],"Activities",Dyno_Data[DelDest],"AllyW", Dyno_Data[DelMiss],1)</f>
        <v>0</v>
      </c>
      <c r="BG121" s="60">
        <f>IFERROR(SUM((TBA_Matches_All[[#This Row],[AllyWFlrT]])/(TBA_Matches_All[[#This Row],[AllyWFlrT]]+TBA_Matches_All[[#This Row],[AZflM]])),0)</f>
        <v>0</v>
      </c>
      <c r="BH121">
        <f>COUNTIFS(Dyno_Data[Team],TBA_Matches_All[[#This Row],[Team]],Dyno_Data[Match],TBA_Matches_All[[#This Row],[Match_Number]],Dyno_Data[RecordType],"Activities",Dyno_Data[DelOrig],"OppW", Dyno_Data[DelMiss],"0")</f>
        <v>0</v>
      </c>
      <c r="BI121">
        <f>COUNTIFS(Dyno_Data[Team],TBA_Matches_All[[#This Row],[Team]],Dyno_Data[Match],TBA_Matches_All[[#This Row],[Match_Number]],Dyno_Data[RecordType],"Activities",Dyno_Data[DelOrig],"OppW", Dyno_Data[DelMiss],"1")</f>
        <v>0</v>
      </c>
      <c r="BJ121" s="60">
        <f>IFERROR(SUM((TBA_Matches_All[[#This Row],[OZflrT]])/(TBA_Matches_All[[#This Row],[OZflrT]]+TBA_Matches_All[[#This Row],[OZflrM]])),0)</f>
        <v>0</v>
      </c>
      <c r="BK121">
        <f>COUNTIFS(Dyno_Data[Team],TBA_Matches_All[[#This Row],[Team]],Dyno_Data[Match],TBA_Matches_All[[#This Row],[Match_Number]],Dyno_Data[RecordType],"Activities",Dyno_Data[DelOrig],"Neut", Dyno_Data[DelMiss],"0")</f>
        <v>0</v>
      </c>
      <c r="BL121">
        <f>COUNTIFS(Dyno_Data[Team],TBA_Matches_All[[#This Row],[Team]],Dyno_Data[Match],TBA_Matches_All[[#This Row],[Match_Number]],Dyno_Data[RecordType],"Activities",Dyno_Data[DelOrig],"Neut", Dyno_Data[DelMiss],"1")</f>
        <v>0</v>
      </c>
      <c r="BM121" s="60">
        <f>IFERROR(SUM((TBA_Matches_All[[#This Row],[NZflrT]])/(TBA_Matches_All[[#This Row],[NZflrT]]+TBA_Matches_All[[#This Row],[NZflrM]])),0)</f>
        <v>0</v>
      </c>
      <c r="BN121">
        <f>COUNTIFS(Dyno_Data[Team],TBA_Matches_All[[#This Row],[Team]],Dyno_Data[Match],TBA_Matches_All[[#This Row],[Match_Number]],Dyno_Data[RecordType],"Activities",Dyno_Data[DelOrig],"AllyW", Dyno_Data[DelMiss],"0")</f>
        <v>6</v>
      </c>
      <c r="BO121">
        <f>COUNTIFS(Dyno_Data[Team],TBA_Matches_All[[#This Row],[Team]],Dyno_Data[Match],TBA_Matches_All[[#This Row],[Match_Number]],Dyno_Data[RecordType],"Activities",Dyno_Data[DelOrig],"AllyW", Dyno_Data[DelMiss],"1")</f>
        <v>0</v>
      </c>
      <c r="BP121" s="60">
        <f>IFERROR(SUM((TBA_Matches_All[[#This Row],[AZflrT]])/(TBA_Matches_All[[#This Row],[AZflrT]]+TBA_Matches_All[[#This Row],[AZflrM]])),0)</f>
        <v>1</v>
      </c>
      <c r="BQ121">
        <f>COUNTIFS(Dyno_Data[Team],TBA_Matches_All[[#This Row],[Team]],Dyno_Data[Match],TBA_Matches_All[[#This Row],[Match_Number]],Dyno_Data[RecordType],"Activities",Dyno_Data[DelOrig],"SubW", Dyno_Data[DelMiss],"0")</f>
        <v>0</v>
      </c>
      <c r="BR121">
        <f>COUNTIFS(Dyno_Data[Team],TBA_Matches_All[[#This Row],[Team]],Dyno_Data[Match],TBA_Matches_All[[#This Row],[Match_Number]],Dyno_Data[RecordType],"Activities",Dyno_Data[DelOrig],"SubW", Dyno_Data[DelMiss],"1")</f>
        <v>0</v>
      </c>
      <c r="BS121" s="60">
        <f>IFERROR(SUM((TBA_Matches_All[[#This Row],[SubwT]])/(TBA_Matches_All[[#This Row],[SubwT]]+TBA_Matches_All[[#This Row],[SubwM]])),0)</f>
        <v>0</v>
      </c>
      <c r="BT121">
        <f>COUNTIFS(Dyno_Data[Team],TBA_Matches_All[[#This Row],[Team]],Dyno_Data[Match],TBA_Matches_All[[#This Row],[Match_Number]],Dyno_Data[RecordType],"Activities", Dyno_Data[AcqLoc],"OppWing")</f>
        <v>0</v>
      </c>
      <c r="BU121">
        <f>COUNTIFS(Dyno_Data[Team],TBA_Matches_All[[#This Row],[Team]],Dyno_Data[Match],TBA_Matches_All[[#This Row],[Match_Number]],Dyno_Data[RecordType],"Activities", Dyno_Data[AcqLoc],"Neutral")</f>
        <v>0</v>
      </c>
      <c r="BV121">
        <f>COUNTIFS(Dyno_Data[Team],TBA_Matches_All[[#This Row],[Team]],Dyno_Data[Match],TBA_Matches_All[[#This Row],[Match_Number]],Dyno_Data[RecordType],"Activities", Dyno_Data[AcqLoc],"AllyWing")</f>
        <v>0</v>
      </c>
      <c r="BW121">
        <f>COUNTIFS(Dyno_Data[Team],TBA_Matches_All[[#This Row],[Team]],Dyno_Data[Match],TBA_Matches_All[[#This Row],[Match_Number]],Dyno_Data[RecordType],"Activities", Dyno_Data[AcqLoc],"Source")</f>
        <v>0</v>
      </c>
      <c r="BX121">
        <f>SUMIFS(Dyno_Data[AcqDrp], Dyno_Data[Team],TBA_Matches_All[[#This Row],[Team]],Dyno_Data[Match],TBA_Matches_All[[#This Row],[Match_Number]],Dyno_Data[RecordType],"Activities", Dyno_Data[AcqLoc],"Source")</f>
        <v>0</v>
      </c>
      <c r="BY121">
        <f>SUMIFS(Dyno_Data[OZTime], Dyno_Data[Team],TBA_Matches_All[[#This Row],[Team]],Dyno_Data[Match],TBA_Matches_All[[#This Row],[Match_Number]],Dyno_Data[RecordType],"EndMatch")</f>
        <v>36.056156000000001</v>
      </c>
      <c r="BZ121">
        <f>SUMIFS(Dyno_Data[NZTime], Dyno_Data[Team],TBA_Matches_All[[#This Row],[Team]],Dyno_Data[Match],TBA_Matches_All[[#This Row],[Match_Number]],Dyno_Data[RecordType],"EndMatch")</f>
        <v>24.912474799999998</v>
      </c>
      <c r="CA121">
        <f>SUMIFS(Dyno_Data[AZTime], Dyno_Data[Team],TBA_Matches_All[[#This Row],[Team]],Dyno_Data[Match],TBA_Matches_All[[#This Row],[Match_Number]],Dyno_Data[RecordType],"EndMatch")</f>
        <v>63.1254591</v>
      </c>
      <c r="CB121">
        <f>SUMIFS(Dyno_Data[ClimbT], Dyno_Data[Team],TBA_Matches_All[[#This Row],[Team]],Dyno_Data[Match],TBA_Matches_All[[#This Row],[Match_Number]],Dyno_Data[RecordType],"EndMatch")</f>
        <v>12.7635618</v>
      </c>
      <c r="CC121" t="str">
        <f>_xlfn.XLOOKUP(SUM(MID(TBA_Matches_All[[#This Row],[Team]],4,5),(TBA_Matches_All[[#This Row],[Match_Number]]/100)),Dyno_EndMatch[teammat],Dyno_EndMatch[StageStat],"_",0,1)</f>
        <v>Park</v>
      </c>
      <c r="CD121" t="str">
        <f>_xlfn.XLOOKUP(TBA_Matches_All[[#This Row],[teammat]],Dyno_EndMatch[teammat],Dyno_EndMatch[StageAtt],"_",0,1)</f>
        <v>-1</v>
      </c>
      <c r="CE121" t="str">
        <f>_xlfn.XLOOKUP(TBA_Matches_All[[#This Row],[teammat]],Dyno_EndMatch[teammat],Dyno_EndMatch[StageLoc],"_",0,1)</f>
        <v>A</v>
      </c>
      <c r="CF121">
        <f>SUMIFS(Dyno_Data[Harmony], Dyno_Data[Team],TBA_Matches_All[[#This Row],[Team]],Dyno_Data[Match],TBA_Matches_All[[#This Row],[Match_Number]],Dyno_Data[RecordType],"EndMatch", Dyno_Data[StageStat],"On",Dyno_Data[Harmony],"&lt;&gt;9")</f>
        <v>0</v>
      </c>
      <c r="CG121">
        <f>SUMIFS(Dyno_Data[Spotlit], Dyno_Data[Team],TBA_Matches_All[[#This Row],[Team]],Dyno_Data[Match],TBA_Matches_All[[#This Row],[Match_Number]],Dyno_Data[RecordType],"EndMatch", Dyno_Data[StageStat],"On",Dyno_Data[Spotlit],"&lt;&gt;9")</f>
        <v>0</v>
      </c>
      <c r="CH121" t="str">
        <f>_xlfn.XLOOKUP(TBA_Matches_All[[#This Row],[teammat]],Dyno_EndMatch[teammat],Dyno_EndMatch[Strategy],"_",0,1)</f>
        <v>Hybrid</v>
      </c>
      <c r="CI121">
        <f>SUMIFS(Dyno_Data[Defense], Dyno_Data[Team],TBA_Matches_All[[#This Row],[Team]],Dyno_Data[Match],TBA_Matches_All[[#This Row],[Match_Number]],Dyno_Data[RecordType],"EndMatch",Dyno_Data[Defense],"&lt;&gt;9")</f>
        <v>0</v>
      </c>
      <c r="CJ121">
        <f>SUMIFS(Dyno_Data[Avoidance], Dyno_Data[Team],TBA_Matches_All[[#This Row],[Team]],Dyno_Data[Match],TBA_Matches_All[[#This Row],[Match_Number]],Dyno_Data[RecordType],"EndMatch",Dyno_Data[Avoidance],"&lt;&gt;9")</f>
        <v>0</v>
      </c>
      <c r="CK121" s="82">
        <f>COUNTIF($H$2:TBA_Matches_All[[#This Row],[Team]],TBA_Matches_All[[#This Row],[Team]])</f>
        <v>3</v>
      </c>
      <c r="CL121" s="111">
        <f>SUM(MID(TBA_Matches_All[[#This Row],[Team]],4,5)+TBA_Matches_All[[#This Row],[Match_Number]]/100)</f>
        <v>3360.2</v>
      </c>
      <c r="CM121">
        <f>SUM((TBA_Matches_All[[#This Row],[Leave]]*2)+(TBA_Matches_All[[#This Row],[AampT]]*2)+(TBA_Matches_All[[#This Row],[AspkrT]]*5)+(TBA_Matches_All[[#This Row],[AtrapT]]*5))</f>
        <v>0</v>
      </c>
      <c r="CN121" s="59">
        <f>IFERROR(SUM(TBA_Matches_All[[#This Row],[AptsT]]/TBA_Matches_All[[#This Row],[AutoPts]]),0)</f>
        <v>0</v>
      </c>
      <c r="CO121" s="59">
        <f>IFERROR(SUM(TBA_Matches_All[[#This Row],[AampT]]+TBA_Matches_All[[#This Row],[AspkrT]]+TBA_Matches_All[[#This Row],[AtrapT]]/TBA_Matches_All[[#This Row],[Aamp]]+TBA_Matches_All[[#This Row],[Aspkr]]+TBA_Matches_All[[#This Row],[AtrapT]]),0)</f>
        <v>0</v>
      </c>
      <c r="CP121" s="59">
        <f>IFERROR(SUM(TBA_Matches_All[[#This Row],[TampT]]/TBA_Matches_All[[#This Row],[Tamp]]),0)</f>
        <v>0.6</v>
      </c>
      <c r="CQ121" s="59">
        <f>IFERROR(SUM(TBA_Matches_All[[#This Row],[TspkrT]]/TBA_Matches_All[[#This Row],[Tspkr]]),0)</f>
        <v>0.25</v>
      </c>
      <c r="CR121">
        <f>SUM(TBA_Matches_All[[#This Row],[TspkrPts]]*TBA_Matches_All[[#This Row],[TspkrP]])</f>
        <v>9</v>
      </c>
      <c r="CS121" s="59">
        <f>IFERROR(SUM(TBA_Matches_All[[#This Row],[TtrapT]]/TBA_Matches_All[[#This Row],[Trap]]),0)</f>
        <v>0</v>
      </c>
      <c r="CT121" s="59">
        <f>IFERROR(SUM(TBA_Matches_All[[#This Row],[TotNotesT]]/TBA_Matches_All[[#This Row],[TotNotes]]),0)</f>
        <v>0.3</v>
      </c>
      <c r="CU121" s="66">
        <f>SUM((TBA_Matches_All[[#This Row],[AampT]]*2)+(TBA_Matches_All[[#This Row],[AspkrT]]*5)+(TBA_Matches_All[[#This Row],[AtrapT]]*5)+(TBA_Matches_All[[#This Row],[TampT]]*1)+(TBA_Matches_All[[#This Row],[TspkrptsC]]))</f>
        <v>12</v>
      </c>
      <c r="CV121" s="59">
        <f>IFERROR(TBA_Matches_All[[#This Row],[noteptsT]]/TBA_Matches_All[[#This Row],[NotePts]],0)</f>
        <v>0.21428571428571427</v>
      </c>
      <c r="CW121">
        <f>SUM(IF(TBA_Matches_All[[#This Row],[stageStat]]="On",3,0),IF(TBA_Matches_All[[#This Row],[stageStat]]="Park",1,0),SUMIFS(TBA_Matches_All[[#This Row],[Spotlit]],TBA_Matches_All[[#This Row],[stageStat]],"On"),SUMIFS(TBA_Matches_All[[#This Row],[Harmony]],TBA_Matches_All[[#This Row],[stageStat]],"On"))</f>
        <v>1</v>
      </c>
      <c r="CX121" s="59">
        <f>IFERROR(TBA_Matches_All[[#This Row],[stageptsT]]/TBA_Matches_All[[#This Row],[StagePts]],0)</f>
        <v>0.1111111111111111</v>
      </c>
      <c r="CY121">
        <f>SUM((TBA_Matches_All[[#This Row],[AptsT]]+TBA_Matches_All[[#This Row],[TampT]]+TBA_Matches_All[[#This Row],[TspkrptsC]]+(TBA_Matches_All[[#This Row],[TtrapT]]*5)+TBA_Matches_All[[#This Row],[stageptsT]]))</f>
        <v>13</v>
      </c>
      <c r="CZ121" s="59">
        <f>IFERROR(SUM(TBA_Matches_All[[#This Row],[TotptsC]]/TBA_Matches_All[[#This Row],[Score]]),0)</f>
        <v>0.18055555555555555</v>
      </c>
      <c r="DA12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11.233333333333334</v>
      </c>
      <c r="DB121" s="74">
        <f>SUMIFS(TBA_Matches_All[AveTeamTNoteDels],TBA_Matches_All[Match_Number],TBA_Matches_All[[#This Row],[Match_Number]],TBA_Matches_All[Alliance],"&lt;&gt;"&amp;TBA_Matches_All[[#This Row],[Alliance]],TBA_Matches_All[Scouted],"&gt;0")</f>
        <v>21.516904761904762</v>
      </c>
      <c r="DC121" s="74">
        <f>(TBA_Matches_All[[#This Row],[TampT]]+TBA_Matches_All[[#This Row],[TspkrptsC]])-TBA_Matches_All[[#This Row],[AveTeamTNoteDels]]</f>
        <v>0.76666666666666572</v>
      </c>
      <c r="DD121" s="74">
        <f>SUMIFS(TBA_Matches_All[AveTeamTNoteDels],TBA_Matches_All[Match_Number],TBA_Matches_All[[#This Row],[Match_Number]],TBA_Matches_All[Alliance],"&lt;&gt;"&amp;TBA_Matches_All[[#This Row],[Alliance]])-TBA_Matches_All[[#This Row],[AveOppTNoteDels]]</f>
        <v>0</v>
      </c>
    </row>
    <row r="122" spans="1:108" x14ac:dyDescent="0.3">
      <c r="A122" t="s">
        <v>1042</v>
      </c>
      <c r="B122" t="s">
        <v>489</v>
      </c>
      <c r="C122" t="s">
        <v>1329</v>
      </c>
      <c r="D122">
        <v>20</v>
      </c>
      <c r="E122" t="s">
        <v>1406</v>
      </c>
      <c r="F122" t="s">
        <v>1422</v>
      </c>
      <c r="G122" t="s">
        <v>105</v>
      </c>
      <c r="H122" t="s">
        <v>367</v>
      </c>
      <c r="I122" t="b">
        <v>1</v>
      </c>
      <c r="J122">
        <v>43</v>
      </c>
      <c r="K122">
        <v>0</v>
      </c>
      <c r="L122">
        <v>0</v>
      </c>
      <c r="M122">
        <v>5</v>
      </c>
      <c r="N122">
        <v>0</v>
      </c>
      <c r="O122">
        <v>2</v>
      </c>
      <c r="P122">
        <v>10</v>
      </c>
      <c r="Q122">
        <v>14</v>
      </c>
      <c r="R122">
        <v>2</v>
      </c>
      <c r="S122">
        <v>0</v>
      </c>
      <c r="T122">
        <v>8</v>
      </c>
      <c r="U122">
        <v>0</v>
      </c>
      <c r="V122">
        <v>16</v>
      </c>
      <c r="W122">
        <v>8</v>
      </c>
      <c r="X122">
        <v>16</v>
      </c>
      <c r="Y122">
        <v>18</v>
      </c>
      <c r="Z122">
        <v>0</v>
      </c>
      <c r="AA122">
        <v>0</v>
      </c>
      <c r="AB122">
        <v>12</v>
      </c>
      <c r="AC122">
        <v>28</v>
      </c>
      <c r="AD122">
        <v>5</v>
      </c>
      <c r="AE122">
        <f>IFERROR(6/(COUNTIF(Dyno_EndMatch[Match],TBA_Matches_All[[#This Row],[Match_Number]])),0)</f>
        <v>1</v>
      </c>
      <c r="AF122">
        <f>COUNTIFS(Dyno_Data[Team],TBA_Matches_All[[#This Row],[Team]],Dyno_Data[Match],TBA_Matches_All[[#This Row],[Match_Number]],Dyno_Data[RecordType],"EndMatch",Dyno_Data[HPAmp],"Y")</f>
        <v>0</v>
      </c>
      <c r="AG122">
        <f>SUMIFS(Dyno_Data[Mics], Dyno_Data[Team],TBA_Matches_All[[#This Row],[Team]],Dyno_Data[Match],TBA_Matches_All[[#This Row],[Match_Number]],Dyno_Data[RecordType],"EndMatch",Dyno_Data[HPAmp],"Y")</f>
        <v>0</v>
      </c>
      <c r="AH122">
        <f>SUMIFS(Dyno_Data[Leave], Dyno_Data[Team],TBA_Matches_All[[#This Row],[Team]],Dyno_Data[Match],TBA_Matches_All[[#This Row],[Match_Number]],Dyno_Data[RecordType],"EndAuto")</f>
        <v>0</v>
      </c>
      <c r="AI122">
        <f>COUNTIFS(Dyno_Data[Team],TBA_Matches_All[[#This Row],[Team]],Dyno_Data[Match],TBA_Matches_All[[#This Row],[Match_Number]],Dyno_Data[RecordType],"Activities",Dyno_Data[DelDest],"Amp", Dyno_Data[DelMiss],"0", Dyno_Data[Mode],"Auto")</f>
        <v>0</v>
      </c>
      <c r="AJ122">
        <f>COUNTIFS(Dyno_Data[Team],TBA_Matches_All[[#This Row],[Team]],Dyno_Data[Match],TBA_Matches_All[[#This Row],[Match_Number]],Dyno_Data[RecordType],"Activities",Dyno_Data[DelDest],"Spkr", Dyno_Data[DelMiss],"0", Dyno_Data[Mode],"Auto")</f>
        <v>1</v>
      </c>
      <c r="AK122">
        <f>COUNTIFS(Dyno_Data[Team],TBA_Matches_All[[#This Row],[Team]],Dyno_Data[Match],TBA_Matches_All[[#This Row],[Match_Number]],Dyno_Data[RecordType],"Activities",Dyno_Data[DelDest],"Trap", Dyno_Data[DelMiss],"0", Dyno_Data[Mode],"Auto")</f>
        <v>0</v>
      </c>
      <c r="AL122">
        <f>COUNTIFS(Dyno_Data[Team],TBA_Matches_All[[#This Row],[Team]],Dyno_Data[Match],TBA_Matches_All[[#This Row],[Match_Number]],Dyno_Data[RecordType],"Activities",Dyno_Data[DelDest],"Amp", Dyno_Data[DelMiss],"0", Dyno_Data[Mode],"Teleop")</f>
        <v>1</v>
      </c>
      <c r="AM122">
        <f>COUNTIFS(Dyno_Data[Team],TBA_Matches_All[[#This Row],[Team]],Dyno_Data[Match],TBA_Matches_All[[#This Row],[Match_Number]],Dyno_Data[RecordType],"Activities",Dyno_Data[DelDest],"Spkr", Dyno_Data[DelMiss],"0", Dyno_Data[Mode],"Teleop")</f>
        <v>4</v>
      </c>
      <c r="AN122">
        <f>COUNTIFS(Dyno_Data[Team],TBA_Matches_All[[#This Row],[Team]],Dyno_Data[Match],TBA_Matches_All[[#This Row],[Match_Number]],Dyno_Data[RecordType],"Activities",Dyno_Data[DelDest],"Trap", Dyno_Data[DelMiss],"0", Dyno_Data[Mode],"&lt;&gt;Auto")</f>
        <v>0</v>
      </c>
      <c r="AO122">
        <f>SUM(TBA_Matches_All[[#This Row],[AampT]]+TBA_Matches_All[[#This Row],[AspkrT]]+TBA_Matches_All[[#This Row],[AtrapT]]+TBA_Matches_All[[#This Row],[TampT]]+TBA_Matches_All[[#This Row],[TspkrT]]+TBA_Matches_All[[#This Row],[TtrapT]])</f>
        <v>6</v>
      </c>
      <c r="AP122">
        <f>COUNTIFS(Dyno_Data[Team],TBA_Matches_All[[#This Row],[Team]],Dyno_Data[Match],TBA_Matches_All[[#This Row],[Match_Number]],Dyno_Data[RecordType],"Activities",Dyno_Data[DelDest],"Neut", Dyno_Data[DelMiss],"0")</f>
        <v>0</v>
      </c>
      <c r="AQ122">
        <f>COUNTIFS(Dyno_Data[Team],TBA_Matches_All[[#This Row],[Team]],Dyno_Data[Match],TBA_Matches_All[[#This Row],[Match_Number]],Dyno_Data[RecordType],"Activities",Dyno_Data[DelDest],"AllyW", Dyno_Data[DelMiss],"0")</f>
        <v>0</v>
      </c>
      <c r="AR122" t="str">
        <f>_xlfn.XLOOKUP(SUM(MID(TBA_Matches_All[[#This Row],[Team]],4,5),(TBA_Matches_All[[#This Row],[Match_Number]]/100)),Dyno_EndMatch[teammat],Dyno_EndMatch[RobotSta],"_",0,1)</f>
        <v>Amp</v>
      </c>
      <c r="AS122">
        <f>SUMIFS(Dyno_Data[AcqDis], Dyno_Data[Team],TBA_Matches_All[[#This Row],[Team]],Dyno_Data[Match],TBA_Matches_All[[#This Row],[Match_Number]],Dyno_Data[RecordType],"Activities", Dyno_Data[AcqCenter],1,Dyno_Data[Mode],"Auto")</f>
        <v>0</v>
      </c>
      <c r="AT122">
        <f>SUMIFS(Dyno_Data[AcqDis], Dyno_Data[Team],TBA_Matches_All[[#This Row],[Team]],Dyno_Data[Match],TBA_Matches_All[[#This Row],[Match_Number]],Dyno_Data[RecordType],"Activities", Dyno_Data[AcqCenter],2,Dyno_Data[Mode],"Auto")</f>
        <v>0</v>
      </c>
      <c r="AU122">
        <f>SUMIFS(Dyno_Data[AcqDis], Dyno_Data[Team],TBA_Matches_All[[#This Row],[Team]],Dyno_Data[Match],TBA_Matches_All[[#This Row],[Match_Number]],Dyno_Data[RecordType],"Activities", Dyno_Data[AcqCenter],3,Dyno_Data[Mode],"Auto")</f>
        <v>0</v>
      </c>
      <c r="AV122">
        <f>SUMIFS(Dyno_Data[AcqDis], Dyno_Data[Team],TBA_Matches_All[[#This Row],[Team]],Dyno_Data[Match],TBA_Matches_All[[#This Row],[Match_Number]],Dyno_Data[RecordType],"Activities", Dyno_Data[AcqCenter],4,Dyno_Data[Mode],"Auto")</f>
        <v>0</v>
      </c>
      <c r="AW122">
        <f>SUMIFS(Dyno_Data[AcqDis], Dyno_Data[Team],TBA_Matches_All[[#This Row],[Team]],Dyno_Data[Match],TBA_Matches_All[[#This Row],[Match_Number]],Dyno_Data[RecordType],"Activities", Dyno_Data[AcqCenter],5,Dyno_Data[Mode],"Auto")</f>
        <v>0</v>
      </c>
      <c r="AX122">
        <f>SUMIFS(Dyno_Data[DelMiss], Dyno_Data[Team],TBA_Matches_All[[#This Row],[Team]],Dyno_Data[Match],TBA_Matches_All[[#This Row],[Match_Number]],Dyno_Data[RecordType],"Activities", Dyno_Data[DelDest],"Amp")</f>
        <v>0</v>
      </c>
      <c r="AY122" s="60">
        <f>IFERROR(SUM((TBA_Matches_All[[#This Row],[AampT]]+TBA_Matches_All[[#This Row],[TampT]])/(TBA_Matches_All[[#This Row],[AampT]]+TBA_Matches_All[[#This Row],[TampT]]+TBA_Matches_All[[#This Row],[ampM]])),0)</f>
        <v>1</v>
      </c>
      <c r="AZ122">
        <f>SUMIFS(Dyno_Data[DelMiss], Dyno_Data[Team],TBA_Matches_All[[#This Row],[Team]],Dyno_Data[Match],TBA_Matches_All[[#This Row],[Match_Number]],Dyno_Data[RecordType],"Activities", Dyno_Data[DelDest],"Spkr")</f>
        <v>1</v>
      </c>
      <c r="BA122" s="60">
        <f>IFERROR(SUM((TBA_Matches_All[[#This Row],[AspkrT]]+TBA_Matches_All[[#This Row],[TspkrT]])/(TBA_Matches_All[[#This Row],[AspkrT]]+TBA_Matches_All[[#This Row],[TspkrT]]+TBA_Matches_All[[#This Row],[spkrM]])),0)</f>
        <v>0.83333333333333337</v>
      </c>
      <c r="BB122">
        <f>SUMIFS(Dyno_Data[DelMiss], Dyno_Data[Team],TBA_Matches_All[[#This Row],[Team]],Dyno_Data[Match],TBA_Matches_All[[#This Row],[Match_Number]],Dyno_Data[RecordType],"Activities", Dyno_Data[DelDest],"Trap")</f>
        <v>0</v>
      </c>
      <c r="BC122" s="60">
        <f>IFERROR((TBA_Matches_All[[#This Row],[AtrapT]]+TBA_Matches_All[[#This Row],[TtrapT]])/(TBA_Matches_All[[#This Row],[AtrapT]]+TBA_Matches_All[[#This Row],[TtrapT]]+TBA_Matches_All[[#This Row],[trapM]]),0)</f>
        <v>0</v>
      </c>
      <c r="BD122">
        <f>COUNTIFS(Dyno_Data[Team],TBA_Matches_All[[#This Row],[Team]],Dyno_Data[Match],TBA_Matches_All[[#This Row],[Match_Number]],Dyno_Data[RecordType],"Activities",Dyno_Data[DelDest],"Neut", Dyno_Data[DelMiss],1)</f>
        <v>0</v>
      </c>
      <c r="BE122" s="60">
        <f>IFERROR(SUM((TBA_Matches_All[[#This Row],[NeutFlrT]])/(TBA_Matches_All[[#This Row],[NeutFlrT]]+TBA_Matches_All[[#This Row],[NZflM]])),0)</f>
        <v>0</v>
      </c>
      <c r="BF122">
        <f>COUNTIFS(Dyno_Data[Team],TBA_Matches_All[[#This Row],[Team]],Dyno_Data[Match],TBA_Matches_All[[#This Row],[Match_Number]],Dyno_Data[RecordType],"Activities",Dyno_Data[DelDest],"AllyW", Dyno_Data[DelMiss],1)</f>
        <v>0</v>
      </c>
      <c r="BG122" s="60">
        <f>IFERROR(SUM((TBA_Matches_All[[#This Row],[AllyWFlrT]])/(TBA_Matches_All[[#This Row],[AllyWFlrT]]+TBA_Matches_All[[#This Row],[AZflM]])),0)</f>
        <v>0</v>
      </c>
      <c r="BH122">
        <f>COUNTIFS(Dyno_Data[Team],TBA_Matches_All[[#This Row],[Team]],Dyno_Data[Match],TBA_Matches_All[[#This Row],[Match_Number]],Dyno_Data[RecordType],"Activities",Dyno_Data[DelOrig],"OppW", Dyno_Data[DelMiss],"0")</f>
        <v>0</v>
      </c>
      <c r="BI122">
        <f>COUNTIFS(Dyno_Data[Team],TBA_Matches_All[[#This Row],[Team]],Dyno_Data[Match],TBA_Matches_All[[#This Row],[Match_Number]],Dyno_Data[RecordType],"Activities",Dyno_Data[DelOrig],"OppW", Dyno_Data[DelMiss],"1")</f>
        <v>0</v>
      </c>
      <c r="BJ122" s="60">
        <f>IFERROR(SUM((TBA_Matches_All[[#This Row],[OZflrT]])/(TBA_Matches_All[[#This Row],[OZflrT]]+TBA_Matches_All[[#This Row],[OZflrM]])),0)</f>
        <v>0</v>
      </c>
      <c r="BK122">
        <f>COUNTIFS(Dyno_Data[Team],TBA_Matches_All[[#This Row],[Team]],Dyno_Data[Match],TBA_Matches_All[[#This Row],[Match_Number]],Dyno_Data[RecordType],"Activities",Dyno_Data[DelOrig],"Neut", Dyno_Data[DelMiss],"0")</f>
        <v>0</v>
      </c>
      <c r="BL122">
        <f>COUNTIFS(Dyno_Data[Team],TBA_Matches_All[[#This Row],[Team]],Dyno_Data[Match],TBA_Matches_All[[#This Row],[Match_Number]],Dyno_Data[RecordType],"Activities",Dyno_Data[DelOrig],"Neut", Dyno_Data[DelMiss],"1")</f>
        <v>0</v>
      </c>
      <c r="BM122" s="60">
        <f>IFERROR(SUM((TBA_Matches_All[[#This Row],[NZflrT]])/(TBA_Matches_All[[#This Row],[NZflrT]]+TBA_Matches_All[[#This Row],[NZflrM]])),0)</f>
        <v>0</v>
      </c>
      <c r="BN122">
        <f>COUNTIFS(Dyno_Data[Team],TBA_Matches_All[[#This Row],[Team]],Dyno_Data[Match],TBA_Matches_All[[#This Row],[Match_Number]],Dyno_Data[RecordType],"Activities",Dyno_Data[DelOrig],"AllyW", Dyno_Data[DelMiss],"0")</f>
        <v>4</v>
      </c>
      <c r="BO122">
        <f>COUNTIFS(Dyno_Data[Team],TBA_Matches_All[[#This Row],[Team]],Dyno_Data[Match],TBA_Matches_All[[#This Row],[Match_Number]],Dyno_Data[RecordType],"Activities",Dyno_Data[DelOrig],"AllyW", Dyno_Data[DelMiss],"1")</f>
        <v>1</v>
      </c>
      <c r="BP122" s="60">
        <f>IFERROR(SUM((TBA_Matches_All[[#This Row],[AZflrT]])/(TBA_Matches_All[[#This Row],[AZflrT]]+TBA_Matches_All[[#This Row],[AZflrM]])),0)</f>
        <v>0.8</v>
      </c>
      <c r="BQ122">
        <f>COUNTIFS(Dyno_Data[Team],TBA_Matches_All[[#This Row],[Team]],Dyno_Data[Match],TBA_Matches_All[[#This Row],[Match_Number]],Dyno_Data[RecordType],"Activities",Dyno_Data[DelOrig],"SubW", Dyno_Data[DelMiss],"0")</f>
        <v>2</v>
      </c>
      <c r="BR122">
        <f>COUNTIFS(Dyno_Data[Team],TBA_Matches_All[[#This Row],[Team]],Dyno_Data[Match],TBA_Matches_All[[#This Row],[Match_Number]],Dyno_Data[RecordType],"Activities",Dyno_Data[DelOrig],"SubW", Dyno_Data[DelMiss],"1")</f>
        <v>0</v>
      </c>
      <c r="BS122" s="60">
        <f>IFERROR(SUM((TBA_Matches_All[[#This Row],[SubwT]])/(TBA_Matches_All[[#This Row],[SubwT]]+TBA_Matches_All[[#This Row],[SubwM]])),0)</f>
        <v>1</v>
      </c>
      <c r="BT122">
        <f>COUNTIFS(Dyno_Data[Team],TBA_Matches_All[[#This Row],[Team]],Dyno_Data[Match],TBA_Matches_All[[#This Row],[Match_Number]],Dyno_Data[RecordType],"Activities", Dyno_Data[AcqLoc],"OppWing")</f>
        <v>0</v>
      </c>
      <c r="BU122">
        <f>COUNTIFS(Dyno_Data[Team],TBA_Matches_All[[#This Row],[Team]],Dyno_Data[Match],TBA_Matches_All[[#This Row],[Match_Number]],Dyno_Data[RecordType],"Activities", Dyno_Data[AcqLoc],"Neutral")</f>
        <v>0</v>
      </c>
      <c r="BV122">
        <f>COUNTIFS(Dyno_Data[Team],TBA_Matches_All[[#This Row],[Team]],Dyno_Data[Match],TBA_Matches_All[[#This Row],[Match_Number]],Dyno_Data[RecordType],"Activities", Dyno_Data[AcqLoc],"AllyWing")</f>
        <v>0</v>
      </c>
      <c r="BW122">
        <f>COUNTIFS(Dyno_Data[Team],TBA_Matches_All[[#This Row],[Team]],Dyno_Data[Match],TBA_Matches_All[[#This Row],[Match_Number]],Dyno_Data[RecordType],"Activities", Dyno_Data[AcqLoc],"Source")</f>
        <v>0</v>
      </c>
      <c r="BX122">
        <f>SUMIFS(Dyno_Data[AcqDrp], Dyno_Data[Team],TBA_Matches_All[[#This Row],[Team]],Dyno_Data[Match],TBA_Matches_All[[#This Row],[Match_Number]],Dyno_Data[RecordType],"Activities", Dyno_Data[AcqLoc],"Source")</f>
        <v>0</v>
      </c>
      <c r="BY122">
        <f>SUMIFS(Dyno_Data[OZTime], Dyno_Data[Team],TBA_Matches_All[[#This Row],[Team]],Dyno_Data[Match],TBA_Matches_All[[#This Row],[Match_Number]],Dyno_Data[RecordType],"EndMatch")</f>
        <v>46.355094999999999</v>
      </c>
      <c r="BZ122">
        <f>SUMIFS(Dyno_Data[NZTime], Dyno_Data[Team],TBA_Matches_All[[#This Row],[Team]],Dyno_Data[Match],TBA_Matches_All[[#This Row],[Match_Number]],Dyno_Data[RecordType],"EndMatch")</f>
        <v>24.366425499999998</v>
      </c>
      <c r="CA122">
        <f>SUMIFS(Dyno_Data[AZTime], Dyno_Data[Team],TBA_Matches_All[[#This Row],[Team]],Dyno_Data[Match],TBA_Matches_All[[#This Row],[Match_Number]],Dyno_Data[RecordType],"EndMatch")</f>
        <v>54.248209499999994</v>
      </c>
      <c r="CB122">
        <f>SUMIFS(Dyno_Data[ClimbT], Dyno_Data[Team],TBA_Matches_All[[#This Row],[Team]],Dyno_Data[Match],TBA_Matches_All[[#This Row],[Match_Number]],Dyno_Data[RecordType],"EndMatch")</f>
        <v>5.3694274999999996</v>
      </c>
      <c r="CC122" t="str">
        <f>_xlfn.XLOOKUP(SUM(MID(TBA_Matches_All[[#This Row],[Team]],4,5),(TBA_Matches_All[[#This Row],[Match_Number]]/100)),Dyno_EndMatch[teammat],Dyno_EndMatch[StageStat],"_",0,1)</f>
        <v>On</v>
      </c>
      <c r="CD122" t="str">
        <f>_xlfn.XLOOKUP(TBA_Matches_All[[#This Row],[teammat]],Dyno_EndMatch[teammat],Dyno_EndMatch[StageAtt],"_",0,1)</f>
        <v>1</v>
      </c>
      <c r="CE122" t="str">
        <f>_xlfn.XLOOKUP(TBA_Matches_All[[#This Row],[teammat]],Dyno_EndMatch[teammat],Dyno_EndMatch[StageLoc],"_",0,1)</f>
        <v>R</v>
      </c>
      <c r="CF122">
        <f>SUMIFS(Dyno_Data[Harmony], Dyno_Data[Team],TBA_Matches_All[[#This Row],[Team]],Dyno_Data[Match],TBA_Matches_All[[#This Row],[Match_Number]],Dyno_Data[RecordType],"EndMatch", Dyno_Data[StageStat],"On",Dyno_Data[Harmony],"&lt;&gt;9")</f>
        <v>0</v>
      </c>
      <c r="CG122">
        <f>SUMIFS(Dyno_Data[Spotlit], Dyno_Data[Team],TBA_Matches_All[[#This Row],[Team]],Dyno_Data[Match],TBA_Matches_All[[#This Row],[Match_Number]],Dyno_Data[RecordType],"EndMatch", Dyno_Data[StageStat],"On",Dyno_Data[Spotlit],"&lt;&gt;9")</f>
        <v>0</v>
      </c>
      <c r="CH122" t="str">
        <f>_xlfn.XLOOKUP(TBA_Matches_All[[#This Row],[teammat]],Dyno_EndMatch[teammat],Dyno_EndMatch[Strategy],"_",0,1)</f>
        <v>Hybrid</v>
      </c>
      <c r="CI122">
        <f>SUMIFS(Dyno_Data[Defense], Dyno_Data[Team],TBA_Matches_All[[#This Row],[Team]],Dyno_Data[Match],TBA_Matches_All[[#This Row],[Match_Number]],Dyno_Data[RecordType],"EndMatch",Dyno_Data[Defense],"&lt;&gt;9")</f>
        <v>0</v>
      </c>
      <c r="CJ122">
        <f>SUMIFS(Dyno_Data[Avoidance], Dyno_Data[Team],TBA_Matches_All[[#This Row],[Team]],Dyno_Data[Match],TBA_Matches_All[[#This Row],[Match_Number]],Dyno_Data[RecordType],"EndMatch",Dyno_Data[Avoidance],"&lt;&gt;9")</f>
        <v>0</v>
      </c>
      <c r="CK122" s="82">
        <f>COUNTIF($H$2:TBA_Matches_All[[#This Row],[Team]],TBA_Matches_All[[#This Row],[Team]])</f>
        <v>3</v>
      </c>
      <c r="CL122" s="111">
        <f>SUM(MID(TBA_Matches_All[[#This Row],[Team]],4,5)+TBA_Matches_All[[#This Row],[Match_Number]]/100)</f>
        <v>5016.2</v>
      </c>
      <c r="CM122">
        <f>SUM((TBA_Matches_All[[#This Row],[Leave]]*2)+(TBA_Matches_All[[#This Row],[AampT]]*2)+(TBA_Matches_All[[#This Row],[AspkrT]]*5)+(TBA_Matches_All[[#This Row],[AtrapT]]*5))</f>
        <v>5</v>
      </c>
      <c r="CN122" s="59">
        <f>IFERROR(SUM(TBA_Matches_All[[#This Row],[AptsT]]/TBA_Matches_All[[#This Row],[AutoPts]]),0)</f>
        <v>0.35714285714285715</v>
      </c>
      <c r="CO122" s="59">
        <f>IFERROR(SUM(TBA_Matches_All[[#This Row],[AampT]]+TBA_Matches_All[[#This Row],[AspkrT]]+TBA_Matches_All[[#This Row],[AtrapT]]/TBA_Matches_All[[#This Row],[Aamp]]+TBA_Matches_All[[#This Row],[Aspkr]]+TBA_Matches_All[[#This Row],[AtrapT]]),0)</f>
        <v>0</v>
      </c>
      <c r="CP122" s="59">
        <f>IFERROR(SUM(TBA_Matches_All[[#This Row],[TampT]]/TBA_Matches_All[[#This Row],[Tamp]]),0)</f>
        <v>0.5</v>
      </c>
      <c r="CQ122" s="59">
        <f>IFERROR(SUM(TBA_Matches_All[[#This Row],[TspkrT]]/TBA_Matches_All[[#This Row],[Tspkr]]),0)</f>
        <v>0.5</v>
      </c>
      <c r="CR122">
        <f>SUM(TBA_Matches_All[[#This Row],[TspkrPts]]*TBA_Matches_All[[#This Row],[TspkrP]])</f>
        <v>8</v>
      </c>
      <c r="CS122" s="59">
        <f>IFERROR(SUM(TBA_Matches_All[[#This Row],[TtrapT]]/TBA_Matches_All[[#This Row],[Trap]]),0)</f>
        <v>0</v>
      </c>
      <c r="CT122" s="59">
        <f>IFERROR(SUM(TBA_Matches_All[[#This Row],[TotNotesT]]/TBA_Matches_All[[#This Row],[TotNotes]]),0)</f>
        <v>0.5</v>
      </c>
      <c r="CU122" s="66">
        <f>SUM((TBA_Matches_All[[#This Row],[AampT]]*2)+(TBA_Matches_All[[#This Row],[AspkrT]]*5)+(TBA_Matches_All[[#This Row],[AtrapT]]*5)+(TBA_Matches_All[[#This Row],[TampT]]*1)+(TBA_Matches_All[[#This Row],[TspkrptsC]]))</f>
        <v>14</v>
      </c>
      <c r="CV122" s="59">
        <f>IFERROR(TBA_Matches_All[[#This Row],[noteptsT]]/TBA_Matches_All[[#This Row],[NotePts]],0)</f>
        <v>0.5</v>
      </c>
      <c r="CW122">
        <f>SUM(IF(TBA_Matches_All[[#This Row],[stageStat]]="On",3,0),IF(TBA_Matches_All[[#This Row],[stageStat]]="Park",1,0),SUMIFS(TBA_Matches_All[[#This Row],[Spotlit]],TBA_Matches_All[[#This Row],[stageStat]],"On"),SUMIFS(TBA_Matches_All[[#This Row],[Harmony]],TBA_Matches_All[[#This Row],[stageStat]],"On"))</f>
        <v>3</v>
      </c>
      <c r="CX122" s="59">
        <f>IFERROR(TBA_Matches_All[[#This Row],[stageptsT]]/TBA_Matches_All[[#This Row],[StagePts]],0)</f>
        <v>0.6</v>
      </c>
      <c r="CY122">
        <f>SUM((TBA_Matches_All[[#This Row],[AptsT]]+TBA_Matches_All[[#This Row],[TampT]]+TBA_Matches_All[[#This Row],[TspkrptsC]]+(TBA_Matches_All[[#This Row],[TtrapT]]*5)+TBA_Matches_All[[#This Row],[stageptsT]]))</f>
        <v>17</v>
      </c>
      <c r="CZ122" s="59">
        <f>IFERROR(SUM(TBA_Matches_All[[#This Row],[TotptsC]]/TBA_Matches_All[[#This Row],[Score]]),0)</f>
        <v>0.39534883720930231</v>
      </c>
      <c r="DA12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8.6466666666666665</v>
      </c>
      <c r="DB122" s="74">
        <f>SUMIFS(TBA_Matches_All[AveTeamTNoteDels],TBA_Matches_All[Match_Number],TBA_Matches_All[[#This Row],[Match_Number]],TBA_Matches_All[Alliance],"&lt;&gt;"&amp;TBA_Matches_All[[#This Row],[Alliance]],TBA_Matches_All[Scouted],"&gt;0")</f>
        <v>36.182843822843822</v>
      </c>
      <c r="DC122" s="74">
        <f>(TBA_Matches_All[[#This Row],[TampT]]+TBA_Matches_All[[#This Row],[TspkrptsC]])-TBA_Matches_All[[#This Row],[AveTeamTNoteDels]]</f>
        <v>0.3533333333333335</v>
      </c>
      <c r="DD122" s="74">
        <f>SUMIFS(TBA_Matches_All[AveTeamTNoteDels],TBA_Matches_All[Match_Number],TBA_Matches_All[[#This Row],[Match_Number]],TBA_Matches_All[Alliance],"&lt;&gt;"&amp;TBA_Matches_All[[#This Row],[Alliance]])-TBA_Matches_All[[#This Row],[AveOppTNoteDels]]</f>
        <v>0</v>
      </c>
    </row>
    <row r="123" spans="1:108" x14ac:dyDescent="0.3">
      <c r="A123" t="s">
        <v>1042</v>
      </c>
      <c r="B123" t="s">
        <v>489</v>
      </c>
      <c r="C123" t="s">
        <v>1330</v>
      </c>
      <c r="D123">
        <v>21</v>
      </c>
      <c r="E123" t="s">
        <v>1420</v>
      </c>
      <c r="F123" t="s">
        <v>1425</v>
      </c>
      <c r="G123" t="s">
        <v>105</v>
      </c>
      <c r="H123" t="s">
        <v>1279</v>
      </c>
      <c r="I123" t="b">
        <v>0</v>
      </c>
      <c r="J123">
        <v>47</v>
      </c>
      <c r="K123">
        <v>0</v>
      </c>
      <c r="L123">
        <v>0</v>
      </c>
      <c r="M123">
        <v>0</v>
      </c>
      <c r="N123">
        <v>0</v>
      </c>
      <c r="O123">
        <v>3</v>
      </c>
      <c r="P123">
        <v>15</v>
      </c>
      <c r="Q123">
        <v>21</v>
      </c>
      <c r="R123">
        <v>2</v>
      </c>
      <c r="S123">
        <v>1</v>
      </c>
      <c r="T123">
        <v>7</v>
      </c>
      <c r="U123">
        <v>5</v>
      </c>
      <c r="V123">
        <v>14</v>
      </c>
      <c r="W123">
        <v>8</v>
      </c>
      <c r="X123">
        <v>19</v>
      </c>
      <c r="Y123">
        <v>21</v>
      </c>
      <c r="Z123">
        <v>0</v>
      </c>
      <c r="AA123">
        <v>0</v>
      </c>
      <c r="AB123">
        <v>13</v>
      </c>
      <c r="AC123">
        <v>36</v>
      </c>
      <c r="AD123">
        <v>5</v>
      </c>
      <c r="AE123">
        <f>IFERROR(6/(COUNTIF(Dyno_EndMatch[Match],TBA_Matches_All[[#This Row],[Match_Number]])),0)</f>
        <v>1</v>
      </c>
      <c r="AF123">
        <f>COUNTIFS(Dyno_Data[Team],TBA_Matches_All[[#This Row],[Team]],Dyno_Data[Match],TBA_Matches_All[[#This Row],[Match_Number]],Dyno_Data[RecordType],"EndMatch",Dyno_Data[HPAmp],"Y")</f>
        <v>1</v>
      </c>
      <c r="AG123">
        <f>SUMIFS(Dyno_Data[Mics], Dyno_Data[Team],TBA_Matches_All[[#This Row],[Team]],Dyno_Data[Match],TBA_Matches_All[[#This Row],[Match_Number]],Dyno_Data[RecordType],"EndMatch",Dyno_Data[HPAmp],"Y")</f>
        <v>0</v>
      </c>
      <c r="AH123">
        <f>SUMIFS(Dyno_Data[Leave], Dyno_Data[Team],TBA_Matches_All[[#This Row],[Team]],Dyno_Data[Match],TBA_Matches_All[[#This Row],[Match_Number]],Dyno_Data[RecordType],"EndAuto")</f>
        <v>1</v>
      </c>
      <c r="AI123">
        <f>COUNTIFS(Dyno_Data[Team],TBA_Matches_All[[#This Row],[Team]],Dyno_Data[Match],TBA_Matches_All[[#This Row],[Match_Number]],Dyno_Data[RecordType],"Activities",Dyno_Data[DelDest],"Amp", Dyno_Data[DelMiss],"0", Dyno_Data[Mode],"Auto")</f>
        <v>0</v>
      </c>
      <c r="AJ123">
        <f>COUNTIFS(Dyno_Data[Team],TBA_Matches_All[[#This Row],[Team]],Dyno_Data[Match],TBA_Matches_All[[#This Row],[Match_Number]],Dyno_Data[RecordType],"Activities",Dyno_Data[DelDest],"Spkr", Dyno_Data[DelMiss],"0", Dyno_Data[Mode],"Auto")</f>
        <v>0</v>
      </c>
      <c r="AK123">
        <f>COUNTIFS(Dyno_Data[Team],TBA_Matches_All[[#This Row],[Team]],Dyno_Data[Match],TBA_Matches_All[[#This Row],[Match_Number]],Dyno_Data[RecordType],"Activities",Dyno_Data[DelDest],"Trap", Dyno_Data[DelMiss],"0", Dyno_Data[Mode],"Auto")</f>
        <v>0</v>
      </c>
      <c r="AL123">
        <f>COUNTIFS(Dyno_Data[Team],TBA_Matches_All[[#This Row],[Team]],Dyno_Data[Match],TBA_Matches_All[[#This Row],[Match_Number]],Dyno_Data[RecordType],"Activities",Dyno_Data[DelDest],"Amp", Dyno_Data[DelMiss],"0", Dyno_Data[Mode],"Teleop")</f>
        <v>0</v>
      </c>
      <c r="AM123">
        <f>COUNTIFS(Dyno_Data[Team],TBA_Matches_All[[#This Row],[Team]],Dyno_Data[Match],TBA_Matches_All[[#This Row],[Match_Number]],Dyno_Data[RecordType],"Activities",Dyno_Data[DelDest],"Spkr", Dyno_Data[DelMiss],"0", Dyno_Data[Mode],"Teleop")</f>
        <v>0</v>
      </c>
      <c r="AN123">
        <f>COUNTIFS(Dyno_Data[Team],TBA_Matches_All[[#This Row],[Team]],Dyno_Data[Match],TBA_Matches_All[[#This Row],[Match_Number]],Dyno_Data[RecordType],"Activities",Dyno_Data[DelDest],"Trap", Dyno_Data[DelMiss],"0", Dyno_Data[Mode],"&lt;&gt;Auto")</f>
        <v>0</v>
      </c>
      <c r="AO123">
        <f>SUM(TBA_Matches_All[[#This Row],[AampT]]+TBA_Matches_All[[#This Row],[AspkrT]]+TBA_Matches_All[[#This Row],[AtrapT]]+TBA_Matches_All[[#This Row],[TampT]]+TBA_Matches_All[[#This Row],[TspkrT]]+TBA_Matches_All[[#This Row],[TtrapT]])</f>
        <v>0</v>
      </c>
      <c r="AP123">
        <f>COUNTIFS(Dyno_Data[Team],TBA_Matches_All[[#This Row],[Team]],Dyno_Data[Match],TBA_Matches_All[[#This Row],[Match_Number]],Dyno_Data[RecordType],"Activities",Dyno_Data[DelDest],"Neut", Dyno_Data[DelMiss],"0")</f>
        <v>0</v>
      </c>
      <c r="AQ123">
        <f>COUNTIFS(Dyno_Data[Team],TBA_Matches_All[[#This Row],[Team]],Dyno_Data[Match],TBA_Matches_All[[#This Row],[Match_Number]],Dyno_Data[RecordType],"Activities",Dyno_Data[DelDest],"AllyW", Dyno_Data[DelMiss],"0")</f>
        <v>0</v>
      </c>
      <c r="AR123" t="str">
        <f>_xlfn.XLOOKUP(SUM(MID(TBA_Matches_All[[#This Row],[Team]],4,5),(TBA_Matches_All[[#This Row],[Match_Number]]/100)),Dyno_EndMatch[teammat],Dyno_EndMatch[RobotSta],"_",0,1)</f>
        <v>OppS</v>
      </c>
      <c r="AS123">
        <f>SUMIFS(Dyno_Data[AcqDis], Dyno_Data[Team],TBA_Matches_All[[#This Row],[Team]],Dyno_Data[Match],TBA_Matches_All[[#This Row],[Match_Number]],Dyno_Data[RecordType],"Activities", Dyno_Data[AcqCenter],1,Dyno_Data[Mode],"Auto")</f>
        <v>0</v>
      </c>
      <c r="AT123">
        <f>SUMIFS(Dyno_Data[AcqDis], Dyno_Data[Team],TBA_Matches_All[[#This Row],[Team]],Dyno_Data[Match],TBA_Matches_All[[#This Row],[Match_Number]],Dyno_Data[RecordType],"Activities", Dyno_Data[AcqCenter],2,Dyno_Data[Mode],"Auto")</f>
        <v>0</v>
      </c>
      <c r="AU123">
        <f>SUMIFS(Dyno_Data[AcqDis], Dyno_Data[Team],TBA_Matches_All[[#This Row],[Team]],Dyno_Data[Match],TBA_Matches_All[[#This Row],[Match_Number]],Dyno_Data[RecordType],"Activities", Dyno_Data[AcqCenter],3,Dyno_Data[Mode],"Auto")</f>
        <v>0</v>
      </c>
      <c r="AV123">
        <f>SUMIFS(Dyno_Data[AcqDis], Dyno_Data[Team],TBA_Matches_All[[#This Row],[Team]],Dyno_Data[Match],TBA_Matches_All[[#This Row],[Match_Number]],Dyno_Data[RecordType],"Activities", Dyno_Data[AcqCenter],4,Dyno_Data[Mode],"Auto")</f>
        <v>0</v>
      </c>
      <c r="AW123">
        <f>SUMIFS(Dyno_Data[AcqDis], Dyno_Data[Team],TBA_Matches_All[[#This Row],[Team]],Dyno_Data[Match],TBA_Matches_All[[#This Row],[Match_Number]],Dyno_Data[RecordType],"Activities", Dyno_Data[AcqCenter],5,Dyno_Data[Mode],"Auto")</f>
        <v>0</v>
      </c>
      <c r="AX123">
        <f>SUMIFS(Dyno_Data[DelMiss], Dyno_Data[Team],TBA_Matches_All[[#This Row],[Team]],Dyno_Data[Match],TBA_Matches_All[[#This Row],[Match_Number]],Dyno_Data[RecordType],"Activities", Dyno_Data[DelDest],"Amp")</f>
        <v>0</v>
      </c>
      <c r="AY123" s="60">
        <f>IFERROR(SUM((TBA_Matches_All[[#This Row],[AampT]]+TBA_Matches_All[[#This Row],[TampT]])/(TBA_Matches_All[[#This Row],[AampT]]+TBA_Matches_All[[#This Row],[TampT]]+TBA_Matches_All[[#This Row],[ampM]])),0)</f>
        <v>0</v>
      </c>
      <c r="AZ123">
        <f>SUMIFS(Dyno_Data[DelMiss], Dyno_Data[Team],TBA_Matches_All[[#This Row],[Team]],Dyno_Data[Match],TBA_Matches_All[[#This Row],[Match_Number]],Dyno_Data[RecordType],"Activities", Dyno_Data[DelDest],"Spkr")</f>
        <v>0</v>
      </c>
      <c r="BA123" s="60">
        <f>IFERROR(SUM((TBA_Matches_All[[#This Row],[AspkrT]]+TBA_Matches_All[[#This Row],[TspkrT]])/(TBA_Matches_All[[#This Row],[AspkrT]]+TBA_Matches_All[[#This Row],[TspkrT]]+TBA_Matches_All[[#This Row],[spkrM]])),0)</f>
        <v>0</v>
      </c>
      <c r="BB123">
        <f>SUMIFS(Dyno_Data[DelMiss], Dyno_Data[Team],TBA_Matches_All[[#This Row],[Team]],Dyno_Data[Match],TBA_Matches_All[[#This Row],[Match_Number]],Dyno_Data[RecordType],"Activities", Dyno_Data[DelDest],"Trap")</f>
        <v>0</v>
      </c>
      <c r="BC123" s="60">
        <f>IFERROR((TBA_Matches_All[[#This Row],[AtrapT]]+TBA_Matches_All[[#This Row],[TtrapT]])/(TBA_Matches_All[[#This Row],[AtrapT]]+TBA_Matches_All[[#This Row],[TtrapT]]+TBA_Matches_All[[#This Row],[trapM]]),0)</f>
        <v>0</v>
      </c>
      <c r="BD123">
        <f>COUNTIFS(Dyno_Data[Team],TBA_Matches_All[[#This Row],[Team]],Dyno_Data[Match],TBA_Matches_All[[#This Row],[Match_Number]],Dyno_Data[RecordType],"Activities",Dyno_Data[DelDest],"Neut", Dyno_Data[DelMiss],1)</f>
        <v>0</v>
      </c>
      <c r="BE123" s="60">
        <f>IFERROR(SUM((TBA_Matches_All[[#This Row],[NeutFlrT]])/(TBA_Matches_All[[#This Row],[NeutFlrT]]+TBA_Matches_All[[#This Row],[NZflM]])),0)</f>
        <v>0</v>
      </c>
      <c r="BF123">
        <f>COUNTIFS(Dyno_Data[Team],TBA_Matches_All[[#This Row],[Team]],Dyno_Data[Match],TBA_Matches_All[[#This Row],[Match_Number]],Dyno_Data[RecordType],"Activities",Dyno_Data[DelDest],"AllyW", Dyno_Data[DelMiss],1)</f>
        <v>0</v>
      </c>
      <c r="BG123" s="60">
        <f>IFERROR(SUM((TBA_Matches_All[[#This Row],[AllyWFlrT]])/(TBA_Matches_All[[#This Row],[AllyWFlrT]]+TBA_Matches_All[[#This Row],[AZflM]])),0)</f>
        <v>0</v>
      </c>
      <c r="BH123">
        <f>COUNTIFS(Dyno_Data[Team],TBA_Matches_All[[#This Row],[Team]],Dyno_Data[Match],TBA_Matches_All[[#This Row],[Match_Number]],Dyno_Data[RecordType],"Activities",Dyno_Data[DelOrig],"OppW", Dyno_Data[DelMiss],"0")</f>
        <v>0</v>
      </c>
      <c r="BI123">
        <f>COUNTIFS(Dyno_Data[Team],TBA_Matches_All[[#This Row],[Team]],Dyno_Data[Match],TBA_Matches_All[[#This Row],[Match_Number]],Dyno_Data[RecordType],"Activities",Dyno_Data[DelOrig],"OppW", Dyno_Data[DelMiss],"1")</f>
        <v>0</v>
      </c>
      <c r="BJ123" s="60">
        <f>IFERROR(SUM((TBA_Matches_All[[#This Row],[OZflrT]])/(TBA_Matches_All[[#This Row],[OZflrT]]+TBA_Matches_All[[#This Row],[OZflrM]])),0)</f>
        <v>0</v>
      </c>
      <c r="BK123">
        <f>COUNTIFS(Dyno_Data[Team],TBA_Matches_All[[#This Row],[Team]],Dyno_Data[Match],TBA_Matches_All[[#This Row],[Match_Number]],Dyno_Data[RecordType],"Activities",Dyno_Data[DelOrig],"Neut", Dyno_Data[DelMiss],"0")</f>
        <v>0</v>
      </c>
      <c r="BL123">
        <f>COUNTIFS(Dyno_Data[Team],TBA_Matches_All[[#This Row],[Team]],Dyno_Data[Match],TBA_Matches_All[[#This Row],[Match_Number]],Dyno_Data[RecordType],"Activities",Dyno_Data[DelOrig],"Neut", Dyno_Data[DelMiss],"1")</f>
        <v>0</v>
      </c>
      <c r="BM123" s="60">
        <f>IFERROR(SUM((TBA_Matches_All[[#This Row],[NZflrT]])/(TBA_Matches_All[[#This Row],[NZflrT]]+TBA_Matches_All[[#This Row],[NZflrM]])),0)</f>
        <v>0</v>
      </c>
      <c r="BN123">
        <f>COUNTIFS(Dyno_Data[Team],TBA_Matches_All[[#This Row],[Team]],Dyno_Data[Match],TBA_Matches_All[[#This Row],[Match_Number]],Dyno_Data[RecordType],"Activities",Dyno_Data[DelOrig],"AllyW", Dyno_Data[DelMiss],"0")</f>
        <v>0</v>
      </c>
      <c r="BO123">
        <f>COUNTIFS(Dyno_Data[Team],TBA_Matches_All[[#This Row],[Team]],Dyno_Data[Match],TBA_Matches_All[[#This Row],[Match_Number]],Dyno_Data[RecordType],"Activities",Dyno_Data[DelOrig],"AllyW", Dyno_Data[DelMiss],"1")</f>
        <v>0</v>
      </c>
      <c r="BP123" s="60">
        <f>IFERROR(SUM((TBA_Matches_All[[#This Row],[AZflrT]])/(TBA_Matches_All[[#This Row],[AZflrT]]+TBA_Matches_All[[#This Row],[AZflrM]])),0)</f>
        <v>0</v>
      </c>
      <c r="BQ123">
        <f>COUNTIFS(Dyno_Data[Team],TBA_Matches_All[[#This Row],[Team]],Dyno_Data[Match],TBA_Matches_All[[#This Row],[Match_Number]],Dyno_Data[RecordType],"Activities",Dyno_Data[DelOrig],"SubW", Dyno_Data[DelMiss],"0")</f>
        <v>0</v>
      </c>
      <c r="BR123">
        <f>COUNTIFS(Dyno_Data[Team],TBA_Matches_All[[#This Row],[Team]],Dyno_Data[Match],TBA_Matches_All[[#This Row],[Match_Number]],Dyno_Data[RecordType],"Activities",Dyno_Data[DelOrig],"SubW", Dyno_Data[DelMiss],"1")</f>
        <v>0</v>
      </c>
      <c r="BS123" s="60">
        <f>IFERROR(SUM((TBA_Matches_All[[#This Row],[SubwT]])/(TBA_Matches_All[[#This Row],[SubwT]]+TBA_Matches_All[[#This Row],[SubwM]])),0)</f>
        <v>0</v>
      </c>
      <c r="BT123">
        <f>COUNTIFS(Dyno_Data[Team],TBA_Matches_All[[#This Row],[Team]],Dyno_Data[Match],TBA_Matches_All[[#This Row],[Match_Number]],Dyno_Data[RecordType],"Activities", Dyno_Data[AcqLoc],"OppWing")</f>
        <v>0</v>
      </c>
      <c r="BU123">
        <f>COUNTIFS(Dyno_Data[Team],TBA_Matches_All[[#This Row],[Team]],Dyno_Data[Match],TBA_Matches_All[[#This Row],[Match_Number]],Dyno_Data[RecordType],"Activities", Dyno_Data[AcqLoc],"Neutral")</f>
        <v>0</v>
      </c>
      <c r="BV123">
        <f>COUNTIFS(Dyno_Data[Team],TBA_Matches_All[[#This Row],[Team]],Dyno_Data[Match],TBA_Matches_All[[#This Row],[Match_Number]],Dyno_Data[RecordType],"Activities", Dyno_Data[AcqLoc],"AllyWing")</f>
        <v>0</v>
      </c>
      <c r="BW123">
        <f>COUNTIFS(Dyno_Data[Team],TBA_Matches_All[[#This Row],[Team]],Dyno_Data[Match],TBA_Matches_All[[#This Row],[Match_Number]],Dyno_Data[RecordType],"Activities", Dyno_Data[AcqLoc],"Source")</f>
        <v>0</v>
      </c>
      <c r="BX123">
        <f>SUMIFS(Dyno_Data[AcqDrp], Dyno_Data[Team],TBA_Matches_All[[#This Row],[Team]],Dyno_Data[Match],TBA_Matches_All[[#This Row],[Match_Number]],Dyno_Data[RecordType],"Activities", Dyno_Data[AcqLoc],"Source")</f>
        <v>0</v>
      </c>
      <c r="BY123">
        <f>SUMIFS(Dyno_Data[OZTime], Dyno_Data[Team],TBA_Matches_All[[#This Row],[Team]],Dyno_Data[Match],TBA_Matches_All[[#This Row],[Match_Number]],Dyno_Data[RecordType],"EndMatch")</f>
        <v>0.43585740000000001</v>
      </c>
      <c r="BZ123">
        <f>SUMIFS(Dyno_Data[NZTime], Dyno_Data[Team],TBA_Matches_All[[#This Row],[Team]],Dyno_Data[Match],TBA_Matches_All[[#This Row],[Match_Number]],Dyno_Data[RecordType],"EndMatch")</f>
        <v>62.736844699999999</v>
      </c>
      <c r="CA123">
        <f>SUMIFS(Dyno_Data[AZTime], Dyno_Data[Team],TBA_Matches_All[[#This Row],[Team]],Dyno_Data[Match],TBA_Matches_All[[#This Row],[Match_Number]],Dyno_Data[RecordType],"EndMatch")</f>
        <v>72.314625199999995</v>
      </c>
      <c r="CB123">
        <f>SUMIFS(Dyno_Data[ClimbT], Dyno_Data[Team],TBA_Matches_All[[#This Row],[Team]],Dyno_Data[Match],TBA_Matches_All[[#This Row],[Match_Number]],Dyno_Data[RecordType],"EndMatch")</f>
        <v>0</v>
      </c>
      <c r="CC123" t="str">
        <f>_xlfn.XLOOKUP(SUM(MID(TBA_Matches_All[[#This Row],[Team]],4,5),(TBA_Matches_All[[#This Row],[Match_Number]]/100)),Dyno_EndMatch[teammat],Dyno_EndMatch[StageStat],"_",0,1)</f>
        <v>Park</v>
      </c>
      <c r="CD123" t="str">
        <f>_xlfn.XLOOKUP(TBA_Matches_All[[#This Row],[teammat]],Dyno_EndMatch[teammat],Dyno_EndMatch[StageAtt],"_",0,1)</f>
        <v>0</v>
      </c>
      <c r="CE123" t="str">
        <f>_xlfn.XLOOKUP(TBA_Matches_All[[#This Row],[teammat]],Dyno_EndMatch[teammat],Dyno_EndMatch[StageLoc],"_",0,1)</f>
        <v>A</v>
      </c>
      <c r="CF123">
        <f>SUMIFS(Dyno_Data[Harmony], Dyno_Data[Team],TBA_Matches_All[[#This Row],[Team]],Dyno_Data[Match],TBA_Matches_All[[#This Row],[Match_Number]],Dyno_Data[RecordType],"EndMatch", Dyno_Data[StageStat],"On",Dyno_Data[Harmony],"&lt;&gt;9")</f>
        <v>0</v>
      </c>
      <c r="CG123">
        <f>SUMIFS(Dyno_Data[Spotlit], Dyno_Data[Team],TBA_Matches_All[[#This Row],[Team]],Dyno_Data[Match],TBA_Matches_All[[#This Row],[Match_Number]],Dyno_Data[RecordType],"EndMatch", Dyno_Data[StageStat],"On",Dyno_Data[Spotlit],"&lt;&gt;9")</f>
        <v>0</v>
      </c>
      <c r="CH123" t="str">
        <f>_xlfn.XLOOKUP(TBA_Matches_All[[#This Row],[teammat]],Dyno_EndMatch[teammat],Dyno_EndMatch[Strategy],"_",0,1)</f>
        <v>Defense</v>
      </c>
      <c r="CI123">
        <f>SUMIFS(Dyno_Data[Defense], Dyno_Data[Team],TBA_Matches_All[[#This Row],[Team]],Dyno_Data[Match],TBA_Matches_All[[#This Row],[Match_Number]],Dyno_Data[RecordType],"EndMatch",Dyno_Data[Defense],"&lt;&gt;9")</f>
        <v>2</v>
      </c>
      <c r="CJ123">
        <f>SUMIFS(Dyno_Data[Avoidance], Dyno_Data[Team],TBA_Matches_All[[#This Row],[Team]],Dyno_Data[Match],TBA_Matches_All[[#This Row],[Match_Number]],Dyno_Data[RecordType],"EndMatch",Dyno_Data[Avoidance],"&lt;&gt;9")</f>
        <v>0</v>
      </c>
      <c r="CK123" s="82">
        <f>COUNTIF($H$2:TBA_Matches_All[[#This Row],[Team]],TBA_Matches_All[[#This Row],[Team]])</f>
        <v>3</v>
      </c>
      <c r="CL123" s="111">
        <f>SUM(MID(TBA_Matches_All[[#This Row],[Team]],4,5)+TBA_Matches_All[[#This Row],[Match_Number]]/100)</f>
        <v>5149.21</v>
      </c>
      <c r="CM123">
        <f>SUM((TBA_Matches_All[[#This Row],[Leave]]*2)+(TBA_Matches_All[[#This Row],[AampT]]*2)+(TBA_Matches_All[[#This Row],[AspkrT]]*5)+(TBA_Matches_All[[#This Row],[AtrapT]]*5))</f>
        <v>2</v>
      </c>
      <c r="CN123" s="59">
        <f>IFERROR(SUM(TBA_Matches_All[[#This Row],[AptsT]]/TBA_Matches_All[[#This Row],[AutoPts]]),0)</f>
        <v>9.5238095238095233E-2</v>
      </c>
      <c r="CO123" s="59">
        <f>IFERROR(SUM(TBA_Matches_All[[#This Row],[AampT]]+TBA_Matches_All[[#This Row],[AspkrT]]+TBA_Matches_All[[#This Row],[AtrapT]]/TBA_Matches_All[[#This Row],[Aamp]]+TBA_Matches_All[[#This Row],[Aspkr]]+TBA_Matches_All[[#This Row],[AtrapT]]),0)</f>
        <v>0</v>
      </c>
      <c r="CP123" s="59">
        <f>IFERROR(SUM(TBA_Matches_All[[#This Row],[TampT]]/TBA_Matches_All[[#This Row],[Tamp]]),0)</f>
        <v>0</v>
      </c>
      <c r="CQ123" s="59">
        <f>IFERROR(SUM(TBA_Matches_All[[#This Row],[TspkrT]]/TBA_Matches_All[[#This Row],[Tspkr]]),0)</f>
        <v>0</v>
      </c>
      <c r="CR123">
        <f>SUM(TBA_Matches_All[[#This Row],[TspkrPts]]*TBA_Matches_All[[#This Row],[TspkrP]])</f>
        <v>0</v>
      </c>
      <c r="CS123" s="59">
        <f>IFERROR(SUM(TBA_Matches_All[[#This Row],[TtrapT]]/TBA_Matches_All[[#This Row],[Trap]]),0)</f>
        <v>0</v>
      </c>
      <c r="CT123" s="59">
        <f>IFERROR(SUM(TBA_Matches_All[[#This Row],[TotNotesT]]/TBA_Matches_All[[#This Row],[TotNotes]]),0)</f>
        <v>0</v>
      </c>
      <c r="CU123" s="66">
        <f>SUM((TBA_Matches_All[[#This Row],[AampT]]*2)+(TBA_Matches_All[[#This Row],[AspkrT]]*5)+(TBA_Matches_All[[#This Row],[AtrapT]]*5)+(TBA_Matches_All[[#This Row],[TampT]]*1)+(TBA_Matches_All[[#This Row],[TspkrptsC]]))</f>
        <v>0</v>
      </c>
      <c r="CV123" s="59">
        <f>IFERROR(TBA_Matches_All[[#This Row],[noteptsT]]/TBA_Matches_All[[#This Row],[NotePts]],0)</f>
        <v>0</v>
      </c>
      <c r="CW123">
        <f>SUM(IF(TBA_Matches_All[[#This Row],[stageStat]]="On",3,0),IF(TBA_Matches_All[[#This Row],[stageStat]]="Park",1,0),SUMIFS(TBA_Matches_All[[#This Row],[Spotlit]],TBA_Matches_All[[#This Row],[stageStat]],"On"),SUMIFS(TBA_Matches_All[[#This Row],[Harmony]],TBA_Matches_All[[#This Row],[stageStat]],"On"))</f>
        <v>1</v>
      </c>
      <c r="CX123" s="59">
        <f>IFERROR(TBA_Matches_All[[#This Row],[stageptsT]]/TBA_Matches_All[[#This Row],[StagePts]],0)</f>
        <v>0.2</v>
      </c>
      <c r="CY123">
        <f>SUM((TBA_Matches_All[[#This Row],[AptsT]]+TBA_Matches_All[[#This Row],[TampT]]+TBA_Matches_All[[#This Row],[TspkrptsC]]+(TBA_Matches_All[[#This Row],[TtrapT]]*5)+TBA_Matches_All[[#This Row],[stageptsT]]))</f>
        <v>3</v>
      </c>
      <c r="CZ123" s="59">
        <f>IFERROR(SUM(TBA_Matches_All[[#This Row],[TotptsC]]/TBA_Matches_All[[#This Row],[Score]]),0)</f>
        <v>6.3829787234042548E-2</v>
      </c>
      <c r="DA12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23" s="74">
        <f>SUMIFS(TBA_Matches_All[AveTeamTNoteDels],TBA_Matches_All[Match_Number],TBA_Matches_All[[#This Row],[Match_Number]],TBA_Matches_All[Alliance],"&lt;&gt;"&amp;TBA_Matches_All[[#This Row],[Alliance]],TBA_Matches_All[Scouted],"&gt;0")</f>
        <v>44.060769230769232</v>
      </c>
      <c r="DC123" s="74">
        <f>(TBA_Matches_All[[#This Row],[TampT]]+TBA_Matches_All[[#This Row],[TspkrptsC]])-TBA_Matches_All[[#This Row],[AveTeamTNoteDels]]</f>
        <v>0</v>
      </c>
      <c r="DD123" s="74">
        <f>SUMIFS(TBA_Matches_All[AveTeamTNoteDels],TBA_Matches_All[Match_Number],TBA_Matches_All[[#This Row],[Match_Number]],TBA_Matches_All[Alliance],"&lt;&gt;"&amp;TBA_Matches_All[[#This Row],[Alliance]])-TBA_Matches_All[[#This Row],[AveOppTNoteDels]]</f>
        <v>0</v>
      </c>
    </row>
    <row r="124" spans="1:108" x14ac:dyDescent="0.3">
      <c r="A124" t="s">
        <v>1042</v>
      </c>
      <c r="B124" t="s">
        <v>489</v>
      </c>
      <c r="C124" t="s">
        <v>1330</v>
      </c>
      <c r="D124">
        <v>21</v>
      </c>
      <c r="E124" t="s">
        <v>1406</v>
      </c>
      <c r="F124" t="s">
        <v>1426</v>
      </c>
      <c r="G124" t="s">
        <v>164</v>
      </c>
      <c r="H124" t="s">
        <v>1300</v>
      </c>
      <c r="I124" t="b">
        <v>0</v>
      </c>
      <c r="J124">
        <v>65</v>
      </c>
      <c r="K124">
        <v>1</v>
      </c>
      <c r="L124">
        <v>0</v>
      </c>
      <c r="M124">
        <v>0</v>
      </c>
      <c r="N124">
        <v>0</v>
      </c>
      <c r="O124">
        <v>2</v>
      </c>
      <c r="P124">
        <v>10</v>
      </c>
      <c r="Q124">
        <v>14</v>
      </c>
      <c r="R124">
        <v>7</v>
      </c>
      <c r="S124">
        <v>3</v>
      </c>
      <c r="T124">
        <v>11</v>
      </c>
      <c r="U124">
        <v>15</v>
      </c>
      <c r="V124">
        <v>22</v>
      </c>
      <c r="W124">
        <v>14</v>
      </c>
      <c r="X124">
        <v>37</v>
      </c>
      <c r="Y124">
        <v>44</v>
      </c>
      <c r="Z124">
        <v>0</v>
      </c>
      <c r="AA124">
        <v>0</v>
      </c>
      <c r="AB124">
        <v>23</v>
      </c>
      <c r="AC124">
        <v>54</v>
      </c>
      <c r="AD124">
        <v>7</v>
      </c>
      <c r="AE124">
        <f>IFERROR(6/(COUNTIF(Dyno_EndMatch[Match],TBA_Matches_All[[#This Row],[Match_Number]])),0)</f>
        <v>1</v>
      </c>
      <c r="AF124">
        <f>COUNTIFS(Dyno_Data[Team],TBA_Matches_All[[#This Row],[Team]],Dyno_Data[Match],TBA_Matches_All[[#This Row],[Match_Number]],Dyno_Data[RecordType],"EndMatch",Dyno_Data[HPAmp],"Y")</f>
        <v>0</v>
      </c>
      <c r="AG124">
        <f>SUMIFS(Dyno_Data[Mics], Dyno_Data[Team],TBA_Matches_All[[#This Row],[Team]],Dyno_Data[Match],TBA_Matches_All[[#This Row],[Match_Number]],Dyno_Data[RecordType],"EndMatch",Dyno_Data[HPAmp],"Y")</f>
        <v>0</v>
      </c>
      <c r="AH124">
        <f>SUMIFS(Dyno_Data[Leave], Dyno_Data[Team],TBA_Matches_All[[#This Row],[Team]],Dyno_Data[Match],TBA_Matches_All[[#This Row],[Match_Number]],Dyno_Data[RecordType],"EndAuto")</f>
        <v>1</v>
      </c>
      <c r="AI124">
        <f>COUNTIFS(Dyno_Data[Team],TBA_Matches_All[[#This Row],[Team]],Dyno_Data[Match],TBA_Matches_All[[#This Row],[Match_Number]],Dyno_Data[RecordType],"Activities",Dyno_Data[DelDest],"Amp", Dyno_Data[DelMiss],"0", Dyno_Data[Mode],"Auto")</f>
        <v>0</v>
      </c>
      <c r="AJ124">
        <f>COUNTIFS(Dyno_Data[Team],TBA_Matches_All[[#This Row],[Team]],Dyno_Data[Match],TBA_Matches_All[[#This Row],[Match_Number]],Dyno_Data[RecordType],"Activities",Dyno_Data[DelDest],"Spkr", Dyno_Data[DelMiss],"0", Dyno_Data[Mode],"Auto")</f>
        <v>0</v>
      </c>
      <c r="AK124">
        <f>COUNTIFS(Dyno_Data[Team],TBA_Matches_All[[#This Row],[Team]],Dyno_Data[Match],TBA_Matches_All[[#This Row],[Match_Number]],Dyno_Data[RecordType],"Activities",Dyno_Data[DelDest],"Trap", Dyno_Data[DelMiss],"0", Dyno_Data[Mode],"Auto")</f>
        <v>0</v>
      </c>
      <c r="AL124">
        <f>COUNTIFS(Dyno_Data[Team],TBA_Matches_All[[#This Row],[Team]],Dyno_Data[Match],TBA_Matches_All[[#This Row],[Match_Number]],Dyno_Data[RecordType],"Activities",Dyno_Data[DelDest],"Amp", Dyno_Data[DelMiss],"0", Dyno_Data[Mode],"Teleop")</f>
        <v>0</v>
      </c>
      <c r="AM124">
        <f>COUNTIFS(Dyno_Data[Team],TBA_Matches_All[[#This Row],[Team]],Dyno_Data[Match],TBA_Matches_All[[#This Row],[Match_Number]],Dyno_Data[RecordType],"Activities",Dyno_Data[DelDest],"Spkr", Dyno_Data[DelMiss],"0", Dyno_Data[Mode],"Teleop")</f>
        <v>6</v>
      </c>
      <c r="AN124">
        <f>COUNTIFS(Dyno_Data[Team],TBA_Matches_All[[#This Row],[Team]],Dyno_Data[Match],TBA_Matches_All[[#This Row],[Match_Number]],Dyno_Data[RecordType],"Activities",Dyno_Data[DelDest],"Trap", Dyno_Data[DelMiss],"0", Dyno_Data[Mode],"&lt;&gt;Auto")</f>
        <v>0</v>
      </c>
      <c r="AO124">
        <f>SUM(TBA_Matches_All[[#This Row],[AampT]]+TBA_Matches_All[[#This Row],[AspkrT]]+TBA_Matches_All[[#This Row],[AtrapT]]+TBA_Matches_All[[#This Row],[TampT]]+TBA_Matches_All[[#This Row],[TspkrT]]+TBA_Matches_All[[#This Row],[TtrapT]])</f>
        <v>6</v>
      </c>
      <c r="AP124">
        <f>COUNTIFS(Dyno_Data[Team],TBA_Matches_All[[#This Row],[Team]],Dyno_Data[Match],TBA_Matches_All[[#This Row],[Match_Number]],Dyno_Data[RecordType],"Activities",Dyno_Data[DelDest],"Neut", Dyno_Data[DelMiss],"0")</f>
        <v>0</v>
      </c>
      <c r="AQ124">
        <f>COUNTIFS(Dyno_Data[Team],TBA_Matches_All[[#This Row],[Team]],Dyno_Data[Match],TBA_Matches_All[[#This Row],[Match_Number]],Dyno_Data[RecordType],"Activities",Dyno_Data[DelDest],"AllyW", Dyno_Data[DelMiss],"0")</f>
        <v>0</v>
      </c>
      <c r="AR124" t="str">
        <f>_xlfn.XLOOKUP(SUM(MID(TBA_Matches_All[[#This Row],[Team]],4,5),(TBA_Matches_All[[#This Row],[Match_Number]]/100)),Dyno_EndMatch[teammat],Dyno_EndMatch[RobotSta],"_",0,1)</f>
        <v>OppS</v>
      </c>
      <c r="AS124">
        <f>SUMIFS(Dyno_Data[AcqDis], Dyno_Data[Team],TBA_Matches_All[[#This Row],[Team]],Dyno_Data[Match],TBA_Matches_All[[#This Row],[Match_Number]],Dyno_Data[RecordType],"Activities", Dyno_Data[AcqCenter],1,Dyno_Data[Mode],"Auto")</f>
        <v>0</v>
      </c>
      <c r="AT124">
        <f>SUMIFS(Dyno_Data[AcqDis], Dyno_Data[Team],TBA_Matches_All[[#This Row],[Team]],Dyno_Data[Match],TBA_Matches_All[[#This Row],[Match_Number]],Dyno_Data[RecordType],"Activities", Dyno_Data[AcqCenter],2,Dyno_Data[Mode],"Auto")</f>
        <v>0</v>
      </c>
      <c r="AU124">
        <f>SUMIFS(Dyno_Data[AcqDis], Dyno_Data[Team],TBA_Matches_All[[#This Row],[Team]],Dyno_Data[Match],TBA_Matches_All[[#This Row],[Match_Number]],Dyno_Data[RecordType],"Activities", Dyno_Data[AcqCenter],3,Dyno_Data[Mode],"Auto")</f>
        <v>0</v>
      </c>
      <c r="AV124">
        <f>SUMIFS(Dyno_Data[AcqDis], Dyno_Data[Team],TBA_Matches_All[[#This Row],[Team]],Dyno_Data[Match],TBA_Matches_All[[#This Row],[Match_Number]],Dyno_Data[RecordType],"Activities", Dyno_Data[AcqCenter],4,Dyno_Data[Mode],"Auto")</f>
        <v>0</v>
      </c>
      <c r="AW124">
        <f>SUMIFS(Dyno_Data[AcqDis], Dyno_Data[Team],TBA_Matches_All[[#This Row],[Team]],Dyno_Data[Match],TBA_Matches_All[[#This Row],[Match_Number]],Dyno_Data[RecordType],"Activities", Dyno_Data[AcqCenter],5,Dyno_Data[Mode],"Auto")</f>
        <v>0</v>
      </c>
      <c r="AX124">
        <f>SUMIFS(Dyno_Data[DelMiss], Dyno_Data[Team],TBA_Matches_All[[#This Row],[Team]],Dyno_Data[Match],TBA_Matches_All[[#This Row],[Match_Number]],Dyno_Data[RecordType],"Activities", Dyno_Data[DelDest],"Amp")</f>
        <v>0</v>
      </c>
      <c r="AY124" s="60">
        <f>IFERROR(SUM((TBA_Matches_All[[#This Row],[AampT]]+TBA_Matches_All[[#This Row],[TampT]])/(TBA_Matches_All[[#This Row],[AampT]]+TBA_Matches_All[[#This Row],[TampT]]+TBA_Matches_All[[#This Row],[ampM]])),0)</f>
        <v>0</v>
      </c>
      <c r="AZ124">
        <f>SUMIFS(Dyno_Data[DelMiss], Dyno_Data[Team],TBA_Matches_All[[#This Row],[Team]],Dyno_Data[Match],TBA_Matches_All[[#This Row],[Match_Number]],Dyno_Data[RecordType],"Activities", Dyno_Data[DelDest],"Spkr")</f>
        <v>6</v>
      </c>
      <c r="BA124" s="60">
        <f>IFERROR(SUM((TBA_Matches_All[[#This Row],[AspkrT]]+TBA_Matches_All[[#This Row],[TspkrT]])/(TBA_Matches_All[[#This Row],[AspkrT]]+TBA_Matches_All[[#This Row],[TspkrT]]+TBA_Matches_All[[#This Row],[spkrM]])),0)</f>
        <v>0.5</v>
      </c>
      <c r="BB124">
        <f>SUMIFS(Dyno_Data[DelMiss], Dyno_Data[Team],TBA_Matches_All[[#This Row],[Team]],Dyno_Data[Match],TBA_Matches_All[[#This Row],[Match_Number]],Dyno_Data[RecordType],"Activities", Dyno_Data[DelDest],"Trap")</f>
        <v>0</v>
      </c>
      <c r="BC124" s="60">
        <f>IFERROR((TBA_Matches_All[[#This Row],[AtrapT]]+TBA_Matches_All[[#This Row],[TtrapT]])/(TBA_Matches_All[[#This Row],[AtrapT]]+TBA_Matches_All[[#This Row],[TtrapT]]+TBA_Matches_All[[#This Row],[trapM]]),0)</f>
        <v>0</v>
      </c>
      <c r="BD124">
        <f>COUNTIFS(Dyno_Data[Team],TBA_Matches_All[[#This Row],[Team]],Dyno_Data[Match],TBA_Matches_All[[#This Row],[Match_Number]],Dyno_Data[RecordType],"Activities",Dyno_Data[DelDest],"Neut", Dyno_Data[DelMiss],1)</f>
        <v>0</v>
      </c>
      <c r="BE124" s="60">
        <f>IFERROR(SUM((TBA_Matches_All[[#This Row],[NeutFlrT]])/(TBA_Matches_All[[#This Row],[NeutFlrT]]+TBA_Matches_All[[#This Row],[NZflM]])),0)</f>
        <v>0</v>
      </c>
      <c r="BF124">
        <f>COUNTIFS(Dyno_Data[Team],TBA_Matches_All[[#This Row],[Team]],Dyno_Data[Match],TBA_Matches_All[[#This Row],[Match_Number]],Dyno_Data[RecordType],"Activities",Dyno_Data[DelDest],"AllyW", Dyno_Data[DelMiss],1)</f>
        <v>0</v>
      </c>
      <c r="BG124" s="60">
        <f>IFERROR(SUM((TBA_Matches_All[[#This Row],[AllyWFlrT]])/(TBA_Matches_All[[#This Row],[AllyWFlrT]]+TBA_Matches_All[[#This Row],[AZflM]])),0)</f>
        <v>0</v>
      </c>
      <c r="BH124">
        <f>COUNTIFS(Dyno_Data[Team],TBA_Matches_All[[#This Row],[Team]],Dyno_Data[Match],TBA_Matches_All[[#This Row],[Match_Number]],Dyno_Data[RecordType],"Activities",Dyno_Data[DelOrig],"OppW", Dyno_Data[DelMiss],"0")</f>
        <v>0</v>
      </c>
      <c r="BI124">
        <f>COUNTIFS(Dyno_Data[Team],TBA_Matches_All[[#This Row],[Team]],Dyno_Data[Match],TBA_Matches_All[[#This Row],[Match_Number]],Dyno_Data[RecordType],"Activities",Dyno_Data[DelOrig],"OppW", Dyno_Data[DelMiss],"1")</f>
        <v>0</v>
      </c>
      <c r="BJ124" s="60">
        <f>IFERROR(SUM((TBA_Matches_All[[#This Row],[OZflrT]])/(TBA_Matches_All[[#This Row],[OZflrT]]+TBA_Matches_All[[#This Row],[OZflrM]])),0)</f>
        <v>0</v>
      </c>
      <c r="BK124">
        <f>COUNTIFS(Dyno_Data[Team],TBA_Matches_All[[#This Row],[Team]],Dyno_Data[Match],TBA_Matches_All[[#This Row],[Match_Number]],Dyno_Data[RecordType],"Activities",Dyno_Data[DelOrig],"Neut", Dyno_Data[DelMiss],"0")</f>
        <v>2</v>
      </c>
      <c r="BL124">
        <f>COUNTIFS(Dyno_Data[Team],TBA_Matches_All[[#This Row],[Team]],Dyno_Data[Match],TBA_Matches_All[[#This Row],[Match_Number]],Dyno_Data[RecordType],"Activities",Dyno_Data[DelOrig],"Neut", Dyno_Data[DelMiss],"1")</f>
        <v>1</v>
      </c>
      <c r="BM124" s="60">
        <f>IFERROR(SUM((TBA_Matches_All[[#This Row],[NZflrT]])/(TBA_Matches_All[[#This Row],[NZflrT]]+TBA_Matches_All[[#This Row],[NZflrM]])),0)</f>
        <v>0.66666666666666663</v>
      </c>
      <c r="BN124">
        <f>COUNTIFS(Dyno_Data[Team],TBA_Matches_All[[#This Row],[Team]],Dyno_Data[Match],TBA_Matches_All[[#This Row],[Match_Number]],Dyno_Data[RecordType],"Activities",Dyno_Data[DelOrig],"AllyW", Dyno_Data[DelMiss],"0")</f>
        <v>4</v>
      </c>
      <c r="BO124">
        <f>COUNTIFS(Dyno_Data[Team],TBA_Matches_All[[#This Row],[Team]],Dyno_Data[Match],TBA_Matches_All[[#This Row],[Match_Number]],Dyno_Data[RecordType],"Activities",Dyno_Data[DelOrig],"AllyW", Dyno_Data[DelMiss],"1")</f>
        <v>5</v>
      </c>
      <c r="BP124" s="60">
        <f>IFERROR(SUM((TBA_Matches_All[[#This Row],[AZflrT]])/(TBA_Matches_All[[#This Row],[AZflrT]]+TBA_Matches_All[[#This Row],[AZflrM]])),0)</f>
        <v>0.44444444444444442</v>
      </c>
      <c r="BQ124">
        <f>COUNTIFS(Dyno_Data[Team],TBA_Matches_All[[#This Row],[Team]],Dyno_Data[Match],TBA_Matches_All[[#This Row],[Match_Number]],Dyno_Data[RecordType],"Activities",Dyno_Data[DelOrig],"SubW", Dyno_Data[DelMiss],"0")</f>
        <v>0</v>
      </c>
      <c r="BR124">
        <f>COUNTIFS(Dyno_Data[Team],TBA_Matches_All[[#This Row],[Team]],Dyno_Data[Match],TBA_Matches_All[[#This Row],[Match_Number]],Dyno_Data[RecordType],"Activities",Dyno_Data[DelOrig],"SubW", Dyno_Data[DelMiss],"1")</f>
        <v>0</v>
      </c>
      <c r="BS124" s="60">
        <f>IFERROR(SUM((TBA_Matches_All[[#This Row],[SubwT]])/(TBA_Matches_All[[#This Row],[SubwT]]+TBA_Matches_All[[#This Row],[SubwM]])),0)</f>
        <v>0</v>
      </c>
      <c r="BT124">
        <f>COUNTIFS(Dyno_Data[Team],TBA_Matches_All[[#This Row],[Team]],Dyno_Data[Match],TBA_Matches_All[[#This Row],[Match_Number]],Dyno_Data[RecordType],"Activities", Dyno_Data[AcqLoc],"OppWing")</f>
        <v>0</v>
      </c>
      <c r="BU124">
        <f>COUNTIFS(Dyno_Data[Team],TBA_Matches_All[[#This Row],[Team]],Dyno_Data[Match],TBA_Matches_All[[#This Row],[Match_Number]],Dyno_Data[RecordType],"Activities", Dyno_Data[AcqLoc],"Neutral")</f>
        <v>1</v>
      </c>
      <c r="BV124">
        <f>COUNTIFS(Dyno_Data[Team],TBA_Matches_All[[#This Row],[Team]],Dyno_Data[Match],TBA_Matches_All[[#This Row],[Match_Number]],Dyno_Data[RecordType],"Activities", Dyno_Data[AcqLoc],"AllyWing")</f>
        <v>0</v>
      </c>
      <c r="BW124">
        <f>COUNTIFS(Dyno_Data[Team],TBA_Matches_All[[#This Row],[Team]],Dyno_Data[Match],TBA_Matches_All[[#This Row],[Match_Number]],Dyno_Data[RecordType],"Activities", Dyno_Data[AcqLoc],"Source")</f>
        <v>0</v>
      </c>
      <c r="BX124">
        <f>SUMIFS(Dyno_Data[AcqDrp], Dyno_Data[Team],TBA_Matches_All[[#This Row],[Team]],Dyno_Data[Match],TBA_Matches_All[[#This Row],[Match_Number]],Dyno_Data[RecordType],"Activities", Dyno_Data[AcqLoc],"Source")</f>
        <v>0</v>
      </c>
      <c r="BY124">
        <f>SUMIFS(Dyno_Data[OZTime], Dyno_Data[Team],TBA_Matches_All[[#This Row],[Team]],Dyno_Data[Match],TBA_Matches_All[[#This Row],[Match_Number]],Dyno_Data[RecordType],"EndMatch")</f>
        <v>36.854902099999997</v>
      </c>
      <c r="BZ124">
        <f>SUMIFS(Dyno_Data[NZTime], Dyno_Data[Team],TBA_Matches_All[[#This Row],[Team]],Dyno_Data[Match],TBA_Matches_All[[#This Row],[Match_Number]],Dyno_Data[RecordType],"EndMatch")</f>
        <v>39.409833499999998</v>
      </c>
      <c r="CA124">
        <f>SUMIFS(Dyno_Data[AZTime], Dyno_Data[Team],TBA_Matches_All[[#This Row],[Team]],Dyno_Data[Match],TBA_Matches_All[[#This Row],[Match_Number]],Dyno_Data[RecordType],"EndMatch")</f>
        <v>51.3329928</v>
      </c>
      <c r="CB124">
        <f>SUMIFS(Dyno_Data[ClimbT], Dyno_Data[Team],TBA_Matches_All[[#This Row],[Team]],Dyno_Data[Match],TBA_Matches_All[[#This Row],[Match_Number]],Dyno_Data[RecordType],"EndMatch")</f>
        <v>5.7049577999999999</v>
      </c>
      <c r="CC124" t="str">
        <f>_xlfn.XLOOKUP(SUM(MID(TBA_Matches_All[[#This Row],[Team]],4,5),(TBA_Matches_All[[#This Row],[Match_Number]]/100)),Dyno_EndMatch[teammat],Dyno_EndMatch[StageStat],"_",0,1)</f>
        <v>On</v>
      </c>
      <c r="CD124" t="str">
        <f>_xlfn.XLOOKUP(TBA_Matches_All[[#This Row],[teammat]],Dyno_EndMatch[teammat],Dyno_EndMatch[StageAtt],"_",0,1)</f>
        <v>1</v>
      </c>
      <c r="CE124" t="str">
        <f>_xlfn.XLOOKUP(TBA_Matches_All[[#This Row],[teammat]],Dyno_EndMatch[teammat],Dyno_EndMatch[StageLoc],"_",0,1)</f>
        <v>L</v>
      </c>
      <c r="CF124">
        <f>SUMIFS(Dyno_Data[Harmony], Dyno_Data[Team],TBA_Matches_All[[#This Row],[Team]],Dyno_Data[Match],TBA_Matches_All[[#This Row],[Match_Number]],Dyno_Data[RecordType],"EndMatch", Dyno_Data[StageStat],"On",Dyno_Data[Harmony],"&lt;&gt;9")</f>
        <v>0</v>
      </c>
      <c r="CG124">
        <f>SUMIFS(Dyno_Data[Spotlit], Dyno_Data[Team],TBA_Matches_All[[#This Row],[Team]],Dyno_Data[Match],TBA_Matches_All[[#This Row],[Match_Number]],Dyno_Data[RecordType],"EndMatch", Dyno_Data[StageStat],"On",Dyno_Data[Spotlit],"&lt;&gt;9")</f>
        <v>0</v>
      </c>
      <c r="CH124" t="str">
        <f>_xlfn.XLOOKUP(TBA_Matches_All[[#This Row],[teammat]],Dyno_EndMatch[teammat],Dyno_EndMatch[Strategy],"_",0,1)</f>
        <v>Hybrid</v>
      </c>
      <c r="CI124">
        <f>SUMIFS(Dyno_Data[Defense], Dyno_Data[Team],TBA_Matches_All[[#This Row],[Team]],Dyno_Data[Match],TBA_Matches_All[[#This Row],[Match_Number]],Dyno_Data[RecordType],"EndMatch",Dyno_Data[Defense],"&lt;&gt;9")</f>
        <v>0</v>
      </c>
      <c r="CJ124">
        <f>SUMIFS(Dyno_Data[Avoidance], Dyno_Data[Team],TBA_Matches_All[[#This Row],[Team]],Dyno_Data[Match],TBA_Matches_All[[#This Row],[Match_Number]],Dyno_Data[RecordType],"EndMatch",Dyno_Data[Avoidance],"&lt;&gt;9")</f>
        <v>0</v>
      </c>
      <c r="CK124" s="82">
        <f>COUNTIF($H$2:TBA_Matches_All[[#This Row],[Team]],TBA_Matches_All[[#This Row],[Team]])</f>
        <v>3</v>
      </c>
      <c r="CL124" s="111">
        <f>SUM(MID(TBA_Matches_All[[#This Row],[Team]],4,5)+TBA_Matches_All[[#This Row],[Match_Number]]/100)</f>
        <v>3044.21</v>
      </c>
      <c r="CM124">
        <f>SUM((TBA_Matches_All[[#This Row],[Leave]]*2)+(TBA_Matches_All[[#This Row],[AampT]]*2)+(TBA_Matches_All[[#This Row],[AspkrT]]*5)+(TBA_Matches_All[[#This Row],[AtrapT]]*5))</f>
        <v>2</v>
      </c>
      <c r="CN124" s="59">
        <f>IFERROR(SUM(TBA_Matches_All[[#This Row],[AptsT]]/TBA_Matches_All[[#This Row],[AutoPts]]),0)</f>
        <v>0.14285714285714285</v>
      </c>
      <c r="CO124" s="59">
        <f>IFERROR(SUM(TBA_Matches_All[[#This Row],[AampT]]+TBA_Matches_All[[#This Row],[AspkrT]]+TBA_Matches_All[[#This Row],[AtrapT]]/TBA_Matches_All[[#This Row],[Aamp]]+TBA_Matches_All[[#This Row],[Aspkr]]+TBA_Matches_All[[#This Row],[AtrapT]]),0)</f>
        <v>0</v>
      </c>
      <c r="CP124" s="59">
        <f>IFERROR(SUM(TBA_Matches_All[[#This Row],[TampT]]/TBA_Matches_All[[#This Row],[Tamp]]),0)</f>
        <v>0</v>
      </c>
      <c r="CQ124" s="59">
        <f>IFERROR(SUM(TBA_Matches_All[[#This Row],[TspkrT]]/TBA_Matches_All[[#This Row],[Tspkr]]),0)</f>
        <v>0.42857142857142855</v>
      </c>
      <c r="CR124">
        <f>SUM(TBA_Matches_All[[#This Row],[TspkrPts]]*TBA_Matches_All[[#This Row],[TspkrP]])</f>
        <v>15.857142857142856</v>
      </c>
      <c r="CS124" s="59">
        <f>IFERROR(SUM(TBA_Matches_All[[#This Row],[TtrapT]]/TBA_Matches_All[[#This Row],[Trap]]),0)</f>
        <v>0</v>
      </c>
      <c r="CT124" s="59">
        <f>IFERROR(SUM(TBA_Matches_All[[#This Row],[TotNotesT]]/TBA_Matches_All[[#This Row],[TotNotes]]),0)</f>
        <v>0.2608695652173913</v>
      </c>
      <c r="CU124" s="66">
        <f>SUM((TBA_Matches_All[[#This Row],[AampT]]*2)+(TBA_Matches_All[[#This Row],[AspkrT]]*5)+(TBA_Matches_All[[#This Row],[AtrapT]]*5)+(TBA_Matches_All[[#This Row],[TampT]]*1)+(TBA_Matches_All[[#This Row],[TspkrptsC]]))</f>
        <v>15.857142857142856</v>
      </c>
      <c r="CV124" s="59">
        <f>IFERROR(TBA_Matches_All[[#This Row],[noteptsT]]/TBA_Matches_All[[#This Row],[NotePts]],0)</f>
        <v>0.29365079365079361</v>
      </c>
      <c r="CW124">
        <f>SUM(IF(TBA_Matches_All[[#This Row],[stageStat]]="On",3,0),IF(TBA_Matches_All[[#This Row],[stageStat]]="Park",1,0),SUMIFS(TBA_Matches_All[[#This Row],[Spotlit]],TBA_Matches_All[[#This Row],[stageStat]],"On"),SUMIFS(TBA_Matches_All[[#This Row],[Harmony]],TBA_Matches_All[[#This Row],[stageStat]],"On"))</f>
        <v>3</v>
      </c>
      <c r="CX124" s="59">
        <f>IFERROR(TBA_Matches_All[[#This Row],[stageptsT]]/TBA_Matches_All[[#This Row],[StagePts]],0)</f>
        <v>0.42857142857142855</v>
      </c>
      <c r="CY124">
        <f>SUM((TBA_Matches_All[[#This Row],[AptsT]]+TBA_Matches_All[[#This Row],[TampT]]+TBA_Matches_All[[#This Row],[TspkrptsC]]+(TBA_Matches_All[[#This Row],[TtrapT]]*5)+TBA_Matches_All[[#This Row],[stageptsT]]))</f>
        <v>20.857142857142854</v>
      </c>
      <c r="CZ124" s="59">
        <f>IFERROR(SUM(TBA_Matches_All[[#This Row],[TotptsC]]/TBA_Matches_All[[#This Row],[Score]]),0)</f>
        <v>0.32087912087912085</v>
      </c>
      <c r="DA12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12.6</v>
      </c>
      <c r="DB124" s="74">
        <f>SUMIFS(TBA_Matches_All[AveTeamTNoteDels],TBA_Matches_All[Match_Number],TBA_Matches_All[[#This Row],[Match_Number]],TBA_Matches_All[Alliance],"&lt;&gt;"&amp;TBA_Matches_All[[#This Row],[Alliance]],TBA_Matches_All[Scouted],"&gt;0")</f>
        <v>21.243749999999999</v>
      </c>
      <c r="DC124" s="74">
        <f>(TBA_Matches_All[[#This Row],[TampT]]+TBA_Matches_All[[#This Row],[TspkrptsC]])-TBA_Matches_All[[#This Row],[AveTeamTNoteDels]]</f>
        <v>3.2571428571428562</v>
      </c>
      <c r="DD124" s="74">
        <f>SUMIFS(TBA_Matches_All[AveTeamTNoteDels],TBA_Matches_All[Match_Number],TBA_Matches_All[[#This Row],[Match_Number]],TBA_Matches_All[Alliance],"&lt;&gt;"&amp;TBA_Matches_All[[#This Row],[Alliance]])-TBA_Matches_All[[#This Row],[AveOppTNoteDels]]</f>
        <v>0</v>
      </c>
    </row>
    <row r="125" spans="1:108" x14ac:dyDescent="0.3">
      <c r="A125" t="s">
        <v>1042</v>
      </c>
      <c r="B125" t="s">
        <v>489</v>
      </c>
      <c r="C125" t="s">
        <v>1330</v>
      </c>
      <c r="D125">
        <v>21</v>
      </c>
      <c r="E125" t="s">
        <v>1420</v>
      </c>
      <c r="F125" t="s">
        <v>1421</v>
      </c>
      <c r="G125" t="s">
        <v>164</v>
      </c>
      <c r="H125" t="s">
        <v>1311</v>
      </c>
      <c r="I125" t="b">
        <v>0</v>
      </c>
      <c r="J125">
        <v>47</v>
      </c>
      <c r="K125">
        <v>0</v>
      </c>
      <c r="L125">
        <v>0</v>
      </c>
      <c r="M125">
        <v>0</v>
      </c>
      <c r="N125">
        <v>0</v>
      </c>
      <c r="O125">
        <v>3</v>
      </c>
      <c r="P125">
        <v>15</v>
      </c>
      <c r="Q125">
        <v>21</v>
      </c>
      <c r="R125">
        <v>2</v>
      </c>
      <c r="S125">
        <v>1</v>
      </c>
      <c r="T125">
        <v>7</v>
      </c>
      <c r="U125">
        <v>5</v>
      </c>
      <c r="V125">
        <v>14</v>
      </c>
      <c r="W125">
        <v>8</v>
      </c>
      <c r="X125">
        <v>19</v>
      </c>
      <c r="Y125">
        <v>21</v>
      </c>
      <c r="Z125">
        <v>0</v>
      </c>
      <c r="AA125">
        <v>0</v>
      </c>
      <c r="AB125">
        <v>13</v>
      </c>
      <c r="AC125">
        <v>36</v>
      </c>
      <c r="AD125">
        <v>5</v>
      </c>
      <c r="AE125">
        <f>IFERROR(6/(COUNTIF(Dyno_EndMatch[Match],TBA_Matches_All[[#This Row],[Match_Number]])),0)</f>
        <v>1</v>
      </c>
      <c r="AF125">
        <f>COUNTIFS(Dyno_Data[Team],TBA_Matches_All[[#This Row],[Team]],Dyno_Data[Match],TBA_Matches_All[[#This Row],[Match_Number]],Dyno_Data[RecordType],"EndMatch",Dyno_Data[HPAmp],"Y")</f>
        <v>0</v>
      </c>
      <c r="AG125">
        <f>SUMIFS(Dyno_Data[Mics], Dyno_Data[Team],TBA_Matches_All[[#This Row],[Team]],Dyno_Data[Match],TBA_Matches_All[[#This Row],[Match_Number]],Dyno_Data[RecordType],"EndMatch",Dyno_Data[HPAmp],"Y")</f>
        <v>0</v>
      </c>
      <c r="AH125">
        <f>SUMIFS(Dyno_Data[Leave], Dyno_Data[Team],TBA_Matches_All[[#This Row],[Team]],Dyno_Data[Match],TBA_Matches_All[[#This Row],[Match_Number]],Dyno_Data[RecordType],"EndAuto")</f>
        <v>1</v>
      </c>
      <c r="AI125">
        <f>COUNTIFS(Dyno_Data[Team],TBA_Matches_All[[#This Row],[Team]],Dyno_Data[Match],TBA_Matches_All[[#This Row],[Match_Number]],Dyno_Data[RecordType],"Activities",Dyno_Data[DelDest],"Amp", Dyno_Data[DelMiss],"0", Dyno_Data[Mode],"Auto")</f>
        <v>0</v>
      </c>
      <c r="AJ125">
        <f>COUNTIFS(Dyno_Data[Team],TBA_Matches_All[[#This Row],[Team]],Dyno_Data[Match],TBA_Matches_All[[#This Row],[Match_Number]],Dyno_Data[RecordType],"Activities",Dyno_Data[DelDest],"Spkr", Dyno_Data[DelMiss],"0", Dyno_Data[Mode],"Auto")</f>
        <v>0</v>
      </c>
      <c r="AK125">
        <f>COUNTIFS(Dyno_Data[Team],TBA_Matches_All[[#This Row],[Team]],Dyno_Data[Match],TBA_Matches_All[[#This Row],[Match_Number]],Dyno_Data[RecordType],"Activities",Dyno_Data[DelDest],"Trap", Dyno_Data[DelMiss],"0", Dyno_Data[Mode],"Auto")</f>
        <v>0</v>
      </c>
      <c r="AL125">
        <f>COUNTIFS(Dyno_Data[Team],TBA_Matches_All[[#This Row],[Team]],Dyno_Data[Match],TBA_Matches_All[[#This Row],[Match_Number]],Dyno_Data[RecordType],"Activities",Dyno_Data[DelDest],"Amp", Dyno_Data[DelMiss],"0", Dyno_Data[Mode],"Teleop")</f>
        <v>0</v>
      </c>
      <c r="AM125">
        <f>COUNTIFS(Dyno_Data[Team],TBA_Matches_All[[#This Row],[Team]],Dyno_Data[Match],TBA_Matches_All[[#This Row],[Match_Number]],Dyno_Data[RecordType],"Activities",Dyno_Data[DelDest],"Spkr", Dyno_Data[DelMiss],"0", Dyno_Data[Mode],"Teleop")</f>
        <v>0</v>
      </c>
      <c r="AN125">
        <f>COUNTIFS(Dyno_Data[Team],TBA_Matches_All[[#This Row],[Team]],Dyno_Data[Match],TBA_Matches_All[[#This Row],[Match_Number]],Dyno_Data[RecordType],"Activities",Dyno_Data[DelDest],"Trap", Dyno_Data[DelMiss],"0", Dyno_Data[Mode],"&lt;&gt;Auto")</f>
        <v>0</v>
      </c>
      <c r="AO125">
        <f>SUM(TBA_Matches_All[[#This Row],[AampT]]+TBA_Matches_All[[#This Row],[AspkrT]]+TBA_Matches_All[[#This Row],[AtrapT]]+TBA_Matches_All[[#This Row],[TampT]]+TBA_Matches_All[[#This Row],[TspkrT]]+TBA_Matches_All[[#This Row],[TtrapT]])</f>
        <v>0</v>
      </c>
      <c r="AP125">
        <f>COUNTIFS(Dyno_Data[Team],TBA_Matches_All[[#This Row],[Team]],Dyno_Data[Match],TBA_Matches_All[[#This Row],[Match_Number]],Dyno_Data[RecordType],"Activities",Dyno_Data[DelDest],"Neut", Dyno_Data[DelMiss],"0")</f>
        <v>0</v>
      </c>
      <c r="AQ125">
        <f>COUNTIFS(Dyno_Data[Team],TBA_Matches_All[[#This Row],[Team]],Dyno_Data[Match],TBA_Matches_All[[#This Row],[Match_Number]],Dyno_Data[RecordType],"Activities",Dyno_Data[DelDest],"AllyW", Dyno_Data[DelMiss],"0")</f>
        <v>0</v>
      </c>
      <c r="AR125" t="str">
        <f>_xlfn.XLOOKUP(SUM(MID(TBA_Matches_All[[#This Row],[Team]],4,5),(TBA_Matches_All[[#This Row],[Match_Number]]/100)),Dyno_EndMatch[teammat],Dyno_EndMatch[RobotSta],"_",0,1)</f>
        <v>OppS</v>
      </c>
      <c r="AS125">
        <f>SUMIFS(Dyno_Data[AcqDis], Dyno_Data[Team],TBA_Matches_All[[#This Row],[Team]],Dyno_Data[Match],TBA_Matches_All[[#This Row],[Match_Number]],Dyno_Data[RecordType],"Activities", Dyno_Data[AcqCenter],1,Dyno_Data[Mode],"Auto")</f>
        <v>0</v>
      </c>
      <c r="AT125">
        <f>SUMIFS(Dyno_Data[AcqDis], Dyno_Data[Team],TBA_Matches_All[[#This Row],[Team]],Dyno_Data[Match],TBA_Matches_All[[#This Row],[Match_Number]],Dyno_Data[RecordType],"Activities", Dyno_Data[AcqCenter],2,Dyno_Data[Mode],"Auto")</f>
        <v>0</v>
      </c>
      <c r="AU125">
        <f>SUMIFS(Dyno_Data[AcqDis], Dyno_Data[Team],TBA_Matches_All[[#This Row],[Team]],Dyno_Data[Match],TBA_Matches_All[[#This Row],[Match_Number]],Dyno_Data[RecordType],"Activities", Dyno_Data[AcqCenter],3,Dyno_Data[Mode],"Auto")</f>
        <v>0</v>
      </c>
      <c r="AV125">
        <f>SUMIFS(Dyno_Data[AcqDis], Dyno_Data[Team],TBA_Matches_All[[#This Row],[Team]],Dyno_Data[Match],TBA_Matches_All[[#This Row],[Match_Number]],Dyno_Data[RecordType],"Activities", Dyno_Data[AcqCenter],4,Dyno_Data[Mode],"Auto")</f>
        <v>0</v>
      </c>
      <c r="AW125">
        <f>SUMIFS(Dyno_Data[AcqDis], Dyno_Data[Team],TBA_Matches_All[[#This Row],[Team]],Dyno_Data[Match],TBA_Matches_All[[#This Row],[Match_Number]],Dyno_Data[RecordType],"Activities", Dyno_Data[AcqCenter],5,Dyno_Data[Mode],"Auto")</f>
        <v>0</v>
      </c>
      <c r="AX125">
        <f>SUMIFS(Dyno_Data[DelMiss], Dyno_Data[Team],TBA_Matches_All[[#This Row],[Team]],Dyno_Data[Match],TBA_Matches_All[[#This Row],[Match_Number]],Dyno_Data[RecordType],"Activities", Dyno_Data[DelDest],"Amp")</f>
        <v>0</v>
      </c>
      <c r="AY125" s="60">
        <f>IFERROR(SUM((TBA_Matches_All[[#This Row],[AampT]]+TBA_Matches_All[[#This Row],[TampT]])/(TBA_Matches_All[[#This Row],[AampT]]+TBA_Matches_All[[#This Row],[TampT]]+TBA_Matches_All[[#This Row],[ampM]])),0)</f>
        <v>0</v>
      </c>
      <c r="AZ125">
        <f>SUMIFS(Dyno_Data[DelMiss], Dyno_Data[Team],TBA_Matches_All[[#This Row],[Team]],Dyno_Data[Match],TBA_Matches_All[[#This Row],[Match_Number]],Dyno_Data[RecordType],"Activities", Dyno_Data[DelDest],"Spkr")</f>
        <v>0</v>
      </c>
      <c r="BA125" s="60">
        <f>IFERROR(SUM((TBA_Matches_All[[#This Row],[AspkrT]]+TBA_Matches_All[[#This Row],[TspkrT]])/(TBA_Matches_All[[#This Row],[AspkrT]]+TBA_Matches_All[[#This Row],[TspkrT]]+TBA_Matches_All[[#This Row],[spkrM]])),0)</f>
        <v>0</v>
      </c>
      <c r="BB125">
        <f>SUMIFS(Dyno_Data[DelMiss], Dyno_Data[Team],TBA_Matches_All[[#This Row],[Team]],Dyno_Data[Match],TBA_Matches_All[[#This Row],[Match_Number]],Dyno_Data[RecordType],"Activities", Dyno_Data[DelDest],"Trap")</f>
        <v>0</v>
      </c>
      <c r="BC125" s="60">
        <f>IFERROR((TBA_Matches_All[[#This Row],[AtrapT]]+TBA_Matches_All[[#This Row],[TtrapT]])/(TBA_Matches_All[[#This Row],[AtrapT]]+TBA_Matches_All[[#This Row],[TtrapT]]+TBA_Matches_All[[#This Row],[trapM]]),0)</f>
        <v>0</v>
      </c>
      <c r="BD125">
        <f>COUNTIFS(Dyno_Data[Team],TBA_Matches_All[[#This Row],[Team]],Dyno_Data[Match],TBA_Matches_All[[#This Row],[Match_Number]],Dyno_Data[RecordType],"Activities",Dyno_Data[DelDest],"Neut", Dyno_Data[DelMiss],1)</f>
        <v>0</v>
      </c>
      <c r="BE125" s="60">
        <f>IFERROR(SUM((TBA_Matches_All[[#This Row],[NeutFlrT]])/(TBA_Matches_All[[#This Row],[NeutFlrT]]+TBA_Matches_All[[#This Row],[NZflM]])),0)</f>
        <v>0</v>
      </c>
      <c r="BF125">
        <f>COUNTIFS(Dyno_Data[Team],TBA_Matches_All[[#This Row],[Team]],Dyno_Data[Match],TBA_Matches_All[[#This Row],[Match_Number]],Dyno_Data[RecordType],"Activities",Dyno_Data[DelDest],"AllyW", Dyno_Data[DelMiss],1)</f>
        <v>0</v>
      </c>
      <c r="BG125" s="60">
        <f>IFERROR(SUM((TBA_Matches_All[[#This Row],[AllyWFlrT]])/(TBA_Matches_All[[#This Row],[AllyWFlrT]]+TBA_Matches_All[[#This Row],[AZflM]])),0)</f>
        <v>0</v>
      </c>
      <c r="BH125">
        <f>COUNTIFS(Dyno_Data[Team],TBA_Matches_All[[#This Row],[Team]],Dyno_Data[Match],TBA_Matches_All[[#This Row],[Match_Number]],Dyno_Data[RecordType],"Activities",Dyno_Data[DelOrig],"OppW", Dyno_Data[DelMiss],"0")</f>
        <v>0</v>
      </c>
      <c r="BI125">
        <f>COUNTIFS(Dyno_Data[Team],TBA_Matches_All[[#This Row],[Team]],Dyno_Data[Match],TBA_Matches_All[[#This Row],[Match_Number]],Dyno_Data[RecordType],"Activities",Dyno_Data[DelOrig],"OppW", Dyno_Data[DelMiss],"1")</f>
        <v>0</v>
      </c>
      <c r="BJ125" s="60">
        <f>IFERROR(SUM((TBA_Matches_All[[#This Row],[OZflrT]])/(TBA_Matches_All[[#This Row],[OZflrT]]+TBA_Matches_All[[#This Row],[OZflrM]])),0)</f>
        <v>0</v>
      </c>
      <c r="BK125">
        <f>COUNTIFS(Dyno_Data[Team],TBA_Matches_All[[#This Row],[Team]],Dyno_Data[Match],TBA_Matches_All[[#This Row],[Match_Number]],Dyno_Data[RecordType],"Activities",Dyno_Data[DelOrig],"Neut", Dyno_Data[DelMiss],"0")</f>
        <v>0</v>
      </c>
      <c r="BL125">
        <f>COUNTIFS(Dyno_Data[Team],TBA_Matches_All[[#This Row],[Team]],Dyno_Data[Match],TBA_Matches_All[[#This Row],[Match_Number]],Dyno_Data[RecordType],"Activities",Dyno_Data[DelOrig],"Neut", Dyno_Data[DelMiss],"1")</f>
        <v>0</v>
      </c>
      <c r="BM125" s="60">
        <f>IFERROR(SUM((TBA_Matches_All[[#This Row],[NZflrT]])/(TBA_Matches_All[[#This Row],[NZflrT]]+TBA_Matches_All[[#This Row],[NZflrM]])),0)</f>
        <v>0</v>
      </c>
      <c r="BN125">
        <f>COUNTIFS(Dyno_Data[Team],TBA_Matches_All[[#This Row],[Team]],Dyno_Data[Match],TBA_Matches_All[[#This Row],[Match_Number]],Dyno_Data[RecordType],"Activities",Dyno_Data[DelOrig],"AllyW", Dyno_Data[DelMiss],"0")</f>
        <v>0</v>
      </c>
      <c r="BO125">
        <f>COUNTIFS(Dyno_Data[Team],TBA_Matches_All[[#This Row],[Team]],Dyno_Data[Match],TBA_Matches_All[[#This Row],[Match_Number]],Dyno_Data[RecordType],"Activities",Dyno_Data[DelOrig],"AllyW", Dyno_Data[DelMiss],"1")</f>
        <v>0</v>
      </c>
      <c r="BP125" s="60">
        <f>IFERROR(SUM((TBA_Matches_All[[#This Row],[AZflrT]])/(TBA_Matches_All[[#This Row],[AZflrT]]+TBA_Matches_All[[#This Row],[AZflrM]])),0)</f>
        <v>0</v>
      </c>
      <c r="BQ125">
        <f>COUNTIFS(Dyno_Data[Team],TBA_Matches_All[[#This Row],[Team]],Dyno_Data[Match],TBA_Matches_All[[#This Row],[Match_Number]],Dyno_Data[RecordType],"Activities",Dyno_Data[DelOrig],"SubW", Dyno_Data[DelMiss],"0")</f>
        <v>0</v>
      </c>
      <c r="BR125">
        <f>COUNTIFS(Dyno_Data[Team],TBA_Matches_All[[#This Row],[Team]],Dyno_Data[Match],TBA_Matches_All[[#This Row],[Match_Number]],Dyno_Data[RecordType],"Activities",Dyno_Data[DelOrig],"SubW", Dyno_Data[DelMiss],"1")</f>
        <v>0</v>
      </c>
      <c r="BS125" s="60">
        <f>IFERROR(SUM((TBA_Matches_All[[#This Row],[SubwT]])/(TBA_Matches_All[[#This Row],[SubwT]]+TBA_Matches_All[[#This Row],[SubwM]])),0)</f>
        <v>0</v>
      </c>
      <c r="BT125">
        <f>COUNTIFS(Dyno_Data[Team],TBA_Matches_All[[#This Row],[Team]],Dyno_Data[Match],TBA_Matches_All[[#This Row],[Match_Number]],Dyno_Data[RecordType],"Activities", Dyno_Data[AcqLoc],"OppWing")</f>
        <v>0</v>
      </c>
      <c r="BU125">
        <f>COUNTIFS(Dyno_Data[Team],TBA_Matches_All[[#This Row],[Team]],Dyno_Data[Match],TBA_Matches_All[[#This Row],[Match_Number]],Dyno_Data[RecordType],"Activities", Dyno_Data[AcqLoc],"Neutral")</f>
        <v>0</v>
      </c>
      <c r="BV125">
        <f>COUNTIFS(Dyno_Data[Team],TBA_Matches_All[[#This Row],[Team]],Dyno_Data[Match],TBA_Matches_All[[#This Row],[Match_Number]],Dyno_Data[RecordType],"Activities", Dyno_Data[AcqLoc],"AllyWing")</f>
        <v>0</v>
      </c>
      <c r="BW125">
        <f>COUNTIFS(Dyno_Data[Team],TBA_Matches_All[[#This Row],[Team]],Dyno_Data[Match],TBA_Matches_All[[#This Row],[Match_Number]],Dyno_Data[RecordType],"Activities", Dyno_Data[AcqLoc],"Source")</f>
        <v>0</v>
      </c>
      <c r="BX125">
        <f>SUMIFS(Dyno_Data[AcqDrp], Dyno_Data[Team],TBA_Matches_All[[#This Row],[Team]],Dyno_Data[Match],TBA_Matches_All[[#This Row],[Match_Number]],Dyno_Data[RecordType],"Activities", Dyno_Data[AcqLoc],"Source")</f>
        <v>0</v>
      </c>
      <c r="BY125">
        <f>SUMIFS(Dyno_Data[OZTime], Dyno_Data[Team],TBA_Matches_All[[#This Row],[Team]],Dyno_Data[Match],TBA_Matches_All[[#This Row],[Match_Number]],Dyno_Data[RecordType],"EndMatch")</f>
        <v>0</v>
      </c>
      <c r="BZ125">
        <f>SUMIFS(Dyno_Data[NZTime], Dyno_Data[Team],TBA_Matches_All[[#This Row],[Team]],Dyno_Data[Match],TBA_Matches_All[[#This Row],[Match_Number]],Dyno_Data[RecordType],"EndMatch")</f>
        <v>63.739171299999995</v>
      </c>
      <c r="CA125">
        <f>SUMIFS(Dyno_Data[AZTime], Dyno_Data[Team],TBA_Matches_All[[#This Row],[Team]],Dyno_Data[Match],TBA_Matches_All[[#This Row],[Match_Number]],Dyno_Data[RecordType],"EndMatch")</f>
        <v>61.605508999999998</v>
      </c>
      <c r="CB125">
        <f>SUMIFS(Dyno_Data[ClimbT], Dyno_Data[Team],TBA_Matches_All[[#This Row],[Team]],Dyno_Data[Match],TBA_Matches_All[[#This Row],[Match_Number]],Dyno_Data[RecordType],"EndMatch")</f>
        <v>10.263038699999999</v>
      </c>
      <c r="CC125" t="str">
        <f>_xlfn.XLOOKUP(SUM(MID(TBA_Matches_All[[#This Row],[Team]],4,5),(TBA_Matches_All[[#This Row],[Match_Number]]/100)),Dyno_EndMatch[teammat],Dyno_EndMatch[StageStat],"_",0,1)</f>
        <v>Park</v>
      </c>
      <c r="CD125" t="str">
        <f>_xlfn.XLOOKUP(TBA_Matches_All[[#This Row],[teammat]],Dyno_EndMatch[teammat],Dyno_EndMatch[StageAtt],"_",0,1)</f>
        <v>-1</v>
      </c>
      <c r="CE125" t="str">
        <f>_xlfn.XLOOKUP(TBA_Matches_All[[#This Row],[teammat]],Dyno_EndMatch[teammat],Dyno_EndMatch[StageLoc],"_",0,1)</f>
        <v>A</v>
      </c>
      <c r="CF125">
        <f>SUMIFS(Dyno_Data[Harmony], Dyno_Data[Team],TBA_Matches_All[[#This Row],[Team]],Dyno_Data[Match],TBA_Matches_All[[#This Row],[Match_Number]],Dyno_Data[RecordType],"EndMatch", Dyno_Data[StageStat],"On",Dyno_Data[Harmony],"&lt;&gt;9")</f>
        <v>0</v>
      </c>
      <c r="CG125">
        <f>SUMIFS(Dyno_Data[Spotlit], Dyno_Data[Team],TBA_Matches_All[[#This Row],[Team]],Dyno_Data[Match],TBA_Matches_All[[#This Row],[Match_Number]],Dyno_Data[RecordType],"EndMatch", Dyno_Data[StageStat],"On",Dyno_Data[Spotlit],"&lt;&gt;9")</f>
        <v>0</v>
      </c>
      <c r="CH125" t="str">
        <f>_xlfn.XLOOKUP(TBA_Matches_All[[#This Row],[teammat]],Dyno_EndMatch[teammat],Dyno_EndMatch[Strategy],"_",0,1)</f>
        <v>Defense</v>
      </c>
      <c r="CI125">
        <f>SUMIFS(Dyno_Data[Defense], Dyno_Data[Team],TBA_Matches_All[[#This Row],[Team]],Dyno_Data[Match],TBA_Matches_All[[#This Row],[Match_Number]],Dyno_Data[RecordType],"EndMatch",Dyno_Data[Defense],"&lt;&gt;9")</f>
        <v>3</v>
      </c>
      <c r="CJ125">
        <f>SUMIFS(Dyno_Data[Avoidance], Dyno_Data[Team],TBA_Matches_All[[#This Row],[Team]],Dyno_Data[Match],TBA_Matches_All[[#This Row],[Match_Number]],Dyno_Data[RecordType],"EndMatch",Dyno_Data[Avoidance],"&lt;&gt;9")</f>
        <v>0</v>
      </c>
      <c r="CK125" s="82">
        <f>COUNTIF($H$2:TBA_Matches_All[[#This Row],[Team]],TBA_Matches_All[[#This Row],[Team]])</f>
        <v>3</v>
      </c>
      <c r="CL125" s="111">
        <f>SUM(MID(TBA_Matches_All[[#This Row],[Team]],4,5)+TBA_Matches_All[[#This Row],[Match_Number]]/100)</f>
        <v>2234.21</v>
      </c>
      <c r="CM125">
        <f>SUM((TBA_Matches_All[[#This Row],[Leave]]*2)+(TBA_Matches_All[[#This Row],[AampT]]*2)+(TBA_Matches_All[[#This Row],[AspkrT]]*5)+(TBA_Matches_All[[#This Row],[AtrapT]]*5))</f>
        <v>2</v>
      </c>
      <c r="CN125" s="59">
        <f>IFERROR(SUM(TBA_Matches_All[[#This Row],[AptsT]]/TBA_Matches_All[[#This Row],[AutoPts]]),0)</f>
        <v>9.5238095238095233E-2</v>
      </c>
      <c r="CO125" s="59">
        <f>IFERROR(SUM(TBA_Matches_All[[#This Row],[AampT]]+TBA_Matches_All[[#This Row],[AspkrT]]+TBA_Matches_All[[#This Row],[AtrapT]]/TBA_Matches_All[[#This Row],[Aamp]]+TBA_Matches_All[[#This Row],[Aspkr]]+TBA_Matches_All[[#This Row],[AtrapT]]),0)</f>
        <v>0</v>
      </c>
      <c r="CP125" s="59">
        <f>IFERROR(SUM(TBA_Matches_All[[#This Row],[TampT]]/TBA_Matches_All[[#This Row],[Tamp]]),0)</f>
        <v>0</v>
      </c>
      <c r="CQ125" s="59">
        <f>IFERROR(SUM(TBA_Matches_All[[#This Row],[TspkrT]]/TBA_Matches_All[[#This Row],[Tspkr]]),0)</f>
        <v>0</v>
      </c>
      <c r="CR125">
        <f>SUM(TBA_Matches_All[[#This Row],[TspkrPts]]*TBA_Matches_All[[#This Row],[TspkrP]])</f>
        <v>0</v>
      </c>
      <c r="CS125" s="59">
        <f>IFERROR(SUM(TBA_Matches_All[[#This Row],[TtrapT]]/TBA_Matches_All[[#This Row],[Trap]]),0)</f>
        <v>0</v>
      </c>
      <c r="CT125" s="59">
        <f>IFERROR(SUM(TBA_Matches_All[[#This Row],[TotNotesT]]/TBA_Matches_All[[#This Row],[TotNotes]]),0)</f>
        <v>0</v>
      </c>
      <c r="CU125" s="66">
        <f>SUM((TBA_Matches_All[[#This Row],[AampT]]*2)+(TBA_Matches_All[[#This Row],[AspkrT]]*5)+(TBA_Matches_All[[#This Row],[AtrapT]]*5)+(TBA_Matches_All[[#This Row],[TampT]]*1)+(TBA_Matches_All[[#This Row],[TspkrptsC]]))</f>
        <v>0</v>
      </c>
      <c r="CV125" s="59">
        <f>IFERROR(TBA_Matches_All[[#This Row],[noteptsT]]/TBA_Matches_All[[#This Row],[NotePts]],0)</f>
        <v>0</v>
      </c>
      <c r="CW125">
        <f>SUM(IF(TBA_Matches_All[[#This Row],[stageStat]]="On",3,0),IF(TBA_Matches_All[[#This Row],[stageStat]]="Park",1,0),SUMIFS(TBA_Matches_All[[#This Row],[Spotlit]],TBA_Matches_All[[#This Row],[stageStat]],"On"),SUMIFS(TBA_Matches_All[[#This Row],[Harmony]],TBA_Matches_All[[#This Row],[stageStat]],"On"))</f>
        <v>1</v>
      </c>
      <c r="CX125" s="59">
        <f>IFERROR(TBA_Matches_All[[#This Row],[stageptsT]]/TBA_Matches_All[[#This Row],[StagePts]],0)</f>
        <v>0.2</v>
      </c>
      <c r="CY125">
        <f>SUM((TBA_Matches_All[[#This Row],[AptsT]]+TBA_Matches_All[[#This Row],[TampT]]+TBA_Matches_All[[#This Row],[TspkrptsC]]+(TBA_Matches_All[[#This Row],[TtrapT]]*5)+TBA_Matches_All[[#This Row],[stageptsT]]))</f>
        <v>3</v>
      </c>
      <c r="CZ125" s="59">
        <f>IFERROR(SUM(TBA_Matches_All[[#This Row],[TotptsC]]/TBA_Matches_All[[#This Row],[Score]]),0)</f>
        <v>6.3829787234042548E-2</v>
      </c>
      <c r="DA12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1.4</v>
      </c>
      <c r="DB125" s="74">
        <f>SUMIFS(TBA_Matches_All[AveTeamTNoteDels],TBA_Matches_All[Match_Number],TBA_Matches_All[[#This Row],[Match_Number]],TBA_Matches_All[Alliance],"&lt;&gt;"&amp;TBA_Matches_All[[#This Row],[Alliance]],TBA_Matches_All[Scouted],"&gt;0")</f>
        <v>44.060769230769232</v>
      </c>
      <c r="DC125" s="74">
        <f>(TBA_Matches_All[[#This Row],[TampT]]+TBA_Matches_All[[#This Row],[TspkrptsC]])-TBA_Matches_All[[#This Row],[AveTeamTNoteDels]]</f>
        <v>-1.4</v>
      </c>
      <c r="DD125" s="74">
        <f>SUMIFS(TBA_Matches_All[AveTeamTNoteDels],TBA_Matches_All[Match_Number],TBA_Matches_All[[#This Row],[Match_Number]],TBA_Matches_All[Alliance],"&lt;&gt;"&amp;TBA_Matches_All[[#This Row],[Alliance]])-TBA_Matches_All[[#This Row],[AveOppTNoteDels]]</f>
        <v>0</v>
      </c>
    </row>
    <row r="126" spans="1:108" x14ac:dyDescent="0.3">
      <c r="A126" t="s">
        <v>1042</v>
      </c>
      <c r="B126" t="s">
        <v>489</v>
      </c>
      <c r="C126" t="s">
        <v>1330</v>
      </c>
      <c r="D126">
        <v>21</v>
      </c>
      <c r="E126" t="s">
        <v>1406</v>
      </c>
      <c r="F126" t="s">
        <v>1422</v>
      </c>
      <c r="G126" t="s">
        <v>105</v>
      </c>
      <c r="H126" t="s">
        <v>1318</v>
      </c>
      <c r="I126" t="b">
        <v>0</v>
      </c>
      <c r="J126">
        <v>65</v>
      </c>
      <c r="K126">
        <v>1</v>
      </c>
      <c r="L126">
        <v>0</v>
      </c>
      <c r="M126">
        <v>0</v>
      </c>
      <c r="N126">
        <v>0</v>
      </c>
      <c r="O126">
        <v>2</v>
      </c>
      <c r="P126">
        <v>10</v>
      </c>
      <c r="Q126">
        <v>14</v>
      </c>
      <c r="R126">
        <v>7</v>
      </c>
      <c r="S126">
        <v>3</v>
      </c>
      <c r="T126">
        <v>11</v>
      </c>
      <c r="U126">
        <v>15</v>
      </c>
      <c r="V126">
        <v>22</v>
      </c>
      <c r="W126">
        <v>14</v>
      </c>
      <c r="X126">
        <v>37</v>
      </c>
      <c r="Y126">
        <v>44</v>
      </c>
      <c r="Z126">
        <v>0</v>
      </c>
      <c r="AA126">
        <v>0</v>
      </c>
      <c r="AB126">
        <v>23</v>
      </c>
      <c r="AC126">
        <v>54</v>
      </c>
      <c r="AD126">
        <v>7</v>
      </c>
      <c r="AE126">
        <f>IFERROR(6/(COUNTIF(Dyno_EndMatch[Match],TBA_Matches_All[[#This Row],[Match_Number]])),0)</f>
        <v>1</v>
      </c>
      <c r="AF126">
        <f>COUNTIFS(Dyno_Data[Team],TBA_Matches_All[[#This Row],[Team]],Dyno_Data[Match],TBA_Matches_All[[#This Row],[Match_Number]],Dyno_Data[RecordType],"EndMatch",Dyno_Data[HPAmp],"Y")</f>
        <v>0</v>
      </c>
      <c r="AG126">
        <f>SUMIFS(Dyno_Data[Mics], Dyno_Data[Team],TBA_Matches_All[[#This Row],[Team]],Dyno_Data[Match],TBA_Matches_All[[#This Row],[Match_Number]],Dyno_Data[RecordType],"EndMatch",Dyno_Data[HPAmp],"Y")</f>
        <v>0</v>
      </c>
      <c r="AH126">
        <f>SUMIFS(Dyno_Data[Leave], Dyno_Data[Team],TBA_Matches_All[[#This Row],[Team]],Dyno_Data[Match],TBA_Matches_All[[#This Row],[Match_Number]],Dyno_Data[RecordType],"EndAuto")</f>
        <v>0</v>
      </c>
      <c r="AI126">
        <f>COUNTIFS(Dyno_Data[Team],TBA_Matches_All[[#This Row],[Team]],Dyno_Data[Match],TBA_Matches_All[[#This Row],[Match_Number]],Dyno_Data[RecordType],"Activities",Dyno_Data[DelDest],"Amp", Dyno_Data[DelMiss],"0", Dyno_Data[Mode],"Auto")</f>
        <v>0</v>
      </c>
      <c r="AJ126">
        <f>COUNTIFS(Dyno_Data[Team],TBA_Matches_All[[#This Row],[Team]],Dyno_Data[Match],TBA_Matches_All[[#This Row],[Match_Number]],Dyno_Data[RecordType],"Activities",Dyno_Data[DelDest],"Spkr", Dyno_Data[DelMiss],"0", Dyno_Data[Mode],"Auto")</f>
        <v>1</v>
      </c>
      <c r="AK126">
        <f>COUNTIFS(Dyno_Data[Team],TBA_Matches_All[[#This Row],[Team]],Dyno_Data[Match],TBA_Matches_All[[#This Row],[Match_Number]],Dyno_Data[RecordType],"Activities",Dyno_Data[DelDest],"Trap", Dyno_Data[DelMiss],"0", Dyno_Data[Mode],"Auto")</f>
        <v>0</v>
      </c>
      <c r="AL126">
        <f>COUNTIFS(Dyno_Data[Team],TBA_Matches_All[[#This Row],[Team]],Dyno_Data[Match],TBA_Matches_All[[#This Row],[Match_Number]],Dyno_Data[RecordType],"Activities",Dyno_Data[DelDest],"Amp", Dyno_Data[DelMiss],"0", Dyno_Data[Mode],"Teleop")</f>
        <v>7</v>
      </c>
      <c r="AM126">
        <f>COUNTIFS(Dyno_Data[Team],TBA_Matches_All[[#This Row],[Team]],Dyno_Data[Match],TBA_Matches_All[[#This Row],[Match_Number]],Dyno_Data[RecordType],"Activities",Dyno_Data[DelDest],"Spkr", Dyno_Data[DelMiss],"0", Dyno_Data[Mode],"Teleop")</f>
        <v>0</v>
      </c>
      <c r="AN126">
        <f>COUNTIFS(Dyno_Data[Team],TBA_Matches_All[[#This Row],[Team]],Dyno_Data[Match],TBA_Matches_All[[#This Row],[Match_Number]],Dyno_Data[RecordType],"Activities",Dyno_Data[DelDest],"Trap", Dyno_Data[DelMiss],"0", Dyno_Data[Mode],"&lt;&gt;Auto")</f>
        <v>0</v>
      </c>
      <c r="AO126">
        <f>SUM(TBA_Matches_All[[#This Row],[AampT]]+TBA_Matches_All[[#This Row],[AspkrT]]+TBA_Matches_All[[#This Row],[AtrapT]]+TBA_Matches_All[[#This Row],[TampT]]+TBA_Matches_All[[#This Row],[TspkrT]]+TBA_Matches_All[[#This Row],[TtrapT]])</f>
        <v>8</v>
      </c>
      <c r="AP126">
        <f>COUNTIFS(Dyno_Data[Team],TBA_Matches_All[[#This Row],[Team]],Dyno_Data[Match],TBA_Matches_All[[#This Row],[Match_Number]],Dyno_Data[RecordType],"Activities",Dyno_Data[DelDest],"Neut", Dyno_Data[DelMiss],"0")</f>
        <v>0</v>
      </c>
      <c r="AQ126">
        <f>COUNTIFS(Dyno_Data[Team],TBA_Matches_All[[#This Row],[Team]],Dyno_Data[Match],TBA_Matches_All[[#This Row],[Match_Number]],Dyno_Data[RecordType],"Activities",Dyno_Data[DelDest],"AllyW", Dyno_Data[DelMiss],"0")</f>
        <v>0</v>
      </c>
      <c r="AR126" t="str">
        <f>_xlfn.XLOOKUP(SUM(MID(TBA_Matches_All[[#This Row],[Team]],4,5),(TBA_Matches_All[[#This Row],[Match_Number]]/100)),Dyno_EndMatch[teammat],Dyno_EndMatch[RobotSta],"_",0,1)</f>
        <v>Amp</v>
      </c>
      <c r="AS126">
        <f>SUMIFS(Dyno_Data[AcqDis], Dyno_Data[Team],TBA_Matches_All[[#This Row],[Team]],Dyno_Data[Match],TBA_Matches_All[[#This Row],[Match_Number]],Dyno_Data[RecordType],"Activities", Dyno_Data[AcqCenter],1,Dyno_Data[Mode],"Auto")</f>
        <v>0</v>
      </c>
      <c r="AT126">
        <f>SUMIFS(Dyno_Data[AcqDis], Dyno_Data[Team],TBA_Matches_All[[#This Row],[Team]],Dyno_Data[Match],TBA_Matches_All[[#This Row],[Match_Number]],Dyno_Data[RecordType],"Activities", Dyno_Data[AcqCenter],2,Dyno_Data[Mode],"Auto")</f>
        <v>0</v>
      </c>
      <c r="AU126">
        <f>SUMIFS(Dyno_Data[AcqDis], Dyno_Data[Team],TBA_Matches_All[[#This Row],[Team]],Dyno_Data[Match],TBA_Matches_All[[#This Row],[Match_Number]],Dyno_Data[RecordType],"Activities", Dyno_Data[AcqCenter],3,Dyno_Data[Mode],"Auto")</f>
        <v>0</v>
      </c>
      <c r="AV126">
        <f>SUMIFS(Dyno_Data[AcqDis], Dyno_Data[Team],TBA_Matches_All[[#This Row],[Team]],Dyno_Data[Match],TBA_Matches_All[[#This Row],[Match_Number]],Dyno_Data[RecordType],"Activities", Dyno_Data[AcqCenter],4,Dyno_Data[Mode],"Auto")</f>
        <v>0</v>
      </c>
      <c r="AW126">
        <f>SUMIFS(Dyno_Data[AcqDis], Dyno_Data[Team],TBA_Matches_All[[#This Row],[Team]],Dyno_Data[Match],TBA_Matches_All[[#This Row],[Match_Number]],Dyno_Data[RecordType],"Activities", Dyno_Data[AcqCenter],5,Dyno_Data[Mode],"Auto")</f>
        <v>0</v>
      </c>
      <c r="AX126">
        <f>SUMIFS(Dyno_Data[DelMiss], Dyno_Data[Team],TBA_Matches_All[[#This Row],[Team]],Dyno_Data[Match],TBA_Matches_All[[#This Row],[Match_Number]],Dyno_Data[RecordType],"Activities", Dyno_Data[DelDest],"Amp")</f>
        <v>0</v>
      </c>
      <c r="AY126" s="60">
        <f>IFERROR(SUM((TBA_Matches_All[[#This Row],[AampT]]+TBA_Matches_All[[#This Row],[TampT]])/(TBA_Matches_All[[#This Row],[AampT]]+TBA_Matches_All[[#This Row],[TampT]]+TBA_Matches_All[[#This Row],[ampM]])),0)</f>
        <v>1</v>
      </c>
      <c r="AZ126">
        <f>SUMIFS(Dyno_Data[DelMiss], Dyno_Data[Team],TBA_Matches_All[[#This Row],[Team]],Dyno_Data[Match],TBA_Matches_All[[#This Row],[Match_Number]],Dyno_Data[RecordType],"Activities", Dyno_Data[DelDest],"Spkr")</f>
        <v>0</v>
      </c>
      <c r="BA126" s="60">
        <f>IFERROR(SUM((TBA_Matches_All[[#This Row],[AspkrT]]+TBA_Matches_All[[#This Row],[TspkrT]])/(TBA_Matches_All[[#This Row],[AspkrT]]+TBA_Matches_All[[#This Row],[TspkrT]]+TBA_Matches_All[[#This Row],[spkrM]])),0)</f>
        <v>1</v>
      </c>
      <c r="BB126">
        <f>SUMIFS(Dyno_Data[DelMiss], Dyno_Data[Team],TBA_Matches_All[[#This Row],[Team]],Dyno_Data[Match],TBA_Matches_All[[#This Row],[Match_Number]],Dyno_Data[RecordType],"Activities", Dyno_Data[DelDest],"Trap")</f>
        <v>0</v>
      </c>
      <c r="BC126" s="60">
        <f>IFERROR((TBA_Matches_All[[#This Row],[AtrapT]]+TBA_Matches_All[[#This Row],[TtrapT]])/(TBA_Matches_All[[#This Row],[AtrapT]]+TBA_Matches_All[[#This Row],[TtrapT]]+TBA_Matches_All[[#This Row],[trapM]]),0)</f>
        <v>0</v>
      </c>
      <c r="BD126">
        <f>COUNTIFS(Dyno_Data[Team],TBA_Matches_All[[#This Row],[Team]],Dyno_Data[Match],TBA_Matches_All[[#This Row],[Match_Number]],Dyno_Data[RecordType],"Activities",Dyno_Data[DelDest],"Neut", Dyno_Data[DelMiss],1)</f>
        <v>0</v>
      </c>
      <c r="BE126" s="60">
        <f>IFERROR(SUM((TBA_Matches_All[[#This Row],[NeutFlrT]])/(TBA_Matches_All[[#This Row],[NeutFlrT]]+TBA_Matches_All[[#This Row],[NZflM]])),0)</f>
        <v>0</v>
      </c>
      <c r="BF126">
        <f>COUNTIFS(Dyno_Data[Team],TBA_Matches_All[[#This Row],[Team]],Dyno_Data[Match],TBA_Matches_All[[#This Row],[Match_Number]],Dyno_Data[RecordType],"Activities",Dyno_Data[DelDest],"AllyW", Dyno_Data[DelMiss],1)</f>
        <v>0</v>
      </c>
      <c r="BG126" s="60">
        <f>IFERROR(SUM((TBA_Matches_All[[#This Row],[AllyWFlrT]])/(TBA_Matches_All[[#This Row],[AllyWFlrT]]+TBA_Matches_All[[#This Row],[AZflM]])),0)</f>
        <v>0</v>
      </c>
      <c r="BH126">
        <f>COUNTIFS(Dyno_Data[Team],TBA_Matches_All[[#This Row],[Team]],Dyno_Data[Match],TBA_Matches_All[[#This Row],[Match_Number]],Dyno_Data[RecordType],"Activities",Dyno_Data[DelOrig],"OppW", Dyno_Data[DelMiss],"0")</f>
        <v>0</v>
      </c>
      <c r="BI126">
        <f>COUNTIFS(Dyno_Data[Team],TBA_Matches_All[[#This Row],[Team]],Dyno_Data[Match],TBA_Matches_All[[#This Row],[Match_Number]],Dyno_Data[RecordType],"Activities",Dyno_Data[DelOrig],"OppW", Dyno_Data[DelMiss],"1")</f>
        <v>0</v>
      </c>
      <c r="BJ126" s="60">
        <f>IFERROR(SUM((TBA_Matches_All[[#This Row],[OZflrT]])/(TBA_Matches_All[[#This Row],[OZflrT]]+TBA_Matches_All[[#This Row],[OZflrM]])),0)</f>
        <v>0</v>
      </c>
      <c r="BK126">
        <f>COUNTIFS(Dyno_Data[Team],TBA_Matches_All[[#This Row],[Team]],Dyno_Data[Match],TBA_Matches_All[[#This Row],[Match_Number]],Dyno_Data[RecordType],"Activities",Dyno_Data[DelOrig],"Neut", Dyno_Data[DelMiss],"0")</f>
        <v>0</v>
      </c>
      <c r="BL126">
        <f>COUNTIFS(Dyno_Data[Team],TBA_Matches_All[[#This Row],[Team]],Dyno_Data[Match],TBA_Matches_All[[#This Row],[Match_Number]],Dyno_Data[RecordType],"Activities",Dyno_Data[DelOrig],"Neut", Dyno_Data[DelMiss],"1")</f>
        <v>0</v>
      </c>
      <c r="BM126" s="60">
        <f>IFERROR(SUM((TBA_Matches_All[[#This Row],[NZflrT]])/(TBA_Matches_All[[#This Row],[NZflrT]]+TBA_Matches_All[[#This Row],[NZflrM]])),0)</f>
        <v>0</v>
      </c>
      <c r="BN126">
        <f>COUNTIFS(Dyno_Data[Team],TBA_Matches_All[[#This Row],[Team]],Dyno_Data[Match],TBA_Matches_All[[#This Row],[Match_Number]],Dyno_Data[RecordType],"Activities",Dyno_Data[DelOrig],"AllyW", Dyno_Data[DelMiss],"0")</f>
        <v>8</v>
      </c>
      <c r="BO126">
        <f>COUNTIFS(Dyno_Data[Team],TBA_Matches_All[[#This Row],[Team]],Dyno_Data[Match],TBA_Matches_All[[#This Row],[Match_Number]],Dyno_Data[RecordType],"Activities",Dyno_Data[DelOrig],"AllyW", Dyno_Data[DelMiss],"1")</f>
        <v>0</v>
      </c>
      <c r="BP126" s="60">
        <f>IFERROR(SUM((TBA_Matches_All[[#This Row],[AZflrT]])/(TBA_Matches_All[[#This Row],[AZflrT]]+TBA_Matches_All[[#This Row],[AZflrM]])),0)</f>
        <v>1</v>
      </c>
      <c r="BQ126">
        <f>COUNTIFS(Dyno_Data[Team],TBA_Matches_All[[#This Row],[Team]],Dyno_Data[Match],TBA_Matches_All[[#This Row],[Match_Number]],Dyno_Data[RecordType],"Activities",Dyno_Data[DelOrig],"SubW", Dyno_Data[DelMiss],"0")</f>
        <v>0</v>
      </c>
      <c r="BR126">
        <f>COUNTIFS(Dyno_Data[Team],TBA_Matches_All[[#This Row],[Team]],Dyno_Data[Match],TBA_Matches_All[[#This Row],[Match_Number]],Dyno_Data[RecordType],"Activities",Dyno_Data[DelOrig],"SubW", Dyno_Data[DelMiss],"1")</f>
        <v>0</v>
      </c>
      <c r="BS126" s="60">
        <f>IFERROR(SUM((TBA_Matches_All[[#This Row],[SubwT]])/(TBA_Matches_All[[#This Row],[SubwT]]+TBA_Matches_All[[#This Row],[SubwM]])),0)</f>
        <v>0</v>
      </c>
      <c r="BT126">
        <f>COUNTIFS(Dyno_Data[Team],TBA_Matches_All[[#This Row],[Team]],Dyno_Data[Match],TBA_Matches_All[[#This Row],[Match_Number]],Dyno_Data[RecordType],"Activities", Dyno_Data[AcqLoc],"OppWing")</f>
        <v>0</v>
      </c>
      <c r="BU126">
        <f>COUNTIFS(Dyno_Data[Team],TBA_Matches_All[[#This Row],[Team]],Dyno_Data[Match],TBA_Matches_All[[#This Row],[Match_Number]],Dyno_Data[RecordType],"Activities", Dyno_Data[AcqLoc],"Neutral")</f>
        <v>0</v>
      </c>
      <c r="BV126">
        <f>COUNTIFS(Dyno_Data[Team],TBA_Matches_All[[#This Row],[Team]],Dyno_Data[Match],TBA_Matches_All[[#This Row],[Match_Number]],Dyno_Data[RecordType],"Activities", Dyno_Data[AcqLoc],"AllyWing")</f>
        <v>0</v>
      </c>
      <c r="BW126">
        <f>COUNTIFS(Dyno_Data[Team],TBA_Matches_All[[#This Row],[Team]],Dyno_Data[Match],TBA_Matches_All[[#This Row],[Match_Number]],Dyno_Data[RecordType],"Activities", Dyno_Data[AcqLoc],"Source")</f>
        <v>0</v>
      </c>
      <c r="BX126">
        <f>SUMIFS(Dyno_Data[AcqDrp], Dyno_Data[Team],TBA_Matches_All[[#This Row],[Team]],Dyno_Data[Match],TBA_Matches_All[[#This Row],[Match_Number]],Dyno_Data[RecordType],"Activities", Dyno_Data[AcqLoc],"Source")</f>
        <v>0</v>
      </c>
      <c r="BY126">
        <f>SUMIFS(Dyno_Data[OZTime], Dyno_Data[Team],TBA_Matches_All[[#This Row],[Team]],Dyno_Data[Match],TBA_Matches_All[[#This Row],[Match_Number]],Dyno_Data[RecordType],"EndMatch")</f>
        <v>53.015539999999994</v>
      </c>
      <c r="BZ126">
        <f>SUMIFS(Dyno_Data[NZTime], Dyno_Data[Team],TBA_Matches_All[[#This Row],[Team]],Dyno_Data[Match],TBA_Matches_All[[#This Row],[Match_Number]],Dyno_Data[RecordType],"EndMatch")</f>
        <v>14.6402188</v>
      </c>
      <c r="CA126">
        <f>SUMIFS(Dyno_Data[AZTime], Dyno_Data[Team],TBA_Matches_All[[#This Row],[Team]],Dyno_Data[Match],TBA_Matches_All[[#This Row],[Match_Number]],Dyno_Data[RecordType],"EndMatch")</f>
        <v>64.081455500000004</v>
      </c>
      <c r="CB126">
        <f>SUMIFS(Dyno_Data[ClimbT], Dyno_Data[Team],TBA_Matches_All[[#This Row],[Team]],Dyno_Data[Match],TBA_Matches_All[[#This Row],[Match_Number]],Dyno_Data[RecordType],"EndMatch")</f>
        <v>3.5551228999999998</v>
      </c>
      <c r="CC126" t="str">
        <f>_xlfn.XLOOKUP(SUM(MID(TBA_Matches_All[[#This Row],[Team]],4,5),(TBA_Matches_All[[#This Row],[Match_Number]]/100)),Dyno_EndMatch[teammat],Dyno_EndMatch[StageStat],"_",0,1)</f>
        <v>On</v>
      </c>
      <c r="CD126" t="str">
        <f>_xlfn.XLOOKUP(TBA_Matches_All[[#This Row],[teammat]],Dyno_EndMatch[teammat],Dyno_EndMatch[StageAtt],"_",0,1)</f>
        <v>1</v>
      </c>
      <c r="CE126" t="str">
        <f>_xlfn.XLOOKUP(TBA_Matches_All[[#This Row],[teammat]],Dyno_EndMatch[teammat],Dyno_EndMatch[StageLoc],"_",0,1)</f>
        <v>R</v>
      </c>
      <c r="CF126">
        <f>SUMIFS(Dyno_Data[Harmony], Dyno_Data[Team],TBA_Matches_All[[#This Row],[Team]],Dyno_Data[Match],TBA_Matches_All[[#This Row],[Match_Number]],Dyno_Data[RecordType],"EndMatch", Dyno_Data[StageStat],"On",Dyno_Data[Harmony],"&lt;&gt;9")</f>
        <v>0</v>
      </c>
      <c r="CG126">
        <f>SUMIFS(Dyno_Data[Spotlit], Dyno_Data[Team],TBA_Matches_All[[#This Row],[Team]],Dyno_Data[Match],TBA_Matches_All[[#This Row],[Match_Number]],Dyno_Data[RecordType],"EndMatch", Dyno_Data[StageStat],"On",Dyno_Data[Spotlit],"&lt;&gt;9")</f>
        <v>0</v>
      </c>
      <c r="CH126" t="str">
        <f>_xlfn.XLOOKUP(TBA_Matches_All[[#This Row],[teammat]],Dyno_EndMatch[teammat],Dyno_EndMatch[Strategy],"_",0,1)</f>
        <v>Hybrid</v>
      </c>
      <c r="CI126">
        <f>SUMIFS(Dyno_Data[Defense], Dyno_Data[Team],TBA_Matches_All[[#This Row],[Team]],Dyno_Data[Match],TBA_Matches_All[[#This Row],[Match_Number]],Dyno_Data[RecordType],"EndMatch",Dyno_Data[Defense],"&lt;&gt;9")</f>
        <v>0</v>
      </c>
      <c r="CJ126">
        <f>SUMIFS(Dyno_Data[Avoidance], Dyno_Data[Team],TBA_Matches_All[[#This Row],[Team]],Dyno_Data[Match],TBA_Matches_All[[#This Row],[Match_Number]],Dyno_Data[RecordType],"EndMatch",Dyno_Data[Avoidance],"&lt;&gt;9")</f>
        <v>1</v>
      </c>
      <c r="CK126" s="82">
        <f>COUNTIF($H$2:TBA_Matches_All[[#This Row],[Team]],TBA_Matches_All[[#This Row],[Team]])</f>
        <v>3</v>
      </c>
      <c r="CL126" s="111">
        <f>SUM(MID(TBA_Matches_All[[#This Row],[Team]],4,5)+TBA_Matches_All[[#This Row],[Match_Number]]/100)</f>
        <v>7709.21</v>
      </c>
      <c r="CM126">
        <f>SUM((TBA_Matches_All[[#This Row],[Leave]]*2)+(TBA_Matches_All[[#This Row],[AampT]]*2)+(TBA_Matches_All[[#This Row],[AspkrT]]*5)+(TBA_Matches_All[[#This Row],[AtrapT]]*5))</f>
        <v>5</v>
      </c>
      <c r="CN126" s="59">
        <f>IFERROR(SUM(TBA_Matches_All[[#This Row],[AptsT]]/TBA_Matches_All[[#This Row],[AutoPts]]),0)</f>
        <v>0.35714285714285715</v>
      </c>
      <c r="CO126" s="59">
        <f>IFERROR(SUM(TBA_Matches_All[[#This Row],[AampT]]+TBA_Matches_All[[#This Row],[AspkrT]]+TBA_Matches_All[[#This Row],[AtrapT]]/TBA_Matches_All[[#This Row],[Aamp]]+TBA_Matches_All[[#This Row],[Aspkr]]+TBA_Matches_All[[#This Row],[AtrapT]]),0)</f>
        <v>0</v>
      </c>
      <c r="CP126" s="59">
        <f>IFERROR(SUM(TBA_Matches_All[[#This Row],[TampT]]/TBA_Matches_All[[#This Row],[Tamp]]),0)</f>
        <v>1</v>
      </c>
      <c r="CQ126" s="59">
        <f>IFERROR(SUM(TBA_Matches_All[[#This Row],[TspkrT]]/TBA_Matches_All[[#This Row],[Tspkr]]),0)</f>
        <v>0</v>
      </c>
      <c r="CR126">
        <f>SUM(TBA_Matches_All[[#This Row],[TspkrPts]]*TBA_Matches_All[[#This Row],[TspkrP]])</f>
        <v>0</v>
      </c>
      <c r="CS126" s="59">
        <f>IFERROR(SUM(TBA_Matches_All[[#This Row],[TtrapT]]/TBA_Matches_All[[#This Row],[Trap]]),0)</f>
        <v>0</v>
      </c>
      <c r="CT126" s="59">
        <f>IFERROR(SUM(TBA_Matches_All[[#This Row],[TotNotesT]]/TBA_Matches_All[[#This Row],[TotNotes]]),0)</f>
        <v>0.34782608695652173</v>
      </c>
      <c r="CU126" s="66">
        <f>SUM((TBA_Matches_All[[#This Row],[AampT]]*2)+(TBA_Matches_All[[#This Row],[AspkrT]]*5)+(TBA_Matches_All[[#This Row],[AtrapT]]*5)+(TBA_Matches_All[[#This Row],[TampT]]*1)+(TBA_Matches_All[[#This Row],[TspkrptsC]]))</f>
        <v>12</v>
      </c>
      <c r="CV126" s="59">
        <f>IFERROR(TBA_Matches_All[[#This Row],[noteptsT]]/TBA_Matches_All[[#This Row],[NotePts]],0)</f>
        <v>0.22222222222222221</v>
      </c>
      <c r="CW126">
        <f>SUM(IF(TBA_Matches_All[[#This Row],[stageStat]]="On",3,0),IF(TBA_Matches_All[[#This Row],[stageStat]]="Park",1,0),SUMIFS(TBA_Matches_All[[#This Row],[Spotlit]],TBA_Matches_All[[#This Row],[stageStat]],"On"),SUMIFS(TBA_Matches_All[[#This Row],[Harmony]],TBA_Matches_All[[#This Row],[stageStat]],"On"))</f>
        <v>3</v>
      </c>
      <c r="CX126" s="59">
        <f>IFERROR(TBA_Matches_All[[#This Row],[stageptsT]]/TBA_Matches_All[[#This Row],[StagePts]],0)</f>
        <v>0.42857142857142855</v>
      </c>
      <c r="CY126">
        <f>SUM((TBA_Matches_All[[#This Row],[AptsT]]+TBA_Matches_All[[#This Row],[TampT]]+TBA_Matches_All[[#This Row],[TspkrptsC]]+(TBA_Matches_All[[#This Row],[TtrapT]]*5)+TBA_Matches_All[[#This Row],[stageptsT]]))</f>
        <v>15</v>
      </c>
      <c r="CZ126" s="59">
        <f>IFERROR(SUM(TBA_Matches_All[[#This Row],[TotptsC]]/TBA_Matches_All[[#This Row],[Score]]),0)</f>
        <v>0.23076923076923078</v>
      </c>
      <c r="DA12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15.65</v>
      </c>
      <c r="DB126" s="74">
        <f>SUMIFS(TBA_Matches_All[AveTeamTNoteDels],TBA_Matches_All[Match_Number],TBA_Matches_All[[#This Row],[Match_Number]],TBA_Matches_All[Alliance],"&lt;&gt;"&amp;TBA_Matches_All[[#This Row],[Alliance]],TBA_Matches_All[Scouted],"&gt;0")</f>
        <v>21.243749999999999</v>
      </c>
      <c r="DC126" s="74">
        <f>(TBA_Matches_All[[#This Row],[TampT]]+TBA_Matches_All[[#This Row],[TspkrptsC]])-TBA_Matches_All[[#This Row],[AveTeamTNoteDels]]</f>
        <v>-8.65</v>
      </c>
      <c r="DD126" s="74">
        <f>SUMIFS(TBA_Matches_All[AveTeamTNoteDels],TBA_Matches_All[Match_Number],TBA_Matches_All[[#This Row],[Match_Number]],TBA_Matches_All[Alliance],"&lt;&gt;"&amp;TBA_Matches_All[[#This Row],[Alliance]])-TBA_Matches_All[[#This Row],[AveOppTNoteDels]]</f>
        <v>0</v>
      </c>
    </row>
    <row r="127" spans="1:108" x14ac:dyDescent="0.3">
      <c r="A127" t="s">
        <v>1042</v>
      </c>
      <c r="B127" t="s">
        <v>489</v>
      </c>
      <c r="C127" t="s">
        <v>1330</v>
      </c>
      <c r="D127">
        <v>21</v>
      </c>
      <c r="E127" t="s">
        <v>1420</v>
      </c>
      <c r="F127" t="s">
        <v>1423</v>
      </c>
      <c r="G127" t="s">
        <v>1409</v>
      </c>
      <c r="H127" t="s">
        <v>1286</v>
      </c>
      <c r="I127" t="b">
        <v>0</v>
      </c>
      <c r="J127">
        <v>47</v>
      </c>
      <c r="K127">
        <v>0</v>
      </c>
      <c r="L127">
        <v>0</v>
      </c>
      <c r="M127">
        <v>0</v>
      </c>
      <c r="N127">
        <v>0</v>
      </c>
      <c r="O127">
        <v>3</v>
      </c>
      <c r="P127">
        <v>15</v>
      </c>
      <c r="Q127">
        <v>21</v>
      </c>
      <c r="R127">
        <v>2</v>
      </c>
      <c r="S127">
        <v>1</v>
      </c>
      <c r="T127">
        <v>7</v>
      </c>
      <c r="U127">
        <v>5</v>
      </c>
      <c r="V127">
        <v>14</v>
      </c>
      <c r="W127">
        <v>8</v>
      </c>
      <c r="X127">
        <v>19</v>
      </c>
      <c r="Y127">
        <v>21</v>
      </c>
      <c r="Z127">
        <v>0</v>
      </c>
      <c r="AA127">
        <v>0</v>
      </c>
      <c r="AB127">
        <v>13</v>
      </c>
      <c r="AC127">
        <v>36</v>
      </c>
      <c r="AD127">
        <v>5</v>
      </c>
      <c r="AE127">
        <f>IFERROR(6/(COUNTIF(Dyno_EndMatch[Match],TBA_Matches_All[[#This Row],[Match_Number]])),0)</f>
        <v>1</v>
      </c>
      <c r="AF127">
        <f>COUNTIFS(Dyno_Data[Team],TBA_Matches_All[[#This Row],[Team]],Dyno_Data[Match],TBA_Matches_All[[#This Row],[Match_Number]],Dyno_Data[RecordType],"EndMatch",Dyno_Data[HPAmp],"Y")</f>
        <v>0</v>
      </c>
      <c r="AG127">
        <f>SUMIFS(Dyno_Data[Mics], Dyno_Data[Team],TBA_Matches_All[[#This Row],[Team]],Dyno_Data[Match],TBA_Matches_All[[#This Row],[Match_Number]],Dyno_Data[RecordType],"EndMatch",Dyno_Data[HPAmp],"Y")</f>
        <v>0</v>
      </c>
      <c r="AH127">
        <f>SUMIFS(Dyno_Data[Leave], Dyno_Data[Team],TBA_Matches_All[[#This Row],[Team]],Dyno_Data[Match],TBA_Matches_All[[#This Row],[Match_Number]],Dyno_Data[RecordType],"EndAuto")</f>
        <v>1</v>
      </c>
      <c r="AI127">
        <f>COUNTIFS(Dyno_Data[Team],TBA_Matches_All[[#This Row],[Team]],Dyno_Data[Match],TBA_Matches_All[[#This Row],[Match_Number]],Dyno_Data[RecordType],"Activities",Dyno_Data[DelDest],"Amp", Dyno_Data[DelMiss],"0", Dyno_Data[Mode],"Auto")</f>
        <v>0</v>
      </c>
      <c r="AJ127">
        <f>COUNTIFS(Dyno_Data[Team],TBA_Matches_All[[#This Row],[Team]],Dyno_Data[Match],TBA_Matches_All[[#This Row],[Match_Number]],Dyno_Data[RecordType],"Activities",Dyno_Data[DelDest],"Spkr", Dyno_Data[DelMiss],"0", Dyno_Data[Mode],"Auto")</f>
        <v>3</v>
      </c>
      <c r="AK127">
        <f>COUNTIFS(Dyno_Data[Team],TBA_Matches_All[[#This Row],[Team]],Dyno_Data[Match],TBA_Matches_All[[#This Row],[Match_Number]],Dyno_Data[RecordType],"Activities",Dyno_Data[DelDest],"Trap", Dyno_Data[DelMiss],"0", Dyno_Data[Mode],"Auto")</f>
        <v>0</v>
      </c>
      <c r="AL127">
        <f>COUNTIFS(Dyno_Data[Team],TBA_Matches_All[[#This Row],[Team]],Dyno_Data[Match],TBA_Matches_All[[#This Row],[Match_Number]],Dyno_Data[RecordType],"Activities",Dyno_Data[DelDest],"Amp", Dyno_Data[DelMiss],"0", Dyno_Data[Mode],"Teleop")</f>
        <v>4</v>
      </c>
      <c r="AM127">
        <f>COUNTIFS(Dyno_Data[Team],TBA_Matches_All[[#This Row],[Team]],Dyno_Data[Match],TBA_Matches_All[[#This Row],[Match_Number]],Dyno_Data[RecordType],"Activities",Dyno_Data[DelDest],"Spkr", Dyno_Data[DelMiss],"0", Dyno_Data[Mode],"Teleop")</f>
        <v>9</v>
      </c>
      <c r="AN127">
        <f>COUNTIFS(Dyno_Data[Team],TBA_Matches_All[[#This Row],[Team]],Dyno_Data[Match],TBA_Matches_All[[#This Row],[Match_Number]],Dyno_Data[RecordType],"Activities",Dyno_Data[DelDest],"Trap", Dyno_Data[DelMiss],"0", Dyno_Data[Mode],"&lt;&gt;Auto")</f>
        <v>0</v>
      </c>
      <c r="AO127">
        <f>SUM(TBA_Matches_All[[#This Row],[AampT]]+TBA_Matches_All[[#This Row],[AspkrT]]+TBA_Matches_All[[#This Row],[AtrapT]]+TBA_Matches_All[[#This Row],[TampT]]+TBA_Matches_All[[#This Row],[TspkrT]]+TBA_Matches_All[[#This Row],[TtrapT]])</f>
        <v>16</v>
      </c>
      <c r="AP127">
        <f>COUNTIFS(Dyno_Data[Team],TBA_Matches_All[[#This Row],[Team]],Dyno_Data[Match],TBA_Matches_All[[#This Row],[Match_Number]],Dyno_Data[RecordType],"Activities",Dyno_Data[DelDest],"Neut", Dyno_Data[DelMiss],"0")</f>
        <v>0</v>
      </c>
      <c r="AQ127">
        <f>COUNTIFS(Dyno_Data[Team],TBA_Matches_All[[#This Row],[Team]],Dyno_Data[Match],TBA_Matches_All[[#This Row],[Match_Number]],Dyno_Data[RecordType],"Activities",Dyno_Data[DelDest],"AllyW", Dyno_Data[DelMiss],"0")</f>
        <v>0</v>
      </c>
      <c r="AR127" t="str">
        <f>_xlfn.XLOOKUP(SUM(MID(TBA_Matches_All[[#This Row],[Team]],4,5),(TBA_Matches_All[[#This Row],[Match_Number]]/100)),Dyno_EndMatch[teammat],Dyno_EndMatch[RobotSta],"_",0,1)</f>
        <v>SubW</v>
      </c>
      <c r="AS127">
        <f>SUMIFS(Dyno_Data[AcqDis], Dyno_Data[Team],TBA_Matches_All[[#This Row],[Team]],Dyno_Data[Match],TBA_Matches_All[[#This Row],[Match_Number]],Dyno_Data[RecordType],"Activities", Dyno_Data[AcqCenter],1,Dyno_Data[Mode],"Auto")</f>
        <v>0</v>
      </c>
      <c r="AT127">
        <f>SUMIFS(Dyno_Data[AcqDis], Dyno_Data[Team],TBA_Matches_All[[#This Row],[Team]],Dyno_Data[Match],TBA_Matches_All[[#This Row],[Match_Number]],Dyno_Data[RecordType],"Activities", Dyno_Data[AcqCenter],2,Dyno_Data[Mode],"Auto")</f>
        <v>0</v>
      </c>
      <c r="AU127">
        <f>SUMIFS(Dyno_Data[AcqDis], Dyno_Data[Team],TBA_Matches_All[[#This Row],[Team]],Dyno_Data[Match],TBA_Matches_All[[#This Row],[Match_Number]],Dyno_Data[RecordType],"Activities", Dyno_Data[AcqCenter],3,Dyno_Data[Mode],"Auto")</f>
        <v>1</v>
      </c>
      <c r="AV127">
        <f>SUMIFS(Dyno_Data[AcqDis], Dyno_Data[Team],TBA_Matches_All[[#This Row],[Team]],Dyno_Data[Match],TBA_Matches_All[[#This Row],[Match_Number]],Dyno_Data[RecordType],"Activities", Dyno_Data[AcqCenter],4,Dyno_Data[Mode],"Auto")</f>
        <v>0</v>
      </c>
      <c r="AW127">
        <f>SUMIFS(Dyno_Data[AcqDis], Dyno_Data[Team],TBA_Matches_All[[#This Row],[Team]],Dyno_Data[Match],TBA_Matches_All[[#This Row],[Match_Number]],Dyno_Data[RecordType],"Activities", Dyno_Data[AcqCenter],5,Dyno_Data[Mode],"Auto")</f>
        <v>1</v>
      </c>
      <c r="AX127">
        <f>SUMIFS(Dyno_Data[DelMiss], Dyno_Data[Team],TBA_Matches_All[[#This Row],[Team]],Dyno_Data[Match],TBA_Matches_All[[#This Row],[Match_Number]],Dyno_Data[RecordType],"Activities", Dyno_Data[DelDest],"Amp")</f>
        <v>0</v>
      </c>
      <c r="AY127" s="60">
        <f>IFERROR(SUM((TBA_Matches_All[[#This Row],[AampT]]+TBA_Matches_All[[#This Row],[TampT]])/(TBA_Matches_All[[#This Row],[AampT]]+TBA_Matches_All[[#This Row],[TampT]]+TBA_Matches_All[[#This Row],[ampM]])),0)</f>
        <v>1</v>
      </c>
      <c r="AZ127">
        <f>SUMIFS(Dyno_Data[DelMiss], Dyno_Data[Team],TBA_Matches_All[[#This Row],[Team]],Dyno_Data[Match],TBA_Matches_All[[#This Row],[Match_Number]],Dyno_Data[RecordType],"Activities", Dyno_Data[DelDest],"Spkr")</f>
        <v>1</v>
      </c>
      <c r="BA127" s="60">
        <f>IFERROR(SUM((TBA_Matches_All[[#This Row],[AspkrT]]+TBA_Matches_All[[#This Row],[TspkrT]])/(TBA_Matches_All[[#This Row],[AspkrT]]+TBA_Matches_All[[#This Row],[TspkrT]]+TBA_Matches_All[[#This Row],[spkrM]])),0)</f>
        <v>0.92307692307692313</v>
      </c>
      <c r="BB127">
        <f>SUMIFS(Dyno_Data[DelMiss], Dyno_Data[Team],TBA_Matches_All[[#This Row],[Team]],Dyno_Data[Match],TBA_Matches_All[[#This Row],[Match_Number]],Dyno_Data[RecordType],"Activities", Dyno_Data[DelDest],"Trap")</f>
        <v>0</v>
      </c>
      <c r="BC127" s="60">
        <f>IFERROR((TBA_Matches_All[[#This Row],[AtrapT]]+TBA_Matches_All[[#This Row],[TtrapT]])/(TBA_Matches_All[[#This Row],[AtrapT]]+TBA_Matches_All[[#This Row],[TtrapT]]+TBA_Matches_All[[#This Row],[trapM]]),0)</f>
        <v>0</v>
      </c>
      <c r="BD127">
        <f>COUNTIFS(Dyno_Data[Team],TBA_Matches_All[[#This Row],[Team]],Dyno_Data[Match],TBA_Matches_All[[#This Row],[Match_Number]],Dyno_Data[RecordType],"Activities",Dyno_Data[DelDest],"Neut", Dyno_Data[DelMiss],1)</f>
        <v>0</v>
      </c>
      <c r="BE127" s="60">
        <f>IFERROR(SUM((TBA_Matches_All[[#This Row],[NeutFlrT]])/(TBA_Matches_All[[#This Row],[NeutFlrT]]+TBA_Matches_All[[#This Row],[NZflM]])),0)</f>
        <v>0</v>
      </c>
      <c r="BF127">
        <f>COUNTIFS(Dyno_Data[Team],TBA_Matches_All[[#This Row],[Team]],Dyno_Data[Match],TBA_Matches_All[[#This Row],[Match_Number]],Dyno_Data[RecordType],"Activities",Dyno_Data[DelDest],"AllyW", Dyno_Data[DelMiss],1)</f>
        <v>0</v>
      </c>
      <c r="BG127" s="60">
        <f>IFERROR(SUM((TBA_Matches_All[[#This Row],[AllyWFlrT]])/(TBA_Matches_All[[#This Row],[AllyWFlrT]]+TBA_Matches_All[[#This Row],[AZflM]])),0)</f>
        <v>0</v>
      </c>
      <c r="BH127">
        <f>COUNTIFS(Dyno_Data[Team],TBA_Matches_All[[#This Row],[Team]],Dyno_Data[Match],TBA_Matches_All[[#This Row],[Match_Number]],Dyno_Data[RecordType],"Activities",Dyno_Data[DelOrig],"OppW", Dyno_Data[DelMiss],"0")</f>
        <v>0</v>
      </c>
      <c r="BI127">
        <f>COUNTIFS(Dyno_Data[Team],TBA_Matches_All[[#This Row],[Team]],Dyno_Data[Match],TBA_Matches_All[[#This Row],[Match_Number]],Dyno_Data[RecordType],"Activities",Dyno_Data[DelOrig],"OppW", Dyno_Data[DelMiss],"1")</f>
        <v>0</v>
      </c>
      <c r="BJ127" s="60">
        <f>IFERROR(SUM((TBA_Matches_All[[#This Row],[OZflrT]])/(TBA_Matches_All[[#This Row],[OZflrT]]+TBA_Matches_All[[#This Row],[OZflrM]])),0)</f>
        <v>0</v>
      </c>
      <c r="BK127">
        <f>COUNTIFS(Dyno_Data[Team],TBA_Matches_All[[#This Row],[Team]],Dyno_Data[Match],TBA_Matches_All[[#This Row],[Match_Number]],Dyno_Data[RecordType],"Activities",Dyno_Data[DelOrig],"Neut", Dyno_Data[DelMiss],"0")</f>
        <v>0</v>
      </c>
      <c r="BL127">
        <f>COUNTIFS(Dyno_Data[Team],TBA_Matches_All[[#This Row],[Team]],Dyno_Data[Match],TBA_Matches_All[[#This Row],[Match_Number]],Dyno_Data[RecordType],"Activities",Dyno_Data[DelOrig],"Neut", Dyno_Data[DelMiss],"1")</f>
        <v>0</v>
      </c>
      <c r="BM127" s="60">
        <f>IFERROR(SUM((TBA_Matches_All[[#This Row],[NZflrT]])/(TBA_Matches_All[[#This Row],[NZflrT]]+TBA_Matches_All[[#This Row],[NZflrM]])),0)</f>
        <v>0</v>
      </c>
      <c r="BN127">
        <f>COUNTIFS(Dyno_Data[Team],TBA_Matches_All[[#This Row],[Team]],Dyno_Data[Match],TBA_Matches_All[[#This Row],[Match_Number]],Dyno_Data[RecordType],"Activities",Dyno_Data[DelOrig],"AllyW", Dyno_Data[DelMiss],"0")</f>
        <v>13</v>
      </c>
      <c r="BO127">
        <f>COUNTIFS(Dyno_Data[Team],TBA_Matches_All[[#This Row],[Team]],Dyno_Data[Match],TBA_Matches_All[[#This Row],[Match_Number]],Dyno_Data[RecordType],"Activities",Dyno_Data[DelOrig],"AllyW", Dyno_Data[DelMiss],"1")</f>
        <v>0</v>
      </c>
      <c r="BP127" s="60">
        <f>IFERROR(SUM((TBA_Matches_All[[#This Row],[AZflrT]])/(TBA_Matches_All[[#This Row],[AZflrT]]+TBA_Matches_All[[#This Row],[AZflrM]])),0)</f>
        <v>1</v>
      </c>
      <c r="BQ127">
        <f>COUNTIFS(Dyno_Data[Team],TBA_Matches_All[[#This Row],[Team]],Dyno_Data[Match],TBA_Matches_All[[#This Row],[Match_Number]],Dyno_Data[RecordType],"Activities",Dyno_Data[DelOrig],"SubW", Dyno_Data[DelMiss],"0")</f>
        <v>3</v>
      </c>
      <c r="BR127">
        <f>COUNTIFS(Dyno_Data[Team],TBA_Matches_All[[#This Row],[Team]],Dyno_Data[Match],TBA_Matches_All[[#This Row],[Match_Number]],Dyno_Data[RecordType],"Activities",Dyno_Data[DelOrig],"SubW", Dyno_Data[DelMiss],"1")</f>
        <v>1</v>
      </c>
      <c r="BS127" s="60">
        <f>IFERROR(SUM((TBA_Matches_All[[#This Row],[SubwT]])/(TBA_Matches_All[[#This Row],[SubwT]]+TBA_Matches_All[[#This Row],[SubwM]])),0)</f>
        <v>0.75</v>
      </c>
      <c r="BT127">
        <f>COUNTIFS(Dyno_Data[Team],TBA_Matches_All[[#This Row],[Team]],Dyno_Data[Match],TBA_Matches_All[[#This Row],[Match_Number]],Dyno_Data[RecordType],"Activities", Dyno_Data[AcqLoc],"OppWing")</f>
        <v>0</v>
      </c>
      <c r="BU127">
        <f>COUNTIFS(Dyno_Data[Team],TBA_Matches_All[[#This Row],[Team]],Dyno_Data[Match],TBA_Matches_All[[#This Row],[Match_Number]],Dyno_Data[RecordType],"Activities", Dyno_Data[AcqLoc],"Neutral")</f>
        <v>4</v>
      </c>
      <c r="BV127">
        <f>COUNTIFS(Dyno_Data[Team],TBA_Matches_All[[#This Row],[Team]],Dyno_Data[Match],TBA_Matches_All[[#This Row],[Match_Number]],Dyno_Data[RecordType],"Activities", Dyno_Data[AcqLoc],"AllyWing")</f>
        <v>0</v>
      </c>
      <c r="BW127">
        <f>COUNTIFS(Dyno_Data[Team],TBA_Matches_All[[#This Row],[Team]],Dyno_Data[Match],TBA_Matches_All[[#This Row],[Match_Number]],Dyno_Data[RecordType],"Activities", Dyno_Data[AcqLoc],"Source")</f>
        <v>0</v>
      </c>
      <c r="BX127">
        <f>SUMIFS(Dyno_Data[AcqDrp], Dyno_Data[Team],TBA_Matches_All[[#This Row],[Team]],Dyno_Data[Match],TBA_Matches_All[[#This Row],[Match_Number]],Dyno_Data[RecordType],"Activities", Dyno_Data[AcqLoc],"Source")</f>
        <v>0</v>
      </c>
      <c r="BY127">
        <f>SUMIFS(Dyno_Data[OZTime], Dyno_Data[Team],TBA_Matches_All[[#This Row],[Team]],Dyno_Data[Match],TBA_Matches_All[[#This Row],[Match_Number]],Dyno_Data[RecordType],"EndMatch")</f>
        <v>36.261098499999996</v>
      </c>
      <c r="BZ127">
        <f>SUMIFS(Dyno_Data[NZTime], Dyno_Data[Team],TBA_Matches_All[[#This Row],[Team]],Dyno_Data[Match],TBA_Matches_All[[#This Row],[Match_Number]],Dyno_Data[RecordType],"EndMatch")</f>
        <v>32.062953</v>
      </c>
      <c r="CA127">
        <f>SUMIFS(Dyno_Data[AZTime], Dyno_Data[Team],TBA_Matches_All[[#This Row],[Team]],Dyno_Data[Match],TBA_Matches_All[[#This Row],[Match_Number]],Dyno_Data[RecordType],"EndMatch")</f>
        <v>60.390431399999997</v>
      </c>
      <c r="CB127">
        <f>SUMIFS(Dyno_Data[ClimbT], Dyno_Data[Team],TBA_Matches_All[[#This Row],[Team]],Dyno_Data[Match],TBA_Matches_All[[#This Row],[Match_Number]],Dyno_Data[RecordType],"EndMatch")</f>
        <v>2.0227572</v>
      </c>
      <c r="CC127" t="str">
        <f>_xlfn.XLOOKUP(SUM(MID(TBA_Matches_All[[#This Row],[Team]],4,5),(TBA_Matches_All[[#This Row],[Match_Number]]/100)),Dyno_EndMatch[teammat],Dyno_EndMatch[StageStat],"_",0,1)</f>
        <v>On</v>
      </c>
      <c r="CD127" t="str">
        <f>_xlfn.XLOOKUP(TBA_Matches_All[[#This Row],[teammat]],Dyno_EndMatch[teammat],Dyno_EndMatch[StageAtt],"_",0,1)</f>
        <v>1</v>
      </c>
      <c r="CE127" t="str">
        <f>_xlfn.XLOOKUP(TBA_Matches_All[[#This Row],[teammat]],Dyno_EndMatch[teammat],Dyno_EndMatch[StageLoc],"_",0,1)</f>
        <v>L</v>
      </c>
      <c r="CF127">
        <f>SUMIFS(Dyno_Data[Harmony], Dyno_Data[Team],TBA_Matches_All[[#This Row],[Team]],Dyno_Data[Match],TBA_Matches_All[[#This Row],[Match_Number]],Dyno_Data[RecordType],"EndMatch", Dyno_Data[StageStat],"On",Dyno_Data[Harmony],"&lt;&gt;9")</f>
        <v>0</v>
      </c>
      <c r="CG127">
        <f>SUMIFS(Dyno_Data[Spotlit], Dyno_Data[Team],TBA_Matches_All[[#This Row],[Team]],Dyno_Data[Match],TBA_Matches_All[[#This Row],[Match_Number]],Dyno_Data[RecordType],"EndMatch", Dyno_Data[StageStat],"On",Dyno_Data[Spotlit],"&lt;&gt;9")</f>
        <v>0</v>
      </c>
      <c r="CH127" t="str">
        <f>_xlfn.XLOOKUP(TBA_Matches_All[[#This Row],[teammat]],Dyno_EndMatch[teammat],Dyno_EndMatch[Strategy],"_",0,1)</f>
        <v>Hybrid</v>
      </c>
      <c r="CI127">
        <f>SUMIFS(Dyno_Data[Defense], Dyno_Data[Team],TBA_Matches_All[[#This Row],[Team]],Dyno_Data[Match],TBA_Matches_All[[#This Row],[Match_Number]],Dyno_Data[RecordType],"EndMatch",Dyno_Data[Defense],"&lt;&gt;9")</f>
        <v>0</v>
      </c>
      <c r="CJ127">
        <f>SUMIFS(Dyno_Data[Avoidance], Dyno_Data[Team],TBA_Matches_All[[#This Row],[Team]],Dyno_Data[Match],TBA_Matches_All[[#This Row],[Match_Number]],Dyno_Data[RecordType],"EndMatch",Dyno_Data[Avoidance],"&lt;&gt;9")</f>
        <v>1</v>
      </c>
      <c r="CK127" s="82">
        <f>COUNTIF($H$2:TBA_Matches_All[[#This Row],[Team]],TBA_Matches_All[[#This Row],[Team]])</f>
        <v>3</v>
      </c>
      <c r="CL127" s="111">
        <f>SUM(MID(TBA_Matches_All[[#This Row],[Team]],4,5)+TBA_Matches_All[[#This Row],[Match_Number]]/100)</f>
        <v>1591.21</v>
      </c>
      <c r="CM127">
        <f>SUM((TBA_Matches_All[[#This Row],[Leave]]*2)+(TBA_Matches_All[[#This Row],[AampT]]*2)+(TBA_Matches_All[[#This Row],[AspkrT]]*5)+(TBA_Matches_All[[#This Row],[AtrapT]]*5))</f>
        <v>17</v>
      </c>
      <c r="CN127" s="59">
        <f>IFERROR(SUM(TBA_Matches_All[[#This Row],[AptsT]]/TBA_Matches_All[[#This Row],[AutoPts]]),0)</f>
        <v>0.80952380952380953</v>
      </c>
      <c r="CO127" s="59">
        <f>IFERROR(SUM(TBA_Matches_All[[#This Row],[AampT]]+TBA_Matches_All[[#This Row],[AspkrT]]+TBA_Matches_All[[#This Row],[AtrapT]]/TBA_Matches_All[[#This Row],[Aamp]]+TBA_Matches_All[[#This Row],[Aspkr]]+TBA_Matches_All[[#This Row],[AtrapT]]),0)</f>
        <v>0</v>
      </c>
      <c r="CP127" s="59">
        <f>IFERROR(SUM(TBA_Matches_All[[#This Row],[TampT]]/TBA_Matches_All[[#This Row],[Tamp]]),0)</f>
        <v>2</v>
      </c>
      <c r="CQ127" s="59">
        <f>IFERROR(SUM(TBA_Matches_All[[#This Row],[TspkrT]]/TBA_Matches_All[[#This Row],[Tspkr]]),0)</f>
        <v>1.125</v>
      </c>
      <c r="CR127">
        <f>SUM(TBA_Matches_All[[#This Row],[TspkrPts]]*TBA_Matches_All[[#This Row],[TspkrP]])</f>
        <v>21.375</v>
      </c>
      <c r="CS127" s="59">
        <f>IFERROR(SUM(TBA_Matches_All[[#This Row],[TtrapT]]/TBA_Matches_All[[#This Row],[Trap]]),0)</f>
        <v>0</v>
      </c>
      <c r="CT127" s="59">
        <f>IFERROR(SUM(TBA_Matches_All[[#This Row],[TotNotesT]]/TBA_Matches_All[[#This Row],[TotNotes]]),0)</f>
        <v>1.2307692307692308</v>
      </c>
      <c r="CU127" s="66">
        <f>SUM((TBA_Matches_All[[#This Row],[AampT]]*2)+(TBA_Matches_All[[#This Row],[AspkrT]]*5)+(TBA_Matches_All[[#This Row],[AtrapT]]*5)+(TBA_Matches_All[[#This Row],[TampT]]*1)+(TBA_Matches_All[[#This Row],[TspkrptsC]]))</f>
        <v>40.375</v>
      </c>
      <c r="CV127" s="59">
        <f>IFERROR(TBA_Matches_All[[#This Row],[noteptsT]]/TBA_Matches_All[[#This Row],[NotePts]],0)</f>
        <v>1.1215277777777777</v>
      </c>
      <c r="CW127">
        <f>SUM(IF(TBA_Matches_All[[#This Row],[stageStat]]="On",3,0),IF(TBA_Matches_All[[#This Row],[stageStat]]="Park",1,0),SUMIFS(TBA_Matches_All[[#This Row],[Spotlit]],TBA_Matches_All[[#This Row],[stageStat]],"On"),SUMIFS(TBA_Matches_All[[#This Row],[Harmony]],TBA_Matches_All[[#This Row],[stageStat]],"On"))</f>
        <v>3</v>
      </c>
      <c r="CX127" s="59">
        <f>IFERROR(TBA_Matches_All[[#This Row],[stageptsT]]/TBA_Matches_All[[#This Row],[StagePts]],0)</f>
        <v>0.6</v>
      </c>
      <c r="CY127">
        <f>SUM((TBA_Matches_All[[#This Row],[AptsT]]+TBA_Matches_All[[#This Row],[TampT]]+TBA_Matches_All[[#This Row],[TspkrptsC]]+(TBA_Matches_All[[#This Row],[TtrapT]]*5)+TBA_Matches_All[[#This Row],[stageptsT]]))</f>
        <v>45.375</v>
      </c>
      <c r="CZ127" s="59">
        <f>IFERROR(SUM(TBA_Matches_All[[#This Row],[TotptsC]]/TBA_Matches_All[[#This Row],[Score]]),0)</f>
        <v>0.96542553191489366</v>
      </c>
      <c r="DA12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19.84375</v>
      </c>
      <c r="DB127" s="74">
        <f>SUMIFS(TBA_Matches_All[AveTeamTNoteDels],TBA_Matches_All[Match_Number],TBA_Matches_All[[#This Row],[Match_Number]],TBA_Matches_All[Alliance],"&lt;&gt;"&amp;TBA_Matches_All[[#This Row],[Alliance]],TBA_Matches_All[Scouted],"&gt;0")</f>
        <v>44.060769230769232</v>
      </c>
      <c r="DC127" s="74">
        <f>(TBA_Matches_All[[#This Row],[TampT]]+TBA_Matches_All[[#This Row],[TspkrptsC]])-TBA_Matches_All[[#This Row],[AveTeamTNoteDels]]</f>
        <v>5.53125</v>
      </c>
      <c r="DD127" s="74">
        <f>SUMIFS(TBA_Matches_All[AveTeamTNoteDels],TBA_Matches_All[Match_Number],TBA_Matches_All[[#This Row],[Match_Number]],TBA_Matches_All[Alliance],"&lt;&gt;"&amp;TBA_Matches_All[[#This Row],[Alliance]])-TBA_Matches_All[[#This Row],[AveOppTNoteDels]]</f>
        <v>0</v>
      </c>
    </row>
    <row r="128" spans="1:108" x14ac:dyDescent="0.3">
      <c r="A128" t="s">
        <v>1042</v>
      </c>
      <c r="B128" t="s">
        <v>489</v>
      </c>
      <c r="C128" t="s">
        <v>1330</v>
      </c>
      <c r="D128">
        <v>21</v>
      </c>
      <c r="E128" t="s">
        <v>1406</v>
      </c>
      <c r="F128" t="s">
        <v>1424</v>
      </c>
      <c r="G128" t="s">
        <v>1409</v>
      </c>
      <c r="H128" t="s">
        <v>363</v>
      </c>
      <c r="I128" t="b">
        <v>0</v>
      </c>
      <c r="J128">
        <v>65</v>
      </c>
      <c r="K128">
        <v>1</v>
      </c>
      <c r="L128">
        <v>0</v>
      </c>
      <c r="M128">
        <v>0</v>
      </c>
      <c r="N128">
        <v>0</v>
      </c>
      <c r="O128">
        <v>2</v>
      </c>
      <c r="P128">
        <v>10</v>
      </c>
      <c r="Q128">
        <v>14</v>
      </c>
      <c r="R128">
        <v>7</v>
      </c>
      <c r="S128">
        <v>3</v>
      </c>
      <c r="T128">
        <v>11</v>
      </c>
      <c r="U128">
        <v>15</v>
      </c>
      <c r="V128">
        <v>22</v>
      </c>
      <c r="W128">
        <v>14</v>
      </c>
      <c r="X128">
        <v>37</v>
      </c>
      <c r="Y128">
        <v>44</v>
      </c>
      <c r="Z128">
        <v>0</v>
      </c>
      <c r="AA128">
        <v>0</v>
      </c>
      <c r="AB128">
        <v>23</v>
      </c>
      <c r="AC128">
        <v>54</v>
      </c>
      <c r="AD128">
        <v>7</v>
      </c>
      <c r="AE128">
        <f>IFERROR(6/(COUNTIF(Dyno_EndMatch[Match],TBA_Matches_All[[#This Row],[Match_Number]])),0)</f>
        <v>1</v>
      </c>
      <c r="AF128">
        <f>COUNTIFS(Dyno_Data[Team],TBA_Matches_All[[#This Row],[Team]],Dyno_Data[Match],TBA_Matches_All[[#This Row],[Match_Number]],Dyno_Data[RecordType],"EndMatch",Dyno_Data[HPAmp],"Y")</f>
        <v>1</v>
      </c>
      <c r="AG128">
        <f>SUMIFS(Dyno_Data[Mics], Dyno_Data[Team],TBA_Matches_All[[#This Row],[Team]],Dyno_Data[Match],TBA_Matches_All[[#This Row],[Match_Number]],Dyno_Data[RecordType],"EndMatch",Dyno_Data[HPAmp],"Y")</f>
        <v>0</v>
      </c>
      <c r="AH128">
        <f>SUMIFS(Dyno_Data[Leave], Dyno_Data[Team],TBA_Matches_All[[#This Row],[Team]],Dyno_Data[Match],TBA_Matches_All[[#This Row],[Match_Number]],Dyno_Data[RecordType],"EndAuto")</f>
        <v>1</v>
      </c>
      <c r="AI128">
        <f>COUNTIFS(Dyno_Data[Team],TBA_Matches_All[[#This Row],[Team]],Dyno_Data[Match],TBA_Matches_All[[#This Row],[Match_Number]],Dyno_Data[RecordType],"Activities",Dyno_Data[DelDest],"Amp", Dyno_Data[DelMiss],"0", Dyno_Data[Mode],"Auto")</f>
        <v>0</v>
      </c>
      <c r="AJ128">
        <f>COUNTIFS(Dyno_Data[Team],TBA_Matches_All[[#This Row],[Team]],Dyno_Data[Match],TBA_Matches_All[[#This Row],[Match_Number]],Dyno_Data[RecordType],"Activities",Dyno_Data[DelDest],"Spkr", Dyno_Data[DelMiss],"0", Dyno_Data[Mode],"Auto")</f>
        <v>2</v>
      </c>
      <c r="AK128">
        <f>COUNTIFS(Dyno_Data[Team],TBA_Matches_All[[#This Row],[Team]],Dyno_Data[Match],TBA_Matches_All[[#This Row],[Match_Number]],Dyno_Data[RecordType],"Activities",Dyno_Data[DelDest],"Trap", Dyno_Data[DelMiss],"0", Dyno_Data[Mode],"Auto")</f>
        <v>0</v>
      </c>
      <c r="AL128">
        <f>COUNTIFS(Dyno_Data[Team],TBA_Matches_All[[#This Row],[Team]],Dyno_Data[Match],TBA_Matches_All[[#This Row],[Match_Number]],Dyno_Data[RecordType],"Activities",Dyno_Data[DelDest],"Amp", Dyno_Data[DelMiss],"0", Dyno_Data[Mode],"Teleop")</f>
        <v>0</v>
      </c>
      <c r="AM128">
        <f>COUNTIFS(Dyno_Data[Team],TBA_Matches_All[[#This Row],[Team]],Dyno_Data[Match],TBA_Matches_All[[#This Row],[Match_Number]],Dyno_Data[RecordType],"Activities",Dyno_Data[DelDest],"Spkr", Dyno_Data[DelMiss],"0", Dyno_Data[Mode],"Teleop")</f>
        <v>8</v>
      </c>
      <c r="AN128">
        <f>COUNTIFS(Dyno_Data[Team],TBA_Matches_All[[#This Row],[Team]],Dyno_Data[Match],TBA_Matches_All[[#This Row],[Match_Number]],Dyno_Data[RecordType],"Activities",Dyno_Data[DelDest],"Trap", Dyno_Data[DelMiss],"0", Dyno_Data[Mode],"&lt;&gt;Auto")</f>
        <v>0</v>
      </c>
      <c r="AO128">
        <f>SUM(TBA_Matches_All[[#This Row],[AampT]]+TBA_Matches_All[[#This Row],[AspkrT]]+TBA_Matches_All[[#This Row],[AtrapT]]+TBA_Matches_All[[#This Row],[TampT]]+TBA_Matches_All[[#This Row],[TspkrT]]+TBA_Matches_All[[#This Row],[TtrapT]])</f>
        <v>10</v>
      </c>
      <c r="AP128">
        <f>COUNTIFS(Dyno_Data[Team],TBA_Matches_All[[#This Row],[Team]],Dyno_Data[Match],TBA_Matches_All[[#This Row],[Match_Number]],Dyno_Data[RecordType],"Activities",Dyno_Data[DelDest],"Neut", Dyno_Data[DelMiss],"0")</f>
        <v>0</v>
      </c>
      <c r="AQ128">
        <f>COUNTIFS(Dyno_Data[Team],TBA_Matches_All[[#This Row],[Team]],Dyno_Data[Match],TBA_Matches_All[[#This Row],[Match_Number]],Dyno_Data[RecordType],"Activities",Dyno_Data[DelDest],"AllyW", Dyno_Data[DelMiss],"0")</f>
        <v>0</v>
      </c>
      <c r="AR128" t="str">
        <f>_xlfn.XLOOKUP(SUM(MID(TBA_Matches_All[[#This Row],[Team]],4,5),(TBA_Matches_All[[#This Row],[Match_Number]]/100)),Dyno_EndMatch[teammat],Dyno_EndMatch[RobotSta],"_",0,1)</f>
        <v>SubW</v>
      </c>
      <c r="AS128">
        <f>SUMIFS(Dyno_Data[AcqDis], Dyno_Data[Team],TBA_Matches_All[[#This Row],[Team]],Dyno_Data[Match],TBA_Matches_All[[#This Row],[Match_Number]],Dyno_Data[RecordType],"Activities", Dyno_Data[AcqCenter],1,Dyno_Data[Mode],"Auto")</f>
        <v>0</v>
      </c>
      <c r="AT128">
        <f>SUMIFS(Dyno_Data[AcqDis], Dyno_Data[Team],TBA_Matches_All[[#This Row],[Team]],Dyno_Data[Match],TBA_Matches_All[[#This Row],[Match_Number]],Dyno_Data[RecordType],"Activities", Dyno_Data[AcqCenter],2,Dyno_Data[Mode],"Auto")</f>
        <v>0</v>
      </c>
      <c r="AU128">
        <f>SUMIFS(Dyno_Data[AcqDis], Dyno_Data[Team],TBA_Matches_All[[#This Row],[Team]],Dyno_Data[Match],TBA_Matches_All[[#This Row],[Match_Number]],Dyno_Data[RecordType],"Activities", Dyno_Data[AcqCenter],3,Dyno_Data[Mode],"Auto")</f>
        <v>0</v>
      </c>
      <c r="AV128">
        <f>SUMIFS(Dyno_Data[AcqDis], Dyno_Data[Team],TBA_Matches_All[[#This Row],[Team]],Dyno_Data[Match],TBA_Matches_All[[#This Row],[Match_Number]],Dyno_Data[RecordType],"Activities", Dyno_Data[AcqCenter],4,Dyno_Data[Mode],"Auto")</f>
        <v>0</v>
      </c>
      <c r="AW128">
        <f>SUMIFS(Dyno_Data[AcqDis], Dyno_Data[Team],TBA_Matches_All[[#This Row],[Team]],Dyno_Data[Match],TBA_Matches_All[[#This Row],[Match_Number]],Dyno_Data[RecordType],"Activities", Dyno_Data[AcqCenter],5,Dyno_Data[Mode],"Auto")</f>
        <v>0</v>
      </c>
      <c r="AX128">
        <f>SUMIFS(Dyno_Data[DelMiss], Dyno_Data[Team],TBA_Matches_All[[#This Row],[Team]],Dyno_Data[Match],TBA_Matches_All[[#This Row],[Match_Number]],Dyno_Data[RecordType],"Activities", Dyno_Data[DelDest],"Amp")</f>
        <v>0</v>
      </c>
      <c r="AY128" s="60">
        <f>IFERROR(SUM((TBA_Matches_All[[#This Row],[AampT]]+TBA_Matches_All[[#This Row],[TampT]])/(TBA_Matches_All[[#This Row],[AampT]]+TBA_Matches_All[[#This Row],[TampT]]+TBA_Matches_All[[#This Row],[ampM]])),0)</f>
        <v>0</v>
      </c>
      <c r="AZ128">
        <f>SUMIFS(Dyno_Data[DelMiss], Dyno_Data[Team],TBA_Matches_All[[#This Row],[Team]],Dyno_Data[Match],TBA_Matches_All[[#This Row],[Match_Number]],Dyno_Data[RecordType],"Activities", Dyno_Data[DelDest],"Spkr")</f>
        <v>1</v>
      </c>
      <c r="BA128" s="60">
        <f>IFERROR(SUM((TBA_Matches_All[[#This Row],[AspkrT]]+TBA_Matches_All[[#This Row],[TspkrT]])/(TBA_Matches_All[[#This Row],[AspkrT]]+TBA_Matches_All[[#This Row],[TspkrT]]+TBA_Matches_All[[#This Row],[spkrM]])),0)</f>
        <v>0.90909090909090906</v>
      </c>
      <c r="BB128">
        <f>SUMIFS(Dyno_Data[DelMiss], Dyno_Data[Team],TBA_Matches_All[[#This Row],[Team]],Dyno_Data[Match],TBA_Matches_All[[#This Row],[Match_Number]],Dyno_Data[RecordType],"Activities", Dyno_Data[DelDest],"Trap")</f>
        <v>0</v>
      </c>
      <c r="BC128" s="60">
        <f>IFERROR((TBA_Matches_All[[#This Row],[AtrapT]]+TBA_Matches_All[[#This Row],[TtrapT]])/(TBA_Matches_All[[#This Row],[AtrapT]]+TBA_Matches_All[[#This Row],[TtrapT]]+TBA_Matches_All[[#This Row],[trapM]]),0)</f>
        <v>0</v>
      </c>
      <c r="BD128">
        <f>COUNTIFS(Dyno_Data[Team],TBA_Matches_All[[#This Row],[Team]],Dyno_Data[Match],TBA_Matches_All[[#This Row],[Match_Number]],Dyno_Data[RecordType],"Activities",Dyno_Data[DelDest],"Neut", Dyno_Data[DelMiss],1)</f>
        <v>0</v>
      </c>
      <c r="BE128" s="60">
        <f>IFERROR(SUM((TBA_Matches_All[[#This Row],[NeutFlrT]])/(TBA_Matches_All[[#This Row],[NeutFlrT]]+TBA_Matches_All[[#This Row],[NZflM]])),0)</f>
        <v>0</v>
      </c>
      <c r="BF128">
        <f>COUNTIFS(Dyno_Data[Team],TBA_Matches_All[[#This Row],[Team]],Dyno_Data[Match],TBA_Matches_All[[#This Row],[Match_Number]],Dyno_Data[RecordType],"Activities",Dyno_Data[DelDest],"AllyW", Dyno_Data[DelMiss],1)</f>
        <v>0</v>
      </c>
      <c r="BG128" s="60">
        <f>IFERROR(SUM((TBA_Matches_All[[#This Row],[AllyWFlrT]])/(TBA_Matches_All[[#This Row],[AllyWFlrT]]+TBA_Matches_All[[#This Row],[AZflM]])),0)</f>
        <v>0</v>
      </c>
      <c r="BH128">
        <f>COUNTIFS(Dyno_Data[Team],TBA_Matches_All[[#This Row],[Team]],Dyno_Data[Match],TBA_Matches_All[[#This Row],[Match_Number]],Dyno_Data[RecordType],"Activities",Dyno_Data[DelOrig],"OppW", Dyno_Data[DelMiss],"0")</f>
        <v>0</v>
      </c>
      <c r="BI128">
        <f>COUNTIFS(Dyno_Data[Team],TBA_Matches_All[[#This Row],[Team]],Dyno_Data[Match],TBA_Matches_All[[#This Row],[Match_Number]],Dyno_Data[RecordType],"Activities",Dyno_Data[DelOrig],"OppW", Dyno_Data[DelMiss],"1")</f>
        <v>0</v>
      </c>
      <c r="BJ128" s="60">
        <f>IFERROR(SUM((TBA_Matches_All[[#This Row],[OZflrT]])/(TBA_Matches_All[[#This Row],[OZflrT]]+TBA_Matches_All[[#This Row],[OZflrM]])),0)</f>
        <v>0</v>
      </c>
      <c r="BK128">
        <f>COUNTIFS(Dyno_Data[Team],TBA_Matches_All[[#This Row],[Team]],Dyno_Data[Match],TBA_Matches_All[[#This Row],[Match_Number]],Dyno_Data[RecordType],"Activities",Dyno_Data[DelOrig],"Neut", Dyno_Data[DelMiss],"0")</f>
        <v>0</v>
      </c>
      <c r="BL128">
        <f>COUNTIFS(Dyno_Data[Team],TBA_Matches_All[[#This Row],[Team]],Dyno_Data[Match],TBA_Matches_All[[#This Row],[Match_Number]],Dyno_Data[RecordType],"Activities",Dyno_Data[DelOrig],"Neut", Dyno_Data[DelMiss],"1")</f>
        <v>0</v>
      </c>
      <c r="BM128" s="60">
        <f>IFERROR(SUM((TBA_Matches_All[[#This Row],[NZflrT]])/(TBA_Matches_All[[#This Row],[NZflrT]]+TBA_Matches_All[[#This Row],[NZflrM]])),0)</f>
        <v>0</v>
      </c>
      <c r="BN128">
        <f>COUNTIFS(Dyno_Data[Team],TBA_Matches_All[[#This Row],[Team]],Dyno_Data[Match],TBA_Matches_All[[#This Row],[Match_Number]],Dyno_Data[RecordType],"Activities",Dyno_Data[DelOrig],"AllyW", Dyno_Data[DelMiss],"0")</f>
        <v>0</v>
      </c>
      <c r="BO128">
        <f>COUNTIFS(Dyno_Data[Team],TBA_Matches_All[[#This Row],[Team]],Dyno_Data[Match],TBA_Matches_All[[#This Row],[Match_Number]],Dyno_Data[RecordType],"Activities",Dyno_Data[DelOrig],"AllyW", Dyno_Data[DelMiss],"1")</f>
        <v>0</v>
      </c>
      <c r="BP128" s="60">
        <f>IFERROR(SUM((TBA_Matches_All[[#This Row],[AZflrT]])/(TBA_Matches_All[[#This Row],[AZflrT]]+TBA_Matches_All[[#This Row],[AZflrM]])),0)</f>
        <v>0</v>
      </c>
      <c r="BQ128">
        <f>COUNTIFS(Dyno_Data[Team],TBA_Matches_All[[#This Row],[Team]],Dyno_Data[Match],TBA_Matches_All[[#This Row],[Match_Number]],Dyno_Data[RecordType],"Activities",Dyno_Data[DelOrig],"SubW", Dyno_Data[DelMiss],"0")</f>
        <v>10</v>
      </c>
      <c r="BR128">
        <f>COUNTIFS(Dyno_Data[Team],TBA_Matches_All[[#This Row],[Team]],Dyno_Data[Match],TBA_Matches_All[[#This Row],[Match_Number]],Dyno_Data[RecordType],"Activities",Dyno_Data[DelOrig],"SubW", Dyno_Data[DelMiss],"1")</f>
        <v>1</v>
      </c>
      <c r="BS128" s="60">
        <f>IFERROR(SUM((TBA_Matches_All[[#This Row],[SubwT]])/(TBA_Matches_All[[#This Row],[SubwT]]+TBA_Matches_All[[#This Row],[SubwM]])),0)</f>
        <v>0.90909090909090906</v>
      </c>
      <c r="BT128">
        <f>COUNTIFS(Dyno_Data[Team],TBA_Matches_All[[#This Row],[Team]],Dyno_Data[Match],TBA_Matches_All[[#This Row],[Match_Number]],Dyno_Data[RecordType],"Activities", Dyno_Data[AcqLoc],"OppWing")</f>
        <v>0</v>
      </c>
      <c r="BU128">
        <f>COUNTIFS(Dyno_Data[Team],TBA_Matches_All[[#This Row],[Team]],Dyno_Data[Match],TBA_Matches_All[[#This Row],[Match_Number]],Dyno_Data[RecordType],"Activities", Dyno_Data[AcqLoc],"Neutral")</f>
        <v>0</v>
      </c>
      <c r="BV128">
        <f>COUNTIFS(Dyno_Data[Team],TBA_Matches_All[[#This Row],[Team]],Dyno_Data[Match],TBA_Matches_All[[#This Row],[Match_Number]],Dyno_Data[RecordType],"Activities", Dyno_Data[AcqLoc],"AllyWing")</f>
        <v>0</v>
      </c>
      <c r="BW128">
        <f>COUNTIFS(Dyno_Data[Team],TBA_Matches_All[[#This Row],[Team]],Dyno_Data[Match],TBA_Matches_All[[#This Row],[Match_Number]],Dyno_Data[RecordType],"Activities", Dyno_Data[AcqLoc],"Source")</f>
        <v>0</v>
      </c>
      <c r="BX128">
        <f>SUMIFS(Dyno_Data[AcqDrp], Dyno_Data[Team],TBA_Matches_All[[#This Row],[Team]],Dyno_Data[Match],TBA_Matches_All[[#This Row],[Match_Number]],Dyno_Data[RecordType],"Activities", Dyno_Data[AcqLoc],"Source")</f>
        <v>0</v>
      </c>
      <c r="BY128">
        <f>SUMIFS(Dyno_Data[OZTime], Dyno_Data[Team],TBA_Matches_All[[#This Row],[Team]],Dyno_Data[Match],TBA_Matches_All[[#This Row],[Match_Number]],Dyno_Data[RecordType],"EndMatch")</f>
        <v>48.5885161</v>
      </c>
      <c r="BZ128">
        <f>SUMIFS(Dyno_Data[NZTime], Dyno_Data[Team],TBA_Matches_All[[#This Row],[Team]],Dyno_Data[Match],TBA_Matches_All[[#This Row],[Match_Number]],Dyno_Data[RecordType],"EndMatch")</f>
        <v>31.653389199999999</v>
      </c>
      <c r="CA128">
        <f>SUMIFS(Dyno_Data[AZTime], Dyno_Data[Team],TBA_Matches_All[[#This Row],[Team]],Dyno_Data[Match],TBA_Matches_All[[#This Row],[Match_Number]],Dyno_Data[RecordType],"EndMatch")</f>
        <v>52.987888699999999</v>
      </c>
      <c r="CB128">
        <f>SUMIFS(Dyno_Data[ClimbT], Dyno_Data[Team],TBA_Matches_All[[#This Row],[Team]],Dyno_Data[Match],TBA_Matches_All[[#This Row],[Match_Number]],Dyno_Data[RecordType],"EndMatch")</f>
        <v>2.5639637999999998</v>
      </c>
      <c r="CC128" t="str">
        <f>_xlfn.XLOOKUP(SUM(MID(TBA_Matches_All[[#This Row],[Team]],4,5),(TBA_Matches_All[[#This Row],[Match_Number]]/100)),Dyno_EndMatch[teammat],Dyno_EndMatch[StageStat],"_",0,1)</f>
        <v>Park</v>
      </c>
      <c r="CD128" t="str">
        <f>_xlfn.XLOOKUP(TBA_Matches_All[[#This Row],[teammat]],Dyno_EndMatch[teammat],Dyno_EndMatch[StageAtt],"_",0,1)</f>
        <v>-1</v>
      </c>
      <c r="CE128" t="str">
        <f>_xlfn.XLOOKUP(TBA_Matches_All[[#This Row],[teammat]],Dyno_EndMatch[teammat],Dyno_EndMatch[StageLoc],"_",0,1)</f>
        <v>A</v>
      </c>
      <c r="CF128">
        <f>SUMIFS(Dyno_Data[Harmony], Dyno_Data[Team],TBA_Matches_All[[#This Row],[Team]],Dyno_Data[Match],TBA_Matches_All[[#This Row],[Match_Number]],Dyno_Data[RecordType],"EndMatch", Dyno_Data[StageStat],"On",Dyno_Data[Harmony],"&lt;&gt;9")</f>
        <v>0</v>
      </c>
      <c r="CG128">
        <f>SUMIFS(Dyno_Data[Spotlit], Dyno_Data[Team],TBA_Matches_All[[#This Row],[Team]],Dyno_Data[Match],TBA_Matches_All[[#This Row],[Match_Number]],Dyno_Data[RecordType],"EndMatch", Dyno_Data[StageStat],"On",Dyno_Data[Spotlit],"&lt;&gt;9")</f>
        <v>0</v>
      </c>
      <c r="CH128" t="str">
        <f>_xlfn.XLOOKUP(TBA_Matches_All[[#This Row],[teammat]],Dyno_EndMatch[teammat],Dyno_EndMatch[Strategy],"_",0,1)</f>
        <v>Hybrid</v>
      </c>
      <c r="CI128">
        <f>SUMIFS(Dyno_Data[Defense], Dyno_Data[Team],TBA_Matches_All[[#This Row],[Team]],Dyno_Data[Match],TBA_Matches_All[[#This Row],[Match_Number]],Dyno_Data[RecordType],"EndMatch",Dyno_Data[Defense],"&lt;&gt;9")</f>
        <v>0</v>
      </c>
      <c r="CJ128">
        <f>SUMIFS(Dyno_Data[Avoidance], Dyno_Data[Team],TBA_Matches_All[[#This Row],[Team]],Dyno_Data[Match],TBA_Matches_All[[#This Row],[Match_Number]],Dyno_Data[RecordType],"EndMatch",Dyno_Data[Avoidance],"&lt;&gt;9")</f>
        <v>1</v>
      </c>
      <c r="CK128" s="82">
        <f>COUNTIF($H$2:TBA_Matches_All[[#This Row],[Team]],TBA_Matches_All[[#This Row],[Team]])</f>
        <v>3</v>
      </c>
      <c r="CL128" s="111">
        <f>SUM(MID(TBA_Matches_All[[#This Row],[Team]],4,5)+TBA_Matches_All[[#This Row],[Match_Number]]/100)</f>
        <v>2601.21</v>
      </c>
      <c r="CM128">
        <f>SUM((TBA_Matches_All[[#This Row],[Leave]]*2)+(TBA_Matches_All[[#This Row],[AampT]]*2)+(TBA_Matches_All[[#This Row],[AspkrT]]*5)+(TBA_Matches_All[[#This Row],[AtrapT]]*5))</f>
        <v>12</v>
      </c>
      <c r="CN128" s="59">
        <f>IFERROR(SUM(TBA_Matches_All[[#This Row],[AptsT]]/TBA_Matches_All[[#This Row],[AutoPts]]),0)</f>
        <v>0.8571428571428571</v>
      </c>
      <c r="CO128" s="59">
        <f>IFERROR(SUM(TBA_Matches_All[[#This Row],[AampT]]+TBA_Matches_All[[#This Row],[AspkrT]]+TBA_Matches_All[[#This Row],[AtrapT]]/TBA_Matches_All[[#This Row],[Aamp]]+TBA_Matches_All[[#This Row],[Aspkr]]+TBA_Matches_All[[#This Row],[AtrapT]]),0)</f>
        <v>0</v>
      </c>
      <c r="CP128" s="59">
        <f>IFERROR(SUM(TBA_Matches_All[[#This Row],[TampT]]/TBA_Matches_All[[#This Row],[Tamp]]),0)</f>
        <v>0</v>
      </c>
      <c r="CQ128" s="59">
        <f>IFERROR(SUM(TBA_Matches_All[[#This Row],[TspkrT]]/TBA_Matches_All[[#This Row],[Tspkr]]),0)</f>
        <v>0.5714285714285714</v>
      </c>
      <c r="CR128">
        <f>SUM(TBA_Matches_All[[#This Row],[TspkrPts]]*TBA_Matches_All[[#This Row],[TspkrP]])</f>
        <v>21.142857142857142</v>
      </c>
      <c r="CS128" s="59">
        <f>IFERROR(SUM(TBA_Matches_All[[#This Row],[TtrapT]]/TBA_Matches_All[[#This Row],[Trap]]),0)</f>
        <v>0</v>
      </c>
      <c r="CT128" s="59">
        <f>IFERROR(SUM(TBA_Matches_All[[#This Row],[TotNotesT]]/TBA_Matches_All[[#This Row],[TotNotes]]),0)</f>
        <v>0.43478260869565216</v>
      </c>
      <c r="CU128" s="66">
        <f>SUM((TBA_Matches_All[[#This Row],[AampT]]*2)+(TBA_Matches_All[[#This Row],[AspkrT]]*5)+(TBA_Matches_All[[#This Row],[AtrapT]]*5)+(TBA_Matches_All[[#This Row],[TampT]]*1)+(TBA_Matches_All[[#This Row],[TspkrptsC]]))</f>
        <v>31.142857142857142</v>
      </c>
      <c r="CV128" s="59">
        <f>IFERROR(TBA_Matches_All[[#This Row],[noteptsT]]/TBA_Matches_All[[#This Row],[NotePts]],0)</f>
        <v>0.57671957671957674</v>
      </c>
      <c r="CW128">
        <f>SUM(IF(TBA_Matches_All[[#This Row],[stageStat]]="On",3,0),IF(TBA_Matches_All[[#This Row],[stageStat]]="Park",1,0),SUMIFS(TBA_Matches_All[[#This Row],[Spotlit]],TBA_Matches_All[[#This Row],[stageStat]],"On"),SUMIFS(TBA_Matches_All[[#This Row],[Harmony]],TBA_Matches_All[[#This Row],[stageStat]],"On"))</f>
        <v>1</v>
      </c>
      <c r="CX128" s="59">
        <f>IFERROR(TBA_Matches_All[[#This Row],[stageptsT]]/TBA_Matches_All[[#This Row],[StagePts]],0)</f>
        <v>0.14285714285714285</v>
      </c>
      <c r="CY128">
        <f>SUM((TBA_Matches_All[[#This Row],[AptsT]]+TBA_Matches_All[[#This Row],[TampT]]+TBA_Matches_All[[#This Row],[TspkrptsC]]+(TBA_Matches_All[[#This Row],[TtrapT]]*5)+TBA_Matches_All[[#This Row],[stageptsT]]))</f>
        <v>34.142857142857139</v>
      </c>
      <c r="CZ128" s="59">
        <f>IFERROR(SUM(TBA_Matches_All[[#This Row],[TotptsC]]/TBA_Matches_All[[#This Row],[Score]]),0)</f>
        <v>0.52527472527472518</v>
      </c>
      <c r="DA12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15.81076923076923</v>
      </c>
      <c r="DB128" s="74">
        <f>SUMIFS(TBA_Matches_All[AveTeamTNoteDels],TBA_Matches_All[Match_Number],TBA_Matches_All[[#This Row],[Match_Number]],TBA_Matches_All[Alliance],"&lt;&gt;"&amp;TBA_Matches_All[[#This Row],[Alliance]],TBA_Matches_All[Scouted],"&gt;0")</f>
        <v>21.243749999999999</v>
      </c>
      <c r="DC128" s="74">
        <f>(TBA_Matches_All[[#This Row],[TampT]]+TBA_Matches_All[[#This Row],[TspkrptsC]])-TBA_Matches_All[[#This Row],[AveTeamTNoteDels]]</f>
        <v>5.3320879120879123</v>
      </c>
      <c r="DD128" s="74">
        <f>SUMIFS(TBA_Matches_All[AveTeamTNoteDels],TBA_Matches_All[Match_Number],TBA_Matches_All[[#This Row],[Match_Number]],TBA_Matches_All[Alliance],"&lt;&gt;"&amp;TBA_Matches_All[[#This Row],[Alliance]])-TBA_Matches_All[[#This Row],[AveOppTNoteDels]]</f>
        <v>0</v>
      </c>
    </row>
    <row r="129" spans="1:108" x14ac:dyDescent="0.3">
      <c r="A129" t="s">
        <v>1042</v>
      </c>
      <c r="B129" t="s">
        <v>489</v>
      </c>
      <c r="C129" t="s">
        <v>1331</v>
      </c>
      <c r="D129">
        <v>22</v>
      </c>
      <c r="E129" t="s">
        <v>1420</v>
      </c>
      <c r="F129" t="s">
        <v>1421</v>
      </c>
      <c r="G129" t="s">
        <v>164</v>
      </c>
      <c r="H129" t="s">
        <v>1275</v>
      </c>
      <c r="I129" t="b">
        <v>0</v>
      </c>
      <c r="J129">
        <v>37</v>
      </c>
      <c r="K129">
        <v>0</v>
      </c>
      <c r="L129">
        <v>0</v>
      </c>
      <c r="M129">
        <v>6</v>
      </c>
      <c r="N129">
        <v>0</v>
      </c>
      <c r="O129">
        <v>2</v>
      </c>
      <c r="P129">
        <v>10</v>
      </c>
      <c r="Q129">
        <v>14</v>
      </c>
      <c r="R129">
        <v>0</v>
      </c>
      <c r="S129">
        <v>0</v>
      </c>
      <c r="T129">
        <v>10</v>
      </c>
      <c r="U129">
        <v>0</v>
      </c>
      <c r="V129">
        <v>20</v>
      </c>
      <c r="W129">
        <v>10</v>
      </c>
      <c r="X129">
        <v>20</v>
      </c>
      <c r="Y129">
        <v>20</v>
      </c>
      <c r="Z129">
        <v>0</v>
      </c>
      <c r="AA129">
        <v>0</v>
      </c>
      <c r="AB129">
        <v>12</v>
      </c>
      <c r="AC129">
        <v>30</v>
      </c>
      <c r="AD129">
        <v>3</v>
      </c>
      <c r="AE129">
        <f>IFERROR(6/(COUNTIF(Dyno_EndMatch[Match],TBA_Matches_All[[#This Row],[Match_Number]])),0)</f>
        <v>0</v>
      </c>
      <c r="AF129">
        <f>COUNTIFS(Dyno_Data[Team],TBA_Matches_All[[#This Row],[Team]],Dyno_Data[Match],TBA_Matches_All[[#This Row],[Match_Number]],Dyno_Data[RecordType],"EndMatch",Dyno_Data[HPAmp],"Y")</f>
        <v>0</v>
      </c>
      <c r="AG129">
        <f>SUMIFS(Dyno_Data[Mics], Dyno_Data[Team],TBA_Matches_All[[#This Row],[Team]],Dyno_Data[Match],TBA_Matches_All[[#This Row],[Match_Number]],Dyno_Data[RecordType],"EndMatch",Dyno_Data[HPAmp],"Y")</f>
        <v>0</v>
      </c>
      <c r="AH129">
        <f>SUMIFS(Dyno_Data[Leave], Dyno_Data[Team],TBA_Matches_All[[#This Row],[Team]],Dyno_Data[Match],TBA_Matches_All[[#This Row],[Match_Number]],Dyno_Data[RecordType],"EndAuto")</f>
        <v>0</v>
      </c>
      <c r="AI129">
        <f>COUNTIFS(Dyno_Data[Team],TBA_Matches_All[[#This Row],[Team]],Dyno_Data[Match],TBA_Matches_All[[#This Row],[Match_Number]],Dyno_Data[RecordType],"Activities",Dyno_Data[DelDest],"Amp", Dyno_Data[DelMiss],"0", Dyno_Data[Mode],"Auto")</f>
        <v>0</v>
      </c>
      <c r="AJ129">
        <f>COUNTIFS(Dyno_Data[Team],TBA_Matches_All[[#This Row],[Team]],Dyno_Data[Match],TBA_Matches_All[[#This Row],[Match_Number]],Dyno_Data[RecordType],"Activities",Dyno_Data[DelDest],"Spkr", Dyno_Data[DelMiss],"0", Dyno_Data[Mode],"Auto")</f>
        <v>0</v>
      </c>
      <c r="AK129">
        <f>COUNTIFS(Dyno_Data[Team],TBA_Matches_All[[#This Row],[Team]],Dyno_Data[Match],TBA_Matches_All[[#This Row],[Match_Number]],Dyno_Data[RecordType],"Activities",Dyno_Data[DelDest],"Trap", Dyno_Data[DelMiss],"0", Dyno_Data[Mode],"Auto")</f>
        <v>0</v>
      </c>
      <c r="AL129">
        <f>COUNTIFS(Dyno_Data[Team],TBA_Matches_All[[#This Row],[Team]],Dyno_Data[Match],TBA_Matches_All[[#This Row],[Match_Number]],Dyno_Data[RecordType],"Activities",Dyno_Data[DelDest],"Amp", Dyno_Data[DelMiss],"0", Dyno_Data[Mode],"Teleop")</f>
        <v>0</v>
      </c>
      <c r="AM129">
        <f>COUNTIFS(Dyno_Data[Team],TBA_Matches_All[[#This Row],[Team]],Dyno_Data[Match],TBA_Matches_All[[#This Row],[Match_Number]],Dyno_Data[RecordType],"Activities",Dyno_Data[DelDest],"Spkr", Dyno_Data[DelMiss],"0", Dyno_Data[Mode],"Teleop")</f>
        <v>0</v>
      </c>
      <c r="AN129">
        <f>COUNTIFS(Dyno_Data[Team],TBA_Matches_All[[#This Row],[Team]],Dyno_Data[Match],TBA_Matches_All[[#This Row],[Match_Number]],Dyno_Data[RecordType],"Activities",Dyno_Data[DelDest],"Trap", Dyno_Data[DelMiss],"0", Dyno_Data[Mode],"&lt;&gt;Auto")</f>
        <v>0</v>
      </c>
      <c r="AO129">
        <f>SUM(TBA_Matches_All[[#This Row],[AampT]]+TBA_Matches_All[[#This Row],[AspkrT]]+TBA_Matches_All[[#This Row],[AtrapT]]+TBA_Matches_All[[#This Row],[TampT]]+TBA_Matches_All[[#This Row],[TspkrT]]+TBA_Matches_All[[#This Row],[TtrapT]])</f>
        <v>0</v>
      </c>
      <c r="AP129">
        <f>COUNTIFS(Dyno_Data[Team],TBA_Matches_All[[#This Row],[Team]],Dyno_Data[Match],TBA_Matches_All[[#This Row],[Match_Number]],Dyno_Data[RecordType],"Activities",Dyno_Data[DelDest],"Neut", Dyno_Data[DelMiss],"0")</f>
        <v>0</v>
      </c>
      <c r="AQ129">
        <f>COUNTIFS(Dyno_Data[Team],TBA_Matches_All[[#This Row],[Team]],Dyno_Data[Match],TBA_Matches_All[[#This Row],[Match_Number]],Dyno_Data[RecordType],"Activities",Dyno_Data[DelDest],"AllyW", Dyno_Data[DelMiss],"0")</f>
        <v>0</v>
      </c>
      <c r="AR129" t="str">
        <f>_xlfn.XLOOKUP(SUM(MID(TBA_Matches_All[[#This Row],[Team]],4,5),(TBA_Matches_All[[#This Row],[Match_Number]]/100)),Dyno_EndMatch[teammat],Dyno_EndMatch[RobotSta],"_",0,1)</f>
        <v>_</v>
      </c>
      <c r="AS129">
        <f>SUMIFS(Dyno_Data[AcqDis], Dyno_Data[Team],TBA_Matches_All[[#This Row],[Team]],Dyno_Data[Match],TBA_Matches_All[[#This Row],[Match_Number]],Dyno_Data[RecordType],"Activities", Dyno_Data[AcqCenter],1,Dyno_Data[Mode],"Auto")</f>
        <v>0</v>
      </c>
      <c r="AT129">
        <f>SUMIFS(Dyno_Data[AcqDis], Dyno_Data[Team],TBA_Matches_All[[#This Row],[Team]],Dyno_Data[Match],TBA_Matches_All[[#This Row],[Match_Number]],Dyno_Data[RecordType],"Activities", Dyno_Data[AcqCenter],2,Dyno_Data[Mode],"Auto")</f>
        <v>0</v>
      </c>
      <c r="AU129">
        <f>SUMIFS(Dyno_Data[AcqDis], Dyno_Data[Team],TBA_Matches_All[[#This Row],[Team]],Dyno_Data[Match],TBA_Matches_All[[#This Row],[Match_Number]],Dyno_Data[RecordType],"Activities", Dyno_Data[AcqCenter],3,Dyno_Data[Mode],"Auto")</f>
        <v>0</v>
      </c>
      <c r="AV129">
        <f>SUMIFS(Dyno_Data[AcqDis], Dyno_Data[Team],TBA_Matches_All[[#This Row],[Team]],Dyno_Data[Match],TBA_Matches_All[[#This Row],[Match_Number]],Dyno_Data[RecordType],"Activities", Dyno_Data[AcqCenter],4,Dyno_Data[Mode],"Auto")</f>
        <v>0</v>
      </c>
      <c r="AW129">
        <f>SUMIFS(Dyno_Data[AcqDis], Dyno_Data[Team],TBA_Matches_All[[#This Row],[Team]],Dyno_Data[Match],TBA_Matches_All[[#This Row],[Match_Number]],Dyno_Data[RecordType],"Activities", Dyno_Data[AcqCenter],5,Dyno_Data[Mode],"Auto")</f>
        <v>0</v>
      </c>
      <c r="AX129">
        <f>SUMIFS(Dyno_Data[DelMiss], Dyno_Data[Team],TBA_Matches_All[[#This Row],[Team]],Dyno_Data[Match],TBA_Matches_All[[#This Row],[Match_Number]],Dyno_Data[RecordType],"Activities", Dyno_Data[DelDest],"Amp")</f>
        <v>0</v>
      </c>
      <c r="AY129" s="60">
        <f>IFERROR(SUM((TBA_Matches_All[[#This Row],[AampT]]+TBA_Matches_All[[#This Row],[TampT]])/(TBA_Matches_All[[#This Row],[AampT]]+TBA_Matches_All[[#This Row],[TampT]]+TBA_Matches_All[[#This Row],[ampM]])),0)</f>
        <v>0</v>
      </c>
      <c r="AZ129">
        <f>SUMIFS(Dyno_Data[DelMiss], Dyno_Data[Team],TBA_Matches_All[[#This Row],[Team]],Dyno_Data[Match],TBA_Matches_All[[#This Row],[Match_Number]],Dyno_Data[RecordType],"Activities", Dyno_Data[DelDest],"Spkr")</f>
        <v>0</v>
      </c>
      <c r="BA129" s="60">
        <f>IFERROR(SUM((TBA_Matches_All[[#This Row],[AspkrT]]+TBA_Matches_All[[#This Row],[TspkrT]])/(TBA_Matches_All[[#This Row],[AspkrT]]+TBA_Matches_All[[#This Row],[TspkrT]]+TBA_Matches_All[[#This Row],[spkrM]])),0)</f>
        <v>0</v>
      </c>
      <c r="BB129">
        <f>SUMIFS(Dyno_Data[DelMiss], Dyno_Data[Team],TBA_Matches_All[[#This Row],[Team]],Dyno_Data[Match],TBA_Matches_All[[#This Row],[Match_Number]],Dyno_Data[RecordType],"Activities", Dyno_Data[DelDest],"Trap")</f>
        <v>0</v>
      </c>
      <c r="BC129" s="60">
        <f>IFERROR((TBA_Matches_All[[#This Row],[AtrapT]]+TBA_Matches_All[[#This Row],[TtrapT]])/(TBA_Matches_All[[#This Row],[AtrapT]]+TBA_Matches_All[[#This Row],[TtrapT]]+TBA_Matches_All[[#This Row],[trapM]]),0)</f>
        <v>0</v>
      </c>
      <c r="BD129">
        <f>COUNTIFS(Dyno_Data[Team],TBA_Matches_All[[#This Row],[Team]],Dyno_Data[Match],TBA_Matches_All[[#This Row],[Match_Number]],Dyno_Data[RecordType],"Activities",Dyno_Data[DelDest],"Neut", Dyno_Data[DelMiss],1)</f>
        <v>0</v>
      </c>
      <c r="BE129" s="60">
        <f>IFERROR(SUM((TBA_Matches_All[[#This Row],[NeutFlrT]])/(TBA_Matches_All[[#This Row],[NeutFlrT]]+TBA_Matches_All[[#This Row],[NZflM]])),0)</f>
        <v>0</v>
      </c>
      <c r="BF129">
        <f>COUNTIFS(Dyno_Data[Team],TBA_Matches_All[[#This Row],[Team]],Dyno_Data[Match],TBA_Matches_All[[#This Row],[Match_Number]],Dyno_Data[RecordType],"Activities",Dyno_Data[DelDest],"AllyW", Dyno_Data[DelMiss],1)</f>
        <v>0</v>
      </c>
      <c r="BG129" s="60">
        <f>IFERROR(SUM((TBA_Matches_All[[#This Row],[AllyWFlrT]])/(TBA_Matches_All[[#This Row],[AllyWFlrT]]+TBA_Matches_All[[#This Row],[AZflM]])),0)</f>
        <v>0</v>
      </c>
      <c r="BH129">
        <f>COUNTIFS(Dyno_Data[Team],TBA_Matches_All[[#This Row],[Team]],Dyno_Data[Match],TBA_Matches_All[[#This Row],[Match_Number]],Dyno_Data[RecordType],"Activities",Dyno_Data[DelOrig],"OppW", Dyno_Data[DelMiss],"0")</f>
        <v>0</v>
      </c>
      <c r="BI129">
        <f>COUNTIFS(Dyno_Data[Team],TBA_Matches_All[[#This Row],[Team]],Dyno_Data[Match],TBA_Matches_All[[#This Row],[Match_Number]],Dyno_Data[RecordType],"Activities",Dyno_Data[DelOrig],"OppW", Dyno_Data[DelMiss],"1")</f>
        <v>0</v>
      </c>
      <c r="BJ129" s="60">
        <f>IFERROR(SUM((TBA_Matches_All[[#This Row],[OZflrT]])/(TBA_Matches_All[[#This Row],[OZflrT]]+TBA_Matches_All[[#This Row],[OZflrM]])),0)</f>
        <v>0</v>
      </c>
      <c r="BK129">
        <f>COUNTIFS(Dyno_Data[Team],TBA_Matches_All[[#This Row],[Team]],Dyno_Data[Match],TBA_Matches_All[[#This Row],[Match_Number]],Dyno_Data[RecordType],"Activities",Dyno_Data[DelOrig],"Neut", Dyno_Data[DelMiss],"0")</f>
        <v>0</v>
      </c>
      <c r="BL129">
        <f>COUNTIFS(Dyno_Data[Team],TBA_Matches_All[[#This Row],[Team]],Dyno_Data[Match],TBA_Matches_All[[#This Row],[Match_Number]],Dyno_Data[RecordType],"Activities",Dyno_Data[DelOrig],"Neut", Dyno_Data[DelMiss],"1")</f>
        <v>0</v>
      </c>
      <c r="BM129" s="60">
        <f>IFERROR(SUM((TBA_Matches_All[[#This Row],[NZflrT]])/(TBA_Matches_All[[#This Row],[NZflrT]]+TBA_Matches_All[[#This Row],[NZflrM]])),0)</f>
        <v>0</v>
      </c>
      <c r="BN129">
        <f>COUNTIFS(Dyno_Data[Team],TBA_Matches_All[[#This Row],[Team]],Dyno_Data[Match],TBA_Matches_All[[#This Row],[Match_Number]],Dyno_Data[RecordType],"Activities",Dyno_Data[DelOrig],"AllyW", Dyno_Data[DelMiss],"0")</f>
        <v>0</v>
      </c>
      <c r="BO129">
        <f>COUNTIFS(Dyno_Data[Team],TBA_Matches_All[[#This Row],[Team]],Dyno_Data[Match],TBA_Matches_All[[#This Row],[Match_Number]],Dyno_Data[RecordType],"Activities",Dyno_Data[DelOrig],"AllyW", Dyno_Data[DelMiss],"1")</f>
        <v>0</v>
      </c>
      <c r="BP129" s="60">
        <f>IFERROR(SUM((TBA_Matches_All[[#This Row],[AZflrT]])/(TBA_Matches_All[[#This Row],[AZflrT]]+TBA_Matches_All[[#This Row],[AZflrM]])),0)</f>
        <v>0</v>
      </c>
      <c r="BQ129">
        <f>COUNTIFS(Dyno_Data[Team],TBA_Matches_All[[#This Row],[Team]],Dyno_Data[Match],TBA_Matches_All[[#This Row],[Match_Number]],Dyno_Data[RecordType],"Activities",Dyno_Data[DelOrig],"SubW", Dyno_Data[DelMiss],"0")</f>
        <v>0</v>
      </c>
      <c r="BR129">
        <f>COUNTIFS(Dyno_Data[Team],TBA_Matches_All[[#This Row],[Team]],Dyno_Data[Match],TBA_Matches_All[[#This Row],[Match_Number]],Dyno_Data[RecordType],"Activities",Dyno_Data[DelOrig],"SubW", Dyno_Data[DelMiss],"1")</f>
        <v>0</v>
      </c>
      <c r="BS129" s="60">
        <f>IFERROR(SUM((TBA_Matches_All[[#This Row],[SubwT]])/(TBA_Matches_All[[#This Row],[SubwT]]+TBA_Matches_All[[#This Row],[SubwM]])),0)</f>
        <v>0</v>
      </c>
      <c r="BT129">
        <f>COUNTIFS(Dyno_Data[Team],TBA_Matches_All[[#This Row],[Team]],Dyno_Data[Match],TBA_Matches_All[[#This Row],[Match_Number]],Dyno_Data[RecordType],"Activities", Dyno_Data[AcqLoc],"OppWing")</f>
        <v>0</v>
      </c>
      <c r="BU129">
        <f>COUNTIFS(Dyno_Data[Team],TBA_Matches_All[[#This Row],[Team]],Dyno_Data[Match],TBA_Matches_All[[#This Row],[Match_Number]],Dyno_Data[RecordType],"Activities", Dyno_Data[AcqLoc],"Neutral")</f>
        <v>0</v>
      </c>
      <c r="BV129">
        <f>COUNTIFS(Dyno_Data[Team],TBA_Matches_All[[#This Row],[Team]],Dyno_Data[Match],TBA_Matches_All[[#This Row],[Match_Number]],Dyno_Data[RecordType],"Activities", Dyno_Data[AcqLoc],"AllyWing")</f>
        <v>0</v>
      </c>
      <c r="BW129">
        <f>COUNTIFS(Dyno_Data[Team],TBA_Matches_All[[#This Row],[Team]],Dyno_Data[Match],TBA_Matches_All[[#This Row],[Match_Number]],Dyno_Data[RecordType],"Activities", Dyno_Data[AcqLoc],"Source")</f>
        <v>0</v>
      </c>
      <c r="BX129">
        <f>SUMIFS(Dyno_Data[AcqDrp], Dyno_Data[Team],TBA_Matches_All[[#This Row],[Team]],Dyno_Data[Match],TBA_Matches_All[[#This Row],[Match_Number]],Dyno_Data[RecordType],"Activities", Dyno_Data[AcqLoc],"Source")</f>
        <v>0</v>
      </c>
      <c r="BY129">
        <f>SUMIFS(Dyno_Data[OZTime], Dyno_Data[Team],TBA_Matches_All[[#This Row],[Team]],Dyno_Data[Match],TBA_Matches_All[[#This Row],[Match_Number]],Dyno_Data[RecordType],"EndMatch")</f>
        <v>0</v>
      </c>
      <c r="BZ129">
        <f>SUMIFS(Dyno_Data[NZTime], Dyno_Data[Team],TBA_Matches_All[[#This Row],[Team]],Dyno_Data[Match],TBA_Matches_All[[#This Row],[Match_Number]],Dyno_Data[RecordType],"EndMatch")</f>
        <v>0</v>
      </c>
      <c r="CA129">
        <f>SUMIFS(Dyno_Data[AZTime], Dyno_Data[Team],TBA_Matches_All[[#This Row],[Team]],Dyno_Data[Match],TBA_Matches_All[[#This Row],[Match_Number]],Dyno_Data[RecordType],"EndMatch")</f>
        <v>0</v>
      </c>
      <c r="CB129">
        <f>SUMIFS(Dyno_Data[ClimbT], Dyno_Data[Team],TBA_Matches_All[[#This Row],[Team]],Dyno_Data[Match],TBA_Matches_All[[#This Row],[Match_Number]],Dyno_Data[RecordType],"EndMatch")</f>
        <v>0</v>
      </c>
      <c r="CC129" t="str">
        <f>_xlfn.XLOOKUP(SUM(MID(TBA_Matches_All[[#This Row],[Team]],4,5),(TBA_Matches_All[[#This Row],[Match_Number]]/100)),Dyno_EndMatch[teammat],Dyno_EndMatch[StageStat],"_",0,1)</f>
        <v>_</v>
      </c>
      <c r="CD129" t="str">
        <f>_xlfn.XLOOKUP(TBA_Matches_All[[#This Row],[teammat]],Dyno_EndMatch[teammat],Dyno_EndMatch[StageAtt],"_",0,1)</f>
        <v>_</v>
      </c>
      <c r="CE129" t="str">
        <f>_xlfn.XLOOKUP(TBA_Matches_All[[#This Row],[teammat]],Dyno_EndMatch[teammat],Dyno_EndMatch[StageLoc],"_",0,1)</f>
        <v>_</v>
      </c>
      <c r="CF129">
        <f>SUMIFS(Dyno_Data[Harmony], Dyno_Data[Team],TBA_Matches_All[[#This Row],[Team]],Dyno_Data[Match],TBA_Matches_All[[#This Row],[Match_Number]],Dyno_Data[RecordType],"EndMatch", Dyno_Data[StageStat],"On",Dyno_Data[Harmony],"&lt;&gt;9")</f>
        <v>0</v>
      </c>
      <c r="CG129">
        <f>SUMIFS(Dyno_Data[Spotlit], Dyno_Data[Team],TBA_Matches_All[[#This Row],[Team]],Dyno_Data[Match],TBA_Matches_All[[#This Row],[Match_Number]],Dyno_Data[RecordType],"EndMatch", Dyno_Data[StageStat],"On",Dyno_Data[Spotlit],"&lt;&gt;9")</f>
        <v>0</v>
      </c>
      <c r="CH129" t="str">
        <f>_xlfn.XLOOKUP(TBA_Matches_All[[#This Row],[teammat]],Dyno_EndMatch[teammat],Dyno_EndMatch[Strategy],"_",0,1)</f>
        <v>_</v>
      </c>
      <c r="CI129">
        <f>SUMIFS(Dyno_Data[Defense], Dyno_Data[Team],TBA_Matches_All[[#This Row],[Team]],Dyno_Data[Match],TBA_Matches_All[[#This Row],[Match_Number]],Dyno_Data[RecordType],"EndMatch",Dyno_Data[Defense],"&lt;&gt;9")</f>
        <v>0</v>
      </c>
      <c r="CJ129">
        <f>SUMIFS(Dyno_Data[Avoidance], Dyno_Data[Team],TBA_Matches_All[[#This Row],[Team]],Dyno_Data[Match],TBA_Matches_All[[#This Row],[Match_Number]],Dyno_Data[RecordType],"EndMatch",Dyno_Data[Avoidance],"&lt;&gt;9")</f>
        <v>0</v>
      </c>
      <c r="CK129" s="82">
        <f>COUNTIF($H$2:TBA_Matches_All[[#This Row],[Team]],TBA_Matches_All[[#This Row],[Team]])</f>
        <v>3</v>
      </c>
      <c r="CL129" s="111">
        <f>SUM(MID(TBA_Matches_All[[#This Row],[Team]],4,5)+TBA_Matches_All[[#This Row],[Match_Number]]/100)</f>
        <v>1880.22</v>
      </c>
      <c r="CM129">
        <f>SUM((TBA_Matches_All[[#This Row],[Leave]]*2)+(TBA_Matches_All[[#This Row],[AampT]]*2)+(TBA_Matches_All[[#This Row],[AspkrT]]*5)+(TBA_Matches_All[[#This Row],[AtrapT]]*5))</f>
        <v>0</v>
      </c>
      <c r="CN129" s="59">
        <f>IFERROR(SUM(TBA_Matches_All[[#This Row],[AptsT]]/TBA_Matches_All[[#This Row],[AutoPts]]),0)</f>
        <v>0</v>
      </c>
      <c r="CO129" s="59">
        <f>IFERROR(SUM(TBA_Matches_All[[#This Row],[AampT]]+TBA_Matches_All[[#This Row],[AspkrT]]+TBA_Matches_All[[#This Row],[AtrapT]]/TBA_Matches_All[[#This Row],[Aamp]]+TBA_Matches_All[[#This Row],[Aspkr]]+TBA_Matches_All[[#This Row],[AtrapT]]),0)</f>
        <v>0</v>
      </c>
      <c r="CP129" s="59">
        <f>IFERROR(SUM(TBA_Matches_All[[#This Row],[TampT]]/TBA_Matches_All[[#This Row],[Tamp]]),0)</f>
        <v>0</v>
      </c>
      <c r="CQ129" s="59">
        <f>IFERROR(SUM(TBA_Matches_All[[#This Row],[TspkrT]]/TBA_Matches_All[[#This Row],[Tspkr]]),0)</f>
        <v>0</v>
      </c>
      <c r="CR129">
        <f>SUM(TBA_Matches_All[[#This Row],[TspkrPts]]*TBA_Matches_All[[#This Row],[TspkrP]])</f>
        <v>0</v>
      </c>
      <c r="CS129" s="59">
        <f>IFERROR(SUM(TBA_Matches_All[[#This Row],[TtrapT]]/TBA_Matches_All[[#This Row],[Trap]]),0)</f>
        <v>0</v>
      </c>
      <c r="CT129" s="59">
        <f>IFERROR(SUM(TBA_Matches_All[[#This Row],[TotNotesT]]/TBA_Matches_All[[#This Row],[TotNotes]]),0)</f>
        <v>0</v>
      </c>
      <c r="CU129" s="66">
        <f>SUM((TBA_Matches_All[[#This Row],[AampT]]*2)+(TBA_Matches_All[[#This Row],[AspkrT]]*5)+(TBA_Matches_All[[#This Row],[AtrapT]]*5)+(TBA_Matches_All[[#This Row],[TampT]]*1)+(TBA_Matches_All[[#This Row],[TspkrptsC]]))</f>
        <v>0</v>
      </c>
      <c r="CV129" s="59">
        <f>IFERROR(TBA_Matches_All[[#This Row],[noteptsT]]/TBA_Matches_All[[#This Row],[NotePts]],0)</f>
        <v>0</v>
      </c>
      <c r="CW129">
        <f>SUM(IF(TBA_Matches_All[[#This Row],[stageStat]]="On",3,0),IF(TBA_Matches_All[[#This Row],[stageStat]]="Park",1,0),SUMIFS(TBA_Matches_All[[#This Row],[Spotlit]],TBA_Matches_All[[#This Row],[stageStat]],"On"),SUMIFS(TBA_Matches_All[[#This Row],[Harmony]],TBA_Matches_All[[#This Row],[stageStat]],"On"))</f>
        <v>0</v>
      </c>
      <c r="CX129" s="59">
        <f>IFERROR(TBA_Matches_All[[#This Row],[stageptsT]]/TBA_Matches_All[[#This Row],[StagePts]],0)</f>
        <v>0</v>
      </c>
      <c r="CY129">
        <f>SUM((TBA_Matches_All[[#This Row],[AptsT]]+TBA_Matches_All[[#This Row],[TampT]]+TBA_Matches_All[[#This Row],[TspkrptsC]]+(TBA_Matches_All[[#This Row],[TtrapT]]*5)+TBA_Matches_All[[#This Row],[stageptsT]]))</f>
        <v>0</v>
      </c>
      <c r="CZ129" s="59">
        <f>IFERROR(SUM(TBA_Matches_All[[#This Row],[TotptsC]]/TBA_Matches_All[[#This Row],[Score]]),0)</f>
        <v>0</v>
      </c>
      <c r="DA12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5.3887987012987013</v>
      </c>
      <c r="DB129" s="74">
        <f>SUMIFS(TBA_Matches_All[AveTeamTNoteDels],TBA_Matches_All[Match_Number],TBA_Matches_All[[#This Row],[Match_Number]],TBA_Matches_All[Alliance],"&lt;&gt;"&amp;TBA_Matches_All[[#This Row],[Alliance]],TBA_Matches_All[Scouted],"&gt;0")</f>
        <v>0</v>
      </c>
      <c r="DC129" s="74">
        <f>(TBA_Matches_All[[#This Row],[TampT]]+TBA_Matches_All[[#This Row],[TspkrptsC]])-TBA_Matches_All[[#This Row],[AveTeamTNoteDels]]</f>
        <v>-5.3887987012987013</v>
      </c>
      <c r="DD129" s="74">
        <f>SUMIFS(TBA_Matches_All[AveTeamTNoteDels],TBA_Matches_All[Match_Number],TBA_Matches_All[[#This Row],[Match_Number]],TBA_Matches_All[Alliance],"&lt;&gt;"&amp;TBA_Matches_All[[#This Row],[Alliance]])-TBA_Matches_All[[#This Row],[AveOppTNoteDels]]</f>
        <v>35.727897102897103</v>
      </c>
    </row>
    <row r="130" spans="1:108" x14ac:dyDescent="0.3">
      <c r="A130" t="s">
        <v>1042</v>
      </c>
      <c r="B130" t="s">
        <v>489</v>
      </c>
      <c r="C130" t="s">
        <v>1331</v>
      </c>
      <c r="D130">
        <v>22</v>
      </c>
      <c r="E130" t="s">
        <v>1406</v>
      </c>
      <c r="F130" t="s">
        <v>1422</v>
      </c>
      <c r="G130" t="s">
        <v>105</v>
      </c>
      <c r="H130" t="s">
        <v>1305</v>
      </c>
      <c r="I130" t="b">
        <v>1</v>
      </c>
      <c r="J130">
        <v>89</v>
      </c>
      <c r="K130">
        <v>1</v>
      </c>
      <c r="L130">
        <v>0</v>
      </c>
      <c r="M130">
        <v>0</v>
      </c>
      <c r="N130">
        <v>0</v>
      </c>
      <c r="O130">
        <v>6</v>
      </c>
      <c r="P130">
        <v>30</v>
      </c>
      <c r="Q130">
        <v>36</v>
      </c>
      <c r="R130">
        <v>7</v>
      </c>
      <c r="S130">
        <v>5</v>
      </c>
      <c r="T130">
        <v>5</v>
      </c>
      <c r="U130">
        <v>25</v>
      </c>
      <c r="V130">
        <v>10</v>
      </c>
      <c r="W130">
        <v>10</v>
      </c>
      <c r="X130">
        <v>35</v>
      </c>
      <c r="Y130">
        <v>42</v>
      </c>
      <c r="Z130">
        <v>0</v>
      </c>
      <c r="AA130">
        <v>0</v>
      </c>
      <c r="AB130">
        <v>23</v>
      </c>
      <c r="AC130">
        <v>72</v>
      </c>
      <c r="AD130">
        <v>5</v>
      </c>
      <c r="AE130">
        <f>IFERROR(6/(COUNTIF(Dyno_EndMatch[Match],TBA_Matches_All[[#This Row],[Match_Number]])),0)</f>
        <v>0</v>
      </c>
      <c r="AF130">
        <f>COUNTIFS(Dyno_Data[Team],TBA_Matches_All[[#This Row],[Team]],Dyno_Data[Match],TBA_Matches_All[[#This Row],[Match_Number]],Dyno_Data[RecordType],"EndMatch",Dyno_Data[HPAmp],"Y")</f>
        <v>0</v>
      </c>
      <c r="AG130">
        <f>SUMIFS(Dyno_Data[Mics], Dyno_Data[Team],TBA_Matches_All[[#This Row],[Team]],Dyno_Data[Match],TBA_Matches_All[[#This Row],[Match_Number]],Dyno_Data[RecordType],"EndMatch",Dyno_Data[HPAmp],"Y")</f>
        <v>0</v>
      </c>
      <c r="AH130">
        <f>SUMIFS(Dyno_Data[Leave], Dyno_Data[Team],TBA_Matches_All[[#This Row],[Team]],Dyno_Data[Match],TBA_Matches_All[[#This Row],[Match_Number]],Dyno_Data[RecordType],"EndAuto")</f>
        <v>0</v>
      </c>
      <c r="AI130">
        <f>COUNTIFS(Dyno_Data[Team],TBA_Matches_All[[#This Row],[Team]],Dyno_Data[Match],TBA_Matches_All[[#This Row],[Match_Number]],Dyno_Data[RecordType],"Activities",Dyno_Data[DelDest],"Amp", Dyno_Data[DelMiss],"0", Dyno_Data[Mode],"Auto")</f>
        <v>0</v>
      </c>
      <c r="AJ130">
        <f>COUNTIFS(Dyno_Data[Team],TBA_Matches_All[[#This Row],[Team]],Dyno_Data[Match],TBA_Matches_All[[#This Row],[Match_Number]],Dyno_Data[RecordType],"Activities",Dyno_Data[DelDest],"Spkr", Dyno_Data[DelMiss],"0", Dyno_Data[Mode],"Auto")</f>
        <v>0</v>
      </c>
      <c r="AK130">
        <f>COUNTIFS(Dyno_Data[Team],TBA_Matches_All[[#This Row],[Team]],Dyno_Data[Match],TBA_Matches_All[[#This Row],[Match_Number]],Dyno_Data[RecordType],"Activities",Dyno_Data[DelDest],"Trap", Dyno_Data[DelMiss],"0", Dyno_Data[Mode],"Auto")</f>
        <v>0</v>
      </c>
      <c r="AL130">
        <f>COUNTIFS(Dyno_Data[Team],TBA_Matches_All[[#This Row],[Team]],Dyno_Data[Match],TBA_Matches_All[[#This Row],[Match_Number]],Dyno_Data[RecordType],"Activities",Dyno_Data[DelDest],"Amp", Dyno_Data[DelMiss],"0", Dyno_Data[Mode],"Teleop")</f>
        <v>0</v>
      </c>
      <c r="AM130">
        <f>COUNTIFS(Dyno_Data[Team],TBA_Matches_All[[#This Row],[Team]],Dyno_Data[Match],TBA_Matches_All[[#This Row],[Match_Number]],Dyno_Data[RecordType],"Activities",Dyno_Data[DelDest],"Spkr", Dyno_Data[DelMiss],"0", Dyno_Data[Mode],"Teleop")</f>
        <v>0</v>
      </c>
      <c r="AN130">
        <f>COUNTIFS(Dyno_Data[Team],TBA_Matches_All[[#This Row],[Team]],Dyno_Data[Match],TBA_Matches_All[[#This Row],[Match_Number]],Dyno_Data[RecordType],"Activities",Dyno_Data[DelDest],"Trap", Dyno_Data[DelMiss],"0", Dyno_Data[Mode],"&lt;&gt;Auto")</f>
        <v>0</v>
      </c>
      <c r="AO130">
        <f>SUM(TBA_Matches_All[[#This Row],[AampT]]+TBA_Matches_All[[#This Row],[AspkrT]]+TBA_Matches_All[[#This Row],[AtrapT]]+TBA_Matches_All[[#This Row],[TampT]]+TBA_Matches_All[[#This Row],[TspkrT]]+TBA_Matches_All[[#This Row],[TtrapT]])</f>
        <v>0</v>
      </c>
      <c r="AP130">
        <f>COUNTIFS(Dyno_Data[Team],TBA_Matches_All[[#This Row],[Team]],Dyno_Data[Match],TBA_Matches_All[[#This Row],[Match_Number]],Dyno_Data[RecordType],"Activities",Dyno_Data[DelDest],"Neut", Dyno_Data[DelMiss],"0")</f>
        <v>0</v>
      </c>
      <c r="AQ130">
        <f>COUNTIFS(Dyno_Data[Team],TBA_Matches_All[[#This Row],[Team]],Dyno_Data[Match],TBA_Matches_All[[#This Row],[Match_Number]],Dyno_Data[RecordType],"Activities",Dyno_Data[DelDest],"AllyW", Dyno_Data[DelMiss],"0")</f>
        <v>0</v>
      </c>
      <c r="AR130" t="str">
        <f>_xlfn.XLOOKUP(SUM(MID(TBA_Matches_All[[#This Row],[Team]],4,5),(TBA_Matches_All[[#This Row],[Match_Number]]/100)),Dyno_EndMatch[teammat],Dyno_EndMatch[RobotSta],"_",0,1)</f>
        <v>_</v>
      </c>
      <c r="AS130">
        <f>SUMIFS(Dyno_Data[AcqDis], Dyno_Data[Team],TBA_Matches_All[[#This Row],[Team]],Dyno_Data[Match],TBA_Matches_All[[#This Row],[Match_Number]],Dyno_Data[RecordType],"Activities", Dyno_Data[AcqCenter],1,Dyno_Data[Mode],"Auto")</f>
        <v>0</v>
      </c>
      <c r="AT130">
        <f>SUMIFS(Dyno_Data[AcqDis], Dyno_Data[Team],TBA_Matches_All[[#This Row],[Team]],Dyno_Data[Match],TBA_Matches_All[[#This Row],[Match_Number]],Dyno_Data[RecordType],"Activities", Dyno_Data[AcqCenter],2,Dyno_Data[Mode],"Auto")</f>
        <v>0</v>
      </c>
      <c r="AU130">
        <f>SUMIFS(Dyno_Data[AcqDis], Dyno_Data[Team],TBA_Matches_All[[#This Row],[Team]],Dyno_Data[Match],TBA_Matches_All[[#This Row],[Match_Number]],Dyno_Data[RecordType],"Activities", Dyno_Data[AcqCenter],3,Dyno_Data[Mode],"Auto")</f>
        <v>0</v>
      </c>
      <c r="AV130">
        <f>SUMIFS(Dyno_Data[AcqDis], Dyno_Data[Team],TBA_Matches_All[[#This Row],[Team]],Dyno_Data[Match],TBA_Matches_All[[#This Row],[Match_Number]],Dyno_Data[RecordType],"Activities", Dyno_Data[AcqCenter],4,Dyno_Data[Mode],"Auto")</f>
        <v>0</v>
      </c>
      <c r="AW130">
        <f>SUMIFS(Dyno_Data[AcqDis], Dyno_Data[Team],TBA_Matches_All[[#This Row],[Team]],Dyno_Data[Match],TBA_Matches_All[[#This Row],[Match_Number]],Dyno_Data[RecordType],"Activities", Dyno_Data[AcqCenter],5,Dyno_Data[Mode],"Auto")</f>
        <v>0</v>
      </c>
      <c r="AX130">
        <f>SUMIFS(Dyno_Data[DelMiss], Dyno_Data[Team],TBA_Matches_All[[#This Row],[Team]],Dyno_Data[Match],TBA_Matches_All[[#This Row],[Match_Number]],Dyno_Data[RecordType],"Activities", Dyno_Data[DelDest],"Amp")</f>
        <v>0</v>
      </c>
      <c r="AY130" s="60">
        <f>IFERROR(SUM((TBA_Matches_All[[#This Row],[AampT]]+TBA_Matches_All[[#This Row],[TampT]])/(TBA_Matches_All[[#This Row],[AampT]]+TBA_Matches_All[[#This Row],[TampT]]+TBA_Matches_All[[#This Row],[ampM]])),0)</f>
        <v>0</v>
      </c>
      <c r="AZ130">
        <f>SUMIFS(Dyno_Data[DelMiss], Dyno_Data[Team],TBA_Matches_All[[#This Row],[Team]],Dyno_Data[Match],TBA_Matches_All[[#This Row],[Match_Number]],Dyno_Data[RecordType],"Activities", Dyno_Data[DelDest],"Spkr")</f>
        <v>0</v>
      </c>
      <c r="BA130" s="60">
        <f>IFERROR(SUM((TBA_Matches_All[[#This Row],[AspkrT]]+TBA_Matches_All[[#This Row],[TspkrT]])/(TBA_Matches_All[[#This Row],[AspkrT]]+TBA_Matches_All[[#This Row],[TspkrT]]+TBA_Matches_All[[#This Row],[spkrM]])),0)</f>
        <v>0</v>
      </c>
      <c r="BB130">
        <f>SUMIFS(Dyno_Data[DelMiss], Dyno_Data[Team],TBA_Matches_All[[#This Row],[Team]],Dyno_Data[Match],TBA_Matches_All[[#This Row],[Match_Number]],Dyno_Data[RecordType],"Activities", Dyno_Data[DelDest],"Trap")</f>
        <v>0</v>
      </c>
      <c r="BC130" s="60">
        <f>IFERROR((TBA_Matches_All[[#This Row],[AtrapT]]+TBA_Matches_All[[#This Row],[TtrapT]])/(TBA_Matches_All[[#This Row],[AtrapT]]+TBA_Matches_All[[#This Row],[TtrapT]]+TBA_Matches_All[[#This Row],[trapM]]),0)</f>
        <v>0</v>
      </c>
      <c r="BD130">
        <f>COUNTIFS(Dyno_Data[Team],TBA_Matches_All[[#This Row],[Team]],Dyno_Data[Match],TBA_Matches_All[[#This Row],[Match_Number]],Dyno_Data[RecordType],"Activities",Dyno_Data[DelDest],"Neut", Dyno_Data[DelMiss],1)</f>
        <v>0</v>
      </c>
      <c r="BE130" s="60">
        <f>IFERROR(SUM((TBA_Matches_All[[#This Row],[NeutFlrT]])/(TBA_Matches_All[[#This Row],[NeutFlrT]]+TBA_Matches_All[[#This Row],[NZflM]])),0)</f>
        <v>0</v>
      </c>
      <c r="BF130">
        <f>COUNTIFS(Dyno_Data[Team],TBA_Matches_All[[#This Row],[Team]],Dyno_Data[Match],TBA_Matches_All[[#This Row],[Match_Number]],Dyno_Data[RecordType],"Activities",Dyno_Data[DelDest],"AllyW", Dyno_Data[DelMiss],1)</f>
        <v>0</v>
      </c>
      <c r="BG130" s="60">
        <f>IFERROR(SUM((TBA_Matches_All[[#This Row],[AllyWFlrT]])/(TBA_Matches_All[[#This Row],[AllyWFlrT]]+TBA_Matches_All[[#This Row],[AZflM]])),0)</f>
        <v>0</v>
      </c>
      <c r="BH130">
        <f>COUNTIFS(Dyno_Data[Team],TBA_Matches_All[[#This Row],[Team]],Dyno_Data[Match],TBA_Matches_All[[#This Row],[Match_Number]],Dyno_Data[RecordType],"Activities",Dyno_Data[DelOrig],"OppW", Dyno_Data[DelMiss],"0")</f>
        <v>0</v>
      </c>
      <c r="BI130">
        <f>COUNTIFS(Dyno_Data[Team],TBA_Matches_All[[#This Row],[Team]],Dyno_Data[Match],TBA_Matches_All[[#This Row],[Match_Number]],Dyno_Data[RecordType],"Activities",Dyno_Data[DelOrig],"OppW", Dyno_Data[DelMiss],"1")</f>
        <v>0</v>
      </c>
      <c r="BJ130" s="60">
        <f>IFERROR(SUM((TBA_Matches_All[[#This Row],[OZflrT]])/(TBA_Matches_All[[#This Row],[OZflrT]]+TBA_Matches_All[[#This Row],[OZflrM]])),0)</f>
        <v>0</v>
      </c>
      <c r="BK130">
        <f>COUNTIFS(Dyno_Data[Team],TBA_Matches_All[[#This Row],[Team]],Dyno_Data[Match],TBA_Matches_All[[#This Row],[Match_Number]],Dyno_Data[RecordType],"Activities",Dyno_Data[DelOrig],"Neut", Dyno_Data[DelMiss],"0")</f>
        <v>0</v>
      </c>
      <c r="BL130">
        <f>COUNTIFS(Dyno_Data[Team],TBA_Matches_All[[#This Row],[Team]],Dyno_Data[Match],TBA_Matches_All[[#This Row],[Match_Number]],Dyno_Data[RecordType],"Activities",Dyno_Data[DelOrig],"Neut", Dyno_Data[DelMiss],"1")</f>
        <v>0</v>
      </c>
      <c r="BM130" s="60">
        <f>IFERROR(SUM((TBA_Matches_All[[#This Row],[NZflrT]])/(TBA_Matches_All[[#This Row],[NZflrT]]+TBA_Matches_All[[#This Row],[NZflrM]])),0)</f>
        <v>0</v>
      </c>
      <c r="BN130">
        <f>COUNTIFS(Dyno_Data[Team],TBA_Matches_All[[#This Row],[Team]],Dyno_Data[Match],TBA_Matches_All[[#This Row],[Match_Number]],Dyno_Data[RecordType],"Activities",Dyno_Data[DelOrig],"AllyW", Dyno_Data[DelMiss],"0")</f>
        <v>0</v>
      </c>
      <c r="BO130">
        <f>COUNTIFS(Dyno_Data[Team],TBA_Matches_All[[#This Row],[Team]],Dyno_Data[Match],TBA_Matches_All[[#This Row],[Match_Number]],Dyno_Data[RecordType],"Activities",Dyno_Data[DelOrig],"AllyW", Dyno_Data[DelMiss],"1")</f>
        <v>0</v>
      </c>
      <c r="BP130" s="60">
        <f>IFERROR(SUM((TBA_Matches_All[[#This Row],[AZflrT]])/(TBA_Matches_All[[#This Row],[AZflrT]]+TBA_Matches_All[[#This Row],[AZflrM]])),0)</f>
        <v>0</v>
      </c>
      <c r="BQ130">
        <f>COUNTIFS(Dyno_Data[Team],TBA_Matches_All[[#This Row],[Team]],Dyno_Data[Match],TBA_Matches_All[[#This Row],[Match_Number]],Dyno_Data[RecordType],"Activities",Dyno_Data[DelOrig],"SubW", Dyno_Data[DelMiss],"0")</f>
        <v>0</v>
      </c>
      <c r="BR130">
        <f>COUNTIFS(Dyno_Data[Team],TBA_Matches_All[[#This Row],[Team]],Dyno_Data[Match],TBA_Matches_All[[#This Row],[Match_Number]],Dyno_Data[RecordType],"Activities",Dyno_Data[DelOrig],"SubW", Dyno_Data[DelMiss],"1")</f>
        <v>0</v>
      </c>
      <c r="BS130" s="60">
        <f>IFERROR(SUM((TBA_Matches_All[[#This Row],[SubwT]])/(TBA_Matches_All[[#This Row],[SubwT]]+TBA_Matches_All[[#This Row],[SubwM]])),0)</f>
        <v>0</v>
      </c>
      <c r="BT130">
        <f>COUNTIFS(Dyno_Data[Team],TBA_Matches_All[[#This Row],[Team]],Dyno_Data[Match],TBA_Matches_All[[#This Row],[Match_Number]],Dyno_Data[RecordType],"Activities", Dyno_Data[AcqLoc],"OppWing")</f>
        <v>0</v>
      </c>
      <c r="BU130">
        <f>COUNTIFS(Dyno_Data[Team],TBA_Matches_All[[#This Row],[Team]],Dyno_Data[Match],TBA_Matches_All[[#This Row],[Match_Number]],Dyno_Data[RecordType],"Activities", Dyno_Data[AcqLoc],"Neutral")</f>
        <v>0</v>
      </c>
      <c r="BV130">
        <f>COUNTIFS(Dyno_Data[Team],TBA_Matches_All[[#This Row],[Team]],Dyno_Data[Match],TBA_Matches_All[[#This Row],[Match_Number]],Dyno_Data[RecordType],"Activities", Dyno_Data[AcqLoc],"AllyWing")</f>
        <v>0</v>
      </c>
      <c r="BW130">
        <f>COUNTIFS(Dyno_Data[Team],TBA_Matches_All[[#This Row],[Team]],Dyno_Data[Match],TBA_Matches_All[[#This Row],[Match_Number]],Dyno_Data[RecordType],"Activities", Dyno_Data[AcqLoc],"Source")</f>
        <v>0</v>
      </c>
      <c r="BX130">
        <f>SUMIFS(Dyno_Data[AcqDrp], Dyno_Data[Team],TBA_Matches_All[[#This Row],[Team]],Dyno_Data[Match],TBA_Matches_All[[#This Row],[Match_Number]],Dyno_Data[RecordType],"Activities", Dyno_Data[AcqLoc],"Source")</f>
        <v>0</v>
      </c>
      <c r="BY130">
        <f>SUMIFS(Dyno_Data[OZTime], Dyno_Data[Team],TBA_Matches_All[[#This Row],[Team]],Dyno_Data[Match],TBA_Matches_All[[#This Row],[Match_Number]],Dyno_Data[RecordType],"EndMatch")</f>
        <v>0</v>
      </c>
      <c r="BZ130">
        <f>SUMIFS(Dyno_Data[NZTime], Dyno_Data[Team],TBA_Matches_All[[#This Row],[Team]],Dyno_Data[Match],TBA_Matches_All[[#This Row],[Match_Number]],Dyno_Data[RecordType],"EndMatch")</f>
        <v>0</v>
      </c>
      <c r="CA130">
        <f>SUMIFS(Dyno_Data[AZTime], Dyno_Data[Team],TBA_Matches_All[[#This Row],[Team]],Dyno_Data[Match],TBA_Matches_All[[#This Row],[Match_Number]],Dyno_Data[RecordType],"EndMatch")</f>
        <v>0</v>
      </c>
      <c r="CB130">
        <f>SUMIFS(Dyno_Data[ClimbT], Dyno_Data[Team],TBA_Matches_All[[#This Row],[Team]],Dyno_Data[Match],TBA_Matches_All[[#This Row],[Match_Number]],Dyno_Data[RecordType],"EndMatch")</f>
        <v>0</v>
      </c>
      <c r="CC130" t="str">
        <f>_xlfn.XLOOKUP(SUM(MID(TBA_Matches_All[[#This Row],[Team]],4,5),(TBA_Matches_All[[#This Row],[Match_Number]]/100)),Dyno_EndMatch[teammat],Dyno_EndMatch[StageStat],"_",0,1)</f>
        <v>_</v>
      </c>
      <c r="CD130" t="str">
        <f>_xlfn.XLOOKUP(TBA_Matches_All[[#This Row],[teammat]],Dyno_EndMatch[teammat],Dyno_EndMatch[StageAtt],"_",0,1)</f>
        <v>_</v>
      </c>
      <c r="CE130" t="str">
        <f>_xlfn.XLOOKUP(TBA_Matches_All[[#This Row],[teammat]],Dyno_EndMatch[teammat],Dyno_EndMatch[StageLoc],"_",0,1)</f>
        <v>_</v>
      </c>
      <c r="CF130">
        <f>SUMIFS(Dyno_Data[Harmony], Dyno_Data[Team],TBA_Matches_All[[#This Row],[Team]],Dyno_Data[Match],TBA_Matches_All[[#This Row],[Match_Number]],Dyno_Data[RecordType],"EndMatch", Dyno_Data[StageStat],"On",Dyno_Data[Harmony],"&lt;&gt;9")</f>
        <v>0</v>
      </c>
      <c r="CG130">
        <f>SUMIFS(Dyno_Data[Spotlit], Dyno_Data[Team],TBA_Matches_All[[#This Row],[Team]],Dyno_Data[Match],TBA_Matches_All[[#This Row],[Match_Number]],Dyno_Data[RecordType],"EndMatch", Dyno_Data[StageStat],"On",Dyno_Data[Spotlit],"&lt;&gt;9")</f>
        <v>0</v>
      </c>
      <c r="CH130" t="str">
        <f>_xlfn.XLOOKUP(TBA_Matches_All[[#This Row],[teammat]],Dyno_EndMatch[teammat],Dyno_EndMatch[Strategy],"_",0,1)</f>
        <v>_</v>
      </c>
      <c r="CI130">
        <f>SUMIFS(Dyno_Data[Defense], Dyno_Data[Team],TBA_Matches_All[[#This Row],[Team]],Dyno_Data[Match],TBA_Matches_All[[#This Row],[Match_Number]],Dyno_Data[RecordType],"EndMatch",Dyno_Data[Defense],"&lt;&gt;9")</f>
        <v>0</v>
      </c>
      <c r="CJ130">
        <f>SUMIFS(Dyno_Data[Avoidance], Dyno_Data[Team],TBA_Matches_All[[#This Row],[Team]],Dyno_Data[Match],TBA_Matches_All[[#This Row],[Match_Number]],Dyno_Data[RecordType],"EndMatch",Dyno_Data[Avoidance],"&lt;&gt;9")</f>
        <v>0</v>
      </c>
      <c r="CK130" s="82">
        <f>COUNTIF($H$2:TBA_Matches_All[[#This Row],[Team]],TBA_Matches_All[[#This Row],[Team]])</f>
        <v>3</v>
      </c>
      <c r="CL130" s="111">
        <f>SUM(MID(TBA_Matches_All[[#This Row],[Team]],4,5)+TBA_Matches_All[[#This Row],[Match_Number]]/100)</f>
        <v>3173.22</v>
      </c>
      <c r="CM130">
        <f>SUM((TBA_Matches_All[[#This Row],[Leave]]*2)+(TBA_Matches_All[[#This Row],[AampT]]*2)+(TBA_Matches_All[[#This Row],[AspkrT]]*5)+(TBA_Matches_All[[#This Row],[AtrapT]]*5))</f>
        <v>0</v>
      </c>
      <c r="CN130" s="59">
        <f>IFERROR(SUM(TBA_Matches_All[[#This Row],[AptsT]]/TBA_Matches_All[[#This Row],[AutoPts]]),0)</f>
        <v>0</v>
      </c>
      <c r="CO130" s="59">
        <f>IFERROR(SUM(TBA_Matches_All[[#This Row],[AampT]]+TBA_Matches_All[[#This Row],[AspkrT]]+TBA_Matches_All[[#This Row],[AtrapT]]/TBA_Matches_All[[#This Row],[Aamp]]+TBA_Matches_All[[#This Row],[Aspkr]]+TBA_Matches_All[[#This Row],[AtrapT]]),0)</f>
        <v>0</v>
      </c>
      <c r="CP130" s="59">
        <f>IFERROR(SUM(TBA_Matches_All[[#This Row],[TampT]]/TBA_Matches_All[[#This Row],[Tamp]]),0)</f>
        <v>0</v>
      </c>
      <c r="CQ130" s="59">
        <f>IFERROR(SUM(TBA_Matches_All[[#This Row],[TspkrT]]/TBA_Matches_All[[#This Row],[Tspkr]]),0)</f>
        <v>0</v>
      </c>
      <c r="CR130">
        <f>SUM(TBA_Matches_All[[#This Row],[TspkrPts]]*TBA_Matches_All[[#This Row],[TspkrP]])</f>
        <v>0</v>
      </c>
      <c r="CS130" s="59">
        <f>IFERROR(SUM(TBA_Matches_All[[#This Row],[TtrapT]]/TBA_Matches_All[[#This Row],[Trap]]),0)</f>
        <v>0</v>
      </c>
      <c r="CT130" s="59">
        <f>IFERROR(SUM(TBA_Matches_All[[#This Row],[TotNotesT]]/TBA_Matches_All[[#This Row],[TotNotes]]),0)</f>
        <v>0</v>
      </c>
      <c r="CU130" s="66">
        <f>SUM((TBA_Matches_All[[#This Row],[AampT]]*2)+(TBA_Matches_All[[#This Row],[AspkrT]]*5)+(TBA_Matches_All[[#This Row],[AtrapT]]*5)+(TBA_Matches_All[[#This Row],[TampT]]*1)+(TBA_Matches_All[[#This Row],[TspkrptsC]]))</f>
        <v>0</v>
      </c>
      <c r="CV130" s="59">
        <f>IFERROR(TBA_Matches_All[[#This Row],[noteptsT]]/TBA_Matches_All[[#This Row],[NotePts]],0)</f>
        <v>0</v>
      </c>
      <c r="CW130">
        <f>SUM(IF(TBA_Matches_All[[#This Row],[stageStat]]="On",3,0),IF(TBA_Matches_All[[#This Row],[stageStat]]="Park",1,0),SUMIFS(TBA_Matches_All[[#This Row],[Spotlit]],TBA_Matches_All[[#This Row],[stageStat]],"On"),SUMIFS(TBA_Matches_All[[#This Row],[Harmony]],TBA_Matches_All[[#This Row],[stageStat]],"On"))</f>
        <v>0</v>
      </c>
      <c r="CX130" s="59">
        <f>IFERROR(TBA_Matches_All[[#This Row],[stageptsT]]/TBA_Matches_All[[#This Row],[StagePts]],0)</f>
        <v>0</v>
      </c>
      <c r="CY130">
        <f>SUM((TBA_Matches_All[[#This Row],[AptsT]]+TBA_Matches_All[[#This Row],[TampT]]+TBA_Matches_All[[#This Row],[TspkrptsC]]+(TBA_Matches_All[[#This Row],[TtrapT]]*5)+TBA_Matches_All[[#This Row],[stageptsT]]))</f>
        <v>0</v>
      </c>
      <c r="CZ130" s="59">
        <f>IFERROR(SUM(TBA_Matches_All[[#This Row],[TotptsC]]/TBA_Matches_All[[#This Row],[Score]]),0)</f>
        <v>0</v>
      </c>
      <c r="DA13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20.123351648351651</v>
      </c>
      <c r="DB130" s="74">
        <f>SUMIFS(TBA_Matches_All[AveTeamTNoteDels],TBA_Matches_All[Match_Number],TBA_Matches_All[[#This Row],[Match_Number]],TBA_Matches_All[Alliance],"&lt;&gt;"&amp;TBA_Matches_All[[#This Row],[Alliance]],TBA_Matches_All[Scouted],"&gt;0")</f>
        <v>0</v>
      </c>
      <c r="DC130" s="74">
        <f>(TBA_Matches_All[[#This Row],[TampT]]+TBA_Matches_All[[#This Row],[TspkrptsC]])-TBA_Matches_All[[#This Row],[AveTeamTNoteDels]]</f>
        <v>-20.123351648351651</v>
      </c>
      <c r="DD130" s="74">
        <f>SUMIFS(TBA_Matches_All[AveTeamTNoteDels],TBA_Matches_All[Match_Number],TBA_Matches_All[[#This Row],[Match_Number]],TBA_Matches_All[Alliance],"&lt;&gt;"&amp;TBA_Matches_All[[#This Row],[Alliance]])-TBA_Matches_All[[#This Row],[AveOppTNoteDels]]</f>
        <v>28.685930735930736</v>
      </c>
    </row>
    <row r="131" spans="1:108" x14ac:dyDescent="0.3">
      <c r="A131" t="s">
        <v>1042</v>
      </c>
      <c r="B131" t="s">
        <v>489</v>
      </c>
      <c r="C131" t="s">
        <v>1331</v>
      </c>
      <c r="D131">
        <v>22</v>
      </c>
      <c r="E131" t="s">
        <v>1420</v>
      </c>
      <c r="F131" t="s">
        <v>1423</v>
      </c>
      <c r="G131" t="s">
        <v>1409</v>
      </c>
      <c r="H131" t="s">
        <v>318</v>
      </c>
      <c r="I131" t="b">
        <v>0</v>
      </c>
      <c r="J131">
        <v>37</v>
      </c>
      <c r="K131">
        <v>0</v>
      </c>
      <c r="L131">
        <v>0</v>
      </c>
      <c r="M131">
        <v>6</v>
      </c>
      <c r="N131">
        <v>0</v>
      </c>
      <c r="O131">
        <v>2</v>
      </c>
      <c r="P131">
        <v>10</v>
      </c>
      <c r="Q131">
        <v>14</v>
      </c>
      <c r="R131">
        <v>0</v>
      </c>
      <c r="S131">
        <v>0</v>
      </c>
      <c r="T131">
        <v>10</v>
      </c>
      <c r="U131">
        <v>0</v>
      </c>
      <c r="V131">
        <v>20</v>
      </c>
      <c r="W131">
        <v>10</v>
      </c>
      <c r="X131">
        <v>20</v>
      </c>
      <c r="Y131">
        <v>20</v>
      </c>
      <c r="Z131">
        <v>0</v>
      </c>
      <c r="AA131">
        <v>0</v>
      </c>
      <c r="AB131">
        <v>12</v>
      </c>
      <c r="AC131">
        <v>30</v>
      </c>
      <c r="AD131">
        <v>3</v>
      </c>
      <c r="AE131">
        <f>IFERROR(6/(COUNTIF(Dyno_EndMatch[Match],TBA_Matches_All[[#This Row],[Match_Number]])),0)</f>
        <v>0</v>
      </c>
      <c r="AF131">
        <f>COUNTIFS(Dyno_Data[Team],TBA_Matches_All[[#This Row],[Team]],Dyno_Data[Match],TBA_Matches_All[[#This Row],[Match_Number]],Dyno_Data[RecordType],"EndMatch",Dyno_Data[HPAmp],"Y")</f>
        <v>0</v>
      </c>
      <c r="AG131">
        <f>SUMIFS(Dyno_Data[Mics], Dyno_Data[Team],TBA_Matches_All[[#This Row],[Team]],Dyno_Data[Match],TBA_Matches_All[[#This Row],[Match_Number]],Dyno_Data[RecordType],"EndMatch",Dyno_Data[HPAmp],"Y")</f>
        <v>0</v>
      </c>
      <c r="AH131">
        <f>SUMIFS(Dyno_Data[Leave], Dyno_Data[Team],TBA_Matches_All[[#This Row],[Team]],Dyno_Data[Match],TBA_Matches_All[[#This Row],[Match_Number]],Dyno_Data[RecordType],"EndAuto")</f>
        <v>0</v>
      </c>
      <c r="AI131">
        <f>COUNTIFS(Dyno_Data[Team],TBA_Matches_All[[#This Row],[Team]],Dyno_Data[Match],TBA_Matches_All[[#This Row],[Match_Number]],Dyno_Data[RecordType],"Activities",Dyno_Data[DelDest],"Amp", Dyno_Data[DelMiss],"0", Dyno_Data[Mode],"Auto")</f>
        <v>0</v>
      </c>
      <c r="AJ131">
        <f>COUNTIFS(Dyno_Data[Team],TBA_Matches_All[[#This Row],[Team]],Dyno_Data[Match],TBA_Matches_All[[#This Row],[Match_Number]],Dyno_Data[RecordType],"Activities",Dyno_Data[DelDest],"Spkr", Dyno_Data[DelMiss],"0", Dyno_Data[Mode],"Auto")</f>
        <v>0</v>
      </c>
      <c r="AK131">
        <f>COUNTIFS(Dyno_Data[Team],TBA_Matches_All[[#This Row],[Team]],Dyno_Data[Match],TBA_Matches_All[[#This Row],[Match_Number]],Dyno_Data[RecordType],"Activities",Dyno_Data[DelDest],"Trap", Dyno_Data[DelMiss],"0", Dyno_Data[Mode],"Auto")</f>
        <v>0</v>
      </c>
      <c r="AL131">
        <f>COUNTIFS(Dyno_Data[Team],TBA_Matches_All[[#This Row],[Team]],Dyno_Data[Match],TBA_Matches_All[[#This Row],[Match_Number]],Dyno_Data[RecordType],"Activities",Dyno_Data[DelDest],"Amp", Dyno_Data[DelMiss],"0", Dyno_Data[Mode],"Teleop")</f>
        <v>0</v>
      </c>
      <c r="AM131">
        <f>COUNTIFS(Dyno_Data[Team],TBA_Matches_All[[#This Row],[Team]],Dyno_Data[Match],TBA_Matches_All[[#This Row],[Match_Number]],Dyno_Data[RecordType],"Activities",Dyno_Data[DelDest],"Spkr", Dyno_Data[DelMiss],"0", Dyno_Data[Mode],"Teleop")</f>
        <v>0</v>
      </c>
      <c r="AN131">
        <f>COUNTIFS(Dyno_Data[Team],TBA_Matches_All[[#This Row],[Team]],Dyno_Data[Match],TBA_Matches_All[[#This Row],[Match_Number]],Dyno_Data[RecordType],"Activities",Dyno_Data[DelDest],"Trap", Dyno_Data[DelMiss],"0", Dyno_Data[Mode],"&lt;&gt;Auto")</f>
        <v>0</v>
      </c>
      <c r="AO131">
        <f>SUM(TBA_Matches_All[[#This Row],[AampT]]+TBA_Matches_All[[#This Row],[AspkrT]]+TBA_Matches_All[[#This Row],[AtrapT]]+TBA_Matches_All[[#This Row],[TampT]]+TBA_Matches_All[[#This Row],[TspkrT]]+TBA_Matches_All[[#This Row],[TtrapT]])</f>
        <v>0</v>
      </c>
      <c r="AP131">
        <f>COUNTIFS(Dyno_Data[Team],TBA_Matches_All[[#This Row],[Team]],Dyno_Data[Match],TBA_Matches_All[[#This Row],[Match_Number]],Dyno_Data[RecordType],"Activities",Dyno_Data[DelDest],"Neut", Dyno_Data[DelMiss],"0")</f>
        <v>0</v>
      </c>
      <c r="AQ131">
        <f>COUNTIFS(Dyno_Data[Team],TBA_Matches_All[[#This Row],[Team]],Dyno_Data[Match],TBA_Matches_All[[#This Row],[Match_Number]],Dyno_Data[RecordType],"Activities",Dyno_Data[DelDest],"AllyW", Dyno_Data[DelMiss],"0")</f>
        <v>0</v>
      </c>
      <c r="AR131" t="str">
        <f>_xlfn.XLOOKUP(SUM(MID(TBA_Matches_All[[#This Row],[Team]],4,5),(TBA_Matches_All[[#This Row],[Match_Number]]/100)),Dyno_EndMatch[teammat],Dyno_EndMatch[RobotSta],"_",0,1)</f>
        <v>_</v>
      </c>
      <c r="AS131">
        <f>SUMIFS(Dyno_Data[AcqDis], Dyno_Data[Team],TBA_Matches_All[[#This Row],[Team]],Dyno_Data[Match],TBA_Matches_All[[#This Row],[Match_Number]],Dyno_Data[RecordType],"Activities", Dyno_Data[AcqCenter],1,Dyno_Data[Mode],"Auto")</f>
        <v>0</v>
      </c>
      <c r="AT131">
        <f>SUMIFS(Dyno_Data[AcqDis], Dyno_Data[Team],TBA_Matches_All[[#This Row],[Team]],Dyno_Data[Match],TBA_Matches_All[[#This Row],[Match_Number]],Dyno_Data[RecordType],"Activities", Dyno_Data[AcqCenter],2,Dyno_Data[Mode],"Auto")</f>
        <v>0</v>
      </c>
      <c r="AU131">
        <f>SUMIFS(Dyno_Data[AcqDis], Dyno_Data[Team],TBA_Matches_All[[#This Row],[Team]],Dyno_Data[Match],TBA_Matches_All[[#This Row],[Match_Number]],Dyno_Data[RecordType],"Activities", Dyno_Data[AcqCenter],3,Dyno_Data[Mode],"Auto")</f>
        <v>0</v>
      </c>
      <c r="AV131">
        <f>SUMIFS(Dyno_Data[AcqDis], Dyno_Data[Team],TBA_Matches_All[[#This Row],[Team]],Dyno_Data[Match],TBA_Matches_All[[#This Row],[Match_Number]],Dyno_Data[RecordType],"Activities", Dyno_Data[AcqCenter],4,Dyno_Data[Mode],"Auto")</f>
        <v>0</v>
      </c>
      <c r="AW131">
        <f>SUMIFS(Dyno_Data[AcqDis], Dyno_Data[Team],TBA_Matches_All[[#This Row],[Team]],Dyno_Data[Match],TBA_Matches_All[[#This Row],[Match_Number]],Dyno_Data[RecordType],"Activities", Dyno_Data[AcqCenter],5,Dyno_Data[Mode],"Auto")</f>
        <v>0</v>
      </c>
      <c r="AX131">
        <f>SUMIFS(Dyno_Data[DelMiss], Dyno_Data[Team],TBA_Matches_All[[#This Row],[Team]],Dyno_Data[Match],TBA_Matches_All[[#This Row],[Match_Number]],Dyno_Data[RecordType],"Activities", Dyno_Data[DelDest],"Amp")</f>
        <v>0</v>
      </c>
      <c r="AY131" s="60">
        <f>IFERROR(SUM((TBA_Matches_All[[#This Row],[AampT]]+TBA_Matches_All[[#This Row],[TampT]])/(TBA_Matches_All[[#This Row],[AampT]]+TBA_Matches_All[[#This Row],[TampT]]+TBA_Matches_All[[#This Row],[ampM]])),0)</f>
        <v>0</v>
      </c>
      <c r="AZ131">
        <f>SUMIFS(Dyno_Data[DelMiss], Dyno_Data[Team],TBA_Matches_All[[#This Row],[Team]],Dyno_Data[Match],TBA_Matches_All[[#This Row],[Match_Number]],Dyno_Data[RecordType],"Activities", Dyno_Data[DelDest],"Spkr")</f>
        <v>0</v>
      </c>
      <c r="BA131" s="60">
        <f>IFERROR(SUM((TBA_Matches_All[[#This Row],[AspkrT]]+TBA_Matches_All[[#This Row],[TspkrT]])/(TBA_Matches_All[[#This Row],[AspkrT]]+TBA_Matches_All[[#This Row],[TspkrT]]+TBA_Matches_All[[#This Row],[spkrM]])),0)</f>
        <v>0</v>
      </c>
      <c r="BB131">
        <f>SUMIFS(Dyno_Data[DelMiss], Dyno_Data[Team],TBA_Matches_All[[#This Row],[Team]],Dyno_Data[Match],TBA_Matches_All[[#This Row],[Match_Number]],Dyno_Data[RecordType],"Activities", Dyno_Data[DelDest],"Trap")</f>
        <v>0</v>
      </c>
      <c r="BC131" s="60">
        <f>IFERROR((TBA_Matches_All[[#This Row],[AtrapT]]+TBA_Matches_All[[#This Row],[TtrapT]])/(TBA_Matches_All[[#This Row],[AtrapT]]+TBA_Matches_All[[#This Row],[TtrapT]]+TBA_Matches_All[[#This Row],[trapM]]),0)</f>
        <v>0</v>
      </c>
      <c r="BD131">
        <f>COUNTIFS(Dyno_Data[Team],TBA_Matches_All[[#This Row],[Team]],Dyno_Data[Match],TBA_Matches_All[[#This Row],[Match_Number]],Dyno_Data[RecordType],"Activities",Dyno_Data[DelDest],"Neut", Dyno_Data[DelMiss],1)</f>
        <v>0</v>
      </c>
      <c r="BE131" s="60">
        <f>IFERROR(SUM((TBA_Matches_All[[#This Row],[NeutFlrT]])/(TBA_Matches_All[[#This Row],[NeutFlrT]]+TBA_Matches_All[[#This Row],[NZflM]])),0)</f>
        <v>0</v>
      </c>
      <c r="BF131">
        <f>COUNTIFS(Dyno_Data[Team],TBA_Matches_All[[#This Row],[Team]],Dyno_Data[Match],TBA_Matches_All[[#This Row],[Match_Number]],Dyno_Data[RecordType],"Activities",Dyno_Data[DelDest],"AllyW", Dyno_Data[DelMiss],1)</f>
        <v>0</v>
      </c>
      <c r="BG131" s="60">
        <f>IFERROR(SUM((TBA_Matches_All[[#This Row],[AllyWFlrT]])/(TBA_Matches_All[[#This Row],[AllyWFlrT]]+TBA_Matches_All[[#This Row],[AZflM]])),0)</f>
        <v>0</v>
      </c>
      <c r="BH131">
        <f>COUNTIFS(Dyno_Data[Team],TBA_Matches_All[[#This Row],[Team]],Dyno_Data[Match],TBA_Matches_All[[#This Row],[Match_Number]],Dyno_Data[RecordType],"Activities",Dyno_Data[DelOrig],"OppW", Dyno_Data[DelMiss],"0")</f>
        <v>0</v>
      </c>
      <c r="BI131">
        <f>COUNTIFS(Dyno_Data[Team],TBA_Matches_All[[#This Row],[Team]],Dyno_Data[Match],TBA_Matches_All[[#This Row],[Match_Number]],Dyno_Data[RecordType],"Activities",Dyno_Data[DelOrig],"OppW", Dyno_Data[DelMiss],"1")</f>
        <v>0</v>
      </c>
      <c r="BJ131" s="60">
        <f>IFERROR(SUM((TBA_Matches_All[[#This Row],[OZflrT]])/(TBA_Matches_All[[#This Row],[OZflrT]]+TBA_Matches_All[[#This Row],[OZflrM]])),0)</f>
        <v>0</v>
      </c>
      <c r="BK131">
        <f>COUNTIFS(Dyno_Data[Team],TBA_Matches_All[[#This Row],[Team]],Dyno_Data[Match],TBA_Matches_All[[#This Row],[Match_Number]],Dyno_Data[RecordType],"Activities",Dyno_Data[DelOrig],"Neut", Dyno_Data[DelMiss],"0")</f>
        <v>0</v>
      </c>
      <c r="BL131">
        <f>COUNTIFS(Dyno_Data[Team],TBA_Matches_All[[#This Row],[Team]],Dyno_Data[Match],TBA_Matches_All[[#This Row],[Match_Number]],Dyno_Data[RecordType],"Activities",Dyno_Data[DelOrig],"Neut", Dyno_Data[DelMiss],"1")</f>
        <v>0</v>
      </c>
      <c r="BM131" s="60">
        <f>IFERROR(SUM((TBA_Matches_All[[#This Row],[NZflrT]])/(TBA_Matches_All[[#This Row],[NZflrT]]+TBA_Matches_All[[#This Row],[NZflrM]])),0)</f>
        <v>0</v>
      </c>
      <c r="BN131">
        <f>COUNTIFS(Dyno_Data[Team],TBA_Matches_All[[#This Row],[Team]],Dyno_Data[Match],TBA_Matches_All[[#This Row],[Match_Number]],Dyno_Data[RecordType],"Activities",Dyno_Data[DelOrig],"AllyW", Dyno_Data[DelMiss],"0")</f>
        <v>0</v>
      </c>
      <c r="BO131">
        <f>COUNTIFS(Dyno_Data[Team],TBA_Matches_All[[#This Row],[Team]],Dyno_Data[Match],TBA_Matches_All[[#This Row],[Match_Number]],Dyno_Data[RecordType],"Activities",Dyno_Data[DelOrig],"AllyW", Dyno_Data[DelMiss],"1")</f>
        <v>0</v>
      </c>
      <c r="BP131" s="60">
        <f>IFERROR(SUM((TBA_Matches_All[[#This Row],[AZflrT]])/(TBA_Matches_All[[#This Row],[AZflrT]]+TBA_Matches_All[[#This Row],[AZflrM]])),0)</f>
        <v>0</v>
      </c>
      <c r="BQ131">
        <f>COUNTIFS(Dyno_Data[Team],TBA_Matches_All[[#This Row],[Team]],Dyno_Data[Match],TBA_Matches_All[[#This Row],[Match_Number]],Dyno_Data[RecordType],"Activities",Dyno_Data[DelOrig],"SubW", Dyno_Data[DelMiss],"0")</f>
        <v>0</v>
      </c>
      <c r="BR131">
        <f>COUNTIFS(Dyno_Data[Team],TBA_Matches_All[[#This Row],[Team]],Dyno_Data[Match],TBA_Matches_All[[#This Row],[Match_Number]],Dyno_Data[RecordType],"Activities",Dyno_Data[DelOrig],"SubW", Dyno_Data[DelMiss],"1")</f>
        <v>0</v>
      </c>
      <c r="BS131" s="60">
        <f>IFERROR(SUM((TBA_Matches_All[[#This Row],[SubwT]])/(TBA_Matches_All[[#This Row],[SubwT]]+TBA_Matches_All[[#This Row],[SubwM]])),0)</f>
        <v>0</v>
      </c>
      <c r="BT131">
        <f>COUNTIFS(Dyno_Data[Team],TBA_Matches_All[[#This Row],[Team]],Dyno_Data[Match],TBA_Matches_All[[#This Row],[Match_Number]],Dyno_Data[RecordType],"Activities", Dyno_Data[AcqLoc],"OppWing")</f>
        <v>0</v>
      </c>
      <c r="BU131">
        <f>COUNTIFS(Dyno_Data[Team],TBA_Matches_All[[#This Row],[Team]],Dyno_Data[Match],TBA_Matches_All[[#This Row],[Match_Number]],Dyno_Data[RecordType],"Activities", Dyno_Data[AcqLoc],"Neutral")</f>
        <v>0</v>
      </c>
      <c r="BV131">
        <f>COUNTIFS(Dyno_Data[Team],TBA_Matches_All[[#This Row],[Team]],Dyno_Data[Match],TBA_Matches_All[[#This Row],[Match_Number]],Dyno_Data[RecordType],"Activities", Dyno_Data[AcqLoc],"AllyWing")</f>
        <v>0</v>
      </c>
      <c r="BW131">
        <f>COUNTIFS(Dyno_Data[Team],TBA_Matches_All[[#This Row],[Team]],Dyno_Data[Match],TBA_Matches_All[[#This Row],[Match_Number]],Dyno_Data[RecordType],"Activities", Dyno_Data[AcqLoc],"Source")</f>
        <v>0</v>
      </c>
      <c r="BX131">
        <f>SUMIFS(Dyno_Data[AcqDrp], Dyno_Data[Team],TBA_Matches_All[[#This Row],[Team]],Dyno_Data[Match],TBA_Matches_All[[#This Row],[Match_Number]],Dyno_Data[RecordType],"Activities", Dyno_Data[AcqLoc],"Source")</f>
        <v>0</v>
      </c>
      <c r="BY131">
        <f>SUMIFS(Dyno_Data[OZTime], Dyno_Data[Team],TBA_Matches_All[[#This Row],[Team]],Dyno_Data[Match],TBA_Matches_All[[#This Row],[Match_Number]],Dyno_Data[RecordType],"EndMatch")</f>
        <v>0</v>
      </c>
      <c r="BZ131">
        <f>SUMIFS(Dyno_Data[NZTime], Dyno_Data[Team],TBA_Matches_All[[#This Row],[Team]],Dyno_Data[Match],TBA_Matches_All[[#This Row],[Match_Number]],Dyno_Data[RecordType],"EndMatch")</f>
        <v>0</v>
      </c>
      <c r="CA131">
        <f>SUMIFS(Dyno_Data[AZTime], Dyno_Data[Team],TBA_Matches_All[[#This Row],[Team]],Dyno_Data[Match],TBA_Matches_All[[#This Row],[Match_Number]],Dyno_Data[RecordType],"EndMatch")</f>
        <v>0</v>
      </c>
      <c r="CB131">
        <f>SUMIFS(Dyno_Data[ClimbT], Dyno_Data[Team],TBA_Matches_All[[#This Row],[Team]],Dyno_Data[Match],TBA_Matches_All[[#This Row],[Match_Number]],Dyno_Data[RecordType],"EndMatch")</f>
        <v>0</v>
      </c>
      <c r="CC131" t="str">
        <f>_xlfn.XLOOKUP(SUM(MID(TBA_Matches_All[[#This Row],[Team]],4,5),(TBA_Matches_All[[#This Row],[Match_Number]]/100)),Dyno_EndMatch[teammat],Dyno_EndMatch[StageStat],"_",0,1)</f>
        <v>_</v>
      </c>
      <c r="CD131" t="str">
        <f>_xlfn.XLOOKUP(TBA_Matches_All[[#This Row],[teammat]],Dyno_EndMatch[teammat],Dyno_EndMatch[StageAtt],"_",0,1)</f>
        <v>_</v>
      </c>
      <c r="CE131" t="str">
        <f>_xlfn.XLOOKUP(TBA_Matches_All[[#This Row],[teammat]],Dyno_EndMatch[teammat],Dyno_EndMatch[StageLoc],"_",0,1)</f>
        <v>_</v>
      </c>
      <c r="CF131">
        <f>SUMIFS(Dyno_Data[Harmony], Dyno_Data[Team],TBA_Matches_All[[#This Row],[Team]],Dyno_Data[Match],TBA_Matches_All[[#This Row],[Match_Number]],Dyno_Data[RecordType],"EndMatch", Dyno_Data[StageStat],"On",Dyno_Data[Harmony],"&lt;&gt;9")</f>
        <v>0</v>
      </c>
      <c r="CG131">
        <f>SUMIFS(Dyno_Data[Spotlit], Dyno_Data[Team],TBA_Matches_All[[#This Row],[Team]],Dyno_Data[Match],TBA_Matches_All[[#This Row],[Match_Number]],Dyno_Data[RecordType],"EndMatch", Dyno_Data[StageStat],"On",Dyno_Data[Spotlit],"&lt;&gt;9")</f>
        <v>0</v>
      </c>
      <c r="CH131" t="str">
        <f>_xlfn.XLOOKUP(TBA_Matches_All[[#This Row],[teammat]],Dyno_EndMatch[teammat],Dyno_EndMatch[Strategy],"_",0,1)</f>
        <v>_</v>
      </c>
      <c r="CI131">
        <f>SUMIFS(Dyno_Data[Defense], Dyno_Data[Team],TBA_Matches_All[[#This Row],[Team]],Dyno_Data[Match],TBA_Matches_All[[#This Row],[Match_Number]],Dyno_Data[RecordType],"EndMatch",Dyno_Data[Defense],"&lt;&gt;9")</f>
        <v>0</v>
      </c>
      <c r="CJ131">
        <f>SUMIFS(Dyno_Data[Avoidance], Dyno_Data[Team],TBA_Matches_All[[#This Row],[Team]],Dyno_Data[Match],TBA_Matches_All[[#This Row],[Match_Number]],Dyno_Data[RecordType],"EndMatch",Dyno_Data[Avoidance],"&lt;&gt;9")</f>
        <v>0</v>
      </c>
      <c r="CK131" s="82">
        <f>COUNTIF($H$2:TBA_Matches_All[[#This Row],[Team]],TBA_Matches_All[[#This Row],[Team]])</f>
        <v>3</v>
      </c>
      <c r="CL131" s="111">
        <f>SUM(MID(TBA_Matches_All[[#This Row],[Team]],4,5)+TBA_Matches_All[[#This Row],[Match_Number]]/100)</f>
        <v>639.22</v>
      </c>
      <c r="CM131">
        <f>SUM((TBA_Matches_All[[#This Row],[Leave]]*2)+(TBA_Matches_All[[#This Row],[AampT]]*2)+(TBA_Matches_All[[#This Row],[AspkrT]]*5)+(TBA_Matches_All[[#This Row],[AtrapT]]*5))</f>
        <v>0</v>
      </c>
      <c r="CN131" s="59">
        <f>IFERROR(SUM(TBA_Matches_All[[#This Row],[AptsT]]/TBA_Matches_All[[#This Row],[AutoPts]]),0)</f>
        <v>0</v>
      </c>
      <c r="CO131" s="59">
        <f>IFERROR(SUM(TBA_Matches_All[[#This Row],[AampT]]+TBA_Matches_All[[#This Row],[AspkrT]]+TBA_Matches_All[[#This Row],[AtrapT]]/TBA_Matches_All[[#This Row],[Aamp]]+TBA_Matches_All[[#This Row],[Aspkr]]+TBA_Matches_All[[#This Row],[AtrapT]]),0)</f>
        <v>0</v>
      </c>
      <c r="CP131" s="59">
        <f>IFERROR(SUM(TBA_Matches_All[[#This Row],[TampT]]/TBA_Matches_All[[#This Row],[Tamp]]),0)</f>
        <v>0</v>
      </c>
      <c r="CQ131" s="59">
        <f>IFERROR(SUM(TBA_Matches_All[[#This Row],[TspkrT]]/TBA_Matches_All[[#This Row],[Tspkr]]),0)</f>
        <v>0</v>
      </c>
      <c r="CR131">
        <f>SUM(TBA_Matches_All[[#This Row],[TspkrPts]]*TBA_Matches_All[[#This Row],[TspkrP]])</f>
        <v>0</v>
      </c>
      <c r="CS131" s="59">
        <f>IFERROR(SUM(TBA_Matches_All[[#This Row],[TtrapT]]/TBA_Matches_All[[#This Row],[Trap]]),0)</f>
        <v>0</v>
      </c>
      <c r="CT131" s="59">
        <f>IFERROR(SUM(TBA_Matches_All[[#This Row],[TotNotesT]]/TBA_Matches_All[[#This Row],[TotNotes]]),0)</f>
        <v>0</v>
      </c>
      <c r="CU131" s="66">
        <f>SUM((TBA_Matches_All[[#This Row],[AampT]]*2)+(TBA_Matches_All[[#This Row],[AspkrT]]*5)+(TBA_Matches_All[[#This Row],[AtrapT]]*5)+(TBA_Matches_All[[#This Row],[TampT]]*1)+(TBA_Matches_All[[#This Row],[TspkrptsC]]))</f>
        <v>0</v>
      </c>
      <c r="CV131" s="59">
        <f>IFERROR(TBA_Matches_All[[#This Row],[noteptsT]]/TBA_Matches_All[[#This Row],[NotePts]],0)</f>
        <v>0</v>
      </c>
      <c r="CW131">
        <f>SUM(IF(TBA_Matches_All[[#This Row],[stageStat]]="On",3,0),IF(TBA_Matches_All[[#This Row],[stageStat]]="Park",1,0),SUMIFS(TBA_Matches_All[[#This Row],[Spotlit]],TBA_Matches_All[[#This Row],[stageStat]],"On"),SUMIFS(TBA_Matches_All[[#This Row],[Harmony]],TBA_Matches_All[[#This Row],[stageStat]],"On"))</f>
        <v>0</v>
      </c>
      <c r="CX131" s="59">
        <f>IFERROR(TBA_Matches_All[[#This Row],[stageptsT]]/TBA_Matches_All[[#This Row],[StagePts]],0)</f>
        <v>0</v>
      </c>
      <c r="CY131">
        <f>SUM((TBA_Matches_All[[#This Row],[AptsT]]+TBA_Matches_All[[#This Row],[TampT]]+TBA_Matches_All[[#This Row],[TspkrptsC]]+(TBA_Matches_All[[#This Row],[TtrapT]]*5)+TBA_Matches_All[[#This Row],[stageptsT]]))</f>
        <v>0</v>
      </c>
      <c r="CZ131" s="59">
        <f>IFERROR(SUM(TBA_Matches_All[[#This Row],[TotptsC]]/TBA_Matches_All[[#This Row],[Score]]),0)</f>
        <v>0</v>
      </c>
      <c r="DA13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18.303571428571431</v>
      </c>
      <c r="DB131" s="74">
        <f>SUMIFS(TBA_Matches_All[AveTeamTNoteDels],TBA_Matches_All[Match_Number],TBA_Matches_All[[#This Row],[Match_Number]],TBA_Matches_All[Alliance],"&lt;&gt;"&amp;TBA_Matches_All[[#This Row],[Alliance]],TBA_Matches_All[Scouted],"&gt;0")</f>
        <v>0</v>
      </c>
      <c r="DC131" s="74">
        <f>(TBA_Matches_All[[#This Row],[TampT]]+TBA_Matches_All[[#This Row],[TspkrptsC]])-TBA_Matches_All[[#This Row],[AveTeamTNoteDels]]</f>
        <v>-18.303571428571431</v>
      </c>
      <c r="DD131" s="74">
        <f>SUMIFS(TBA_Matches_All[AveTeamTNoteDels],TBA_Matches_All[Match_Number],TBA_Matches_All[[#This Row],[Match_Number]],TBA_Matches_All[Alliance],"&lt;&gt;"&amp;TBA_Matches_All[[#This Row],[Alliance]])-TBA_Matches_All[[#This Row],[AveOppTNoteDels]]</f>
        <v>35.727897102897103</v>
      </c>
    </row>
    <row r="132" spans="1:108" x14ac:dyDescent="0.3">
      <c r="A132" t="s">
        <v>1042</v>
      </c>
      <c r="B132" t="s">
        <v>489</v>
      </c>
      <c r="C132" t="s">
        <v>1331</v>
      </c>
      <c r="D132">
        <v>22</v>
      </c>
      <c r="E132" t="s">
        <v>1406</v>
      </c>
      <c r="F132" t="s">
        <v>1424</v>
      </c>
      <c r="G132" t="s">
        <v>1409</v>
      </c>
      <c r="H132" t="s">
        <v>1314</v>
      </c>
      <c r="I132" t="b">
        <v>1</v>
      </c>
      <c r="J132">
        <v>89</v>
      </c>
      <c r="K132">
        <v>1</v>
      </c>
      <c r="L132">
        <v>0</v>
      </c>
      <c r="M132">
        <v>0</v>
      </c>
      <c r="N132">
        <v>0</v>
      </c>
      <c r="O132">
        <v>6</v>
      </c>
      <c r="P132">
        <v>30</v>
      </c>
      <c r="Q132">
        <v>36</v>
      </c>
      <c r="R132">
        <v>7</v>
      </c>
      <c r="S132">
        <v>5</v>
      </c>
      <c r="T132">
        <v>5</v>
      </c>
      <c r="U132">
        <v>25</v>
      </c>
      <c r="V132">
        <v>10</v>
      </c>
      <c r="W132">
        <v>10</v>
      </c>
      <c r="X132">
        <v>35</v>
      </c>
      <c r="Y132">
        <v>42</v>
      </c>
      <c r="Z132">
        <v>0</v>
      </c>
      <c r="AA132">
        <v>0</v>
      </c>
      <c r="AB132">
        <v>23</v>
      </c>
      <c r="AC132">
        <v>72</v>
      </c>
      <c r="AD132">
        <v>5</v>
      </c>
      <c r="AE132">
        <f>IFERROR(6/(COUNTIF(Dyno_EndMatch[Match],TBA_Matches_All[[#This Row],[Match_Number]])),0)</f>
        <v>0</v>
      </c>
      <c r="AF132">
        <f>COUNTIFS(Dyno_Data[Team],TBA_Matches_All[[#This Row],[Team]],Dyno_Data[Match],TBA_Matches_All[[#This Row],[Match_Number]],Dyno_Data[RecordType],"EndMatch",Dyno_Data[HPAmp],"Y")</f>
        <v>0</v>
      </c>
      <c r="AG132">
        <f>SUMIFS(Dyno_Data[Mics], Dyno_Data[Team],TBA_Matches_All[[#This Row],[Team]],Dyno_Data[Match],TBA_Matches_All[[#This Row],[Match_Number]],Dyno_Data[RecordType],"EndMatch",Dyno_Data[HPAmp],"Y")</f>
        <v>0</v>
      </c>
      <c r="AH132">
        <f>SUMIFS(Dyno_Data[Leave], Dyno_Data[Team],TBA_Matches_All[[#This Row],[Team]],Dyno_Data[Match],TBA_Matches_All[[#This Row],[Match_Number]],Dyno_Data[RecordType],"EndAuto")</f>
        <v>0</v>
      </c>
      <c r="AI132">
        <f>COUNTIFS(Dyno_Data[Team],TBA_Matches_All[[#This Row],[Team]],Dyno_Data[Match],TBA_Matches_All[[#This Row],[Match_Number]],Dyno_Data[RecordType],"Activities",Dyno_Data[DelDest],"Amp", Dyno_Data[DelMiss],"0", Dyno_Data[Mode],"Auto")</f>
        <v>0</v>
      </c>
      <c r="AJ132">
        <f>COUNTIFS(Dyno_Data[Team],TBA_Matches_All[[#This Row],[Team]],Dyno_Data[Match],TBA_Matches_All[[#This Row],[Match_Number]],Dyno_Data[RecordType],"Activities",Dyno_Data[DelDest],"Spkr", Dyno_Data[DelMiss],"0", Dyno_Data[Mode],"Auto")</f>
        <v>0</v>
      </c>
      <c r="AK132">
        <f>COUNTIFS(Dyno_Data[Team],TBA_Matches_All[[#This Row],[Team]],Dyno_Data[Match],TBA_Matches_All[[#This Row],[Match_Number]],Dyno_Data[RecordType],"Activities",Dyno_Data[DelDest],"Trap", Dyno_Data[DelMiss],"0", Dyno_Data[Mode],"Auto")</f>
        <v>0</v>
      </c>
      <c r="AL132">
        <f>COUNTIFS(Dyno_Data[Team],TBA_Matches_All[[#This Row],[Team]],Dyno_Data[Match],TBA_Matches_All[[#This Row],[Match_Number]],Dyno_Data[RecordType],"Activities",Dyno_Data[DelDest],"Amp", Dyno_Data[DelMiss],"0", Dyno_Data[Mode],"Teleop")</f>
        <v>0</v>
      </c>
      <c r="AM132">
        <f>COUNTIFS(Dyno_Data[Team],TBA_Matches_All[[#This Row],[Team]],Dyno_Data[Match],TBA_Matches_All[[#This Row],[Match_Number]],Dyno_Data[RecordType],"Activities",Dyno_Data[DelDest],"Spkr", Dyno_Data[DelMiss],"0", Dyno_Data[Mode],"Teleop")</f>
        <v>0</v>
      </c>
      <c r="AN132">
        <f>COUNTIFS(Dyno_Data[Team],TBA_Matches_All[[#This Row],[Team]],Dyno_Data[Match],TBA_Matches_All[[#This Row],[Match_Number]],Dyno_Data[RecordType],"Activities",Dyno_Data[DelDest],"Trap", Dyno_Data[DelMiss],"0", Dyno_Data[Mode],"&lt;&gt;Auto")</f>
        <v>0</v>
      </c>
      <c r="AO132">
        <f>SUM(TBA_Matches_All[[#This Row],[AampT]]+TBA_Matches_All[[#This Row],[AspkrT]]+TBA_Matches_All[[#This Row],[AtrapT]]+TBA_Matches_All[[#This Row],[TampT]]+TBA_Matches_All[[#This Row],[TspkrT]]+TBA_Matches_All[[#This Row],[TtrapT]])</f>
        <v>0</v>
      </c>
      <c r="AP132">
        <f>COUNTIFS(Dyno_Data[Team],TBA_Matches_All[[#This Row],[Team]],Dyno_Data[Match],TBA_Matches_All[[#This Row],[Match_Number]],Dyno_Data[RecordType],"Activities",Dyno_Data[DelDest],"Neut", Dyno_Data[DelMiss],"0")</f>
        <v>0</v>
      </c>
      <c r="AQ132">
        <f>COUNTIFS(Dyno_Data[Team],TBA_Matches_All[[#This Row],[Team]],Dyno_Data[Match],TBA_Matches_All[[#This Row],[Match_Number]],Dyno_Data[RecordType],"Activities",Dyno_Data[DelDest],"AllyW", Dyno_Data[DelMiss],"0")</f>
        <v>0</v>
      </c>
      <c r="AR132" t="str">
        <f>_xlfn.XLOOKUP(SUM(MID(TBA_Matches_All[[#This Row],[Team]],4,5),(TBA_Matches_All[[#This Row],[Match_Number]]/100)),Dyno_EndMatch[teammat],Dyno_EndMatch[RobotSta],"_",0,1)</f>
        <v>_</v>
      </c>
      <c r="AS132">
        <f>SUMIFS(Dyno_Data[AcqDis], Dyno_Data[Team],TBA_Matches_All[[#This Row],[Team]],Dyno_Data[Match],TBA_Matches_All[[#This Row],[Match_Number]],Dyno_Data[RecordType],"Activities", Dyno_Data[AcqCenter],1,Dyno_Data[Mode],"Auto")</f>
        <v>0</v>
      </c>
      <c r="AT132">
        <f>SUMIFS(Dyno_Data[AcqDis], Dyno_Data[Team],TBA_Matches_All[[#This Row],[Team]],Dyno_Data[Match],TBA_Matches_All[[#This Row],[Match_Number]],Dyno_Data[RecordType],"Activities", Dyno_Data[AcqCenter],2,Dyno_Data[Mode],"Auto")</f>
        <v>0</v>
      </c>
      <c r="AU132">
        <f>SUMIFS(Dyno_Data[AcqDis], Dyno_Data[Team],TBA_Matches_All[[#This Row],[Team]],Dyno_Data[Match],TBA_Matches_All[[#This Row],[Match_Number]],Dyno_Data[RecordType],"Activities", Dyno_Data[AcqCenter],3,Dyno_Data[Mode],"Auto")</f>
        <v>0</v>
      </c>
      <c r="AV132">
        <f>SUMIFS(Dyno_Data[AcqDis], Dyno_Data[Team],TBA_Matches_All[[#This Row],[Team]],Dyno_Data[Match],TBA_Matches_All[[#This Row],[Match_Number]],Dyno_Data[RecordType],"Activities", Dyno_Data[AcqCenter],4,Dyno_Data[Mode],"Auto")</f>
        <v>0</v>
      </c>
      <c r="AW132">
        <f>SUMIFS(Dyno_Data[AcqDis], Dyno_Data[Team],TBA_Matches_All[[#This Row],[Team]],Dyno_Data[Match],TBA_Matches_All[[#This Row],[Match_Number]],Dyno_Data[RecordType],"Activities", Dyno_Data[AcqCenter],5,Dyno_Data[Mode],"Auto")</f>
        <v>0</v>
      </c>
      <c r="AX132">
        <f>SUMIFS(Dyno_Data[DelMiss], Dyno_Data[Team],TBA_Matches_All[[#This Row],[Team]],Dyno_Data[Match],TBA_Matches_All[[#This Row],[Match_Number]],Dyno_Data[RecordType],"Activities", Dyno_Data[DelDest],"Amp")</f>
        <v>0</v>
      </c>
      <c r="AY132" s="60">
        <f>IFERROR(SUM((TBA_Matches_All[[#This Row],[AampT]]+TBA_Matches_All[[#This Row],[TampT]])/(TBA_Matches_All[[#This Row],[AampT]]+TBA_Matches_All[[#This Row],[TampT]]+TBA_Matches_All[[#This Row],[ampM]])),0)</f>
        <v>0</v>
      </c>
      <c r="AZ132">
        <f>SUMIFS(Dyno_Data[DelMiss], Dyno_Data[Team],TBA_Matches_All[[#This Row],[Team]],Dyno_Data[Match],TBA_Matches_All[[#This Row],[Match_Number]],Dyno_Data[RecordType],"Activities", Dyno_Data[DelDest],"Spkr")</f>
        <v>0</v>
      </c>
      <c r="BA132" s="60">
        <f>IFERROR(SUM((TBA_Matches_All[[#This Row],[AspkrT]]+TBA_Matches_All[[#This Row],[TspkrT]])/(TBA_Matches_All[[#This Row],[AspkrT]]+TBA_Matches_All[[#This Row],[TspkrT]]+TBA_Matches_All[[#This Row],[spkrM]])),0)</f>
        <v>0</v>
      </c>
      <c r="BB132">
        <f>SUMIFS(Dyno_Data[DelMiss], Dyno_Data[Team],TBA_Matches_All[[#This Row],[Team]],Dyno_Data[Match],TBA_Matches_All[[#This Row],[Match_Number]],Dyno_Data[RecordType],"Activities", Dyno_Data[DelDest],"Trap")</f>
        <v>0</v>
      </c>
      <c r="BC132" s="60">
        <f>IFERROR((TBA_Matches_All[[#This Row],[AtrapT]]+TBA_Matches_All[[#This Row],[TtrapT]])/(TBA_Matches_All[[#This Row],[AtrapT]]+TBA_Matches_All[[#This Row],[TtrapT]]+TBA_Matches_All[[#This Row],[trapM]]),0)</f>
        <v>0</v>
      </c>
      <c r="BD132">
        <f>COUNTIFS(Dyno_Data[Team],TBA_Matches_All[[#This Row],[Team]],Dyno_Data[Match],TBA_Matches_All[[#This Row],[Match_Number]],Dyno_Data[RecordType],"Activities",Dyno_Data[DelDest],"Neut", Dyno_Data[DelMiss],1)</f>
        <v>0</v>
      </c>
      <c r="BE132" s="60">
        <f>IFERROR(SUM((TBA_Matches_All[[#This Row],[NeutFlrT]])/(TBA_Matches_All[[#This Row],[NeutFlrT]]+TBA_Matches_All[[#This Row],[NZflM]])),0)</f>
        <v>0</v>
      </c>
      <c r="BF132">
        <f>COUNTIFS(Dyno_Data[Team],TBA_Matches_All[[#This Row],[Team]],Dyno_Data[Match],TBA_Matches_All[[#This Row],[Match_Number]],Dyno_Data[RecordType],"Activities",Dyno_Data[DelDest],"AllyW", Dyno_Data[DelMiss],1)</f>
        <v>0</v>
      </c>
      <c r="BG132" s="60">
        <f>IFERROR(SUM((TBA_Matches_All[[#This Row],[AllyWFlrT]])/(TBA_Matches_All[[#This Row],[AllyWFlrT]]+TBA_Matches_All[[#This Row],[AZflM]])),0)</f>
        <v>0</v>
      </c>
      <c r="BH132">
        <f>COUNTIFS(Dyno_Data[Team],TBA_Matches_All[[#This Row],[Team]],Dyno_Data[Match],TBA_Matches_All[[#This Row],[Match_Number]],Dyno_Data[RecordType],"Activities",Dyno_Data[DelOrig],"OppW", Dyno_Data[DelMiss],"0")</f>
        <v>0</v>
      </c>
      <c r="BI132">
        <f>COUNTIFS(Dyno_Data[Team],TBA_Matches_All[[#This Row],[Team]],Dyno_Data[Match],TBA_Matches_All[[#This Row],[Match_Number]],Dyno_Data[RecordType],"Activities",Dyno_Data[DelOrig],"OppW", Dyno_Data[DelMiss],"1")</f>
        <v>0</v>
      </c>
      <c r="BJ132" s="60">
        <f>IFERROR(SUM((TBA_Matches_All[[#This Row],[OZflrT]])/(TBA_Matches_All[[#This Row],[OZflrT]]+TBA_Matches_All[[#This Row],[OZflrM]])),0)</f>
        <v>0</v>
      </c>
      <c r="BK132">
        <f>COUNTIFS(Dyno_Data[Team],TBA_Matches_All[[#This Row],[Team]],Dyno_Data[Match],TBA_Matches_All[[#This Row],[Match_Number]],Dyno_Data[RecordType],"Activities",Dyno_Data[DelOrig],"Neut", Dyno_Data[DelMiss],"0")</f>
        <v>0</v>
      </c>
      <c r="BL132">
        <f>COUNTIFS(Dyno_Data[Team],TBA_Matches_All[[#This Row],[Team]],Dyno_Data[Match],TBA_Matches_All[[#This Row],[Match_Number]],Dyno_Data[RecordType],"Activities",Dyno_Data[DelOrig],"Neut", Dyno_Data[DelMiss],"1")</f>
        <v>0</v>
      </c>
      <c r="BM132" s="60">
        <f>IFERROR(SUM((TBA_Matches_All[[#This Row],[NZflrT]])/(TBA_Matches_All[[#This Row],[NZflrT]]+TBA_Matches_All[[#This Row],[NZflrM]])),0)</f>
        <v>0</v>
      </c>
      <c r="BN132">
        <f>COUNTIFS(Dyno_Data[Team],TBA_Matches_All[[#This Row],[Team]],Dyno_Data[Match],TBA_Matches_All[[#This Row],[Match_Number]],Dyno_Data[RecordType],"Activities",Dyno_Data[DelOrig],"AllyW", Dyno_Data[DelMiss],"0")</f>
        <v>0</v>
      </c>
      <c r="BO132">
        <f>COUNTIFS(Dyno_Data[Team],TBA_Matches_All[[#This Row],[Team]],Dyno_Data[Match],TBA_Matches_All[[#This Row],[Match_Number]],Dyno_Data[RecordType],"Activities",Dyno_Data[DelOrig],"AllyW", Dyno_Data[DelMiss],"1")</f>
        <v>0</v>
      </c>
      <c r="BP132" s="60">
        <f>IFERROR(SUM((TBA_Matches_All[[#This Row],[AZflrT]])/(TBA_Matches_All[[#This Row],[AZflrT]]+TBA_Matches_All[[#This Row],[AZflrM]])),0)</f>
        <v>0</v>
      </c>
      <c r="BQ132">
        <f>COUNTIFS(Dyno_Data[Team],TBA_Matches_All[[#This Row],[Team]],Dyno_Data[Match],TBA_Matches_All[[#This Row],[Match_Number]],Dyno_Data[RecordType],"Activities",Dyno_Data[DelOrig],"SubW", Dyno_Data[DelMiss],"0")</f>
        <v>0</v>
      </c>
      <c r="BR132">
        <f>COUNTIFS(Dyno_Data[Team],TBA_Matches_All[[#This Row],[Team]],Dyno_Data[Match],TBA_Matches_All[[#This Row],[Match_Number]],Dyno_Data[RecordType],"Activities",Dyno_Data[DelOrig],"SubW", Dyno_Data[DelMiss],"1")</f>
        <v>0</v>
      </c>
      <c r="BS132" s="60">
        <f>IFERROR(SUM((TBA_Matches_All[[#This Row],[SubwT]])/(TBA_Matches_All[[#This Row],[SubwT]]+TBA_Matches_All[[#This Row],[SubwM]])),0)</f>
        <v>0</v>
      </c>
      <c r="BT132">
        <f>COUNTIFS(Dyno_Data[Team],TBA_Matches_All[[#This Row],[Team]],Dyno_Data[Match],TBA_Matches_All[[#This Row],[Match_Number]],Dyno_Data[RecordType],"Activities", Dyno_Data[AcqLoc],"OppWing")</f>
        <v>0</v>
      </c>
      <c r="BU132">
        <f>COUNTIFS(Dyno_Data[Team],TBA_Matches_All[[#This Row],[Team]],Dyno_Data[Match],TBA_Matches_All[[#This Row],[Match_Number]],Dyno_Data[RecordType],"Activities", Dyno_Data[AcqLoc],"Neutral")</f>
        <v>0</v>
      </c>
      <c r="BV132">
        <f>COUNTIFS(Dyno_Data[Team],TBA_Matches_All[[#This Row],[Team]],Dyno_Data[Match],TBA_Matches_All[[#This Row],[Match_Number]],Dyno_Data[RecordType],"Activities", Dyno_Data[AcqLoc],"AllyWing")</f>
        <v>0</v>
      </c>
      <c r="BW132">
        <f>COUNTIFS(Dyno_Data[Team],TBA_Matches_All[[#This Row],[Team]],Dyno_Data[Match],TBA_Matches_All[[#This Row],[Match_Number]],Dyno_Data[RecordType],"Activities", Dyno_Data[AcqLoc],"Source")</f>
        <v>0</v>
      </c>
      <c r="BX132">
        <f>SUMIFS(Dyno_Data[AcqDrp], Dyno_Data[Team],TBA_Matches_All[[#This Row],[Team]],Dyno_Data[Match],TBA_Matches_All[[#This Row],[Match_Number]],Dyno_Data[RecordType],"Activities", Dyno_Data[AcqLoc],"Source")</f>
        <v>0</v>
      </c>
      <c r="BY132">
        <f>SUMIFS(Dyno_Data[OZTime], Dyno_Data[Team],TBA_Matches_All[[#This Row],[Team]],Dyno_Data[Match],TBA_Matches_All[[#This Row],[Match_Number]],Dyno_Data[RecordType],"EndMatch")</f>
        <v>0</v>
      </c>
      <c r="BZ132">
        <f>SUMIFS(Dyno_Data[NZTime], Dyno_Data[Team],TBA_Matches_All[[#This Row],[Team]],Dyno_Data[Match],TBA_Matches_All[[#This Row],[Match_Number]],Dyno_Data[RecordType],"EndMatch")</f>
        <v>0</v>
      </c>
      <c r="CA132">
        <f>SUMIFS(Dyno_Data[AZTime], Dyno_Data[Team],TBA_Matches_All[[#This Row],[Team]],Dyno_Data[Match],TBA_Matches_All[[#This Row],[Match_Number]],Dyno_Data[RecordType],"EndMatch")</f>
        <v>0</v>
      </c>
      <c r="CB132">
        <f>SUMIFS(Dyno_Data[ClimbT], Dyno_Data[Team],TBA_Matches_All[[#This Row],[Team]],Dyno_Data[Match],TBA_Matches_All[[#This Row],[Match_Number]],Dyno_Data[RecordType],"EndMatch")</f>
        <v>0</v>
      </c>
      <c r="CC132" t="str">
        <f>_xlfn.XLOOKUP(SUM(MID(TBA_Matches_All[[#This Row],[Team]],4,5),(TBA_Matches_All[[#This Row],[Match_Number]]/100)),Dyno_EndMatch[teammat],Dyno_EndMatch[StageStat],"_",0,1)</f>
        <v>_</v>
      </c>
      <c r="CD132" t="str">
        <f>_xlfn.XLOOKUP(TBA_Matches_All[[#This Row],[teammat]],Dyno_EndMatch[teammat],Dyno_EndMatch[StageAtt],"_",0,1)</f>
        <v>_</v>
      </c>
      <c r="CE132" t="str">
        <f>_xlfn.XLOOKUP(TBA_Matches_All[[#This Row],[teammat]],Dyno_EndMatch[teammat],Dyno_EndMatch[StageLoc],"_",0,1)</f>
        <v>_</v>
      </c>
      <c r="CF132">
        <f>SUMIFS(Dyno_Data[Harmony], Dyno_Data[Team],TBA_Matches_All[[#This Row],[Team]],Dyno_Data[Match],TBA_Matches_All[[#This Row],[Match_Number]],Dyno_Data[RecordType],"EndMatch", Dyno_Data[StageStat],"On",Dyno_Data[Harmony],"&lt;&gt;9")</f>
        <v>0</v>
      </c>
      <c r="CG132">
        <f>SUMIFS(Dyno_Data[Spotlit], Dyno_Data[Team],TBA_Matches_All[[#This Row],[Team]],Dyno_Data[Match],TBA_Matches_All[[#This Row],[Match_Number]],Dyno_Data[RecordType],"EndMatch", Dyno_Data[StageStat],"On",Dyno_Data[Spotlit],"&lt;&gt;9")</f>
        <v>0</v>
      </c>
      <c r="CH132" t="str">
        <f>_xlfn.XLOOKUP(TBA_Matches_All[[#This Row],[teammat]],Dyno_EndMatch[teammat],Dyno_EndMatch[Strategy],"_",0,1)</f>
        <v>_</v>
      </c>
      <c r="CI132">
        <f>SUMIFS(Dyno_Data[Defense], Dyno_Data[Team],TBA_Matches_All[[#This Row],[Team]],Dyno_Data[Match],TBA_Matches_All[[#This Row],[Match_Number]],Dyno_Data[RecordType],"EndMatch",Dyno_Data[Defense],"&lt;&gt;9")</f>
        <v>0</v>
      </c>
      <c r="CJ132">
        <f>SUMIFS(Dyno_Data[Avoidance], Dyno_Data[Team],TBA_Matches_All[[#This Row],[Team]],Dyno_Data[Match],TBA_Matches_All[[#This Row],[Match_Number]],Dyno_Data[RecordType],"EndMatch",Dyno_Data[Avoidance],"&lt;&gt;9")</f>
        <v>0</v>
      </c>
      <c r="CK132" s="82">
        <f>COUNTIF($H$2:TBA_Matches_All[[#This Row],[Team]],TBA_Matches_All[[#This Row],[Team]])</f>
        <v>3</v>
      </c>
      <c r="CL132" s="111">
        <f>SUM(MID(TBA_Matches_All[[#This Row],[Team]],4,5)+TBA_Matches_All[[#This Row],[Match_Number]]/100)</f>
        <v>3419.22</v>
      </c>
      <c r="CM132">
        <f>SUM((TBA_Matches_All[[#This Row],[Leave]]*2)+(TBA_Matches_All[[#This Row],[AampT]]*2)+(TBA_Matches_All[[#This Row],[AspkrT]]*5)+(TBA_Matches_All[[#This Row],[AtrapT]]*5))</f>
        <v>0</v>
      </c>
      <c r="CN132" s="59">
        <f>IFERROR(SUM(TBA_Matches_All[[#This Row],[AptsT]]/TBA_Matches_All[[#This Row],[AutoPts]]),0)</f>
        <v>0</v>
      </c>
      <c r="CO132" s="59">
        <f>IFERROR(SUM(TBA_Matches_All[[#This Row],[AampT]]+TBA_Matches_All[[#This Row],[AspkrT]]+TBA_Matches_All[[#This Row],[AtrapT]]/TBA_Matches_All[[#This Row],[Aamp]]+TBA_Matches_All[[#This Row],[Aspkr]]+TBA_Matches_All[[#This Row],[AtrapT]]),0)</f>
        <v>0</v>
      </c>
      <c r="CP132" s="59">
        <f>IFERROR(SUM(TBA_Matches_All[[#This Row],[TampT]]/TBA_Matches_All[[#This Row],[Tamp]]),0)</f>
        <v>0</v>
      </c>
      <c r="CQ132" s="59">
        <f>IFERROR(SUM(TBA_Matches_All[[#This Row],[TspkrT]]/TBA_Matches_All[[#This Row],[Tspkr]]),0)</f>
        <v>0</v>
      </c>
      <c r="CR132">
        <f>SUM(TBA_Matches_All[[#This Row],[TspkrPts]]*TBA_Matches_All[[#This Row],[TspkrP]])</f>
        <v>0</v>
      </c>
      <c r="CS132" s="59">
        <f>IFERROR(SUM(TBA_Matches_All[[#This Row],[TtrapT]]/TBA_Matches_All[[#This Row],[Trap]]),0)</f>
        <v>0</v>
      </c>
      <c r="CT132" s="59">
        <f>IFERROR(SUM(TBA_Matches_All[[#This Row],[TotNotesT]]/TBA_Matches_All[[#This Row],[TotNotes]]),0)</f>
        <v>0</v>
      </c>
      <c r="CU132" s="66">
        <f>SUM((TBA_Matches_All[[#This Row],[AampT]]*2)+(TBA_Matches_All[[#This Row],[AspkrT]]*5)+(TBA_Matches_All[[#This Row],[AtrapT]]*5)+(TBA_Matches_All[[#This Row],[TampT]]*1)+(TBA_Matches_All[[#This Row],[TspkrptsC]]))</f>
        <v>0</v>
      </c>
      <c r="CV132" s="59">
        <f>IFERROR(TBA_Matches_All[[#This Row],[noteptsT]]/TBA_Matches_All[[#This Row],[NotePts]],0)</f>
        <v>0</v>
      </c>
      <c r="CW132">
        <f>SUM(IF(TBA_Matches_All[[#This Row],[stageStat]]="On",3,0),IF(TBA_Matches_All[[#This Row],[stageStat]]="Park",1,0),SUMIFS(TBA_Matches_All[[#This Row],[Spotlit]],TBA_Matches_All[[#This Row],[stageStat]],"On"),SUMIFS(TBA_Matches_All[[#This Row],[Harmony]],TBA_Matches_All[[#This Row],[stageStat]],"On"))</f>
        <v>0</v>
      </c>
      <c r="CX132" s="59">
        <f>IFERROR(TBA_Matches_All[[#This Row],[stageptsT]]/TBA_Matches_All[[#This Row],[StagePts]],0)</f>
        <v>0</v>
      </c>
      <c r="CY132">
        <f>SUM((TBA_Matches_All[[#This Row],[AptsT]]+TBA_Matches_All[[#This Row],[TampT]]+TBA_Matches_All[[#This Row],[TspkrptsC]]+(TBA_Matches_All[[#This Row],[TtrapT]]*5)+TBA_Matches_All[[#This Row],[stageptsT]]))</f>
        <v>0</v>
      </c>
      <c r="CZ132" s="59">
        <f>IFERROR(SUM(TBA_Matches_All[[#This Row],[TotptsC]]/TBA_Matches_All[[#This Row],[Score]]),0)</f>
        <v>0</v>
      </c>
      <c r="DA13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15.104545454545454</v>
      </c>
      <c r="DB132" s="74">
        <f>SUMIFS(TBA_Matches_All[AveTeamTNoteDels],TBA_Matches_All[Match_Number],TBA_Matches_All[[#This Row],[Match_Number]],TBA_Matches_All[Alliance],"&lt;&gt;"&amp;TBA_Matches_All[[#This Row],[Alliance]],TBA_Matches_All[Scouted],"&gt;0")</f>
        <v>0</v>
      </c>
      <c r="DC132" s="74">
        <f>(TBA_Matches_All[[#This Row],[TampT]]+TBA_Matches_All[[#This Row],[TspkrptsC]])-TBA_Matches_All[[#This Row],[AveTeamTNoteDels]]</f>
        <v>-15.104545454545454</v>
      </c>
      <c r="DD132" s="74">
        <f>SUMIFS(TBA_Matches_All[AveTeamTNoteDels],TBA_Matches_All[Match_Number],TBA_Matches_All[[#This Row],[Match_Number]],TBA_Matches_All[Alliance],"&lt;&gt;"&amp;TBA_Matches_All[[#This Row],[Alliance]])-TBA_Matches_All[[#This Row],[AveOppTNoteDels]]</f>
        <v>28.685930735930736</v>
      </c>
    </row>
    <row r="133" spans="1:108" x14ac:dyDescent="0.3">
      <c r="A133" t="s">
        <v>1042</v>
      </c>
      <c r="B133" t="s">
        <v>489</v>
      </c>
      <c r="C133" t="s">
        <v>1331</v>
      </c>
      <c r="D133">
        <v>22</v>
      </c>
      <c r="E133" t="s">
        <v>1420</v>
      </c>
      <c r="F133" t="s">
        <v>1425</v>
      </c>
      <c r="G133" t="s">
        <v>105</v>
      </c>
      <c r="H133" t="s">
        <v>1302</v>
      </c>
      <c r="I133" t="b">
        <v>0</v>
      </c>
      <c r="J133">
        <v>37</v>
      </c>
      <c r="K133">
        <v>0</v>
      </c>
      <c r="L133">
        <v>0</v>
      </c>
      <c r="M133">
        <v>6</v>
      </c>
      <c r="N133">
        <v>0</v>
      </c>
      <c r="O133">
        <v>2</v>
      </c>
      <c r="P133">
        <v>10</v>
      </c>
      <c r="Q133">
        <v>14</v>
      </c>
      <c r="R133">
        <v>0</v>
      </c>
      <c r="S133">
        <v>0</v>
      </c>
      <c r="T133">
        <v>10</v>
      </c>
      <c r="U133">
        <v>0</v>
      </c>
      <c r="V133">
        <v>20</v>
      </c>
      <c r="W133">
        <v>10</v>
      </c>
      <c r="X133">
        <v>20</v>
      </c>
      <c r="Y133">
        <v>20</v>
      </c>
      <c r="Z133">
        <v>0</v>
      </c>
      <c r="AA133">
        <v>0</v>
      </c>
      <c r="AB133">
        <v>12</v>
      </c>
      <c r="AC133">
        <v>30</v>
      </c>
      <c r="AD133">
        <v>3</v>
      </c>
      <c r="AE133">
        <f>IFERROR(6/(COUNTIF(Dyno_EndMatch[Match],TBA_Matches_All[[#This Row],[Match_Number]])),0)</f>
        <v>0</v>
      </c>
      <c r="AF133">
        <f>COUNTIFS(Dyno_Data[Team],TBA_Matches_All[[#This Row],[Team]],Dyno_Data[Match],TBA_Matches_All[[#This Row],[Match_Number]],Dyno_Data[RecordType],"EndMatch",Dyno_Data[HPAmp],"Y")</f>
        <v>0</v>
      </c>
      <c r="AG133">
        <f>SUMIFS(Dyno_Data[Mics], Dyno_Data[Team],TBA_Matches_All[[#This Row],[Team]],Dyno_Data[Match],TBA_Matches_All[[#This Row],[Match_Number]],Dyno_Data[RecordType],"EndMatch",Dyno_Data[HPAmp],"Y")</f>
        <v>0</v>
      </c>
      <c r="AH133">
        <f>SUMIFS(Dyno_Data[Leave], Dyno_Data[Team],TBA_Matches_All[[#This Row],[Team]],Dyno_Data[Match],TBA_Matches_All[[#This Row],[Match_Number]],Dyno_Data[RecordType],"EndAuto")</f>
        <v>0</v>
      </c>
      <c r="AI133">
        <f>COUNTIFS(Dyno_Data[Team],TBA_Matches_All[[#This Row],[Team]],Dyno_Data[Match],TBA_Matches_All[[#This Row],[Match_Number]],Dyno_Data[RecordType],"Activities",Dyno_Data[DelDest],"Amp", Dyno_Data[DelMiss],"0", Dyno_Data[Mode],"Auto")</f>
        <v>0</v>
      </c>
      <c r="AJ133">
        <f>COUNTIFS(Dyno_Data[Team],TBA_Matches_All[[#This Row],[Team]],Dyno_Data[Match],TBA_Matches_All[[#This Row],[Match_Number]],Dyno_Data[RecordType],"Activities",Dyno_Data[DelDest],"Spkr", Dyno_Data[DelMiss],"0", Dyno_Data[Mode],"Auto")</f>
        <v>0</v>
      </c>
      <c r="AK133">
        <f>COUNTIFS(Dyno_Data[Team],TBA_Matches_All[[#This Row],[Team]],Dyno_Data[Match],TBA_Matches_All[[#This Row],[Match_Number]],Dyno_Data[RecordType],"Activities",Dyno_Data[DelDest],"Trap", Dyno_Data[DelMiss],"0", Dyno_Data[Mode],"Auto")</f>
        <v>0</v>
      </c>
      <c r="AL133">
        <f>COUNTIFS(Dyno_Data[Team],TBA_Matches_All[[#This Row],[Team]],Dyno_Data[Match],TBA_Matches_All[[#This Row],[Match_Number]],Dyno_Data[RecordType],"Activities",Dyno_Data[DelDest],"Amp", Dyno_Data[DelMiss],"0", Dyno_Data[Mode],"Teleop")</f>
        <v>0</v>
      </c>
      <c r="AM133">
        <f>COUNTIFS(Dyno_Data[Team],TBA_Matches_All[[#This Row],[Team]],Dyno_Data[Match],TBA_Matches_All[[#This Row],[Match_Number]],Dyno_Data[RecordType],"Activities",Dyno_Data[DelDest],"Spkr", Dyno_Data[DelMiss],"0", Dyno_Data[Mode],"Teleop")</f>
        <v>0</v>
      </c>
      <c r="AN133">
        <f>COUNTIFS(Dyno_Data[Team],TBA_Matches_All[[#This Row],[Team]],Dyno_Data[Match],TBA_Matches_All[[#This Row],[Match_Number]],Dyno_Data[RecordType],"Activities",Dyno_Data[DelDest],"Trap", Dyno_Data[DelMiss],"0", Dyno_Data[Mode],"&lt;&gt;Auto")</f>
        <v>0</v>
      </c>
      <c r="AO133">
        <f>SUM(TBA_Matches_All[[#This Row],[AampT]]+TBA_Matches_All[[#This Row],[AspkrT]]+TBA_Matches_All[[#This Row],[AtrapT]]+TBA_Matches_All[[#This Row],[TampT]]+TBA_Matches_All[[#This Row],[TspkrT]]+TBA_Matches_All[[#This Row],[TtrapT]])</f>
        <v>0</v>
      </c>
      <c r="AP133">
        <f>COUNTIFS(Dyno_Data[Team],TBA_Matches_All[[#This Row],[Team]],Dyno_Data[Match],TBA_Matches_All[[#This Row],[Match_Number]],Dyno_Data[RecordType],"Activities",Dyno_Data[DelDest],"Neut", Dyno_Data[DelMiss],"0")</f>
        <v>0</v>
      </c>
      <c r="AQ133">
        <f>COUNTIFS(Dyno_Data[Team],TBA_Matches_All[[#This Row],[Team]],Dyno_Data[Match],TBA_Matches_All[[#This Row],[Match_Number]],Dyno_Data[RecordType],"Activities",Dyno_Data[DelDest],"AllyW", Dyno_Data[DelMiss],"0")</f>
        <v>0</v>
      </c>
      <c r="AR133" t="str">
        <f>_xlfn.XLOOKUP(SUM(MID(TBA_Matches_All[[#This Row],[Team]],4,5),(TBA_Matches_All[[#This Row],[Match_Number]]/100)),Dyno_EndMatch[teammat],Dyno_EndMatch[RobotSta],"_",0,1)</f>
        <v>_</v>
      </c>
      <c r="AS133">
        <f>SUMIFS(Dyno_Data[AcqDis], Dyno_Data[Team],TBA_Matches_All[[#This Row],[Team]],Dyno_Data[Match],TBA_Matches_All[[#This Row],[Match_Number]],Dyno_Data[RecordType],"Activities", Dyno_Data[AcqCenter],1,Dyno_Data[Mode],"Auto")</f>
        <v>0</v>
      </c>
      <c r="AT133">
        <f>SUMIFS(Dyno_Data[AcqDis], Dyno_Data[Team],TBA_Matches_All[[#This Row],[Team]],Dyno_Data[Match],TBA_Matches_All[[#This Row],[Match_Number]],Dyno_Data[RecordType],"Activities", Dyno_Data[AcqCenter],2,Dyno_Data[Mode],"Auto")</f>
        <v>0</v>
      </c>
      <c r="AU133">
        <f>SUMIFS(Dyno_Data[AcqDis], Dyno_Data[Team],TBA_Matches_All[[#This Row],[Team]],Dyno_Data[Match],TBA_Matches_All[[#This Row],[Match_Number]],Dyno_Data[RecordType],"Activities", Dyno_Data[AcqCenter],3,Dyno_Data[Mode],"Auto")</f>
        <v>0</v>
      </c>
      <c r="AV133">
        <f>SUMIFS(Dyno_Data[AcqDis], Dyno_Data[Team],TBA_Matches_All[[#This Row],[Team]],Dyno_Data[Match],TBA_Matches_All[[#This Row],[Match_Number]],Dyno_Data[RecordType],"Activities", Dyno_Data[AcqCenter],4,Dyno_Data[Mode],"Auto")</f>
        <v>0</v>
      </c>
      <c r="AW133">
        <f>SUMIFS(Dyno_Data[AcqDis], Dyno_Data[Team],TBA_Matches_All[[#This Row],[Team]],Dyno_Data[Match],TBA_Matches_All[[#This Row],[Match_Number]],Dyno_Data[RecordType],"Activities", Dyno_Data[AcqCenter],5,Dyno_Data[Mode],"Auto")</f>
        <v>0</v>
      </c>
      <c r="AX133">
        <f>SUMIFS(Dyno_Data[DelMiss], Dyno_Data[Team],TBA_Matches_All[[#This Row],[Team]],Dyno_Data[Match],TBA_Matches_All[[#This Row],[Match_Number]],Dyno_Data[RecordType],"Activities", Dyno_Data[DelDest],"Amp")</f>
        <v>0</v>
      </c>
      <c r="AY133" s="60">
        <f>IFERROR(SUM((TBA_Matches_All[[#This Row],[AampT]]+TBA_Matches_All[[#This Row],[TampT]])/(TBA_Matches_All[[#This Row],[AampT]]+TBA_Matches_All[[#This Row],[TampT]]+TBA_Matches_All[[#This Row],[ampM]])),0)</f>
        <v>0</v>
      </c>
      <c r="AZ133">
        <f>SUMIFS(Dyno_Data[DelMiss], Dyno_Data[Team],TBA_Matches_All[[#This Row],[Team]],Dyno_Data[Match],TBA_Matches_All[[#This Row],[Match_Number]],Dyno_Data[RecordType],"Activities", Dyno_Data[DelDest],"Spkr")</f>
        <v>0</v>
      </c>
      <c r="BA133" s="60">
        <f>IFERROR(SUM((TBA_Matches_All[[#This Row],[AspkrT]]+TBA_Matches_All[[#This Row],[TspkrT]])/(TBA_Matches_All[[#This Row],[AspkrT]]+TBA_Matches_All[[#This Row],[TspkrT]]+TBA_Matches_All[[#This Row],[spkrM]])),0)</f>
        <v>0</v>
      </c>
      <c r="BB133">
        <f>SUMIFS(Dyno_Data[DelMiss], Dyno_Data[Team],TBA_Matches_All[[#This Row],[Team]],Dyno_Data[Match],TBA_Matches_All[[#This Row],[Match_Number]],Dyno_Data[RecordType],"Activities", Dyno_Data[DelDest],"Trap")</f>
        <v>0</v>
      </c>
      <c r="BC133" s="60">
        <f>IFERROR((TBA_Matches_All[[#This Row],[AtrapT]]+TBA_Matches_All[[#This Row],[TtrapT]])/(TBA_Matches_All[[#This Row],[AtrapT]]+TBA_Matches_All[[#This Row],[TtrapT]]+TBA_Matches_All[[#This Row],[trapM]]),0)</f>
        <v>0</v>
      </c>
      <c r="BD133">
        <f>COUNTIFS(Dyno_Data[Team],TBA_Matches_All[[#This Row],[Team]],Dyno_Data[Match],TBA_Matches_All[[#This Row],[Match_Number]],Dyno_Data[RecordType],"Activities",Dyno_Data[DelDest],"Neut", Dyno_Data[DelMiss],1)</f>
        <v>0</v>
      </c>
      <c r="BE133" s="60">
        <f>IFERROR(SUM((TBA_Matches_All[[#This Row],[NeutFlrT]])/(TBA_Matches_All[[#This Row],[NeutFlrT]]+TBA_Matches_All[[#This Row],[NZflM]])),0)</f>
        <v>0</v>
      </c>
      <c r="BF133">
        <f>COUNTIFS(Dyno_Data[Team],TBA_Matches_All[[#This Row],[Team]],Dyno_Data[Match],TBA_Matches_All[[#This Row],[Match_Number]],Dyno_Data[RecordType],"Activities",Dyno_Data[DelDest],"AllyW", Dyno_Data[DelMiss],1)</f>
        <v>0</v>
      </c>
      <c r="BG133" s="60">
        <f>IFERROR(SUM((TBA_Matches_All[[#This Row],[AllyWFlrT]])/(TBA_Matches_All[[#This Row],[AllyWFlrT]]+TBA_Matches_All[[#This Row],[AZflM]])),0)</f>
        <v>0</v>
      </c>
      <c r="BH133">
        <f>COUNTIFS(Dyno_Data[Team],TBA_Matches_All[[#This Row],[Team]],Dyno_Data[Match],TBA_Matches_All[[#This Row],[Match_Number]],Dyno_Data[RecordType],"Activities",Dyno_Data[DelOrig],"OppW", Dyno_Data[DelMiss],"0")</f>
        <v>0</v>
      </c>
      <c r="BI133">
        <f>COUNTIFS(Dyno_Data[Team],TBA_Matches_All[[#This Row],[Team]],Dyno_Data[Match],TBA_Matches_All[[#This Row],[Match_Number]],Dyno_Data[RecordType],"Activities",Dyno_Data[DelOrig],"OppW", Dyno_Data[DelMiss],"1")</f>
        <v>0</v>
      </c>
      <c r="BJ133" s="60">
        <f>IFERROR(SUM((TBA_Matches_All[[#This Row],[OZflrT]])/(TBA_Matches_All[[#This Row],[OZflrT]]+TBA_Matches_All[[#This Row],[OZflrM]])),0)</f>
        <v>0</v>
      </c>
      <c r="BK133">
        <f>COUNTIFS(Dyno_Data[Team],TBA_Matches_All[[#This Row],[Team]],Dyno_Data[Match],TBA_Matches_All[[#This Row],[Match_Number]],Dyno_Data[RecordType],"Activities",Dyno_Data[DelOrig],"Neut", Dyno_Data[DelMiss],"0")</f>
        <v>0</v>
      </c>
      <c r="BL133">
        <f>COUNTIFS(Dyno_Data[Team],TBA_Matches_All[[#This Row],[Team]],Dyno_Data[Match],TBA_Matches_All[[#This Row],[Match_Number]],Dyno_Data[RecordType],"Activities",Dyno_Data[DelOrig],"Neut", Dyno_Data[DelMiss],"1")</f>
        <v>0</v>
      </c>
      <c r="BM133" s="60">
        <f>IFERROR(SUM((TBA_Matches_All[[#This Row],[NZflrT]])/(TBA_Matches_All[[#This Row],[NZflrT]]+TBA_Matches_All[[#This Row],[NZflrM]])),0)</f>
        <v>0</v>
      </c>
      <c r="BN133">
        <f>COUNTIFS(Dyno_Data[Team],TBA_Matches_All[[#This Row],[Team]],Dyno_Data[Match],TBA_Matches_All[[#This Row],[Match_Number]],Dyno_Data[RecordType],"Activities",Dyno_Data[DelOrig],"AllyW", Dyno_Data[DelMiss],"0")</f>
        <v>0</v>
      </c>
      <c r="BO133">
        <f>COUNTIFS(Dyno_Data[Team],TBA_Matches_All[[#This Row],[Team]],Dyno_Data[Match],TBA_Matches_All[[#This Row],[Match_Number]],Dyno_Data[RecordType],"Activities",Dyno_Data[DelOrig],"AllyW", Dyno_Data[DelMiss],"1")</f>
        <v>0</v>
      </c>
      <c r="BP133" s="60">
        <f>IFERROR(SUM((TBA_Matches_All[[#This Row],[AZflrT]])/(TBA_Matches_All[[#This Row],[AZflrT]]+TBA_Matches_All[[#This Row],[AZflrM]])),0)</f>
        <v>0</v>
      </c>
      <c r="BQ133">
        <f>COUNTIFS(Dyno_Data[Team],TBA_Matches_All[[#This Row],[Team]],Dyno_Data[Match],TBA_Matches_All[[#This Row],[Match_Number]],Dyno_Data[RecordType],"Activities",Dyno_Data[DelOrig],"SubW", Dyno_Data[DelMiss],"0")</f>
        <v>0</v>
      </c>
      <c r="BR133">
        <f>COUNTIFS(Dyno_Data[Team],TBA_Matches_All[[#This Row],[Team]],Dyno_Data[Match],TBA_Matches_All[[#This Row],[Match_Number]],Dyno_Data[RecordType],"Activities",Dyno_Data[DelOrig],"SubW", Dyno_Data[DelMiss],"1")</f>
        <v>0</v>
      </c>
      <c r="BS133" s="60">
        <f>IFERROR(SUM((TBA_Matches_All[[#This Row],[SubwT]])/(TBA_Matches_All[[#This Row],[SubwT]]+TBA_Matches_All[[#This Row],[SubwM]])),0)</f>
        <v>0</v>
      </c>
      <c r="BT133">
        <f>COUNTIFS(Dyno_Data[Team],TBA_Matches_All[[#This Row],[Team]],Dyno_Data[Match],TBA_Matches_All[[#This Row],[Match_Number]],Dyno_Data[RecordType],"Activities", Dyno_Data[AcqLoc],"OppWing")</f>
        <v>0</v>
      </c>
      <c r="BU133">
        <f>COUNTIFS(Dyno_Data[Team],TBA_Matches_All[[#This Row],[Team]],Dyno_Data[Match],TBA_Matches_All[[#This Row],[Match_Number]],Dyno_Data[RecordType],"Activities", Dyno_Data[AcqLoc],"Neutral")</f>
        <v>0</v>
      </c>
      <c r="BV133">
        <f>COUNTIFS(Dyno_Data[Team],TBA_Matches_All[[#This Row],[Team]],Dyno_Data[Match],TBA_Matches_All[[#This Row],[Match_Number]],Dyno_Data[RecordType],"Activities", Dyno_Data[AcqLoc],"AllyWing")</f>
        <v>0</v>
      </c>
      <c r="BW133">
        <f>COUNTIFS(Dyno_Data[Team],TBA_Matches_All[[#This Row],[Team]],Dyno_Data[Match],TBA_Matches_All[[#This Row],[Match_Number]],Dyno_Data[RecordType],"Activities", Dyno_Data[AcqLoc],"Source")</f>
        <v>0</v>
      </c>
      <c r="BX133">
        <f>SUMIFS(Dyno_Data[AcqDrp], Dyno_Data[Team],TBA_Matches_All[[#This Row],[Team]],Dyno_Data[Match],TBA_Matches_All[[#This Row],[Match_Number]],Dyno_Data[RecordType],"Activities", Dyno_Data[AcqLoc],"Source")</f>
        <v>0</v>
      </c>
      <c r="BY133">
        <f>SUMIFS(Dyno_Data[OZTime], Dyno_Data[Team],TBA_Matches_All[[#This Row],[Team]],Dyno_Data[Match],TBA_Matches_All[[#This Row],[Match_Number]],Dyno_Data[RecordType],"EndMatch")</f>
        <v>0</v>
      </c>
      <c r="BZ133">
        <f>SUMIFS(Dyno_Data[NZTime], Dyno_Data[Team],TBA_Matches_All[[#This Row],[Team]],Dyno_Data[Match],TBA_Matches_All[[#This Row],[Match_Number]],Dyno_Data[RecordType],"EndMatch")</f>
        <v>0</v>
      </c>
      <c r="CA133">
        <f>SUMIFS(Dyno_Data[AZTime], Dyno_Data[Team],TBA_Matches_All[[#This Row],[Team]],Dyno_Data[Match],TBA_Matches_All[[#This Row],[Match_Number]],Dyno_Data[RecordType],"EndMatch")</f>
        <v>0</v>
      </c>
      <c r="CB133">
        <f>SUMIFS(Dyno_Data[ClimbT], Dyno_Data[Team],TBA_Matches_All[[#This Row],[Team]],Dyno_Data[Match],TBA_Matches_All[[#This Row],[Match_Number]],Dyno_Data[RecordType],"EndMatch")</f>
        <v>0</v>
      </c>
      <c r="CC133" t="str">
        <f>_xlfn.XLOOKUP(SUM(MID(TBA_Matches_All[[#This Row],[Team]],4,5),(TBA_Matches_All[[#This Row],[Match_Number]]/100)),Dyno_EndMatch[teammat],Dyno_EndMatch[StageStat],"_",0,1)</f>
        <v>_</v>
      </c>
      <c r="CD133" t="str">
        <f>_xlfn.XLOOKUP(TBA_Matches_All[[#This Row],[teammat]],Dyno_EndMatch[teammat],Dyno_EndMatch[StageAtt],"_",0,1)</f>
        <v>_</v>
      </c>
      <c r="CE133" t="str">
        <f>_xlfn.XLOOKUP(TBA_Matches_All[[#This Row],[teammat]],Dyno_EndMatch[teammat],Dyno_EndMatch[StageLoc],"_",0,1)</f>
        <v>_</v>
      </c>
      <c r="CF133">
        <f>SUMIFS(Dyno_Data[Harmony], Dyno_Data[Team],TBA_Matches_All[[#This Row],[Team]],Dyno_Data[Match],TBA_Matches_All[[#This Row],[Match_Number]],Dyno_Data[RecordType],"EndMatch", Dyno_Data[StageStat],"On",Dyno_Data[Harmony],"&lt;&gt;9")</f>
        <v>0</v>
      </c>
      <c r="CG133">
        <f>SUMIFS(Dyno_Data[Spotlit], Dyno_Data[Team],TBA_Matches_All[[#This Row],[Team]],Dyno_Data[Match],TBA_Matches_All[[#This Row],[Match_Number]],Dyno_Data[RecordType],"EndMatch", Dyno_Data[StageStat],"On",Dyno_Data[Spotlit],"&lt;&gt;9")</f>
        <v>0</v>
      </c>
      <c r="CH133" t="str">
        <f>_xlfn.XLOOKUP(TBA_Matches_All[[#This Row],[teammat]],Dyno_EndMatch[teammat],Dyno_EndMatch[Strategy],"_",0,1)</f>
        <v>_</v>
      </c>
      <c r="CI133">
        <f>SUMIFS(Dyno_Data[Defense], Dyno_Data[Team],TBA_Matches_All[[#This Row],[Team]],Dyno_Data[Match],TBA_Matches_All[[#This Row],[Match_Number]],Dyno_Data[RecordType],"EndMatch",Dyno_Data[Defense],"&lt;&gt;9")</f>
        <v>0</v>
      </c>
      <c r="CJ133">
        <f>SUMIFS(Dyno_Data[Avoidance], Dyno_Data[Team],TBA_Matches_All[[#This Row],[Team]],Dyno_Data[Match],TBA_Matches_All[[#This Row],[Match_Number]],Dyno_Data[RecordType],"EndMatch",Dyno_Data[Avoidance],"&lt;&gt;9")</f>
        <v>0</v>
      </c>
      <c r="CK133" s="82">
        <f>COUNTIF($H$2:TBA_Matches_All[[#This Row],[Team]],TBA_Matches_All[[#This Row],[Team]])</f>
        <v>3</v>
      </c>
      <c r="CL133" s="111">
        <f>SUM(MID(TBA_Matches_All[[#This Row],[Team]],4,5)+TBA_Matches_All[[#This Row],[Match_Number]]/100)</f>
        <v>2095.2199999999998</v>
      </c>
      <c r="CM133">
        <f>SUM((TBA_Matches_All[[#This Row],[Leave]]*2)+(TBA_Matches_All[[#This Row],[AampT]]*2)+(TBA_Matches_All[[#This Row],[AspkrT]]*5)+(TBA_Matches_All[[#This Row],[AtrapT]]*5))</f>
        <v>0</v>
      </c>
      <c r="CN133" s="59">
        <f>IFERROR(SUM(TBA_Matches_All[[#This Row],[AptsT]]/TBA_Matches_All[[#This Row],[AutoPts]]),0)</f>
        <v>0</v>
      </c>
      <c r="CO133" s="59">
        <f>IFERROR(SUM(TBA_Matches_All[[#This Row],[AampT]]+TBA_Matches_All[[#This Row],[AspkrT]]+TBA_Matches_All[[#This Row],[AtrapT]]/TBA_Matches_All[[#This Row],[Aamp]]+TBA_Matches_All[[#This Row],[Aspkr]]+TBA_Matches_All[[#This Row],[AtrapT]]),0)</f>
        <v>0</v>
      </c>
      <c r="CP133" s="59">
        <f>IFERROR(SUM(TBA_Matches_All[[#This Row],[TampT]]/TBA_Matches_All[[#This Row],[Tamp]]),0)</f>
        <v>0</v>
      </c>
      <c r="CQ133" s="59">
        <f>IFERROR(SUM(TBA_Matches_All[[#This Row],[TspkrT]]/TBA_Matches_All[[#This Row],[Tspkr]]),0)</f>
        <v>0</v>
      </c>
      <c r="CR133">
        <f>SUM(TBA_Matches_All[[#This Row],[TspkrPts]]*TBA_Matches_All[[#This Row],[TspkrP]])</f>
        <v>0</v>
      </c>
      <c r="CS133" s="59">
        <f>IFERROR(SUM(TBA_Matches_All[[#This Row],[TtrapT]]/TBA_Matches_All[[#This Row],[Trap]]),0)</f>
        <v>0</v>
      </c>
      <c r="CT133" s="59">
        <f>IFERROR(SUM(TBA_Matches_All[[#This Row],[TotNotesT]]/TBA_Matches_All[[#This Row],[TotNotes]]),0)</f>
        <v>0</v>
      </c>
      <c r="CU133" s="66">
        <f>SUM((TBA_Matches_All[[#This Row],[AampT]]*2)+(TBA_Matches_All[[#This Row],[AspkrT]]*5)+(TBA_Matches_All[[#This Row],[AtrapT]]*5)+(TBA_Matches_All[[#This Row],[TampT]]*1)+(TBA_Matches_All[[#This Row],[TspkrptsC]]))</f>
        <v>0</v>
      </c>
      <c r="CV133" s="59">
        <f>IFERROR(TBA_Matches_All[[#This Row],[noteptsT]]/TBA_Matches_All[[#This Row],[NotePts]],0)</f>
        <v>0</v>
      </c>
      <c r="CW133">
        <f>SUM(IF(TBA_Matches_All[[#This Row],[stageStat]]="On",3,0),IF(TBA_Matches_All[[#This Row],[stageStat]]="Park",1,0),SUMIFS(TBA_Matches_All[[#This Row],[Spotlit]],TBA_Matches_All[[#This Row],[stageStat]],"On"),SUMIFS(TBA_Matches_All[[#This Row],[Harmony]],TBA_Matches_All[[#This Row],[stageStat]],"On"))</f>
        <v>0</v>
      </c>
      <c r="CX133" s="59">
        <f>IFERROR(TBA_Matches_All[[#This Row],[stageptsT]]/TBA_Matches_All[[#This Row],[StagePts]],0)</f>
        <v>0</v>
      </c>
      <c r="CY133">
        <f>SUM((TBA_Matches_All[[#This Row],[AptsT]]+TBA_Matches_All[[#This Row],[TampT]]+TBA_Matches_All[[#This Row],[TspkrptsC]]+(TBA_Matches_All[[#This Row],[TtrapT]]*5)+TBA_Matches_All[[#This Row],[stageptsT]]))</f>
        <v>0</v>
      </c>
      <c r="CZ133" s="59">
        <f>IFERROR(SUM(TBA_Matches_All[[#This Row],[TotptsC]]/TBA_Matches_All[[#This Row],[Score]]),0)</f>
        <v>0</v>
      </c>
      <c r="DA13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4.9935606060606057</v>
      </c>
      <c r="DB133" s="74">
        <f>SUMIFS(TBA_Matches_All[AveTeamTNoteDels],TBA_Matches_All[Match_Number],TBA_Matches_All[[#This Row],[Match_Number]],TBA_Matches_All[Alliance],"&lt;&gt;"&amp;TBA_Matches_All[[#This Row],[Alliance]],TBA_Matches_All[Scouted],"&gt;0")</f>
        <v>0</v>
      </c>
      <c r="DC133" s="74">
        <f>(TBA_Matches_All[[#This Row],[TampT]]+TBA_Matches_All[[#This Row],[TspkrptsC]])-TBA_Matches_All[[#This Row],[AveTeamTNoteDels]]</f>
        <v>-4.9935606060606057</v>
      </c>
      <c r="DD133" s="74">
        <f>SUMIFS(TBA_Matches_All[AveTeamTNoteDels],TBA_Matches_All[Match_Number],TBA_Matches_All[[#This Row],[Match_Number]],TBA_Matches_All[Alliance],"&lt;&gt;"&amp;TBA_Matches_All[[#This Row],[Alliance]])-TBA_Matches_All[[#This Row],[AveOppTNoteDels]]</f>
        <v>35.727897102897103</v>
      </c>
    </row>
    <row r="134" spans="1:108" x14ac:dyDescent="0.3">
      <c r="A134" t="s">
        <v>1042</v>
      </c>
      <c r="B134" t="s">
        <v>489</v>
      </c>
      <c r="C134" t="s">
        <v>1331</v>
      </c>
      <c r="D134">
        <v>22</v>
      </c>
      <c r="E134" t="s">
        <v>1406</v>
      </c>
      <c r="F134" t="s">
        <v>1426</v>
      </c>
      <c r="G134" t="s">
        <v>164</v>
      </c>
      <c r="H134" t="s">
        <v>1283</v>
      </c>
      <c r="I134" t="b">
        <v>1</v>
      </c>
      <c r="J134">
        <v>89</v>
      </c>
      <c r="K134">
        <v>1</v>
      </c>
      <c r="L134">
        <v>0</v>
      </c>
      <c r="M134">
        <v>0</v>
      </c>
      <c r="N134">
        <v>0</v>
      </c>
      <c r="O134">
        <v>6</v>
      </c>
      <c r="P134">
        <v>30</v>
      </c>
      <c r="Q134">
        <v>36</v>
      </c>
      <c r="R134">
        <v>7</v>
      </c>
      <c r="S134">
        <v>5</v>
      </c>
      <c r="T134">
        <v>5</v>
      </c>
      <c r="U134">
        <v>25</v>
      </c>
      <c r="V134">
        <v>10</v>
      </c>
      <c r="W134">
        <v>10</v>
      </c>
      <c r="X134">
        <v>35</v>
      </c>
      <c r="Y134">
        <v>42</v>
      </c>
      <c r="Z134">
        <v>0</v>
      </c>
      <c r="AA134">
        <v>0</v>
      </c>
      <c r="AB134">
        <v>23</v>
      </c>
      <c r="AC134">
        <v>72</v>
      </c>
      <c r="AD134">
        <v>5</v>
      </c>
      <c r="AE134">
        <f>IFERROR(6/(COUNTIF(Dyno_EndMatch[Match],TBA_Matches_All[[#This Row],[Match_Number]])),0)</f>
        <v>0</v>
      </c>
      <c r="AF134">
        <f>COUNTIFS(Dyno_Data[Team],TBA_Matches_All[[#This Row],[Team]],Dyno_Data[Match],TBA_Matches_All[[#This Row],[Match_Number]],Dyno_Data[RecordType],"EndMatch",Dyno_Data[HPAmp],"Y")</f>
        <v>0</v>
      </c>
      <c r="AG134">
        <f>SUMIFS(Dyno_Data[Mics], Dyno_Data[Team],TBA_Matches_All[[#This Row],[Team]],Dyno_Data[Match],TBA_Matches_All[[#This Row],[Match_Number]],Dyno_Data[RecordType],"EndMatch",Dyno_Data[HPAmp],"Y")</f>
        <v>0</v>
      </c>
      <c r="AH134">
        <f>SUMIFS(Dyno_Data[Leave], Dyno_Data[Team],TBA_Matches_All[[#This Row],[Team]],Dyno_Data[Match],TBA_Matches_All[[#This Row],[Match_Number]],Dyno_Data[RecordType],"EndAuto")</f>
        <v>0</v>
      </c>
      <c r="AI134">
        <f>COUNTIFS(Dyno_Data[Team],TBA_Matches_All[[#This Row],[Team]],Dyno_Data[Match],TBA_Matches_All[[#This Row],[Match_Number]],Dyno_Data[RecordType],"Activities",Dyno_Data[DelDest],"Amp", Dyno_Data[DelMiss],"0", Dyno_Data[Mode],"Auto")</f>
        <v>0</v>
      </c>
      <c r="AJ134">
        <f>COUNTIFS(Dyno_Data[Team],TBA_Matches_All[[#This Row],[Team]],Dyno_Data[Match],TBA_Matches_All[[#This Row],[Match_Number]],Dyno_Data[RecordType],"Activities",Dyno_Data[DelDest],"Spkr", Dyno_Data[DelMiss],"0", Dyno_Data[Mode],"Auto")</f>
        <v>0</v>
      </c>
      <c r="AK134">
        <f>COUNTIFS(Dyno_Data[Team],TBA_Matches_All[[#This Row],[Team]],Dyno_Data[Match],TBA_Matches_All[[#This Row],[Match_Number]],Dyno_Data[RecordType],"Activities",Dyno_Data[DelDest],"Trap", Dyno_Data[DelMiss],"0", Dyno_Data[Mode],"Auto")</f>
        <v>0</v>
      </c>
      <c r="AL134">
        <f>COUNTIFS(Dyno_Data[Team],TBA_Matches_All[[#This Row],[Team]],Dyno_Data[Match],TBA_Matches_All[[#This Row],[Match_Number]],Dyno_Data[RecordType],"Activities",Dyno_Data[DelDest],"Amp", Dyno_Data[DelMiss],"0", Dyno_Data[Mode],"Teleop")</f>
        <v>0</v>
      </c>
      <c r="AM134">
        <f>COUNTIFS(Dyno_Data[Team],TBA_Matches_All[[#This Row],[Team]],Dyno_Data[Match],TBA_Matches_All[[#This Row],[Match_Number]],Dyno_Data[RecordType],"Activities",Dyno_Data[DelDest],"Spkr", Dyno_Data[DelMiss],"0", Dyno_Data[Mode],"Teleop")</f>
        <v>0</v>
      </c>
      <c r="AN134">
        <f>COUNTIFS(Dyno_Data[Team],TBA_Matches_All[[#This Row],[Team]],Dyno_Data[Match],TBA_Matches_All[[#This Row],[Match_Number]],Dyno_Data[RecordType],"Activities",Dyno_Data[DelDest],"Trap", Dyno_Data[DelMiss],"0", Dyno_Data[Mode],"&lt;&gt;Auto")</f>
        <v>0</v>
      </c>
      <c r="AO134">
        <f>SUM(TBA_Matches_All[[#This Row],[AampT]]+TBA_Matches_All[[#This Row],[AspkrT]]+TBA_Matches_All[[#This Row],[AtrapT]]+TBA_Matches_All[[#This Row],[TampT]]+TBA_Matches_All[[#This Row],[TspkrT]]+TBA_Matches_All[[#This Row],[TtrapT]])</f>
        <v>0</v>
      </c>
      <c r="AP134">
        <f>COUNTIFS(Dyno_Data[Team],TBA_Matches_All[[#This Row],[Team]],Dyno_Data[Match],TBA_Matches_All[[#This Row],[Match_Number]],Dyno_Data[RecordType],"Activities",Dyno_Data[DelDest],"Neut", Dyno_Data[DelMiss],"0")</f>
        <v>0</v>
      </c>
      <c r="AQ134">
        <f>COUNTIFS(Dyno_Data[Team],TBA_Matches_All[[#This Row],[Team]],Dyno_Data[Match],TBA_Matches_All[[#This Row],[Match_Number]],Dyno_Data[RecordType],"Activities",Dyno_Data[DelDest],"AllyW", Dyno_Data[DelMiss],"0")</f>
        <v>0</v>
      </c>
      <c r="AR134" t="str">
        <f>_xlfn.XLOOKUP(SUM(MID(TBA_Matches_All[[#This Row],[Team]],4,5),(TBA_Matches_All[[#This Row],[Match_Number]]/100)),Dyno_EndMatch[teammat],Dyno_EndMatch[RobotSta],"_",0,1)</f>
        <v>_</v>
      </c>
      <c r="AS134">
        <f>SUMIFS(Dyno_Data[AcqDis], Dyno_Data[Team],TBA_Matches_All[[#This Row],[Team]],Dyno_Data[Match],TBA_Matches_All[[#This Row],[Match_Number]],Dyno_Data[RecordType],"Activities", Dyno_Data[AcqCenter],1,Dyno_Data[Mode],"Auto")</f>
        <v>0</v>
      </c>
      <c r="AT134">
        <f>SUMIFS(Dyno_Data[AcqDis], Dyno_Data[Team],TBA_Matches_All[[#This Row],[Team]],Dyno_Data[Match],TBA_Matches_All[[#This Row],[Match_Number]],Dyno_Data[RecordType],"Activities", Dyno_Data[AcqCenter],2,Dyno_Data[Mode],"Auto")</f>
        <v>0</v>
      </c>
      <c r="AU134">
        <f>SUMIFS(Dyno_Data[AcqDis], Dyno_Data[Team],TBA_Matches_All[[#This Row],[Team]],Dyno_Data[Match],TBA_Matches_All[[#This Row],[Match_Number]],Dyno_Data[RecordType],"Activities", Dyno_Data[AcqCenter],3,Dyno_Data[Mode],"Auto")</f>
        <v>0</v>
      </c>
      <c r="AV134">
        <f>SUMIFS(Dyno_Data[AcqDis], Dyno_Data[Team],TBA_Matches_All[[#This Row],[Team]],Dyno_Data[Match],TBA_Matches_All[[#This Row],[Match_Number]],Dyno_Data[RecordType],"Activities", Dyno_Data[AcqCenter],4,Dyno_Data[Mode],"Auto")</f>
        <v>0</v>
      </c>
      <c r="AW134">
        <f>SUMIFS(Dyno_Data[AcqDis], Dyno_Data[Team],TBA_Matches_All[[#This Row],[Team]],Dyno_Data[Match],TBA_Matches_All[[#This Row],[Match_Number]],Dyno_Data[RecordType],"Activities", Dyno_Data[AcqCenter],5,Dyno_Data[Mode],"Auto")</f>
        <v>0</v>
      </c>
      <c r="AX134">
        <f>SUMIFS(Dyno_Data[DelMiss], Dyno_Data[Team],TBA_Matches_All[[#This Row],[Team]],Dyno_Data[Match],TBA_Matches_All[[#This Row],[Match_Number]],Dyno_Data[RecordType],"Activities", Dyno_Data[DelDest],"Amp")</f>
        <v>0</v>
      </c>
      <c r="AY134" s="60">
        <f>IFERROR(SUM((TBA_Matches_All[[#This Row],[AampT]]+TBA_Matches_All[[#This Row],[TampT]])/(TBA_Matches_All[[#This Row],[AampT]]+TBA_Matches_All[[#This Row],[TampT]]+TBA_Matches_All[[#This Row],[ampM]])),0)</f>
        <v>0</v>
      </c>
      <c r="AZ134">
        <f>SUMIFS(Dyno_Data[DelMiss], Dyno_Data[Team],TBA_Matches_All[[#This Row],[Team]],Dyno_Data[Match],TBA_Matches_All[[#This Row],[Match_Number]],Dyno_Data[RecordType],"Activities", Dyno_Data[DelDest],"Spkr")</f>
        <v>0</v>
      </c>
      <c r="BA134" s="60">
        <f>IFERROR(SUM((TBA_Matches_All[[#This Row],[AspkrT]]+TBA_Matches_All[[#This Row],[TspkrT]])/(TBA_Matches_All[[#This Row],[AspkrT]]+TBA_Matches_All[[#This Row],[TspkrT]]+TBA_Matches_All[[#This Row],[spkrM]])),0)</f>
        <v>0</v>
      </c>
      <c r="BB134">
        <f>SUMIFS(Dyno_Data[DelMiss], Dyno_Data[Team],TBA_Matches_All[[#This Row],[Team]],Dyno_Data[Match],TBA_Matches_All[[#This Row],[Match_Number]],Dyno_Data[RecordType],"Activities", Dyno_Data[DelDest],"Trap")</f>
        <v>0</v>
      </c>
      <c r="BC134" s="60">
        <f>IFERROR((TBA_Matches_All[[#This Row],[AtrapT]]+TBA_Matches_All[[#This Row],[TtrapT]])/(TBA_Matches_All[[#This Row],[AtrapT]]+TBA_Matches_All[[#This Row],[TtrapT]]+TBA_Matches_All[[#This Row],[trapM]]),0)</f>
        <v>0</v>
      </c>
      <c r="BD134">
        <f>COUNTIFS(Dyno_Data[Team],TBA_Matches_All[[#This Row],[Team]],Dyno_Data[Match],TBA_Matches_All[[#This Row],[Match_Number]],Dyno_Data[RecordType],"Activities",Dyno_Data[DelDest],"Neut", Dyno_Data[DelMiss],1)</f>
        <v>0</v>
      </c>
      <c r="BE134" s="60">
        <f>IFERROR(SUM((TBA_Matches_All[[#This Row],[NeutFlrT]])/(TBA_Matches_All[[#This Row],[NeutFlrT]]+TBA_Matches_All[[#This Row],[NZflM]])),0)</f>
        <v>0</v>
      </c>
      <c r="BF134">
        <f>COUNTIFS(Dyno_Data[Team],TBA_Matches_All[[#This Row],[Team]],Dyno_Data[Match],TBA_Matches_All[[#This Row],[Match_Number]],Dyno_Data[RecordType],"Activities",Dyno_Data[DelDest],"AllyW", Dyno_Data[DelMiss],1)</f>
        <v>0</v>
      </c>
      <c r="BG134" s="60">
        <f>IFERROR(SUM((TBA_Matches_All[[#This Row],[AllyWFlrT]])/(TBA_Matches_All[[#This Row],[AllyWFlrT]]+TBA_Matches_All[[#This Row],[AZflM]])),0)</f>
        <v>0</v>
      </c>
      <c r="BH134">
        <f>COUNTIFS(Dyno_Data[Team],TBA_Matches_All[[#This Row],[Team]],Dyno_Data[Match],TBA_Matches_All[[#This Row],[Match_Number]],Dyno_Data[RecordType],"Activities",Dyno_Data[DelOrig],"OppW", Dyno_Data[DelMiss],"0")</f>
        <v>0</v>
      </c>
      <c r="BI134">
        <f>COUNTIFS(Dyno_Data[Team],TBA_Matches_All[[#This Row],[Team]],Dyno_Data[Match],TBA_Matches_All[[#This Row],[Match_Number]],Dyno_Data[RecordType],"Activities",Dyno_Data[DelOrig],"OppW", Dyno_Data[DelMiss],"1")</f>
        <v>0</v>
      </c>
      <c r="BJ134" s="60">
        <f>IFERROR(SUM((TBA_Matches_All[[#This Row],[OZflrT]])/(TBA_Matches_All[[#This Row],[OZflrT]]+TBA_Matches_All[[#This Row],[OZflrM]])),0)</f>
        <v>0</v>
      </c>
      <c r="BK134">
        <f>COUNTIFS(Dyno_Data[Team],TBA_Matches_All[[#This Row],[Team]],Dyno_Data[Match],TBA_Matches_All[[#This Row],[Match_Number]],Dyno_Data[RecordType],"Activities",Dyno_Data[DelOrig],"Neut", Dyno_Data[DelMiss],"0")</f>
        <v>0</v>
      </c>
      <c r="BL134">
        <f>COUNTIFS(Dyno_Data[Team],TBA_Matches_All[[#This Row],[Team]],Dyno_Data[Match],TBA_Matches_All[[#This Row],[Match_Number]],Dyno_Data[RecordType],"Activities",Dyno_Data[DelOrig],"Neut", Dyno_Data[DelMiss],"1")</f>
        <v>0</v>
      </c>
      <c r="BM134" s="60">
        <f>IFERROR(SUM((TBA_Matches_All[[#This Row],[NZflrT]])/(TBA_Matches_All[[#This Row],[NZflrT]]+TBA_Matches_All[[#This Row],[NZflrM]])),0)</f>
        <v>0</v>
      </c>
      <c r="BN134">
        <f>COUNTIFS(Dyno_Data[Team],TBA_Matches_All[[#This Row],[Team]],Dyno_Data[Match],TBA_Matches_All[[#This Row],[Match_Number]],Dyno_Data[RecordType],"Activities",Dyno_Data[DelOrig],"AllyW", Dyno_Data[DelMiss],"0")</f>
        <v>0</v>
      </c>
      <c r="BO134">
        <f>COUNTIFS(Dyno_Data[Team],TBA_Matches_All[[#This Row],[Team]],Dyno_Data[Match],TBA_Matches_All[[#This Row],[Match_Number]],Dyno_Data[RecordType],"Activities",Dyno_Data[DelOrig],"AllyW", Dyno_Data[DelMiss],"1")</f>
        <v>0</v>
      </c>
      <c r="BP134" s="60">
        <f>IFERROR(SUM((TBA_Matches_All[[#This Row],[AZflrT]])/(TBA_Matches_All[[#This Row],[AZflrT]]+TBA_Matches_All[[#This Row],[AZflrM]])),0)</f>
        <v>0</v>
      </c>
      <c r="BQ134">
        <f>COUNTIFS(Dyno_Data[Team],TBA_Matches_All[[#This Row],[Team]],Dyno_Data[Match],TBA_Matches_All[[#This Row],[Match_Number]],Dyno_Data[RecordType],"Activities",Dyno_Data[DelOrig],"SubW", Dyno_Data[DelMiss],"0")</f>
        <v>0</v>
      </c>
      <c r="BR134">
        <f>COUNTIFS(Dyno_Data[Team],TBA_Matches_All[[#This Row],[Team]],Dyno_Data[Match],TBA_Matches_All[[#This Row],[Match_Number]],Dyno_Data[RecordType],"Activities",Dyno_Data[DelOrig],"SubW", Dyno_Data[DelMiss],"1")</f>
        <v>0</v>
      </c>
      <c r="BS134" s="60">
        <f>IFERROR(SUM((TBA_Matches_All[[#This Row],[SubwT]])/(TBA_Matches_All[[#This Row],[SubwT]]+TBA_Matches_All[[#This Row],[SubwM]])),0)</f>
        <v>0</v>
      </c>
      <c r="BT134">
        <f>COUNTIFS(Dyno_Data[Team],TBA_Matches_All[[#This Row],[Team]],Dyno_Data[Match],TBA_Matches_All[[#This Row],[Match_Number]],Dyno_Data[RecordType],"Activities", Dyno_Data[AcqLoc],"OppWing")</f>
        <v>0</v>
      </c>
      <c r="BU134">
        <f>COUNTIFS(Dyno_Data[Team],TBA_Matches_All[[#This Row],[Team]],Dyno_Data[Match],TBA_Matches_All[[#This Row],[Match_Number]],Dyno_Data[RecordType],"Activities", Dyno_Data[AcqLoc],"Neutral")</f>
        <v>0</v>
      </c>
      <c r="BV134">
        <f>COUNTIFS(Dyno_Data[Team],TBA_Matches_All[[#This Row],[Team]],Dyno_Data[Match],TBA_Matches_All[[#This Row],[Match_Number]],Dyno_Data[RecordType],"Activities", Dyno_Data[AcqLoc],"AllyWing")</f>
        <v>0</v>
      </c>
      <c r="BW134">
        <f>COUNTIFS(Dyno_Data[Team],TBA_Matches_All[[#This Row],[Team]],Dyno_Data[Match],TBA_Matches_All[[#This Row],[Match_Number]],Dyno_Data[RecordType],"Activities", Dyno_Data[AcqLoc],"Source")</f>
        <v>0</v>
      </c>
      <c r="BX134">
        <f>SUMIFS(Dyno_Data[AcqDrp], Dyno_Data[Team],TBA_Matches_All[[#This Row],[Team]],Dyno_Data[Match],TBA_Matches_All[[#This Row],[Match_Number]],Dyno_Data[RecordType],"Activities", Dyno_Data[AcqLoc],"Source")</f>
        <v>0</v>
      </c>
      <c r="BY134">
        <f>SUMIFS(Dyno_Data[OZTime], Dyno_Data[Team],TBA_Matches_All[[#This Row],[Team]],Dyno_Data[Match],TBA_Matches_All[[#This Row],[Match_Number]],Dyno_Data[RecordType],"EndMatch")</f>
        <v>0</v>
      </c>
      <c r="BZ134">
        <f>SUMIFS(Dyno_Data[NZTime], Dyno_Data[Team],TBA_Matches_All[[#This Row],[Team]],Dyno_Data[Match],TBA_Matches_All[[#This Row],[Match_Number]],Dyno_Data[RecordType],"EndMatch")</f>
        <v>0</v>
      </c>
      <c r="CA134">
        <f>SUMIFS(Dyno_Data[AZTime], Dyno_Data[Team],TBA_Matches_All[[#This Row],[Team]],Dyno_Data[Match],TBA_Matches_All[[#This Row],[Match_Number]],Dyno_Data[RecordType],"EndMatch")</f>
        <v>0</v>
      </c>
      <c r="CB134">
        <f>SUMIFS(Dyno_Data[ClimbT], Dyno_Data[Team],TBA_Matches_All[[#This Row],[Team]],Dyno_Data[Match],TBA_Matches_All[[#This Row],[Match_Number]],Dyno_Data[RecordType],"EndMatch")</f>
        <v>0</v>
      </c>
      <c r="CC134" t="str">
        <f>_xlfn.XLOOKUP(SUM(MID(TBA_Matches_All[[#This Row],[Team]],4,5),(TBA_Matches_All[[#This Row],[Match_Number]]/100)),Dyno_EndMatch[teammat],Dyno_EndMatch[StageStat],"_",0,1)</f>
        <v>_</v>
      </c>
      <c r="CD134" t="str">
        <f>_xlfn.XLOOKUP(TBA_Matches_All[[#This Row],[teammat]],Dyno_EndMatch[teammat],Dyno_EndMatch[StageAtt],"_",0,1)</f>
        <v>_</v>
      </c>
      <c r="CE134" t="str">
        <f>_xlfn.XLOOKUP(TBA_Matches_All[[#This Row],[teammat]],Dyno_EndMatch[teammat],Dyno_EndMatch[StageLoc],"_",0,1)</f>
        <v>_</v>
      </c>
      <c r="CF134">
        <f>SUMIFS(Dyno_Data[Harmony], Dyno_Data[Team],TBA_Matches_All[[#This Row],[Team]],Dyno_Data[Match],TBA_Matches_All[[#This Row],[Match_Number]],Dyno_Data[RecordType],"EndMatch", Dyno_Data[StageStat],"On",Dyno_Data[Harmony],"&lt;&gt;9")</f>
        <v>0</v>
      </c>
      <c r="CG134">
        <f>SUMIFS(Dyno_Data[Spotlit], Dyno_Data[Team],TBA_Matches_All[[#This Row],[Team]],Dyno_Data[Match],TBA_Matches_All[[#This Row],[Match_Number]],Dyno_Data[RecordType],"EndMatch", Dyno_Data[StageStat],"On",Dyno_Data[Spotlit],"&lt;&gt;9")</f>
        <v>0</v>
      </c>
      <c r="CH134" t="str">
        <f>_xlfn.XLOOKUP(TBA_Matches_All[[#This Row],[teammat]],Dyno_EndMatch[teammat],Dyno_EndMatch[Strategy],"_",0,1)</f>
        <v>_</v>
      </c>
      <c r="CI134">
        <f>SUMIFS(Dyno_Data[Defense], Dyno_Data[Team],TBA_Matches_All[[#This Row],[Team]],Dyno_Data[Match],TBA_Matches_All[[#This Row],[Match_Number]],Dyno_Data[RecordType],"EndMatch",Dyno_Data[Defense],"&lt;&gt;9")</f>
        <v>0</v>
      </c>
      <c r="CJ134">
        <f>SUMIFS(Dyno_Data[Avoidance], Dyno_Data[Team],TBA_Matches_All[[#This Row],[Team]],Dyno_Data[Match],TBA_Matches_All[[#This Row],[Match_Number]],Dyno_Data[RecordType],"EndMatch",Dyno_Data[Avoidance],"&lt;&gt;9")</f>
        <v>0</v>
      </c>
      <c r="CK134" s="82">
        <f>COUNTIF($H$2:TBA_Matches_All[[#This Row],[Team]],TBA_Matches_All[[#This Row],[Team]])</f>
        <v>3</v>
      </c>
      <c r="CL134" s="111">
        <f>SUM(MID(TBA_Matches_All[[#This Row],[Team]],4,5)+TBA_Matches_All[[#This Row],[Match_Number]]/100)</f>
        <v>1601.22</v>
      </c>
      <c r="CM134">
        <f>SUM((TBA_Matches_All[[#This Row],[Leave]]*2)+(TBA_Matches_All[[#This Row],[AampT]]*2)+(TBA_Matches_All[[#This Row],[AspkrT]]*5)+(TBA_Matches_All[[#This Row],[AtrapT]]*5))</f>
        <v>0</v>
      </c>
      <c r="CN134" s="59">
        <f>IFERROR(SUM(TBA_Matches_All[[#This Row],[AptsT]]/TBA_Matches_All[[#This Row],[AutoPts]]),0)</f>
        <v>0</v>
      </c>
      <c r="CO134" s="59">
        <f>IFERROR(SUM(TBA_Matches_All[[#This Row],[AampT]]+TBA_Matches_All[[#This Row],[AspkrT]]+TBA_Matches_All[[#This Row],[AtrapT]]/TBA_Matches_All[[#This Row],[Aamp]]+TBA_Matches_All[[#This Row],[Aspkr]]+TBA_Matches_All[[#This Row],[AtrapT]]),0)</f>
        <v>0</v>
      </c>
      <c r="CP134" s="59">
        <f>IFERROR(SUM(TBA_Matches_All[[#This Row],[TampT]]/TBA_Matches_All[[#This Row],[Tamp]]),0)</f>
        <v>0</v>
      </c>
      <c r="CQ134" s="59">
        <f>IFERROR(SUM(TBA_Matches_All[[#This Row],[TspkrT]]/TBA_Matches_All[[#This Row],[Tspkr]]),0)</f>
        <v>0</v>
      </c>
      <c r="CR134">
        <f>SUM(TBA_Matches_All[[#This Row],[TspkrPts]]*TBA_Matches_All[[#This Row],[TspkrP]])</f>
        <v>0</v>
      </c>
      <c r="CS134" s="59">
        <f>IFERROR(SUM(TBA_Matches_All[[#This Row],[TtrapT]]/TBA_Matches_All[[#This Row],[Trap]]),0)</f>
        <v>0</v>
      </c>
      <c r="CT134" s="59">
        <f>IFERROR(SUM(TBA_Matches_All[[#This Row],[TotNotesT]]/TBA_Matches_All[[#This Row],[TotNotes]]),0)</f>
        <v>0</v>
      </c>
      <c r="CU134" s="66">
        <f>SUM((TBA_Matches_All[[#This Row],[AampT]]*2)+(TBA_Matches_All[[#This Row],[AspkrT]]*5)+(TBA_Matches_All[[#This Row],[AtrapT]]*5)+(TBA_Matches_All[[#This Row],[TampT]]*1)+(TBA_Matches_All[[#This Row],[TspkrptsC]]))</f>
        <v>0</v>
      </c>
      <c r="CV134" s="59">
        <f>IFERROR(TBA_Matches_All[[#This Row],[noteptsT]]/TBA_Matches_All[[#This Row],[NotePts]],0)</f>
        <v>0</v>
      </c>
      <c r="CW134">
        <f>SUM(IF(TBA_Matches_All[[#This Row],[stageStat]]="On",3,0),IF(TBA_Matches_All[[#This Row],[stageStat]]="Park",1,0),SUMIFS(TBA_Matches_All[[#This Row],[Spotlit]],TBA_Matches_All[[#This Row],[stageStat]],"On"),SUMIFS(TBA_Matches_All[[#This Row],[Harmony]],TBA_Matches_All[[#This Row],[stageStat]],"On"))</f>
        <v>0</v>
      </c>
      <c r="CX134" s="59">
        <f>IFERROR(TBA_Matches_All[[#This Row],[stageptsT]]/TBA_Matches_All[[#This Row],[StagePts]],0)</f>
        <v>0</v>
      </c>
      <c r="CY134">
        <f>SUM((TBA_Matches_All[[#This Row],[AptsT]]+TBA_Matches_All[[#This Row],[TampT]]+TBA_Matches_All[[#This Row],[TspkrptsC]]+(TBA_Matches_All[[#This Row],[TtrapT]]*5)+TBA_Matches_All[[#This Row],[stageptsT]]))</f>
        <v>0</v>
      </c>
      <c r="CZ134" s="59">
        <f>IFERROR(SUM(TBA_Matches_All[[#This Row],[TotptsC]]/TBA_Matches_All[[#This Row],[Score]]),0)</f>
        <v>0</v>
      </c>
      <c r="DA13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0.5</v>
      </c>
      <c r="DB134" s="74">
        <f>SUMIFS(TBA_Matches_All[AveTeamTNoteDels],TBA_Matches_All[Match_Number],TBA_Matches_All[[#This Row],[Match_Number]],TBA_Matches_All[Alliance],"&lt;&gt;"&amp;TBA_Matches_All[[#This Row],[Alliance]],TBA_Matches_All[Scouted],"&gt;0")</f>
        <v>0</v>
      </c>
      <c r="DC134" s="74">
        <f>(TBA_Matches_All[[#This Row],[TampT]]+TBA_Matches_All[[#This Row],[TspkrptsC]])-TBA_Matches_All[[#This Row],[AveTeamTNoteDels]]</f>
        <v>-0.5</v>
      </c>
      <c r="DD134" s="74">
        <f>SUMIFS(TBA_Matches_All[AveTeamTNoteDels],TBA_Matches_All[Match_Number],TBA_Matches_All[[#This Row],[Match_Number]],TBA_Matches_All[Alliance],"&lt;&gt;"&amp;TBA_Matches_All[[#This Row],[Alliance]])-TBA_Matches_All[[#This Row],[AveOppTNoteDels]]</f>
        <v>28.685930735930736</v>
      </c>
    </row>
    <row r="135" spans="1:108" x14ac:dyDescent="0.3">
      <c r="A135" t="s">
        <v>1042</v>
      </c>
      <c r="B135" t="s">
        <v>489</v>
      </c>
      <c r="C135" t="s">
        <v>1332</v>
      </c>
      <c r="D135">
        <v>23</v>
      </c>
      <c r="E135" t="s">
        <v>1420</v>
      </c>
      <c r="F135" t="s">
        <v>1421</v>
      </c>
      <c r="G135" t="s">
        <v>164</v>
      </c>
      <c r="H135" t="s">
        <v>361</v>
      </c>
      <c r="I135" t="b">
        <v>1</v>
      </c>
      <c r="J135">
        <v>52</v>
      </c>
      <c r="K135">
        <v>1</v>
      </c>
      <c r="L135">
        <v>0</v>
      </c>
      <c r="M135">
        <v>0</v>
      </c>
      <c r="N135">
        <v>0</v>
      </c>
      <c r="O135">
        <v>5</v>
      </c>
      <c r="P135">
        <v>25</v>
      </c>
      <c r="Q135">
        <v>29</v>
      </c>
      <c r="R135">
        <v>3</v>
      </c>
      <c r="S135">
        <v>1</v>
      </c>
      <c r="T135">
        <v>7</v>
      </c>
      <c r="U135">
        <v>5</v>
      </c>
      <c r="V135">
        <v>14</v>
      </c>
      <c r="W135">
        <v>8</v>
      </c>
      <c r="X135">
        <v>19</v>
      </c>
      <c r="Y135">
        <v>22</v>
      </c>
      <c r="Z135">
        <v>0</v>
      </c>
      <c r="AA135">
        <v>0</v>
      </c>
      <c r="AB135">
        <v>16</v>
      </c>
      <c r="AC135">
        <v>47</v>
      </c>
      <c r="AD135">
        <v>1</v>
      </c>
      <c r="AE135">
        <f>IFERROR(6/(COUNTIF(Dyno_EndMatch[Match],TBA_Matches_All[[#This Row],[Match_Number]])),0)</f>
        <v>1</v>
      </c>
      <c r="AF135">
        <f>COUNTIFS(Dyno_Data[Team],TBA_Matches_All[[#This Row],[Team]],Dyno_Data[Match],TBA_Matches_All[[#This Row],[Match_Number]],Dyno_Data[RecordType],"EndMatch",Dyno_Data[HPAmp],"Y")</f>
        <v>0</v>
      </c>
      <c r="AG135">
        <f>SUMIFS(Dyno_Data[Mics], Dyno_Data[Team],TBA_Matches_All[[#This Row],[Team]],Dyno_Data[Match],TBA_Matches_All[[#This Row],[Match_Number]],Dyno_Data[RecordType],"EndMatch",Dyno_Data[HPAmp],"Y")</f>
        <v>0</v>
      </c>
      <c r="AH135">
        <f>SUMIFS(Dyno_Data[Leave], Dyno_Data[Team],TBA_Matches_All[[#This Row],[Team]],Dyno_Data[Match],TBA_Matches_All[[#This Row],[Match_Number]],Dyno_Data[RecordType],"EndAuto")</f>
        <v>1</v>
      </c>
      <c r="AI135">
        <f>COUNTIFS(Dyno_Data[Team],TBA_Matches_All[[#This Row],[Team]],Dyno_Data[Match],TBA_Matches_All[[#This Row],[Match_Number]],Dyno_Data[RecordType],"Activities",Dyno_Data[DelDest],"Amp", Dyno_Data[DelMiss],"0", Dyno_Data[Mode],"Auto")</f>
        <v>0</v>
      </c>
      <c r="AJ135">
        <f>COUNTIFS(Dyno_Data[Team],TBA_Matches_All[[#This Row],[Team]],Dyno_Data[Match],TBA_Matches_All[[#This Row],[Match_Number]],Dyno_Data[RecordType],"Activities",Dyno_Data[DelDest],"Spkr", Dyno_Data[DelMiss],"0", Dyno_Data[Mode],"Auto")</f>
        <v>3</v>
      </c>
      <c r="AK135">
        <f>COUNTIFS(Dyno_Data[Team],TBA_Matches_All[[#This Row],[Team]],Dyno_Data[Match],TBA_Matches_All[[#This Row],[Match_Number]],Dyno_Data[RecordType],"Activities",Dyno_Data[DelDest],"Trap", Dyno_Data[DelMiss],"0", Dyno_Data[Mode],"Auto")</f>
        <v>0</v>
      </c>
      <c r="AL135">
        <f>COUNTIFS(Dyno_Data[Team],TBA_Matches_All[[#This Row],[Team]],Dyno_Data[Match],TBA_Matches_All[[#This Row],[Match_Number]],Dyno_Data[RecordType],"Activities",Dyno_Data[DelDest],"Amp", Dyno_Data[DelMiss],"0", Dyno_Data[Mode],"Teleop")</f>
        <v>0</v>
      </c>
      <c r="AM135">
        <f>COUNTIFS(Dyno_Data[Team],TBA_Matches_All[[#This Row],[Team]],Dyno_Data[Match],TBA_Matches_All[[#This Row],[Match_Number]],Dyno_Data[RecordType],"Activities",Dyno_Data[DelDest],"Spkr", Dyno_Data[DelMiss],"0", Dyno_Data[Mode],"Teleop")</f>
        <v>5</v>
      </c>
      <c r="AN135">
        <f>COUNTIFS(Dyno_Data[Team],TBA_Matches_All[[#This Row],[Team]],Dyno_Data[Match],TBA_Matches_All[[#This Row],[Match_Number]],Dyno_Data[RecordType],"Activities",Dyno_Data[DelDest],"Trap", Dyno_Data[DelMiss],"0", Dyno_Data[Mode],"&lt;&gt;Auto")</f>
        <v>0</v>
      </c>
      <c r="AO135">
        <f>SUM(TBA_Matches_All[[#This Row],[AampT]]+TBA_Matches_All[[#This Row],[AspkrT]]+TBA_Matches_All[[#This Row],[AtrapT]]+TBA_Matches_All[[#This Row],[TampT]]+TBA_Matches_All[[#This Row],[TspkrT]]+TBA_Matches_All[[#This Row],[TtrapT]])</f>
        <v>8</v>
      </c>
      <c r="AP135">
        <f>COUNTIFS(Dyno_Data[Team],TBA_Matches_All[[#This Row],[Team]],Dyno_Data[Match],TBA_Matches_All[[#This Row],[Match_Number]],Dyno_Data[RecordType],"Activities",Dyno_Data[DelDest],"Neut", Dyno_Data[DelMiss],"0")</f>
        <v>0</v>
      </c>
      <c r="AQ135">
        <f>COUNTIFS(Dyno_Data[Team],TBA_Matches_All[[#This Row],[Team]],Dyno_Data[Match],TBA_Matches_All[[#This Row],[Match_Number]],Dyno_Data[RecordType],"Activities",Dyno_Data[DelDest],"AllyW", Dyno_Data[DelMiss],"0")</f>
        <v>0</v>
      </c>
      <c r="AR135" t="str">
        <f>_xlfn.XLOOKUP(SUM(MID(TBA_Matches_All[[#This Row],[Team]],4,5),(TBA_Matches_All[[#This Row],[Match_Number]]/100)),Dyno_EndMatch[teammat],Dyno_EndMatch[RobotSta],"_",0,1)</f>
        <v>Podm</v>
      </c>
      <c r="AS135">
        <f>SUMIFS(Dyno_Data[AcqDis], Dyno_Data[Team],TBA_Matches_All[[#This Row],[Team]],Dyno_Data[Match],TBA_Matches_All[[#This Row],[Match_Number]],Dyno_Data[RecordType],"Activities", Dyno_Data[AcqCenter],1,Dyno_Data[Mode],"Auto")</f>
        <v>0</v>
      </c>
      <c r="AT135">
        <f>SUMIFS(Dyno_Data[AcqDis], Dyno_Data[Team],TBA_Matches_All[[#This Row],[Team]],Dyno_Data[Match],TBA_Matches_All[[#This Row],[Match_Number]],Dyno_Data[RecordType],"Activities", Dyno_Data[AcqCenter],2,Dyno_Data[Mode],"Auto")</f>
        <v>0</v>
      </c>
      <c r="AU135">
        <f>SUMIFS(Dyno_Data[AcqDis], Dyno_Data[Team],TBA_Matches_All[[#This Row],[Team]],Dyno_Data[Match],TBA_Matches_All[[#This Row],[Match_Number]],Dyno_Data[RecordType],"Activities", Dyno_Data[AcqCenter],3,Dyno_Data[Mode],"Auto")</f>
        <v>0</v>
      </c>
      <c r="AV135">
        <f>SUMIFS(Dyno_Data[AcqDis], Dyno_Data[Team],TBA_Matches_All[[#This Row],[Team]],Dyno_Data[Match],TBA_Matches_All[[#This Row],[Match_Number]],Dyno_Data[RecordType],"Activities", Dyno_Data[AcqCenter],4,Dyno_Data[Mode],"Auto")</f>
        <v>0</v>
      </c>
      <c r="AW135">
        <f>SUMIFS(Dyno_Data[AcqDis], Dyno_Data[Team],TBA_Matches_All[[#This Row],[Team]],Dyno_Data[Match],TBA_Matches_All[[#This Row],[Match_Number]],Dyno_Data[RecordType],"Activities", Dyno_Data[AcqCenter],5,Dyno_Data[Mode],"Auto")</f>
        <v>0</v>
      </c>
      <c r="AX135">
        <f>SUMIFS(Dyno_Data[DelMiss], Dyno_Data[Team],TBA_Matches_All[[#This Row],[Team]],Dyno_Data[Match],TBA_Matches_All[[#This Row],[Match_Number]],Dyno_Data[RecordType],"Activities", Dyno_Data[DelDest],"Amp")</f>
        <v>0</v>
      </c>
      <c r="AY135" s="60">
        <f>IFERROR(SUM((TBA_Matches_All[[#This Row],[AampT]]+TBA_Matches_All[[#This Row],[TampT]])/(TBA_Matches_All[[#This Row],[AampT]]+TBA_Matches_All[[#This Row],[TampT]]+TBA_Matches_All[[#This Row],[ampM]])),0)</f>
        <v>0</v>
      </c>
      <c r="AZ135">
        <f>SUMIFS(Dyno_Data[DelMiss], Dyno_Data[Team],TBA_Matches_All[[#This Row],[Team]],Dyno_Data[Match],TBA_Matches_All[[#This Row],[Match_Number]],Dyno_Data[RecordType],"Activities", Dyno_Data[DelDest],"Spkr")</f>
        <v>2</v>
      </c>
      <c r="BA135" s="60">
        <f>IFERROR(SUM((TBA_Matches_All[[#This Row],[AspkrT]]+TBA_Matches_All[[#This Row],[TspkrT]])/(TBA_Matches_All[[#This Row],[AspkrT]]+TBA_Matches_All[[#This Row],[TspkrT]]+TBA_Matches_All[[#This Row],[spkrM]])),0)</f>
        <v>0.8</v>
      </c>
      <c r="BB135">
        <f>SUMIFS(Dyno_Data[DelMiss], Dyno_Data[Team],TBA_Matches_All[[#This Row],[Team]],Dyno_Data[Match],TBA_Matches_All[[#This Row],[Match_Number]],Dyno_Data[RecordType],"Activities", Dyno_Data[DelDest],"Trap")</f>
        <v>0</v>
      </c>
      <c r="BC135" s="60">
        <f>IFERROR((TBA_Matches_All[[#This Row],[AtrapT]]+TBA_Matches_All[[#This Row],[TtrapT]])/(TBA_Matches_All[[#This Row],[AtrapT]]+TBA_Matches_All[[#This Row],[TtrapT]]+TBA_Matches_All[[#This Row],[trapM]]),0)</f>
        <v>0</v>
      </c>
      <c r="BD135">
        <f>COUNTIFS(Dyno_Data[Team],TBA_Matches_All[[#This Row],[Team]],Dyno_Data[Match],TBA_Matches_All[[#This Row],[Match_Number]],Dyno_Data[RecordType],"Activities",Dyno_Data[DelDest],"Neut", Dyno_Data[DelMiss],1)</f>
        <v>0</v>
      </c>
      <c r="BE135" s="60">
        <f>IFERROR(SUM((TBA_Matches_All[[#This Row],[NeutFlrT]])/(TBA_Matches_All[[#This Row],[NeutFlrT]]+TBA_Matches_All[[#This Row],[NZflM]])),0)</f>
        <v>0</v>
      </c>
      <c r="BF135">
        <f>COUNTIFS(Dyno_Data[Team],TBA_Matches_All[[#This Row],[Team]],Dyno_Data[Match],TBA_Matches_All[[#This Row],[Match_Number]],Dyno_Data[RecordType],"Activities",Dyno_Data[DelDest],"AllyW", Dyno_Data[DelMiss],1)</f>
        <v>0</v>
      </c>
      <c r="BG135" s="60">
        <f>IFERROR(SUM((TBA_Matches_All[[#This Row],[AllyWFlrT]])/(TBA_Matches_All[[#This Row],[AllyWFlrT]]+TBA_Matches_All[[#This Row],[AZflM]])),0)</f>
        <v>0</v>
      </c>
      <c r="BH135">
        <f>COUNTIFS(Dyno_Data[Team],TBA_Matches_All[[#This Row],[Team]],Dyno_Data[Match],TBA_Matches_All[[#This Row],[Match_Number]],Dyno_Data[RecordType],"Activities",Dyno_Data[DelOrig],"OppW", Dyno_Data[DelMiss],"0")</f>
        <v>1</v>
      </c>
      <c r="BI135">
        <f>COUNTIFS(Dyno_Data[Team],TBA_Matches_All[[#This Row],[Team]],Dyno_Data[Match],TBA_Matches_All[[#This Row],[Match_Number]],Dyno_Data[RecordType],"Activities",Dyno_Data[DelOrig],"OppW", Dyno_Data[DelMiss],"1")</f>
        <v>0</v>
      </c>
      <c r="BJ135" s="60">
        <f>IFERROR(SUM((TBA_Matches_All[[#This Row],[OZflrT]])/(TBA_Matches_All[[#This Row],[OZflrT]]+TBA_Matches_All[[#This Row],[OZflrM]])),0)</f>
        <v>1</v>
      </c>
      <c r="BK135">
        <f>COUNTIFS(Dyno_Data[Team],TBA_Matches_All[[#This Row],[Team]],Dyno_Data[Match],TBA_Matches_All[[#This Row],[Match_Number]],Dyno_Data[RecordType],"Activities",Dyno_Data[DelOrig],"Neut", Dyno_Data[DelMiss],"0")</f>
        <v>0</v>
      </c>
      <c r="BL135">
        <f>COUNTIFS(Dyno_Data[Team],TBA_Matches_All[[#This Row],[Team]],Dyno_Data[Match],TBA_Matches_All[[#This Row],[Match_Number]],Dyno_Data[RecordType],"Activities",Dyno_Data[DelOrig],"Neut", Dyno_Data[DelMiss],"1")</f>
        <v>0</v>
      </c>
      <c r="BM135" s="60">
        <f>IFERROR(SUM((TBA_Matches_All[[#This Row],[NZflrT]])/(TBA_Matches_All[[#This Row],[NZflrT]]+TBA_Matches_All[[#This Row],[NZflrM]])),0)</f>
        <v>0</v>
      </c>
      <c r="BN135">
        <f>COUNTIFS(Dyno_Data[Team],TBA_Matches_All[[#This Row],[Team]],Dyno_Data[Match],TBA_Matches_All[[#This Row],[Match_Number]],Dyno_Data[RecordType],"Activities",Dyno_Data[DelOrig],"AllyW", Dyno_Data[DelMiss],"0")</f>
        <v>0</v>
      </c>
      <c r="BO135">
        <f>COUNTIFS(Dyno_Data[Team],TBA_Matches_All[[#This Row],[Team]],Dyno_Data[Match],TBA_Matches_All[[#This Row],[Match_Number]],Dyno_Data[RecordType],"Activities",Dyno_Data[DelOrig],"AllyW", Dyno_Data[DelMiss],"1")</f>
        <v>2</v>
      </c>
      <c r="BP135" s="60">
        <f>IFERROR(SUM((TBA_Matches_All[[#This Row],[AZflrT]])/(TBA_Matches_All[[#This Row],[AZflrT]]+TBA_Matches_All[[#This Row],[AZflrM]])),0)</f>
        <v>0</v>
      </c>
      <c r="BQ135">
        <f>COUNTIFS(Dyno_Data[Team],TBA_Matches_All[[#This Row],[Team]],Dyno_Data[Match],TBA_Matches_All[[#This Row],[Match_Number]],Dyno_Data[RecordType],"Activities",Dyno_Data[DelOrig],"SubW", Dyno_Data[DelMiss],"0")</f>
        <v>7</v>
      </c>
      <c r="BR135">
        <f>COUNTIFS(Dyno_Data[Team],TBA_Matches_All[[#This Row],[Team]],Dyno_Data[Match],TBA_Matches_All[[#This Row],[Match_Number]],Dyno_Data[RecordType],"Activities",Dyno_Data[DelOrig],"SubW", Dyno_Data[DelMiss],"1")</f>
        <v>0</v>
      </c>
      <c r="BS135" s="60">
        <f>IFERROR(SUM((TBA_Matches_All[[#This Row],[SubwT]])/(TBA_Matches_All[[#This Row],[SubwT]]+TBA_Matches_All[[#This Row],[SubwM]])),0)</f>
        <v>1</v>
      </c>
      <c r="BT135">
        <f>COUNTIFS(Dyno_Data[Team],TBA_Matches_All[[#This Row],[Team]],Dyno_Data[Match],TBA_Matches_All[[#This Row],[Match_Number]],Dyno_Data[RecordType],"Activities", Dyno_Data[AcqLoc],"OppWing")</f>
        <v>0</v>
      </c>
      <c r="BU135">
        <f>COUNTIFS(Dyno_Data[Team],TBA_Matches_All[[#This Row],[Team]],Dyno_Data[Match],TBA_Matches_All[[#This Row],[Match_Number]],Dyno_Data[RecordType],"Activities", Dyno_Data[AcqLoc],"Neutral")</f>
        <v>0</v>
      </c>
      <c r="BV135">
        <f>COUNTIFS(Dyno_Data[Team],TBA_Matches_All[[#This Row],[Team]],Dyno_Data[Match],TBA_Matches_All[[#This Row],[Match_Number]],Dyno_Data[RecordType],"Activities", Dyno_Data[AcqLoc],"AllyWing")</f>
        <v>0</v>
      </c>
      <c r="BW135">
        <f>COUNTIFS(Dyno_Data[Team],TBA_Matches_All[[#This Row],[Team]],Dyno_Data[Match],TBA_Matches_All[[#This Row],[Match_Number]],Dyno_Data[RecordType],"Activities", Dyno_Data[AcqLoc],"Source")</f>
        <v>0</v>
      </c>
      <c r="BX135">
        <f>SUMIFS(Dyno_Data[AcqDrp], Dyno_Data[Team],TBA_Matches_All[[#This Row],[Team]],Dyno_Data[Match],TBA_Matches_All[[#This Row],[Match_Number]],Dyno_Data[RecordType],"Activities", Dyno_Data[AcqLoc],"Source")</f>
        <v>0</v>
      </c>
      <c r="BY135">
        <f>SUMIFS(Dyno_Data[OZTime], Dyno_Data[Team],TBA_Matches_All[[#This Row],[Team]],Dyno_Data[Match],TBA_Matches_All[[#This Row],[Match_Number]],Dyno_Data[RecordType],"EndMatch")</f>
        <v>51.729088599999997</v>
      </c>
      <c r="BZ135">
        <f>SUMIFS(Dyno_Data[NZTime], Dyno_Data[Team],TBA_Matches_All[[#This Row],[Team]],Dyno_Data[Match],TBA_Matches_All[[#This Row],[Match_Number]],Dyno_Data[RecordType],"EndMatch")</f>
        <v>31.4993944</v>
      </c>
      <c r="CA135">
        <f>SUMIFS(Dyno_Data[AZTime], Dyno_Data[Team],TBA_Matches_All[[#This Row],[Team]],Dyno_Data[Match],TBA_Matches_All[[#This Row],[Match_Number]],Dyno_Data[RecordType],"EndMatch")</f>
        <v>52.873210199999995</v>
      </c>
      <c r="CB135">
        <f>SUMIFS(Dyno_Data[ClimbT], Dyno_Data[Team],TBA_Matches_All[[#This Row],[Team]],Dyno_Data[Match],TBA_Matches_All[[#This Row],[Match_Number]],Dyno_Data[RecordType],"EndMatch")</f>
        <v>0</v>
      </c>
      <c r="CC135" t="str">
        <f>_xlfn.XLOOKUP(SUM(MID(TBA_Matches_All[[#This Row],[Team]],4,5),(TBA_Matches_All[[#This Row],[Match_Number]]/100)),Dyno_EndMatch[teammat],Dyno_EndMatch[StageStat],"_",0,1)</f>
        <v>Park</v>
      </c>
      <c r="CD135" t="str">
        <f>_xlfn.XLOOKUP(TBA_Matches_All[[#This Row],[teammat]],Dyno_EndMatch[teammat],Dyno_EndMatch[StageAtt],"_",0,1)</f>
        <v>0</v>
      </c>
      <c r="CE135" t="str">
        <f>_xlfn.XLOOKUP(TBA_Matches_All[[#This Row],[teammat]],Dyno_EndMatch[teammat],Dyno_EndMatch[StageLoc],"_",0,1)</f>
        <v>A</v>
      </c>
      <c r="CF135">
        <f>SUMIFS(Dyno_Data[Harmony], Dyno_Data[Team],TBA_Matches_All[[#This Row],[Team]],Dyno_Data[Match],TBA_Matches_All[[#This Row],[Match_Number]],Dyno_Data[RecordType],"EndMatch", Dyno_Data[StageStat],"On",Dyno_Data[Harmony],"&lt;&gt;9")</f>
        <v>0</v>
      </c>
      <c r="CG135">
        <f>SUMIFS(Dyno_Data[Spotlit], Dyno_Data[Team],TBA_Matches_All[[#This Row],[Team]],Dyno_Data[Match],TBA_Matches_All[[#This Row],[Match_Number]],Dyno_Data[RecordType],"EndMatch", Dyno_Data[StageStat],"On",Dyno_Data[Spotlit],"&lt;&gt;9")</f>
        <v>0</v>
      </c>
      <c r="CH135" t="str">
        <f>_xlfn.XLOOKUP(TBA_Matches_All[[#This Row],[teammat]],Dyno_EndMatch[teammat],Dyno_EndMatch[Strategy],"_",0,1)</f>
        <v>Hybrid</v>
      </c>
      <c r="CI135">
        <f>SUMIFS(Dyno_Data[Defense], Dyno_Data[Team],TBA_Matches_All[[#This Row],[Team]],Dyno_Data[Match],TBA_Matches_All[[#This Row],[Match_Number]],Dyno_Data[RecordType],"EndMatch",Dyno_Data[Defense],"&lt;&gt;9")</f>
        <v>0</v>
      </c>
      <c r="CJ135">
        <f>SUMIFS(Dyno_Data[Avoidance], Dyno_Data[Team],TBA_Matches_All[[#This Row],[Team]],Dyno_Data[Match],TBA_Matches_All[[#This Row],[Match_Number]],Dyno_Data[RecordType],"EndMatch",Dyno_Data[Avoidance],"&lt;&gt;9")</f>
        <v>0</v>
      </c>
      <c r="CK135" s="82">
        <f>COUNTIF($H$2:TBA_Matches_All[[#This Row],[Team]],TBA_Matches_All[[#This Row],[Team]])</f>
        <v>3</v>
      </c>
      <c r="CL135" s="111">
        <f>SUM(MID(TBA_Matches_All[[#This Row],[Team]],4,5)+TBA_Matches_All[[#This Row],[Match_Number]]/100)</f>
        <v>20.23</v>
      </c>
      <c r="CM135">
        <f>SUM((TBA_Matches_All[[#This Row],[Leave]]*2)+(TBA_Matches_All[[#This Row],[AampT]]*2)+(TBA_Matches_All[[#This Row],[AspkrT]]*5)+(TBA_Matches_All[[#This Row],[AtrapT]]*5))</f>
        <v>17</v>
      </c>
      <c r="CN135" s="59">
        <f>IFERROR(SUM(TBA_Matches_All[[#This Row],[AptsT]]/TBA_Matches_All[[#This Row],[AutoPts]]),0)</f>
        <v>0.58620689655172409</v>
      </c>
      <c r="CO135" s="59">
        <f>IFERROR(SUM(TBA_Matches_All[[#This Row],[AampT]]+TBA_Matches_All[[#This Row],[AspkrT]]+TBA_Matches_All[[#This Row],[AtrapT]]/TBA_Matches_All[[#This Row],[Aamp]]+TBA_Matches_All[[#This Row],[Aspkr]]+TBA_Matches_All[[#This Row],[AtrapT]]),0)</f>
        <v>0</v>
      </c>
      <c r="CP135" s="59">
        <f>IFERROR(SUM(TBA_Matches_All[[#This Row],[TampT]]/TBA_Matches_All[[#This Row],[Tamp]]),0)</f>
        <v>0</v>
      </c>
      <c r="CQ135" s="59">
        <f>IFERROR(SUM(TBA_Matches_All[[#This Row],[TspkrT]]/TBA_Matches_All[[#This Row],[Tspkr]]),0)</f>
        <v>0.625</v>
      </c>
      <c r="CR135">
        <f>SUM(TBA_Matches_All[[#This Row],[TspkrPts]]*TBA_Matches_All[[#This Row],[TspkrP]])</f>
        <v>11.875</v>
      </c>
      <c r="CS135" s="59">
        <f>IFERROR(SUM(TBA_Matches_All[[#This Row],[TtrapT]]/TBA_Matches_All[[#This Row],[Trap]]),0)</f>
        <v>0</v>
      </c>
      <c r="CT135" s="59">
        <f>IFERROR(SUM(TBA_Matches_All[[#This Row],[TotNotesT]]/TBA_Matches_All[[#This Row],[TotNotes]]),0)</f>
        <v>0.5</v>
      </c>
      <c r="CU135" s="66">
        <f>SUM((TBA_Matches_All[[#This Row],[AampT]]*2)+(TBA_Matches_All[[#This Row],[AspkrT]]*5)+(TBA_Matches_All[[#This Row],[AtrapT]]*5)+(TBA_Matches_All[[#This Row],[TampT]]*1)+(TBA_Matches_All[[#This Row],[TspkrptsC]]))</f>
        <v>26.875</v>
      </c>
      <c r="CV135" s="59">
        <f>IFERROR(TBA_Matches_All[[#This Row],[noteptsT]]/TBA_Matches_All[[#This Row],[NotePts]],0)</f>
        <v>0.57180851063829785</v>
      </c>
      <c r="CW135">
        <f>SUM(IF(TBA_Matches_All[[#This Row],[stageStat]]="On",3,0),IF(TBA_Matches_All[[#This Row],[stageStat]]="Park",1,0),SUMIFS(TBA_Matches_All[[#This Row],[Spotlit]],TBA_Matches_All[[#This Row],[stageStat]],"On"),SUMIFS(TBA_Matches_All[[#This Row],[Harmony]],TBA_Matches_All[[#This Row],[stageStat]],"On"))</f>
        <v>1</v>
      </c>
      <c r="CX135" s="59">
        <f>IFERROR(TBA_Matches_All[[#This Row],[stageptsT]]/TBA_Matches_All[[#This Row],[StagePts]],0)</f>
        <v>1</v>
      </c>
      <c r="CY135">
        <f>SUM((TBA_Matches_All[[#This Row],[AptsT]]+TBA_Matches_All[[#This Row],[TampT]]+TBA_Matches_All[[#This Row],[TspkrptsC]]+(TBA_Matches_All[[#This Row],[TtrapT]]*5)+TBA_Matches_All[[#This Row],[stageptsT]]))</f>
        <v>29.875</v>
      </c>
      <c r="CZ135" s="59">
        <f>IFERROR(SUM(TBA_Matches_All[[#This Row],[TotptsC]]/TBA_Matches_All[[#This Row],[Score]]),0)</f>
        <v>0.57451923076923073</v>
      </c>
      <c r="DA13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15.258522727272727</v>
      </c>
      <c r="DB135" s="74">
        <f>SUMIFS(TBA_Matches_All[AveTeamTNoteDels],TBA_Matches_All[Match_Number],TBA_Matches_All[[#This Row],[Match_Number]],TBA_Matches_All[Alliance],"&lt;&gt;"&amp;TBA_Matches_All[[#This Row],[Alliance]],TBA_Matches_All[Scouted],"&gt;0")</f>
        <v>23.797499999999999</v>
      </c>
      <c r="DC135" s="74">
        <f>(TBA_Matches_All[[#This Row],[TampT]]+TBA_Matches_All[[#This Row],[TspkrptsC]])-TBA_Matches_All[[#This Row],[AveTeamTNoteDels]]</f>
        <v>-3.3835227272727266</v>
      </c>
      <c r="DD135" s="74">
        <f>SUMIFS(TBA_Matches_All[AveTeamTNoteDels],TBA_Matches_All[Match_Number],TBA_Matches_All[[#This Row],[Match_Number]],TBA_Matches_All[Alliance],"&lt;&gt;"&amp;TBA_Matches_All[[#This Row],[Alliance]])-TBA_Matches_All[[#This Row],[AveOppTNoteDels]]</f>
        <v>0</v>
      </c>
    </row>
    <row r="136" spans="1:108" x14ac:dyDescent="0.3">
      <c r="A136" t="s">
        <v>1042</v>
      </c>
      <c r="B136" t="s">
        <v>489</v>
      </c>
      <c r="C136" t="s">
        <v>1332</v>
      </c>
      <c r="D136">
        <v>23</v>
      </c>
      <c r="E136" t="s">
        <v>1406</v>
      </c>
      <c r="F136" t="s">
        <v>1422</v>
      </c>
      <c r="G136" t="s">
        <v>105</v>
      </c>
      <c r="H136" t="s">
        <v>1280</v>
      </c>
      <c r="I136" t="b">
        <v>1</v>
      </c>
      <c r="J136">
        <v>76</v>
      </c>
      <c r="K136">
        <v>1</v>
      </c>
      <c r="L136">
        <v>1</v>
      </c>
      <c r="M136">
        <v>0</v>
      </c>
      <c r="N136">
        <v>0</v>
      </c>
      <c r="O136">
        <v>6</v>
      </c>
      <c r="P136">
        <v>30</v>
      </c>
      <c r="Q136">
        <v>32</v>
      </c>
      <c r="R136">
        <v>5</v>
      </c>
      <c r="S136">
        <v>4</v>
      </c>
      <c r="T136">
        <v>4</v>
      </c>
      <c r="U136">
        <v>20</v>
      </c>
      <c r="V136">
        <v>8</v>
      </c>
      <c r="W136">
        <v>8</v>
      </c>
      <c r="X136">
        <v>28</v>
      </c>
      <c r="Y136">
        <v>33</v>
      </c>
      <c r="Z136">
        <v>5</v>
      </c>
      <c r="AA136">
        <v>1</v>
      </c>
      <c r="AB136">
        <v>19</v>
      </c>
      <c r="AC136">
        <v>63</v>
      </c>
      <c r="AD136">
        <v>11</v>
      </c>
      <c r="AE136">
        <f>IFERROR(6/(COUNTIF(Dyno_EndMatch[Match],TBA_Matches_All[[#This Row],[Match_Number]])),0)</f>
        <v>1</v>
      </c>
      <c r="AF136">
        <f>COUNTIFS(Dyno_Data[Team],TBA_Matches_All[[#This Row],[Team]],Dyno_Data[Match],TBA_Matches_All[[#This Row],[Match_Number]],Dyno_Data[RecordType],"EndMatch",Dyno_Data[HPAmp],"Y")</f>
        <v>0</v>
      </c>
      <c r="AG136">
        <f>SUMIFS(Dyno_Data[Mics], Dyno_Data[Team],TBA_Matches_All[[#This Row],[Team]],Dyno_Data[Match],TBA_Matches_All[[#This Row],[Match_Number]],Dyno_Data[RecordType],"EndMatch",Dyno_Data[HPAmp],"Y")</f>
        <v>0</v>
      </c>
      <c r="AH136">
        <f>SUMIFS(Dyno_Data[Leave], Dyno_Data[Team],TBA_Matches_All[[#This Row],[Team]],Dyno_Data[Match],TBA_Matches_All[[#This Row],[Match_Number]],Dyno_Data[RecordType],"EndAuto")</f>
        <v>0</v>
      </c>
      <c r="AI136">
        <f>COUNTIFS(Dyno_Data[Team],TBA_Matches_All[[#This Row],[Team]],Dyno_Data[Match],TBA_Matches_All[[#This Row],[Match_Number]],Dyno_Data[RecordType],"Activities",Dyno_Data[DelDest],"Amp", Dyno_Data[DelMiss],"0", Dyno_Data[Mode],"Auto")</f>
        <v>0</v>
      </c>
      <c r="AJ136">
        <f>COUNTIFS(Dyno_Data[Team],TBA_Matches_All[[#This Row],[Team]],Dyno_Data[Match],TBA_Matches_All[[#This Row],[Match_Number]],Dyno_Data[RecordType],"Activities",Dyno_Data[DelDest],"Spkr", Dyno_Data[DelMiss],"0", Dyno_Data[Mode],"Auto")</f>
        <v>0</v>
      </c>
      <c r="AK136">
        <f>COUNTIFS(Dyno_Data[Team],TBA_Matches_All[[#This Row],[Team]],Dyno_Data[Match],TBA_Matches_All[[#This Row],[Match_Number]],Dyno_Data[RecordType],"Activities",Dyno_Data[DelDest],"Trap", Dyno_Data[DelMiss],"0", Dyno_Data[Mode],"Auto")</f>
        <v>0</v>
      </c>
      <c r="AL136">
        <f>COUNTIFS(Dyno_Data[Team],TBA_Matches_All[[#This Row],[Team]],Dyno_Data[Match],TBA_Matches_All[[#This Row],[Match_Number]],Dyno_Data[RecordType],"Activities",Dyno_Data[DelDest],"Amp", Dyno_Data[DelMiss],"0", Dyno_Data[Mode],"Teleop")</f>
        <v>0</v>
      </c>
      <c r="AM136">
        <f>COUNTIFS(Dyno_Data[Team],TBA_Matches_All[[#This Row],[Team]],Dyno_Data[Match],TBA_Matches_All[[#This Row],[Match_Number]],Dyno_Data[RecordType],"Activities",Dyno_Data[DelDest],"Spkr", Dyno_Data[DelMiss],"0", Dyno_Data[Mode],"Teleop")</f>
        <v>5</v>
      </c>
      <c r="AN136">
        <f>COUNTIFS(Dyno_Data[Team],TBA_Matches_All[[#This Row],[Team]],Dyno_Data[Match],TBA_Matches_All[[#This Row],[Match_Number]],Dyno_Data[RecordType],"Activities",Dyno_Data[DelDest],"Trap", Dyno_Data[DelMiss],"0", Dyno_Data[Mode],"&lt;&gt;Auto")</f>
        <v>0</v>
      </c>
      <c r="AO136">
        <f>SUM(TBA_Matches_All[[#This Row],[AampT]]+TBA_Matches_All[[#This Row],[AspkrT]]+TBA_Matches_All[[#This Row],[AtrapT]]+TBA_Matches_All[[#This Row],[TampT]]+TBA_Matches_All[[#This Row],[TspkrT]]+TBA_Matches_All[[#This Row],[TtrapT]])</f>
        <v>5</v>
      </c>
      <c r="AP136">
        <f>COUNTIFS(Dyno_Data[Team],TBA_Matches_All[[#This Row],[Team]],Dyno_Data[Match],TBA_Matches_All[[#This Row],[Match_Number]],Dyno_Data[RecordType],"Activities",Dyno_Data[DelDest],"Neut", Dyno_Data[DelMiss],"0")</f>
        <v>0</v>
      </c>
      <c r="AQ136">
        <f>COUNTIFS(Dyno_Data[Team],TBA_Matches_All[[#This Row],[Team]],Dyno_Data[Match],TBA_Matches_All[[#This Row],[Match_Number]],Dyno_Data[RecordType],"Activities",Dyno_Data[DelDest],"AllyW", Dyno_Data[DelMiss],"0")</f>
        <v>0</v>
      </c>
      <c r="AR136" t="str">
        <f>_xlfn.XLOOKUP(SUM(MID(TBA_Matches_All[[#This Row],[Team]],4,5),(TBA_Matches_All[[#This Row],[Match_Number]]/100)),Dyno_EndMatch[teammat],Dyno_EndMatch[RobotSta],"_",0,1)</f>
        <v>Amp</v>
      </c>
      <c r="AS136">
        <f>SUMIFS(Dyno_Data[AcqDis], Dyno_Data[Team],TBA_Matches_All[[#This Row],[Team]],Dyno_Data[Match],TBA_Matches_All[[#This Row],[Match_Number]],Dyno_Data[RecordType],"Activities", Dyno_Data[AcqCenter],1,Dyno_Data[Mode],"Auto")</f>
        <v>0</v>
      </c>
      <c r="AT136">
        <f>SUMIFS(Dyno_Data[AcqDis], Dyno_Data[Team],TBA_Matches_All[[#This Row],[Team]],Dyno_Data[Match],TBA_Matches_All[[#This Row],[Match_Number]],Dyno_Data[RecordType],"Activities", Dyno_Data[AcqCenter],2,Dyno_Data[Mode],"Auto")</f>
        <v>0</v>
      </c>
      <c r="AU136">
        <f>SUMIFS(Dyno_Data[AcqDis], Dyno_Data[Team],TBA_Matches_All[[#This Row],[Team]],Dyno_Data[Match],TBA_Matches_All[[#This Row],[Match_Number]],Dyno_Data[RecordType],"Activities", Dyno_Data[AcqCenter],3,Dyno_Data[Mode],"Auto")</f>
        <v>0</v>
      </c>
      <c r="AV136">
        <f>SUMIFS(Dyno_Data[AcqDis], Dyno_Data[Team],TBA_Matches_All[[#This Row],[Team]],Dyno_Data[Match],TBA_Matches_All[[#This Row],[Match_Number]],Dyno_Data[RecordType],"Activities", Dyno_Data[AcqCenter],4,Dyno_Data[Mode],"Auto")</f>
        <v>0</v>
      </c>
      <c r="AW136">
        <f>SUMIFS(Dyno_Data[AcqDis], Dyno_Data[Team],TBA_Matches_All[[#This Row],[Team]],Dyno_Data[Match],TBA_Matches_All[[#This Row],[Match_Number]],Dyno_Data[RecordType],"Activities", Dyno_Data[AcqCenter],5,Dyno_Data[Mode],"Auto")</f>
        <v>0</v>
      </c>
      <c r="AX136">
        <f>SUMIFS(Dyno_Data[DelMiss], Dyno_Data[Team],TBA_Matches_All[[#This Row],[Team]],Dyno_Data[Match],TBA_Matches_All[[#This Row],[Match_Number]],Dyno_Data[RecordType],"Activities", Dyno_Data[DelDest],"Amp")</f>
        <v>0</v>
      </c>
      <c r="AY136" s="60">
        <f>IFERROR(SUM((TBA_Matches_All[[#This Row],[AampT]]+TBA_Matches_All[[#This Row],[TampT]])/(TBA_Matches_All[[#This Row],[AampT]]+TBA_Matches_All[[#This Row],[TampT]]+TBA_Matches_All[[#This Row],[ampM]])),0)</f>
        <v>0</v>
      </c>
      <c r="AZ136">
        <f>SUMIFS(Dyno_Data[DelMiss], Dyno_Data[Team],TBA_Matches_All[[#This Row],[Team]],Dyno_Data[Match],TBA_Matches_All[[#This Row],[Match_Number]],Dyno_Data[RecordType],"Activities", Dyno_Data[DelDest],"Spkr")</f>
        <v>4</v>
      </c>
      <c r="BA136" s="60">
        <f>IFERROR(SUM((TBA_Matches_All[[#This Row],[AspkrT]]+TBA_Matches_All[[#This Row],[TspkrT]])/(TBA_Matches_All[[#This Row],[AspkrT]]+TBA_Matches_All[[#This Row],[TspkrT]]+TBA_Matches_All[[#This Row],[spkrM]])),0)</f>
        <v>0.55555555555555558</v>
      </c>
      <c r="BB136">
        <f>SUMIFS(Dyno_Data[DelMiss], Dyno_Data[Team],TBA_Matches_All[[#This Row],[Team]],Dyno_Data[Match],TBA_Matches_All[[#This Row],[Match_Number]],Dyno_Data[RecordType],"Activities", Dyno_Data[DelDest],"Trap")</f>
        <v>0</v>
      </c>
      <c r="BC136" s="60">
        <f>IFERROR((TBA_Matches_All[[#This Row],[AtrapT]]+TBA_Matches_All[[#This Row],[TtrapT]])/(TBA_Matches_All[[#This Row],[AtrapT]]+TBA_Matches_All[[#This Row],[TtrapT]]+TBA_Matches_All[[#This Row],[trapM]]),0)</f>
        <v>0</v>
      </c>
      <c r="BD136">
        <f>COUNTIFS(Dyno_Data[Team],TBA_Matches_All[[#This Row],[Team]],Dyno_Data[Match],TBA_Matches_All[[#This Row],[Match_Number]],Dyno_Data[RecordType],"Activities",Dyno_Data[DelDest],"Neut", Dyno_Data[DelMiss],1)</f>
        <v>0</v>
      </c>
      <c r="BE136" s="60">
        <f>IFERROR(SUM((TBA_Matches_All[[#This Row],[NeutFlrT]])/(TBA_Matches_All[[#This Row],[NeutFlrT]]+TBA_Matches_All[[#This Row],[NZflM]])),0)</f>
        <v>0</v>
      </c>
      <c r="BF136">
        <f>COUNTIFS(Dyno_Data[Team],TBA_Matches_All[[#This Row],[Team]],Dyno_Data[Match],TBA_Matches_All[[#This Row],[Match_Number]],Dyno_Data[RecordType],"Activities",Dyno_Data[DelDest],"AllyW", Dyno_Data[DelMiss],1)</f>
        <v>0</v>
      </c>
      <c r="BG136" s="60">
        <f>IFERROR(SUM((TBA_Matches_All[[#This Row],[AllyWFlrT]])/(TBA_Matches_All[[#This Row],[AllyWFlrT]]+TBA_Matches_All[[#This Row],[AZflM]])),0)</f>
        <v>0</v>
      </c>
      <c r="BH136">
        <f>COUNTIFS(Dyno_Data[Team],TBA_Matches_All[[#This Row],[Team]],Dyno_Data[Match],TBA_Matches_All[[#This Row],[Match_Number]],Dyno_Data[RecordType],"Activities",Dyno_Data[DelOrig],"OppW", Dyno_Data[DelMiss],"0")</f>
        <v>0</v>
      </c>
      <c r="BI136">
        <f>COUNTIFS(Dyno_Data[Team],TBA_Matches_All[[#This Row],[Team]],Dyno_Data[Match],TBA_Matches_All[[#This Row],[Match_Number]],Dyno_Data[RecordType],"Activities",Dyno_Data[DelOrig],"OppW", Dyno_Data[DelMiss],"1")</f>
        <v>0</v>
      </c>
      <c r="BJ136" s="60">
        <f>IFERROR(SUM((TBA_Matches_All[[#This Row],[OZflrT]])/(TBA_Matches_All[[#This Row],[OZflrT]]+TBA_Matches_All[[#This Row],[OZflrM]])),0)</f>
        <v>0</v>
      </c>
      <c r="BK136">
        <f>COUNTIFS(Dyno_Data[Team],TBA_Matches_All[[#This Row],[Team]],Dyno_Data[Match],TBA_Matches_All[[#This Row],[Match_Number]],Dyno_Data[RecordType],"Activities",Dyno_Data[DelOrig],"Neut", Dyno_Data[DelMiss],"0")</f>
        <v>0</v>
      </c>
      <c r="BL136">
        <f>COUNTIFS(Dyno_Data[Team],TBA_Matches_All[[#This Row],[Team]],Dyno_Data[Match],TBA_Matches_All[[#This Row],[Match_Number]],Dyno_Data[RecordType],"Activities",Dyno_Data[DelOrig],"Neut", Dyno_Data[DelMiss],"1")</f>
        <v>0</v>
      </c>
      <c r="BM136" s="60">
        <f>IFERROR(SUM((TBA_Matches_All[[#This Row],[NZflrT]])/(TBA_Matches_All[[#This Row],[NZflrT]]+TBA_Matches_All[[#This Row],[NZflrM]])),0)</f>
        <v>0</v>
      </c>
      <c r="BN136">
        <f>COUNTIFS(Dyno_Data[Team],TBA_Matches_All[[#This Row],[Team]],Dyno_Data[Match],TBA_Matches_All[[#This Row],[Match_Number]],Dyno_Data[RecordType],"Activities",Dyno_Data[DelOrig],"AllyW", Dyno_Data[DelMiss],"0")</f>
        <v>5</v>
      </c>
      <c r="BO136">
        <f>COUNTIFS(Dyno_Data[Team],TBA_Matches_All[[#This Row],[Team]],Dyno_Data[Match],TBA_Matches_All[[#This Row],[Match_Number]],Dyno_Data[RecordType],"Activities",Dyno_Data[DelOrig],"AllyW", Dyno_Data[DelMiss],"1")</f>
        <v>4</v>
      </c>
      <c r="BP136" s="60">
        <f>IFERROR(SUM((TBA_Matches_All[[#This Row],[AZflrT]])/(TBA_Matches_All[[#This Row],[AZflrT]]+TBA_Matches_All[[#This Row],[AZflrM]])),0)</f>
        <v>0.55555555555555558</v>
      </c>
      <c r="BQ136">
        <f>COUNTIFS(Dyno_Data[Team],TBA_Matches_All[[#This Row],[Team]],Dyno_Data[Match],TBA_Matches_All[[#This Row],[Match_Number]],Dyno_Data[RecordType],"Activities",Dyno_Data[DelOrig],"SubW", Dyno_Data[DelMiss],"0")</f>
        <v>0</v>
      </c>
      <c r="BR136">
        <f>COUNTIFS(Dyno_Data[Team],TBA_Matches_All[[#This Row],[Team]],Dyno_Data[Match],TBA_Matches_All[[#This Row],[Match_Number]],Dyno_Data[RecordType],"Activities",Dyno_Data[DelOrig],"SubW", Dyno_Data[DelMiss],"1")</f>
        <v>0</v>
      </c>
      <c r="BS136" s="60">
        <f>IFERROR(SUM((TBA_Matches_All[[#This Row],[SubwT]])/(TBA_Matches_All[[#This Row],[SubwT]]+TBA_Matches_All[[#This Row],[SubwM]])),0)</f>
        <v>0</v>
      </c>
      <c r="BT136">
        <f>COUNTIFS(Dyno_Data[Team],TBA_Matches_All[[#This Row],[Team]],Dyno_Data[Match],TBA_Matches_All[[#This Row],[Match_Number]],Dyno_Data[RecordType],"Activities", Dyno_Data[AcqLoc],"OppWing")</f>
        <v>0</v>
      </c>
      <c r="BU136">
        <f>COUNTIFS(Dyno_Data[Team],TBA_Matches_All[[#This Row],[Team]],Dyno_Data[Match],TBA_Matches_All[[#This Row],[Match_Number]],Dyno_Data[RecordType],"Activities", Dyno_Data[AcqLoc],"Neutral")</f>
        <v>0</v>
      </c>
      <c r="BV136">
        <f>COUNTIFS(Dyno_Data[Team],TBA_Matches_All[[#This Row],[Team]],Dyno_Data[Match],TBA_Matches_All[[#This Row],[Match_Number]],Dyno_Data[RecordType],"Activities", Dyno_Data[AcqLoc],"AllyWing")</f>
        <v>0</v>
      </c>
      <c r="BW136">
        <f>COUNTIFS(Dyno_Data[Team],TBA_Matches_All[[#This Row],[Team]],Dyno_Data[Match],TBA_Matches_All[[#This Row],[Match_Number]],Dyno_Data[RecordType],"Activities", Dyno_Data[AcqLoc],"Source")</f>
        <v>0</v>
      </c>
      <c r="BX136">
        <f>SUMIFS(Dyno_Data[AcqDrp], Dyno_Data[Team],TBA_Matches_All[[#This Row],[Team]],Dyno_Data[Match],TBA_Matches_All[[#This Row],[Match_Number]],Dyno_Data[RecordType],"Activities", Dyno_Data[AcqLoc],"Source")</f>
        <v>0</v>
      </c>
      <c r="BY136">
        <f>SUMIFS(Dyno_Data[OZTime], Dyno_Data[Team],TBA_Matches_All[[#This Row],[Team]],Dyno_Data[Match],TBA_Matches_All[[#This Row],[Match_Number]],Dyno_Data[RecordType],"EndMatch")</f>
        <v>30.184531499999999</v>
      </c>
      <c r="BZ136">
        <f>SUMIFS(Dyno_Data[NZTime], Dyno_Data[Team],TBA_Matches_All[[#This Row],[Team]],Dyno_Data[Match],TBA_Matches_All[[#This Row],[Match_Number]],Dyno_Data[RecordType],"EndMatch")</f>
        <v>10.963695299999999</v>
      </c>
      <c r="CA136">
        <f>SUMIFS(Dyno_Data[AZTime], Dyno_Data[Team],TBA_Matches_All[[#This Row],[Team]],Dyno_Data[Match],TBA_Matches_All[[#This Row],[Match_Number]],Dyno_Data[RecordType],"EndMatch")</f>
        <v>65.567818099999997</v>
      </c>
      <c r="CB136">
        <f>SUMIFS(Dyno_Data[ClimbT], Dyno_Data[Team],TBA_Matches_All[[#This Row],[Team]],Dyno_Data[Match],TBA_Matches_All[[#This Row],[Match_Number]],Dyno_Data[RecordType],"EndMatch")</f>
        <v>11.8907101</v>
      </c>
      <c r="CC136" t="str">
        <f>_xlfn.XLOOKUP(SUM(MID(TBA_Matches_All[[#This Row],[Team]],4,5),(TBA_Matches_All[[#This Row],[Match_Number]]/100)),Dyno_EndMatch[teammat],Dyno_EndMatch[StageStat],"_",0,1)</f>
        <v>On</v>
      </c>
      <c r="CD136" t="str">
        <f>_xlfn.XLOOKUP(TBA_Matches_All[[#This Row],[teammat]],Dyno_EndMatch[teammat],Dyno_EndMatch[StageAtt],"_",0,1)</f>
        <v>1</v>
      </c>
      <c r="CE136" t="str">
        <f>_xlfn.XLOOKUP(TBA_Matches_All[[#This Row],[teammat]],Dyno_EndMatch[teammat],Dyno_EndMatch[StageLoc],"_",0,1)</f>
        <v>R</v>
      </c>
      <c r="CF136">
        <f>SUMIFS(Dyno_Data[Harmony], Dyno_Data[Team],TBA_Matches_All[[#This Row],[Team]],Dyno_Data[Match],TBA_Matches_All[[#This Row],[Match_Number]],Dyno_Data[RecordType],"EndMatch", Dyno_Data[StageStat],"On",Dyno_Data[Harmony],"&lt;&gt;9")</f>
        <v>0</v>
      </c>
      <c r="CG136">
        <f>SUMIFS(Dyno_Data[Spotlit], Dyno_Data[Team],TBA_Matches_All[[#This Row],[Team]],Dyno_Data[Match],TBA_Matches_All[[#This Row],[Match_Number]],Dyno_Data[RecordType],"EndMatch", Dyno_Data[StageStat],"On",Dyno_Data[Spotlit],"&lt;&gt;9")</f>
        <v>0</v>
      </c>
      <c r="CH136" t="str">
        <f>_xlfn.XLOOKUP(TBA_Matches_All[[#This Row],[teammat]],Dyno_EndMatch[teammat],Dyno_EndMatch[Strategy],"_",0,1)</f>
        <v>Hybrid</v>
      </c>
      <c r="CI136">
        <f>SUMIFS(Dyno_Data[Defense], Dyno_Data[Team],TBA_Matches_All[[#This Row],[Team]],Dyno_Data[Match],TBA_Matches_All[[#This Row],[Match_Number]],Dyno_Data[RecordType],"EndMatch",Dyno_Data[Defense],"&lt;&gt;9")</f>
        <v>0</v>
      </c>
      <c r="CJ136">
        <f>SUMIFS(Dyno_Data[Avoidance], Dyno_Data[Team],TBA_Matches_All[[#This Row],[Team]],Dyno_Data[Match],TBA_Matches_All[[#This Row],[Match_Number]],Dyno_Data[RecordType],"EndMatch",Dyno_Data[Avoidance],"&lt;&gt;9")</f>
        <v>0</v>
      </c>
      <c r="CK136" s="82">
        <f>COUNTIF($H$2:TBA_Matches_All[[#This Row],[Team]],TBA_Matches_All[[#This Row],[Team]])</f>
        <v>3</v>
      </c>
      <c r="CL136" s="111">
        <f>SUM(MID(TBA_Matches_All[[#This Row],[Team]],4,5)+TBA_Matches_All[[#This Row],[Match_Number]]/100)</f>
        <v>1559.23</v>
      </c>
      <c r="CM136">
        <f>SUM((TBA_Matches_All[[#This Row],[Leave]]*2)+(TBA_Matches_All[[#This Row],[AampT]]*2)+(TBA_Matches_All[[#This Row],[AspkrT]]*5)+(TBA_Matches_All[[#This Row],[AtrapT]]*5))</f>
        <v>0</v>
      </c>
      <c r="CN136" s="59">
        <f>IFERROR(SUM(TBA_Matches_All[[#This Row],[AptsT]]/TBA_Matches_All[[#This Row],[AutoPts]]),0)</f>
        <v>0</v>
      </c>
      <c r="CO136" s="59">
        <f>IFERROR(SUM(TBA_Matches_All[[#This Row],[AampT]]+TBA_Matches_All[[#This Row],[AspkrT]]+TBA_Matches_All[[#This Row],[AtrapT]]/TBA_Matches_All[[#This Row],[Aamp]]+TBA_Matches_All[[#This Row],[Aspkr]]+TBA_Matches_All[[#This Row],[AtrapT]]),0)</f>
        <v>0</v>
      </c>
      <c r="CP136" s="59">
        <f>IFERROR(SUM(TBA_Matches_All[[#This Row],[TampT]]/TBA_Matches_All[[#This Row],[Tamp]]),0)</f>
        <v>0</v>
      </c>
      <c r="CQ136" s="59">
        <f>IFERROR(SUM(TBA_Matches_All[[#This Row],[TspkrT]]/TBA_Matches_All[[#This Row],[Tspkr]]),0)</f>
        <v>0.625</v>
      </c>
      <c r="CR136">
        <f>SUM(TBA_Matches_All[[#This Row],[TspkrPts]]*TBA_Matches_All[[#This Row],[TspkrP]])</f>
        <v>17.5</v>
      </c>
      <c r="CS136" s="59">
        <f>IFERROR(SUM(TBA_Matches_All[[#This Row],[TtrapT]]/TBA_Matches_All[[#This Row],[Trap]]),0)</f>
        <v>0</v>
      </c>
      <c r="CT136" s="59">
        <f>IFERROR(SUM(TBA_Matches_All[[#This Row],[TotNotesT]]/TBA_Matches_All[[#This Row],[TotNotes]]),0)</f>
        <v>0.26315789473684209</v>
      </c>
      <c r="CU136" s="66">
        <f>SUM((TBA_Matches_All[[#This Row],[AampT]]*2)+(TBA_Matches_All[[#This Row],[AspkrT]]*5)+(TBA_Matches_All[[#This Row],[AtrapT]]*5)+(TBA_Matches_All[[#This Row],[TampT]]*1)+(TBA_Matches_All[[#This Row],[TspkrptsC]]))</f>
        <v>17.5</v>
      </c>
      <c r="CV136" s="59">
        <f>IFERROR(TBA_Matches_All[[#This Row],[noteptsT]]/TBA_Matches_All[[#This Row],[NotePts]],0)</f>
        <v>0.27777777777777779</v>
      </c>
      <c r="CW136">
        <f>SUM(IF(TBA_Matches_All[[#This Row],[stageStat]]="On",3,0),IF(TBA_Matches_All[[#This Row],[stageStat]]="Park",1,0),SUMIFS(TBA_Matches_All[[#This Row],[Spotlit]],TBA_Matches_All[[#This Row],[stageStat]],"On"),SUMIFS(TBA_Matches_All[[#This Row],[Harmony]],TBA_Matches_All[[#This Row],[stageStat]],"On"))</f>
        <v>3</v>
      </c>
      <c r="CX136" s="59">
        <f>IFERROR(TBA_Matches_All[[#This Row],[stageptsT]]/TBA_Matches_All[[#This Row],[StagePts]],0)</f>
        <v>0.27272727272727271</v>
      </c>
      <c r="CY136">
        <f>SUM((TBA_Matches_All[[#This Row],[AptsT]]+TBA_Matches_All[[#This Row],[TampT]]+TBA_Matches_All[[#This Row],[TspkrptsC]]+(TBA_Matches_All[[#This Row],[TtrapT]]*5)+TBA_Matches_All[[#This Row],[stageptsT]]))</f>
        <v>20.5</v>
      </c>
      <c r="CZ136" s="59">
        <f>IFERROR(SUM(TBA_Matches_All[[#This Row],[TotptsC]]/TBA_Matches_All[[#This Row],[Score]]),0)</f>
        <v>0.26973684210526316</v>
      </c>
      <c r="DA13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7.6099999999999994</v>
      </c>
      <c r="DB136" s="74">
        <f>SUMIFS(TBA_Matches_All[AveTeamTNoteDels],TBA_Matches_All[Match_Number],TBA_Matches_All[[#This Row],[Match_Number]],TBA_Matches_All[Alliance],"&lt;&gt;"&amp;TBA_Matches_All[[#This Row],[Alliance]],TBA_Matches_All[Scouted],"&gt;0")</f>
        <v>33.718046536796543</v>
      </c>
      <c r="DC136" s="74">
        <f>(TBA_Matches_All[[#This Row],[TampT]]+TBA_Matches_All[[#This Row],[TspkrptsC]])-TBA_Matches_All[[#This Row],[AveTeamTNoteDels]]</f>
        <v>9.89</v>
      </c>
      <c r="DD136" s="74">
        <f>SUMIFS(TBA_Matches_All[AveTeamTNoteDels],TBA_Matches_All[Match_Number],TBA_Matches_All[[#This Row],[Match_Number]],TBA_Matches_All[Alliance],"&lt;&gt;"&amp;TBA_Matches_All[[#This Row],[Alliance]])-TBA_Matches_All[[#This Row],[AveOppTNoteDels]]</f>
        <v>0</v>
      </c>
    </row>
    <row r="137" spans="1:108" x14ac:dyDescent="0.3">
      <c r="A137" t="s">
        <v>1042</v>
      </c>
      <c r="B137" t="s">
        <v>489</v>
      </c>
      <c r="C137" t="s">
        <v>1332</v>
      </c>
      <c r="D137">
        <v>23</v>
      </c>
      <c r="E137" t="s">
        <v>1420</v>
      </c>
      <c r="F137" t="s">
        <v>1423</v>
      </c>
      <c r="G137" t="s">
        <v>1409</v>
      </c>
      <c r="H137" t="s">
        <v>366</v>
      </c>
      <c r="I137" t="b">
        <v>1</v>
      </c>
      <c r="J137">
        <v>52</v>
      </c>
      <c r="K137">
        <v>1</v>
      </c>
      <c r="L137">
        <v>0</v>
      </c>
      <c r="M137">
        <v>0</v>
      </c>
      <c r="N137">
        <v>0</v>
      </c>
      <c r="O137">
        <v>5</v>
      </c>
      <c r="P137">
        <v>25</v>
      </c>
      <c r="Q137">
        <v>29</v>
      </c>
      <c r="R137">
        <v>3</v>
      </c>
      <c r="S137">
        <v>1</v>
      </c>
      <c r="T137">
        <v>7</v>
      </c>
      <c r="U137">
        <v>5</v>
      </c>
      <c r="V137">
        <v>14</v>
      </c>
      <c r="W137">
        <v>8</v>
      </c>
      <c r="X137">
        <v>19</v>
      </c>
      <c r="Y137">
        <v>22</v>
      </c>
      <c r="Z137">
        <v>0</v>
      </c>
      <c r="AA137">
        <v>0</v>
      </c>
      <c r="AB137">
        <v>16</v>
      </c>
      <c r="AC137">
        <v>47</v>
      </c>
      <c r="AD137">
        <v>1</v>
      </c>
      <c r="AE137">
        <f>IFERROR(6/(COUNTIF(Dyno_EndMatch[Match],TBA_Matches_All[[#This Row],[Match_Number]])),0)</f>
        <v>1</v>
      </c>
      <c r="AF137">
        <f>COUNTIFS(Dyno_Data[Team],TBA_Matches_All[[#This Row],[Team]],Dyno_Data[Match],TBA_Matches_All[[#This Row],[Match_Number]],Dyno_Data[RecordType],"EndMatch",Dyno_Data[HPAmp],"Y")</f>
        <v>0</v>
      </c>
      <c r="AG137">
        <f>SUMIFS(Dyno_Data[Mics], Dyno_Data[Team],TBA_Matches_All[[#This Row],[Team]],Dyno_Data[Match],TBA_Matches_All[[#This Row],[Match_Number]],Dyno_Data[RecordType],"EndMatch",Dyno_Data[HPAmp],"Y")</f>
        <v>0</v>
      </c>
      <c r="AH137">
        <f>SUMIFS(Dyno_Data[Leave], Dyno_Data[Team],TBA_Matches_All[[#This Row],[Team]],Dyno_Data[Match],TBA_Matches_All[[#This Row],[Match_Number]],Dyno_Data[RecordType],"EndAuto")</f>
        <v>0</v>
      </c>
      <c r="AI137">
        <f>COUNTIFS(Dyno_Data[Team],TBA_Matches_All[[#This Row],[Team]],Dyno_Data[Match],TBA_Matches_All[[#This Row],[Match_Number]],Dyno_Data[RecordType],"Activities",Dyno_Data[DelDest],"Amp", Dyno_Data[DelMiss],"0", Dyno_Data[Mode],"Auto")</f>
        <v>0</v>
      </c>
      <c r="AJ137">
        <f>COUNTIFS(Dyno_Data[Team],TBA_Matches_All[[#This Row],[Team]],Dyno_Data[Match],TBA_Matches_All[[#This Row],[Match_Number]],Dyno_Data[RecordType],"Activities",Dyno_Data[DelDest],"Spkr", Dyno_Data[DelMiss],"0", Dyno_Data[Mode],"Auto")</f>
        <v>1</v>
      </c>
      <c r="AK137">
        <f>COUNTIFS(Dyno_Data[Team],TBA_Matches_All[[#This Row],[Team]],Dyno_Data[Match],TBA_Matches_All[[#This Row],[Match_Number]],Dyno_Data[RecordType],"Activities",Dyno_Data[DelDest],"Trap", Dyno_Data[DelMiss],"0", Dyno_Data[Mode],"Auto")</f>
        <v>0</v>
      </c>
      <c r="AL137">
        <f>COUNTIFS(Dyno_Data[Team],TBA_Matches_All[[#This Row],[Team]],Dyno_Data[Match],TBA_Matches_All[[#This Row],[Match_Number]],Dyno_Data[RecordType],"Activities",Dyno_Data[DelDest],"Amp", Dyno_Data[DelMiss],"0", Dyno_Data[Mode],"Teleop")</f>
        <v>0</v>
      </c>
      <c r="AM137">
        <f>COUNTIFS(Dyno_Data[Team],TBA_Matches_All[[#This Row],[Team]],Dyno_Data[Match],TBA_Matches_All[[#This Row],[Match_Number]],Dyno_Data[RecordType],"Activities",Dyno_Data[DelDest],"Spkr", Dyno_Data[DelMiss],"0", Dyno_Data[Mode],"Teleop")</f>
        <v>2</v>
      </c>
      <c r="AN137">
        <f>COUNTIFS(Dyno_Data[Team],TBA_Matches_All[[#This Row],[Team]],Dyno_Data[Match],TBA_Matches_All[[#This Row],[Match_Number]],Dyno_Data[RecordType],"Activities",Dyno_Data[DelDest],"Trap", Dyno_Data[DelMiss],"0", Dyno_Data[Mode],"&lt;&gt;Auto")</f>
        <v>0</v>
      </c>
      <c r="AO137">
        <f>SUM(TBA_Matches_All[[#This Row],[AampT]]+TBA_Matches_All[[#This Row],[AspkrT]]+TBA_Matches_All[[#This Row],[AtrapT]]+TBA_Matches_All[[#This Row],[TampT]]+TBA_Matches_All[[#This Row],[TspkrT]]+TBA_Matches_All[[#This Row],[TtrapT]])</f>
        <v>3</v>
      </c>
      <c r="AP137">
        <f>COUNTIFS(Dyno_Data[Team],TBA_Matches_All[[#This Row],[Team]],Dyno_Data[Match],TBA_Matches_All[[#This Row],[Match_Number]],Dyno_Data[RecordType],"Activities",Dyno_Data[DelDest],"Neut", Dyno_Data[DelMiss],"0")</f>
        <v>0</v>
      </c>
      <c r="AQ137">
        <f>COUNTIFS(Dyno_Data[Team],TBA_Matches_All[[#This Row],[Team]],Dyno_Data[Match],TBA_Matches_All[[#This Row],[Match_Number]],Dyno_Data[RecordType],"Activities",Dyno_Data[DelDest],"AllyW", Dyno_Data[DelMiss],"0")</f>
        <v>0</v>
      </c>
      <c r="AR137" t="str">
        <f>_xlfn.XLOOKUP(SUM(MID(TBA_Matches_All[[#This Row],[Team]],4,5),(TBA_Matches_All[[#This Row],[Match_Number]]/100)),Dyno_EndMatch[teammat],Dyno_EndMatch[RobotSta],"_",0,1)</f>
        <v>Amp</v>
      </c>
      <c r="AS137">
        <f>SUMIFS(Dyno_Data[AcqDis], Dyno_Data[Team],TBA_Matches_All[[#This Row],[Team]],Dyno_Data[Match],TBA_Matches_All[[#This Row],[Match_Number]],Dyno_Data[RecordType],"Activities", Dyno_Data[AcqCenter],1,Dyno_Data[Mode],"Auto")</f>
        <v>0</v>
      </c>
      <c r="AT137">
        <f>SUMIFS(Dyno_Data[AcqDis], Dyno_Data[Team],TBA_Matches_All[[#This Row],[Team]],Dyno_Data[Match],TBA_Matches_All[[#This Row],[Match_Number]],Dyno_Data[RecordType],"Activities", Dyno_Data[AcqCenter],2,Dyno_Data[Mode],"Auto")</f>
        <v>0</v>
      </c>
      <c r="AU137">
        <f>SUMIFS(Dyno_Data[AcqDis], Dyno_Data[Team],TBA_Matches_All[[#This Row],[Team]],Dyno_Data[Match],TBA_Matches_All[[#This Row],[Match_Number]],Dyno_Data[RecordType],"Activities", Dyno_Data[AcqCenter],3,Dyno_Data[Mode],"Auto")</f>
        <v>0</v>
      </c>
      <c r="AV137">
        <f>SUMIFS(Dyno_Data[AcqDis], Dyno_Data[Team],TBA_Matches_All[[#This Row],[Team]],Dyno_Data[Match],TBA_Matches_All[[#This Row],[Match_Number]],Dyno_Data[RecordType],"Activities", Dyno_Data[AcqCenter],4,Dyno_Data[Mode],"Auto")</f>
        <v>0</v>
      </c>
      <c r="AW137">
        <f>SUMIFS(Dyno_Data[AcqDis], Dyno_Data[Team],TBA_Matches_All[[#This Row],[Team]],Dyno_Data[Match],TBA_Matches_All[[#This Row],[Match_Number]],Dyno_Data[RecordType],"Activities", Dyno_Data[AcqCenter],5,Dyno_Data[Mode],"Auto")</f>
        <v>0</v>
      </c>
      <c r="AX137">
        <f>SUMIFS(Dyno_Data[DelMiss], Dyno_Data[Team],TBA_Matches_All[[#This Row],[Team]],Dyno_Data[Match],TBA_Matches_All[[#This Row],[Match_Number]],Dyno_Data[RecordType],"Activities", Dyno_Data[DelDest],"Amp")</f>
        <v>0</v>
      </c>
      <c r="AY137" s="60">
        <f>IFERROR(SUM((TBA_Matches_All[[#This Row],[AampT]]+TBA_Matches_All[[#This Row],[TampT]])/(TBA_Matches_All[[#This Row],[AampT]]+TBA_Matches_All[[#This Row],[TampT]]+TBA_Matches_All[[#This Row],[ampM]])),0)</f>
        <v>0</v>
      </c>
      <c r="AZ137">
        <f>SUMIFS(Dyno_Data[DelMiss], Dyno_Data[Team],TBA_Matches_All[[#This Row],[Team]],Dyno_Data[Match],TBA_Matches_All[[#This Row],[Match_Number]],Dyno_Data[RecordType],"Activities", Dyno_Data[DelDest],"Spkr")</f>
        <v>0</v>
      </c>
      <c r="BA137" s="60">
        <f>IFERROR(SUM((TBA_Matches_All[[#This Row],[AspkrT]]+TBA_Matches_All[[#This Row],[TspkrT]])/(TBA_Matches_All[[#This Row],[AspkrT]]+TBA_Matches_All[[#This Row],[TspkrT]]+TBA_Matches_All[[#This Row],[spkrM]])),0)</f>
        <v>1</v>
      </c>
      <c r="BB137">
        <f>SUMIFS(Dyno_Data[DelMiss], Dyno_Data[Team],TBA_Matches_All[[#This Row],[Team]],Dyno_Data[Match],TBA_Matches_All[[#This Row],[Match_Number]],Dyno_Data[RecordType],"Activities", Dyno_Data[DelDest],"Trap")</f>
        <v>0</v>
      </c>
      <c r="BC137" s="60">
        <f>IFERROR((TBA_Matches_All[[#This Row],[AtrapT]]+TBA_Matches_All[[#This Row],[TtrapT]])/(TBA_Matches_All[[#This Row],[AtrapT]]+TBA_Matches_All[[#This Row],[TtrapT]]+TBA_Matches_All[[#This Row],[trapM]]),0)</f>
        <v>0</v>
      </c>
      <c r="BD137">
        <f>COUNTIFS(Dyno_Data[Team],TBA_Matches_All[[#This Row],[Team]],Dyno_Data[Match],TBA_Matches_All[[#This Row],[Match_Number]],Dyno_Data[RecordType],"Activities",Dyno_Data[DelDest],"Neut", Dyno_Data[DelMiss],1)</f>
        <v>0</v>
      </c>
      <c r="BE137" s="60">
        <f>IFERROR(SUM((TBA_Matches_All[[#This Row],[NeutFlrT]])/(TBA_Matches_All[[#This Row],[NeutFlrT]]+TBA_Matches_All[[#This Row],[NZflM]])),0)</f>
        <v>0</v>
      </c>
      <c r="BF137">
        <f>COUNTIFS(Dyno_Data[Team],TBA_Matches_All[[#This Row],[Team]],Dyno_Data[Match],TBA_Matches_All[[#This Row],[Match_Number]],Dyno_Data[RecordType],"Activities",Dyno_Data[DelDest],"AllyW", Dyno_Data[DelMiss],1)</f>
        <v>0</v>
      </c>
      <c r="BG137" s="60">
        <f>IFERROR(SUM((TBA_Matches_All[[#This Row],[AllyWFlrT]])/(TBA_Matches_All[[#This Row],[AllyWFlrT]]+TBA_Matches_All[[#This Row],[AZflM]])),0)</f>
        <v>0</v>
      </c>
      <c r="BH137">
        <f>COUNTIFS(Dyno_Data[Team],TBA_Matches_All[[#This Row],[Team]],Dyno_Data[Match],TBA_Matches_All[[#This Row],[Match_Number]],Dyno_Data[RecordType],"Activities",Dyno_Data[DelOrig],"OppW", Dyno_Data[DelMiss],"0")</f>
        <v>0</v>
      </c>
      <c r="BI137">
        <f>COUNTIFS(Dyno_Data[Team],TBA_Matches_All[[#This Row],[Team]],Dyno_Data[Match],TBA_Matches_All[[#This Row],[Match_Number]],Dyno_Data[RecordType],"Activities",Dyno_Data[DelOrig],"OppW", Dyno_Data[DelMiss],"1")</f>
        <v>0</v>
      </c>
      <c r="BJ137" s="60">
        <f>IFERROR(SUM((TBA_Matches_All[[#This Row],[OZflrT]])/(TBA_Matches_All[[#This Row],[OZflrT]]+TBA_Matches_All[[#This Row],[OZflrM]])),0)</f>
        <v>0</v>
      </c>
      <c r="BK137">
        <f>COUNTIFS(Dyno_Data[Team],TBA_Matches_All[[#This Row],[Team]],Dyno_Data[Match],TBA_Matches_All[[#This Row],[Match_Number]],Dyno_Data[RecordType],"Activities",Dyno_Data[DelOrig],"Neut", Dyno_Data[DelMiss],"0")</f>
        <v>0</v>
      </c>
      <c r="BL137">
        <f>COUNTIFS(Dyno_Data[Team],TBA_Matches_All[[#This Row],[Team]],Dyno_Data[Match],TBA_Matches_All[[#This Row],[Match_Number]],Dyno_Data[RecordType],"Activities",Dyno_Data[DelOrig],"Neut", Dyno_Data[DelMiss],"1")</f>
        <v>0</v>
      </c>
      <c r="BM137" s="60">
        <f>IFERROR(SUM((TBA_Matches_All[[#This Row],[NZflrT]])/(TBA_Matches_All[[#This Row],[NZflrT]]+TBA_Matches_All[[#This Row],[NZflrM]])),0)</f>
        <v>0</v>
      </c>
      <c r="BN137">
        <f>COUNTIFS(Dyno_Data[Team],TBA_Matches_All[[#This Row],[Team]],Dyno_Data[Match],TBA_Matches_All[[#This Row],[Match_Number]],Dyno_Data[RecordType],"Activities",Dyno_Data[DelOrig],"AllyW", Dyno_Data[DelMiss],"0")</f>
        <v>1</v>
      </c>
      <c r="BO137">
        <f>COUNTIFS(Dyno_Data[Team],TBA_Matches_All[[#This Row],[Team]],Dyno_Data[Match],TBA_Matches_All[[#This Row],[Match_Number]],Dyno_Data[RecordType],"Activities",Dyno_Data[DelOrig],"AllyW", Dyno_Data[DelMiss],"1")</f>
        <v>0</v>
      </c>
      <c r="BP137" s="60">
        <f>IFERROR(SUM((TBA_Matches_All[[#This Row],[AZflrT]])/(TBA_Matches_All[[#This Row],[AZflrT]]+TBA_Matches_All[[#This Row],[AZflrM]])),0)</f>
        <v>1</v>
      </c>
      <c r="BQ137">
        <f>COUNTIFS(Dyno_Data[Team],TBA_Matches_All[[#This Row],[Team]],Dyno_Data[Match],TBA_Matches_All[[#This Row],[Match_Number]],Dyno_Data[RecordType],"Activities",Dyno_Data[DelOrig],"SubW", Dyno_Data[DelMiss],"0")</f>
        <v>2</v>
      </c>
      <c r="BR137">
        <f>COUNTIFS(Dyno_Data[Team],TBA_Matches_All[[#This Row],[Team]],Dyno_Data[Match],TBA_Matches_All[[#This Row],[Match_Number]],Dyno_Data[RecordType],"Activities",Dyno_Data[DelOrig],"SubW", Dyno_Data[DelMiss],"1")</f>
        <v>0</v>
      </c>
      <c r="BS137" s="60">
        <f>IFERROR(SUM((TBA_Matches_All[[#This Row],[SubwT]])/(TBA_Matches_All[[#This Row],[SubwT]]+TBA_Matches_All[[#This Row],[SubwM]])),0)</f>
        <v>1</v>
      </c>
      <c r="BT137">
        <f>COUNTIFS(Dyno_Data[Team],TBA_Matches_All[[#This Row],[Team]],Dyno_Data[Match],TBA_Matches_All[[#This Row],[Match_Number]],Dyno_Data[RecordType],"Activities", Dyno_Data[AcqLoc],"OppWing")</f>
        <v>0</v>
      </c>
      <c r="BU137">
        <f>COUNTIFS(Dyno_Data[Team],TBA_Matches_All[[#This Row],[Team]],Dyno_Data[Match],TBA_Matches_All[[#This Row],[Match_Number]],Dyno_Data[RecordType],"Activities", Dyno_Data[AcqLoc],"Neutral")</f>
        <v>0</v>
      </c>
      <c r="BV137">
        <f>COUNTIFS(Dyno_Data[Team],TBA_Matches_All[[#This Row],[Team]],Dyno_Data[Match],TBA_Matches_All[[#This Row],[Match_Number]],Dyno_Data[RecordType],"Activities", Dyno_Data[AcqLoc],"AllyWing")</f>
        <v>0</v>
      </c>
      <c r="BW137">
        <f>COUNTIFS(Dyno_Data[Team],TBA_Matches_All[[#This Row],[Team]],Dyno_Data[Match],TBA_Matches_All[[#This Row],[Match_Number]],Dyno_Data[RecordType],"Activities", Dyno_Data[AcqLoc],"Source")</f>
        <v>0</v>
      </c>
      <c r="BX137">
        <f>SUMIFS(Dyno_Data[AcqDrp], Dyno_Data[Team],TBA_Matches_All[[#This Row],[Team]],Dyno_Data[Match],TBA_Matches_All[[#This Row],[Match_Number]],Dyno_Data[RecordType],"Activities", Dyno_Data[AcqLoc],"Source")</f>
        <v>0</v>
      </c>
      <c r="BY137">
        <f>SUMIFS(Dyno_Data[OZTime], Dyno_Data[Team],TBA_Matches_All[[#This Row],[Team]],Dyno_Data[Match],TBA_Matches_All[[#This Row],[Match_Number]],Dyno_Data[RecordType],"EndMatch")</f>
        <v>9.2371608999999992</v>
      </c>
      <c r="BZ137">
        <f>SUMIFS(Dyno_Data[NZTime], Dyno_Data[Team],TBA_Matches_All[[#This Row],[Team]],Dyno_Data[Match],TBA_Matches_All[[#This Row],[Match_Number]],Dyno_Data[RecordType],"EndMatch")</f>
        <v>17.5710245</v>
      </c>
      <c r="CA137">
        <f>SUMIFS(Dyno_Data[AZTime], Dyno_Data[Team],TBA_Matches_All[[#This Row],[Team]],Dyno_Data[Match],TBA_Matches_All[[#This Row],[Match_Number]],Dyno_Data[RecordType],"EndMatch")</f>
        <v>110.2894472</v>
      </c>
      <c r="CB137">
        <f>SUMIFS(Dyno_Data[ClimbT], Dyno_Data[Team],TBA_Matches_All[[#This Row],[Team]],Dyno_Data[Match],TBA_Matches_All[[#This Row],[Match_Number]],Dyno_Data[RecordType],"EndMatch")</f>
        <v>0</v>
      </c>
      <c r="CC137" t="str">
        <f>_xlfn.XLOOKUP(SUM(MID(TBA_Matches_All[[#This Row],[Team]],4,5),(TBA_Matches_All[[#This Row],[Match_Number]]/100)),Dyno_EndMatch[teammat],Dyno_EndMatch[StageStat],"_",0,1)</f>
        <v>Else</v>
      </c>
      <c r="CD137" t="str">
        <f>_xlfn.XLOOKUP(TBA_Matches_All[[#This Row],[teammat]],Dyno_EndMatch[teammat],Dyno_EndMatch[StageAtt],"_",0,1)</f>
        <v>0</v>
      </c>
      <c r="CE137" t="str">
        <f>_xlfn.XLOOKUP(TBA_Matches_All[[#This Row],[teammat]],Dyno_EndMatch[teammat],Dyno_EndMatch[StageLoc],"_",0,1)</f>
        <v>A</v>
      </c>
      <c r="CF137">
        <f>SUMIFS(Dyno_Data[Harmony], Dyno_Data[Team],TBA_Matches_All[[#This Row],[Team]],Dyno_Data[Match],TBA_Matches_All[[#This Row],[Match_Number]],Dyno_Data[RecordType],"EndMatch", Dyno_Data[StageStat],"On",Dyno_Data[Harmony],"&lt;&gt;9")</f>
        <v>0</v>
      </c>
      <c r="CG137">
        <f>SUMIFS(Dyno_Data[Spotlit], Dyno_Data[Team],TBA_Matches_All[[#This Row],[Team]],Dyno_Data[Match],TBA_Matches_All[[#This Row],[Match_Number]],Dyno_Data[RecordType],"EndMatch", Dyno_Data[StageStat],"On",Dyno_Data[Spotlit],"&lt;&gt;9")</f>
        <v>0</v>
      </c>
      <c r="CH137" t="str">
        <f>_xlfn.XLOOKUP(TBA_Matches_All[[#This Row],[teammat]],Dyno_EndMatch[teammat],Dyno_EndMatch[Strategy],"_",0,1)</f>
        <v>Hybrid</v>
      </c>
      <c r="CI137">
        <f>SUMIFS(Dyno_Data[Defense], Dyno_Data[Team],TBA_Matches_All[[#This Row],[Team]],Dyno_Data[Match],TBA_Matches_All[[#This Row],[Match_Number]],Dyno_Data[RecordType],"EndMatch",Dyno_Data[Defense],"&lt;&gt;9")</f>
        <v>0</v>
      </c>
      <c r="CJ137">
        <f>SUMIFS(Dyno_Data[Avoidance], Dyno_Data[Team],TBA_Matches_All[[#This Row],[Team]],Dyno_Data[Match],TBA_Matches_All[[#This Row],[Match_Number]],Dyno_Data[RecordType],"EndMatch",Dyno_Data[Avoidance],"&lt;&gt;9")</f>
        <v>1</v>
      </c>
      <c r="CK137" s="82">
        <f>COUNTIF($H$2:TBA_Matches_All[[#This Row],[Team]],TBA_Matches_All[[#This Row],[Team]])</f>
        <v>3</v>
      </c>
      <c r="CL137" s="111">
        <f>SUM(MID(TBA_Matches_All[[#This Row],[Team]],4,5)+TBA_Matches_All[[#This Row],[Match_Number]]/100)</f>
        <v>4122.2299999999996</v>
      </c>
      <c r="CM137">
        <f>SUM((TBA_Matches_All[[#This Row],[Leave]]*2)+(TBA_Matches_All[[#This Row],[AampT]]*2)+(TBA_Matches_All[[#This Row],[AspkrT]]*5)+(TBA_Matches_All[[#This Row],[AtrapT]]*5))</f>
        <v>5</v>
      </c>
      <c r="CN137" s="59">
        <f>IFERROR(SUM(TBA_Matches_All[[#This Row],[AptsT]]/TBA_Matches_All[[#This Row],[AutoPts]]),0)</f>
        <v>0.17241379310344829</v>
      </c>
      <c r="CO137" s="59">
        <f>IFERROR(SUM(TBA_Matches_All[[#This Row],[AampT]]+TBA_Matches_All[[#This Row],[AspkrT]]+TBA_Matches_All[[#This Row],[AtrapT]]/TBA_Matches_All[[#This Row],[Aamp]]+TBA_Matches_All[[#This Row],[Aspkr]]+TBA_Matches_All[[#This Row],[AtrapT]]),0)</f>
        <v>0</v>
      </c>
      <c r="CP137" s="59">
        <f>IFERROR(SUM(TBA_Matches_All[[#This Row],[TampT]]/TBA_Matches_All[[#This Row],[Tamp]]),0)</f>
        <v>0</v>
      </c>
      <c r="CQ137" s="59">
        <f>IFERROR(SUM(TBA_Matches_All[[#This Row],[TspkrT]]/TBA_Matches_All[[#This Row],[Tspkr]]),0)</f>
        <v>0.25</v>
      </c>
      <c r="CR137">
        <f>SUM(TBA_Matches_All[[#This Row],[TspkrPts]]*TBA_Matches_All[[#This Row],[TspkrP]])</f>
        <v>4.75</v>
      </c>
      <c r="CS137" s="59">
        <f>IFERROR(SUM(TBA_Matches_All[[#This Row],[TtrapT]]/TBA_Matches_All[[#This Row],[Trap]]),0)</f>
        <v>0</v>
      </c>
      <c r="CT137" s="59">
        <f>IFERROR(SUM(TBA_Matches_All[[#This Row],[TotNotesT]]/TBA_Matches_All[[#This Row],[TotNotes]]),0)</f>
        <v>0.1875</v>
      </c>
      <c r="CU137" s="66">
        <f>SUM((TBA_Matches_All[[#This Row],[AampT]]*2)+(TBA_Matches_All[[#This Row],[AspkrT]]*5)+(TBA_Matches_All[[#This Row],[AtrapT]]*5)+(TBA_Matches_All[[#This Row],[TampT]]*1)+(TBA_Matches_All[[#This Row],[TspkrptsC]]))</f>
        <v>9.75</v>
      </c>
      <c r="CV137" s="59">
        <f>IFERROR(TBA_Matches_All[[#This Row],[noteptsT]]/TBA_Matches_All[[#This Row],[NotePts]],0)</f>
        <v>0.20744680851063829</v>
      </c>
      <c r="CW137">
        <f>SUM(IF(TBA_Matches_All[[#This Row],[stageStat]]="On",3,0),IF(TBA_Matches_All[[#This Row],[stageStat]]="Park",1,0),SUMIFS(TBA_Matches_All[[#This Row],[Spotlit]],TBA_Matches_All[[#This Row],[stageStat]],"On"),SUMIFS(TBA_Matches_All[[#This Row],[Harmony]],TBA_Matches_All[[#This Row],[stageStat]],"On"))</f>
        <v>0</v>
      </c>
      <c r="CX137" s="59">
        <f>IFERROR(TBA_Matches_All[[#This Row],[stageptsT]]/TBA_Matches_All[[#This Row],[StagePts]],0)</f>
        <v>0</v>
      </c>
      <c r="CY137">
        <f>SUM((TBA_Matches_All[[#This Row],[AptsT]]+TBA_Matches_All[[#This Row],[TampT]]+TBA_Matches_All[[#This Row],[TspkrptsC]]+(TBA_Matches_All[[#This Row],[TtrapT]]*5)+TBA_Matches_All[[#This Row],[stageptsT]]))</f>
        <v>9.75</v>
      </c>
      <c r="CZ137" s="59">
        <f>IFERROR(SUM(TBA_Matches_All[[#This Row],[TotptsC]]/TBA_Matches_All[[#This Row],[Score]]),0)</f>
        <v>0.1875</v>
      </c>
      <c r="DA13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12.392857142857144</v>
      </c>
      <c r="DB137" s="74">
        <f>SUMIFS(TBA_Matches_All[AveTeamTNoteDels],TBA_Matches_All[Match_Number],TBA_Matches_All[[#This Row],[Match_Number]],TBA_Matches_All[Alliance],"&lt;&gt;"&amp;TBA_Matches_All[[#This Row],[Alliance]],TBA_Matches_All[Scouted],"&gt;0")</f>
        <v>23.797499999999999</v>
      </c>
      <c r="DC137" s="74">
        <f>(TBA_Matches_All[[#This Row],[TampT]]+TBA_Matches_All[[#This Row],[TspkrptsC]])-TBA_Matches_All[[#This Row],[AveTeamTNoteDels]]</f>
        <v>-7.6428571428571441</v>
      </c>
      <c r="DD137" s="74">
        <f>SUMIFS(TBA_Matches_All[AveTeamTNoteDels],TBA_Matches_All[Match_Number],TBA_Matches_All[[#This Row],[Match_Number]],TBA_Matches_All[Alliance],"&lt;&gt;"&amp;TBA_Matches_All[[#This Row],[Alliance]])-TBA_Matches_All[[#This Row],[AveOppTNoteDels]]</f>
        <v>0</v>
      </c>
    </row>
    <row r="138" spans="1:108" x14ac:dyDescent="0.3">
      <c r="A138" t="s">
        <v>1042</v>
      </c>
      <c r="B138" t="s">
        <v>489</v>
      </c>
      <c r="C138" t="s">
        <v>1332</v>
      </c>
      <c r="D138">
        <v>23</v>
      </c>
      <c r="E138" t="s">
        <v>1406</v>
      </c>
      <c r="F138" t="s">
        <v>1424</v>
      </c>
      <c r="G138" t="s">
        <v>1409</v>
      </c>
      <c r="H138" t="s">
        <v>360</v>
      </c>
      <c r="I138" t="b">
        <v>1</v>
      </c>
      <c r="J138">
        <v>76</v>
      </c>
      <c r="K138">
        <v>1</v>
      </c>
      <c r="L138">
        <v>1</v>
      </c>
      <c r="M138">
        <v>0</v>
      </c>
      <c r="N138">
        <v>0</v>
      </c>
      <c r="O138">
        <v>6</v>
      </c>
      <c r="P138">
        <v>30</v>
      </c>
      <c r="Q138">
        <v>32</v>
      </c>
      <c r="R138">
        <v>5</v>
      </c>
      <c r="S138">
        <v>4</v>
      </c>
      <c r="T138">
        <v>4</v>
      </c>
      <c r="U138">
        <v>20</v>
      </c>
      <c r="V138">
        <v>8</v>
      </c>
      <c r="W138">
        <v>8</v>
      </c>
      <c r="X138">
        <v>28</v>
      </c>
      <c r="Y138">
        <v>33</v>
      </c>
      <c r="Z138">
        <v>5</v>
      </c>
      <c r="AA138">
        <v>1</v>
      </c>
      <c r="AB138">
        <v>19</v>
      </c>
      <c r="AC138">
        <v>63</v>
      </c>
      <c r="AD138">
        <v>11</v>
      </c>
      <c r="AE138">
        <f>IFERROR(6/(COUNTIF(Dyno_EndMatch[Match],TBA_Matches_All[[#This Row],[Match_Number]])),0)</f>
        <v>1</v>
      </c>
      <c r="AF138">
        <f>COUNTIFS(Dyno_Data[Team],TBA_Matches_All[[#This Row],[Team]],Dyno_Data[Match],TBA_Matches_All[[#This Row],[Match_Number]],Dyno_Data[RecordType],"EndMatch",Dyno_Data[HPAmp],"Y")</f>
        <v>1</v>
      </c>
      <c r="AG138">
        <f>SUMIFS(Dyno_Data[Mics], Dyno_Data[Team],TBA_Matches_All[[#This Row],[Team]],Dyno_Data[Match],TBA_Matches_All[[#This Row],[Match_Number]],Dyno_Data[RecordType],"EndMatch",Dyno_Data[HPAmp],"Y")</f>
        <v>0</v>
      </c>
      <c r="AH138">
        <f>SUMIFS(Dyno_Data[Leave], Dyno_Data[Team],TBA_Matches_All[[#This Row],[Team]],Dyno_Data[Match],TBA_Matches_All[[#This Row],[Match_Number]],Dyno_Data[RecordType],"EndAuto")</f>
        <v>1</v>
      </c>
      <c r="AI138">
        <f>COUNTIFS(Dyno_Data[Team],TBA_Matches_All[[#This Row],[Team]],Dyno_Data[Match],TBA_Matches_All[[#This Row],[Match_Number]],Dyno_Data[RecordType],"Activities",Dyno_Data[DelDest],"Amp", Dyno_Data[DelMiss],"0", Dyno_Data[Mode],"Auto")</f>
        <v>0</v>
      </c>
      <c r="AJ138">
        <f>COUNTIFS(Dyno_Data[Team],TBA_Matches_All[[#This Row],[Team]],Dyno_Data[Match],TBA_Matches_All[[#This Row],[Match_Number]],Dyno_Data[RecordType],"Activities",Dyno_Data[DelDest],"Spkr", Dyno_Data[DelMiss],"0", Dyno_Data[Mode],"Auto")</f>
        <v>5</v>
      </c>
      <c r="AK138">
        <f>COUNTIFS(Dyno_Data[Team],TBA_Matches_All[[#This Row],[Team]],Dyno_Data[Match],TBA_Matches_All[[#This Row],[Match_Number]],Dyno_Data[RecordType],"Activities",Dyno_Data[DelDest],"Trap", Dyno_Data[DelMiss],"0", Dyno_Data[Mode],"Auto")</f>
        <v>0</v>
      </c>
      <c r="AL138">
        <f>COUNTIFS(Dyno_Data[Team],TBA_Matches_All[[#This Row],[Team]],Dyno_Data[Match],TBA_Matches_All[[#This Row],[Match_Number]],Dyno_Data[RecordType],"Activities",Dyno_Data[DelDest],"Amp", Dyno_Data[DelMiss],"0", Dyno_Data[Mode],"Teleop")</f>
        <v>5</v>
      </c>
      <c r="AM138">
        <f>COUNTIFS(Dyno_Data[Team],TBA_Matches_All[[#This Row],[Team]],Dyno_Data[Match],TBA_Matches_All[[#This Row],[Match_Number]],Dyno_Data[RecordType],"Activities",Dyno_Data[DelDest],"Spkr", Dyno_Data[DelMiss],"0", Dyno_Data[Mode],"Teleop")</f>
        <v>1</v>
      </c>
      <c r="AN138">
        <f>COUNTIFS(Dyno_Data[Team],TBA_Matches_All[[#This Row],[Team]],Dyno_Data[Match],TBA_Matches_All[[#This Row],[Match_Number]],Dyno_Data[RecordType],"Activities",Dyno_Data[DelDest],"Trap", Dyno_Data[DelMiss],"0", Dyno_Data[Mode],"&lt;&gt;Auto")</f>
        <v>1</v>
      </c>
      <c r="AO138">
        <f>SUM(TBA_Matches_All[[#This Row],[AampT]]+TBA_Matches_All[[#This Row],[AspkrT]]+TBA_Matches_All[[#This Row],[AtrapT]]+TBA_Matches_All[[#This Row],[TampT]]+TBA_Matches_All[[#This Row],[TspkrT]]+TBA_Matches_All[[#This Row],[TtrapT]])</f>
        <v>12</v>
      </c>
      <c r="AP138">
        <f>COUNTIFS(Dyno_Data[Team],TBA_Matches_All[[#This Row],[Team]],Dyno_Data[Match],TBA_Matches_All[[#This Row],[Match_Number]],Dyno_Data[RecordType],"Activities",Dyno_Data[DelDest],"Neut", Dyno_Data[DelMiss],"0")</f>
        <v>1</v>
      </c>
      <c r="AQ138">
        <f>COUNTIFS(Dyno_Data[Team],TBA_Matches_All[[#This Row],[Team]],Dyno_Data[Match],TBA_Matches_All[[#This Row],[Match_Number]],Dyno_Data[RecordType],"Activities",Dyno_Data[DelDest],"AllyW", Dyno_Data[DelMiss],"0")</f>
        <v>1</v>
      </c>
      <c r="AR138" t="str">
        <f>_xlfn.XLOOKUP(SUM(MID(TBA_Matches_All[[#This Row],[Team]],4,5),(TBA_Matches_All[[#This Row],[Match_Number]]/100)),Dyno_EndMatch[teammat],Dyno_EndMatch[RobotSta],"_",0,1)</f>
        <v>SubW</v>
      </c>
      <c r="AS138">
        <f>SUMIFS(Dyno_Data[AcqDis], Dyno_Data[Team],TBA_Matches_All[[#This Row],[Team]],Dyno_Data[Match],TBA_Matches_All[[#This Row],[Match_Number]],Dyno_Data[RecordType],"Activities", Dyno_Data[AcqCenter],1,Dyno_Data[Mode],"Auto")</f>
        <v>0</v>
      </c>
      <c r="AT138">
        <f>SUMIFS(Dyno_Data[AcqDis], Dyno_Data[Team],TBA_Matches_All[[#This Row],[Team]],Dyno_Data[Match],TBA_Matches_All[[#This Row],[Match_Number]],Dyno_Data[RecordType],"Activities", Dyno_Data[AcqCenter],2,Dyno_Data[Mode],"Auto")</f>
        <v>0</v>
      </c>
      <c r="AU138">
        <f>SUMIFS(Dyno_Data[AcqDis], Dyno_Data[Team],TBA_Matches_All[[#This Row],[Team]],Dyno_Data[Match],TBA_Matches_All[[#This Row],[Match_Number]],Dyno_Data[RecordType],"Activities", Dyno_Data[AcqCenter],3,Dyno_Data[Mode],"Auto")</f>
        <v>2</v>
      </c>
      <c r="AV138">
        <f>SUMIFS(Dyno_Data[AcqDis], Dyno_Data[Team],TBA_Matches_All[[#This Row],[Team]],Dyno_Data[Match],TBA_Matches_All[[#This Row],[Match_Number]],Dyno_Data[RecordType],"Activities", Dyno_Data[AcqCenter],4,Dyno_Data[Mode],"Auto")</f>
        <v>1</v>
      </c>
      <c r="AW138">
        <f>SUMIFS(Dyno_Data[AcqDis], Dyno_Data[Team],TBA_Matches_All[[#This Row],[Team]],Dyno_Data[Match],TBA_Matches_All[[#This Row],[Match_Number]],Dyno_Data[RecordType],"Activities", Dyno_Data[AcqCenter],5,Dyno_Data[Mode],"Auto")</f>
        <v>1</v>
      </c>
      <c r="AX138">
        <f>SUMIFS(Dyno_Data[DelMiss], Dyno_Data[Team],TBA_Matches_All[[#This Row],[Team]],Dyno_Data[Match],TBA_Matches_All[[#This Row],[Match_Number]],Dyno_Data[RecordType],"Activities", Dyno_Data[DelDest],"Amp")</f>
        <v>0</v>
      </c>
      <c r="AY138" s="60">
        <f>IFERROR(SUM((TBA_Matches_All[[#This Row],[AampT]]+TBA_Matches_All[[#This Row],[TampT]])/(TBA_Matches_All[[#This Row],[AampT]]+TBA_Matches_All[[#This Row],[TampT]]+TBA_Matches_All[[#This Row],[ampM]])),0)</f>
        <v>1</v>
      </c>
      <c r="AZ138">
        <f>SUMIFS(Dyno_Data[DelMiss], Dyno_Data[Team],TBA_Matches_All[[#This Row],[Team]],Dyno_Data[Match],TBA_Matches_All[[#This Row],[Match_Number]],Dyno_Data[RecordType],"Activities", Dyno_Data[DelDest],"Spkr")</f>
        <v>3</v>
      </c>
      <c r="BA138" s="60">
        <f>IFERROR(SUM((TBA_Matches_All[[#This Row],[AspkrT]]+TBA_Matches_All[[#This Row],[TspkrT]])/(TBA_Matches_All[[#This Row],[AspkrT]]+TBA_Matches_All[[#This Row],[TspkrT]]+TBA_Matches_All[[#This Row],[spkrM]])),0)</f>
        <v>0.66666666666666663</v>
      </c>
      <c r="BB138">
        <f>SUMIFS(Dyno_Data[DelMiss], Dyno_Data[Team],TBA_Matches_All[[#This Row],[Team]],Dyno_Data[Match],TBA_Matches_All[[#This Row],[Match_Number]],Dyno_Data[RecordType],"Activities", Dyno_Data[DelDest],"Trap")</f>
        <v>0</v>
      </c>
      <c r="BC138" s="60">
        <f>IFERROR((TBA_Matches_All[[#This Row],[AtrapT]]+TBA_Matches_All[[#This Row],[TtrapT]])/(TBA_Matches_All[[#This Row],[AtrapT]]+TBA_Matches_All[[#This Row],[TtrapT]]+TBA_Matches_All[[#This Row],[trapM]]),0)</f>
        <v>1</v>
      </c>
      <c r="BD138">
        <f>COUNTIFS(Dyno_Data[Team],TBA_Matches_All[[#This Row],[Team]],Dyno_Data[Match],TBA_Matches_All[[#This Row],[Match_Number]],Dyno_Data[RecordType],"Activities",Dyno_Data[DelDest],"Neut", Dyno_Data[DelMiss],1)</f>
        <v>0</v>
      </c>
      <c r="BE138" s="60">
        <f>IFERROR(SUM((TBA_Matches_All[[#This Row],[NeutFlrT]])/(TBA_Matches_All[[#This Row],[NeutFlrT]]+TBA_Matches_All[[#This Row],[NZflM]])),0)</f>
        <v>1</v>
      </c>
      <c r="BF138">
        <f>COUNTIFS(Dyno_Data[Team],TBA_Matches_All[[#This Row],[Team]],Dyno_Data[Match],TBA_Matches_All[[#This Row],[Match_Number]],Dyno_Data[RecordType],"Activities",Dyno_Data[DelDest],"AllyW", Dyno_Data[DelMiss],1)</f>
        <v>0</v>
      </c>
      <c r="BG138" s="60">
        <f>IFERROR(SUM((TBA_Matches_All[[#This Row],[AllyWFlrT]])/(TBA_Matches_All[[#This Row],[AllyWFlrT]]+TBA_Matches_All[[#This Row],[AZflM]])),0)</f>
        <v>1</v>
      </c>
      <c r="BH138">
        <f>COUNTIFS(Dyno_Data[Team],TBA_Matches_All[[#This Row],[Team]],Dyno_Data[Match],TBA_Matches_All[[#This Row],[Match_Number]],Dyno_Data[RecordType],"Activities",Dyno_Data[DelOrig],"OppW", Dyno_Data[DelMiss],"0")</f>
        <v>1</v>
      </c>
      <c r="BI138">
        <f>COUNTIFS(Dyno_Data[Team],TBA_Matches_All[[#This Row],[Team]],Dyno_Data[Match],TBA_Matches_All[[#This Row],[Match_Number]],Dyno_Data[RecordType],"Activities",Dyno_Data[DelOrig],"OppW", Dyno_Data[DelMiss],"1")</f>
        <v>0</v>
      </c>
      <c r="BJ138" s="60">
        <f>IFERROR(SUM((TBA_Matches_All[[#This Row],[OZflrT]])/(TBA_Matches_All[[#This Row],[OZflrT]]+TBA_Matches_All[[#This Row],[OZflrM]])),0)</f>
        <v>1</v>
      </c>
      <c r="BK138">
        <f>COUNTIFS(Dyno_Data[Team],TBA_Matches_All[[#This Row],[Team]],Dyno_Data[Match],TBA_Matches_All[[#This Row],[Match_Number]],Dyno_Data[RecordType],"Activities",Dyno_Data[DelOrig],"Neut", Dyno_Data[DelMiss],"0")</f>
        <v>0</v>
      </c>
      <c r="BL138">
        <f>COUNTIFS(Dyno_Data[Team],TBA_Matches_All[[#This Row],[Team]],Dyno_Data[Match],TBA_Matches_All[[#This Row],[Match_Number]],Dyno_Data[RecordType],"Activities",Dyno_Data[DelOrig],"Neut", Dyno_Data[DelMiss],"1")</f>
        <v>0</v>
      </c>
      <c r="BM138" s="60">
        <f>IFERROR(SUM((TBA_Matches_All[[#This Row],[NZflrT]])/(TBA_Matches_All[[#This Row],[NZflrT]]+TBA_Matches_All[[#This Row],[NZflrM]])),0)</f>
        <v>0</v>
      </c>
      <c r="BN138">
        <f>COUNTIFS(Dyno_Data[Team],TBA_Matches_All[[#This Row],[Team]],Dyno_Data[Match],TBA_Matches_All[[#This Row],[Match_Number]],Dyno_Data[RecordType],"Activities",Dyno_Data[DelOrig],"AllyW", Dyno_Data[DelMiss],"0")</f>
        <v>11</v>
      </c>
      <c r="BO138">
        <f>COUNTIFS(Dyno_Data[Team],TBA_Matches_All[[#This Row],[Team]],Dyno_Data[Match],TBA_Matches_All[[#This Row],[Match_Number]],Dyno_Data[RecordType],"Activities",Dyno_Data[DelOrig],"AllyW", Dyno_Data[DelMiss],"1")</f>
        <v>3</v>
      </c>
      <c r="BP138" s="60">
        <f>IFERROR(SUM((TBA_Matches_All[[#This Row],[AZflrT]])/(TBA_Matches_All[[#This Row],[AZflrT]]+TBA_Matches_All[[#This Row],[AZflrM]])),0)</f>
        <v>0.7857142857142857</v>
      </c>
      <c r="BQ138">
        <f>COUNTIFS(Dyno_Data[Team],TBA_Matches_All[[#This Row],[Team]],Dyno_Data[Match],TBA_Matches_All[[#This Row],[Match_Number]],Dyno_Data[RecordType],"Activities",Dyno_Data[DelOrig],"SubW", Dyno_Data[DelMiss],"0")</f>
        <v>1</v>
      </c>
      <c r="BR138">
        <f>COUNTIFS(Dyno_Data[Team],TBA_Matches_All[[#This Row],[Team]],Dyno_Data[Match],TBA_Matches_All[[#This Row],[Match_Number]],Dyno_Data[RecordType],"Activities",Dyno_Data[DelOrig],"SubW", Dyno_Data[DelMiss],"1")</f>
        <v>0</v>
      </c>
      <c r="BS138" s="60">
        <f>IFERROR(SUM((TBA_Matches_All[[#This Row],[SubwT]])/(TBA_Matches_All[[#This Row],[SubwT]]+TBA_Matches_All[[#This Row],[SubwM]])),0)</f>
        <v>1</v>
      </c>
      <c r="BT138">
        <f>COUNTIFS(Dyno_Data[Team],TBA_Matches_All[[#This Row],[Team]],Dyno_Data[Match],TBA_Matches_All[[#This Row],[Match_Number]],Dyno_Data[RecordType],"Activities", Dyno_Data[AcqLoc],"OppWing")</f>
        <v>0</v>
      </c>
      <c r="BU138">
        <f>COUNTIFS(Dyno_Data[Team],TBA_Matches_All[[#This Row],[Team]],Dyno_Data[Match],TBA_Matches_All[[#This Row],[Match_Number]],Dyno_Data[RecordType],"Activities", Dyno_Data[AcqLoc],"Neutral")</f>
        <v>7</v>
      </c>
      <c r="BV138">
        <f>COUNTIFS(Dyno_Data[Team],TBA_Matches_All[[#This Row],[Team]],Dyno_Data[Match],TBA_Matches_All[[#This Row],[Match_Number]],Dyno_Data[RecordType],"Activities", Dyno_Data[AcqLoc],"AllyWing")</f>
        <v>0</v>
      </c>
      <c r="BW138">
        <f>COUNTIFS(Dyno_Data[Team],TBA_Matches_All[[#This Row],[Team]],Dyno_Data[Match],TBA_Matches_All[[#This Row],[Match_Number]],Dyno_Data[RecordType],"Activities", Dyno_Data[AcqLoc],"Source")</f>
        <v>0</v>
      </c>
      <c r="BX138">
        <f>SUMIFS(Dyno_Data[AcqDrp], Dyno_Data[Team],TBA_Matches_All[[#This Row],[Team]],Dyno_Data[Match],TBA_Matches_All[[#This Row],[Match_Number]],Dyno_Data[RecordType],"Activities", Dyno_Data[AcqLoc],"Source")</f>
        <v>0</v>
      </c>
      <c r="BY138">
        <f>SUMIFS(Dyno_Data[OZTime], Dyno_Data[Team],TBA_Matches_All[[#This Row],[Team]],Dyno_Data[Match],TBA_Matches_All[[#This Row],[Match_Number]],Dyno_Data[RecordType],"EndMatch")</f>
        <v>39.6709654</v>
      </c>
      <c r="BZ138">
        <f>SUMIFS(Dyno_Data[NZTime], Dyno_Data[Team],TBA_Matches_All[[#This Row],[Team]],Dyno_Data[Match],TBA_Matches_All[[#This Row],[Match_Number]],Dyno_Data[RecordType],"EndMatch")</f>
        <v>21.973977399999999</v>
      </c>
      <c r="CA138">
        <f>SUMIFS(Dyno_Data[AZTime], Dyno_Data[Team],TBA_Matches_All[[#This Row],[Team]],Dyno_Data[Match],TBA_Matches_All[[#This Row],[Match_Number]],Dyno_Data[RecordType],"EndMatch")</f>
        <v>48.213073699999995</v>
      </c>
      <c r="CB138">
        <f>SUMIFS(Dyno_Data[ClimbT], Dyno_Data[Team],TBA_Matches_All[[#This Row],[Team]],Dyno_Data[Match],TBA_Matches_All[[#This Row],[Match_Number]],Dyno_Data[RecordType],"EndMatch")</f>
        <v>7.4944100999999996</v>
      </c>
      <c r="CC138" t="str">
        <f>_xlfn.XLOOKUP(SUM(MID(TBA_Matches_All[[#This Row],[Team]],4,5),(TBA_Matches_All[[#This Row],[Match_Number]]/100)),Dyno_EndMatch[teammat],Dyno_EndMatch[StageStat],"_",0,1)</f>
        <v>On</v>
      </c>
      <c r="CD138" t="str">
        <f>_xlfn.XLOOKUP(TBA_Matches_All[[#This Row],[teammat]],Dyno_EndMatch[teammat],Dyno_EndMatch[StageAtt],"_",0,1)</f>
        <v>1</v>
      </c>
      <c r="CE138" t="str">
        <f>_xlfn.XLOOKUP(TBA_Matches_All[[#This Row],[teammat]],Dyno_EndMatch[teammat],Dyno_EndMatch[StageLoc],"_",0,1)</f>
        <v>L</v>
      </c>
      <c r="CF138">
        <f>SUMIFS(Dyno_Data[Harmony], Dyno_Data[Team],TBA_Matches_All[[#This Row],[Team]],Dyno_Data[Match],TBA_Matches_All[[#This Row],[Match_Number]],Dyno_Data[RecordType],"EndMatch", Dyno_Data[StageStat],"On",Dyno_Data[Harmony],"&lt;&gt;9")</f>
        <v>0</v>
      </c>
      <c r="CG138">
        <f>SUMIFS(Dyno_Data[Spotlit], Dyno_Data[Team],TBA_Matches_All[[#This Row],[Team]],Dyno_Data[Match],TBA_Matches_All[[#This Row],[Match_Number]],Dyno_Data[RecordType],"EndMatch", Dyno_Data[StageStat],"On",Dyno_Data[Spotlit],"&lt;&gt;9")</f>
        <v>0</v>
      </c>
      <c r="CH138" t="str">
        <f>_xlfn.XLOOKUP(TBA_Matches_All[[#This Row],[teammat]],Dyno_EndMatch[teammat],Dyno_EndMatch[Strategy],"_",0,1)</f>
        <v>Hybrid</v>
      </c>
      <c r="CI138">
        <f>SUMIFS(Dyno_Data[Defense], Dyno_Data[Team],TBA_Matches_All[[#This Row],[Team]],Dyno_Data[Match],TBA_Matches_All[[#This Row],[Match_Number]],Dyno_Data[RecordType],"EndMatch",Dyno_Data[Defense],"&lt;&gt;9")</f>
        <v>0</v>
      </c>
      <c r="CJ138">
        <f>SUMIFS(Dyno_Data[Avoidance], Dyno_Data[Team],TBA_Matches_All[[#This Row],[Team]],Dyno_Data[Match],TBA_Matches_All[[#This Row],[Match_Number]],Dyno_Data[RecordType],"EndMatch",Dyno_Data[Avoidance],"&lt;&gt;9")</f>
        <v>0</v>
      </c>
      <c r="CK138" s="82">
        <f>COUNTIF($H$2:TBA_Matches_All[[#This Row],[Team]],TBA_Matches_All[[#This Row],[Team]])</f>
        <v>3</v>
      </c>
      <c r="CL138" s="111">
        <f>SUM(MID(TBA_Matches_All[[#This Row],[Team]],4,5)+TBA_Matches_All[[#This Row],[Match_Number]]/100)</f>
        <v>1796.23</v>
      </c>
      <c r="CM138">
        <f>SUM((TBA_Matches_All[[#This Row],[Leave]]*2)+(TBA_Matches_All[[#This Row],[AampT]]*2)+(TBA_Matches_All[[#This Row],[AspkrT]]*5)+(TBA_Matches_All[[#This Row],[AtrapT]]*5))</f>
        <v>27</v>
      </c>
      <c r="CN138" s="59">
        <f>IFERROR(SUM(TBA_Matches_All[[#This Row],[AptsT]]/TBA_Matches_All[[#This Row],[AutoPts]]),0)</f>
        <v>0.84375</v>
      </c>
      <c r="CO138" s="59">
        <f>IFERROR(SUM(TBA_Matches_All[[#This Row],[AampT]]+TBA_Matches_All[[#This Row],[AspkrT]]+TBA_Matches_All[[#This Row],[AtrapT]]/TBA_Matches_All[[#This Row],[Aamp]]+TBA_Matches_All[[#This Row],[Aspkr]]+TBA_Matches_All[[#This Row],[AtrapT]]),0)</f>
        <v>0</v>
      </c>
      <c r="CP138" s="59">
        <f>IFERROR(SUM(TBA_Matches_All[[#This Row],[TampT]]/TBA_Matches_All[[#This Row],[Tamp]]),0)</f>
        <v>1</v>
      </c>
      <c r="CQ138" s="59">
        <f>IFERROR(SUM(TBA_Matches_All[[#This Row],[TspkrT]]/TBA_Matches_All[[#This Row],[Tspkr]]),0)</f>
        <v>0.125</v>
      </c>
      <c r="CR138">
        <f>SUM(TBA_Matches_All[[#This Row],[TspkrPts]]*TBA_Matches_All[[#This Row],[TspkrP]])</f>
        <v>3.5</v>
      </c>
      <c r="CS138" s="59">
        <f>IFERROR(SUM(TBA_Matches_All[[#This Row],[TtrapT]]/TBA_Matches_All[[#This Row],[Trap]]),0)</f>
        <v>1</v>
      </c>
      <c r="CT138" s="59">
        <f>IFERROR(SUM(TBA_Matches_All[[#This Row],[TotNotesT]]/TBA_Matches_All[[#This Row],[TotNotes]]),0)</f>
        <v>0.63157894736842102</v>
      </c>
      <c r="CU138" s="66">
        <f>SUM((TBA_Matches_All[[#This Row],[AampT]]*2)+(TBA_Matches_All[[#This Row],[AspkrT]]*5)+(TBA_Matches_All[[#This Row],[AtrapT]]*5)+(TBA_Matches_All[[#This Row],[TampT]]*1)+(TBA_Matches_All[[#This Row],[TspkrptsC]]))</f>
        <v>33.5</v>
      </c>
      <c r="CV138" s="59">
        <f>IFERROR(TBA_Matches_All[[#This Row],[noteptsT]]/TBA_Matches_All[[#This Row],[NotePts]],0)</f>
        <v>0.53174603174603174</v>
      </c>
      <c r="CW138">
        <f>SUM(IF(TBA_Matches_All[[#This Row],[stageStat]]="On",3,0),IF(TBA_Matches_All[[#This Row],[stageStat]]="Park",1,0),SUMIFS(TBA_Matches_All[[#This Row],[Spotlit]],TBA_Matches_All[[#This Row],[stageStat]],"On"),SUMIFS(TBA_Matches_All[[#This Row],[Harmony]],TBA_Matches_All[[#This Row],[stageStat]],"On"))</f>
        <v>3</v>
      </c>
      <c r="CX138" s="59">
        <f>IFERROR(TBA_Matches_All[[#This Row],[stageptsT]]/TBA_Matches_All[[#This Row],[StagePts]],0)</f>
        <v>0.27272727272727271</v>
      </c>
      <c r="CY138">
        <f>SUM((TBA_Matches_All[[#This Row],[AptsT]]+TBA_Matches_All[[#This Row],[TampT]]+TBA_Matches_All[[#This Row],[TspkrptsC]]+(TBA_Matches_All[[#This Row],[TtrapT]]*5)+TBA_Matches_All[[#This Row],[stageptsT]]))</f>
        <v>43.5</v>
      </c>
      <c r="CZ138" s="59">
        <f>IFERROR(SUM(TBA_Matches_All[[#This Row],[TotptsC]]/TBA_Matches_All[[#This Row],[Score]]),0)</f>
        <v>0.57236842105263153</v>
      </c>
      <c r="DA13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16.1875</v>
      </c>
      <c r="DB138" s="74">
        <f>SUMIFS(TBA_Matches_All[AveTeamTNoteDels],TBA_Matches_All[Match_Number],TBA_Matches_All[[#This Row],[Match_Number]],TBA_Matches_All[Alliance],"&lt;&gt;"&amp;TBA_Matches_All[[#This Row],[Alliance]],TBA_Matches_All[Scouted],"&gt;0")</f>
        <v>33.718046536796543</v>
      </c>
      <c r="DC138" s="74">
        <f>(TBA_Matches_All[[#This Row],[TampT]]+TBA_Matches_All[[#This Row],[TspkrptsC]])-TBA_Matches_All[[#This Row],[AveTeamTNoteDels]]</f>
        <v>-7.6875</v>
      </c>
      <c r="DD138" s="74">
        <f>SUMIFS(TBA_Matches_All[AveTeamTNoteDels],TBA_Matches_All[Match_Number],TBA_Matches_All[[#This Row],[Match_Number]],TBA_Matches_All[Alliance],"&lt;&gt;"&amp;TBA_Matches_All[[#This Row],[Alliance]])-TBA_Matches_All[[#This Row],[AveOppTNoteDels]]</f>
        <v>0</v>
      </c>
    </row>
    <row r="139" spans="1:108" x14ac:dyDescent="0.3">
      <c r="A139" t="s">
        <v>1042</v>
      </c>
      <c r="B139" t="s">
        <v>489</v>
      </c>
      <c r="C139" t="s">
        <v>1332</v>
      </c>
      <c r="D139">
        <v>23</v>
      </c>
      <c r="E139" t="s">
        <v>1420</v>
      </c>
      <c r="F139" t="s">
        <v>1425</v>
      </c>
      <c r="G139" t="s">
        <v>105</v>
      </c>
      <c r="H139" t="s">
        <v>1282</v>
      </c>
      <c r="I139" t="b">
        <v>1</v>
      </c>
      <c r="J139">
        <v>52</v>
      </c>
      <c r="K139">
        <v>1</v>
      </c>
      <c r="L139">
        <v>0</v>
      </c>
      <c r="M139">
        <v>0</v>
      </c>
      <c r="N139">
        <v>0</v>
      </c>
      <c r="O139">
        <v>5</v>
      </c>
      <c r="P139">
        <v>25</v>
      </c>
      <c r="Q139">
        <v>29</v>
      </c>
      <c r="R139">
        <v>3</v>
      </c>
      <c r="S139">
        <v>1</v>
      </c>
      <c r="T139">
        <v>7</v>
      </c>
      <c r="U139">
        <v>5</v>
      </c>
      <c r="V139">
        <v>14</v>
      </c>
      <c r="W139">
        <v>8</v>
      </c>
      <c r="X139">
        <v>19</v>
      </c>
      <c r="Y139">
        <v>22</v>
      </c>
      <c r="Z139">
        <v>0</v>
      </c>
      <c r="AA139">
        <v>0</v>
      </c>
      <c r="AB139">
        <v>16</v>
      </c>
      <c r="AC139">
        <v>47</v>
      </c>
      <c r="AD139">
        <v>1</v>
      </c>
      <c r="AE139">
        <f>IFERROR(6/(COUNTIF(Dyno_EndMatch[Match],TBA_Matches_All[[#This Row],[Match_Number]])),0)</f>
        <v>1</v>
      </c>
      <c r="AF139">
        <f>COUNTIFS(Dyno_Data[Team],TBA_Matches_All[[#This Row],[Team]],Dyno_Data[Match],TBA_Matches_All[[#This Row],[Match_Number]],Dyno_Data[RecordType],"EndMatch",Dyno_Data[HPAmp],"Y")</f>
        <v>1</v>
      </c>
      <c r="AG139">
        <f>SUMIFS(Dyno_Data[Mics], Dyno_Data[Team],TBA_Matches_All[[#This Row],[Team]],Dyno_Data[Match],TBA_Matches_All[[#This Row],[Match_Number]],Dyno_Data[RecordType],"EndMatch",Dyno_Data[HPAmp],"Y")</f>
        <v>0</v>
      </c>
      <c r="AH139">
        <f>SUMIFS(Dyno_Data[Leave], Dyno_Data[Team],TBA_Matches_All[[#This Row],[Team]],Dyno_Data[Match],TBA_Matches_All[[#This Row],[Match_Number]],Dyno_Data[RecordType],"EndAuto")</f>
        <v>1</v>
      </c>
      <c r="AI139">
        <f>COUNTIFS(Dyno_Data[Team],TBA_Matches_All[[#This Row],[Team]],Dyno_Data[Match],TBA_Matches_All[[#This Row],[Match_Number]],Dyno_Data[RecordType],"Activities",Dyno_Data[DelDest],"Amp", Dyno_Data[DelMiss],"0", Dyno_Data[Mode],"Auto")</f>
        <v>0</v>
      </c>
      <c r="AJ139">
        <f>COUNTIFS(Dyno_Data[Team],TBA_Matches_All[[#This Row],[Team]],Dyno_Data[Match],TBA_Matches_All[[#This Row],[Match_Number]],Dyno_Data[RecordType],"Activities",Dyno_Data[DelDest],"Spkr", Dyno_Data[DelMiss],"0", Dyno_Data[Mode],"Auto")</f>
        <v>1</v>
      </c>
      <c r="AK139">
        <f>COUNTIFS(Dyno_Data[Team],TBA_Matches_All[[#This Row],[Team]],Dyno_Data[Match],TBA_Matches_All[[#This Row],[Match_Number]],Dyno_Data[RecordType],"Activities",Dyno_Data[DelDest],"Trap", Dyno_Data[DelMiss],"0", Dyno_Data[Mode],"Auto")</f>
        <v>0</v>
      </c>
      <c r="AL139">
        <f>COUNTIFS(Dyno_Data[Team],TBA_Matches_All[[#This Row],[Team]],Dyno_Data[Match],TBA_Matches_All[[#This Row],[Match_Number]],Dyno_Data[RecordType],"Activities",Dyno_Data[DelDest],"Amp", Dyno_Data[DelMiss],"0", Dyno_Data[Mode],"Teleop")</f>
        <v>1</v>
      </c>
      <c r="AM139">
        <f>COUNTIFS(Dyno_Data[Team],TBA_Matches_All[[#This Row],[Team]],Dyno_Data[Match],TBA_Matches_All[[#This Row],[Match_Number]],Dyno_Data[RecordType],"Activities",Dyno_Data[DelDest],"Spkr", Dyno_Data[DelMiss],"0", Dyno_Data[Mode],"Teleop")</f>
        <v>0</v>
      </c>
      <c r="AN139">
        <f>COUNTIFS(Dyno_Data[Team],TBA_Matches_All[[#This Row],[Team]],Dyno_Data[Match],TBA_Matches_All[[#This Row],[Match_Number]],Dyno_Data[RecordType],"Activities",Dyno_Data[DelDest],"Trap", Dyno_Data[DelMiss],"0", Dyno_Data[Mode],"&lt;&gt;Auto")</f>
        <v>0</v>
      </c>
      <c r="AO139">
        <f>SUM(TBA_Matches_All[[#This Row],[AampT]]+TBA_Matches_All[[#This Row],[AspkrT]]+TBA_Matches_All[[#This Row],[AtrapT]]+TBA_Matches_All[[#This Row],[TampT]]+TBA_Matches_All[[#This Row],[TspkrT]]+TBA_Matches_All[[#This Row],[TtrapT]])</f>
        <v>2</v>
      </c>
      <c r="AP139">
        <f>COUNTIFS(Dyno_Data[Team],TBA_Matches_All[[#This Row],[Team]],Dyno_Data[Match],TBA_Matches_All[[#This Row],[Match_Number]],Dyno_Data[RecordType],"Activities",Dyno_Data[DelDest],"Neut", Dyno_Data[DelMiss],"0")</f>
        <v>0</v>
      </c>
      <c r="AQ139">
        <f>COUNTIFS(Dyno_Data[Team],TBA_Matches_All[[#This Row],[Team]],Dyno_Data[Match],TBA_Matches_All[[#This Row],[Match_Number]],Dyno_Data[RecordType],"Activities",Dyno_Data[DelDest],"AllyW", Dyno_Data[DelMiss],"0")</f>
        <v>0</v>
      </c>
      <c r="AR139" t="str">
        <f>_xlfn.XLOOKUP(SUM(MID(TBA_Matches_All[[#This Row],[Team]],4,5),(TBA_Matches_All[[#This Row],[Match_Number]]/100)),Dyno_EndMatch[teammat],Dyno_EndMatch[RobotSta],"_",0,1)</f>
        <v>SubW</v>
      </c>
      <c r="AS139">
        <f>SUMIFS(Dyno_Data[AcqDis], Dyno_Data[Team],TBA_Matches_All[[#This Row],[Team]],Dyno_Data[Match],TBA_Matches_All[[#This Row],[Match_Number]],Dyno_Data[RecordType],"Activities", Dyno_Data[AcqCenter],1,Dyno_Data[Mode],"Auto")</f>
        <v>1</v>
      </c>
      <c r="AT139">
        <f>SUMIFS(Dyno_Data[AcqDis], Dyno_Data[Team],TBA_Matches_All[[#This Row],[Team]],Dyno_Data[Match],TBA_Matches_All[[#This Row],[Match_Number]],Dyno_Data[RecordType],"Activities", Dyno_Data[AcqCenter],2,Dyno_Data[Mode],"Auto")</f>
        <v>0</v>
      </c>
      <c r="AU139">
        <f>SUMIFS(Dyno_Data[AcqDis], Dyno_Data[Team],TBA_Matches_All[[#This Row],[Team]],Dyno_Data[Match],TBA_Matches_All[[#This Row],[Match_Number]],Dyno_Data[RecordType],"Activities", Dyno_Data[AcqCenter],3,Dyno_Data[Mode],"Auto")</f>
        <v>0</v>
      </c>
      <c r="AV139">
        <f>SUMIFS(Dyno_Data[AcqDis], Dyno_Data[Team],TBA_Matches_All[[#This Row],[Team]],Dyno_Data[Match],TBA_Matches_All[[#This Row],[Match_Number]],Dyno_Data[RecordType],"Activities", Dyno_Data[AcqCenter],4,Dyno_Data[Mode],"Auto")</f>
        <v>0</v>
      </c>
      <c r="AW139">
        <f>SUMIFS(Dyno_Data[AcqDis], Dyno_Data[Team],TBA_Matches_All[[#This Row],[Team]],Dyno_Data[Match],TBA_Matches_All[[#This Row],[Match_Number]],Dyno_Data[RecordType],"Activities", Dyno_Data[AcqCenter],5,Dyno_Data[Mode],"Auto")</f>
        <v>0</v>
      </c>
      <c r="AX139">
        <f>SUMIFS(Dyno_Data[DelMiss], Dyno_Data[Team],TBA_Matches_All[[#This Row],[Team]],Dyno_Data[Match],TBA_Matches_All[[#This Row],[Match_Number]],Dyno_Data[RecordType],"Activities", Dyno_Data[DelDest],"Amp")</f>
        <v>3</v>
      </c>
      <c r="AY139" s="60">
        <f>IFERROR(SUM((TBA_Matches_All[[#This Row],[AampT]]+TBA_Matches_All[[#This Row],[TampT]])/(TBA_Matches_All[[#This Row],[AampT]]+TBA_Matches_All[[#This Row],[TampT]]+TBA_Matches_All[[#This Row],[ampM]])),0)</f>
        <v>0.25</v>
      </c>
      <c r="AZ139">
        <f>SUMIFS(Dyno_Data[DelMiss], Dyno_Data[Team],TBA_Matches_All[[#This Row],[Team]],Dyno_Data[Match],TBA_Matches_All[[#This Row],[Match_Number]],Dyno_Data[RecordType],"Activities", Dyno_Data[DelDest],"Spkr")</f>
        <v>0</v>
      </c>
      <c r="BA139" s="60">
        <f>IFERROR(SUM((TBA_Matches_All[[#This Row],[AspkrT]]+TBA_Matches_All[[#This Row],[TspkrT]])/(TBA_Matches_All[[#This Row],[AspkrT]]+TBA_Matches_All[[#This Row],[TspkrT]]+TBA_Matches_All[[#This Row],[spkrM]])),0)</f>
        <v>1</v>
      </c>
      <c r="BB139">
        <f>SUMIFS(Dyno_Data[DelMiss], Dyno_Data[Team],TBA_Matches_All[[#This Row],[Team]],Dyno_Data[Match],TBA_Matches_All[[#This Row],[Match_Number]],Dyno_Data[RecordType],"Activities", Dyno_Data[DelDest],"Trap")</f>
        <v>0</v>
      </c>
      <c r="BC139" s="60">
        <f>IFERROR((TBA_Matches_All[[#This Row],[AtrapT]]+TBA_Matches_All[[#This Row],[TtrapT]])/(TBA_Matches_All[[#This Row],[AtrapT]]+TBA_Matches_All[[#This Row],[TtrapT]]+TBA_Matches_All[[#This Row],[trapM]]),0)</f>
        <v>0</v>
      </c>
      <c r="BD139">
        <f>COUNTIFS(Dyno_Data[Team],TBA_Matches_All[[#This Row],[Team]],Dyno_Data[Match],TBA_Matches_All[[#This Row],[Match_Number]],Dyno_Data[RecordType],"Activities",Dyno_Data[DelDest],"Neut", Dyno_Data[DelMiss],1)</f>
        <v>0</v>
      </c>
      <c r="BE139" s="60">
        <f>IFERROR(SUM((TBA_Matches_All[[#This Row],[NeutFlrT]])/(TBA_Matches_All[[#This Row],[NeutFlrT]]+TBA_Matches_All[[#This Row],[NZflM]])),0)</f>
        <v>0</v>
      </c>
      <c r="BF139">
        <f>COUNTIFS(Dyno_Data[Team],TBA_Matches_All[[#This Row],[Team]],Dyno_Data[Match],TBA_Matches_All[[#This Row],[Match_Number]],Dyno_Data[RecordType],"Activities",Dyno_Data[DelDest],"AllyW", Dyno_Data[DelMiss],1)</f>
        <v>0</v>
      </c>
      <c r="BG139" s="60">
        <f>IFERROR(SUM((TBA_Matches_All[[#This Row],[AllyWFlrT]])/(TBA_Matches_All[[#This Row],[AllyWFlrT]]+TBA_Matches_All[[#This Row],[AZflM]])),0)</f>
        <v>0</v>
      </c>
      <c r="BH139">
        <f>COUNTIFS(Dyno_Data[Team],TBA_Matches_All[[#This Row],[Team]],Dyno_Data[Match],TBA_Matches_All[[#This Row],[Match_Number]],Dyno_Data[RecordType],"Activities",Dyno_Data[DelOrig],"OppW", Dyno_Data[DelMiss],"0")</f>
        <v>0</v>
      </c>
      <c r="BI139">
        <f>COUNTIFS(Dyno_Data[Team],TBA_Matches_All[[#This Row],[Team]],Dyno_Data[Match],TBA_Matches_All[[#This Row],[Match_Number]],Dyno_Data[RecordType],"Activities",Dyno_Data[DelOrig],"OppW", Dyno_Data[DelMiss],"1")</f>
        <v>0</v>
      </c>
      <c r="BJ139" s="60">
        <f>IFERROR(SUM((TBA_Matches_All[[#This Row],[OZflrT]])/(TBA_Matches_All[[#This Row],[OZflrT]]+TBA_Matches_All[[#This Row],[OZflrM]])),0)</f>
        <v>0</v>
      </c>
      <c r="BK139">
        <f>COUNTIFS(Dyno_Data[Team],TBA_Matches_All[[#This Row],[Team]],Dyno_Data[Match],TBA_Matches_All[[#This Row],[Match_Number]],Dyno_Data[RecordType],"Activities",Dyno_Data[DelOrig],"Neut", Dyno_Data[DelMiss],"0")</f>
        <v>0</v>
      </c>
      <c r="BL139">
        <f>COUNTIFS(Dyno_Data[Team],TBA_Matches_All[[#This Row],[Team]],Dyno_Data[Match],TBA_Matches_All[[#This Row],[Match_Number]],Dyno_Data[RecordType],"Activities",Dyno_Data[DelOrig],"Neut", Dyno_Data[DelMiss],"1")</f>
        <v>0</v>
      </c>
      <c r="BM139" s="60">
        <f>IFERROR(SUM((TBA_Matches_All[[#This Row],[NZflrT]])/(TBA_Matches_All[[#This Row],[NZflrT]]+TBA_Matches_All[[#This Row],[NZflrM]])),0)</f>
        <v>0</v>
      </c>
      <c r="BN139">
        <f>COUNTIFS(Dyno_Data[Team],TBA_Matches_All[[#This Row],[Team]],Dyno_Data[Match],TBA_Matches_All[[#This Row],[Match_Number]],Dyno_Data[RecordType],"Activities",Dyno_Data[DelOrig],"AllyW", Dyno_Data[DelMiss],"0")</f>
        <v>1</v>
      </c>
      <c r="BO139">
        <f>COUNTIFS(Dyno_Data[Team],TBA_Matches_All[[#This Row],[Team]],Dyno_Data[Match],TBA_Matches_All[[#This Row],[Match_Number]],Dyno_Data[RecordType],"Activities",Dyno_Data[DelOrig],"AllyW", Dyno_Data[DelMiss],"1")</f>
        <v>3</v>
      </c>
      <c r="BP139" s="60">
        <f>IFERROR(SUM((TBA_Matches_All[[#This Row],[AZflrT]])/(TBA_Matches_All[[#This Row],[AZflrT]]+TBA_Matches_All[[#This Row],[AZflrM]])),0)</f>
        <v>0.25</v>
      </c>
      <c r="BQ139">
        <f>COUNTIFS(Dyno_Data[Team],TBA_Matches_All[[#This Row],[Team]],Dyno_Data[Match],TBA_Matches_All[[#This Row],[Match_Number]],Dyno_Data[RecordType],"Activities",Dyno_Data[DelOrig],"SubW", Dyno_Data[DelMiss],"0")</f>
        <v>1</v>
      </c>
      <c r="BR139">
        <f>COUNTIFS(Dyno_Data[Team],TBA_Matches_All[[#This Row],[Team]],Dyno_Data[Match],TBA_Matches_All[[#This Row],[Match_Number]],Dyno_Data[RecordType],"Activities",Dyno_Data[DelOrig],"SubW", Dyno_Data[DelMiss],"1")</f>
        <v>0</v>
      </c>
      <c r="BS139" s="60">
        <f>IFERROR(SUM((TBA_Matches_All[[#This Row],[SubwT]])/(TBA_Matches_All[[#This Row],[SubwT]]+TBA_Matches_All[[#This Row],[SubwM]])),0)</f>
        <v>1</v>
      </c>
      <c r="BT139">
        <f>COUNTIFS(Dyno_Data[Team],TBA_Matches_All[[#This Row],[Team]],Dyno_Data[Match],TBA_Matches_All[[#This Row],[Match_Number]],Dyno_Data[RecordType],"Activities", Dyno_Data[AcqLoc],"OppWing")</f>
        <v>0</v>
      </c>
      <c r="BU139">
        <f>COUNTIFS(Dyno_Data[Team],TBA_Matches_All[[#This Row],[Team]],Dyno_Data[Match],TBA_Matches_All[[#This Row],[Match_Number]],Dyno_Data[RecordType],"Activities", Dyno_Data[AcqLoc],"Neutral")</f>
        <v>2</v>
      </c>
      <c r="BV139">
        <f>COUNTIFS(Dyno_Data[Team],TBA_Matches_All[[#This Row],[Team]],Dyno_Data[Match],TBA_Matches_All[[#This Row],[Match_Number]],Dyno_Data[RecordType],"Activities", Dyno_Data[AcqLoc],"AllyWing")</f>
        <v>0</v>
      </c>
      <c r="BW139">
        <f>COUNTIFS(Dyno_Data[Team],TBA_Matches_All[[#This Row],[Team]],Dyno_Data[Match],TBA_Matches_All[[#This Row],[Match_Number]],Dyno_Data[RecordType],"Activities", Dyno_Data[AcqLoc],"Source")</f>
        <v>0</v>
      </c>
      <c r="BX139">
        <f>SUMIFS(Dyno_Data[AcqDrp], Dyno_Data[Team],TBA_Matches_All[[#This Row],[Team]],Dyno_Data[Match],TBA_Matches_All[[#This Row],[Match_Number]],Dyno_Data[RecordType],"Activities", Dyno_Data[AcqLoc],"Source")</f>
        <v>0</v>
      </c>
      <c r="BY139">
        <f>SUMIFS(Dyno_Data[OZTime], Dyno_Data[Team],TBA_Matches_All[[#This Row],[Team]],Dyno_Data[Match],TBA_Matches_All[[#This Row],[Match_Number]],Dyno_Data[RecordType],"EndMatch")</f>
        <v>29.715219899999997</v>
      </c>
      <c r="BZ139">
        <f>SUMIFS(Dyno_Data[NZTime], Dyno_Data[Team],TBA_Matches_All[[#This Row],[Team]],Dyno_Data[Match],TBA_Matches_All[[#This Row],[Match_Number]],Dyno_Data[RecordType],"EndMatch")</f>
        <v>3.9497489999999997</v>
      </c>
      <c r="CA139">
        <f>SUMIFS(Dyno_Data[AZTime], Dyno_Data[Team],TBA_Matches_All[[#This Row],[Team]],Dyno_Data[Match],TBA_Matches_All[[#This Row],[Match_Number]],Dyno_Data[RecordType],"EndMatch")</f>
        <v>96.882600699999998</v>
      </c>
      <c r="CB139">
        <f>SUMIFS(Dyno_Data[ClimbT], Dyno_Data[Team],TBA_Matches_All[[#This Row],[Team]],Dyno_Data[Match],TBA_Matches_All[[#This Row],[Match_Number]],Dyno_Data[RecordType],"EndMatch")</f>
        <v>0</v>
      </c>
      <c r="CC139" t="str">
        <f>_xlfn.XLOOKUP(SUM(MID(TBA_Matches_All[[#This Row],[Team]],4,5),(TBA_Matches_All[[#This Row],[Match_Number]]/100)),Dyno_EndMatch[teammat],Dyno_EndMatch[StageStat],"_",0,1)</f>
        <v>Else</v>
      </c>
      <c r="CD139" t="str">
        <f>_xlfn.XLOOKUP(TBA_Matches_All[[#This Row],[teammat]],Dyno_EndMatch[teammat],Dyno_EndMatch[StageAtt],"_",0,1)</f>
        <v>0</v>
      </c>
      <c r="CE139" t="str">
        <f>_xlfn.XLOOKUP(TBA_Matches_All[[#This Row],[teammat]],Dyno_EndMatch[teammat],Dyno_EndMatch[StageLoc],"_",0,1)</f>
        <v>A</v>
      </c>
      <c r="CF139">
        <f>SUMIFS(Dyno_Data[Harmony], Dyno_Data[Team],TBA_Matches_All[[#This Row],[Team]],Dyno_Data[Match],TBA_Matches_All[[#This Row],[Match_Number]],Dyno_Data[RecordType],"EndMatch", Dyno_Data[StageStat],"On",Dyno_Data[Harmony],"&lt;&gt;9")</f>
        <v>0</v>
      </c>
      <c r="CG139">
        <f>SUMIFS(Dyno_Data[Spotlit], Dyno_Data[Team],TBA_Matches_All[[#This Row],[Team]],Dyno_Data[Match],TBA_Matches_All[[#This Row],[Match_Number]],Dyno_Data[RecordType],"EndMatch", Dyno_Data[StageStat],"On",Dyno_Data[Spotlit],"&lt;&gt;9")</f>
        <v>0</v>
      </c>
      <c r="CH139" t="str">
        <f>_xlfn.XLOOKUP(TBA_Matches_All[[#This Row],[teammat]],Dyno_EndMatch[teammat],Dyno_EndMatch[Strategy],"_",0,1)</f>
        <v>Hybrid</v>
      </c>
      <c r="CI139">
        <f>SUMIFS(Dyno_Data[Defense], Dyno_Data[Team],TBA_Matches_All[[#This Row],[Team]],Dyno_Data[Match],TBA_Matches_All[[#This Row],[Match_Number]],Dyno_Data[RecordType],"EndMatch",Dyno_Data[Defense],"&lt;&gt;9")</f>
        <v>0</v>
      </c>
      <c r="CJ139">
        <f>SUMIFS(Dyno_Data[Avoidance], Dyno_Data[Team],TBA_Matches_All[[#This Row],[Team]],Dyno_Data[Match],TBA_Matches_All[[#This Row],[Match_Number]],Dyno_Data[RecordType],"EndMatch",Dyno_Data[Avoidance],"&lt;&gt;9")</f>
        <v>0</v>
      </c>
      <c r="CK139" s="82">
        <f>COUNTIF($H$2:TBA_Matches_All[[#This Row],[Team]],TBA_Matches_All[[#This Row],[Team]])</f>
        <v>3</v>
      </c>
      <c r="CL139" s="111">
        <f>SUM(MID(TBA_Matches_All[[#This Row],[Team]],4,5)+TBA_Matches_All[[#This Row],[Match_Number]]/100)</f>
        <v>333.23</v>
      </c>
      <c r="CM139">
        <f>SUM((TBA_Matches_All[[#This Row],[Leave]]*2)+(TBA_Matches_All[[#This Row],[AampT]]*2)+(TBA_Matches_All[[#This Row],[AspkrT]]*5)+(TBA_Matches_All[[#This Row],[AtrapT]]*5))</f>
        <v>7</v>
      </c>
      <c r="CN139" s="59">
        <f>IFERROR(SUM(TBA_Matches_All[[#This Row],[AptsT]]/TBA_Matches_All[[#This Row],[AutoPts]]),0)</f>
        <v>0.2413793103448276</v>
      </c>
      <c r="CO139" s="59">
        <f>IFERROR(SUM(TBA_Matches_All[[#This Row],[AampT]]+TBA_Matches_All[[#This Row],[AspkrT]]+TBA_Matches_All[[#This Row],[AtrapT]]/TBA_Matches_All[[#This Row],[Aamp]]+TBA_Matches_All[[#This Row],[Aspkr]]+TBA_Matches_All[[#This Row],[AtrapT]]),0)</f>
        <v>0</v>
      </c>
      <c r="CP139" s="59">
        <f>IFERROR(SUM(TBA_Matches_All[[#This Row],[TampT]]/TBA_Matches_All[[#This Row],[Tamp]]),0)</f>
        <v>0.33333333333333331</v>
      </c>
      <c r="CQ139" s="59">
        <f>IFERROR(SUM(TBA_Matches_All[[#This Row],[TspkrT]]/TBA_Matches_All[[#This Row],[Tspkr]]),0)</f>
        <v>0</v>
      </c>
      <c r="CR139">
        <f>SUM(TBA_Matches_All[[#This Row],[TspkrPts]]*TBA_Matches_All[[#This Row],[TspkrP]])</f>
        <v>0</v>
      </c>
      <c r="CS139" s="59">
        <f>IFERROR(SUM(TBA_Matches_All[[#This Row],[TtrapT]]/TBA_Matches_All[[#This Row],[Trap]]),0)</f>
        <v>0</v>
      </c>
      <c r="CT139" s="59">
        <f>IFERROR(SUM(TBA_Matches_All[[#This Row],[TotNotesT]]/TBA_Matches_All[[#This Row],[TotNotes]]),0)</f>
        <v>0.125</v>
      </c>
      <c r="CU139" s="66">
        <f>SUM((TBA_Matches_All[[#This Row],[AampT]]*2)+(TBA_Matches_All[[#This Row],[AspkrT]]*5)+(TBA_Matches_All[[#This Row],[AtrapT]]*5)+(TBA_Matches_All[[#This Row],[TampT]]*1)+(TBA_Matches_All[[#This Row],[TspkrptsC]]))</f>
        <v>6</v>
      </c>
      <c r="CV139" s="59">
        <f>IFERROR(TBA_Matches_All[[#This Row],[noteptsT]]/TBA_Matches_All[[#This Row],[NotePts]],0)</f>
        <v>0.1276595744680851</v>
      </c>
      <c r="CW139">
        <f>SUM(IF(TBA_Matches_All[[#This Row],[stageStat]]="On",3,0),IF(TBA_Matches_All[[#This Row],[stageStat]]="Park",1,0),SUMIFS(TBA_Matches_All[[#This Row],[Spotlit]],TBA_Matches_All[[#This Row],[stageStat]],"On"),SUMIFS(TBA_Matches_All[[#This Row],[Harmony]],TBA_Matches_All[[#This Row],[stageStat]],"On"))</f>
        <v>0</v>
      </c>
      <c r="CX139" s="59">
        <f>IFERROR(TBA_Matches_All[[#This Row],[stageptsT]]/TBA_Matches_All[[#This Row],[StagePts]],0)</f>
        <v>0</v>
      </c>
      <c r="CY139">
        <f>SUM((TBA_Matches_All[[#This Row],[AptsT]]+TBA_Matches_All[[#This Row],[TampT]]+TBA_Matches_All[[#This Row],[TspkrptsC]]+(TBA_Matches_All[[#This Row],[TtrapT]]*5)+TBA_Matches_All[[#This Row],[stageptsT]]))</f>
        <v>8</v>
      </c>
      <c r="CZ139" s="59">
        <f>IFERROR(SUM(TBA_Matches_All[[#This Row],[TotptsC]]/TBA_Matches_All[[#This Row],[Score]]),0)</f>
        <v>0.15384615384615385</v>
      </c>
      <c r="DA13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6.0666666666666673</v>
      </c>
      <c r="DB139" s="74">
        <f>SUMIFS(TBA_Matches_All[AveTeamTNoteDels],TBA_Matches_All[Match_Number],TBA_Matches_All[[#This Row],[Match_Number]],TBA_Matches_All[Alliance],"&lt;&gt;"&amp;TBA_Matches_All[[#This Row],[Alliance]],TBA_Matches_All[Scouted],"&gt;0")</f>
        <v>23.797499999999999</v>
      </c>
      <c r="DC139" s="74">
        <f>(TBA_Matches_All[[#This Row],[TampT]]+TBA_Matches_All[[#This Row],[TspkrptsC]])-TBA_Matches_All[[#This Row],[AveTeamTNoteDels]]</f>
        <v>-5.0666666666666673</v>
      </c>
      <c r="DD139" s="74">
        <f>SUMIFS(TBA_Matches_All[AveTeamTNoteDels],TBA_Matches_All[Match_Number],TBA_Matches_All[[#This Row],[Match_Number]],TBA_Matches_All[Alliance],"&lt;&gt;"&amp;TBA_Matches_All[[#This Row],[Alliance]])-TBA_Matches_All[[#This Row],[AveOppTNoteDels]]</f>
        <v>0</v>
      </c>
    </row>
    <row r="140" spans="1:108" x14ac:dyDescent="0.3">
      <c r="A140" t="s">
        <v>1042</v>
      </c>
      <c r="B140" t="s">
        <v>489</v>
      </c>
      <c r="C140" t="s">
        <v>1332</v>
      </c>
      <c r="D140">
        <v>23</v>
      </c>
      <c r="E140" t="s">
        <v>1406</v>
      </c>
      <c r="F140" t="s">
        <v>1426</v>
      </c>
      <c r="G140" t="s">
        <v>164</v>
      </c>
      <c r="H140" t="s">
        <v>1301</v>
      </c>
      <c r="I140" t="b">
        <v>1</v>
      </c>
      <c r="J140">
        <v>76</v>
      </c>
      <c r="K140">
        <v>1</v>
      </c>
      <c r="L140">
        <v>1</v>
      </c>
      <c r="M140">
        <v>0</v>
      </c>
      <c r="N140">
        <v>0</v>
      </c>
      <c r="O140">
        <v>6</v>
      </c>
      <c r="P140">
        <v>30</v>
      </c>
      <c r="Q140">
        <v>32</v>
      </c>
      <c r="R140">
        <v>5</v>
      </c>
      <c r="S140">
        <v>4</v>
      </c>
      <c r="T140">
        <v>4</v>
      </c>
      <c r="U140">
        <v>20</v>
      </c>
      <c r="V140">
        <v>8</v>
      </c>
      <c r="W140">
        <v>8</v>
      </c>
      <c r="X140">
        <v>28</v>
      </c>
      <c r="Y140">
        <v>33</v>
      </c>
      <c r="Z140">
        <v>5</v>
      </c>
      <c r="AA140">
        <v>1</v>
      </c>
      <c r="AB140">
        <v>19</v>
      </c>
      <c r="AC140">
        <v>63</v>
      </c>
      <c r="AD140">
        <v>11</v>
      </c>
      <c r="AE140">
        <f>IFERROR(6/(COUNTIF(Dyno_EndMatch[Match],TBA_Matches_All[[#This Row],[Match_Number]])),0)</f>
        <v>1</v>
      </c>
      <c r="AF140">
        <f>COUNTIFS(Dyno_Data[Team],TBA_Matches_All[[#This Row],[Team]],Dyno_Data[Match],TBA_Matches_All[[#This Row],[Match_Number]],Dyno_Data[RecordType],"EndMatch",Dyno_Data[HPAmp],"Y")</f>
        <v>0</v>
      </c>
      <c r="AG140">
        <f>SUMIFS(Dyno_Data[Mics], Dyno_Data[Team],TBA_Matches_All[[#This Row],[Team]],Dyno_Data[Match],TBA_Matches_All[[#This Row],[Match_Number]],Dyno_Data[RecordType],"EndMatch",Dyno_Data[HPAmp],"Y")</f>
        <v>0</v>
      </c>
      <c r="AH140">
        <f>SUMIFS(Dyno_Data[Leave], Dyno_Data[Team],TBA_Matches_All[[#This Row],[Team]],Dyno_Data[Match],TBA_Matches_All[[#This Row],[Match_Number]],Dyno_Data[RecordType],"EndAuto")</f>
        <v>0</v>
      </c>
      <c r="AI140">
        <f>COUNTIFS(Dyno_Data[Team],TBA_Matches_All[[#This Row],[Team]],Dyno_Data[Match],TBA_Matches_All[[#This Row],[Match_Number]],Dyno_Data[RecordType],"Activities",Dyno_Data[DelDest],"Amp", Dyno_Data[DelMiss],"0", Dyno_Data[Mode],"Auto")</f>
        <v>0</v>
      </c>
      <c r="AJ140">
        <f>COUNTIFS(Dyno_Data[Team],TBA_Matches_All[[#This Row],[Team]],Dyno_Data[Match],TBA_Matches_All[[#This Row],[Match_Number]],Dyno_Data[RecordType],"Activities",Dyno_Data[DelDest],"Spkr", Dyno_Data[DelMiss],"0", Dyno_Data[Mode],"Auto")</f>
        <v>0</v>
      </c>
      <c r="AK140">
        <f>COUNTIFS(Dyno_Data[Team],TBA_Matches_All[[#This Row],[Team]],Dyno_Data[Match],TBA_Matches_All[[#This Row],[Match_Number]],Dyno_Data[RecordType],"Activities",Dyno_Data[DelDest],"Trap", Dyno_Data[DelMiss],"0", Dyno_Data[Mode],"Auto")</f>
        <v>0</v>
      </c>
      <c r="AL140">
        <f>COUNTIFS(Dyno_Data[Team],TBA_Matches_All[[#This Row],[Team]],Dyno_Data[Match],TBA_Matches_All[[#This Row],[Match_Number]],Dyno_Data[RecordType],"Activities",Dyno_Data[DelDest],"Amp", Dyno_Data[DelMiss],"0", Dyno_Data[Mode],"Teleop")</f>
        <v>0</v>
      </c>
      <c r="AM140">
        <f>COUNTIFS(Dyno_Data[Team],TBA_Matches_All[[#This Row],[Team]],Dyno_Data[Match],TBA_Matches_All[[#This Row],[Match_Number]],Dyno_Data[RecordType],"Activities",Dyno_Data[DelDest],"Spkr", Dyno_Data[DelMiss],"0", Dyno_Data[Mode],"Teleop")</f>
        <v>0</v>
      </c>
      <c r="AN140">
        <f>COUNTIFS(Dyno_Data[Team],TBA_Matches_All[[#This Row],[Team]],Dyno_Data[Match],TBA_Matches_All[[#This Row],[Match_Number]],Dyno_Data[RecordType],"Activities",Dyno_Data[DelDest],"Trap", Dyno_Data[DelMiss],"0", Dyno_Data[Mode],"&lt;&gt;Auto")</f>
        <v>0</v>
      </c>
      <c r="AO140">
        <f>SUM(TBA_Matches_All[[#This Row],[AampT]]+TBA_Matches_All[[#This Row],[AspkrT]]+TBA_Matches_All[[#This Row],[AtrapT]]+TBA_Matches_All[[#This Row],[TampT]]+TBA_Matches_All[[#This Row],[TspkrT]]+TBA_Matches_All[[#This Row],[TtrapT]])</f>
        <v>0</v>
      </c>
      <c r="AP140">
        <f>COUNTIFS(Dyno_Data[Team],TBA_Matches_All[[#This Row],[Team]],Dyno_Data[Match],TBA_Matches_All[[#This Row],[Match_Number]],Dyno_Data[RecordType],"Activities",Dyno_Data[DelDest],"Neut", Dyno_Data[DelMiss],"0")</f>
        <v>0</v>
      </c>
      <c r="AQ140">
        <f>COUNTIFS(Dyno_Data[Team],TBA_Matches_All[[#This Row],[Team]],Dyno_Data[Match],TBA_Matches_All[[#This Row],[Match_Number]],Dyno_Data[RecordType],"Activities",Dyno_Data[DelDest],"AllyW", Dyno_Data[DelMiss],"0")</f>
        <v>0</v>
      </c>
      <c r="AR140" t="str">
        <f>_xlfn.XLOOKUP(SUM(MID(TBA_Matches_All[[#This Row],[Team]],4,5),(TBA_Matches_All[[#This Row],[Match_Number]]/100)),Dyno_EndMatch[teammat],Dyno_EndMatch[RobotSta],"_",0,1)</f>
        <v>Podm</v>
      </c>
      <c r="AS140">
        <f>SUMIFS(Dyno_Data[AcqDis], Dyno_Data[Team],TBA_Matches_All[[#This Row],[Team]],Dyno_Data[Match],TBA_Matches_All[[#This Row],[Match_Number]],Dyno_Data[RecordType],"Activities", Dyno_Data[AcqCenter],1,Dyno_Data[Mode],"Auto")</f>
        <v>0</v>
      </c>
      <c r="AT140">
        <f>SUMIFS(Dyno_Data[AcqDis], Dyno_Data[Team],TBA_Matches_All[[#This Row],[Team]],Dyno_Data[Match],TBA_Matches_All[[#This Row],[Match_Number]],Dyno_Data[RecordType],"Activities", Dyno_Data[AcqCenter],2,Dyno_Data[Mode],"Auto")</f>
        <v>0</v>
      </c>
      <c r="AU140">
        <f>SUMIFS(Dyno_Data[AcqDis], Dyno_Data[Team],TBA_Matches_All[[#This Row],[Team]],Dyno_Data[Match],TBA_Matches_All[[#This Row],[Match_Number]],Dyno_Data[RecordType],"Activities", Dyno_Data[AcqCenter],3,Dyno_Data[Mode],"Auto")</f>
        <v>0</v>
      </c>
      <c r="AV140">
        <f>SUMIFS(Dyno_Data[AcqDis], Dyno_Data[Team],TBA_Matches_All[[#This Row],[Team]],Dyno_Data[Match],TBA_Matches_All[[#This Row],[Match_Number]],Dyno_Data[RecordType],"Activities", Dyno_Data[AcqCenter],4,Dyno_Data[Mode],"Auto")</f>
        <v>0</v>
      </c>
      <c r="AW140">
        <f>SUMIFS(Dyno_Data[AcqDis], Dyno_Data[Team],TBA_Matches_All[[#This Row],[Team]],Dyno_Data[Match],TBA_Matches_All[[#This Row],[Match_Number]],Dyno_Data[RecordType],"Activities", Dyno_Data[AcqCenter],5,Dyno_Data[Mode],"Auto")</f>
        <v>0</v>
      </c>
      <c r="AX140">
        <f>SUMIFS(Dyno_Data[DelMiss], Dyno_Data[Team],TBA_Matches_All[[#This Row],[Team]],Dyno_Data[Match],TBA_Matches_All[[#This Row],[Match_Number]],Dyno_Data[RecordType],"Activities", Dyno_Data[DelDest],"Amp")</f>
        <v>0</v>
      </c>
      <c r="AY140" s="60">
        <f>IFERROR(SUM((TBA_Matches_All[[#This Row],[AampT]]+TBA_Matches_All[[#This Row],[TampT]])/(TBA_Matches_All[[#This Row],[AampT]]+TBA_Matches_All[[#This Row],[TampT]]+TBA_Matches_All[[#This Row],[ampM]])),0)</f>
        <v>0</v>
      </c>
      <c r="AZ140">
        <f>SUMIFS(Dyno_Data[DelMiss], Dyno_Data[Team],TBA_Matches_All[[#This Row],[Team]],Dyno_Data[Match],TBA_Matches_All[[#This Row],[Match_Number]],Dyno_Data[RecordType],"Activities", Dyno_Data[DelDest],"Spkr")</f>
        <v>0</v>
      </c>
      <c r="BA140" s="60">
        <f>IFERROR(SUM((TBA_Matches_All[[#This Row],[AspkrT]]+TBA_Matches_All[[#This Row],[TspkrT]])/(TBA_Matches_All[[#This Row],[AspkrT]]+TBA_Matches_All[[#This Row],[TspkrT]]+TBA_Matches_All[[#This Row],[spkrM]])),0)</f>
        <v>0</v>
      </c>
      <c r="BB140">
        <f>SUMIFS(Dyno_Data[DelMiss], Dyno_Data[Team],TBA_Matches_All[[#This Row],[Team]],Dyno_Data[Match],TBA_Matches_All[[#This Row],[Match_Number]],Dyno_Data[RecordType],"Activities", Dyno_Data[DelDest],"Trap")</f>
        <v>0</v>
      </c>
      <c r="BC140" s="60">
        <f>IFERROR((TBA_Matches_All[[#This Row],[AtrapT]]+TBA_Matches_All[[#This Row],[TtrapT]])/(TBA_Matches_All[[#This Row],[AtrapT]]+TBA_Matches_All[[#This Row],[TtrapT]]+TBA_Matches_All[[#This Row],[trapM]]),0)</f>
        <v>0</v>
      </c>
      <c r="BD140">
        <f>COUNTIFS(Dyno_Data[Team],TBA_Matches_All[[#This Row],[Team]],Dyno_Data[Match],TBA_Matches_All[[#This Row],[Match_Number]],Dyno_Data[RecordType],"Activities",Dyno_Data[DelDest],"Neut", Dyno_Data[DelMiss],1)</f>
        <v>0</v>
      </c>
      <c r="BE140" s="60">
        <f>IFERROR(SUM((TBA_Matches_All[[#This Row],[NeutFlrT]])/(TBA_Matches_All[[#This Row],[NeutFlrT]]+TBA_Matches_All[[#This Row],[NZflM]])),0)</f>
        <v>0</v>
      </c>
      <c r="BF140">
        <f>COUNTIFS(Dyno_Data[Team],TBA_Matches_All[[#This Row],[Team]],Dyno_Data[Match],TBA_Matches_All[[#This Row],[Match_Number]],Dyno_Data[RecordType],"Activities",Dyno_Data[DelDest],"AllyW", Dyno_Data[DelMiss],1)</f>
        <v>0</v>
      </c>
      <c r="BG140" s="60">
        <f>IFERROR(SUM((TBA_Matches_All[[#This Row],[AllyWFlrT]])/(TBA_Matches_All[[#This Row],[AllyWFlrT]]+TBA_Matches_All[[#This Row],[AZflM]])),0)</f>
        <v>0</v>
      </c>
      <c r="BH140">
        <f>COUNTIFS(Dyno_Data[Team],TBA_Matches_All[[#This Row],[Team]],Dyno_Data[Match],TBA_Matches_All[[#This Row],[Match_Number]],Dyno_Data[RecordType],"Activities",Dyno_Data[DelOrig],"OppW", Dyno_Data[DelMiss],"0")</f>
        <v>0</v>
      </c>
      <c r="BI140">
        <f>COUNTIFS(Dyno_Data[Team],TBA_Matches_All[[#This Row],[Team]],Dyno_Data[Match],TBA_Matches_All[[#This Row],[Match_Number]],Dyno_Data[RecordType],"Activities",Dyno_Data[DelOrig],"OppW", Dyno_Data[DelMiss],"1")</f>
        <v>0</v>
      </c>
      <c r="BJ140" s="60">
        <f>IFERROR(SUM((TBA_Matches_All[[#This Row],[OZflrT]])/(TBA_Matches_All[[#This Row],[OZflrT]]+TBA_Matches_All[[#This Row],[OZflrM]])),0)</f>
        <v>0</v>
      </c>
      <c r="BK140">
        <f>COUNTIFS(Dyno_Data[Team],TBA_Matches_All[[#This Row],[Team]],Dyno_Data[Match],TBA_Matches_All[[#This Row],[Match_Number]],Dyno_Data[RecordType],"Activities",Dyno_Data[DelOrig],"Neut", Dyno_Data[DelMiss],"0")</f>
        <v>0</v>
      </c>
      <c r="BL140">
        <f>COUNTIFS(Dyno_Data[Team],TBA_Matches_All[[#This Row],[Team]],Dyno_Data[Match],TBA_Matches_All[[#This Row],[Match_Number]],Dyno_Data[RecordType],"Activities",Dyno_Data[DelOrig],"Neut", Dyno_Data[DelMiss],"1")</f>
        <v>0</v>
      </c>
      <c r="BM140" s="60">
        <f>IFERROR(SUM((TBA_Matches_All[[#This Row],[NZflrT]])/(TBA_Matches_All[[#This Row],[NZflrT]]+TBA_Matches_All[[#This Row],[NZflrM]])),0)</f>
        <v>0</v>
      </c>
      <c r="BN140">
        <f>COUNTIFS(Dyno_Data[Team],TBA_Matches_All[[#This Row],[Team]],Dyno_Data[Match],TBA_Matches_All[[#This Row],[Match_Number]],Dyno_Data[RecordType],"Activities",Dyno_Data[DelOrig],"AllyW", Dyno_Data[DelMiss],"0")</f>
        <v>0</v>
      </c>
      <c r="BO140">
        <f>COUNTIFS(Dyno_Data[Team],TBA_Matches_All[[#This Row],[Team]],Dyno_Data[Match],TBA_Matches_All[[#This Row],[Match_Number]],Dyno_Data[RecordType],"Activities",Dyno_Data[DelOrig],"AllyW", Dyno_Data[DelMiss],"1")</f>
        <v>0</v>
      </c>
      <c r="BP140" s="60">
        <f>IFERROR(SUM((TBA_Matches_All[[#This Row],[AZflrT]])/(TBA_Matches_All[[#This Row],[AZflrT]]+TBA_Matches_All[[#This Row],[AZflrM]])),0)</f>
        <v>0</v>
      </c>
      <c r="BQ140">
        <f>COUNTIFS(Dyno_Data[Team],TBA_Matches_All[[#This Row],[Team]],Dyno_Data[Match],TBA_Matches_All[[#This Row],[Match_Number]],Dyno_Data[RecordType],"Activities",Dyno_Data[DelOrig],"SubW", Dyno_Data[DelMiss],"0")</f>
        <v>0</v>
      </c>
      <c r="BR140">
        <f>COUNTIFS(Dyno_Data[Team],TBA_Matches_All[[#This Row],[Team]],Dyno_Data[Match],TBA_Matches_All[[#This Row],[Match_Number]],Dyno_Data[RecordType],"Activities",Dyno_Data[DelOrig],"SubW", Dyno_Data[DelMiss],"1")</f>
        <v>0</v>
      </c>
      <c r="BS140" s="60">
        <f>IFERROR(SUM((TBA_Matches_All[[#This Row],[SubwT]])/(TBA_Matches_All[[#This Row],[SubwT]]+TBA_Matches_All[[#This Row],[SubwM]])),0)</f>
        <v>0</v>
      </c>
      <c r="BT140">
        <f>COUNTIFS(Dyno_Data[Team],TBA_Matches_All[[#This Row],[Team]],Dyno_Data[Match],TBA_Matches_All[[#This Row],[Match_Number]],Dyno_Data[RecordType],"Activities", Dyno_Data[AcqLoc],"OppWing")</f>
        <v>0</v>
      </c>
      <c r="BU140">
        <f>COUNTIFS(Dyno_Data[Team],TBA_Matches_All[[#This Row],[Team]],Dyno_Data[Match],TBA_Matches_All[[#This Row],[Match_Number]],Dyno_Data[RecordType],"Activities", Dyno_Data[AcqLoc],"Neutral")</f>
        <v>0</v>
      </c>
      <c r="BV140">
        <f>COUNTIFS(Dyno_Data[Team],TBA_Matches_All[[#This Row],[Team]],Dyno_Data[Match],TBA_Matches_All[[#This Row],[Match_Number]],Dyno_Data[RecordType],"Activities", Dyno_Data[AcqLoc],"AllyWing")</f>
        <v>0</v>
      </c>
      <c r="BW140">
        <f>COUNTIFS(Dyno_Data[Team],TBA_Matches_All[[#This Row],[Team]],Dyno_Data[Match],TBA_Matches_All[[#This Row],[Match_Number]],Dyno_Data[RecordType],"Activities", Dyno_Data[AcqLoc],"Source")</f>
        <v>0</v>
      </c>
      <c r="BX140">
        <f>SUMIFS(Dyno_Data[AcqDrp], Dyno_Data[Team],TBA_Matches_All[[#This Row],[Team]],Dyno_Data[Match],TBA_Matches_All[[#This Row],[Match_Number]],Dyno_Data[RecordType],"Activities", Dyno_Data[AcqLoc],"Source")</f>
        <v>0</v>
      </c>
      <c r="BY140">
        <f>SUMIFS(Dyno_Data[OZTime], Dyno_Data[Team],TBA_Matches_All[[#This Row],[Team]],Dyno_Data[Match],TBA_Matches_All[[#This Row],[Match_Number]],Dyno_Data[RecordType],"EndMatch")</f>
        <v>0</v>
      </c>
      <c r="BZ140">
        <f>SUMIFS(Dyno_Data[NZTime], Dyno_Data[Team],TBA_Matches_All[[#This Row],[Team]],Dyno_Data[Match],TBA_Matches_All[[#This Row],[Match_Number]],Dyno_Data[RecordType],"EndMatch")</f>
        <v>77.865661500000002</v>
      </c>
      <c r="CA140">
        <f>SUMIFS(Dyno_Data[AZTime], Dyno_Data[Team],TBA_Matches_All[[#This Row],[Team]],Dyno_Data[Match],TBA_Matches_All[[#This Row],[Match_Number]],Dyno_Data[RecordType],"EndMatch")</f>
        <v>56.245257799999997</v>
      </c>
      <c r="CB140">
        <f>SUMIFS(Dyno_Data[ClimbT], Dyno_Data[Team],TBA_Matches_All[[#This Row],[Team]],Dyno_Data[Match],TBA_Matches_All[[#This Row],[Match_Number]],Dyno_Data[RecordType],"EndMatch")</f>
        <v>0</v>
      </c>
      <c r="CC140" t="str">
        <f>_xlfn.XLOOKUP(SUM(MID(TBA_Matches_All[[#This Row],[Team]],4,5),(TBA_Matches_All[[#This Row],[Match_Number]]/100)),Dyno_EndMatch[teammat],Dyno_EndMatch[StageStat],"_",0,1)</f>
        <v>Else</v>
      </c>
      <c r="CD140" t="str">
        <f>_xlfn.XLOOKUP(TBA_Matches_All[[#This Row],[teammat]],Dyno_EndMatch[teammat],Dyno_EndMatch[StageAtt],"_",0,1)</f>
        <v>0</v>
      </c>
      <c r="CE140" t="str">
        <f>_xlfn.XLOOKUP(TBA_Matches_All[[#This Row],[teammat]],Dyno_EndMatch[teammat],Dyno_EndMatch[StageLoc],"_",0,1)</f>
        <v>A</v>
      </c>
      <c r="CF140">
        <f>SUMIFS(Dyno_Data[Harmony], Dyno_Data[Team],TBA_Matches_All[[#This Row],[Team]],Dyno_Data[Match],TBA_Matches_All[[#This Row],[Match_Number]],Dyno_Data[RecordType],"EndMatch", Dyno_Data[StageStat],"On",Dyno_Data[Harmony],"&lt;&gt;9")</f>
        <v>0</v>
      </c>
      <c r="CG140">
        <f>SUMIFS(Dyno_Data[Spotlit], Dyno_Data[Team],TBA_Matches_All[[#This Row],[Team]],Dyno_Data[Match],TBA_Matches_All[[#This Row],[Match_Number]],Dyno_Data[RecordType],"EndMatch", Dyno_Data[StageStat],"On",Dyno_Data[Spotlit],"&lt;&gt;9")</f>
        <v>0</v>
      </c>
      <c r="CH140" t="str">
        <f>_xlfn.XLOOKUP(TBA_Matches_All[[#This Row],[teammat]],Dyno_EndMatch[teammat],Dyno_EndMatch[Strategy],"_",0,1)</f>
        <v>Defense</v>
      </c>
      <c r="CI140">
        <f>SUMIFS(Dyno_Data[Defense], Dyno_Data[Team],TBA_Matches_All[[#This Row],[Team]],Dyno_Data[Match],TBA_Matches_All[[#This Row],[Match_Number]],Dyno_Data[RecordType],"EndMatch",Dyno_Data[Defense],"&lt;&gt;9")</f>
        <v>2</v>
      </c>
      <c r="CJ140">
        <f>SUMIFS(Dyno_Data[Avoidance], Dyno_Data[Team],TBA_Matches_All[[#This Row],[Team]],Dyno_Data[Match],TBA_Matches_All[[#This Row],[Match_Number]],Dyno_Data[RecordType],"EndMatch",Dyno_Data[Avoidance],"&lt;&gt;9")</f>
        <v>0</v>
      </c>
      <c r="CK140" s="82">
        <f>COUNTIF($H$2:TBA_Matches_All[[#This Row],[Team]],TBA_Matches_All[[#This Row],[Team]])</f>
        <v>3</v>
      </c>
      <c r="CL140" s="111">
        <f>SUM(MID(TBA_Matches_All[[#This Row],[Team]],4,5)+TBA_Matches_All[[#This Row],[Match_Number]]/100)</f>
        <v>7031.23</v>
      </c>
      <c r="CM140">
        <f>SUM((TBA_Matches_All[[#This Row],[Leave]]*2)+(TBA_Matches_All[[#This Row],[AampT]]*2)+(TBA_Matches_All[[#This Row],[AspkrT]]*5)+(TBA_Matches_All[[#This Row],[AtrapT]]*5))</f>
        <v>0</v>
      </c>
      <c r="CN140" s="59">
        <f>IFERROR(SUM(TBA_Matches_All[[#This Row],[AptsT]]/TBA_Matches_All[[#This Row],[AutoPts]]),0)</f>
        <v>0</v>
      </c>
      <c r="CO140" s="59">
        <f>IFERROR(SUM(TBA_Matches_All[[#This Row],[AampT]]+TBA_Matches_All[[#This Row],[AspkrT]]+TBA_Matches_All[[#This Row],[AtrapT]]/TBA_Matches_All[[#This Row],[Aamp]]+TBA_Matches_All[[#This Row],[Aspkr]]+TBA_Matches_All[[#This Row],[AtrapT]]),0)</f>
        <v>0</v>
      </c>
      <c r="CP140" s="59">
        <f>IFERROR(SUM(TBA_Matches_All[[#This Row],[TampT]]/TBA_Matches_All[[#This Row],[Tamp]]),0)</f>
        <v>0</v>
      </c>
      <c r="CQ140" s="59">
        <f>IFERROR(SUM(TBA_Matches_All[[#This Row],[TspkrT]]/TBA_Matches_All[[#This Row],[Tspkr]]),0)</f>
        <v>0</v>
      </c>
      <c r="CR140">
        <f>SUM(TBA_Matches_All[[#This Row],[TspkrPts]]*TBA_Matches_All[[#This Row],[TspkrP]])</f>
        <v>0</v>
      </c>
      <c r="CS140" s="59">
        <f>IFERROR(SUM(TBA_Matches_All[[#This Row],[TtrapT]]/TBA_Matches_All[[#This Row],[Trap]]),0)</f>
        <v>0</v>
      </c>
      <c r="CT140" s="59">
        <f>IFERROR(SUM(TBA_Matches_All[[#This Row],[TotNotesT]]/TBA_Matches_All[[#This Row],[TotNotes]]),0)</f>
        <v>0</v>
      </c>
      <c r="CU140" s="66">
        <f>SUM((TBA_Matches_All[[#This Row],[AampT]]*2)+(TBA_Matches_All[[#This Row],[AspkrT]]*5)+(TBA_Matches_All[[#This Row],[AtrapT]]*5)+(TBA_Matches_All[[#This Row],[TampT]]*1)+(TBA_Matches_All[[#This Row],[TspkrptsC]]))</f>
        <v>0</v>
      </c>
      <c r="CV140" s="59">
        <f>IFERROR(TBA_Matches_All[[#This Row],[noteptsT]]/TBA_Matches_All[[#This Row],[NotePts]],0)</f>
        <v>0</v>
      </c>
      <c r="CW140">
        <f>SUM(IF(TBA_Matches_All[[#This Row],[stageStat]]="On",3,0),IF(TBA_Matches_All[[#This Row],[stageStat]]="Park",1,0),SUMIFS(TBA_Matches_All[[#This Row],[Spotlit]],TBA_Matches_All[[#This Row],[stageStat]],"On"),SUMIFS(TBA_Matches_All[[#This Row],[Harmony]],TBA_Matches_All[[#This Row],[stageStat]],"On"))</f>
        <v>0</v>
      </c>
      <c r="CX140" s="59">
        <f>IFERROR(TBA_Matches_All[[#This Row],[stageptsT]]/TBA_Matches_All[[#This Row],[StagePts]],0)</f>
        <v>0</v>
      </c>
      <c r="CY140">
        <f>SUM((TBA_Matches_All[[#This Row],[AptsT]]+TBA_Matches_All[[#This Row],[TampT]]+TBA_Matches_All[[#This Row],[TspkrptsC]]+(TBA_Matches_All[[#This Row],[TtrapT]]*5)+TBA_Matches_All[[#This Row],[stageptsT]]))</f>
        <v>0</v>
      </c>
      <c r="CZ140" s="59">
        <f>IFERROR(SUM(TBA_Matches_All[[#This Row],[TotptsC]]/TBA_Matches_All[[#This Row],[Score]]),0)</f>
        <v>0</v>
      </c>
      <c r="DA14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40" s="74">
        <f>SUMIFS(TBA_Matches_All[AveTeamTNoteDels],TBA_Matches_All[Match_Number],TBA_Matches_All[[#This Row],[Match_Number]],TBA_Matches_All[Alliance],"&lt;&gt;"&amp;TBA_Matches_All[[#This Row],[Alliance]],TBA_Matches_All[Scouted],"&gt;0")</f>
        <v>33.718046536796543</v>
      </c>
      <c r="DC140" s="74">
        <f>(TBA_Matches_All[[#This Row],[TampT]]+TBA_Matches_All[[#This Row],[TspkrptsC]])-TBA_Matches_All[[#This Row],[AveTeamTNoteDels]]</f>
        <v>0</v>
      </c>
      <c r="DD140" s="74">
        <f>SUMIFS(TBA_Matches_All[AveTeamTNoteDels],TBA_Matches_All[Match_Number],TBA_Matches_All[[#This Row],[Match_Number]],TBA_Matches_All[Alliance],"&lt;&gt;"&amp;TBA_Matches_All[[#This Row],[Alliance]])-TBA_Matches_All[[#This Row],[AveOppTNoteDels]]</f>
        <v>0</v>
      </c>
    </row>
    <row r="141" spans="1:108" x14ac:dyDescent="0.3">
      <c r="A141" t="s">
        <v>1042</v>
      </c>
      <c r="B141" t="s">
        <v>489</v>
      </c>
      <c r="C141" t="s">
        <v>1333</v>
      </c>
      <c r="D141">
        <v>24</v>
      </c>
      <c r="E141" t="s">
        <v>1420</v>
      </c>
      <c r="F141" t="s">
        <v>1421</v>
      </c>
      <c r="G141" t="s">
        <v>164</v>
      </c>
      <c r="H141" t="s">
        <v>1289</v>
      </c>
      <c r="I141" t="b">
        <v>1</v>
      </c>
      <c r="J141">
        <v>28</v>
      </c>
      <c r="K141">
        <v>0</v>
      </c>
      <c r="L141">
        <v>0</v>
      </c>
      <c r="M141">
        <v>5</v>
      </c>
      <c r="N141">
        <v>0</v>
      </c>
      <c r="O141">
        <v>1</v>
      </c>
      <c r="P141">
        <v>5</v>
      </c>
      <c r="Q141">
        <v>5</v>
      </c>
      <c r="R141">
        <v>2</v>
      </c>
      <c r="S141">
        <v>0</v>
      </c>
      <c r="T141">
        <v>4</v>
      </c>
      <c r="U141">
        <v>0</v>
      </c>
      <c r="V141">
        <v>8</v>
      </c>
      <c r="W141">
        <v>4</v>
      </c>
      <c r="X141">
        <v>8</v>
      </c>
      <c r="Y141">
        <v>10</v>
      </c>
      <c r="Z141">
        <v>0</v>
      </c>
      <c r="AA141">
        <v>0</v>
      </c>
      <c r="AB141">
        <v>7</v>
      </c>
      <c r="AC141">
        <v>15</v>
      </c>
      <c r="AD141">
        <v>4</v>
      </c>
      <c r="AE141">
        <f>IFERROR(6/(COUNTIF(Dyno_EndMatch[Match],TBA_Matches_All[[#This Row],[Match_Number]])),0)</f>
        <v>1</v>
      </c>
      <c r="AF141">
        <f>COUNTIFS(Dyno_Data[Team],TBA_Matches_All[[#This Row],[Team]],Dyno_Data[Match],TBA_Matches_All[[#This Row],[Match_Number]],Dyno_Data[RecordType],"EndMatch",Dyno_Data[HPAmp],"Y")</f>
        <v>1</v>
      </c>
      <c r="AG141">
        <f>SUMIFS(Dyno_Data[Mics], Dyno_Data[Team],TBA_Matches_All[[#This Row],[Team]],Dyno_Data[Match],TBA_Matches_All[[#This Row],[Match_Number]],Dyno_Data[RecordType],"EndMatch",Dyno_Data[HPAmp],"Y")</f>
        <v>0</v>
      </c>
      <c r="AH141">
        <f>SUMIFS(Dyno_Data[Leave], Dyno_Data[Team],TBA_Matches_All[[#This Row],[Team]],Dyno_Data[Match],TBA_Matches_All[[#This Row],[Match_Number]],Dyno_Data[RecordType],"EndAuto")</f>
        <v>0</v>
      </c>
      <c r="AI141">
        <f>COUNTIFS(Dyno_Data[Team],TBA_Matches_All[[#This Row],[Team]],Dyno_Data[Match],TBA_Matches_All[[#This Row],[Match_Number]],Dyno_Data[RecordType],"Activities",Dyno_Data[DelDest],"Amp", Dyno_Data[DelMiss],"0", Dyno_Data[Mode],"Auto")</f>
        <v>0</v>
      </c>
      <c r="AJ141">
        <f>COUNTIFS(Dyno_Data[Team],TBA_Matches_All[[#This Row],[Team]],Dyno_Data[Match],TBA_Matches_All[[#This Row],[Match_Number]],Dyno_Data[RecordType],"Activities",Dyno_Data[DelDest],"Spkr", Dyno_Data[DelMiss],"0", Dyno_Data[Mode],"Auto")</f>
        <v>0</v>
      </c>
      <c r="AK141">
        <f>COUNTIFS(Dyno_Data[Team],TBA_Matches_All[[#This Row],[Team]],Dyno_Data[Match],TBA_Matches_All[[#This Row],[Match_Number]],Dyno_Data[RecordType],"Activities",Dyno_Data[DelDest],"Trap", Dyno_Data[DelMiss],"0", Dyno_Data[Mode],"Auto")</f>
        <v>0</v>
      </c>
      <c r="AL141">
        <f>COUNTIFS(Dyno_Data[Team],TBA_Matches_All[[#This Row],[Team]],Dyno_Data[Match],TBA_Matches_All[[#This Row],[Match_Number]],Dyno_Data[RecordType],"Activities",Dyno_Data[DelDest],"Amp", Dyno_Data[DelMiss],"0", Dyno_Data[Mode],"Teleop")</f>
        <v>1</v>
      </c>
      <c r="AM141">
        <f>COUNTIFS(Dyno_Data[Team],TBA_Matches_All[[#This Row],[Team]],Dyno_Data[Match],TBA_Matches_All[[#This Row],[Match_Number]],Dyno_Data[RecordType],"Activities",Dyno_Data[DelDest],"Spkr", Dyno_Data[DelMiss],"0", Dyno_Data[Mode],"Teleop")</f>
        <v>0</v>
      </c>
      <c r="AN141">
        <f>COUNTIFS(Dyno_Data[Team],TBA_Matches_All[[#This Row],[Team]],Dyno_Data[Match],TBA_Matches_All[[#This Row],[Match_Number]],Dyno_Data[RecordType],"Activities",Dyno_Data[DelDest],"Trap", Dyno_Data[DelMiss],"0", Dyno_Data[Mode],"&lt;&gt;Auto")</f>
        <v>0</v>
      </c>
      <c r="AO141">
        <f>SUM(TBA_Matches_All[[#This Row],[AampT]]+TBA_Matches_All[[#This Row],[AspkrT]]+TBA_Matches_All[[#This Row],[AtrapT]]+TBA_Matches_All[[#This Row],[TampT]]+TBA_Matches_All[[#This Row],[TspkrT]]+TBA_Matches_All[[#This Row],[TtrapT]])</f>
        <v>1</v>
      </c>
      <c r="AP141">
        <f>COUNTIFS(Dyno_Data[Team],TBA_Matches_All[[#This Row],[Team]],Dyno_Data[Match],TBA_Matches_All[[#This Row],[Match_Number]],Dyno_Data[RecordType],"Activities",Dyno_Data[DelDest],"Neut", Dyno_Data[DelMiss],"0")</f>
        <v>0</v>
      </c>
      <c r="AQ141">
        <f>COUNTIFS(Dyno_Data[Team],TBA_Matches_All[[#This Row],[Team]],Dyno_Data[Match],TBA_Matches_All[[#This Row],[Match_Number]],Dyno_Data[RecordType],"Activities",Dyno_Data[DelDest],"AllyW", Dyno_Data[DelMiss],"0")</f>
        <v>0</v>
      </c>
      <c r="AR141" t="str">
        <f>_xlfn.XLOOKUP(SUM(MID(TBA_Matches_All[[#This Row],[Team]],4,5),(TBA_Matches_All[[#This Row],[Match_Number]]/100)),Dyno_EndMatch[teammat],Dyno_EndMatch[RobotSta],"_",0,1)</f>
        <v>Amp</v>
      </c>
      <c r="AS141">
        <f>SUMIFS(Dyno_Data[AcqDis], Dyno_Data[Team],TBA_Matches_All[[#This Row],[Team]],Dyno_Data[Match],TBA_Matches_All[[#This Row],[Match_Number]],Dyno_Data[RecordType],"Activities", Dyno_Data[AcqCenter],1,Dyno_Data[Mode],"Auto")</f>
        <v>0</v>
      </c>
      <c r="AT141">
        <f>SUMIFS(Dyno_Data[AcqDis], Dyno_Data[Team],TBA_Matches_All[[#This Row],[Team]],Dyno_Data[Match],TBA_Matches_All[[#This Row],[Match_Number]],Dyno_Data[RecordType],"Activities", Dyno_Data[AcqCenter],2,Dyno_Data[Mode],"Auto")</f>
        <v>0</v>
      </c>
      <c r="AU141">
        <f>SUMIFS(Dyno_Data[AcqDis], Dyno_Data[Team],TBA_Matches_All[[#This Row],[Team]],Dyno_Data[Match],TBA_Matches_All[[#This Row],[Match_Number]],Dyno_Data[RecordType],"Activities", Dyno_Data[AcqCenter],3,Dyno_Data[Mode],"Auto")</f>
        <v>0</v>
      </c>
      <c r="AV141">
        <f>SUMIFS(Dyno_Data[AcqDis], Dyno_Data[Team],TBA_Matches_All[[#This Row],[Team]],Dyno_Data[Match],TBA_Matches_All[[#This Row],[Match_Number]],Dyno_Data[RecordType],"Activities", Dyno_Data[AcqCenter],4,Dyno_Data[Mode],"Auto")</f>
        <v>0</v>
      </c>
      <c r="AW141">
        <f>SUMIFS(Dyno_Data[AcqDis], Dyno_Data[Team],TBA_Matches_All[[#This Row],[Team]],Dyno_Data[Match],TBA_Matches_All[[#This Row],[Match_Number]],Dyno_Data[RecordType],"Activities", Dyno_Data[AcqCenter],5,Dyno_Data[Mode],"Auto")</f>
        <v>0</v>
      </c>
      <c r="AX141">
        <f>SUMIFS(Dyno_Data[DelMiss], Dyno_Data[Team],TBA_Matches_All[[#This Row],[Team]],Dyno_Data[Match],TBA_Matches_All[[#This Row],[Match_Number]],Dyno_Data[RecordType],"Activities", Dyno_Data[DelDest],"Amp")</f>
        <v>0</v>
      </c>
      <c r="AY141" s="60">
        <f>IFERROR(SUM((TBA_Matches_All[[#This Row],[AampT]]+TBA_Matches_All[[#This Row],[TampT]])/(TBA_Matches_All[[#This Row],[AampT]]+TBA_Matches_All[[#This Row],[TampT]]+TBA_Matches_All[[#This Row],[ampM]])),0)</f>
        <v>1</v>
      </c>
      <c r="AZ141">
        <f>SUMIFS(Dyno_Data[DelMiss], Dyno_Data[Team],TBA_Matches_All[[#This Row],[Team]],Dyno_Data[Match],TBA_Matches_All[[#This Row],[Match_Number]],Dyno_Data[RecordType],"Activities", Dyno_Data[DelDest],"Spkr")</f>
        <v>0</v>
      </c>
      <c r="BA141" s="60">
        <f>IFERROR(SUM((TBA_Matches_All[[#This Row],[AspkrT]]+TBA_Matches_All[[#This Row],[TspkrT]])/(TBA_Matches_All[[#This Row],[AspkrT]]+TBA_Matches_All[[#This Row],[TspkrT]]+TBA_Matches_All[[#This Row],[spkrM]])),0)</f>
        <v>0</v>
      </c>
      <c r="BB141">
        <f>SUMIFS(Dyno_Data[DelMiss], Dyno_Data[Team],TBA_Matches_All[[#This Row],[Team]],Dyno_Data[Match],TBA_Matches_All[[#This Row],[Match_Number]],Dyno_Data[RecordType],"Activities", Dyno_Data[DelDest],"Trap")</f>
        <v>0</v>
      </c>
      <c r="BC141" s="60">
        <f>IFERROR((TBA_Matches_All[[#This Row],[AtrapT]]+TBA_Matches_All[[#This Row],[TtrapT]])/(TBA_Matches_All[[#This Row],[AtrapT]]+TBA_Matches_All[[#This Row],[TtrapT]]+TBA_Matches_All[[#This Row],[trapM]]),0)</f>
        <v>0</v>
      </c>
      <c r="BD141">
        <f>COUNTIFS(Dyno_Data[Team],TBA_Matches_All[[#This Row],[Team]],Dyno_Data[Match],TBA_Matches_All[[#This Row],[Match_Number]],Dyno_Data[RecordType],"Activities",Dyno_Data[DelDest],"Neut", Dyno_Data[DelMiss],1)</f>
        <v>0</v>
      </c>
      <c r="BE141" s="60">
        <f>IFERROR(SUM((TBA_Matches_All[[#This Row],[NeutFlrT]])/(TBA_Matches_All[[#This Row],[NeutFlrT]]+TBA_Matches_All[[#This Row],[NZflM]])),0)</f>
        <v>0</v>
      </c>
      <c r="BF141">
        <f>COUNTIFS(Dyno_Data[Team],TBA_Matches_All[[#This Row],[Team]],Dyno_Data[Match],TBA_Matches_All[[#This Row],[Match_Number]],Dyno_Data[RecordType],"Activities",Dyno_Data[DelDest],"AllyW", Dyno_Data[DelMiss],1)</f>
        <v>0</v>
      </c>
      <c r="BG141" s="60">
        <f>IFERROR(SUM((TBA_Matches_All[[#This Row],[AllyWFlrT]])/(TBA_Matches_All[[#This Row],[AllyWFlrT]]+TBA_Matches_All[[#This Row],[AZflM]])),0)</f>
        <v>0</v>
      </c>
      <c r="BH141">
        <f>COUNTIFS(Dyno_Data[Team],TBA_Matches_All[[#This Row],[Team]],Dyno_Data[Match],TBA_Matches_All[[#This Row],[Match_Number]],Dyno_Data[RecordType],"Activities",Dyno_Data[DelOrig],"OppW", Dyno_Data[DelMiss],"0")</f>
        <v>0</v>
      </c>
      <c r="BI141">
        <f>COUNTIFS(Dyno_Data[Team],TBA_Matches_All[[#This Row],[Team]],Dyno_Data[Match],TBA_Matches_All[[#This Row],[Match_Number]],Dyno_Data[RecordType],"Activities",Dyno_Data[DelOrig],"OppW", Dyno_Data[DelMiss],"1")</f>
        <v>0</v>
      </c>
      <c r="BJ141" s="60">
        <f>IFERROR(SUM((TBA_Matches_All[[#This Row],[OZflrT]])/(TBA_Matches_All[[#This Row],[OZflrT]]+TBA_Matches_All[[#This Row],[OZflrM]])),0)</f>
        <v>0</v>
      </c>
      <c r="BK141">
        <f>COUNTIFS(Dyno_Data[Team],TBA_Matches_All[[#This Row],[Team]],Dyno_Data[Match],TBA_Matches_All[[#This Row],[Match_Number]],Dyno_Data[RecordType],"Activities",Dyno_Data[DelOrig],"Neut", Dyno_Data[DelMiss],"0")</f>
        <v>0</v>
      </c>
      <c r="BL141">
        <f>COUNTIFS(Dyno_Data[Team],TBA_Matches_All[[#This Row],[Team]],Dyno_Data[Match],TBA_Matches_All[[#This Row],[Match_Number]],Dyno_Data[RecordType],"Activities",Dyno_Data[DelOrig],"Neut", Dyno_Data[DelMiss],"1")</f>
        <v>0</v>
      </c>
      <c r="BM141" s="60">
        <f>IFERROR(SUM((TBA_Matches_All[[#This Row],[NZflrT]])/(TBA_Matches_All[[#This Row],[NZflrT]]+TBA_Matches_All[[#This Row],[NZflrM]])),0)</f>
        <v>0</v>
      </c>
      <c r="BN141">
        <f>COUNTIFS(Dyno_Data[Team],TBA_Matches_All[[#This Row],[Team]],Dyno_Data[Match],TBA_Matches_All[[#This Row],[Match_Number]],Dyno_Data[RecordType],"Activities",Dyno_Data[DelOrig],"AllyW", Dyno_Data[DelMiss],"0")</f>
        <v>1</v>
      </c>
      <c r="BO141">
        <f>COUNTIFS(Dyno_Data[Team],TBA_Matches_All[[#This Row],[Team]],Dyno_Data[Match],TBA_Matches_All[[#This Row],[Match_Number]],Dyno_Data[RecordType],"Activities",Dyno_Data[DelOrig],"AllyW", Dyno_Data[DelMiss],"1")</f>
        <v>0</v>
      </c>
      <c r="BP141" s="60">
        <f>IFERROR(SUM((TBA_Matches_All[[#This Row],[AZflrT]])/(TBA_Matches_All[[#This Row],[AZflrT]]+TBA_Matches_All[[#This Row],[AZflrM]])),0)</f>
        <v>1</v>
      </c>
      <c r="BQ141">
        <f>COUNTIFS(Dyno_Data[Team],TBA_Matches_All[[#This Row],[Team]],Dyno_Data[Match],TBA_Matches_All[[#This Row],[Match_Number]],Dyno_Data[RecordType],"Activities",Dyno_Data[DelOrig],"SubW", Dyno_Data[DelMiss],"0")</f>
        <v>0</v>
      </c>
      <c r="BR141">
        <f>COUNTIFS(Dyno_Data[Team],TBA_Matches_All[[#This Row],[Team]],Dyno_Data[Match],TBA_Matches_All[[#This Row],[Match_Number]],Dyno_Data[RecordType],"Activities",Dyno_Data[DelOrig],"SubW", Dyno_Data[DelMiss],"1")</f>
        <v>0</v>
      </c>
      <c r="BS141" s="60">
        <f>IFERROR(SUM((TBA_Matches_All[[#This Row],[SubwT]])/(TBA_Matches_All[[#This Row],[SubwT]]+TBA_Matches_All[[#This Row],[SubwM]])),0)</f>
        <v>0</v>
      </c>
      <c r="BT141">
        <f>COUNTIFS(Dyno_Data[Team],TBA_Matches_All[[#This Row],[Team]],Dyno_Data[Match],TBA_Matches_All[[#This Row],[Match_Number]],Dyno_Data[RecordType],"Activities", Dyno_Data[AcqLoc],"OppWing")</f>
        <v>0</v>
      </c>
      <c r="BU141">
        <f>COUNTIFS(Dyno_Data[Team],TBA_Matches_All[[#This Row],[Team]],Dyno_Data[Match],TBA_Matches_All[[#This Row],[Match_Number]],Dyno_Data[RecordType],"Activities", Dyno_Data[AcqLoc],"Neutral")</f>
        <v>0</v>
      </c>
      <c r="BV141">
        <f>COUNTIFS(Dyno_Data[Team],TBA_Matches_All[[#This Row],[Team]],Dyno_Data[Match],TBA_Matches_All[[#This Row],[Match_Number]],Dyno_Data[RecordType],"Activities", Dyno_Data[AcqLoc],"AllyWing")</f>
        <v>0</v>
      </c>
      <c r="BW141">
        <f>COUNTIFS(Dyno_Data[Team],TBA_Matches_All[[#This Row],[Team]],Dyno_Data[Match],TBA_Matches_All[[#This Row],[Match_Number]],Dyno_Data[RecordType],"Activities", Dyno_Data[AcqLoc],"Source")</f>
        <v>0</v>
      </c>
      <c r="BX141">
        <f>SUMIFS(Dyno_Data[AcqDrp], Dyno_Data[Team],TBA_Matches_All[[#This Row],[Team]],Dyno_Data[Match],TBA_Matches_All[[#This Row],[Match_Number]],Dyno_Data[RecordType],"Activities", Dyno_Data[AcqLoc],"Source")</f>
        <v>0</v>
      </c>
      <c r="BY141">
        <f>SUMIFS(Dyno_Data[OZTime], Dyno_Data[Team],TBA_Matches_All[[#This Row],[Team]],Dyno_Data[Match],TBA_Matches_All[[#This Row],[Match_Number]],Dyno_Data[RecordType],"EndMatch")</f>
        <v>36.902508099999999</v>
      </c>
      <c r="BZ141">
        <f>SUMIFS(Dyno_Data[NZTime], Dyno_Data[Team],TBA_Matches_All[[#This Row],[Team]],Dyno_Data[Match],TBA_Matches_All[[#This Row],[Match_Number]],Dyno_Data[RecordType],"EndMatch")</f>
        <v>48.098432099999997</v>
      </c>
      <c r="CA141">
        <f>SUMIFS(Dyno_Data[AZTime], Dyno_Data[Team],TBA_Matches_All[[#This Row],[Team]],Dyno_Data[Match],TBA_Matches_All[[#This Row],[Match_Number]],Dyno_Data[RecordType],"EndMatch")</f>
        <v>46.806345999999998</v>
      </c>
      <c r="CB141">
        <f>SUMIFS(Dyno_Data[ClimbT], Dyno_Data[Team],TBA_Matches_All[[#This Row],[Team]],Dyno_Data[Match],TBA_Matches_All[[#This Row],[Match_Number]],Dyno_Data[RecordType],"EndMatch")</f>
        <v>0</v>
      </c>
      <c r="CC141" t="str">
        <f>_xlfn.XLOOKUP(SUM(MID(TBA_Matches_All[[#This Row],[Team]],4,5),(TBA_Matches_All[[#This Row],[Match_Number]]/100)),Dyno_EndMatch[teammat],Dyno_EndMatch[StageStat],"_",0,1)</f>
        <v>Park</v>
      </c>
      <c r="CD141" t="str">
        <f>_xlfn.XLOOKUP(TBA_Matches_All[[#This Row],[teammat]],Dyno_EndMatch[teammat],Dyno_EndMatch[StageAtt],"_",0,1)</f>
        <v>0</v>
      </c>
      <c r="CE141" t="str">
        <f>_xlfn.XLOOKUP(TBA_Matches_All[[#This Row],[teammat]],Dyno_EndMatch[teammat],Dyno_EndMatch[StageLoc],"_",0,1)</f>
        <v>A</v>
      </c>
      <c r="CF141">
        <f>SUMIFS(Dyno_Data[Harmony], Dyno_Data[Team],TBA_Matches_All[[#This Row],[Team]],Dyno_Data[Match],TBA_Matches_All[[#This Row],[Match_Number]],Dyno_Data[RecordType],"EndMatch", Dyno_Data[StageStat],"On",Dyno_Data[Harmony],"&lt;&gt;9")</f>
        <v>0</v>
      </c>
      <c r="CG141">
        <f>SUMIFS(Dyno_Data[Spotlit], Dyno_Data[Team],TBA_Matches_All[[#This Row],[Team]],Dyno_Data[Match],TBA_Matches_All[[#This Row],[Match_Number]],Dyno_Data[RecordType],"EndMatch", Dyno_Data[StageStat],"On",Dyno_Data[Spotlit],"&lt;&gt;9")</f>
        <v>0</v>
      </c>
      <c r="CH141" t="str">
        <f>_xlfn.XLOOKUP(TBA_Matches_All[[#This Row],[teammat]],Dyno_EndMatch[teammat],Dyno_EndMatch[Strategy],"_",0,1)</f>
        <v>Defense</v>
      </c>
      <c r="CI141">
        <f>SUMIFS(Dyno_Data[Defense], Dyno_Data[Team],TBA_Matches_All[[#This Row],[Team]],Dyno_Data[Match],TBA_Matches_All[[#This Row],[Match_Number]],Dyno_Data[RecordType],"EndMatch",Dyno_Data[Defense],"&lt;&gt;9")</f>
        <v>3</v>
      </c>
      <c r="CJ141">
        <f>SUMIFS(Dyno_Data[Avoidance], Dyno_Data[Team],TBA_Matches_All[[#This Row],[Team]],Dyno_Data[Match],TBA_Matches_All[[#This Row],[Match_Number]],Dyno_Data[RecordType],"EndMatch",Dyno_Data[Avoidance],"&lt;&gt;9")</f>
        <v>0</v>
      </c>
      <c r="CK141" s="82">
        <f>COUNTIF($H$2:TBA_Matches_All[[#This Row],[Team]],TBA_Matches_All[[#This Row],[Team]])</f>
        <v>3</v>
      </c>
      <c r="CL141" s="111">
        <f>SUM(MID(TBA_Matches_All[[#This Row],[Team]],4,5)+TBA_Matches_All[[#This Row],[Match_Number]]/100)</f>
        <v>6648.24</v>
      </c>
      <c r="CM141">
        <f>SUM((TBA_Matches_All[[#This Row],[Leave]]*2)+(TBA_Matches_All[[#This Row],[AampT]]*2)+(TBA_Matches_All[[#This Row],[AspkrT]]*5)+(TBA_Matches_All[[#This Row],[AtrapT]]*5))</f>
        <v>0</v>
      </c>
      <c r="CN141" s="59">
        <f>IFERROR(SUM(TBA_Matches_All[[#This Row],[AptsT]]/TBA_Matches_All[[#This Row],[AutoPts]]),0)</f>
        <v>0</v>
      </c>
      <c r="CO141" s="59">
        <f>IFERROR(SUM(TBA_Matches_All[[#This Row],[AampT]]+TBA_Matches_All[[#This Row],[AspkrT]]+TBA_Matches_All[[#This Row],[AtrapT]]/TBA_Matches_All[[#This Row],[Aamp]]+TBA_Matches_All[[#This Row],[Aspkr]]+TBA_Matches_All[[#This Row],[AtrapT]]),0)</f>
        <v>0</v>
      </c>
      <c r="CP141" s="59">
        <f>IFERROR(SUM(TBA_Matches_All[[#This Row],[TampT]]/TBA_Matches_All[[#This Row],[Tamp]]),0)</f>
        <v>0.5</v>
      </c>
      <c r="CQ141" s="59">
        <f>IFERROR(SUM(TBA_Matches_All[[#This Row],[TspkrT]]/TBA_Matches_All[[#This Row],[Tspkr]]),0)</f>
        <v>0</v>
      </c>
      <c r="CR141">
        <f>SUM(TBA_Matches_All[[#This Row],[TspkrPts]]*TBA_Matches_All[[#This Row],[TspkrP]])</f>
        <v>0</v>
      </c>
      <c r="CS141" s="59">
        <f>IFERROR(SUM(TBA_Matches_All[[#This Row],[TtrapT]]/TBA_Matches_All[[#This Row],[Trap]]),0)</f>
        <v>0</v>
      </c>
      <c r="CT141" s="59">
        <f>IFERROR(SUM(TBA_Matches_All[[#This Row],[TotNotesT]]/TBA_Matches_All[[#This Row],[TotNotes]]),0)</f>
        <v>0.14285714285714285</v>
      </c>
      <c r="CU141" s="66">
        <f>SUM((TBA_Matches_All[[#This Row],[AampT]]*2)+(TBA_Matches_All[[#This Row],[AspkrT]]*5)+(TBA_Matches_All[[#This Row],[AtrapT]]*5)+(TBA_Matches_All[[#This Row],[TampT]]*1)+(TBA_Matches_All[[#This Row],[TspkrptsC]]))</f>
        <v>1</v>
      </c>
      <c r="CV141" s="59">
        <f>IFERROR(TBA_Matches_All[[#This Row],[noteptsT]]/TBA_Matches_All[[#This Row],[NotePts]],0)</f>
        <v>6.6666666666666666E-2</v>
      </c>
      <c r="CW141">
        <f>SUM(IF(TBA_Matches_All[[#This Row],[stageStat]]="On",3,0),IF(TBA_Matches_All[[#This Row],[stageStat]]="Park",1,0),SUMIFS(TBA_Matches_All[[#This Row],[Spotlit]],TBA_Matches_All[[#This Row],[stageStat]],"On"),SUMIFS(TBA_Matches_All[[#This Row],[Harmony]],TBA_Matches_All[[#This Row],[stageStat]],"On"))</f>
        <v>1</v>
      </c>
      <c r="CX141" s="59">
        <f>IFERROR(TBA_Matches_All[[#This Row],[stageptsT]]/TBA_Matches_All[[#This Row],[StagePts]],0)</f>
        <v>0.25</v>
      </c>
      <c r="CY141">
        <f>SUM((TBA_Matches_All[[#This Row],[AptsT]]+TBA_Matches_All[[#This Row],[TampT]]+TBA_Matches_All[[#This Row],[TspkrptsC]]+(TBA_Matches_All[[#This Row],[TtrapT]]*5)+TBA_Matches_All[[#This Row],[stageptsT]]))</f>
        <v>2</v>
      </c>
      <c r="CZ141" s="59">
        <f>IFERROR(SUM(TBA_Matches_All[[#This Row],[TotptsC]]/TBA_Matches_All[[#This Row],[Score]]),0)</f>
        <v>7.1428571428571425E-2</v>
      </c>
      <c r="DA14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0.2</v>
      </c>
      <c r="DB141" s="74">
        <f>SUMIFS(TBA_Matches_All[AveTeamTNoteDels],TBA_Matches_All[Match_Number],TBA_Matches_All[[#This Row],[Match_Number]],TBA_Matches_All[Alliance],"&lt;&gt;"&amp;TBA_Matches_All[[#This Row],[Alliance]],TBA_Matches_All[Scouted],"&gt;0")</f>
        <v>24.16</v>
      </c>
      <c r="DC141" s="74">
        <f>(TBA_Matches_All[[#This Row],[TampT]]+TBA_Matches_All[[#This Row],[TspkrptsC]])-TBA_Matches_All[[#This Row],[AveTeamTNoteDels]]</f>
        <v>0.8</v>
      </c>
      <c r="DD141" s="74">
        <f>SUMIFS(TBA_Matches_All[AveTeamTNoteDels],TBA_Matches_All[Match_Number],TBA_Matches_All[[#This Row],[Match_Number]],TBA_Matches_All[Alliance],"&lt;&gt;"&amp;TBA_Matches_All[[#This Row],[Alliance]])-TBA_Matches_All[[#This Row],[AveOppTNoteDels]]</f>
        <v>0</v>
      </c>
    </row>
    <row r="142" spans="1:108" x14ac:dyDescent="0.3">
      <c r="A142" t="s">
        <v>1042</v>
      </c>
      <c r="B142" t="s">
        <v>489</v>
      </c>
      <c r="C142" t="s">
        <v>1333</v>
      </c>
      <c r="D142">
        <v>24</v>
      </c>
      <c r="E142" t="s">
        <v>1406</v>
      </c>
      <c r="F142" t="s">
        <v>1422</v>
      </c>
      <c r="G142" t="s">
        <v>105</v>
      </c>
      <c r="H142" t="s">
        <v>1297</v>
      </c>
      <c r="I142" t="b">
        <v>1</v>
      </c>
      <c r="J142">
        <v>63</v>
      </c>
      <c r="K142">
        <v>1</v>
      </c>
      <c r="L142">
        <v>0</v>
      </c>
      <c r="M142">
        <v>9</v>
      </c>
      <c r="N142">
        <v>0</v>
      </c>
      <c r="O142">
        <v>4</v>
      </c>
      <c r="P142">
        <v>20</v>
      </c>
      <c r="Q142">
        <v>22</v>
      </c>
      <c r="R142">
        <v>5</v>
      </c>
      <c r="S142">
        <v>2</v>
      </c>
      <c r="T142">
        <v>8</v>
      </c>
      <c r="U142">
        <v>10</v>
      </c>
      <c r="V142">
        <v>16</v>
      </c>
      <c r="W142">
        <v>10</v>
      </c>
      <c r="X142">
        <v>26</v>
      </c>
      <c r="Y142">
        <v>31</v>
      </c>
      <c r="Z142">
        <v>0</v>
      </c>
      <c r="AA142">
        <v>0</v>
      </c>
      <c r="AB142">
        <v>19</v>
      </c>
      <c r="AC142">
        <v>51</v>
      </c>
      <c r="AD142">
        <v>5</v>
      </c>
      <c r="AE142">
        <f>IFERROR(6/(COUNTIF(Dyno_EndMatch[Match],TBA_Matches_All[[#This Row],[Match_Number]])),0)</f>
        <v>1</v>
      </c>
      <c r="AF142">
        <f>COUNTIFS(Dyno_Data[Team],TBA_Matches_All[[#This Row],[Team]],Dyno_Data[Match],TBA_Matches_All[[#This Row],[Match_Number]],Dyno_Data[RecordType],"EndMatch",Dyno_Data[HPAmp],"Y")</f>
        <v>0</v>
      </c>
      <c r="AG142">
        <f>SUMIFS(Dyno_Data[Mics], Dyno_Data[Team],TBA_Matches_All[[#This Row],[Team]],Dyno_Data[Match],TBA_Matches_All[[#This Row],[Match_Number]],Dyno_Data[RecordType],"EndMatch",Dyno_Data[HPAmp],"Y")</f>
        <v>0</v>
      </c>
      <c r="AH142">
        <f>SUMIFS(Dyno_Data[Leave], Dyno_Data[Team],TBA_Matches_All[[#This Row],[Team]],Dyno_Data[Match],TBA_Matches_All[[#This Row],[Match_Number]],Dyno_Data[RecordType],"EndAuto")</f>
        <v>0</v>
      </c>
      <c r="AI142">
        <f>COUNTIFS(Dyno_Data[Team],TBA_Matches_All[[#This Row],[Team]],Dyno_Data[Match],TBA_Matches_All[[#This Row],[Match_Number]],Dyno_Data[RecordType],"Activities",Dyno_Data[DelDest],"Amp", Dyno_Data[DelMiss],"0", Dyno_Data[Mode],"Auto")</f>
        <v>0</v>
      </c>
      <c r="AJ142">
        <f>COUNTIFS(Dyno_Data[Team],TBA_Matches_All[[#This Row],[Team]],Dyno_Data[Match],TBA_Matches_All[[#This Row],[Match_Number]],Dyno_Data[RecordType],"Activities",Dyno_Data[DelDest],"Spkr", Dyno_Data[DelMiss],"0", Dyno_Data[Mode],"Auto")</f>
        <v>0</v>
      </c>
      <c r="AK142">
        <f>COUNTIFS(Dyno_Data[Team],TBA_Matches_All[[#This Row],[Team]],Dyno_Data[Match],TBA_Matches_All[[#This Row],[Match_Number]],Dyno_Data[RecordType],"Activities",Dyno_Data[DelDest],"Trap", Dyno_Data[DelMiss],"0", Dyno_Data[Mode],"Auto")</f>
        <v>0</v>
      </c>
      <c r="AL142">
        <f>COUNTIFS(Dyno_Data[Team],TBA_Matches_All[[#This Row],[Team]],Dyno_Data[Match],TBA_Matches_All[[#This Row],[Match_Number]],Dyno_Data[RecordType],"Activities",Dyno_Data[DelDest],"Amp", Dyno_Data[DelMiss],"0", Dyno_Data[Mode],"Teleop")</f>
        <v>5</v>
      </c>
      <c r="AM142">
        <f>COUNTIFS(Dyno_Data[Team],TBA_Matches_All[[#This Row],[Team]],Dyno_Data[Match],TBA_Matches_All[[#This Row],[Match_Number]],Dyno_Data[RecordType],"Activities",Dyno_Data[DelDest],"Spkr", Dyno_Data[DelMiss],"0", Dyno_Data[Mode],"Teleop")</f>
        <v>0</v>
      </c>
      <c r="AN142">
        <f>COUNTIFS(Dyno_Data[Team],TBA_Matches_All[[#This Row],[Team]],Dyno_Data[Match],TBA_Matches_All[[#This Row],[Match_Number]],Dyno_Data[RecordType],"Activities",Dyno_Data[DelDest],"Trap", Dyno_Data[DelMiss],"0", Dyno_Data[Mode],"&lt;&gt;Auto")</f>
        <v>0</v>
      </c>
      <c r="AO142">
        <f>SUM(TBA_Matches_All[[#This Row],[AampT]]+TBA_Matches_All[[#This Row],[AspkrT]]+TBA_Matches_All[[#This Row],[AtrapT]]+TBA_Matches_All[[#This Row],[TampT]]+TBA_Matches_All[[#This Row],[TspkrT]]+TBA_Matches_All[[#This Row],[TtrapT]])</f>
        <v>5</v>
      </c>
      <c r="AP142">
        <f>COUNTIFS(Dyno_Data[Team],TBA_Matches_All[[#This Row],[Team]],Dyno_Data[Match],TBA_Matches_All[[#This Row],[Match_Number]],Dyno_Data[RecordType],"Activities",Dyno_Data[DelDest],"Neut", Dyno_Data[DelMiss],"0")</f>
        <v>0</v>
      </c>
      <c r="AQ142">
        <f>COUNTIFS(Dyno_Data[Team],TBA_Matches_All[[#This Row],[Team]],Dyno_Data[Match],TBA_Matches_All[[#This Row],[Match_Number]],Dyno_Data[RecordType],"Activities",Dyno_Data[DelDest],"AllyW", Dyno_Data[DelMiss],"0")</f>
        <v>0</v>
      </c>
      <c r="AR142" t="str">
        <f>_xlfn.XLOOKUP(SUM(MID(TBA_Matches_All[[#This Row],[Team]],4,5),(TBA_Matches_All[[#This Row],[Match_Number]]/100)),Dyno_EndMatch[teammat],Dyno_EndMatch[RobotSta],"_",0,1)</f>
        <v>Amp</v>
      </c>
      <c r="AS142">
        <f>SUMIFS(Dyno_Data[AcqDis], Dyno_Data[Team],TBA_Matches_All[[#This Row],[Team]],Dyno_Data[Match],TBA_Matches_All[[#This Row],[Match_Number]],Dyno_Data[RecordType],"Activities", Dyno_Data[AcqCenter],1,Dyno_Data[Mode],"Auto")</f>
        <v>0</v>
      </c>
      <c r="AT142">
        <f>SUMIFS(Dyno_Data[AcqDis], Dyno_Data[Team],TBA_Matches_All[[#This Row],[Team]],Dyno_Data[Match],TBA_Matches_All[[#This Row],[Match_Number]],Dyno_Data[RecordType],"Activities", Dyno_Data[AcqCenter],2,Dyno_Data[Mode],"Auto")</f>
        <v>0</v>
      </c>
      <c r="AU142">
        <f>SUMIFS(Dyno_Data[AcqDis], Dyno_Data[Team],TBA_Matches_All[[#This Row],[Team]],Dyno_Data[Match],TBA_Matches_All[[#This Row],[Match_Number]],Dyno_Data[RecordType],"Activities", Dyno_Data[AcqCenter],3,Dyno_Data[Mode],"Auto")</f>
        <v>0</v>
      </c>
      <c r="AV142">
        <f>SUMIFS(Dyno_Data[AcqDis], Dyno_Data[Team],TBA_Matches_All[[#This Row],[Team]],Dyno_Data[Match],TBA_Matches_All[[#This Row],[Match_Number]],Dyno_Data[RecordType],"Activities", Dyno_Data[AcqCenter],4,Dyno_Data[Mode],"Auto")</f>
        <v>0</v>
      </c>
      <c r="AW142">
        <f>SUMIFS(Dyno_Data[AcqDis], Dyno_Data[Team],TBA_Matches_All[[#This Row],[Team]],Dyno_Data[Match],TBA_Matches_All[[#This Row],[Match_Number]],Dyno_Data[RecordType],"Activities", Dyno_Data[AcqCenter],5,Dyno_Data[Mode],"Auto")</f>
        <v>0</v>
      </c>
      <c r="AX142">
        <f>SUMIFS(Dyno_Data[DelMiss], Dyno_Data[Team],TBA_Matches_All[[#This Row],[Team]],Dyno_Data[Match],TBA_Matches_All[[#This Row],[Match_Number]],Dyno_Data[RecordType],"Activities", Dyno_Data[DelDest],"Amp")</f>
        <v>0</v>
      </c>
      <c r="AY142" s="60">
        <f>IFERROR(SUM((TBA_Matches_All[[#This Row],[AampT]]+TBA_Matches_All[[#This Row],[TampT]])/(TBA_Matches_All[[#This Row],[AampT]]+TBA_Matches_All[[#This Row],[TampT]]+TBA_Matches_All[[#This Row],[ampM]])),0)</f>
        <v>1</v>
      </c>
      <c r="AZ142">
        <f>SUMIFS(Dyno_Data[DelMiss], Dyno_Data[Team],TBA_Matches_All[[#This Row],[Team]],Dyno_Data[Match],TBA_Matches_All[[#This Row],[Match_Number]],Dyno_Data[RecordType],"Activities", Dyno_Data[DelDest],"Spkr")</f>
        <v>0</v>
      </c>
      <c r="BA142" s="60">
        <f>IFERROR(SUM((TBA_Matches_All[[#This Row],[AspkrT]]+TBA_Matches_All[[#This Row],[TspkrT]])/(TBA_Matches_All[[#This Row],[AspkrT]]+TBA_Matches_All[[#This Row],[TspkrT]]+TBA_Matches_All[[#This Row],[spkrM]])),0)</f>
        <v>0</v>
      </c>
      <c r="BB142">
        <f>SUMIFS(Dyno_Data[DelMiss], Dyno_Data[Team],TBA_Matches_All[[#This Row],[Team]],Dyno_Data[Match],TBA_Matches_All[[#This Row],[Match_Number]],Dyno_Data[RecordType],"Activities", Dyno_Data[DelDest],"Trap")</f>
        <v>0</v>
      </c>
      <c r="BC142" s="60">
        <f>IFERROR((TBA_Matches_All[[#This Row],[AtrapT]]+TBA_Matches_All[[#This Row],[TtrapT]])/(TBA_Matches_All[[#This Row],[AtrapT]]+TBA_Matches_All[[#This Row],[TtrapT]]+TBA_Matches_All[[#This Row],[trapM]]),0)</f>
        <v>0</v>
      </c>
      <c r="BD142">
        <f>COUNTIFS(Dyno_Data[Team],TBA_Matches_All[[#This Row],[Team]],Dyno_Data[Match],TBA_Matches_All[[#This Row],[Match_Number]],Dyno_Data[RecordType],"Activities",Dyno_Data[DelDest],"Neut", Dyno_Data[DelMiss],1)</f>
        <v>0</v>
      </c>
      <c r="BE142" s="60">
        <f>IFERROR(SUM((TBA_Matches_All[[#This Row],[NeutFlrT]])/(TBA_Matches_All[[#This Row],[NeutFlrT]]+TBA_Matches_All[[#This Row],[NZflM]])),0)</f>
        <v>0</v>
      </c>
      <c r="BF142">
        <f>COUNTIFS(Dyno_Data[Team],TBA_Matches_All[[#This Row],[Team]],Dyno_Data[Match],TBA_Matches_All[[#This Row],[Match_Number]],Dyno_Data[RecordType],"Activities",Dyno_Data[DelDest],"AllyW", Dyno_Data[DelMiss],1)</f>
        <v>0</v>
      </c>
      <c r="BG142" s="60">
        <f>IFERROR(SUM((TBA_Matches_All[[#This Row],[AllyWFlrT]])/(TBA_Matches_All[[#This Row],[AllyWFlrT]]+TBA_Matches_All[[#This Row],[AZflM]])),0)</f>
        <v>0</v>
      </c>
      <c r="BH142">
        <f>COUNTIFS(Dyno_Data[Team],TBA_Matches_All[[#This Row],[Team]],Dyno_Data[Match],TBA_Matches_All[[#This Row],[Match_Number]],Dyno_Data[RecordType],"Activities",Dyno_Data[DelOrig],"OppW", Dyno_Data[DelMiss],"0")</f>
        <v>0</v>
      </c>
      <c r="BI142">
        <f>COUNTIFS(Dyno_Data[Team],TBA_Matches_All[[#This Row],[Team]],Dyno_Data[Match],TBA_Matches_All[[#This Row],[Match_Number]],Dyno_Data[RecordType],"Activities",Dyno_Data[DelOrig],"OppW", Dyno_Data[DelMiss],"1")</f>
        <v>0</v>
      </c>
      <c r="BJ142" s="60">
        <f>IFERROR(SUM((TBA_Matches_All[[#This Row],[OZflrT]])/(TBA_Matches_All[[#This Row],[OZflrT]]+TBA_Matches_All[[#This Row],[OZflrM]])),0)</f>
        <v>0</v>
      </c>
      <c r="BK142">
        <f>COUNTIFS(Dyno_Data[Team],TBA_Matches_All[[#This Row],[Team]],Dyno_Data[Match],TBA_Matches_All[[#This Row],[Match_Number]],Dyno_Data[RecordType],"Activities",Dyno_Data[DelOrig],"Neut", Dyno_Data[DelMiss],"0")</f>
        <v>0</v>
      </c>
      <c r="BL142">
        <f>COUNTIFS(Dyno_Data[Team],TBA_Matches_All[[#This Row],[Team]],Dyno_Data[Match],TBA_Matches_All[[#This Row],[Match_Number]],Dyno_Data[RecordType],"Activities",Dyno_Data[DelOrig],"Neut", Dyno_Data[DelMiss],"1")</f>
        <v>0</v>
      </c>
      <c r="BM142" s="60">
        <f>IFERROR(SUM((TBA_Matches_All[[#This Row],[NZflrT]])/(TBA_Matches_All[[#This Row],[NZflrT]]+TBA_Matches_All[[#This Row],[NZflrM]])),0)</f>
        <v>0</v>
      </c>
      <c r="BN142">
        <f>COUNTIFS(Dyno_Data[Team],TBA_Matches_All[[#This Row],[Team]],Dyno_Data[Match],TBA_Matches_All[[#This Row],[Match_Number]],Dyno_Data[RecordType],"Activities",Dyno_Data[DelOrig],"AllyW", Dyno_Data[DelMiss],"0")</f>
        <v>5</v>
      </c>
      <c r="BO142">
        <f>COUNTIFS(Dyno_Data[Team],TBA_Matches_All[[#This Row],[Team]],Dyno_Data[Match],TBA_Matches_All[[#This Row],[Match_Number]],Dyno_Data[RecordType],"Activities",Dyno_Data[DelOrig],"AllyW", Dyno_Data[DelMiss],"1")</f>
        <v>0</v>
      </c>
      <c r="BP142" s="60">
        <f>IFERROR(SUM((TBA_Matches_All[[#This Row],[AZflrT]])/(TBA_Matches_All[[#This Row],[AZflrT]]+TBA_Matches_All[[#This Row],[AZflrM]])),0)</f>
        <v>1</v>
      </c>
      <c r="BQ142">
        <f>COUNTIFS(Dyno_Data[Team],TBA_Matches_All[[#This Row],[Team]],Dyno_Data[Match],TBA_Matches_All[[#This Row],[Match_Number]],Dyno_Data[RecordType],"Activities",Dyno_Data[DelOrig],"SubW", Dyno_Data[DelMiss],"0")</f>
        <v>0</v>
      </c>
      <c r="BR142">
        <f>COUNTIFS(Dyno_Data[Team],TBA_Matches_All[[#This Row],[Team]],Dyno_Data[Match],TBA_Matches_All[[#This Row],[Match_Number]],Dyno_Data[RecordType],"Activities",Dyno_Data[DelOrig],"SubW", Dyno_Data[DelMiss],"1")</f>
        <v>0</v>
      </c>
      <c r="BS142" s="60">
        <f>IFERROR(SUM((TBA_Matches_All[[#This Row],[SubwT]])/(TBA_Matches_All[[#This Row],[SubwT]]+TBA_Matches_All[[#This Row],[SubwM]])),0)</f>
        <v>0</v>
      </c>
      <c r="BT142">
        <f>COUNTIFS(Dyno_Data[Team],TBA_Matches_All[[#This Row],[Team]],Dyno_Data[Match],TBA_Matches_All[[#This Row],[Match_Number]],Dyno_Data[RecordType],"Activities", Dyno_Data[AcqLoc],"OppWing")</f>
        <v>0</v>
      </c>
      <c r="BU142">
        <f>COUNTIFS(Dyno_Data[Team],TBA_Matches_All[[#This Row],[Team]],Dyno_Data[Match],TBA_Matches_All[[#This Row],[Match_Number]],Dyno_Data[RecordType],"Activities", Dyno_Data[AcqLoc],"Neutral")</f>
        <v>0</v>
      </c>
      <c r="BV142">
        <f>COUNTIFS(Dyno_Data[Team],TBA_Matches_All[[#This Row],[Team]],Dyno_Data[Match],TBA_Matches_All[[#This Row],[Match_Number]],Dyno_Data[RecordType],"Activities", Dyno_Data[AcqLoc],"AllyWing")</f>
        <v>0</v>
      </c>
      <c r="BW142">
        <f>COUNTIFS(Dyno_Data[Team],TBA_Matches_All[[#This Row],[Team]],Dyno_Data[Match],TBA_Matches_All[[#This Row],[Match_Number]],Dyno_Data[RecordType],"Activities", Dyno_Data[AcqLoc],"Source")</f>
        <v>0</v>
      </c>
      <c r="BX142">
        <f>SUMIFS(Dyno_Data[AcqDrp], Dyno_Data[Team],TBA_Matches_All[[#This Row],[Team]],Dyno_Data[Match],TBA_Matches_All[[#This Row],[Match_Number]],Dyno_Data[RecordType],"Activities", Dyno_Data[AcqLoc],"Source")</f>
        <v>0</v>
      </c>
      <c r="BY142">
        <f>SUMIFS(Dyno_Data[OZTime], Dyno_Data[Team],TBA_Matches_All[[#This Row],[Team]],Dyno_Data[Match],TBA_Matches_All[[#This Row],[Match_Number]],Dyno_Data[RecordType],"EndMatch")</f>
        <v>10.3116238</v>
      </c>
      <c r="BZ142">
        <f>SUMIFS(Dyno_Data[NZTime], Dyno_Data[Team],TBA_Matches_All[[#This Row],[Team]],Dyno_Data[Match],TBA_Matches_All[[#This Row],[Match_Number]],Dyno_Data[RecordType],"EndMatch")</f>
        <v>14.0311191</v>
      </c>
      <c r="CA142">
        <f>SUMIFS(Dyno_Data[AZTime], Dyno_Data[Team],TBA_Matches_All[[#This Row],[Team]],Dyno_Data[Match],TBA_Matches_All[[#This Row],[Match_Number]],Dyno_Data[RecordType],"EndMatch")</f>
        <v>91.424087999999998</v>
      </c>
      <c r="CB142">
        <f>SUMIFS(Dyno_Data[ClimbT], Dyno_Data[Team],TBA_Matches_All[[#This Row],[Team]],Dyno_Data[Match],TBA_Matches_All[[#This Row],[Match_Number]],Dyno_Data[RecordType],"EndMatch")</f>
        <v>0</v>
      </c>
      <c r="CC142" t="str">
        <f>_xlfn.XLOOKUP(SUM(MID(TBA_Matches_All[[#This Row],[Team]],4,5),(TBA_Matches_All[[#This Row],[Match_Number]]/100)),Dyno_EndMatch[teammat],Dyno_EndMatch[StageStat],"_",0,1)</f>
        <v>Park</v>
      </c>
      <c r="CD142" t="str">
        <f>_xlfn.XLOOKUP(TBA_Matches_All[[#This Row],[teammat]],Dyno_EndMatch[teammat],Dyno_EndMatch[StageAtt],"_",0,1)</f>
        <v>0</v>
      </c>
      <c r="CE142" t="str">
        <f>_xlfn.XLOOKUP(TBA_Matches_All[[#This Row],[teammat]],Dyno_EndMatch[teammat],Dyno_EndMatch[StageLoc],"_",0,1)</f>
        <v>A</v>
      </c>
      <c r="CF142">
        <f>SUMIFS(Dyno_Data[Harmony], Dyno_Data[Team],TBA_Matches_All[[#This Row],[Team]],Dyno_Data[Match],TBA_Matches_All[[#This Row],[Match_Number]],Dyno_Data[RecordType],"EndMatch", Dyno_Data[StageStat],"On",Dyno_Data[Harmony],"&lt;&gt;9")</f>
        <v>0</v>
      </c>
      <c r="CG142">
        <f>SUMIFS(Dyno_Data[Spotlit], Dyno_Data[Team],TBA_Matches_All[[#This Row],[Team]],Dyno_Data[Match],TBA_Matches_All[[#This Row],[Match_Number]],Dyno_Data[RecordType],"EndMatch", Dyno_Data[StageStat],"On",Dyno_Data[Spotlit],"&lt;&gt;9")</f>
        <v>0</v>
      </c>
      <c r="CH142" t="str">
        <f>_xlfn.XLOOKUP(TBA_Matches_All[[#This Row],[teammat]],Dyno_EndMatch[teammat],Dyno_EndMatch[Strategy],"_",0,1)</f>
        <v>Hybrid</v>
      </c>
      <c r="CI142">
        <f>SUMIFS(Dyno_Data[Defense], Dyno_Data[Team],TBA_Matches_All[[#This Row],[Team]],Dyno_Data[Match],TBA_Matches_All[[#This Row],[Match_Number]],Dyno_Data[RecordType],"EndMatch",Dyno_Data[Defense],"&lt;&gt;9")</f>
        <v>0</v>
      </c>
      <c r="CJ142">
        <f>SUMIFS(Dyno_Data[Avoidance], Dyno_Data[Team],TBA_Matches_All[[#This Row],[Team]],Dyno_Data[Match],TBA_Matches_All[[#This Row],[Match_Number]],Dyno_Data[RecordType],"EndMatch",Dyno_Data[Avoidance],"&lt;&gt;9")</f>
        <v>0</v>
      </c>
      <c r="CK142" s="82">
        <f>COUNTIF($H$2:TBA_Matches_All[[#This Row],[Team]],TBA_Matches_All[[#This Row],[Team]])</f>
        <v>3</v>
      </c>
      <c r="CL142" s="111">
        <f>SUM(MID(TBA_Matches_All[[#This Row],[Team]],4,5)+TBA_Matches_All[[#This Row],[Match_Number]]/100)</f>
        <v>9750.24</v>
      </c>
      <c r="CM142">
        <f>SUM((TBA_Matches_All[[#This Row],[Leave]]*2)+(TBA_Matches_All[[#This Row],[AampT]]*2)+(TBA_Matches_All[[#This Row],[AspkrT]]*5)+(TBA_Matches_All[[#This Row],[AtrapT]]*5))</f>
        <v>0</v>
      </c>
      <c r="CN142" s="59">
        <f>IFERROR(SUM(TBA_Matches_All[[#This Row],[AptsT]]/TBA_Matches_All[[#This Row],[AutoPts]]),0)</f>
        <v>0</v>
      </c>
      <c r="CO142" s="59">
        <f>IFERROR(SUM(TBA_Matches_All[[#This Row],[AampT]]+TBA_Matches_All[[#This Row],[AspkrT]]+TBA_Matches_All[[#This Row],[AtrapT]]/TBA_Matches_All[[#This Row],[Aamp]]+TBA_Matches_All[[#This Row],[Aspkr]]+TBA_Matches_All[[#This Row],[AtrapT]]),0)</f>
        <v>0</v>
      </c>
      <c r="CP142" s="59">
        <f>IFERROR(SUM(TBA_Matches_All[[#This Row],[TampT]]/TBA_Matches_All[[#This Row],[Tamp]]),0)</f>
        <v>1</v>
      </c>
      <c r="CQ142" s="59">
        <f>IFERROR(SUM(TBA_Matches_All[[#This Row],[TspkrT]]/TBA_Matches_All[[#This Row],[Tspkr]]),0)</f>
        <v>0</v>
      </c>
      <c r="CR142">
        <f>SUM(TBA_Matches_All[[#This Row],[TspkrPts]]*TBA_Matches_All[[#This Row],[TspkrP]])</f>
        <v>0</v>
      </c>
      <c r="CS142" s="59">
        <f>IFERROR(SUM(TBA_Matches_All[[#This Row],[TtrapT]]/TBA_Matches_All[[#This Row],[Trap]]),0)</f>
        <v>0</v>
      </c>
      <c r="CT142" s="59">
        <f>IFERROR(SUM(TBA_Matches_All[[#This Row],[TotNotesT]]/TBA_Matches_All[[#This Row],[TotNotes]]),0)</f>
        <v>0.26315789473684209</v>
      </c>
      <c r="CU142" s="66">
        <f>SUM((TBA_Matches_All[[#This Row],[AampT]]*2)+(TBA_Matches_All[[#This Row],[AspkrT]]*5)+(TBA_Matches_All[[#This Row],[AtrapT]]*5)+(TBA_Matches_All[[#This Row],[TampT]]*1)+(TBA_Matches_All[[#This Row],[TspkrptsC]]))</f>
        <v>5</v>
      </c>
      <c r="CV142" s="59">
        <f>IFERROR(TBA_Matches_All[[#This Row],[noteptsT]]/TBA_Matches_All[[#This Row],[NotePts]],0)</f>
        <v>9.8039215686274508E-2</v>
      </c>
      <c r="CW142">
        <f>SUM(IF(TBA_Matches_All[[#This Row],[stageStat]]="On",3,0),IF(TBA_Matches_All[[#This Row],[stageStat]]="Park",1,0),SUMIFS(TBA_Matches_All[[#This Row],[Spotlit]],TBA_Matches_All[[#This Row],[stageStat]],"On"),SUMIFS(TBA_Matches_All[[#This Row],[Harmony]],TBA_Matches_All[[#This Row],[stageStat]],"On"))</f>
        <v>1</v>
      </c>
      <c r="CX142" s="59">
        <f>IFERROR(TBA_Matches_All[[#This Row],[stageptsT]]/TBA_Matches_All[[#This Row],[StagePts]],0)</f>
        <v>0.2</v>
      </c>
      <c r="CY142">
        <f>SUM((TBA_Matches_All[[#This Row],[AptsT]]+TBA_Matches_All[[#This Row],[TampT]]+TBA_Matches_All[[#This Row],[TspkrptsC]]+(TBA_Matches_All[[#This Row],[TtrapT]]*5)+TBA_Matches_All[[#This Row],[stageptsT]]))</f>
        <v>6</v>
      </c>
      <c r="CZ142" s="59">
        <f>IFERROR(SUM(TBA_Matches_All[[#This Row],[TotptsC]]/TBA_Matches_All[[#This Row],[Score]]),0)</f>
        <v>9.5238095238095233E-2</v>
      </c>
      <c r="DA14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4.4000000000000004</v>
      </c>
      <c r="DB142" s="74">
        <f>SUMIFS(TBA_Matches_All[AveTeamTNoteDels],TBA_Matches_All[Match_Number],TBA_Matches_All[[#This Row],[Match_Number]],TBA_Matches_All[Alliance],"&lt;&gt;"&amp;TBA_Matches_All[[#This Row],[Alliance]],TBA_Matches_All[Scouted],"&gt;0")</f>
        <v>7.6363636363636376</v>
      </c>
      <c r="DC142" s="74">
        <f>(TBA_Matches_All[[#This Row],[TampT]]+TBA_Matches_All[[#This Row],[TspkrptsC]])-TBA_Matches_All[[#This Row],[AveTeamTNoteDels]]</f>
        <v>0.59999999999999964</v>
      </c>
      <c r="DD142" s="74">
        <f>SUMIFS(TBA_Matches_All[AveTeamTNoteDels],TBA_Matches_All[Match_Number],TBA_Matches_All[[#This Row],[Match_Number]],TBA_Matches_All[Alliance],"&lt;&gt;"&amp;TBA_Matches_All[[#This Row],[Alliance]])-TBA_Matches_All[[#This Row],[AveOppTNoteDels]]</f>
        <v>0</v>
      </c>
    </row>
    <row r="143" spans="1:108" x14ac:dyDescent="0.3">
      <c r="A143" t="s">
        <v>1042</v>
      </c>
      <c r="B143" t="s">
        <v>489</v>
      </c>
      <c r="C143" t="s">
        <v>1333</v>
      </c>
      <c r="D143">
        <v>24</v>
      </c>
      <c r="E143" t="s">
        <v>1420</v>
      </c>
      <c r="F143" t="s">
        <v>1423</v>
      </c>
      <c r="G143" t="s">
        <v>1409</v>
      </c>
      <c r="H143" t="s">
        <v>369</v>
      </c>
      <c r="I143" t="b">
        <v>1</v>
      </c>
      <c r="J143">
        <v>28</v>
      </c>
      <c r="K143">
        <v>0</v>
      </c>
      <c r="L143">
        <v>0</v>
      </c>
      <c r="M143">
        <v>5</v>
      </c>
      <c r="N143">
        <v>0</v>
      </c>
      <c r="O143">
        <v>1</v>
      </c>
      <c r="P143">
        <v>5</v>
      </c>
      <c r="Q143">
        <v>5</v>
      </c>
      <c r="R143">
        <v>2</v>
      </c>
      <c r="S143">
        <v>0</v>
      </c>
      <c r="T143">
        <v>4</v>
      </c>
      <c r="U143">
        <v>0</v>
      </c>
      <c r="V143">
        <v>8</v>
      </c>
      <c r="W143">
        <v>4</v>
      </c>
      <c r="X143">
        <v>8</v>
      </c>
      <c r="Y143">
        <v>10</v>
      </c>
      <c r="Z143">
        <v>0</v>
      </c>
      <c r="AA143">
        <v>0</v>
      </c>
      <c r="AB143">
        <v>7</v>
      </c>
      <c r="AC143">
        <v>15</v>
      </c>
      <c r="AD143">
        <v>4</v>
      </c>
      <c r="AE143">
        <f>IFERROR(6/(COUNTIF(Dyno_EndMatch[Match],TBA_Matches_All[[#This Row],[Match_Number]])),0)</f>
        <v>1</v>
      </c>
      <c r="AF143">
        <f>COUNTIFS(Dyno_Data[Team],TBA_Matches_All[[#This Row],[Team]],Dyno_Data[Match],TBA_Matches_All[[#This Row],[Match_Number]],Dyno_Data[RecordType],"EndMatch",Dyno_Data[HPAmp],"Y")</f>
        <v>0</v>
      </c>
      <c r="AG143">
        <f>SUMIFS(Dyno_Data[Mics], Dyno_Data[Team],TBA_Matches_All[[#This Row],[Team]],Dyno_Data[Match],TBA_Matches_All[[#This Row],[Match_Number]],Dyno_Data[RecordType],"EndMatch",Dyno_Data[HPAmp],"Y")</f>
        <v>0</v>
      </c>
      <c r="AH143">
        <f>SUMIFS(Dyno_Data[Leave], Dyno_Data[Team],TBA_Matches_All[[#This Row],[Team]],Dyno_Data[Match],TBA_Matches_All[[#This Row],[Match_Number]],Dyno_Data[RecordType],"EndAuto")</f>
        <v>0</v>
      </c>
      <c r="AI143">
        <f>COUNTIFS(Dyno_Data[Team],TBA_Matches_All[[#This Row],[Team]],Dyno_Data[Match],TBA_Matches_All[[#This Row],[Match_Number]],Dyno_Data[RecordType],"Activities",Dyno_Data[DelDest],"Amp", Dyno_Data[DelMiss],"0", Dyno_Data[Mode],"Auto")</f>
        <v>0</v>
      </c>
      <c r="AJ143">
        <f>COUNTIFS(Dyno_Data[Team],TBA_Matches_All[[#This Row],[Team]],Dyno_Data[Match],TBA_Matches_All[[#This Row],[Match_Number]],Dyno_Data[RecordType],"Activities",Dyno_Data[DelDest],"Spkr", Dyno_Data[DelMiss],"0", Dyno_Data[Mode],"Auto")</f>
        <v>0</v>
      </c>
      <c r="AK143">
        <f>COUNTIFS(Dyno_Data[Team],TBA_Matches_All[[#This Row],[Team]],Dyno_Data[Match],TBA_Matches_All[[#This Row],[Match_Number]],Dyno_Data[RecordType],"Activities",Dyno_Data[DelDest],"Trap", Dyno_Data[DelMiss],"0", Dyno_Data[Mode],"Auto")</f>
        <v>0</v>
      </c>
      <c r="AL143">
        <f>COUNTIFS(Dyno_Data[Team],TBA_Matches_All[[#This Row],[Team]],Dyno_Data[Match],TBA_Matches_All[[#This Row],[Match_Number]],Dyno_Data[RecordType],"Activities",Dyno_Data[DelDest],"Amp", Dyno_Data[DelMiss],"0", Dyno_Data[Mode],"Teleop")</f>
        <v>0</v>
      </c>
      <c r="AM143">
        <f>COUNTIFS(Dyno_Data[Team],TBA_Matches_All[[#This Row],[Team]],Dyno_Data[Match],TBA_Matches_All[[#This Row],[Match_Number]],Dyno_Data[RecordType],"Activities",Dyno_Data[DelDest],"Spkr", Dyno_Data[DelMiss],"0", Dyno_Data[Mode],"Teleop")</f>
        <v>0</v>
      </c>
      <c r="AN143">
        <f>COUNTIFS(Dyno_Data[Team],TBA_Matches_All[[#This Row],[Team]],Dyno_Data[Match],TBA_Matches_All[[#This Row],[Match_Number]],Dyno_Data[RecordType],"Activities",Dyno_Data[DelDest],"Trap", Dyno_Data[DelMiss],"0", Dyno_Data[Mode],"&lt;&gt;Auto")</f>
        <v>0</v>
      </c>
      <c r="AO143">
        <f>SUM(TBA_Matches_All[[#This Row],[AampT]]+TBA_Matches_All[[#This Row],[AspkrT]]+TBA_Matches_All[[#This Row],[AtrapT]]+TBA_Matches_All[[#This Row],[TampT]]+TBA_Matches_All[[#This Row],[TspkrT]]+TBA_Matches_All[[#This Row],[TtrapT]])</f>
        <v>0</v>
      </c>
      <c r="AP143">
        <f>COUNTIFS(Dyno_Data[Team],TBA_Matches_All[[#This Row],[Team]],Dyno_Data[Match],TBA_Matches_All[[#This Row],[Match_Number]],Dyno_Data[RecordType],"Activities",Dyno_Data[DelDest],"Neut", Dyno_Data[DelMiss],"0")</f>
        <v>0</v>
      </c>
      <c r="AQ143">
        <f>COUNTIFS(Dyno_Data[Team],TBA_Matches_All[[#This Row],[Team]],Dyno_Data[Match],TBA_Matches_All[[#This Row],[Match_Number]],Dyno_Data[RecordType],"Activities",Dyno_Data[DelDest],"AllyW", Dyno_Data[DelMiss],"0")</f>
        <v>0</v>
      </c>
      <c r="AR143" t="str">
        <f>_xlfn.XLOOKUP(SUM(MID(TBA_Matches_All[[#This Row],[Team]],4,5),(TBA_Matches_All[[#This Row],[Match_Number]]/100)),Dyno_EndMatch[teammat],Dyno_EndMatch[RobotSta],"_",0,1)</f>
        <v>OppS</v>
      </c>
      <c r="AS143">
        <f>SUMIFS(Dyno_Data[AcqDis], Dyno_Data[Team],TBA_Matches_All[[#This Row],[Team]],Dyno_Data[Match],TBA_Matches_All[[#This Row],[Match_Number]],Dyno_Data[RecordType],"Activities", Dyno_Data[AcqCenter],1,Dyno_Data[Mode],"Auto")</f>
        <v>0</v>
      </c>
      <c r="AT143">
        <f>SUMIFS(Dyno_Data[AcqDis], Dyno_Data[Team],TBA_Matches_All[[#This Row],[Team]],Dyno_Data[Match],TBA_Matches_All[[#This Row],[Match_Number]],Dyno_Data[RecordType],"Activities", Dyno_Data[AcqCenter],2,Dyno_Data[Mode],"Auto")</f>
        <v>0</v>
      </c>
      <c r="AU143">
        <f>SUMIFS(Dyno_Data[AcqDis], Dyno_Data[Team],TBA_Matches_All[[#This Row],[Team]],Dyno_Data[Match],TBA_Matches_All[[#This Row],[Match_Number]],Dyno_Data[RecordType],"Activities", Dyno_Data[AcqCenter],3,Dyno_Data[Mode],"Auto")</f>
        <v>0</v>
      </c>
      <c r="AV143">
        <f>SUMIFS(Dyno_Data[AcqDis], Dyno_Data[Team],TBA_Matches_All[[#This Row],[Team]],Dyno_Data[Match],TBA_Matches_All[[#This Row],[Match_Number]],Dyno_Data[RecordType],"Activities", Dyno_Data[AcqCenter],4,Dyno_Data[Mode],"Auto")</f>
        <v>0</v>
      </c>
      <c r="AW143">
        <f>SUMIFS(Dyno_Data[AcqDis], Dyno_Data[Team],TBA_Matches_All[[#This Row],[Team]],Dyno_Data[Match],TBA_Matches_All[[#This Row],[Match_Number]],Dyno_Data[RecordType],"Activities", Dyno_Data[AcqCenter],5,Dyno_Data[Mode],"Auto")</f>
        <v>0</v>
      </c>
      <c r="AX143">
        <f>SUMIFS(Dyno_Data[DelMiss], Dyno_Data[Team],TBA_Matches_All[[#This Row],[Team]],Dyno_Data[Match],TBA_Matches_All[[#This Row],[Match_Number]],Dyno_Data[RecordType],"Activities", Dyno_Data[DelDest],"Amp")</f>
        <v>0</v>
      </c>
      <c r="AY143" s="60">
        <f>IFERROR(SUM((TBA_Matches_All[[#This Row],[AampT]]+TBA_Matches_All[[#This Row],[TampT]])/(TBA_Matches_All[[#This Row],[AampT]]+TBA_Matches_All[[#This Row],[TampT]]+TBA_Matches_All[[#This Row],[ampM]])),0)</f>
        <v>0</v>
      </c>
      <c r="AZ143">
        <f>SUMIFS(Dyno_Data[DelMiss], Dyno_Data[Team],TBA_Matches_All[[#This Row],[Team]],Dyno_Data[Match],TBA_Matches_All[[#This Row],[Match_Number]],Dyno_Data[RecordType],"Activities", Dyno_Data[DelDest],"Spkr")</f>
        <v>0</v>
      </c>
      <c r="BA143" s="60">
        <f>IFERROR(SUM((TBA_Matches_All[[#This Row],[AspkrT]]+TBA_Matches_All[[#This Row],[TspkrT]])/(TBA_Matches_All[[#This Row],[AspkrT]]+TBA_Matches_All[[#This Row],[TspkrT]]+TBA_Matches_All[[#This Row],[spkrM]])),0)</f>
        <v>0</v>
      </c>
      <c r="BB143">
        <f>SUMIFS(Dyno_Data[DelMiss], Dyno_Data[Team],TBA_Matches_All[[#This Row],[Team]],Dyno_Data[Match],TBA_Matches_All[[#This Row],[Match_Number]],Dyno_Data[RecordType],"Activities", Dyno_Data[DelDest],"Trap")</f>
        <v>0</v>
      </c>
      <c r="BC143" s="60">
        <f>IFERROR((TBA_Matches_All[[#This Row],[AtrapT]]+TBA_Matches_All[[#This Row],[TtrapT]])/(TBA_Matches_All[[#This Row],[AtrapT]]+TBA_Matches_All[[#This Row],[TtrapT]]+TBA_Matches_All[[#This Row],[trapM]]),0)</f>
        <v>0</v>
      </c>
      <c r="BD143">
        <f>COUNTIFS(Dyno_Data[Team],TBA_Matches_All[[#This Row],[Team]],Dyno_Data[Match],TBA_Matches_All[[#This Row],[Match_Number]],Dyno_Data[RecordType],"Activities",Dyno_Data[DelDest],"Neut", Dyno_Data[DelMiss],1)</f>
        <v>0</v>
      </c>
      <c r="BE143" s="60">
        <f>IFERROR(SUM((TBA_Matches_All[[#This Row],[NeutFlrT]])/(TBA_Matches_All[[#This Row],[NeutFlrT]]+TBA_Matches_All[[#This Row],[NZflM]])),0)</f>
        <v>0</v>
      </c>
      <c r="BF143">
        <f>COUNTIFS(Dyno_Data[Team],TBA_Matches_All[[#This Row],[Team]],Dyno_Data[Match],TBA_Matches_All[[#This Row],[Match_Number]],Dyno_Data[RecordType],"Activities",Dyno_Data[DelDest],"AllyW", Dyno_Data[DelMiss],1)</f>
        <v>0</v>
      </c>
      <c r="BG143" s="60">
        <f>IFERROR(SUM((TBA_Matches_All[[#This Row],[AllyWFlrT]])/(TBA_Matches_All[[#This Row],[AllyWFlrT]]+TBA_Matches_All[[#This Row],[AZflM]])),0)</f>
        <v>0</v>
      </c>
      <c r="BH143">
        <f>COUNTIFS(Dyno_Data[Team],TBA_Matches_All[[#This Row],[Team]],Dyno_Data[Match],TBA_Matches_All[[#This Row],[Match_Number]],Dyno_Data[RecordType],"Activities",Dyno_Data[DelOrig],"OppW", Dyno_Data[DelMiss],"0")</f>
        <v>0</v>
      </c>
      <c r="BI143">
        <f>COUNTIFS(Dyno_Data[Team],TBA_Matches_All[[#This Row],[Team]],Dyno_Data[Match],TBA_Matches_All[[#This Row],[Match_Number]],Dyno_Data[RecordType],"Activities",Dyno_Data[DelOrig],"OppW", Dyno_Data[DelMiss],"1")</f>
        <v>0</v>
      </c>
      <c r="BJ143" s="60">
        <f>IFERROR(SUM((TBA_Matches_All[[#This Row],[OZflrT]])/(TBA_Matches_All[[#This Row],[OZflrT]]+TBA_Matches_All[[#This Row],[OZflrM]])),0)</f>
        <v>0</v>
      </c>
      <c r="BK143">
        <f>COUNTIFS(Dyno_Data[Team],TBA_Matches_All[[#This Row],[Team]],Dyno_Data[Match],TBA_Matches_All[[#This Row],[Match_Number]],Dyno_Data[RecordType],"Activities",Dyno_Data[DelOrig],"Neut", Dyno_Data[DelMiss],"0")</f>
        <v>0</v>
      </c>
      <c r="BL143">
        <f>COUNTIFS(Dyno_Data[Team],TBA_Matches_All[[#This Row],[Team]],Dyno_Data[Match],TBA_Matches_All[[#This Row],[Match_Number]],Dyno_Data[RecordType],"Activities",Dyno_Data[DelOrig],"Neut", Dyno_Data[DelMiss],"1")</f>
        <v>0</v>
      </c>
      <c r="BM143" s="60">
        <f>IFERROR(SUM((TBA_Matches_All[[#This Row],[NZflrT]])/(TBA_Matches_All[[#This Row],[NZflrT]]+TBA_Matches_All[[#This Row],[NZflrM]])),0)</f>
        <v>0</v>
      </c>
      <c r="BN143">
        <f>COUNTIFS(Dyno_Data[Team],TBA_Matches_All[[#This Row],[Team]],Dyno_Data[Match],TBA_Matches_All[[#This Row],[Match_Number]],Dyno_Data[RecordType],"Activities",Dyno_Data[DelOrig],"AllyW", Dyno_Data[DelMiss],"0")</f>
        <v>0</v>
      </c>
      <c r="BO143">
        <f>COUNTIFS(Dyno_Data[Team],TBA_Matches_All[[#This Row],[Team]],Dyno_Data[Match],TBA_Matches_All[[#This Row],[Match_Number]],Dyno_Data[RecordType],"Activities",Dyno_Data[DelOrig],"AllyW", Dyno_Data[DelMiss],"1")</f>
        <v>0</v>
      </c>
      <c r="BP143" s="60">
        <f>IFERROR(SUM((TBA_Matches_All[[#This Row],[AZflrT]])/(TBA_Matches_All[[#This Row],[AZflrT]]+TBA_Matches_All[[#This Row],[AZflrM]])),0)</f>
        <v>0</v>
      </c>
      <c r="BQ143">
        <f>COUNTIFS(Dyno_Data[Team],TBA_Matches_All[[#This Row],[Team]],Dyno_Data[Match],TBA_Matches_All[[#This Row],[Match_Number]],Dyno_Data[RecordType],"Activities",Dyno_Data[DelOrig],"SubW", Dyno_Data[DelMiss],"0")</f>
        <v>0</v>
      </c>
      <c r="BR143">
        <f>COUNTIFS(Dyno_Data[Team],TBA_Matches_All[[#This Row],[Team]],Dyno_Data[Match],TBA_Matches_All[[#This Row],[Match_Number]],Dyno_Data[RecordType],"Activities",Dyno_Data[DelOrig],"SubW", Dyno_Data[DelMiss],"1")</f>
        <v>0</v>
      </c>
      <c r="BS143" s="60">
        <f>IFERROR(SUM((TBA_Matches_All[[#This Row],[SubwT]])/(TBA_Matches_All[[#This Row],[SubwT]]+TBA_Matches_All[[#This Row],[SubwM]])),0)</f>
        <v>0</v>
      </c>
      <c r="BT143">
        <f>COUNTIFS(Dyno_Data[Team],TBA_Matches_All[[#This Row],[Team]],Dyno_Data[Match],TBA_Matches_All[[#This Row],[Match_Number]],Dyno_Data[RecordType],"Activities", Dyno_Data[AcqLoc],"OppWing")</f>
        <v>0</v>
      </c>
      <c r="BU143">
        <f>COUNTIFS(Dyno_Data[Team],TBA_Matches_All[[#This Row],[Team]],Dyno_Data[Match],TBA_Matches_All[[#This Row],[Match_Number]],Dyno_Data[RecordType],"Activities", Dyno_Data[AcqLoc],"Neutral")</f>
        <v>0</v>
      </c>
      <c r="BV143">
        <f>COUNTIFS(Dyno_Data[Team],TBA_Matches_All[[#This Row],[Team]],Dyno_Data[Match],TBA_Matches_All[[#This Row],[Match_Number]],Dyno_Data[RecordType],"Activities", Dyno_Data[AcqLoc],"AllyWing")</f>
        <v>0</v>
      </c>
      <c r="BW143">
        <f>COUNTIFS(Dyno_Data[Team],TBA_Matches_All[[#This Row],[Team]],Dyno_Data[Match],TBA_Matches_All[[#This Row],[Match_Number]],Dyno_Data[RecordType],"Activities", Dyno_Data[AcqLoc],"Source")</f>
        <v>0</v>
      </c>
      <c r="BX143">
        <f>SUMIFS(Dyno_Data[AcqDrp], Dyno_Data[Team],TBA_Matches_All[[#This Row],[Team]],Dyno_Data[Match],TBA_Matches_All[[#This Row],[Match_Number]],Dyno_Data[RecordType],"Activities", Dyno_Data[AcqLoc],"Source")</f>
        <v>0</v>
      </c>
      <c r="BY143">
        <f>SUMIFS(Dyno_Data[OZTime], Dyno_Data[Team],TBA_Matches_All[[#This Row],[Team]],Dyno_Data[Match],TBA_Matches_All[[#This Row],[Match_Number]],Dyno_Data[RecordType],"EndMatch")</f>
        <v>130.7310603</v>
      </c>
      <c r="BZ143">
        <f>SUMIFS(Dyno_Data[NZTime], Dyno_Data[Team],TBA_Matches_All[[#This Row],[Team]],Dyno_Data[Match],TBA_Matches_All[[#This Row],[Match_Number]],Dyno_Data[RecordType],"EndMatch")</f>
        <v>2.0643872000000001</v>
      </c>
      <c r="CA143">
        <f>SUMIFS(Dyno_Data[AZTime], Dyno_Data[Team],TBA_Matches_All[[#This Row],[Team]],Dyno_Data[Match],TBA_Matches_All[[#This Row],[Match_Number]],Dyno_Data[RecordType],"EndMatch")</f>
        <v>0</v>
      </c>
      <c r="CB143">
        <f>SUMIFS(Dyno_Data[ClimbT], Dyno_Data[Team],TBA_Matches_All[[#This Row],[Team]],Dyno_Data[Match],TBA_Matches_All[[#This Row],[Match_Number]],Dyno_Data[RecordType],"EndMatch")</f>
        <v>0</v>
      </c>
      <c r="CC143" t="str">
        <f>_xlfn.XLOOKUP(SUM(MID(TBA_Matches_All[[#This Row],[Team]],4,5),(TBA_Matches_All[[#This Row],[Match_Number]]/100)),Dyno_EndMatch[teammat],Dyno_EndMatch[StageStat],"_",0,1)</f>
        <v>Else</v>
      </c>
      <c r="CD143" t="str">
        <f>_xlfn.XLOOKUP(TBA_Matches_All[[#This Row],[teammat]],Dyno_EndMatch[teammat],Dyno_EndMatch[StageAtt],"_",0,1)</f>
        <v>0</v>
      </c>
      <c r="CE143" t="str">
        <f>_xlfn.XLOOKUP(TBA_Matches_All[[#This Row],[teammat]],Dyno_EndMatch[teammat],Dyno_EndMatch[StageLoc],"_",0,1)</f>
        <v>A</v>
      </c>
      <c r="CF143">
        <f>SUMIFS(Dyno_Data[Harmony], Dyno_Data[Team],TBA_Matches_All[[#This Row],[Team]],Dyno_Data[Match],TBA_Matches_All[[#This Row],[Match_Number]],Dyno_Data[RecordType],"EndMatch", Dyno_Data[StageStat],"On",Dyno_Data[Harmony],"&lt;&gt;9")</f>
        <v>0</v>
      </c>
      <c r="CG143">
        <f>SUMIFS(Dyno_Data[Spotlit], Dyno_Data[Team],TBA_Matches_All[[#This Row],[Team]],Dyno_Data[Match],TBA_Matches_All[[#This Row],[Match_Number]],Dyno_Data[RecordType],"EndMatch", Dyno_Data[StageStat],"On",Dyno_Data[Spotlit],"&lt;&gt;9")</f>
        <v>0</v>
      </c>
      <c r="CH143" t="str">
        <f>_xlfn.XLOOKUP(TBA_Matches_All[[#This Row],[teammat]],Dyno_EndMatch[teammat],Dyno_EndMatch[Strategy],"_",0,1)</f>
        <v>None</v>
      </c>
      <c r="CI143">
        <f>SUMIFS(Dyno_Data[Defense], Dyno_Data[Team],TBA_Matches_All[[#This Row],[Team]],Dyno_Data[Match],TBA_Matches_All[[#This Row],[Match_Number]],Dyno_Data[RecordType],"EndMatch",Dyno_Data[Defense],"&lt;&gt;9")</f>
        <v>0</v>
      </c>
      <c r="CJ143">
        <f>SUMIFS(Dyno_Data[Avoidance], Dyno_Data[Team],TBA_Matches_All[[#This Row],[Team]],Dyno_Data[Match],TBA_Matches_All[[#This Row],[Match_Number]],Dyno_Data[RecordType],"EndMatch",Dyno_Data[Avoidance],"&lt;&gt;9")</f>
        <v>0</v>
      </c>
      <c r="CK143" s="82">
        <f>COUNTIF($H$2:TBA_Matches_All[[#This Row],[Team]],TBA_Matches_All[[#This Row],[Team]])</f>
        <v>3</v>
      </c>
      <c r="CL143" s="111">
        <f>SUM(MID(TBA_Matches_All[[#This Row],[Team]],4,5)+TBA_Matches_All[[#This Row],[Match_Number]]/100)</f>
        <v>6463.24</v>
      </c>
      <c r="CM143">
        <f>SUM((TBA_Matches_All[[#This Row],[Leave]]*2)+(TBA_Matches_All[[#This Row],[AampT]]*2)+(TBA_Matches_All[[#This Row],[AspkrT]]*5)+(TBA_Matches_All[[#This Row],[AtrapT]]*5))</f>
        <v>0</v>
      </c>
      <c r="CN143" s="59">
        <f>IFERROR(SUM(TBA_Matches_All[[#This Row],[AptsT]]/TBA_Matches_All[[#This Row],[AutoPts]]),0)</f>
        <v>0</v>
      </c>
      <c r="CO143" s="59">
        <f>IFERROR(SUM(TBA_Matches_All[[#This Row],[AampT]]+TBA_Matches_All[[#This Row],[AspkrT]]+TBA_Matches_All[[#This Row],[AtrapT]]/TBA_Matches_All[[#This Row],[Aamp]]+TBA_Matches_All[[#This Row],[Aspkr]]+TBA_Matches_All[[#This Row],[AtrapT]]),0)</f>
        <v>0</v>
      </c>
      <c r="CP143" s="59">
        <f>IFERROR(SUM(TBA_Matches_All[[#This Row],[TampT]]/TBA_Matches_All[[#This Row],[Tamp]]),0)</f>
        <v>0</v>
      </c>
      <c r="CQ143" s="59">
        <f>IFERROR(SUM(TBA_Matches_All[[#This Row],[TspkrT]]/TBA_Matches_All[[#This Row],[Tspkr]]),0)</f>
        <v>0</v>
      </c>
      <c r="CR143">
        <f>SUM(TBA_Matches_All[[#This Row],[TspkrPts]]*TBA_Matches_All[[#This Row],[TspkrP]])</f>
        <v>0</v>
      </c>
      <c r="CS143" s="59">
        <f>IFERROR(SUM(TBA_Matches_All[[#This Row],[TtrapT]]/TBA_Matches_All[[#This Row],[Trap]]),0)</f>
        <v>0</v>
      </c>
      <c r="CT143" s="59">
        <f>IFERROR(SUM(TBA_Matches_All[[#This Row],[TotNotesT]]/TBA_Matches_All[[#This Row],[TotNotes]]),0)</f>
        <v>0</v>
      </c>
      <c r="CU143" s="66">
        <f>SUM((TBA_Matches_All[[#This Row],[AampT]]*2)+(TBA_Matches_All[[#This Row],[AspkrT]]*5)+(TBA_Matches_All[[#This Row],[AtrapT]]*5)+(TBA_Matches_All[[#This Row],[TampT]]*1)+(TBA_Matches_All[[#This Row],[TspkrptsC]]))</f>
        <v>0</v>
      </c>
      <c r="CV143" s="59">
        <f>IFERROR(TBA_Matches_All[[#This Row],[noteptsT]]/TBA_Matches_All[[#This Row],[NotePts]],0)</f>
        <v>0</v>
      </c>
      <c r="CW143">
        <f>SUM(IF(TBA_Matches_All[[#This Row],[stageStat]]="On",3,0),IF(TBA_Matches_All[[#This Row],[stageStat]]="Park",1,0),SUMIFS(TBA_Matches_All[[#This Row],[Spotlit]],TBA_Matches_All[[#This Row],[stageStat]],"On"),SUMIFS(TBA_Matches_All[[#This Row],[Harmony]],TBA_Matches_All[[#This Row],[stageStat]],"On"))</f>
        <v>0</v>
      </c>
      <c r="CX143" s="59">
        <f>IFERROR(TBA_Matches_All[[#This Row],[stageptsT]]/TBA_Matches_All[[#This Row],[StagePts]],0)</f>
        <v>0</v>
      </c>
      <c r="CY143">
        <f>SUM((TBA_Matches_All[[#This Row],[AptsT]]+TBA_Matches_All[[#This Row],[TampT]]+TBA_Matches_All[[#This Row],[TspkrptsC]]+(TBA_Matches_All[[#This Row],[TtrapT]]*5)+TBA_Matches_All[[#This Row],[stageptsT]]))</f>
        <v>0</v>
      </c>
      <c r="CZ143" s="59">
        <f>IFERROR(SUM(TBA_Matches_All[[#This Row],[TotptsC]]/TBA_Matches_All[[#This Row],[Score]]),0)</f>
        <v>0</v>
      </c>
      <c r="DA14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43" s="74">
        <f>SUMIFS(TBA_Matches_All[AveTeamTNoteDels],TBA_Matches_All[Match_Number],TBA_Matches_All[[#This Row],[Match_Number]],TBA_Matches_All[Alliance],"&lt;&gt;"&amp;TBA_Matches_All[[#This Row],[Alliance]],TBA_Matches_All[Scouted],"&gt;0")</f>
        <v>24.16</v>
      </c>
      <c r="DC143" s="74">
        <f>(TBA_Matches_All[[#This Row],[TampT]]+TBA_Matches_All[[#This Row],[TspkrptsC]])-TBA_Matches_All[[#This Row],[AveTeamTNoteDels]]</f>
        <v>0</v>
      </c>
      <c r="DD143" s="74">
        <f>SUMIFS(TBA_Matches_All[AveTeamTNoteDels],TBA_Matches_All[Match_Number],TBA_Matches_All[[#This Row],[Match_Number]],TBA_Matches_All[Alliance],"&lt;&gt;"&amp;TBA_Matches_All[[#This Row],[Alliance]])-TBA_Matches_All[[#This Row],[AveOppTNoteDels]]</f>
        <v>0</v>
      </c>
    </row>
    <row r="144" spans="1:108" x14ac:dyDescent="0.3">
      <c r="A144" t="s">
        <v>1042</v>
      </c>
      <c r="B144" t="s">
        <v>489</v>
      </c>
      <c r="C144" t="s">
        <v>1333</v>
      </c>
      <c r="D144">
        <v>24</v>
      </c>
      <c r="E144" t="s">
        <v>1406</v>
      </c>
      <c r="F144" t="s">
        <v>1424</v>
      </c>
      <c r="G144" t="s">
        <v>1409</v>
      </c>
      <c r="H144" t="s">
        <v>1312</v>
      </c>
      <c r="I144" t="b">
        <v>1</v>
      </c>
      <c r="J144">
        <v>63</v>
      </c>
      <c r="K144">
        <v>1</v>
      </c>
      <c r="L144">
        <v>0</v>
      </c>
      <c r="M144">
        <v>9</v>
      </c>
      <c r="N144">
        <v>0</v>
      </c>
      <c r="O144">
        <v>4</v>
      </c>
      <c r="P144">
        <v>20</v>
      </c>
      <c r="Q144">
        <v>22</v>
      </c>
      <c r="R144">
        <v>5</v>
      </c>
      <c r="S144">
        <v>2</v>
      </c>
      <c r="T144">
        <v>8</v>
      </c>
      <c r="U144">
        <v>10</v>
      </c>
      <c r="V144">
        <v>16</v>
      </c>
      <c r="W144">
        <v>10</v>
      </c>
      <c r="X144">
        <v>26</v>
      </c>
      <c r="Y144">
        <v>31</v>
      </c>
      <c r="Z144">
        <v>0</v>
      </c>
      <c r="AA144">
        <v>0</v>
      </c>
      <c r="AB144">
        <v>19</v>
      </c>
      <c r="AC144">
        <v>51</v>
      </c>
      <c r="AD144">
        <v>5</v>
      </c>
      <c r="AE144">
        <f>IFERROR(6/(COUNTIF(Dyno_EndMatch[Match],TBA_Matches_All[[#This Row],[Match_Number]])),0)</f>
        <v>1</v>
      </c>
      <c r="AF144">
        <f>COUNTIFS(Dyno_Data[Team],TBA_Matches_All[[#This Row],[Team]],Dyno_Data[Match],TBA_Matches_All[[#This Row],[Match_Number]],Dyno_Data[RecordType],"EndMatch",Dyno_Data[HPAmp],"Y")</f>
        <v>1</v>
      </c>
      <c r="AG144">
        <f>SUMIFS(Dyno_Data[Mics], Dyno_Data[Team],TBA_Matches_All[[#This Row],[Team]],Dyno_Data[Match],TBA_Matches_All[[#This Row],[Match_Number]],Dyno_Data[RecordType],"EndMatch",Dyno_Data[HPAmp],"Y")</f>
        <v>0</v>
      </c>
      <c r="AH144">
        <f>SUMIFS(Dyno_Data[Leave], Dyno_Data[Team],TBA_Matches_All[[#This Row],[Team]],Dyno_Data[Match],TBA_Matches_All[[#This Row],[Match_Number]],Dyno_Data[RecordType],"EndAuto")</f>
        <v>1</v>
      </c>
      <c r="AI144">
        <f>COUNTIFS(Dyno_Data[Team],TBA_Matches_All[[#This Row],[Team]],Dyno_Data[Match],TBA_Matches_All[[#This Row],[Match_Number]],Dyno_Data[RecordType],"Activities",Dyno_Data[DelDest],"Amp", Dyno_Data[DelMiss],"0", Dyno_Data[Mode],"Auto")</f>
        <v>0</v>
      </c>
      <c r="AJ144">
        <f>COUNTIFS(Dyno_Data[Team],TBA_Matches_All[[#This Row],[Team]],Dyno_Data[Match],TBA_Matches_All[[#This Row],[Match_Number]],Dyno_Data[RecordType],"Activities",Dyno_Data[DelDest],"Spkr", Dyno_Data[DelMiss],"0", Dyno_Data[Mode],"Auto")</f>
        <v>3</v>
      </c>
      <c r="AK144">
        <f>COUNTIFS(Dyno_Data[Team],TBA_Matches_All[[#This Row],[Team]],Dyno_Data[Match],TBA_Matches_All[[#This Row],[Match_Number]],Dyno_Data[RecordType],"Activities",Dyno_Data[DelDest],"Trap", Dyno_Data[DelMiss],"0", Dyno_Data[Mode],"Auto")</f>
        <v>0</v>
      </c>
      <c r="AL144">
        <f>COUNTIFS(Dyno_Data[Team],TBA_Matches_All[[#This Row],[Team]],Dyno_Data[Match],TBA_Matches_All[[#This Row],[Match_Number]],Dyno_Data[RecordType],"Activities",Dyno_Data[DelDest],"Amp", Dyno_Data[DelMiss],"0", Dyno_Data[Mode],"Teleop")</f>
        <v>0</v>
      </c>
      <c r="AM144">
        <f>COUNTIFS(Dyno_Data[Team],TBA_Matches_All[[#This Row],[Team]],Dyno_Data[Match],TBA_Matches_All[[#This Row],[Match_Number]],Dyno_Data[RecordType],"Activities",Dyno_Data[DelDest],"Spkr", Dyno_Data[DelMiss],"0", Dyno_Data[Mode],"Teleop")</f>
        <v>8</v>
      </c>
      <c r="AN144">
        <f>COUNTIFS(Dyno_Data[Team],TBA_Matches_All[[#This Row],[Team]],Dyno_Data[Match],TBA_Matches_All[[#This Row],[Match_Number]],Dyno_Data[RecordType],"Activities",Dyno_Data[DelDest],"Trap", Dyno_Data[DelMiss],"0", Dyno_Data[Mode],"&lt;&gt;Auto")</f>
        <v>0</v>
      </c>
      <c r="AO144">
        <f>SUM(TBA_Matches_All[[#This Row],[AampT]]+TBA_Matches_All[[#This Row],[AspkrT]]+TBA_Matches_All[[#This Row],[AtrapT]]+TBA_Matches_All[[#This Row],[TampT]]+TBA_Matches_All[[#This Row],[TspkrT]]+TBA_Matches_All[[#This Row],[TtrapT]])</f>
        <v>11</v>
      </c>
      <c r="AP144">
        <f>COUNTIFS(Dyno_Data[Team],TBA_Matches_All[[#This Row],[Team]],Dyno_Data[Match],TBA_Matches_All[[#This Row],[Match_Number]],Dyno_Data[RecordType],"Activities",Dyno_Data[DelDest],"Neut", Dyno_Data[DelMiss],"0")</f>
        <v>0</v>
      </c>
      <c r="AQ144">
        <f>COUNTIFS(Dyno_Data[Team],TBA_Matches_All[[#This Row],[Team]],Dyno_Data[Match],TBA_Matches_All[[#This Row],[Match_Number]],Dyno_Data[RecordType],"Activities",Dyno_Data[DelDest],"AllyW", Dyno_Data[DelMiss],"0")</f>
        <v>0</v>
      </c>
      <c r="AR144" t="str">
        <f>_xlfn.XLOOKUP(SUM(MID(TBA_Matches_All[[#This Row],[Team]],4,5),(TBA_Matches_All[[#This Row],[Match_Number]]/100)),Dyno_EndMatch[teammat],Dyno_EndMatch[RobotSta],"_",0,1)</f>
        <v>SubW</v>
      </c>
      <c r="AS144">
        <f>SUMIFS(Dyno_Data[AcqDis], Dyno_Data[Team],TBA_Matches_All[[#This Row],[Team]],Dyno_Data[Match],TBA_Matches_All[[#This Row],[Match_Number]],Dyno_Data[RecordType],"Activities", Dyno_Data[AcqCenter],1,Dyno_Data[Mode],"Auto")</f>
        <v>0</v>
      </c>
      <c r="AT144">
        <f>SUMIFS(Dyno_Data[AcqDis], Dyno_Data[Team],TBA_Matches_All[[#This Row],[Team]],Dyno_Data[Match],TBA_Matches_All[[#This Row],[Match_Number]],Dyno_Data[RecordType],"Activities", Dyno_Data[AcqCenter],2,Dyno_Data[Mode],"Auto")</f>
        <v>0</v>
      </c>
      <c r="AU144">
        <f>SUMIFS(Dyno_Data[AcqDis], Dyno_Data[Team],TBA_Matches_All[[#This Row],[Team]],Dyno_Data[Match],TBA_Matches_All[[#This Row],[Match_Number]],Dyno_Data[RecordType],"Activities", Dyno_Data[AcqCenter],3,Dyno_Data[Mode],"Auto")</f>
        <v>1</v>
      </c>
      <c r="AV144">
        <f>SUMIFS(Dyno_Data[AcqDis], Dyno_Data[Team],TBA_Matches_All[[#This Row],[Team]],Dyno_Data[Match],TBA_Matches_All[[#This Row],[Match_Number]],Dyno_Data[RecordType],"Activities", Dyno_Data[AcqCenter],4,Dyno_Data[Mode],"Auto")</f>
        <v>0</v>
      </c>
      <c r="AW144">
        <f>SUMIFS(Dyno_Data[AcqDis], Dyno_Data[Team],TBA_Matches_All[[#This Row],[Team]],Dyno_Data[Match],TBA_Matches_All[[#This Row],[Match_Number]],Dyno_Data[RecordType],"Activities", Dyno_Data[AcqCenter],5,Dyno_Data[Mode],"Auto")</f>
        <v>0</v>
      </c>
      <c r="AX144">
        <f>SUMIFS(Dyno_Data[DelMiss], Dyno_Data[Team],TBA_Matches_All[[#This Row],[Team]],Dyno_Data[Match],TBA_Matches_All[[#This Row],[Match_Number]],Dyno_Data[RecordType],"Activities", Dyno_Data[DelDest],"Amp")</f>
        <v>0</v>
      </c>
      <c r="AY144" s="60">
        <f>IFERROR(SUM((TBA_Matches_All[[#This Row],[AampT]]+TBA_Matches_All[[#This Row],[TampT]])/(TBA_Matches_All[[#This Row],[AampT]]+TBA_Matches_All[[#This Row],[TampT]]+TBA_Matches_All[[#This Row],[ampM]])),0)</f>
        <v>0</v>
      </c>
      <c r="AZ144">
        <f>SUMIFS(Dyno_Data[DelMiss], Dyno_Data[Team],TBA_Matches_All[[#This Row],[Team]],Dyno_Data[Match],TBA_Matches_All[[#This Row],[Match_Number]],Dyno_Data[RecordType],"Activities", Dyno_Data[DelDest],"Spkr")</f>
        <v>2</v>
      </c>
      <c r="BA144" s="60">
        <f>IFERROR(SUM((TBA_Matches_All[[#This Row],[AspkrT]]+TBA_Matches_All[[#This Row],[TspkrT]])/(TBA_Matches_All[[#This Row],[AspkrT]]+TBA_Matches_All[[#This Row],[TspkrT]]+TBA_Matches_All[[#This Row],[spkrM]])),0)</f>
        <v>0.84615384615384615</v>
      </c>
      <c r="BB144">
        <f>SUMIFS(Dyno_Data[DelMiss], Dyno_Data[Team],TBA_Matches_All[[#This Row],[Team]],Dyno_Data[Match],TBA_Matches_All[[#This Row],[Match_Number]],Dyno_Data[RecordType],"Activities", Dyno_Data[DelDest],"Trap")</f>
        <v>0</v>
      </c>
      <c r="BC144" s="60">
        <f>IFERROR((TBA_Matches_All[[#This Row],[AtrapT]]+TBA_Matches_All[[#This Row],[TtrapT]])/(TBA_Matches_All[[#This Row],[AtrapT]]+TBA_Matches_All[[#This Row],[TtrapT]]+TBA_Matches_All[[#This Row],[trapM]]),0)</f>
        <v>0</v>
      </c>
      <c r="BD144">
        <f>COUNTIFS(Dyno_Data[Team],TBA_Matches_All[[#This Row],[Team]],Dyno_Data[Match],TBA_Matches_All[[#This Row],[Match_Number]],Dyno_Data[RecordType],"Activities",Dyno_Data[DelDest],"Neut", Dyno_Data[DelMiss],1)</f>
        <v>0</v>
      </c>
      <c r="BE144" s="60">
        <f>IFERROR(SUM((TBA_Matches_All[[#This Row],[NeutFlrT]])/(TBA_Matches_All[[#This Row],[NeutFlrT]]+TBA_Matches_All[[#This Row],[NZflM]])),0)</f>
        <v>0</v>
      </c>
      <c r="BF144">
        <f>COUNTIFS(Dyno_Data[Team],TBA_Matches_All[[#This Row],[Team]],Dyno_Data[Match],TBA_Matches_All[[#This Row],[Match_Number]],Dyno_Data[RecordType],"Activities",Dyno_Data[DelDest],"AllyW", Dyno_Data[DelMiss],1)</f>
        <v>0</v>
      </c>
      <c r="BG144" s="60">
        <f>IFERROR(SUM((TBA_Matches_All[[#This Row],[AllyWFlrT]])/(TBA_Matches_All[[#This Row],[AllyWFlrT]]+TBA_Matches_All[[#This Row],[AZflM]])),0)</f>
        <v>0</v>
      </c>
      <c r="BH144">
        <f>COUNTIFS(Dyno_Data[Team],TBA_Matches_All[[#This Row],[Team]],Dyno_Data[Match],TBA_Matches_All[[#This Row],[Match_Number]],Dyno_Data[RecordType],"Activities",Dyno_Data[DelOrig],"OppW", Dyno_Data[DelMiss],"0")</f>
        <v>0</v>
      </c>
      <c r="BI144">
        <f>COUNTIFS(Dyno_Data[Team],TBA_Matches_All[[#This Row],[Team]],Dyno_Data[Match],TBA_Matches_All[[#This Row],[Match_Number]],Dyno_Data[RecordType],"Activities",Dyno_Data[DelOrig],"OppW", Dyno_Data[DelMiss],"1")</f>
        <v>0</v>
      </c>
      <c r="BJ144" s="60">
        <f>IFERROR(SUM((TBA_Matches_All[[#This Row],[OZflrT]])/(TBA_Matches_All[[#This Row],[OZflrT]]+TBA_Matches_All[[#This Row],[OZflrM]])),0)</f>
        <v>0</v>
      </c>
      <c r="BK144">
        <f>COUNTIFS(Dyno_Data[Team],TBA_Matches_All[[#This Row],[Team]],Dyno_Data[Match],TBA_Matches_All[[#This Row],[Match_Number]],Dyno_Data[RecordType],"Activities",Dyno_Data[DelOrig],"Neut", Dyno_Data[DelMiss],"0")</f>
        <v>0</v>
      </c>
      <c r="BL144">
        <f>COUNTIFS(Dyno_Data[Team],TBA_Matches_All[[#This Row],[Team]],Dyno_Data[Match],TBA_Matches_All[[#This Row],[Match_Number]],Dyno_Data[RecordType],"Activities",Dyno_Data[DelOrig],"Neut", Dyno_Data[DelMiss],"1")</f>
        <v>0</v>
      </c>
      <c r="BM144" s="60">
        <f>IFERROR(SUM((TBA_Matches_All[[#This Row],[NZflrT]])/(TBA_Matches_All[[#This Row],[NZflrT]]+TBA_Matches_All[[#This Row],[NZflrM]])),0)</f>
        <v>0</v>
      </c>
      <c r="BN144">
        <f>COUNTIFS(Dyno_Data[Team],TBA_Matches_All[[#This Row],[Team]],Dyno_Data[Match],TBA_Matches_All[[#This Row],[Match_Number]],Dyno_Data[RecordType],"Activities",Dyno_Data[DelOrig],"AllyW", Dyno_Data[DelMiss],"0")</f>
        <v>9</v>
      </c>
      <c r="BO144">
        <f>COUNTIFS(Dyno_Data[Team],TBA_Matches_All[[#This Row],[Team]],Dyno_Data[Match],TBA_Matches_All[[#This Row],[Match_Number]],Dyno_Data[RecordType],"Activities",Dyno_Data[DelOrig],"AllyW", Dyno_Data[DelMiss],"1")</f>
        <v>2</v>
      </c>
      <c r="BP144" s="60">
        <f>IFERROR(SUM((TBA_Matches_All[[#This Row],[AZflrT]])/(TBA_Matches_All[[#This Row],[AZflrT]]+TBA_Matches_All[[#This Row],[AZflrM]])),0)</f>
        <v>0.81818181818181823</v>
      </c>
      <c r="BQ144">
        <f>COUNTIFS(Dyno_Data[Team],TBA_Matches_All[[#This Row],[Team]],Dyno_Data[Match],TBA_Matches_All[[#This Row],[Match_Number]],Dyno_Data[RecordType],"Activities",Dyno_Data[DelOrig],"SubW", Dyno_Data[DelMiss],"0")</f>
        <v>2</v>
      </c>
      <c r="BR144">
        <f>COUNTIFS(Dyno_Data[Team],TBA_Matches_All[[#This Row],[Team]],Dyno_Data[Match],TBA_Matches_All[[#This Row],[Match_Number]],Dyno_Data[RecordType],"Activities",Dyno_Data[DelOrig],"SubW", Dyno_Data[DelMiss],"1")</f>
        <v>0</v>
      </c>
      <c r="BS144" s="60">
        <f>IFERROR(SUM((TBA_Matches_All[[#This Row],[SubwT]])/(TBA_Matches_All[[#This Row],[SubwT]]+TBA_Matches_All[[#This Row],[SubwM]])),0)</f>
        <v>1</v>
      </c>
      <c r="BT144">
        <f>COUNTIFS(Dyno_Data[Team],TBA_Matches_All[[#This Row],[Team]],Dyno_Data[Match],TBA_Matches_All[[#This Row],[Match_Number]],Dyno_Data[RecordType],"Activities", Dyno_Data[AcqLoc],"OppWing")</f>
        <v>0</v>
      </c>
      <c r="BU144">
        <f>COUNTIFS(Dyno_Data[Team],TBA_Matches_All[[#This Row],[Team]],Dyno_Data[Match],TBA_Matches_All[[#This Row],[Match_Number]],Dyno_Data[RecordType],"Activities", Dyno_Data[AcqLoc],"Neutral")</f>
        <v>2</v>
      </c>
      <c r="BV144">
        <f>COUNTIFS(Dyno_Data[Team],TBA_Matches_All[[#This Row],[Team]],Dyno_Data[Match],TBA_Matches_All[[#This Row],[Match_Number]],Dyno_Data[RecordType],"Activities", Dyno_Data[AcqLoc],"AllyWing")</f>
        <v>0</v>
      </c>
      <c r="BW144">
        <f>COUNTIFS(Dyno_Data[Team],TBA_Matches_All[[#This Row],[Team]],Dyno_Data[Match],TBA_Matches_All[[#This Row],[Match_Number]],Dyno_Data[RecordType],"Activities", Dyno_Data[AcqLoc],"Source")</f>
        <v>0</v>
      </c>
      <c r="BX144">
        <f>SUMIFS(Dyno_Data[AcqDrp], Dyno_Data[Team],TBA_Matches_All[[#This Row],[Team]],Dyno_Data[Match],TBA_Matches_All[[#This Row],[Match_Number]],Dyno_Data[RecordType],"Activities", Dyno_Data[AcqLoc],"Source")</f>
        <v>0</v>
      </c>
      <c r="BY144">
        <f>SUMIFS(Dyno_Data[OZTime], Dyno_Data[Team],TBA_Matches_All[[#This Row],[Team]],Dyno_Data[Match],TBA_Matches_All[[#This Row],[Match_Number]],Dyno_Data[RecordType],"EndMatch")</f>
        <v>21.8197756</v>
      </c>
      <c r="BZ144">
        <f>SUMIFS(Dyno_Data[NZTime], Dyno_Data[Team],TBA_Matches_All[[#This Row],[Team]],Dyno_Data[Match],TBA_Matches_All[[#This Row],[Match_Number]],Dyno_Data[RecordType],"EndMatch")</f>
        <v>27.5048678</v>
      </c>
      <c r="CA144">
        <f>SUMIFS(Dyno_Data[AZTime], Dyno_Data[Team],TBA_Matches_All[[#This Row],[Team]],Dyno_Data[Match],TBA_Matches_All[[#This Row],[Match_Number]],Dyno_Data[RecordType],"EndMatch")</f>
        <v>78.218486599999991</v>
      </c>
      <c r="CB144">
        <f>SUMIFS(Dyno_Data[ClimbT], Dyno_Data[Team],TBA_Matches_All[[#This Row],[Team]],Dyno_Data[Match],TBA_Matches_All[[#This Row],[Match_Number]],Dyno_Data[RecordType],"EndMatch")</f>
        <v>5.3158924000000001</v>
      </c>
      <c r="CC144" t="str">
        <f>_xlfn.XLOOKUP(SUM(MID(TBA_Matches_All[[#This Row],[Team]],4,5),(TBA_Matches_All[[#This Row],[Match_Number]]/100)),Dyno_EndMatch[teammat],Dyno_EndMatch[StageStat],"_",0,1)</f>
        <v>On</v>
      </c>
      <c r="CD144" t="str">
        <f>_xlfn.XLOOKUP(TBA_Matches_All[[#This Row],[teammat]],Dyno_EndMatch[teammat],Dyno_EndMatch[StageAtt],"_",0,1)</f>
        <v>1</v>
      </c>
      <c r="CE144" t="str">
        <f>_xlfn.XLOOKUP(TBA_Matches_All[[#This Row],[teammat]],Dyno_EndMatch[teammat],Dyno_EndMatch[StageLoc],"_",0,1)</f>
        <v>L</v>
      </c>
      <c r="CF144">
        <f>SUMIFS(Dyno_Data[Harmony], Dyno_Data[Team],TBA_Matches_All[[#This Row],[Team]],Dyno_Data[Match],TBA_Matches_All[[#This Row],[Match_Number]],Dyno_Data[RecordType],"EndMatch", Dyno_Data[StageStat],"On",Dyno_Data[Harmony],"&lt;&gt;9")</f>
        <v>0</v>
      </c>
      <c r="CG144">
        <f>SUMIFS(Dyno_Data[Spotlit], Dyno_Data[Team],TBA_Matches_All[[#This Row],[Team]],Dyno_Data[Match],TBA_Matches_All[[#This Row],[Match_Number]],Dyno_Data[RecordType],"EndMatch", Dyno_Data[StageStat],"On",Dyno_Data[Spotlit],"&lt;&gt;9")</f>
        <v>0</v>
      </c>
      <c r="CH144" t="str">
        <f>_xlfn.XLOOKUP(TBA_Matches_All[[#This Row],[teammat]],Dyno_EndMatch[teammat],Dyno_EndMatch[Strategy],"_",0,1)</f>
        <v>Hybrid</v>
      </c>
      <c r="CI144">
        <f>SUMIFS(Dyno_Data[Defense], Dyno_Data[Team],TBA_Matches_All[[#This Row],[Team]],Dyno_Data[Match],TBA_Matches_All[[#This Row],[Match_Number]],Dyno_Data[RecordType],"EndMatch",Dyno_Data[Defense],"&lt;&gt;9")</f>
        <v>0</v>
      </c>
      <c r="CJ144">
        <f>SUMIFS(Dyno_Data[Avoidance], Dyno_Data[Team],TBA_Matches_All[[#This Row],[Team]],Dyno_Data[Match],TBA_Matches_All[[#This Row],[Match_Number]],Dyno_Data[RecordType],"EndMatch",Dyno_Data[Avoidance],"&lt;&gt;9")</f>
        <v>0</v>
      </c>
      <c r="CK144" s="82">
        <f>COUNTIF($H$2:TBA_Matches_All[[#This Row],[Team]],TBA_Matches_All[[#This Row],[Team]])</f>
        <v>3</v>
      </c>
      <c r="CL144" s="111">
        <f>SUM(MID(TBA_Matches_All[[#This Row],[Team]],4,5)+TBA_Matches_All[[#This Row],[Match_Number]]/100)</f>
        <v>2053.2399999999998</v>
      </c>
      <c r="CM144">
        <f>SUM((TBA_Matches_All[[#This Row],[Leave]]*2)+(TBA_Matches_All[[#This Row],[AampT]]*2)+(TBA_Matches_All[[#This Row],[AspkrT]]*5)+(TBA_Matches_All[[#This Row],[AtrapT]]*5))</f>
        <v>17</v>
      </c>
      <c r="CN144" s="59">
        <f>IFERROR(SUM(TBA_Matches_All[[#This Row],[AptsT]]/TBA_Matches_All[[#This Row],[AutoPts]]),0)</f>
        <v>0.77272727272727271</v>
      </c>
      <c r="CO144" s="59">
        <f>IFERROR(SUM(TBA_Matches_All[[#This Row],[AampT]]+TBA_Matches_All[[#This Row],[AspkrT]]+TBA_Matches_All[[#This Row],[AtrapT]]/TBA_Matches_All[[#This Row],[Aamp]]+TBA_Matches_All[[#This Row],[Aspkr]]+TBA_Matches_All[[#This Row],[AtrapT]]),0)</f>
        <v>0</v>
      </c>
      <c r="CP144" s="59">
        <f>IFERROR(SUM(TBA_Matches_All[[#This Row],[TampT]]/TBA_Matches_All[[#This Row],[Tamp]]),0)</f>
        <v>0</v>
      </c>
      <c r="CQ144" s="59">
        <f>IFERROR(SUM(TBA_Matches_All[[#This Row],[TspkrT]]/TBA_Matches_All[[#This Row],[Tspkr]]),0)</f>
        <v>0.8</v>
      </c>
      <c r="CR144">
        <f>SUM(TBA_Matches_All[[#This Row],[TspkrPts]]*TBA_Matches_All[[#This Row],[TspkrP]])</f>
        <v>20.8</v>
      </c>
      <c r="CS144" s="59">
        <f>IFERROR(SUM(TBA_Matches_All[[#This Row],[TtrapT]]/TBA_Matches_All[[#This Row],[Trap]]),0)</f>
        <v>0</v>
      </c>
      <c r="CT144" s="59">
        <f>IFERROR(SUM(TBA_Matches_All[[#This Row],[TotNotesT]]/TBA_Matches_All[[#This Row],[TotNotes]]),0)</f>
        <v>0.57894736842105265</v>
      </c>
      <c r="CU144" s="66">
        <f>SUM((TBA_Matches_All[[#This Row],[AampT]]*2)+(TBA_Matches_All[[#This Row],[AspkrT]]*5)+(TBA_Matches_All[[#This Row],[AtrapT]]*5)+(TBA_Matches_All[[#This Row],[TampT]]*1)+(TBA_Matches_All[[#This Row],[TspkrptsC]]))</f>
        <v>35.799999999999997</v>
      </c>
      <c r="CV144" s="59">
        <f>IFERROR(TBA_Matches_All[[#This Row],[noteptsT]]/TBA_Matches_All[[#This Row],[NotePts]],0)</f>
        <v>0.70196078431372544</v>
      </c>
      <c r="CW144">
        <f>SUM(IF(TBA_Matches_All[[#This Row],[stageStat]]="On",3,0),IF(TBA_Matches_All[[#This Row],[stageStat]]="Park",1,0),SUMIFS(TBA_Matches_All[[#This Row],[Spotlit]],TBA_Matches_All[[#This Row],[stageStat]],"On"),SUMIFS(TBA_Matches_All[[#This Row],[Harmony]],TBA_Matches_All[[#This Row],[stageStat]],"On"))</f>
        <v>3</v>
      </c>
      <c r="CX144" s="59">
        <f>IFERROR(TBA_Matches_All[[#This Row],[stageptsT]]/TBA_Matches_All[[#This Row],[StagePts]],0)</f>
        <v>0.6</v>
      </c>
      <c r="CY144">
        <f>SUM((TBA_Matches_All[[#This Row],[AptsT]]+TBA_Matches_All[[#This Row],[TampT]]+TBA_Matches_All[[#This Row],[TspkrptsC]]+(TBA_Matches_All[[#This Row],[TtrapT]]*5)+TBA_Matches_All[[#This Row],[stageptsT]]))</f>
        <v>40.799999999999997</v>
      </c>
      <c r="CZ144" s="59">
        <f>IFERROR(SUM(TBA_Matches_All[[#This Row],[TotptsC]]/TBA_Matches_All[[#This Row],[Score]]),0)</f>
        <v>0.64761904761904754</v>
      </c>
      <c r="DA14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8.2666666666666675</v>
      </c>
      <c r="DB144" s="74">
        <f>SUMIFS(TBA_Matches_All[AveTeamTNoteDels],TBA_Matches_All[Match_Number],TBA_Matches_All[[#This Row],[Match_Number]],TBA_Matches_All[Alliance],"&lt;&gt;"&amp;TBA_Matches_All[[#This Row],[Alliance]],TBA_Matches_All[Scouted],"&gt;0")</f>
        <v>7.6363636363636376</v>
      </c>
      <c r="DC144" s="74">
        <f>(TBA_Matches_All[[#This Row],[TampT]]+TBA_Matches_All[[#This Row],[TspkrptsC]])-TBA_Matches_All[[#This Row],[AveTeamTNoteDels]]</f>
        <v>12.533333333333333</v>
      </c>
      <c r="DD144" s="74">
        <f>SUMIFS(TBA_Matches_All[AveTeamTNoteDels],TBA_Matches_All[Match_Number],TBA_Matches_All[[#This Row],[Match_Number]],TBA_Matches_All[Alliance],"&lt;&gt;"&amp;TBA_Matches_All[[#This Row],[Alliance]])-TBA_Matches_All[[#This Row],[AveOppTNoteDels]]</f>
        <v>0</v>
      </c>
    </row>
    <row r="145" spans="1:108" x14ac:dyDescent="0.3">
      <c r="A145" t="s">
        <v>1042</v>
      </c>
      <c r="B145" t="s">
        <v>489</v>
      </c>
      <c r="C145" t="s">
        <v>1333</v>
      </c>
      <c r="D145">
        <v>24</v>
      </c>
      <c r="E145" t="s">
        <v>1420</v>
      </c>
      <c r="F145" t="s">
        <v>1425</v>
      </c>
      <c r="G145" t="s">
        <v>105</v>
      </c>
      <c r="H145" t="s">
        <v>1306</v>
      </c>
      <c r="I145" t="b">
        <v>1</v>
      </c>
      <c r="J145">
        <v>28</v>
      </c>
      <c r="K145">
        <v>0</v>
      </c>
      <c r="L145">
        <v>0</v>
      </c>
      <c r="M145">
        <v>5</v>
      </c>
      <c r="N145">
        <v>0</v>
      </c>
      <c r="O145">
        <v>1</v>
      </c>
      <c r="P145">
        <v>5</v>
      </c>
      <c r="Q145">
        <v>5</v>
      </c>
      <c r="R145">
        <v>2</v>
      </c>
      <c r="S145">
        <v>0</v>
      </c>
      <c r="T145">
        <v>4</v>
      </c>
      <c r="U145">
        <v>0</v>
      </c>
      <c r="V145">
        <v>8</v>
      </c>
      <c r="W145">
        <v>4</v>
      </c>
      <c r="X145">
        <v>8</v>
      </c>
      <c r="Y145">
        <v>10</v>
      </c>
      <c r="Z145">
        <v>0</v>
      </c>
      <c r="AA145">
        <v>0</v>
      </c>
      <c r="AB145">
        <v>7</v>
      </c>
      <c r="AC145">
        <v>15</v>
      </c>
      <c r="AD145">
        <v>4</v>
      </c>
      <c r="AE145">
        <f>IFERROR(6/(COUNTIF(Dyno_EndMatch[Match],TBA_Matches_All[[#This Row],[Match_Number]])),0)</f>
        <v>1</v>
      </c>
      <c r="AF145">
        <f>COUNTIFS(Dyno_Data[Team],TBA_Matches_All[[#This Row],[Team]],Dyno_Data[Match],TBA_Matches_All[[#This Row],[Match_Number]],Dyno_Data[RecordType],"EndMatch",Dyno_Data[HPAmp],"Y")</f>
        <v>0</v>
      </c>
      <c r="AG145">
        <f>SUMIFS(Dyno_Data[Mics], Dyno_Data[Team],TBA_Matches_All[[#This Row],[Team]],Dyno_Data[Match],TBA_Matches_All[[#This Row],[Match_Number]],Dyno_Data[RecordType],"EndMatch",Dyno_Data[HPAmp],"Y")</f>
        <v>0</v>
      </c>
      <c r="AH145">
        <f>SUMIFS(Dyno_Data[Leave], Dyno_Data[Team],TBA_Matches_All[[#This Row],[Team]],Dyno_Data[Match],TBA_Matches_All[[#This Row],[Match_Number]],Dyno_Data[RecordType],"EndAuto")</f>
        <v>1</v>
      </c>
      <c r="AI145">
        <f>COUNTIFS(Dyno_Data[Team],TBA_Matches_All[[#This Row],[Team]],Dyno_Data[Match],TBA_Matches_All[[#This Row],[Match_Number]],Dyno_Data[RecordType],"Activities",Dyno_Data[DelDest],"Amp", Dyno_Data[DelMiss],"0", Dyno_Data[Mode],"Auto")</f>
        <v>0</v>
      </c>
      <c r="AJ145">
        <f>COUNTIFS(Dyno_Data[Team],TBA_Matches_All[[#This Row],[Team]],Dyno_Data[Match],TBA_Matches_All[[#This Row],[Match_Number]],Dyno_Data[RecordType],"Activities",Dyno_Data[DelDest],"Spkr", Dyno_Data[DelMiss],"0", Dyno_Data[Mode],"Auto")</f>
        <v>1</v>
      </c>
      <c r="AK145">
        <f>COUNTIFS(Dyno_Data[Team],TBA_Matches_All[[#This Row],[Team]],Dyno_Data[Match],TBA_Matches_All[[#This Row],[Match_Number]],Dyno_Data[RecordType],"Activities",Dyno_Data[DelDest],"Trap", Dyno_Data[DelMiss],"0", Dyno_Data[Mode],"Auto")</f>
        <v>0</v>
      </c>
      <c r="AL145">
        <f>COUNTIFS(Dyno_Data[Team],TBA_Matches_All[[#This Row],[Team]],Dyno_Data[Match],TBA_Matches_All[[#This Row],[Match_Number]],Dyno_Data[RecordType],"Activities",Dyno_Data[DelDest],"Amp", Dyno_Data[DelMiss],"0", Dyno_Data[Mode],"Teleop")</f>
        <v>1</v>
      </c>
      <c r="AM145">
        <f>COUNTIFS(Dyno_Data[Team],TBA_Matches_All[[#This Row],[Team]],Dyno_Data[Match],TBA_Matches_All[[#This Row],[Match_Number]],Dyno_Data[RecordType],"Activities",Dyno_Data[DelDest],"Spkr", Dyno_Data[DelMiss],"0", Dyno_Data[Mode],"Teleop")</f>
        <v>4</v>
      </c>
      <c r="AN145">
        <f>COUNTIFS(Dyno_Data[Team],TBA_Matches_All[[#This Row],[Team]],Dyno_Data[Match],TBA_Matches_All[[#This Row],[Match_Number]],Dyno_Data[RecordType],"Activities",Dyno_Data[DelDest],"Trap", Dyno_Data[DelMiss],"0", Dyno_Data[Mode],"&lt;&gt;Auto")</f>
        <v>0</v>
      </c>
      <c r="AO145">
        <f>SUM(TBA_Matches_All[[#This Row],[AampT]]+TBA_Matches_All[[#This Row],[AspkrT]]+TBA_Matches_All[[#This Row],[AtrapT]]+TBA_Matches_All[[#This Row],[TampT]]+TBA_Matches_All[[#This Row],[TspkrT]]+TBA_Matches_All[[#This Row],[TtrapT]])</f>
        <v>6</v>
      </c>
      <c r="AP145">
        <f>COUNTIFS(Dyno_Data[Team],TBA_Matches_All[[#This Row],[Team]],Dyno_Data[Match],TBA_Matches_All[[#This Row],[Match_Number]],Dyno_Data[RecordType],"Activities",Dyno_Data[DelDest],"Neut", Dyno_Data[DelMiss],"0")</f>
        <v>0</v>
      </c>
      <c r="AQ145">
        <f>COUNTIFS(Dyno_Data[Team],TBA_Matches_All[[#This Row],[Team]],Dyno_Data[Match],TBA_Matches_All[[#This Row],[Match_Number]],Dyno_Data[RecordType],"Activities",Dyno_Data[DelDest],"AllyW", Dyno_Data[DelMiss],"0")</f>
        <v>0</v>
      </c>
      <c r="AR145" t="str">
        <f>_xlfn.XLOOKUP(SUM(MID(TBA_Matches_All[[#This Row],[Team]],4,5),(TBA_Matches_All[[#This Row],[Match_Number]]/100)),Dyno_EndMatch[teammat],Dyno_EndMatch[RobotSta],"_",0,1)</f>
        <v>Podm</v>
      </c>
      <c r="AS145">
        <f>SUMIFS(Dyno_Data[AcqDis], Dyno_Data[Team],TBA_Matches_All[[#This Row],[Team]],Dyno_Data[Match],TBA_Matches_All[[#This Row],[Match_Number]],Dyno_Data[RecordType],"Activities", Dyno_Data[AcqCenter],1,Dyno_Data[Mode],"Auto")</f>
        <v>0</v>
      </c>
      <c r="AT145">
        <f>SUMIFS(Dyno_Data[AcqDis], Dyno_Data[Team],TBA_Matches_All[[#This Row],[Team]],Dyno_Data[Match],TBA_Matches_All[[#This Row],[Match_Number]],Dyno_Data[RecordType],"Activities", Dyno_Data[AcqCenter],2,Dyno_Data[Mode],"Auto")</f>
        <v>0</v>
      </c>
      <c r="AU145">
        <f>SUMIFS(Dyno_Data[AcqDis], Dyno_Data[Team],TBA_Matches_All[[#This Row],[Team]],Dyno_Data[Match],TBA_Matches_All[[#This Row],[Match_Number]],Dyno_Data[RecordType],"Activities", Dyno_Data[AcqCenter],3,Dyno_Data[Mode],"Auto")</f>
        <v>0</v>
      </c>
      <c r="AV145">
        <f>SUMIFS(Dyno_Data[AcqDis], Dyno_Data[Team],TBA_Matches_All[[#This Row],[Team]],Dyno_Data[Match],TBA_Matches_All[[#This Row],[Match_Number]],Dyno_Data[RecordType],"Activities", Dyno_Data[AcqCenter],4,Dyno_Data[Mode],"Auto")</f>
        <v>0</v>
      </c>
      <c r="AW145">
        <f>SUMIFS(Dyno_Data[AcqDis], Dyno_Data[Team],TBA_Matches_All[[#This Row],[Team]],Dyno_Data[Match],TBA_Matches_All[[#This Row],[Match_Number]],Dyno_Data[RecordType],"Activities", Dyno_Data[AcqCenter],5,Dyno_Data[Mode],"Auto")</f>
        <v>0</v>
      </c>
      <c r="AX145">
        <f>SUMIFS(Dyno_Data[DelMiss], Dyno_Data[Team],TBA_Matches_All[[#This Row],[Team]],Dyno_Data[Match],TBA_Matches_All[[#This Row],[Match_Number]],Dyno_Data[RecordType],"Activities", Dyno_Data[DelDest],"Amp")</f>
        <v>0</v>
      </c>
      <c r="AY145" s="60">
        <f>IFERROR(SUM((TBA_Matches_All[[#This Row],[AampT]]+TBA_Matches_All[[#This Row],[TampT]])/(TBA_Matches_All[[#This Row],[AampT]]+TBA_Matches_All[[#This Row],[TampT]]+TBA_Matches_All[[#This Row],[ampM]])),0)</f>
        <v>1</v>
      </c>
      <c r="AZ145">
        <f>SUMIFS(Dyno_Data[DelMiss], Dyno_Data[Team],TBA_Matches_All[[#This Row],[Team]],Dyno_Data[Match],TBA_Matches_All[[#This Row],[Match_Number]],Dyno_Data[RecordType],"Activities", Dyno_Data[DelDest],"Spkr")</f>
        <v>0</v>
      </c>
      <c r="BA145" s="60">
        <f>IFERROR(SUM((TBA_Matches_All[[#This Row],[AspkrT]]+TBA_Matches_All[[#This Row],[TspkrT]])/(TBA_Matches_All[[#This Row],[AspkrT]]+TBA_Matches_All[[#This Row],[TspkrT]]+TBA_Matches_All[[#This Row],[spkrM]])),0)</f>
        <v>1</v>
      </c>
      <c r="BB145">
        <f>SUMIFS(Dyno_Data[DelMiss], Dyno_Data[Team],TBA_Matches_All[[#This Row],[Team]],Dyno_Data[Match],TBA_Matches_All[[#This Row],[Match_Number]],Dyno_Data[RecordType],"Activities", Dyno_Data[DelDest],"Trap")</f>
        <v>0</v>
      </c>
      <c r="BC145" s="60">
        <f>IFERROR((TBA_Matches_All[[#This Row],[AtrapT]]+TBA_Matches_All[[#This Row],[TtrapT]])/(TBA_Matches_All[[#This Row],[AtrapT]]+TBA_Matches_All[[#This Row],[TtrapT]]+TBA_Matches_All[[#This Row],[trapM]]),0)</f>
        <v>0</v>
      </c>
      <c r="BD145">
        <f>COUNTIFS(Dyno_Data[Team],TBA_Matches_All[[#This Row],[Team]],Dyno_Data[Match],TBA_Matches_All[[#This Row],[Match_Number]],Dyno_Data[RecordType],"Activities",Dyno_Data[DelDest],"Neut", Dyno_Data[DelMiss],1)</f>
        <v>0</v>
      </c>
      <c r="BE145" s="60">
        <f>IFERROR(SUM((TBA_Matches_All[[#This Row],[NeutFlrT]])/(TBA_Matches_All[[#This Row],[NeutFlrT]]+TBA_Matches_All[[#This Row],[NZflM]])),0)</f>
        <v>0</v>
      </c>
      <c r="BF145">
        <f>COUNTIFS(Dyno_Data[Team],TBA_Matches_All[[#This Row],[Team]],Dyno_Data[Match],TBA_Matches_All[[#This Row],[Match_Number]],Dyno_Data[RecordType],"Activities",Dyno_Data[DelDest],"AllyW", Dyno_Data[DelMiss],1)</f>
        <v>0</v>
      </c>
      <c r="BG145" s="60">
        <f>IFERROR(SUM((TBA_Matches_All[[#This Row],[AllyWFlrT]])/(TBA_Matches_All[[#This Row],[AllyWFlrT]]+TBA_Matches_All[[#This Row],[AZflM]])),0)</f>
        <v>0</v>
      </c>
      <c r="BH145">
        <f>COUNTIFS(Dyno_Data[Team],TBA_Matches_All[[#This Row],[Team]],Dyno_Data[Match],TBA_Matches_All[[#This Row],[Match_Number]],Dyno_Data[RecordType],"Activities",Dyno_Data[DelOrig],"OppW", Dyno_Data[DelMiss],"0")</f>
        <v>0</v>
      </c>
      <c r="BI145">
        <f>COUNTIFS(Dyno_Data[Team],TBA_Matches_All[[#This Row],[Team]],Dyno_Data[Match],TBA_Matches_All[[#This Row],[Match_Number]],Dyno_Data[RecordType],"Activities",Dyno_Data[DelOrig],"OppW", Dyno_Data[DelMiss],"1")</f>
        <v>0</v>
      </c>
      <c r="BJ145" s="60">
        <f>IFERROR(SUM((TBA_Matches_All[[#This Row],[OZflrT]])/(TBA_Matches_All[[#This Row],[OZflrT]]+TBA_Matches_All[[#This Row],[OZflrM]])),0)</f>
        <v>0</v>
      </c>
      <c r="BK145">
        <f>COUNTIFS(Dyno_Data[Team],TBA_Matches_All[[#This Row],[Team]],Dyno_Data[Match],TBA_Matches_All[[#This Row],[Match_Number]],Dyno_Data[RecordType],"Activities",Dyno_Data[DelOrig],"Neut", Dyno_Data[DelMiss],"0")</f>
        <v>0</v>
      </c>
      <c r="BL145">
        <f>COUNTIFS(Dyno_Data[Team],TBA_Matches_All[[#This Row],[Team]],Dyno_Data[Match],TBA_Matches_All[[#This Row],[Match_Number]],Dyno_Data[RecordType],"Activities",Dyno_Data[DelOrig],"Neut", Dyno_Data[DelMiss],"1")</f>
        <v>0</v>
      </c>
      <c r="BM145" s="60">
        <f>IFERROR(SUM((TBA_Matches_All[[#This Row],[NZflrT]])/(TBA_Matches_All[[#This Row],[NZflrT]]+TBA_Matches_All[[#This Row],[NZflrM]])),0)</f>
        <v>0</v>
      </c>
      <c r="BN145">
        <f>COUNTIFS(Dyno_Data[Team],TBA_Matches_All[[#This Row],[Team]],Dyno_Data[Match],TBA_Matches_All[[#This Row],[Match_Number]],Dyno_Data[RecordType],"Activities",Dyno_Data[DelOrig],"AllyW", Dyno_Data[DelMiss],"0")</f>
        <v>6</v>
      </c>
      <c r="BO145">
        <f>COUNTIFS(Dyno_Data[Team],TBA_Matches_All[[#This Row],[Team]],Dyno_Data[Match],TBA_Matches_All[[#This Row],[Match_Number]],Dyno_Data[RecordType],"Activities",Dyno_Data[DelOrig],"AllyW", Dyno_Data[DelMiss],"1")</f>
        <v>0</v>
      </c>
      <c r="BP145" s="60">
        <f>IFERROR(SUM((TBA_Matches_All[[#This Row],[AZflrT]])/(TBA_Matches_All[[#This Row],[AZflrT]]+TBA_Matches_All[[#This Row],[AZflrM]])),0)</f>
        <v>1</v>
      </c>
      <c r="BQ145">
        <f>COUNTIFS(Dyno_Data[Team],TBA_Matches_All[[#This Row],[Team]],Dyno_Data[Match],TBA_Matches_All[[#This Row],[Match_Number]],Dyno_Data[RecordType],"Activities",Dyno_Data[DelOrig],"SubW", Dyno_Data[DelMiss],"0")</f>
        <v>0</v>
      </c>
      <c r="BR145">
        <f>COUNTIFS(Dyno_Data[Team],TBA_Matches_All[[#This Row],[Team]],Dyno_Data[Match],TBA_Matches_All[[#This Row],[Match_Number]],Dyno_Data[RecordType],"Activities",Dyno_Data[DelOrig],"SubW", Dyno_Data[DelMiss],"1")</f>
        <v>0</v>
      </c>
      <c r="BS145" s="60">
        <f>IFERROR(SUM((TBA_Matches_All[[#This Row],[SubwT]])/(TBA_Matches_All[[#This Row],[SubwT]]+TBA_Matches_All[[#This Row],[SubwM]])),0)</f>
        <v>0</v>
      </c>
      <c r="BT145">
        <f>COUNTIFS(Dyno_Data[Team],TBA_Matches_All[[#This Row],[Team]],Dyno_Data[Match],TBA_Matches_All[[#This Row],[Match_Number]],Dyno_Data[RecordType],"Activities", Dyno_Data[AcqLoc],"OppWing")</f>
        <v>0</v>
      </c>
      <c r="BU145">
        <f>COUNTIFS(Dyno_Data[Team],TBA_Matches_All[[#This Row],[Team]],Dyno_Data[Match],TBA_Matches_All[[#This Row],[Match_Number]],Dyno_Data[RecordType],"Activities", Dyno_Data[AcqLoc],"Neutral")</f>
        <v>0</v>
      </c>
      <c r="BV145">
        <f>COUNTIFS(Dyno_Data[Team],TBA_Matches_All[[#This Row],[Team]],Dyno_Data[Match],TBA_Matches_All[[#This Row],[Match_Number]],Dyno_Data[RecordType],"Activities", Dyno_Data[AcqLoc],"AllyWing")</f>
        <v>0</v>
      </c>
      <c r="BW145">
        <f>COUNTIFS(Dyno_Data[Team],TBA_Matches_All[[#This Row],[Team]],Dyno_Data[Match],TBA_Matches_All[[#This Row],[Match_Number]],Dyno_Data[RecordType],"Activities", Dyno_Data[AcqLoc],"Source")</f>
        <v>0</v>
      </c>
      <c r="BX145">
        <f>SUMIFS(Dyno_Data[AcqDrp], Dyno_Data[Team],TBA_Matches_All[[#This Row],[Team]],Dyno_Data[Match],TBA_Matches_All[[#This Row],[Match_Number]],Dyno_Data[RecordType],"Activities", Dyno_Data[AcqLoc],"Source")</f>
        <v>0</v>
      </c>
      <c r="BY145">
        <f>SUMIFS(Dyno_Data[OZTime], Dyno_Data[Team],TBA_Matches_All[[#This Row],[Team]],Dyno_Data[Match],TBA_Matches_All[[#This Row],[Match_Number]],Dyno_Data[RecordType],"EndMatch")</f>
        <v>33.365307399999999</v>
      </c>
      <c r="BZ145">
        <f>SUMIFS(Dyno_Data[NZTime], Dyno_Data[Team],TBA_Matches_All[[#This Row],[Team]],Dyno_Data[Match],TBA_Matches_All[[#This Row],[Match_Number]],Dyno_Data[RecordType],"EndMatch")</f>
        <v>18.767682799999999</v>
      </c>
      <c r="CA145">
        <f>SUMIFS(Dyno_Data[AZTime], Dyno_Data[Team],TBA_Matches_All[[#This Row],[Team]],Dyno_Data[Match],TBA_Matches_All[[#This Row],[Match_Number]],Dyno_Data[RecordType],"EndMatch")</f>
        <v>76.647089199999996</v>
      </c>
      <c r="CB145">
        <f>SUMIFS(Dyno_Data[ClimbT], Dyno_Data[Team],TBA_Matches_All[[#This Row],[Team]],Dyno_Data[Match],TBA_Matches_All[[#This Row],[Match_Number]],Dyno_Data[RecordType],"EndMatch")</f>
        <v>4.2660125999999998</v>
      </c>
      <c r="CC145" t="str">
        <f>_xlfn.XLOOKUP(SUM(MID(TBA_Matches_All[[#This Row],[Team]],4,5),(TBA_Matches_All[[#This Row],[Match_Number]]/100)),Dyno_EndMatch[teammat],Dyno_EndMatch[StageStat],"_",0,1)</f>
        <v>On</v>
      </c>
      <c r="CD145" t="str">
        <f>_xlfn.XLOOKUP(TBA_Matches_All[[#This Row],[teammat]],Dyno_EndMatch[teammat],Dyno_EndMatch[StageAtt],"_",0,1)</f>
        <v>1</v>
      </c>
      <c r="CE145" t="str">
        <f>_xlfn.XLOOKUP(TBA_Matches_All[[#This Row],[teammat]],Dyno_EndMatch[teammat],Dyno_EndMatch[StageLoc],"_",0,1)</f>
        <v>L</v>
      </c>
      <c r="CF145">
        <f>SUMIFS(Dyno_Data[Harmony], Dyno_Data[Team],TBA_Matches_All[[#This Row],[Team]],Dyno_Data[Match],TBA_Matches_All[[#This Row],[Match_Number]],Dyno_Data[RecordType],"EndMatch", Dyno_Data[StageStat],"On",Dyno_Data[Harmony],"&lt;&gt;9")</f>
        <v>0</v>
      </c>
      <c r="CG145">
        <f>SUMIFS(Dyno_Data[Spotlit], Dyno_Data[Team],TBA_Matches_All[[#This Row],[Team]],Dyno_Data[Match],TBA_Matches_All[[#This Row],[Match_Number]],Dyno_Data[RecordType],"EndMatch", Dyno_Data[StageStat],"On",Dyno_Data[Spotlit],"&lt;&gt;9")</f>
        <v>0</v>
      </c>
      <c r="CH145" t="str">
        <f>_xlfn.XLOOKUP(TBA_Matches_All[[#This Row],[teammat]],Dyno_EndMatch[teammat],Dyno_EndMatch[Strategy],"_",0,1)</f>
        <v>Hybrid</v>
      </c>
      <c r="CI145">
        <f>SUMIFS(Dyno_Data[Defense], Dyno_Data[Team],TBA_Matches_All[[#This Row],[Team]],Dyno_Data[Match],TBA_Matches_All[[#This Row],[Match_Number]],Dyno_Data[RecordType],"EndMatch",Dyno_Data[Defense],"&lt;&gt;9")</f>
        <v>0</v>
      </c>
      <c r="CJ145">
        <f>SUMIFS(Dyno_Data[Avoidance], Dyno_Data[Team],TBA_Matches_All[[#This Row],[Team]],Dyno_Data[Match],TBA_Matches_All[[#This Row],[Match_Number]],Dyno_Data[RecordType],"EndMatch",Dyno_Data[Avoidance],"&lt;&gt;9")</f>
        <v>1</v>
      </c>
      <c r="CK145" s="82">
        <f>COUNTIF($H$2:TBA_Matches_All[[#This Row],[Team]],TBA_Matches_All[[#This Row],[Team]])</f>
        <v>3</v>
      </c>
      <c r="CL145" s="111">
        <f>SUM(MID(TBA_Matches_All[[#This Row],[Team]],4,5)+TBA_Matches_All[[#This Row],[Match_Number]]/100)</f>
        <v>3986.24</v>
      </c>
      <c r="CM145">
        <f>SUM((TBA_Matches_All[[#This Row],[Leave]]*2)+(TBA_Matches_All[[#This Row],[AampT]]*2)+(TBA_Matches_All[[#This Row],[AspkrT]]*5)+(TBA_Matches_All[[#This Row],[AtrapT]]*5))</f>
        <v>7</v>
      </c>
      <c r="CN145" s="59">
        <f>IFERROR(SUM(TBA_Matches_All[[#This Row],[AptsT]]/TBA_Matches_All[[#This Row],[AutoPts]]),0)</f>
        <v>1.4</v>
      </c>
      <c r="CO145" s="59">
        <f>IFERROR(SUM(TBA_Matches_All[[#This Row],[AampT]]+TBA_Matches_All[[#This Row],[AspkrT]]+TBA_Matches_All[[#This Row],[AtrapT]]/TBA_Matches_All[[#This Row],[Aamp]]+TBA_Matches_All[[#This Row],[Aspkr]]+TBA_Matches_All[[#This Row],[AtrapT]]),0)</f>
        <v>0</v>
      </c>
      <c r="CP145" s="59">
        <f>IFERROR(SUM(TBA_Matches_All[[#This Row],[TampT]]/TBA_Matches_All[[#This Row],[Tamp]]),0)</f>
        <v>0.5</v>
      </c>
      <c r="CQ145" s="59">
        <f>IFERROR(SUM(TBA_Matches_All[[#This Row],[TspkrT]]/TBA_Matches_All[[#This Row],[Tspkr]]),0)</f>
        <v>1</v>
      </c>
      <c r="CR145">
        <f>SUM(TBA_Matches_All[[#This Row],[TspkrPts]]*TBA_Matches_All[[#This Row],[TspkrP]])</f>
        <v>8</v>
      </c>
      <c r="CS145" s="59">
        <f>IFERROR(SUM(TBA_Matches_All[[#This Row],[TtrapT]]/TBA_Matches_All[[#This Row],[Trap]]),0)</f>
        <v>0</v>
      </c>
      <c r="CT145" s="59">
        <f>IFERROR(SUM(TBA_Matches_All[[#This Row],[TotNotesT]]/TBA_Matches_All[[#This Row],[TotNotes]]),0)</f>
        <v>0.8571428571428571</v>
      </c>
      <c r="CU145" s="66">
        <f>SUM((TBA_Matches_All[[#This Row],[AampT]]*2)+(TBA_Matches_All[[#This Row],[AspkrT]]*5)+(TBA_Matches_All[[#This Row],[AtrapT]]*5)+(TBA_Matches_All[[#This Row],[TampT]]*1)+(TBA_Matches_All[[#This Row],[TspkrptsC]]))</f>
        <v>14</v>
      </c>
      <c r="CV145" s="59">
        <f>IFERROR(TBA_Matches_All[[#This Row],[noteptsT]]/TBA_Matches_All[[#This Row],[NotePts]],0)</f>
        <v>0.93333333333333335</v>
      </c>
      <c r="CW145">
        <f>SUM(IF(TBA_Matches_All[[#This Row],[stageStat]]="On",3,0),IF(TBA_Matches_All[[#This Row],[stageStat]]="Park",1,0),SUMIFS(TBA_Matches_All[[#This Row],[Spotlit]],TBA_Matches_All[[#This Row],[stageStat]],"On"),SUMIFS(TBA_Matches_All[[#This Row],[Harmony]],TBA_Matches_All[[#This Row],[stageStat]],"On"))</f>
        <v>3</v>
      </c>
      <c r="CX145" s="59">
        <f>IFERROR(TBA_Matches_All[[#This Row],[stageptsT]]/TBA_Matches_All[[#This Row],[StagePts]],0)</f>
        <v>0.75</v>
      </c>
      <c r="CY145">
        <f>SUM((TBA_Matches_All[[#This Row],[AptsT]]+TBA_Matches_All[[#This Row],[TampT]]+TBA_Matches_All[[#This Row],[TspkrptsC]]+(TBA_Matches_All[[#This Row],[TtrapT]]*5)+TBA_Matches_All[[#This Row],[stageptsT]]))</f>
        <v>19</v>
      </c>
      <c r="CZ145" s="59">
        <f>IFERROR(SUM(TBA_Matches_All[[#This Row],[TotptsC]]/TBA_Matches_All[[#This Row],[Score]]),0)</f>
        <v>0.6785714285714286</v>
      </c>
      <c r="DA14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7.4363636363636374</v>
      </c>
      <c r="DB145" s="74">
        <f>SUMIFS(TBA_Matches_All[AveTeamTNoteDels],TBA_Matches_All[Match_Number],TBA_Matches_All[[#This Row],[Match_Number]],TBA_Matches_All[Alliance],"&lt;&gt;"&amp;TBA_Matches_All[[#This Row],[Alliance]],TBA_Matches_All[Scouted],"&gt;0")</f>
        <v>24.16</v>
      </c>
      <c r="DC145" s="74">
        <f>(TBA_Matches_All[[#This Row],[TampT]]+TBA_Matches_All[[#This Row],[TspkrptsC]])-TBA_Matches_All[[#This Row],[AveTeamTNoteDels]]</f>
        <v>1.5636363636363626</v>
      </c>
      <c r="DD145" s="74">
        <f>SUMIFS(TBA_Matches_All[AveTeamTNoteDels],TBA_Matches_All[Match_Number],TBA_Matches_All[[#This Row],[Match_Number]],TBA_Matches_All[Alliance],"&lt;&gt;"&amp;TBA_Matches_All[[#This Row],[Alliance]])-TBA_Matches_All[[#This Row],[AveOppTNoteDels]]</f>
        <v>0</v>
      </c>
    </row>
    <row r="146" spans="1:108" x14ac:dyDescent="0.3">
      <c r="A146" t="s">
        <v>1042</v>
      </c>
      <c r="B146" t="s">
        <v>489</v>
      </c>
      <c r="C146" t="s">
        <v>1333</v>
      </c>
      <c r="D146">
        <v>24</v>
      </c>
      <c r="E146" t="s">
        <v>1406</v>
      </c>
      <c r="F146" t="s">
        <v>1426</v>
      </c>
      <c r="G146" t="s">
        <v>164</v>
      </c>
      <c r="H146" t="s">
        <v>1315</v>
      </c>
      <c r="I146" t="b">
        <v>1</v>
      </c>
      <c r="J146">
        <v>63</v>
      </c>
      <c r="K146">
        <v>1</v>
      </c>
      <c r="L146">
        <v>0</v>
      </c>
      <c r="M146">
        <v>9</v>
      </c>
      <c r="N146">
        <v>0</v>
      </c>
      <c r="O146">
        <v>4</v>
      </c>
      <c r="P146">
        <v>20</v>
      </c>
      <c r="Q146">
        <v>22</v>
      </c>
      <c r="R146">
        <v>5</v>
      </c>
      <c r="S146">
        <v>2</v>
      </c>
      <c r="T146">
        <v>8</v>
      </c>
      <c r="U146">
        <v>10</v>
      </c>
      <c r="V146">
        <v>16</v>
      </c>
      <c r="W146">
        <v>10</v>
      </c>
      <c r="X146">
        <v>26</v>
      </c>
      <c r="Y146">
        <v>31</v>
      </c>
      <c r="Z146">
        <v>0</v>
      </c>
      <c r="AA146">
        <v>0</v>
      </c>
      <c r="AB146">
        <v>19</v>
      </c>
      <c r="AC146">
        <v>51</v>
      </c>
      <c r="AD146">
        <v>5</v>
      </c>
      <c r="AE146">
        <f>IFERROR(6/(COUNTIF(Dyno_EndMatch[Match],TBA_Matches_All[[#This Row],[Match_Number]])),0)</f>
        <v>1</v>
      </c>
      <c r="AF146">
        <f>COUNTIFS(Dyno_Data[Team],TBA_Matches_All[[#This Row],[Team]],Dyno_Data[Match],TBA_Matches_All[[#This Row],[Match_Number]],Dyno_Data[RecordType],"EndMatch",Dyno_Data[HPAmp],"Y")</f>
        <v>0</v>
      </c>
      <c r="AG146">
        <f>SUMIFS(Dyno_Data[Mics], Dyno_Data[Team],TBA_Matches_All[[#This Row],[Team]],Dyno_Data[Match],TBA_Matches_All[[#This Row],[Match_Number]],Dyno_Data[RecordType],"EndMatch",Dyno_Data[HPAmp],"Y")</f>
        <v>0</v>
      </c>
      <c r="AH146">
        <f>SUMIFS(Dyno_Data[Leave], Dyno_Data[Team],TBA_Matches_All[[#This Row],[Team]],Dyno_Data[Match],TBA_Matches_All[[#This Row],[Match_Number]],Dyno_Data[RecordType],"EndAuto")</f>
        <v>0</v>
      </c>
      <c r="AI146">
        <f>COUNTIFS(Dyno_Data[Team],TBA_Matches_All[[#This Row],[Team]],Dyno_Data[Match],TBA_Matches_All[[#This Row],[Match_Number]],Dyno_Data[RecordType],"Activities",Dyno_Data[DelDest],"Amp", Dyno_Data[DelMiss],"0", Dyno_Data[Mode],"Auto")</f>
        <v>0</v>
      </c>
      <c r="AJ146">
        <f>COUNTIFS(Dyno_Data[Team],TBA_Matches_All[[#This Row],[Team]],Dyno_Data[Match],TBA_Matches_All[[#This Row],[Match_Number]],Dyno_Data[RecordType],"Activities",Dyno_Data[DelDest],"Spkr", Dyno_Data[DelMiss],"0", Dyno_Data[Mode],"Auto")</f>
        <v>1</v>
      </c>
      <c r="AK146">
        <f>COUNTIFS(Dyno_Data[Team],TBA_Matches_All[[#This Row],[Team]],Dyno_Data[Match],TBA_Matches_All[[#This Row],[Match_Number]],Dyno_Data[RecordType],"Activities",Dyno_Data[DelDest],"Trap", Dyno_Data[DelMiss],"0", Dyno_Data[Mode],"Auto")</f>
        <v>0</v>
      </c>
      <c r="AL146">
        <f>COUNTIFS(Dyno_Data[Team],TBA_Matches_All[[#This Row],[Team]],Dyno_Data[Match],TBA_Matches_All[[#This Row],[Match_Number]],Dyno_Data[RecordType],"Activities",Dyno_Data[DelDest],"Amp", Dyno_Data[DelMiss],"0", Dyno_Data[Mode],"Teleop")</f>
        <v>1</v>
      </c>
      <c r="AM146">
        <f>COUNTIFS(Dyno_Data[Team],TBA_Matches_All[[#This Row],[Team]],Dyno_Data[Match],TBA_Matches_All[[#This Row],[Match_Number]],Dyno_Data[RecordType],"Activities",Dyno_Data[DelDest],"Spkr", Dyno_Data[DelMiss],"0", Dyno_Data[Mode],"Teleop")</f>
        <v>2</v>
      </c>
      <c r="AN146">
        <f>COUNTIFS(Dyno_Data[Team],TBA_Matches_All[[#This Row],[Team]],Dyno_Data[Match],TBA_Matches_All[[#This Row],[Match_Number]],Dyno_Data[RecordType],"Activities",Dyno_Data[DelDest],"Trap", Dyno_Data[DelMiss],"0", Dyno_Data[Mode],"&lt;&gt;Auto")</f>
        <v>0</v>
      </c>
      <c r="AO146">
        <f>SUM(TBA_Matches_All[[#This Row],[AampT]]+TBA_Matches_All[[#This Row],[AspkrT]]+TBA_Matches_All[[#This Row],[AtrapT]]+TBA_Matches_All[[#This Row],[TampT]]+TBA_Matches_All[[#This Row],[TspkrT]]+TBA_Matches_All[[#This Row],[TtrapT]])</f>
        <v>4</v>
      </c>
      <c r="AP146">
        <f>COUNTIFS(Dyno_Data[Team],TBA_Matches_All[[#This Row],[Team]],Dyno_Data[Match],TBA_Matches_All[[#This Row],[Match_Number]],Dyno_Data[RecordType],"Activities",Dyno_Data[DelDest],"Neut", Dyno_Data[DelMiss],"0")</f>
        <v>1</v>
      </c>
      <c r="AQ146">
        <f>COUNTIFS(Dyno_Data[Team],TBA_Matches_All[[#This Row],[Team]],Dyno_Data[Match],TBA_Matches_All[[#This Row],[Match_Number]],Dyno_Data[RecordType],"Activities",Dyno_Data[DelDest],"AllyW", Dyno_Data[DelMiss],"0")</f>
        <v>6</v>
      </c>
      <c r="AR146" t="str">
        <f>_xlfn.XLOOKUP(SUM(MID(TBA_Matches_All[[#This Row],[Team]],4,5),(TBA_Matches_All[[#This Row],[Match_Number]]/100)),Dyno_EndMatch[teammat],Dyno_EndMatch[RobotSta],"_",0,1)</f>
        <v>Podm</v>
      </c>
      <c r="AS146">
        <f>SUMIFS(Dyno_Data[AcqDis], Dyno_Data[Team],TBA_Matches_All[[#This Row],[Team]],Dyno_Data[Match],TBA_Matches_All[[#This Row],[Match_Number]],Dyno_Data[RecordType],"Activities", Dyno_Data[AcqCenter],1,Dyno_Data[Mode],"Auto")</f>
        <v>0</v>
      </c>
      <c r="AT146">
        <f>SUMIFS(Dyno_Data[AcqDis], Dyno_Data[Team],TBA_Matches_All[[#This Row],[Team]],Dyno_Data[Match],TBA_Matches_All[[#This Row],[Match_Number]],Dyno_Data[RecordType],"Activities", Dyno_Data[AcqCenter],2,Dyno_Data[Mode],"Auto")</f>
        <v>0</v>
      </c>
      <c r="AU146">
        <f>SUMIFS(Dyno_Data[AcqDis], Dyno_Data[Team],TBA_Matches_All[[#This Row],[Team]],Dyno_Data[Match],TBA_Matches_All[[#This Row],[Match_Number]],Dyno_Data[RecordType],"Activities", Dyno_Data[AcqCenter],3,Dyno_Data[Mode],"Auto")</f>
        <v>0</v>
      </c>
      <c r="AV146">
        <f>SUMIFS(Dyno_Data[AcqDis], Dyno_Data[Team],TBA_Matches_All[[#This Row],[Team]],Dyno_Data[Match],TBA_Matches_All[[#This Row],[Match_Number]],Dyno_Data[RecordType],"Activities", Dyno_Data[AcqCenter],4,Dyno_Data[Mode],"Auto")</f>
        <v>0</v>
      </c>
      <c r="AW146">
        <f>SUMIFS(Dyno_Data[AcqDis], Dyno_Data[Team],TBA_Matches_All[[#This Row],[Team]],Dyno_Data[Match],TBA_Matches_All[[#This Row],[Match_Number]],Dyno_Data[RecordType],"Activities", Dyno_Data[AcqCenter],5,Dyno_Data[Mode],"Auto")</f>
        <v>0</v>
      </c>
      <c r="AX146">
        <f>SUMIFS(Dyno_Data[DelMiss], Dyno_Data[Team],TBA_Matches_All[[#This Row],[Team]],Dyno_Data[Match],TBA_Matches_All[[#This Row],[Match_Number]],Dyno_Data[RecordType],"Activities", Dyno_Data[DelDest],"Amp")</f>
        <v>0</v>
      </c>
      <c r="AY146" s="60">
        <f>IFERROR(SUM((TBA_Matches_All[[#This Row],[AampT]]+TBA_Matches_All[[#This Row],[TampT]])/(TBA_Matches_All[[#This Row],[AampT]]+TBA_Matches_All[[#This Row],[TampT]]+TBA_Matches_All[[#This Row],[ampM]])),0)</f>
        <v>1</v>
      </c>
      <c r="AZ146">
        <f>SUMIFS(Dyno_Data[DelMiss], Dyno_Data[Team],TBA_Matches_All[[#This Row],[Team]],Dyno_Data[Match],TBA_Matches_All[[#This Row],[Match_Number]],Dyno_Data[RecordType],"Activities", Dyno_Data[DelDest],"Spkr")</f>
        <v>2</v>
      </c>
      <c r="BA146" s="60">
        <f>IFERROR(SUM((TBA_Matches_All[[#This Row],[AspkrT]]+TBA_Matches_All[[#This Row],[TspkrT]])/(TBA_Matches_All[[#This Row],[AspkrT]]+TBA_Matches_All[[#This Row],[TspkrT]]+TBA_Matches_All[[#This Row],[spkrM]])),0)</f>
        <v>0.6</v>
      </c>
      <c r="BB146">
        <f>SUMIFS(Dyno_Data[DelMiss], Dyno_Data[Team],TBA_Matches_All[[#This Row],[Team]],Dyno_Data[Match],TBA_Matches_All[[#This Row],[Match_Number]],Dyno_Data[RecordType],"Activities", Dyno_Data[DelDest],"Trap")</f>
        <v>0</v>
      </c>
      <c r="BC146" s="60">
        <f>IFERROR((TBA_Matches_All[[#This Row],[AtrapT]]+TBA_Matches_All[[#This Row],[TtrapT]])/(TBA_Matches_All[[#This Row],[AtrapT]]+TBA_Matches_All[[#This Row],[TtrapT]]+TBA_Matches_All[[#This Row],[trapM]]),0)</f>
        <v>0</v>
      </c>
      <c r="BD146">
        <f>COUNTIFS(Dyno_Data[Team],TBA_Matches_All[[#This Row],[Team]],Dyno_Data[Match],TBA_Matches_All[[#This Row],[Match_Number]],Dyno_Data[RecordType],"Activities",Dyno_Data[DelDest],"Neut", Dyno_Data[DelMiss],1)</f>
        <v>0</v>
      </c>
      <c r="BE146" s="60">
        <f>IFERROR(SUM((TBA_Matches_All[[#This Row],[NeutFlrT]])/(TBA_Matches_All[[#This Row],[NeutFlrT]]+TBA_Matches_All[[#This Row],[NZflM]])),0)</f>
        <v>1</v>
      </c>
      <c r="BF146">
        <f>COUNTIFS(Dyno_Data[Team],TBA_Matches_All[[#This Row],[Team]],Dyno_Data[Match],TBA_Matches_All[[#This Row],[Match_Number]],Dyno_Data[RecordType],"Activities",Dyno_Data[DelDest],"AllyW", Dyno_Data[DelMiss],1)</f>
        <v>0</v>
      </c>
      <c r="BG146" s="60">
        <f>IFERROR(SUM((TBA_Matches_All[[#This Row],[AllyWFlrT]])/(TBA_Matches_All[[#This Row],[AllyWFlrT]]+TBA_Matches_All[[#This Row],[AZflM]])),0)</f>
        <v>1</v>
      </c>
      <c r="BH146">
        <f>COUNTIFS(Dyno_Data[Team],TBA_Matches_All[[#This Row],[Team]],Dyno_Data[Match],TBA_Matches_All[[#This Row],[Match_Number]],Dyno_Data[RecordType],"Activities",Dyno_Data[DelOrig],"OppW", Dyno_Data[DelMiss],"0")</f>
        <v>0</v>
      </c>
      <c r="BI146">
        <f>COUNTIFS(Dyno_Data[Team],TBA_Matches_All[[#This Row],[Team]],Dyno_Data[Match],TBA_Matches_All[[#This Row],[Match_Number]],Dyno_Data[RecordType],"Activities",Dyno_Data[DelOrig],"OppW", Dyno_Data[DelMiss],"1")</f>
        <v>0</v>
      </c>
      <c r="BJ146" s="60">
        <f>IFERROR(SUM((TBA_Matches_All[[#This Row],[OZflrT]])/(TBA_Matches_All[[#This Row],[OZflrT]]+TBA_Matches_All[[#This Row],[OZflrM]])),0)</f>
        <v>0</v>
      </c>
      <c r="BK146">
        <f>COUNTIFS(Dyno_Data[Team],TBA_Matches_All[[#This Row],[Team]],Dyno_Data[Match],TBA_Matches_All[[#This Row],[Match_Number]],Dyno_Data[RecordType],"Activities",Dyno_Data[DelOrig],"Neut", Dyno_Data[DelMiss],"0")</f>
        <v>7</v>
      </c>
      <c r="BL146">
        <f>COUNTIFS(Dyno_Data[Team],TBA_Matches_All[[#This Row],[Team]],Dyno_Data[Match],TBA_Matches_All[[#This Row],[Match_Number]],Dyno_Data[RecordType],"Activities",Dyno_Data[DelOrig],"Neut", Dyno_Data[DelMiss],"1")</f>
        <v>1</v>
      </c>
      <c r="BM146" s="60">
        <f>IFERROR(SUM((TBA_Matches_All[[#This Row],[NZflrT]])/(TBA_Matches_All[[#This Row],[NZflrT]]+TBA_Matches_All[[#This Row],[NZflrM]])),0)</f>
        <v>0.875</v>
      </c>
      <c r="BN146">
        <f>COUNTIFS(Dyno_Data[Team],TBA_Matches_All[[#This Row],[Team]],Dyno_Data[Match],TBA_Matches_All[[#This Row],[Match_Number]],Dyno_Data[RecordType],"Activities",Dyno_Data[DelOrig],"AllyW", Dyno_Data[DelMiss],"0")</f>
        <v>1</v>
      </c>
      <c r="BO146">
        <f>COUNTIFS(Dyno_Data[Team],TBA_Matches_All[[#This Row],[Team]],Dyno_Data[Match],TBA_Matches_All[[#This Row],[Match_Number]],Dyno_Data[RecordType],"Activities",Dyno_Data[DelOrig],"AllyW", Dyno_Data[DelMiss],"1")</f>
        <v>1</v>
      </c>
      <c r="BP146" s="60">
        <f>IFERROR(SUM((TBA_Matches_All[[#This Row],[AZflrT]])/(TBA_Matches_All[[#This Row],[AZflrT]]+TBA_Matches_All[[#This Row],[AZflrM]])),0)</f>
        <v>0.5</v>
      </c>
      <c r="BQ146">
        <f>COUNTIFS(Dyno_Data[Team],TBA_Matches_All[[#This Row],[Team]],Dyno_Data[Match],TBA_Matches_All[[#This Row],[Match_Number]],Dyno_Data[RecordType],"Activities",Dyno_Data[DelOrig],"SubW", Dyno_Data[DelMiss],"0")</f>
        <v>3</v>
      </c>
      <c r="BR146">
        <f>COUNTIFS(Dyno_Data[Team],TBA_Matches_All[[#This Row],[Team]],Dyno_Data[Match],TBA_Matches_All[[#This Row],[Match_Number]],Dyno_Data[RecordType],"Activities",Dyno_Data[DelOrig],"SubW", Dyno_Data[DelMiss],"1")</f>
        <v>0</v>
      </c>
      <c r="BS146" s="60">
        <f>IFERROR(SUM((TBA_Matches_All[[#This Row],[SubwT]])/(TBA_Matches_All[[#This Row],[SubwT]]+TBA_Matches_All[[#This Row],[SubwM]])),0)</f>
        <v>1</v>
      </c>
      <c r="BT146">
        <f>COUNTIFS(Dyno_Data[Team],TBA_Matches_All[[#This Row],[Team]],Dyno_Data[Match],TBA_Matches_All[[#This Row],[Match_Number]],Dyno_Data[RecordType],"Activities", Dyno_Data[AcqLoc],"OppWing")</f>
        <v>0</v>
      </c>
      <c r="BU146">
        <f>COUNTIFS(Dyno_Data[Team],TBA_Matches_All[[#This Row],[Team]],Dyno_Data[Match],TBA_Matches_All[[#This Row],[Match_Number]],Dyno_Data[RecordType],"Activities", Dyno_Data[AcqLoc],"Neutral")</f>
        <v>0</v>
      </c>
      <c r="BV146">
        <f>COUNTIFS(Dyno_Data[Team],TBA_Matches_All[[#This Row],[Team]],Dyno_Data[Match],TBA_Matches_All[[#This Row],[Match_Number]],Dyno_Data[RecordType],"Activities", Dyno_Data[AcqLoc],"AllyWing")</f>
        <v>0</v>
      </c>
      <c r="BW146">
        <f>COUNTIFS(Dyno_Data[Team],TBA_Matches_All[[#This Row],[Team]],Dyno_Data[Match],TBA_Matches_All[[#This Row],[Match_Number]],Dyno_Data[RecordType],"Activities", Dyno_Data[AcqLoc],"Source")</f>
        <v>0</v>
      </c>
      <c r="BX146">
        <f>SUMIFS(Dyno_Data[AcqDrp], Dyno_Data[Team],TBA_Matches_All[[#This Row],[Team]],Dyno_Data[Match],TBA_Matches_All[[#This Row],[Match_Number]],Dyno_Data[RecordType],"Activities", Dyno_Data[AcqLoc],"Source")</f>
        <v>0</v>
      </c>
      <c r="BY146">
        <f>SUMIFS(Dyno_Data[OZTime], Dyno_Data[Team],TBA_Matches_All[[#This Row],[Team]],Dyno_Data[Match],TBA_Matches_All[[#This Row],[Match_Number]],Dyno_Data[RecordType],"EndMatch")</f>
        <v>26.8454555</v>
      </c>
      <c r="BZ146">
        <f>SUMIFS(Dyno_Data[NZTime], Dyno_Data[Team],TBA_Matches_All[[#This Row],[Team]],Dyno_Data[Match],TBA_Matches_All[[#This Row],[Match_Number]],Dyno_Data[RecordType],"EndMatch")</f>
        <v>70.1870476</v>
      </c>
      <c r="CA146">
        <f>SUMIFS(Dyno_Data[AZTime], Dyno_Data[Team],TBA_Matches_All[[#This Row],[Team]],Dyno_Data[Match],TBA_Matches_All[[#This Row],[Match_Number]],Dyno_Data[RecordType],"EndMatch")</f>
        <v>38.637930900000001</v>
      </c>
      <c r="CB146">
        <f>SUMIFS(Dyno_Data[ClimbT], Dyno_Data[Team],TBA_Matches_All[[#This Row],[Team]],Dyno_Data[Match],TBA_Matches_All[[#This Row],[Match_Number]],Dyno_Data[RecordType],"EndMatch")</f>
        <v>0</v>
      </c>
      <c r="CC146" t="str">
        <f>_xlfn.XLOOKUP(SUM(MID(TBA_Matches_All[[#This Row],[Team]],4,5),(TBA_Matches_All[[#This Row],[Match_Number]]/100)),Dyno_EndMatch[teammat],Dyno_EndMatch[StageStat],"_",0,1)</f>
        <v>Park</v>
      </c>
      <c r="CD146" t="str">
        <f>_xlfn.XLOOKUP(TBA_Matches_All[[#This Row],[teammat]],Dyno_EndMatch[teammat],Dyno_EndMatch[StageAtt],"_",0,1)</f>
        <v>0</v>
      </c>
      <c r="CE146" t="str">
        <f>_xlfn.XLOOKUP(TBA_Matches_All[[#This Row],[teammat]],Dyno_EndMatch[teammat],Dyno_EndMatch[StageLoc],"_",0,1)</f>
        <v>A</v>
      </c>
      <c r="CF146">
        <f>SUMIFS(Dyno_Data[Harmony], Dyno_Data[Team],TBA_Matches_All[[#This Row],[Team]],Dyno_Data[Match],TBA_Matches_All[[#This Row],[Match_Number]],Dyno_Data[RecordType],"EndMatch", Dyno_Data[StageStat],"On",Dyno_Data[Harmony],"&lt;&gt;9")</f>
        <v>0</v>
      </c>
      <c r="CG146">
        <f>SUMIFS(Dyno_Data[Spotlit], Dyno_Data[Team],TBA_Matches_All[[#This Row],[Team]],Dyno_Data[Match],TBA_Matches_All[[#This Row],[Match_Number]],Dyno_Data[RecordType],"EndMatch", Dyno_Data[StageStat],"On",Dyno_Data[Spotlit],"&lt;&gt;9")</f>
        <v>0</v>
      </c>
      <c r="CH146" t="str">
        <f>_xlfn.XLOOKUP(TBA_Matches_All[[#This Row],[teammat]],Dyno_EndMatch[teammat],Dyno_EndMatch[Strategy],"_",0,1)</f>
        <v>Hybrid</v>
      </c>
      <c r="CI146">
        <f>SUMIFS(Dyno_Data[Defense], Dyno_Data[Team],TBA_Matches_All[[#This Row],[Team]],Dyno_Data[Match],TBA_Matches_All[[#This Row],[Match_Number]],Dyno_Data[RecordType],"EndMatch",Dyno_Data[Defense],"&lt;&gt;9")</f>
        <v>0</v>
      </c>
      <c r="CJ146">
        <f>SUMIFS(Dyno_Data[Avoidance], Dyno_Data[Team],TBA_Matches_All[[#This Row],[Team]],Dyno_Data[Match],TBA_Matches_All[[#This Row],[Match_Number]],Dyno_Data[RecordType],"EndMatch",Dyno_Data[Avoidance],"&lt;&gt;9")</f>
        <v>0</v>
      </c>
      <c r="CK146" s="82">
        <f>COUNTIF($H$2:TBA_Matches_All[[#This Row],[Team]],TBA_Matches_All[[#This Row],[Team]])</f>
        <v>3</v>
      </c>
      <c r="CL146" s="111">
        <f>SUM(MID(TBA_Matches_All[[#This Row],[Team]],4,5)+TBA_Matches_All[[#This Row],[Match_Number]]/100)</f>
        <v>1511.24</v>
      </c>
      <c r="CM146">
        <f>SUM((TBA_Matches_All[[#This Row],[Leave]]*2)+(TBA_Matches_All[[#This Row],[AampT]]*2)+(TBA_Matches_All[[#This Row],[AspkrT]]*5)+(TBA_Matches_All[[#This Row],[AtrapT]]*5))</f>
        <v>5</v>
      </c>
      <c r="CN146" s="59">
        <f>IFERROR(SUM(TBA_Matches_All[[#This Row],[AptsT]]/TBA_Matches_All[[#This Row],[AutoPts]]),0)</f>
        <v>0.22727272727272727</v>
      </c>
      <c r="CO146" s="59">
        <f>IFERROR(SUM(TBA_Matches_All[[#This Row],[AampT]]+TBA_Matches_All[[#This Row],[AspkrT]]+TBA_Matches_All[[#This Row],[AtrapT]]/TBA_Matches_All[[#This Row],[Aamp]]+TBA_Matches_All[[#This Row],[Aspkr]]+TBA_Matches_All[[#This Row],[AtrapT]]),0)</f>
        <v>0</v>
      </c>
      <c r="CP146" s="59">
        <f>IFERROR(SUM(TBA_Matches_All[[#This Row],[TampT]]/TBA_Matches_All[[#This Row],[Tamp]]),0)</f>
        <v>0.2</v>
      </c>
      <c r="CQ146" s="59">
        <f>IFERROR(SUM(TBA_Matches_All[[#This Row],[TspkrT]]/TBA_Matches_All[[#This Row],[Tspkr]]),0)</f>
        <v>0.2</v>
      </c>
      <c r="CR146">
        <f>SUM(TBA_Matches_All[[#This Row],[TspkrPts]]*TBA_Matches_All[[#This Row],[TspkrP]])</f>
        <v>5.2</v>
      </c>
      <c r="CS146" s="59">
        <f>IFERROR(SUM(TBA_Matches_All[[#This Row],[TtrapT]]/TBA_Matches_All[[#This Row],[Trap]]),0)</f>
        <v>0</v>
      </c>
      <c r="CT146" s="59">
        <f>IFERROR(SUM(TBA_Matches_All[[#This Row],[TotNotesT]]/TBA_Matches_All[[#This Row],[TotNotes]]),0)</f>
        <v>0.21052631578947367</v>
      </c>
      <c r="CU146" s="66">
        <f>SUM((TBA_Matches_All[[#This Row],[AampT]]*2)+(TBA_Matches_All[[#This Row],[AspkrT]]*5)+(TBA_Matches_All[[#This Row],[AtrapT]]*5)+(TBA_Matches_All[[#This Row],[TampT]]*1)+(TBA_Matches_All[[#This Row],[TspkrptsC]]))</f>
        <v>11.2</v>
      </c>
      <c r="CV146" s="59">
        <f>IFERROR(TBA_Matches_All[[#This Row],[noteptsT]]/TBA_Matches_All[[#This Row],[NotePts]],0)</f>
        <v>0.2196078431372549</v>
      </c>
      <c r="CW146">
        <f>SUM(IF(TBA_Matches_All[[#This Row],[stageStat]]="On",3,0),IF(TBA_Matches_All[[#This Row],[stageStat]]="Park",1,0),SUMIFS(TBA_Matches_All[[#This Row],[Spotlit]],TBA_Matches_All[[#This Row],[stageStat]],"On"),SUMIFS(TBA_Matches_All[[#This Row],[Harmony]],TBA_Matches_All[[#This Row],[stageStat]],"On"))</f>
        <v>1</v>
      </c>
      <c r="CX146" s="59">
        <f>IFERROR(TBA_Matches_All[[#This Row],[stageptsT]]/TBA_Matches_All[[#This Row],[StagePts]],0)</f>
        <v>0.2</v>
      </c>
      <c r="CY146">
        <f>SUM((TBA_Matches_All[[#This Row],[AptsT]]+TBA_Matches_All[[#This Row],[TampT]]+TBA_Matches_All[[#This Row],[TspkrptsC]]+(TBA_Matches_All[[#This Row],[TtrapT]]*5)+TBA_Matches_All[[#This Row],[stageptsT]]))</f>
        <v>12.2</v>
      </c>
      <c r="CZ146" s="59">
        <f>IFERROR(SUM(TBA_Matches_All[[#This Row],[TotptsC]]/TBA_Matches_All[[#This Row],[Score]]),0)</f>
        <v>0.19365079365079363</v>
      </c>
      <c r="DA14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11.493333333333332</v>
      </c>
      <c r="DB146" s="74">
        <f>SUMIFS(TBA_Matches_All[AveTeamTNoteDels],TBA_Matches_All[Match_Number],TBA_Matches_All[[#This Row],[Match_Number]],TBA_Matches_All[Alliance],"&lt;&gt;"&amp;TBA_Matches_All[[#This Row],[Alliance]],TBA_Matches_All[Scouted],"&gt;0")</f>
        <v>7.6363636363636376</v>
      </c>
      <c r="DC146" s="74">
        <f>(TBA_Matches_All[[#This Row],[TampT]]+TBA_Matches_All[[#This Row],[TspkrptsC]])-TBA_Matches_All[[#This Row],[AveTeamTNoteDels]]</f>
        <v>-5.2933333333333321</v>
      </c>
      <c r="DD146" s="74">
        <f>SUMIFS(TBA_Matches_All[AveTeamTNoteDels],TBA_Matches_All[Match_Number],TBA_Matches_All[[#This Row],[Match_Number]],TBA_Matches_All[Alliance],"&lt;&gt;"&amp;TBA_Matches_All[[#This Row],[Alliance]])-TBA_Matches_All[[#This Row],[AveOppTNoteDels]]</f>
        <v>0</v>
      </c>
    </row>
    <row r="147" spans="1:108" x14ac:dyDescent="0.3">
      <c r="A147" t="s">
        <v>1042</v>
      </c>
      <c r="B147" t="s">
        <v>489</v>
      </c>
      <c r="C147" t="s">
        <v>1334</v>
      </c>
      <c r="D147">
        <v>25</v>
      </c>
      <c r="E147" t="s">
        <v>1420</v>
      </c>
      <c r="F147" t="s">
        <v>1423</v>
      </c>
      <c r="G147" t="s">
        <v>1409</v>
      </c>
      <c r="H147" t="s">
        <v>1278</v>
      </c>
      <c r="I147" t="b">
        <v>1</v>
      </c>
      <c r="J147">
        <v>45</v>
      </c>
      <c r="K147">
        <v>0</v>
      </c>
      <c r="L147">
        <v>0</v>
      </c>
      <c r="M147">
        <v>10</v>
      </c>
      <c r="N147">
        <v>0</v>
      </c>
      <c r="O147">
        <v>1</v>
      </c>
      <c r="P147">
        <v>5</v>
      </c>
      <c r="Q147">
        <v>11</v>
      </c>
      <c r="R147">
        <v>3</v>
      </c>
      <c r="S147">
        <v>1</v>
      </c>
      <c r="T147">
        <v>7</v>
      </c>
      <c r="U147">
        <v>5</v>
      </c>
      <c r="V147">
        <v>14</v>
      </c>
      <c r="W147">
        <v>8</v>
      </c>
      <c r="X147">
        <v>19</v>
      </c>
      <c r="Y147">
        <v>22</v>
      </c>
      <c r="Z147">
        <v>0</v>
      </c>
      <c r="AA147">
        <v>0</v>
      </c>
      <c r="AB147">
        <v>12</v>
      </c>
      <c r="AC147">
        <v>27</v>
      </c>
      <c r="AD147">
        <v>5</v>
      </c>
      <c r="AE147">
        <f>IFERROR(6/(COUNTIF(Dyno_EndMatch[Match],TBA_Matches_All[[#This Row],[Match_Number]])),0)</f>
        <v>0</v>
      </c>
      <c r="AF147">
        <f>COUNTIFS(Dyno_Data[Team],TBA_Matches_All[[#This Row],[Team]],Dyno_Data[Match],TBA_Matches_All[[#This Row],[Match_Number]],Dyno_Data[RecordType],"EndMatch",Dyno_Data[HPAmp],"Y")</f>
        <v>0</v>
      </c>
      <c r="AG147">
        <f>SUMIFS(Dyno_Data[Mics], Dyno_Data[Team],TBA_Matches_All[[#This Row],[Team]],Dyno_Data[Match],TBA_Matches_All[[#This Row],[Match_Number]],Dyno_Data[RecordType],"EndMatch",Dyno_Data[HPAmp],"Y")</f>
        <v>0</v>
      </c>
      <c r="AH147">
        <f>SUMIFS(Dyno_Data[Leave], Dyno_Data[Team],TBA_Matches_All[[#This Row],[Team]],Dyno_Data[Match],TBA_Matches_All[[#This Row],[Match_Number]],Dyno_Data[RecordType],"EndAuto")</f>
        <v>0</v>
      </c>
      <c r="AI147">
        <f>COUNTIFS(Dyno_Data[Team],TBA_Matches_All[[#This Row],[Team]],Dyno_Data[Match],TBA_Matches_All[[#This Row],[Match_Number]],Dyno_Data[RecordType],"Activities",Dyno_Data[DelDest],"Amp", Dyno_Data[DelMiss],"0", Dyno_Data[Mode],"Auto")</f>
        <v>0</v>
      </c>
      <c r="AJ147">
        <f>COUNTIFS(Dyno_Data[Team],TBA_Matches_All[[#This Row],[Team]],Dyno_Data[Match],TBA_Matches_All[[#This Row],[Match_Number]],Dyno_Data[RecordType],"Activities",Dyno_Data[DelDest],"Spkr", Dyno_Data[DelMiss],"0", Dyno_Data[Mode],"Auto")</f>
        <v>0</v>
      </c>
      <c r="AK147">
        <f>COUNTIFS(Dyno_Data[Team],TBA_Matches_All[[#This Row],[Team]],Dyno_Data[Match],TBA_Matches_All[[#This Row],[Match_Number]],Dyno_Data[RecordType],"Activities",Dyno_Data[DelDest],"Trap", Dyno_Data[DelMiss],"0", Dyno_Data[Mode],"Auto")</f>
        <v>0</v>
      </c>
      <c r="AL147">
        <f>COUNTIFS(Dyno_Data[Team],TBA_Matches_All[[#This Row],[Team]],Dyno_Data[Match],TBA_Matches_All[[#This Row],[Match_Number]],Dyno_Data[RecordType],"Activities",Dyno_Data[DelDest],"Amp", Dyno_Data[DelMiss],"0", Dyno_Data[Mode],"Teleop")</f>
        <v>0</v>
      </c>
      <c r="AM147">
        <f>COUNTIFS(Dyno_Data[Team],TBA_Matches_All[[#This Row],[Team]],Dyno_Data[Match],TBA_Matches_All[[#This Row],[Match_Number]],Dyno_Data[RecordType],"Activities",Dyno_Data[DelDest],"Spkr", Dyno_Data[DelMiss],"0", Dyno_Data[Mode],"Teleop")</f>
        <v>0</v>
      </c>
      <c r="AN147">
        <f>COUNTIFS(Dyno_Data[Team],TBA_Matches_All[[#This Row],[Team]],Dyno_Data[Match],TBA_Matches_All[[#This Row],[Match_Number]],Dyno_Data[RecordType],"Activities",Dyno_Data[DelDest],"Trap", Dyno_Data[DelMiss],"0", Dyno_Data[Mode],"&lt;&gt;Auto")</f>
        <v>0</v>
      </c>
      <c r="AO147">
        <f>SUM(TBA_Matches_All[[#This Row],[AampT]]+TBA_Matches_All[[#This Row],[AspkrT]]+TBA_Matches_All[[#This Row],[AtrapT]]+TBA_Matches_All[[#This Row],[TampT]]+TBA_Matches_All[[#This Row],[TspkrT]]+TBA_Matches_All[[#This Row],[TtrapT]])</f>
        <v>0</v>
      </c>
      <c r="AP147">
        <f>COUNTIFS(Dyno_Data[Team],TBA_Matches_All[[#This Row],[Team]],Dyno_Data[Match],TBA_Matches_All[[#This Row],[Match_Number]],Dyno_Data[RecordType],"Activities",Dyno_Data[DelDest],"Neut", Dyno_Data[DelMiss],"0")</f>
        <v>0</v>
      </c>
      <c r="AQ147">
        <f>COUNTIFS(Dyno_Data[Team],TBA_Matches_All[[#This Row],[Team]],Dyno_Data[Match],TBA_Matches_All[[#This Row],[Match_Number]],Dyno_Data[RecordType],"Activities",Dyno_Data[DelDest],"AllyW", Dyno_Data[DelMiss],"0")</f>
        <v>0</v>
      </c>
      <c r="AR147" t="str">
        <f>_xlfn.XLOOKUP(SUM(MID(TBA_Matches_All[[#This Row],[Team]],4,5),(TBA_Matches_All[[#This Row],[Match_Number]]/100)),Dyno_EndMatch[teammat],Dyno_EndMatch[RobotSta],"_",0,1)</f>
        <v>_</v>
      </c>
      <c r="AS147">
        <f>SUMIFS(Dyno_Data[AcqDis], Dyno_Data[Team],TBA_Matches_All[[#This Row],[Team]],Dyno_Data[Match],TBA_Matches_All[[#This Row],[Match_Number]],Dyno_Data[RecordType],"Activities", Dyno_Data[AcqCenter],1,Dyno_Data[Mode],"Auto")</f>
        <v>0</v>
      </c>
      <c r="AT147">
        <f>SUMIFS(Dyno_Data[AcqDis], Dyno_Data[Team],TBA_Matches_All[[#This Row],[Team]],Dyno_Data[Match],TBA_Matches_All[[#This Row],[Match_Number]],Dyno_Data[RecordType],"Activities", Dyno_Data[AcqCenter],2,Dyno_Data[Mode],"Auto")</f>
        <v>0</v>
      </c>
      <c r="AU147">
        <f>SUMIFS(Dyno_Data[AcqDis], Dyno_Data[Team],TBA_Matches_All[[#This Row],[Team]],Dyno_Data[Match],TBA_Matches_All[[#This Row],[Match_Number]],Dyno_Data[RecordType],"Activities", Dyno_Data[AcqCenter],3,Dyno_Data[Mode],"Auto")</f>
        <v>0</v>
      </c>
      <c r="AV147">
        <f>SUMIFS(Dyno_Data[AcqDis], Dyno_Data[Team],TBA_Matches_All[[#This Row],[Team]],Dyno_Data[Match],TBA_Matches_All[[#This Row],[Match_Number]],Dyno_Data[RecordType],"Activities", Dyno_Data[AcqCenter],4,Dyno_Data[Mode],"Auto")</f>
        <v>0</v>
      </c>
      <c r="AW147">
        <f>SUMIFS(Dyno_Data[AcqDis], Dyno_Data[Team],TBA_Matches_All[[#This Row],[Team]],Dyno_Data[Match],TBA_Matches_All[[#This Row],[Match_Number]],Dyno_Data[RecordType],"Activities", Dyno_Data[AcqCenter],5,Dyno_Data[Mode],"Auto")</f>
        <v>0</v>
      </c>
      <c r="AX147">
        <f>SUMIFS(Dyno_Data[DelMiss], Dyno_Data[Team],TBA_Matches_All[[#This Row],[Team]],Dyno_Data[Match],TBA_Matches_All[[#This Row],[Match_Number]],Dyno_Data[RecordType],"Activities", Dyno_Data[DelDest],"Amp")</f>
        <v>0</v>
      </c>
      <c r="AY147" s="60">
        <f>IFERROR(SUM((TBA_Matches_All[[#This Row],[AampT]]+TBA_Matches_All[[#This Row],[TampT]])/(TBA_Matches_All[[#This Row],[AampT]]+TBA_Matches_All[[#This Row],[TampT]]+TBA_Matches_All[[#This Row],[ampM]])),0)</f>
        <v>0</v>
      </c>
      <c r="AZ147">
        <f>SUMIFS(Dyno_Data[DelMiss], Dyno_Data[Team],TBA_Matches_All[[#This Row],[Team]],Dyno_Data[Match],TBA_Matches_All[[#This Row],[Match_Number]],Dyno_Data[RecordType],"Activities", Dyno_Data[DelDest],"Spkr")</f>
        <v>0</v>
      </c>
      <c r="BA147" s="60">
        <f>IFERROR(SUM((TBA_Matches_All[[#This Row],[AspkrT]]+TBA_Matches_All[[#This Row],[TspkrT]])/(TBA_Matches_All[[#This Row],[AspkrT]]+TBA_Matches_All[[#This Row],[TspkrT]]+TBA_Matches_All[[#This Row],[spkrM]])),0)</f>
        <v>0</v>
      </c>
      <c r="BB147">
        <f>SUMIFS(Dyno_Data[DelMiss], Dyno_Data[Team],TBA_Matches_All[[#This Row],[Team]],Dyno_Data[Match],TBA_Matches_All[[#This Row],[Match_Number]],Dyno_Data[RecordType],"Activities", Dyno_Data[DelDest],"Trap")</f>
        <v>0</v>
      </c>
      <c r="BC147" s="60">
        <f>IFERROR((TBA_Matches_All[[#This Row],[AtrapT]]+TBA_Matches_All[[#This Row],[TtrapT]])/(TBA_Matches_All[[#This Row],[AtrapT]]+TBA_Matches_All[[#This Row],[TtrapT]]+TBA_Matches_All[[#This Row],[trapM]]),0)</f>
        <v>0</v>
      </c>
      <c r="BD147">
        <f>COUNTIFS(Dyno_Data[Team],TBA_Matches_All[[#This Row],[Team]],Dyno_Data[Match],TBA_Matches_All[[#This Row],[Match_Number]],Dyno_Data[RecordType],"Activities",Dyno_Data[DelDest],"Neut", Dyno_Data[DelMiss],1)</f>
        <v>0</v>
      </c>
      <c r="BE147" s="60">
        <f>IFERROR(SUM((TBA_Matches_All[[#This Row],[NeutFlrT]])/(TBA_Matches_All[[#This Row],[NeutFlrT]]+TBA_Matches_All[[#This Row],[NZflM]])),0)</f>
        <v>0</v>
      </c>
      <c r="BF147">
        <f>COUNTIFS(Dyno_Data[Team],TBA_Matches_All[[#This Row],[Team]],Dyno_Data[Match],TBA_Matches_All[[#This Row],[Match_Number]],Dyno_Data[RecordType],"Activities",Dyno_Data[DelDest],"AllyW", Dyno_Data[DelMiss],1)</f>
        <v>0</v>
      </c>
      <c r="BG147" s="60">
        <f>IFERROR(SUM((TBA_Matches_All[[#This Row],[AllyWFlrT]])/(TBA_Matches_All[[#This Row],[AllyWFlrT]]+TBA_Matches_All[[#This Row],[AZflM]])),0)</f>
        <v>0</v>
      </c>
      <c r="BH147">
        <f>COUNTIFS(Dyno_Data[Team],TBA_Matches_All[[#This Row],[Team]],Dyno_Data[Match],TBA_Matches_All[[#This Row],[Match_Number]],Dyno_Data[RecordType],"Activities",Dyno_Data[DelOrig],"OppW", Dyno_Data[DelMiss],"0")</f>
        <v>0</v>
      </c>
      <c r="BI147">
        <f>COUNTIFS(Dyno_Data[Team],TBA_Matches_All[[#This Row],[Team]],Dyno_Data[Match],TBA_Matches_All[[#This Row],[Match_Number]],Dyno_Data[RecordType],"Activities",Dyno_Data[DelOrig],"OppW", Dyno_Data[DelMiss],"1")</f>
        <v>0</v>
      </c>
      <c r="BJ147" s="60">
        <f>IFERROR(SUM((TBA_Matches_All[[#This Row],[OZflrT]])/(TBA_Matches_All[[#This Row],[OZflrT]]+TBA_Matches_All[[#This Row],[OZflrM]])),0)</f>
        <v>0</v>
      </c>
      <c r="BK147">
        <f>COUNTIFS(Dyno_Data[Team],TBA_Matches_All[[#This Row],[Team]],Dyno_Data[Match],TBA_Matches_All[[#This Row],[Match_Number]],Dyno_Data[RecordType],"Activities",Dyno_Data[DelOrig],"Neut", Dyno_Data[DelMiss],"0")</f>
        <v>0</v>
      </c>
      <c r="BL147">
        <f>COUNTIFS(Dyno_Data[Team],TBA_Matches_All[[#This Row],[Team]],Dyno_Data[Match],TBA_Matches_All[[#This Row],[Match_Number]],Dyno_Data[RecordType],"Activities",Dyno_Data[DelOrig],"Neut", Dyno_Data[DelMiss],"1")</f>
        <v>0</v>
      </c>
      <c r="BM147" s="60">
        <f>IFERROR(SUM((TBA_Matches_All[[#This Row],[NZflrT]])/(TBA_Matches_All[[#This Row],[NZflrT]]+TBA_Matches_All[[#This Row],[NZflrM]])),0)</f>
        <v>0</v>
      </c>
      <c r="BN147">
        <f>COUNTIFS(Dyno_Data[Team],TBA_Matches_All[[#This Row],[Team]],Dyno_Data[Match],TBA_Matches_All[[#This Row],[Match_Number]],Dyno_Data[RecordType],"Activities",Dyno_Data[DelOrig],"AllyW", Dyno_Data[DelMiss],"0")</f>
        <v>0</v>
      </c>
      <c r="BO147">
        <f>COUNTIFS(Dyno_Data[Team],TBA_Matches_All[[#This Row],[Team]],Dyno_Data[Match],TBA_Matches_All[[#This Row],[Match_Number]],Dyno_Data[RecordType],"Activities",Dyno_Data[DelOrig],"AllyW", Dyno_Data[DelMiss],"1")</f>
        <v>0</v>
      </c>
      <c r="BP147" s="60">
        <f>IFERROR(SUM((TBA_Matches_All[[#This Row],[AZflrT]])/(TBA_Matches_All[[#This Row],[AZflrT]]+TBA_Matches_All[[#This Row],[AZflrM]])),0)</f>
        <v>0</v>
      </c>
      <c r="BQ147">
        <f>COUNTIFS(Dyno_Data[Team],TBA_Matches_All[[#This Row],[Team]],Dyno_Data[Match],TBA_Matches_All[[#This Row],[Match_Number]],Dyno_Data[RecordType],"Activities",Dyno_Data[DelOrig],"SubW", Dyno_Data[DelMiss],"0")</f>
        <v>0</v>
      </c>
      <c r="BR147">
        <f>COUNTIFS(Dyno_Data[Team],TBA_Matches_All[[#This Row],[Team]],Dyno_Data[Match],TBA_Matches_All[[#This Row],[Match_Number]],Dyno_Data[RecordType],"Activities",Dyno_Data[DelOrig],"SubW", Dyno_Data[DelMiss],"1")</f>
        <v>0</v>
      </c>
      <c r="BS147" s="60">
        <f>IFERROR(SUM((TBA_Matches_All[[#This Row],[SubwT]])/(TBA_Matches_All[[#This Row],[SubwT]]+TBA_Matches_All[[#This Row],[SubwM]])),0)</f>
        <v>0</v>
      </c>
      <c r="BT147">
        <f>COUNTIFS(Dyno_Data[Team],TBA_Matches_All[[#This Row],[Team]],Dyno_Data[Match],TBA_Matches_All[[#This Row],[Match_Number]],Dyno_Data[RecordType],"Activities", Dyno_Data[AcqLoc],"OppWing")</f>
        <v>0</v>
      </c>
      <c r="BU147">
        <f>COUNTIFS(Dyno_Data[Team],TBA_Matches_All[[#This Row],[Team]],Dyno_Data[Match],TBA_Matches_All[[#This Row],[Match_Number]],Dyno_Data[RecordType],"Activities", Dyno_Data[AcqLoc],"Neutral")</f>
        <v>0</v>
      </c>
      <c r="BV147">
        <f>COUNTIFS(Dyno_Data[Team],TBA_Matches_All[[#This Row],[Team]],Dyno_Data[Match],TBA_Matches_All[[#This Row],[Match_Number]],Dyno_Data[RecordType],"Activities", Dyno_Data[AcqLoc],"AllyWing")</f>
        <v>0</v>
      </c>
      <c r="BW147">
        <f>COUNTIFS(Dyno_Data[Team],TBA_Matches_All[[#This Row],[Team]],Dyno_Data[Match],TBA_Matches_All[[#This Row],[Match_Number]],Dyno_Data[RecordType],"Activities", Dyno_Data[AcqLoc],"Source")</f>
        <v>0</v>
      </c>
      <c r="BX147">
        <f>SUMIFS(Dyno_Data[AcqDrp], Dyno_Data[Team],TBA_Matches_All[[#This Row],[Team]],Dyno_Data[Match],TBA_Matches_All[[#This Row],[Match_Number]],Dyno_Data[RecordType],"Activities", Dyno_Data[AcqLoc],"Source")</f>
        <v>0</v>
      </c>
      <c r="BY147">
        <f>SUMIFS(Dyno_Data[OZTime], Dyno_Data[Team],TBA_Matches_All[[#This Row],[Team]],Dyno_Data[Match],TBA_Matches_All[[#This Row],[Match_Number]],Dyno_Data[RecordType],"EndMatch")</f>
        <v>0</v>
      </c>
      <c r="BZ147">
        <f>SUMIFS(Dyno_Data[NZTime], Dyno_Data[Team],TBA_Matches_All[[#This Row],[Team]],Dyno_Data[Match],TBA_Matches_All[[#This Row],[Match_Number]],Dyno_Data[RecordType],"EndMatch")</f>
        <v>0</v>
      </c>
      <c r="CA147">
        <f>SUMIFS(Dyno_Data[AZTime], Dyno_Data[Team],TBA_Matches_All[[#This Row],[Team]],Dyno_Data[Match],TBA_Matches_All[[#This Row],[Match_Number]],Dyno_Data[RecordType],"EndMatch")</f>
        <v>0</v>
      </c>
      <c r="CB147">
        <f>SUMIFS(Dyno_Data[ClimbT], Dyno_Data[Team],TBA_Matches_All[[#This Row],[Team]],Dyno_Data[Match],TBA_Matches_All[[#This Row],[Match_Number]],Dyno_Data[RecordType],"EndMatch")</f>
        <v>0</v>
      </c>
      <c r="CC147" t="str">
        <f>_xlfn.XLOOKUP(SUM(MID(TBA_Matches_All[[#This Row],[Team]],4,5),(TBA_Matches_All[[#This Row],[Match_Number]]/100)),Dyno_EndMatch[teammat],Dyno_EndMatch[StageStat],"_",0,1)</f>
        <v>_</v>
      </c>
      <c r="CD147" t="str">
        <f>_xlfn.XLOOKUP(TBA_Matches_All[[#This Row],[teammat]],Dyno_EndMatch[teammat],Dyno_EndMatch[StageAtt],"_",0,1)</f>
        <v>_</v>
      </c>
      <c r="CE147" t="str">
        <f>_xlfn.XLOOKUP(TBA_Matches_All[[#This Row],[teammat]],Dyno_EndMatch[teammat],Dyno_EndMatch[StageLoc],"_",0,1)</f>
        <v>_</v>
      </c>
      <c r="CF147">
        <f>SUMIFS(Dyno_Data[Harmony], Dyno_Data[Team],TBA_Matches_All[[#This Row],[Team]],Dyno_Data[Match],TBA_Matches_All[[#This Row],[Match_Number]],Dyno_Data[RecordType],"EndMatch", Dyno_Data[StageStat],"On",Dyno_Data[Harmony],"&lt;&gt;9")</f>
        <v>0</v>
      </c>
      <c r="CG147">
        <f>SUMIFS(Dyno_Data[Spotlit], Dyno_Data[Team],TBA_Matches_All[[#This Row],[Team]],Dyno_Data[Match],TBA_Matches_All[[#This Row],[Match_Number]],Dyno_Data[RecordType],"EndMatch", Dyno_Data[StageStat],"On",Dyno_Data[Spotlit],"&lt;&gt;9")</f>
        <v>0</v>
      </c>
      <c r="CH147" t="str">
        <f>_xlfn.XLOOKUP(TBA_Matches_All[[#This Row],[teammat]],Dyno_EndMatch[teammat],Dyno_EndMatch[Strategy],"_",0,1)</f>
        <v>_</v>
      </c>
      <c r="CI147">
        <f>SUMIFS(Dyno_Data[Defense], Dyno_Data[Team],TBA_Matches_All[[#This Row],[Team]],Dyno_Data[Match],TBA_Matches_All[[#This Row],[Match_Number]],Dyno_Data[RecordType],"EndMatch",Dyno_Data[Defense],"&lt;&gt;9")</f>
        <v>0</v>
      </c>
      <c r="CJ147">
        <f>SUMIFS(Dyno_Data[Avoidance], Dyno_Data[Team],TBA_Matches_All[[#This Row],[Team]],Dyno_Data[Match],TBA_Matches_All[[#This Row],[Match_Number]],Dyno_Data[RecordType],"EndMatch",Dyno_Data[Avoidance],"&lt;&gt;9")</f>
        <v>0</v>
      </c>
      <c r="CK147" s="82">
        <f>COUNTIF($H$2:TBA_Matches_All[[#This Row],[Team]],TBA_Matches_All[[#This Row],[Team]])</f>
        <v>3</v>
      </c>
      <c r="CL147" s="111">
        <f>SUM(MID(TBA_Matches_All[[#This Row],[Team]],4,5)+TBA_Matches_All[[#This Row],[Match_Number]]/100)</f>
        <v>3951.25</v>
      </c>
      <c r="CM147">
        <f>SUM((TBA_Matches_All[[#This Row],[Leave]]*2)+(TBA_Matches_All[[#This Row],[AampT]]*2)+(TBA_Matches_All[[#This Row],[AspkrT]]*5)+(TBA_Matches_All[[#This Row],[AtrapT]]*5))</f>
        <v>0</v>
      </c>
      <c r="CN147" s="59">
        <f>IFERROR(SUM(TBA_Matches_All[[#This Row],[AptsT]]/TBA_Matches_All[[#This Row],[AutoPts]]),0)</f>
        <v>0</v>
      </c>
      <c r="CO147" s="59">
        <f>IFERROR(SUM(TBA_Matches_All[[#This Row],[AampT]]+TBA_Matches_All[[#This Row],[AspkrT]]+TBA_Matches_All[[#This Row],[AtrapT]]/TBA_Matches_All[[#This Row],[Aamp]]+TBA_Matches_All[[#This Row],[Aspkr]]+TBA_Matches_All[[#This Row],[AtrapT]]),0)</f>
        <v>0</v>
      </c>
      <c r="CP147" s="59">
        <f>IFERROR(SUM(TBA_Matches_All[[#This Row],[TampT]]/TBA_Matches_All[[#This Row],[Tamp]]),0)</f>
        <v>0</v>
      </c>
      <c r="CQ147" s="59">
        <f>IFERROR(SUM(TBA_Matches_All[[#This Row],[TspkrT]]/TBA_Matches_All[[#This Row],[Tspkr]]),0)</f>
        <v>0</v>
      </c>
      <c r="CR147">
        <f>SUM(TBA_Matches_All[[#This Row],[TspkrPts]]*TBA_Matches_All[[#This Row],[TspkrP]])</f>
        <v>0</v>
      </c>
      <c r="CS147" s="59">
        <f>IFERROR(SUM(TBA_Matches_All[[#This Row],[TtrapT]]/TBA_Matches_All[[#This Row],[Trap]]),0)</f>
        <v>0</v>
      </c>
      <c r="CT147" s="59">
        <f>IFERROR(SUM(TBA_Matches_All[[#This Row],[TotNotesT]]/TBA_Matches_All[[#This Row],[TotNotes]]),0)</f>
        <v>0</v>
      </c>
      <c r="CU147" s="66">
        <f>SUM((TBA_Matches_All[[#This Row],[AampT]]*2)+(TBA_Matches_All[[#This Row],[AspkrT]]*5)+(TBA_Matches_All[[#This Row],[AtrapT]]*5)+(TBA_Matches_All[[#This Row],[TampT]]*1)+(TBA_Matches_All[[#This Row],[TspkrptsC]]))</f>
        <v>0</v>
      </c>
      <c r="CV147" s="59">
        <f>IFERROR(TBA_Matches_All[[#This Row],[noteptsT]]/TBA_Matches_All[[#This Row],[NotePts]],0)</f>
        <v>0</v>
      </c>
      <c r="CW147">
        <f>SUM(IF(TBA_Matches_All[[#This Row],[stageStat]]="On",3,0),IF(TBA_Matches_All[[#This Row],[stageStat]]="Park",1,0),SUMIFS(TBA_Matches_All[[#This Row],[Spotlit]],TBA_Matches_All[[#This Row],[stageStat]],"On"),SUMIFS(TBA_Matches_All[[#This Row],[Harmony]],TBA_Matches_All[[#This Row],[stageStat]],"On"))</f>
        <v>0</v>
      </c>
      <c r="CX147" s="59">
        <f>IFERROR(TBA_Matches_All[[#This Row],[stageptsT]]/TBA_Matches_All[[#This Row],[StagePts]],0)</f>
        <v>0</v>
      </c>
      <c r="CY147">
        <f>SUM((TBA_Matches_All[[#This Row],[AptsT]]+TBA_Matches_All[[#This Row],[TampT]]+TBA_Matches_All[[#This Row],[TspkrptsC]]+(TBA_Matches_All[[#This Row],[TtrapT]]*5)+TBA_Matches_All[[#This Row],[stageptsT]]))</f>
        <v>0</v>
      </c>
      <c r="CZ147" s="59">
        <f>IFERROR(SUM(TBA_Matches_All[[#This Row],[TotptsC]]/TBA_Matches_All[[#This Row],[Score]]),0)</f>
        <v>0</v>
      </c>
      <c r="DA14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4.04</v>
      </c>
      <c r="DB147" s="74">
        <f>SUMIFS(TBA_Matches_All[AveTeamTNoteDels],TBA_Matches_All[Match_Number],TBA_Matches_All[[#This Row],[Match_Number]],TBA_Matches_All[Alliance],"&lt;&gt;"&amp;TBA_Matches_All[[#This Row],[Alliance]],TBA_Matches_All[Scouted],"&gt;0")</f>
        <v>0</v>
      </c>
      <c r="DC147" s="74">
        <f>(TBA_Matches_All[[#This Row],[TampT]]+TBA_Matches_All[[#This Row],[TspkrptsC]])-TBA_Matches_All[[#This Row],[AveTeamTNoteDels]]</f>
        <v>-4.04</v>
      </c>
      <c r="DD147" s="74">
        <f>SUMIFS(TBA_Matches_All[AveTeamTNoteDels],TBA_Matches_All[Match_Number],TBA_Matches_All[[#This Row],[Match_Number]],TBA_Matches_All[Alliance],"&lt;&gt;"&amp;TBA_Matches_All[[#This Row],[Alliance]])-TBA_Matches_All[[#This Row],[AveOppTNoteDels]]</f>
        <v>15.750209790209789</v>
      </c>
    </row>
    <row r="148" spans="1:108" x14ac:dyDescent="0.3">
      <c r="A148" t="s">
        <v>1042</v>
      </c>
      <c r="B148" t="s">
        <v>489</v>
      </c>
      <c r="C148" t="s">
        <v>1334</v>
      </c>
      <c r="D148">
        <v>25</v>
      </c>
      <c r="E148" t="s">
        <v>1406</v>
      </c>
      <c r="F148" t="s">
        <v>1424</v>
      </c>
      <c r="G148" t="s">
        <v>1409</v>
      </c>
      <c r="H148" t="s">
        <v>1309</v>
      </c>
      <c r="I148" t="b">
        <v>1</v>
      </c>
      <c r="J148">
        <v>53</v>
      </c>
      <c r="K148">
        <v>1</v>
      </c>
      <c r="L148">
        <v>0</v>
      </c>
      <c r="M148">
        <v>7</v>
      </c>
      <c r="N148">
        <v>0</v>
      </c>
      <c r="O148">
        <v>2</v>
      </c>
      <c r="P148">
        <v>10</v>
      </c>
      <c r="Q148">
        <v>12</v>
      </c>
      <c r="R148">
        <v>3</v>
      </c>
      <c r="S148">
        <v>2</v>
      </c>
      <c r="T148">
        <v>8</v>
      </c>
      <c r="U148">
        <v>10</v>
      </c>
      <c r="V148">
        <v>16</v>
      </c>
      <c r="W148">
        <v>10</v>
      </c>
      <c r="X148">
        <v>26</v>
      </c>
      <c r="Y148">
        <v>29</v>
      </c>
      <c r="Z148">
        <v>0</v>
      </c>
      <c r="AA148">
        <v>0</v>
      </c>
      <c r="AB148">
        <v>15</v>
      </c>
      <c r="AC148">
        <v>39</v>
      </c>
      <c r="AD148">
        <v>2</v>
      </c>
      <c r="AE148">
        <f>IFERROR(6/(COUNTIF(Dyno_EndMatch[Match],TBA_Matches_All[[#This Row],[Match_Number]])),0)</f>
        <v>0</v>
      </c>
      <c r="AF148">
        <f>COUNTIFS(Dyno_Data[Team],TBA_Matches_All[[#This Row],[Team]],Dyno_Data[Match],TBA_Matches_All[[#This Row],[Match_Number]],Dyno_Data[RecordType],"EndMatch",Dyno_Data[HPAmp],"Y")</f>
        <v>0</v>
      </c>
      <c r="AG148">
        <f>SUMIFS(Dyno_Data[Mics], Dyno_Data[Team],TBA_Matches_All[[#This Row],[Team]],Dyno_Data[Match],TBA_Matches_All[[#This Row],[Match_Number]],Dyno_Data[RecordType],"EndMatch",Dyno_Data[HPAmp],"Y")</f>
        <v>0</v>
      </c>
      <c r="AH148">
        <f>SUMIFS(Dyno_Data[Leave], Dyno_Data[Team],TBA_Matches_All[[#This Row],[Team]],Dyno_Data[Match],TBA_Matches_All[[#This Row],[Match_Number]],Dyno_Data[RecordType],"EndAuto")</f>
        <v>0</v>
      </c>
      <c r="AI148">
        <f>COUNTIFS(Dyno_Data[Team],TBA_Matches_All[[#This Row],[Team]],Dyno_Data[Match],TBA_Matches_All[[#This Row],[Match_Number]],Dyno_Data[RecordType],"Activities",Dyno_Data[DelDest],"Amp", Dyno_Data[DelMiss],"0", Dyno_Data[Mode],"Auto")</f>
        <v>0</v>
      </c>
      <c r="AJ148">
        <f>COUNTIFS(Dyno_Data[Team],TBA_Matches_All[[#This Row],[Team]],Dyno_Data[Match],TBA_Matches_All[[#This Row],[Match_Number]],Dyno_Data[RecordType],"Activities",Dyno_Data[DelDest],"Spkr", Dyno_Data[DelMiss],"0", Dyno_Data[Mode],"Auto")</f>
        <v>0</v>
      </c>
      <c r="AK148">
        <f>COUNTIFS(Dyno_Data[Team],TBA_Matches_All[[#This Row],[Team]],Dyno_Data[Match],TBA_Matches_All[[#This Row],[Match_Number]],Dyno_Data[RecordType],"Activities",Dyno_Data[DelDest],"Trap", Dyno_Data[DelMiss],"0", Dyno_Data[Mode],"Auto")</f>
        <v>0</v>
      </c>
      <c r="AL148">
        <f>COUNTIFS(Dyno_Data[Team],TBA_Matches_All[[#This Row],[Team]],Dyno_Data[Match],TBA_Matches_All[[#This Row],[Match_Number]],Dyno_Data[RecordType],"Activities",Dyno_Data[DelDest],"Amp", Dyno_Data[DelMiss],"0", Dyno_Data[Mode],"Teleop")</f>
        <v>0</v>
      </c>
      <c r="AM148">
        <f>COUNTIFS(Dyno_Data[Team],TBA_Matches_All[[#This Row],[Team]],Dyno_Data[Match],TBA_Matches_All[[#This Row],[Match_Number]],Dyno_Data[RecordType],"Activities",Dyno_Data[DelDest],"Spkr", Dyno_Data[DelMiss],"0", Dyno_Data[Mode],"Teleop")</f>
        <v>0</v>
      </c>
      <c r="AN148">
        <f>COUNTIFS(Dyno_Data[Team],TBA_Matches_All[[#This Row],[Team]],Dyno_Data[Match],TBA_Matches_All[[#This Row],[Match_Number]],Dyno_Data[RecordType],"Activities",Dyno_Data[DelDest],"Trap", Dyno_Data[DelMiss],"0", Dyno_Data[Mode],"&lt;&gt;Auto")</f>
        <v>0</v>
      </c>
      <c r="AO148">
        <f>SUM(TBA_Matches_All[[#This Row],[AampT]]+TBA_Matches_All[[#This Row],[AspkrT]]+TBA_Matches_All[[#This Row],[AtrapT]]+TBA_Matches_All[[#This Row],[TampT]]+TBA_Matches_All[[#This Row],[TspkrT]]+TBA_Matches_All[[#This Row],[TtrapT]])</f>
        <v>0</v>
      </c>
      <c r="AP148">
        <f>COUNTIFS(Dyno_Data[Team],TBA_Matches_All[[#This Row],[Team]],Dyno_Data[Match],TBA_Matches_All[[#This Row],[Match_Number]],Dyno_Data[RecordType],"Activities",Dyno_Data[DelDest],"Neut", Dyno_Data[DelMiss],"0")</f>
        <v>0</v>
      </c>
      <c r="AQ148">
        <f>COUNTIFS(Dyno_Data[Team],TBA_Matches_All[[#This Row],[Team]],Dyno_Data[Match],TBA_Matches_All[[#This Row],[Match_Number]],Dyno_Data[RecordType],"Activities",Dyno_Data[DelDest],"AllyW", Dyno_Data[DelMiss],"0")</f>
        <v>0</v>
      </c>
      <c r="AR148" t="str">
        <f>_xlfn.XLOOKUP(SUM(MID(TBA_Matches_All[[#This Row],[Team]],4,5),(TBA_Matches_All[[#This Row],[Match_Number]]/100)),Dyno_EndMatch[teammat],Dyno_EndMatch[RobotSta],"_",0,1)</f>
        <v>_</v>
      </c>
      <c r="AS148">
        <f>SUMIFS(Dyno_Data[AcqDis], Dyno_Data[Team],TBA_Matches_All[[#This Row],[Team]],Dyno_Data[Match],TBA_Matches_All[[#This Row],[Match_Number]],Dyno_Data[RecordType],"Activities", Dyno_Data[AcqCenter],1,Dyno_Data[Mode],"Auto")</f>
        <v>0</v>
      </c>
      <c r="AT148">
        <f>SUMIFS(Dyno_Data[AcqDis], Dyno_Data[Team],TBA_Matches_All[[#This Row],[Team]],Dyno_Data[Match],TBA_Matches_All[[#This Row],[Match_Number]],Dyno_Data[RecordType],"Activities", Dyno_Data[AcqCenter],2,Dyno_Data[Mode],"Auto")</f>
        <v>0</v>
      </c>
      <c r="AU148">
        <f>SUMIFS(Dyno_Data[AcqDis], Dyno_Data[Team],TBA_Matches_All[[#This Row],[Team]],Dyno_Data[Match],TBA_Matches_All[[#This Row],[Match_Number]],Dyno_Data[RecordType],"Activities", Dyno_Data[AcqCenter],3,Dyno_Data[Mode],"Auto")</f>
        <v>0</v>
      </c>
      <c r="AV148">
        <f>SUMIFS(Dyno_Data[AcqDis], Dyno_Data[Team],TBA_Matches_All[[#This Row],[Team]],Dyno_Data[Match],TBA_Matches_All[[#This Row],[Match_Number]],Dyno_Data[RecordType],"Activities", Dyno_Data[AcqCenter],4,Dyno_Data[Mode],"Auto")</f>
        <v>0</v>
      </c>
      <c r="AW148">
        <f>SUMIFS(Dyno_Data[AcqDis], Dyno_Data[Team],TBA_Matches_All[[#This Row],[Team]],Dyno_Data[Match],TBA_Matches_All[[#This Row],[Match_Number]],Dyno_Data[RecordType],"Activities", Dyno_Data[AcqCenter],5,Dyno_Data[Mode],"Auto")</f>
        <v>0</v>
      </c>
      <c r="AX148">
        <f>SUMIFS(Dyno_Data[DelMiss], Dyno_Data[Team],TBA_Matches_All[[#This Row],[Team]],Dyno_Data[Match],TBA_Matches_All[[#This Row],[Match_Number]],Dyno_Data[RecordType],"Activities", Dyno_Data[DelDest],"Amp")</f>
        <v>0</v>
      </c>
      <c r="AY148" s="60">
        <f>IFERROR(SUM((TBA_Matches_All[[#This Row],[AampT]]+TBA_Matches_All[[#This Row],[TampT]])/(TBA_Matches_All[[#This Row],[AampT]]+TBA_Matches_All[[#This Row],[TampT]]+TBA_Matches_All[[#This Row],[ampM]])),0)</f>
        <v>0</v>
      </c>
      <c r="AZ148">
        <f>SUMIFS(Dyno_Data[DelMiss], Dyno_Data[Team],TBA_Matches_All[[#This Row],[Team]],Dyno_Data[Match],TBA_Matches_All[[#This Row],[Match_Number]],Dyno_Data[RecordType],"Activities", Dyno_Data[DelDest],"Spkr")</f>
        <v>0</v>
      </c>
      <c r="BA148" s="60">
        <f>IFERROR(SUM((TBA_Matches_All[[#This Row],[AspkrT]]+TBA_Matches_All[[#This Row],[TspkrT]])/(TBA_Matches_All[[#This Row],[AspkrT]]+TBA_Matches_All[[#This Row],[TspkrT]]+TBA_Matches_All[[#This Row],[spkrM]])),0)</f>
        <v>0</v>
      </c>
      <c r="BB148">
        <f>SUMIFS(Dyno_Data[DelMiss], Dyno_Data[Team],TBA_Matches_All[[#This Row],[Team]],Dyno_Data[Match],TBA_Matches_All[[#This Row],[Match_Number]],Dyno_Data[RecordType],"Activities", Dyno_Data[DelDest],"Trap")</f>
        <v>0</v>
      </c>
      <c r="BC148" s="60">
        <f>IFERROR((TBA_Matches_All[[#This Row],[AtrapT]]+TBA_Matches_All[[#This Row],[TtrapT]])/(TBA_Matches_All[[#This Row],[AtrapT]]+TBA_Matches_All[[#This Row],[TtrapT]]+TBA_Matches_All[[#This Row],[trapM]]),0)</f>
        <v>0</v>
      </c>
      <c r="BD148">
        <f>COUNTIFS(Dyno_Data[Team],TBA_Matches_All[[#This Row],[Team]],Dyno_Data[Match],TBA_Matches_All[[#This Row],[Match_Number]],Dyno_Data[RecordType],"Activities",Dyno_Data[DelDest],"Neut", Dyno_Data[DelMiss],1)</f>
        <v>0</v>
      </c>
      <c r="BE148" s="60">
        <f>IFERROR(SUM((TBA_Matches_All[[#This Row],[NeutFlrT]])/(TBA_Matches_All[[#This Row],[NeutFlrT]]+TBA_Matches_All[[#This Row],[NZflM]])),0)</f>
        <v>0</v>
      </c>
      <c r="BF148">
        <f>COUNTIFS(Dyno_Data[Team],TBA_Matches_All[[#This Row],[Team]],Dyno_Data[Match],TBA_Matches_All[[#This Row],[Match_Number]],Dyno_Data[RecordType],"Activities",Dyno_Data[DelDest],"AllyW", Dyno_Data[DelMiss],1)</f>
        <v>0</v>
      </c>
      <c r="BG148" s="60">
        <f>IFERROR(SUM((TBA_Matches_All[[#This Row],[AllyWFlrT]])/(TBA_Matches_All[[#This Row],[AllyWFlrT]]+TBA_Matches_All[[#This Row],[AZflM]])),0)</f>
        <v>0</v>
      </c>
      <c r="BH148">
        <f>COUNTIFS(Dyno_Data[Team],TBA_Matches_All[[#This Row],[Team]],Dyno_Data[Match],TBA_Matches_All[[#This Row],[Match_Number]],Dyno_Data[RecordType],"Activities",Dyno_Data[DelOrig],"OppW", Dyno_Data[DelMiss],"0")</f>
        <v>0</v>
      </c>
      <c r="BI148">
        <f>COUNTIFS(Dyno_Data[Team],TBA_Matches_All[[#This Row],[Team]],Dyno_Data[Match],TBA_Matches_All[[#This Row],[Match_Number]],Dyno_Data[RecordType],"Activities",Dyno_Data[DelOrig],"OppW", Dyno_Data[DelMiss],"1")</f>
        <v>0</v>
      </c>
      <c r="BJ148" s="60">
        <f>IFERROR(SUM((TBA_Matches_All[[#This Row],[OZflrT]])/(TBA_Matches_All[[#This Row],[OZflrT]]+TBA_Matches_All[[#This Row],[OZflrM]])),0)</f>
        <v>0</v>
      </c>
      <c r="BK148">
        <f>COUNTIFS(Dyno_Data[Team],TBA_Matches_All[[#This Row],[Team]],Dyno_Data[Match],TBA_Matches_All[[#This Row],[Match_Number]],Dyno_Data[RecordType],"Activities",Dyno_Data[DelOrig],"Neut", Dyno_Data[DelMiss],"0")</f>
        <v>0</v>
      </c>
      <c r="BL148">
        <f>COUNTIFS(Dyno_Data[Team],TBA_Matches_All[[#This Row],[Team]],Dyno_Data[Match],TBA_Matches_All[[#This Row],[Match_Number]],Dyno_Data[RecordType],"Activities",Dyno_Data[DelOrig],"Neut", Dyno_Data[DelMiss],"1")</f>
        <v>0</v>
      </c>
      <c r="BM148" s="60">
        <f>IFERROR(SUM((TBA_Matches_All[[#This Row],[NZflrT]])/(TBA_Matches_All[[#This Row],[NZflrT]]+TBA_Matches_All[[#This Row],[NZflrM]])),0)</f>
        <v>0</v>
      </c>
      <c r="BN148">
        <f>COUNTIFS(Dyno_Data[Team],TBA_Matches_All[[#This Row],[Team]],Dyno_Data[Match],TBA_Matches_All[[#This Row],[Match_Number]],Dyno_Data[RecordType],"Activities",Dyno_Data[DelOrig],"AllyW", Dyno_Data[DelMiss],"0")</f>
        <v>0</v>
      </c>
      <c r="BO148">
        <f>COUNTIFS(Dyno_Data[Team],TBA_Matches_All[[#This Row],[Team]],Dyno_Data[Match],TBA_Matches_All[[#This Row],[Match_Number]],Dyno_Data[RecordType],"Activities",Dyno_Data[DelOrig],"AllyW", Dyno_Data[DelMiss],"1")</f>
        <v>0</v>
      </c>
      <c r="BP148" s="60">
        <f>IFERROR(SUM((TBA_Matches_All[[#This Row],[AZflrT]])/(TBA_Matches_All[[#This Row],[AZflrT]]+TBA_Matches_All[[#This Row],[AZflrM]])),0)</f>
        <v>0</v>
      </c>
      <c r="BQ148">
        <f>COUNTIFS(Dyno_Data[Team],TBA_Matches_All[[#This Row],[Team]],Dyno_Data[Match],TBA_Matches_All[[#This Row],[Match_Number]],Dyno_Data[RecordType],"Activities",Dyno_Data[DelOrig],"SubW", Dyno_Data[DelMiss],"0")</f>
        <v>0</v>
      </c>
      <c r="BR148">
        <f>COUNTIFS(Dyno_Data[Team],TBA_Matches_All[[#This Row],[Team]],Dyno_Data[Match],TBA_Matches_All[[#This Row],[Match_Number]],Dyno_Data[RecordType],"Activities",Dyno_Data[DelOrig],"SubW", Dyno_Data[DelMiss],"1")</f>
        <v>0</v>
      </c>
      <c r="BS148" s="60">
        <f>IFERROR(SUM((TBA_Matches_All[[#This Row],[SubwT]])/(TBA_Matches_All[[#This Row],[SubwT]]+TBA_Matches_All[[#This Row],[SubwM]])),0)</f>
        <v>0</v>
      </c>
      <c r="BT148">
        <f>COUNTIFS(Dyno_Data[Team],TBA_Matches_All[[#This Row],[Team]],Dyno_Data[Match],TBA_Matches_All[[#This Row],[Match_Number]],Dyno_Data[RecordType],"Activities", Dyno_Data[AcqLoc],"OppWing")</f>
        <v>0</v>
      </c>
      <c r="BU148">
        <f>COUNTIFS(Dyno_Data[Team],TBA_Matches_All[[#This Row],[Team]],Dyno_Data[Match],TBA_Matches_All[[#This Row],[Match_Number]],Dyno_Data[RecordType],"Activities", Dyno_Data[AcqLoc],"Neutral")</f>
        <v>0</v>
      </c>
      <c r="BV148">
        <f>COUNTIFS(Dyno_Data[Team],TBA_Matches_All[[#This Row],[Team]],Dyno_Data[Match],TBA_Matches_All[[#This Row],[Match_Number]],Dyno_Data[RecordType],"Activities", Dyno_Data[AcqLoc],"AllyWing")</f>
        <v>0</v>
      </c>
      <c r="BW148">
        <f>COUNTIFS(Dyno_Data[Team],TBA_Matches_All[[#This Row],[Team]],Dyno_Data[Match],TBA_Matches_All[[#This Row],[Match_Number]],Dyno_Data[RecordType],"Activities", Dyno_Data[AcqLoc],"Source")</f>
        <v>0</v>
      </c>
      <c r="BX148">
        <f>SUMIFS(Dyno_Data[AcqDrp], Dyno_Data[Team],TBA_Matches_All[[#This Row],[Team]],Dyno_Data[Match],TBA_Matches_All[[#This Row],[Match_Number]],Dyno_Data[RecordType],"Activities", Dyno_Data[AcqLoc],"Source")</f>
        <v>0</v>
      </c>
      <c r="BY148">
        <f>SUMIFS(Dyno_Data[OZTime], Dyno_Data[Team],TBA_Matches_All[[#This Row],[Team]],Dyno_Data[Match],TBA_Matches_All[[#This Row],[Match_Number]],Dyno_Data[RecordType],"EndMatch")</f>
        <v>0</v>
      </c>
      <c r="BZ148">
        <f>SUMIFS(Dyno_Data[NZTime], Dyno_Data[Team],TBA_Matches_All[[#This Row],[Team]],Dyno_Data[Match],TBA_Matches_All[[#This Row],[Match_Number]],Dyno_Data[RecordType],"EndMatch")</f>
        <v>0</v>
      </c>
      <c r="CA148">
        <f>SUMIFS(Dyno_Data[AZTime], Dyno_Data[Team],TBA_Matches_All[[#This Row],[Team]],Dyno_Data[Match],TBA_Matches_All[[#This Row],[Match_Number]],Dyno_Data[RecordType],"EndMatch")</f>
        <v>0</v>
      </c>
      <c r="CB148">
        <f>SUMIFS(Dyno_Data[ClimbT], Dyno_Data[Team],TBA_Matches_All[[#This Row],[Team]],Dyno_Data[Match],TBA_Matches_All[[#This Row],[Match_Number]],Dyno_Data[RecordType],"EndMatch")</f>
        <v>0</v>
      </c>
      <c r="CC148" t="str">
        <f>_xlfn.XLOOKUP(SUM(MID(TBA_Matches_All[[#This Row],[Team]],4,5),(TBA_Matches_All[[#This Row],[Match_Number]]/100)),Dyno_EndMatch[teammat],Dyno_EndMatch[StageStat],"_",0,1)</f>
        <v>_</v>
      </c>
      <c r="CD148" t="str">
        <f>_xlfn.XLOOKUP(TBA_Matches_All[[#This Row],[teammat]],Dyno_EndMatch[teammat],Dyno_EndMatch[StageAtt],"_",0,1)</f>
        <v>_</v>
      </c>
      <c r="CE148" t="str">
        <f>_xlfn.XLOOKUP(TBA_Matches_All[[#This Row],[teammat]],Dyno_EndMatch[teammat],Dyno_EndMatch[StageLoc],"_",0,1)</f>
        <v>_</v>
      </c>
      <c r="CF148">
        <f>SUMIFS(Dyno_Data[Harmony], Dyno_Data[Team],TBA_Matches_All[[#This Row],[Team]],Dyno_Data[Match],TBA_Matches_All[[#This Row],[Match_Number]],Dyno_Data[RecordType],"EndMatch", Dyno_Data[StageStat],"On",Dyno_Data[Harmony],"&lt;&gt;9")</f>
        <v>0</v>
      </c>
      <c r="CG148">
        <f>SUMIFS(Dyno_Data[Spotlit], Dyno_Data[Team],TBA_Matches_All[[#This Row],[Team]],Dyno_Data[Match],TBA_Matches_All[[#This Row],[Match_Number]],Dyno_Data[RecordType],"EndMatch", Dyno_Data[StageStat],"On",Dyno_Data[Spotlit],"&lt;&gt;9")</f>
        <v>0</v>
      </c>
      <c r="CH148" t="str">
        <f>_xlfn.XLOOKUP(TBA_Matches_All[[#This Row],[teammat]],Dyno_EndMatch[teammat],Dyno_EndMatch[Strategy],"_",0,1)</f>
        <v>_</v>
      </c>
      <c r="CI148">
        <f>SUMIFS(Dyno_Data[Defense], Dyno_Data[Team],TBA_Matches_All[[#This Row],[Team]],Dyno_Data[Match],TBA_Matches_All[[#This Row],[Match_Number]],Dyno_Data[RecordType],"EndMatch",Dyno_Data[Defense],"&lt;&gt;9")</f>
        <v>0</v>
      </c>
      <c r="CJ148">
        <f>SUMIFS(Dyno_Data[Avoidance], Dyno_Data[Team],TBA_Matches_All[[#This Row],[Team]],Dyno_Data[Match],TBA_Matches_All[[#This Row],[Match_Number]],Dyno_Data[RecordType],"EndMatch",Dyno_Data[Avoidance],"&lt;&gt;9")</f>
        <v>0</v>
      </c>
      <c r="CK148" s="82">
        <f>COUNTIF($H$2:TBA_Matches_All[[#This Row],[Team]],TBA_Matches_All[[#This Row],[Team]])</f>
        <v>3</v>
      </c>
      <c r="CL148" s="111">
        <f>SUM(MID(TBA_Matches_All[[#This Row],[Team]],4,5)+TBA_Matches_All[[#This Row],[Match_Number]]/100)</f>
        <v>3550.25</v>
      </c>
      <c r="CM148">
        <f>SUM((TBA_Matches_All[[#This Row],[Leave]]*2)+(TBA_Matches_All[[#This Row],[AampT]]*2)+(TBA_Matches_All[[#This Row],[AspkrT]]*5)+(TBA_Matches_All[[#This Row],[AtrapT]]*5))</f>
        <v>0</v>
      </c>
      <c r="CN148" s="59">
        <f>IFERROR(SUM(TBA_Matches_All[[#This Row],[AptsT]]/TBA_Matches_All[[#This Row],[AutoPts]]),0)</f>
        <v>0</v>
      </c>
      <c r="CO148" s="59">
        <f>IFERROR(SUM(TBA_Matches_All[[#This Row],[AampT]]+TBA_Matches_All[[#This Row],[AspkrT]]+TBA_Matches_All[[#This Row],[AtrapT]]/TBA_Matches_All[[#This Row],[Aamp]]+TBA_Matches_All[[#This Row],[Aspkr]]+TBA_Matches_All[[#This Row],[AtrapT]]),0)</f>
        <v>0</v>
      </c>
      <c r="CP148" s="59">
        <f>IFERROR(SUM(TBA_Matches_All[[#This Row],[TampT]]/TBA_Matches_All[[#This Row],[Tamp]]),0)</f>
        <v>0</v>
      </c>
      <c r="CQ148" s="59">
        <f>IFERROR(SUM(TBA_Matches_All[[#This Row],[TspkrT]]/TBA_Matches_All[[#This Row],[Tspkr]]),0)</f>
        <v>0</v>
      </c>
      <c r="CR148">
        <f>SUM(TBA_Matches_All[[#This Row],[TspkrPts]]*TBA_Matches_All[[#This Row],[TspkrP]])</f>
        <v>0</v>
      </c>
      <c r="CS148" s="59">
        <f>IFERROR(SUM(TBA_Matches_All[[#This Row],[TtrapT]]/TBA_Matches_All[[#This Row],[Trap]]),0)</f>
        <v>0</v>
      </c>
      <c r="CT148" s="59">
        <f>IFERROR(SUM(TBA_Matches_All[[#This Row],[TotNotesT]]/TBA_Matches_All[[#This Row],[TotNotes]]),0)</f>
        <v>0</v>
      </c>
      <c r="CU148" s="66">
        <f>SUM((TBA_Matches_All[[#This Row],[AampT]]*2)+(TBA_Matches_All[[#This Row],[AspkrT]]*5)+(TBA_Matches_All[[#This Row],[AtrapT]]*5)+(TBA_Matches_All[[#This Row],[TampT]]*1)+(TBA_Matches_All[[#This Row],[TspkrptsC]]))</f>
        <v>0</v>
      </c>
      <c r="CV148" s="59">
        <f>IFERROR(TBA_Matches_All[[#This Row],[noteptsT]]/TBA_Matches_All[[#This Row],[NotePts]],0)</f>
        <v>0</v>
      </c>
      <c r="CW148">
        <f>SUM(IF(TBA_Matches_All[[#This Row],[stageStat]]="On",3,0),IF(TBA_Matches_All[[#This Row],[stageStat]]="Park",1,0),SUMIFS(TBA_Matches_All[[#This Row],[Spotlit]],TBA_Matches_All[[#This Row],[stageStat]],"On"),SUMIFS(TBA_Matches_All[[#This Row],[Harmony]],TBA_Matches_All[[#This Row],[stageStat]],"On"))</f>
        <v>0</v>
      </c>
      <c r="CX148" s="59">
        <f>IFERROR(TBA_Matches_All[[#This Row],[stageptsT]]/TBA_Matches_All[[#This Row],[StagePts]],0)</f>
        <v>0</v>
      </c>
      <c r="CY148">
        <f>SUM((TBA_Matches_All[[#This Row],[AptsT]]+TBA_Matches_All[[#This Row],[TampT]]+TBA_Matches_All[[#This Row],[TspkrptsC]]+(TBA_Matches_All[[#This Row],[TtrapT]]*5)+TBA_Matches_All[[#This Row],[stageptsT]]))</f>
        <v>0</v>
      </c>
      <c r="CZ148" s="59">
        <f>IFERROR(SUM(TBA_Matches_All[[#This Row],[TotptsC]]/TBA_Matches_All[[#This Row],[Score]]),0)</f>
        <v>0</v>
      </c>
      <c r="DA14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5.5138461538461545</v>
      </c>
      <c r="DB148" s="74">
        <f>SUMIFS(TBA_Matches_All[AveTeamTNoteDels],TBA_Matches_All[Match_Number],TBA_Matches_All[[#This Row],[Match_Number]],TBA_Matches_All[Alliance],"&lt;&gt;"&amp;TBA_Matches_All[[#This Row],[Alliance]],TBA_Matches_All[Scouted],"&gt;0")</f>
        <v>0</v>
      </c>
      <c r="DC148" s="74">
        <f>(TBA_Matches_All[[#This Row],[TampT]]+TBA_Matches_All[[#This Row],[TspkrptsC]])-TBA_Matches_All[[#This Row],[AveTeamTNoteDels]]</f>
        <v>-5.5138461538461545</v>
      </c>
      <c r="DD148" s="74">
        <f>SUMIFS(TBA_Matches_All[AveTeamTNoteDels],TBA_Matches_All[Match_Number],TBA_Matches_All[[#This Row],[Match_Number]],TBA_Matches_All[Alliance],"&lt;&gt;"&amp;TBA_Matches_All[[#This Row],[Alliance]])-TBA_Matches_All[[#This Row],[AveOppTNoteDels]]</f>
        <v>24.460851370851373</v>
      </c>
    </row>
    <row r="149" spans="1:108" x14ac:dyDescent="0.3">
      <c r="A149" t="s">
        <v>1042</v>
      </c>
      <c r="B149" t="s">
        <v>489</v>
      </c>
      <c r="C149" t="s">
        <v>1334</v>
      </c>
      <c r="D149">
        <v>25</v>
      </c>
      <c r="E149" t="s">
        <v>1420</v>
      </c>
      <c r="F149" t="s">
        <v>1421</v>
      </c>
      <c r="G149" t="s">
        <v>164</v>
      </c>
      <c r="H149" t="s">
        <v>1285</v>
      </c>
      <c r="I149" t="b">
        <v>1</v>
      </c>
      <c r="J149">
        <v>45</v>
      </c>
      <c r="K149">
        <v>0</v>
      </c>
      <c r="L149">
        <v>0</v>
      </c>
      <c r="M149">
        <v>10</v>
      </c>
      <c r="N149">
        <v>0</v>
      </c>
      <c r="O149">
        <v>1</v>
      </c>
      <c r="P149">
        <v>5</v>
      </c>
      <c r="Q149">
        <v>11</v>
      </c>
      <c r="R149">
        <v>3</v>
      </c>
      <c r="S149">
        <v>1</v>
      </c>
      <c r="T149">
        <v>7</v>
      </c>
      <c r="U149">
        <v>5</v>
      </c>
      <c r="V149">
        <v>14</v>
      </c>
      <c r="W149">
        <v>8</v>
      </c>
      <c r="X149">
        <v>19</v>
      </c>
      <c r="Y149">
        <v>22</v>
      </c>
      <c r="Z149">
        <v>0</v>
      </c>
      <c r="AA149">
        <v>0</v>
      </c>
      <c r="AB149">
        <v>12</v>
      </c>
      <c r="AC149">
        <v>27</v>
      </c>
      <c r="AD149">
        <v>5</v>
      </c>
      <c r="AE149">
        <f>IFERROR(6/(COUNTIF(Dyno_EndMatch[Match],TBA_Matches_All[[#This Row],[Match_Number]])),0)</f>
        <v>0</v>
      </c>
      <c r="AF149">
        <f>COUNTIFS(Dyno_Data[Team],TBA_Matches_All[[#This Row],[Team]],Dyno_Data[Match],TBA_Matches_All[[#This Row],[Match_Number]],Dyno_Data[RecordType],"EndMatch",Dyno_Data[HPAmp],"Y")</f>
        <v>0</v>
      </c>
      <c r="AG149">
        <f>SUMIFS(Dyno_Data[Mics], Dyno_Data[Team],TBA_Matches_All[[#This Row],[Team]],Dyno_Data[Match],TBA_Matches_All[[#This Row],[Match_Number]],Dyno_Data[RecordType],"EndMatch",Dyno_Data[HPAmp],"Y")</f>
        <v>0</v>
      </c>
      <c r="AH149">
        <f>SUMIFS(Dyno_Data[Leave], Dyno_Data[Team],TBA_Matches_All[[#This Row],[Team]],Dyno_Data[Match],TBA_Matches_All[[#This Row],[Match_Number]],Dyno_Data[RecordType],"EndAuto")</f>
        <v>0</v>
      </c>
      <c r="AI149">
        <f>COUNTIFS(Dyno_Data[Team],TBA_Matches_All[[#This Row],[Team]],Dyno_Data[Match],TBA_Matches_All[[#This Row],[Match_Number]],Dyno_Data[RecordType],"Activities",Dyno_Data[DelDest],"Amp", Dyno_Data[DelMiss],"0", Dyno_Data[Mode],"Auto")</f>
        <v>0</v>
      </c>
      <c r="AJ149">
        <f>COUNTIFS(Dyno_Data[Team],TBA_Matches_All[[#This Row],[Team]],Dyno_Data[Match],TBA_Matches_All[[#This Row],[Match_Number]],Dyno_Data[RecordType],"Activities",Dyno_Data[DelDest],"Spkr", Dyno_Data[DelMiss],"0", Dyno_Data[Mode],"Auto")</f>
        <v>0</v>
      </c>
      <c r="AK149">
        <f>COUNTIFS(Dyno_Data[Team],TBA_Matches_All[[#This Row],[Team]],Dyno_Data[Match],TBA_Matches_All[[#This Row],[Match_Number]],Dyno_Data[RecordType],"Activities",Dyno_Data[DelDest],"Trap", Dyno_Data[DelMiss],"0", Dyno_Data[Mode],"Auto")</f>
        <v>0</v>
      </c>
      <c r="AL149">
        <f>COUNTIFS(Dyno_Data[Team],TBA_Matches_All[[#This Row],[Team]],Dyno_Data[Match],TBA_Matches_All[[#This Row],[Match_Number]],Dyno_Data[RecordType],"Activities",Dyno_Data[DelDest],"Amp", Dyno_Data[DelMiss],"0", Dyno_Data[Mode],"Teleop")</f>
        <v>0</v>
      </c>
      <c r="AM149">
        <f>COUNTIFS(Dyno_Data[Team],TBA_Matches_All[[#This Row],[Team]],Dyno_Data[Match],TBA_Matches_All[[#This Row],[Match_Number]],Dyno_Data[RecordType],"Activities",Dyno_Data[DelDest],"Spkr", Dyno_Data[DelMiss],"0", Dyno_Data[Mode],"Teleop")</f>
        <v>0</v>
      </c>
      <c r="AN149">
        <f>COUNTIFS(Dyno_Data[Team],TBA_Matches_All[[#This Row],[Team]],Dyno_Data[Match],TBA_Matches_All[[#This Row],[Match_Number]],Dyno_Data[RecordType],"Activities",Dyno_Data[DelDest],"Trap", Dyno_Data[DelMiss],"0", Dyno_Data[Mode],"&lt;&gt;Auto")</f>
        <v>0</v>
      </c>
      <c r="AO149">
        <f>SUM(TBA_Matches_All[[#This Row],[AampT]]+TBA_Matches_All[[#This Row],[AspkrT]]+TBA_Matches_All[[#This Row],[AtrapT]]+TBA_Matches_All[[#This Row],[TampT]]+TBA_Matches_All[[#This Row],[TspkrT]]+TBA_Matches_All[[#This Row],[TtrapT]])</f>
        <v>0</v>
      </c>
      <c r="AP149">
        <f>COUNTIFS(Dyno_Data[Team],TBA_Matches_All[[#This Row],[Team]],Dyno_Data[Match],TBA_Matches_All[[#This Row],[Match_Number]],Dyno_Data[RecordType],"Activities",Dyno_Data[DelDest],"Neut", Dyno_Data[DelMiss],"0")</f>
        <v>0</v>
      </c>
      <c r="AQ149">
        <f>COUNTIFS(Dyno_Data[Team],TBA_Matches_All[[#This Row],[Team]],Dyno_Data[Match],TBA_Matches_All[[#This Row],[Match_Number]],Dyno_Data[RecordType],"Activities",Dyno_Data[DelDest],"AllyW", Dyno_Data[DelMiss],"0")</f>
        <v>0</v>
      </c>
      <c r="AR149" t="str">
        <f>_xlfn.XLOOKUP(SUM(MID(TBA_Matches_All[[#This Row],[Team]],4,5),(TBA_Matches_All[[#This Row],[Match_Number]]/100)),Dyno_EndMatch[teammat],Dyno_EndMatch[RobotSta],"_",0,1)</f>
        <v>_</v>
      </c>
      <c r="AS149">
        <f>SUMIFS(Dyno_Data[AcqDis], Dyno_Data[Team],TBA_Matches_All[[#This Row],[Team]],Dyno_Data[Match],TBA_Matches_All[[#This Row],[Match_Number]],Dyno_Data[RecordType],"Activities", Dyno_Data[AcqCenter],1,Dyno_Data[Mode],"Auto")</f>
        <v>0</v>
      </c>
      <c r="AT149">
        <f>SUMIFS(Dyno_Data[AcqDis], Dyno_Data[Team],TBA_Matches_All[[#This Row],[Team]],Dyno_Data[Match],TBA_Matches_All[[#This Row],[Match_Number]],Dyno_Data[RecordType],"Activities", Dyno_Data[AcqCenter],2,Dyno_Data[Mode],"Auto")</f>
        <v>0</v>
      </c>
      <c r="AU149">
        <f>SUMIFS(Dyno_Data[AcqDis], Dyno_Data[Team],TBA_Matches_All[[#This Row],[Team]],Dyno_Data[Match],TBA_Matches_All[[#This Row],[Match_Number]],Dyno_Data[RecordType],"Activities", Dyno_Data[AcqCenter],3,Dyno_Data[Mode],"Auto")</f>
        <v>0</v>
      </c>
      <c r="AV149">
        <f>SUMIFS(Dyno_Data[AcqDis], Dyno_Data[Team],TBA_Matches_All[[#This Row],[Team]],Dyno_Data[Match],TBA_Matches_All[[#This Row],[Match_Number]],Dyno_Data[RecordType],"Activities", Dyno_Data[AcqCenter],4,Dyno_Data[Mode],"Auto")</f>
        <v>0</v>
      </c>
      <c r="AW149">
        <f>SUMIFS(Dyno_Data[AcqDis], Dyno_Data[Team],TBA_Matches_All[[#This Row],[Team]],Dyno_Data[Match],TBA_Matches_All[[#This Row],[Match_Number]],Dyno_Data[RecordType],"Activities", Dyno_Data[AcqCenter],5,Dyno_Data[Mode],"Auto")</f>
        <v>0</v>
      </c>
      <c r="AX149">
        <f>SUMIFS(Dyno_Data[DelMiss], Dyno_Data[Team],TBA_Matches_All[[#This Row],[Team]],Dyno_Data[Match],TBA_Matches_All[[#This Row],[Match_Number]],Dyno_Data[RecordType],"Activities", Dyno_Data[DelDest],"Amp")</f>
        <v>0</v>
      </c>
      <c r="AY149" s="60">
        <f>IFERROR(SUM((TBA_Matches_All[[#This Row],[AampT]]+TBA_Matches_All[[#This Row],[TampT]])/(TBA_Matches_All[[#This Row],[AampT]]+TBA_Matches_All[[#This Row],[TampT]]+TBA_Matches_All[[#This Row],[ampM]])),0)</f>
        <v>0</v>
      </c>
      <c r="AZ149">
        <f>SUMIFS(Dyno_Data[DelMiss], Dyno_Data[Team],TBA_Matches_All[[#This Row],[Team]],Dyno_Data[Match],TBA_Matches_All[[#This Row],[Match_Number]],Dyno_Data[RecordType],"Activities", Dyno_Data[DelDest],"Spkr")</f>
        <v>0</v>
      </c>
      <c r="BA149" s="60">
        <f>IFERROR(SUM((TBA_Matches_All[[#This Row],[AspkrT]]+TBA_Matches_All[[#This Row],[TspkrT]])/(TBA_Matches_All[[#This Row],[AspkrT]]+TBA_Matches_All[[#This Row],[TspkrT]]+TBA_Matches_All[[#This Row],[spkrM]])),0)</f>
        <v>0</v>
      </c>
      <c r="BB149">
        <f>SUMIFS(Dyno_Data[DelMiss], Dyno_Data[Team],TBA_Matches_All[[#This Row],[Team]],Dyno_Data[Match],TBA_Matches_All[[#This Row],[Match_Number]],Dyno_Data[RecordType],"Activities", Dyno_Data[DelDest],"Trap")</f>
        <v>0</v>
      </c>
      <c r="BC149" s="60">
        <f>IFERROR((TBA_Matches_All[[#This Row],[AtrapT]]+TBA_Matches_All[[#This Row],[TtrapT]])/(TBA_Matches_All[[#This Row],[AtrapT]]+TBA_Matches_All[[#This Row],[TtrapT]]+TBA_Matches_All[[#This Row],[trapM]]),0)</f>
        <v>0</v>
      </c>
      <c r="BD149">
        <f>COUNTIFS(Dyno_Data[Team],TBA_Matches_All[[#This Row],[Team]],Dyno_Data[Match],TBA_Matches_All[[#This Row],[Match_Number]],Dyno_Data[RecordType],"Activities",Dyno_Data[DelDest],"Neut", Dyno_Data[DelMiss],1)</f>
        <v>0</v>
      </c>
      <c r="BE149" s="60">
        <f>IFERROR(SUM((TBA_Matches_All[[#This Row],[NeutFlrT]])/(TBA_Matches_All[[#This Row],[NeutFlrT]]+TBA_Matches_All[[#This Row],[NZflM]])),0)</f>
        <v>0</v>
      </c>
      <c r="BF149">
        <f>COUNTIFS(Dyno_Data[Team],TBA_Matches_All[[#This Row],[Team]],Dyno_Data[Match],TBA_Matches_All[[#This Row],[Match_Number]],Dyno_Data[RecordType],"Activities",Dyno_Data[DelDest],"AllyW", Dyno_Data[DelMiss],1)</f>
        <v>0</v>
      </c>
      <c r="BG149" s="60">
        <f>IFERROR(SUM((TBA_Matches_All[[#This Row],[AllyWFlrT]])/(TBA_Matches_All[[#This Row],[AllyWFlrT]]+TBA_Matches_All[[#This Row],[AZflM]])),0)</f>
        <v>0</v>
      </c>
      <c r="BH149">
        <f>COUNTIFS(Dyno_Data[Team],TBA_Matches_All[[#This Row],[Team]],Dyno_Data[Match],TBA_Matches_All[[#This Row],[Match_Number]],Dyno_Data[RecordType],"Activities",Dyno_Data[DelOrig],"OppW", Dyno_Data[DelMiss],"0")</f>
        <v>0</v>
      </c>
      <c r="BI149">
        <f>COUNTIFS(Dyno_Data[Team],TBA_Matches_All[[#This Row],[Team]],Dyno_Data[Match],TBA_Matches_All[[#This Row],[Match_Number]],Dyno_Data[RecordType],"Activities",Dyno_Data[DelOrig],"OppW", Dyno_Data[DelMiss],"1")</f>
        <v>0</v>
      </c>
      <c r="BJ149" s="60">
        <f>IFERROR(SUM((TBA_Matches_All[[#This Row],[OZflrT]])/(TBA_Matches_All[[#This Row],[OZflrT]]+TBA_Matches_All[[#This Row],[OZflrM]])),0)</f>
        <v>0</v>
      </c>
      <c r="BK149">
        <f>COUNTIFS(Dyno_Data[Team],TBA_Matches_All[[#This Row],[Team]],Dyno_Data[Match],TBA_Matches_All[[#This Row],[Match_Number]],Dyno_Data[RecordType],"Activities",Dyno_Data[DelOrig],"Neut", Dyno_Data[DelMiss],"0")</f>
        <v>0</v>
      </c>
      <c r="BL149">
        <f>COUNTIFS(Dyno_Data[Team],TBA_Matches_All[[#This Row],[Team]],Dyno_Data[Match],TBA_Matches_All[[#This Row],[Match_Number]],Dyno_Data[RecordType],"Activities",Dyno_Data[DelOrig],"Neut", Dyno_Data[DelMiss],"1")</f>
        <v>0</v>
      </c>
      <c r="BM149" s="60">
        <f>IFERROR(SUM((TBA_Matches_All[[#This Row],[NZflrT]])/(TBA_Matches_All[[#This Row],[NZflrT]]+TBA_Matches_All[[#This Row],[NZflrM]])),0)</f>
        <v>0</v>
      </c>
      <c r="BN149">
        <f>COUNTIFS(Dyno_Data[Team],TBA_Matches_All[[#This Row],[Team]],Dyno_Data[Match],TBA_Matches_All[[#This Row],[Match_Number]],Dyno_Data[RecordType],"Activities",Dyno_Data[DelOrig],"AllyW", Dyno_Data[DelMiss],"0")</f>
        <v>0</v>
      </c>
      <c r="BO149">
        <f>COUNTIFS(Dyno_Data[Team],TBA_Matches_All[[#This Row],[Team]],Dyno_Data[Match],TBA_Matches_All[[#This Row],[Match_Number]],Dyno_Data[RecordType],"Activities",Dyno_Data[DelOrig],"AllyW", Dyno_Data[DelMiss],"1")</f>
        <v>0</v>
      </c>
      <c r="BP149" s="60">
        <f>IFERROR(SUM((TBA_Matches_All[[#This Row],[AZflrT]])/(TBA_Matches_All[[#This Row],[AZflrT]]+TBA_Matches_All[[#This Row],[AZflrM]])),0)</f>
        <v>0</v>
      </c>
      <c r="BQ149">
        <f>COUNTIFS(Dyno_Data[Team],TBA_Matches_All[[#This Row],[Team]],Dyno_Data[Match],TBA_Matches_All[[#This Row],[Match_Number]],Dyno_Data[RecordType],"Activities",Dyno_Data[DelOrig],"SubW", Dyno_Data[DelMiss],"0")</f>
        <v>0</v>
      </c>
      <c r="BR149">
        <f>COUNTIFS(Dyno_Data[Team],TBA_Matches_All[[#This Row],[Team]],Dyno_Data[Match],TBA_Matches_All[[#This Row],[Match_Number]],Dyno_Data[RecordType],"Activities",Dyno_Data[DelOrig],"SubW", Dyno_Data[DelMiss],"1")</f>
        <v>0</v>
      </c>
      <c r="BS149" s="60">
        <f>IFERROR(SUM((TBA_Matches_All[[#This Row],[SubwT]])/(TBA_Matches_All[[#This Row],[SubwT]]+TBA_Matches_All[[#This Row],[SubwM]])),0)</f>
        <v>0</v>
      </c>
      <c r="BT149">
        <f>COUNTIFS(Dyno_Data[Team],TBA_Matches_All[[#This Row],[Team]],Dyno_Data[Match],TBA_Matches_All[[#This Row],[Match_Number]],Dyno_Data[RecordType],"Activities", Dyno_Data[AcqLoc],"OppWing")</f>
        <v>0</v>
      </c>
      <c r="BU149">
        <f>COUNTIFS(Dyno_Data[Team],TBA_Matches_All[[#This Row],[Team]],Dyno_Data[Match],TBA_Matches_All[[#This Row],[Match_Number]],Dyno_Data[RecordType],"Activities", Dyno_Data[AcqLoc],"Neutral")</f>
        <v>0</v>
      </c>
      <c r="BV149">
        <f>COUNTIFS(Dyno_Data[Team],TBA_Matches_All[[#This Row],[Team]],Dyno_Data[Match],TBA_Matches_All[[#This Row],[Match_Number]],Dyno_Data[RecordType],"Activities", Dyno_Data[AcqLoc],"AllyWing")</f>
        <v>0</v>
      </c>
      <c r="BW149">
        <f>COUNTIFS(Dyno_Data[Team],TBA_Matches_All[[#This Row],[Team]],Dyno_Data[Match],TBA_Matches_All[[#This Row],[Match_Number]],Dyno_Data[RecordType],"Activities", Dyno_Data[AcqLoc],"Source")</f>
        <v>0</v>
      </c>
      <c r="BX149">
        <f>SUMIFS(Dyno_Data[AcqDrp], Dyno_Data[Team],TBA_Matches_All[[#This Row],[Team]],Dyno_Data[Match],TBA_Matches_All[[#This Row],[Match_Number]],Dyno_Data[RecordType],"Activities", Dyno_Data[AcqLoc],"Source")</f>
        <v>0</v>
      </c>
      <c r="BY149">
        <f>SUMIFS(Dyno_Data[OZTime], Dyno_Data[Team],TBA_Matches_All[[#This Row],[Team]],Dyno_Data[Match],TBA_Matches_All[[#This Row],[Match_Number]],Dyno_Data[RecordType],"EndMatch")</f>
        <v>0</v>
      </c>
      <c r="BZ149">
        <f>SUMIFS(Dyno_Data[NZTime], Dyno_Data[Team],TBA_Matches_All[[#This Row],[Team]],Dyno_Data[Match],TBA_Matches_All[[#This Row],[Match_Number]],Dyno_Data[RecordType],"EndMatch")</f>
        <v>0</v>
      </c>
      <c r="CA149">
        <f>SUMIFS(Dyno_Data[AZTime], Dyno_Data[Team],TBA_Matches_All[[#This Row],[Team]],Dyno_Data[Match],TBA_Matches_All[[#This Row],[Match_Number]],Dyno_Data[RecordType],"EndMatch")</f>
        <v>0</v>
      </c>
      <c r="CB149">
        <f>SUMIFS(Dyno_Data[ClimbT], Dyno_Data[Team],TBA_Matches_All[[#This Row],[Team]],Dyno_Data[Match],TBA_Matches_All[[#This Row],[Match_Number]],Dyno_Data[RecordType],"EndMatch")</f>
        <v>0</v>
      </c>
      <c r="CC149" t="str">
        <f>_xlfn.XLOOKUP(SUM(MID(TBA_Matches_All[[#This Row],[Team]],4,5),(TBA_Matches_All[[#This Row],[Match_Number]]/100)),Dyno_EndMatch[teammat],Dyno_EndMatch[StageStat],"_",0,1)</f>
        <v>_</v>
      </c>
      <c r="CD149" t="str">
        <f>_xlfn.XLOOKUP(TBA_Matches_All[[#This Row],[teammat]],Dyno_EndMatch[teammat],Dyno_EndMatch[StageAtt],"_",0,1)</f>
        <v>_</v>
      </c>
      <c r="CE149" t="str">
        <f>_xlfn.XLOOKUP(TBA_Matches_All[[#This Row],[teammat]],Dyno_EndMatch[teammat],Dyno_EndMatch[StageLoc],"_",0,1)</f>
        <v>_</v>
      </c>
      <c r="CF149">
        <f>SUMIFS(Dyno_Data[Harmony], Dyno_Data[Team],TBA_Matches_All[[#This Row],[Team]],Dyno_Data[Match],TBA_Matches_All[[#This Row],[Match_Number]],Dyno_Data[RecordType],"EndMatch", Dyno_Data[StageStat],"On",Dyno_Data[Harmony],"&lt;&gt;9")</f>
        <v>0</v>
      </c>
      <c r="CG149">
        <f>SUMIFS(Dyno_Data[Spotlit], Dyno_Data[Team],TBA_Matches_All[[#This Row],[Team]],Dyno_Data[Match],TBA_Matches_All[[#This Row],[Match_Number]],Dyno_Data[RecordType],"EndMatch", Dyno_Data[StageStat],"On",Dyno_Data[Spotlit],"&lt;&gt;9")</f>
        <v>0</v>
      </c>
      <c r="CH149" t="str">
        <f>_xlfn.XLOOKUP(TBA_Matches_All[[#This Row],[teammat]],Dyno_EndMatch[teammat],Dyno_EndMatch[Strategy],"_",0,1)</f>
        <v>_</v>
      </c>
      <c r="CI149">
        <f>SUMIFS(Dyno_Data[Defense], Dyno_Data[Team],TBA_Matches_All[[#This Row],[Team]],Dyno_Data[Match],TBA_Matches_All[[#This Row],[Match_Number]],Dyno_Data[RecordType],"EndMatch",Dyno_Data[Defense],"&lt;&gt;9")</f>
        <v>0</v>
      </c>
      <c r="CJ149">
        <f>SUMIFS(Dyno_Data[Avoidance], Dyno_Data[Team],TBA_Matches_All[[#This Row],[Team]],Dyno_Data[Match],TBA_Matches_All[[#This Row],[Match_Number]],Dyno_Data[RecordType],"EndMatch",Dyno_Data[Avoidance],"&lt;&gt;9")</f>
        <v>0</v>
      </c>
      <c r="CK149" s="82">
        <f>COUNTIF($H$2:TBA_Matches_All[[#This Row],[Team]],TBA_Matches_All[[#This Row],[Team]])</f>
        <v>3</v>
      </c>
      <c r="CL149" s="111">
        <f>SUM(MID(TBA_Matches_All[[#This Row],[Team]],4,5)+TBA_Matches_All[[#This Row],[Match_Number]]/100)</f>
        <v>5993.25</v>
      </c>
      <c r="CM149">
        <f>SUM((TBA_Matches_All[[#This Row],[Leave]]*2)+(TBA_Matches_All[[#This Row],[AampT]]*2)+(TBA_Matches_All[[#This Row],[AspkrT]]*5)+(TBA_Matches_All[[#This Row],[AtrapT]]*5))</f>
        <v>0</v>
      </c>
      <c r="CN149" s="59">
        <f>IFERROR(SUM(TBA_Matches_All[[#This Row],[AptsT]]/TBA_Matches_All[[#This Row],[AutoPts]]),0)</f>
        <v>0</v>
      </c>
      <c r="CO149" s="59">
        <f>IFERROR(SUM(TBA_Matches_All[[#This Row],[AampT]]+TBA_Matches_All[[#This Row],[AspkrT]]+TBA_Matches_All[[#This Row],[AtrapT]]/TBA_Matches_All[[#This Row],[Aamp]]+TBA_Matches_All[[#This Row],[Aspkr]]+TBA_Matches_All[[#This Row],[AtrapT]]),0)</f>
        <v>0</v>
      </c>
      <c r="CP149" s="59">
        <f>IFERROR(SUM(TBA_Matches_All[[#This Row],[TampT]]/TBA_Matches_All[[#This Row],[Tamp]]),0)</f>
        <v>0</v>
      </c>
      <c r="CQ149" s="59">
        <f>IFERROR(SUM(TBA_Matches_All[[#This Row],[TspkrT]]/TBA_Matches_All[[#This Row],[Tspkr]]),0)</f>
        <v>0</v>
      </c>
      <c r="CR149">
        <f>SUM(TBA_Matches_All[[#This Row],[TspkrPts]]*TBA_Matches_All[[#This Row],[TspkrP]])</f>
        <v>0</v>
      </c>
      <c r="CS149" s="59">
        <f>IFERROR(SUM(TBA_Matches_All[[#This Row],[TtrapT]]/TBA_Matches_All[[#This Row],[Trap]]),0)</f>
        <v>0</v>
      </c>
      <c r="CT149" s="59">
        <f>IFERROR(SUM(TBA_Matches_All[[#This Row],[TotNotesT]]/TBA_Matches_All[[#This Row],[TotNotes]]),0)</f>
        <v>0</v>
      </c>
      <c r="CU149" s="66">
        <f>SUM((TBA_Matches_All[[#This Row],[AampT]]*2)+(TBA_Matches_All[[#This Row],[AspkrT]]*5)+(TBA_Matches_All[[#This Row],[AtrapT]]*5)+(TBA_Matches_All[[#This Row],[TampT]]*1)+(TBA_Matches_All[[#This Row],[TspkrptsC]]))</f>
        <v>0</v>
      </c>
      <c r="CV149" s="59">
        <f>IFERROR(TBA_Matches_All[[#This Row],[noteptsT]]/TBA_Matches_All[[#This Row],[NotePts]],0)</f>
        <v>0</v>
      </c>
      <c r="CW149">
        <f>SUM(IF(TBA_Matches_All[[#This Row],[stageStat]]="On",3,0),IF(TBA_Matches_All[[#This Row],[stageStat]]="Park",1,0),SUMIFS(TBA_Matches_All[[#This Row],[Spotlit]],TBA_Matches_All[[#This Row],[stageStat]],"On"),SUMIFS(TBA_Matches_All[[#This Row],[Harmony]],TBA_Matches_All[[#This Row],[stageStat]],"On"))</f>
        <v>0</v>
      </c>
      <c r="CX149" s="59">
        <f>IFERROR(TBA_Matches_All[[#This Row],[stageptsT]]/TBA_Matches_All[[#This Row],[StagePts]],0)</f>
        <v>0</v>
      </c>
      <c r="CY149">
        <f>SUM((TBA_Matches_All[[#This Row],[AptsT]]+TBA_Matches_All[[#This Row],[TampT]]+TBA_Matches_All[[#This Row],[TspkrptsC]]+(TBA_Matches_All[[#This Row],[TtrapT]]*5)+TBA_Matches_All[[#This Row],[stageptsT]]))</f>
        <v>0</v>
      </c>
      <c r="CZ149" s="59">
        <f>IFERROR(SUM(TBA_Matches_All[[#This Row],[TotptsC]]/TBA_Matches_All[[#This Row],[Score]]),0)</f>
        <v>0</v>
      </c>
      <c r="DA14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3.5333333333333332</v>
      </c>
      <c r="DB149" s="74">
        <f>SUMIFS(TBA_Matches_All[AveTeamTNoteDels],TBA_Matches_All[Match_Number],TBA_Matches_All[[#This Row],[Match_Number]],TBA_Matches_All[Alliance],"&lt;&gt;"&amp;TBA_Matches_All[[#This Row],[Alliance]],TBA_Matches_All[Scouted],"&gt;0")</f>
        <v>0</v>
      </c>
      <c r="DC149" s="74">
        <f>(TBA_Matches_All[[#This Row],[TampT]]+TBA_Matches_All[[#This Row],[TspkrptsC]])-TBA_Matches_All[[#This Row],[AveTeamTNoteDels]]</f>
        <v>-3.5333333333333332</v>
      </c>
      <c r="DD149" s="74">
        <f>SUMIFS(TBA_Matches_All[AveTeamTNoteDels],TBA_Matches_All[Match_Number],TBA_Matches_All[[#This Row],[Match_Number]],TBA_Matches_All[Alliance],"&lt;&gt;"&amp;TBA_Matches_All[[#This Row],[Alliance]])-TBA_Matches_All[[#This Row],[AveOppTNoteDels]]</f>
        <v>15.750209790209789</v>
      </c>
    </row>
    <row r="150" spans="1:108" x14ac:dyDescent="0.3">
      <c r="A150" t="s">
        <v>1042</v>
      </c>
      <c r="B150" t="s">
        <v>489</v>
      </c>
      <c r="C150" t="s">
        <v>1334</v>
      </c>
      <c r="D150">
        <v>25</v>
      </c>
      <c r="E150" t="s">
        <v>1406</v>
      </c>
      <c r="F150" t="s">
        <v>1422</v>
      </c>
      <c r="G150" t="s">
        <v>105</v>
      </c>
      <c r="H150" t="s">
        <v>373</v>
      </c>
      <c r="I150" t="b">
        <v>1</v>
      </c>
      <c r="J150">
        <v>53</v>
      </c>
      <c r="K150">
        <v>1</v>
      </c>
      <c r="L150">
        <v>0</v>
      </c>
      <c r="M150">
        <v>7</v>
      </c>
      <c r="N150">
        <v>0</v>
      </c>
      <c r="O150">
        <v>2</v>
      </c>
      <c r="P150">
        <v>10</v>
      </c>
      <c r="Q150">
        <v>12</v>
      </c>
      <c r="R150">
        <v>3</v>
      </c>
      <c r="S150">
        <v>2</v>
      </c>
      <c r="T150">
        <v>8</v>
      </c>
      <c r="U150">
        <v>10</v>
      </c>
      <c r="V150">
        <v>16</v>
      </c>
      <c r="W150">
        <v>10</v>
      </c>
      <c r="X150">
        <v>26</v>
      </c>
      <c r="Y150">
        <v>29</v>
      </c>
      <c r="Z150">
        <v>0</v>
      </c>
      <c r="AA150">
        <v>0</v>
      </c>
      <c r="AB150">
        <v>15</v>
      </c>
      <c r="AC150">
        <v>39</v>
      </c>
      <c r="AD150">
        <v>2</v>
      </c>
      <c r="AE150">
        <f>IFERROR(6/(COUNTIF(Dyno_EndMatch[Match],TBA_Matches_All[[#This Row],[Match_Number]])),0)</f>
        <v>0</v>
      </c>
      <c r="AF150">
        <f>COUNTIFS(Dyno_Data[Team],TBA_Matches_All[[#This Row],[Team]],Dyno_Data[Match],TBA_Matches_All[[#This Row],[Match_Number]],Dyno_Data[RecordType],"EndMatch",Dyno_Data[HPAmp],"Y")</f>
        <v>0</v>
      </c>
      <c r="AG150">
        <f>SUMIFS(Dyno_Data[Mics], Dyno_Data[Team],TBA_Matches_All[[#This Row],[Team]],Dyno_Data[Match],TBA_Matches_All[[#This Row],[Match_Number]],Dyno_Data[RecordType],"EndMatch",Dyno_Data[HPAmp],"Y")</f>
        <v>0</v>
      </c>
      <c r="AH150">
        <f>SUMIFS(Dyno_Data[Leave], Dyno_Data[Team],TBA_Matches_All[[#This Row],[Team]],Dyno_Data[Match],TBA_Matches_All[[#This Row],[Match_Number]],Dyno_Data[RecordType],"EndAuto")</f>
        <v>0</v>
      </c>
      <c r="AI150">
        <f>COUNTIFS(Dyno_Data[Team],TBA_Matches_All[[#This Row],[Team]],Dyno_Data[Match],TBA_Matches_All[[#This Row],[Match_Number]],Dyno_Data[RecordType],"Activities",Dyno_Data[DelDest],"Amp", Dyno_Data[DelMiss],"0", Dyno_Data[Mode],"Auto")</f>
        <v>0</v>
      </c>
      <c r="AJ150">
        <f>COUNTIFS(Dyno_Data[Team],TBA_Matches_All[[#This Row],[Team]],Dyno_Data[Match],TBA_Matches_All[[#This Row],[Match_Number]],Dyno_Data[RecordType],"Activities",Dyno_Data[DelDest],"Spkr", Dyno_Data[DelMiss],"0", Dyno_Data[Mode],"Auto")</f>
        <v>0</v>
      </c>
      <c r="AK150">
        <f>COUNTIFS(Dyno_Data[Team],TBA_Matches_All[[#This Row],[Team]],Dyno_Data[Match],TBA_Matches_All[[#This Row],[Match_Number]],Dyno_Data[RecordType],"Activities",Dyno_Data[DelDest],"Trap", Dyno_Data[DelMiss],"0", Dyno_Data[Mode],"Auto")</f>
        <v>0</v>
      </c>
      <c r="AL150">
        <f>COUNTIFS(Dyno_Data[Team],TBA_Matches_All[[#This Row],[Team]],Dyno_Data[Match],TBA_Matches_All[[#This Row],[Match_Number]],Dyno_Data[RecordType],"Activities",Dyno_Data[DelDest],"Amp", Dyno_Data[DelMiss],"0", Dyno_Data[Mode],"Teleop")</f>
        <v>0</v>
      </c>
      <c r="AM150">
        <f>COUNTIFS(Dyno_Data[Team],TBA_Matches_All[[#This Row],[Team]],Dyno_Data[Match],TBA_Matches_All[[#This Row],[Match_Number]],Dyno_Data[RecordType],"Activities",Dyno_Data[DelDest],"Spkr", Dyno_Data[DelMiss],"0", Dyno_Data[Mode],"Teleop")</f>
        <v>0</v>
      </c>
      <c r="AN150">
        <f>COUNTIFS(Dyno_Data[Team],TBA_Matches_All[[#This Row],[Team]],Dyno_Data[Match],TBA_Matches_All[[#This Row],[Match_Number]],Dyno_Data[RecordType],"Activities",Dyno_Data[DelDest],"Trap", Dyno_Data[DelMiss],"0", Dyno_Data[Mode],"&lt;&gt;Auto")</f>
        <v>0</v>
      </c>
      <c r="AO150">
        <f>SUM(TBA_Matches_All[[#This Row],[AampT]]+TBA_Matches_All[[#This Row],[AspkrT]]+TBA_Matches_All[[#This Row],[AtrapT]]+TBA_Matches_All[[#This Row],[TampT]]+TBA_Matches_All[[#This Row],[TspkrT]]+TBA_Matches_All[[#This Row],[TtrapT]])</f>
        <v>0</v>
      </c>
      <c r="AP150">
        <f>COUNTIFS(Dyno_Data[Team],TBA_Matches_All[[#This Row],[Team]],Dyno_Data[Match],TBA_Matches_All[[#This Row],[Match_Number]],Dyno_Data[RecordType],"Activities",Dyno_Data[DelDest],"Neut", Dyno_Data[DelMiss],"0")</f>
        <v>0</v>
      </c>
      <c r="AQ150">
        <f>COUNTIFS(Dyno_Data[Team],TBA_Matches_All[[#This Row],[Team]],Dyno_Data[Match],TBA_Matches_All[[#This Row],[Match_Number]],Dyno_Data[RecordType],"Activities",Dyno_Data[DelDest],"AllyW", Dyno_Data[DelMiss],"0")</f>
        <v>0</v>
      </c>
      <c r="AR150" t="str">
        <f>_xlfn.XLOOKUP(SUM(MID(TBA_Matches_All[[#This Row],[Team]],4,5),(TBA_Matches_All[[#This Row],[Match_Number]]/100)),Dyno_EndMatch[teammat],Dyno_EndMatch[RobotSta],"_",0,1)</f>
        <v>_</v>
      </c>
      <c r="AS150">
        <f>SUMIFS(Dyno_Data[AcqDis], Dyno_Data[Team],TBA_Matches_All[[#This Row],[Team]],Dyno_Data[Match],TBA_Matches_All[[#This Row],[Match_Number]],Dyno_Data[RecordType],"Activities", Dyno_Data[AcqCenter],1,Dyno_Data[Mode],"Auto")</f>
        <v>0</v>
      </c>
      <c r="AT150">
        <f>SUMIFS(Dyno_Data[AcqDis], Dyno_Data[Team],TBA_Matches_All[[#This Row],[Team]],Dyno_Data[Match],TBA_Matches_All[[#This Row],[Match_Number]],Dyno_Data[RecordType],"Activities", Dyno_Data[AcqCenter],2,Dyno_Data[Mode],"Auto")</f>
        <v>0</v>
      </c>
      <c r="AU150">
        <f>SUMIFS(Dyno_Data[AcqDis], Dyno_Data[Team],TBA_Matches_All[[#This Row],[Team]],Dyno_Data[Match],TBA_Matches_All[[#This Row],[Match_Number]],Dyno_Data[RecordType],"Activities", Dyno_Data[AcqCenter],3,Dyno_Data[Mode],"Auto")</f>
        <v>0</v>
      </c>
      <c r="AV150">
        <f>SUMIFS(Dyno_Data[AcqDis], Dyno_Data[Team],TBA_Matches_All[[#This Row],[Team]],Dyno_Data[Match],TBA_Matches_All[[#This Row],[Match_Number]],Dyno_Data[RecordType],"Activities", Dyno_Data[AcqCenter],4,Dyno_Data[Mode],"Auto")</f>
        <v>0</v>
      </c>
      <c r="AW150">
        <f>SUMIFS(Dyno_Data[AcqDis], Dyno_Data[Team],TBA_Matches_All[[#This Row],[Team]],Dyno_Data[Match],TBA_Matches_All[[#This Row],[Match_Number]],Dyno_Data[RecordType],"Activities", Dyno_Data[AcqCenter],5,Dyno_Data[Mode],"Auto")</f>
        <v>0</v>
      </c>
      <c r="AX150">
        <f>SUMIFS(Dyno_Data[DelMiss], Dyno_Data[Team],TBA_Matches_All[[#This Row],[Team]],Dyno_Data[Match],TBA_Matches_All[[#This Row],[Match_Number]],Dyno_Data[RecordType],"Activities", Dyno_Data[DelDest],"Amp")</f>
        <v>0</v>
      </c>
      <c r="AY150" s="60">
        <f>IFERROR(SUM((TBA_Matches_All[[#This Row],[AampT]]+TBA_Matches_All[[#This Row],[TampT]])/(TBA_Matches_All[[#This Row],[AampT]]+TBA_Matches_All[[#This Row],[TampT]]+TBA_Matches_All[[#This Row],[ampM]])),0)</f>
        <v>0</v>
      </c>
      <c r="AZ150">
        <f>SUMIFS(Dyno_Data[DelMiss], Dyno_Data[Team],TBA_Matches_All[[#This Row],[Team]],Dyno_Data[Match],TBA_Matches_All[[#This Row],[Match_Number]],Dyno_Data[RecordType],"Activities", Dyno_Data[DelDest],"Spkr")</f>
        <v>0</v>
      </c>
      <c r="BA150" s="60">
        <f>IFERROR(SUM((TBA_Matches_All[[#This Row],[AspkrT]]+TBA_Matches_All[[#This Row],[TspkrT]])/(TBA_Matches_All[[#This Row],[AspkrT]]+TBA_Matches_All[[#This Row],[TspkrT]]+TBA_Matches_All[[#This Row],[spkrM]])),0)</f>
        <v>0</v>
      </c>
      <c r="BB150">
        <f>SUMIFS(Dyno_Data[DelMiss], Dyno_Data[Team],TBA_Matches_All[[#This Row],[Team]],Dyno_Data[Match],TBA_Matches_All[[#This Row],[Match_Number]],Dyno_Data[RecordType],"Activities", Dyno_Data[DelDest],"Trap")</f>
        <v>0</v>
      </c>
      <c r="BC150" s="60">
        <f>IFERROR((TBA_Matches_All[[#This Row],[AtrapT]]+TBA_Matches_All[[#This Row],[TtrapT]])/(TBA_Matches_All[[#This Row],[AtrapT]]+TBA_Matches_All[[#This Row],[TtrapT]]+TBA_Matches_All[[#This Row],[trapM]]),0)</f>
        <v>0</v>
      </c>
      <c r="BD150">
        <f>COUNTIFS(Dyno_Data[Team],TBA_Matches_All[[#This Row],[Team]],Dyno_Data[Match],TBA_Matches_All[[#This Row],[Match_Number]],Dyno_Data[RecordType],"Activities",Dyno_Data[DelDest],"Neut", Dyno_Data[DelMiss],1)</f>
        <v>0</v>
      </c>
      <c r="BE150" s="60">
        <f>IFERROR(SUM((TBA_Matches_All[[#This Row],[NeutFlrT]])/(TBA_Matches_All[[#This Row],[NeutFlrT]]+TBA_Matches_All[[#This Row],[NZflM]])),0)</f>
        <v>0</v>
      </c>
      <c r="BF150">
        <f>COUNTIFS(Dyno_Data[Team],TBA_Matches_All[[#This Row],[Team]],Dyno_Data[Match],TBA_Matches_All[[#This Row],[Match_Number]],Dyno_Data[RecordType],"Activities",Dyno_Data[DelDest],"AllyW", Dyno_Data[DelMiss],1)</f>
        <v>0</v>
      </c>
      <c r="BG150" s="60">
        <f>IFERROR(SUM((TBA_Matches_All[[#This Row],[AllyWFlrT]])/(TBA_Matches_All[[#This Row],[AllyWFlrT]]+TBA_Matches_All[[#This Row],[AZflM]])),0)</f>
        <v>0</v>
      </c>
      <c r="BH150">
        <f>COUNTIFS(Dyno_Data[Team],TBA_Matches_All[[#This Row],[Team]],Dyno_Data[Match],TBA_Matches_All[[#This Row],[Match_Number]],Dyno_Data[RecordType],"Activities",Dyno_Data[DelOrig],"OppW", Dyno_Data[DelMiss],"0")</f>
        <v>0</v>
      </c>
      <c r="BI150">
        <f>COUNTIFS(Dyno_Data[Team],TBA_Matches_All[[#This Row],[Team]],Dyno_Data[Match],TBA_Matches_All[[#This Row],[Match_Number]],Dyno_Data[RecordType],"Activities",Dyno_Data[DelOrig],"OppW", Dyno_Data[DelMiss],"1")</f>
        <v>0</v>
      </c>
      <c r="BJ150" s="60">
        <f>IFERROR(SUM((TBA_Matches_All[[#This Row],[OZflrT]])/(TBA_Matches_All[[#This Row],[OZflrT]]+TBA_Matches_All[[#This Row],[OZflrM]])),0)</f>
        <v>0</v>
      </c>
      <c r="BK150">
        <f>COUNTIFS(Dyno_Data[Team],TBA_Matches_All[[#This Row],[Team]],Dyno_Data[Match],TBA_Matches_All[[#This Row],[Match_Number]],Dyno_Data[RecordType],"Activities",Dyno_Data[DelOrig],"Neut", Dyno_Data[DelMiss],"0")</f>
        <v>0</v>
      </c>
      <c r="BL150">
        <f>COUNTIFS(Dyno_Data[Team],TBA_Matches_All[[#This Row],[Team]],Dyno_Data[Match],TBA_Matches_All[[#This Row],[Match_Number]],Dyno_Data[RecordType],"Activities",Dyno_Data[DelOrig],"Neut", Dyno_Data[DelMiss],"1")</f>
        <v>0</v>
      </c>
      <c r="BM150" s="60">
        <f>IFERROR(SUM((TBA_Matches_All[[#This Row],[NZflrT]])/(TBA_Matches_All[[#This Row],[NZflrT]]+TBA_Matches_All[[#This Row],[NZflrM]])),0)</f>
        <v>0</v>
      </c>
      <c r="BN150">
        <f>COUNTIFS(Dyno_Data[Team],TBA_Matches_All[[#This Row],[Team]],Dyno_Data[Match],TBA_Matches_All[[#This Row],[Match_Number]],Dyno_Data[RecordType],"Activities",Dyno_Data[DelOrig],"AllyW", Dyno_Data[DelMiss],"0")</f>
        <v>0</v>
      </c>
      <c r="BO150">
        <f>COUNTIFS(Dyno_Data[Team],TBA_Matches_All[[#This Row],[Team]],Dyno_Data[Match],TBA_Matches_All[[#This Row],[Match_Number]],Dyno_Data[RecordType],"Activities",Dyno_Data[DelOrig],"AllyW", Dyno_Data[DelMiss],"1")</f>
        <v>0</v>
      </c>
      <c r="BP150" s="60">
        <f>IFERROR(SUM((TBA_Matches_All[[#This Row],[AZflrT]])/(TBA_Matches_All[[#This Row],[AZflrT]]+TBA_Matches_All[[#This Row],[AZflrM]])),0)</f>
        <v>0</v>
      </c>
      <c r="BQ150">
        <f>COUNTIFS(Dyno_Data[Team],TBA_Matches_All[[#This Row],[Team]],Dyno_Data[Match],TBA_Matches_All[[#This Row],[Match_Number]],Dyno_Data[RecordType],"Activities",Dyno_Data[DelOrig],"SubW", Dyno_Data[DelMiss],"0")</f>
        <v>0</v>
      </c>
      <c r="BR150">
        <f>COUNTIFS(Dyno_Data[Team],TBA_Matches_All[[#This Row],[Team]],Dyno_Data[Match],TBA_Matches_All[[#This Row],[Match_Number]],Dyno_Data[RecordType],"Activities",Dyno_Data[DelOrig],"SubW", Dyno_Data[DelMiss],"1")</f>
        <v>0</v>
      </c>
      <c r="BS150" s="60">
        <f>IFERROR(SUM((TBA_Matches_All[[#This Row],[SubwT]])/(TBA_Matches_All[[#This Row],[SubwT]]+TBA_Matches_All[[#This Row],[SubwM]])),0)</f>
        <v>0</v>
      </c>
      <c r="BT150">
        <f>COUNTIFS(Dyno_Data[Team],TBA_Matches_All[[#This Row],[Team]],Dyno_Data[Match],TBA_Matches_All[[#This Row],[Match_Number]],Dyno_Data[RecordType],"Activities", Dyno_Data[AcqLoc],"OppWing")</f>
        <v>0</v>
      </c>
      <c r="BU150">
        <f>COUNTIFS(Dyno_Data[Team],TBA_Matches_All[[#This Row],[Team]],Dyno_Data[Match],TBA_Matches_All[[#This Row],[Match_Number]],Dyno_Data[RecordType],"Activities", Dyno_Data[AcqLoc],"Neutral")</f>
        <v>0</v>
      </c>
      <c r="BV150">
        <f>COUNTIFS(Dyno_Data[Team],TBA_Matches_All[[#This Row],[Team]],Dyno_Data[Match],TBA_Matches_All[[#This Row],[Match_Number]],Dyno_Data[RecordType],"Activities", Dyno_Data[AcqLoc],"AllyWing")</f>
        <v>0</v>
      </c>
      <c r="BW150">
        <f>COUNTIFS(Dyno_Data[Team],TBA_Matches_All[[#This Row],[Team]],Dyno_Data[Match],TBA_Matches_All[[#This Row],[Match_Number]],Dyno_Data[RecordType],"Activities", Dyno_Data[AcqLoc],"Source")</f>
        <v>0</v>
      </c>
      <c r="BX150">
        <f>SUMIFS(Dyno_Data[AcqDrp], Dyno_Data[Team],TBA_Matches_All[[#This Row],[Team]],Dyno_Data[Match],TBA_Matches_All[[#This Row],[Match_Number]],Dyno_Data[RecordType],"Activities", Dyno_Data[AcqLoc],"Source")</f>
        <v>0</v>
      </c>
      <c r="BY150">
        <f>SUMIFS(Dyno_Data[OZTime], Dyno_Data[Team],TBA_Matches_All[[#This Row],[Team]],Dyno_Data[Match],TBA_Matches_All[[#This Row],[Match_Number]],Dyno_Data[RecordType],"EndMatch")</f>
        <v>0</v>
      </c>
      <c r="BZ150">
        <f>SUMIFS(Dyno_Data[NZTime], Dyno_Data[Team],TBA_Matches_All[[#This Row],[Team]],Dyno_Data[Match],TBA_Matches_All[[#This Row],[Match_Number]],Dyno_Data[RecordType],"EndMatch")</f>
        <v>0</v>
      </c>
      <c r="CA150">
        <f>SUMIFS(Dyno_Data[AZTime], Dyno_Data[Team],TBA_Matches_All[[#This Row],[Team]],Dyno_Data[Match],TBA_Matches_All[[#This Row],[Match_Number]],Dyno_Data[RecordType],"EndMatch")</f>
        <v>0</v>
      </c>
      <c r="CB150">
        <f>SUMIFS(Dyno_Data[ClimbT], Dyno_Data[Team],TBA_Matches_All[[#This Row],[Team]],Dyno_Data[Match],TBA_Matches_All[[#This Row],[Match_Number]],Dyno_Data[RecordType],"EndMatch")</f>
        <v>0</v>
      </c>
      <c r="CC150" t="str">
        <f>_xlfn.XLOOKUP(SUM(MID(TBA_Matches_All[[#This Row],[Team]],4,5),(TBA_Matches_All[[#This Row],[Match_Number]]/100)),Dyno_EndMatch[teammat],Dyno_EndMatch[StageStat],"_",0,1)</f>
        <v>_</v>
      </c>
      <c r="CD150" t="str">
        <f>_xlfn.XLOOKUP(TBA_Matches_All[[#This Row],[teammat]],Dyno_EndMatch[teammat],Dyno_EndMatch[StageAtt],"_",0,1)</f>
        <v>_</v>
      </c>
      <c r="CE150" t="str">
        <f>_xlfn.XLOOKUP(TBA_Matches_All[[#This Row],[teammat]],Dyno_EndMatch[teammat],Dyno_EndMatch[StageLoc],"_",0,1)</f>
        <v>_</v>
      </c>
      <c r="CF150">
        <f>SUMIFS(Dyno_Data[Harmony], Dyno_Data[Team],TBA_Matches_All[[#This Row],[Team]],Dyno_Data[Match],TBA_Matches_All[[#This Row],[Match_Number]],Dyno_Data[RecordType],"EndMatch", Dyno_Data[StageStat],"On",Dyno_Data[Harmony],"&lt;&gt;9")</f>
        <v>0</v>
      </c>
      <c r="CG150">
        <f>SUMIFS(Dyno_Data[Spotlit], Dyno_Data[Team],TBA_Matches_All[[#This Row],[Team]],Dyno_Data[Match],TBA_Matches_All[[#This Row],[Match_Number]],Dyno_Data[RecordType],"EndMatch", Dyno_Data[StageStat],"On",Dyno_Data[Spotlit],"&lt;&gt;9")</f>
        <v>0</v>
      </c>
      <c r="CH150" t="str">
        <f>_xlfn.XLOOKUP(TBA_Matches_All[[#This Row],[teammat]],Dyno_EndMatch[teammat],Dyno_EndMatch[Strategy],"_",0,1)</f>
        <v>_</v>
      </c>
      <c r="CI150">
        <f>SUMIFS(Dyno_Data[Defense], Dyno_Data[Team],TBA_Matches_All[[#This Row],[Team]],Dyno_Data[Match],TBA_Matches_All[[#This Row],[Match_Number]],Dyno_Data[RecordType],"EndMatch",Dyno_Data[Defense],"&lt;&gt;9")</f>
        <v>0</v>
      </c>
      <c r="CJ150">
        <f>SUMIFS(Dyno_Data[Avoidance], Dyno_Data[Team],TBA_Matches_All[[#This Row],[Team]],Dyno_Data[Match],TBA_Matches_All[[#This Row],[Match_Number]],Dyno_Data[RecordType],"EndMatch",Dyno_Data[Avoidance],"&lt;&gt;9")</f>
        <v>0</v>
      </c>
      <c r="CK150" s="82">
        <f>COUNTIF($H$2:TBA_Matches_All[[#This Row],[Team]],TBA_Matches_All[[#This Row],[Team]])</f>
        <v>3</v>
      </c>
      <c r="CL150" s="111">
        <f>SUM(MID(TBA_Matches_All[[#This Row],[Team]],4,5)+TBA_Matches_All[[#This Row],[Match_Number]]/100)</f>
        <v>7718.25</v>
      </c>
      <c r="CM150">
        <f>SUM((TBA_Matches_All[[#This Row],[Leave]]*2)+(TBA_Matches_All[[#This Row],[AampT]]*2)+(TBA_Matches_All[[#This Row],[AspkrT]]*5)+(TBA_Matches_All[[#This Row],[AtrapT]]*5))</f>
        <v>0</v>
      </c>
      <c r="CN150" s="59">
        <f>IFERROR(SUM(TBA_Matches_All[[#This Row],[AptsT]]/TBA_Matches_All[[#This Row],[AutoPts]]),0)</f>
        <v>0</v>
      </c>
      <c r="CO150" s="59">
        <f>IFERROR(SUM(TBA_Matches_All[[#This Row],[AampT]]+TBA_Matches_All[[#This Row],[AspkrT]]+TBA_Matches_All[[#This Row],[AtrapT]]/TBA_Matches_All[[#This Row],[Aamp]]+TBA_Matches_All[[#This Row],[Aspkr]]+TBA_Matches_All[[#This Row],[AtrapT]]),0)</f>
        <v>0</v>
      </c>
      <c r="CP150" s="59">
        <f>IFERROR(SUM(TBA_Matches_All[[#This Row],[TampT]]/TBA_Matches_All[[#This Row],[Tamp]]),0)</f>
        <v>0</v>
      </c>
      <c r="CQ150" s="59">
        <f>IFERROR(SUM(TBA_Matches_All[[#This Row],[TspkrT]]/TBA_Matches_All[[#This Row],[Tspkr]]),0)</f>
        <v>0</v>
      </c>
      <c r="CR150">
        <f>SUM(TBA_Matches_All[[#This Row],[TspkrPts]]*TBA_Matches_All[[#This Row],[TspkrP]])</f>
        <v>0</v>
      </c>
      <c r="CS150" s="59">
        <f>IFERROR(SUM(TBA_Matches_All[[#This Row],[TtrapT]]/TBA_Matches_All[[#This Row],[Trap]]),0)</f>
        <v>0</v>
      </c>
      <c r="CT150" s="59">
        <f>IFERROR(SUM(TBA_Matches_All[[#This Row],[TotNotesT]]/TBA_Matches_All[[#This Row],[TotNotes]]),0)</f>
        <v>0</v>
      </c>
      <c r="CU150" s="66">
        <f>SUM((TBA_Matches_All[[#This Row],[AampT]]*2)+(TBA_Matches_All[[#This Row],[AspkrT]]*5)+(TBA_Matches_All[[#This Row],[AtrapT]]*5)+(TBA_Matches_All[[#This Row],[TampT]]*1)+(TBA_Matches_All[[#This Row],[TspkrptsC]]))</f>
        <v>0</v>
      </c>
      <c r="CV150" s="59">
        <f>IFERROR(TBA_Matches_All[[#This Row],[noteptsT]]/TBA_Matches_All[[#This Row],[NotePts]],0)</f>
        <v>0</v>
      </c>
      <c r="CW150">
        <f>SUM(IF(TBA_Matches_All[[#This Row],[stageStat]]="On",3,0),IF(TBA_Matches_All[[#This Row],[stageStat]]="Park",1,0),SUMIFS(TBA_Matches_All[[#This Row],[Spotlit]],TBA_Matches_All[[#This Row],[stageStat]],"On"),SUMIFS(TBA_Matches_All[[#This Row],[Harmony]],TBA_Matches_All[[#This Row],[stageStat]],"On"))</f>
        <v>0</v>
      </c>
      <c r="CX150" s="59">
        <f>IFERROR(TBA_Matches_All[[#This Row],[stageptsT]]/TBA_Matches_All[[#This Row],[StagePts]],0)</f>
        <v>0</v>
      </c>
      <c r="CY150">
        <f>SUM((TBA_Matches_All[[#This Row],[AptsT]]+TBA_Matches_All[[#This Row],[TampT]]+TBA_Matches_All[[#This Row],[TspkrptsC]]+(TBA_Matches_All[[#This Row],[TtrapT]]*5)+TBA_Matches_All[[#This Row],[stageptsT]]))</f>
        <v>0</v>
      </c>
      <c r="CZ150" s="59">
        <f>IFERROR(SUM(TBA_Matches_All[[#This Row],[TotptsC]]/TBA_Matches_All[[#This Row],[Score]]),0)</f>
        <v>0</v>
      </c>
      <c r="DA15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50" s="74">
        <f>SUMIFS(TBA_Matches_All[AveTeamTNoteDels],TBA_Matches_All[Match_Number],TBA_Matches_All[[#This Row],[Match_Number]],TBA_Matches_All[Alliance],"&lt;&gt;"&amp;TBA_Matches_All[[#This Row],[Alliance]],TBA_Matches_All[Scouted],"&gt;0")</f>
        <v>0</v>
      </c>
      <c r="DC150" s="74">
        <f>(TBA_Matches_All[[#This Row],[TampT]]+TBA_Matches_All[[#This Row],[TspkrptsC]])-TBA_Matches_All[[#This Row],[AveTeamTNoteDels]]</f>
        <v>0</v>
      </c>
      <c r="DD150" s="74">
        <f>SUMIFS(TBA_Matches_All[AveTeamTNoteDels],TBA_Matches_All[Match_Number],TBA_Matches_All[[#This Row],[Match_Number]],TBA_Matches_All[Alliance],"&lt;&gt;"&amp;TBA_Matches_All[[#This Row],[Alliance]])-TBA_Matches_All[[#This Row],[AveOppTNoteDels]]</f>
        <v>24.460851370851373</v>
      </c>
    </row>
    <row r="151" spans="1:108" x14ac:dyDescent="0.3">
      <c r="A151" t="s">
        <v>1042</v>
      </c>
      <c r="B151" t="s">
        <v>489</v>
      </c>
      <c r="C151" t="s">
        <v>1334</v>
      </c>
      <c r="D151">
        <v>25</v>
      </c>
      <c r="E151" t="s">
        <v>1420</v>
      </c>
      <c r="F151" t="s">
        <v>1425</v>
      </c>
      <c r="G151" t="s">
        <v>105</v>
      </c>
      <c r="H151" t="s">
        <v>1295</v>
      </c>
      <c r="I151" t="b">
        <v>1</v>
      </c>
      <c r="J151">
        <v>45</v>
      </c>
      <c r="K151">
        <v>0</v>
      </c>
      <c r="L151">
        <v>0</v>
      </c>
      <c r="M151">
        <v>10</v>
      </c>
      <c r="N151">
        <v>0</v>
      </c>
      <c r="O151">
        <v>1</v>
      </c>
      <c r="P151">
        <v>5</v>
      </c>
      <c r="Q151">
        <v>11</v>
      </c>
      <c r="R151">
        <v>3</v>
      </c>
      <c r="S151">
        <v>1</v>
      </c>
      <c r="T151">
        <v>7</v>
      </c>
      <c r="U151">
        <v>5</v>
      </c>
      <c r="V151">
        <v>14</v>
      </c>
      <c r="W151">
        <v>8</v>
      </c>
      <c r="X151">
        <v>19</v>
      </c>
      <c r="Y151">
        <v>22</v>
      </c>
      <c r="Z151">
        <v>0</v>
      </c>
      <c r="AA151">
        <v>0</v>
      </c>
      <c r="AB151">
        <v>12</v>
      </c>
      <c r="AC151">
        <v>27</v>
      </c>
      <c r="AD151">
        <v>5</v>
      </c>
      <c r="AE151">
        <f>IFERROR(6/(COUNTIF(Dyno_EndMatch[Match],TBA_Matches_All[[#This Row],[Match_Number]])),0)</f>
        <v>0</v>
      </c>
      <c r="AF151">
        <f>COUNTIFS(Dyno_Data[Team],TBA_Matches_All[[#This Row],[Team]],Dyno_Data[Match],TBA_Matches_All[[#This Row],[Match_Number]],Dyno_Data[RecordType],"EndMatch",Dyno_Data[HPAmp],"Y")</f>
        <v>0</v>
      </c>
      <c r="AG151">
        <f>SUMIFS(Dyno_Data[Mics], Dyno_Data[Team],TBA_Matches_All[[#This Row],[Team]],Dyno_Data[Match],TBA_Matches_All[[#This Row],[Match_Number]],Dyno_Data[RecordType],"EndMatch",Dyno_Data[HPAmp],"Y")</f>
        <v>0</v>
      </c>
      <c r="AH151">
        <f>SUMIFS(Dyno_Data[Leave], Dyno_Data[Team],TBA_Matches_All[[#This Row],[Team]],Dyno_Data[Match],TBA_Matches_All[[#This Row],[Match_Number]],Dyno_Data[RecordType],"EndAuto")</f>
        <v>0</v>
      </c>
      <c r="AI151">
        <f>COUNTIFS(Dyno_Data[Team],TBA_Matches_All[[#This Row],[Team]],Dyno_Data[Match],TBA_Matches_All[[#This Row],[Match_Number]],Dyno_Data[RecordType],"Activities",Dyno_Data[DelDest],"Amp", Dyno_Data[DelMiss],"0", Dyno_Data[Mode],"Auto")</f>
        <v>0</v>
      </c>
      <c r="AJ151">
        <f>COUNTIFS(Dyno_Data[Team],TBA_Matches_All[[#This Row],[Team]],Dyno_Data[Match],TBA_Matches_All[[#This Row],[Match_Number]],Dyno_Data[RecordType],"Activities",Dyno_Data[DelDest],"Spkr", Dyno_Data[DelMiss],"0", Dyno_Data[Mode],"Auto")</f>
        <v>0</v>
      </c>
      <c r="AK151">
        <f>COUNTIFS(Dyno_Data[Team],TBA_Matches_All[[#This Row],[Team]],Dyno_Data[Match],TBA_Matches_All[[#This Row],[Match_Number]],Dyno_Data[RecordType],"Activities",Dyno_Data[DelDest],"Trap", Dyno_Data[DelMiss],"0", Dyno_Data[Mode],"Auto")</f>
        <v>0</v>
      </c>
      <c r="AL151">
        <f>COUNTIFS(Dyno_Data[Team],TBA_Matches_All[[#This Row],[Team]],Dyno_Data[Match],TBA_Matches_All[[#This Row],[Match_Number]],Dyno_Data[RecordType],"Activities",Dyno_Data[DelDest],"Amp", Dyno_Data[DelMiss],"0", Dyno_Data[Mode],"Teleop")</f>
        <v>0</v>
      </c>
      <c r="AM151">
        <f>COUNTIFS(Dyno_Data[Team],TBA_Matches_All[[#This Row],[Team]],Dyno_Data[Match],TBA_Matches_All[[#This Row],[Match_Number]],Dyno_Data[RecordType],"Activities",Dyno_Data[DelDest],"Spkr", Dyno_Data[DelMiss],"0", Dyno_Data[Mode],"Teleop")</f>
        <v>0</v>
      </c>
      <c r="AN151">
        <f>COUNTIFS(Dyno_Data[Team],TBA_Matches_All[[#This Row],[Team]],Dyno_Data[Match],TBA_Matches_All[[#This Row],[Match_Number]],Dyno_Data[RecordType],"Activities",Dyno_Data[DelDest],"Trap", Dyno_Data[DelMiss],"0", Dyno_Data[Mode],"&lt;&gt;Auto")</f>
        <v>0</v>
      </c>
      <c r="AO151">
        <f>SUM(TBA_Matches_All[[#This Row],[AampT]]+TBA_Matches_All[[#This Row],[AspkrT]]+TBA_Matches_All[[#This Row],[AtrapT]]+TBA_Matches_All[[#This Row],[TampT]]+TBA_Matches_All[[#This Row],[TspkrT]]+TBA_Matches_All[[#This Row],[TtrapT]])</f>
        <v>0</v>
      </c>
      <c r="AP151">
        <f>COUNTIFS(Dyno_Data[Team],TBA_Matches_All[[#This Row],[Team]],Dyno_Data[Match],TBA_Matches_All[[#This Row],[Match_Number]],Dyno_Data[RecordType],"Activities",Dyno_Data[DelDest],"Neut", Dyno_Data[DelMiss],"0")</f>
        <v>0</v>
      </c>
      <c r="AQ151">
        <f>COUNTIFS(Dyno_Data[Team],TBA_Matches_All[[#This Row],[Team]],Dyno_Data[Match],TBA_Matches_All[[#This Row],[Match_Number]],Dyno_Data[RecordType],"Activities",Dyno_Data[DelDest],"AllyW", Dyno_Data[DelMiss],"0")</f>
        <v>0</v>
      </c>
      <c r="AR151" t="str">
        <f>_xlfn.XLOOKUP(SUM(MID(TBA_Matches_All[[#This Row],[Team]],4,5),(TBA_Matches_All[[#This Row],[Match_Number]]/100)),Dyno_EndMatch[teammat],Dyno_EndMatch[RobotSta],"_",0,1)</f>
        <v>_</v>
      </c>
      <c r="AS151">
        <f>SUMIFS(Dyno_Data[AcqDis], Dyno_Data[Team],TBA_Matches_All[[#This Row],[Team]],Dyno_Data[Match],TBA_Matches_All[[#This Row],[Match_Number]],Dyno_Data[RecordType],"Activities", Dyno_Data[AcqCenter],1,Dyno_Data[Mode],"Auto")</f>
        <v>0</v>
      </c>
      <c r="AT151">
        <f>SUMIFS(Dyno_Data[AcqDis], Dyno_Data[Team],TBA_Matches_All[[#This Row],[Team]],Dyno_Data[Match],TBA_Matches_All[[#This Row],[Match_Number]],Dyno_Data[RecordType],"Activities", Dyno_Data[AcqCenter],2,Dyno_Data[Mode],"Auto")</f>
        <v>0</v>
      </c>
      <c r="AU151">
        <f>SUMIFS(Dyno_Data[AcqDis], Dyno_Data[Team],TBA_Matches_All[[#This Row],[Team]],Dyno_Data[Match],TBA_Matches_All[[#This Row],[Match_Number]],Dyno_Data[RecordType],"Activities", Dyno_Data[AcqCenter],3,Dyno_Data[Mode],"Auto")</f>
        <v>0</v>
      </c>
      <c r="AV151">
        <f>SUMIFS(Dyno_Data[AcqDis], Dyno_Data[Team],TBA_Matches_All[[#This Row],[Team]],Dyno_Data[Match],TBA_Matches_All[[#This Row],[Match_Number]],Dyno_Data[RecordType],"Activities", Dyno_Data[AcqCenter],4,Dyno_Data[Mode],"Auto")</f>
        <v>0</v>
      </c>
      <c r="AW151">
        <f>SUMIFS(Dyno_Data[AcqDis], Dyno_Data[Team],TBA_Matches_All[[#This Row],[Team]],Dyno_Data[Match],TBA_Matches_All[[#This Row],[Match_Number]],Dyno_Data[RecordType],"Activities", Dyno_Data[AcqCenter],5,Dyno_Data[Mode],"Auto")</f>
        <v>0</v>
      </c>
      <c r="AX151">
        <f>SUMIFS(Dyno_Data[DelMiss], Dyno_Data[Team],TBA_Matches_All[[#This Row],[Team]],Dyno_Data[Match],TBA_Matches_All[[#This Row],[Match_Number]],Dyno_Data[RecordType],"Activities", Dyno_Data[DelDest],"Amp")</f>
        <v>0</v>
      </c>
      <c r="AY151" s="60">
        <f>IFERROR(SUM((TBA_Matches_All[[#This Row],[AampT]]+TBA_Matches_All[[#This Row],[TampT]])/(TBA_Matches_All[[#This Row],[AampT]]+TBA_Matches_All[[#This Row],[TampT]]+TBA_Matches_All[[#This Row],[ampM]])),0)</f>
        <v>0</v>
      </c>
      <c r="AZ151">
        <f>SUMIFS(Dyno_Data[DelMiss], Dyno_Data[Team],TBA_Matches_All[[#This Row],[Team]],Dyno_Data[Match],TBA_Matches_All[[#This Row],[Match_Number]],Dyno_Data[RecordType],"Activities", Dyno_Data[DelDest],"Spkr")</f>
        <v>0</v>
      </c>
      <c r="BA151" s="60">
        <f>IFERROR(SUM((TBA_Matches_All[[#This Row],[AspkrT]]+TBA_Matches_All[[#This Row],[TspkrT]])/(TBA_Matches_All[[#This Row],[AspkrT]]+TBA_Matches_All[[#This Row],[TspkrT]]+TBA_Matches_All[[#This Row],[spkrM]])),0)</f>
        <v>0</v>
      </c>
      <c r="BB151">
        <f>SUMIFS(Dyno_Data[DelMiss], Dyno_Data[Team],TBA_Matches_All[[#This Row],[Team]],Dyno_Data[Match],TBA_Matches_All[[#This Row],[Match_Number]],Dyno_Data[RecordType],"Activities", Dyno_Data[DelDest],"Trap")</f>
        <v>0</v>
      </c>
      <c r="BC151" s="60">
        <f>IFERROR((TBA_Matches_All[[#This Row],[AtrapT]]+TBA_Matches_All[[#This Row],[TtrapT]])/(TBA_Matches_All[[#This Row],[AtrapT]]+TBA_Matches_All[[#This Row],[TtrapT]]+TBA_Matches_All[[#This Row],[trapM]]),0)</f>
        <v>0</v>
      </c>
      <c r="BD151">
        <f>COUNTIFS(Dyno_Data[Team],TBA_Matches_All[[#This Row],[Team]],Dyno_Data[Match],TBA_Matches_All[[#This Row],[Match_Number]],Dyno_Data[RecordType],"Activities",Dyno_Data[DelDest],"Neut", Dyno_Data[DelMiss],1)</f>
        <v>0</v>
      </c>
      <c r="BE151" s="60">
        <f>IFERROR(SUM((TBA_Matches_All[[#This Row],[NeutFlrT]])/(TBA_Matches_All[[#This Row],[NeutFlrT]]+TBA_Matches_All[[#This Row],[NZflM]])),0)</f>
        <v>0</v>
      </c>
      <c r="BF151">
        <f>COUNTIFS(Dyno_Data[Team],TBA_Matches_All[[#This Row],[Team]],Dyno_Data[Match],TBA_Matches_All[[#This Row],[Match_Number]],Dyno_Data[RecordType],"Activities",Dyno_Data[DelDest],"AllyW", Dyno_Data[DelMiss],1)</f>
        <v>0</v>
      </c>
      <c r="BG151" s="60">
        <f>IFERROR(SUM((TBA_Matches_All[[#This Row],[AllyWFlrT]])/(TBA_Matches_All[[#This Row],[AllyWFlrT]]+TBA_Matches_All[[#This Row],[AZflM]])),0)</f>
        <v>0</v>
      </c>
      <c r="BH151">
        <f>COUNTIFS(Dyno_Data[Team],TBA_Matches_All[[#This Row],[Team]],Dyno_Data[Match],TBA_Matches_All[[#This Row],[Match_Number]],Dyno_Data[RecordType],"Activities",Dyno_Data[DelOrig],"OppW", Dyno_Data[DelMiss],"0")</f>
        <v>0</v>
      </c>
      <c r="BI151">
        <f>COUNTIFS(Dyno_Data[Team],TBA_Matches_All[[#This Row],[Team]],Dyno_Data[Match],TBA_Matches_All[[#This Row],[Match_Number]],Dyno_Data[RecordType],"Activities",Dyno_Data[DelOrig],"OppW", Dyno_Data[DelMiss],"1")</f>
        <v>0</v>
      </c>
      <c r="BJ151" s="60">
        <f>IFERROR(SUM((TBA_Matches_All[[#This Row],[OZflrT]])/(TBA_Matches_All[[#This Row],[OZflrT]]+TBA_Matches_All[[#This Row],[OZflrM]])),0)</f>
        <v>0</v>
      </c>
      <c r="BK151">
        <f>COUNTIFS(Dyno_Data[Team],TBA_Matches_All[[#This Row],[Team]],Dyno_Data[Match],TBA_Matches_All[[#This Row],[Match_Number]],Dyno_Data[RecordType],"Activities",Dyno_Data[DelOrig],"Neut", Dyno_Data[DelMiss],"0")</f>
        <v>0</v>
      </c>
      <c r="BL151">
        <f>COUNTIFS(Dyno_Data[Team],TBA_Matches_All[[#This Row],[Team]],Dyno_Data[Match],TBA_Matches_All[[#This Row],[Match_Number]],Dyno_Data[RecordType],"Activities",Dyno_Data[DelOrig],"Neut", Dyno_Data[DelMiss],"1")</f>
        <v>0</v>
      </c>
      <c r="BM151" s="60">
        <f>IFERROR(SUM((TBA_Matches_All[[#This Row],[NZflrT]])/(TBA_Matches_All[[#This Row],[NZflrT]]+TBA_Matches_All[[#This Row],[NZflrM]])),0)</f>
        <v>0</v>
      </c>
      <c r="BN151">
        <f>COUNTIFS(Dyno_Data[Team],TBA_Matches_All[[#This Row],[Team]],Dyno_Data[Match],TBA_Matches_All[[#This Row],[Match_Number]],Dyno_Data[RecordType],"Activities",Dyno_Data[DelOrig],"AllyW", Dyno_Data[DelMiss],"0")</f>
        <v>0</v>
      </c>
      <c r="BO151">
        <f>COUNTIFS(Dyno_Data[Team],TBA_Matches_All[[#This Row],[Team]],Dyno_Data[Match],TBA_Matches_All[[#This Row],[Match_Number]],Dyno_Data[RecordType],"Activities",Dyno_Data[DelOrig],"AllyW", Dyno_Data[DelMiss],"1")</f>
        <v>0</v>
      </c>
      <c r="BP151" s="60">
        <f>IFERROR(SUM((TBA_Matches_All[[#This Row],[AZflrT]])/(TBA_Matches_All[[#This Row],[AZflrT]]+TBA_Matches_All[[#This Row],[AZflrM]])),0)</f>
        <v>0</v>
      </c>
      <c r="BQ151">
        <f>COUNTIFS(Dyno_Data[Team],TBA_Matches_All[[#This Row],[Team]],Dyno_Data[Match],TBA_Matches_All[[#This Row],[Match_Number]],Dyno_Data[RecordType],"Activities",Dyno_Data[DelOrig],"SubW", Dyno_Data[DelMiss],"0")</f>
        <v>0</v>
      </c>
      <c r="BR151">
        <f>COUNTIFS(Dyno_Data[Team],TBA_Matches_All[[#This Row],[Team]],Dyno_Data[Match],TBA_Matches_All[[#This Row],[Match_Number]],Dyno_Data[RecordType],"Activities",Dyno_Data[DelOrig],"SubW", Dyno_Data[DelMiss],"1")</f>
        <v>0</v>
      </c>
      <c r="BS151" s="60">
        <f>IFERROR(SUM((TBA_Matches_All[[#This Row],[SubwT]])/(TBA_Matches_All[[#This Row],[SubwT]]+TBA_Matches_All[[#This Row],[SubwM]])),0)</f>
        <v>0</v>
      </c>
      <c r="BT151">
        <f>COUNTIFS(Dyno_Data[Team],TBA_Matches_All[[#This Row],[Team]],Dyno_Data[Match],TBA_Matches_All[[#This Row],[Match_Number]],Dyno_Data[RecordType],"Activities", Dyno_Data[AcqLoc],"OppWing")</f>
        <v>0</v>
      </c>
      <c r="BU151">
        <f>COUNTIFS(Dyno_Data[Team],TBA_Matches_All[[#This Row],[Team]],Dyno_Data[Match],TBA_Matches_All[[#This Row],[Match_Number]],Dyno_Data[RecordType],"Activities", Dyno_Data[AcqLoc],"Neutral")</f>
        <v>0</v>
      </c>
      <c r="BV151">
        <f>COUNTIFS(Dyno_Data[Team],TBA_Matches_All[[#This Row],[Team]],Dyno_Data[Match],TBA_Matches_All[[#This Row],[Match_Number]],Dyno_Data[RecordType],"Activities", Dyno_Data[AcqLoc],"AllyWing")</f>
        <v>0</v>
      </c>
      <c r="BW151">
        <f>COUNTIFS(Dyno_Data[Team],TBA_Matches_All[[#This Row],[Team]],Dyno_Data[Match],TBA_Matches_All[[#This Row],[Match_Number]],Dyno_Data[RecordType],"Activities", Dyno_Data[AcqLoc],"Source")</f>
        <v>0</v>
      </c>
      <c r="BX151">
        <f>SUMIFS(Dyno_Data[AcqDrp], Dyno_Data[Team],TBA_Matches_All[[#This Row],[Team]],Dyno_Data[Match],TBA_Matches_All[[#This Row],[Match_Number]],Dyno_Data[RecordType],"Activities", Dyno_Data[AcqLoc],"Source")</f>
        <v>0</v>
      </c>
      <c r="BY151">
        <f>SUMIFS(Dyno_Data[OZTime], Dyno_Data[Team],TBA_Matches_All[[#This Row],[Team]],Dyno_Data[Match],TBA_Matches_All[[#This Row],[Match_Number]],Dyno_Data[RecordType],"EndMatch")</f>
        <v>0</v>
      </c>
      <c r="BZ151">
        <f>SUMIFS(Dyno_Data[NZTime], Dyno_Data[Team],TBA_Matches_All[[#This Row],[Team]],Dyno_Data[Match],TBA_Matches_All[[#This Row],[Match_Number]],Dyno_Data[RecordType],"EndMatch")</f>
        <v>0</v>
      </c>
      <c r="CA151">
        <f>SUMIFS(Dyno_Data[AZTime], Dyno_Data[Team],TBA_Matches_All[[#This Row],[Team]],Dyno_Data[Match],TBA_Matches_All[[#This Row],[Match_Number]],Dyno_Data[RecordType],"EndMatch")</f>
        <v>0</v>
      </c>
      <c r="CB151">
        <f>SUMIFS(Dyno_Data[ClimbT], Dyno_Data[Team],TBA_Matches_All[[#This Row],[Team]],Dyno_Data[Match],TBA_Matches_All[[#This Row],[Match_Number]],Dyno_Data[RecordType],"EndMatch")</f>
        <v>0</v>
      </c>
      <c r="CC151" t="str">
        <f>_xlfn.XLOOKUP(SUM(MID(TBA_Matches_All[[#This Row],[Team]],4,5),(TBA_Matches_All[[#This Row],[Match_Number]]/100)),Dyno_EndMatch[teammat],Dyno_EndMatch[StageStat],"_",0,1)</f>
        <v>_</v>
      </c>
      <c r="CD151" t="str">
        <f>_xlfn.XLOOKUP(TBA_Matches_All[[#This Row],[teammat]],Dyno_EndMatch[teammat],Dyno_EndMatch[StageAtt],"_",0,1)</f>
        <v>_</v>
      </c>
      <c r="CE151" t="str">
        <f>_xlfn.XLOOKUP(TBA_Matches_All[[#This Row],[teammat]],Dyno_EndMatch[teammat],Dyno_EndMatch[StageLoc],"_",0,1)</f>
        <v>_</v>
      </c>
      <c r="CF151">
        <f>SUMIFS(Dyno_Data[Harmony], Dyno_Data[Team],TBA_Matches_All[[#This Row],[Team]],Dyno_Data[Match],TBA_Matches_All[[#This Row],[Match_Number]],Dyno_Data[RecordType],"EndMatch", Dyno_Data[StageStat],"On",Dyno_Data[Harmony],"&lt;&gt;9")</f>
        <v>0</v>
      </c>
      <c r="CG151">
        <f>SUMIFS(Dyno_Data[Spotlit], Dyno_Data[Team],TBA_Matches_All[[#This Row],[Team]],Dyno_Data[Match],TBA_Matches_All[[#This Row],[Match_Number]],Dyno_Data[RecordType],"EndMatch", Dyno_Data[StageStat],"On",Dyno_Data[Spotlit],"&lt;&gt;9")</f>
        <v>0</v>
      </c>
      <c r="CH151" t="str">
        <f>_xlfn.XLOOKUP(TBA_Matches_All[[#This Row],[teammat]],Dyno_EndMatch[teammat],Dyno_EndMatch[Strategy],"_",0,1)</f>
        <v>_</v>
      </c>
      <c r="CI151">
        <f>SUMIFS(Dyno_Data[Defense], Dyno_Data[Team],TBA_Matches_All[[#This Row],[Team]],Dyno_Data[Match],TBA_Matches_All[[#This Row],[Match_Number]],Dyno_Data[RecordType],"EndMatch",Dyno_Data[Defense],"&lt;&gt;9")</f>
        <v>0</v>
      </c>
      <c r="CJ151">
        <f>SUMIFS(Dyno_Data[Avoidance], Dyno_Data[Team],TBA_Matches_All[[#This Row],[Team]],Dyno_Data[Match],TBA_Matches_All[[#This Row],[Match_Number]],Dyno_Data[RecordType],"EndMatch",Dyno_Data[Avoidance],"&lt;&gt;9")</f>
        <v>0</v>
      </c>
      <c r="CK151" s="82">
        <f>COUNTIF($H$2:TBA_Matches_All[[#This Row],[Team]],TBA_Matches_All[[#This Row],[Team]])</f>
        <v>3</v>
      </c>
      <c r="CL151" s="111">
        <f>SUM(MID(TBA_Matches_All[[#This Row],[Team]],4,5)+TBA_Matches_All[[#This Row],[Match_Number]]/100)</f>
        <v>6300.25</v>
      </c>
      <c r="CM151">
        <f>SUM((TBA_Matches_All[[#This Row],[Leave]]*2)+(TBA_Matches_All[[#This Row],[AampT]]*2)+(TBA_Matches_All[[#This Row],[AspkrT]]*5)+(TBA_Matches_All[[#This Row],[AtrapT]]*5))</f>
        <v>0</v>
      </c>
      <c r="CN151" s="59">
        <f>IFERROR(SUM(TBA_Matches_All[[#This Row],[AptsT]]/TBA_Matches_All[[#This Row],[AutoPts]]),0)</f>
        <v>0</v>
      </c>
      <c r="CO151" s="59">
        <f>IFERROR(SUM(TBA_Matches_All[[#This Row],[AampT]]+TBA_Matches_All[[#This Row],[AspkrT]]+TBA_Matches_All[[#This Row],[AtrapT]]/TBA_Matches_All[[#This Row],[Aamp]]+TBA_Matches_All[[#This Row],[Aspkr]]+TBA_Matches_All[[#This Row],[AtrapT]]),0)</f>
        <v>0</v>
      </c>
      <c r="CP151" s="59">
        <f>IFERROR(SUM(TBA_Matches_All[[#This Row],[TampT]]/TBA_Matches_All[[#This Row],[Tamp]]),0)</f>
        <v>0</v>
      </c>
      <c r="CQ151" s="59">
        <f>IFERROR(SUM(TBA_Matches_All[[#This Row],[TspkrT]]/TBA_Matches_All[[#This Row],[Tspkr]]),0)</f>
        <v>0</v>
      </c>
      <c r="CR151">
        <f>SUM(TBA_Matches_All[[#This Row],[TspkrPts]]*TBA_Matches_All[[#This Row],[TspkrP]])</f>
        <v>0</v>
      </c>
      <c r="CS151" s="59">
        <f>IFERROR(SUM(TBA_Matches_All[[#This Row],[TtrapT]]/TBA_Matches_All[[#This Row],[Trap]]),0)</f>
        <v>0</v>
      </c>
      <c r="CT151" s="59">
        <f>IFERROR(SUM(TBA_Matches_All[[#This Row],[TotNotesT]]/TBA_Matches_All[[#This Row],[TotNotes]]),0)</f>
        <v>0</v>
      </c>
      <c r="CU151" s="66">
        <f>SUM((TBA_Matches_All[[#This Row],[AampT]]*2)+(TBA_Matches_All[[#This Row],[AspkrT]]*5)+(TBA_Matches_All[[#This Row],[AtrapT]]*5)+(TBA_Matches_All[[#This Row],[TampT]]*1)+(TBA_Matches_All[[#This Row],[TspkrptsC]]))</f>
        <v>0</v>
      </c>
      <c r="CV151" s="59">
        <f>IFERROR(TBA_Matches_All[[#This Row],[noteptsT]]/TBA_Matches_All[[#This Row],[NotePts]],0)</f>
        <v>0</v>
      </c>
      <c r="CW151">
        <f>SUM(IF(TBA_Matches_All[[#This Row],[stageStat]]="On",3,0),IF(TBA_Matches_All[[#This Row],[stageStat]]="Park",1,0),SUMIFS(TBA_Matches_All[[#This Row],[Spotlit]],TBA_Matches_All[[#This Row],[stageStat]],"On"),SUMIFS(TBA_Matches_All[[#This Row],[Harmony]],TBA_Matches_All[[#This Row],[stageStat]],"On"))</f>
        <v>0</v>
      </c>
      <c r="CX151" s="59">
        <f>IFERROR(TBA_Matches_All[[#This Row],[stageptsT]]/TBA_Matches_All[[#This Row],[StagePts]],0)</f>
        <v>0</v>
      </c>
      <c r="CY151">
        <f>SUM((TBA_Matches_All[[#This Row],[AptsT]]+TBA_Matches_All[[#This Row],[TampT]]+TBA_Matches_All[[#This Row],[TspkrptsC]]+(TBA_Matches_All[[#This Row],[TtrapT]]*5)+TBA_Matches_All[[#This Row],[stageptsT]]))</f>
        <v>0</v>
      </c>
      <c r="CZ151" s="59">
        <f>IFERROR(SUM(TBA_Matches_All[[#This Row],[TotptsC]]/TBA_Matches_All[[#This Row],[Score]]),0)</f>
        <v>0</v>
      </c>
      <c r="DA15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16.887518037518038</v>
      </c>
      <c r="DB151" s="74">
        <f>SUMIFS(TBA_Matches_All[AveTeamTNoteDels],TBA_Matches_All[Match_Number],TBA_Matches_All[[#This Row],[Match_Number]],TBA_Matches_All[Alliance],"&lt;&gt;"&amp;TBA_Matches_All[[#This Row],[Alliance]],TBA_Matches_All[Scouted],"&gt;0")</f>
        <v>0</v>
      </c>
      <c r="DC151" s="74">
        <f>(TBA_Matches_All[[#This Row],[TampT]]+TBA_Matches_All[[#This Row],[TspkrptsC]])-TBA_Matches_All[[#This Row],[AveTeamTNoteDels]]</f>
        <v>-16.887518037518038</v>
      </c>
      <c r="DD151" s="74">
        <f>SUMIFS(TBA_Matches_All[AveTeamTNoteDels],TBA_Matches_All[Match_Number],TBA_Matches_All[[#This Row],[Match_Number]],TBA_Matches_All[Alliance],"&lt;&gt;"&amp;TBA_Matches_All[[#This Row],[Alliance]])-TBA_Matches_All[[#This Row],[AveOppTNoteDels]]</f>
        <v>15.750209790209789</v>
      </c>
    </row>
    <row r="152" spans="1:108" x14ac:dyDescent="0.3">
      <c r="A152" t="s">
        <v>1042</v>
      </c>
      <c r="B152" t="s">
        <v>489</v>
      </c>
      <c r="C152" t="s">
        <v>1334</v>
      </c>
      <c r="D152">
        <v>25</v>
      </c>
      <c r="E152" t="s">
        <v>1406</v>
      </c>
      <c r="F152" t="s">
        <v>1426</v>
      </c>
      <c r="G152" t="s">
        <v>164</v>
      </c>
      <c r="H152" t="s">
        <v>1296</v>
      </c>
      <c r="I152" t="b">
        <v>1</v>
      </c>
      <c r="J152">
        <v>53</v>
      </c>
      <c r="K152">
        <v>1</v>
      </c>
      <c r="L152">
        <v>0</v>
      </c>
      <c r="M152">
        <v>7</v>
      </c>
      <c r="N152">
        <v>0</v>
      </c>
      <c r="O152">
        <v>2</v>
      </c>
      <c r="P152">
        <v>10</v>
      </c>
      <c r="Q152">
        <v>12</v>
      </c>
      <c r="R152">
        <v>3</v>
      </c>
      <c r="S152">
        <v>2</v>
      </c>
      <c r="T152">
        <v>8</v>
      </c>
      <c r="U152">
        <v>10</v>
      </c>
      <c r="V152">
        <v>16</v>
      </c>
      <c r="W152">
        <v>10</v>
      </c>
      <c r="X152">
        <v>26</v>
      </c>
      <c r="Y152">
        <v>29</v>
      </c>
      <c r="Z152">
        <v>0</v>
      </c>
      <c r="AA152">
        <v>0</v>
      </c>
      <c r="AB152">
        <v>15</v>
      </c>
      <c r="AC152">
        <v>39</v>
      </c>
      <c r="AD152">
        <v>2</v>
      </c>
      <c r="AE152">
        <f>IFERROR(6/(COUNTIF(Dyno_EndMatch[Match],TBA_Matches_All[[#This Row],[Match_Number]])),0)</f>
        <v>0</v>
      </c>
      <c r="AF152">
        <f>COUNTIFS(Dyno_Data[Team],TBA_Matches_All[[#This Row],[Team]],Dyno_Data[Match],TBA_Matches_All[[#This Row],[Match_Number]],Dyno_Data[RecordType],"EndMatch",Dyno_Data[HPAmp],"Y")</f>
        <v>0</v>
      </c>
      <c r="AG152">
        <f>SUMIFS(Dyno_Data[Mics], Dyno_Data[Team],TBA_Matches_All[[#This Row],[Team]],Dyno_Data[Match],TBA_Matches_All[[#This Row],[Match_Number]],Dyno_Data[RecordType],"EndMatch",Dyno_Data[HPAmp],"Y")</f>
        <v>0</v>
      </c>
      <c r="AH152">
        <f>SUMIFS(Dyno_Data[Leave], Dyno_Data[Team],TBA_Matches_All[[#This Row],[Team]],Dyno_Data[Match],TBA_Matches_All[[#This Row],[Match_Number]],Dyno_Data[RecordType],"EndAuto")</f>
        <v>0</v>
      </c>
      <c r="AI152">
        <f>COUNTIFS(Dyno_Data[Team],TBA_Matches_All[[#This Row],[Team]],Dyno_Data[Match],TBA_Matches_All[[#This Row],[Match_Number]],Dyno_Data[RecordType],"Activities",Dyno_Data[DelDest],"Amp", Dyno_Data[DelMiss],"0", Dyno_Data[Mode],"Auto")</f>
        <v>0</v>
      </c>
      <c r="AJ152">
        <f>COUNTIFS(Dyno_Data[Team],TBA_Matches_All[[#This Row],[Team]],Dyno_Data[Match],TBA_Matches_All[[#This Row],[Match_Number]],Dyno_Data[RecordType],"Activities",Dyno_Data[DelDest],"Spkr", Dyno_Data[DelMiss],"0", Dyno_Data[Mode],"Auto")</f>
        <v>0</v>
      </c>
      <c r="AK152">
        <f>COUNTIFS(Dyno_Data[Team],TBA_Matches_All[[#This Row],[Team]],Dyno_Data[Match],TBA_Matches_All[[#This Row],[Match_Number]],Dyno_Data[RecordType],"Activities",Dyno_Data[DelDest],"Trap", Dyno_Data[DelMiss],"0", Dyno_Data[Mode],"Auto")</f>
        <v>0</v>
      </c>
      <c r="AL152">
        <f>COUNTIFS(Dyno_Data[Team],TBA_Matches_All[[#This Row],[Team]],Dyno_Data[Match],TBA_Matches_All[[#This Row],[Match_Number]],Dyno_Data[RecordType],"Activities",Dyno_Data[DelDest],"Amp", Dyno_Data[DelMiss],"0", Dyno_Data[Mode],"Teleop")</f>
        <v>0</v>
      </c>
      <c r="AM152">
        <f>COUNTIFS(Dyno_Data[Team],TBA_Matches_All[[#This Row],[Team]],Dyno_Data[Match],TBA_Matches_All[[#This Row],[Match_Number]],Dyno_Data[RecordType],"Activities",Dyno_Data[DelDest],"Spkr", Dyno_Data[DelMiss],"0", Dyno_Data[Mode],"Teleop")</f>
        <v>0</v>
      </c>
      <c r="AN152">
        <f>COUNTIFS(Dyno_Data[Team],TBA_Matches_All[[#This Row],[Team]],Dyno_Data[Match],TBA_Matches_All[[#This Row],[Match_Number]],Dyno_Data[RecordType],"Activities",Dyno_Data[DelDest],"Trap", Dyno_Data[DelMiss],"0", Dyno_Data[Mode],"&lt;&gt;Auto")</f>
        <v>0</v>
      </c>
      <c r="AO152">
        <f>SUM(TBA_Matches_All[[#This Row],[AampT]]+TBA_Matches_All[[#This Row],[AspkrT]]+TBA_Matches_All[[#This Row],[AtrapT]]+TBA_Matches_All[[#This Row],[TampT]]+TBA_Matches_All[[#This Row],[TspkrT]]+TBA_Matches_All[[#This Row],[TtrapT]])</f>
        <v>0</v>
      </c>
      <c r="AP152">
        <f>COUNTIFS(Dyno_Data[Team],TBA_Matches_All[[#This Row],[Team]],Dyno_Data[Match],TBA_Matches_All[[#This Row],[Match_Number]],Dyno_Data[RecordType],"Activities",Dyno_Data[DelDest],"Neut", Dyno_Data[DelMiss],"0")</f>
        <v>0</v>
      </c>
      <c r="AQ152">
        <f>COUNTIFS(Dyno_Data[Team],TBA_Matches_All[[#This Row],[Team]],Dyno_Data[Match],TBA_Matches_All[[#This Row],[Match_Number]],Dyno_Data[RecordType],"Activities",Dyno_Data[DelDest],"AllyW", Dyno_Data[DelMiss],"0")</f>
        <v>0</v>
      </c>
      <c r="AR152" t="str">
        <f>_xlfn.XLOOKUP(SUM(MID(TBA_Matches_All[[#This Row],[Team]],4,5),(TBA_Matches_All[[#This Row],[Match_Number]]/100)),Dyno_EndMatch[teammat],Dyno_EndMatch[RobotSta],"_",0,1)</f>
        <v>_</v>
      </c>
      <c r="AS152">
        <f>SUMIFS(Dyno_Data[AcqDis], Dyno_Data[Team],TBA_Matches_All[[#This Row],[Team]],Dyno_Data[Match],TBA_Matches_All[[#This Row],[Match_Number]],Dyno_Data[RecordType],"Activities", Dyno_Data[AcqCenter],1,Dyno_Data[Mode],"Auto")</f>
        <v>0</v>
      </c>
      <c r="AT152">
        <f>SUMIFS(Dyno_Data[AcqDis], Dyno_Data[Team],TBA_Matches_All[[#This Row],[Team]],Dyno_Data[Match],TBA_Matches_All[[#This Row],[Match_Number]],Dyno_Data[RecordType],"Activities", Dyno_Data[AcqCenter],2,Dyno_Data[Mode],"Auto")</f>
        <v>0</v>
      </c>
      <c r="AU152">
        <f>SUMIFS(Dyno_Data[AcqDis], Dyno_Data[Team],TBA_Matches_All[[#This Row],[Team]],Dyno_Data[Match],TBA_Matches_All[[#This Row],[Match_Number]],Dyno_Data[RecordType],"Activities", Dyno_Data[AcqCenter],3,Dyno_Data[Mode],"Auto")</f>
        <v>0</v>
      </c>
      <c r="AV152">
        <f>SUMIFS(Dyno_Data[AcqDis], Dyno_Data[Team],TBA_Matches_All[[#This Row],[Team]],Dyno_Data[Match],TBA_Matches_All[[#This Row],[Match_Number]],Dyno_Data[RecordType],"Activities", Dyno_Data[AcqCenter],4,Dyno_Data[Mode],"Auto")</f>
        <v>0</v>
      </c>
      <c r="AW152">
        <f>SUMIFS(Dyno_Data[AcqDis], Dyno_Data[Team],TBA_Matches_All[[#This Row],[Team]],Dyno_Data[Match],TBA_Matches_All[[#This Row],[Match_Number]],Dyno_Data[RecordType],"Activities", Dyno_Data[AcqCenter],5,Dyno_Data[Mode],"Auto")</f>
        <v>0</v>
      </c>
      <c r="AX152">
        <f>SUMIFS(Dyno_Data[DelMiss], Dyno_Data[Team],TBA_Matches_All[[#This Row],[Team]],Dyno_Data[Match],TBA_Matches_All[[#This Row],[Match_Number]],Dyno_Data[RecordType],"Activities", Dyno_Data[DelDest],"Amp")</f>
        <v>0</v>
      </c>
      <c r="AY152" s="60">
        <f>IFERROR(SUM((TBA_Matches_All[[#This Row],[AampT]]+TBA_Matches_All[[#This Row],[TampT]])/(TBA_Matches_All[[#This Row],[AampT]]+TBA_Matches_All[[#This Row],[TampT]]+TBA_Matches_All[[#This Row],[ampM]])),0)</f>
        <v>0</v>
      </c>
      <c r="AZ152">
        <f>SUMIFS(Dyno_Data[DelMiss], Dyno_Data[Team],TBA_Matches_All[[#This Row],[Team]],Dyno_Data[Match],TBA_Matches_All[[#This Row],[Match_Number]],Dyno_Data[RecordType],"Activities", Dyno_Data[DelDest],"Spkr")</f>
        <v>0</v>
      </c>
      <c r="BA152" s="60">
        <f>IFERROR(SUM((TBA_Matches_All[[#This Row],[AspkrT]]+TBA_Matches_All[[#This Row],[TspkrT]])/(TBA_Matches_All[[#This Row],[AspkrT]]+TBA_Matches_All[[#This Row],[TspkrT]]+TBA_Matches_All[[#This Row],[spkrM]])),0)</f>
        <v>0</v>
      </c>
      <c r="BB152">
        <f>SUMIFS(Dyno_Data[DelMiss], Dyno_Data[Team],TBA_Matches_All[[#This Row],[Team]],Dyno_Data[Match],TBA_Matches_All[[#This Row],[Match_Number]],Dyno_Data[RecordType],"Activities", Dyno_Data[DelDest],"Trap")</f>
        <v>0</v>
      </c>
      <c r="BC152" s="60">
        <f>IFERROR((TBA_Matches_All[[#This Row],[AtrapT]]+TBA_Matches_All[[#This Row],[TtrapT]])/(TBA_Matches_All[[#This Row],[AtrapT]]+TBA_Matches_All[[#This Row],[TtrapT]]+TBA_Matches_All[[#This Row],[trapM]]),0)</f>
        <v>0</v>
      </c>
      <c r="BD152">
        <f>COUNTIFS(Dyno_Data[Team],TBA_Matches_All[[#This Row],[Team]],Dyno_Data[Match],TBA_Matches_All[[#This Row],[Match_Number]],Dyno_Data[RecordType],"Activities",Dyno_Data[DelDest],"Neut", Dyno_Data[DelMiss],1)</f>
        <v>0</v>
      </c>
      <c r="BE152" s="60">
        <f>IFERROR(SUM((TBA_Matches_All[[#This Row],[NeutFlrT]])/(TBA_Matches_All[[#This Row],[NeutFlrT]]+TBA_Matches_All[[#This Row],[NZflM]])),0)</f>
        <v>0</v>
      </c>
      <c r="BF152">
        <f>COUNTIFS(Dyno_Data[Team],TBA_Matches_All[[#This Row],[Team]],Dyno_Data[Match],TBA_Matches_All[[#This Row],[Match_Number]],Dyno_Data[RecordType],"Activities",Dyno_Data[DelDest],"AllyW", Dyno_Data[DelMiss],1)</f>
        <v>0</v>
      </c>
      <c r="BG152" s="60">
        <f>IFERROR(SUM((TBA_Matches_All[[#This Row],[AllyWFlrT]])/(TBA_Matches_All[[#This Row],[AllyWFlrT]]+TBA_Matches_All[[#This Row],[AZflM]])),0)</f>
        <v>0</v>
      </c>
      <c r="BH152">
        <f>COUNTIFS(Dyno_Data[Team],TBA_Matches_All[[#This Row],[Team]],Dyno_Data[Match],TBA_Matches_All[[#This Row],[Match_Number]],Dyno_Data[RecordType],"Activities",Dyno_Data[DelOrig],"OppW", Dyno_Data[DelMiss],"0")</f>
        <v>0</v>
      </c>
      <c r="BI152">
        <f>COUNTIFS(Dyno_Data[Team],TBA_Matches_All[[#This Row],[Team]],Dyno_Data[Match],TBA_Matches_All[[#This Row],[Match_Number]],Dyno_Data[RecordType],"Activities",Dyno_Data[DelOrig],"OppW", Dyno_Data[DelMiss],"1")</f>
        <v>0</v>
      </c>
      <c r="BJ152" s="60">
        <f>IFERROR(SUM((TBA_Matches_All[[#This Row],[OZflrT]])/(TBA_Matches_All[[#This Row],[OZflrT]]+TBA_Matches_All[[#This Row],[OZflrM]])),0)</f>
        <v>0</v>
      </c>
      <c r="BK152">
        <f>COUNTIFS(Dyno_Data[Team],TBA_Matches_All[[#This Row],[Team]],Dyno_Data[Match],TBA_Matches_All[[#This Row],[Match_Number]],Dyno_Data[RecordType],"Activities",Dyno_Data[DelOrig],"Neut", Dyno_Data[DelMiss],"0")</f>
        <v>0</v>
      </c>
      <c r="BL152">
        <f>COUNTIFS(Dyno_Data[Team],TBA_Matches_All[[#This Row],[Team]],Dyno_Data[Match],TBA_Matches_All[[#This Row],[Match_Number]],Dyno_Data[RecordType],"Activities",Dyno_Data[DelOrig],"Neut", Dyno_Data[DelMiss],"1")</f>
        <v>0</v>
      </c>
      <c r="BM152" s="60">
        <f>IFERROR(SUM((TBA_Matches_All[[#This Row],[NZflrT]])/(TBA_Matches_All[[#This Row],[NZflrT]]+TBA_Matches_All[[#This Row],[NZflrM]])),0)</f>
        <v>0</v>
      </c>
      <c r="BN152">
        <f>COUNTIFS(Dyno_Data[Team],TBA_Matches_All[[#This Row],[Team]],Dyno_Data[Match],TBA_Matches_All[[#This Row],[Match_Number]],Dyno_Data[RecordType],"Activities",Dyno_Data[DelOrig],"AllyW", Dyno_Data[DelMiss],"0")</f>
        <v>0</v>
      </c>
      <c r="BO152">
        <f>COUNTIFS(Dyno_Data[Team],TBA_Matches_All[[#This Row],[Team]],Dyno_Data[Match],TBA_Matches_All[[#This Row],[Match_Number]],Dyno_Data[RecordType],"Activities",Dyno_Data[DelOrig],"AllyW", Dyno_Data[DelMiss],"1")</f>
        <v>0</v>
      </c>
      <c r="BP152" s="60">
        <f>IFERROR(SUM((TBA_Matches_All[[#This Row],[AZflrT]])/(TBA_Matches_All[[#This Row],[AZflrT]]+TBA_Matches_All[[#This Row],[AZflrM]])),0)</f>
        <v>0</v>
      </c>
      <c r="BQ152">
        <f>COUNTIFS(Dyno_Data[Team],TBA_Matches_All[[#This Row],[Team]],Dyno_Data[Match],TBA_Matches_All[[#This Row],[Match_Number]],Dyno_Data[RecordType],"Activities",Dyno_Data[DelOrig],"SubW", Dyno_Data[DelMiss],"0")</f>
        <v>0</v>
      </c>
      <c r="BR152">
        <f>COUNTIFS(Dyno_Data[Team],TBA_Matches_All[[#This Row],[Team]],Dyno_Data[Match],TBA_Matches_All[[#This Row],[Match_Number]],Dyno_Data[RecordType],"Activities",Dyno_Data[DelOrig],"SubW", Dyno_Data[DelMiss],"1")</f>
        <v>0</v>
      </c>
      <c r="BS152" s="60">
        <f>IFERROR(SUM((TBA_Matches_All[[#This Row],[SubwT]])/(TBA_Matches_All[[#This Row],[SubwT]]+TBA_Matches_All[[#This Row],[SubwM]])),0)</f>
        <v>0</v>
      </c>
      <c r="BT152">
        <f>COUNTIFS(Dyno_Data[Team],TBA_Matches_All[[#This Row],[Team]],Dyno_Data[Match],TBA_Matches_All[[#This Row],[Match_Number]],Dyno_Data[RecordType],"Activities", Dyno_Data[AcqLoc],"OppWing")</f>
        <v>0</v>
      </c>
      <c r="BU152">
        <f>COUNTIFS(Dyno_Data[Team],TBA_Matches_All[[#This Row],[Team]],Dyno_Data[Match],TBA_Matches_All[[#This Row],[Match_Number]],Dyno_Data[RecordType],"Activities", Dyno_Data[AcqLoc],"Neutral")</f>
        <v>0</v>
      </c>
      <c r="BV152">
        <f>COUNTIFS(Dyno_Data[Team],TBA_Matches_All[[#This Row],[Team]],Dyno_Data[Match],TBA_Matches_All[[#This Row],[Match_Number]],Dyno_Data[RecordType],"Activities", Dyno_Data[AcqLoc],"AllyWing")</f>
        <v>0</v>
      </c>
      <c r="BW152">
        <f>COUNTIFS(Dyno_Data[Team],TBA_Matches_All[[#This Row],[Team]],Dyno_Data[Match],TBA_Matches_All[[#This Row],[Match_Number]],Dyno_Data[RecordType],"Activities", Dyno_Data[AcqLoc],"Source")</f>
        <v>0</v>
      </c>
      <c r="BX152">
        <f>SUMIFS(Dyno_Data[AcqDrp], Dyno_Data[Team],TBA_Matches_All[[#This Row],[Team]],Dyno_Data[Match],TBA_Matches_All[[#This Row],[Match_Number]],Dyno_Data[RecordType],"Activities", Dyno_Data[AcqLoc],"Source")</f>
        <v>0</v>
      </c>
      <c r="BY152">
        <f>SUMIFS(Dyno_Data[OZTime], Dyno_Data[Team],TBA_Matches_All[[#This Row],[Team]],Dyno_Data[Match],TBA_Matches_All[[#This Row],[Match_Number]],Dyno_Data[RecordType],"EndMatch")</f>
        <v>0</v>
      </c>
      <c r="BZ152">
        <f>SUMIFS(Dyno_Data[NZTime], Dyno_Data[Team],TBA_Matches_All[[#This Row],[Team]],Dyno_Data[Match],TBA_Matches_All[[#This Row],[Match_Number]],Dyno_Data[RecordType],"EndMatch")</f>
        <v>0</v>
      </c>
      <c r="CA152">
        <f>SUMIFS(Dyno_Data[AZTime], Dyno_Data[Team],TBA_Matches_All[[#This Row],[Team]],Dyno_Data[Match],TBA_Matches_All[[#This Row],[Match_Number]],Dyno_Data[RecordType],"EndMatch")</f>
        <v>0</v>
      </c>
      <c r="CB152">
        <f>SUMIFS(Dyno_Data[ClimbT], Dyno_Data[Team],TBA_Matches_All[[#This Row],[Team]],Dyno_Data[Match],TBA_Matches_All[[#This Row],[Match_Number]],Dyno_Data[RecordType],"EndMatch")</f>
        <v>0</v>
      </c>
      <c r="CC152" t="str">
        <f>_xlfn.XLOOKUP(SUM(MID(TBA_Matches_All[[#This Row],[Team]],4,5),(TBA_Matches_All[[#This Row],[Match_Number]]/100)),Dyno_EndMatch[teammat],Dyno_EndMatch[StageStat],"_",0,1)</f>
        <v>_</v>
      </c>
      <c r="CD152" t="str">
        <f>_xlfn.XLOOKUP(TBA_Matches_All[[#This Row],[teammat]],Dyno_EndMatch[teammat],Dyno_EndMatch[StageAtt],"_",0,1)</f>
        <v>_</v>
      </c>
      <c r="CE152" t="str">
        <f>_xlfn.XLOOKUP(TBA_Matches_All[[#This Row],[teammat]],Dyno_EndMatch[teammat],Dyno_EndMatch[StageLoc],"_",0,1)</f>
        <v>_</v>
      </c>
      <c r="CF152">
        <f>SUMIFS(Dyno_Data[Harmony], Dyno_Data[Team],TBA_Matches_All[[#This Row],[Team]],Dyno_Data[Match],TBA_Matches_All[[#This Row],[Match_Number]],Dyno_Data[RecordType],"EndMatch", Dyno_Data[StageStat],"On",Dyno_Data[Harmony],"&lt;&gt;9")</f>
        <v>0</v>
      </c>
      <c r="CG152">
        <f>SUMIFS(Dyno_Data[Spotlit], Dyno_Data[Team],TBA_Matches_All[[#This Row],[Team]],Dyno_Data[Match],TBA_Matches_All[[#This Row],[Match_Number]],Dyno_Data[RecordType],"EndMatch", Dyno_Data[StageStat],"On",Dyno_Data[Spotlit],"&lt;&gt;9")</f>
        <v>0</v>
      </c>
      <c r="CH152" t="str">
        <f>_xlfn.XLOOKUP(TBA_Matches_All[[#This Row],[teammat]],Dyno_EndMatch[teammat],Dyno_EndMatch[Strategy],"_",0,1)</f>
        <v>_</v>
      </c>
      <c r="CI152">
        <f>SUMIFS(Dyno_Data[Defense], Dyno_Data[Team],TBA_Matches_All[[#This Row],[Team]],Dyno_Data[Match],TBA_Matches_All[[#This Row],[Match_Number]],Dyno_Data[RecordType],"EndMatch",Dyno_Data[Defense],"&lt;&gt;9")</f>
        <v>0</v>
      </c>
      <c r="CJ152">
        <f>SUMIFS(Dyno_Data[Avoidance], Dyno_Data[Team],TBA_Matches_All[[#This Row],[Team]],Dyno_Data[Match],TBA_Matches_All[[#This Row],[Match_Number]],Dyno_Data[RecordType],"EndMatch",Dyno_Data[Avoidance],"&lt;&gt;9")</f>
        <v>0</v>
      </c>
      <c r="CK152" s="82">
        <f>COUNTIF($H$2:TBA_Matches_All[[#This Row],[Team]],TBA_Matches_All[[#This Row],[Team]])</f>
        <v>3</v>
      </c>
      <c r="CL152" s="111">
        <f>SUM(MID(TBA_Matches_All[[#This Row],[Team]],4,5)+TBA_Matches_All[[#This Row],[Match_Number]]/100)</f>
        <v>3003.25</v>
      </c>
      <c r="CM152">
        <f>SUM((TBA_Matches_All[[#This Row],[Leave]]*2)+(TBA_Matches_All[[#This Row],[AampT]]*2)+(TBA_Matches_All[[#This Row],[AspkrT]]*5)+(TBA_Matches_All[[#This Row],[AtrapT]]*5))</f>
        <v>0</v>
      </c>
      <c r="CN152" s="59">
        <f>IFERROR(SUM(TBA_Matches_All[[#This Row],[AptsT]]/TBA_Matches_All[[#This Row],[AutoPts]]),0)</f>
        <v>0</v>
      </c>
      <c r="CO152" s="59">
        <f>IFERROR(SUM(TBA_Matches_All[[#This Row],[AampT]]+TBA_Matches_All[[#This Row],[AspkrT]]+TBA_Matches_All[[#This Row],[AtrapT]]/TBA_Matches_All[[#This Row],[Aamp]]+TBA_Matches_All[[#This Row],[Aspkr]]+TBA_Matches_All[[#This Row],[AtrapT]]),0)</f>
        <v>0</v>
      </c>
      <c r="CP152" s="59">
        <f>IFERROR(SUM(TBA_Matches_All[[#This Row],[TampT]]/TBA_Matches_All[[#This Row],[Tamp]]),0)</f>
        <v>0</v>
      </c>
      <c r="CQ152" s="59">
        <f>IFERROR(SUM(TBA_Matches_All[[#This Row],[TspkrT]]/TBA_Matches_All[[#This Row],[Tspkr]]),0)</f>
        <v>0</v>
      </c>
      <c r="CR152">
        <f>SUM(TBA_Matches_All[[#This Row],[TspkrPts]]*TBA_Matches_All[[#This Row],[TspkrP]])</f>
        <v>0</v>
      </c>
      <c r="CS152" s="59">
        <f>IFERROR(SUM(TBA_Matches_All[[#This Row],[TtrapT]]/TBA_Matches_All[[#This Row],[Trap]]),0)</f>
        <v>0</v>
      </c>
      <c r="CT152" s="59">
        <f>IFERROR(SUM(TBA_Matches_All[[#This Row],[TotNotesT]]/TBA_Matches_All[[#This Row],[TotNotes]]),0)</f>
        <v>0</v>
      </c>
      <c r="CU152" s="66">
        <f>SUM((TBA_Matches_All[[#This Row],[AampT]]*2)+(TBA_Matches_All[[#This Row],[AspkrT]]*5)+(TBA_Matches_All[[#This Row],[AtrapT]]*5)+(TBA_Matches_All[[#This Row],[TampT]]*1)+(TBA_Matches_All[[#This Row],[TspkrptsC]]))</f>
        <v>0</v>
      </c>
      <c r="CV152" s="59">
        <f>IFERROR(TBA_Matches_All[[#This Row],[noteptsT]]/TBA_Matches_All[[#This Row],[NotePts]],0)</f>
        <v>0</v>
      </c>
      <c r="CW152">
        <f>SUM(IF(TBA_Matches_All[[#This Row],[stageStat]]="On",3,0),IF(TBA_Matches_All[[#This Row],[stageStat]]="Park",1,0),SUMIFS(TBA_Matches_All[[#This Row],[Spotlit]],TBA_Matches_All[[#This Row],[stageStat]],"On"),SUMIFS(TBA_Matches_All[[#This Row],[Harmony]],TBA_Matches_All[[#This Row],[stageStat]],"On"))</f>
        <v>0</v>
      </c>
      <c r="CX152" s="59">
        <f>IFERROR(TBA_Matches_All[[#This Row],[stageptsT]]/TBA_Matches_All[[#This Row],[StagePts]],0)</f>
        <v>0</v>
      </c>
      <c r="CY152">
        <f>SUM((TBA_Matches_All[[#This Row],[AptsT]]+TBA_Matches_All[[#This Row],[TampT]]+TBA_Matches_All[[#This Row],[TspkrptsC]]+(TBA_Matches_All[[#This Row],[TtrapT]]*5)+TBA_Matches_All[[#This Row],[stageptsT]]))</f>
        <v>0</v>
      </c>
      <c r="CZ152" s="59">
        <f>IFERROR(SUM(TBA_Matches_All[[#This Row],[TotptsC]]/TBA_Matches_All[[#This Row],[Score]]),0)</f>
        <v>0</v>
      </c>
      <c r="DA15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10.236363636363635</v>
      </c>
      <c r="DB152" s="74">
        <f>SUMIFS(TBA_Matches_All[AveTeamTNoteDels],TBA_Matches_All[Match_Number],TBA_Matches_All[[#This Row],[Match_Number]],TBA_Matches_All[Alliance],"&lt;&gt;"&amp;TBA_Matches_All[[#This Row],[Alliance]],TBA_Matches_All[Scouted],"&gt;0")</f>
        <v>0</v>
      </c>
      <c r="DC152" s="74">
        <f>(TBA_Matches_All[[#This Row],[TampT]]+TBA_Matches_All[[#This Row],[TspkrptsC]])-TBA_Matches_All[[#This Row],[AveTeamTNoteDels]]</f>
        <v>-10.236363636363635</v>
      </c>
      <c r="DD152" s="74">
        <f>SUMIFS(TBA_Matches_All[AveTeamTNoteDels],TBA_Matches_All[Match_Number],TBA_Matches_All[[#This Row],[Match_Number]],TBA_Matches_All[Alliance],"&lt;&gt;"&amp;TBA_Matches_All[[#This Row],[Alliance]])-TBA_Matches_All[[#This Row],[AveOppTNoteDels]]</f>
        <v>24.460851370851373</v>
      </c>
    </row>
    <row r="153" spans="1:108" x14ac:dyDescent="0.3">
      <c r="A153" t="s">
        <v>1042</v>
      </c>
      <c r="B153" t="s">
        <v>489</v>
      </c>
      <c r="C153" t="s">
        <v>1335</v>
      </c>
      <c r="D153">
        <v>26</v>
      </c>
      <c r="E153" t="s">
        <v>1420</v>
      </c>
      <c r="F153" t="s">
        <v>1425</v>
      </c>
      <c r="G153" t="s">
        <v>105</v>
      </c>
      <c r="H153" t="s">
        <v>1284</v>
      </c>
      <c r="I153" t="b">
        <v>0</v>
      </c>
      <c r="J153">
        <v>37</v>
      </c>
      <c r="K153">
        <v>0</v>
      </c>
      <c r="L153">
        <v>0</v>
      </c>
      <c r="M153">
        <v>4</v>
      </c>
      <c r="N153">
        <v>0</v>
      </c>
      <c r="O153">
        <v>4</v>
      </c>
      <c r="P153">
        <v>20</v>
      </c>
      <c r="Q153">
        <v>26</v>
      </c>
      <c r="R153">
        <v>0</v>
      </c>
      <c r="S153">
        <v>0</v>
      </c>
      <c r="T153">
        <v>4</v>
      </c>
      <c r="U153">
        <v>0</v>
      </c>
      <c r="V153">
        <v>8</v>
      </c>
      <c r="W153">
        <v>4</v>
      </c>
      <c r="X153">
        <v>8</v>
      </c>
      <c r="Y153">
        <v>8</v>
      </c>
      <c r="Z153">
        <v>0</v>
      </c>
      <c r="AA153">
        <v>0</v>
      </c>
      <c r="AB153">
        <v>8</v>
      </c>
      <c r="AC153">
        <v>28</v>
      </c>
      <c r="AD153">
        <v>3</v>
      </c>
      <c r="AE153">
        <f>IFERROR(6/(COUNTIF(Dyno_EndMatch[Match],TBA_Matches_All[[#This Row],[Match_Number]])),0)</f>
        <v>0</v>
      </c>
      <c r="AF153">
        <f>COUNTIFS(Dyno_Data[Team],TBA_Matches_All[[#This Row],[Team]],Dyno_Data[Match],TBA_Matches_All[[#This Row],[Match_Number]],Dyno_Data[RecordType],"EndMatch",Dyno_Data[HPAmp],"Y")</f>
        <v>0</v>
      </c>
      <c r="AG153">
        <f>SUMIFS(Dyno_Data[Mics], Dyno_Data[Team],TBA_Matches_All[[#This Row],[Team]],Dyno_Data[Match],TBA_Matches_All[[#This Row],[Match_Number]],Dyno_Data[RecordType],"EndMatch",Dyno_Data[HPAmp],"Y")</f>
        <v>0</v>
      </c>
      <c r="AH153">
        <f>SUMIFS(Dyno_Data[Leave], Dyno_Data[Team],TBA_Matches_All[[#This Row],[Team]],Dyno_Data[Match],TBA_Matches_All[[#This Row],[Match_Number]],Dyno_Data[RecordType],"EndAuto")</f>
        <v>0</v>
      </c>
      <c r="AI153">
        <f>COUNTIFS(Dyno_Data[Team],TBA_Matches_All[[#This Row],[Team]],Dyno_Data[Match],TBA_Matches_All[[#This Row],[Match_Number]],Dyno_Data[RecordType],"Activities",Dyno_Data[DelDest],"Amp", Dyno_Data[DelMiss],"0", Dyno_Data[Mode],"Auto")</f>
        <v>0</v>
      </c>
      <c r="AJ153">
        <f>COUNTIFS(Dyno_Data[Team],TBA_Matches_All[[#This Row],[Team]],Dyno_Data[Match],TBA_Matches_All[[#This Row],[Match_Number]],Dyno_Data[RecordType],"Activities",Dyno_Data[DelDest],"Spkr", Dyno_Data[DelMiss],"0", Dyno_Data[Mode],"Auto")</f>
        <v>0</v>
      </c>
      <c r="AK153">
        <f>COUNTIFS(Dyno_Data[Team],TBA_Matches_All[[#This Row],[Team]],Dyno_Data[Match],TBA_Matches_All[[#This Row],[Match_Number]],Dyno_Data[RecordType],"Activities",Dyno_Data[DelDest],"Trap", Dyno_Data[DelMiss],"0", Dyno_Data[Mode],"Auto")</f>
        <v>0</v>
      </c>
      <c r="AL153">
        <f>COUNTIFS(Dyno_Data[Team],TBA_Matches_All[[#This Row],[Team]],Dyno_Data[Match],TBA_Matches_All[[#This Row],[Match_Number]],Dyno_Data[RecordType],"Activities",Dyno_Data[DelDest],"Amp", Dyno_Data[DelMiss],"0", Dyno_Data[Mode],"Teleop")</f>
        <v>0</v>
      </c>
      <c r="AM153">
        <f>COUNTIFS(Dyno_Data[Team],TBA_Matches_All[[#This Row],[Team]],Dyno_Data[Match],TBA_Matches_All[[#This Row],[Match_Number]],Dyno_Data[RecordType],"Activities",Dyno_Data[DelDest],"Spkr", Dyno_Data[DelMiss],"0", Dyno_Data[Mode],"Teleop")</f>
        <v>0</v>
      </c>
      <c r="AN153">
        <f>COUNTIFS(Dyno_Data[Team],TBA_Matches_All[[#This Row],[Team]],Dyno_Data[Match],TBA_Matches_All[[#This Row],[Match_Number]],Dyno_Data[RecordType],"Activities",Dyno_Data[DelDest],"Trap", Dyno_Data[DelMiss],"0", Dyno_Data[Mode],"&lt;&gt;Auto")</f>
        <v>0</v>
      </c>
      <c r="AO153">
        <f>SUM(TBA_Matches_All[[#This Row],[AampT]]+TBA_Matches_All[[#This Row],[AspkrT]]+TBA_Matches_All[[#This Row],[AtrapT]]+TBA_Matches_All[[#This Row],[TampT]]+TBA_Matches_All[[#This Row],[TspkrT]]+TBA_Matches_All[[#This Row],[TtrapT]])</f>
        <v>0</v>
      </c>
      <c r="AP153">
        <f>COUNTIFS(Dyno_Data[Team],TBA_Matches_All[[#This Row],[Team]],Dyno_Data[Match],TBA_Matches_All[[#This Row],[Match_Number]],Dyno_Data[RecordType],"Activities",Dyno_Data[DelDest],"Neut", Dyno_Data[DelMiss],"0")</f>
        <v>0</v>
      </c>
      <c r="AQ153">
        <f>COUNTIFS(Dyno_Data[Team],TBA_Matches_All[[#This Row],[Team]],Dyno_Data[Match],TBA_Matches_All[[#This Row],[Match_Number]],Dyno_Data[RecordType],"Activities",Dyno_Data[DelDest],"AllyW", Dyno_Data[DelMiss],"0")</f>
        <v>0</v>
      </c>
      <c r="AR153" t="str">
        <f>_xlfn.XLOOKUP(SUM(MID(TBA_Matches_All[[#This Row],[Team]],4,5),(TBA_Matches_All[[#This Row],[Match_Number]]/100)),Dyno_EndMatch[teammat],Dyno_EndMatch[RobotSta],"_",0,1)</f>
        <v>_</v>
      </c>
      <c r="AS153">
        <f>SUMIFS(Dyno_Data[AcqDis], Dyno_Data[Team],TBA_Matches_All[[#This Row],[Team]],Dyno_Data[Match],TBA_Matches_All[[#This Row],[Match_Number]],Dyno_Data[RecordType],"Activities", Dyno_Data[AcqCenter],1,Dyno_Data[Mode],"Auto")</f>
        <v>0</v>
      </c>
      <c r="AT153">
        <f>SUMIFS(Dyno_Data[AcqDis], Dyno_Data[Team],TBA_Matches_All[[#This Row],[Team]],Dyno_Data[Match],TBA_Matches_All[[#This Row],[Match_Number]],Dyno_Data[RecordType],"Activities", Dyno_Data[AcqCenter],2,Dyno_Data[Mode],"Auto")</f>
        <v>0</v>
      </c>
      <c r="AU153">
        <f>SUMIFS(Dyno_Data[AcqDis], Dyno_Data[Team],TBA_Matches_All[[#This Row],[Team]],Dyno_Data[Match],TBA_Matches_All[[#This Row],[Match_Number]],Dyno_Data[RecordType],"Activities", Dyno_Data[AcqCenter],3,Dyno_Data[Mode],"Auto")</f>
        <v>0</v>
      </c>
      <c r="AV153">
        <f>SUMIFS(Dyno_Data[AcqDis], Dyno_Data[Team],TBA_Matches_All[[#This Row],[Team]],Dyno_Data[Match],TBA_Matches_All[[#This Row],[Match_Number]],Dyno_Data[RecordType],"Activities", Dyno_Data[AcqCenter],4,Dyno_Data[Mode],"Auto")</f>
        <v>0</v>
      </c>
      <c r="AW153">
        <f>SUMIFS(Dyno_Data[AcqDis], Dyno_Data[Team],TBA_Matches_All[[#This Row],[Team]],Dyno_Data[Match],TBA_Matches_All[[#This Row],[Match_Number]],Dyno_Data[RecordType],"Activities", Dyno_Data[AcqCenter],5,Dyno_Data[Mode],"Auto")</f>
        <v>0</v>
      </c>
      <c r="AX153">
        <f>SUMIFS(Dyno_Data[DelMiss], Dyno_Data[Team],TBA_Matches_All[[#This Row],[Team]],Dyno_Data[Match],TBA_Matches_All[[#This Row],[Match_Number]],Dyno_Data[RecordType],"Activities", Dyno_Data[DelDest],"Amp")</f>
        <v>0</v>
      </c>
      <c r="AY153" s="60">
        <f>IFERROR(SUM((TBA_Matches_All[[#This Row],[AampT]]+TBA_Matches_All[[#This Row],[TampT]])/(TBA_Matches_All[[#This Row],[AampT]]+TBA_Matches_All[[#This Row],[TampT]]+TBA_Matches_All[[#This Row],[ampM]])),0)</f>
        <v>0</v>
      </c>
      <c r="AZ153">
        <f>SUMIFS(Dyno_Data[DelMiss], Dyno_Data[Team],TBA_Matches_All[[#This Row],[Team]],Dyno_Data[Match],TBA_Matches_All[[#This Row],[Match_Number]],Dyno_Data[RecordType],"Activities", Dyno_Data[DelDest],"Spkr")</f>
        <v>0</v>
      </c>
      <c r="BA153" s="60">
        <f>IFERROR(SUM((TBA_Matches_All[[#This Row],[AspkrT]]+TBA_Matches_All[[#This Row],[TspkrT]])/(TBA_Matches_All[[#This Row],[AspkrT]]+TBA_Matches_All[[#This Row],[TspkrT]]+TBA_Matches_All[[#This Row],[spkrM]])),0)</f>
        <v>0</v>
      </c>
      <c r="BB153">
        <f>SUMIFS(Dyno_Data[DelMiss], Dyno_Data[Team],TBA_Matches_All[[#This Row],[Team]],Dyno_Data[Match],TBA_Matches_All[[#This Row],[Match_Number]],Dyno_Data[RecordType],"Activities", Dyno_Data[DelDest],"Trap")</f>
        <v>0</v>
      </c>
      <c r="BC153" s="60">
        <f>IFERROR((TBA_Matches_All[[#This Row],[AtrapT]]+TBA_Matches_All[[#This Row],[TtrapT]])/(TBA_Matches_All[[#This Row],[AtrapT]]+TBA_Matches_All[[#This Row],[TtrapT]]+TBA_Matches_All[[#This Row],[trapM]]),0)</f>
        <v>0</v>
      </c>
      <c r="BD153">
        <f>COUNTIFS(Dyno_Data[Team],TBA_Matches_All[[#This Row],[Team]],Dyno_Data[Match],TBA_Matches_All[[#This Row],[Match_Number]],Dyno_Data[RecordType],"Activities",Dyno_Data[DelDest],"Neut", Dyno_Data[DelMiss],1)</f>
        <v>0</v>
      </c>
      <c r="BE153" s="60">
        <f>IFERROR(SUM((TBA_Matches_All[[#This Row],[NeutFlrT]])/(TBA_Matches_All[[#This Row],[NeutFlrT]]+TBA_Matches_All[[#This Row],[NZflM]])),0)</f>
        <v>0</v>
      </c>
      <c r="BF153">
        <f>COUNTIFS(Dyno_Data[Team],TBA_Matches_All[[#This Row],[Team]],Dyno_Data[Match],TBA_Matches_All[[#This Row],[Match_Number]],Dyno_Data[RecordType],"Activities",Dyno_Data[DelDest],"AllyW", Dyno_Data[DelMiss],1)</f>
        <v>0</v>
      </c>
      <c r="BG153" s="60">
        <f>IFERROR(SUM((TBA_Matches_All[[#This Row],[AllyWFlrT]])/(TBA_Matches_All[[#This Row],[AllyWFlrT]]+TBA_Matches_All[[#This Row],[AZflM]])),0)</f>
        <v>0</v>
      </c>
      <c r="BH153">
        <f>COUNTIFS(Dyno_Data[Team],TBA_Matches_All[[#This Row],[Team]],Dyno_Data[Match],TBA_Matches_All[[#This Row],[Match_Number]],Dyno_Data[RecordType],"Activities",Dyno_Data[DelOrig],"OppW", Dyno_Data[DelMiss],"0")</f>
        <v>0</v>
      </c>
      <c r="BI153">
        <f>COUNTIFS(Dyno_Data[Team],TBA_Matches_All[[#This Row],[Team]],Dyno_Data[Match],TBA_Matches_All[[#This Row],[Match_Number]],Dyno_Data[RecordType],"Activities",Dyno_Data[DelOrig],"OppW", Dyno_Data[DelMiss],"1")</f>
        <v>0</v>
      </c>
      <c r="BJ153" s="60">
        <f>IFERROR(SUM((TBA_Matches_All[[#This Row],[OZflrT]])/(TBA_Matches_All[[#This Row],[OZflrT]]+TBA_Matches_All[[#This Row],[OZflrM]])),0)</f>
        <v>0</v>
      </c>
      <c r="BK153">
        <f>COUNTIFS(Dyno_Data[Team],TBA_Matches_All[[#This Row],[Team]],Dyno_Data[Match],TBA_Matches_All[[#This Row],[Match_Number]],Dyno_Data[RecordType],"Activities",Dyno_Data[DelOrig],"Neut", Dyno_Data[DelMiss],"0")</f>
        <v>0</v>
      </c>
      <c r="BL153">
        <f>COUNTIFS(Dyno_Data[Team],TBA_Matches_All[[#This Row],[Team]],Dyno_Data[Match],TBA_Matches_All[[#This Row],[Match_Number]],Dyno_Data[RecordType],"Activities",Dyno_Data[DelOrig],"Neut", Dyno_Data[DelMiss],"1")</f>
        <v>0</v>
      </c>
      <c r="BM153" s="60">
        <f>IFERROR(SUM((TBA_Matches_All[[#This Row],[NZflrT]])/(TBA_Matches_All[[#This Row],[NZflrT]]+TBA_Matches_All[[#This Row],[NZflrM]])),0)</f>
        <v>0</v>
      </c>
      <c r="BN153">
        <f>COUNTIFS(Dyno_Data[Team],TBA_Matches_All[[#This Row],[Team]],Dyno_Data[Match],TBA_Matches_All[[#This Row],[Match_Number]],Dyno_Data[RecordType],"Activities",Dyno_Data[DelOrig],"AllyW", Dyno_Data[DelMiss],"0")</f>
        <v>0</v>
      </c>
      <c r="BO153">
        <f>COUNTIFS(Dyno_Data[Team],TBA_Matches_All[[#This Row],[Team]],Dyno_Data[Match],TBA_Matches_All[[#This Row],[Match_Number]],Dyno_Data[RecordType],"Activities",Dyno_Data[DelOrig],"AllyW", Dyno_Data[DelMiss],"1")</f>
        <v>0</v>
      </c>
      <c r="BP153" s="60">
        <f>IFERROR(SUM((TBA_Matches_All[[#This Row],[AZflrT]])/(TBA_Matches_All[[#This Row],[AZflrT]]+TBA_Matches_All[[#This Row],[AZflrM]])),0)</f>
        <v>0</v>
      </c>
      <c r="BQ153">
        <f>COUNTIFS(Dyno_Data[Team],TBA_Matches_All[[#This Row],[Team]],Dyno_Data[Match],TBA_Matches_All[[#This Row],[Match_Number]],Dyno_Data[RecordType],"Activities",Dyno_Data[DelOrig],"SubW", Dyno_Data[DelMiss],"0")</f>
        <v>0</v>
      </c>
      <c r="BR153">
        <f>COUNTIFS(Dyno_Data[Team],TBA_Matches_All[[#This Row],[Team]],Dyno_Data[Match],TBA_Matches_All[[#This Row],[Match_Number]],Dyno_Data[RecordType],"Activities",Dyno_Data[DelOrig],"SubW", Dyno_Data[DelMiss],"1")</f>
        <v>0</v>
      </c>
      <c r="BS153" s="60">
        <f>IFERROR(SUM((TBA_Matches_All[[#This Row],[SubwT]])/(TBA_Matches_All[[#This Row],[SubwT]]+TBA_Matches_All[[#This Row],[SubwM]])),0)</f>
        <v>0</v>
      </c>
      <c r="BT153">
        <f>COUNTIFS(Dyno_Data[Team],TBA_Matches_All[[#This Row],[Team]],Dyno_Data[Match],TBA_Matches_All[[#This Row],[Match_Number]],Dyno_Data[RecordType],"Activities", Dyno_Data[AcqLoc],"OppWing")</f>
        <v>0</v>
      </c>
      <c r="BU153">
        <f>COUNTIFS(Dyno_Data[Team],TBA_Matches_All[[#This Row],[Team]],Dyno_Data[Match],TBA_Matches_All[[#This Row],[Match_Number]],Dyno_Data[RecordType],"Activities", Dyno_Data[AcqLoc],"Neutral")</f>
        <v>0</v>
      </c>
      <c r="BV153">
        <f>COUNTIFS(Dyno_Data[Team],TBA_Matches_All[[#This Row],[Team]],Dyno_Data[Match],TBA_Matches_All[[#This Row],[Match_Number]],Dyno_Data[RecordType],"Activities", Dyno_Data[AcqLoc],"AllyWing")</f>
        <v>0</v>
      </c>
      <c r="BW153">
        <f>COUNTIFS(Dyno_Data[Team],TBA_Matches_All[[#This Row],[Team]],Dyno_Data[Match],TBA_Matches_All[[#This Row],[Match_Number]],Dyno_Data[RecordType],"Activities", Dyno_Data[AcqLoc],"Source")</f>
        <v>0</v>
      </c>
      <c r="BX153">
        <f>SUMIFS(Dyno_Data[AcqDrp], Dyno_Data[Team],TBA_Matches_All[[#This Row],[Team]],Dyno_Data[Match],TBA_Matches_All[[#This Row],[Match_Number]],Dyno_Data[RecordType],"Activities", Dyno_Data[AcqLoc],"Source")</f>
        <v>0</v>
      </c>
      <c r="BY153">
        <f>SUMIFS(Dyno_Data[OZTime], Dyno_Data[Team],TBA_Matches_All[[#This Row],[Team]],Dyno_Data[Match],TBA_Matches_All[[#This Row],[Match_Number]],Dyno_Data[RecordType],"EndMatch")</f>
        <v>0</v>
      </c>
      <c r="BZ153">
        <f>SUMIFS(Dyno_Data[NZTime], Dyno_Data[Team],TBA_Matches_All[[#This Row],[Team]],Dyno_Data[Match],TBA_Matches_All[[#This Row],[Match_Number]],Dyno_Data[RecordType],"EndMatch")</f>
        <v>0</v>
      </c>
      <c r="CA153">
        <f>SUMIFS(Dyno_Data[AZTime], Dyno_Data[Team],TBA_Matches_All[[#This Row],[Team]],Dyno_Data[Match],TBA_Matches_All[[#This Row],[Match_Number]],Dyno_Data[RecordType],"EndMatch")</f>
        <v>0</v>
      </c>
      <c r="CB153">
        <f>SUMIFS(Dyno_Data[ClimbT], Dyno_Data[Team],TBA_Matches_All[[#This Row],[Team]],Dyno_Data[Match],TBA_Matches_All[[#This Row],[Match_Number]],Dyno_Data[RecordType],"EndMatch")</f>
        <v>0</v>
      </c>
      <c r="CC153" t="str">
        <f>_xlfn.XLOOKUP(SUM(MID(TBA_Matches_All[[#This Row],[Team]],4,5),(TBA_Matches_All[[#This Row],[Match_Number]]/100)),Dyno_EndMatch[teammat],Dyno_EndMatch[StageStat],"_",0,1)</f>
        <v>_</v>
      </c>
      <c r="CD153" t="str">
        <f>_xlfn.XLOOKUP(TBA_Matches_All[[#This Row],[teammat]],Dyno_EndMatch[teammat],Dyno_EndMatch[StageAtt],"_",0,1)</f>
        <v>_</v>
      </c>
      <c r="CE153" t="str">
        <f>_xlfn.XLOOKUP(TBA_Matches_All[[#This Row],[teammat]],Dyno_EndMatch[teammat],Dyno_EndMatch[StageLoc],"_",0,1)</f>
        <v>_</v>
      </c>
      <c r="CF153">
        <f>SUMIFS(Dyno_Data[Harmony], Dyno_Data[Team],TBA_Matches_All[[#This Row],[Team]],Dyno_Data[Match],TBA_Matches_All[[#This Row],[Match_Number]],Dyno_Data[RecordType],"EndMatch", Dyno_Data[StageStat],"On",Dyno_Data[Harmony],"&lt;&gt;9")</f>
        <v>0</v>
      </c>
      <c r="CG153">
        <f>SUMIFS(Dyno_Data[Spotlit], Dyno_Data[Team],TBA_Matches_All[[#This Row],[Team]],Dyno_Data[Match],TBA_Matches_All[[#This Row],[Match_Number]],Dyno_Data[RecordType],"EndMatch", Dyno_Data[StageStat],"On",Dyno_Data[Spotlit],"&lt;&gt;9")</f>
        <v>0</v>
      </c>
      <c r="CH153" t="str">
        <f>_xlfn.XLOOKUP(TBA_Matches_All[[#This Row],[teammat]],Dyno_EndMatch[teammat],Dyno_EndMatch[Strategy],"_",0,1)</f>
        <v>_</v>
      </c>
      <c r="CI153">
        <f>SUMIFS(Dyno_Data[Defense], Dyno_Data[Team],TBA_Matches_All[[#This Row],[Team]],Dyno_Data[Match],TBA_Matches_All[[#This Row],[Match_Number]],Dyno_Data[RecordType],"EndMatch",Dyno_Data[Defense],"&lt;&gt;9")</f>
        <v>0</v>
      </c>
      <c r="CJ153">
        <f>SUMIFS(Dyno_Data[Avoidance], Dyno_Data[Team],TBA_Matches_All[[#This Row],[Team]],Dyno_Data[Match],TBA_Matches_All[[#This Row],[Match_Number]],Dyno_Data[RecordType],"EndMatch",Dyno_Data[Avoidance],"&lt;&gt;9")</f>
        <v>0</v>
      </c>
      <c r="CK153" s="82">
        <f>COUNTIF($H$2:TBA_Matches_All[[#This Row],[Team]],TBA_Matches_All[[#This Row],[Team]])</f>
        <v>3</v>
      </c>
      <c r="CL153" s="111">
        <f>SUM(MID(TBA_Matches_All[[#This Row],[Team]],4,5)+TBA_Matches_All[[#This Row],[Match_Number]]/100)</f>
        <v>5590.26</v>
      </c>
      <c r="CM153">
        <f>SUM((TBA_Matches_All[[#This Row],[Leave]]*2)+(TBA_Matches_All[[#This Row],[AampT]]*2)+(TBA_Matches_All[[#This Row],[AspkrT]]*5)+(TBA_Matches_All[[#This Row],[AtrapT]]*5))</f>
        <v>0</v>
      </c>
      <c r="CN153" s="59">
        <f>IFERROR(SUM(TBA_Matches_All[[#This Row],[AptsT]]/TBA_Matches_All[[#This Row],[AutoPts]]),0)</f>
        <v>0</v>
      </c>
      <c r="CO153" s="59">
        <f>IFERROR(SUM(TBA_Matches_All[[#This Row],[AampT]]+TBA_Matches_All[[#This Row],[AspkrT]]+TBA_Matches_All[[#This Row],[AtrapT]]/TBA_Matches_All[[#This Row],[Aamp]]+TBA_Matches_All[[#This Row],[Aspkr]]+TBA_Matches_All[[#This Row],[AtrapT]]),0)</f>
        <v>0</v>
      </c>
      <c r="CP153" s="59">
        <f>IFERROR(SUM(TBA_Matches_All[[#This Row],[TampT]]/TBA_Matches_All[[#This Row],[Tamp]]),0)</f>
        <v>0</v>
      </c>
      <c r="CQ153" s="59">
        <f>IFERROR(SUM(TBA_Matches_All[[#This Row],[TspkrT]]/TBA_Matches_All[[#This Row],[Tspkr]]),0)</f>
        <v>0</v>
      </c>
      <c r="CR153">
        <f>SUM(TBA_Matches_All[[#This Row],[TspkrPts]]*TBA_Matches_All[[#This Row],[TspkrP]])</f>
        <v>0</v>
      </c>
      <c r="CS153" s="59">
        <f>IFERROR(SUM(TBA_Matches_All[[#This Row],[TtrapT]]/TBA_Matches_All[[#This Row],[Trap]]),0)</f>
        <v>0</v>
      </c>
      <c r="CT153" s="59">
        <f>IFERROR(SUM(TBA_Matches_All[[#This Row],[TotNotesT]]/TBA_Matches_All[[#This Row],[TotNotes]]),0)</f>
        <v>0</v>
      </c>
      <c r="CU153" s="66">
        <f>SUM((TBA_Matches_All[[#This Row],[AampT]]*2)+(TBA_Matches_All[[#This Row],[AspkrT]]*5)+(TBA_Matches_All[[#This Row],[AtrapT]]*5)+(TBA_Matches_All[[#This Row],[TampT]]*1)+(TBA_Matches_All[[#This Row],[TspkrptsC]]))</f>
        <v>0</v>
      </c>
      <c r="CV153" s="59">
        <f>IFERROR(TBA_Matches_All[[#This Row],[noteptsT]]/TBA_Matches_All[[#This Row],[NotePts]],0)</f>
        <v>0</v>
      </c>
      <c r="CW153">
        <f>SUM(IF(TBA_Matches_All[[#This Row],[stageStat]]="On",3,0),IF(TBA_Matches_All[[#This Row],[stageStat]]="Park",1,0),SUMIFS(TBA_Matches_All[[#This Row],[Spotlit]],TBA_Matches_All[[#This Row],[stageStat]],"On"),SUMIFS(TBA_Matches_All[[#This Row],[Harmony]],TBA_Matches_All[[#This Row],[stageStat]],"On"))</f>
        <v>0</v>
      </c>
      <c r="CX153" s="59">
        <f>IFERROR(TBA_Matches_All[[#This Row],[stageptsT]]/TBA_Matches_All[[#This Row],[StagePts]],0)</f>
        <v>0</v>
      </c>
      <c r="CY153">
        <f>SUM((TBA_Matches_All[[#This Row],[AptsT]]+TBA_Matches_All[[#This Row],[TampT]]+TBA_Matches_All[[#This Row],[TspkrptsC]]+(TBA_Matches_All[[#This Row],[TtrapT]]*5)+TBA_Matches_All[[#This Row],[stageptsT]]))</f>
        <v>0</v>
      </c>
      <c r="CZ153" s="59">
        <f>IFERROR(SUM(TBA_Matches_All[[#This Row],[TotptsC]]/TBA_Matches_All[[#This Row],[Score]]),0)</f>
        <v>0</v>
      </c>
      <c r="DA15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6.0952380952380949</v>
      </c>
      <c r="DB153" s="74">
        <f>SUMIFS(TBA_Matches_All[AveTeamTNoteDels],TBA_Matches_All[Match_Number],TBA_Matches_All[[#This Row],[Match_Number]],TBA_Matches_All[Alliance],"&lt;&gt;"&amp;TBA_Matches_All[[#This Row],[Alliance]],TBA_Matches_All[Scouted],"&gt;0")</f>
        <v>0</v>
      </c>
      <c r="DC153" s="74">
        <f>(TBA_Matches_All[[#This Row],[TampT]]+TBA_Matches_All[[#This Row],[TspkrptsC]])-TBA_Matches_All[[#This Row],[AveTeamTNoteDels]]</f>
        <v>-6.0952380952380949</v>
      </c>
      <c r="DD153" s="74">
        <f>SUMIFS(TBA_Matches_All[AveTeamTNoteDels],TBA_Matches_All[Match_Number],TBA_Matches_All[[#This Row],[Match_Number]],TBA_Matches_All[Alliance],"&lt;&gt;"&amp;TBA_Matches_All[[#This Row],[Alliance]])-TBA_Matches_All[[#This Row],[AveOppTNoteDels]]</f>
        <v>20.591608391608389</v>
      </c>
    </row>
    <row r="154" spans="1:108" x14ac:dyDescent="0.3">
      <c r="A154" t="s">
        <v>1042</v>
      </c>
      <c r="B154" t="s">
        <v>489</v>
      </c>
      <c r="C154" t="s">
        <v>1335</v>
      </c>
      <c r="D154">
        <v>26</v>
      </c>
      <c r="E154" t="s">
        <v>1406</v>
      </c>
      <c r="F154" t="s">
        <v>1426</v>
      </c>
      <c r="G154" t="s">
        <v>164</v>
      </c>
      <c r="H154" t="s">
        <v>1279</v>
      </c>
      <c r="I154" t="b">
        <v>0</v>
      </c>
      <c r="J154">
        <v>30</v>
      </c>
      <c r="K154">
        <v>0</v>
      </c>
      <c r="L154">
        <v>0</v>
      </c>
      <c r="M154">
        <v>0</v>
      </c>
      <c r="N154">
        <v>0</v>
      </c>
      <c r="O154">
        <v>1</v>
      </c>
      <c r="P154">
        <v>5</v>
      </c>
      <c r="Q154">
        <v>7</v>
      </c>
      <c r="R154">
        <v>0</v>
      </c>
      <c r="S154">
        <v>0</v>
      </c>
      <c r="T154">
        <v>8</v>
      </c>
      <c r="U154">
        <v>0</v>
      </c>
      <c r="V154">
        <v>16</v>
      </c>
      <c r="W154">
        <v>8</v>
      </c>
      <c r="X154">
        <v>16</v>
      </c>
      <c r="Y154">
        <v>16</v>
      </c>
      <c r="Z154">
        <v>0</v>
      </c>
      <c r="AA154">
        <v>0</v>
      </c>
      <c r="AB154">
        <v>9</v>
      </c>
      <c r="AC154">
        <v>21</v>
      </c>
      <c r="AD154">
        <v>3</v>
      </c>
      <c r="AE154">
        <f>IFERROR(6/(COUNTIF(Dyno_EndMatch[Match],TBA_Matches_All[[#This Row],[Match_Number]])),0)</f>
        <v>0</v>
      </c>
      <c r="AF154">
        <f>COUNTIFS(Dyno_Data[Team],TBA_Matches_All[[#This Row],[Team]],Dyno_Data[Match],TBA_Matches_All[[#This Row],[Match_Number]],Dyno_Data[RecordType],"EndMatch",Dyno_Data[HPAmp],"Y")</f>
        <v>0</v>
      </c>
      <c r="AG154">
        <f>SUMIFS(Dyno_Data[Mics], Dyno_Data[Team],TBA_Matches_All[[#This Row],[Team]],Dyno_Data[Match],TBA_Matches_All[[#This Row],[Match_Number]],Dyno_Data[RecordType],"EndMatch",Dyno_Data[HPAmp],"Y")</f>
        <v>0</v>
      </c>
      <c r="AH154">
        <f>SUMIFS(Dyno_Data[Leave], Dyno_Data[Team],TBA_Matches_All[[#This Row],[Team]],Dyno_Data[Match],TBA_Matches_All[[#This Row],[Match_Number]],Dyno_Data[RecordType],"EndAuto")</f>
        <v>0</v>
      </c>
      <c r="AI154">
        <f>COUNTIFS(Dyno_Data[Team],TBA_Matches_All[[#This Row],[Team]],Dyno_Data[Match],TBA_Matches_All[[#This Row],[Match_Number]],Dyno_Data[RecordType],"Activities",Dyno_Data[DelDest],"Amp", Dyno_Data[DelMiss],"0", Dyno_Data[Mode],"Auto")</f>
        <v>0</v>
      </c>
      <c r="AJ154">
        <f>COUNTIFS(Dyno_Data[Team],TBA_Matches_All[[#This Row],[Team]],Dyno_Data[Match],TBA_Matches_All[[#This Row],[Match_Number]],Dyno_Data[RecordType],"Activities",Dyno_Data[DelDest],"Spkr", Dyno_Data[DelMiss],"0", Dyno_Data[Mode],"Auto")</f>
        <v>0</v>
      </c>
      <c r="AK154">
        <f>COUNTIFS(Dyno_Data[Team],TBA_Matches_All[[#This Row],[Team]],Dyno_Data[Match],TBA_Matches_All[[#This Row],[Match_Number]],Dyno_Data[RecordType],"Activities",Dyno_Data[DelDest],"Trap", Dyno_Data[DelMiss],"0", Dyno_Data[Mode],"Auto")</f>
        <v>0</v>
      </c>
      <c r="AL154">
        <f>COUNTIFS(Dyno_Data[Team],TBA_Matches_All[[#This Row],[Team]],Dyno_Data[Match],TBA_Matches_All[[#This Row],[Match_Number]],Dyno_Data[RecordType],"Activities",Dyno_Data[DelDest],"Amp", Dyno_Data[DelMiss],"0", Dyno_Data[Mode],"Teleop")</f>
        <v>0</v>
      </c>
      <c r="AM154">
        <f>COUNTIFS(Dyno_Data[Team],TBA_Matches_All[[#This Row],[Team]],Dyno_Data[Match],TBA_Matches_All[[#This Row],[Match_Number]],Dyno_Data[RecordType],"Activities",Dyno_Data[DelDest],"Spkr", Dyno_Data[DelMiss],"0", Dyno_Data[Mode],"Teleop")</f>
        <v>0</v>
      </c>
      <c r="AN154">
        <f>COUNTIFS(Dyno_Data[Team],TBA_Matches_All[[#This Row],[Team]],Dyno_Data[Match],TBA_Matches_All[[#This Row],[Match_Number]],Dyno_Data[RecordType],"Activities",Dyno_Data[DelDest],"Trap", Dyno_Data[DelMiss],"0", Dyno_Data[Mode],"&lt;&gt;Auto")</f>
        <v>0</v>
      </c>
      <c r="AO154">
        <f>SUM(TBA_Matches_All[[#This Row],[AampT]]+TBA_Matches_All[[#This Row],[AspkrT]]+TBA_Matches_All[[#This Row],[AtrapT]]+TBA_Matches_All[[#This Row],[TampT]]+TBA_Matches_All[[#This Row],[TspkrT]]+TBA_Matches_All[[#This Row],[TtrapT]])</f>
        <v>0</v>
      </c>
      <c r="AP154">
        <f>COUNTIFS(Dyno_Data[Team],TBA_Matches_All[[#This Row],[Team]],Dyno_Data[Match],TBA_Matches_All[[#This Row],[Match_Number]],Dyno_Data[RecordType],"Activities",Dyno_Data[DelDest],"Neut", Dyno_Data[DelMiss],"0")</f>
        <v>0</v>
      </c>
      <c r="AQ154">
        <f>COUNTIFS(Dyno_Data[Team],TBA_Matches_All[[#This Row],[Team]],Dyno_Data[Match],TBA_Matches_All[[#This Row],[Match_Number]],Dyno_Data[RecordType],"Activities",Dyno_Data[DelDest],"AllyW", Dyno_Data[DelMiss],"0")</f>
        <v>0</v>
      </c>
      <c r="AR154" t="str">
        <f>_xlfn.XLOOKUP(SUM(MID(TBA_Matches_All[[#This Row],[Team]],4,5),(TBA_Matches_All[[#This Row],[Match_Number]]/100)),Dyno_EndMatch[teammat],Dyno_EndMatch[RobotSta],"_",0,1)</f>
        <v>_</v>
      </c>
      <c r="AS154">
        <f>SUMIFS(Dyno_Data[AcqDis], Dyno_Data[Team],TBA_Matches_All[[#This Row],[Team]],Dyno_Data[Match],TBA_Matches_All[[#This Row],[Match_Number]],Dyno_Data[RecordType],"Activities", Dyno_Data[AcqCenter],1,Dyno_Data[Mode],"Auto")</f>
        <v>0</v>
      </c>
      <c r="AT154">
        <f>SUMIFS(Dyno_Data[AcqDis], Dyno_Data[Team],TBA_Matches_All[[#This Row],[Team]],Dyno_Data[Match],TBA_Matches_All[[#This Row],[Match_Number]],Dyno_Data[RecordType],"Activities", Dyno_Data[AcqCenter],2,Dyno_Data[Mode],"Auto")</f>
        <v>0</v>
      </c>
      <c r="AU154">
        <f>SUMIFS(Dyno_Data[AcqDis], Dyno_Data[Team],TBA_Matches_All[[#This Row],[Team]],Dyno_Data[Match],TBA_Matches_All[[#This Row],[Match_Number]],Dyno_Data[RecordType],"Activities", Dyno_Data[AcqCenter],3,Dyno_Data[Mode],"Auto")</f>
        <v>0</v>
      </c>
      <c r="AV154">
        <f>SUMIFS(Dyno_Data[AcqDis], Dyno_Data[Team],TBA_Matches_All[[#This Row],[Team]],Dyno_Data[Match],TBA_Matches_All[[#This Row],[Match_Number]],Dyno_Data[RecordType],"Activities", Dyno_Data[AcqCenter],4,Dyno_Data[Mode],"Auto")</f>
        <v>0</v>
      </c>
      <c r="AW154">
        <f>SUMIFS(Dyno_Data[AcqDis], Dyno_Data[Team],TBA_Matches_All[[#This Row],[Team]],Dyno_Data[Match],TBA_Matches_All[[#This Row],[Match_Number]],Dyno_Data[RecordType],"Activities", Dyno_Data[AcqCenter],5,Dyno_Data[Mode],"Auto")</f>
        <v>0</v>
      </c>
      <c r="AX154">
        <f>SUMIFS(Dyno_Data[DelMiss], Dyno_Data[Team],TBA_Matches_All[[#This Row],[Team]],Dyno_Data[Match],TBA_Matches_All[[#This Row],[Match_Number]],Dyno_Data[RecordType],"Activities", Dyno_Data[DelDest],"Amp")</f>
        <v>0</v>
      </c>
      <c r="AY154" s="60">
        <f>IFERROR(SUM((TBA_Matches_All[[#This Row],[AampT]]+TBA_Matches_All[[#This Row],[TampT]])/(TBA_Matches_All[[#This Row],[AampT]]+TBA_Matches_All[[#This Row],[TampT]]+TBA_Matches_All[[#This Row],[ampM]])),0)</f>
        <v>0</v>
      </c>
      <c r="AZ154">
        <f>SUMIFS(Dyno_Data[DelMiss], Dyno_Data[Team],TBA_Matches_All[[#This Row],[Team]],Dyno_Data[Match],TBA_Matches_All[[#This Row],[Match_Number]],Dyno_Data[RecordType],"Activities", Dyno_Data[DelDest],"Spkr")</f>
        <v>0</v>
      </c>
      <c r="BA154" s="60">
        <f>IFERROR(SUM((TBA_Matches_All[[#This Row],[AspkrT]]+TBA_Matches_All[[#This Row],[TspkrT]])/(TBA_Matches_All[[#This Row],[AspkrT]]+TBA_Matches_All[[#This Row],[TspkrT]]+TBA_Matches_All[[#This Row],[spkrM]])),0)</f>
        <v>0</v>
      </c>
      <c r="BB154">
        <f>SUMIFS(Dyno_Data[DelMiss], Dyno_Data[Team],TBA_Matches_All[[#This Row],[Team]],Dyno_Data[Match],TBA_Matches_All[[#This Row],[Match_Number]],Dyno_Data[RecordType],"Activities", Dyno_Data[DelDest],"Trap")</f>
        <v>0</v>
      </c>
      <c r="BC154" s="60">
        <f>IFERROR((TBA_Matches_All[[#This Row],[AtrapT]]+TBA_Matches_All[[#This Row],[TtrapT]])/(TBA_Matches_All[[#This Row],[AtrapT]]+TBA_Matches_All[[#This Row],[TtrapT]]+TBA_Matches_All[[#This Row],[trapM]]),0)</f>
        <v>0</v>
      </c>
      <c r="BD154">
        <f>COUNTIFS(Dyno_Data[Team],TBA_Matches_All[[#This Row],[Team]],Dyno_Data[Match],TBA_Matches_All[[#This Row],[Match_Number]],Dyno_Data[RecordType],"Activities",Dyno_Data[DelDest],"Neut", Dyno_Data[DelMiss],1)</f>
        <v>0</v>
      </c>
      <c r="BE154" s="60">
        <f>IFERROR(SUM((TBA_Matches_All[[#This Row],[NeutFlrT]])/(TBA_Matches_All[[#This Row],[NeutFlrT]]+TBA_Matches_All[[#This Row],[NZflM]])),0)</f>
        <v>0</v>
      </c>
      <c r="BF154">
        <f>COUNTIFS(Dyno_Data[Team],TBA_Matches_All[[#This Row],[Team]],Dyno_Data[Match],TBA_Matches_All[[#This Row],[Match_Number]],Dyno_Data[RecordType],"Activities",Dyno_Data[DelDest],"AllyW", Dyno_Data[DelMiss],1)</f>
        <v>0</v>
      </c>
      <c r="BG154" s="60">
        <f>IFERROR(SUM((TBA_Matches_All[[#This Row],[AllyWFlrT]])/(TBA_Matches_All[[#This Row],[AllyWFlrT]]+TBA_Matches_All[[#This Row],[AZflM]])),0)</f>
        <v>0</v>
      </c>
      <c r="BH154">
        <f>COUNTIFS(Dyno_Data[Team],TBA_Matches_All[[#This Row],[Team]],Dyno_Data[Match],TBA_Matches_All[[#This Row],[Match_Number]],Dyno_Data[RecordType],"Activities",Dyno_Data[DelOrig],"OppW", Dyno_Data[DelMiss],"0")</f>
        <v>0</v>
      </c>
      <c r="BI154">
        <f>COUNTIFS(Dyno_Data[Team],TBA_Matches_All[[#This Row],[Team]],Dyno_Data[Match],TBA_Matches_All[[#This Row],[Match_Number]],Dyno_Data[RecordType],"Activities",Dyno_Data[DelOrig],"OppW", Dyno_Data[DelMiss],"1")</f>
        <v>0</v>
      </c>
      <c r="BJ154" s="60">
        <f>IFERROR(SUM((TBA_Matches_All[[#This Row],[OZflrT]])/(TBA_Matches_All[[#This Row],[OZflrT]]+TBA_Matches_All[[#This Row],[OZflrM]])),0)</f>
        <v>0</v>
      </c>
      <c r="BK154">
        <f>COUNTIFS(Dyno_Data[Team],TBA_Matches_All[[#This Row],[Team]],Dyno_Data[Match],TBA_Matches_All[[#This Row],[Match_Number]],Dyno_Data[RecordType],"Activities",Dyno_Data[DelOrig],"Neut", Dyno_Data[DelMiss],"0")</f>
        <v>0</v>
      </c>
      <c r="BL154">
        <f>COUNTIFS(Dyno_Data[Team],TBA_Matches_All[[#This Row],[Team]],Dyno_Data[Match],TBA_Matches_All[[#This Row],[Match_Number]],Dyno_Data[RecordType],"Activities",Dyno_Data[DelOrig],"Neut", Dyno_Data[DelMiss],"1")</f>
        <v>0</v>
      </c>
      <c r="BM154" s="60">
        <f>IFERROR(SUM((TBA_Matches_All[[#This Row],[NZflrT]])/(TBA_Matches_All[[#This Row],[NZflrT]]+TBA_Matches_All[[#This Row],[NZflrM]])),0)</f>
        <v>0</v>
      </c>
      <c r="BN154">
        <f>COUNTIFS(Dyno_Data[Team],TBA_Matches_All[[#This Row],[Team]],Dyno_Data[Match],TBA_Matches_All[[#This Row],[Match_Number]],Dyno_Data[RecordType],"Activities",Dyno_Data[DelOrig],"AllyW", Dyno_Data[DelMiss],"0")</f>
        <v>0</v>
      </c>
      <c r="BO154">
        <f>COUNTIFS(Dyno_Data[Team],TBA_Matches_All[[#This Row],[Team]],Dyno_Data[Match],TBA_Matches_All[[#This Row],[Match_Number]],Dyno_Data[RecordType],"Activities",Dyno_Data[DelOrig],"AllyW", Dyno_Data[DelMiss],"1")</f>
        <v>0</v>
      </c>
      <c r="BP154" s="60">
        <f>IFERROR(SUM((TBA_Matches_All[[#This Row],[AZflrT]])/(TBA_Matches_All[[#This Row],[AZflrT]]+TBA_Matches_All[[#This Row],[AZflrM]])),0)</f>
        <v>0</v>
      </c>
      <c r="BQ154">
        <f>COUNTIFS(Dyno_Data[Team],TBA_Matches_All[[#This Row],[Team]],Dyno_Data[Match],TBA_Matches_All[[#This Row],[Match_Number]],Dyno_Data[RecordType],"Activities",Dyno_Data[DelOrig],"SubW", Dyno_Data[DelMiss],"0")</f>
        <v>0</v>
      </c>
      <c r="BR154">
        <f>COUNTIFS(Dyno_Data[Team],TBA_Matches_All[[#This Row],[Team]],Dyno_Data[Match],TBA_Matches_All[[#This Row],[Match_Number]],Dyno_Data[RecordType],"Activities",Dyno_Data[DelOrig],"SubW", Dyno_Data[DelMiss],"1")</f>
        <v>0</v>
      </c>
      <c r="BS154" s="60">
        <f>IFERROR(SUM((TBA_Matches_All[[#This Row],[SubwT]])/(TBA_Matches_All[[#This Row],[SubwT]]+TBA_Matches_All[[#This Row],[SubwM]])),0)</f>
        <v>0</v>
      </c>
      <c r="BT154">
        <f>COUNTIFS(Dyno_Data[Team],TBA_Matches_All[[#This Row],[Team]],Dyno_Data[Match],TBA_Matches_All[[#This Row],[Match_Number]],Dyno_Data[RecordType],"Activities", Dyno_Data[AcqLoc],"OppWing")</f>
        <v>0</v>
      </c>
      <c r="BU154">
        <f>COUNTIFS(Dyno_Data[Team],TBA_Matches_All[[#This Row],[Team]],Dyno_Data[Match],TBA_Matches_All[[#This Row],[Match_Number]],Dyno_Data[RecordType],"Activities", Dyno_Data[AcqLoc],"Neutral")</f>
        <v>0</v>
      </c>
      <c r="BV154">
        <f>COUNTIFS(Dyno_Data[Team],TBA_Matches_All[[#This Row],[Team]],Dyno_Data[Match],TBA_Matches_All[[#This Row],[Match_Number]],Dyno_Data[RecordType],"Activities", Dyno_Data[AcqLoc],"AllyWing")</f>
        <v>0</v>
      </c>
      <c r="BW154">
        <f>COUNTIFS(Dyno_Data[Team],TBA_Matches_All[[#This Row],[Team]],Dyno_Data[Match],TBA_Matches_All[[#This Row],[Match_Number]],Dyno_Data[RecordType],"Activities", Dyno_Data[AcqLoc],"Source")</f>
        <v>0</v>
      </c>
      <c r="BX154">
        <f>SUMIFS(Dyno_Data[AcqDrp], Dyno_Data[Team],TBA_Matches_All[[#This Row],[Team]],Dyno_Data[Match],TBA_Matches_All[[#This Row],[Match_Number]],Dyno_Data[RecordType],"Activities", Dyno_Data[AcqLoc],"Source")</f>
        <v>0</v>
      </c>
      <c r="BY154">
        <f>SUMIFS(Dyno_Data[OZTime], Dyno_Data[Team],TBA_Matches_All[[#This Row],[Team]],Dyno_Data[Match],TBA_Matches_All[[#This Row],[Match_Number]],Dyno_Data[RecordType],"EndMatch")</f>
        <v>0</v>
      </c>
      <c r="BZ154">
        <f>SUMIFS(Dyno_Data[NZTime], Dyno_Data[Team],TBA_Matches_All[[#This Row],[Team]],Dyno_Data[Match],TBA_Matches_All[[#This Row],[Match_Number]],Dyno_Data[RecordType],"EndMatch")</f>
        <v>0</v>
      </c>
      <c r="CA154">
        <f>SUMIFS(Dyno_Data[AZTime], Dyno_Data[Team],TBA_Matches_All[[#This Row],[Team]],Dyno_Data[Match],TBA_Matches_All[[#This Row],[Match_Number]],Dyno_Data[RecordType],"EndMatch")</f>
        <v>0</v>
      </c>
      <c r="CB154">
        <f>SUMIFS(Dyno_Data[ClimbT], Dyno_Data[Team],TBA_Matches_All[[#This Row],[Team]],Dyno_Data[Match],TBA_Matches_All[[#This Row],[Match_Number]],Dyno_Data[RecordType],"EndMatch")</f>
        <v>0</v>
      </c>
      <c r="CC154" t="str">
        <f>_xlfn.XLOOKUP(SUM(MID(TBA_Matches_All[[#This Row],[Team]],4,5),(TBA_Matches_All[[#This Row],[Match_Number]]/100)),Dyno_EndMatch[teammat],Dyno_EndMatch[StageStat],"_",0,1)</f>
        <v>_</v>
      </c>
      <c r="CD154" t="str">
        <f>_xlfn.XLOOKUP(TBA_Matches_All[[#This Row],[teammat]],Dyno_EndMatch[teammat],Dyno_EndMatch[StageAtt],"_",0,1)</f>
        <v>_</v>
      </c>
      <c r="CE154" t="str">
        <f>_xlfn.XLOOKUP(TBA_Matches_All[[#This Row],[teammat]],Dyno_EndMatch[teammat],Dyno_EndMatch[StageLoc],"_",0,1)</f>
        <v>_</v>
      </c>
      <c r="CF154">
        <f>SUMIFS(Dyno_Data[Harmony], Dyno_Data[Team],TBA_Matches_All[[#This Row],[Team]],Dyno_Data[Match],TBA_Matches_All[[#This Row],[Match_Number]],Dyno_Data[RecordType],"EndMatch", Dyno_Data[StageStat],"On",Dyno_Data[Harmony],"&lt;&gt;9")</f>
        <v>0</v>
      </c>
      <c r="CG154">
        <f>SUMIFS(Dyno_Data[Spotlit], Dyno_Data[Team],TBA_Matches_All[[#This Row],[Team]],Dyno_Data[Match],TBA_Matches_All[[#This Row],[Match_Number]],Dyno_Data[RecordType],"EndMatch", Dyno_Data[StageStat],"On",Dyno_Data[Spotlit],"&lt;&gt;9")</f>
        <v>0</v>
      </c>
      <c r="CH154" t="str">
        <f>_xlfn.XLOOKUP(TBA_Matches_All[[#This Row],[teammat]],Dyno_EndMatch[teammat],Dyno_EndMatch[Strategy],"_",0,1)</f>
        <v>_</v>
      </c>
      <c r="CI154">
        <f>SUMIFS(Dyno_Data[Defense], Dyno_Data[Team],TBA_Matches_All[[#This Row],[Team]],Dyno_Data[Match],TBA_Matches_All[[#This Row],[Match_Number]],Dyno_Data[RecordType],"EndMatch",Dyno_Data[Defense],"&lt;&gt;9")</f>
        <v>0</v>
      </c>
      <c r="CJ154">
        <f>SUMIFS(Dyno_Data[Avoidance], Dyno_Data[Team],TBA_Matches_All[[#This Row],[Team]],Dyno_Data[Match],TBA_Matches_All[[#This Row],[Match_Number]],Dyno_Data[RecordType],"EndMatch",Dyno_Data[Avoidance],"&lt;&gt;9")</f>
        <v>0</v>
      </c>
      <c r="CK154" s="82">
        <f>COUNTIF($H$2:TBA_Matches_All[[#This Row],[Team]],TBA_Matches_All[[#This Row],[Team]])</f>
        <v>4</v>
      </c>
      <c r="CL154" s="111">
        <f>SUM(MID(TBA_Matches_All[[#This Row],[Team]],4,5)+TBA_Matches_All[[#This Row],[Match_Number]]/100)</f>
        <v>5149.26</v>
      </c>
      <c r="CM154">
        <f>SUM((TBA_Matches_All[[#This Row],[Leave]]*2)+(TBA_Matches_All[[#This Row],[AampT]]*2)+(TBA_Matches_All[[#This Row],[AspkrT]]*5)+(TBA_Matches_All[[#This Row],[AtrapT]]*5))</f>
        <v>0</v>
      </c>
      <c r="CN154" s="59">
        <f>IFERROR(SUM(TBA_Matches_All[[#This Row],[AptsT]]/TBA_Matches_All[[#This Row],[AutoPts]]),0)</f>
        <v>0</v>
      </c>
      <c r="CO154" s="59">
        <f>IFERROR(SUM(TBA_Matches_All[[#This Row],[AampT]]+TBA_Matches_All[[#This Row],[AspkrT]]+TBA_Matches_All[[#This Row],[AtrapT]]/TBA_Matches_All[[#This Row],[Aamp]]+TBA_Matches_All[[#This Row],[Aspkr]]+TBA_Matches_All[[#This Row],[AtrapT]]),0)</f>
        <v>0</v>
      </c>
      <c r="CP154" s="59">
        <f>IFERROR(SUM(TBA_Matches_All[[#This Row],[TampT]]/TBA_Matches_All[[#This Row],[Tamp]]),0)</f>
        <v>0</v>
      </c>
      <c r="CQ154" s="59">
        <f>IFERROR(SUM(TBA_Matches_All[[#This Row],[TspkrT]]/TBA_Matches_All[[#This Row],[Tspkr]]),0)</f>
        <v>0</v>
      </c>
      <c r="CR154">
        <f>SUM(TBA_Matches_All[[#This Row],[TspkrPts]]*TBA_Matches_All[[#This Row],[TspkrP]])</f>
        <v>0</v>
      </c>
      <c r="CS154" s="59">
        <f>IFERROR(SUM(TBA_Matches_All[[#This Row],[TtrapT]]/TBA_Matches_All[[#This Row],[Trap]]),0)</f>
        <v>0</v>
      </c>
      <c r="CT154" s="59">
        <f>IFERROR(SUM(TBA_Matches_All[[#This Row],[TotNotesT]]/TBA_Matches_All[[#This Row],[TotNotes]]),0)</f>
        <v>0</v>
      </c>
      <c r="CU154" s="66">
        <f>SUM((TBA_Matches_All[[#This Row],[AampT]]*2)+(TBA_Matches_All[[#This Row],[AspkrT]]*5)+(TBA_Matches_All[[#This Row],[AtrapT]]*5)+(TBA_Matches_All[[#This Row],[TampT]]*1)+(TBA_Matches_All[[#This Row],[TspkrptsC]]))</f>
        <v>0</v>
      </c>
      <c r="CV154" s="59">
        <f>IFERROR(TBA_Matches_All[[#This Row],[noteptsT]]/TBA_Matches_All[[#This Row],[NotePts]],0)</f>
        <v>0</v>
      </c>
      <c r="CW154">
        <f>SUM(IF(TBA_Matches_All[[#This Row],[stageStat]]="On",3,0),IF(TBA_Matches_All[[#This Row],[stageStat]]="Park",1,0),SUMIFS(TBA_Matches_All[[#This Row],[Spotlit]],TBA_Matches_All[[#This Row],[stageStat]],"On"),SUMIFS(TBA_Matches_All[[#This Row],[Harmony]],TBA_Matches_All[[#This Row],[stageStat]],"On"))</f>
        <v>0</v>
      </c>
      <c r="CX154" s="59">
        <f>IFERROR(TBA_Matches_All[[#This Row],[stageptsT]]/TBA_Matches_All[[#This Row],[StagePts]],0)</f>
        <v>0</v>
      </c>
      <c r="CY154">
        <f>SUM((TBA_Matches_All[[#This Row],[AptsT]]+TBA_Matches_All[[#This Row],[TampT]]+TBA_Matches_All[[#This Row],[TspkrptsC]]+(TBA_Matches_All[[#This Row],[TtrapT]]*5)+TBA_Matches_All[[#This Row],[stageptsT]]))</f>
        <v>0</v>
      </c>
      <c r="CZ154" s="59">
        <f>IFERROR(SUM(TBA_Matches_All[[#This Row],[TotptsC]]/TBA_Matches_All[[#This Row],[Score]]),0)</f>
        <v>0</v>
      </c>
      <c r="DA15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54" s="74">
        <f>SUMIFS(TBA_Matches_All[AveTeamTNoteDels],TBA_Matches_All[Match_Number],TBA_Matches_All[[#This Row],[Match_Number]],TBA_Matches_All[Alliance],"&lt;&gt;"&amp;TBA_Matches_All[[#This Row],[Alliance]],TBA_Matches_All[Scouted],"&gt;0")</f>
        <v>0</v>
      </c>
      <c r="DC154" s="74">
        <f>(TBA_Matches_All[[#This Row],[TampT]]+TBA_Matches_All[[#This Row],[TspkrptsC]])-TBA_Matches_All[[#This Row],[AveTeamTNoteDels]]</f>
        <v>0</v>
      </c>
      <c r="DD154" s="74">
        <f>SUMIFS(TBA_Matches_All[AveTeamTNoteDels],TBA_Matches_All[Match_Number],TBA_Matches_All[[#This Row],[Match_Number]],TBA_Matches_All[Alliance],"&lt;&gt;"&amp;TBA_Matches_All[[#This Row],[Alliance]])-TBA_Matches_All[[#This Row],[AveOppTNoteDels]]</f>
        <v>20.214269064269065</v>
      </c>
    </row>
    <row r="155" spans="1:108" x14ac:dyDescent="0.3">
      <c r="A155" t="s">
        <v>1042</v>
      </c>
      <c r="B155" t="s">
        <v>489</v>
      </c>
      <c r="C155" t="s">
        <v>1335</v>
      </c>
      <c r="D155">
        <v>26</v>
      </c>
      <c r="E155" t="s">
        <v>1420</v>
      </c>
      <c r="F155" t="s">
        <v>1421</v>
      </c>
      <c r="G155" t="s">
        <v>164</v>
      </c>
      <c r="H155" t="s">
        <v>1294</v>
      </c>
      <c r="I155" t="b">
        <v>0</v>
      </c>
      <c r="J155">
        <v>37</v>
      </c>
      <c r="K155">
        <v>0</v>
      </c>
      <c r="L155">
        <v>0</v>
      </c>
      <c r="M155">
        <v>4</v>
      </c>
      <c r="N155">
        <v>0</v>
      </c>
      <c r="O155">
        <v>4</v>
      </c>
      <c r="P155">
        <v>20</v>
      </c>
      <c r="Q155">
        <v>26</v>
      </c>
      <c r="R155">
        <v>0</v>
      </c>
      <c r="S155">
        <v>0</v>
      </c>
      <c r="T155">
        <v>4</v>
      </c>
      <c r="U155">
        <v>0</v>
      </c>
      <c r="V155">
        <v>8</v>
      </c>
      <c r="W155">
        <v>4</v>
      </c>
      <c r="X155">
        <v>8</v>
      </c>
      <c r="Y155">
        <v>8</v>
      </c>
      <c r="Z155">
        <v>0</v>
      </c>
      <c r="AA155">
        <v>0</v>
      </c>
      <c r="AB155">
        <v>8</v>
      </c>
      <c r="AC155">
        <v>28</v>
      </c>
      <c r="AD155">
        <v>3</v>
      </c>
      <c r="AE155">
        <f>IFERROR(6/(COUNTIF(Dyno_EndMatch[Match],TBA_Matches_All[[#This Row],[Match_Number]])),0)</f>
        <v>0</v>
      </c>
      <c r="AF155">
        <f>COUNTIFS(Dyno_Data[Team],TBA_Matches_All[[#This Row],[Team]],Dyno_Data[Match],TBA_Matches_All[[#This Row],[Match_Number]],Dyno_Data[RecordType],"EndMatch",Dyno_Data[HPAmp],"Y")</f>
        <v>0</v>
      </c>
      <c r="AG155">
        <f>SUMIFS(Dyno_Data[Mics], Dyno_Data[Team],TBA_Matches_All[[#This Row],[Team]],Dyno_Data[Match],TBA_Matches_All[[#This Row],[Match_Number]],Dyno_Data[RecordType],"EndMatch",Dyno_Data[HPAmp],"Y")</f>
        <v>0</v>
      </c>
      <c r="AH155">
        <f>SUMIFS(Dyno_Data[Leave], Dyno_Data[Team],TBA_Matches_All[[#This Row],[Team]],Dyno_Data[Match],TBA_Matches_All[[#This Row],[Match_Number]],Dyno_Data[RecordType],"EndAuto")</f>
        <v>0</v>
      </c>
      <c r="AI155">
        <f>COUNTIFS(Dyno_Data[Team],TBA_Matches_All[[#This Row],[Team]],Dyno_Data[Match],TBA_Matches_All[[#This Row],[Match_Number]],Dyno_Data[RecordType],"Activities",Dyno_Data[DelDest],"Amp", Dyno_Data[DelMiss],"0", Dyno_Data[Mode],"Auto")</f>
        <v>0</v>
      </c>
      <c r="AJ155">
        <f>COUNTIFS(Dyno_Data[Team],TBA_Matches_All[[#This Row],[Team]],Dyno_Data[Match],TBA_Matches_All[[#This Row],[Match_Number]],Dyno_Data[RecordType],"Activities",Dyno_Data[DelDest],"Spkr", Dyno_Data[DelMiss],"0", Dyno_Data[Mode],"Auto")</f>
        <v>0</v>
      </c>
      <c r="AK155">
        <f>COUNTIFS(Dyno_Data[Team],TBA_Matches_All[[#This Row],[Team]],Dyno_Data[Match],TBA_Matches_All[[#This Row],[Match_Number]],Dyno_Data[RecordType],"Activities",Dyno_Data[DelDest],"Trap", Dyno_Data[DelMiss],"0", Dyno_Data[Mode],"Auto")</f>
        <v>0</v>
      </c>
      <c r="AL155">
        <f>COUNTIFS(Dyno_Data[Team],TBA_Matches_All[[#This Row],[Team]],Dyno_Data[Match],TBA_Matches_All[[#This Row],[Match_Number]],Dyno_Data[RecordType],"Activities",Dyno_Data[DelDest],"Amp", Dyno_Data[DelMiss],"0", Dyno_Data[Mode],"Teleop")</f>
        <v>0</v>
      </c>
      <c r="AM155">
        <f>COUNTIFS(Dyno_Data[Team],TBA_Matches_All[[#This Row],[Team]],Dyno_Data[Match],TBA_Matches_All[[#This Row],[Match_Number]],Dyno_Data[RecordType],"Activities",Dyno_Data[DelDest],"Spkr", Dyno_Data[DelMiss],"0", Dyno_Data[Mode],"Teleop")</f>
        <v>0</v>
      </c>
      <c r="AN155">
        <f>COUNTIFS(Dyno_Data[Team],TBA_Matches_All[[#This Row],[Team]],Dyno_Data[Match],TBA_Matches_All[[#This Row],[Match_Number]],Dyno_Data[RecordType],"Activities",Dyno_Data[DelDest],"Trap", Dyno_Data[DelMiss],"0", Dyno_Data[Mode],"&lt;&gt;Auto")</f>
        <v>0</v>
      </c>
      <c r="AO155">
        <f>SUM(TBA_Matches_All[[#This Row],[AampT]]+TBA_Matches_All[[#This Row],[AspkrT]]+TBA_Matches_All[[#This Row],[AtrapT]]+TBA_Matches_All[[#This Row],[TampT]]+TBA_Matches_All[[#This Row],[TspkrT]]+TBA_Matches_All[[#This Row],[TtrapT]])</f>
        <v>0</v>
      </c>
      <c r="AP155">
        <f>COUNTIFS(Dyno_Data[Team],TBA_Matches_All[[#This Row],[Team]],Dyno_Data[Match],TBA_Matches_All[[#This Row],[Match_Number]],Dyno_Data[RecordType],"Activities",Dyno_Data[DelDest],"Neut", Dyno_Data[DelMiss],"0")</f>
        <v>0</v>
      </c>
      <c r="AQ155">
        <f>COUNTIFS(Dyno_Data[Team],TBA_Matches_All[[#This Row],[Team]],Dyno_Data[Match],TBA_Matches_All[[#This Row],[Match_Number]],Dyno_Data[RecordType],"Activities",Dyno_Data[DelDest],"AllyW", Dyno_Data[DelMiss],"0")</f>
        <v>0</v>
      </c>
      <c r="AR155" t="str">
        <f>_xlfn.XLOOKUP(SUM(MID(TBA_Matches_All[[#This Row],[Team]],4,5),(TBA_Matches_All[[#This Row],[Match_Number]]/100)),Dyno_EndMatch[teammat],Dyno_EndMatch[RobotSta],"_",0,1)</f>
        <v>_</v>
      </c>
      <c r="AS155">
        <f>SUMIFS(Dyno_Data[AcqDis], Dyno_Data[Team],TBA_Matches_All[[#This Row],[Team]],Dyno_Data[Match],TBA_Matches_All[[#This Row],[Match_Number]],Dyno_Data[RecordType],"Activities", Dyno_Data[AcqCenter],1,Dyno_Data[Mode],"Auto")</f>
        <v>0</v>
      </c>
      <c r="AT155">
        <f>SUMIFS(Dyno_Data[AcqDis], Dyno_Data[Team],TBA_Matches_All[[#This Row],[Team]],Dyno_Data[Match],TBA_Matches_All[[#This Row],[Match_Number]],Dyno_Data[RecordType],"Activities", Dyno_Data[AcqCenter],2,Dyno_Data[Mode],"Auto")</f>
        <v>0</v>
      </c>
      <c r="AU155">
        <f>SUMIFS(Dyno_Data[AcqDis], Dyno_Data[Team],TBA_Matches_All[[#This Row],[Team]],Dyno_Data[Match],TBA_Matches_All[[#This Row],[Match_Number]],Dyno_Data[RecordType],"Activities", Dyno_Data[AcqCenter],3,Dyno_Data[Mode],"Auto")</f>
        <v>0</v>
      </c>
      <c r="AV155">
        <f>SUMIFS(Dyno_Data[AcqDis], Dyno_Data[Team],TBA_Matches_All[[#This Row],[Team]],Dyno_Data[Match],TBA_Matches_All[[#This Row],[Match_Number]],Dyno_Data[RecordType],"Activities", Dyno_Data[AcqCenter],4,Dyno_Data[Mode],"Auto")</f>
        <v>0</v>
      </c>
      <c r="AW155">
        <f>SUMIFS(Dyno_Data[AcqDis], Dyno_Data[Team],TBA_Matches_All[[#This Row],[Team]],Dyno_Data[Match],TBA_Matches_All[[#This Row],[Match_Number]],Dyno_Data[RecordType],"Activities", Dyno_Data[AcqCenter],5,Dyno_Data[Mode],"Auto")</f>
        <v>0</v>
      </c>
      <c r="AX155">
        <f>SUMIFS(Dyno_Data[DelMiss], Dyno_Data[Team],TBA_Matches_All[[#This Row],[Team]],Dyno_Data[Match],TBA_Matches_All[[#This Row],[Match_Number]],Dyno_Data[RecordType],"Activities", Dyno_Data[DelDest],"Amp")</f>
        <v>0</v>
      </c>
      <c r="AY155" s="60">
        <f>IFERROR(SUM((TBA_Matches_All[[#This Row],[AampT]]+TBA_Matches_All[[#This Row],[TampT]])/(TBA_Matches_All[[#This Row],[AampT]]+TBA_Matches_All[[#This Row],[TampT]]+TBA_Matches_All[[#This Row],[ampM]])),0)</f>
        <v>0</v>
      </c>
      <c r="AZ155">
        <f>SUMIFS(Dyno_Data[DelMiss], Dyno_Data[Team],TBA_Matches_All[[#This Row],[Team]],Dyno_Data[Match],TBA_Matches_All[[#This Row],[Match_Number]],Dyno_Data[RecordType],"Activities", Dyno_Data[DelDest],"Spkr")</f>
        <v>0</v>
      </c>
      <c r="BA155" s="60">
        <f>IFERROR(SUM((TBA_Matches_All[[#This Row],[AspkrT]]+TBA_Matches_All[[#This Row],[TspkrT]])/(TBA_Matches_All[[#This Row],[AspkrT]]+TBA_Matches_All[[#This Row],[TspkrT]]+TBA_Matches_All[[#This Row],[spkrM]])),0)</f>
        <v>0</v>
      </c>
      <c r="BB155">
        <f>SUMIFS(Dyno_Data[DelMiss], Dyno_Data[Team],TBA_Matches_All[[#This Row],[Team]],Dyno_Data[Match],TBA_Matches_All[[#This Row],[Match_Number]],Dyno_Data[RecordType],"Activities", Dyno_Data[DelDest],"Trap")</f>
        <v>0</v>
      </c>
      <c r="BC155" s="60">
        <f>IFERROR((TBA_Matches_All[[#This Row],[AtrapT]]+TBA_Matches_All[[#This Row],[TtrapT]])/(TBA_Matches_All[[#This Row],[AtrapT]]+TBA_Matches_All[[#This Row],[TtrapT]]+TBA_Matches_All[[#This Row],[trapM]]),0)</f>
        <v>0</v>
      </c>
      <c r="BD155">
        <f>COUNTIFS(Dyno_Data[Team],TBA_Matches_All[[#This Row],[Team]],Dyno_Data[Match],TBA_Matches_All[[#This Row],[Match_Number]],Dyno_Data[RecordType],"Activities",Dyno_Data[DelDest],"Neut", Dyno_Data[DelMiss],1)</f>
        <v>0</v>
      </c>
      <c r="BE155" s="60">
        <f>IFERROR(SUM((TBA_Matches_All[[#This Row],[NeutFlrT]])/(TBA_Matches_All[[#This Row],[NeutFlrT]]+TBA_Matches_All[[#This Row],[NZflM]])),0)</f>
        <v>0</v>
      </c>
      <c r="BF155">
        <f>COUNTIFS(Dyno_Data[Team],TBA_Matches_All[[#This Row],[Team]],Dyno_Data[Match],TBA_Matches_All[[#This Row],[Match_Number]],Dyno_Data[RecordType],"Activities",Dyno_Data[DelDest],"AllyW", Dyno_Data[DelMiss],1)</f>
        <v>0</v>
      </c>
      <c r="BG155" s="60">
        <f>IFERROR(SUM((TBA_Matches_All[[#This Row],[AllyWFlrT]])/(TBA_Matches_All[[#This Row],[AllyWFlrT]]+TBA_Matches_All[[#This Row],[AZflM]])),0)</f>
        <v>0</v>
      </c>
      <c r="BH155">
        <f>COUNTIFS(Dyno_Data[Team],TBA_Matches_All[[#This Row],[Team]],Dyno_Data[Match],TBA_Matches_All[[#This Row],[Match_Number]],Dyno_Data[RecordType],"Activities",Dyno_Data[DelOrig],"OppW", Dyno_Data[DelMiss],"0")</f>
        <v>0</v>
      </c>
      <c r="BI155">
        <f>COUNTIFS(Dyno_Data[Team],TBA_Matches_All[[#This Row],[Team]],Dyno_Data[Match],TBA_Matches_All[[#This Row],[Match_Number]],Dyno_Data[RecordType],"Activities",Dyno_Data[DelOrig],"OppW", Dyno_Data[DelMiss],"1")</f>
        <v>0</v>
      </c>
      <c r="BJ155" s="60">
        <f>IFERROR(SUM((TBA_Matches_All[[#This Row],[OZflrT]])/(TBA_Matches_All[[#This Row],[OZflrT]]+TBA_Matches_All[[#This Row],[OZflrM]])),0)</f>
        <v>0</v>
      </c>
      <c r="BK155">
        <f>COUNTIFS(Dyno_Data[Team],TBA_Matches_All[[#This Row],[Team]],Dyno_Data[Match],TBA_Matches_All[[#This Row],[Match_Number]],Dyno_Data[RecordType],"Activities",Dyno_Data[DelOrig],"Neut", Dyno_Data[DelMiss],"0")</f>
        <v>0</v>
      </c>
      <c r="BL155">
        <f>COUNTIFS(Dyno_Data[Team],TBA_Matches_All[[#This Row],[Team]],Dyno_Data[Match],TBA_Matches_All[[#This Row],[Match_Number]],Dyno_Data[RecordType],"Activities",Dyno_Data[DelOrig],"Neut", Dyno_Data[DelMiss],"1")</f>
        <v>0</v>
      </c>
      <c r="BM155" s="60">
        <f>IFERROR(SUM((TBA_Matches_All[[#This Row],[NZflrT]])/(TBA_Matches_All[[#This Row],[NZflrT]]+TBA_Matches_All[[#This Row],[NZflrM]])),0)</f>
        <v>0</v>
      </c>
      <c r="BN155">
        <f>COUNTIFS(Dyno_Data[Team],TBA_Matches_All[[#This Row],[Team]],Dyno_Data[Match],TBA_Matches_All[[#This Row],[Match_Number]],Dyno_Data[RecordType],"Activities",Dyno_Data[DelOrig],"AllyW", Dyno_Data[DelMiss],"0")</f>
        <v>0</v>
      </c>
      <c r="BO155">
        <f>COUNTIFS(Dyno_Data[Team],TBA_Matches_All[[#This Row],[Team]],Dyno_Data[Match],TBA_Matches_All[[#This Row],[Match_Number]],Dyno_Data[RecordType],"Activities",Dyno_Data[DelOrig],"AllyW", Dyno_Data[DelMiss],"1")</f>
        <v>0</v>
      </c>
      <c r="BP155" s="60">
        <f>IFERROR(SUM((TBA_Matches_All[[#This Row],[AZflrT]])/(TBA_Matches_All[[#This Row],[AZflrT]]+TBA_Matches_All[[#This Row],[AZflrM]])),0)</f>
        <v>0</v>
      </c>
      <c r="BQ155">
        <f>COUNTIFS(Dyno_Data[Team],TBA_Matches_All[[#This Row],[Team]],Dyno_Data[Match],TBA_Matches_All[[#This Row],[Match_Number]],Dyno_Data[RecordType],"Activities",Dyno_Data[DelOrig],"SubW", Dyno_Data[DelMiss],"0")</f>
        <v>0</v>
      </c>
      <c r="BR155">
        <f>COUNTIFS(Dyno_Data[Team],TBA_Matches_All[[#This Row],[Team]],Dyno_Data[Match],TBA_Matches_All[[#This Row],[Match_Number]],Dyno_Data[RecordType],"Activities",Dyno_Data[DelOrig],"SubW", Dyno_Data[DelMiss],"1")</f>
        <v>0</v>
      </c>
      <c r="BS155" s="60">
        <f>IFERROR(SUM((TBA_Matches_All[[#This Row],[SubwT]])/(TBA_Matches_All[[#This Row],[SubwT]]+TBA_Matches_All[[#This Row],[SubwM]])),0)</f>
        <v>0</v>
      </c>
      <c r="BT155">
        <f>COUNTIFS(Dyno_Data[Team],TBA_Matches_All[[#This Row],[Team]],Dyno_Data[Match],TBA_Matches_All[[#This Row],[Match_Number]],Dyno_Data[RecordType],"Activities", Dyno_Data[AcqLoc],"OppWing")</f>
        <v>0</v>
      </c>
      <c r="BU155">
        <f>COUNTIFS(Dyno_Data[Team],TBA_Matches_All[[#This Row],[Team]],Dyno_Data[Match],TBA_Matches_All[[#This Row],[Match_Number]],Dyno_Data[RecordType],"Activities", Dyno_Data[AcqLoc],"Neutral")</f>
        <v>0</v>
      </c>
      <c r="BV155">
        <f>COUNTIFS(Dyno_Data[Team],TBA_Matches_All[[#This Row],[Team]],Dyno_Data[Match],TBA_Matches_All[[#This Row],[Match_Number]],Dyno_Data[RecordType],"Activities", Dyno_Data[AcqLoc],"AllyWing")</f>
        <v>0</v>
      </c>
      <c r="BW155">
        <f>COUNTIFS(Dyno_Data[Team],TBA_Matches_All[[#This Row],[Team]],Dyno_Data[Match],TBA_Matches_All[[#This Row],[Match_Number]],Dyno_Data[RecordType],"Activities", Dyno_Data[AcqLoc],"Source")</f>
        <v>0</v>
      </c>
      <c r="BX155">
        <f>SUMIFS(Dyno_Data[AcqDrp], Dyno_Data[Team],TBA_Matches_All[[#This Row],[Team]],Dyno_Data[Match],TBA_Matches_All[[#This Row],[Match_Number]],Dyno_Data[RecordType],"Activities", Dyno_Data[AcqLoc],"Source")</f>
        <v>0</v>
      </c>
      <c r="BY155">
        <f>SUMIFS(Dyno_Data[OZTime], Dyno_Data[Team],TBA_Matches_All[[#This Row],[Team]],Dyno_Data[Match],TBA_Matches_All[[#This Row],[Match_Number]],Dyno_Data[RecordType],"EndMatch")</f>
        <v>0</v>
      </c>
      <c r="BZ155">
        <f>SUMIFS(Dyno_Data[NZTime], Dyno_Data[Team],TBA_Matches_All[[#This Row],[Team]],Dyno_Data[Match],TBA_Matches_All[[#This Row],[Match_Number]],Dyno_Data[RecordType],"EndMatch")</f>
        <v>0</v>
      </c>
      <c r="CA155">
        <f>SUMIFS(Dyno_Data[AZTime], Dyno_Data[Team],TBA_Matches_All[[#This Row],[Team]],Dyno_Data[Match],TBA_Matches_All[[#This Row],[Match_Number]],Dyno_Data[RecordType],"EndMatch")</f>
        <v>0</v>
      </c>
      <c r="CB155">
        <f>SUMIFS(Dyno_Data[ClimbT], Dyno_Data[Team],TBA_Matches_All[[#This Row],[Team]],Dyno_Data[Match],TBA_Matches_All[[#This Row],[Match_Number]],Dyno_Data[RecordType],"EndMatch")</f>
        <v>0</v>
      </c>
      <c r="CC155" t="str">
        <f>_xlfn.XLOOKUP(SUM(MID(TBA_Matches_All[[#This Row],[Team]],4,5),(TBA_Matches_All[[#This Row],[Match_Number]]/100)),Dyno_EndMatch[teammat],Dyno_EndMatch[StageStat],"_",0,1)</f>
        <v>_</v>
      </c>
      <c r="CD155" t="str">
        <f>_xlfn.XLOOKUP(TBA_Matches_All[[#This Row],[teammat]],Dyno_EndMatch[teammat],Dyno_EndMatch[StageAtt],"_",0,1)</f>
        <v>_</v>
      </c>
      <c r="CE155" t="str">
        <f>_xlfn.XLOOKUP(TBA_Matches_All[[#This Row],[teammat]],Dyno_EndMatch[teammat],Dyno_EndMatch[StageLoc],"_",0,1)</f>
        <v>_</v>
      </c>
      <c r="CF155">
        <f>SUMIFS(Dyno_Data[Harmony], Dyno_Data[Team],TBA_Matches_All[[#This Row],[Team]],Dyno_Data[Match],TBA_Matches_All[[#This Row],[Match_Number]],Dyno_Data[RecordType],"EndMatch", Dyno_Data[StageStat],"On",Dyno_Data[Harmony],"&lt;&gt;9")</f>
        <v>0</v>
      </c>
      <c r="CG155">
        <f>SUMIFS(Dyno_Data[Spotlit], Dyno_Data[Team],TBA_Matches_All[[#This Row],[Team]],Dyno_Data[Match],TBA_Matches_All[[#This Row],[Match_Number]],Dyno_Data[RecordType],"EndMatch", Dyno_Data[StageStat],"On",Dyno_Data[Spotlit],"&lt;&gt;9")</f>
        <v>0</v>
      </c>
      <c r="CH155" t="str">
        <f>_xlfn.XLOOKUP(TBA_Matches_All[[#This Row],[teammat]],Dyno_EndMatch[teammat],Dyno_EndMatch[Strategy],"_",0,1)</f>
        <v>_</v>
      </c>
      <c r="CI155">
        <f>SUMIFS(Dyno_Data[Defense], Dyno_Data[Team],TBA_Matches_All[[#This Row],[Team]],Dyno_Data[Match],TBA_Matches_All[[#This Row],[Match_Number]],Dyno_Data[RecordType],"EndMatch",Dyno_Data[Defense],"&lt;&gt;9")</f>
        <v>0</v>
      </c>
      <c r="CJ155">
        <f>SUMIFS(Dyno_Data[Avoidance], Dyno_Data[Team],TBA_Matches_All[[#This Row],[Team]],Dyno_Data[Match],TBA_Matches_All[[#This Row],[Match_Number]],Dyno_Data[RecordType],"EndMatch",Dyno_Data[Avoidance],"&lt;&gt;9")</f>
        <v>0</v>
      </c>
      <c r="CK155" s="82">
        <f>COUNTIF($H$2:TBA_Matches_All[[#This Row],[Team]],TBA_Matches_All[[#This Row],[Team]])</f>
        <v>4</v>
      </c>
      <c r="CL155" s="111">
        <f>SUM(MID(TBA_Matches_All[[#This Row],[Team]],4,5)+TBA_Matches_All[[#This Row],[Match_Number]]/100)</f>
        <v>9076.26</v>
      </c>
      <c r="CM155">
        <f>SUM((TBA_Matches_All[[#This Row],[Leave]]*2)+(TBA_Matches_All[[#This Row],[AampT]]*2)+(TBA_Matches_All[[#This Row],[AspkrT]]*5)+(TBA_Matches_All[[#This Row],[AtrapT]]*5))</f>
        <v>0</v>
      </c>
      <c r="CN155" s="59">
        <f>IFERROR(SUM(TBA_Matches_All[[#This Row],[AptsT]]/TBA_Matches_All[[#This Row],[AutoPts]]),0)</f>
        <v>0</v>
      </c>
      <c r="CO155" s="59">
        <f>IFERROR(SUM(TBA_Matches_All[[#This Row],[AampT]]+TBA_Matches_All[[#This Row],[AspkrT]]+TBA_Matches_All[[#This Row],[AtrapT]]/TBA_Matches_All[[#This Row],[Aamp]]+TBA_Matches_All[[#This Row],[Aspkr]]+TBA_Matches_All[[#This Row],[AtrapT]]),0)</f>
        <v>0</v>
      </c>
      <c r="CP155" s="59">
        <f>IFERROR(SUM(TBA_Matches_All[[#This Row],[TampT]]/TBA_Matches_All[[#This Row],[Tamp]]),0)</f>
        <v>0</v>
      </c>
      <c r="CQ155" s="59">
        <f>IFERROR(SUM(TBA_Matches_All[[#This Row],[TspkrT]]/TBA_Matches_All[[#This Row],[Tspkr]]),0)</f>
        <v>0</v>
      </c>
      <c r="CR155">
        <f>SUM(TBA_Matches_All[[#This Row],[TspkrPts]]*TBA_Matches_All[[#This Row],[TspkrP]])</f>
        <v>0</v>
      </c>
      <c r="CS155" s="59">
        <f>IFERROR(SUM(TBA_Matches_All[[#This Row],[TtrapT]]/TBA_Matches_All[[#This Row],[Trap]]),0)</f>
        <v>0</v>
      </c>
      <c r="CT155" s="59">
        <f>IFERROR(SUM(TBA_Matches_All[[#This Row],[TotNotesT]]/TBA_Matches_All[[#This Row],[TotNotes]]),0)</f>
        <v>0</v>
      </c>
      <c r="CU155" s="66">
        <f>SUM((TBA_Matches_All[[#This Row],[AampT]]*2)+(TBA_Matches_All[[#This Row],[AspkrT]]*5)+(TBA_Matches_All[[#This Row],[AtrapT]]*5)+(TBA_Matches_All[[#This Row],[TampT]]*1)+(TBA_Matches_All[[#This Row],[TspkrptsC]]))</f>
        <v>0</v>
      </c>
      <c r="CV155" s="59">
        <f>IFERROR(TBA_Matches_All[[#This Row],[noteptsT]]/TBA_Matches_All[[#This Row],[NotePts]],0)</f>
        <v>0</v>
      </c>
      <c r="CW155">
        <f>SUM(IF(TBA_Matches_All[[#This Row],[stageStat]]="On",3,0),IF(TBA_Matches_All[[#This Row],[stageStat]]="Park",1,0),SUMIFS(TBA_Matches_All[[#This Row],[Spotlit]],TBA_Matches_All[[#This Row],[stageStat]],"On"),SUMIFS(TBA_Matches_All[[#This Row],[Harmony]],TBA_Matches_All[[#This Row],[stageStat]],"On"))</f>
        <v>0</v>
      </c>
      <c r="CX155" s="59">
        <f>IFERROR(TBA_Matches_All[[#This Row],[stageptsT]]/TBA_Matches_All[[#This Row],[StagePts]],0)</f>
        <v>0</v>
      </c>
      <c r="CY155">
        <f>SUM((TBA_Matches_All[[#This Row],[AptsT]]+TBA_Matches_All[[#This Row],[TampT]]+TBA_Matches_All[[#This Row],[TspkrptsC]]+(TBA_Matches_All[[#This Row],[TtrapT]]*5)+TBA_Matches_All[[#This Row],[stageptsT]]))</f>
        <v>0</v>
      </c>
      <c r="CZ155" s="59">
        <f>IFERROR(SUM(TBA_Matches_All[[#This Row],[TotptsC]]/TBA_Matches_All[[#This Row],[Score]]),0)</f>
        <v>0</v>
      </c>
      <c r="DA15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4.9118881118881124</v>
      </c>
      <c r="DB155" s="74">
        <f>SUMIFS(TBA_Matches_All[AveTeamTNoteDels],TBA_Matches_All[Match_Number],TBA_Matches_All[[#This Row],[Match_Number]],TBA_Matches_All[Alliance],"&lt;&gt;"&amp;TBA_Matches_All[[#This Row],[Alliance]],TBA_Matches_All[Scouted],"&gt;0")</f>
        <v>0</v>
      </c>
      <c r="DC155" s="74">
        <f>(TBA_Matches_All[[#This Row],[TampT]]+TBA_Matches_All[[#This Row],[TspkrptsC]])-TBA_Matches_All[[#This Row],[AveTeamTNoteDels]]</f>
        <v>-4.9118881118881124</v>
      </c>
      <c r="DD155" s="74">
        <f>SUMIFS(TBA_Matches_All[AveTeamTNoteDels],TBA_Matches_All[Match_Number],TBA_Matches_All[[#This Row],[Match_Number]],TBA_Matches_All[Alliance],"&lt;&gt;"&amp;TBA_Matches_All[[#This Row],[Alliance]])-TBA_Matches_All[[#This Row],[AveOppTNoteDels]]</f>
        <v>20.591608391608389</v>
      </c>
    </row>
    <row r="156" spans="1:108" x14ac:dyDescent="0.3">
      <c r="A156" t="s">
        <v>1042</v>
      </c>
      <c r="B156" t="s">
        <v>489</v>
      </c>
      <c r="C156" t="s">
        <v>1335</v>
      </c>
      <c r="D156">
        <v>26</v>
      </c>
      <c r="E156" t="s">
        <v>1406</v>
      </c>
      <c r="F156" t="s">
        <v>1422</v>
      </c>
      <c r="G156" t="s">
        <v>105</v>
      </c>
      <c r="H156" t="s">
        <v>1276</v>
      </c>
      <c r="I156" t="b">
        <v>0</v>
      </c>
      <c r="J156">
        <v>30</v>
      </c>
      <c r="K156">
        <v>0</v>
      </c>
      <c r="L156">
        <v>0</v>
      </c>
      <c r="M156">
        <v>0</v>
      </c>
      <c r="N156">
        <v>0</v>
      </c>
      <c r="O156">
        <v>1</v>
      </c>
      <c r="P156">
        <v>5</v>
      </c>
      <c r="Q156">
        <v>7</v>
      </c>
      <c r="R156">
        <v>0</v>
      </c>
      <c r="S156">
        <v>0</v>
      </c>
      <c r="T156">
        <v>8</v>
      </c>
      <c r="U156">
        <v>0</v>
      </c>
      <c r="V156">
        <v>16</v>
      </c>
      <c r="W156">
        <v>8</v>
      </c>
      <c r="X156">
        <v>16</v>
      </c>
      <c r="Y156">
        <v>16</v>
      </c>
      <c r="Z156">
        <v>0</v>
      </c>
      <c r="AA156">
        <v>0</v>
      </c>
      <c r="AB156">
        <v>9</v>
      </c>
      <c r="AC156">
        <v>21</v>
      </c>
      <c r="AD156">
        <v>3</v>
      </c>
      <c r="AE156">
        <f>IFERROR(6/(COUNTIF(Dyno_EndMatch[Match],TBA_Matches_All[[#This Row],[Match_Number]])),0)</f>
        <v>0</v>
      </c>
      <c r="AF156">
        <f>COUNTIFS(Dyno_Data[Team],TBA_Matches_All[[#This Row],[Team]],Dyno_Data[Match],TBA_Matches_All[[#This Row],[Match_Number]],Dyno_Data[RecordType],"EndMatch",Dyno_Data[HPAmp],"Y")</f>
        <v>0</v>
      </c>
      <c r="AG156">
        <f>SUMIFS(Dyno_Data[Mics], Dyno_Data[Team],TBA_Matches_All[[#This Row],[Team]],Dyno_Data[Match],TBA_Matches_All[[#This Row],[Match_Number]],Dyno_Data[RecordType],"EndMatch",Dyno_Data[HPAmp],"Y")</f>
        <v>0</v>
      </c>
      <c r="AH156">
        <f>SUMIFS(Dyno_Data[Leave], Dyno_Data[Team],TBA_Matches_All[[#This Row],[Team]],Dyno_Data[Match],TBA_Matches_All[[#This Row],[Match_Number]],Dyno_Data[RecordType],"EndAuto")</f>
        <v>0</v>
      </c>
      <c r="AI156">
        <f>COUNTIFS(Dyno_Data[Team],TBA_Matches_All[[#This Row],[Team]],Dyno_Data[Match],TBA_Matches_All[[#This Row],[Match_Number]],Dyno_Data[RecordType],"Activities",Dyno_Data[DelDest],"Amp", Dyno_Data[DelMiss],"0", Dyno_Data[Mode],"Auto")</f>
        <v>0</v>
      </c>
      <c r="AJ156">
        <f>COUNTIFS(Dyno_Data[Team],TBA_Matches_All[[#This Row],[Team]],Dyno_Data[Match],TBA_Matches_All[[#This Row],[Match_Number]],Dyno_Data[RecordType],"Activities",Dyno_Data[DelDest],"Spkr", Dyno_Data[DelMiss],"0", Dyno_Data[Mode],"Auto")</f>
        <v>0</v>
      </c>
      <c r="AK156">
        <f>COUNTIFS(Dyno_Data[Team],TBA_Matches_All[[#This Row],[Team]],Dyno_Data[Match],TBA_Matches_All[[#This Row],[Match_Number]],Dyno_Data[RecordType],"Activities",Dyno_Data[DelDest],"Trap", Dyno_Data[DelMiss],"0", Dyno_Data[Mode],"Auto")</f>
        <v>0</v>
      </c>
      <c r="AL156">
        <f>COUNTIFS(Dyno_Data[Team],TBA_Matches_All[[#This Row],[Team]],Dyno_Data[Match],TBA_Matches_All[[#This Row],[Match_Number]],Dyno_Data[RecordType],"Activities",Dyno_Data[DelDest],"Amp", Dyno_Data[DelMiss],"0", Dyno_Data[Mode],"Teleop")</f>
        <v>0</v>
      </c>
      <c r="AM156">
        <f>COUNTIFS(Dyno_Data[Team],TBA_Matches_All[[#This Row],[Team]],Dyno_Data[Match],TBA_Matches_All[[#This Row],[Match_Number]],Dyno_Data[RecordType],"Activities",Dyno_Data[DelDest],"Spkr", Dyno_Data[DelMiss],"0", Dyno_Data[Mode],"Teleop")</f>
        <v>0</v>
      </c>
      <c r="AN156">
        <f>COUNTIFS(Dyno_Data[Team],TBA_Matches_All[[#This Row],[Team]],Dyno_Data[Match],TBA_Matches_All[[#This Row],[Match_Number]],Dyno_Data[RecordType],"Activities",Dyno_Data[DelDest],"Trap", Dyno_Data[DelMiss],"0", Dyno_Data[Mode],"&lt;&gt;Auto")</f>
        <v>0</v>
      </c>
      <c r="AO156">
        <f>SUM(TBA_Matches_All[[#This Row],[AampT]]+TBA_Matches_All[[#This Row],[AspkrT]]+TBA_Matches_All[[#This Row],[AtrapT]]+TBA_Matches_All[[#This Row],[TampT]]+TBA_Matches_All[[#This Row],[TspkrT]]+TBA_Matches_All[[#This Row],[TtrapT]])</f>
        <v>0</v>
      </c>
      <c r="AP156">
        <f>COUNTIFS(Dyno_Data[Team],TBA_Matches_All[[#This Row],[Team]],Dyno_Data[Match],TBA_Matches_All[[#This Row],[Match_Number]],Dyno_Data[RecordType],"Activities",Dyno_Data[DelDest],"Neut", Dyno_Data[DelMiss],"0")</f>
        <v>0</v>
      </c>
      <c r="AQ156">
        <f>COUNTIFS(Dyno_Data[Team],TBA_Matches_All[[#This Row],[Team]],Dyno_Data[Match],TBA_Matches_All[[#This Row],[Match_Number]],Dyno_Data[RecordType],"Activities",Dyno_Data[DelDest],"AllyW", Dyno_Data[DelMiss],"0")</f>
        <v>0</v>
      </c>
      <c r="AR156" t="str">
        <f>_xlfn.XLOOKUP(SUM(MID(TBA_Matches_All[[#This Row],[Team]],4,5),(TBA_Matches_All[[#This Row],[Match_Number]]/100)),Dyno_EndMatch[teammat],Dyno_EndMatch[RobotSta],"_",0,1)</f>
        <v>_</v>
      </c>
      <c r="AS156">
        <f>SUMIFS(Dyno_Data[AcqDis], Dyno_Data[Team],TBA_Matches_All[[#This Row],[Team]],Dyno_Data[Match],TBA_Matches_All[[#This Row],[Match_Number]],Dyno_Data[RecordType],"Activities", Dyno_Data[AcqCenter],1,Dyno_Data[Mode],"Auto")</f>
        <v>0</v>
      </c>
      <c r="AT156">
        <f>SUMIFS(Dyno_Data[AcqDis], Dyno_Data[Team],TBA_Matches_All[[#This Row],[Team]],Dyno_Data[Match],TBA_Matches_All[[#This Row],[Match_Number]],Dyno_Data[RecordType],"Activities", Dyno_Data[AcqCenter],2,Dyno_Data[Mode],"Auto")</f>
        <v>0</v>
      </c>
      <c r="AU156">
        <f>SUMIFS(Dyno_Data[AcqDis], Dyno_Data[Team],TBA_Matches_All[[#This Row],[Team]],Dyno_Data[Match],TBA_Matches_All[[#This Row],[Match_Number]],Dyno_Data[RecordType],"Activities", Dyno_Data[AcqCenter],3,Dyno_Data[Mode],"Auto")</f>
        <v>0</v>
      </c>
      <c r="AV156">
        <f>SUMIFS(Dyno_Data[AcqDis], Dyno_Data[Team],TBA_Matches_All[[#This Row],[Team]],Dyno_Data[Match],TBA_Matches_All[[#This Row],[Match_Number]],Dyno_Data[RecordType],"Activities", Dyno_Data[AcqCenter],4,Dyno_Data[Mode],"Auto")</f>
        <v>0</v>
      </c>
      <c r="AW156">
        <f>SUMIFS(Dyno_Data[AcqDis], Dyno_Data[Team],TBA_Matches_All[[#This Row],[Team]],Dyno_Data[Match],TBA_Matches_All[[#This Row],[Match_Number]],Dyno_Data[RecordType],"Activities", Dyno_Data[AcqCenter],5,Dyno_Data[Mode],"Auto")</f>
        <v>0</v>
      </c>
      <c r="AX156">
        <f>SUMIFS(Dyno_Data[DelMiss], Dyno_Data[Team],TBA_Matches_All[[#This Row],[Team]],Dyno_Data[Match],TBA_Matches_All[[#This Row],[Match_Number]],Dyno_Data[RecordType],"Activities", Dyno_Data[DelDest],"Amp")</f>
        <v>0</v>
      </c>
      <c r="AY156" s="60">
        <f>IFERROR(SUM((TBA_Matches_All[[#This Row],[AampT]]+TBA_Matches_All[[#This Row],[TampT]])/(TBA_Matches_All[[#This Row],[AampT]]+TBA_Matches_All[[#This Row],[TampT]]+TBA_Matches_All[[#This Row],[ampM]])),0)</f>
        <v>0</v>
      </c>
      <c r="AZ156">
        <f>SUMIFS(Dyno_Data[DelMiss], Dyno_Data[Team],TBA_Matches_All[[#This Row],[Team]],Dyno_Data[Match],TBA_Matches_All[[#This Row],[Match_Number]],Dyno_Data[RecordType],"Activities", Dyno_Data[DelDest],"Spkr")</f>
        <v>0</v>
      </c>
      <c r="BA156" s="60">
        <f>IFERROR(SUM((TBA_Matches_All[[#This Row],[AspkrT]]+TBA_Matches_All[[#This Row],[TspkrT]])/(TBA_Matches_All[[#This Row],[AspkrT]]+TBA_Matches_All[[#This Row],[TspkrT]]+TBA_Matches_All[[#This Row],[spkrM]])),0)</f>
        <v>0</v>
      </c>
      <c r="BB156">
        <f>SUMIFS(Dyno_Data[DelMiss], Dyno_Data[Team],TBA_Matches_All[[#This Row],[Team]],Dyno_Data[Match],TBA_Matches_All[[#This Row],[Match_Number]],Dyno_Data[RecordType],"Activities", Dyno_Data[DelDest],"Trap")</f>
        <v>0</v>
      </c>
      <c r="BC156" s="60">
        <f>IFERROR((TBA_Matches_All[[#This Row],[AtrapT]]+TBA_Matches_All[[#This Row],[TtrapT]])/(TBA_Matches_All[[#This Row],[AtrapT]]+TBA_Matches_All[[#This Row],[TtrapT]]+TBA_Matches_All[[#This Row],[trapM]]),0)</f>
        <v>0</v>
      </c>
      <c r="BD156">
        <f>COUNTIFS(Dyno_Data[Team],TBA_Matches_All[[#This Row],[Team]],Dyno_Data[Match],TBA_Matches_All[[#This Row],[Match_Number]],Dyno_Data[RecordType],"Activities",Dyno_Data[DelDest],"Neut", Dyno_Data[DelMiss],1)</f>
        <v>0</v>
      </c>
      <c r="BE156" s="60">
        <f>IFERROR(SUM((TBA_Matches_All[[#This Row],[NeutFlrT]])/(TBA_Matches_All[[#This Row],[NeutFlrT]]+TBA_Matches_All[[#This Row],[NZflM]])),0)</f>
        <v>0</v>
      </c>
      <c r="BF156">
        <f>COUNTIFS(Dyno_Data[Team],TBA_Matches_All[[#This Row],[Team]],Dyno_Data[Match],TBA_Matches_All[[#This Row],[Match_Number]],Dyno_Data[RecordType],"Activities",Dyno_Data[DelDest],"AllyW", Dyno_Data[DelMiss],1)</f>
        <v>0</v>
      </c>
      <c r="BG156" s="60">
        <f>IFERROR(SUM((TBA_Matches_All[[#This Row],[AllyWFlrT]])/(TBA_Matches_All[[#This Row],[AllyWFlrT]]+TBA_Matches_All[[#This Row],[AZflM]])),0)</f>
        <v>0</v>
      </c>
      <c r="BH156">
        <f>COUNTIFS(Dyno_Data[Team],TBA_Matches_All[[#This Row],[Team]],Dyno_Data[Match],TBA_Matches_All[[#This Row],[Match_Number]],Dyno_Data[RecordType],"Activities",Dyno_Data[DelOrig],"OppW", Dyno_Data[DelMiss],"0")</f>
        <v>0</v>
      </c>
      <c r="BI156">
        <f>COUNTIFS(Dyno_Data[Team],TBA_Matches_All[[#This Row],[Team]],Dyno_Data[Match],TBA_Matches_All[[#This Row],[Match_Number]],Dyno_Data[RecordType],"Activities",Dyno_Data[DelOrig],"OppW", Dyno_Data[DelMiss],"1")</f>
        <v>0</v>
      </c>
      <c r="BJ156" s="60">
        <f>IFERROR(SUM((TBA_Matches_All[[#This Row],[OZflrT]])/(TBA_Matches_All[[#This Row],[OZflrT]]+TBA_Matches_All[[#This Row],[OZflrM]])),0)</f>
        <v>0</v>
      </c>
      <c r="BK156">
        <f>COUNTIFS(Dyno_Data[Team],TBA_Matches_All[[#This Row],[Team]],Dyno_Data[Match],TBA_Matches_All[[#This Row],[Match_Number]],Dyno_Data[RecordType],"Activities",Dyno_Data[DelOrig],"Neut", Dyno_Data[DelMiss],"0")</f>
        <v>0</v>
      </c>
      <c r="BL156">
        <f>COUNTIFS(Dyno_Data[Team],TBA_Matches_All[[#This Row],[Team]],Dyno_Data[Match],TBA_Matches_All[[#This Row],[Match_Number]],Dyno_Data[RecordType],"Activities",Dyno_Data[DelOrig],"Neut", Dyno_Data[DelMiss],"1")</f>
        <v>0</v>
      </c>
      <c r="BM156" s="60">
        <f>IFERROR(SUM((TBA_Matches_All[[#This Row],[NZflrT]])/(TBA_Matches_All[[#This Row],[NZflrT]]+TBA_Matches_All[[#This Row],[NZflrM]])),0)</f>
        <v>0</v>
      </c>
      <c r="BN156">
        <f>COUNTIFS(Dyno_Data[Team],TBA_Matches_All[[#This Row],[Team]],Dyno_Data[Match],TBA_Matches_All[[#This Row],[Match_Number]],Dyno_Data[RecordType],"Activities",Dyno_Data[DelOrig],"AllyW", Dyno_Data[DelMiss],"0")</f>
        <v>0</v>
      </c>
      <c r="BO156">
        <f>COUNTIFS(Dyno_Data[Team],TBA_Matches_All[[#This Row],[Team]],Dyno_Data[Match],TBA_Matches_All[[#This Row],[Match_Number]],Dyno_Data[RecordType],"Activities",Dyno_Data[DelOrig],"AllyW", Dyno_Data[DelMiss],"1")</f>
        <v>0</v>
      </c>
      <c r="BP156" s="60">
        <f>IFERROR(SUM((TBA_Matches_All[[#This Row],[AZflrT]])/(TBA_Matches_All[[#This Row],[AZflrT]]+TBA_Matches_All[[#This Row],[AZflrM]])),0)</f>
        <v>0</v>
      </c>
      <c r="BQ156">
        <f>COUNTIFS(Dyno_Data[Team],TBA_Matches_All[[#This Row],[Team]],Dyno_Data[Match],TBA_Matches_All[[#This Row],[Match_Number]],Dyno_Data[RecordType],"Activities",Dyno_Data[DelOrig],"SubW", Dyno_Data[DelMiss],"0")</f>
        <v>0</v>
      </c>
      <c r="BR156">
        <f>COUNTIFS(Dyno_Data[Team],TBA_Matches_All[[#This Row],[Team]],Dyno_Data[Match],TBA_Matches_All[[#This Row],[Match_Number]],Dyno_Data[RecordType],"Activities",Dyno_Data[DelOrig],"SubW", Dyno_Data[DelMiss],"1")</f>
        <v>0</v>
      </c>
      <c r="BS156" s="60">
        <f>IFERROR(SUM((TBA_Matches_All[[#This Row],[SubwT]])/(TBA_Matches_All[[#This Row],[SubwT]]+TBA_Matches_All[[#This Row],[SubwM]])),0)</f>
        <v>0</v>
      </c>
      <c r="BT156">
        <f>COUNTIFS(Dyno_Data[Team],TBA_Matches_All[[#This Row],[Team]],Dyno_Data[Match],TBA_Matches_All[[#This Row],[Match_Number]],Dyno_Data[RecordType],"Activities", Dyno_Data[AcqLoc],"OppWing")</f>
        <v>0</v>
      </c>
      <c r="BU156">
        <f>COUNTIFS(Dyno_Data[Team],TBA_Matches_All[[#This Row],[Team]],Dyno_Data[Match],TBA_Matches_All[[#This Row],[Match_Number]],Dyno_Data[RecordType],"Activities", Dyno_Data[AcqLoc],"Neutral")</f>
        <v>0</v>
      </c>
      <c r="BV156">
        <f>COUNTIFS(Dyno_Data[Team],TBA_Matches_All[[#This Row],[Team]],Dyno_Data[Match],TBA_Matches_All[[#This Row],[Match_Number]],Dyno_Data[RecordType],"Activities", Dyno_Data[AcqLoc],"AllyWing")</f>
        <v>0</v>
      </c>
      <c r="BW156">
        <f>COUNTIFS(Dyno_Data[Team],TBA_Matches_All[[#This Row],[Team]],Dyno_Data[Match],TBA_Matches_All[[#This Row],[Match_Number]],Dyno_Data[RecordType],"Activities", Dyno_Data[AcqLoc],"Source")</f>
        <v>0</v>
      </c>
      <c r="BX156">
        <f>SUMIFS(Dyno_Data[AcqDrp], Dyno_Data[Team],TBA_Matches_All[[#This Row],[Team]],Dyno_Data[Match],TBA_Matches_All[[#This Row],[Match_Number]],Dyno_Data[RecordType],"Activities", Dyno_Data[AcqLoc],"Source")</f>
        <v>0</v>
      </c>
      <c r="BY156">
        <f>SUMIFS(Dyno_Data[OZTime], Dyno_Data[Team],TBA_Matches_All[[#This Row],[Team]],Dyno_Data[Match],TBA_Matches_All[[#This Row],[Match_Number]],Dyno_Data[RecordType],"EndMatch")</f>
        <v>0</v>
      </c>
      <c r="BZ156">
        <f>SUMIFS(Dyno_Data[NZTime], Dyno_Data[Team],TBA_Matches_All[[#This Row],[Team]],Dyno_Data[Match],TBA_Matches_All[[#This Row],[Match_Number]],Dyno_Data[RecordType],"EndMatch")</f>
        <v>0</v>
      </c>
      <c r="CA156">
        <f>SUMIFS(Dyno_Data[AZTime], Dyno_Data[Team],TBA_Matches_All[[#This Row],[Team]],Dyno_Data[Match],TBA_Matches_All[[#This Row],[Match_Number]],Dyno_Data[RecordType],"EndMatch")</f>
        <v>0</v>
      </c>
      <c r="CB156">
        <f>SUMIFS(Dyno_Data[ClimbT], Dyno_Data[Team],TBA_Matches_All[[#This Row],[Team]],Dyno_Data[Match],TBA_Matches_All[[#This Row],[Match_Number]],Dyno_Data[RecordType],"EndMatch")</f>
        <v>0</v>
      </c>
      <c r="CC156" t="str">
        <f>_xlfn.XLOOKUP(SUM(MID(TBA_Matches_All[[#This Row],[Team]],4,5),(TBA_Matches_All[[#This Row],[Match_Number]]/100)),Dyno_EndMatch[teammat],Dyno_EndMatch[StageStat],"_",0,1)</f>
        <v>_</v>
      </c>
      <c r="CD156" t="str">
        <f>_xlfn.XLOOKUP(TBA_Matches_All[[#This Row],[teammat]],Dyno_EndMatch[teammat],Dyno_EndMatch[StageAtt],"_",0,1)</f>
        <v>_</v>
      </c>
      <c r="CE156" t="str">
        <f>_xlfn.XLOOKUP(TBA_Matches_All[[#This Row],[teammat]],Dyno_EndMatch[teammat],Dyno_EndMatch[StageLoc],"_",0,1)</f>
        <v>_</v>
      </c>
      <c r="CF156">
        <f>SUMIFS(Dyno_Data[Harmony], Dyno_Data[Team],TBA_Matches_All[[#This Row],[Team]],Dyno_Data[Match],TBA_Matches_All[[#This Row],[Match_Number]],Dyno_Data[RecordType],"EndMatch", Dyno_Data[StageStat],"On",Dyno_Data[Harmony],"&lt;&gt;9")</f>
        <v>0</v>
      </c>
      <c r="CG156">
        <f>SUMIFS(Dyno_Data[Spotlit], Dyno_Data[Team],TBA_Matches_All[[#This Row],[Team]],Dyno_Data[Match],TBA_Matches_All[[#This Row],[Match_Number]],Dyno_Data[RecordType],"EndMatch", Dyno_Data[StageStat],"On",Dyno_Data[Spotlit],"&lt;&gt;9")</f>
        <v>0</v>
      </c>
      <c r="CH156" t="str">
        <f>_xlfn.XLOOKUP(TBA_Matches_All[[#This Row],[teammat]],Dyno_EndMatch[teammat],Dyno_EndMatch[Strategy],"_",0,1)</f>
        <v>_</v>
      </c>
      <c r="CI156">
        <f>SUMIFS(Dyno_Data[Defense], Dyno_Data[Team],TBA_Matches_All[[#This Row],[Team]],Dyno_Data[Match],TBA_Matches_All[[#This Row],[Match_Number]],Dyno_Data[RecordType],"EndMatch",Dyno_Data[Defense],"&lt;&gt;9")</f>
        <v>0</v>
      </c>
      <c r="CJ156">
        <f>SUMIFS(Dyno_Data[Avoidance], Dyno_Data[Team],TBA_Matches_All[[#This Row],[Team]],Dyno_Data[Match],TBA_Matches_All[[#This Row],[Match_Number]],Dyno_Data[RecordType],"EndMatch",Dyno_Data[Avoidance],"&lt;&gt;9")</f>
        <v>0</v>
      </c>
      <c r="CK156" s="82">
        <f>COUNTIF($H$2:TBA_Matches_All[[#This Row],[Team]],TBA_Matches_All[[#This Row],[Team]])</f>
        <v>3</v>
      </c>
      <c r="CL156" s="111">
        <f>SUM(MID(TBA_Matches_All[[#This Row],[Team]],4,5)+TBA_Matches_All[[#This Row],[Match_Number]]/100)</f>
        <v>229.26</v>
      </c>
      <c r="CM156">
        <f>SUM((TBA_Matches_All[[#This Row],[Leave]]*2)+(TBA_Matches_All[[#This Row],[AampT]]*2)+(TBA_Matches_All[[#This Row],[AspkrT]]*5)+(TBA_Matches_All[[#This Row],[AtrapT]]*5))</f>
        <v>0</v>
      </c>
      <c r="CN156" s="59">
        <f>IFERROR(SUM(TBA_Matches_All[[#This Row],[AptsT]]/TBA_Matches_All[[#This Row],[AutoPts]]),0)</f>
        <v>0</v>
      </c>
      <c r="CO156" s="59">
        <f>IFERROR(SUM(TBA_Matches_All[[#This Row],[AampT]]+TBA_Matches_All[[#This Row],[AspkrT]]+TBA_Matches_All[[#This Row],[AtrapT]]/TBA_Matches_All[[#This Row],[Aamp]]+TBA_Matches_All[[#This Row],[Aspkr]]+TBA_Matches_All[[#This Row],[AtrapT]]),0)</f>
        <v>0</v>
      </c>
      <c r="CP156" s="59">
        <f>IFERROR(SUM(TBA_Matches_All[[#This Row],[TampT]]/TBA_Matches_All[[#This Row],[Tamp]]),0)</f>
        <v>0</v>
      </c>
      <c r="CQ156" s="59">
        <f>IFERROR(SUM(TBA_Matches_All[[#This Row],[TspkrT]]/TBA_Matches_All[[#This Row],[Tspkr]]),0)</f>
        <v>0</v>
      </c>
      <c r="CR156">
        <f>SUM(TBA_Matches_All[[#This Row],[TspkrPts]]*TBA_Matches_All[[#This Row],[TspkrP]])</f>
        <v>0</v>
      </c>
      <c r="CS156" s="59">
        <f>IFERROR(SUM(TBA_Matches_All[[#This Row],[TtrapT]]/TBA_Matches_All[[#This Row],[Trap]]),0)</f>
        <v>0</v>
      </c>
      <c r="CT156" s="59">
        <f>IFERROR(SUM(TBA_Matches_All[[#This Row],[TotNotesT]]/TBA_Matches_All[[#This Row],[TotNotes]]),0)</f>
        <v>0</v>
      </c>
      <c r="CU156" s="66">
        <f>SUM((TBA_Matches_All[[#This Row],[AampT]]*2)+(TBA_Matches_All[[#This Row],[AspkrT]]*5)+(TBA_Matches_All[[#This Row],[AtrapT]]*5)+(TBA_Matches_All[[#This Row],[TampT]]*1)+(TBA_Matches_All[[#This Row],[TspkrptsC]]))</f>
        <v>0</v>
      </c>
      <c r="CV156" s="59">
        <f>IFERROR(TBA_Matches_All[[#This Row],[noteptsT]]/TBA_Matches_All[[#This Row],[NotePts]],0)</f>
        <v>0</v>
      </c>
      <c r="CW156">
        <f>SUM(IF(TBA_Matches_All[[#This Row],[stageStat]]="On",3,0),IF(TBA_Matches_All[[#This Row],[stageStat]]="Park",1,0),SUMIFS(TBA_Matches_All[[#This Row],[Spotlit]],TBA_Matches_All[[#This Row],[stageStat]],"On"),SUMIFS(TBA_Matches_All[[#This Row],[Harmony]],TBA_Matches_All[[#This Row],[stageStat]],"On"))</f>
        <v>0</v>
      </c>
      <c r="CX156" s="59">
        <f>IFERROR(TBA_Matches_All[[#This Row],[stageptsT]]/TBA_Matches_All[[#This Row],[StagePts]],0)</f>
        <v>0</v>
      </c>
      <c r="CY156">
        <f>SUM((TBA_Matches_All[[#This Row],[AptsT]]+TBA_Matches_All[[#This Row],[TampT]]+TBA_Matches_All[[#This Row],[TspkrptsC]]+(TBA_Matches_All[[#This Row],[TtrapT]]*5)+TBA_Matches_All[[#This Row],[stageptsT]]))</f>
        <v>0</v>
      </c>
      <c r="CZ156" s="59">
        <f>IFERROR(SUM(TBA_Matches_All[[#This Row],[TotptsC]]/TBA_Matches_All[[#This Row],[Score]]),0)</f>
        <v>0</v>
      </c>
      <c r="DA15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56" s="74">
        <f>SUMIFS(TBA_Matches_All[AveTeamTNoteDels],TBA_Matches_All[Match_Number],TBA_Matches_All[[#This Row],[Match_Number]],TBA_Matches_All[Alliance],"&lt;&gt;"&amp;TBA_Matches_All[[#This Row],[Alliance]],TBA_Matches_All[Scouted],"&gt;0")</f>
        <v>0</v>
      </c>
      <c r="DC156" s="74">
        <f>(TBA_Matches_All[[#This Row],[TampT]]+TBA_Matches_All[[#This Row],[TspkrptsC]])-TBA_Matches_All[[#This Row],[AveTeamTNoteDels]]</f>
        <v>0</v>
      </c>
      <c r="DD156" s="74">
        <f>SUMIFS(TBA_Matches_All[AveTeamTNoteDels],TBA_Matches_All[Match_Number],TBA_Matches_All[[#This Row],[Match_Number]],TBA_Matches_All[Alliance],"&lt;&gt;"&amp;TBA_Matches_All[[#This Row],[Alliance]])-TBA_Matches_All[[#This Row],[AveOppTNoteDels]]</f>
        <v>20.214269064269065</v>
      </c>
    </row>
    <row r="157" spans="1:108" x14ac:dyDescent="0.3">
      <c r="A157" t="s">
        <v>1042</v>
      </c>
      <c r="B157" t="s">
        <v>489</v>
      </c>
      <c r="C157" t="s">
        <v>1335</v>
      </c>
      <c r="D157">
        <v>26</v>
      </c>
      <c r="E157" t="s">
        <v>1420</v>
      </c>
      <c r="F157" t="s">
        <v>1423</v>
      </c>
      <c r="G157" t="s">
        <v>1409</v>
      </c>
      <c r="H157" t="s">
        <v>372</v>
      </c>
      <c r="I157" t="b">
        <v>0</v>
      </c>
      <c r="J157">
        <v>37</v>
      </c>
      <c r="K157">
        <v>0</v>
      </c>
      <c r="L157">
        <v>0</v>
      </c>
      <c r="M157">
        <v>4</v>
      </c>
      <c r="N157">
        <v>0</v>
      </c>
      <c r="O157">
        <v>4</v>
      </c>
      <c r="P157">
        <v>20</v>
      </c>
      <c r="Q157">
        <v>26</v>
      </c>
      <c r="R157">
        <v>0</v>
      </c>
      <c r="S157">
        <v>0</v>
      </c>
      <c r="T157">
        <v>4</v>
      </c>
      <c r="U157">
        <v>0</v>
      </c>
      <c r="V157">
        <v>8</v>
      </c>
      <c r="W157">
        <v>4</v>
      </c>
      <c r="X157">
        <v>8</v>
      </c>
      <c r="Y157">
        <v>8</v>
      </c>
      <c r="Z157">
        <v>0</v>
      </c>
      <c r="AA157">
        <v>0</v>
      </c>
      <c r="AB157">
        <v>8</v>
      </c>
      <c r="AC157">
        <v>28</v>
      </c>
      <c r="AD157">
        <v>3</v>
      </c>
      <c r="AE157">
        <f>IFERROR(6/(COUNTIF(Dyno_EndMatch[Match],TBA_Matches_All[[#This Row],[Match_Number]])),0)</f>
        <v>0</v>
      </c>
      <c r="AF157">
        <f>COUNTIFS(Dyno_Data[Team],TBA_Matches_All[[#This Row],[Team]],Dyno_Data[Match],TBA_Matches_All[[#This Row],[Match_Number]],Dyno_Data[RecordType],"EndMatch",Dyno_Data[HPAmp],"Y")</f>
        <v>0</v>
      </c>
      <c r="AG157">
        <f>SUMIFS(Dyno_Data[Mics], Dyno_Data[Team],TBA_Matches_All[[#This Row],[Team]],Dyno_Data[Match],TBA_Matches_All[[#This Row],[Match_Number]],Dyno_Data[RecordType],"EndMatch",Dyno_Data[HPAmp],"Y")</f>
        <v>0</v>
      </c>
      <c r="AH157">
        <f>SUMIFS(Dyno_Data[Leave], Dyno_Data[Team],TBA_Matches_All[[#This Row],[Team]],Dyno_Data[Match],TBA_Matches_All[[#This Row],[Match_Number]],Dyno_Data[RecordType],"EndAuto")</f>
        <v>0</v>
      </c>
      <c r="AI157">
        <f>COUNTIFS(Dyno_Data[Team],TBA_Matches_All[[#This Row],[Team]],Dyno_Data[Match],TBA_Matches_All[[#This Row],[Match_Number]],Dyno_Data[RecordType],"Activities",Dyno_Data[DelDest],"Amp", Dyno_Data[DelMiss],"0", Dyno_Data[Mode],"Auto")</f>
        <v>0</v>
      </c>
      <c r="AJ157">
        <f>COUNTIFS(Dyno_Data[Team],TBA_Matches_All[[#This Row],[Team]],Dyno_Data[Match],TBA_Matches_All[[#This Row],[Match_Number]],Dyno_Data[RecordType],"Activities",Dyno_Data[DelDest],"Spkr", Dyno_Data[DelMiss],"0", Dyno_Data[Mode],"Auto")</f>
        <v>0</v>
      </c>
      <c r="AK157">
        <f>COUNTIFS(Dyno_Data[Team],TBA_Matches_All[[#This Row],[Team]],Dyno_Data[Match],TBA_Matches_All[[#This Row],[Match_Number]],Dyno_Data[RecordType],"Activities",Dyno_Data[DelDest],"Trap", Dyno_Data[DelMiss],"0", Dyno_Data[Mode],"Auto")</f>
        <v>0</v>
      </c>
      <c r="AL157">
        <f>COUNTIFS(Dyno_Data[Team],TBA_Matches_All[[#This Row],[Team]],Dyno_Data[Match],TBA_Matches_All[[#This Row],[Match_Number]],Dyno_Data[RecordType],"Activities",Dyno_Data[DelDest],"Amp", Dyno_Data[DelMiss],"0", Dyno_Data[Mode],"Teleop")</f>
        <v>0</v>
      </c>
      <c r="AM157">
        <f>COUNTIFS(Dyno_Data[Team],TBA_Matches_All[[#This Row],[Team]],Dyno_Data[Match],TBA_Matches_All[[#This Row],[Match_Number]],Dyno_Data[RecordType],"Activities",Dyno_Data[DelDest],"Spkr", Dyno_Data[DelMiss],"0", Dyno_Data[Mode],"Teleop")</f>
        <v>0</v>
      </c>
      <c r="AN157">
        <f>COUNTIFS(Dyno_Data[Team],TBA_Matches_All[[#This Row],[Team]],Dyno_Data[Match],TBA_Matches_All[[#This Row],[Match_Number]],Dyno_Data[RecordType],"Activities",Dyno_Data[DelDest],"Trap", Dyno_Data[DelMiss],"0", Dyno_Data[Mode],"&lt;&gt;Auto")</f>
        <v>0</v>
      </c>
      <c r="AO157">
        <f>SUM(TBA_Matches_All[[#This Row],[AampT]]+TBA_Matches_All[[#This Row],[AspkrT]]+TBA_Matches_All[[#This Row],[AtrapT]]+TBA_Matches_All[[#This Row],[TampT]]+TBA_Matches_All[[#This Row],[TspkrT]]+TBA_Matches_All[[#This Row],[TtrapT]])</f>
        <v>0</v>
      </c>
      <c r="AP157">
        <f>COUNTIFS(Dyno_Data[Team],TBA_Matches_All[[#This Row],[Team]],Dyno_Data[Match],TBA_Matches_All[[#This Row],[Match_Number]],Dyno_Data[RecordType],"Activities",Dyno_Data[DelDest],"Neut", Dyno_Data[DelMiss],"0")</f>
        <v>0</v>
      </c>
      <c r="AQ157">
        <f>COUNTIFS(Dyno_Data[Team],TBA_Matches_All[[#This Row],[Team]],Dyno_Data[Match],TBA_Matches_All[[#This Row],[Match_Number]],Dyno_Data[RecordType],"Activities",Dyno_Data[DelDest],"AllyW", Dyno_Data[DelMiss],"0")</f>
        <v>0</v>
      </c>
      <c r="AR157" t="str">
        <f>_xlfn.XLOOKUP(SUM(MID(TBA_Matches_All[[#This Row],[Team]],4,5),(TBA_Matches_All[[#This Row],[Match_Number]]/100)),Dyno_EndMatch[teammat],Dyno_EndMatch[RobotSta],"_",0,1)</f>
        <v>_</v>
      </c>
      <c r="AS157">
        <f>SUMIFS(Dyno_Data[AcqDis], Dyno_Data[Team],TBA_Matches_All[[#This Row],[Team]],Dyno_Data[Match],TBA_Matches_All[[#This Row],[Match_Number]],Dyno_Data[RecordType],"Activities", Dyno_Data[AcqCenter],1,Dyno_Data[Mode],"Auto")</f>
        <v>0</v>
      </c>
      <c r="AT157">
        <f>SUMIFS(Dyno_Data[AcqDis], Dyno_Data[Team],TBA_Matches_All[[#This Row],[Team]],Dyno_Data[Match],TBA_Matches_All[[#This Row],[Match_Number]],Dyno_Data[RecordType],"Activities", Dyno_Data[AcqCenter],2,Dyno_Data[Mode],"Auto")</f>
        <v>0</v>
      </c>
      <c r="AU157">
        <f>SUMIFS(Dyno_Data[AcqDis], Dyno_Data[Team],TBA_Matches_All[[#This Row],[Team]],Dyno_Data[Match],TBA_Matches_All[[#This Row],[Match_Number]],Dyno_Data[RecordType],"Activities", Dyno_Data[AcqCenter],3,Dyno_Data[Mode],"Auto")</f>
        <v>0</v>
      </c>
      <c r="AV157">
        <f>SUMIFS(Dyno_Data[AcqDis], Dyno_Data[Team],TBA_Matches_All[[#This Row],[Team]],Dyno_Data[Match],TBA_Matches_All[[#This Row],[Match_Number]],Dyno_Data[RecordType],"Activities", Dyno_Data[AcqCenter],4,Dyno_Data[Mode],"Auto")</f>
        <v>0</v>
      </c>
      <c r="AW157">
        <f>SUMIFS(Dyno_Data[AcqDis], Dyno_Data[Team],TBA_Matches_All[[#This Row],[Team]],Dyno_Data[Match],TBA_Matches_All[[#This Row],[Match_Number]],Dyno_Data[RecordType],"Activities", Dyno_Data[AcqCenter],5,Dyno_Data[Mode],"Auto")</f>
        <v>0</v>
      </c>
      <c r="AX157">
        <f>SUMIFS(Dyno_Data[DelMiss], Dyno_Data[Team],TBA_Matches_All[[#This Row],[Team]],Dyno_Data[Match],TBA_Matches_All[[#This Row],[Match_Number]],Dyno_Data[RecordType],"Activities", Dyno_Data[DelDest],"Amp")</f>
        <v>0</v>
      </c>
      <c r="AY157" s="60">
        <f>IFERROR(SUM((TBA_Matches_All[[#This Row],[AampT]]+TBA_Matches_All[[#This Row],[TampT]])/(TBA_Matches_All[[#This Row],[AampT]]+TBA_Matches_All[[#This Row],[TampT]]+TBA_Matches_All[[#This Row],[ampM]])),0)</f>
        <v>0</v>
      </c>
      <c r="AZ157">
        <f>SUMIFS(Dyno_Data[DelMiss], Dyno_Data[Team],TBA_Matches_All[[#This Row],[Team]],Dyno_Data[Match],TBA_Matches_All[[#This Row],[Match_Number]],Dyno_Data[RecordType],"Activities", Dyno_Data[DelDest],"Spkr")</f>
        <v>0</v>
      </c>
      <c r="BA157" s="60">
        <f>IFERROR(SUM((TBA_Matches_All[[#This Row],[AspkrT]]+TBA_Matches_All[[#This Row],[TspkrT]])/(TBA_Matches_All[[#This Row],[AspkrT]]+TBA_Matches_All[[#This Row],[TspkrT]]+TBA_Matches_All[[#This Row],[spkrM]])),0)</f>
        <v>0</v>
      </c>
      <c r="BB157">
        <f>SUMIFS(Dyno_Data[DelMiss], Dyno_Data[Team],TBA_Matches_All[[#This Row],[Team]],Dyno_Data[Match],TBA_Matches_All[[#This Row],[Match_Number]],Dyno_Data[RecordType],"Activities", Dyno_Data[DelDest],"Trap")</f>
        <v>0</v>
      </c>
      <c r="BC157" s="60">
        <f>IFERROR((TBA_Matches_All[[#This Row],[AtrapT]]+TBA_Matches_All[[#This Row],[TtrapT]])/(TBA_Matches_All[[#This Row],[AtrapT]]+TBA_Matches_All[[#This Row],[TtrapT]]+TBA_Matches_All[[#This Row],[trapM]]),0)</f>
        <v>0</v>
      </c>
      <c r="BD157">
        <f>COUNTIFS(Dyno_Data[Team],TBA_Matches_All[[#This Row],[Team]],Dyno_Data[Match],TBA_Matches_All[[#This Row],[Match_Number]],Dyno_Data[RecordType],"Activities",Dyno_Data[DelDest],"Neut", Dyno_Data[DelMiss],1)</f>
        <v>0</v>
      </c>
      <c r="BE157" s="60">
        <f>IFERROR(SUM((TBA_Matches_All[[#This Row],[NeutFlrT]])/(TBA_Matches_All[[#This Row],[NeutFlrT]]+TBA_Matches_All[[#This Row],[NZflM]])),0)</f>
        <v>0</v>
      </c>
      <c r="BF157">
        <f>COUNTIFS(Dyno_Data[Team],TBA_Matches_All[[#This Row],[Team]],Dyno_Data[Match],TBA_Matches_All[[#This Row],[Match_Number]],Dyno_Data[RecordType],"Activities",Dyno_Data[DelDest],"AllyW", Dyno_Data[DelMiss],1)</f>
        <v>0</v>
      </c>
      <c r="BG157" s="60">
        <f>IFERROR(SUM((TBA_Matches_All[[#This Row],[AllyWFlrT]])/(TBA_Matches_All[[#This Row],[AllyWFlrT]]+TBA_Matches_All[[#This Row],[AZflM]])),0)</f>
        <v>0</v>
      </c>
      <c r="BH157">
        <f>COUNTIFS(Dyno_Data[Team],TBA_Matches_All[[#This Row],[Team]],Dyno_Data[Match],TBA_Matches_All[[#This Row],[Match_Number]],Dyno_Data[RecordType],"Activities",Dyno_Data[DelOrig],"OppW", Dyno_Data[DelMiss],"0")</f>
        <v>0</v>
      </c>
      <c r="BI157">
        <f>COUNTIFS(Dyno_Data[Team],TBA_Matches_All[[#This Row],[Team]],Dyno_Data[Match],TBA_Matches_All[[#This Row],[Match_Number]],Dyno_Data[RecordType],"Activities",Dyno_Data[DelOrig],"OppW", Dyno_Data[DelMiss],"1")</f>
        <v>0</v>
      </c>
      <c r="BJ157" s="60">
        <f>IFERROR(SUM((TBA_Matches_All[[#This Row],[OZflrT]])/(TBA_Matches_All[[#This Row],[OZflrT]]+TBA_Matches_All[[#This Row],[OZflrM]])),0)</f>
        <v>0</v>
      </c>
      <c r="BK157">
        <f>COUNTIFS(Dyno_Data[Team],TBA_Matches_All[[#This Row],[Team]],Dyno_Data[Match],TBA_Matches_All[[#This Row],[Match_Number]],Dyno_Data[RecordType],"Activities",Dyno_Data[DelOrig],"Neut", Dyno_Data[DelMiss],"0")</f>
        <v>0</v>
      </c>
      <c r="BL157">
        <f>COUNTIFS(Dyno_Data[Team],TBA_Matches_All[[#This Row],[Team]],Dyno_Data[Match],TBA_Matches_All[[#This Row],[Match_Number]],Dyno_Data[RecordType],"Activities",Dyno_Data[DelOrig],"Neut", Dyno_Data[DelMiss],"1")</f>
        <v>0</v>
      </c>
      <c r="BM157" s="60">
        <f>IFERROR(SUM((TBA_Matches_All[[#This Row],[NZflrT]])/(TBA_Matches_All[[#This Row],[NZflrT]]+TBA_Matches_All[[#This Row],[NZflrM]])),0)</f>
        <v>0</v>
      </c>
      <c r="BN157">
        <f>COUNTIFS(Dyno_Data[Team],TBA_Matches_All[[#This Row],[Team]],Dyno_Data[Match],TBA_Matches_All[[#This Row],[Match_Number]],Dyno_Data[RecordType],"Activities",Dyno_Data[DelOrig],"AllyW", Dyno_Data[DelMiss],"0")</f>
        <v>0</v>
      </c>
      <c r="BO157">
        <f>COUNTIFS(Dyno_Data[Team],TBA_Matches_All[[#This Row],[Team]],Dyno_Data[Match],TBA_Matches_All[[#This Row],[Match_Number]],Dyno_Data[RecordType],"Activities",Dyno_Data[DelOrig],"AllyW", Dyno_Data[DelMiss],"1")</f>
        <v>0</v>
      </c>
      <c r="BP157" s="60">
        <f>IFERROR(SUM((TBA_Matches_All[[#This Row],[AZflrT]])/(TBA_Matches_All[[#This Row],[AZflrT]]+TBA_Matches_All[[#This Row],[AZflrM]])),0)</f>
        <v>0</v>
      </c>
      <c r="BQ157">
        <f>COUNTIFS(Dyno_Data[Team],TBA_Matches_All[[#This Row],[Team]],Dyno_Data[Match],TBA_Matches_All[[#This Row],[Match_Number]],Dyno_Data[RecordType],"Activities",Dyno_Data[DelOrig],"SubW", Dyno_Data[DelMiss],"0")</f>
        <v>0</v>
      </c>
      <c r="BR157">
        <f>COUNTIFS(Dyno_Data[Team],TBA_Matches_All[[#This Row],[Team]],Dyno_Data[Match],TBA_Matches_All[[#This Row],[Match_Number]],Dyno_Data[RecordType],"Activities",Dyno_Data[DelOrig],"SubW", Dyno_Data[DelMiss],"1")</f>
        <v>0</v>
      </c>
      <c r="BS157" s="60">
        <f>IFERROR(SUM((TBA_Matches_All[[#This Row],[SubwT]])/(TBA_Matches_All[[#This Row],[SubwT]]+TBA_Matches_All[[#This Row],[SubwM]])),0)</f>
        <v>0</v>
      </c>
      <c r="BT157">
        <f>COUNTIFS(Dyno_Data[Team],TBA_Matches_All[[#This Row],[Team]],Dyno_Data[Match],TBA_Matches_All[[#This Row],[Match_Number]],Dyno_Data[RecordType],"Activities", Dyno_Data[AcqLoc],"OppWing")</f>
        <v>0</v>
      </c>
      <c r="BU157">
        <f>COUNTIFS(Dyno_Data[Team],TBA_Matches_All[[#This Row],[Team]],Dyno_Data[Match],TBA_Matches_All[[#This Row],[Match_Number]],Dyno_Data[RecordType],"Activities", Dyno_Data[AcqLoc],"Neutral")</f>
        <v>0</v>
      </c>
      <c r="BV157">
        <f>COUNTIFS(Dyno_Data[Team],TBA_Matches_All[[#This Row],[Team]],Dyno_Data[Match],TBA_Matches_All[[#This Row],[Match_Number]],Dyno_Data[RecordType],"Activities", Dyno_Data[AcqLoc],"AllyWing")</f>
        <v>0</v>
      </c>
      <c r="BW157">
        <f>COUNTIFS(Dyno_Data[Team],TBA_Matches_All[[#This Row],[Team]],Dyno_Data[Match],TBA_Matches_All[[#This Row],[Match_Number]],Dyno_Data[RecordType],"Activities", Dyno_Data[AcqLoc],"Source")</f>
        <v>0</v>
      </c>
      <c r="BX157">
        <f>SUMIFS(Dyno_Data[AcqDrp], Dyno_Data[Team],TBA_Matches_All[[#This Row],[Team]],Dyno_Data[Match],TBA_Matches_All[[#This Row],[Match_Number]],Dyno_Data[RecordType],"Activities", Dyno_Data[AcqLoc],"Source")</f>
        <v>0</v>
      </c>
      <c r="BY157">
        <f>SUMIFS(Dyno_Data[OZTime], Dyno_Data[Team],TBA_Matches_All[[#This Row],[Team]],Dyno_Data[Match],TBA_Matches_All[[#This Row],[Match_Number]],Dyno_Data[RecordType],"EndMatch")</f>
        <v>0</v>
      </c>
      <c r="BZ157">
        <f>SUMIFS(Dyno_Data[NZTime], Dyno_Data[Team],TBA_Matches_All[[#This Row],[Team]],Dyno_Data[Match],TBA_Matches_All[[#This Row],[Match_Number]],Dyno_Data[RecordType],"EndMatch")</f>
        <v>0</v>
      </c>
      <c r="CA157">
        <f>SUMIFS(Dyno_Data[AZTime], Dyno_Data[Team],TBA_Matches_All[[#This Row],[Team]],Dyno_Data[Match],TBA_Matches_All[[#This Row],[Match_Number]],Dyno_Data[RecordType],"EndMatch")</f>
        <v>0</v>
      </c>
      <c r="CB157">
        <f>SUMIFS(Dyno_Data[ClimbT], Dyno_Data[Team],TBA_Matches_All[[#This Row],[Team]],Dyno_Data[Match],TBA_Matches_All[[#This Row],[Match_Number]],Dyno_Data[RecordType],"EndMatch")</f>
        <v>0</v>
      </c>
      <c r="CC157" t="str">
        <f>_xlfn.XLOOKUP(SUM(MID(TBA_Matches_All[[#This Row],[Team]],4,5),(TBA_Matches_All[[#This Row],[Match_Number]]/100)),Dyno_EndMatch[teammat],Dyno_EndMatch[StageStat],"_",0,1)</f>
        <v>_</v>
      </c>
      <c r="CD157" t="str">
        <f>_xlfn.XLOOKUP(TBA_Matches_All[[#This Row],[teammat]],Dyno_EndMatch[teammat],Dyno_EndMatch[StageAtt],"_",0,1)</f>
        <v>_</v>
      </c>
      <c r="CE157" t="str">
        <f>_xlfn.XLOOKUP(TBA_Matches_All[[#This Row],[teammat]],Dyno_EndMatch[teammat],Dyno_EndMatch[StageLoc],"_",0,1)</f>
        <v>_</v>
      </c>
      <c r="CF157">
        <f>SUMIFS(Dyno_Data[Harmony], Dyno_Data[Team],TBA_Matches_All[[#This Row],[Team]],Dyno_Data[Match],TBA_Matches_All[[#This Row],[Match_Number]],Dyno_Data[RecordType],"EndMatch", Dyno_Data[StageStat],"On",Dyno_Data[Harmony],"&lt;&gt;9")</f>
        <v>0</v>
      </c>
      <c r="CG157">
        <f>SUMIFS(Dyno_Data[Spotlit], Dyno_Data[Team],TBA_Matches_All[[#This Row],[Team]],Dyno_Data[Match],TBA_Matches_All[[#This Row],[Match_Number]],Dyno_Data[RecordType],"EndMatch", Dyno_Data[StageStat],"On",Dyno_Data[Spotlit],"&lt;&gt;9")</f>
        <v>0</v>
      </c>
      <c r="CH157" t="str">
        <f>_xlfn.XLOOKUP(TBA_Matches_All[[#This Row],[teammat]],Dyno_EndMatch[teammat],Dyno_EndMatch[Strategy],"_",0,1)</f>
        <v>_</v>
      </c>
      <c r="CI157">
        <f>SUMIFS(Dyno_Data[Defense], Dyno_Data[Team],TBA_Matches_All[[#This Row],[Team]],Dyno_Data[Match],TBA_Matches_All[[#This Row],[Match_Number]],Dyno_Data[RecordType],"EndMatch",Dyno_Data[Defense],"&lt;&gt;9")</f>
        <v>0</v>
      </c>
      <c r="CJ157">
        <f>SUMIFS(Dyno_Data[Avoidance], Dyno_Data[Team],TBA_Matches_All[[#This Row],[Team]],Dyno_Data[Match],TBA_Matches_All[[#This Row],[Match_Number]],Dyno_Data[RecordType],"EndMatch",Dyno_Data[Avoidance],"&lt;&gt;9")</f>
        <v>0</v>
      </c>
      <c r="CK157" s="82">
        <f>COUNTIF($H$2:TBA_Matches_All[[#This Row],[Team]],TBA_Matches_All[[#This Row],[Team]])</f>
        <v>3</v>
      </c>
      <c r="CL157" s="111">
        <f>SUM(MID(TBA_Matches_All[[#This Row],[Team]],4,5)+TBA_Matches_All[[#This Row],[Match_Number]]/100)</f>
        <v>7504.26</v>
      </c>
      <c r="CM157">
        <f>SUM((TBA_Matches_All[[#This Row],[Leave]]*2)+(TBA_Matches_All[[#This Row],[AampT]]*2)+(TBA_Matches_All[[#This Row],[AspkrT]]*5)+(TBA_Matches_All[[#This Row],[AtrapT]]*5))</f>
        <v>0</v>
      </c>
      <c r="CN157" s="59">
        <f>IFERROR(SUM(TBA_Matches_All[[#This Row],[AptsT]]/TBA_Matches_All[[#This Row],[AutoPts]]),0)</f>
        <v>0</v>
      </c>
      <c r="CO157" s="59">
        <f>IFERROR(SUM(TBA_Matches_All[[#This Row],[AampT]]+TBA_Matches_All[[#This Row],[AspkrT]]+TBA_Matches_All[[#This Row],[AtrapT]]/TBA_Matches_All[[#This Row],[Aamp]]+TBA_Matches_All[[#This Row],[Aspkr]]+TBA_Matches_All[[#This Row],[AtrapT]]),0)</f>
        <v>0</v>
      </c>
      <c r="CP157" s="59">
        <f>IFERROR(SUM(TBA_Matches_All[[#This Row],[TampT]]/TBA_Matches_All[[#This Row],[Tamp]]),0)</f>
        <v>0</v>
      </c>
      <c r="CQ157" s="59">
        <f>IFERROR(SUM(TBA_Matches_All[[#This Row],[TspkrT]]/TBA_Matches_All[[#This Row],[Tspkr]]),0)</f>
        <v>0</v>
      </c>
      <c r="CR157">
        <f>SUM(TBA_Matches_All[[#This Row],[TspkrPts]]*TBA_Matches_All[[#This Row],[TspkrP]])</f>
        <v>0</v>
      </c>
      <c r="CS157" s="59">
        <f>IFERROR(SUM(TBA_Matches_All[[#This Row],[TtrapT]]/TBA_Matches_All[[#This Row],[Trap]]),0)</f>
        <v>0</v>
      </c>
      <c r="CT157" s="59">
        <f>IFERROR(SUM(TBA_Matches_All[[#This Row],[TotNotesT]]/TBA_Matches_All[[#This Row],[TotNotes]]),0)</f>
        <v>0</v>
      </c>
      <c r="CU157" s="66">
        <f>SUM((TBA_Matches_All[[#This Row],[AampT]]*2)+(TBA_Matches_All[[#This Row],[AspkrT]]*5)+(TBA_Matches_All[[#This Row],[AtrapT]]*5)+(TBA_Matches_All[[#This Row],[TampT]]*1)+(TBA_Matches_All[[#This Row],[TspkrptsC]]))</f>
        <v>0</v>
      </c>
      <c r="CV157" s="59">
        <f>IFERROR(TBA_Matches_All[[#This Row],[noteptsT]]/TBA_Matches_All[[#This Row],[NotePts]],0)</f>
        <v>0</v>
      </c>
      <c r="CW157">
        <f>SUM(IF(TBA_Matches_All[[#This Row],[stageStat]]="On",3,0),IF(TBA_Matches_All[[#This Row],[stageStat]]="Park",1,0),SUMIFS(TBA_Matches_All[[#This Row],[Spotlit]],TBA_Matches_All[[#This Row],[stageStat]],"On"),SUMIFS(TBA_Matches_All[[#This Row],[Harmony]],TBA_Matches_All[[#This Row],[stageStat]],"On"))</f>
        <v>0</v>
      </c>
      <c r="CX157" s="59">
        <f>IFERROR(TBA_Matches_All[[#This Row],[stageptsT]]/TBA_Matches_All[[#This Row],[StagePts]],0)</f>
        <v>0</v>
      </c>
      <c r="CY157">
        <f>SUM((TBA_Matches_All[[#This Row],[AptsT]]+TBA_Matches_All[[#This Row],[TampT]]+TBA_Matches_All[[#This Row],[TspkrptsC]]+(TBA_Matches_All[[#This Row],[TtrapT]]*5)+TBA_Matches_All[[#This Row],[stageptsT]]))</f>
        <v>0</v>
      </c>
      <c r="CZ157" s="59">
        <f>IFERROR(SUM(TBA_Matches_All[[#This Row],[TotptsC]]/TBA_Matches_All[[#This Row],[Score]]),0)</f>
        <v>0</v>
      </c>
      <c r="DA15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9.2071428571428573</v>
      </c>
      <c r="DB157" s="74">
        <f>SUMIFS(TBA_Matches_All[AveTeamTNoteDels],TBA_Matches_All[Match_Number],TBA_Matches_All[[#This Row],[Match_Number]],TBA_Matches_All[Alliance],"&lt;&gt;"&amp;TBA_Matches_All[[#This Row],[Alliance]],TBA_Matches_All[Scouted],"&gt;0")</f>
        <v>0</v>
      </c>
      <c r="DC157" s="74">
        <f>(TBA_Matches_All[[#This Row],[TampT]]+TBA_Matches_All[[#This Row],[TspkrptsC]])-TBA_Matches_All[[#This Row],[AveTeamTNoteDels]]</f>
        <v>-9.2071428571428573</v>
      </c>
      <c r="DD157" s="74">
        <f>SUMIFS(TBA_Matches_All[AveTeamTNoteDels],TBA_Matches_All[Match_Number],TBA_Matches_All[[#This Row],[Match_Number]],TBA_Matches_All[Alliance],"&lt;&gt;"&amp;TBA_Matches_All[[#This Row],[Alliance]])-TBA_Matches_All[[#This Row],[AveOppTNoteDels]]</f>
        <v>20.591608391608389</v>
      </c>
    </row>
    <row r="158" spans="1:108" x14ac:dyDescent="0.3">
      <c r="A158" t="s">
        <v>1042</v>
      </c>
      <c r="B158" t="s">
        <v>489</v>
      </c>
      <c r="C158" t="s">
        <v>1335</v>
      </c>
      <c r="D158">
        <v>26</v>
      </c>
      <c r="E158" t="s">
        <v>1406</v>
      </c>
      <c r="F158" t="s">
        <v>1424</v>
      </c>
      <c r="G158" t="s">
        <v>1409</v>
      </c>
      <c r="H158" t="s">
        <v>1308</v>
      </c>
      <c r="I158" t="b">
        <v>0</v>
      </c>
      <c r="J158">
        <v>30</v>
      </c>
      <c r="K158">
        <v>0</v>
      </c>
      <c r="L158">
        <v>0</v>
      </c>
      <c r="M158">
        <v>0</v>
      </c>
      <c r="N158">
        <v>0</v>
      </c>
      <c r="O158">
        <v>1</v>
      </c>
      <c r="P158">
        <v>5</v>
      </c>
      <c r="Q158">
        <v>7</v>
      </c>
      <c r="R158">
        <v>0</v>
      </c>
      <c r="S158">
        <v>0</v>
      </c>
      <c r="T158">
        <v>8</v>
      </c>
      <c r="U158">
        <v>0</v>
      </c>
      <c r="V158">
        <v>16</v>
      </c>
      <c r="W158">
        <v>8</v>
      </c>
      <c r="X158">
        <v>16</v>
      </c>
      <c r="Y158">
        <v>16</v>
      </c>
      <c r="Z158">
        <v>0</v>
      </c>
      <c r="AA158">
        <v>0</v>
      </c>
      <c r="AB158">
        <v>9</v>
      </c>
      <c r="AC158">
        <v>21</v>
      </c>
      <c r="AD158">
        <v>3</v>
      </c>
      <c r="AE158">
        <f>IFERROR(6/(COUNTIF(Dyno_EndMatch[Match],TBA_Matches_All[[#This Row],[Match_Number]])),0)</f>
        <v>0</v>
      </c>
      <c r="AF158">
        <f>COUNTIFS(Dyno_Data[Team],TBA_Matches_All[[#This Row],[Team]],Dyno_Data[Match],TBA_Matches_All[[#This Row],[Match_Number]],Dyno_Data[RecordType],"EndMatch",Dyno_Data[HPAmp],"Y")</f>
        <v>0</v>
      </c>
      <c r="AG158">
        <f>SUMIFS(Dyno_Data[Mics], Dyno_Data[Team],TBA_Matches_All[[#This Row],[Team]],Dyno_Data[Match],TBA_Matches_All[[#This Row],[Match_Number]],Dyno_Data[RecordType],"EndMatch",Dyno_Data[HPAmp],"Y")</f>
        <v>0</v>
      </c>
      <c r="AH158">
        <f>SUMIFS(Dyno_Data[Leave], Dyno_Data[Team],TBA_Matches_All[[#This Row],[Team]],Dyno_Data[Match],TBA_Matches_All[[#This Row],[Match_Number]],Dyno_Data[RecordType],"EndAuto")</f>
        <v>0</v>
      </c>
      <c r="AI158">
        <f>COUNTIFS(Dyno_Data[Team],TBA_Matches_All[[#This Row],[Team]],Dyno_Data[Match],TBA_Matches_All[[#This Row],[Match_Number]],Dyno_Data[RecordType],"Activities",Dyno_Data[DelDest],"Amp", Dyno_Data[DelMiss],"0", Dyno_Data[Mode],"Auto")</f>
        <v>0</v>
      </c>
      <c r="AJ158">
        <f>COUNTIFS(Dyno_Data[Team],TBA_Matches_All[[#This Row],[Team]],Dyno_Data[Match],TBA_Matches_All[[#This Row],[Match_Number]],Dyno_Data[RecordType],"Activities",Dyno_Data[DelDest],"Spkr", Dyno_Data[DelMiss],"0", Dyno_Data[Mode],"Auto")</f>
        <v>0</v>
      </c>
      <c r="AK158">
        <f>COUNTIFS(Dyno_Data[Team],TBA_Matches_All[[#This Row],[Team]],Dyno_Data[Match],TBA_Matches_All[[#This Row],[Match_Number]],Dyno_Data[RecordType],"Activities",Dyno_Data[DelDest],"Trap", Dyno_Data[DelMiss],"0", Dyno_Data[Mode],"Auto")</f>
        <v>0</v>
      </c>
      <c r="AL158">
        <f>COUNTIFS(Dyno_Data[Team],TBA_Matches_All[[#This Row],[Team]],Dyno_Data[Match],TBA_Matches_All[[#This Row],[Match_Number]],Dyno_Data[RecordType],"Activities",Dyno_Data[DelDest],"Amp", Dyno_Data[DelMiss],"0", Dyno_Data[Mode],"Teleop")</f>
        <v>0</v>
      </c>
      <c r="AM158">
        <f>COUNTIFS(Dyno_Data[Team],TBA_Matches_All[[#This Row],[Team]],Dyno_Data[Match],TBA_Matches_All[[#This Row],[Match_Number]],Dyno_Data[RecordType],"Activities",Dyno_Data[DelDest],"Spkr", Dyno_Data[DelMiss],"0", Dyno_Data[Mode],"Teleop")</f>
        <v>0</v>
      </c>
      <c r="AN158">
        <f>COUNTIFS(Dyno_Data[Team],TBA_Matches_All[[#This Row],[Team]],Dyno_Data[Match],TBA_Matches_All[[#This Row],[Match_Number]],Dyno_Data[RecordType],"Activities",Dyno_Data[DelDest],"Trap", Dyno_Data[DelMiss],"0", Dyno_Data[Mode],"&lt;&gt;Auto")</f>
        <v>0</v>
      </c>
      <c r="AO158">
        <f>SUM(TBA_Matches_All[[#This Row],[AampT]]+TBA_Matches_All[[#This Row],[AspkrT]]+TBA_Matches_All[[#This Row],[AtrapT]]+TBA_Matches_All[[#This Row],[TampT]]+TBA_Matches_All[[#This Row],[TspkrT]]+TBA_Matches_All[[#This Row],[TtrapT]])</f>
        <v>0</v>
      </c>
      <c r="AP158">
        <f>COUNTIFS(Dyno_Data[Team],TBA_Matches_All[[#This Row],[Team]],Dyno_Data[Match],TBA_Matches_All[[#This Row],[Match_Number]],Dyno_Data[RecordType],"Activities",Dyno_Data[DelDest],"Neut", Dyno_Data[DelMiss],"0")</f>
        <v>0</v>
      </c>
      <c r="AQ158">
        <f>COUNTIFS(Dyno_Data[Team],TBA_Matches_All[[#This Row],[Team]],Dyno_Data[Match],TBA_Matches_All[[#This Row],[Match_Number]],Dyno_Data[RecordType],"Activities",Dyno_Data[DelDest],"AllyW", Dyno_Data[DelMiss],"0")</f>
        <v>0</v>
      </c>
      <c r="AR158" t="str">
        <f>_xlfn.XLOOKUP(SUM(MID(TBA_Matches_All[[#This Row],[Team]],4,5),(TBA_Matches_All[[#This Row],[Match_Number]]/100)),Dyno_EndMatch[teammat],Dyno_EndMatch[RobotSta],"_",0,1)</f>
        <v>_</v>
      </c>
      <c r="AS158">
        <f>SUMIFS(Dyno_Data[AcqDis], Dyno_Data[Team],TBA_Matches_All[[#This Row],[Team]],Dyno_Data[Match],TBA_Matches_All[[#This Row],[Match_Number]],Dyno_Data[RecordType],"Activities", Dyno_Data[AcqCenter],1,Dyno_Data[Mode],"Auto")</f>
        <v>0</v>
      </c>
      <c r="AT158">
        <f>SUMIFS(Dyno_Data[AcqDis], Dyno_Data[Team],TBA_Matches_All[[#This Row],[Team]],Dyno_Data[Match],TBA_Matches_All[[#This Row],[Match_Number]],Dyno_Data[RecordType],"Activities", Dyno_Data[AcqCenter],2,Dyno_Data[Mode],"Auto")</f>
        <v>0</v>
      </c>
      <c r="AU158">
        <f>SUMIFS(Dyno_Data[AcqDis], Dyno_Data[Team],TBA_Matches_All[[#This Row],[Team]],Dyno_Data[Match],TBA_Matches_All[[#This Row],[Match_Number]],Dyno_Data[RecordType],"Activities", Dyno_Data[AcqCenter],3,Dyno_Data[Mode],"Auto")</f>
        <v>0</v>
      </c>
      <c r="AV158">
        <f>SUMIFS(Dyno_Data[AcqDis], Dyno_Data[Team],TBA_Matches_All[[#This Row],[Team]],Dyno_Data[Match],TBA_Matches_All[[#This Row],[Match_Number]],Dyno_Data[RecordType],"Activities", Dyno_Data[AcqCenter],4,Dyno_Data[Mode],"Auto")</f>
        <v>0</v>
      </c>
      <c r="AW158">
        <f>SUMIFS(Dyno_Data[AcqDis], Dyno_Data[Team],TBA_Matches_All[[#This Row],[Team]],Dyno_Data[Match],TBA_Matches_All[[#This Row],[Match_Number]],Dyno_Data[RecordType],"Activities", Dyno_Data[AcqCenter],5,Dyno_Data[Mode],"Auto")</f>
        <v>0</v>
      </c>
      <c r="AX158">
        <f>SUMIFS(Dyno_Data[DelMiss], Dyno_Data[Team],TBA_Matches_All[[#This Row],[Team]],Dyno_Data[Match],TBA_Matches_All[[#This Row],[Match_Number]],Dyno_Data[RecordType],"Activities", Dyno_Data[DelDest],"Amp")</f>
        <v>0</v>
      </c>
      <c r="AY158" s="60">
        <f>IFERROR(SUM((TBA_Matches_All[[#This Row],[AampT]]+TBA_Matches_All[[#This Row],[TampT]])/(TBA_Matches_All[[#This Row],[AampT]]+TBA_Matches_All[[#This Row],[TampT]]+TBA_Matches_All[[#This Row],[ampM]])),0)</f>
        <v>0</v>
      </c>
      <c r="AZ158">
        <f>SUMIFS(Dyno_Data[DelMiss], Dyno_Data[Team],TBA_Matches_All[[#This Row],[Team]],Dyno_Data[Match],TBA_Matches_All[[#This Row],[Match_Number]],Dyno_Data[RecordType],"Activities", Dyno_Data[DelDest],"Spkr")</f>
        <v>0</v>
      </c>
      <c r="BA158" s="60">
        <f>IFERROR(SUM((TBA_Matches_All[[#This Row],[AspkrT]]+TBA_Matches_All[[#This Row],[TspkrT]])/(TBA_Matches_All[[#This Row],[AspkrT]]+TBA_Matches_All[[#This Row],[TspkrT]]+TBA_Matches_All[[#This Row],[spkrM]])),0)</f>
        <v>0</v>
      </c>
      <c r="BB158">
        <f>SUMIFS(Dyno_Data[DelMiss], Dyno_Data[Team],TBA_Matches_All[[#This Row],[Team]],Dyno_Data[Match],TBA_Matches_All[[#This Row],[Match_Number]],Dyno_Data[RecordType],"Activities", Dyno_Data[DelDest],"Trap")</f>
        <v>0</v>
      </c>
      <c r="BC158" s="60">
        <f>IFERROR((TBA_Matches_All[[#This Row],[AtrapT]]+TBA_Matches_All[[#This Row],[TtrapT]])/(TBA_Matches_All[[#This Row],[AtrapT]]+TBA_Matches_All[[#This Row],[TtrapT]]+TBA_Matches_All[[#This Row],[trapM]]),0)</f>
        <v>0</v>
      </c>
      <c r="BD158">
        <f>COUNTIFS(Dyno_Data[Team],TBA_Matches_All[[#This Row],[Team]],Dyno_Data[Match],TBA_Matches_All[[#This Row],[Match_Number]],Dyno_Data[RecordType],"Activities",Dyno_Data[DelDest],"Neut", Dyno_Data[DelMiss],1)</f>
        <v>0</v>
      </c>
      <c r="BE158" s="60">
        <f>IFERROR(SUM((TBA_Matches_All[[#This Row],[NeutFlrT]])/(TBA_Matches_All[[#This Row],[NeutFlrT]]+TBA_Matches_All[[#This Row],[NZflM]])),0)</f>
        <v>0</v>
      </c>
      <c r="BF158">
        <f>COUNTIFS(Dyno_Data[Team],TBA_Matches_All[[#This Row],[Team]],Dyno_Data[Match],TBA_Matches_All[[#This Row],[Match_Number]],Dyno_Data[RecordType],"Activities",Dyno_Data[DelDest],"AllyW", Dyno_Data[DelMiss],1)</f>
        <v>0</v>
      </c>
      <c r="BG158" s="60">
        <f>IFERROR(SUM((TBA_Matches_All[[#This Row],[AllyWFlrT]])/(TBA_Matches_All[[#This Row],[AllyWFlrT]]+TBA_Matches_All[[#This Row],[AZflM]])),0)</f>
        <v>0</v>
      </c>
      <c r="BH158">
        <f>COUNTIFS(Dyno_Data[Team],TBA_Matches_All[[#This Row],[Team]],Dyno_Data[Match],TBA_Matches_All[[#This Row],[Match_Number]],Dyno_Data[RecordType],"Activities",Dyno_Data[DelOrig],"OppW", Dyno_Data[DelMiss],"0")</f>
        <v>0</v>
      </c>
      <c r="BI158">
        <f>COUNTIFS(Dyno_Data[Team],TBA_Matches_All[[#This Row],[Team]],Dyno_Data[Match],TBA_Matches_All[[#This Row],[Match_Number]],Dyno_Data[RecordType],"Activities",Dyno_Data[DelOrig],"OppW", Dyno_Data[DelMiss],"1")</f>
        <v>0</v>
      </c>
      <c r="BJ158" s="60">
        <f>IFERROR(SUM((TBA_Matches_All[[#This Row],[OZflrT]])/(TBA_Matches_All[[#This Row],[OZflrT]]+TBA_Matches_All[[#This Row],[OZflrM]])),0)</f>
        <v>0</v>
      </c>
      <c r="BK158">
        <f>COUNTIFS(Dyno_Data[Team],TBA_Matches_All[[#This Row],[Team]],Dyno_Data[Match],TBA_Matches_All[[#This Row],[Match_Number]],Dyno_Data[RecordType],"Activities",Dyno_Data[DelOrig],"Neut", Dyno_Data[DelMiss],"0")</f>
        <v>0</v>
      </c>
      <c r="BL158">
        <f>COUNTIFS(Dyno_Data[Team],TBA_Matches_All[[#This Row],[Team]],Dyno_Data[Match],TBA_Matches_All[[#This Row],[Match_Number]],Dyno_Data[RecordType],"Activities",Dyno_Data[DelOrig],"Neut", Dyno_Data[DelMiss],"1")</f>
        <v>0</v>
      </c>
      <c r="BM158" s="60">
        <f>IFERROR(SUM((TBA_Matches_All[[#This Row],[NZflrT]])/(TBA_Matches_All[[#This Row],[NZflrT]]+TBA_Matches_All[[#This Row],[NZflrM]])),0)</f>
        <v>0</v>
      </c>
      <c r="BN158">
        <f>COUNTIFS(Dyno_Data[Team],TBA_Matches_All[[#This Row],[Team]],Dyno_Data[Match],TBA_Matches_All[[#This Row],[Match_Number]],Dyno_Data[RecordType],"Activities",Dyno_Data[DelOrig],"AllyW", Dyno_Data[DelMiss],"0")</f>
        <v>0</v>
      </c>
      <c r="BO158">
        <f>COUNTIFS(Dyno_Data[Team],TBA_Matches_All[[#This Row],[Team]],Dyno_Data[Match],TBA_Matches_All[[#This Row],[Match_Number]],Dyno_Data[RecordType],"Activities",Dyno_Data[DelOrig],"AllyW", Dyno_Data[DelMiss],"1")</f>
        <v>0</v>
      </c>
      <c r="BP158" s="60">
        <f>IFERROR(SUM((TBA_Matches_All[[#This Row],[AZflrT]])/(TBA_Matches_All[[#This Row],[AZflrT]]+TBA_Matches_All[[#This Row],[AZflrM]])),0)</f>
        <v>0</v>
      </c>
      <c r="BQ158">
        <f>COUNTIFS(Dyno_Data[Team],TBA_Matches_All[[#This Row],[Team]],Dyno_Data[Match],TBA_Matches_All[[#This Row],[Match_Number]],Dyno_Data[RecordType],"Activities",Dyno_Data[DelOrig],"SubW", Dyno_Data[DelMiss],"0")</f>
        <v>0</v>
      </c>
      <c r="BR158">
        <f>COUNTIFS(Dyno_Data[Team],TBA_Matches_All[[#This Row],[Team]],Dyno_Data[Match],TBA_Matches_All[[#This Row],[Match_Number]],Dyno_Data[RecordType],"Activities",Dyno_Data[DelOrig],"SubW", Dyno_Data[DelMiss],"1")</f>
        <v>0</v>
      </c>
      <c r="BS158" s="60">
        <f>IFERROR(SUM((TBA_Matches_All[[#This Row],[SubwT]])/(TBA_Matches_All[[#This Row],[SubwT]]+TBA_Matches_All[[#This Row],[SubwM]])),0)</f>
        <v>0</v>
      </c>
      <c r="BT158">
        <f>COUNTIFS(Dyno_Data[Team],TBA_Matches_All[[#This Row],[Team]],Dyno_Data[Match],TBA_Matches_All[[#This Row],[Match_Number]],Dyno_Data[RecordType],"Activities", Dyno_Data[AcqLoc],"OppWing")</f>
        <v>0</v>
      </c>
      <c r="BU158">
        <f>COUNTIFS(Dyno_Data[Team],TBA_Matches_All[[#This Row],[Team]],Dyno_Data[Match],TBA_Matches_All[[#This Row],[Match_Number]],Dyno_Data[RecordType],"Activities", Dyno_Data[AcqLoc],"Neutral")</f>
        <v>0</v>
      </c>
      <c r="BV158">
        <f>COUNTIFS(Dyno_Data[Team],TBA_Matches_All[[#This Row],[Team]],Dyno_Data[Match],TBA_Matches_All[[#This Row],[Match_Number]],Dyno_Data[RecordType],"Activities", Dyno_Data[AcqLoc],"AllyWing")</f>
        <v>0</v>
      </c>
      <c r="BW158">
        <f>COUNTIFS(Dyno_Data[Team],TBA_Matches_All[[#This Row],[Team]],Dyno_Data[Match],TBA_Matches_All[[#This Row],[Match_Number]],Dyno_Data[RecordType],"Activities", Dyno_Data[AcqLoc],"Source")</f>
        <v>0</v>
      </c>
      <c r="BX158">
        <f>SUMIFS(Dyno_Data[AcqDrp], Dyno_Data[Team],TBA_Matches_All[[#This Row],[Team]],Dyno_Data[Match],TBA_Matches_All[[#This Row],[Match_Number]],Dyno_Data[RecordType],"Activities", Dyno_Data[AcqLoc],"Source")</f>
        <v>0</v>
      </c>
      <c r="BY158">
        <f>SUMIFS(Dyno_Data[OZTime], Dyno_Data[Team],TBA_Matches_All[[#This Row],[Team]],Dyno_Data[Match],TBA_Matches_All[[#This Row],[Match_Number]],Dyno_Data[RecordType],"EndMatch")</f>
        <v>0</v>
      </c>
      <c r="BZ158">
        <f>SUMIFS(Dyno_Data[NZTime], Dyno_Data[Team],TBA_Matches_All[[#This Row],[Team]],Dyno_Data[Match],TBA_Matches_All[[#This Row],[Match_Number]],Dyno_Data[RecordType],"EndMatch")</f>
        <v>0</v>
      </c>
      <c r="CA158">
        <f>SUMIFS(Dyno_Data[AZTime], Dyno_Data[Team],TBA_Matches_All[[#This Row],[Team]],Dyno_Data[Match],TBA_Matches_All[[#This Row],[Match_Number]],Dyno_Data[RecordType],"EndMatch")</f>
        <v>0</v>
      </c>
      <c r="CB158">
        <f>SUMIFS(Dyno_Data[ClimbT], Dyno_Data[Team],TBA_Matches_All[[#This Row],[Team]],Dyno_Data[Match],TBA_Matches_All[[#This Row],[Match_Number]],Dyno_Data[RecordType],"EndMatch")</f>
        <v>0</v>
      </c>
      <c r="CC158" t="str">
        <f>_xlfn.XLOOKUP(SUM(MID(TBA_Matches_All[[#This Row],[Team]],4,5),(TBA_Matches_All[[#This Row],[Match_Number]]/100)),Dyno_EndMatch[teammat],Dyno_EndMatch[StageStat],"_",0,1)</f>
        <v>_</v>
      </c>
      <c r="CD158" t="str">
        <f>_xlfn.XLOOKUP(TBA_Matches_All[[#This Row],[teammat]],Dyno_EndMatch[teammat],Dyno_EndMatch[StageAtt],"_",0,1)</f>
        <v>_</v>
      </c>
      <c r="CE158" t="str">
        <f>_xlfn.XLOOKUP(TBA_Matches_All[[#This Row],[teammat]],Dyno_EndMatch[teammat],Dyno_EndMatch[StageLoc],"_",0,1)</f>
        <v>_</v>
      </c>
      <c r="CF158">
        <f>SUMIFS(Dyno_Data[Harmony], Dyno_Data[Team],TBA_Matches_All[[#This Row],[Team]],Dyno_Data[Match],TBA_Matches_All[[#This Row],[Match_Number]],Dyno_Data[RecordType],"EndMatch", Dyno_Data[StageStat],"On",Dyno_Data[Harmony],"&lt;&gt;9")</f>
        <v>0</v>
      </c>
      <c r="CG158">
        <f>SUMIFS(Dyno_Data[Spotlit], Dyno_Data[Team],TBA_Matches_All[[#This Row],[Team]],Dyno_Data[Match],TBA_Matches_All[[#This Row],[Match_Number]],Dyno_Data[RecordType],"EndMatch", Dyno_Data[StageStat],"On",Dyno_Data[Spotlit],"&lt;&gt;9")</f>
        <v>0</v>
      </c>
      <c r="CH158" t="str">
        <f>_xlfn.XLOOKUP(TBA_Matches_All[[#This Row],[teammat]],Dyno_EndMatch[teammat],Dyno_EndMatch[Strategy],"_",0,1)</f>
        <v>_</v>
      </c>
      <c r="CI158">
        <f>SUMIFS(Dyno_Data[Defense], Dyno_Data[Team],TBA_Matches_All[[#This Row],[Team]],Dyno_Data[Match],TBA_Matches_All[[#This Row],[Match_Number]],Dyno_Data[RecordType],"EndMatch",Dyno_Data[Defense],"&lt;&gt;9")</f>
        <v>0</v>
      </c>
      <c r="CJ158">
        <f>SUMIFS(Dyno_Data[Avoidance], Dyno_Data[Team],TBA_Matches_All[[#This Row],[Team]],Dyno_Data[Match],TBA_Matches_All[[#This Row],[Match_Number]],Dyno_Data[RecordType],"EndMatch",Dyno_Data[Avoidance],"&lt;&gt;9")</f>
        <v>0</v>
      </c>
      <c r="CK158" s="82">
        <f>COUNTIF($H$2:TBA_Matches_All[[#This Row],[Team]],TBA_Matches_All[[#This Row],[Team]])</f>
        <v>4</v>
      </c>
      <c r="CL158" s="111">
        <f>SUM(MID(TBA_Matches_All[[#This Row],[Team]],4,5)+TBA_Matches_All[[#This Row],[Match_Number]]/100)</f>
        <v>3799.26</v>
      </c>
      <c r="CM158">
        <f>SUM((TBA_Matches_All[[#This Row],[Leave]]*2)+(TBA_Matches_All[[#This Row],[AampT]]*2)+(TBA_Matches_All[[#This Row],[AspkrT]]*5)+(TBA_Matches_All[[#This Row],[AtrapT]]*5))</f>
        <v>0</v>
      </c>
      <c r="CN158" s="59">
        <f>IFERROR(SUM(TBA_Matches_All[[#This Row],[AptsT]]/TBA_Matches_All[[#This Row],[AutoPts]]),0)</f>
        <v>0</v>
      </c>
      <c r="CO158" s="59">
        <f>IFERROR(SUM(TBA_Matches_All[[#This Row],[AampT]]+TBA_Matches_All[[#This Row],[AspkrT]]+TBA_Matches_All[[#This Row],[AtrapT]]/TBA_Matches_All[[#This Row],[Aamp]]+TBA_Matches_All[[#This Row],[Aspkr]]+TBA_Matches_All[[#This Row],[AtrapT]]),0)</f>
        <v>0</v>
      </c>
      <c r="CP158" s="59">
        <f>IFERROR(SUM(TBA_Matches_All[[#This Row],[TampT]]/TBA_Matches_All[[#This Row],[Tamp]]),0)</f>
        <v>0</v>
      </c>
      <c r="CQ158" s="59">
        <f>IFERROR(SUM(TBA_Matches_All[[#This Row],[TspkrT]]/TBA_Matches_All[[#This Row],[Tspkr]]),0)</f>
        <v>0</v>
      </c>
      <c r="CR158">
        <f>SUM(TBA_Matches_All[[#This Row],[TspkrPts]]*TBA_Matches_All[[#This Row],[TspkrP]])</f>
        <v>0</v>
      </c>
      <c r="CS158" s="59">
        <f>IFERROR(SUM(TBA_Matches_All[[#This Row],[TtrapT]]/TBA_Matches_All[[#This Row],[Trap]]),0)</f>
        <v>0</v>
      </c>
      <c r="CT158" s="59">
        <f>IFERROR(SUM(TBA_Matches_All[[#This Row],[TotNotesT]]/TBA_Matches_All[[#This Row],[TotNotes]]),0)</f>
        <v>0</v>
      </c>
      <c r="CU158" s="66">
        <f>SUM((TBA_Matches_All[[#This Row],[AampT]]*2)+(TBA_Matches_All[[#This Row],[AspkrT]]*5)+(TBA_Matches_All[[#This Row],[AtrapT]]*5)+(TBA_Matches_All[[#This Row],[TampT]]*1)+(TBA_Matches_All[[#This Row],[TspkrptsC]]))</f>
        <v>0</v>
      </c>
      <c r="CV158" s="59">
        <f>IFERROR(TBA_Matches_All[[#This Row],[noteptsT]]/TBA_Matches_All[[#This Row],[NotePts]],0)</f>
        <v>0</v>
      </c>
      <c r="CW158">
        <f>SUM(IF(TBA_Matches_All[[#This Row],[stageStat]]="On",3,0),IF(TBA_Matches_All[[#This Row],[stageStat]]="Park",1,0),SUMIFS(TBA_Matches_All[[#This Row],[Spotlit]],TBA_Matches_All[[#This Row],[stageStat]],"On"),SUMIFS(TBA_Matches_All[[#This Row],[Harmony]],TBA_Matches_All[[#This Row],[stageStat]],"On"))</f>
        <v>0</v>
      </c>
      <c r="CX158" s="59">
        <f>IFERROR(TBA_Matches_All[[#This Row],[stageptsT]]/TBA_Matches_All[[#This Row],[StagePts]],0)</f>
        <v>0</v>
      </c>
      <c r="CY158">
        <f>SUM((TBA_Matches_All[[#This Row],[AptsT]]+TBA_Matches_All[[#This Row],[TampT]]+TBA_Matches_All[[#This Row],[TspkrptsC]]+(TBA_Matches_All[[#This Row],[TtrapT]]*5)+TBA_Matches_All[[#This Row],[stageptsT]]))</f>
        <v>0</v>
      </c>
      <c r="CZ158" s="59">
        <f>IFERROR(SUM(TBA_Matches_All[[#This Row],[TotptsC]]/TBA_Matches_All[[#This Row],[Score]]),0)</f>
        <v>0</v>
      </c>
      <c r="DA15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20.591608391608389</v>
      </c>
      <c r="DB158" s="74">
        <f>SUMIFS(TBA_Matches_All[AveTeamTNoteDels],TBA_Matches_All[Match_Number],TBA_Matches_All[[#This Row],[Match_Number]],TBA_Matches_All[Alliance],"&lt;&gt;"&amp;TBA_Matches_All[[#This Row],[Alliance]],TBA_Matches_All[Scouted],"&gt;0")</f>
        <v>0</v>
      </c>
      <c r="DC158" s="74">
        <f>(TBA_Matches_All[[#This Row],[TampT]]+TBA_Matches_All[[#This Row],[TspkrptsC]])-TBA_Matches_All[[#This Row],[AveTeamTNoteDels]]</f>
        <v>-20.591608391608389</v>
      </c>
      <c r="DD158" s="74">
        <f>SUMIFS(TBA_Matches_All[AveTeamTNoteDels],TBA_Matches_All[Match_Number],TBA_Matches_All[[#This Row],[Match_Number]],TBA_Matches_All[Alliance],"&lt;&gt;"&amp;TBA_Matches_All[[#This Row],[Alliance]])-TBA_Matches_All[[#This Row],[AveOppTNoteDels]]</f>
        <v>20.214269064269065</v>
      </c>
    </row>
    <row r="159" spans="1:108" x14ac:dyDescent="0.3">
      <c r="A159" t="s">
        <v>1042</v>
      </c>
      <c r="B159" t="s">
        <v>489</v>
      </c>
      <c r="C159" t="s">
        <v>1336</v>
      </c>
      <c r="D159">
        <v>27</v>
      </c>
      <c r="E159" t="s">
        <v>1420</v>
      </c>
      <c r="F159" t="s">
        <v>1423</v>
      </c>
      <c r="G159" t="s">
        <v>1409</v>
      </c>
      <c r="H159" t="s">
        <v>367</v>
      </c>
      <c r="I159" t="b">
        <v>1</v>
      </c>
      <c r="J159">
        <v>114</v>
      </c>
      <c r="K159">
        <v>1</v>
      </c>
      <c r="L159">
        <v>1</v>
      </c>
      <c r="M159">
        <v>0</v>
      </c>
      <c r="N159">
        <v>0</v>
      </c>
      <c r="O159">
        <v>4</v>
      </c>
      <c r="P159">
        <v>20</v>
      </c>
      <c r="Q159">
        <v>26</v>
      </c>
      <c r="R159">
        <v>5</v>
      </c>
      <c r="S159">
        <v>7</v>
      </c>
      <c r="T159">
        <v>11</v>
      </c>
      <c r="U159">
        <v>35</v>
      </c>
      <c r="V159">
        <v>22</v>
      </c>
      <c r="W159">
        <v>18</v>
      </c>
      <c r="X159">
        <v>57</v>
      </c>
      <c r="Y159">
        <v>62</v>
      </c>
      <c r="Z159">
        <v>0</v>
      </c>
      <c r="AA159">
        <v>0</v>
      </c>
      <c r="AB159">
        <v>27</v>
      </c>
      <c r="AC159">
        <v>82</v>
      </c>
      <c r="AD159">
        <v>8</v>
      </c>
      <c r="AE159">
        <f>IFERROR(6/(COUNTIF(Dyno_EndMatch[Match],TBA_Matches_All[[#This Row],[Match_Number]])),0)</f>
        <v>0</v>
      </c>
      <c r="AF159">
        <f>COUNTIFS(Dyno_Data[Team],TBA_Matches_All[[#This Row],[Team]],Dyno_Data[Match],TBA_Matches_All[[#This Row],[Match_Number]],Dyno_Data[RecordType],"EndMatch",Dyno_Data[HPAmp],"Y")</f>
        <v>0</v>
      </c>
      <c r="AG159">
        <f>SUMIFS(Dyno_Data[Mics], Dyno_Data[Team],TBA_Matches_All[[#This Row],[Team]],Dyno_Data[Match],TBA_Matches_All[[#This Row],[Match_Number]],Dyno_Data[RecordType],"EndMatch",Dyno_Data[HPAmp],"Y")</f>
        <v>0</v>
      </c>
      <c r="AH159">
        <f>SUMIFS(Dyno_Data[Leave], Dyno_Data[Team],TBA_Matches_All[[#This Row],[Team]],Dyno_Data[Match],TBA_Matches_All[[#This Row],[Match_Number]],Dyno_Data[RecordType],"EndAuto")</f>
        <v>0</v>
      </c>
      <c r="AI159">
        <f>COUNTIFS(Dyno_Data[Team],TBA_Matches_All[[#This Row],[Team]],Dyno_Data[Match],TBA_Matches_All[[#This Row],[Match_Number]],Dyno_Data[RecordType],"Activities",Dyno_Data[DelDest],"Amp", Dyno_Data[DelMiss],"0", Dyno_Data[Mode],"Auto")</f>
        <v>0</v>
      </c>
      <c r="AJ159">
        <f>COUNTIFS(Dyno_Data[Team],TBA_Matches_All[[#This Row],[Team]],Dyno_Data[Match],TBA_Matches_All[[#This Row],[Match_Number]],Dyno_Data[RecordType],"Activities",Dyno_Data[DelDest],"Spkr", Dyno_Data[DelMiss],"0", Dyno_Data[Mode],"Auto")</f>
        <v>0</v>
      </c>
      <c r="AK159">
        <f>COUNTIFS(Dyno_Data[Team],TBA_Matches_All[[#This Row],[Team]],Dyno_Data[Match],TBA_Matches_All[[#This Row],[Match_Number]],Dyno_Data[RecordType],"Activities",Dyno_Data[DelDest],"Trap", Dyno_Data[DelMiss],"0", Dyno_Data[Mode],"Auto")</f>
        <v>0</v>
      </c>
      <c r="AL159">
        <f>COUNTIFS(Dyno_Data[Team],TBA_Matches_All[[#This Row],[Team]],Dyno_Data[Match],TBA_Matches_All[[#This Row],[Match_Number]],Dyno_Data[RecordType],"Activities",Dyno_Data[DelDest],"Amp", Dyno_Data[DelMiss],"0", Dyno_Data[Mode],"Teleop")</f>
        <v>0</v>
      </c>
      <c r="AM159">
        <f>COUNTIFS(Dyno_Data[Team],TBA_Matches_All[[#This Row],[Team]],Dyno_Data[Match],TBA_Matches_All[[#This Row],[Match_Number]],Dyno_Data[RecordType],"Activities",Dyno_Data[DelDest],"Spkr", Dyno_Data[DelMiss],"0", Dyno_Data[Mode],"Teleop")</f>
        <v>0</v>
      </c>
      <c r="AN159">
        <f>COUNTIFS(Dyno_Data[Team],TBA_Matches_All[[#This Row],[Team]],Dyno_Data[Match],TBA_Matches_All[[#This Row],[Match_Number]],Dyno_Data[RecordType],"Activities",Dyno_Data[DelDest],"Trap", Dyno_Data[DelMiss],"0", Dyno_Data[Mode],"&lt;&gt;Auto")</f>
        <v>0</v>
      </c>
      <c r="AO159">
        <f>SUM(TBA_Matches_All[[#This Row],[AampT]]+TBA_Matches_All[[#This Row],[AspkrT]]+TBA_Matches_All[[#This Row],[AtrapT]]+TBA_Matches_All[[#This Row],[TampT]]+TBA_Matches_All[[#This Row],[TspkrT]]+TBA_Matches_All[[#This Row],[TtrapT]])</f>
        <v>0</v>
      </c>
      <c r="AP159">
        <f>COUNTIFS(Dyno_Data[Team],TBA_Matches_All[[#This Row],[Team]],Dyno_Data[Match],TBA_Matches_All[[#This Row],[Match_Number]],Dyno_Data[RecordType],"Activities",Dyno_Data[DelDest],"Neut", Dyno_Data[DelMiss],"0")</f>
        <v>0</v>
      </c>
      <c r="AQ159">
        <f>COUNTIFS(Dyno_Data[Team],TBA_Matches_All[[#This Row],[Team]],Dyno_Data[Match],TBA_Matches_All[[#This Row],[Match_Number]],Dyno_Data[RecordType],"Activities",Dyno_Data[DelDest],"AllyW", Dyno_Data[DelMiss],"0")</f>
        <v>0</v>
      </c>
      <c r="AR159" t="str">
        <f>_xlfn.XLOOKUP(SUM(MID(TBA_Matches_All[[#This Row],[Team]],4,5),(TBA_Matches_All[[#This Row],[Match_Number]]/100)),Dyno_EndMatch[teammat],Dyno_EndMatch[RobotSta],"_",0,1)</f>
        <v>_</v>
      </c>
      <c r="AS159">
        <f>SUMIFS(Dyno_Data[AcqDis], Dyno_Data[Team],TBA_Matches_All[[#This Row],[Team]],Dyno_Data[Match],TBA_Matches_All[[#This Row],[Match_Number]],Dyno_Data[RecordType],"Activities", Dyno_Data[AcqCenter],1,Dyno_Data[Mode],"Auto")</f>
        <v>0</v>
      </c>
      <c r="AT159">
        <f>SUMIFS(Dyno_Data[AcqDis], Dyno_Data[Team],TBA_Matches_All[[#This Row],[Team]],Dyno_Data[Match],TBA_Matches_All[[#This Row],[Match_Number]],Dyno_Data[RecordType],"Activities", Dyno_Data[AcqCenter],2,Dyno_Data[Mode],"Auto")</f>
        <v>0</v>
      </c>
      <c r="AU159">
        <f>SUMIFS(Dyno_Data[AcqDis], Dyno_Data[Team],TBA_Matches_All[[#This Row],[Team]],Dyno_Data[Match],TBA_Matches_All[[#This Row],[Match_Number]],Dyno_Data[RecordType],"Activities", Dyno_Data[AcqCenter],3,Dyno_Data[Mode],"Auto")</f>
        <v>0</v>
      </c>
      <c r="AV159">
        <f>SUMIFS(Dyno_Data[AcqDis], Dyno_Data[Team],TBA_Matches_All[[#This Row],[Team]],Dyno_Data[Match],TBA_Matches_All[[#This Row],[Match_Number]],Dyno_Data[RecordType],"Activities", Dyno_Data[AcqCenter],4,Dyno_Data[Mode],"Auto")</f>
        <v>0</v>
      </c>
      <c r="AW159">
        <f>SUMIFS(Dyno_Data[AcqDis], Dyno_Data[Team],TBA_Matches_All[[#This Row],[Team]],Dyno_Data[Match],TBA_Matches_All[[#This Row],[Match_Number]],Dyno_Data[RecordType],"Activities", Dyno_Data[AcqCenter],5,Dyno_Data[Mode],"Auto")</f>
        <v>0</v>
      </c>
      <c r="AX159">
        <f>SUMIFS(Dyno_Data[DelMiss], Dyno_Data[Team],TBA_Matches_All[[#This Row],[Team]],Dyno_Data[Match],TBA_Matches_All[[#This Row],[Match_Number]],Dyno_Data[RecordType],"Activities", Dyno_Data[DelDest],"Amp")</f>
        <v>0</v>
      </c>
      <c r="AY159" s="60">
        <f>IFERROR(SUM((TBA_Matches_All[[#This Row],[AampT]]+TBA_Matches_All[[#This Row],[TampT]])/(TBA_Matches_All[[#This Row],[AampT]]+TBA_Matches_All[[#This Row],[TampT]]+TBA_Matches_All[[#This Row],[ampM]])),0)</f>
        <v>0</v>
      </c>
      <c r="AZ159">
        <f>SUMIFS(Dyno_Data[DelMiss], Dyno_Data[Team],TBA_Matches_All[[#This Row],[Team]],Dyno_Data[Match],TBA_Matches_All[[#This Row],[Match_Number]],Dyno_Data[RecordType],"Activities", Dyno_Data[DelDest],"Spkr")</f>
        <v>0</v>
      </c>
      <c r="BA159" s="60">
        <f>IFERROR(SUM((TBA_Matches_All[[#This Row],[AspkrT]]+TBA_Matches_All[[#This Row],[TspkrT]])/(TBA_Matches_All[[#This Row],[AspkrT]]+TBA_Matches_All[[#This Row],[TspkrT]]+TBA_Matches_All[[#This Row],[spkrM]])),0)</f>
        <v>0</v>
      </c>
      <c r="BB159">
        <f>SUMIFS(Dyno_Data[DelMiss], Dyno_Data[Team],TBA_Matches_All[[#This Row],[Team]],Dyno_Data[Match],TBA_Matches_All[[#This Row],[Match_Number]],Dyno_Data[RecordType],"Activities", Dyno_Data[DelDest],"Trap")</f>
        <v>0</v>
      </c>
      <c r="BC159" s="60">
        <f>IFERROR((TBA_Matches_All[[#This Row],[AtrapT]]+TBA_Matches_All[[#This Row],[TtrapT]])/(TBA_Matches_All[[#This Row],[AtrapT]]+TBA_Matches_All[[#This Row],[TtrapT]]+TBA_Matches_All[[#This Row],[trapM]]),0)</f>
        <v>0</v>
      </c>
      <c r="BD159">
        <f>COUNTIFS(Dyno_Data[Team],TBA_Matches_All[[#This Row],[Team]],Dyno_Data[Match],TBA_Matches_All[[#This Row],[Match_Number]],Dyno_Data[RecordType],"Activities",Dyno_Data[DelDest],"Neut", Dyno_Data[DelMiss],1)</f>
        <v>0</v>
      </c>
      <c r="BE159" s="60">
        <f>IFERROR(SUM((TBA_Matches_All[[#This Row],[NeutFlrT]])/(TBA_Matches_All[[#This Row],[NeutFlrT]]+TBA_Matches_All[[#This Row],[NZflM]])),0)</f>
        <v>0</v>
      </c>
      <c r="BF159">
        <f>COUNTIFS(Dyno_Data[Team],TBA_Matches_All[[#This Row],[Team]],Dyno_Data[Match],TBA_Matches_All[[#This Row],[Match_Number]],Dyno_Data[RecordType],"Activities",Dyno_Data[DelDest],"AllyW", Dyno_Data[DelMiss],1)</f>
        <v>0</v>
      </c>
      <c r="BG159" s="60">
        <f>IFERROR(SUM((TBA_Matches_All[[#This Row],[AllyWFlrT]])/(TBA_Matches_All[[#This Row],[AllyWFlrT]]+TBA_Matches_All[[#This Row],[AZflM]])),0)</f>
        <v>0</v>
      </c>
      <c r="BH159">
        <f>COUNTIFS(Dyno_Data[Team],TBA_Matches_All[[#This Row],[Team]],Dyno_Data[Match],TBA_Matches_All[[#This Row],[Match_Number]],Dyno_Data[RecordType],"Activities",Dyno_Data[DelOrig],"OppW", Dyno_Data[DelMiss],"0")</f>
        <v>0</v>
      </c>
      <c r="BI159">
        <f>COUNTIFS(Dyno_Data[Team],TBA_Matches_All[[#This Row],[Team]],Dyno_Data[Match],TBA_Matches_All[[#This Row],[Match_Number]],Dyno_Data[RecordType],"Activities",Dyno_Data[DelOrig],"OppW", Dyno_Data[DelMiss],"1")</f>
        <v>0</v>
      </c>
      <c r="BJ159" s="60">
        <f>IFERROR(SUM((TBA_Matches_All[[#This Row],[OZflrT]])/(TBA_Matches_All[[#This Row],[OZflrT]]+TBA_Matches_All[[#This Row],[OZflrM]])),0)</f>
        <v>0</v>
      </c>
      <c r="BK159">
        <f>COUNTIFS(Dyno_Data[Team],TBA_Matches_All[[#This Row],[Team]],Dyno_Data[Match],TBA_Matches_All[[#This Row],[Match_Number]],Dyno_Data[RecordType],"Activities",Dyno_Data[DelOrig],"Neut", Dyno_Data[DelMiss],"0")</f>
        <v>0</v>
      </c>
      <c r="BL159">
        <f>COUNTIFS(Dyno_Data[Team],TBA_Matches_All[[#This Row],[Team]],Dyno_Data[Match],TBA_Matches_All[[#This Row],[Match_Number]],Dyno_Data[RecordType],"Activities",Dyno_Data[DelOrig],"Neut", Dyno_Data[DelMiss],"1")</f>
        <v>0</v>
      </c>
      <c r="BM159" s="60">
        <f>IFERROR(SUM((TBA_Matches_All[[#This Row],[NZflrT]])/(TBA_Matches_All[[#This Row],[NZflrT]]+TBA_Matches_All[[#This Row],[NZflrM]])),0)</f>
        <v>0</v>
      </c>
      <c r="BN159">
        <f>COUNTIFS(Dyno_Data[Team],TBA_Matches_All[[#This Row],[Team]],Dyno_Data[Match],TBA_Matches_All[[#This Row],[Match_Number]],Dyno_Data[RecordType],"Activities",Dyno_Data[DelOrig],"AllyW", Dyno_Data[DelMiss],"0")</f>
        <v>0</v>
      </c>
      <c r="BO159">
        <f>COUNTIFS(Dyno_Data[Team],TBA_Matches_All[[#This Row],[Team]],Dyno_Data[Match],TBA_Matches_All[[#This Row],[Match_Number]],Dyno_Data[RecordType],"Activities",Dyno_Data[DelOrig],"AllyW", Dyno_Data[DelMiss],"1")</f>
        <v>0</v>
      </c>
      <c r="BP159" s="60">
        <f>IFERROR(SUM((TBA_Matches_All[[#This Row],[AZflrT]])/(TBA_Matches_All[[#This Row],[AZflrT]]+TBA_Matches_All[[#This Row],[AZflrM]])),0)</f>
        <v>0</v>
      </c>
      <c r="BQ159">
        <f>COUNTIFS(Dyno_Data[Team],TBA_Matches_All[[#This Row],[Team]],Dyno_Data[Match],TBA_Matches_All[[#This Row],[Match_Number]],Dyno_Data[RecordType],"Activities",Dyno_Data[DelOrig],"SubW", Dyno_Data[DelMiss],"0")</f>
        <v>0</v>
      </c>
      <c r="BR159">
        <f>COUNTIFS(Dyno_Data[Team],TBA_Matches_All[[#This Row],[Team]],Dyno_Data[Match],TBA_Matches_All[[#This Row],[Match_Number]],Dyno_Data[RecordType],"Activities",Dyno_Data[DelOrig],"SubW", Dyno_Data[DelMiss],"1")</f>
        <v>0</v>
      </c>
      <c r="BS159" s="60">
        <f>IFERROR(SUM((TBA_Matches_All[[#This Row],[SubwT]])/(TBA_Matches_All[[#This Row],[SubwT]]+TBA_Matches_All[[#This Row],[SubwM]])),0)</f>
        <v>0</v>
      </c>
      <c r="BT159">
        <f>COUNTIFS(Dyno_Data[Team],TBA_Matches_All[[#This Row],[Team]],Dyno_Data[Match],TBA_Matches_All[[#This Row],[Match_Number]],Dyno_Data[RecordType],"Activities", Dyno_Data[AcqLoc],"OppWing")</f>
        <v>0</v>
      </c>
      <c r="BU159">
        <f>COUNTIFS(Dyno_Data[Team],TBA_Matches_All[[#This Row],[Team]],Dyno_Data[Match],TBA_Matches_All[[#This Row],[Match_Number]],Dyno_Data[RecordType],"Activities", Dyno_Data[AcqLoc],"Neutral")</f>
        <v>0</v>
      </c>
      <c r="BV159">
        <f>COUNTIFS(Dyno_Data[Team],TBA_Matches_All[[#This Row],[Team]],Dyno_Data[Match],TBA_Matches_All[[#This Row],[Match_Number]],Dyno_Data[RecordType],"Activities", Dyno_Data[AcqLoc],"AllyWing")</f>
        <v>0</v>
      </c>
      <c r="BW159">
        <f>COUNTIFS(Dyno_Data[Team],TBA_Matches_All[[#This Row],[Team]],Dyno_Data[Match],TBA_Matches_All[[#This Row],[Match_Number]],Dyno_Data[RecordType],"Activities", Dyno_Data[AcqLoc],"Source")</f>
        <v>0</v>
      </c>
      <c r="BX159">
        <f>SUMIFS(Dyno_Data[AcqDrp], Dyno_Data[Team],TBA_Matches_All[[#This Row],[Team]],Dyno_Data[Match],TBA_Matches_All[[#This Row],[Match_Number]],Dyno_Data[RecordType],"Activities", Dyno_Data[AcqLoc],"Source")</f>
        <v>0</v>
      </c>
      <c r="BY159">
        <f>SUMIFS(Dyno_Data[OZTime], Dyno_Data[Team],TBA_Matches_All[[#This Row],[Team]],Dyno_Data[Match],TBA_Matches_All[[#This Row],[Match_Number]],Dyno_Data[RecordType],"EndMatch")</f>
        <v>0</v>
      </c>
      <c r="BZ159">
        <f>SUMIFS(Dyno_Data[NZTime], Dyno_Data[Team],TBA_Matches_All[[#This Row],[Team]],Dyno_Data[Match],TBA_Matches_All[[#This Row],[Match_Number]],Dyno_Data[RecordType],"EndMatch")</f>
        <v>0</v>
      </c>
      <c r="CA159">
        <f>SUMIFS(Dyno_Data[AZTime], Dyno_Data[Team],TBA_Matches_All[[#This Row],[Team]],Dyno_Data[Match],TBA_Matches_All[[#This Row],[Match_Number]],Dyno_Data[RecordType],"EndMatch")</f>
        <v>0</v>
      </c>
      <c r="CB159">
        <f>SUMIFS(Dyno_Data[ClimbT], Dyno_Data[Team],TBA_Matches_All[[#This Row],[Team]],Dyno_Data[Match],TBA_Matches_All[[#This Row],[Match_Number]],Dyno_Data[RecordType],"EndMatch")</f>
        <v>0</v>
      </c>
      <c r="CC159" t="str">
        <f>_xlfn.XLOOKUP(SUM(MID(TBA_Matches_All[[#This Row],[Team]],4,5),(TBA_Matches_All[[#This Row],[Match_Number]]/100)),Dyno_EndMatch[teammat],Dyno_EndMatch[StageStat],"_",0,1)</f>
        <v>_</v>
      </c>
      <c r="CD159" t="str">
        <f>_xlfn.XLOOKUP(TBA_Matches_All[[#This Row],[teammat]],Dyno_EndMatch[teammat],Dyno_EndMatch[StageAtt],"_",0,1)</f>
        <v>_</v>
      </c>
      <c r="CE159" t="str">
        <f>_xlfn.XLOOKUP(TBA_Matches_All[[#This Row],[teammat]],Dyno_EndMatch[teammat],Dyno_EndMatch[StageLoc],"_",0,1)</f>
        <v>_</v>
      </c>
      <c r="CF159">
        <f>SUMIFS(Dyno_Data[Harmony], Dyno_Data[Team],TBA_Matches_All[[#This Row],[Team]],Dyno_Data[Match],TBA_Matches_All[[#This Row],[Match_Number]],Dyno_Data[RecordType],"EndMatch", Dyno_Data[StageStat],"On",Dyno_Data[Harmony],"&lt;&gt;9")</f>
        <v>0</v>
      </c>
      <c r="CG159">
        <f>SUMIFS(Dyno_Data[Spotlit], Dyno_Data[Team],TBA_Matches_All[[#This Row],[Team]],Dyno_Data[Match],TBA_Matches_All[[#This Row],[Match_Number]],Dyno_Data[RecordType],"EndMatch", Dyno_Data[StageStat],"On",Dyno_Data[Spotlit],"&lt;&gt;9")</f>
        <v>0</v>
      </c>
      <c r="CH159" t="str">
        <f>_xlfn.XLOOKUP(TBA_Matches_All[[#This Row],[teammat]],Dyno_EndMatch[teammat],Dyno_EndMatch[Strategy],"_",0,1)</f>
        <v>_</v>
      </c>
      <c r="CI159">
        <f>SUMIFS(Dyno_Data[Defense], Dyno_Data[Team],TBA_Matches_All[[#This Row],[Team]],Dyno_Data[Match],TBA_Matches_All[[#This Row],[Match_Number]],Dyno_Data[RecordType],"EndMatch",Dyno_Data[Defense],"&lt;&gt;9")</f>
        <v>0</v>
      </c>
      <c r="CJ159">
        <f>SUMIFS(Dyno_Data[Avoidance], Dyno_Data[Team],TBA_Matches_All[[#This Row],[Team]],Dyno_Data[Match],TBA_Matches_All[[#This Row],[Match_Number]],Dyno_Data[RecordType],"EndMatch",Dyno_Data[Avoidance],"&lt;&gt;9")</f>
        <v>0</v>
      </c>
      <c r="CK159" s="82">
        <f>COUNTIF($H$2:TBA_Matches_All[[#This Row],[Team]],TBA_Matches_All[[#This Row],[Team]])</f>
        <v>4</v>
      </c>
      <c r="CL159" s="111">
        <f>SUM(MID(TBA_Matches_All[[#This Row],[Team]],4,5)+TBA_Matches_All[[#This Row],[Match_Number]]/100)</f>
        <v>5016.2700000000004</v>
      </c>
      <c r="CM159">
        <f>SUM((TBA_Matches_All[[#This Row],[Leave]]*2)+(TBA_Matches_All[[#This Row],[AampT]]*2)+(TBA_Matches_All[[#This Row],[AspkrT]]*5)+(TBA_Matches_All[[#This Row],[AtrapT]]*5))</f>
        <v>0</v>
      </c>
      <c r="CN159" s="59">
        <f>IFERROR(SUM(TBA_Matches_All[[#This Row],[AptsT]]/TBA_Matches_All[[#This Row],[AutoPts]]),0)</f>
        <v>0</v>
      </c>
      <c r="CO159" s="59">
        <f>IFERROR(SUM(TBA_Matches_All[[#This Row],[AampT]]+TBA_Matches_All[[#This Row],[AspkrT]]+TBA_Matches_All[[#This Row],[AtrapT]]/TBA_Matches_All[[#This Row],[Aamp]]+TBA_Matches_All[[#This Row],[Aspkr]]+TBA_Matches_All[[#This Row],[AtrapT]]),0)</f>
        <v>0</v>
      </c>
      <c r="CP159" s="59">
        <f>IFERROR(SUM(TBA_Matches_All[[#This Row],[TampT]]/TBA_Matches_All[[#This Row],[Tamp]]),0)</f>
        <v>0</v>
      </c>
      <c r="CQ159" s="59">
        <f>IFERROR(SUM(TBA_Matches_All[[#This Row],[TspkrT]]/TBA_Matches_All[[#This Row],[Tspkr]]),0)</f>
        <v>0</v>
      </c>
      <c r="CR159">
        <f>SUM(TBA_Matches_All[[#This Row],[TspkrPts]]*TBA_Matches_All[[#This Row],[TspkrP]])</f>
        <v>0</v>
      </c>
      <c r="CS159" s="59">
        <f>IFERROR(SUM(TBA_Matches_All[[#This Row],[TtrapT]]/TBA_Matches_All[[#This Row],[Trap]]),0)</f>
        <v>0</v>
      </c>
      <c r="CT159" s="59">
        <f>IFERROR(SUM(TBA_Matches_All[[#This Row],[TotNotesT]]/TBA_Matches_All[[#This Row],[TotNotes]]),0)</f>
        <v>0</v>
      </c>
      <c r="CU159" s="66">
        <f>SUM((TBA_Matches_All[[#This Row],[AampT]]*2)+(TBA_Matches_All[[#This Row],[AspkrT]]*5)+(TBA_Matches_All[[#This Row],[AtrapT]]*5)+(TBA_Matches_All[[#This Row],[TampT]]*1)+(TBA_Matches_All[[#This Row],[TspkrptsC]]))</f>
        <v>0</v>
      </c>
      <c r="CV159" s="59">
        <f>IFERROR(TBA_Matches_All[[#This Row],[noteptsT]]/TBA_Matches_All[[#This Row],[NotePts]],0)</f>
        <v>0</v>
      </c>
      <c r="CW159">
        <f>SUM(IF(TBA_Matches_All[[#This Row],[stageStat]]="On",3,0),IF(TBA_Matches_All[[#This Row],[stageStat]]="Park",1,0),SUMIFS(TBA_Matches_All[[#This Row],[Spotlit]],TBA_Matches_All[[#This Row],[stageStat]],"On"),SUMIFS(TBA_Matches_All[[#This Row],[Harmony]],TBA_Matches_All[[#This Row],[stageStat]],"On"))</f>
        <v>0</v>
      </c>
      <c r="CX159" s="59">
        <f>IFERROR(TBA_Matches_All[[#This Row],[stageptsT]]/TBA_Matches_All[[#This Row],[StagePts]],0)</f>
        <v>0</v>
      </c>
      <c r="CY159">
        <f>SUM((TBA_Matches_All[[#This Row],[AptsT]]+TBA_Matches_All[[#This Row],[TampT]]+TBA_Matches_All[[#This Row],[TspkrptsC]]+(TBA_Matches_All[[#This Row],[TtrapT]]*5)+TBA_Matches_All[[#This Row],[stageptsT]]))</f>
        <v>0</v>
      </c>
      <c r="CZ159" s="59">
        <f>IFERROR(SUM(TBA_Matches_All[[#This Row],[TotptsC]]/TBA_Matches_All[[#This Row],[Score]]),0)</f>
        <v>0</v>
      </c>
      <c r="DA15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8.7055555555555557</v>
      </c>
      <c r="DB159" s="74">
        <f>SUMIFS(TBA_Matches_All[AveTeamTNoteDels],TBA_Matches_All[Match_Number],TBA_Matches_All[[#This Row],[Match_Number]],TBA_Matches_All[Alliance],"&lt;&gt;"&amp;TBA_Matches_All[[#This Row],[Alliance]],TBA_Matches_All[Scouted],"&gt;0")</f>
        <v>0</v>
      </c>
      <c r="DC159" s="74">
        <f>(TBA_Matches_All[[#This Row],[TampT]]+TBA_Matches_All[[#This Row],[TspkrptsC]])-TBA_Matches_All[[#This Row],[AveTeamTNoteDels]]</f>
        <v>-8.7055555555555557</v>
      </c>
      <c r="DD159" s="74">
        <f>SUMIFS(TBA_Matches_All[AveTeamTNoteDels],TBA_Matches_All[Match_Number],TBA_Matches_All[[#This Row],[Match_Number]],TBA_Matches_All[Alliance],"&lt;&gt;"&amp;TBA_Matches_All[[#This Row],[Alliance]])-TBA_Matches_All[[#This Row],[AveOppTNoteDels]]</f>
        <v>42.501533882783889</v>
      </c>
    </row>
    <row r="160" spans="1:108" x14ac:dyDescent="0.3">
      <c r="A160" t="s">
        <v>1042</v>
      </c>
      <c r="B160" t="s">
        <v>489</v>
      </c>
      <c r="C160" t="s">
        <v>1336</v>
      </c>
      <c r="D160">
        <v>27</v>
      </c>
      <c r="E160" t="s">
        <v>1406</v>
      </c>
      <c r="F160" t="s">
        <v>1424</v>
      </c>
      <c r="G160" t="s">
        <v>1409</v>
      </c>
      <c r="H160" t="s">
        <v>370</v>
      </c>
      <c r="I160" t="b">
        <v>1</v>
      </c>
      <c r="J160">
        <v>37</v>
      </c>
      <c r="K160">
        <v>1</v>
      </c>
      <c r="L160">
        <v>0</v>
      </c>
      <c r="M160">
        <v>18</v>
      </c>
      <c r="N160">
        <v>0</v>
      </c>
      <c r="O160">
        <v>0</v>
      </c>
      <c r="P160">
        <v>0</v>
      </c>
      <c r="Q160">
        <v>2</v>
      </c>
      <c r="R160">
        <v>1</v>
      </c>
      <c r="S160">
        <v>0</v>
      </c>
      <c r="T160">
        <v>16</v>
      </c>
      <c r="U160">
        <v>0</v>
      </c>
      <c r="V160">
        <v>32</v>
      </c>
      <c r="W160">
        <v>16</v>
      </c>
      <c r="X160">
        <v>32</v>
      </c>
      <c r="Y160">
        <v>33</v>
      </c>
      <c r="Z160">
        <v>0</v>
      </c>
      <c r="AA160">
        <v>0</v>
      </c>
      <c r="AB160">
        <v>17</v>
      </c>
      <c r="AC160">
        <v>33</v>
      </c>
      <c r="AD160">
        <v>2</v>
      </c>
      <c r="AE160">
        <f>IFERROR(6/(COUNTIF(Dyno_EndMatch[Match],TBA_Matches_All[[#This Row],[Match_Number]])),0)</f>
        <v>0</v>
      </c>
      <c r="AF160">
        <f>COUNTIFS(Dyno_Data[Team],TBA_Matches_All[[#This Row],[Team]],Dyno_Data[Match],TBA_Matches_All[[#This Row],[Match_Number]],Dyno_Data[RecordType],"EndMatch",Dyno_Data[HPAmp],"Y")</f>
        <v>0</v>
      </c>
      <c r="AG160">
        <f>SUMIFS(Dyno_Data[Mics], Dyno_Data[Team],TBA_Matches_All[[#This Row],[Team]],Dyno_Data[Match],TBA_Matches_All[[#This Row],[Match_Number]],Dyno_Data[RecordType],"EndMatch",Dyno_Data[HPAmp],"Y")</f>
        <v>0</v>
      </c>
      <c r="AH160">
        <f>SUMIFS(Dyno_Data[Leave], Dyno_Data[Team],TBA_Matches_All[[#This Row],[Team]],Dyno_Data[Match],TBA_Matches_All[[#This Row],[Match_Number]],Dyno_Data[RecordType],"EndAuto")</f>
        <v>0</v>
      </c>
      <c r="AI160">
        <f>COUNTIFS(Dyno_Data[Team],TBA_Matches_All[[#This Row],[Team]],Dyno_Data[Match],TBA_Matches_All[[#This Row],[Match_Number]],Dyno_Data[RecordType],"Activities",Dyno_Data[DelDest],"Amp", Dyno_Data[DelMiss],"0", Dyno_Data[Mode],"Auto")</f>
        <v>0</v>
      </c>
      <c r="AJ160">
        <f>COUNTIFS(Dyno_Data[Team],TBA_Matches_All[[#This Row],[Team]],Dyno_Data[Match],TBA_Matches_All[[#This Row],[Match_Number]],Dyno_Data[RecordType],"Activities",Dyno_Data[DelDest],"Spkr", Dyno_Data[DelMiss],"0", Dyno_Data[Mode],"Auto")</f>
        <v>0</v>
      </c>
      <c r="AK160">
        <f>COUNTIFS(Dyno_Data[Team],TBA_Matches_All[[#This Row],[Team]],Dyno_Data[Match],TBA_Matches_All[[#This Row],[Match_Number]],Dyno_Data[RecordType],"Activities",Dyno_Data[DelDest],"Trap", Dyno_Data[DelMiss],"0", Dyno_Data[Mode],"Auto")</f>
        <v>0</v>
      </c>
      <c r="AL160">
        <f>COUNTIFS(Dyno_Data[Team],TBA_Matches_All[[#This Row],[Team]],Dyno_Data[Match],TBA_Matches_All[[#This Row],[Match_Number]],Dyno_Data[RecordType],"Activities",Dyno_Data[DelDest],"Amp", Dyno_Data[DelMiss],"0", Dyno_Data[Mode],"Teleop")</f>
        <v>0</v>
      </c>
      <c r="AM160">
        <f>COUNTIFS(Dyno_Data[Team],TBA_Matches_All[[#This Row],[Team]],Dyno_Data[Match],TBA_Matches_All[[#This Row],[Match_Number]],Dyno_Data[RecordType],"Activities",Dyno_Data[DelDest],"Spkr", Dyno_Data[DelMiss],"0", Dyno_Data[Mode],"Teleop")</f>
        <v>0</v>
      </c>
      <c r="AN160">
        <f>COUNTIFS(Dyno_Data[Team],TBA_Matches_All[[#This Row],[Team]],Dyno_Data[Match],TBA_Matches_All[[#This Row],[Match_Number]],Dyno_Data[RecordType],"Activities",Dyno_Data[DelDest],"Trap", Dyno_Data[DelMiss],"0", Dyno_Data[Mode],"&lt;&gt;Auto")</f>
        <v>0</v>
      </c>
      <c r="AO160">
        <f>SUM(TBA_Matches_All[[#This Row],[AampT]]+TBA_Matches_All[[#This Row],[AspkrT]]+TBA_Matches_All[[#This Row],[AtrapT]]+TBA_Matches_All[[#This Row],[TampT]]+TBA_Matches_All[[#This Row],[TspkrT]]+TBA_Matches_All[[#This Row],[TtrapT]])</f>
        <v>0</v>
      </c>
      <c r="AP160">
        <f>COUNTIFS(Dyno_Data[Team],TBA_Matches_All[[#This Row],[Team]],Dyno_Data[Match],TBA_Matches_All[[#This Row],[Match_Number]],Dyno_Data[RecordType],"Activities",Dyno_Data[DelDest],"Neut", Dyno_Data[DelMiss],"0")</f>
        <v>0</v>
      </c>
      <c r="AQ160">
        <f>COUNTIFS(Dyno_Data[Team],TBA_Matches_All[[#This Row],[Team]],Dyno_Data[Match],TBA_Matches_All[[#This Row],[Match_Number]],Dyno_Data[RecordType],"Activities",Dyno_Data[DelDest],"AllyW", Dyno_Data[DelMiss],"0")</f>
        <v>0</v>
      </c>
      <c r="AR160" t="str">
        <f>_xlfn.XLOOKUP(SUM(MID(TBA_Matches_All[[#This Row],[Team]],4,5),(TBA_Matches_All[[#This Row],[Match_Number]]/100)),Dyno_EndMatch[teammat],Dyno_EndMatch[RobotSta],"_",0,1)</f>
        <v>_</v>
      </c>
      <c r="AS160">
        <f>SUMIFS(Dyno_Data[AcqDis], Dyno_Data[Team],TBA_Matches_All[[#This Row],[Team]],Dyno_Data[Match],TBA_Matches_All[[#This Row],[Match_Number]],Dyno_Data[RecordType],"Activities", Dyno_Data[AcqCenter],1,Dyno_Data[Mode],"Auto")</f>
        <v>0</v>
      </c>
      <c r="AT160">
        <f>SUMIFS(Dyno_Data[AcqDis], Dyno_Data[Team],TBA_Matches_All[[#This Row],[Team]],Dyno_Data[Match],TBA_Matches_All[[#This Row],[Match_Number]],Dyno_Data[RecordType],"Activities", Dyno_Data[AcqCenter],2,Dyno_Data[Mode],"Auto")</f>
        <v>0</v>
      </c>
      <c r="AU160">
        <f>SUMIFS(Dyno_Data[AcqDis], Dyno_Data[Team],TBA_Matches_All[[#This Row],[Team]],Dyno_Data[Match],TBA_Matches_All[[#This Row],[Match_Number]],Dyno_Data[RecordType],"Activities", Dyno_Data[AcqCenter],3,Dyno_Data[Mode],"Auto")</f>
        <v>0</v>
      </c>
      <c r="AV160">
        <f>SUMIFS(Dyno_Data[AcqDis], Dyno_Data[Team],TBA_Matches_All[[#This Row],[Team]],Dyno_Data[Match],TBA_Matches_All[[#This Row],[Match_Number]],Dyno_Data[RecordType],"Activities", Dyno_Data[AcqCenter],4,Dyno_Data[Mode],"Auto")</f>
        <v>0</v>
      </c>
      <c r="AW160">
        <f>SUMIFS(Dyno_Data[AcqDis], Dyno_Data[Team],TBA_Matches_All[[#This Row],[Team]],Dyno_Data[Match],TBA_Matches_All[[#This Row],[Match_Number]],Dyno_Data[RecordType],"Activities", Dyno_Data[AcqCenter],5,Dyno_Data[Mode],"Auto")</f>
        <v>0</v>
      </c>
      <c r="AX160">
        <f>SUMIFS(Dyno_Data[DelMiss], Dyno_Data[Team],TBA_Matches_All[[#This Row],[Team]],Dyno_Data[Match],TBA_Matches_All[[#This Row],[Match_Number]],Dyno_Data[RecordType],"Activities", Dyno_Data[DelDest],"Amp")</f>
        <v>0</v>
      </c>
      <c r="AY160" s="60">
        <f>IFERROR(SUM((TBA_Matches_All[[#This Row],[AampT]]+TBA_Matches_All[[#This Row],[TampT]])/(TBA_Matches_All[[#This Row],[AampT]]+TBA_Matches_All[[#This Row],[TampT]]+TBA_Matches_All[[#This Row],[ampM]])),0)</f>
        <v>0</v>
      </c>
      <c r="AZ160">
        <f>SUMIFS(Dyno_Data[DelMiss], Dyno_Data[Team],TBA_Matches_All[[#This Row],[Team]],Dyno_Data[Match],TBA_Matches_All[[#This Row],[Match_Number]],Dyno_Data[RecordType],"Activities", Dyno_Data[DelDest],"Spkr")</f>
        <v>0</v>
      </c>
      <c r="BA160" s="60">
        <f>IFERROR(SUM((TBA_Matches_All[[#This Row],[AspkrT]]+TBA_Matches_All[[#This Row],[TspkrT]])/(TBA_Matches_All[[#This Row],[AspkrT]]+TBA_Matches_All[[#This Row],[TspkrT]]+TBA_Matches_All[[#This Row],[spkrM]])),0)</f>
        <v>0</v>
      </c>
      <c r="BB160">
        <f>SUMIFS(Dyno_Data[DelMiss], Dyno_Data[Team],TBA_Matches_All[[#This Row],[Team]],Dyno_Data[Match],TBA_Matches_All[[#This Row],[Match_Number]],Dyno_Data[RecordType],"Activities", Dyno_Data[DelDest],"Trap")</f>
        <v>0</v>
      </c>
      <c r="BC160" s="60">
        <f>IFERROR((TBA_Matches_All[[#This Row],[AtrapT]]+TBA_Matches_All[[#This Row],[TtrapT]])/(TBA_Matches_All[[#This Row],[AtrapT]]+TBA_Matches_All[[#This Row],[TtrapT]]+TBA_Matches_All[[#This Row],[trapM]]),0)</f>
        <v>0</v>
      </c>
      <c r="BD160">
        <f>COUNTIFS(Dyno_Data[Team],TBA_Matches_All[[#This Row],[Team]],Dyno_Data[Match],TBA_Matches_All[[#This Row],[Match_Number]],Dyno_Data[RecordType],"Activities",Dyno_Data[DelDest],"Neut", Dyno_Data[DelMiss],1)</f>
        <v>0</v>
      </c>
      <c r="BE160" s="60">
        <f>IFERROR(SUM((TBA_Matches_All[[#This Row],[NeutFlrT]])/(TBA_Matches_All[[#This Row],[NeutFlrT]]+TBA_Matches_All[[#This Row],[NZflM]])),0)</f>
        <v>0</v>
      </c>
      <c r="BF160">
        <f>COUNTIFS(Dyno_Data[Team],TBA_Matches_All[[#This Row],[Team]],Dyno_Data[Match],TBA_Matches_All[[#This Row],[Match_Number]],Dyno_Data[RecordType],"Activities",Dyno_Data[DelDest],"AllyW", Dyno_Data[DelMiss],1)</f>
        <v>0</v>
      </c>
      <c r="BG160" s="60">
        <f>IFERROR(SUM((TBA_Matches_All[[#This Row],[AllyWFlrT]])/(TBA_Matches_All[[#This Row],[AllyWFlrT]]+TBA_Matches_All[[#This Row],[AZflM]])),0)</f>
        <v>0</v>
      </c>
      <c r="BH160">
        <f>COUNTIFS(Dyno_Data[Team],TBA_Matches_All[[#This Row],[Team]],Dyno_Data[Match],TBA_Matches_All[[#This Row],[Match_Number]],Dyno_Data[RecordType],"Activities",Dyno_Data[DelOrig],"OppW", Dyno_Data[DelMiss],"0")</f>
        <v>0</v>
      </c>
      <c r="BI160">
        <f>COUNTIFS(Dyno_Data[Team],TBA_Matches_All[[#This Row],[Team]],Dyno_Data[Match],TBA_Matches_All[[#This Row],[Match_Number]],Dyno_Data[RecordType],"Activities",Dyno_Data[DelOrig],"OppW", Dyno_Data[DelMiss],"1")</f>
        <v>0</v>
      </c>
      <c r="BJ160" s="60">
        <f>IFERROR(SUM((TBA_Matches_All[[#This Row],[OZflrT]])/(TBA_Matches_All[[#This Row],[OZflrT]]+TBA_Matches_All[[#This Row],[OZflrM]])),0)</f>
        <v>0</v>
      </c>
      <c r="BK160">
        <f>COUNTIFS(Dyno_Data[Team],TBA_Matches_All[[#This Row],[Team]],Dyno_Data[Match],TBA_Matches_All[[#This Row],[Match_Number]],Dyno_Data[RecordType],"Activities",Dyno_Data[DelOrig],"Neut", Dyno_Data[DelMiss],"0")</f>
        <v>0</v>
      </c>
      <c r="BL160">
        <f>COUNTIFS(Dyno_Data[Team],TBA_Matches_All[[#This Row],[Team]],Dyno_Data[Match],TBA_Matches_All[[#This Row],[Match_Number]],Dyno_Data[RecordType],"Activities",Dyno_Data[DelOrig],"Neut", Dyno_Data[DelMiss],"1")</f>
        <v>0</v>
      </c>
      <c r="BM160" s="60">
        <f>IFERROR(SUM((TBA_Matches_All[[#This Row],[NZflrT]])/(TBA_Matches_All[[#This Row],[NZflrT]]+TBA_Matches_All[[#This Row],[NZflrM]])),0)</f>
        <v>0</v>
      </c>
      <c r="BN160">
        <f>COUNTIFS(Dyno_Data[Team],TBA_Matches_All[[#This Row],[Team]],Dyno_Data[Match],TBA_Matches_All[[#This Row],[Match_Number]],Dyno_Data[RecordType],"Activities",Dyno_Data[DelOrig],"AllyW", Dyno_Data[DelMiss],"0")</f>
        <v>0</v>
      </c>
      <c r="BO160">
        <f>COUNTIFS(Dyno_Data[Team],TBA_Matches_All[[#This Row],[Team]],Dyno_Data[Match],TBA_Matches_All[[#This Row],[Match_Number]],Dyno_Data[RecordType],"Activities",Dyno_Data[DelOrig],"AllyW", Dyno_Data[DelMiss],"1")</f>
        <v>0</v>
      </c>
      <c r="BP160" s="60">
        <f>IFERROR(SUM((TBA_Matches_All[[#This Row],[AZflrT]])/(TBA_Matches_All[[#This Row],[AZflrT]]+TBA_Matches_All[[#This Row],[AZflrM]])),0)</f>
        <v>0</v>
      </c>
      <c r="BQ160">
        <f>COUNTIFS(Dyno_Data[Team],TBA_Matches_All[[#This Row],[Team]],Dyno_Data[Match],TBA_Matches_All[[#This Row],[Match_Number]],Dyno_Data[RecordType],"Activities",Dyno_Data[DelOrig],"SubW", Dyno_Data[DelMiss],"0")</f>
        <v>0</v>
      </c>
      <c r="BR160">
        <f>COUNTIFS(Dyno_Data[Team],TBA_Matches_All[[#This Row],[Team]],Dyno_Data[Match],TBA_Matches_All[[#This Row],[Match_Number]],Dyno_Data[RecordType],"Activities",Dyno_Data[DelOrig],"SubW", Dyno_Data[DelMiss],"1")</f>
        <v>0</v>
      </c>
      <c r="BS160" s="60">
        <f>IFERROR(SUM((TBA_Matches_All[[#This Row],[SubwT]])/(TBA_Matches_All[[#This Row],[SubwT]]+TBA_Matches_All[[#This Row],[SubwM]])),0)</f>
        <v>0</v>
      </c>
      <c r="BT160">
        <f>COUNTIFS(Dyno_Data[Team],TBA_Matches_All[[#This Row],[Team]],Dyno_Data[Match],TBA_Matches_All[[#This Row],[Match_Number]],Dyno_Data[RecordType],"Activities", Dyno_Data[AcqLoc],"OppWing")</f>
        <v>0</v>
      </c>
      <c r="BU160">
        <f>COUNTIFS(Dyno_Data[Team],TBA_Matches_All[[#This Row],[Team]],Dyno_Data[Match],TBA_Matches_All[[#This Row],[Match_Number]],Dyno_Data[RecordType],"Activities", Dyno_Data[AcqLoc],"Neutral")</f>
        <v>0</v>
      </c>
      <c r="BV160">
        <f>COUNTIFS(Dyno_Data[Team],TBA_Matches_All[[#This Row],[Team]],Dyno_Data[Match],TBA_Matches_All[[#This Row],[Match_Number]],Dyno_Data[RecordType],"Activities", Dyno_Data[AcqLoc],"AllyWing")</f>
        <v>0</v>
      </c>
      <c r="BW160">
        <f>COUNTIFS(Dyno_Data[Team],TBA_Matches_All[[#This Row],[Team]],Dyno_Data[Match],TBA_Matches_All[[#This Row],[Match_Number]],Dyno_Data[RecordType],"Activities", Dyno_Data[AcqLoc],"Source")</f>
        <v>0</v>
      </c>
      <c r="BX160">
        <f>SUMIFS(Dyno_Data[AcqDrp], Dyno_Data[Team],TBA_Matches_All[[#This Row],[Team]],Dyno_Data[Match],TBA_Matches_All[[#This Row],[Match_Number]],Dyno_Data[RecordType],"Activities", Dyno_Data[AcqLoc],"Source")</f>
        <v>0</v>
      </c>
      <c r="BY160">
        <f>SUMIFS(Dyno_Data[OZTime], Dyno_Data[Team],TBA_Matches_All[[#This Row],[Team]],Dyno_Data[Match],TBA_Matches_All[[#This Row],[Match_Number]],Dyno_Data[RecordType],"EndMatch")</f>
        <v>0</v>
      </c>
      <c r="BZ160">
        <f>SUMIFS(Dyno_Data[NZTime], Dyno_Data[Team],TBA_Matches_All[[#This Row],[Team]],Dyno_Data[Match],TBA_Matches_All[[#This Row],[Match_Number]],Dyno_Data[RecordType],"EndMatch")</f>
        <v>0</v>
      </c>
      <c r="CA160">
        <f>SUMIFS(Dyno_Data[AZTime], Dyno_Data[Team],TBA_Matches_All[[#This Row],[Team]],Dyno_Data[Match],TBA_Matches_All[[#This Row],[Match_Number]],Dyno_Data[RecordType],"EndMatch")</f>
        <v>0</v>
      </c>
      <c r="CB160">
        <f>SUMIFS(Dyno_Data[ClimbT], Dyno_Data[Team],TBA_Matches_All[[#This Row],[Team]],Dyno_Data[Match],TBA_Matches_All[[#This Row],[Match_Number]],Dyno_Data[RecordType],"EndMatch")</f>
        <v>0</v>
      </c>
      <c r="CC160" t="str">
        <f>_xlfn.XLOOKUP(SUM(MID(TBA_Matches_All[[#This Row],[Team]],4,5),(TBA_Matches_All[[#This Row],[Match_Number]]/100)),Dyno_EndMatch[teammat],Dyno_EndMatch[StageStat],"_",0,1)</f>
        <v>_</v>
      </c>
      <c r="CD160" t="str">
        <f>_xlfn.XLOOKUP(TBA_Matches_All[[#This Row],[teammat]],Dyno_EndMatch[teammat],Dyno_EndMatch[StageAtt],"_",0,1)</f>
        <v>_</v>
      </c>
      <c r="CE160" t="str">
        <f>_xlfn.XLOOKUP(TBA_Matches_All[[#This Row],[teammat]],Dyno_EndMatch[teammat],Dyno_EndMatch[StageLoc],"_",0,1)</f>
        <v>_</v>
      </c>
      <c r="CF160">
        <f>SUMIFS(Dyno_Data[Harmony], Dyno_Data[Team],TBA_Matches_All[[#This Row],[Team]],Dyno_Data[Match],TBA_Matches_All[[#This Row],[Match_Number]],Dyno_Data[RecordType],"EndMatch", Dyno_Data[StageStat],"On",Dyno_Data[Harmony],"&lt;&gt;9")</f>
        <v>0</v>
      </c>
      <c r="CG160">
        <f>SUMIFS(Dyno_Data[Spotlit], Dyno_Data[Team],TBA_Matches_All[[#This Row],[Team]],Dyno_Data[Match],TBA_Matches_All[[#This Row],[Match_Number]],Dyno_Data[RecordType],"EndMatch", Dyno_Data[StageStat],"On",Dyno_Data[Spotlit],"&lt;&gt;9")</f>
        <v>0</v>
      </c>
      <c r="CH160" t="str">
        <f>_xlfn.XLOOKUP(TBA_Matches_All[[#This Row],[teammat]],Dyno_EndMatch[teammat],Dyno_EndMatch[Strategy],"_",0,1)</f>
        <v>_</v>
      </c>
      <c r="CI160">
        <f>SUMIFS(Dyno_Data[Defense], Dyno_Data[Team],TBA_Matches_All[[#This Row],[Team]],Dyno_Data[Match],TBA_Matches_All[[#This Row],[Match_Number]],Dyno_Data[RecordType],"EndMatch",Dyno_Data[Defense],"&lt;&gt;9")</f>
        <v>0</v>
      </c>
      <c r="CJ160">
        <f>SUMIFS(Dyno_Data[Avoidance], Dyno_Data[Team],TBA_Matches_All[[#This Row],[Team]],Dyno_Data[Match],TBA_Matches_All[[#This Row],[Match_Number]],Dyno_Data[RecordType],"EndMatch",Dyno_Data[Avoidance],"&lt;&gt;9")</f>
        <v>0</v>
      </c>
      <c r="CK160" s="82">
        <f>COUNTIF($H$2:TBA_Matches_All[[#This Row],[Team]],TBA_Matches_All[[#This Row],[Team]])</f>
        <v>4</v>
      </c>
      <c r="CL160" s="111">
        <f>SUM(MID(TBA_Matches_All[[#This Row],[Team]],4,5)+TBA_Matches_All[[#This Row],[Match_Number]]/100)</f>
        <v>6911.27</v>
      </c>
      <c r="CM160">
        <f>SUM((TBA_Matches_All[[#This Row],[Leave]]*2)+(TBA_Matches_All[[#This Row],[AampT]]*2)+(TBA_Matches_All[[#This Row],[AspkrT]]*5)+(TBA_Matches_All[[#This Row],[AtrapT]]*5))</f>
        <v>0</v>
      </c>
      <c r="CN160" s="59">
        <f>IFERROR(SUM(TBA_Matches_All[[#This Row],[AptsT]]/TBA_Matches_All[[#This Row],[AutoPts]]),0)</f>
        <v>0</v>
      </c>
      <c r="CO160" s="59">
        <f>IFERROR(SUM(TBA_Matches_All[[#This Row],[AampT]]+TBA_Matches_All[[#This Row],[AspkrT]]+TBA_Matches_All[[#This Row],[AtrapT]]/TBA_Matches_All[[#This Row],[Aamp]]+TBA_Matches_All[[#This Row],[Aspkr]]+TBA_Matches_All[[#This Row],[AtrapT]]),0)</f>
        <v>0</v>
      </c>
      <c r="CP160" s="59">
        <f>IFERROR(SUM(TBA_Matches_All[[#This Row],[TampT]]/TBA_Matches_All[[#This Row],[Tamp]]),0)</f>
        <v>0</v>
      </c>
      <c r="CQ160" s="59">
        <f>IFERROR(SUM(TBA_Matches_All[[#This Row],[TspkrT]]/TBA_Matches_All[[#This Row],[Tspkr]]),0)</f>
        <v>0</v>
      </c>
      <c r="CR160">
        <f>SUM(TBA_Matches_All[[#This Row],[TspkrPts]]*TBA_Matches_All[[#This Row],[TspkrP]])</f>
        <v>0</v>
      </c>
      <c r="CS160" s="59">
        <f>IFERROR(SUM(TBA_Matches_All[[#This Row],[TtrapT]]/TBA_Matches_All[[#This Row],[Trap]]),0)</f>
        <v>0</v>
      </c>
      <c r="CT160" s="59">
        <f>IFERROR(SUM(TBA_Matches_All[[#This Row],[TotNotesT]]/TBA_Matches_All[[#This Row],[TotNotes]]),0)</f>
        <v>0</v>
      </c>
      <c r="CU160" s="66">
        <f>SUM((TBA_Matches_All[[#This Row],[AampT]]*2)+(TBA_Matches_All[[#This Row],[AspkrT]]*5)+(TBA_Matches_All[[#This Row],[AtrapT]]*5)+(TBA_Matches_All[[#This Row],[TampT]]*1)+(TBA_Matches_All[[#This Row],[TspkrptsC]]))</f>
        <v>0</v>
      </c>
      <c r="CV160" s="59">
        <f>IFERROR(TBA_Matches_All[[#This Row],[noteptsT]]/TBA_Matches_All[[#This Row],[NotePts]],0)</f>
        <v>0</v>
      </c>
      <c r="CW160">
        <f>SUM(IF(TBA_Matches_All[[#This Row],[stageStat]]="On",3,0),IF(TBA_Matches_All[[#This Row],[stageStat]]="Park",1,0),SUMIFS(TBA_Matches_All[[#This Row],[Spotlit]],TBA_Matches_All[[#This Row],[stageStat]],"On"),SUMIFS(TBA_Matches_All[[#This Row],[Harmony]],TBA_Matches_All[[#This Row],[stageStat]],"On"))</f>
        <v>0</v>
      </c>
      <c r="CX160" s="59">
        <f>IFERROR(TBA_Matches_All[[#This Row],[stageptsT]]/TBA_Matches_All[[#This Row],[StagePts]],0)</f>
        <v>0</v>
      </c>
      <c r="CY160">
        <f>SUM((TBA_Matches_All[[#This Row],[AptsT]]+TBA_Matches_All[[#This Row],[TampT]]+TBA_Matches_All[[#This Row],[TspkrptsC]]+(TBA_Matches_All[[#This Row],[TtrapT]]*5)+TBA_Matches_All[[#This Row],[stageptsT]]))</f>
        <v>0</v>
      </c>
      <c r="CZ160" s="59">
        <f>IFERROR(SUM(TBA_Matches_All[[#This Row],[TotptsC]]/TBA_Matches_All[[#This Row],[Score]]),0)</f>
        <v>0</v>
      </c>
      <c r="DA16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14.916666666666666</v>
      </c>
      <c r="DB160" s="74">
        <f>SUMIFS(TBA_Matches_All[AveTeamTNoteDels],TBA_Matches_All[Match_Number],TBA_Matches_All[[#This Row],[Match_Number]],TBA_Matches_All[Alliance],"&lt;&gt;"&amp;TBA_Matches_All[[#This Row],[Alliance]],TBA_Matches_All[Scouted],"&gt;0")</f>
        <v>0</v>
      </c>
      <c r="DC160" s="74">
        <f>(TBA_Matches_All[[#This Row],[TampT]]+TBA_Matches_All[[#This Row],[TspkrptsC]])-TBA_Matches_All[[#This Row],[AveTeamTNoteDels]]</f>
        <v>-14.916666666666666</v>
      </c>
      <c r="DD160" s="74">
        <f>SUMIFS(TBA_Matches_All[AveTeamTNoteDels],TBA_Matches_All[Match_Number],TBA_Matches_All[[#This Row],[Match_Number]],TBA_Matches_All[Alliance],"&lt;&gt;"&amp;TBA_Matches_All[[#This Row],[Alliance]])-TBA_Matches_All[[#This Row],[AveOppTNoteDels]]</f>
        <v>42.748907203907208</v>
      </c>
    </row>
    <row r="161" spans="1:108" x14ac:dyDescent="0.3">
      <c r="A161" t="s">
        <v>1042</v>
      </c>
      <c r="B161" t="s">
        <v>489</v>
      </c>
      <c r="C161" t="s">
        <v>1336</v>
      </c>
      <c r="D161">
        <v>27</v>
      </c>
      <c r="E161" t="s">
        <v>1420</v>
      </c>
      <c r="F161" t="s">
        <v>1425</v>
      </c>
      <c r="G161" t="s">
        <v>105</v>
      </c>
      <c r="H161" t="s">
        <v>1305</v>
      </c>
      <c r="I161" t="b">
        <v>1</v>
      </c>
      <c r="J161">
        <v>114</v>
      </c>
      <c r="K161">
        <v>1</v>
      </c>
      <c r="L161">
        <v>1</v>
      </c>
      <c r="M161">
        <v>0</v>
      </c>
      <c r="N161">
        <v>0</v>
      </c>
      <c r="O161">
        <v>4</v>
      </c>
      <c r="P161">
        <v>20</v>
      </c>
      <c r="Q161">
        <v>26</v>
      </c>
      <c r="R161">
        <v>5</v>
      </c>
      <c r="S161">
        <v>7</v>
      </c>
      <c r="T161">
        <v>11</v>
      </c>
      <c r="U161">
        <v>35</v>
      </c>
      <c r="V161">
        <v>22</v>
      </c>
      <c r="W161">
        <v>18</v>
      </c>
      <c r="X161">
        <v>57</v>
      </c>
      <c r="Y161">
        <v>62</v>
      </c>
      <c r="Z161">
        <v>0</v>
      </c>
      <c r="AA161">
        <v>0</v>
      </c>
      <c r="AB161">
        <v>27</v>
      </c>
      <c r="AC161">
        <v>82</v>
      </c>
      <c r="AD161">
        <v>8</v>
      </c>
      <c r="AE161">
        <f>IFERROR(6/(COUNTIF(Dyno_EndMatch[Match],TBA_Matches_All[[#This Row],[Match_Number]])),0)</f>
        <v>0</v>
      </c>
      <c r="AF161">
        <f>COUNTIFS(Dyno_Data[Team],TBA_Matches_All[[#This Row],[Team]],Dyno_Data[Match],TBA_Matches_All[[#This Row],[Match_Number]],Dyno_Data[RecordType],"EndMatch",Dyno_Data[HPAmp],"Y")</f>
        <v>0</v>
      </c>
      <c r="AG161">
        <f>SUMIFS(Dyno_Data[Mics], Dyno_Data[Team],TBA_Matches_All[[#This Row],[Team]],Dyno_Data[Match],TBA_Matches_All[[#This Row],[Match_Number]],Dyno_Data[RecordType],"EndMatch",Dyno_Data[HPAmp],"Y")</f>
        <v>0</v>
      </c>
      <c r="AH161">
        <f>SUMIFS(Dyno_Data[Leave], Dyno_Data[Team],TBA_Matches_All[[#This Row],[Team]],Dyno_Data[Match],TBA_Matches_All[[#This Row],[Match_Number]],Dyno_Data[RecordType],"EndAuto")</f>
        <v>0</v>
      </c>
      <c r="AI161">
        <f>COUNTIFS(Dyno_Data[Team],TBA_Matches_All[[#This Row],[Team]],Dyno_Data[Match],TBA_Matches_All[[#This Row],[Match_Number]],Dyno_Data[RecordType],"Activities",Dyno_Data[DelDest],"Amp", Dyno_Data[DelMiss],"0", Dyno_Data[Mode],"Auto")</f>
        <v>0</v>
      </c>
      <c r="AJ161">
        <f>COUNTIFS(Dyno_Data[Team],TBA_Matches_All[[#This Row],[Team]],Dyno_Data[Match],TBA_Matches_All[[#This Row],[Match_Number]],Dyno_Data[RecordType],"Activities",Dyno_Data[DelDest],"Spkr", Dyno_Data[DelMiss],"0", Dyno_Data[Mode],"Auto")</f>
        <v>0</v>
      </c>
      <c r="AK161">
        <f>COUNTIFS(Dyno_Data[Team],TBA_Matches_All[[#This Row],[Team]],Dyno_Data[Match],TBA_Matches_All[[#This Row],[Match_Number]],Dyno_Data[RecordType],"Activities",Dyno_Data[DelDest],"Trap", Dyno_Data[DelMiss],"0", Dyno_Data[Mode],"Auto")</f>
        <v>0</v>
      </c>
      <c r="AL161">
        <f>COUNTIFS(Dyno_Data[Team],TBA_Matches_All[[#This Row],[Team]],Dyno_Data[Match],TBA_Matches_All[[#This Row],[Match_Number]],Dyno_Data[RecordType],"Activities",Dyno_Data[DelDest],"Amp", Dyno_Data[DelMiss],"0", Dyno_Data[Mode],"Teleop")</f>
        <v>0</v>
      </c>
      <c r="AM161">
        <f>COUNTIFS(Dyno_Data[Team],TBA_Matches_All[[#This Row],[Team]],Dyno_Data[Match],TBA_Matches_All[[#This Row],[Match_Number]],Dyno_Data[RecordType],"Activities",Dyno_Data[DelDest],"Spkr", Dyno_Data[DelMiss],"0", Dyno_Data[Mode],"Teleop")</f>
        <v>0</v>
      </c>
      <c r="AN161">
        <f>COUNTIFS(Dyno_Data[Team],TBA_Matches_All[[#This Row],[Team]],Dyno_Data[Match],TBA_Matches_All[[#This Row],[Match_Number]],Dyno_Data[RecordType],"Activities",Dyno_Data[DelDest],"Trap", Dyno_Data[DelMiss],"0", Dyno_Data[Mode],"&lt;&gt;Auto")</f>
        <v>0</v>
      </c>
      <c r="AO161">
        <f>SUM(TBA_Matches_All[[#This Row],[AampT]]+TBA_Matches_All[[#This Row],[AspkrT]]+TBA_Matches_All[[#This Row],[AtrapT]]+TBA_Matches_All[[#This Row],[TampT]]+TBA_Matches_All[[#This Row],[TspkrT]]+TBA_Matches_All[[#This Row],[TtrapT]])</f>
        <v>0</v>
      </c>
      <c r="AP161">
        <f>COUNTIFS(Dyno_Data[Team],TBA_Matches_All[[#This Row],[Team]],Dyno_Data[Match],TBA_Matches_All[[#This Row],[Match_Number]],Dyno_Data[RecordType],"Activities",Dyno_Data[DelDest],"Neut", Dyno_Data[DelMiss],"0")</f>
        <v>0</v>
      </c>
      <c r="AQ161">
        <f>COUNTIFS(Dyno_Data[Team],TBA_Matches_All[[#This Row],[Team]],Dyno_Data[Match],TBA_Matches_All[[#This Row],[Match_Number]],Dyno_Data[RecordType],"Activities",Dyno_Data[DelDest],"AllyW", Dyno_Data[DelMiss],"0")</f>
        <v>0</v>
      </c>
      <c r="AR161" t="str">
        <f>_xlfn.XLOOKUP(SUM(MID(TBA_Matches_All[[#This Row],[Team]],4,5),(TBA_Matches_All[[#This Row],[Match_Number]]/100)),Dyno_EndMatch[teammat],Dyno_EndMatch[RobotSta],"_",0,1)</f>
        <v>_</v>
      </c>
      <c r="AS161">
        <f>SUMIFS(Dyno_Data[AcqDis], Dyno_Data[Team],TBA_Matches_All[[#This Row],[Team]],Dyno_Data[Match],TBA_Matches_All[[#This Row],[Match_Number]],Dyno_Data[RecordType],"Activities", Dyno_Data[AcqCenter],1,Dyno_Data[Mode],"Auto")</f>
        <v>0</v>
      </c>
      <c r="AT161">
        <f>SUMIFS(Dyno_Data[AcqDis], Dyno_Data[Team],TBA_Matches_All[[#This Row],[Team]],Dyno_Data[Match],TBA_Matches_All[[#This Row],[Match_Number]],Dyno_Data[RecordType],"Activities", Dyno_Data[AcqCenter],2,Dyno_Data[Mode],"Auto")</f>
        <v>0</v>
      </c>
      <c r="AU161">
        <f>SUMIFS(Dyno_Data[AcqDis], Dyno_Data[Team],TBA_Matches_All[[#This Row],[Team]],Dyno_Data[Match],TBA_Matches_All[[#This Row],[Match_Number]],Dyno_Data[RecordType],"Activities", Dyno_Data[AcqCenter],3,Dyno_Data[Mode],"Auto")</f>
        <v>0</v>
      </c>
      <c r="AV161">
        <f>SUMIFS(Dyno_Data[AcqDis], Dyno_Data[Team],TBA_Matches_All[[#This Row],[Team]],Dyno_Data[Match],TBA_Matches_All[[#This Row],[Match_Number]],Dyno_Data[RecordType],"Activities", Dyno_Data[AcqCenter],4,Dyno_Data[Mode],"Auto")</f>
        <v>0</v>
      </c>
      <c r="AW161">
        <f>SUMIFS(Dyno_Data[AcqDis], Dyno_Data[Team],TBA_Matches_All[[#This Row],[Team]],Dyno_Data[Match],TBA_Matches_All[[#This Row],[Match_Number]],Dyno_Data[RecordType],"Activities", Dyno_Data[AcqCenter],5,Dyno_Data[Mode],"Auto")</f>
        <v>0</v>
      </c>
      <c r="AX161">
        <f>SUMIFS(Dyno_Data[DelMiss], Dyno_Data[Team],TBA_Matches_All[[#This Row],[Team]],Dyno_Data[Match],TBA_Matches_All[[#This Row],[Match_Number]],Dyno_Data[RecordType],"Activities", Dyno_Data[DelDest],"Amp")</f>
        <v>0</v>
      </c>
      <c r="AY161" s="60">
        <f>IFERROR(SUM((TBA_Matches_All[[#This Row],[AampT]]+TBA_Matches_All[[#This Row],[TampT]])/(TBA_Matches_All[[#This Row],[AampT]]+TBA_Matches_All[[#This Row],[TampT]]+TBA_Matches_All[[#This Row],[ampM]])),0)</f>
        <v>0</v>
      </c>
      <c r="AZ161">
        <f>SUMIFS(Dyno_Data[DelMiss], Dyno_Data[Team],TBA_Matches_All[[#This Row],[Team]],Dyno_Data[Match],TBA_Matches_All[[#This Row],[Match_Number]],Dyno_Data[RecordType],"Activities", Dyno_Data[DelDest],"Spkr")</f>
        <v>0</v>
      </c>
      <c r="BA161" s="60">
        <f>IFERROR(SUM((TBA_Matches_All[[#This Row],[AspkrT]]+TBA_Matches_All[[#This Row],[TspkrT]])/(TBA_Matches_All[[#This Row],[AspkrT]]+TBA_Matches_All[[#This Row],[TspkrT]]+TBA_Matches_All[[#This Row],[spkrM]])),0)</f>
        <v>0</v>
      </c>
      <c r="BB161">
        <f>SUMIFS(Dyno_Data[DelMiss], Dyno_Data[Team],TBA_Matches_All[[#This Row],[Team]],Dyno_Data[Match],TBA_Matches_All[[#This Row],[Match_Number]],Dyno_Data[RecordType],"Activities", Dyno_Data[DelDest],"Trap")</f>
        <v>0</v>
      </c>
      <c r="BC161" s="60">
        <f>IFERROR((TBA_Matches_All[[#This Row],[AtrapT]]+TBA_Matches_All[[#This Row],[TtrapT]])/(TBA_Matches_All[[#This Row],[AtrapT]]+TBA_Matches_All[[#This Row],[TtrapT]]+TBA_Matches_All[[#This Row],[trapM]]),0)</f>
        <v>0</v>
      </c>
      <c r="BD161">
        <f>COUNTIFS(Dyno_Data[Team],TBA_Matches_All[[#This Row],[Team]],Dyno_Data[Match],TBA_Matches_All[[#This Row],[Match_Number]],Dyno_Data[RecordType],"Activities",Dyno_Data[DelDest],"Neut", Dyno_Data[DelMiss],1)</f>
        <v>0</v>
      </c>
      <c r="BE161" s="60">
        <f>IFERROR(SUM((TBA_Matches_All[[#This Row],[NeutFlrT]])/(TBA_Matches_All[[#This Row],[NeutFlrT]]+TBA_Matches_All[[#This Row],[NZflM]])),0)</f>
        <v>0</v>
      </c>
      <c r="BF161">
        <f>COUNTIFS(Dyno_Data[Team],TBA_Matches_All[[#This Row],[Team]],Dyno_Data[Match],TBA_Matches_All[[#This Row],[Match_Number]],Dyno_Data[RecordType],"Activities",Dyno_Data[DelDest],"AllyW", Dyno_Data[DelMiss],1)</f>
        <v>0</v>
      </c>
      <c r="BG161" s="60">
        <f>IFERROR(SUM((TBA_Matches_All[[#This Row],[AllyWFlrT]])/(TBA_Matches_All[[#This Row],[AllyWFlrT]]+TBA_Matches_All[[#This Row],[AZflM]])),0)</f>
        <v>0</v>
      </c>
      <c r="BH161">
        <f>COUNTIFS(Dyno_Data[Team],TBA_Matches_All[[#This Row],[Team]],Dyno_Data[Match],TBA_Matches_All[[#This Row],[Match_Number]],Dyno_Data[RecordType],"Activities",Dyno_Data[DelOrig],"OppW", Dyno_Data[DelMiss],"0")</f>
        <v>0</v>
      </c>
      <c r="BI161">
        <f>COUNTIFS(Dyno_Data[Team],TBA_Matches_All[[#This Row],[Team]],Dyno_Data[Match],TBA_Matches_All[[#This Row],[Match_Number]],Dyno_Data[RecordType],"Activities",Dyno_Data[DelOrig],"OppW", Dyno_Data[DelMiss],"1")</f>
        <v>0</v>
      </c>
      <c r="BJ161" s="60">
        <f>IFERROR(SUM((TBA_Matches_All[[#This Row],[OZflrT]])/(TBA_Matches_All[[#This Row],[OZflrT]]+TBA_Matches_All[[#This Row],[OZflrM]])),0)</f>
        <v>0</v>
      </c>
      <c r="BK161">
        <f>COUNTIFS(Dyno_Data[Team],TBA_Matches_All[[#This Row],[Team]],Dyno_Data[Match],TBA_Matches_All[[#This Row],[Match_Number]],Dyno_Data[RecordType],"Activities",Dyno_Data[DelOrig],"Neut", Dyno_Data[DelMiss],"0")</f>
        <v>0</v>
      </c>
      <c r="BL161">
        <f>COUNTIFS(Dyno_Data[Team],TBA_Matches_All[[#This Row],[Team]],Dyno_Data[Match],TBA_Matches_All[[#This Row],[Match_Number]],Dyno_Data[RecordType],"Activities",Dyno_Data[DelOrig],"Neut", Dyno_Data[DelMiss],"1")</f>
        <v>0</v>
      </c>
      <c r="BM161" s="60">
        <f>IFERROR(SUM((TBA_Matches_All[[#This Row],[NZflrT]])/(TBA_Matches_All[[#This Row],[NZflrT]]+TBA_Matches_All[[#This Row],[NZflrM]])),0)</f>
        <v>0</v>
      </c>
      <c r="BN161">
        <f>COUNTIFS(Dyno_Data[Team],TBA_Matches_All[[#This Row],[Team]],Dyno_Data[Match],TBA_Matches_All[[#This Row],[Match_Number]],Dyno_Data[RecordType],"Activities",Dyno_Data[DelOrig],"AllyW", Dyno_Data[DelMiss],"0")</f>
        <v>0</v>
      </c>
      <c r="BO161">
        <f>COUNTIFS(Dyno_Data[Team],TBA_Matches_All[[#This Row],[Team]],Dyno_Data[Match],TBA_Matches_All[[#This Row],[Match_Number]],Dyno_Data[RecordType],"Activities",Dyno_Data[DelOrig],"AllyW", Dyno_Data[DelMiss],"1")</f>
        <v>0</v>
      </c>
      <c r="BP161" s="60">
        <f>IFERROR(SUM((TBA_Matches_All[[#This Row],[AZflrT]])/(TBA_Matches_All[[#This Row],[AZflrT]]+TBA_Matches_All[[#This Row],[AZflrM]])),0)</f>
        <v>0</v>
      </c>
      <c r="BQ161">
        <f>COUNTIFS(Dyno_Data[Team],TBA_Matches_All[[#This Row],[Team]],Dyno_Data[Match],TBA_Matches_All[[#This Row],[Match_Number]],Dyno_Data[RecordType],"Activities",Dyno_Data[DelOrig],"SubW", Dyno_Data[DelMiss],"0")</f>
        <v>0</v>
      </c>
      <c r="BR161">
        <f>COUNTIFS(Dyno_Data[Team],TBA_Matches_All[[#This Row],[Team]],Dyno_Data[Match],TBA_Matches_All[[#This Row],[Match_Number]],Dyno_Data[RecordType],"Activities",Dyno_Data[DelOrig],"SubW", Dyno_Data[DelMiss],"1")</f>
        <v>0</v>
      </c>
      <c r="BS161" s="60">
        <f>IFERROR(SUM((TBA_Matches_All[[#This Row],[SubwT]])/(TBA_Matches_All[[#This Row],[SubwT]]+TBA_Matches_All[[#This Row],[SubwM]])),0)</f>
        <v>0</v>
      </c>
      <c r="BT161">
        <f>COUNTIFS(Dyno_Data[Team],TBA_Matches_All[[#This Row],[Team]],Dyno_Data[Match],TBA_Matches_All[[#This Row],[Match_Number]],Dyno_Data[RecordType],"Activities", Dyno_Data[AcqLoc],"OppWing")</f>
        <v>0</v>
      </c>
      <c r="BU161">
        <f>COUNTIFS(Dyno_Data[Team],TBA_Matches_All[[#This Row],[Team]],Dyno_Data[Match],TBA_Matches_All[[#This Row],[Match_Number]],Dyno_Data[RecordType],"Activities", Dyno_Data[AcqLoc],"Neutral")</f>
        <v>0</v>
      </c>
      <c r="BV161">
        <f>COUNTIFS(Dyno_Data[Team],TBA_Matches_All[[#This Row],[Team]],Dyno_Data[Match],TBA_Matches_All[[#This Row],[Match_Number]],Dyno_Data[RecordType],"Activities", Dyno_Data[AcqLoc],"AllyWing")</f>
        <v>0</v>
      </c>
      <c r="BW161">
        <f>COUNTIFS(Dyno_Data[Team],TBA_Matches_All[[#This Row],[Team]],Dyno_Data[Match],TBA_Matches_All[[#This Row],[Match_Number]],Dyno_Data[RecordType],"Activities", Dyno_Data[AcqLoc],"Source")</f>
        <v>0</v>
      </c>
      <c r="BX161">
        <f>SUMIFS(Dyno_Data[AcqDrp], Dyno_Data[Team],TBA_Matches_All[[#This Row],[Team]],Dyno_Data[Match],TBA_Matches_All[[#This Row],[Match_Number]],Dyno_Data[RecordType],"Activities", Dyno_Data[AcqLoc],"Source")</f>
        <v>0</v>
      </c>
      <c r="BY161">
        <f>SUMIFS(Dyno_Data[OZTime], Dyno_Data[Team],TBA_Matches_All[[#This Row],[Team]],Dyno_Data[Match],TBA_Matches_All[[#This Row],[Match_Number]],Dyno_Data[RecordType],"EndMatch")</f>
        <v>0</v>
      </c>
      <c r="BZ161">
        <f>SUMIFS(Dyno_Data[NZTime], Dyno_Data[Team],TBA_Matches_All[[#This Row],[Team]],Dyno_Data[Match],TBA_Matches_All[[#This Row],[Match_Number]],Dyno_Data[RecordType],"EndMatch")</f>
        <v>0</v>
      </c>
      <c r="CA161">
        <f>SUMIFS(Dyno_Data[AZTime], Dyno_Data[Team],TBA_Matches_All[[#This Row],[Team]],Dyno_Data[Match],TBA_Matches_All[[#This Row],[Match_Number]],Dyno_Data[RecordType],"EndMatch")</f>
        <v>0</v>
      </c>
      <c r="CB161">
        <f>SUMIFS(Dyno_Data[ClimbT], Dyno_Data[Team],TBA_Matches_All[[#This Row],[Team]],Dyno_Data[Match],TBA_Matches_All[[#This Row],[Match_Number]],Dyno_Data[RecordType],"EndMatch")</f>
        <v>0</v>
      </c>
      <c r="CC161" t="str">
        <f>_xlfn.XLOOKUP(SUM(MID(TBA_Matches_All[[#This Row],[Team]],4,5),(TBA_Matches_All[[#This Row],[Match_Number]]/100)),Dyno_EndMatch[teammat],Dyno_EndMatch[StageStat],"_",0,1)</f>
        <v>_</v>
      </c>
      <c r="CD161" t="str">
        <f>_xlfn.XLOOKUP(TBA_Matches_All[[#This Row],[teammat]],Dyno_EndMatch[teammat],Dyno_EndMatch[StageAtt],"_",0,1)</f>
        <v>_</v>
      </c>
      <c r="CE161" t="str">
        <f>_xlfn.XLOOKUP(TBA_Matches_All[[#This Row],[teammat]],Dyno_EndMatch[teammat],Dyno_EndMatch[StageLoc],"_",0,1)</f>
        <v>_</v>
      </c>
      <c r="CF161">
        <f>SUMIFS(Dyno_Data[Harmony], Dyno_Data[Team],TBA_Matches_All[[#This Row],[Team]],Dyno_Data[Match],TBA_Matches_All[[#This Row],[Match_Number]],Dyno_Data[RecordType],"EndMatch", Dyno_Data[StageStat],"On",Dyno_Data[Harmony],"&lt;&gt;9")</f>
        <v>0</v>
      </c>
      <c r="CG161">
        <f>SUMIFS(Dyno_Data[Spotlit], Dyno_Data[Team],TBA_Matches_All[[#This Row],[Team]],Dyno_Data[Match],TBA_Matches_All[[#This Row],[Match_Number]],Dyno_Data[RecordType],"EndMatch", Dyno_Data[StageStat],"On",Dyno_Data[Spotlit],"&lt;&gt;9")</f>
        <v>0</v>
      </c>
      <c r="CH161" t="str">
        <f>_xlfn.XLOOKUP(TBA_Matches_All[[#This Row],[teammat]],Dyno_EndMatch[teammat],Dyno_EndMatch[Strategy],"_",0,1)</f>
        <v>_</v>
      </c>
      <c r="CI161">
        <f>SUMIFS(Dyno_Data[Defense], Dyno_Data[Team],TBA_Matches_All[[#This Row],[Team]],Dyno_Data[Match],TBA_Matches_All[[#This Row],[Match_Number]],Dyno_Data[RecordType],"EndMatch",Dyno_Data[Defense],"&lt;&gt;9")</f>
        <v>0</v>
      </c>
      <c r="CJ161">
        <f>SUMIFS(Dyno_Data[Avoidance], Dyno_Data[Team],TBA_Matches_All[[#This Row],[Team]],Dyno_Data[Match],TBA_Matches_All[[#This Row],[Match_Number]],Dyno_Data[RecordType],"EndMatch",Dyno_Data[Avoidance],"&lt;&gt;9")</f>
        <v>0</v>
      </c>
      <c r="CK161" s="82">
        <f>COUNTIF($H$2:TBA_Matches_All[[#This Row],[Team]],TBA_Matches_All[[#This Row],[Team]])</f>
        <v>4</v>
      </c>
      <c r="CL161" s="111">
        <f>SUM(MID(TBA_Matches_All[[#This Row],[Team]],4,5)+TBA_Matches_All[[#This Row],[Match_Number]]/100)</f>
        <v>3173.27</v>
      </c>
      <c r="CM161">
        <f>SUM((TBA_Matches_All[[#This Row],[Leave]]*2)+(TBA_Matches_All[[#This Row],[AampT]]*2)+(TBA_Matches_All[[#This Row],[AspkrT]]*5)+(TBA_Matches_All[[#This Row],[AtrapT]]*5))</f>
        <v>0</v>
      </c>
      <c r="CN161" s="59">
        <f>IFERROR(SUM(TBA_Matches_All[[#This Row],[AptsT]]/TBA_Matches_All[[#This Row],[AutoPts]]),0)</f>
        <v>0</v>
      </c>
      <c r="CO161" s="59">
        <f>IFERROR(SUM(TBA_Matches_All[[#This Row],[AampT]]+TBA_Matches_All[[#This Row],[AspkrT]]+TBA_Matches_All[[#This Row],[AtrapT]]/TBA_Matches_All[[#This Row],[Aamp]]+TBA_Matches_All[[#This Row],[Aspkr]]+TBA_Matches_All[[#This Row],[AtrapT]]),0)</f>
        <v>0</v>
      </c>
      <c r="CP161" s="59">
        <f>IFERROR(SUM(TBA_Matches_All[[#This Row],[TampT]]/TBA_Matches_All[[#This Row],[Tamp]]),0)</f>
        <v>0</v>
      </c>
      <c r="CQ161" s="59">
        <f>IFERROR(SUM(TBA_Matches_All[[#This Row],[TspkrT]]/TBA_Matches_All[[#This Row],[Tspkr]]),0)</f>
        <v>0</v>
      </c>
      <c r="CR161">
        <f>SUM(TBA_Matches_All[[#This Row],[TspkrPts]]*TBA_Matches_All[[#This Row],[TspkrP]])</f>
        <v>0</v>
      </c>
      <c r="CS161" s="59">
        <f>IFERROR(SUM(TBA_Matches_All[[#This Row],[TtrapT]]/TBA_Matches_All[[#This Row],[Trap]]),0)</f>
        <v>0</v>
      </c>
      <c r="CT161" s="59">
        <f>IFERROR(SUM(TBA_Matches_All[[#This Row],[TotNotesT]]/TBA_Matches_All[[#This Row],[TotNotes]]),0)</f>
        <v>0</v>
      </c>
      <c r="CU161" s="66">
        <f>SUM((TBA_Matches_All[[#This Row],[AampT]]*2)+(TBA_Matches_All[[#This Row],[AspkrT]]*5)+(TBA_Matches_All[[#This Row],[AtrapT]]*5)+(TBA_Matches_All[[#This Row],[TampT]]*1)+(TBA_Matches_All[[#This Row],[TspkrptsC]]))</f>
        <v>0</v>
      </c>
      <c r="CV161" s="59">
        <f>IFERROR(TBA_Matches_All[[#This Row],[noteptsT]]/TBA_Matches_All[[#This Row],[NotePts]],0)</f>
        <v>0</v>
      </c>
      <c r="CW161">
        <f>SUM(IF(TBA_Matches_All[[#This Row],[stageStat]]="On",3,0),IF(TBA_Matches_All[[#This Row],[stageStat]]="Park",1,0),SUMIFS(TBA_Matches_All[[#This Row],[Spotlit]],TBA_Matches_All[[#This Row],[stageStat]],"On"),SUMIFS(TBA_Matches_All[[#This Row],[Harmony]],TBA_Matches_All[[#This Row],[stageStat]],"On"))</f>
        <v>0</v>
      </c>
      <c r="CX161" s="59">
        <f>IFERROR(TBA_Matches_All[[#This Row],[stageptsT]]/TBA_Matches_All[[#This Row],[StagePts]],0)</f>
        <v>0</v>
      </c>
      <c r="CY161">
        <f>SUM((TBA_Matches_All[[#This Row],[AptsT]]+TBA_Matches_All[[#This Row],[TampT]]+TBA_Matches_All[[#This Row],[TspkrptsC]]+(TBA_Matches_All[[#This Row],[TtrapT]]*5)+TBA_Matches_All[[#This Row],[stageptsT]]))</f>
        <v>0</v>
      </c>
      <c r="CZ161" s="59">
        <f>IFERROR(SUM(TBA_Matches_All[[#This Row],[TotptsC]]/TBA_Matches_All[[#This Row],[Score]]),0)</f>
        <v>0</v>
      </c>
      <c r="DA16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20.123351648351651</v>
      </c>
      <c r="DB161" s="74">
        <f>SUMIFS(TBA_Matches_All[AveTeamTNoteDels],TBA_Matches_All[Match_Number],TBA_Matches_All[[#This Row],[Match_Number]],TBA_Matches_All[Alliance],"&lt;&gt;"&amp;TBA_Matches_All[[#This Row],[Alliance]],TBA_Matches_All[Scouted],"&gt;0")</f>
        <v>0</v>
      </c>
      <c r="DC161" s="74">
        <f>(TBA_Matches_All[[#This Row],[TampT]]+TBA_Matches_All[[#This Row],[TspkrptsC]])-TBA_Matches_All[[#This Row],[AveTeamTNoteDels]]</f>
        <v>-20.123351648351651</v>
      </c>
      <c r="DD161" s="74">
        <f>SUMIFS(TBA_Matches_All[AveTeamTNoteDels],TBA_Matches_All[Match_Number],TBA_Matches_All[[#This Row],[Match_Number]],TBA_Matches_All[Alliance],"&lt;&gt;"&amp;TBA_Matches_All[[#This Row],[Alliance]])-TBA_Matches_All[[#This Row],[AveOppTNoteDels]]</f>
        <v>42.501533882783889</v>
      </c>
    </row>
    <row r="162" spans="1:108" x14ac:dyDescent="0.3">
      <c r="A162" t="s">
        <v>1042</v>
      </c>
      <c r="B162" t="s">
        <v>489</v>
      </c>
      <c r="C162" t="s">
        <v>1336</v>
      </c>
      <c r="D162">
        <v>27</v>
      </c>
      <c r="E162" t="s">
        <v>1406</v>
      </c>
      <c r="F162" t="s">
        <v>1426</v>
      </c>
      <c r="G162" t="s">
        <v>164</v>
      </c>
      <c r="H162" t="s">
        <v>1298</v>
      </c>
      <c r="I162" t="b">
        <v>1</v>
      </c>
      <c r="J162">
        <v>37</v>
      </c>
      <c r="K162">
        <v>1</v>
      </c>
      <c r="L162">
        <v>0</v>
      </c>
      <c r="M162">
        <v>18</v>
      </c>
      <c r="N162">
        <v>0</v>
      </c>
      <c r="O162">
        <v>0</v>
      </c>
      <c r="P162">
        <v>0</v>
      </c>
      <c r="Q162">
        <v>2</v>
      </c>
      <c r="R162">
        <v>1</v>
      </c>
      <c r="S162">
        <v>0</v>
      </c>
      <c r="T162">
        <v>16</v>
      </c>
      <c r="U162">
        <v>0</v>
      </c>
      <c r="V162">
        <v>32</v>
      </c>
      <c r="W162">
        <v>16</v>
      </c>
      <c r="X162">
        <v>32</v>
      </c>
      <c r="Y162">
        <v>33</v>
      </c>
      <c r="Z162">
        <v>0</v>
      </c>
      <c r="AA162">
        <v>0</v>
      </c>
      <c r="AB162">
        <v>17</v>
      </c>
      <c r="AC162">
        <v>33</v>
      </c>
      <c r="AD162">
        <v>2</v>
      </c>
      <c r="AE162">
        <f>IFERROR(6/(COUNTIF(Dyno_EndMatch[Match],TBA_Matches_All[[#This Row],[Match_Number]])),0)</f>
        <v>0</v>
      </c>
      <c r="AF162">
        <f>COUNTIFS(Dyno_Data[Team],TBA_Matches_All[[#This Row],[Team]],Dyno_Data[Match],TBA_Matches_All[[#This Row],[Match_Number]],Dyno_Data[RecordType],"EndMatch",Dyno_Data[HPAmp],"Y")</f>
        <v>0</v>
      </c>
      <c r="AG162">
        <f>SUMIFS(Dyno_Data[Mics], Dyno_Data[Team],TBA_Matches_All[[#This Row],[Team]],Dyno_Data[Match],TBA_Matches_All[[#This Row],[Match_Number]],Dyno_Data[RecordType],"EndMatch",Dyno_Data[HPAmp],"Y")</f>
        <v>0</v>
      </c>
      <c r="AH162">
        <f>SUMIFS(Dyno_Data[Leave], Dyno_Data[Team],TBA_Matches_All[[#This Row],[Team]],Dyno_Data[Match],TBA_Matches_All[[#This Row],[Match_Number]],Dyno_Data[RecordType],"EndAuto")</f>
        <v>0</v>
      </c>
      <c r="AI162">
        <f>COUNTIFS(Dyno_Data[Team],TBA_Matches_All[[#This Row],[Team]],Dyno_Data[Match],TBA_Matches_All[[#This Row],[Match_Number]],Dyno_Data[RecordType],"Activities",Dyno_Data[DelDest],"Amp", Dyno_Data[DelMiss],"0", Dyno_Data[Mode],"Auto")</f>
        <v>0</v>
      </c>
      <c r="AJ162">
        <f>COUNTIFS(Dyno_Data[Team],TBA_Matches_All[[#This Row],[Team]],Dyno_Data[Match],TBA_Matches_All[[#This Row],[Match_Number]],Dyno_Data[RecordType],"Activities",Dyno_Data[DelDest],"Spkr", Dyno_Data[DelMiss],"0", Dyno_Data[Mode],"Auto")</f>
        <v>0</v>
      </c>
      <c r="AK162">
        <f>COUNTIFS(Dyno_Data[Team],TBA_Matches_All[[#This Row],[Team]],Dyno_Data[Match],TBA_Matches_All[[#This Row],[Match_Number]],Dyno_Data[RecordType],"Activities",Dyno_Data[DelDest],"Trap", Dyno_Data[DelMiss],"0", Dyno_Data[Mode],"Auto")</f>
        <v>0</v>
      </c>
      <c r="AL162">
        <f>COUNTIFS(Dyno_Data[Team],TBA_Matches_All[[#This Row],[Team]],Dyno_Data[Match],TBA_Matches_All[[#This Row],[Match_Number]],Dyno_Data[RecordType],"Activities",Dyno_Data[DelDest],"Amp", Dyno_Data[DelMiss],"0", Dyno_Data[Mode],"Teleop")</f>
        <v>0</v>
      </c>
      <c r="AM162">
        <f>COUNTIFS(Dyno_Data[Team],TBA_Matches_All[[#This Row],[Team]],Dyno_Data[Match],TBA_Matches_All[[#This Row],[Match_Number]],Dyno_Data[RecordType],"Activities",Dyno_Data[DelDest],"Spkr", Dyno_Data[DelMiss],"0", Dyno_Data[Mode],"Teleop")</f>
        <v>0</v>
      </c>
      <c r="AN162">
        <f>COUNTIFS(Dyno_Data[Team],TBA_Matches_All[[#This Row],[Team]],Dyno_Data[Match],TBA_Matches_All[[#This Row],[Match_Number]],Dyno_Data[RecordType],"Activities",Dyno_Data[DelDest],"Trap", Dyno_Data[DelMiss],"0", Dyno_Data[Mode],"&lt;&gt;Auto")</f>
        <v>0</v>
      </c>
      <c r="AO162">
        <f>SUM(TBA_Matches_All[[#This Row],[AampT]]+TBA_Matches_All[[#This Row],[AspkrT]]+TBA_Matches_All[[#This Row],[AtrapT]]+TBA_Matches_All[[#This Row],[TampT]]+TBA_Matches_All[[#This Row],[TspkrT]]+TBA_Matches_All[[#This Row],[TtrapT]])</f>
        <v>0</v>
      </c>
      <c r="AP162">
        <f>COUNTIFS(Dyno_Data[Team],TBA_Matches_All[[#This Row],[Team]],Dyno_Data[Match],TBA_Matches_All[[#This Row],[Match_Number]],Dyno_Data[RecordType],"Activities",Dyno_Data[DelDest],"Neut", Dyno_Data[DelMiss],"0")</f>
        <v>0</v>
      </c>
      <c r="AQ162">
        <f>COUNTIFS(Dyno_Data[Team],TBA_Matches_All[[#This Row],[Team]],Dyno_Data[Match],TBA_Matches_All[[#This Row],[Match_Number]],Dyno_Data[RecordType],"Activities",Dyno_Data[DelDest],"AllyW", Dyno_Data[DelMiss],"0")</f>
        <v>0</v>
      </c>
      <c r="AR162" t="str">
        <f>_xlfn.XLOOKUP(SUM(MID(TBA_Matches_All[[#This Row],[Team]],4,5),(TBA_Matches_All[[#This Row],[Match_Number]]/100)),Dyno_EndMatch[teammat],Dyno_EndMatch[RobotSta],"_",0,1)</f>
        <v>_</v>
      </c>
      <c r="AS162">
        <f>SUMIFS(Dyno_Data[AcqDis], Dyno_Data[Team],TBA_Matches_All[[#This Row],[Team]],Dyno_Data[Match],TBA_Matches_All[[#This Row],[Match_Number]],Dyno_Data[RecordType],"Activities", Dyno_Data[AcqCenter],1,Dyno_Data[Mode],"Auto")</f>
        <v>0</v>
      </c>
      <c r="AT162">
        <f>SUMIFS(Dyno_Data[AcqDis], Dyno_Data[Team],TBA_Matches_All[[#This Row],[Team]],Dyno_Data[Match],TBA_Matches_All[[#This Row],[Match_Number]],Dyno_Data[RecordType],"Activities", Dyno_Data[AcqCenter],2,Dyno_Data[Mode],"Auto")</f>
        <v>0</v>
      </c>
      <c r="AU162">
        <f>SUMIFS(Dyno_Data[AcqDis], Dyno_Data[Team],TBA_Matches_All[[#This Row],[Team]],Dyno_Data[Match],TBA_Matches_All[[#This Row],[Match_Number]],Dyno_Data[RecordType],"Activities", Dyno_Data[AcqCenter],3,Dyno_Data[Mode],"Auto")</f>
        <v>0</v>
      </c>
      <c r="AV162">
        <f>SUMIFS(Dyno_Data[AcqDis], Dyno_Data[Team],TBA_Matches_All[[#This Row],[Team]],Dyno_Data[Match],TBA_Matches_All[[#This Row],[Match_Number]],Dyno_Data[RecordType],"Activities", Dyno_Data[AcqCenter],4,Dyno_Data[Mode],"Auto")</f>
        <v>0</v>
      </c>
      <c r="AW162">
        <f>SUMIFS(Dyno_Data[AcqDis], Dyno_Data[Team],TBA_Matches_All[[#This Row],[Team]],Dyno_Data[Match],TBA_Matches_All[[#This Row],[Match_Number]],Dyno_Data[RecordType],"Activities", Dyno_Data[AcqCenter],5,Dyno_Data[Mode],"Auto")</f>
        <v>0</v>
      </c>
      <c r="AX162">
        <f>SUMIFS(Dyno_Data[DelMiss], Dyno_Data[Team],TBA_Matches_All[[#This Row],[Team]],Dyno_Data[Match],TBA_Matches_All[[#This Row],[Match_Number]],Dyno_Data[RecordType],"Activities", Dyno_Data[DelDest],"Amp")</f>
        <v>0</v>
      </c>
      <c r="AY162" s="60">
        <f>IFERROR(SUM((TBA_Matches_All[[#This Row],[AampT]]+TBA_Matches_All[[#This Row],[TampT]])/(TBA_Matches_All[[#This Row],[AampT]]+TBA_Matches_All[[#This Row],[TampT]]+TBA_Matches_All[[#This Row],[ampM]])),0)</f>
        <v>0</v>
      </c>
      <c r="AZ162">
        <f>SUMIFS(Dyno_Data[DelMiss], Dyno_Data[Team],TBA_Matches_All[[#This Row],[Team]],Dyno_Data[Match],TBA_Matches_All[[#This Row],[Match_Number]],Dyno_Data[RecordType],"Activities", Dyno_Data[DelDest],"Spkr")</f>
        <v>0</v>
      </c>
      <c r="BA162" s="60">
        <f>IFERROR(SUM((TBA_Matches_All[[#This Row],[AspkrT]]+TBA_Matches_All[[#This Row],[TspkrT]])/(TBA_Matches_All[[#This Row],[AspkrT]]+TBA_Matches_All[[#This Row],[TspkrT]]+TBA_Matches_All[[#This Row],[spkrM]])),0)</f>
        <v>0</v>
      </c>
      <c r="BB162">
        <f>SUMIFS(Dyno_Data[DelMiss], Dyno_Data[Team],TBA_Matches_All[[#This Row],[Team]],Dyno_Data[Match],TBA_Matches_All[[#This Row],[Match_Number]],Dyno_Data[RecordType],"Activities", Dyno_Data[DelDest],"Trap")</f>
        <v>0</v>
      </c>
      <c r="BC162" s="60">
        <f>IFERROR((TBA_Matches_All[[#This Row],[AtrapT]]+TBA_Matches_All[[#This Row],[TtrapT]])/(TBA_Matches_All[[#This Row],[AtrapT]]+TBA_Matches_All[[#This Row],[TtrapT]]+TBA_Matches_All[[#This Row],[trapM]]),0)</f>
        <v>0</v>
      </c>
      <c r="BD162">
        <f>COUNTIFS(Dyno_Data[Team],TBA_Matches_All[[#This Row],[Team]],Dyno_Data[Match],TBA_Matches_All[[#This Row],[Match_Number]],Dyno_Data[RecordType],"Activities",Dyno_Data[DelDest],"Neut", Dyno_Data[DelMiss],1)</f>
        <v>0</v>
      </c>
      <c r="BE162" s="60">
        <f>IFERROR(SUM((TBA_Matches_All[[#This Row],[NeutFlrT]])/(TBA_Matches_All[[#This Row],[NeutFlrT]]+TBA_Matches_All[[#This Row],[NZflM]])),0)</f>
        <v>0</v>
      </c>
      <c r="BF162">
        <f>COUNTIFS(Dyno_Data[Team],TBA_Matches_All[[#This Row],[Team]],Dyno_Data[Match],TBA_Matches_All[[#This Row],[Match_Number]],Dyno_Data[RecordType],"Activities",Dyno_Data[DelDest],"AllyW", Dyno_Data[DelMiss],1)</f>
        <v>0</v>
      </c>
      <c r="BG162" s="60">
        <f>IFERROR(SUM((TBA_Matches_All[[#This Row],[AllyWFlrT]])/(TBA_Matches_All[[#This Row],[AllyWFlrT]]+TBA_Matches_All[[#This Row],[AZflM]])),0)</f>
        <v>0</v>
      </c>
      <c r="BH162">
        <f>COUNTIFS(Dyno_Data[Team],TBA_Matches_All[[#This Row],[Team]],Dyno_Data[Match],TBA_Matches_All[[#This Row],[Match_Number]],Dyno_Data[RecordType],"Activities",Dyno_Data[DelOrig],"OppW", Dyno_Data[DelMiss],"0")</f>
        <v>0</v>
      </c>
      <c r="BI162">
        <f>COUNTIFS(Dyno_Data[Team],TBA_Matches_All[[#This Row],[Team]],Dyno_Data[Match],TBA_Matches_All[[#This Row],[Match_Number]],Dyno_Data[RecordType],"Activities",Dyno_Data[DelOrig],"OppW", Dyno_Data[DelMiss],"1")</f>
        <v>0</v>
      </c>
      <c r="BJ162" s="60">
        <f>IFERROR(SUM((TBA_Matches_All[[#This Row],[OZflrT]])/(TBA_Matches_All[[#This Row],[OZflrT]]+TBA_Matches_All[[#This Row],[OZflrM]])),0)</f>
        <v>0</v>
      </c>
      <c r="BK162">
        <f>COUNTIFS(Dyno_Data[Team],TBA_Matches_All[[#This Row],[Team]],Dyno_Data[Match],TBA_Matches_All[[#This Row],[Match_Number]],Dyno_Data[RecordType],"Activities",Dyno_Data[DelOrig],"Neut", Dyno_Data[DelMiss],"0")</f>
        <v>0</v>
      </c>
      <c r="BL162">
        <f>COUNTIFS(Dyno_Data[Team],TBA_Matches_All[[#This Row],[Team]],Dyno_Data[Match],TBA_Matches_All[[#This Row],[Match_Number]],Dyno_Data[RecordType],"Activities",Dyno_Data[DelOrig],"Neut", Dyno_Data[DelMiss],"1")</f>
        <v>0</v>
      </c>
      <c r="BM162" s="60">
        <f>IFERROR(SUM((TBA_Matches_All[[#This Row],[NZflrT]])/(TBA_Matches_All[[#This Row],[NZflrT]]+TBA_Matches_All[[#This Row],[NZflrM]])),0)</f>
        <v>0</v>
      </c>
      <c r="BN162">
        <f>COUNTIFS(Dyno_Data[Team],TBA_Matches_All[[#This Row],[Team]],Dyno_Data[Match],TBA_Matches_All[[#This Row],[Match_Number]],Dyno_Data[RecordType],"Activities",Dyno_Data[DelOrig],"AllyW", Dyno_Data[DelMiss],"0")</f>
        <v>0</v>
      </c>
      <c r="BO162">
        <f>COUNTIFS(Dyno_Data[Team],TBA_Matches_All[[#This Row],[Team]],Dyno_Data[Match],TBA_Matches_All[[#This Row],[Match_Number]],Dyno_Data[RecordType],"Activities",Dyno_Data[DelOrig],"AllyW", Dyno_Data[DelMiss],"1")</f>
        <v>0</v>
      </c>
      <c r="BP162" s="60">
        <f>IFERROR(SUM((TBA_Matches_All[[#This Row],[AZflrT]])/(TBA_Matches_All[[#This Row],[AZflrT]]+TBA_Matches_All[[#This Row],[AZflrM]])),0)</f>
        <v>0</v>
      </c>
      <c r="BQ162">
        <f>COUNTIFS(Dyno_Data[Team],TBA_Matches_All[[#This Row],[Team]],Dyno_Data[Match],TBA_Matches_All[[#This Row],[Match_Number]],Dyno_Data[RecordType],"Activities",Dyno_Data[DelOrig],"SubW", Dyno_Data[DelMiss],"0")</f>
        <v>0</v>
      </c>
      <c r="BR162">
        <f>COUNTIFS(Dyno_Data[Team],TBA_Matches_All[[#This Row],[Team]],Dyno_Data[Match],TBA_Matches_All[[#This Row],[Match_Number]],Dyno_Data[RecordType],"Activities",Dyno_Data[DelOrig],"SubW", Dyno_Data[DelMiss],"1")</f>
        <v>0</v>
      </c>
      <c r="BS162" s="60">
        <f>IFERROR(SUM((TBA_Matches_All[[#This Row],[SubwT]])/(TBA_Matches_All[[#This Row],[SubwT]]+TBA_Matches_All[[#This Row],[SubwM]])),0)</f>
        <v>0</v>
      </c>
      <c r="BT162">
        <f>COUNTIFS(Dyno_Data[Team],TBA_Matches_All[[#This Row],[Team]],Dyno_Data[Match],TBA_Matches_All[[#This Row],[Match_Number]],Dyno_Data[RecordType],"Activities", Dyno_Data[AcqLoc],"OppWing")</f>
        <v>0</v>
      </c>
      <c r="BU162">
        <f>COUNTIFS(Dyno_Data[Team],TBA_Matches_All[[#This Row],[Team]],Dyno_Data[Match],TBA_Matches_All[[#This Row],[Match_Number]],Dyno_Data[RecordType],"Activities", Dyno_Data[AcqLoc],"Neutral")</f>
        <v>0</v>
      </c>
      <c r="BV162">
        <f>COUNTIFS(Dyno_Data[Team],TBA_Matches_All[[#This Row],[Team]],Dyno_Data[Match],TBA_Matches_All[[#This Row],[Match_Number]],Dyno_Data[RecordType],"Activities", Dyno_Data[AcqLoc],"AllyWing")</f>
        <v>0</v>
      </c>
      <c r="BW162">
        <f>COUNTIFS(Dyno_Data[Team],TBA_Matches_All[[#This Row],[Team]],Dyno_Data[Match],TBA_Matches_All[[#This Row],[Match_Number]],Dyno_Data[RecordType],"Activities", Dyno_Data[AcqLoc],"Source")</f>
        <v>0</v>
      </c>
      <c r="BX162">
        <f>SUMIFS(Dyno_Data[AcqDrp], Dyno_Data[Team],TBA_Matches_All[[#This Row],[Team]],Dyno_Data[Match],TBA_Matches_All[[#This Row],[Match_Number]],Dyno_Data[RecordType],"Activities", Dyno_Data[AcqLoc],"Source")</f>
        <v>0</v>
      </c>
      <c r="BY162">
        <f>SUMIFS(Dyno_Data[OZTime], Dyno_Data[Team],TBA_Matches_All[[#This Row],[Team]],Dyno_Data[Match],TBA_Matches_All[[#This Row],[Match_Number]],Dyno_Data[RecordType],"EndMatch")</f>
        <v>0</v>
      </c>
      <c r="BZ162">
        <f>SUMIFS(Dyno_Data[NZTime], Dyno_Data[Team],TBA_Matches_All[[#This Row],[Team]],Dyno_Data[Match],TBA_Matches_All[[#This Row],[Match_Number]],Dyno_Data[RecordType],"EndMatch")</f>
        <v>0</v>
      </c>
      <c r="CA162">
        <f>SUMIFS(Dyno_Data[AZTime], Dyno_Data[Team],TBA_Matches_All[[#This Row],[Team]],Dyno_Data[Match],TBA_Matches_All[[#This Row],[Match_Number]],Dyno_Data[RecordType],"EndMatch")</f>
        <v>0</v>
      </c>
      <c r="CB162">
        <f>SUMIFS(Dyno_Data[ClimbT], Dyno_Data[Team],TBA_Matches_All[[#This Row],[Team]],Dyno_Data[Match],TBA_Matches_All[[#This Row],[Match_Number]],Dyno_Data[RecordType],"EndMatch")</f>
        <v>0</v>
      </c>
      <c r="CC162" t="str">
        <f>_xlfn.XLOOKUP(SUM(MID(TBA_Matches_All[[#This Row],[Team]],4,5),(TBA_Matches_All[[#This Row],[Match_Number]]/100)),Dyno_EndMatch[teammat],Dyno_EndMatch[StageStat],"_",0,1)</f>
        <v>_</v>
      </c>
      <c r="CD162" t="str">
        <f>_xlfn.XLOOKUP(TBA_Matches_All[[#This Row],[teammat]],Dyno_EndMatch[teammat],Dyno_EndMatch[StageAtt],"_",0,1)</f>
        <v>_</v>
      </c>
      <c r="CE162" t="str">
        <f>_xlfn.XLOOKUP(TBA_Matches_All[[#This Row],[teammat]],Dyno_EndMatch[teammat],Dyno_EndMatch[StageLoc],"_",0,1)</f>
        <v>_</v>
      </c>
      <c r="CF162">
        <f>SUMIFS(Dyno_Data[Harmony], Dyno_Data[Team],TBA_Matches_All[[#This Row],[Team]],Dyno_Data[Match],TBA_Matches_All[[#This Row],[Match_Number]],Dyno_Data[RecordType],"EndMatch", Dyno_Data[StageStat],"On",Dyno_Data[Harmony],"&lt;&gt;9")</f>
        <v>0</v>
      </c>
      <c r="CG162">
        <f>SUMIFS(Dyno_Data[Spotlit], Dyno_Data[Team],TBA_Matches_All[[#This Row],[Team]],Dyno_Data[Match],TBA_Matches_All[[#This Row],[Match_Number]],Dyno_Data[RecordType],"EndMatch", Dyno_Data[StageStat],"On",Dyno_Data[Spotlit],"&lt;&gt;9")</f>
        <v>0</v>
      </c>
      <c r="CH162" t="str">
        <f>_xlfn.XLOOKUP(TBA_Matches_All[[#This Row],[teammat]],Dyno_EndMatch[teammat],Dyno_EndMatch[Strategy],"_",0,1)</f>
        <v>_</v>
      </c>
      <c r="CI162">
        <f>SUMIFS(Dyno_Data[Defense], Dyno_Data[Team],TBA_Matches_All[[#This Row],[Team]],Dyno_Data[Match],TBA_Matches_All[[#This Row],[Match_Number]],Dyno_Data[RecordType],"EndMatch",Dyno_Data[Defense],"&lt;&gt;9")</f>
        <v>0</v>
      </c>
      <c r="CJ162">
        <f>SUMIFS(Dyno_Data[Avoidance], Dyno_Data[Team],TBA_Matches_All[[#This Row],[Team]],Dyno_Data[Match],TBA_Matches_All[[#This Row],[Match_Number]],Dyno_Data[RecordType],"EndMatch",Dyno_Data[Avoidance],"&lt;&gt;9")</f>
        <v>0</v>
      </c>
      <c r="CK162" s="82">
        <f>COUNTIF($H$2:TBA_Matches_All[[#This Row],[Team]],TBA_Matches_All[[#This Row],[Team]])</f>
        <v>4</v>
      </c>
      <c r="CL162" s="111">
        <f>SUM(MID(TBA_Matches_All[[#This Row],[Team]],4,5)+TBA_Matches_All[[#This Row],[Match_Number]]/100)</f>
        <v>9624.27</v>
      </c>
      <c r="CM162">
        <f>SUM((TBA_Matches_All[[#This Row],[Leave]]*2)+(TBA_Matches_All[[#This Row],[AampT]]*2)+(TBA_Matches_All[[#This Row],[AspkrT]]*5)+(TBA_Matches_All[[#This Row],[AtrapT]]*5))</f>
        <v>0</v>
      </c>
      <c r="CN162" s="59">
        <f>IFERROR(SUM(TBA_Matches_All[[#This Row],[AptsT]]/TBA_Matches_All[[#This Row],[AutoPts]]),0)</f>
        <v>0</v>
      </c>
      <c r="CO162" s="59">
        <f>IFERROR(SUM(TBA_Matches_All[[#This Row],[AampT]]+TBA_Matches_All[[#This Row],[AspkrT]]+TBA_Matches_All[[#This Row],[AtrapT]]/TBA_Matches_All[[#This Row],[Aamp]]+TBA_Matches_All[[#This Row],[Aspkr]]+TBA_Matches_All[[#This Row],[AtrapT]]),0)</f>
        <v>0</v>
      </c>
      <c r="CP162" s="59">
        <f>IFERROR(SUM(TBA_Matches_All[[#This Row],[TampT]]/TBA_Matches_All[[#This Row],[Tamp]]),0)</f>
        <v>0</v>
      </c>
      <c r="CQ162" s="59">
        <f>IFERROR(SUM(TBA_Matches_All[[#This Row],[TspkrT]]/TBA_Matches_All[[#This Row],[Tspkr]]),0)</f>
        <v>0</v>
      </c>
      <c r="CR162">
        <f>SUM(TBA_Matches_All[[#This Row],[TspkrPts]]*TBA_Matches_All[[#This Row],[TspkrP]])</f>
        <v>0</v>
      </c>
      <c r="CS162" s="59">
        <f>IFERROR(SUM(TBA_Matches_All[[#This Row],[TtrapT]]/TBA_Matches_All[[#This Row],[Trap]]),0)</f>
        <v>0</v>
      </c>
      <c r="CT162" s="59">
        <f>IFERROR(SUM(TBA_Matches_All[[#This Row],[TotNotesT]]/TBA_Matches_All[[#This Row],[TotNotes]]),0)</f>
        <v>0</v>
      </c>
      <c r="CU162" s="66">
        <f>SUM((TBA_Matches_All[[#This Row],[AampT]]*2)+(TBA_Matches_All[[#This Row],[AspkrT]]*5)+(TBA_Matches_All[[#This Row],[AtrapT]]*5)+(TBA_Matches_All[[#This Row],[TampT]]*1)+(TBA_Matches_All[[#This Row],[TspkrptsC]]))</f>
        <v>0</v>
      </c>
      <c r="CV162" s="59">
        <f>IFERROR(TBA_Matches_All[[#This Row],[noteptsT]]/TBA_Matches_All[[#This Row],[NotePts]],0)</f>
        <v>0</v>
      </c>
      <c r="CW162">
        <f>SUM(IF(TBA_Matches_All[[#This Row],[stageStat]]="On",3,0),IF(TBA_Matches_All[[#This Row],[stageStat]]="Park",1,0),SUMIFS(TBA_Matches_All[[#This Row],[Spotlit]],TBA_Matches_All[[#This Row],[stageStat]],"On"),SUMIFS(TBA_Matches_All[[#This Row],[Harmony]],TBA_Matches_All[[#This Row],[stageStat]],"On"))</f>
        <v>0</v>
      </c>
      <c r="CX162" s="59">
        <f>IFERROR(TBA_Matches_All[[#This Row],[stageptsT]]/TBA_Matches_All[[#This Row],[StagePts]],0)</f>
        <v>0</v>
      </c>
      <c r="CY162">
        <f>SUM((TBA_Matches_All[[#This Row],[AptsT]]+TBA_Matches_All[[#This Row],[TampT]]+TBA_Matches_All[[#This Row],[TspkrptsC]]+(TBA_Matches_All[[#This Row],[TtrapT]]*5)+TBA_Matches_All[[#This Row],[stageptsT]]))</f>
        <v>0</v>
      </c>
      <c r="CZ162" s="59">
        <f>IFERROR(SUM(TBA_Matches_All[[#This Row],[TotptsC]]/TBA_Matches_All[[#This Row],[Score]]),0)</f>
        <v>0</v>
      </c>
      <c r="DA16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10.885416666666668</v>
      </c>
      <c r="DB162" s="74">
        <f>SUMIFS(TBA_Matches_All[AveTeamTNoteDels],TBA_Matches_All[Match_Number],TBA_Matches_All[[#This Row],[Match_Number]],TBA_Matches_All[Alliance],"&lt;&gt;"&amp;TBA_Matches_All[[#This Row],[Alliance]],TBA_Matches_All[Scouted],"&gt;0")</f>
        <v>0</v>
      </c>
      <c r="DC162" s="74">
        <f>(TBA_Matches_All[[#This Row],[TampT]]+TBA_Matches_All[[#This Row],[TspkrptsC]])-TBA_Matches_All[[#This Row],[AveTeamTNoteDels]]</f>
        <v>-10.885416666666668</v>
      </c>
      <c r="DD162" s="74">
        <f>SUMIFS(TBA_Matches_All[AveTeamTNoteDels],TBA_Matches_All[Match_Number],TBA_Matches_All[[#This Row],[Match_Number]],TBA_Matches_All[Alliance],"&lt;&gt;"&amp;TBA_Matches_All[[#This Row],[Alliance]])-TBA_Matches_All[[#This Row],[AveOppTNoteDels]]</f>
        <v>42.748907203907208</v>
      </c>
    </row>
    <row r="163" spans="1:108" x14ac:dyDescent="0.3">
      <c r="A163" t="s">
        <v>1042</v>
      </c>
      <c r="B163" t="s">
        <v>489</v>
      </c>
      <c r="C163" t="s">
        <v>1336</v>
      </c>
      <c r="D163">
        <v>27</v>
      </c>
      <c r="E163" t="s">
        <v>1420</v>
      </c>
      <c r="F163" t="s">
        <v>1421</v>
      </c>
      <c r="G163" t="s">
        <v>164</v>
      </c>
      <c r="H163" t="s">
        <v>1318</v>
      </c>
      <c r="I163" t="b">
        <v>1</v>
      </c>
      <c r="J163">
        <v>114</v>
      </c>
      <c r="K163">
        <v>1</v>
      </c>
      <c r="L163">
        <v>1</v>
      </c>
      <c r="M163">
        <v>0</v>
      </c>
      <c r="N163">
        <v>0</v>
      </c>
      <c r="O163">
        <v>4</v>
      </c>
      <c r="P163">
        <v>20</v>
      </c>
      <c r="Q163">
        <v>26</v>
      </c>
      <c r="R163">
        <v>5</v>
      </c>
      <c r="S163">
        <v>7</v>
      </c>
      <c r="T163">
        <v>11</v>
      </c>
      <c r="U163">
        <v>35</v>
      </c>
      <c r="V163">
        <v>22</v>
      </c>
      <c r="W163">
        <v>18</v>
      </c>
      <c r="X163">
        <v>57</v>
      </c>
      <c r="Y163">
        <v>62</v>
      </c>
      <c r="Z163">
        <v>0</v>
      </c>
      <c r="AA163">
        <v>0</v>
      </c>
      <c r="AB163">
        <v>27</v>
      </c>
      <c r="AC163">
        <v>82</v>
      </c>
      <c r="AD163">
        <v>8</v>
      </c>
      <c r="AE163">
        <f>IFERROR(6/(COUNTIF(Dyno_EndMatch[Match],TBA_Matches_All[[#This Row],[Match_Number]])),0)</f>
        <v>0</v>
      </c>
      <c r="AF163">
        <f>COUNTIFS(Dyno_Data[Team],TBA_Matches_All[[#This Row],[Team]],Dyno_Data[Match],TBA_Matches_All[[#This Row],[Match_Number]],Dyno_Data[RecordType],"EndMatch",Dyno_Data[HPAmp],"Y")</f>
        <v>0</v>
      </c>
      <c r="AG163">
        <f>SUMIFS(Dyno_Data[Mics], Dyno_Data[Team],TBA_Matches_All[[#This Row],[Team]],Dyno_Data[Match],TBA_Matches_All[[#This Row],[Match_Number]],Dyno_Data[RecordType],"EndMatch",Dyno_Data[HPAmp],"Y")</f>
        <v>0</v>
      </c>
      <c r="AH163">
        <f>SUMIFS(Dyno_Data[Leave], Dyno_Data[Team],TBA_Matches_All[[#This Row],[Team]],Dyno_Data[Match],TBA_Matches_All[[#This Row],[Match_Number]],Dyno_Data[RecordType],"EndAuto")</f>
        <v>0</v>
      </c>
      <c r="AI163">
        <f>COUNTIFS(Dyno_Data[Team],TBA_Matches_All[[#This Row],[Team]],Dyno_Data[Match],TBA_Matches_All[[#This Row],[Match_Number]],Dyno_Data[RecordType],"Activities",Dyno_Data[DelDest],"Amp", Dyno_Data[DelMiss],"0", Dyno_Data[Mode],"Auto")</f>
        <v>0</v>
      </c>
      <c r="AJ163">
        <f>COUNTIFS(Dyno_Data[Team],TBA_Matches_All[[#This Row],[Team]],Dyno_Data[Match],TBA_Matches_All[[#This Row],[Match_Number]],Dyno_Data[RecordType],"Activities",Dyno_Data[DelDest],"Spkr", Dyno_Data[DelMiss],"0", Dyno_Data[Mode],"Auto")</f>
        <v>0</v>
      </c>
      <c r="AK163">
        <f>COUNTIFS(Dyno_Data[Team],TBA_Matches_All[[#This Row],[Team]],Dyno_Data[Match],TBA_Matches_All[[#This Row],[Match_Number]],Dyno_Data[RecordType],"Activities",Dyno_Data[DelDest],"Trap", Dyno_Data[DelMiss],"0", Dyno_Data[Mode],"Auto")</f>
        <v>0</v>
      </c>
      <c r="AL163">
        <f>COUNTIFS(Dyno_Data[Team],TBA_Matches_All[[#This Row],[Team]],Dyno_Data[Match],TBA_Matches_All[[#This Row],[Match_Number]],Dyno_Data[RecordType],"Activities",Dyno_Data[DelDest],"Amp", Dyno_Data[DelMiss],"0", Dyno_Data[Mode],"Teleop")</f>
        <v>0</v>
      </c>
      <c r="AM163">
        <f>COUNTIFS(Dyno_Data[Team],TBA_Matches_All[[#This Row],[Team]],Dyno_Data[Match],TBA_Matches_All[[#This Row],[Match_Number]],Dyno_Data[RecordType],"Activities",Dyno_Data[DelDest],"Spkr", Dyno_Data[DelMiss],"0", Dyno_Data[Mode],"Teleop")</f>
        <v>0</v>
      </c>
      <c r="AN163">
        <f>COUNTIFS(Dyno_Data[Team],TBA_Matches_All[[#This Row],[Team]],Dyno_Data[Match],TBA_Matches_All[[#This Row],[Match_Number]],Dyno_Data[RecordType],"Activities",Dyno_Data[DelDest],"Trap", Dyno_Data[DelMiss],"0", Dyno_Data[Mode],"&lt;&gt;Auto")</f>
        <v>0</v>
      </c>
      <c r="AO163">
        <f>SUM(TBA_Matches_All[[#This Row],[AampT]]+TBA_Matches_All[[#This Row],[AspkrT]]+TBA_Matches_All[[#This Row],[AtrapT]]+TBA_Matches_All[[#This Row],[TampT]]+TBA_Matches_All[[#This Row],[TspkrT]]+TBA_Matches_All[[#This Row],[TtrapT]])</f>
        <v>0</v>
      </c>
      <c r="AP163">
        <f>COUNTIFS(Dyno_Data[Team],TBA_Matches_All[[#This Row],[Team]],Dyno_Data[Match],TBA_Matches_All[[#This Row],[Match_Number]],Dyno_Data[RecordType],"Activities",Dyno_Data[DelDest],"Neut", Dyno_Data[DelMiss],"0")</f>
        <v>0</v>
      </c>
      <c r="AQ163">
        <f>COUNTIFS(Dyno_Data[Team],TBA_Matches_All[[#This Row],[Team]],Dyno_Data[Match],TBA_Matches_All[[#This Row],[Match_Number]],Dyno_Data[RecordType],"Activities",Dyno_Data[DelDest],"AllyW", Dyno_Data[DelMiss],"0")</f>
        <v>0</v>
      </c>
      <c r="AR163" t="str">
        <f>_xlfn.XLOOKUP(SUM(MID(TBA_Matches_All[[#This Row],[Team]],4,5),(TBA_Matches_All[[#This Row],[Match_Number]]/100)),Dyno_EndMatch[teammat],Dyno_EndMatch[RobotSta],"_",0,1)</f>
        <v>_</v>
      </c>
      <c r="AS163">
        <f>SUMIFS(Dyno_Data[AcqDis], Dyno_Data[Team],TBA_Matches_All[[#This Row],[Team]],Dyno_Data[Match],TBA_Matches_All[[#This Row],[Match_Number]],Dyno_Data[RecordType],"Activities", Dyno_Data[AcqCenter],1,Dyno_Data[Mode],"Auto")</f>
        <v>0</v>
      </c>
      <c r="AT163">
        <f>SUMIFS(Dyno_Data[AcqDis], Dyno_Data[Team],TBA_Matches_All[[#This Row],[Team]],Dyno_Data[Match],TBA_Matches_All[[#This Row],[Match_Number]],Dyno_Data[RecordType],"Activities", Dyno_Data[AcqCenter],2,Dyno_Data[Mode],"Auto")</f>
        <v>0</v>
      </c>
      <c r="AU163">
        <f>SUMIFS(Dyno_Data[AcqDis], Dyno_Data[Team],TBA_Matches_All[[#This Row],[Team]],Dyno_Data[Match],TBA_Matches_All[[#This Row],[Match_Number]],Dyno_Data[RecordType],"Activities", Dyno_Data[AcqCenter],3,Dyno_Data[Mode],"Auto")</f>
        <v>0</v>
      </c>
      <c r="AV163">
        <f>SUMIFS(Dyno_Data[AcqDis], Dyno_Data[Team],TBA_Matches_All[[#This Row],[Team]],Dyno_Data[Match],TBA_Matches_All[[#This Row],[Match_Number]],Dyno_Data[RecordType],"Activities", Dyno_Data[AcqCenter],4,Dyno_Data[Mode],"Auto")</f>
        <v>0</v>
      </c>
      <c r="AW163">
        <f>SUMIFS(Dyno_Data[AcqDis], Dyno_Data[Team],TBA_Matches_All[[#This Row],[Team]],Dyno_Data[Match],TBA_Matches_All[[#This Row],[Match_Number]],Dyno_Data[RecordType],"Activities", Dyno_Data[AcqCenter],5,Dyno_Data[Mode],"Auto")</f>
        <v>0</v>
      </c>
      <c r="AX163">
        <f>SUMIFS(Dyno_Data[DelMiss], Dyno_Data[Team],TBA_Matches_All[[#This Row],[Team]],Dyno_Data[Match],TBA_Matches_All[[#This Row],[Match_Number]],Dyno_Data[RecordType],"Activities", Dyno_Data[DelDest],"Amp")</f>
        <v>0</v>
      </c>
      <c r="AY163" s="60">
        <f>IFERROR(SUM((TBA_Matches_All[[#This Row],[AampT]]+TBA_Matches_All[[#This Row],[TampT]])/(TBA_Matches_All[[#This Row],[AampT]]+TBA_Matches_All[[#This Row],[TampT]]+TBA_Matches_All[[#This Row],[ampM]])),0)</f>
        <v>0</v>
      </c>
      <c r="AZ163">
        <f>SUMIFS(Dyno_Data[DelMiss], Dyno_Data[Team],TBA_Matches_All[[#This Row],[Team]],Dyno_Data[Match],TBA_Matches_All[[#This Row],[Match_Number]],Dyno_Data[RecordType],"Activities", Dyno_Data[DelDest],"Spkr")</f>
        <v>0</v>
      </c>
      <c r="BA163" s="60">
        <f>IFERROR(SUM((TBA_Matches_All[[#This Row],[AspkrT]]+TBA_Matches_All[[#This Row],[TspkrT]])/(TBA_Matches_All[[#This Row],[AspkrT]]+TBA_Matches_All[[#This Row],[TspkrT]]+TBA_Matches_All[[#This Row],[spkrM]])),0)</f>
        <v>0</v>
      </c>
      <c r="BB163">
        <f>SUMIFS(Dyno_Data[DelMiss], Dyno_Data[Team],TBA_Matches_All[[#This Row],[Team]],Dyno_Data[Match],TBA_Matches_All[[#This Row],[Match_Number]],Dyno_Data[RecordType],"Activities", Dyno_Data[DelDest],"Trap")</f>
        <v>0</v>
      </c>
      <c r="BC163" s="60">
        <f>IFERROR((TBA_Matches_All[[#This Row],[AtrapT]]+TBA_Matches_All[[#This Row],[TtrapT]])/(TBA_Matches_All[[#This Row],[AtrapT]]+TBA_Matches_All[[#This Row],[TtrapT]]+TBA_Matches_All[[#This Row],[trapM]]),0)</f>
        <v>0</v>
      </c>
      <c r="BD163">
        <f>COUNTIFS(Dyno_Data[Team],TBA_Matches_All[[#This Row],[Team]],Dyno_Data[Match],TBA_Matches_All[[#This Row],[Match_Number]],Dyno_Data[RecordType],"Activities",Dyno_Data[DelDest],"Neut", Dyno_Data[DelMiss],1)</f>
        <v>0</v>
      </c>
      <c r="BE163" s="60">
        <f>IFERROR(SUM((TBA_Matches_All[[#This Row],[NeutFlrT]])/(TBA_Matches_All[[#This Row],[NeutFlrT]]+TBA_Matches_All[[#This Row],[NZflM]])),0)</f>
        <v>0</v>
      </c>
      <c r="BF163">
        <f>COUNTIFS(Dyno_Data[Team],TBA_Matches_All[[#This Row],[Team]],Dyno_Data[Match],TBA_Matches_All[[#This Row],[Match_Number]],Dyno_Data[RecordType],"Activities",Dyno_Data[DelDest],"AllyW", Dyno_Data[DelMiss],1)</f>
        <v>0</v>
      </c>
      <c r="BG163" s="60">
        <f>IFERROR(SUM((TBA_Matches_All[[#This Row],[AllyWFlrT]])/(TBA_Matches_All[[#This Row],[AllyWFlrT]]+TBA_Matches_All[[#This Row],[AZflM]])),0)</f>
        <v>0</v>
      </c>
      <c r="BH163">
        <f>COUNTIFS(Dyno_Data[Team],TBA_Matches_All[[#This Row],[Team]],Dyno_Data[Match],TBA_Matches_All[[#This Row],[Match_Number]],Dyno_Data[RecordType],"Activities",Dyno_Data[DelOrig],"OppW", Dyno_Data[DelMiss],"0")</f>
        <v>0</v>
      </c>
      <c r="BI163">
        <f>COUNTIFS(Dyno_Data[Team],TBA_Matches_All[[#This Row],[Team]],Dyno_Data[Match],TBA_Matches_All[[#This Row],[Match_Number]],Dyno_Data[RecordType],"Activities",Dyno_Data[DelOrig],"OppW", Dyno_Data[DelMiss],"1")</f>
        <v>0</v>
      </c>
      <c r="BJ163" s="60">
        <f>IFERROR(SUM((TBA_Matches_All[[#This Row],[OZflrT]])/(TBA_Matches_All[[#This Row],[OZflrT]]+TBA_Matches_All[[#This Row],[OZflrM]])),0)</f>
        <v>0</v>
      </c>
      <c r="BK163">
        <f>COUNTIFS(Dyno_Data[Team],TBA_Matches_All[[#This Row],[Team]],Dyno_Data[Match],TBA_Matches_All[[#This Row],[Match_Number]],Dyno_Data[RecordType],"Activities",Dyno_Data[DelOrig],"Neut", Dyno_Data[DelMiss],"0")</f>
        <v>0</v>
      </c>
      <c r="BL163">
        <f>COUNTIFS(Dyno_Data[Team],TBA_Matches_All[[#This Row],[Team]],Dyno_Data[Match],TBA_Matches_All[[#This Row],[Match_Number]],Dyno_Data[RecordType],"Activities",Dyno_Data[DelOrig],"Neut", Dyno_Data[DelMiss],"1")</f>
        <v>0</v>
      </c>
      <c r="BM163" s="60">
        <f>IFERROR(SUM((TBA_Matches_All[[#This Row],[NZflrT]])/(TBA_Matches_All[[#This Row],[NZflrT]]+TBA_Matches_All[[#This Row],[NZflrM]])),0)</f>
        <v>0</v>
      </c>
      <c r="BN163">
        <f>COUNTIFS(Dyno_Data[Team],TBA_Matches_All[[#This Row],[Team]],Dyno_Data[Match],TBA_Matches_All[[#This Row],[Match_Number]],Dyno_Data[RecordType],"Activities",Dyno_Data[DelOrig],"AllyW", Dyno_Data[DelMiss],"0")</f>
        <v>0</v>
      </c>
      <c r="BO163">
        <f>COUNTIFS(Dyno_Data[Team],TBA_Matches_All[[#This Row],[Team]],Dyno_Data[Match],TBA_Matches_All[[#This Row],[Match_Number]],Dyno_Data[RecordType],"Activities",Dyno_Data[DelOrig],"AllyW", Dyno_Data[DelMiss],"1")</f>
        <v>0</v>
      </c>
      <c r="BP163" s="60">
        <f>IFERROR(SUM((TBA_Matches_All[[#This Row],[AZflrT]])/(TBA_Matches_All[[#This Row],[AZflrT]]+TBA_Matches_All[[#This Row],[AZflrM]])),0)</f>
        <v>0</v>
      </c>
      <c r="BQ163">
        <f>COUNTIFS(Dyno_Data[Team],TBA_Matches_All[[#This Row],[Team]],Dyno_Data[Match],TBA_Matches_All[[#This Row],[Match_Number]],Dyno_Data[RecordType],"Activities",Dyno_Data[DelOrig],"SubW", Dyno_Data[DelMiss],"0")</f>
        <v>0</v>
      </c>
      <c r="BR163">
        <f>COUNTIFS(Dyno_Data[Team],TBA_Matches_All[[#This Row],[Team]],Dyno_Data[Match],TBA_Matches_All[[#This Row],[Match_Number]],Dyno_Data[RecordType],"Activities",Dyno_Data[DelOrig],"SubW", Dyno_Data[DelMiss],"1")</f>
        <v>0</v>
      </c>
      <c r="BS163" s="60">
        <f>IFERROR(SUM((TBA_Matches_All[[#This Row],[SubwT]])/(TBA_Matches_All[[#This Row],[SubwT]]+TBA_Matches_All[[#This Row],[SubwM]])),0)</f>
        <v>0</v>
      </c>
      <c r="BT163">
        <f>COUNTIFS(Dyno_Data[Team],TBA_Matches_All[[#This Row],[Team]],Dyno_Data[Match],TBA_Matches_All[[#This Row],[Match_Number]],Dyno_Data[RecordType],"Activities", Dyno_Data[AcqLoc],"OppWing")</f>
        <v>0</v>
      </c>
      <c r="BU163">
        <f>COUNTIFS(Dyno_Data[Team],TBA_Matches_All[[#This Row],[Team]],Dyno_Data[Match],TBA_Matches_All[[#This Row],[Match_Number]],Dyno_Data[RecordType],"Activities", Dyno_Data[AcqLoc],"Neutral")</f>
        <v>0</v>
      </c>
      <c r="BV163">
        <f>COUNTIFS(Dyno_Data[Team],TBA_Matches_All[[#This Row],[Team]],Dyno_Data[Match],TBA_Matches_All[[#This Row],[Match_Number]],Dyno_Data[RecordType],"Activities", Dyno_Data[AcqLoc],"AllyWing")</f>
        <v>0</v>
      </c>
      <c r="BW163">
        <f>COUNTIFS(Dyno_Data[Team],TBA_Matches_All[[#This Row],[Team]],Dyno_Data[Match],TBA_Matches_All[[#This Row],[Match_Number]],Dyno_Data[RecordType],"Activities", Dyno_Data[AcqLoc],"Source")</f>
        <v>0</v>
      </c>
      <c r="BX163">
        <f>SUMIFS(Dyno_Data[AcqDrp], Dyno_Data[Team],TBA_Matches_All[[#This Row],[Team]],Dyno_Data[Match],TBA_Matches_All[[#This Row],[Match_Number]],Dyno_Data[RecordType],"Activities", Dyno_Data[AcqLoc],"Source")</f>
        <v>0</v>
      </c>
      <c r="BY163">
        <f>SUMIFS(Dyno_Data[OZTime], Dyno_Data[Team],TBA_Matches_All[[#This Row],[Team]],Dyno_Data[Match],TBA_Matches_All[[#This Row],[Match_Number]],Dyno_Data[RecordType],"EndMatch")</f>
        <v>0</v>
      </c>
      <c r="BZ163">
        <f>SUMIFS(Dyno_Data[NZTime], Dyno_Data[Team],TBA_Matches_All[[#This Row],[Team]],Dyno_Data[Match],TBA_Matches_All[[#This Row],[Match_Number]],Dyno_Data[RecordType],"EndMatch")</f>
        <v>0</v>
      </c>
      <c r="CA163">
        <f>SUMIFS(Dyno_Data[AZTime], Dyno_Data[Team],TBA_Matches_All[[#This Row],[Team]],Dyno_Data[Match],TBA_Matches_All[[#This Row],[Match_Number]],Dyno_Data[RecordType],"EndMatch")</f>
        <v>0</v>
      </c>
      <c r="CB163">
        <f>SUMIFS(Dyno_Data[ClimbT], Dyno_Data[Team],TBA_Matches_All[[#This Row],[Team]],Dyno_Data[Match],TBA_Matches_All[[#This Row],[Match_Number]],Dyno_Data[RecordType],"EndMatch")</f>
        <v>0</v>
      </c>
      <c r="CC163" t="str">
        <f>_xlfn.XLOOKUP(SUM(MID(TBA_Matches_All[[#This Row],[Team]],4,5),(TBA_Matches_All[[#This Row],[Match_Number]]/100)),Dyno_EndMatch[teammat],Dyno_EndMatch[StageStat],"_",0,1)</f>
        <v>_</v>
      </c>
      <c r="CD163" t="str">
        <f>_xlfn.XLOOKUP(TBA_Matches_All[[#This Row],[teammat]],Dyno_EndMatch[teammat],Dyno_EndMatch[StageAtt],"_",0,1)</f>
        <v>_</v>
      </c>
      <c r="CE163" t="str">
        <f>_xlfn.XLOOKUP(TBA_Matches_All[[#This Row],[teammat]],Dyno_EndMatch[teammat],Dyno_EndMatch[StageLoc],"_",0,1)</f>
        <v>_</v>
      </c>
      <c r="CF163">
        <f>SUMIFS(Dyno_Data[Harmony], Dyno_Data[Team],TBA_Matches_All[[#This Row],[Team]],Dyno_Data[Match],TBA_Matches_All[[#This Row],[Match_Number]],Dyno_Data[RecordType],"EndMatch", Dyno_Data[StageStat],"On",Dyno_Data[Harmony],"&lt;&gt;9")</f>
        <v>0</v>
      </c>
      <c r="CG163">
        <f>SUMIFS(Dyno_Data[Spotlit], Dyno_Data[Team],TBA_Matches_All[[#This Row],[Team]],Dyno_Data[Match],TBA_Matches_All[[#This Row],[Match_Number]],Dyno_Data[RecordType],"EndMatch", Dyno_Data[StageStat],"On",Dyno_Data[Spotlit],"&lt;&gt;9")</f>
        <v>0</v>
      </c>
      <c r="CH163" t="str">
        <f>_xlfn.XLOOKUP(TBA_Matches_All[[#This Row],[teammat]],Dyno_EndMatch[teammat],Dyno_EndMatch[Strategy],"_",0,1)</f>
        <v>_</v>
      </c>
      <c r="CI163">
        <f>SUMIFS(Dyno_Data[Defense], Dyno_Data[Team],TBA_Matches_All[[#This Row],[Team]],Dyno_Data[Match],TBA_Matches_All[[#This Row],[Match_Number]],Dyno_Data[RecordType],"EndMatch",Dyno_Data[Defense],"&lt;&gt;9")</f>
        <v>0</v>
      </c>
      <c r="CJ163">
        <f>SUMIFS(Dyno_Data[Avoidance], Dyno_Data[Team],TBA_Matches_All[[#This Row],[Team]],Dyno_Data[Match],TBA_Matches_All[[#This Row],[Match_Number]],Dyno_Data[RecordType],"EndMatch",Dyno_Data[Avoidance],"&lt;&gt;9")</f>
        <v>0</v>
      </c>
      <c r="CK163" s="82">
        <f>COUNTIF($H$2:TBA_Matches_All[[#This Row],[Team]],TBA_Matches_All[[#This Row],[Team]])</f>
        <v>4</v>
      </c>
      <c r="CL163" s="111">
        <f>SUM(MID(TBA_Matches_All[[#This Row],[Team]],4,5)+TBA_Matches_All[[#This Row],[Match_Number]]/100)</f>
        <v>7709.27</v>
      </c>
      <c r="CM163">
        <f>SUM((TBA_Matches_All[[#This Row],[Leave]]*2)+(TBA_Matches_All[[#This Row],[AampT]]*2)+(TBA_Matches_All[[#This Row],[AspkrT]]*5)+(TBA_Matches_All[[#This Row],[AtrapT]]*5))</f>
        <v>0</v>
      </c>
      <c r="CN163" s="59">
        <f>IFERROR(SUM(TBA_Matches_All[[#This Row],[AptsT]]/TBA_Matches_All[[#This Row],[AutoPts]]),0)</f>
        <v>0</v>
      </c>
      <c r="CO163" s="59">
        <f>IFERROR(SUM(TBA_Matches_All[[#This Row],[AampT]]+TBA_Matches_All[[#This Row],[AspkrT]]+TBA_Matches_All[[#This Row],[AtrapT]]/TBA_Matches_All[[#This Row],[Aamp]]+TBA_Matches_All[[#This Row],[Aspkr]]+TBA_Matches_All[[#This Row],[AtrapT]]),0)</f>
        <v>0</v>
      </c>
      <c r="CP163" s="59">
        <f>IFERROR(SUM(TBA_Matches_All[[#This Row],[TampT]]/TBA_Matches_All[[#This Row],[Tamp]]),0)</f>
        <v>0</v>
      </c>
      <c r="CQ163" s="59">
        <f>IFERROR(SUM(TBA_Matches_All[[#This Row],[TspkrT]]/TBA_Matches_All[[#This Row],[Tspkr]]),0)</f>
        <v>0</v>
      </c>
      <c r="CR163">
        <f>SUM(TBA_Matches_All[[#This Row],[TspkrPts]]*TBA_Matches_All[[#This Row],[TspkrP]])</f>
        <v>0</v>
      </c>
      <c r="CS163" s="59">
        <f>IFERROR(SUM(TBA_Matches_All[[#This Row],[TtrapT]]/TBA_Matches_All[[#This Row],[Trap]]),0)</f>
        <v>0</v>
      </c>
      <c r="CT163" s="59">
        <f>IFERROR(SUM(TBA_Matches_All[[#This Row],[TotNotesT]]/TBA_Matches_All[[#This Row],[TotNotes]]),0)</f>
        <v>0</v>
      </c>
      <c r="CU163" s="66">
        <f>SUM((TBA_Matches_All[[#This Row],[AampT]]*2)+(TBA_Matches_All[[#This Row],[AspkrT]]*5)+(TBA_Matches_All[[#This Row],[AtrapT]]*5)+(TBA_Matches_All[[#This Row],[TampT]]*1)+(TBA_Matches_All[[#This Row],[TspkrptsC]]))</f>
        <v>0</v>
      </c>
      <c r="CV163" s="59">
        <f>IFERROR(TBA_Matches_All[[#This Row],[noteptsT]]/TBA_Matches_All[[#This Row],[NotePts]],0)</f>
        <v>0</v>
      </c>
      <c r="CW163">
        <f>SUM(IF(TBA_Matches_All[[#This Row],[stageStat]]="On",3,0),IF(TBA_Matches_All[[#This Row],[stageStat]]="Park",1,0),SUMIFS(TBA_Matches_All[[#This Row],[Spotlit]],TBA_Matches_All[[#This Row],[stageStat]],"On"),SUMIFS(TBA_Matches_All[[#This Row],[Harmony]],TBA_Matches_All[[#This Row],[stageStat]],"On"))</f>
        <v>0</v>
      </c>
      <c r="CX163" s="59">
        <f>IFERROR(TBA_Matches_All[[#This Row],[stageptsT]]/TBA_Matches_All[[#This Row],[StagePts]],0)</f>
        <v>0</v>
      </c>
      <c r="CY163">
        <f>SUM((TBA_Matches_All[[#This Row],[AptsT]]+TBA_Matches_All[[#This Row],[TampT]]+TBA_Matches_All[[#This Row],[TspkrptsC]]+(TBA_Matches_All[[#This Row],[TtrapT]]*5)+TBA_Matches_All[[#This Row],[stageptsT]]))</f>
        <v>0</v>
      </c>
      <c r="CZ163" s="59">
        <f>IFERROR(SUM(TBA_Matches_All[[#This Row],[TotptsC]]/TBA_Matches_All[[#This Row],[Score]]),0)</f>
        <v>0</v>
      </c>
      <c r="DA16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13.92</v>
      </c>
      <c r="DB163" s="74">
        <f>SUMIFS(TBA_Matches_All[AveTeamTNoteDels],TBA_Matches_All[Match_Number],TBA_Matches_All[[#This Row],[Match_Number]],TBA_Matches_All[Alliance],"&lt;&gt;"&amp;TBA_Matches_All[[#This Row],[Alliance]],TBA_Matches_All[Scouted],"&gt;0")</f>
        <v>0</v>
      </c>
      <c r="DC163" s="74">
        <f>(TBA_Matches_All[[#This Row],[TampT]]+TBA_Matches_All[[#This Row],[TspkrptsC]])-TBA_Matches_All[[#This Row],[AveTeamTNoteDels]]</f>
        <v>-13.92</v>
      </c>
      <c r="DD163" s="74">
        <f>SUMIFS(TBA_Matches_All[AveTeamTNoteDels],TBA_Matches_All[Match_Number],TBA_Matches_All[[#This Row],[Match_Number]],TBA_Matches_All[Alliance],"&lt;&gt;"&amp;TBA_Matches_All[[#This Row],[Alliance]])-TBA_Matches_All[[#This Row],[AveOppTNoteDels]]</f>
        <v>42.501533882783889</v>
      </c>
    </row>
    <row r="164" spans="1:108" x14ac:dyDescent="0.3">
      <c r="A164" t="s">
        <v>1042</v>
      </c>
      <c r="B164" t="s">
        <v>489</v>
      </c>
      <c r="C164" t="s">
        <v>1336</v>
      </c>
      <c r="D164">
        <v>27</v>
      </c>
      <c r="E164" t="s">
        <v>1406</v>
      </c>
      <c r="F164" t="s">
        <v>1422</v>
      </c>
      <c r="G164" t="s">
        <v>105</v>
      </c>
      <c r="H164" t="s">
        <v>363</v>
      </c>
      <c r="I164" t="b">
        <v>1</v>
      </c>
      <c r="J164">
        <v>37</v>
      </c>
      <c r="K164">
        <v>1</v>
      </c>
      <c r="L164">
        <v>0</v>
      </c>
      <c r="M164">
        <v>18</v>
      </c>
      <c r="N164">
        <v>0</v>
      </c>
      <c r="O164">
        <v>0</v>
      </c>
      <c r="P164">
        <v>0</v>
      </c>
      <c r="Q164">
        <v>2</v>
      </c>
      <c r="R164">
        <v>1</v>
      </c>
      <c r="S164">
        <v>0</v>
      </c>
      <c r="T164">
        <v>16</v>
      </c>
      <c r="U164">
        <v>0</v>
      </c>
      <c r="V164">
        <v>32</v>
      </c>
      <c r="W164">
        <v>16</v>
      </c>
      <c r="X164">
        <v>32</v>
      </c>
      <c r="Y164">
        <v>33</v>
      </c>
      <c r="Z164">
        <v>0</v>
      </c>
      <c r="AA164">
        <v>0</v>
      </c>
      <c r="AB164">
        <v>17</v>
      </c>
      <c r="AC164">
        <v>33</v>
      </c>
      <c r="AD164">
        <v>2</v>
      </c>
      <c r="AE164">
        <f>IFERROR(6/(COUNTIF(Dyno_EndMatch[Match],TBA_Matches_All[[#This Row],[Match_Number]])),0)</f>
        <v>0</v>
      </c>
      <c r="AF164">
        <f>COUNTIFS(Dyno_Data[Team],TBA_Matches_All[[#This Row],[Team]],Dyno_Data[Match],TBA_Matches_All[[#This Row],[Match_Number]],Dyno_Data[RecordType],"EndMatch",Dyno_Data[HPAmp],"Y")</f>
        <v>0</v>
      </c>
      <c r="AG164">
        <f>SUMIFS(Dyno_Data[Mics], Dyno_Data[Team],TBA_Matches_All[[#This Row],[Team]],Dyno_Data[Match],TBA_Matches_All[[#This Row],[Match_Number]],Dyno_Data[RecordType],"EndMatch",Dyno_Data[HPAmp],"Y")</f>
        <v>0</v>
      </c>
      <c r="AH164">
        <f>SUMIFS(Dyno_Data[Leave], Dyno_Data[Team],TBA_Matches_All[[#This Row],[Team]],Dyno_Data[Match],TBA_Matches_All[[#This Row],[Match_Number]],Dyno_Data[RecordType],"EndAuto")</f>
        <v>0</v>
      </c>
      <c r="AI164">
        <f>COUNTIFS(Dyno_Data[Team],TBA_Matches_All[[#This Row],[Team]],Dyno_Data[Match],TBA_Matches_All[[#This Row],[Match_Number]],Dyno_Data[RecordType],"Activities",Dyno_Data[DelDest],"Amp", Dyno_Data[DelMiss],"0", Dyno_Data[Mode],"Auto")</f>
        <v>0</v>
      </c>
      <c r="AJ164">
        <f>COUNTIFS(Dyno_Data[Team],TBA_Matches_All[[#This Row],[Team]],Dyno_Data[Match],TBA_Matches_All[[#This Row],[Match_Number]],Dyno_Data[RecordType],"Activities",Dyno_Data[DelDest],"Spkr", Dyno_Data[DelMiss],"0", Dyno_Data[Mode],"Auto")</f>
        <v>0</v>
      </c>
      <c r="AK164">
        <f>COUNTIFS(Dyno_Data[Team],TBA_Matches_All[[#This Row],[Team]],Dyno_Data[Match],TBA_Matches_All[[#This Row],[Match_Number]],Dyno_Data[RecordType],"Activities",Dyno_Data[DelDest],"Trap", Dyno_Data[DelMiss],"0", Dyno_Data[Mode],"Auto")</f>
        <v>0</v>
      </c>
      <c r="AL164">
        <f>COUNTIFS(Dyno_Data[Team],TBA_Matches_All[[#This Row],[Team]],Dyno_Data[Match],TBA_Matches_All[[#This Row],[Match_Number]],Dyno_Data[RecordType],"Activities",Dyno_Data[DelDest],"Amp", Dyno_Data[DelMiss],"0", Dyno_Data[Mode],"Teleop")</f>
        <v>0</v>
      </c>
      <c r="AM164">
        <f>COUNTIFS(Dyno_Data[Team],TBA_Matches_All[[#This Row],[Team]],Dyno_Data[Match],TBA_Matches_All[[#This Row],[Match_Number]],Dyno_Data[RecordType],"Activities",Dyno_Data[DelDest],"Spkr", Dyno_Data[DelMiss],"0", Dyno_Data[Mode],"Teleop")</f>
        <v>0</v>
      </c>
      <c r="AN164">
        <f>COUNTIFS(Dyno_Data[Team],TBA_Matches_All[[#This Row],[Team]],Dyno_Data[Match],TBA_Matches_All[[#This Row],[Match_Number]],Dyno_Data[RecordType],"Activities",Dyno_Data[DelDest],"Trap", Dyno_Data[DelMiss],"0", Dyno_Data[Mode],"&lt;&gt;Auto")</f>
        <v>0</v>
      </c>
      <c r="AO164">
        <f>SUM(TBA_Matches_All[[#This Row],[AampT]]+TBA_Matches_All[[#This Row],[AspkrT]]+TBA_Matches_All[[#This Row],[AtrapT]]+TBA_Matches_All[[#This Row],[TampT]]+TBA_Matches_All[[#This Row],[TspkrT]]+TBA_Matches_All[[#This Row],[TtrapT]])</f>
        <v>0</v>
      </c>
      <c r="AP164">
        <f>COUNTIFS(Dyno_Data[Team],TBA_Matches_All[[#This Row],[Team]],Dyno_Data[Match],TBA_Matches_All[[#This Row],[Match_Number]],Dyno_Data[RecordType],"Activities",Dyno_Data[DelDest],"Neut", Dyno_Data[DelMiss],"0")</f>
        <v>0</v>
      </c>
      <c r="AQ164">
        <f>COUNTIFS(Dyno_Data[Team],TBA_Matches_All[[#This Row],[Team]],Dyno_Data[Match],TBA_Matches_All[[#This Row],[Match_Number]],Dyno_Data[RecordType],"Activities",Dyno_Data[DelDest],"AllyW", Dyno_Data[DelMiss],"0")</f>
        <v>0</v>
      </c>
      <c r="AR164" t="str">
        <f>_xlfn.XLOOKUP(SUM(MID(TBA_Matches_All[[#This Row],[Team]],4,5),(TBA_Matches_All[[#This Row],[Match_Number]]/100)),Dyno_EndMatch[teammat],Dyno_EndMatch[RobotSta],"_",0,1)</f>
        <v>_</v>
      </c>
      <c r="AS164">
        <f>SUMIFS(Dyno_Data[AcqDis], Dyno_Data[Team],TBA_Matches_All[[#This Row],[Team]],Dyno_Data[Match],TBA_Matches_All[[#This Row],[Match_Number]],Dyno_Data[RecordType],"Activities", Dyno_Data[AcqCenter],1,Dyno_Data[Mode],"Auto")</f>
        <v>0</v>
      </c>
      <c r="AT164">
        <f>SUMIFS(Dyno_Data[AcqDis], Dyno_Data[Team],TBA_Matches_All[[#This Row],[Team]],Dyno_Data[Match],TBA_Matches_All[[#This Row],[Match_Number]],Dyno_Data[RecordType],"Activities", Dyno_Data[AcqCenter],2,Dyno_Data[Mode],"Auto")</f>
        <v>0</v>
      </c>
      <c r="AU164">
        <f>SUMIFS(Dyno_Data[AcqDis], Dyno_Data[Team],TBA_Matches_All[[#This Row],[Team]],Dyno_Data[Match],TBA_Matches_All[[#This Row],[Match_Number]],Dyno_Data[RecordType],"Activities", Dyno_Data[AcqCenter],3,Dyno_Data[Mode],"Auto")</f>
        <v>0</v>
      </c>
      <c r="AV164">
        <f>SUMIFS(Dyno_Data[AcqDis], Dyno_Data[Team],TBA_Matches_All[[#This Row],[Team]],Dyno_Data[Match],TBA_Matches_All[[#This Row],[Match_Number]],Dyno_Data[RecordType],"Activities", Dyno_Data[AcqCenter],4,Dyno_Data[Mode],"Auto")</f>
        <v>0</v>
      </c>
      <c r="AW164">
        <f>SUMIFS(Dyno_Data[AcqDis], Dyno_Data[Team],TBA_Matches_All[[#This Row],[Team]],Dyno_Data[Match],TBA_Matches_All[[#This Row],[Match_Number]],Dyno_Data[RecordType],"Activities", Dyno_Data[AcqCenter],5,Dyno_Data[Mode],"Auto")</f>
        <v>0</v>
      </c>
      <c r="AX164">
        <f>SUMIFS(Dyno_Data[DelMiss], Dyno_Data[Team],TBA_Matches_All[[#This Row],[Team]],Dyno_Data[Match],TBA_Matches_All[[#This Row],[Match_Number]],Dyno_Data[RecordType],"Activities", Dyno_Data[DelDest],"Amp")</f>
        <v>0</v>
      </c>
      <c r="AY164" s="60">
        <f>IFERROR(SUM((TBA_Matches_All[[#This Row],[AampT]]+TBA_Matches_All[[#This Row],[TampT]])/(TBA_Matches_All[[#This Row],[AampT]]+TBA_Matches_All[[#This Row],[TampT]]+TBA_Matches_All[[#This Row],[ampM]])),0)</f>
        <v>0</v>
      </c>
      <c r="AZ164">
        <f>SUMIFS(Dyno_Data[DelMiss], Dyno_Data[Team],TBA_Matches_All[[#This Row],[Team]],Dyno_Data[Match],TBA_Matches_All[[#This Row],[Match_Number]],Dyno_Data[RecordType],"Activities", Dyno_Data[DelDest],"Spkr")</f>
        <v>0</v>
      </c>
      <c r="BA164" s="60">
        <f>IFERROR(SUM((TBA_Matches_All[[#This Row],[AspkrT]]+TBA_Matches_All[[#This Row],[TspkrT]])/(TBA_Matches_All[[#This Row],[AspkrT]]+TBA_Matches_All[[#This Row],[TspkrT]]+TBA_Matches_All[[#This Row],[spkrM]])),0)</f>
        <v>0</v>
      </c>
      <c r="BB164">
        <f>SUMIFS(Dyno_Data[DelMiss], Dyno_Data[Team],TBA_Matches_All[[#This Row],[Team]],Dyno_Data[Match],TBA_Matches_All[[#This Row],[Match_Number]],Dyno_Data[RecordType],"Activities", Dyno_Data[DelDest],"Trap")</f>
        <v>0</v>
      </c>
      <c r="BC164" s="60">
        <f>IFERROR((TBA_Matches_All[[#This Row],[AtrapT]]+TBA_Matches_All[[#This Row],[TtrapT]])/(TBA_Matches_All[[#This Row],[AtrapT]]+TBA_Matches_All[[#This Row],[TtrapT]]+TBA_Matches_All[[#This Row],[trapM]]),0)</f>
        <v>0</v>
      </c>
      <c r="BD164">
        <f>COUNTIFS(Dyno_Data[Team],TBA_Matches_All[[#This Row],[Team]],Dyno_Data[Match],TBA_Matches_All[[#This Row],[Match_Number]],Dyno_Data[RecordType],"Activities",Dyno_Data[DelDest],"Neut", Dyno_Data[DelMiss],1)</f>
        <v>0</v>
      </c>
      <c r="BE164" s="60">
        <f>IFERROR(SUM((TBA_Matches_All[[#This Row],[NeutFlrT]])/(TBA_Matches_All[[#This Row],[NeutFlrT]]+TBA_Matches_All[[#This Row],[NZflM]])),0)</f>
        <v>0</v>
      </c>
      <c r="BF164">
        <f>COUNTIFS(Dyno_Data[Team],TBA_Matches_All[[#This Row],[Team]],Dyno_Data[Match],TBA_Matches_All[[#This Row],[Match_Number]],Dyno_Data[RecordType],"Activities",Dyno_Data[DelDest],"AllyW", Dyno_Data[DelMiss],1)</f>
        <v>0</v>
      </c>
      <c r="BG164" s="60">
        <f>IFERROR(SUM((TBA_Matches_All[[#This Row],[AllyWFlrT]])/(TBA_Matches_All[[#This Row],[AllyWFlrT]]+TBA_Matches_All[[#This Row],[AZflM]])),0)</f>
        <v>0</v>
      </c>
      <c r="BH164">
        <f>COUNTIFS(Dyno_Data[Team],TBA_Matches_All[[#This Row],[Team]],Dyno_Data[Match],TBA_Matches_All[[#This Row],[Match_Number]],Dyno_Data[RecordType],"Activities",Dyno_Data[DelOrig],"OppW", Dyno_Data[DelMiss],"0")</f>
        <v>0</v>
      </c>
      <c r="BI164">
        <f>COUNTIFS(Dyno_Data[Team],TBA_Matches_All[[#This Row],[Team]],Dyno_Data[Match],TBA_Matches_All[[#This Row],[Match_Number]],Dyno_Data[RecordType],"Activities",Dyno_Data[DelOrig],"OppW", Dyno_Data[DelMiss],"1")</f>
        <v>0</v>
      </c>
      <c r="BJ164" s="60">
        <f>IFERROR(SUM((TBA_Matches_All[[#This Row],[OZflrT]])/(TBA_Matches_All[[#This Row],[OZflrT]]+TBA_Matches_All[[#This Row],[OZflrM]])),0)</f>
        <v>0</v>
      </c>
      <c r="BK164">
        <f>COUNTIFS(Dyno_Data[Team],TBA_Matches_All[[#This Row],[Team]],Dyno_Data[Match],TBA_Matches_All[[#This Row],[Match_Number]],Dyno_Data[RecordType],"Activities",Dyno_Data[DelOrig],"Neut", Dyno_Data[DelMiss],"0")</f>
        <v>0</v>
      </c>
      <c r="BL164">
        <f>COUNTIFS(Dyno_Data[Team],TBA_Matches_All[[#This Row],[Team]],Dyno_Data[Match],TBA_Matches_All[[#This Row],[Match_Number]],Dyno_Data[RecordType],"Activities",Dyno_Data[DelOrig],"Neut", Dyno_Data[DelMiss],"1")</f>
        <v>0</v>
      </c>
      <c r="BM164" s="60">
        <f>IFERROR(SUM((TBA_Matches_All[[#This Row],[NZflrT]])/(TBA_Matches_All[[#This Row],[NZflrT]]+TBA_Matches_All[[#This Row],[NZflrM]])),0)</f>
        <v>0</v>
      </c>
      <c r="BN164">
        <f>COUNTIFS(Dyno_Data[Team],TBA_Matches_All[[#This Row],[Team]],Dyno_Data[Match],TBA_Matches_All[[#This Row],[Match_Number]],Dyno_Data[RecordType],"Activities",Dyno_Data[DelOrig],"AllyW", Dyno_Data[DelMiss],"0")</f>
        <v>0</v>
      </c>
      <c r="BO164">
        <f>COUNTIFS(Dyno_Data[Team],TBA_Matches_All[[#This Row],[Team]],Dyno_Data[Match],TBA_Matches_All[[#This Row],[Match_Number]],Dyno_Data[RecordType],"Activities",Dyno_Data[DelOrig],"AllyW", Dyno_Data[DelMiss],"1")</f>
        <v>0</v>
      </c>
      <c r="BP164" s="60">
        <f>IFERROR(SUM((TBA_Matches_All[[#This Row],[AZflrT]])/(TBA_Matches_All[[#This Row],[AZflrT]]+TBA_Matches_All[[#This Row],[AZflrM]])),0)</f>
        <v>0</v>
      </c>
      <c r="BQ164">
        <f>COUNTIFS(Dyno_Data[Team],TBA_Matches_All[[#This Row],[Team]],Dyno_Data[Match],TBA_Matches_All[[#This Row],[Match_Number]],Dyno_Data[RecordType],"Activities",Dyno_Data[DelOrig],"SubW", Dyno_Data[DelMiss],"0")</f>
        <v>0</v>
      </c>
      <c r="BR164">
        <f>COUNTIFS(Dyno_Data[Team],TBA_Matches_All[[#This Row],[Team]],Dyno_Data[Match],TBA_Matches_All[[#This Row],[Match_Number]],Dyno_Data[RecordType],"Activities",Dyno_Data[DelOrig],"SubW", Dyno_Data[DelMiss],"1")</f>
        <v>0</v>
      </c>
      <c r="BS164" s="60">
        <f>IFERROR(SUM((TBA_Matches_All[[#This Row],[SubwT]])/(TBA_Matches_All[[#This Row],[SubwT]]+TBA_Matches_All[[#This Row],[SubwM]])),0)</f>
        <v>0</v>
      </c>
      <c r="BT164">
        <f>COUNTIFS(Dyno_Data[Team],TBA_Matches_All[[#This Row],[Team]],Dyno_Data[Match],TBA_Matches_All[[#This Row],[Match_Number]],Dyno_Data[RecordType],"Activities", Dyno_Data[AcqLoc],"OppWing")</f>
        <v>0</v>
      </c>
      <c r="BU164">
        <f>COUNTIFS(Dyno_Data[Team],TBA_Matches_All[[#This Row],[Team]],Dyno_Data[Match],TBA_Matches_All[[#This Row],[Match_Number]],Dyno_Data[RecordType],"Activities", Dyno_Data[AcqLoc],"Neutral")</f>
        <v>0</v>
      </c>
      <c r="BV164">
        <f>COUNTIFS(Dyno_Data[Team],TBA_Matches_All[[#This Row],[Team]],Dyno_Data[Match],TBA_Matches_All[[#This Row],[Match_Number]],Dyno_Data[RecordType],"Activities", Dyno_Data[AcqLoc],"AllyWing")</f>
        <v>0</v>
      </c>
      <c r="BW164">
        <f>COUNTIFS(Dyno_Data[Team],TBA_Matches_All[[#This Row],[Team]],Dyno_Data[Match],TBA_Matches_All[[#This Row],[Match_Number]],Dyno_Data[RecordType],"Activities", Dyno_Data[AcqLoc],"Source")</f>
        <v>0</v>
      </c>
      <c r="BX164">
        <f>SUMIFS(Dyno_Data[AcqDrp], Dyno_Data[Team],TBA_Matches_All[[#This Row],[Team]],Dyno_Data[Match],TBA_Matches_All[[#This Row],[Match_Number]],Dyno_Data[RecordType],"Activities", Dyno_Data[AcqLoc],"Source")</f>
        <v>0</v>
      </c>
      <c r="BY164">
        <f>SUMIFS(Dyno_Data[OZTime], Dyno_Data[Team],TBA_Matches_All[[#This Row],[Team]],Dyno_Data[Match],TBA_Matches_All[[#This Row],[Match_Number]],Dyno_Data[RecordType],"EndMatch")</f>
        <v>0</v>
      </c>
      <c r="BZ164">
        <f>SUMIFS(Dyno_Data[NZTime], Dyno_Data[Team],TBA_Matches_All[[#This Row],[Team]],Dyno_Data[Match],TBA_Matches_All[[#This Row],[Match_Number]],Dyno_Data[RecordType],"EndMatch")</f>
        <v>0</v>
      </c>
      <c r="CA164">
        <f>SUMIFS(Dyno_Data[AZTime], Dyno_Data[Team],TBA_Matches_All[[#This Row],[Team]],Dyno_Data[Match],TBA_Matches_All[[#This Row],[Match_Number]],Dyno_Data[RecordType],"EndMatch")</f>
        <v>0</v>
      </c>
      <c r="CB164">
        <f>SUMIFS(Dyno_Data[ClimbT], Dyno_Data[Team],TBA_Matches_All[[#This Row],[Team]],Dyno_Data[Match],TBA_Matches_All[[#This Row],[Match_Number]],Dyno_Data[RecordType],"EndMatch")</f>
        <v>0</v>
      </c>
      <c r="CC164" t="str">
        <f>_xlfn.XLOOKUP(SUM(MID(TBA_Matches_All[[#This Row],[Team]],4,5),(TBA_Matches_All[[#This Row],[Match_Number]]/100)),Dyno_EndMatch[teammat],Dyno_EndMatch[StageStat],"_",0,1)</f>
        <v>_</v>
      </c>
      <c r="CD164" t="str">
        <f>_xlfn.XLOOKUP(TBA_Matches_All[[#This Row],[teammat]],Dyno_EndMatch[teammat],Dyno_EndMatch[StageAtt],"_",0,1)</f>
        <v>_</v>
      </c>
      <c r="CE164" t="str">
        <f>_xlfn.XLOOKUP(TBA_Matches_All[[#This Row],[teammat]],Dyno_EndMatch[teammat],Dyno_EndMatch[StageLoc],"_",0,1)</f>
        <v>_</v>
      </c>
      <c r="CF164">
        <f>SUMIFS(Dyno_Data[Harmony], Dyno_Data[Team],TBA_Matches_All[[#This Row],[Team]],Dyno_Data[Match],TBA_Matches_All[[#This Row],[Match_Number]],Dyno_Data[RecordType],"EndMatch", Dyno_Data[StageStat],"On",Dyno_Data[Harmony],"&lt;&gt;9")</f>
        <v>0</v>
      </c>
      <c r="CG164">
        <f>SUMIFS(Dyno_Data[Spotlit], Dyno_Data[Team],TBA_Matches_All[[#This Row],[Team]],Dyno_Data[Match],TBA_Matches_All[[#This Row],[Match_Number]],Dyno_Data[RecordType],"EndMatch", Dyno_Data[StageStat],"On",Dyno_Data[Spotlit],"&lt;&gt;9")</f>
        <v>0</v>
      </c>
      <c r="CH164" t="str">
        <f>_xlfn.XLOOKUP(TBA_Matches_All[[#This Row],[teammat]],Dyno_EndMatch[teammat],Dyno_EndMatch[Strategy],"_",0,1)</f>
        <v>_</v>
      </c>
      <c r="CI164">
        <f>SUMIFS(Dyno_Data[Defense], Dyno_Data[Team],TBA_Matches_All[[#This Row],[Team]],Dyno_Data[Match],TBA_Matches_All[[#This Row],[Match_Number]],Dyno_Data[RecordType],"EndMatch",Dyno_Data[Defense],"&lt;&gt;9")</f>
        <v>0</v>
      </c>
      <c r="CJ164">
        <f>SUMIFS(Dyno_Data[Avoidance], Dyno_Data[Team],TBA_Matches_All[[#This Row],[Team]],Dyno_Data[Match],TBA_Matches_All[[#This Row],[Match_Number]],Dyno_Data[RecordType],"EndMatch",Dyno_Data[Avoidance],"&lt;&gt;9")</f>
        <v>0</v>
      </c>
      <c r="CK164" s="82">
        <f>COUNTIF($H$2:TBA_Matches_All[[#This Row],[Team]],TBA_Matches_All[[#This Row],[Team]])</f>
        <v>4</v>
      </c>
      <c r="CL164" s="111">
        <f>SUM(MID(TBA_Matches_All[[#This Row],[Team]],4,5)+TBA_Matches_All[[#This Row],[Match_Number]]/100)</f>
        <v>2601.27</v>
      </c>
      <c r="CM164">
        <f>SUM((TBA_Matches_All[[#This Row],[Leave]]*2)+(TBA_Matches_All[[#This Row],[AampT]]*2)+(TBA_Matches_All[[#This Row],[AspkrT]]*5)+(TBA_Matches_All[[#This Row],[AtrapT]]*5))</f>
        <v>0</v>
      </c>
      <c r="CN164" s="59">
        <f>IFERROR(SUM(TBA_Matches_All[[#This Row],[AptsT]]/TBA_Matches_All[[#This Row],[AutoPts]]),0)</f>
        <v>0</v>
      </c>
      <c r="CO164" s="59">
        <f>IFERROR(SUM(TBA_Matches_All[[#This Row],[AampT]]+TBA_Matches_All[[#This Row],[AspkrT]]+TBA_Matches_All[[#This Row],[AtrapT]]/TBA_Matches_All[[#This Row],[Aamp]]+TBA_Matches_All[[#This Row],[Aspkr]]+TBA_Matches_All[[#This Row],[AtrapT]]),0)</f>
        <v>0</v>
      </c>
      <c r="CP164" s="59">
        <f>IFERROR(SUM(TBA_Matches_All[[#This Row],[TampT]]/TBA_Matches_All[[#This Row],[Tamp]]),0)</f>
        <v>0</v>
      </c>
      <c r="CQ164" s="59">
        <f>IFERROR(SUM(TBA_Matches_All[[#This Row],[TspkrT]]/TBA_Matches_All[[#This Row],[Tspkr]]),0)</f>
        <v>0</v>
      </c>
      <c r="CR164">
        <f>SUM(TBA_Matches_All[[#This Row],[TspkrPts]]*TBA_Matches_All[[#This Row],[TspkrP]])</f>
        <v>0</v>
      </c>
      <c r="CS164" s="59">
        <f>IFERROR(SUM(TBA_Matches_All[[#This Row],[TtrapT]]/TBA_Matches_All[[#This Row],[Trap]]),0)</f>
        <v>0</v>
      </c>
      <c r="CT164" s="59">
        <f>IFERROR(SUM(TBA_Matches_All[[#This Row],[TotNotesT]]/TBA_Matches_All[[#This Row],[TotNotes]]),0)</f>
        <v>0</v>
      </c>
      <c r="CU164" s="66">
        <f>SUM((TBA_Matches_All[[#This Row],[AampT]]*2)+(TBA_Matches_All[[#This Row],[AspkrT]]*5)+(TBA_Matches_All[[#This Row],[AtrapT]]*5)+(TBA_Matches_All[[#This Row],[TampT]]*1)+(TBA_Matches_All[[#This Row],[TspkrptsC]]))</f>
        <v>0</v>
      </c>
      <c r="CV164" s="59">
        <f>IFERROR(TBA_Matches_All[[#This Row],[noteptsT]]/TBA_Matches_All[[#This Row],[NotePts]],0)</f>
        <v>0</v>
      </c>
      <c r="CW164">
        <f>SUM(IF(TBA_Matches_All[[#This Row],[stageStat]]="On",3,0),IF(TBA_Matches_All[[#This Row],[stageStat]]="Park",1,0),SUMIFS(TBA_Matches_All[[#This Row],[Spotlit]],TBA_Matches_All[[#This Row],[stageStat]],"On"),SUMIFS(TBA_Matches_All[[#This Row],[Harmony]],TBA_Matches_All[[#This Row],[stageStat]],"On"))</f>
        <v>0</v>
      </c>
      <c r="CX164" s="59">
        <f>IFERROR(TBA_Matches_All[[#This Row],[stageptsT]]/TBA_Matches_All[[#This Row],[StagePts]],0)</f>
        <v>0</v>
      </c>
      <c r="CY164">
        <f>SUM((TBA_Matches_All[[#This Row],[AptsT]]+TBA_Matches_All[[#This Row],[TampT]]+TBA_Matches_All[[#This Row],[TspkrptsC]]+(TBA_Matches_All[[#This Row],[TtrapT]]*5)+TBA_Matches_All[[#This Row],[stageptsT]]))</f>
        <v>0</v>
      </c>
      <c r="CZ164" s="59">
        <f>IFERROR(SUM(TBA_Matches_All[[#This Row],[TotptsC]]/TBA_Matches_All[[#This Row],[Score]]),0)</f>
        <v>0</v>
      </c>
      <c r="DA16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16.699450549450553</v>
      </c>
      <c r="DB164" s="74">
        <f>SUMIFS(TBA_Matches_All[AveTeamTNoteDels],TBA_Matches_All[Match_Number],TBA_Matches_All[[#This Row],[Match_Number]],TBA_Matches_All[Alliance],"&lt;&gt;"&amp;TBA_Matches_All[[#This Row],[Alliance]],TBA_Matches_All[Scouted],"&gt;0")</f>
        <v>0</v>
      </c>
      <c r="DC164" s="74">
        <f>(TBA_Matches_All[[#This Row],[TampT]]+TBA_Matches_All[[#This Row],[TspkrptsC]])-TBA_Matches_All[[#This Row],[AveTeamTNoteDels]]</f>
        <v>-16.699450549450553</v>
      </c>
      <c r="DD164" s="74">
        <f>SUMIFS(TBA_Matches_All[AveTeamTNoteDels],TBA_Matches_All[Match_Number],TBA_Matches_All[[#This Row],[Match_Number]],TBA_Matches_All[Alliance],"&lt;&gt;"&amp;TBA_Matches_All[[#This Row],[Alliance]])-TBA_Matches_All[[#This Row],[AveOppTNoteDels]]</f>
        <v>42.748907203907208</v>
      </c>
    </row>
    <row r="165" spans="1:108" x14ac:dyDescent="0.3">
      <c r="A165" t="s">
        <v>1042</v>
      </c>
      <c r="B165" t="s">
        <v>489</v>
      </c>
      <c r="C165" t="s">
        <v>1337</v>
      </c>
      <c r="D165">
        <v>28</v>
      </c>
      <c r="E165" t="s">
        <v>1420</v>
      </c>
      <c r="F165" t="s">
        <v>1423</v>
      </c>
      <c r="G165" t="s">
        <v>1409</v>
      </c>
      <c r="H165" t="s">
        <v>1317</v>
      </c>
      <c r="I165" t="b">
        <v>1</v>
      </c>
      <c r="J165">
        <v>96</v>
      </c>
      <c r="K165">
        <v>1</v>
      </c>
      <c r="L165">
        <v>1</v>
      </c>
      <c r="M165">
        <v>2</v>
      </c>
      <c r="N165">
        <v>0</v>
      </c>
      <c r="O165">
        <v>4</v>
      </c>
      <c r="P165">
        <v>20</v>
      </c>
      <c r="Q165">
        <v>22</v>
      </c>
      <c r="R165">
        <v>5</v>
      </c>
      <c r="S165">
        <v>8</v>
      </c>
      <c r="T165">
        <v>3</v>
      </c>
      <c r="U165">
        <v>40</v>
      </c>
      <c r="V165">
        <v>6</v>
      </c>
      <c r="W165">
        <v>11</v>
      </c>
      <c r="X165">
        <v>46</v>
      </c>
      <c r="Y165">
        <v>51</v>
      </c>
      <c r="Z165">
        <v>5</v>
      </c>
      <c r="AA165">
        <v>1</v>
      </c>
      <c r="AB165">
        <v>20</v>
      </c>
      <c r="AC165">
        <v>71</v>
      </c>
      <c r="AD165">
        <v>14</v>
      </c>
      <c r="AE165">
        <f>IFERROR(6/(COUNTIF(Dyno_EndMatch[Match],TBA_Matches_All[[#This Row],[Match_Number]])),0)</f>
        <v>0</v>
      </c>
      <c r="AF165">
        <f>COUNTIFS(Dyno_Data[Team],TBA_Matches_All[[#This Row],[Team]],Dyno_Data[Match],TBA_Matches_All[[#This Row],[Match_Number]],Dyno_Data[RecordType],"EndMatch",Dyno_Data[HPAmp],"Y")</f>
        <v>0</v>
      </c>
      <c r="AG165">
        <f>SUMIFS(Dyno_Data[Mics], Dyno_Data[Team],TBA_Matches_All[[#This Row],[Team]],Dyno_Data[Match],TBA_Matches_All[[#This Row],[Match_Number]],Dyno_Data[RecordType],"EndMatch",Dyno_Data[HPAmp],"Y")</f>
        <v>0</v>
      </c>
      <c r="AH165">
        <f>SUMIFS(Dyno_Data[Leave], Dyno_Data[Team],TBA_Matches_All[[#This Row],[Team]],Dyno_Data[Match],TBA_Matches_All[[#This Row],[Match_Number]],Dyno_Data[RecordType],"EndAuto")</f>
        <v>0</v>
      </c>
      <c r="AI165">
        <f>COUNTIFS(Dyno_Data[Team],TBA_Matches_All[[#This Row],[Team]],Dyno_Data[Match],TBA_Matches_All[[#This Row],[Match_Number]],Dyno_Data[RecordType],"Activities",Dyno_Data[DelDest],"Amp", Dyno_Data[DelMiss],"0", Dyno_Data[Mode],"Auto")</f>
        <v>0</v>
      </c>
      <c r="AJ165">
        <f>COUNTIFS(Dyno_Data[Team],TBA_Matches_All[[#This Row],[Team]],Dyno_Data[Match],TBA_Matches_All[[#This Row],[Match_Number]],Dyno_Data[RecordType],"Activities",Dyno_Data[DelDest],"Spkr", Dyno_Data[DelMiss],"0", Dyno_Data[Mode],"Auto")</f>
        <v>0</v>
      </c>
      <c r="AK165">
        <f>COUNTIFS(Dyno_Data[Team],TBA_Matches_All[[#This Row],[Team]],Dyno_Data[Match],TBA_Matches_All[[#This Row],[Match_Number]],Dyno_Data[RecordType],"Activities",Dyno_Data[DelDest],"Trap", Dyno_Data[DelMiss],"0", Dyno_Data[Mode],"Auto")</f>
        <v>0</v>
      </c>
      <c r="AL165">
        <f>COUNTIFS(Dyno_Data[Team],TBA_Matches_All[[#This Row],[Team]],Dyno_Data[Match],TBA_Matches_All[[#This Row],[Match_Number]],Dyno_Data[RecordType],"Activities",Dyno_Data[DelDest],"Amp", Dyno_Data[DelMiss],"0", Dyno_Data[Mode],"Teleop")</f>
        <v>0</v>
      </c>
      <c r="AM165">
        <f>COUNTIFS(Dyno_Data[Team],TBA_Matches_All[[#This Row],[Team]],Dyno_Data[Match],TBA_Matches_All[[#This Row],[Match_Number]],Dyno_Data[RecordType],"Activities",Dyno_Data[DelDest],"Spkr", Dyno_Data[DelMiss],"0", Dyno_Data[Mode],"Teleop")</f>
        <v>0</v>
      </c>
      <c r="AN165">
        <f>COUNTIFS(Dyno_Data[Team],TBA_Matches_All[[#This Row],[Team]],Dyno_Data[Match],TBA_Matches_All[[#This Row],[Match_Number]],Dyno_Data[RecordType],"Activities",Dyno_Data[DelDest],"Trap", Dyno_Data[DelMiss],"0", Dyno_Data[Mode],"&lt;&gt;Auto")</f>
        <v>0</v>
      </c>
      <c r="AO165">
        <f>SUM(TBA_Matches_All[[#This Row],[AampT]]+TBA_Matches_All[[#This Row],[AspkrT]]+TBA_Matches_All[[#This Row],[AtrapT]]+TBA_Matches_All[[#This Row],[TampT]]+TBA_Matches_All[[#This Row],[TspkrT]]+TBA_Matches_All[[#This Row],[TtrapT]])</f>
        <v>0</v>
      </c>
      <c r="AP165">
        <f>COUNTIFS(Dyno_Data[Team],TBA_Matches_All[[#This Row],[Team]],Dyno_Data[Match],TBA_Matches_All[[#This Row],[Match_Number]],Dyno_Data[RecordType],"Activities",Dyno_Data[DelDest],"Neut", Dyno_Data[DelMiss],"0")</f>
        <v>0</v>
      </c>
      <c r="AQ165">
        <f>COUNTIFS(Dyno_Data[Team],TBA_Matches_All[[#This Row],[Team]],Dyno_Data[Match],TBA_Matches_All[[#This Row],[Match_Number]],Dyno_Data[RecordType],"Activities",Dyno_Data[DelDest],"AllyW", Dyno_Data[DelMiss],"0")</f>
        <v>0</v>
      </c>
      <c r="AR165" t="str">
        <f>_xlfn.XLOOKUP(SUM(MID(TBA_Matches_All[[#This Row],[Team]],4,5),(TBA_Matches_All[[#This Row],[Match_Number]]/100)),Dyno_EndMatch[teammat],Dyno_EndMatch[RobotSta],"_",0,1)</f>
        <v>_</v>
      </c>
      <c r="AS165">
        <f>SUMIFS(Dyno_Data[AcqDis], Dyno_Data[Team],TBA_Matches_All[[#This Row],[Team]],Dyno_Data[Match],TBA_Matches_All[[#This Row],[Match_Number]],Dyno_Data[RecordType],"Activities", Dyno_Data[AcqCenter],1,Dyno_Data[Mode],"Auto")</f>
        <v>0</v>
      </c>
      <c r="AT165">
        <f>SUMIFS(Dyno_Data[AcqDis], Dyno_Data[Team],TBA_Matches_All[[#This Row],[Team]],Dyno_Data[Match],TBA_Matches_All[[#This Row],[Match_Number]],Dyno_Data[RecordType],"Activities", Dyno_Data[AcqCenter],2,Dyno_Data[Mode],"Auto")</f>
        <v>0</v>
      </c>
      <c r="AU165">
        <f>SUMIFS(Dyno_Data[AcqDis], Dyno_Data[Team],TBA_Matches_All[[#This Row],[Team]],Dyno_Data[Match],TBA_Matches_All[[#This Row],[Match_Number]],Dyno_Data[RecordType],"Activities", Dyno_Data[AcqCenter],3,Dyno_Data[Mode],"Auto")</f>
        <v>0</v>
      </c>
      <c r="AV165">
        <f>SUMIFS(Dyno_Data[AcqDis], Dyno_Data[Team],TBA_Matches_All[[#This Row],[Team]],Dyno_Data[Match],TBA_Matches_All[[#This Row],[Match_Number]],Dyno_Data[RecordType],"Activities", Dyno_Data[AcqCenter],4,Dyno_Data[Mode],"Auto")</f>
        <v>0</v>
      </c>
      <c r="AW165">
        <f>SUMIFS(Dyno_Data[AcqDis], Dyno_Data[Team],TBA_Matches_All[[#This Row],[Team]],Dyno_Data[Match],TBA_Matches_All[[#This Row],[Match_Number]],Dyno_Data[RecordType],"Activities", Dyno_Data[AcqCenter],5,Dyno_Data[Mode],"Auto")</f>
        <v>0</v>
      </c>
      <c r="AX165">
        <f>SUMIFS(Dyno_Data[DelMiss], Dyno_Data[Team],TBA_Matches_All[[#This Row],[Team]],Dyno_Data[Match],TBA_Matches_All[[#This Row],[Match_Number]],Dyno_Data[RecordType],"Activities", Dyno_Data[DelDest],"Amp")</f>
        <v>0</v>
      </c>
      <c r="AY165" s="60">
        <f>IFERROR(SUM((TBA_Matches_All[[#This Row],[AampT]]+TBA_Matches_All[[#This Row],[TampT]])/(TBA_Matches_All[[#This Row],[AampT]]+TBA_Matches_All[[#This Row],[TampT]]+TBA_Matches_All[[#This Row],[ampM]])),0)</f>
        <v>0</v>
      </c>
      <c r="AZ165">
        <f>SUMIFS(Dyno_Data[DelMiss], Dyno_Data[Team],TBA_Matches_All[[#This Row],[Team]],Dyno_Data[Match],TBA_Matches_All[[#This Row],[Match_Number]],Dyno_Data[RecordType],"Activities", Dyno_Data[DelDest],"Spkr")</f>
        <v>0</v>
      </c>
      <c r="BA165" s="60">
        <f>IFERROR(SUM((TBA_Matches_All[[#This Row],[AspkrT]]+TBA_Matches_All[[#This Row],[TspkrT]])/(TBA_Matches_All[[#This Row],[AspkrT]]+TBA_Matches_All[[#This Row],[TspkrT]]+TBA_Matches_All[[#This Row],[spkrM]])),0)</f>
        <v>0</v>
      </c>
      <c r="BB165">
        <f>SUMIFS(Dyno_Data[DelMiss], Dyno_Data[Team],TBA_Matches_All[[#This Row],[Team]],Dyno_Data[Match],TBA_Matches_All[[#This Row],[Match_Number]],Dyno_Data[RecordType],"Activities", Dyno_Data[DelDest],"Trap")</f>
        <v>0</v>
      </c>
      <c r="BC165" s="60">
        <f>IFERROR((TBA_Matches_All[[#This Row],[AtrapT]]+TBA_Matches_All[[#This Row],[TtrapT]])/(TBA_Matches_All[[#This Row],[AtrapT]]+TBA_Matches_All[[#This Row],[TtrapT]]+TBA_Matches_All[[#This Row],[trapM]]),0)</f>
        <v>0</v>
      </c>
      <c r="BD165">
        <f>COUNTIFS(Dyno_Data[Team],TBA_Matches_All[[#This Row],[Team]],Dyno_Data[Match],TBA_Matches_All[[#This Row],[Match_Number]],Dyno_Data[RecordType],"Activities",Dyno_Data[DelDest],"Neut", Dyno_Data[DelMiss],1)</f>
        <v>0</v>
      </c>
      <c r="BE165" s="60">
        <f>IFERROR(SUM((TBA_Matches_All[[#This Row],[NeutFlrT]])/(TBA_Matches_All[[#This Row],[NeutFlrT]]+TBA_Matches_All[[#This Row],[NZflM]])),0)</f>
        <v>0</v>
      </c>
      <c r="BF165">
        <f>COUNTIFS(Dyno_Data[Team],TBA_Matches_All[[#This Row],[Team]],Dyno_Data[Match],TBA_Matches_All[[#This Row],[Match_Number]],Dyno_Data[RecordType],"Activities",Dyno_Data[DelDest],"AllyW", Dyno_Data[DelMiss],1)</f>
        <v>0</v>
      </c>
      <c r="BG165" s="60">
        <f>IFERROR(SUM((TBA_Matches_All[[#This Row],[AllyWFlrT]])/(TBA_Matches_All[[#This Row],[AllyWFlrT]]+TBA_Matches_All[[#This Row],[AZflM]])),0)</f>
        <v>0</v>
      </c>
      <c r="BH165">
        <f>COUNTIFS(Dyno_Data[Team],TBA_Matches_All[[#This Row],[Team]],Dyno_Data[Match],TBA_Matches_All[[#This Row],[Match_Number]],Dyno_Data[RecordType],"Activities",Dyno_Data[DelOrig],"OppW", Dyno_Data[DelMiss],"0")</f>
        <v>0</v>
      </c>
      <c r="BI165">
        <f>COUNTIFS(Dyno_Data[Team],TBA_Matches_All[[#This Row],[Team]],Dyno_Data[Match],TBA_Matches_All[[#This Row],[Match_Number]],Dyno_Data[RecordType],"Activities",Dyno_Data[DelOrig],"OppW", Dyno_Data[DelMiss],"1")</f>
        <v>0</v>
      </c>
      <c r="BJ165" s="60">
        <f>IFERROR(SUM((TBA_Matches_All[[#This Row],[OZflrT]])/(TBA_Matches_All[[#This Row],[OZflrT]]+TBA_Matches_All[[#This Row],[OZflrM]])),0)</f>
        <v>0</v>
      </c>
      <c r="BK165">
        <f>COUNTIFS(Dyno_Data[Team],TBA_Matches_All[[#This Row],[Team]],Dyno_Data[Match],TBA_Matches_All[[#This Row],[Match_Number]],Dyno_Data[RecordType],"Activities",Dyno_Data[DelOrig],"Neut", Dyno_Data[DelMiss],"0")</f>
        <v>0</v>
      </c>
      <c r="BL165">
        <f>COUNTIFS(Dyno_Data[Team],TBA_Matches_All[[#This Row],[Team]],Dyno_Data[Match],TBA_Matches_All[[#This Row],[Match_Number]],Dyno_Data[RecordType],"Activities",Dyno_Data[DelOrig],"Neut", Dyno_Data[DelMiss],"1")</f>
        <v>0</v>
      </c>
      <c r="BM165" s="60">
        <f>IFERROR(SUM((TBA_Matches_All[[#This Row],[NZflrT]])/(TBA_Matches_All[[#This Row],[NZflrT]]+TBA_Matches_All[[#This Row],[NZflrM]])),0)</f>
        <v>0</v>
      </c>
      <c r="BN165">
        <f>COUNTIFS(Dyno_Data[Team],TBA_Matches_All[[#This Row],[Team]],Dyno_Data[Match],TBA_Matches_All[[#This Row],[Match_Number]],Dyno_Data[RecordType],"Activities",Dyno_Data[DelOrig],"AllyW", Dyno_Data[DelMiss],"0")</f>
        <v>0</v>
      </c>
      <c r="BO165">
        <f>COUNTIFS(Dyno_Data[Team],TBA_Matches_All[[#This Row],[Team]],Dyno_Data[Match],TBA_Matches_All[[#This Row],[Match_Number]],Dyno_Data[RecordType],"Activities",Dyno_Data[DelOrig],"AllyW", Dyno_Data[DelMiss],"1")</f>
        <v>0</v>
      </c>
      <c r="BP165" s="60">
        <f>IFERROR(SUM((TBA_Matches_All[[#This Row],[AZflrT]])/(TBA_Matches_All[[#This Row],[AZflrT]]+TBA_Matches_All[[#This Row],[AZflrM]])),0)</f>
        <v>0</v>
      </c>
      <c r="BQ165">
        <f>COUNTIFS(Dyno_Data[Team],TBA_Matches_All[[#This Row],[Team]],Dyno_Data[Match],TBA_Matches_All[[#This Row],[Match_Number]],Dyno_Data[RecordType],"Activities",Dyno_Data[DelOrig],"SubW", Dyno_Data[DelMiss],"0")</f>
        <v>0</v>
      </c>
      <c r="BR165">
        <f>COUNTIFS(Dyno_Data[Team],TBA_Matches_All[[#This Row],[Team]],Dyno_Data[Match],TBA_Matches_All[[#This Row],[Match_Number]],Dyno_Data[RecordType],"Activities",Dyno_Data[DelOrig],"SubW", Dyno_Data[DelMiss],"1")</f>
        <v>0</v>
      </c>
      <c r="BS165" s="60">
        <f>IFERROR(SUM((TBA_Matches_All[[#This Row],[SubwT]])/(TBA_Matches_All[[#This Row],[SubwT]]+TBA_Matches_All[[#This Row],[SubwM]])),0)</f>
        <v>0</v>
      </c>
      <c r="BT165">
        <f>COUNTIFS(Dyno_Data[Team],TBA_Matches_All[[#This Row],[Team]],Dyno_Data[Match],TBA_Matches_All[[#This Row],[Match_Number]],Dyno_Data[RecordType],"Activities", Dyno_Data[AcqLoc],"OppWing")</f>
        <v>0</v>
      </c>
      <c r="BU165">
        <f>COUNTIFS(Dyno_Data[Team],TBA_Matches_All[[#This Row],[Team]],Dyno_Data[Match],TBA_Matches_All[[#This Row],[Match_Number]],Dyno_Data[RecordType],"Activities", Dyno_Data[AcqLoc],"Neutral")</f>
        <v>0</v>
      </c>
      <c r="BV165">
        <f>COUNTIFS(Dyno_Data[Team],TBA_Matches_All[[#This Row],[Team]],Dyno_Data[Match],TBA_Matches_All[[#This Row],[Match_Number]],Dyno_Data[RecordType],"Activities", Dyno_Data[AcqLoc],"AllyWing")</f>
        <v>0</v>
      </c>
      <c r="BW165">
        <f>COUNTIFS(Dyno_Data[Team],TBA_Matches_All[[#This Row],[Team]],Dyno_Data[Match],TBA_Matches_All[[#This Row],[Match_Number]],Dyno_Data[RecordType],"Activities", Dyno_Data[AcqLoc],"Source")</f>
        <v>0</v>
      </c>
      <c r="BX165">
        <f>SUMIFS(Dyno_Data[AcqDrp], Dyno_Data[Team],TBA_Matches_All[[#This Row],[Team]],Dyno_Data[Match],TBA_Matches_All[[#This Row],[Match_Number]],Dyno_Data[RecordType],"Activities", Dyno_Data[AcqLoc],"Source")</f>
        <v>0</v>
      </c>
      <c r="BY165">
        <f>SUMIFS(Dyno_Data[OZTime], Dyno_Data[Team],TBA_Matches_All[[#This Row],[Team]],Dyno_Data[Match],TBA_Matches_All[[#This Row],[Match_Number]],Dyno_Data[RecordType],"EndMatch")</f>
        <v>0</v>
      </c>
      <c r="BZ165">
        <f>SUMIFS(Dyno_Data[NZTime], Dyno_Data[Team],TBA_Matches_All[[#This Row],[Team]],Dyno_Data[Match],TBA_Matches_All[[#This Row],[Match_Number]],Dyno_Data[RecordType],"EndMatch")</f>
        <v>0</v>
      </c>
      <c r="CA165">
        <f>SUMIFS(Dyno_Data[AZTime], Dyno_Data[Team],TBA_Matches_All[[#This Row],[Team]],Dyno_Data[Match],TBA_Matches_All[[#This Row],[Match_Number]],Dyno_Data[RecordType],"EndMatch")</f>
        <v>0</v>
      </c>
      <c r="CB165">
        <f>SUMIFS(Dyno_Data[ClimbT], Dyno_Data[Team],TBA_Matches_All[[#This Row],[Team]],Dyno_Data[Match],TBA_Matches_All[[#This Row],[Match_Number]],Dyno_Data[RecordType],"EndMatch")</f>
        <v>0</v>
      </c>
      <c r="CC165" t="str">
        <f>_xlfn.XLOOKUP(SUM(MID(TBA_Matches_All[[#This Row],[Team]],4,5),(TBA_Matches_All[[#This Row],[Match_Number]]/100)),Dyno_EndMatch[teammat],Dyno_EndMatch[StageStat],"_",0,1)</f>
        <v>_</v>
      </c>
      <c r="CD165" t="str">
        <f>_xlfn.XLOOKUP(TBA_Matches_All[[#This Row],[teammat]],Dyno_EndMatch[teammat],Dyno_EndMatch[StageAtt],"_",0,1)</f>
        <v>_</v>
      </c>
      <c r="CE165" t="str">
        <f>_xlfn.XLOOKUP(TBA_Matches_All[[#This Row],[teammat]],Dyno_EndMatch[teammat],Dyno_EndMatch[StageLoc],"_",0,1)</f>
        <v>_</v>
      </c>
      <c r="CF165">
        <f>SUMIFS(Dyno_Data[Harmony], Dyno_Data[Team],TBA_Matches_All[[#This Row],[Team]],Dyno_Data[Match],TBA_Matches_All[[#This Row],[Match_Number]],Dyno_Data[RecordType],"EndMatch", Dyno_Data[StageStat],"On",Dyno_Data[Harmony],"&lt;&gt;9")</f>
        <v>0</v>
      </c>
      <c r="CG165">
        <f>SUMIFS(Dyno_Data[Spotlit], Dyno_Data[Team],TBA_Matches_All[[#This Row],[Team]],Dyno_Data[Match],TBA_Matches_All[[#This Row],[Match_Number]],Dyno_Data[RecordType],"EndMatch", Dyno_Data[StageStat],"On",Dyno_Data[Spotlit],"&lt;&gt;9")</f>
        <v>0</v>
      </c>
      <c r="CH165" t="str">
        <f>_xlfn.XLOOKUP(TBA_Matches_All[[#This Row],[teammat]],Dyno_EndMatch[teammat],Dyno_EndMatch[Strategy],"_",0,1)</f>
        <v>_</v>
      </c>
      <c r="CI165">
        <f>SUMIFS(Dyno_Data[Defense], Dyno_Data[Team],TBA_Matches_All[[#This Row],[Team]],Dyno_Data[Match],TBA_Matches_All[[#This Row],[Match_Number]],Dyno_Data[RecordType],"EndMatch",Dyno_Data[Defense],"&lt;&gt;9")</f>
        <v>0</v>
      </c>
      <c r="CJ165">
        <f>SUMIFS(Dyno_Data[Avoidance], Dyno_Data[Team],TBA_Matches_All[[#This Row],[Team]],Dyno_Data[Match],TBA_Matches_All[[#This Row],[Match_Number]],Dyno_Data[RecordType],"EndMatch",Dyno_Data[Avoidance],"&lt;&gt;9")</f>
        <v>0</v>
      </c>
      <c r="CK165" s="82">
        <f>COUNTIF($H$2:TBA_Matches_All[[#This Row],[Team]],TBA_Matches_All[[#This Row],[Team]])</f>
        <v>4</v>
      </c>
      <c r="CL165" s="111">
        <f>SUM(MID(TBA_Matches_All[[#This Row],[Team]],4,5)+TBA_Matches_All[[#This Row],[Match_Number]]/100)</f>
        <v>296.27999999999997</v>
      </c>
      <c r="CM165">
        <f>SUM((TBA_Matches_All[[#This Row],[Leave]]*2)+(TBA_Matches_All[[#This Row],[AampT]]*2)+(TBA_Matches_All[[#This Row],[AspkrT]]*5)+(TBA_Matches_All[[#This Row],[AtrapT]]*5))</f>
        <v>0</v>
      </c>
      <c r="CN165" s="59">
        <f>IFERROR(SUM(TBA_Matches_All[[#This Row],[AptsT]]/TBA_Matches_All[[#This Row],[AutoPts]]),0)</f>
        <v>0</v>
      </c>
      <c r="CO165" s="59">
        <f>IFERROR(SUM(TBA_Matches_All[[#This Row],[AampT]]+TBA_Matches_All[[#This Row],[AspkrT]]+TBA_Matches_All[[#This Row],[AtrapT]]/TBA_Matches_All[[#This Row],[Aamp]]+TBA_Matches_All[[#This Row],[Aspkr]]+TBA_Matches_All[[#This Row],[AtrapT]]),0)</f>
        <v>0</v>
      </c>
      <c r="CP165" s="59">
        <f>IFERROR(SUM(TBA_Matches_All[[#This Row],[TampT]]/TBA_Matches_All[[#This Row],[Tamp]]),0)</f>
        <v>0</v>
      </c>
      <c r="CQ165" s="59">
        <f>IFERROR(SUM(TBA_Matches_All[[#This Row],[TspkrT]]/TBA_Matches_All[[#This Row],[Tspkr]]),0)</f>
        <v>0</v>
      </c>
      <c r="CR165">
        <f>SUM(TBA_Matches_All[[#This Row],[TspkrPts]]*TBA_Matches_All[[#This Row],[TspkrP]])</f>
        <v>0</v>
      </c>
      <c r="CS165" s="59">
        <f>IFERROR(SUM(TBA_Matches_All[[#This Row],[TtrapT]]/TBA_Matches_All[[#This Row],[Trap]]),0)</f>
        <v>0</v>
      </c>
      <c r="CT165" s="59">
        <f>IFERROR(SUM(TBA_Matches_All[[#This Row],[TotNotesT]]/TBA_Matches_All[[#This Row],[TotNotes]]),0)</f>
        <v>0</v>
      </c>
      <c r="CU165" s="66">
        <f>SUM((TBA_Matches_All[[#This Row],[AampT]]*2)+(TBA_Matches_All[[#This Row],[AspkrT]]*5)+(TBA_Matches_All[[#This Row],[AtrapT]]*5)+(TBA_Matches_All[[#This Row],[TampT]]*1)+(TBA_Matches_All[[#This Row],[TspkrptsC]]))</f>
        <v>0</v>
      </c>
      <c r="CV165" s="59">
        <f>IFERROR(TBA_Matches_All[[#This Row],[noteptsT]]/TBA_Matches_All[[#This Row],[NotePts]],0)</f>
        <v>0</v>
      </c>
      <c r="CW165">
        <f>SUM(IF(TBA_Matches_All[[#This Row],[stageStat]]="On",3,0),IF(TBA_Matches_All[[#This Row],[stageStat]]="Park",1,0),SUMIFS(TBA_Matches_All[[#This Row],[Spotlit]],TBA_Matches_All[[#This Row],[stageStat]],"On"),SUMIFS(TBA_Matches_All[[#This Row],[Harmony]],TBA_Matches_All[[#This Row],[stageStat]],"On"))</f>
        <v>0</v>
      </c>
      <c r="CX165" s="59">
        <f>IFERROR(TBA_Matches_All[[#This Row],[stageptsT]]/TBA_Matches_All[[#This Row],[StagePts]],0)</f>
        <v>0</v>
      </c>
      <c r="CY165">
        <f>SUM((TBA_Matches_All[[#This Row],[AptsT]]+TBA_Matches_All[[#This Row],[TampT]]+TBA_Matches_All[[#This Row],[TspkrptsC]]+(TBA_Matches_All[[#This Row],[TtrapT]]*5)+TBA_Matches_All[[#This Row],[stageptsT]]))</f>
        <v>0</v>
      </c>
      <c r="CZ165" s="59">
        <f>IFERROR(SUM(TBA_Matches_All[[#This Row],[TotptsC]]/TBA_Matches_All[[#This Row],[Score]]),0)</f>
        <v>0</v>
      </c>
      <c r="DA16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9.0238095238095237</v>
      </c>
      <c r="DB165" s="74">
        <f>SUMIFS(TBA_Matches_All[AveTeamTNoteDels],TBA_Matches_All[Match_Number],TBA_Matches_All[[#This Row],[Match_Number]],TBA_Matches_All[Alliance],"&lt;&gt;"&amp;TBA_Matches_All[[#This Row],[Alliance]],TBA_Matches_All[Scouted],"&gt;0")</f>
        <v>0</v>
      </c>
      <c r="DC165" s="74">
        <f>(TBA_Matches_All[[#This Row],[TampT]]+TBA_Matches_All[[#This Row],[TspkrptsC]])-TBA_Matches_All[[#This Row],[AveTeamTNoteDels]]</f>
        <v>-9.0238095238095237</v>
      </c>
      <c r="DD165" s="74">
        <f>SUMIFS(TBA_Matches_All[AveTeamTNoteDels],TBA_Matches_All[Match_Number],TBA_Matches_All[[#This Row],[Match_Number]],TBA_Matches_All[Alliance],"&lt;&gt;"&amp;TBA_Matches_All[[#This Row],[Alliance]])-TBA_Matches_All[[#This Row],[AveOppTNoteDels]]</f>
        <v>18.044354256854255</v>
      </c>
    </row>
    <row r="166" spans="1:108" x14ac:dyDescent="0.3">
      <c r="A166" t="s">
        <v>1042</v>
      </c>
      <c r="B166" t="s">
        <v>489</v>
      </c>
      <c r="C166" t="s">
        <v>1337</v>
      </c>
      <c r="D166">
        <v>28</v>
      </c>
      <c r="E166" t="s">
        <v>1406</v>
      </c>
      <c r="F166" t="s">
        <v>1424</v>
      </c>
      <c r="G166" t="s">
        <v>1409</v>
      </c>
      <c r="H166" t="s">
        <v>1311</v>
      </c>
      <c r="I166" t="b">
        <v>1</v>
      </c>
      <c r="J166">
        <v>41</v>
      </c>
      <c r="K166">
        <v>0</v>
      </c>
      <c r="L166">
        <v>0</v>
      </c>
      <c r="M166">
        <v>9</v>
      </c>
      <c r="N166">
        <v>0</v>
      </c>
      <c r="O166">
        <v>3</v>
      </c>
      <c r="P166">
        <v>15</v>
      </c>
      <c r="Q166">
        <v>19</v>
      </c>
      <c r="R166">
        <v>2</v>
      </c>
      <c r="S166">
        <v>0</v>
      </c>
      <c r="T166">
        <v>8</v>
      </c>
      <c r="U166">
        <v>0</v>
      </c>
      <c r="V166">
        <v>16</v>
      </c>
      <c r="W166">
        <v>8</v>
      </c>
      <c r="X166">
        <v>16</v>
      </c>
      <c r="Y166">
        <v>18</v>
      </c>
      <c r="Z166">
        <v>0</v>
      </c>
      <c r="AA166">
        <v>0</v>
      </c>
      <c r="AB166">
        <v>13</v>
      </c>
      <c r="AC166">
        <v>33</v>
      </c>
      <c r="AD166">
        <v>2</v>
      </c>
      <c r="AE166">
        <f>IFERROR(6/(COUNTIF(Dyno_EndMatch[Match],TBA_Matches_All[[#This Row],[Match_Number]])),0)</f>
        <v>0</v>
      </c>
      <c r="AF166">
        <f>COUNTIFS(Dyno_Data[Team],TBA_Matches_All[[#This Row],[Team]],Dyno_Data[Match],TBA_Matches_All[[#This Row],[Match_Number]],Dyno_Data[RecordType],"EndMatch",Dyno_Data[HPAmp],"Y")</f>
        <v>0</v>
      </c>
      <c r="AG166">
        <f>SUMIFS(Dyno_Data[Mics], Dyno_Data[Team],TBA_Matches_All[[#This Row],[Team]],Dyno_Data[Match],TBA_Matches_All[[#This Row],[Match_Number]],Dyno_Data[RecordType],"EndMatch",Dyno_Data[HPAmp],"Y")</f>
        <v>0</v>
      </c>
      <c r="AH166">
        <f>SUMIFS(Dyno_Data[Leave], Dyno_Data[Team],TBA_Matches_All[[#This Row],[Team]],Dyno_Data[Match],TBA_Matches_All[[#This Row],[Match_Number]],Dyno_Data[RecordType],"EndAuto")</f>
        <v>0</v>
      </c>
      <c r="AI166">
        <f>COUNTIFS(Dyno_Data[Team],TBA_Matches_All[[#This Row],[Team]],Dyno_Data[Match],TBA_Matches_All[[#This Row],[Match_Number]],Dyno_Data[RecordType],"Activities",Dyno_Data[DelDest],"Amp", Dyno_Data[DelMiss],"0", Dyno_Data[Mode],"Auto")</f>
        <v>0</v>
      </c>
      <c r="AJ166">
        <f>COUNTIFS(Dyno_Data[Team],TBA_Matches_All[[#This Row],[Team]],Dyno_Data[Match],TBA_Matches_All[[#This Row],[Match_Number]],Dyno_Data[RecordType],"Activities",Dyno_Data[DelDest],"Spkr", Dyno_Data[DelMiss],"0", Dyno_Data[Mode],"Auto")</f>
        <v>0</v>
      </c>
      <c r="AK166">
        <f>COUNTIFS(Dyno_Data[Team],TBA_Matches_All[[#This Row],[Team]],Dyno_Data[Match],TBA_Matches_All[[#This Row],[Match_Number]],Dyno_Data[RecordType],"Activities",Dyno_Data[DelDest],"Trap", Dyno_Data[DelMiss],"0", Dyno_Data[Mode],"Auto")</f>
        <v>0</v>
      </c>
      <c r="AL166">
        <f>COUNTIFS(Dyno_Data[Team],TBA_Matches_All[[#This Row],[Team]],Dyno_Data[Match],TBA_Matches_All[[#This Row],[Match_Number]],Dyno_Data[RecordType],"Activities",Dyno_Data[DelDest],"Amp", Dyno_Data[DelMiss],"0", Dyno_Data[Mode],"Teleop")</f>
        <v>0</v>
      </c>
      <c r="AM166">
        <f>COUNTIFS(Dyno_Data[Team],TBA_Matches_All[[#This Row],[Team]],Dyno_Data[Match],TBA_Matches_All[[#This Row],[Match_Number]],Dyno_Data[RecordType],"Activities",Dyno_Data[DelDest],"Spkr", Dyno_Data[DelMiss],"0", Dyno_Data[Mode],"Teleop")</f>
        <v>0</v>
      </c>
      <c r="AN166">
        <f>COUNTIFS(Dyno_Data[Team],TBA_Matches_All[[#This Row],[Team]],Dyno_Data[Match],TBA_Matches_All[[#This Row],[Match_Number]],Dyno_Data[RecordType],"Activities",Dyno_Data[DelDest],"Trap", Dyno_Data[DelMiss],"0", Dyno_Data[Mode],"&lt;&gt;Auto")</f>
        <v>0</v>
      </c>
      <c r="AO166">
        <f>SUM(TBA_Matches_All[[#This Row],[AampT]]+TBA_Matches_All[[#This Row],[AspkrT]]+TBA_Matches_All[[#This Row],[AtrapT]]+TBA_Matches_All[[#This Row],[TampT]]+TBA_Matches_All[[#This Row],[TspkrT]]+TBA_Matches_All[[#This Row],[TtrapT]])</f>
        <v>0</v>
      </c>
      <c r="AP166">
        <f>COUNTIFS(Dyno_Data[Team],TBA_Matches_All[[#This Row],[Team]],Dyno_Data[Match],TBA_Matches_All[[#This Row],[Match_Number]],Dyno_Data[RecordType],"Activities",Dyno_Data[DelDest],"Neut", Dyno_Data[DelMiss],"0")</f>
        <v>0</v>
      </c>
      <c r="AQ166">
        <f>COUNTIFS(Dyno_Data[Team],TBA_Matches_All[[#This Row],[Team]],Dyno_Data[Match],TBA_Matches_All[[#This Row],[Match_Number]],Dyno_Data[RecordType],"Activities",Dyno_Data[DelDest],"AllyW", Dyno_Data[DelMiss],"0")</f>
        <v>0</v>
      </c>
      <c r="AR166" t="str">
        <f>_xlfn.XLOOKUP(SUM(MID(TBA_Matches_All[[#This Row],[Team]],4,5),(TBA_Matches_All[[#This Row],[Match_Number]]/100)),Dyno_EndMatch[teammat],Dyno_EndMatch[RobotSta],"_",0,1)</f>
        <v>_</v>
      </c>
      <c r="AS166">
        <f>SUMIFS(Dyno_Data[AcqDis], Dyno_Data[Team],TBA_Matches_All[[#This Row],[Team]],Dyno_Data[Match],TBA_Matches_All[[#This Row],[Match_Number]],Dyno_Data[RecordType],"Activities", Dyno_Data[AcqCenter],1,Dyno_Data[Mode],"Auto")</f>
        <v>0</v>
      </c>
      <c r="AT166">
        <f>SUMIFS(Dyno_Data[AcqDis], Dyno_Data[Team],TBA_Matches_All[[#This Row],[Team]],Dyno_Data[Match],TBA_Matches_All[[#This Row],[Match_Number]],Dyno_Data[RecordType],"Activities", Dyno_Data[AcqCenter],2,Dyno_Data[Mode],"Auto")</f>
        <v>0</v>
      </c>
      <c r="AU166">
        <f>SUMIFS(Dyno_Data[AcqDis], Dyno_Data[Team],TBA_Matches_All[[#This Row],[Team]],Dyno_Data[Match],TBA_Matches_All[[#This Row],[Match_Number]],Dyno_Data[RecordType],"Activities", Dyno_Data[AcqCenter],3,Dyno_Data[Mode],"Auto")</f>
        <v>0</v>
      </c>
      <c r="AV166">
        <f>SUMIFS(Dyno_Data[AcqDis], Dyno_Data[Team],TBA_Matches_All[[#This Row],[Team]],Dyno_Data[Match],TBA_Matches_All[[#This Row],[Match_Number]],Dyno_Data[RecordType],"Activities", Dyno_Data[AcqCenter],4,Dyno_Data[Mode],"Auto")</f>
        <v>0</v>
      </c>
      <c r="AW166">
        <f>SUMIFS(Dyno_Data[AcqDis], Dyno_Data[Team],TBA_Matches_All[[#This Row],[Team]],Dyno_Data[Match],TBA_Matches_All[[#This Row],[Match_Number]],Dyno_Data[RecordType],"Activities", Dyno_Data[AcqCenter],5,Dyno_Data[Mode],"Auto")</f>
        <v>0</v>
      </c>
      <c r="AX166">
        <f>SUMIFS(Dyno_Data[DelMiss], Dyno_Data[Team],TBA_Matches_All[[#This Row],[Team]],Dyno_Data[Match],TBA_Matches_All[[#This Row],[Match_Number]],Dyno_Data[RecordType],"Activities", Dyno_Data[DelDest],"Amp")</f>
        <v>0</v>
      </c>
      <c r="AY166" s="60">
        <f>IFERROR(SUM((TBA_Matches_All[[#This Row],[AampT]]+TBA_Matches_All[[#This Row],[TampT]])/(TBA_Matches_All[[#This Row],[AampT]]+TBA_Matches_All[[#This Row],[TampT]]+TBA_Matches_All[[#This Row],[ampM]])),0)</f>
        <v>0</v>
      </c>
      <c r="AZ166">
        <f>SUMIFS(Dyno_Data[DelMiss], Dyno_Data[Team],TBA_Matches_All[[#This Row],[Team]],Dyno_Data[Match],TBA_Matches_All[[#This Row],[Match_Number]],Dyno_Data[RecordType],"Activities", Dyno_Data[DelDest],"Spkr")</f>
        <v>0</v>
      </c>
      <c r="BA166" s="60">
        <f>IFERROR(SUM((TBA_Matches_All[[#This Row],[AspkrT]]+TBA_Matches_All[[#This Row],[TspkrT]])/(TBA_Matches_All[[#This Row],[AspkrT]]+TBA_Matches_All[[#This Row],[TspkrT]]+TBA_Matches_All[[#This Row],[spkrM]])),0)</f>
        <v>0</v>
      </c>
      <c r="BB166">
        <f>SUMIFS(Dyno_Data[DelMiss], Dyno_Data[Team],TBA_Matches_All[[#This Row],[Team]],Dyno_Data[Match],TBA_Matches_All[[#This Row],[Match_Number]],Dyno_Data[RecordType],"Activities", Dyno_Data[DelDest],"Trap")</f>
        <v>0</v>
      </c>
      <c r="BC166" s="60">
        <f>IFERROR((TBA_Matches_All[[#This Row],[AtrapT]]+TBA_Matches_All[[#This Row],[TtrapT]])/(TBA_Matches_All[[#This Row],[AtrapT]]+TBA_Matches_All[[#This Row],[TtrapT]]+TBA_Matches_All[[#This Row],[trapM]]),0)</f>
        <v>0</v>
      </c>
      <c r="BD166">
        <f>COUNTIFS(Dyno_Data[Team],TBA_Matches_All[[#This Row],[Team]],Dyno_Data[Match],TBA_Matches_All[[#This Row],[Match_Number]],Dyno_Data[RecordType],"Activities",Dyno_Data[DelDest],"Neut", Dyno_Data[DelMiss],1)</f>
        <v>0</v>
      </c>
      <c r="BE166" s="60">
        <f>IFERROR(SUM((TBA_Matches_All[[#This Row],[NeutFlrT]])/(TBA_Matches_All[[#This Row],[NeutFlrT]]+TBA_Matches_All[[#This Row],[NZflM]])),0)</f>
        <v>0</v>
      </c>
      <c r="BF166">
        <f>COUNTIFS(Dyno_Data[Team],TBA_Matches_All[[#This Row],[Team]],Dyno_Data[Match],TBA_Matches_All[[#This Row],[Match_Number]],Dyno_Data[RecordType],"Activities",Dyno_Data[DelDest],"AllyW", Dyno_Data[DelMiss],1)</f>
        <v>0</v>
      </c>
      <c r="BG166" s="60">
        <f>IFERROR(SUM((TBA_Matches_All[[#This Row],[AllyWFlrT]])/(TBA_Matches_All[[#This Row],[AllyWFlrT]]+TBA_Matches_All[[#This Row],[AZflM]])),0)</f>
        <v>0</v>
      </c>
      <c r="BH166">
        <f>COUNTIFS(Dyno_Data[Team],TBA_Matches_All[[#This Row],[Team]],Dyno_Data[Match],TBA_Matches_All[[#This Row],[Match_Number]],Dyno_Data[RecordType],"Activities",Dyno_Data[DelOrig],"OppW", Dyno_Data[DelMiss],"0")</f>
        <v>0</v>
      </c>
      <c r="BI166">
        <f>COUNTIFS(Dyno_Data[Team],TBA_Matches_All[[#This Row],[Team]],Dyno_Data[Match],TBA_Matches_All[[#This Row],[Match_Number]],Dyno_Data[RecordType],"Activities",Dyno_Data[DelOrig],"OppW", Dyno_Data[DelMiss],"1")</f>
        <v>0</v>
      </c>
      <c r="BJ166" s="60">
        <f>IFERROR(SUM((TBA_Matches_All[[#This Row],[OZflrT]])/(TBA_Matches_All[[#This Row],[OZflrT]]+TBA_Matches_All[[#This Row],[OZflrM]])),0)</f>
        <v>0</v>
      </c>
      <c r="BK166">
        <f>COUNTIFS(Dyno_Data[Team],TBA_Matches_All[[#This Row],[Team]],Dyno_Data[Match],TBA_Matches_All[[#This Row],[Match_Number]],Dyno_Data[RecordType],"Activities",Dyno_Data[DelOrig],"Neut", Dyno_Data[DelMiss],"0")</f>
        <v>0</v>
      </c>
      <c r="BL166">
        <f>COUNTIFS(Dyno_Data[Team],TBA_Matches_All[[#This Row],[Team]],Dyno_Data[Match],TBA_Matches_All[[#This Row],[Match_Number]],Dyno_Data[RecordType],"Activities",Dyno_Data[DelOrig],"Neut", Dyno_Data[DelMiss],"1")</f>
        <v>0</v>
      </c>
      <c r="BM166" s="60">
        <f>IFERROR(SUM((TBA_Matches_All[[#This Row],[NZflrT]])/(TBA_Matches_All[[#This Row],[NZflrT]]+TBA_Matches_All[[#This Row],[NZflrM]])),0)</f>
        <v>0</v>
      </c>
      <c r="BN166">
        <f>COUNTIFS(Dyno_Data[Team],TBA_Matches_All[[#This Row],[Team]],Dyno_Data[Match],TBA_Matches_All[[#This Row],[Match_Number]],Dyno_Data[RecordType],"Activities",Dyno_Data[DelOrig],"AllyW", Dyno_Data[DelMiss],"0")</f>
        <v>0</v>
      </c>
      <c r="BO166">
        <f>COUNTIFS(Dyno_Data[Team],TBA_Matches_All[[#This Row],[Team]],Dyno_Data[Match],TBA_Matches_All[[#This Row],[Match_Number]],Dyno_Data[RecordType],"Activities",Dyno_Data[DelOrig],"AllyW", Dyno_Data[DelMiss],"1")</f>
        <v>0</v>
      </c>
      <c r="BP166" s="60">
        <f>IFERROR(SUM((TBA_Matches_All[[#This Row],[AZflrT]])/(TBA_Matches_All[[#This Row],[AZflrT]]+TBA_Matches_All[[#This Row],[AZflrM]])),0)</f>
        <v>0</v>
      </c>
      <c r="BQ166">
        <f>COUNTIFS(Dyno_Data[Team],TBA_Matches_All[[#This Row],[Team]],Dyno_Data[Match],TBA_Matches_All[[#This Row],[Match_Number]],Dyno_Data[RecordType],"Activities",Dyno_Data[DelOrig],"SubW", Dyno_Data[DelMiss],"0")</f>
        <v>0</v>
      </c>
      <c r="BR166">
        <f>COUNTIFS(Dyno_Data[Team],TBA_Matches_All[[#This Row],[Team]],Dyno_Data[Match],TBA_Matches_All[[#This Row],[Match_Number]],Dyno_Data[RecordType],"Activities",Dyno_Data[DelOrig],"SubW", Dyno_Data[DelMiss],"1")</f>
        <v>0</v>
      </c>
      <c r="BS166" s="60">
        <f>IFERROR(SUM((TBA_Matches_All[[#This Row],[SubwT]])/(TBA_Matches_All[[#This Row],[SubwT]]+TBA_Matches_All[[#This Row],[SubwM]])),0)</f>
        <v>0</v>
      </c>
      <c r="BT166">
        <f>COUNTIFS(Dyno_Data[Team],TBA_Matches_All[[#This Row],[Team]],Dyno_Data[Match],TBA_Matches_All[[#This Row],[Match_Number]],Dyno_Data[RecordType],"Activities", Dyno_Data[AcqLoc],"OppWing")</f>
        <v>0</v>
      </c>
      <c r="BU166">
        <f>COUNTIFS(Dyno_Data[Team],TBA_Matches_All[[#This Row],[Team]],Dyno_Data[Match],TBA_Matches_All[[#This Row],[Match_Number]],Dyno_Data[RecordType],"Activities", Dyno_Data[AcqLoc],"Neutral")</f>
        <v>0</v>
      </c>
      <c r="BV166">
        <f>COUNTIFS(Dyno_Data[Team],TBA_Matches_All[[#This Row],[Team]],Dyno_Data[Match],TBA_Matches_All[[#This Row],[Match_Number]],Dyno_Data[RecordType],"Activities", Dyno_Data[AcqLoc],"AllyWing")</f>
        <v>0</v>
      </c>
      <c r="BW166">
        <f>COUNTIFS(Dyno_Data[Team],TBA_Matches_All[[#This Row],[Team]],Dyno_Data[Match],TBA_Matches_All[[#This Row],[Match_Number]],Dyno_Data[RecordType],"Activities", Dyno_Data[AcqLoc],"Source")</f>
        <v>0</v>
      </c>
      <c r="BX166">
        <f>SUMIFS(Dyno_Data[AcqDrp], Dyno_Data[Team],TBA_Matches_All[[#This Row],[Team]],Dyno_Data[Match],TBA_Matches_All[[#This Row],[Match_Number]],Dyno_Data[RecordType],"Activities", Dyno_Data[AcqLoc],"Source")</f>
        <v>0</v>
      </c>
      <c r="BY166">
        <f>SUMIFS(Dyno_Data[OZTime], Dyno_Data[Team],TBA_Matches_All[[#This Row],[Team]],Dyno_Data[Match],TBA_Matches_All[[#This Row],[Match_Number]],Dyno_Data[RecordType],"EndMatch")</f>
        <v>0</v>
      </c>
      <c r="BZ166">
        <f>SUMIFS(Dyno_Data[NZTime], Dyno_Data[Team],TBA_Matches_All[[#This Row],[Team]],Dyno_Data[Match],TBA_Matches_All[[#This Row],[Match_Number]],Dyno_Data[RecordType],"EndMatch")</f>
        <v>0</v>
      </c>
      <c r="CA166">
        <f>SUMIFS(Dyno_Data[AZTime], Dyno_Data[Team],TBA_Matches_All[[#This Row],[Team]],Dyno_Data[Match],TBA_Matches_All[[#This Row],[Match_Number]],Dyno_Data[RecordType],"EndMatch")</f>
        <v>0</v>
      </c>
      <c r="CB166">
        <f>SUMIFS(Dyno_Data[ClimbT], Dyno_Data[Team],TBA_Matches_All[[#This Row],[Team]],Dyno_Data[Match],TBA_Matches_All[[#This Row],[Match_Number]],Dyno_Data[RecordType],"EndMatch")</f>
        <v>0</v>
      </c>
      <c r="CC166" t="str">
        <f>_xlfn.XLOOKUP(SUM(MID(TBA_Matches_All[[#This Row],[Team]],4,5),(TBA_Matches_All[[#This Row],[Match_Number]]/100)),Dyno_EndMatch[teammat],Dyno_EndMatch[StageStat],"_",0,1)</f>
        <v>_</v>
      </c>
      <c r="CD166" t="str">
        <f>_xlfn.XLOOKUP(TBA_Matches_All[[#This Row],[teammat]],Dyno_EndMatch[teammat],Dyno_EndMatch[StageAtt],"_",0,1)</f>
        <v>_</v>
      </c>
      <c r="CE166" t="str">
        <f>_xlfn.XLOOKUP(TBA_Matches_All[[#This Row],[teammat]],Dyno_EndMatch[teammat],Dyno_EndMatch[StageLoc],"_",0,1)</f>
        <v>_</v>
      </c>
      <c r="CF166">
        <f>SUMIFS(Dyno_Data[Harmony], Dyno_Data[Team],TBA_Matches_All[[#This Row],[Team]],Dyno_Data[Match],TBA_Matches_All[[#This Row],[Match_Number]],Dyno_Data[RecordType],"EndMatch", Dyno_Data[StageStat],"On",Dyno_Data[Harmony],"&lt;&gt;9")</f>
        <v>0</v>
      </c>
      <c r="CG166">
        <f>SUMIFS(Dyno_Data[Spotlit], Dyno_Data[Team],TBA_Matches_All[[#This Row],[Team]],Dyno_Data[Match],TBA_Matches_All[[#This Row],[Match_Number]],Dyno_Data[RecordType],"EndMatch", Dyno_Data[StageStat],"On",Dyno_Data[Spotlit],"&lt;&gt;9")</f>
        <v>0</v>
      </c>
      <c r="CH166" t="str">
        <f>_xlfn.XLOOKUP(TBA_Matches_All[[#This Row],[teammat]],Dyno_EndMatch[teammat],Dyno_EndMatch[Strategy],"_",0,1)</f>
        <v>_</v>
      </c>
      <c r="CI166">
        <f>SUMIFS(Dyno_Data[Defense], Dyno_Data[Team],TBA_Matches_All[[#This Row],[Team]],Dyno_Data[Match],TBA_Matches_All[[#This Row],[Match_Number]],Dyno_Data[RecordType],"EndMatch",Dyno_Data[Defense],"&lt;&gt;9")</f>
        <v>0</v>
      </c>
      <c r="CJ166">
        <f>SUMIFS(Dyno_Data[Avoidance], Dyno_Data[Team],TBA_Matches_All[[#This Row],[Team]],Dyno_Data[Match],TBA_Matches_All[[#This Row],[Match_Number]],Dyno_Data[RecordType],"EndMatch",Dyno_Data[Avoidance],"&lt;&gt;9")</f>
        <v>0</v>
      </c>
      <c r="CK166" s="82">
        <f>COUNTIF($H$2:TBA_Matches_All[[#This Row],[Team]],TBA_Matches_All[[#This Row],[Team]])</f>
        <v>4</v>
      </c>
      <c r="CL166" s="111">
        <f>SUM(MID(TBA_Matches_All[[#This Row],[Team]],4,5)+TBA_Matches_All[[#This Row],[Match_Number]]/100)</f>
        <v>2234.2800000000002</v>
      </c>
      <c r="CM166">
        <f>SUM((TBA_Matches_All[[#This Row],[Leave]]*2)+(TBA_Matches_All[[#This Row],[AampT]]*2)+(TBA_Matches_All[[#This Row],[AspkrT]]*5)+(TBA_Matches_All[[#This Row],[AtrapT]]*5))</f>
        <v>0</v>
      </c>
      <c r="CN166" s="59">
        <f>IFERROR(SUM(TBA_Matches_All[[#This Row],[AptsT]]/TBA_Matches_All[[#This Row],[AutoPts]]),0)</f>
        <v>0</v>
      </c>
      <c r="CO166" s="59">
        <f>IFERROR(SUM(TBA_Matches_All[[#This Row],[AampT]]+TBA_Matches_All[[#This Row],[AspkrT]]+TBA_Matches_All[[#This Row],[AtrapT]]/TBA_Matches_All[[#This Row],[Aamp]]+TBA_Matches_All[[#This Row],[Aspkr]]+TBA_Matches_All[[#This Row],[AtrapT]]),0)</f>
        <v>0</v>
      </c>
      <c r="CP166" s="59">
        <f>IFERROR(SUM(TBA_Matches_All[[#This Row],[TampT]]/TBA_Matches_All[[#This Row],[Tamp]]),0)</f>
        <v>0</v>
      </c>
      <c r="CQ166" s="59">
        <f>IFERROR(SUM(TBA_Matches_All[[#This Row],[TspkrT]]/TBA_Matches_All[[#This Row],[Tspkr]]),0)</f>
        <v>0</v>
      </c>
      <c r="CR166">
        <f>SUM(TBA_Matches_All[[#This Row],[TspkrPts]]*TBA_Matches_All[[#This Row],[TspkrP]])</f>
        <v>0</v>
      </c>
      <c r="CS166" s="59">
        <f>IFERROR(SUM(TBA_Matches_All[[#This Row],[TtrapT]]/TBA_Matches_All[[#This Row],[Trap]]),0)</f>
        <v>0</v>
      </c>
      <c r="CT166" s="59">
        <f>IFERROR(SUM(TBA_Matches_All[[#This Row],[TotNotesT]]/TBA_Matches_All[[#This Row],[TotNotes]]),0)</f>
        <v>0</v>
      </c>
      <c r="CU166" s="66">
        <f>SUM((TBA_Matches_All[[#This Row],[AampT]]*2)+(TBA_Matches_All[[#This Row],[AspkrT]]*5)+(TBA_Matches_All[[#This Row],[AtrapT]]*5)+(TBA_Matches_All[[#This Row],[TampT]]*1)+(TBA_Matches_All[[#This Row],[TspkrptsC]]))</f>
        <v>0</v>
      </c>
      <c r="CV166" s="59">
        <f>IFERROR(TBA_Matches_All[[#This Row],[noteptsT]]/TBA_Matches_All[[#This Row],[NotePts]],0)</f>
        <v>0</v>
      </c>
      <c r="CW166">
        <f>SUM(IF(TBA_Matches_All[[#This Row],[stageStat]]="On",3,0),IF(TBA_Matches_All[[#This Row],[stageStat]]="Park",1,0),SUMIFS(TBA_Matches_All[[#This Row],[Spotlit]],TBA_Matches_All[[#This Row],[stageStat]],"On"),SUMIFS(TBA_Matches_All[[#This Row],[Harmony]],TBA_Matches_All[[#This Row],[stageStat]],"On"))</f>
        <v>0</v>
      </c>
      <c r="CX166" s="59">
        <f>IFERROR(TBA_Matches_All[[#This Row],[stageptsT]]/TBA_Matches_All[[#This Row],[StagePts]],0)</f>
        <v>0</v>
      </c>
      <c r="CY166">
        <f>SUM((TBA_Matches_All[[#This Row],[AptsT]]+TBA_Matches_All[[#This Row],[TampT]]+TBA_Matches_All[[#This Row],[TspkrptsC]]+(TBA_Matches_All[[#This Row],[TtrapT]]*5)+TBA_Matches_All[[#This Row],[stageptsT]]))</f>
        <v>0</v>
      </c>
      <c r="CZ166" s="59">
        <f>IFERROR(SUM(TBA_Matches_All[[#This Row],[TotptsC]]/TBA_Matches_All[[#This Row],[Score]]),0)</f>
        <v>0</v>
      </c>
      <c r="DA16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1.1666666666666667</v>
      </c>
      <c r="DB166" s="74">
        <f>SUMIFS(TBA_Matches_All[AveTeamTNoteDels],TBA_Matches_All[Match_Number],TBA_Matches_All[[#This Row],[Match_Number]],TBA_Matches_All[Alliance],"&lt;&gt;"&amp;TBA_Matches_All[[#This Row],[Alliance]],TBA_Matches_All[Scouted],"&gt;0")</f>
        <v>0</v>
      </c>
      <c r="DC166" s="74">
        <f>(TBA_Matches_All[[#This Row],[TampT]]+TBA_Matches_All[[#This Row],[TspkrptsC]])-TBA_Matches_All[[#This Row],[AveTeamTNoteDels]]</f>
        <v>-1.1666666666666667</v>
      </c>
      <c r="DD166" s="74">
        <f>SUMIFS(TBA_Matches_All[AveTeamTNoteDels],TBA_Matches_All[Match_Number],TBA_Matches_All[[#This Row],[Match_Number]],TBA_Matches_All[Alliance],"&lt;&gt;"&amp;TBA_Matches_All[[#This Row],[Alliance]])-TBA_Matches_All[[#This Row],[AveOppTNoteDels]]</f>
        <v>35.387912087912085</v>
      </c>
    </row>
    <row r="167" spans="1:108" x14ac:dyDescent="0.3">
      <c r="A167" t="s">
        <v>1042</v>
      </c>
      <c r="B167" t="s">
        <v>489</v>
      </c>
      <c r="C167" t="s">
        <v>1337</v>
      </c>
      <c r="D167">
        <v>28</v>
      </c>
      <c r="E167" t="s">
        <v>1420</v>
      </c>
      <c r="F167" t="s">
        <v>1425</v>
      </c>
      <c r="G167" t="s">
        <v>105</v>
      </c>
      <c r="H167" t="s">
        <v>365</v>
      </c>
      <c r="I167" t="b">
        <v>1</v>
      </c>
      <c r="J167">
        <v>96</v>
      </c>
      <c r="K167">
        <v>1</v>
      </c>
      <c r="L167">
        <v>1</v>
      </c>
      <c r="M167">
        <v>2</v>
      </c>
      <c r="N167">
        <v>0</v>
      </c>
      <c r="O167">
        <v>4</v>
      </c>
      <c r="P167">
        <v>20</v>
      </c>
      <c r="Q167">
        <v>22</v>
      </c>
      <c r="R167">
        <v>5</v>
      </c>
      <c r="S167">
        <v>8</v>
      </c>
      <c r="T167">
        <v>3</v>
      </c>
      <c r="U167">
        <v>40</v>
      </c>
      <c r="V167">
        <v>6</v>
      </c>
      <c r="W167">
        <v>11</v>
      </c>
      <c r="X167">
        <v>46</v>
      </c>
      <c r="Y167">
        <v>51</v>
      </c>
      <c r="Z167">
        <v>5</v>
      </c>
      <c r="AA167">
        <v>1</v>
      </c>
      <c r="AB167">
        <v>20</v>
      </c>
      <c r="AC167">
        <v>71</v>
      </c>
      <c r="AD167">
        <v>14</v>
      </c>
      <c r="AE167">
        <f>IFERROR(6/(COUNTIF(Dyno_EndMatch[Match],TBA_Matches_All[[#This Row],[Match_Number]])),0)</f>
        <v>0</v>
      </c>
      <c r="AF167">
        <f>COUNTIFS(Dyno_Data[Team],TBA_Matches_All[[#This Row],[Team]],Dyno_Data[Match],TBA_Matches_All[[#This Row],[Match_Number]],Dyno_Data[RecordType],"EndMatch",Dyno_Data[HPAmp],"Y")</f>
        <v>0</v>
      </c>
      <c r="AG167">
        <f>SUMIFS(Dyno_Data[Mics], Dyno_Data[Team],TBA_Matches_All[[#This Row],[Team]],Dyno_Data[Match],TBA_Matches_All[[#This Row],[Match_Number]],Dyno_Data[RecordType],"EndMatch",Dyno_Data[HPAmp],"Y")</f>
        <v>0</v>
      </c>
      <c r="AH167">
        <f>SUMIFS(Dyno_Data[Leave], Dyno_Data[Team],TBA_Matches_All[[#This Row],[Team]],Dyno_Data[Match],TBA_Matches_All[[#This Row],[Match_Number]],Dyno_Data[RecordType],"EndAuto")</f>
        <v>0</v>
      </c>
      <c r="AI167">
        <f>COUNTIFS(Dyno_Data[Team],TBA_Matches_All[[#This Row],[Team]],Dyno_Data[Match],TBA_Matches_All[[#This Row],[Match_Number]],Dyno_Data[RecordType],"Activities",Dyno_Data[DelDest],"Amp", Dyno_Data[DelMiss],"0", Dyno_Data[Mode],"Auto")</f>
        <v>0</v>
      </c>
      <c r="AJ167">
        <f>COUNTIFS(Dyno_Data[Team],TBA_Matches_All[[#This Row],[Team]],Dyno_Data[Match],TBA_Matches_All[[#This Row],[Match_Number]],Dyno_Data[RecordType],"Activities",Dyno_Data[DelDest],"Spkr", Dyno_Data[DelMiss],"0", Dyno_Data[Mode],"Auto")</f>
        <v>0</v>
      </c>
      <c r="AK167">
        <f>COUNTIFS(Dyno_Data[Team],TBA_Matches_All[[#This Row],[Team]],Dyno_Data[Match],TBA_Matches_All[[#This Row],[Match_Number]],Dyno_Data[RecordType],"Activities",Dyno_Data[DelDest],"Trap", Dyno_Data[DelMiss],"0", Dyno_Data[Mode],"Auto")</f>
        <v>0</v>
      </c>
      <c r="AL167">
        <f>COUNTIFS(Dyno_Data[Team],TBA_Matches_All[[#This Row],[Team]],Dyno_Data[Match],TBA_Matches_All[[#This Row],[Match_Number]],Dyno_Data[RecordType],"Activities",Dyno_Data[DelDest],"Amp", Dyno_Data[DelMiss],"0", Dyno_Data[Mode],"Teleop")</f>
        <v>0</v>
      </c>
      <c r="AM167">
        <f>COUNTIFS(Dyno_Data[Team],TBA_Matches_All[[#This Row],[Team]],Dyno_Data[Match],TBA_Matches_All[[#This Row],[Match_Number]],Dyno_Data[RecordType],"Activities",Dyno_Data[DelDest],"Spkr", Dyno_Data[DelMiss],"0", Dyno_Data[Mode],"Teleop")</f>
        <v>0</v>
      </c>
      <c r="AN167">
        <f>COUNTIFS(Dyno_Data[Team],TBA_Matches_All[[#This Row],[Team]],Dyno_Data[Match],TBA_Matches_All[[#This Row],[Match_Number]],Dyno_Data[RecordType],"Activities",Dyno_Data[DelDest],"Trap", Dyno_Data[DelMiss],"0", Dyno_Data[Mode],"&lt;&gt;Auto")</f>
        <v>0</v>
      </c>
      <c r="AO167">
        <f>SUM(TBA_Matches_All[[#This Row],[AampT]]+TBA_Matches_All[[#This Row],[AspkrT]]+TBA_Matches_All[[#This Row],[AtrapT]]+TBA_Matches_All[[#This Row],[TampT]]+TBA_Matches_All[[#This Row],[TspkrT]]+TBA_Matches_All[[#This Row],[TtrapT]])</f>
        <v>0</v>
      </c>
      <c r="AP167">
        <f>COUNTIFS(Dyno_Data[Team],TBA_Matches_All[[#This Row],[Team]],Dyno_Data[Match],TBA_Matches_All[[#This Row],[Match_Number]],Dyno_Data[RecordType],"Activities",Dyno_Data[DelDest],"Neut", Dyno_Data[DelMiss],"0")</f>
        <v>0</v>
      </c>
      <c r="AQ167">
        <f>COUNTIFS(Dyno_Data[Team],TBA_Matches_All[[#This Row],[Team]],Dyno_Data[Match],TBA_Matches_All[[#This Row],[Match_Number]],Dyno_Data[RecordType],"Activities",Dyno_Data[DelDest],"AllyW", Dyno_Data[DelMiss],"0")</f>
        <v>0</v>
      </c>
      <c r="AR167" t="str">
        <f>_xlfn.XLOOKUP(SUM(MID(TBA_Matches_All[[#This Row],[Team]],4,5),(TBA_Matches_All[[#This Row],[Match_Number]]/100)),Dyno_EndMatch[teammat],Dyno_EndMatch[RobotSta],"_",0,1)</f>
        <v>_</v>
      </c>
      <c r="AS167">
        <f>SUMIFS(Dyno_Data[AcqDis], Dyno_Data[Team],TBA_Matches_All[[#This Row],[Team]],Dyno_Data[Match],TBA_Matches_All[[#This Row],[Match_Number]],Dyno_Data[RecordType],"Activities", Dyno_Data[AcqCenter],1,Dyno_Data[Mode],"Auto")</f>
        <v>0</v>
      </c>
      <c r="AT167">
        <f>SUMIFS(Dyno_Data[AcqDis], Dyno_Data[Team],TBA_Matches_All[[#This Row],[Team]],Dyno_Data[Match],TBA_Matches_All[[#This Row],[Match_Number]],Dyno_Data[RecordType],"Activities", Dyno_Data[AcqCenter],2,Dyno_Data[Mode],"Auto")</f>
        <v>0</v>
      </c>
      <c r="AU167">
        <f>SUMIFS(Dyno_Data[AcqDis], Dyno_Data[Team],TBA_Matches_All[[#This Row],[Team]],Dyno_Data[Match],TBA_Matches_All[[#This Row],[Match_Number]],Dyno_Data[RecordType],"Activities", Dyno_Data[AcqCenter],3,Dyno_Data[Mode],"Auto")</f>
        <v>0</v>
      </c>
      <c r="AV167">
        <f>SUMIFS(Dyno_Data[AcqDis], Dyno_Data[Team],TBA_Matches_All[[#This Row],[Team]],Dyno_Data[Match],TBA_Matches_All[[#This Row],[Match_Number]],Dyno_Data[RecordType],"Activities", Dyno_Data[AcqCenter],4,Dyno_Data[Mode],"Auto")</f>
        <v>0</v>
      </c>
      <c r="AW167">
        <f>SUMIFS(Dyno_Data[AcqDis], Dyno_Data[Team],TBA_Matches_All[[#This Row],[Team]],Dyno_Data[Match],TBA_Matches_All[[#This Row],[Match_Number]],Dyno_Data[RecordType],"Activities", Dyno_Data[AcqCenter],5,Dyno_Data[Mode],"Auto")</f>
        <v>0</v>
      </c>
      <c r="AX167">
        <f>SUMIFS(Dyno_Data[DelMiss], Dyno_Data[Team],TBA_Matches_All[[#This Row],[Team]],Dyno_Data[Match],TBA_Matches_All[[#This Row],[Match_Number]],Dyno_Data[RecordType],"Activities", Dyno_Data[DelDest],"Amp")</f>
        <v>0</v>
      </c>
      <c r="AY167" s="60">
        <f>IFERROR(SUM((TBA_Matches_All[[#This Row],[AampT]]+TBA_Matches_All[[#This Row],[TampT]])/(TBA_Matches_All[[#This Row],[AampT]]+TBA_Matches_All[[#This Row],[TampT]]+TBA_Matches_All[[#This Row],[ampM]])),0)</f>
        <v>0</v>
      </c>
      <c r="AZ167">
        <f>SUMIFS(Dyno_Data[DelMiss], Dyno_Data[Team],TBA_Matches_All[[#This Row],[Team]],Dyno_Data[Match],TBA_Matches_All[[#This Row],[Match_Number]],Dyno_Data[RecordType],"Activities", Dyno_Data[DelDest],"Spkr")</f>
        <v>0</v>
      </c>
      <c r="BA167" s="60">
        <f>IFERROR(SUM((TBA_Matches_All[[#This Row],[AspkrT]]+TBA_Matches_All[[#This Row],[TspkrT]])/(TBA_Matches_All[[#This Row],[AspkrT]]+TBA_Matches_All[[#This Row],[TspkrT]]+TBA_Matches_All[[#This Row],[spkrM]])),0)</f>
        <v>0</v>
      </c>
      <c r="BB167">
        <f>SUMIFS(Dyno_Data[DelMiss], Dyno_Data[Team],TBA_Matches_All[[#This Row],[Team]],Dyno_Data[Match],TBA_Matches_All[[#This Row],[Match_Number]],Dyno_Data[RecordType],"Activities", Dyno_Data[DelDest],"Trap")</f>
        <v>0</v>
      </c>
      <c r="BC167" s="60">
        <f>IFERROR((TBA_Matches_All[[#This Row],[AtrapT]]+TBA_Matches_All[[#This Row],[TtrapT]])/(TBA_Matches_All[[#This Row],[AtrapT]]+TBA_Matches_All[[#This Row],[TtrapT]]+TBA_Matches_All[[#This Row],[trapM]]),0)</f>
        <v>0</v>
      </c>
      <c r="BD167">
        <f>COUNTIFS(Dyno_Data[Team],TBA_Matches_All[[#This Row],[Team]],Dyno_Data[Match],TBA_Matches_All[[#This Row],[Match_Number]],Dyno_Data[RecordType],"Activities",Dyno_Data[DelDest],"Neut", Dyno_Data[DelMiss],1)</f>
        <v>0</v>
      </c>
      <c r="BE167" s="60">
        <f>IFERROR(SUM((TBA_Matches_All[[#This Row],[NeutFlrT]])/(TBA_Matches_All[[#This Row],[NeutFlrT]]+TBA_Matches_All[[#This Row],[NZflM]])),0)</f>
        <v>0</v>
      </c>
      <c r="BF167">
        <f>COUNTIFS(Dyno_Data[Team],TBA_Matches_All[[#This Row],[Team]],Dyno_Data[Match],TBA_Matches_All[[#This Row],[Match_Number]],Dyno_Data[RecordType],"Activities",Dyno_Data[DelDest],"AllyW", Dyno_Data[DelMiss],1)</f>
        <v>0</v>
      </c>
      <c r="BG167" s="60">
        <f>IFERROR(SUM((TBA_Matches_All[[#This Row],[AllyWFlrT]])/(TBA_Matches_All[[#This Row],[AllyWFlrT]]+TBA_Matches_All[[#This Row],[AZflM]])),0)</f>
        <v>0</v>
      </c>
      <c r="BH167">
        <f>COUNTIFS(Dyno_Data[Team],TBA_Matches_All[[#This Row],[Team]],Dyno_Data[Match],TBA_Matches_All[[#This Row],[Match_Number]],Dyno_Data[RecordType],"Activities",Dyno_Data[DelOrig],"OppW", Dyno_Data[DelMiss],"0")</f>
        <v>0</v>
      </c>
      <c r="BI167">
        <f>COUNTIFS(Dyno_Data[Team],TBA_Matches_All[[#This Row],[Team]],Dyno_Data[Match],TBA_Matches_All[[#This Row],[Match_Number]],Dyno_Data[RecordType],"Activities",Dyno_Data[DelOrig],"OppW", Dyno_Data[DelMiss],"1")</f>
        <v>0</v>
      </c>
      <c r="BJ167" s="60">
        <f>IFERROR(SUM((TBA_Matches_All[[#This Row],[OZflrT]])/(TBA_Matches_All[[#This Row],[OZflrT]]+TBA_Matches_All[[#This Row],[OZflrM]])),0)</f>
        <v>0</v>
      </c>
      <c r="BK167">
        <f>COUNTIFS(Dyno_Data[Team],TBA_Matches_All[[#This Row],[Team]],Dyno_Data[Match],TBA_Matches_All[[#This Row],[Match_Number]],Dyno_Data[RecordType],"Activities",Dyno_Data[DelOrig],"Neut", Dyno_Data[DelMiss],"0")</f>
        <v>0</v>
      </c>
      <c r="BL167">
        <f>COUNTIFS(Dyno_Data[Team],TBA_Matches_All[[#This Row],[Team]],Dyno_Data[Match],TBA_Matches_All[[#This Row],[Match_Number]],Dyno_Data[RecordType],"Activities",Dyno_Data[DelOrig],"Neut", Dyno_Data[DelMiss],"1")</f>
        <v>0</v>
      </c>
      <c r="BM167" s="60">
        <f>IFERROR(SUM((TBA_Matches_All[[#This Row],[NZflrT]])/(TBA_Matches_All[[#This Row],[NZflrT]]+TBA_Matches_All[[#This Row],[NZflrM]])),0)</f>
        <v>0</v>
      </c>
      <c r="BN167">
        <f>COUNTIFS(Dyno_Data[Team],TBA_Matches_All[[#This Row],[Team]],Dyno_Data[Match],TBA_Matches_All[[#This Row],[Match_Number]],Dyno_Data[RecordType],"Activities",Dyno_Data[DelOrig],"AllyW", Dyno_Data[DelMiss],"0")</f>
        <v>0</v>
      </c>
      <c r="BO167">
        <f>COUNTIFS(Dyno_Data[Team],TBA_Matches_All[[#This Row],[Team]],Dyno_Data[Match],TBA_Matches_All[[#This Row],[Match_Number]],Dyno_Data[RecordType],"Activities",Dyno_Data[DelOrig],"AllyW", Dyno_Data[DelMiss],"1")</f>
        <v>0</v>
      </c>
      <c r="BP167" s="60">
        <f>IFERROR(SUM((TBA_Matches_All[[#This Row],[AZflrT]])/(TBA_Matches_All[[#This Row],[AZflrT]]+TBA_Matches_All[[#This Row],[AZflrM]])),0)</f>
        <v>0</v>
      </c>
      <c r="BQ167">
        <f>COUNTIFS(Dyno_Data[Team],TBA_Matches_All[[#This Row],[Team]],Dyno_Data[Match],TBA_Matches_All[[#This Row],[Match_Number]],Dyno_Data[RecordType],"Activities",Dyno_Data[DelOrig],"SubW", Dyno_Data[DelMiss],"0")</f>
        <v>0</v>
      </c>
      <c r="BR167">
        <f>COUNTIFS(Dyno_Data[Team],TBA_Matches_All[[#This Row],[Team]],Dyno_Data[Match],TBA_Matches_All[[#This Row],[Match_Number]],Dyno_Data[RecordType],"Activities",Dyno_Data[DelOrig],"SubW", Dyno_Data[DelMiss],"1")</f>
        <v>0</v>
      </c>
      <c r="BS167" s="60">
        <f>IFERROR(SUM((TBA_Matches_All[[#This Row],[SubwT]])/(TBA_Matches_All[[#This Row],[SubwT]]+TBA_Matches_All[[#This Row],[SubwM]])),0)</f>
        <v>0</v>
      </c>
      <c r="BT167">
        <f>COUNTIFS(Dyno_Data[Team],TBA_Matches_All[[#This Row],[Team]],Dyno_Data[Match],TBA_Matches_All[[#This Row],[Match_Number]],Dyno_Data[RecordType],"Activities", Dyno_Data[AcqLoc],"OppWing")</f>
        <v>0</v>
      </c>
      <c r="BU167">
        <f>COUNTIFS(Dyno_Data[Team],TBA_Matches_All[[#This Row],[Team]],Dyno_Data[Match],TBA_Matches_All[[#This Row],[Match_Number]],Dyno_Data[RecordType],"Activities", Dyno_Data[AcqLoc],"Neutral")</f>
        <v>0</v>
      </c>
      <c r="BV167">
        <f>COUNTIFS(Dyno_Data[Team],TBA_Matches_All[[#This Row],[Team]],Dyno_Data[Match],TBA_Matches_All[[#This Row],[Match_Number]],Dyno_Data[RecordType],"Activities", Dyno_Data[AcqLoc],"AllyWing")</f>
        <v>0</v>
      </c>
      <c r="BW167">
        <f>COUNTIFS(Dyno_Data[Team],TBA_Matches_All[[#This Row],[Team]],Dyno_Data[Match],TBA_Matches_All[[#This Row],[Match_Number]],Dyno_Data[RecordType],"Activities", Dyno_Data[AcqLoc],"Source")</f>
        <v>0</v>
      </c>
      <c r="BX167">
        <f>SUMIFS(Dyno_Data[AcqDrp], Dyno_Data[Team],TBA_Matches_All[[#This Row],[Team]],Dyno_Data[Match],TBA_Matches_All[[#This Row],[Match_Number]],Dyno_Data[RecordType],"Activities", Dyno_Data[AcqLoc],"Source")</f>
        <v>0</v>
      </c>
      <c r="BY167">
        <f>SUMIFS(Dyno_Data[OZTime], Dyno_Data[Team],TBA_Matches_All[[#This Row],[Team]],Dyno_Data[Match],TBA_Matches_All[[#This Row],[Match_Number]],Dyno_Data[RecordType],"EndMatch")</f>
        <v>0</v>
      </c>
      <c r="BZ167">
        <f>SUMIFS(Dyno_Data[NZTime], Dyno_Data[Team],TBA_Matches_All[[#This Row],[Team]],Dyno_Data[Match],TBA_Matches_All[[#This Row],[Match_Number]],Dyno_Data[RecordType],"EndMatch")</f>
        <v>0</v>
      </c>
      <c r="CA167">
        <f>SUMIFS(Dyno_Data[AZTime], Dyno_Data[Team],TBA_Matches_All[[#This Row],[Team]],Dyno_Data[Match],TBA_Matches_All[[#This Row],[Match_Number]],Dyno_Data[RecordType],"EndMatch")</f>
        <v>0</v>
      </c>
      <c r="CB167">
        <f>SUMIFS(Dyno_Data[ClimbT], Dyno_Data[Team],TBA_Matches_All[[#This Row],[Team]],Dyno_Data[Match],TBA_Matches_All[[#This Row],[Match_Number]],Dyno_Data[RecordType],"EndMatch")</f>
        <v>0</v>
      </c>
      <c r="CC167" t="str">
        <f>_xlfn.XLOOKUP(SUM(MID(TBA_Matches_All[[#This Row],[Team]],4,5),(TBA_Matches_All[[#This Row],[Match_Number]]/100)),Dyno_EndMatch[teammat],Dyno_EndMatch[StageStat],"_",0,1)</f>
        <v>_</v>
      </c>
      <c r="CD167" t="str">
        <f>_xlfn.XLOOKUP(TBA_Matches_All[[#This Row],[teammat]],Dyno_EndMatch[teammat],Dyno_EndMatch[StageAtt],"_",0,1)</f>
        <v>_</v>
      </c>
      <c r="CE167" t="str">
        <f>_xlfn.XLOOKUP(TBA_Matches_All[[#This Row],[teammat]],Dyno_EndMatch[teammat],Dyno_EndMatch[StageLoc],"_",0,1)</f>
        <v>_</v>
      </c>
      <c r="CF167">
        <f>SUMIFS(Dyno_Data[Harmony], Dyno_Data[Team],TBA_Matches_All[[#This Row],[Team]],Dyno_Data[Match],TBA_Matches_All[[#This Row],[Match_Number]],Dyno_Data[RecordType],"EndMatch", Dyno_Data[StageStat],"On",Dyno_Data[Harmony],"&lt;&gt;9")</f>
        <v>0</v>
      </c>
      <c r="CG167">
        <f>SUMIFS(Dyno_Data[Spotlit], Dyno_Data[Team],TBA_Matches_All[[#This Row],[Team]],Dyno_Data[Match],TBA_Matches_All[[#This Row],[Match_Number]],Dyno_Data[RecordType],"EndMatch", Dyno_Data[StageStat],"On",Dyno_Data[Spotlit],"&lt;&gt;9")</f>
        <v>0</v>
      </c>
      <c r="CH167" t="str">
        <f>_xlfn.XLOOKUP(TBA_Matches_All[[#This Row],[teammat]],Dyno_EndMatch[teammat],Dyno_EndMatch[Strategy],"_",0,1)</f>
        <v>_</v>
      </c>
      <c r="CI167">
        <f>SUMIFS(Dyno_Data[Defense], Dyno_Data[Team],TBA_Matches_All[[#This Row],[Team]],Dyno_Data[Match],TBA_Matches_All[[#This Row],[Match_Number]],Dyno_Data[RecordType],"EndMatch",Dyno_Data[Defense],"&lt;&gt;9")</f>
        <v>0</v>
      </c>
      <c r="CJ167">
        <f>SUMIFS(Dyno_Data[Avoidance], Dyno_Data[Team],TBA_Matches_All[[#This Row],[Team]],Dyno_Data[Match],TBA_Matches_All[[#This Row],[Match_Number]],Dyno_Data[RecordType],"EndMatch",Dyno_Data[Avoidance],"&lt;&gt;9")</f>
        <v>0</v>
      </c>
      <c r="CK167" s="82">
        <f>COUNTIF($H$2:TBA_Matches_All[[#This Row],[Team]],TBA_Matches_All[[#This Row],[Team]])</f>
        <v>4</v>
      </c>
      <c r="CL167" s="111">
        <f>SUM(MID(TBA_Matches_All[[#This Row],[Team]],4,5)+TBA_Matches_All[[#This Row],[Match_Number]]/100)</f>
        <v>3171.28</v>
      </c>
      <c r="CM167">
        <f>SUM((TBA_Matches_All[[#This Row],[Leave]]*2)+(TBA_Matches_All[[#This Row],[AampT]]*2)+(TBA_Matches_All[[#This Row],[AspkrT]]*5)+(TBA_Matches_All[[#This Row],[AtrapT]]*5))</f>
        <v>0</v>
      </c>
      <c r="CN167" s="59">
        <f>IFERROR(SUM(TBA_Matches_All[[#This Row],[AptsT]]/TBA_Matches_All[[#This Row],[AutoPts]]),0)</f>
        <v>0</v>
      </c>
      <c r="CO167" s="59">
        <f>IFERROR(SUM(TBA_Matches_All[[#This Row],[AampT]]+TBA_Matches_All[[#This Row],[AspkrT]]+TBA_Matches_All[[#This Row],[AtrapT]]/TBA_Matches_All[[#This Row],[Aamp]]+TBA_Matches_All[[#This Row],[Aspkr]]+TBA_Matches_All[[#This Row],[AtrapT]]),0)</f>
        <v>0</v>
      </c>
      <c r="CP167" s="59">
        <f>IFERROR(SUM(TBA_Matches_All[[#This Row],[TampT]]/TBA_Matches_All[[#This Row],[Tamp]]),0)</f>
        <v>0</v>
      </c>
      <c r="CQ167" s="59">
        <f>IFERROR(SUM(TBA_Matches_All[[#This Row],[TspkrT]]/TBA_Matches_All[[#This Row],[Tspkr]]),0)</f>
        <v>0</v>
      </c>
      <c r="CR167">
        <f>SUM(TBA_Matches_All[[#This Row],[TspkrPts]]*TBA_Matches_All[[#This Row],[TspkrP]])</f>
        <v>0</v>
      </c>
      <c r="CS167" s="59">
        <f>IFERROR(SUM(TBA_Matches_All[[#This Row],[TtrapT]]/TBA_Matches_All[[#This Row],[Trap]]),0)</f>
        <v>0</v>
      </c>
      <c r="CT167" s="59">
        <f>IFERROR(SUM(TBA_Matches_All[[#This Row],[TotNotesT]]/TBA_Matches_All[[#This Row],[TotNotes]]),0)</f>
        <v>0</v>
      </c>
      <c r="CU167" s="66">
        <f>SUM((TBA_Matches_All[[#This Row],[AampT]]*2)+(TBA_Matches_All[[#This Row],[AspkrT]]*5)+(TBA_Matches_All[[#This Row],[AtrapT]]*5)+(TBA_Matches_All[[#This Row],[TampT]]*1)+(TBA_Matches_All[[#This Row],[TspkrptsC]]))</f>
        <v>0</v>
      </c>
      <c r="CV167" s="59">
        <f>IFERROR(TBA_Matches_All[[#This Row],[noteptsT]]/TBA_Matches_All[[#This Row],[NotePts]],0)</f>
        <v>0</v>
      </c>
      <c r="CW167">
        <f>SUM(IF(TBA_Matches_All[[#This Row],[stageStat]]="On",3,0),IF(TBA_Matches_All[[#This Row],[stageStat]]="Park",1,0),SUMIFS(TBA_Matches_All[[#This Row],[Spotlit]],TBA_Matches_All[[#This Row],[stageStat]],"On"),SUMIFS(TBA_Matches_All[[#This Row],[Harmony]],TBA_Matches_All[[#This Row],[stageStat]],"On"))</f>
        <v>0</v>
      </c>
      <c r="CX167" s="59">
        <f>IFERROR(TBA_Matches_All[[#This Row],[stageptsT]]/TBA_Matches_All[[#This Row],[StagePts]],0)</f>
        <v>0</v>
      </c>
      <c r="CY167">
        <f>SUM((TBA_Matches_All[[#This Row],[AptsT]]+TBA_Matches_All[[#This Row],[TampT]]+TBA_Matches_All[[#This Row],[TspkrptsC]]+(TBA_Matches_All[[#This Row],[TtrapT]]*5)+TBA_Matches_All[[#This Row],[stageptsT]]))</f>
        <v>0</v>
      </c>
      <c r="CZ167" s="59">
        <f>IFERROR(SUM(TBA_Matches_All[[#This Row],[TotptsC]]/TBA_Matches_All[[#This Row],[Score]]),0)</f>
        <v>0</v>
      </c>
      <c r="DA16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11.714102564102564</v>
      </c>
      <c r="DB167" s="74">
        <f>SUMIFS(TBA_Matches_All[AveTeamTNoteDels],TBA_Matches_All[Match_Number],TBA_Matches_All[[#This Row],[Match_Number]],TBA_Matches_All[Alliance],"&lt;&gt;"&amp;TBA_Matches_All[[#This Row],[Alliance]],TBA_Matches_All[Scouted],"&gt;0")</f>
        <v>0</v>
      </c>
      <c r="DC167" s="74">
        <f>(TBA_Matches_All[[#This Row],[TampT]]+TBA_Matches_All[[#This Row],[TspkrptsC]])-TBA_Matches_All[[#This Row],[AveTeamTNoteDels]]</f>
        <v>-11.714102564102564</v>
      </c>
      <c r="DD167" s="74">
        <f>SUMIFS(TBA_Matches_All[AveTeamTNoteDels],TBA_Matches_All[Match_Number],TBA_Matches_All[[#This Row],[Match_Number]],TBA_Matches_All[Alliance],"&lt;&gt;"&amp;TBA_Matches_All[[#This Row],[Alliance]])-TBA_Matches_All[[#This Row],[AveOppTNoteDels]]</f>
        <v>18.044354256854255</v>
      </c>
    </row>
    <row r="168" spans="1:108" x14ac:dyDescent="0.3">
      <c r="A168" t="s">
        <v>1042</v>
      </c>
      <c r="B168" t="s">
        <v>489</v>
      </c>
      <c r="C168" t="s">
        <v>1337</v>
      </c>
      <c r="D168">
        <v>28</v>
      </c>
      <c r="E168" t="s">
        <v>1406</v>
      </c>
      <c r="F168" t="s">
        <v>1426</v>
      </c>
      <c r="G168" t="s">
        <v>164</v>
      </c>
      <c r="H168" t="s">
        <v>1275</v>
      </c>
      <c r="I168" t="b">
        <v>1</v>
      </c>
      <c r="J168">
        <v>41</v>
      </c>
      <c r="K168">
        <v>0</v>
      </c>
      <c r="L168">
        <v>0</v>
      </c>
      <c r="M168">
        <v>9</v>
      </c>
      <c r="N168">
        <v>0</v>
      </c>
      <c r="O168">
        <v>3</v>
      </c>
      <c r="P168">
        <v>15</v>
      </c>
      <c r="Q168">
        <v>19</v>
      </c>
      <c r="R168">
        <v>2</v>
      </c>
      <c r="S168">
        <v>0</v>
      </c>
      <c r="T168">
        <v>8</v>
      </c>
      <c r="U168">
        <v>0</v>
      </c>
      <c r="V168">
        <v>16</v>
      </c>
      <c r="W168">
        <v>8</v>
      </c>
      <c r="X168">
        <v>16</v>
      </c>
      <c r="Y168">
        <v>18</v>
      </c>
      <c r="Z168">
        <v>0</v>
      </c>
      <c r="AA168">
        <v>0</v>
      </c>
      <c r="AB168">
        <v>13</v>
      </c>
      <c r="AC168">
        <v>33</v>
      </c>
      <c r="AD168">
        <v>2</v>
      </c>
      <c r="AE168">
        <f>IFERROR(6/(COUNTIF(Dyno_EndMatch[Match],TBA_Matches_All[[#This Row],[Match_Number]])),0)</f>
        <v>0</v>
      </c>
      <c r="AF168">
        <f>COUNTIFS(Dyno_Data[Team],TBA_Matches_All[[#This Row],[Team]],Dyno_Data[Match],TBA_Matches_All[[#This Row],[Match_Number]],Dyno_Data[RecordType],"EndMatch",Dyno_Data[HPAmp],"Y")</f>
        <v>0</v>
      </c>
      <c r="AG168">
        <f>SUMIFS(Dyno_Data[Mics], Dyno_Data[Team],TBA_Matches_All[[#This Row],[Team]],Dyno_Data[Match],TBA_Matches_All[[#This Row],[Match_Number]],Dyno_Data[RecordType],"EndMatch",Dyno_Data[HPAmp],"Y")</f>
        <v>0</v>
      </c>
      <c r="AH168">
        <f>SUMIFS(Dyno_Data[Leave], Dyno_Data[Team],TBA_Matches_All[[#This Row],[Team]],Dyno_Data[Match],TBA_Matches_All[[#This Row],[Match_Number]],Dyno_Data[RecordType],"EndAuto")</f>
        <v>0</v>
      </c>
      <c r="AI168">
        <f>COUNTIFS(Dyno_Data[Team],TBA_Matches_All[[#This Row],[Team]],Dyno_Data[Match],TBA_Matches_All[[#This Row],[Match_Number]],Dyno_Data[RecordType],"Activities",Dyno_Data[DelDest],"Amp", Dyno_Data[DelMiss],"0", Dyno_Data[Mode],"Auto")</f>
        <v>0</v>
      </c>
      <c r="AJ168">
        <f>COUNTIFS(Dyno_Data[Team],TBA_Matches_All[[#This Row],[Team]],Dyno_Data[Match],TBA_Matches_All[[#This Row],[Match_Number]],Dyno_Data[RecordType],"Activities",Dyno_Data[DelDest],"Spkr", Dyno_Data[DelMiss],"0", Dyno_Data[Mode],"Auto")</f>
        <v>0</v>
      </c>
      <c r="AK168">
        <f>COUNTIFS(Dyno_Data[Team],TBA_Matches_All[[#This Row],[Team]],Dyno_Data[Match],TBA_Matches_All[[#This Row],[Match_Number]],Dyno_Data[RecordType],"Activities",Dyno_Data[DelDest],"Trap", Dyno_Data[DelMiss],"0", Dyno_Data[Mode],"Auto")</f>
        <v>0</v>
      </c>
      <c r="AL168">
        <f>COUNTIFS(Dyno_Data[Team],TBA_Matches_All[[#This Row],[Team]],Dyno_Data[Match],TBA_Matches_All[[#This Row],[Match_Number]],Dyno_Data[RecordType],"Activities",Dyno_Data[DelDest],"Amp", Dyno_Data[DelMiss],"0", Dyno_Data[Mode],"Teleop")</f>
        <v>0</v>
      </c>
      <c r="AM168">
        <f>COUNTIFS(Dyno_Data[Team],TBA_Matches_All[[#This Row],[Team]],Dyno_Data[Match],TBA_Matches_All[[#This Row],[Match_Number]],Dyno_Data[RecordType],"Activities",Dyno_Data[DelDest],"Spkr", Dyno_Data[DelMiss],"0", Dyno_Data[Mode],"Teleop")</f>
        <v>0</v>
      </c>
      <c r="AN168">
        <f>COUNTIFS(Dyno_Data[Team],TBA_Matches_All[[#This Row],[Team]],Dyno_Data[Match],TBA_Matches_All[[#This Row],[Match_Number]],Dyno_Data[RecordType],"Activities",Dyno_Data[DelDest],"Trap", Dyno_Data[DelMiss],"0", Dyno_Data[Mode],"&lt;&gt;Auto")</f>
        <v>0</v>
      </c>
      <c r="AO168">
        <f>SUM(TBA_Matches_All[[#This Row],[AampT]]+TBA_Matches_All[[#This Row],[AspkrT]]+TBA_Matches_All[[#This Row],[AtrapT]]+TBA_Matches_All[[#This Row],[TampT]]+TBA_Matches_All[[#This Row],[TspkrT]]+TBA_Matches_All[[#This Row],[TtrapT]])</f>
        <v>0</v>
      </c>
      <c r="AP168">
        <f>COUNTIFS(Dyno_Data[Team],TBA_Matches_All[[#This Row],[Team]],Dyno_Data[Match],TBA_Matches_All[[#This Row],[Match_Number]],Dyno_Data[RecordType],"Activities",Dyno_Data[DelDest],"Neut", Dyno_Data[DelMiss],"0")</f>
        <v>0</v>
      </c>
      <c r="AQ168">
        <f>COUNTIFS(Dyno_Data[Team],TBA_Matches_All[[#This Row],[Team]],Dyno_Data[Match],TBA_Matches_All[[#This Row],[Match_Number]],Dyno_Data[RecordType],"Activities",Dyno_Data[DelDest],"AllyW", Dyno_Data[DelMiss],"0")</f>
        <v>0</v>
      </c>
      <c r="AR168" t="str">
        <f>_xlfn.XLOOKUP(SUM(MID(TBA_Matches_All[[#This Row],[Team]],4,5),(TBA_Matches_All[[#This Row],[Match_Number]]/100)),Dyno_EndMatch[teammat],Dyno_EndMatch[RobotSta],"_",0,1)</f>
        <v>_</v>
      </c>
      <c r="AS168">
        <f>SUMIFS(Dyno_Data[AcqDis], Dyno_Data[Team],TBA_Matches_All[[#This Row],[Team]],Dyno_Data[Match],TBA_Matches_All[[#This Row],[Match_Number]],Dyno_Data[RecordType],"Activities", Dyno_Data[AcqCenter],1,Dyno_Data[Mode],"Auto")</f>
        <v>0</v>
      </c>
      <c r="AT168">
        <f>SUMIFS(Dyno_Data[AcqDis], Dyno_Data[Team],TBA_Matches_All[[#This Row],[Team]],Dyno_Data[Match],TBA_Matches_All[[#This Row],[Match_Number]],Dyno_Data[RecordType],"Activities", Dyno_Data[AcqCenter],2,Dyno_Data[Mode],"Auto")</f>
        <v>0</v>
      </c>
      <c r="AU168">
        <f>SUMIFS(Dyno_Data[AcqDis], Dyno_Data[Team],TBA_Matches_All[[#This Row],[Team]],Dyno_Data[Match],TBA_Matches_All[[#This Row],[Match_Number]],Dyno_Data[RecordType],"Activities", Dyno_Data[AcqCenter],3,Dyno_Data[Mode],"Auto")</f>
        <v>0</v>
      </c>
      <c r="AV168">
        <f>SUMIFS(Dyno_Data[AcqDis], Dyno_Data[Team],TBA_Matches_All[[#This Row],[Team]],Dyno_Data[Match],TBA_Matches_All[[#This Row],[Match_Number]],Dyno_Data[RecordType],"Activities", Dyno_Data[AcqCenter],4,Dyno_Data[Mode],"Auto")</f>
        <v>0</v>
      </c>
      <c r="AW168">
        <f>SUMIFS(Dyno_Data[AcqDis], Dyno_Data[Team],TBA_Matches_All[[#This Row],[Team]],Dyno_Data[Match],TBA_Matches_All[[#This Row],[Match_Number]],Dyno_Data[RecordType],"Activities", Dyno_Data[AcqCenter],5,Dyno_Data[Mode],"Auto")</f>
        <v>0</v>
      </c>
      <c r="AX168">
        <f>SUMIFS(Dyno_Data[DelMiss], Dyno_Data[Team],TBA_Matches_All[[#This Row],[Team]],Dyno_Data[Match],TBA_Matches_All[[#This Row],[Match_Number]],Dyno_Data[RecordType],"Activities", Dyno_Data[DelDest],"Amp")</f>
        <v>0</v>
      </c>
      <c r="AY168" s="60">
        <f>IFERROR(SUM((TBA_Matches_All[[#This Row],[AampT]]+TBA_Matches_All[[#This Row],[TampT]])/(TBA_Matches_All[[#This Row],[AampT]]+TBA_Matches_All[[#This Row],[TampT]]+TBA_Matches_All[[#This Row],[ampM]])),0)</f>
        <v>0</v>
      </c>
      <c r="AZ168">
        <f>SUMIFS(Dyno_Data[DelMiss], Dyno_Data[Team],TBA_Matches_All[[#This Row],[Team]],Dyno_Data[Match],TBA_Matches_All[[#This Row],[Match_Number]],Dyno_Data[RecordType],"Activities", Dyno_Data[DelDest],"Spkr")</f>
        <v>0</v>
      </c>
      <c r="BA168" s="60">
        <f>IFERROR(SUM((TBA_Matches_All[[#This Row],[AspkrT]]+TBA_Matches_All[[#This Row],[TspkrT]])/(TBA_Matches_All[[#This Row],[AspkrT]]+TBA_Matches_All[[#This Row],[TspkrT]]+TBA_Matches_All[[#This Row],[spkrM]])),0)</f>
        <v>0</v>
      </c>
      <c r="BB168">
        <f>SUMIFS(Dyno_Data[DelMiss], Dyno_Data[Team],TBA_Matches_All[[#This Row],[Team]],Dyno_Data[Match],TBA_Matches_All[[#This Row],[Match_Number]],Dyno_Data[RecordType],"Activities", Dyno_Data[DelDest],"Trap")</f>
        <v>0</v>
      </c>
      <c r="BC168" s="60">
        <f>IFERROR((TBA_Matches_All[[#This Row],[AtrapT]]+TBA_Matches_All[[#This Row],[TtrapT]])/(TBA_Matches_All[[#This Row],[AtrapT]]+TBA_Matches_All[[#This Row],[TtrapT]]+TBA_Matches_All[[#This Row],[trapM]]),0)</f>
        <v>0</v>
      </c>
      <c r="BD168">
        <f>COUNTIFS(Dyno_Data[Team],TBA_Matches_All[[#This Row],[Team]],Dyno_Data[Match],TBA_Matches_All[[#This Row],[Match_Number]],Dyno_Data[RecordType],"Activities",Dyno_Data[DelDest],"Neut", Dyno_Data[DelMiss],1)</f>
        <v>0</v>
      </c>
      <c r="BE168" s="60">
        <f>IFERROR(SUM((TBA_Matches_All[[#This Row],[NeutFlrT]])/(TBA_Matches_All[[#This Row],[NeutFlrT]]+TBA_Matches_All[[#This Row],[NZflM]])),0)</f>
        <v>0</v>
      </c>
      <c r="BF168">
        <f>COUNTIFS(Dyno_Data[Team],TBA_Matches_All[[#This Row],[Team]],Dyno_Data[Match],TBA_Matches_All[[#This Row],[Match_Number]],Dyno_Data[RecordType],"Activities",Dyno_Data[DelDest],"AllyW", Dyno_Data[DelMiss],1)</f>
        <v>0</v>
      </c>
      <c r="BG168" s="60">
        <f>IFERROR(SUM((TBA_Matches_All[[#This Row],[AllyWFlrT]])/(TBA_Matches_All[[#This Row],[AllyWFlrT]]+TBA_Matches_All[[#This Row],[AZflM]])),0)</f>
        <v>0</v>
      </c>
      <c r="BH168">
        <f>COUNTIFS(Dyno_Data[Team],TBA_Matches_All[[#This Row],[Team]],Dyno_Data[Match],TBA_Matches_All[[#This Row],[Match_Number]],Dyno_Data[RecordType],"Activities",Dyno_Data[DelOrig],"OppW", Dyno_Data[DelMiss],"0")</f>
        <v>0</v>
      </c>
      <c r="BI168">
        <f>COUNTIFS(Dyno_Data[Team],TBA_Matches_All[[#This Row],[Team]],Dyno_Data[Match],TBA_Matches_All[[#This Row],[Match_Number]],Dyno_Data[RecordType],"Activities",Dyno_Data[DelOrig],"OppW", Dyno_Data[DelMiss],"1")</f>
        <v>0</v>
      </c>
      <c r="BJ168" s="60">
        <f>IFERROR(SUM((TBA_Matches_All[[#This Row],[OZflrT]])/(TBA_Matches_All[[#This Row],[OZflrT]]+TBA_Matches_All[[#This Row],[OZflrM]])),0)</f>
        <v>0</v>
      </c>
      <c r="BK168">
        <f>COUNTIFS(Dyno_Data[Team],TBA_Matches_All[[#This Row],[Team]],Dyno_Data[Match],TBA_Matches_All[[#This Row],[Match_Number]],Dyno_Data[RecordType],"Activities",Dyno_Data[DelOrig],"Neut", Dyno_Data[DelMiss],"0")</f>
        <v>0</v>
      </c>
      <c r="BL168">
        <f>COUNTIFS(Dyno_Data[Team],TBA_Matches_All[[#This Row],[Team]],Dyno_Data[Match],TBA_Matches_All[[#This Row],[Match_Number]],Dyno_Data[RecordType],"Activities",Dyno_Data[DelOrig],"Neut", Dyno_Data[DelMiss],"1")</f>
        <v>0</v>
      </c>
      <c r="BM168" s="60">
        <f>IFERROR(SUM((TBA_Matches_All[[#This Row],[NZflrT]])/(TBA_Matches_All[[#This Row],[NZflrT]]+TBA_Matches_All[[#This Row],[NZflrM]])),0)</f>
        <v>0</v>
      </c>
      <c r="BN168">
        <f>COUNTIFS(Dyno_Data[Team],TBA_Matches_All[[#This Row],[Team]],Dyno_Data[Match],TBA_Matches_All[[#This Row],[Match_Number]],Dyno_Data[RecordType],"Activities",Dyno_Data[DelOrig],"AllyW", Dyno_Data[DelMiss],"0")</f>
        <v>0</v>
      </c>
      <c r="BO168">
        <f>COUNTIFS(Dyno_Data[Team],TBA_Matches_All[[#This Row],[Team]],Dyno_Data[Match],TBA_Matches_All[[#This Row],[Match_Number]],Dyno_Data[RecordType],"Activities",Dyno_Data[DelOrig],"AllyW", Dyno_Data[DelMiss],"1")</f>
        <v>0</v>
      </c>
      <c r="BP168" s="60">
        <f>IFERROR(SUM((TBA_Matches_All[[#This Row],[AZflrT]])/(TBA_Matches_All[[#This Row],[AZflrT]]+TBA_Matches_All[[#This Row],[AZflrM]])),0)</f>
        <v>0</v>
      </c>
      <c r="BQ168">
        <f>COUNTIFS(Dyno_Data[Team],TBA_Matches_All[[#This Row],[Team]],Dyno_Data[Match],TBA_Matches_All[[#This Row],[Match_Number]],Dyno_Data[RecordType],"Activities",Dyno_Data[DelOrig],"SubW", Dyno_Data[DelMiss],"0")</f>
        <v>0</v>
      </c>
      <c r="BR168">
        <f>COUNTIFS(Dyno_Data[Team],TBA_Matches_All[[#This Row],[Team]],Dyno_Data[Match],TBA_Matches_All[[#This Row],[Match_Number]],Dyno_Data[RecordType],"Activities",Dyno_Data[DelOrig],"SubW", Dyno_Data[DelMiss],"1")</f>
        <v>0</v>
      </c>
      <c r="BS168" s="60">
        <f>IFERROR(SUM((TBA_Matches_All[[#This Row],[SubwT]])/(TBA_Matches_All[[#This Row],[SubwT]]+TBA_Matches_All[[#This Row],[SubwM]])),0)</f>
        <v>0</v>
      </c>
      <c r="BT168">
        <f>COUNTIFS(Dyno_Data[Team],TBA_Matches_All[[#This Row],[Team]],Dyno_Data[Match],TBA_Matches_All[[#This Row],[Match_Number]],Dyno_Data[RecordType],"Activities", Dyno_Data[AcqLoc],"OppWing")</f>
        <v>0</v>
      </c>
      <c r="BU168">
        <f>COUNTIFS(Dyno_Data[Team],TBA_Matches_All[[#This Row],[Team]],Dyno_Data[Match],TBA_Matches_All[[#This Row],[Match_Number]],Dyno_Data[RecordType],"Activities", Dyno_Data[AcqLoc],"Neutral")</f>
        <v>0</v>
      </c>
      <c r="BV168">
        <f>COUNTIFS(Dyno_Data[Team],TBA_Matches_All[[#This Row],[Team]],Dyno_Data[Match],TBA_Matches_All[[#This Row],[Match_Number]],Dyno_Data[RecordType],"Activities", Dyno_Data[AcqLoc],"AllyWing")</f>
        <v>0</v>
      </c>
      <c r="BW168">
        <f>COUNTIFS(Dyno_Data[Team],TBA_Matches_All[[#This Row],[Team]],Dyno_Data[Match],TBA_Matches_All[[#This Row],[Match_Number]],Dyno_Data[RecordType],"Activities", Dyno_Data[AcqLoc],"Source")</f>
        <v>0</v>
      </c>
      <c r="BX168">
        <f>SUMIFS(Dyno_Data[AcqDrp], Dyno_Data[Team],TBA_Matches_All[[#This Row],[Team]],Dyno_Data[Match],TBA_Matches_All[[#This Row],[Match_Number]],Dyno_Data[RecordType],"Activities", Dyno_Data[AcqLoc],"Source")</f>
        <v>0</v>
      </c>
      <c r="BY168">
        <f>SUMIFS(Dyno_Data[OZTime], Dyno_Data[Team],TBA_Matches_All[[#This Row],[Team]],Dyno_Data[Match],TBA_Matches_All[[#This Row],[Match_Number]],Dyno_Data[RecordType],"EndMatch")</f>
        <v>0</v>
      </c>
      <c r="BZ168">
        <f>SUMIFS(Dyno_Data[NZTime], Dyno_Data[Team],TBA_Matches_All[[#This Row],[Team]],Dyno_Data[Match],TBA_Matches_All[[#This Row],[Match_Number]],Dyno_Data[RecordType],"EndMatch")</f>
        <v>0</v>
      </c>
      <c r="CA168">
        <f>SUMIFS(Dyno_Data[AZTime], Dyno_Data[Team],TBA_Matches_All[[#This Row],[Team]],Dyno_Data[Match],TBA_Matches_All[[#This Row],[Match_Number]],Dyno_Data[RecordType],"EndMatch")</f>
        <v>0</v>
      </c>
      <c r="CB168">
        <f>SUMIFS(Dyno_Data[ClimbT], Dyno_Data[Team],TBA_Matches_All[[#This Row],[Team]],Dyno_Data[Match],TBA_Matches_All[[#This Row],[Match_Number]],Dyno_Data[RecordType],"EndMatch")</f>
        <v>0</v>
      </c>
      <c r="CC168" t="str">
        <f>_xlfn.XLOOKUP(SUM(MID(TBA_Matches_All[[#This Row],[Team]],4,5),(TBA_Matches_All[[#This Row],[Match_Number]]/100)),Dyno_EndMatch[teammat],Dyno_EndMatch[StageStat],"_",0,1)</f>
        <v>_</v>
      </c>
      <c r="CD168" t="str">
        <f>_xlfn.XLOOKUP(TBA_Matches_All[[#This Row],[teammat]],Dyno_EndMatch[teammat],Dyno_EndMatch[StageAtt],"_",0,1)</f>
        <v>_</v>
      </c>
      <c r="CE168" t="str">
        <f>_xlfn.XLOOKUP(TBA_Matches_All[[#This Row],[teammat]],Dyno_EndMatch[teammat],Dyno_EndMatch[StageLoc],"_",0,1)</f>
        <v>_</v>
      </c>
      <c r="CF168">
        <f>SUMIFS(Dyno_Data[Harmony], Dyno_Data[Team],TBA_Matches_All[[#This Row],[Team]],Dyno_Data[Match],TBA_Matches_All[[#This Row],[Match_Number]],Dyno_Data[RecordType],"EndMatch", Dyno_Data[StageStat],"On",Dyno_Data[Harmony],"&lt;&gt;9")</f>
        <v>0</v>
      </c>
      <c r="CG168">
        <f>SUMIFS(Dyno_Data[Spotlit], Dyno_Data[Team],TBA_Matches_All[[#This Row],[Team]],Dyno_Data[Match],TBA_Matches_All[[#This Row],[Match_Number]],Dyno_Data[RecordType],"EndMatch", Dyno_Data[StageStat],"On",Dyno_Data[Spotlit],"&lt;&gt;9")</f>
        <v>0</v>
      </c>
      <c r="CH168" t="str">
        <f>_xlfn.XLOOKUP(TBA_Matches_All[[#This Row],[teammat]],Dyno_EndMatch[teammat],Dyno_EndMatch[Strategy],"_",0,1)</f>
        <v>_</v>
      </c>
      <c r="CI168">
        <f>SUMIFS(Dyno_Data[Defense], Dyno_Data[Team],TBA_Matches_All[[#This Row],[Team]],Dyno_Data[Match],TBA_Matches_All[[#This Row],[Match_Number]],Dyno_Data[RecordType],"EndMatch",Dyno_Data[Defense],"&lt;&gt;9")</f>
        <v>0</v>
      </c>
      <c r="CJ168">
        <f>SUMIFS(Dyno_Data[Avoidance], Dyno_Data[Team],TBA_Matches_All[[#This Row],[Team]],Dyno_Data[Match],TBA_Matches_All[[#This Row],[Match_Number]],Dyno_Data[RecordType],"EndMatch",Dyno_Data[Avoidance],"&lt;&gt;9")</f>
        <v>0</v>
      </c>
      <c r="CK168" s="82">
        <f>COUNTIF($H$2:TBA_Matches_All[[#This Row],[Team]],TBA_Matches_All[[#This Row],[Team]])</f>
        <v>4</v>
      </c>
      <c r="CL168" s="111">
        <f>SUM(MID(TBA_Matches_All[[#This Row],[Team]],4,5)+TBA_Matches_All[[#This Row],[Match_Number]]/100)</f>
        <v>1880.28</v>
      </c>
      <c r="CM168">
        <f>SUM((TBA_Matches_All[[#This Row],[Leave]]*2)+(TBA_Matches_All[[#This Row],[AampT]]*2)+(TBA_Matches_All[[#This Row],[AspkrT]]*5)+(TBA_Matches_All[[#This Row],[AtrapT]]*5))</f>
        <v>0</v>
      </c>
      <c r="CN168" s="59">
        <f>IFERROR(SUM(TBA_Matches_All[[#This Row],[AptsT]]/TBA_Matches_All[[#This Row],[AutoPts]]),0)</f>
        <v>0</v>
      </c>
      <c r="CO168" s="59">
        <f>IFERROR(SUM(TBA_Matches_All[[#This Row],[AampT]]+TBA_Matches_All[[#This Row],[AspkrT]]+TBA_Matches_All[[#This Row],[AtrapT]]/TBA_Matches_All[[#This Row],[Aamp]]+TBA_Matches_All[[#This Row],[Aspkr]]+TBA_Matches_All[[#This Row],[AtrapT]]),0)</f>
        <v>0</v>
      </c>
      <c r="CP168" s="59">
        <f>IFERROR(SUM(TBA_Matches_All[[#This Row],[TampT]]/TBA_Matches_All[[#This Row],[Tamp]]),0)</f>
        <v>0</v>
      </c>
      <c r="CQ168" s="59">
        <f>IFERROR(SUM(TBA_Matches_All[[#This Row],[TspkrT]]/TBA_Matches_All[[#This Row],[Tspkr]]),0)</f>
        <v>0</v>
      </c>
      <c r="CR168">
        <f>SUM(TBA_Matches_All[[#This Row],[TspkrPts]]*TBA_Matches_All[[#This Row],[TspkrP]])</f>
        <v>0</v>
      </c>
      <c r="CS168" s="59">
        <f>IFERROR(SUM(TBA_Matches_All[[#This Row],[TtrapT]]/TBA_Matches_All[[#This Row],[Trap]]),0)</f>
        <v>0</v>
      </c>
      <c r="CT168" s="59">
        <f>IFERROR(SUM(TBA_Matches_All[[#This Row],[TotNotesT]]/TBA_Matches_All[[#This Row],[TotNotes]]),0)</f>
        <v>0</v>
      </c>
      <c r="CU168" s="66">
        <f>SUM((TBA_Matches_All[[#This Row],[AampT]]*2)+(TBA_Matches_All[[#This Row],[AspkrT]]*5)+(TBA_Matches_All[[#This Row],[AtrapT]]*5)+(TBA_Matches_All[[#This Row],[TampT]]*1)+(TBA_Matches_All[[#This Row],[TspkrptsC]]))</f>
        <v>0</v>
      </c>
      <c r="CV168" s="59">
        <f>IFERROR(TBA_Matches_All[[#This Row],[noteptsT]]/TBA_Matches_All[[#This Row],[NotePts]],0)</f>
        <v>0</v>
      </c>
      <c r="CW168">
        <f>SUM(IF(TBA_Matches_All[[#This Row],[stageStat]]="On",3,0),IF(TBA_Matches_All[[#This Row],[stageStat]]="Park",1,0),SUMIFS(TBA_Matches_All[[#This Row],[Spotlit]],TBA_Matches_All[[#This Row],[stageStat]],"On"),SUMIFS(TBA_Matches_All[[#This Row],[Harmony]],TBA_Matches_All[[#This Row],[stageStat]],"On"))</f>
        <v>0</v>
      </c>
      <c r="CX168" s="59">
        <f>IFERROR(TBA_Matches_All[[#This Row],[stageptsT]]/TBA_Matches_All[[#This Row],[StagePts]],0)</f>
        <v>0</v>
      </c>
      <c r="CY168">
        <f>SUM((TBA_Matches_All[[#This Row],[AptsT]]+TBA_Matches_All[[#This Row],[TampT]]+TBA_Matches_All[[#This Row],[TspkrptsC]]+(TBA_Matches_All[[#This Row],[TtrapT]]*5)+TBA_Matches_All[[#This Row],[stageptsT]]))</f>
        <v>0</v>
      </c>
      <c r="CZ168" s="59">
        <f>IFERROR(SUM(TBA_Matches_All[[#This Row],[TotptsC]]/TBA_Matches_All[[#This Row],[Score]]),0)</f>
        <v>0</v>
      </c>
      <c r="DA16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5.3887987012987013</v>
      </c>
      <c r="DB168" s="74">
        <f>SUMIFS(TBA_Matches_All[AveTeamTNoteDels],TBA_Matches_All[Match_Number],TBA_Matches_All[[#This Row],[Match_Number]],TBA_Matches_All[Alliance],"&lt;&gt;"&amp;TBA_Matches_All[[#This Row],[Alliance]],TBA_Matches_All[Scouted],"&gt;0")</f>
        <v>0</v>
      </c>
      <c r="DC168" s="74">
        <f>(TBA_Matches_All[[#This Row],[TampT]]+TBA_Matches_All[[#This Row],[TspkrptsC]])-TBA_Matches_All[[#This Row],[AveTeamTNoteDels]]</f>
        <v>-5.3887987012987013</v>
      </c>
      <c r="DD168" s="74">
        <f>SUMIFS(TBA_Matches_All[AveTeamTNoteDels],TBA_Matches_All[Match_Number],TBA_Matches_All[[#This Row],[Match_Number]],TBA_Matches_All[Alliance],"&lt;&gt;"&amp;TBA_Matches_All[[#This Row],[Alliance]])-TBA_Matches_All[[#This Row],[AveOppTNoteDels]]</f>
        <v>35.387912087912085</v>
      </c>
    </row>
    <row r="169" spans="1:108" x14ac:dyDescent="0.3">
      <c r="A169" t="s">
        <v>1042</v>
      </c>
      <c r="B169" t="s">
        <v>489</v>
      </c>
      <c r="C169" t="s">
        <v>1337</v>
      </c>
      <c r="D169">
        <v>28</v>
      </c>
      <c r="E169" t="s">
        <v>1420</v>
      </c>
      <c r="F169" t="s">
        <v>1421</v>
      </c>
      <c r="G169" t="s">
        <v>164</v>
      </c>
      <c r="H169" t="s">
        <v>360</v>
      </c>
      <c r="I169" t="b">
        <v>1</v>
      </c>
      <c r="J169">
        <v>96</v>
      </c>
      <c r="K169">
        <v>1</v>
      </c>
      <c r="L169">
        <v>1</v>
      </c>
      <c r="M169">
        <v>2</v>
      </c>
      <c r="N169">
        <v>0</v>
      </c>
      <c r="O169">
        <v>4</v>
      </c>
      <c r="P169">
        <v>20</v>
      </c>
      <c r="Q169">
        <v>22</v>
      </c>
      <c r="R169">
        <v>5</v>
      </c>
      <c r="S169">
        <v>8</v>
      </c>
      <c r="T169">
        <v>3</v>
      </c>
      <c r="U169">
        <v>40</v>
      </c>
      <c r="V169">
        <v>6</v>
      </c>
      <c r="W169">
        <v>11</v>
      </c>
      <c r="X169">
        <v>46</v>
      </c>
      <c r="Y169">
        <v>51</v>
      </c>
      <c r="Z169">
        <v>5</v>
      </c>
      <c r="AA169">
        <v>1</v>
      </c>
      <c r="AB169">
        <v>20</v>
      </c>
      <c r="AC169">
        <v>71</v>
      </c>
      <c r="AD169">
        <v>14</v>
      </c>
      <c r="AE169">
        <f>IFERROR(6/(COUNTIF(Dyno_EndMatch[Match],TBA_Matches_All[[#This Row],[Match_Number]])),0)</f>
        <v>0</v>
      </c>
      <c r="AF169">
        <f>COUNTIFS(Dyno_Data[Team],TBA_Matches_All[[#This Row],[Team]],Dyno_Data[Match],TBA_Matches_All[[#This Row],[Match_Number]],Dyno_Data[RecordType],"EndMatch",Dyno_Data[HPAmp],"Y")</f>
        <v>0</v>
      </c>
      <c r="AG169">
        <f>SUMIFS(Dyno_Data[Mics], Dyno_Data[Team],TBA_Matches_All[[#This Row],[Team]],Dyno_Data[Match],TBA_Matches_All[[#This Row],[Match_Number]],Dyno_Data[RecordType],"EndMatch",Dyno_Data[HPAmp],"Y")</f>
        <v>0</v>
      </c>
      <c r="AH169">
        <f>SUMIFS(Dyno_Data[Leave], Dyno_Data[Team],TBA_Matches_All[[#This Row],[Team]],Dyno_Data[Match],TBA_Matches_All[[#This Row],[Match_Number]],Dyno_Data[RecordType],"EndAuto")</f>
        <v>0</v>
      </c>
      <c r="AI169">
        <f>COUNTIFS(Dyno_Data[Team],TBA_Matches_All[[#This Row],[Team]],Dyno_Data[Match],TBA_Matches_All[[#This Row],[Match_Number]],Dyno_Data[RecordType],"Activities",Dyno_Data[DelDest],"Amp", Dyno_Data[DelMiss],"0", Dyno_Data[Mode],"Auto")</f>
        <v>0</v>
      </c>
      <c r="AJ169">
        <f>COUNTIFS(Dyno_Data[Team],TBA_Matches_All[[#This Row],[Team]],Dyno_Data[Match],TBA_Matches_All[[#This Row],[Match_Number]],Dyno_Data[RecordType],"Activities",Dyno_Data[DelDest],"Spkr", Dyno_Data[DelMiss],"0", Dyno_Data[Mode],"Auto")</f>
        <v>0</v>
      </c>
      <c r="AK169">
        <f>COUNTIFS(Dyno_Data[Team],TBA_Matches_All[[#This Row],[Team]],Dyno_Data[Match],TBA_Matches_All[[#This Row],[Match_Number]],Dyno_Data[RecordType],"Activities",Dyno_Data[DelDest],"Trap", Dyno_Data[DelMiss],"0", Dyno_Data[Mode],"Auto")</f>
        <v>0</v>
      </c>
      <c r="AL169">
        <f>COUNTIFS(Dyno_Data[Team],TBA_Matches_All[[#This Row],[Team]],Dyno_Data[Match],TBA_Matches_All[[#This Row],[Match_Number]],Dyno_Data[RecordType],"Activities",Dyno_Data[DelDest],"Amp", Dyno_Data[DelMiss],"0", Dyno_Data[Mode],"Teleop")</f>
        <v>0</v>
      </c>
      <c r="AM169">
        <f>COUNTIFS(Dyno_Data[Team],TBA_Matches_All[[#This Row],[Team]],Dyno_Data[Match],TBA_Matches_All[[#This Row],[Match_Number]],Dyno_Data[RecordType],"Activities",Dyno_Data[DelDest],"Spkr", Dyno_Data[DelMiss],"0", Dyno_Data[Mode],"Teleop")</f>
        <v>0</v>
      </c>
      <c r="AN169">
        <f>COUNTIFS(Dyno_Data[Team],TBA_Matches_All[[#This Row],[Team]],Dyno_Data[Match],TBA_Matches_All[[#This Row],[Match_Number]],Dyno_Data[RecordType],"Activities",Dyno_Data[DelDest],"Trap", Dyno_Data[DelMiss],"0", Dyno_Data[Mode],"&lt;&gt;Auto")</f>
        <v>0</v>
      </c>
      <c r="AO169">
        <f>SUM(TBA_Matches_All[[#This Row],[AampT]]+TBA_Matches_All[[#This Row],[AspkrT]]+TBA_Matches_All[[#This Row],[AtrapT]]+TBA_Matches_All[[#This Row],[TampT]]+TBA_Matches_All[[#This Row],[TspkrT]]+TBA_Matches_All[[#This Row],[TtrapT]])</f>
        <v>0</v>
      </c>
      <c r="AP169">
        <f>COUNTIFS(Dyno_Data[Team],TBA_Matches_All[[#This Row],[Team]],Dyno_Data[Match],TBA_Matches_All[[#This Row],[Match_Number]],Dyno_Data[RecordType],"Activities",Dyno_Data[DelDest],"Neut", Dyno_Data[DelMiss],"0")</f>
        <v>0</v>
      </c>
      <c r="AQ169">
        <f>COUNTIFS(Dyno_Data[Team],TBA_Matches_All[[#This Row],[Team]],Dyno_Data[Match],TBA_Matches_All[[#This Row],[Match_Number]],Dyno_Data[RecordType],"Activities",Dyno_Data[DelDest],"AllyW", Dyno_Data[DelMiss],"0")</f>
        <v>0</v>
      </c>
      <c r="AR169" t="str">
        <f>_xlfn.XLOOKUP(SUM(MID(TBA_Matches_All[[#This Row],[Team]],4,5),(TBA_Matches_All[[#This Row],[Match_Number]]/100)),Dyno_EndMatch[teammat],Dyno_EndMatch[RobotSta],"_",0,1)</f>
        <v>_</v>
      </c>
      <c r="AS169">
        <f>SUMIFS(Dyno_Data[AcqDis], Dyno_Data[Team],TBA_Matches_All[[#This Row],[Team]],Dyno_Data[Match],TBA_Matches_All[[#This Row],[Match_Number]],Dyno_Data[RecordType],"Activities", Dyno_Data[AcqCenter],1,Dyno_Data[Mode],"Auto")</f>
        <v>0</v>
      </c>
      <c r="AT169">
        <f>SUMIFS(Dyno_Data[AcqDis], Dyno_Data[Team],TBA_Matches_All[[#This Row],[Team]],Dyno_Data[Match],TBA_Matches_All[[#This Row],[Match_Number]],Dyno_Data[RecordType],"Activities", Dyno_Data[AcqCenter],2,Dyno_Data[Mode],"Auto")</f>
        <v>0</v>
      </c>
      <c r="AU169">
        <f>SUMIFS(Dyno_Data[AcqDis], Dyno_Data[Team],TBA_Matches_All[[#This Row],[Team]],Dyno_Data[Match],TBA_Matches_All[[#This Row],[Match_Number]],Dyno_Data[RecordType],"Activities", Dyno_Data[AcqCenter],3,Dyno_Data[Mode],"Auto")</f>
        <v>0</v>
      </c>
      <c r="AV169">
        <f>SUMIFS(Dyno_Data[AcqDis], Dyno_Data[Team],TBA_Matches_All[[#This Row],[Team]],Dyno_Data[Match],TBA_Matches_All[[#This Row],[Match_Number]],Dyno_Data[RecordType],"Activities", Dyno_Data[AcqCenter],4,Dyno_Data[Mode],"Auto")</f>
        <v>0</v>
      </c>
      <c r="AW169">
        <f>SUMIFS(Dyno_Data[AcqDis], Dyno_Data[Team],TBA_Matches_All[[#This Row],[Team]],Dyno_Data[Match],TBA_Matches_All[[#This Row],[Match_Number]],Dyno_Data[RecordType],"Activities", Dyno_Data[AcqCenter],5,Dyno_Data[Mode],"Auto")</f>
        <v>0</v>
      </c>
      <c r="AX169">
        <f>SUMIFS(Dyno_Data[DelMiss], Dyno_Data[Team],TBA_Matches_All[[#This Row],[Team]],Dyno_Data[Match],TBA_Matches_All[[#This Row],[Match_Number]],Dyno_Data[RecordType],"Activities", Dyno_Data[DelDest],"Amp")</f>
        <v>0</v>
      </c>
      <c r="AY169" s="60">
        <f>IFERROR(SUM((TBA_Matches_All[[#This Row],[AampT]]+TBA_Matches_All[[#This Row],[TampT]])/(TBA_Matches_All[[#This Row],[AampT]]+TBA_Matches_All[[#This Row],[TampT]]+TBA_Matches_All[[#This Row],[ampM]])),0)</f>
        <v>0</v>
      </c>
      <c r="AZ169">
        <f>SUMIFS(Dyno_Data[DelMiss], Dyno_Data[Team],TBA_Matches_All[[#This Row],[Team]],Dyno_Data[Match],TBA_Matches_All[[#This Row],[Match_Number]],Dyno_Data[RecordType],"Activities", Dyno_Data[DelDest],"Spkr")</f>
        <v>0</v>
      </c>
      <c r="BA169" s="60">
        <f>IFERROR(SUM((TBA_Matches_All[[#This Row],[AspkrT]]+TBA_Matches_All[[#This Row],[TspkrT]])/(TBA_Matches_All[[#This Row],[AspkrT]]+TBA_Matches_All[[#This Row],[TspkrT]]+TBA_Matches_All[[#This Row],[spkrM]])),0)</f>
        <v>0</v>
      </c>
      <c r="BB169">
        <f>SUMIFS(Dyno_Data[DelMiss], Dyno_Data[Team],TBA_Matches_All[[#This Row],[Team]],Dyno_Data[Match],TBA_Matches_All[[#This Row],[Match_Number]],Dyno_Data[RecordType],"Activities", Dyno_Data[DelDest],"Trap")</f>
        <v>0</v>
      </c>
      <c r="BC169" s="60">
        <f>IFERROR((TBA_Matches_All[[#This Row],[AtrapT]]+TBA_Matches_All[[#This Row],[TtrapT]])/(TBA_Matches_All[[#This Row],[AtrapT]]+TBA_Matches_All[[#This Row],[TtrapT]]+TBA_Matches_All[[#This Row],[trapM]]),0)</f>
        <v>0</v>
      </c>
      <c r="BD169">
        <f>COUNTIFS(Dyno_Data[Team],TBA_Matches_All[[#This Row],[Team]],Dyno_Data[Match],TBA_Matches_All[[#This Row],[Match_Number]],Dyno_Data[RecordType],"Activities",Dyno_Data[DelDest],"Neut", Dyno_Data[DelMiss],1)</f>
        <v>0</v>
      </c>
      <c r="BE169" s="60">
        <f>IFERROR(SUM((TBA_Matches_All[[#This Row],[NeutFlrT]])/(TBA_Matches_All[[#This Row],[NeutFlrT]]+TBA_Matches_All[[#This Row],[NZflM]])),0)</f>
        <v>0</v>
      </c>
      <c r="BF169">
        <f>COUNTIFS(Dyno_Data[Team],TBA_Matches_All[[#This Row],[Team]],Dyno_Data[Match],TBA_Matches_All[[#This Row],[Match_Number]],Dyno_Data[RecordType],"Activities",Dyno_Data[DelDest],"AllyW", Dyno_Data[DelMiss],1)</f>
        <v>0</v>
      </c>
      <c r="BG169" s="60">
        <f>IFERROR(SUM((TBA_Matches_All[[#This Row],[AllyWFlrT]])/(TBA_Matches_All[[#This Row],[AllyWFlrT]]+TBA_Matches_All[[#This Row],[AZflM]])),0)</f>
        <v>0</v>
      </c>
      <c r="BH169">
        <f>COUNTIFS(Dyno_Data[Team],TBA_Matches_All[[#This Row],[Team]],Dyno_Data[Match],TBA_Matches_All[[#This Row],[Match_Number]],Dyno_Data[RecordType],"Activities",Dyno_Data[DelOrig],"OppW", Dyno_Data[DelMiss],"0")</f>
        <v>0</v>
      </c>
      <c r="BI169">
        <f>COUNTIFS(Dyno_Data[Team],TBA_Matches_All[[#This Row],[Team]],Dyno_Data[Match],TBA_Matches_All[[#This Row],[Match_Number]],Dyno_Data[RecordType],"Activities",Dyno_Data[DelOrig],"OppW", Dyno_Data[DelMiss],"1")</f>
        <v>0</v>
      </c>
      <c r="BJ169" s="60">
        <f>IFERROR(SUM((TBA_Matches_All[[#This Row],[OZflrT]])/(TBA_Matches_All[[#This Row],[OZflrT]]+TBA_Matches_All[[#This Row],[OZflrM]])),0)</f>
        <v>0</v>
      </c>
      <c r="BK169">
        <f>COUNTIFS(Dyno_Data[Team],TBA_Matches_All[[#This Row],[Team]],Dyno_Data[Match],TBA_Matches_All[[#This Row],[Match_Number]],Dyno_Data[RecordType],"Activities",Dyno_Data[DelOrig],"Neut", Dyno_Data[DelMiss],"0")</f>
        <v>0</v>
      </c>
      <c r="BL169">
        <f>COUNTIFS(Dyno_Data[Team],TBA_Matches_All[[#This Row],[Team]],Dyno_Data[Match],TBA_Matches_All[[#This Row],[Match_Number]],Dyno_Data[RecordType],"Activities",Dyno_Data[DelOrig],"Neut", Dyno_Data[DelMiss],"1")</f>
        <v>0</v>
      </c>
      <c r="BM169" s="60">
        <f>IFERROR(SUM((TBA_Matches_All[[#This Row],[NZflrT]])/(TBA_Matches_All[[#This Row],[NZflrT]]+TBA_Matches_All[[#This Row],[NZflrM]])),0)</f>
        <v>0</v>
      </c>
      <c r="BN169">
        <f>COUNTIFS(Dyno_Data[Team],TBA_Matches_All[[#This Row],[Team]],Dyno_Data[Match],TBA_Matches_All[[#This Row],[Match_Number]],Dyno_Data[RecordType],"Activities",Dyno_Data[DelOrig],"AllyW", Dyno_Data[DelMiss],"0")</f>
        <v>0</v>
      </c>
      <c r="BO169">
        <f>COUNTIFS(Dyno_Data[Team],TBA_Matches_All[[#This Row],[Team]],Dyno_Data[Match],TBA_Matches_All[[#This Row],[Match_Number]],Dyno_Data[RecordType],"Activities",Dyno_Data[DelOrig],"AllyW", Dyno_Data[DelMiss],"1")</f>
        <v>0</v>
      </c>
      <c r="BP169" s="60">
        <f>IFERROR(SUM((TBA_Matches_All[[#This Row],[AZflrT]])/(TBA_Matches_All[[#This Row],[AZflrT]]+TBA_Matches_All[[#This Row],[AZflrM]])),0)</f>
        <v>0</v>
      </c>
      <c r="BQ169">
        <f>COUNTIFS(Dyno_Data[Team],TBA_Matches_All[[#This Row],[Team]],Dyno_Data[Match],TBA_Matches_All[[#This Row],[Match_Number]],Dyno_Data[RecordType],"Activities",Dyno_Data[DelOrig],"SubW", Dyno_Data[DelMiss],"0")</f>
        <v>0</v>
      </c>
      <c r="BR169">
        <f>COUNTIFS(Dyno_Data[Team],TBA_Matches_All[[#This Row],[Team]],Dyno_Data[Match],TBA_Matches_All[[#This Row],[Match_Number]],Dyno_Data[RecordType],"Activities",Dyno_Data[DelOrig],"SubW", Dyno_Data[DelMiss],"1")</f>
        <v>0</v>
      </c>
      <c r="BS169" s="60">
        <f>IFERROR(SUM((TBA_Matches_All[[#This Row],[SubwT]])/(TBA_Matches_All[[#This Row],[SubwT]]+TBA_Matches_All[[#This Row],[SubwM]])),0)</f>
        <v>0</v>
      </c>
      <c r="BT169">
        <f>COUNTIFS(Dyno_Data[Team],TBA_Matches_All[[#This Row],[Team]],Dyno_Data[Match],TBA_Matches_All[[#This Row],[Match_Number]],Dyno_Data[RecordType],"Activities", Dyno_Data[AcqLoc],"OppWing")</f>
        <v>0</v>
      </c>
      <c r="BU169">
        <f>COUNTIFS(Dyno_Data[Team],TBA_Matches_All[[#This Row],[Team]],Dyno_Data[Match],TBA_Matches_All[[#This Row],[Match_Number]],Dyno_Data[RecordType],"Activities", Dyno_Data[AcqLoc],"Neutral")</f>
        <v>0</v>
      </c>
      <c r="BV169">
        <f>COUNTIFS(Dyno_Data[Team],TBA_Matches_All[[#This Row],[Team]],Dyno_Data[Match],TBA_Matches_All[[#This Row],[Match_Number]],Dyno_Data[RecordType],"Activities", Dyno_Data[AcqLoc],"AllyWing")</f>
        <v>0</v>
      </c>
      <c r="BW169">
        <f>COUNTIFS(Dyno_Data[Team],TBA_Matches_All[[#This Row],[Team]],Dyno_Data[Match],TBA_Matches_All[[#This Row],[Match_Number]],Dyno_Data[RecordType],"Activities", Dyno_Data[AcqLoc],"Source")</f>
        <v>0</v>
      </c>
      <c r="BX169">
        <f>SUMIFS(Dyno_Data[AcqDrp], Dyno_Data[Team],TBA_Matches_All[[#This Row],[Team]],Dyno_Data[Match],TBA_Matches_All[[#This Row],[Match_Number]],Dyno_Data[RecordType],"Activities", Dyno_Data[AcqLoc],"Source")</f>
        <v>0</v>
      </c>
      <c r="BY169">
        <f>SUMIFS(Dyno_Data[OZTime], Dyno_Data[Team],TBA_Matches_All[[#This Row],[Team]],Dyno_Data[Match],TBA_Matches_All[[#This Row],[Match_Number]],Dyno_Data[RecordType],"EndMatch")</f>
        <v>0</v>
      </c>
      <c r="BZ169">
        <f>SUMIFS(Dyno_Data[NZTime], Dyno_Data[Team],TBA_Matches_All[[#This Row],[Team]],Dyno_Data[Match],TBA_Matches_All[[#This Row],[Match_Number]],Dyno_Data[RecordType],"EndMatch")</f>
        <v>0</v>
      </c>
      <c r="CA169">
        <f>SUMIFS(Dyno_Data[AZTime], Dyno_Data[Team],TBA_Matches_All[[#This Row],[Team]],Dyno_Data[Match],TBA_Matches_All[[#This Row],[Match_Number]],Dyno_Data[RecordType],"EndMatch")</f>
        <v>0</v>
      </c>
      <c r="CB169">
        <f>SUMIFS(Dyno_Data[ClimbT], Dyno_Data[Team],TBA_Matches_All[[#This Row],[Team]],Dyno_Data[Match],TBA_Matches_All[[#This Row],[Match_Number]],Dyno_Data[RecordType],"EndMatch")</f>
        <v>0</v>
      </c>
      <c r="CC169" t="str">
        <f>_xlfn.XLOOKUP(SUM(MID(TBA_Matches_All[[#This Row],[Team]],4,5),(TBA_Matches_All[[#This Row],[Match_Number]]/100)),Dyno_EndMatch[teammat],Dyno_EndMatch[StageStat],"_",0,1)</f>
        <v>_</v>
      </c>
      <c r="CD169" t="str">
        <f>_xlfn.XLOOKUP(TBA_Matches_All[[#This Row],[teammat]],Dyno_EndMatch[teammat],Dyno_EndMatch[StageAtt],"_",0,1)</f>
        <v>_</v>
      </c>
      <c r="CE169" t="str">
        <f>_xlfn.XLOOKUP(TBA_Matches_All[[#This Row],[teammat]],Dyno_EndMatch[teammat],Dyno_EndMatch[StageLoc],"_",0,1)</f>
        <v>_</v>
      </c>
      <c r="CF169">
        <f>SUMIFS(Dyno_Data[Harmony], Dyno_Data[Team],TBA_Matches_All[[#This Row],[Team]],Dyno_Data[Match],TBA_Matches_All[[#This Row],[Match_Number]],Dyno_Data[RecordType],"EndMatch", Dyno_Data[StageStat],"On",Dyno_Data[Harmony],"&lt;&gt;9")</f>
        <v>0</v>
      </c>
      <c r="CG169">
        <f>SUMIFS(Dyno_Data[Spotlit], Dyno_Data[Team],TBA_Matches_All[[#This Row],[Team]],Dyno_Data[Match],TBA_Matches_All[[#This Row],[Match_Number]],Dyno_Data[RecordType],"EndMatch", Dyno_Data[StageStat],"On",Dyno_Data[Spotlit],"&lt;&gt;9")</f>
        <v>0</v>
      </c>
      <c r="CH169" t="str">
        <f>_xlfn.XLOOKUP(TBA_Matches_All[[#This Row],[teammat]],Dyno_EndMatch[teammat],Dyno_EndMatch[Strategy],"_",0,1)</f>
        <v>_</v>
      </c>
      <c r="CI169">
        <f>SUMIFS(Dyno_Data[Defense], Dyno_Data[Team],TBA_Matches_All[[#This Row],[Team]],Dyno_Data[Match],TBA_Matches_All[[#This Row],[Match_Number]],Dyno_Data[RecordType],"EndMatch",Dyno_Data[Defense],"&lt;&gt;9")</f>
        <v>0</v>
      </c>
      <c r="CJ169">
        <f>SUMIFS(Dyno_Data[Avoidance], Dyno_Data[Team],TBA_Matches_All[[#This Row],[Team]],Dyno_Data[Match],TBA_Matches_All[[#This Row],[Match_Number]],Dyno_Data[RecordType],"EndMatch",Dyno_Data[Avoidance],"&lt;&gt;9")</f>
        <v>0</v>
      </c>
      <c r="CK169" s="82">
        <f>COUNTIF($H$2:TBA_Matches_All[[#This Row],[Team]],TBA_Matches_All[[#This Row],[Team]])</f>
        <v>4</v>
      </c>
      <c r="CL169" s="111">
        <f>SUM(MID(TBA_Matches_All[[#This Row],[Team]],4,5)+TBA_Matches_All[[#This Row],[Match_Number]]/100)</f>
        <v>1796.28</v>
      </c>
      <c r="CM169">
        <f>SUM((TBA_Matches_All[[#This Row],[Leave]]*2)+(TBA_Matches_All[[#This Row],[AampT]]*2)+(TBA_Matches_All[[#This Row],[AspkrT]]*5)+(TBA_Matches_All[[#This Row],[AtrapT]]*5))</f>
        <v>0</v>
      </c>
      <c r="CN169" s="59">
        <f>IFERROR(SUM(TBA_Matches_All[[#This Row],[AptsT]]/TBA_Matches_All[[#This Row],[AutoPts]]),0)</f>
        <v>0</v>
      </c>
      <c r="CO169" s="59">
        <f>IFERROR(SUM(TBA_Matches_All[[#This Row],[AampT]]+TBA_Matches_All[[#This Row],[AspkrT]]+TBA_Matches_All[[#This Row],[AtrapT]]/TBA_Matches_All[[#This Row],[Aamp]]+TBA_Matches_All[[#This Row],[Aspkr]]+TBA_Matches_All[[#This Row],[AtrapT]]),0)</f>
        <v>0</v>
      </c>
      <c r="CP169" s="59">
        <f>IFERROR(SUM(TBA_Matches_All[[#This Row],[TampT]]/TBA_Matches_All[[#This Row],[Tamp]]),0)</f>
        <v>0</v>
      </c>
      <c r="CQ169" s="59">
        <f>IFERROR(SUM(TBA_Matches_All[[#This Row],[TspkrT]]/TBA_Matches_All[[#This Row],[Tspkr]]),0)</f>
        <v>0</v>
      </c>
      <c r="CR169">
        <f>SUM(TBA_Matches_All[[#This Row],[TspkrPts]]*TBA_Matches_All[[#This Row],[TspkrP]])</f>
        <v>0</v>
      </c>
      <c r="CS169" s="59">
        <f>IFERROR(SUM(TBA_Matches_All[[#This Row],[TtrapT]]/TBA_Matches_All[[#This Row],[Trap]]),0)</f>
        <v>0</v>
      </c>
      <c r="CT169" s="59">
        <f>IFERROR(SUM(TBA_Matches_All[[#This Row],[TotNotesT]]/TBA_Matches_All[[#This Row],[TotNotes]]),0)</f>
        <v>0</v>
      </c>
      <c r="CU169" s="66">
        <f>SUM((TBA_Matches_All[[#This Row],[AampT]]*2)+(TBA_Matches_All[[#This Row],[AspkrT]]*5)+(TBA_Matches_All[[#This Row],[AtrapT]]*5)+(TBA_Matches_All[[#This Row],[TampT]]*1)+(TBA_Matches_All[[#This Row],[TspkrptsC]]))</f>
        <v>0</v>
      </c>
      <c r="CV169" s="59">
        <f>IFERROR(TBA_Matches_All[[#This Row],[noteptsT]]/TBA_Matches_All[[#This Row],[NotePts]],0)</f>
        <v>0</v>
      </c>
      <c r="CW169">
        <f>SUM(IF(TBA_Matches_All[[#This Row],[stageStat]]="On",3,0),IF(TBA_Matches_All[[#This Row],[stageStat]]="Park",1,0),SUMIFS(TBA_Matches_All[[#This Row],[Spotlit]],TBA_Matches_All[[#This Row],[stageStat]],"On"),SUMIFS(TBA_Matches_All[[#This Row],[Harmony]],TBA_Matches_All[[#This Row],[stageStat]],"On"))</f>
        <v>0</v>
      </c>
      <c r="CX169" s="59">
        <f>IFERROR(TBA_Matches_All[[#This Row],[stageptsT]]/TBA_Matches_All[[#This Row],[StagePts]],0)</f>
        <v>0</v>
      </c>
      <c r="CY169">
        <f>SUM((TBA_Matches_All[[#This Row],[AptsT]]+TBA_Matches_All[[#This Row],[TampT]]+TBA_Matches_All[[#This Row],[TspkrptsC]]+(TBA_Matches_All[[#This Row],[TtrapT]]*5)+TBA_Matches_All[[#This Row],[stageptsT]]))</f>
        <v>0</v>
      </c>
      <c r="CZ169" s="59">
        <f>IFERROR(SUM(TBA_Matches_All[[#This Row],[TotptsC]]/TBA_Matches_All[[#This Row],[Score]]),0)</f>
        <v>0</v>
      </c>
      <c r="DA16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14.649999999999999</v>
      </c>
      <c r="DB169" s="74">
        <f>SUMIFS(TBA_Matches_All[AveTeamTNoteDels],TBA_Matches_All[Match_Number],TBA_Matches_All[[#This Row],[Match_Number]],TBA_Matches_All[Alliance],"&lt;&gt;"&amp;TBA_Matches_All[[#This Row],[Alliance]],TBA_Matches_All[Scouted],"&gt;0")</f>
        <v>0</v>
      </c>
      <c r="DC169" s="74">
        <f>(TBA_Matches_All[[#This Row],[TampT]]+TBA_Matches_All[[#This Row],[TspkrptsC]])-TBA_Matches_All[[#This Row],[AveTeamTNoteDels]]</f>
        <v>-14.649999999999999</v>
      </c>
      <c r="DD169" s="74">
        <f>SUMIFS(TBA_Matches_All[AveTeamTNoteDels],TBA_Matches_All[Match_Number],TBA_Matches_All[[#This Row],[Match_Number]],TBA_Matches_All[Alliance],"&lt;&gt;"&amp;TBA_Matches_All[[#This Row],[Alliance]])-TBA_Matches_All[[#This Row],[AveOppTNoteDels]]</f>
        <v>18.044354256854255</v>
      </c>
    </row>
    <row r="170" spans="1:108" x14ac:dyDescent="0.3">
      <c r="A170" t="s">
        <v>1042</v>
      </c>
      <c r="B170" t="s">
        <v>489</v>
      </c>
      <c r="C170" t="s">
        <v>1337</v>
      </c>
      <c r="D170">
        <v>28</v>
      </c>
      <c r="E170" t="s">
        <v>1406</v>
      </c>
      <c r="F170" t="s">
        <v>1422</v>
      </c>
      <c r="G170" t="s">
        <v>105</v>
      </c>
      <c r="H170" t="s">
        <v>1303</v>
      </c>
      <c r="I170" t="b">
        <v>1</v>
      </c>
      <c r="J170">
        <v>41</v>
      </c>
      <c r="K170">
        <v>0</v>
      </c>
      <c r="L170">
        <v>0</v>
      </c>
      <c r="M170">
        <v>9</v>
      </c>
      <c r="N170">
        <v>0</v>
      </c>
      <c r="O170">
        <v>3</v>
      </c>
      <c r="P170">
        <v>15</v>
      </c>
      <c r="Q170">
        <v>19</v>
      </c>
      <c r="R170">
        <v>2</v>
      </c>
      <c r="S170">
        <v>0</v>
      </c>
      <c r="T170">
        <v>8</v>
      </c>
      <c r="U170">
        <v>0</v>
      </c>
      <c r="V170">
        <v>16</v>
      </c>
      <c r="W170">
        <v>8</v>
      </c>
      <c r="X170">
        <v>16</v>
      </c>
      <c r="Y170">
        <v>18</v>
      </c>
      <c r="Z170">
        <v>0</v>
      </c>
      <c r="AA170">
        <v>0</v>
      </c>
      <c r="AB170">
        <v>13</v>
      </c>
      <c r="AC170">
        <v>33</v>
      </c>
      <c r="AD170">
        <v>2</v>
      </c>
      <c r="AE170">
        <f>IFERROR(6/(COUNTIF(Dyno_EndMatch[Match],TBA_Matches_All[[#This Row],[Match_Number]])),0)</f>
        <v>0</v>
      </c>
      <c r="AF170">
        <f>COUNTIFS(Dyno_Data[Team],TBA_Matches_All[[#This Row],[Team]],Dyno_Data[Match],TBA_Matches_All[[#This Row],[Match_Number]],Dyno_Data[RecordType],"EndMatch",Dyno_Data[HPAmp],"Y")</f>
        <v>0</v>
      </c>
      <c r="AG170">
        <f>SUMIFS(Dyno_Data[Mics], Dyno_Data[Team],TBA_Matches_All[[#This Row],[Team]],Dyno_Data[Match],TBA_Matches_All[[#This Row],[Match_Number]],Dyno_Data[RecordType],"EndMatch",Dyno_Data[HPAmp],"Y")</f>
        <v>0</v>
      </c>
      <c r="AH170">
        <f>SUMIFS(Dyno_Data[Leave], Dyno_Data[Team],TBA_Matches_All[[#This Row],[Team]],Dyno_Data[Match],TBA_Matches_All[[#This Row],[Match_Number]],Dyno_Data[RecordType],"EndAuto")</f>
        <v>0</v>
      </c>
      <c r="AI170">
        <f>COUNTIFS(Dyno_Data[Team],TBA_Matches_All[[#This Row],[Team]],Dyno_Data[Match],TBA_Matches_All[[#This Row],[Match_Number]],Dyno_Data[RecordType],"Activities",Dyno_Data[DelDest],"Amp", Dyno_Data[DelMiss],"0", Dyno_Data[Mode],"Auto")</f>
        <v>0</v>
      </c>
      <c r="AJ170">
        <f>COUNTIFS(Dyno_Data[Team],TBA_Matches_All[[#This Row],[Team]],Dyno_Data[Match],TBA_Matches_All[[#This Row],[Match_Number]],Dyno_Data[RecordType],"Activities",Dyno_Data[DelDest],"Spkr", Dyno_Data[DelMiss],"0", Dyno_Data[Mode],"Auto")</f>
        <v>0</v>
      </c>
      <c r="AK170">
        <f>COUNTIFS(Dyno_Data[Team],TBA_Matches_All[[#This Row],[Team]],Dyno_Data[Match],TBA_Matches_All[[#This Row],[Match_Number]],Dyno_Data[RecordType],"Activities",Dyno_Data[DelDest],"Trap", Dyno_Data[DelMiss],"0", Dyno_Data[Mode],"Auto")</f>
        <v>0</v>
      </c>
      <c r="AL170">
        <f>COUNTIFS(Dyno_Data[Team],TBA_Matches_All[[#This Row],[Team]],Dyno_Data[Match],TBA_Matches_All[[#This Row],[Match_Number]],Dyno_Data[RecordType],"Activities",Dyno_Data[DelDest],"Amp", Dyno_Data[DelMiss],"0", Dyno_Data[Mode],"Teleop")</f>
        <v>0</v>
      </c>
      <c r="AM170">
        <f>COUNTIFS(Dyno_Data[Team],TBA_Matches_All[[#This Row],[Team]],Dyno_Data[Match],TBA_Matches_All[[#This Row],[Match_Number]],Dyno_Data[RecordType],"Activities",Dyno_Data[DelDest],"Spkr", Dyno_Data[DelMiss],"0", Dyno_Data[Mode],"Teleop")</f>
        <v>0</v>
      </c>
      <c r="AN170">
        <f>COUNTIFS(Dyno_Data[Team],TBA_Matches_All[[#This Row],[Team]],Dyno_Data[Match],TBA_Matches_All[[#This Row],[Match_Number]],Dyno_Data[RecordType],"Activities",Dyno_Data[DelDest],"Trap", Dyno_Data[DelMiss],"0", Dyno_Data[Mode],"&lt;&gt;Auto")</f>
        <v>0</v>
      </c>
      <c r="AO170">
        <f>SUM(TBA_Matches_All[[#This Row],[AampT]]+TBA_Matches_All[[#This Row],[AspkrT]]+TBA_Matches_All[[#This Row],[AtrapT]]+TBA_Matches_All[[#This Row],[TampT]]+TBA_Matches_All[[#This Row],[TspkrT]]+TBA_Matches_All[[#This Row],[TtrapT]])</f>
        <v>0</v>
      </c>
      <c r="AP170">
        <f>COUNTIFS(Dyno_Data[Team],TBA_Matches_All[[#This Row],[Team]],Dyno_Data[Match],TBA_Matches_All[[#This Row],[Match_Number]],Dyno_Data[RecordType],"Activities",Dyno_Data[DelDest],"Neut", Dyno_Data[DelMiss],"0")</f>
        <v>0</v>
      </c>
      <c r="AQ170">
        <f>COUNTIFS(Dyno_Data[Team],TBA_Matches_All[[#This Row],[Team]],Dyno_Data[Match],TBA_Matches_All[[#This Row],[Match_Number]],Dyno_Data[RecordType],"Activities",Dyno_Data[DelDest],"AllyW", Dyno_Data[DelMiss],"0")</f>
        <v>0</v>
      </c>
      <c r="AR170" t="str">
        <f>_xlfn.XLOOKUP(SUM(MID(TBA_Matches_All[[#This Row],[Team]],4,5),(TBA_Matches_All[[#This Row],[Match_Number]]/100)),Dyno_EndMatch[teammat],Dyno_EndMatch[RobotSta],"_",0,1)</f>
        <v>_</v>
      </c>
      <c r="AS170">
        <f>SUMIFS(Dyno_Data[AcqDis], Dyno_Data[Team],TBA_Matches_All[[#This Row],[Team]],Dyno_Data[Match],TBA_Matches_All[[#This Row],[Match_Number]],Dyno_Data[RecordType],"Activities", Dyno_Data[AcqCenter],1,Dyno_Data[Mode],"Auto")</f>
        <v>0</v>
      </c>
      <c r="AT170">
        <f>SUMIFS(Dyno_Data[AcqDis], Dyno_Data[Team],TBA_Matches_All[[#This Row],[Team]],Dyno_Data[Match],TBA_Matches_All[[#This Row],[Match_Number]],Dyno_Data[RecordType],"Activities", Dyno_Data[AcqCenter],2,Dyno_Data[Mode],"Auto")</f>
        <v>0</v>
      </c>
      <c r="AU170">
        <f>SUMIFS(Dyno_Data[AcqDis], Dyno_Data[Team],TBA_Matches_All[[#This Row],[Team]],Dyno_Data[Match],TBA_Matches_All[[#This Row],[Match_Number]],Dyno_Data[RecordType],"Activities", Dyno_Data[AcqCenter],3,Dyno_Data[Mode],"Auto")</f>
        <v>0</v>
      </c>
      <c r="AV170">
        <f>SUMIFS(Dyno_Data[AcqDis], Dyno_Data[Team],TBA_Matches_All[[#This Row],[Team]],Dyno_Data[Match],TBA_Matches_All[[#This Row],[Match_Number]],Dyno_Data[RecordType],"Activities", Dyno_Data[AcqCenter],4,Dyno_Data[Mode],"Auto")</f>
        <v>0</v>
      </c>
      <c r="AW170">
        <f>SUMIFS(Dyno_Data[AcqDis], Dyno_Data[Team],TBA_Matches_All[[#This Row],[Team]],Dyno_Data[Match],TBA_Matches_All[[#This Row],[Match_Number]],Dyno_Data[RecordType],"Activities", Dyno_Data[AcqCenter],5,Dyno_Data[Mode],"Auto")</f>
        <v>0</v>
      </c>
      <c r="AX170">
        <f>SUMIFS(Dyno_Data[DelMiss], Dyno_Data[Team],TBA_Matches_All[[#This Row],[Team]],Dyno_Data[Match],TBA_Matches_All[[#This Row],[Match_Number]],Dyno_Data[RecordType],"Activities", Dyno_Data[DelDest],"Amp")</f>
        <v>0</v>
      </c>
      <c r="AY170" s="60">
        <f>IFERROR(SUM((TBA_Matches_All[[#This Row],[AampT]]+TBA_Matches_All[[#This Row],[TampT]])/(TBA_Matches_All[[#This Row],[AampT]]+TBA_Matches_All[[#This Row],[TampT]]+TBA_Matches_All[[#This Row],[ampM]])),0)</f>
        <v>0</v>
      </c>
      <c r="AZ170">
        <f>SUMIFS(Dyno_Data[DelMiss], Dyno_Data[Team],TBA_Matches_All[[#This Row],[Team]],Dyno_Data[Match],TBA_Matches_All[[#This Row],[Match_Number]],Dyno_Data[RecordType],"Activities", Dyno_Data[DelDest],"Spkr")</f>
        <v>0</v>
      </c>
      <c r="BA170" s="60">
        <f>IFERROR(SUM((TBA_Matches_All[[#This Row],[AspkrT]]+TBA_Matches_All[[#This Row],[TspkrT]])/(TBA_Matches_All[[#This Row],[AspkrT]]+TBA_Matches_All[[#This Row],[TspkrT]]+TBA_Matches_All[[#This Row],[spkrM]])),0)</f>
        <v>0</v>
      </c>
      <c r="BB170">
        <f>SUMIFS(Dyno_Data[DelMiss], Dyno_Data[Team],TBA_Matches_All[[#This Row],[Team]],Dyno_Data[Match],TBA_Matches_All[[#This Row],[Match_Number]],Dyno_Data[RecordType],"Activities", Dyno_Data[DelDest],"Trap")</f>
        <v>0</v>
      </c>
      <c r="BC170" s="60">
        <f>IFERROR((TBA_Matches_All[[#This Row],[AtrapT]]+TBA_Matches_All[[#This Row],[TtrapT]])/(TBA_Matches_All[[#This Row],[AtrapT]]+TBA_Matches_All[[#This Row],[TtrapT]]+TBA_Matches_All[[#This Row],[trapM]]),0)</f>
        <v>0</v>
      </c>
      <c r="BD170">
        <f>COUNTIFS(Dyno_Data[Team],TBA_Matches_All[[#This Row],[Team]],Dyno_Data[Match],TBA_Matches_All[[#This Row],[Match_Number]],Dyno_Data[RecordType],"Activities",Dyno_Data[DelDest],"Neut", Dyno_Data[DelMiss],1)</f>
        <v>0</v>
      </c>
      <c r="BE170" s="60">
        <f>IFERROR(SUM((TBA_Matches_All[[#This Row],[NeutFlrT]])/(TBA_Matches_All[[#This Row],[NeutFlrT]]+TBA_Matches_All[[#This Row],[NZflM]])),0)</f>
        <v>0</v>
      </c>
      <c r="BF170">
        <f>COUNTIFS(Dyno_Data[Team],TBA_Matches_All[[#This Row],[Team]],Dyno_Data[Match],TBA_Matches_All[[#This Row],[Match_Number]],Dyno_Data[RecordType],"Activities",Dyno_Data[DelDest],"AllyW", Dyno_Data[DelMiss],1)</f>
        <v>0</v>
      </c>
      <c r="BG170" s="60">
        <f>IFERROR(SUM((TBA_Matches_All[[#This Row],[AllyWFlrT]])/(TBA_Matches_All[[#This Row],[AllyWFlrT]]+TBA_Matches_All[[#This Row],[AZflM]])),0)</f>
        <v>0</v>
      </c>
      <c r="BH170">
        <f>COUNTIFS(Dyno_Data[Team],TBA_Matches_All[[#This Row],[Team]],Dyno_Data[Match],TBA_Matches_All[[#This Row],[Match_Number]],Dyno_Data[RecordType],"Activities",Dyno_Data[DelOrig],"OppW", Dyno_Data[DelMiss],"0")</f>
        <v>0</v>
      </c>
      <c r="BI170">
        <f>COUNTIFS(Dyno_Data[Team],TBA_Matches_All[[#This Row],[Team]],Dyno_Data[Match],TBA_Matches_All[[#This Row],[Match_Number]],Dyno_Data[RecordType],"Activities",Dyno_Data[DelOrig],"OppW", Dyno_Data[DelMiss],"1")</f>
        <v>0</v>
      </c>
      <c r="BJ170" s="60">
        <f>IFERROR(SUM((TBA_Matches_All[[#This Row],[OZflrT]])/(TBA_Matches_All[[#This Row],[OZflrT]]+TBA_Matches_All[[#This Row],[OZflrM]])),0)</f>
        <v>0</v>
      </c>
      <c r="BK170">
        <f>COUNTIFS(Dyno_Data[Team],TBA_Matches_All[[#This Row],[Team]],Dyno_Data[Match],TBA_Matches_All[[#This Row],[Match_Number]],Dyno_Data[RecordType],"Activities",Dyno_Data[DelOrig],"Neut", Dyno_Data[DelMiss],"0")</f>
        <v>0</v>
      </c>
      <c r="BL170">
        <f>COUNTIFS(Dyno_Data[Team],TBA_Matches_All[[#This Row],[Team]],Dyno_Data[Match],TBA_Matches_All[[#This Row],[Match_Number]],Dyno_Data[RecordType],"Activities",Dyno_Data[DelOrig],"Neut", Dyno_Data[DelMiss],"1")</f>
        <v>0</v>
      </c>
      <c r="BM170" s="60">
        <f>IFERROR(SUM((TBA_Matches_All[[#This Row],[NZflrT]])/(TBA_Matches_All[[#This Row],[NZflrT]]+TBA_Matches_All[[#This Row],[NZflrM]])),0)</f>
        <v>0</v>
      </c>
      <c r="BN170">
        <f>COUNTIFS(Dyno_Data[Team],TBA_Matches_All[[#This Row],[Team]],Dyno_Data[Match],TBA_Matches_All[[#This Row],[Match_Number]],Dyno_Data[RecordType],"Activities",Dyno_Data[DelOrig],"AllyW", Dyno_Data[DelMiss],"0")</f>
        <v>0</v>
      </c>
      <c r="BO170">
        <f>COUNTIFS(Dyno_Data[Team],TBA_Matches_All[[#This Row],[Team]],Dyno_Data[Match],TBA_Matches_All[[#This Row],[Match_Number]],Dyno_Data[RecordType],"Activities",Dyno_Data[DelOrig],"AllyW", Dyno_Data[DelMiss],"1")</f>
        <v>0</v>
      </c>
      <c r="BP170" s="60">
        <f>IFERROR(SUM((TBA_Matches_All[[#This Row],[AZflrT]])/(TBA_Matches_All[[#This Row],[AZflrT]]+TBA_Matches_All[[#This Row],[AZflrM]])),0)</f>
        <v>0</v>
      </c>
      <c r="BQ170">
        <f>COUNTIFS(Dyno_Data[Team],TBA_Matches_All[[#This Row],[Team]],Dyno_Data[Match],TBA_Matches_All[[#This Row],[Match_Number]],Dyno_Data[RecordType],"Activities",Dyno_Data[DelOrig],"SubW", Dyno_Data[DelMiss],"0")</f>
        <v>0</v>
      </c>
      <c r="BR170">
        <f>COUNTIFS(Dyno_Data[Team],TBA_Matches_All[[#This Row],[Team]],Dyno_Data[Match],TBA_Matches_All[[#This Row],[Match_Number]],Dyno_Data[RecordType],"Activities",Dyno_Data[DelOrig],"SubW", Dyno_Data[DelMiss],"1")</f>
        <v>0</v>
      </c>
      <c r="BS170" s="60">
        <f>IFERROR(SUM((TBA_Matches_All[[#This Row],[SubwT]])/(TBA_Matches_All[[#This Row],[SubwT]]+TBA_Matches_All[[#This Row],[SubwM]])),0)</f>
        <v>0</v>
      </c>
      <c r="BT170">
        <f>COUNTIFS(Dyno_Data[Team],TBA_Matches_All[[#This Row],[Team]],Dyno_Data[Match],TBA_Matches_All[[#This Row],[Match_Number]],Dyno_Data[RecordType],"Activities", Dyno_Data[AcqLoc],"OppWing")</f>
        <v>0</v>
      </c>
      <c r="BU170">
        <f>COUNTIFS(Dyno_Data[Team],TBA_Matches_All[[#This Row],[Team]],Dyno_Data[Match],TBA_Matches_All[[#This Row],[Match_Number]],Dyno_Data[RecordType],"Activities", Dyno_Data[AcqLoc],"Neutral")</f>
        <v>0</v>
      </c>
      <c r="BV170">
        <f>COUNTIFS(Dyno_Data[Team],TBA_Matches_All[[#This Row],[Team]],Dyno_Data[Match],TBA_Matches_All[[#This Row],[Match_Number]],Dyno_Data[RecordType],"Activities", Dyno_Data[AcqLoc],"AllyWing")</f>
        <v>0</v>
      </c>
      <c r="BW170">
        <f>COUNTIFS(Dyno_Data[Team],TBA_Matches_All[[#This Row],[Team]],Dyno_Data[Match],TBA_Matches_All[[#This Row],[Match_Number]],Dyno_Data[RecordType],"Activities", Dyno_Data[AcqLoc],"Source")</f>
        <v>0</v>
      </c>
      <c r="BX170">
        <f>SUMIFS(Dyno_Data[AcqDrp], Dyno_Data[Team],TBA_Matches_All[[#This Row],[Team]],Dyno_Data[Match],TBA_Matches_All[[#This Row],[Match_Number]],Dyno_Data[RecordType],"Activities", Dyno_Data[AcqLoc],"Source")</f>
        <v>0</v>
      </c>
      <c r="BY170">
        <f>SUMIFS(Dyno_Data[OZTime], Dyno_Data[Team],TBA_Matches_All[[#This Row],[Team]],Dyno_Data[Match],TBA_Matches_All[[#This Row],[Match_Number]],Dyno_Data[RecordType],"EndMatch")</f>
        <v>0</v>
      </c>
      <c r="BZ170">
        <f>SUMIFS(Dyno_Data[NZTime], Dyno_Data[Team],TBA_Matches_All[[#This Row],[Team]],Dyno_Data[Match],TBA_Matches_All[[#This Row],[Match_Number]],Dyno_Data[RecordType],"EndMatch")</f>
        <v>0</v>
      </c>
      <c r="CA170">
        <f>SUMIFS(Dyno_Data[AZTime], Dyno_Data[Team],TBA_Matches_All[[#This Row],[Team]],Dyno_Data[Match],TBA_Matches_All[[#This Row],[Match_Number]],Dyno_Data[RecordType],"EndMatch")</f>
        <v>0</v>
      </c>
      <c r="CB170">
        <f>SUMIFS(Dyno_Data[ClimbT], Dyno_Data[Team],TBA_Matches_All[[#This Row],[Team]],Dyno_Data[Match],TBA_Matches_All[[#This Row],[Match_Number]],Dyno_Data[RecordType],"EndMatch")</f>
        <v>0</v>
      </c>
      <c r="CC170" t="str">
        <f>_xlfn.XLOOKUP(SUM(MID(TBA_Matches_All[[#This Row],[Team]],4,5),(TBA_Matches_All[[#This Row],[Match_Number]]/100)),Dyno_EndMatch[teammat],Dyno_EndMatch[StageStat],"_",0,1)</f>
        <v>_</v>
      </c>
      <c r="CD170" t="str">
        <f>_xlfn.XLOOKUP(TBA_Matches_All[[#This Row],[teammat]],Dyno_EndMatch[teammat],Dyno_EndMatch[StageAtt],"_",0,1)</f>
        <v>_</v>
      </c>
      <c r="CE170" t="str">
        <f>_xlfn.XLOOKUP(TBA_Matches_All[[#This Row],[teammat]],Dyno_EndMatch[teammat],Dyno_EndMatch[StageLoc],"_",0,1)</f>
        <v>_</v>
      </c>
      <c r="CF170">
        <f>SUMIFS(Dyno_Data[Harmony], Dyno_Data[Team],TBA_Matches_All[[#This Row],[Team]],Dyno_Data[Match],TBA_Matches_All[[#This Row],[Match_Number]],Dyno_Data[RecordType],"EndMatch", Dyno_Data[StageStat],"On",Dyno_Data[Harmony],"&lt;&gt;9")</f>
        <v>0</v>
      </c>
      <c r="CG170">
        <f>SUMIFS(Dyno_Data[Spotlit], Dyno_Data[Team],TBA_Matches_All[[#This Row],[Team]],Dyno_Data[Match],TBA_Matches_All[[#This Row],[Match_Number]],Dyno_Data[RecordType],"EndMatch", Dyno_Data[StageStat],"On",Dyno_Data[Spotlit],"&lt;&gt;9")</f>
        <v>0</v>
      </c>
      <c r="CH170" t="str">
        <f>_xlfn.XLOOKUP(TBA_Matches_All[[#This Row],[teammat]],Dyno_EndMatch[teammat],Dyno_EndMatch[Strategy],"_",0,1)</f>
        <v>_</v>
      </c>
      <c r="CI170">
        <f>SUMIFS(Dyno_Data[Defense], Dyno_Data[Team],TBA_Matches_All[[#This Row],[Team]],Dyno_Data[Match],TBA_Matches_All[[#This Row],[Match_Number]],Dyno_Data[RecordType],"EndMatch",Dyno_Data[Defense],"&lt;&gt;9")</f>
        <v>0</v>
      </c>
      <c r="CJ170">
        <f>SUMIFS(Dyno_Data[Avoidance], Dyno_Data[Team],TBA_Matches_All[[#This Row],[Team]],Dyno_Data[Match],TBA_Matches_All[[#This Row],[Match_Number]],Dyno_Data[RecordType],"EndMatch",Dyno_Data[Avoidance],"&lt;&gt;9")</f>
        <v>0</v>
      </c>
      <c r="CK170" s="82">
        <f>COUNTIF($H$2:TBA_Matches_All[[#This Row],[Team]],TBA_Matches_All[[#This Row],[Team]])</f>
        <v>4</v>
      </c>
      <c r="CL170" s="111">
        <f>SUM(MID(TBA_Matches_All[[#This Row],[Team]],4,5)+TBA_Matches_All[[#This Row],[Match_Number]]/100)</f>
        <v>7605.28</v>
      </c>
      <c r="CM170">
        <f>SUM((TBA_Matches_All[[#This Row],[Leave]]*2)+(TBA_Matches_All[[#This Row],[AampT]]*2)+(TBA_Matches_All[[#This Row],[AspkrT]]*5)+(TBA_Matches_All[[#This Row],[AtrapT]]*5))</f>
        <v>0</v>
      </c>
      <c r="CN170" s="59">
        <f>IFERROR(SUM(TBA_Matches_All[[#This Row],[AptsT]]/TBA_Matches_All[[#This Row],[AutoPts]]),0)</f>
        <v>0</v>
      </c>
      <c r="CO170" s="59">
        <f>IFERROR(SUM(TBA_Matches_All[[#This Row],[AampT]]+TBA_Matches_All[[#This Row],[AspkrT]]+TBA_Matches_All[[#This Row],[AtrapT]]/TBA_Matches_All[[#This Row],[Aamp]]+TBA_Matches_All[[#This Row],[Aspkr]]+TBA_Matches_All[[#This Row],[AtrapT]]),0)</f>
        <v>0</v>
      </c>
      <c r="CP170" s="59">
        <f>IFERROR(SUM(TBA_Matches_All[[#This Row],[TampT]]/TBA_Matches_All[[#This Row],[Tamp]]),0)</f>
        <v>0</v>
      </c>
      <c r="CQ170" s="59">
        <f>IFERROR(SUM(TBA_Matches_All[[#This Row],[TspkrT]]/TBA_Matches_All[[#This Row],[Tspkr]]),0)</f>
        <v>0</v>
      </c>
      <c r="CR170">
        <f>SUM(TBA_Matches_All[[#This Row],[TspkrPts]]*TBA_Matches_All[[#This Row],[TspkrP]])</f>
        <v>0</v>
      </c>
      <c r="CS170" s="59">
        <f>IFERROR(SUM(TBA_Matches_All[[#This Row],[TtrapT]]/TBA_Matches_All[[#This Row],[Trap]]),0)</f>
        <v>0</v>
      </c>
      <c r="CT170" s="59">
        <f>IFERROR(SUM(TBA_Matches_All[[#This Row],[TotNotesT]]/TBA_Matches_All[[#This Row],[TotNotes]]),0)</f>
        <v>0</v>
      </c>
      <c r="CU170" s="66">
        <f>SUM((TBA_Matches_All[[#This Row],[AampT]]*2)+(TBA_Matches_All[[#This Row],[AspkrT]]*5)+(TBA_Matches_All[[#This Row],[AtrapT]]*5)+(TBA_Matches_All[[#This Row],[TampT]]*1)+(TBA_Matches_All[[#This Row],[TspkrptsC]]))</f>
        <v>0</v>
      </c>
      <c r="CV170" s="59">
        <f>IFERROR(TBA_Matches_All[[#This Row],[noteptsT]]/TBA_Matches_All[[#This Row],[NotePts]],0)</f>
        <v>0</v>
      </c>
      <c r="CW170">
        <f>SUM(IF(TBA_Matches_All[[#This Row],[stageStat]]="On",3,0),IF(TBA_Matches_All[[#This Row],[stageStat]]="Park",1,0),SUMIFS(TBA_Matches_All[[#This Row],[Spotlit]],TBA_Matches_All[[#This Row],[stageStat]],"On"),SUMIFS(TBA_Matches_All[[#This Row],[Harmony]],TBA_Matches_All[[#This Row],[stageStat]],"On"))</f>
        <v>0</v>
      </c>
      <c r="CX170" s="59">
        <f>IFERROR(TBA_Matches_All[[#This Row],[stageptsT]]/TBA_Matches_All[[#This Row],[StagePts]],0)</f>
        <v>0</v>
      </c>
      <c r="CY170">
        <f>SUM((TBA_Matches_All[[#This Row],[AptsT]]+TBA_Matches_All[[#This Row],[TampT]]+TBA_Matches_All[[#This Row],[TspkrptsC]]+(TBA_Matches_All[[#This Row],[TtrapT]]*5)+TBA_Matches_All[[#This Row],[stageptsT]]))</f>
        <v>0</v>
      </c>
      <c r="CZ170" s="59">
        <f>IFERROR(SUM(TBA_Matches_All[[#This Row],[TotptsC]]/TBA_Matches_All[[#This Row],[Score]]),0)</f>
        <v>0</v>
      </c>
      <c r="DA17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11.488888888888889</v>
      </c>
      <c r="DB170" s="74">
        <f>SUMIFS(TBA_Matches_All[AveTeamTNoteDels],TBA_Matches_All[Match_Number],TBA_Matches_All[[#This Row],[Match_Number]],TBA_Matches_All[Alliance],"&lt;&gt;"&amp;TBA_Matches_All[[#This Row],[Alliance]],TBA_Matches_All[Scouted],"&gt;0")</f>
        <v>0</v>
      </c>
      <c r="DC170" s="74">
        <f>(TBA_Matches_All[[#This Row],[TampT]]+TBA_Matches_All[[#This Row],[TspkrptsC]])-TBA_Matches_All[[#This Row],[AveTeamTNoteDels]]</f>
        <v>-11.488888888888889</v>
      </c>
      <c r="DD170" s="74">
        <f>SUMIFS(TBA_Matches_All[AveTeamTNoteDels],TBA_Matches_All[Match_Number],TBA_Matches_All[[#This Row],[Match_Number]],TBA_Matches_All[Alliance],"&lt;&gt;"&amp;TBA_Matches_All[[#This Row],[Alliance]])-TBA_Matches_All[[#This Row],[AveOppTNoteDels]]</f>
        <v>35.387912087912085</v>
      </c>
    </row>
    <row r="171" spans="1:108" x14ac:dyDescent="0.3">
      <c r="A171" t="s">
        <v>1042</v>
      </c>
      <c r="B171" t="s">
        <v>489</v>
      </c>
      <c r="C171" t="s">
        <v>1338</v>
      </c>
      <c r="D171">
        <v>29</v>
      </c>
      <c r="E171" t="s">
        <v>1420</v>
      </c>
      <c r="F171" t="s">
        <v>1421</v>
      </c>
      <c r="G171" t="s">
        <v>164</v>
      </c>
      <c r="H171" t="s">
        <v>1280</v>
      </c>
      <c r="I171" t="b">
        <v>1</v>
      </c>
      <c r="J171">
        <v>46</v>
      </c>
      <c r="K171">
        <v>0</v>
      </c>
      <c r="L171">
        <v>0</v>
      </c>
      <c r="M171">
        <v>0</v>
      </c>
      <c r="N171">
        <v>0</v>
      </c>
      <c r="O171">
        <v>2</v>
      </c>
      <c r="P171">
        <v>10</v>
      </c>
      <c r="Q171">
        <v>16</v>
      </c>
      <c r="R171">
        <v>2</v>
      </c>
      <c r="S171">
        <v>0</v>
      </c>
      <c r="T171">
        <v>4</v>
      </c>
      <c r="U171">
        <v>0</v>
      </c>
      <c r="V171">
        <v>8</v>
      </c>
      <c r="W171">
        <v>4</v>
      </c>
      <c r="X171">
        <v>8</v>
      </c>
      <c r="Y171">
        <v>10</v>
      </c>
      <c r="Z171">
        <v>0</v>
      </c>
      <c r="AA171">
        <v>0</v>
      </c>
      <c r="AB171">
        <v>8</v>
      </c>
      <c r="AC171">
        <v>20</v>
      </c>
      <c r="AD171">
        <v>5</v>
      </c>
      <c r="AE171">
        <f>IFERROR(6/(COUNTIF(Dyno_EndMatch[Match],TBA_Matches_All[[#This Row],[Match_Number]])),0)</f>
        <v>0</v>
      </c>
      <c r="AF171">
        <f>COUNTIFS(Dyno_Data[Team],TBA_Matches_All[[#This Row],[Team]],Dyno_Data[Match],TBA_Matches_All[[#This Row],[Match_Number]],Dyno_Data[RecordType],"EndMatch",Dyno_Data[HPAmp],"Y")</f>
        <v>0</v>
      </c>
      <c r="AG171">
        <f>SUMIFS(Dyno_Data[Mics], Dyno_Data[Team],TBA_Matches_All[[#This Row],[Team]],Dyno_Data[Match],TBA_Matches_All[[#This Row],[Match_Number]],Dyno_Data[RecordType],"EndMatch",Dyno_Data[HPAmp],"Y")</f>
        <v>0</v>
      </c>
      <c r="AH171">
        <f>SUMIFS(Dyno_Data[Leave], Dyno_Data[Team],TBA_Matches_All[[#This Row],[Team]],Dyno_Data[Match],TBA_Matches_All[[#This Row],[Match_Number]],Dyno_Data[RecordType],"EndAuto")</f>
        <v>0</v>
      </c>
      <c r="AI171">
        <f>COUNTIFS(Dyno_Data[Team],TBA_Matches_All[[#This Row],[Team]],Dyno_Data[Match],TBA_Matches_All[[#This Row],[Match_Number]],Dyno_Data[RecordType],"Activities",Dyno_Data[DelDest],"Amp", Dyno_Data[DelMiss],"0", Dyno_Data[Mode],"Auto")</f>
        <v>0</v>
      </c>
      <c r="AJ171">
        <f>COUNTIFS(Dyno_Data[Team],TBA_Matches_All[[#This Row],[Team]],Dyno_Data[Match],TBA_Matches_All[[#This Row],[Match_Number]],Dyno_Data[RecordType],"Activities",Dyno_Data[DelDest],"Spkr", Dyno_Data[DelMiss],"0", Dyno_Data[Mode],"Auto")</f>
        <v>0</v>
      </c>
      <c r="AK171">
        <f>COUNTIFS(Dyno_Data[Team],TBA_Matches_All[[#This Row],[Team]],Dyno_Data[Match],TBA_Matches_All[[#This Row],[Match_Number]],Dyno_Data[RecordType],"Activities",Dyno_Data[DelDest],"Trap", Dyno_Data[DelMiss],"0", Dyno_Data[Mode],"Auto")</f>
        <v>0</v>
      </c>
      <c r="AL171">
        <f>COUNTIFS(Dyno_Data[Team],TBA_Matches_All[[#This Row],[Team]],Dyno_Data[Match],TBA_Matches_All[[#This Row],[Match_Number]],Dyno_Data[RecordType],"Activities",Dyno_Data[DelDest],"Amp", Dyno_Data[DelMiss],"0", Dyno_Data[Mode],"Teleop")</f>
        <v>0</v>
      </c>
      <c r="AM171">
        <f>COUNTIFS(Dyno_Data[Team],TBA_Matches_All[[#This Row],[Team]],Dyno_Data[Match],TBA_Matches_All[[#This Row],[Match_Number]],Dyno_Data[RecordType],"Activities",Dyno_Data[DelDest],"Spkr", Dyno_Data[DelMiss],"0", Dyno_Data[Mode],"Teleop")</f>
        <v>0</v>
      </c>
      <c r="AN171">
        <f>COUNTIFS(Dyno_Data[Team],TBA_Matches_All[[#This Row],[Team]],Dyno_Data[Match],TBA_Matches_All[[#This Row],[Match_Number]],Dyno_Data[RecordType],"Activities",Dyno_Data[DelDest],"Trap", Dyno_Data[DelMiss],"0", Dyno_Data[Mode],"&lt;&gt;Auto")</f>
        <v>0</v>
      </c>
      <c r="AO171">
        <f>SUM(TBA_Matches_All[[#This Row],[AampT]]+TBA_Matches_All[[#This Row],[AspkrT]]+TBA_Matches_All[[#This Row],[AtrapT]]+TBA_Matches_All[[#This Row],[TampT]]+TBA_Matches_All[[#This Row],[TspkrT]]+TBA_Matches_All[[#This Row],[TtrapT]])</f>
        <v>0</v>
      </c>
      <c r="AP171">
        <f>COUNTIFS(Dyno_Data[Team],TBA_Matches_All[[#This Row],[Team]],Dyno_Data[Match],TBA_Matches_All[[#This Row],[Match_Number]],Dyno_Data[RecordType],"Activities",Dyno_Data[DelDest],"Neut", Dyno_Data[DelMiss],"0")</f>
        <v>0</v>
      </c>
      <c r="AQ171">
        <f>COUNTIFS(Dyno_Data[Team],TBA_Matches_All[[#This Row],[Team]],Dyno_Data[Match],TBA_Matches_All[[#This Row],[Match_Number]],Dyno_Data[RecordType],"Activities",Dyno_Data[DelDest],"AllyW", Dyno_Data[DelMiss],"0")</f>
        <v>0</v>
      </c>
      <c r="AR171" t="str">
        <f>_xlfn.XLOOKUP(SUM(MID(TBA_Matches_All[[#This Row],[Team]],4,5),(TBA_Matches_All[[#This Row],[Match_Number]]/100)),Dyno_EndMatch[teammat],Dyno_EndMatch[RobotSta],"_",0,1)</f>
        <v>_</v>
      </c>
      <c r="AS171">
        <f>SUMIFS(Dyno_Data[AcqDis], Dyno_Data[Team],TBA_Matches_All[[#This Row],[Team]],Dyno_Data[Match],TBA_Matches_All[[#This Row],[Match_Number]],Dyno_Data[RecordType],"Activities", Dyno_Data[AcqCenter],1,Dyno_Data[Mode],"Auto")</f>
        <v>0</v>
      </c>
      <c r="AT171">
        <f>SUMIFS(Dyno_Data[AcqDis], Dyno_Data[Team],TBA_Matches_All[[#This Row],[Team]],Dyno_Data[Match],TBA_Matches_All[[#This Row],[Match_Number]],Dyno_Data[RecordType],"Activities", Dyno_Data[AcqCenter],2,Dyno_Data[Mode],"Auto")</f>
        <v>0</v>
      </c>
      <c r="AU171">
        <f>SUMIFS(Dyno_Data[AcqDis], Dyno_Data[Team],TBA_Matches_All[[#This Row],[Team]],Dyno_Data[Match],TBA_Matches_All[[#This Row],[Match_Number]],Dyno_Data[RecordType],"Activities", Dyno_Data[AcqCenter],3,Dyno_Data[Mode],"Auto")</f>
        <v>0</v>
      </c>
      <c r="AV171">
        <f>SUMIFS(Dyno_Data[AcqDis], Dyno_Data[Team],TBA_Matches_All[[#This Row],[Team]],Dyno_Data[Match],TBA_Matches_All[[#This Row],[Match_Number]],Dyno_Data[RecordType],"Activities", Dyno_Data[AcqCenter],4,Dyno_Data[Mode],"Auto")</f>
        <v>0</v>
      </c>
      <c r="AW171">
        <f>SUMIFS(Dyno_Data[AcqDis], Dyno_Data[Team],TBA_Matches_All[[#This Row],[Team]],Dyno_Data[Match],TBA_Matches_All[[#This Row],[Match_Number]],Dyno_Data[RecordType],"Activities", Dyno_Data[AcqCenter],5,Dyno_Data[Mode],"Auto")</f>
        <v>0</v>
      </c>
      <c r="AX171">
        <f>SUMIFS(Dyno_Data[DelMiss], Dyno_Data[Team],TBA_Matches_All[[#This Row],[Team]],Dyno_Data[Match],TBA_Matches_All[[#This Row],[Match_Number]],Dyno_Data[RecordType],"Activities", Dyno_Data[DelDest],"Amp")</f>
        <v>0</v>
      </c>
      <c r="AY171" s="60">
        <f>IFERROR(SUM((TBA_Matches_All[[#This Row],[AampT]]+TBA_Matches_All[[#This Row],[TampT]])/(TBA_Matches_All[[#This Row],[AampT]]+TBA_Matches_All[[#This Row],[TampT]]+TBA_Matches_All[[#This Row],[ampM]])),0)</f>
        <v>0</v>
      </c>
      <c r="AZ171">
        <f>SUMIFS(Dyno_Data[DelMiss], Dyno_Data[Team],TBA_Matches_All[[#This Row],[Team]],Dyno_Data[Match],TBA_Matches_All[[#This Row],[Match_Number]],Dyno_Data[RecordType],"Activities", Dyno_Data[DelDest],"Spkr")</f>
        <v>0</v>
      </c>
      <c r="BA171" s="60">
        <f>IFERROR(SUM((TBA_Matches_All[[#This Row],[AspkrT]]+TBA_Matches_All[[#This Row],[TspkrT]])/(TBA_Matches_All[[#This Row],[AspkrT]]+TBA_Matches_All[[#This Row],[TspkrT]]+TBA_Matches_All[[#This Row],[spkrM]])),0)</f>
        <v>0</v>
      </c>
      <c r="BB171">
        <f>SUMIFS(Dyno_Data[DelMiss], Dyno_Data[Team],TBA_Matches_All[[#This Row],[Team]],Dyno_Data[Match],TBA_Matches_All[[#This Row],[Match_Number]],Dyno_Data[RecordType],"Activities", Dyno_Data[DelDest],"Trap")</f>
        <v>0</v>
      </c>
      <c r="BC171" s="60">
        <f>IFERROR((TBA_Matches_All[[#This Row],[AtrapT]]+TBA_Matches_All[[#This Row],[TtrapT]])/(TBA_Matches_All[[#This Row],[AtrapT]]+TBA_Matches_All[[#This Row],[TtrapT]]+TBA_Matches_All[[#This Row],[trapM]]),0)</f>
        <v>0</v>
      </c>
      <c r="BD171">
        <f>COUNTIFS(Dyno_Data[Team],TBA_Matches_All[[#This Row],[Team]],Dyno_Data[Match],TBA_Matches_All[[#This Row],[Match_Number]],Dyno_Data[RecordType],"Activities",Dyno_Data[DelDest],"Neut", Dyno_Data[DelMiss],1)</f>
        <v>0</v>
      </c>
      <c r="BE171" s="60">
        <f>IFERROR(SUM((TBA_Matches_All[[#This Row],[NeutFlrT]])/(TBA_Matches_All[[#This Row],[NeutFlrT]]+TBA_Matches_All[[#This Row],[NZflM]])),0)</f>
        <v>0</v>
      </c>
      <c r="BF171">
        <f>COUNTIFS(Dyno_Data[Team],TBA_Matches_All[[#This Row],[Team]],Dyno_Data[Match],TBA_Matches_All[[#This Row],[Match_Number]],Dyno_Data[RecordType],"Activities",Dyno_Data[DelDest],"AllyW", Dyno_Data[DelMiss],1)</f>
        <v>0</v>
      </c>
      <c r="BG171" s="60">
        <f>IFERROR(SUM((TBA_Matches_All[[#This Row],[AllyWFlrT]])/(TBA_Matches_All[[#This Row],[AllyWFlrT]]+TBA_Matches_All[[#This Row],[AZflM]])),0)</f>
        <v>0</v>
      </c>
      <c r="BH171">
        <f>COUNTIFS(Dyno_Data[Team],TBA_Matches_All[[#This Row],[Team]],Dyno_Data[Match],TBA_Matches_All[[#This Row],[Match_Number]],Dyno_Data[RecordType],"Activities",Dyno_Data[DelOrig],"OppW", Dyno_Data[DelMiss],"0")</f>
        <v>0</v>
      </c>
      <c r="BI171">
        <f>COUNTIFS(Dyno_Data[Team],TBA_Matches_All[[#This Row],[Team]],Dyno_Data[Match],TBA_Matches_All[[#This Row],[Match_Number]],Dyno_Data[RecordType],"Activities",Dyno_Data[DelOrig],"OppW", Dyno_Data[DelMiss],"1")</f>
        <v>0</v>
      </c>
      <c r="BJ171" s="60">
        <f>IFERROR(SUM((TBA_Matches_All[[#This Row],[OZflrT]])/(TBA_Matches_All[[#This Row],[OZflrT]]+TBA_Matches_All[[#This Row],[OZflrM]])),0)</f>
        <v>0</v>
      </c>
      <c r="BK171">
        <f>COUNTIFS(Dyno_Data[Team],TBA_Matches_All[[#This Row],[Team]],Dyno_Data[Match],TBA_Matches_All[[#This Row],[Match_Number]],Dyno_Data[RecordType],"Activities",Dyno_Data[DelOrig],"Neut", Dyno_Data[DelMiss],"0")</f>
        <v>0</v>
      </c>
      <c r="BL171">
        <f>COUNTIFS(Dyno_Data[Team],TBA_Matches_All[[#This Row],[Team]],Dyno_Data[Match],TBA_Matches_All[[#This Row],[Match_Number]],Dyno_Data[RecordType],"Activities",Dyno_Data[DelOrig],"Neut", Dyno_Data[DelMiss],"1")</f>
        <v>0</v>
      </c>
      <c r="BM171" s="60">
        <f>IFERROR(SUM((TBA_Matches_All[[#This Row],[NZflrT]])/(TBA_Matches_All[[#This Row],[NZflrT]]+TBA_Matches_All[[#This Row],[NZflrM]])),0)</f>
        <v>0</v>
      </c>
      <c r="BN171">
        <f>COUNTIFS(Dyno_Data[Team],TBA_Matches_All[[#This Row],[Team]],Dyno_Data[Match],TBA_Matches_All[[#This Row],[Match_Number]],Dyno_Data[RecordType],"Activities",Dyno_Data[DelOrig],"AllyW", Dyno_Data[DelMiss],"0")</f>
        <v>0</v>
      </c>
      <c r="BO171">
        <f>COUNTIFS(Dyno_Data[Team],TBA_Matches_All[[#This Row],[Team]],Dyno_Data[Match],TBA_Matches_All[[#This Row],[Match_Number]],Dyno_Data[RecordType],"Activities",Dyno_Data[DelOrig],"AllyW", Dyno_Data[DelMiss],"1")</f>
        <v>0</v>
      </c>
      <c r="BP171" s="60">
        <f>IFERROR(SUM((TBA_Matches_All[[#This Row],[AZflrT]])/(TBA_Matches_All[[#This Row],[AZflrT]]+TBA_Matches_All[[#This Row],[AZflrM]])),0)</f>
        <v>0</v>
      </c>
      <c r="BQ171">
        <f>COUNTIFS(Dyno_Data[Team],TBA_Matches_All[[#This Row],[Team]],Dyno_Data[Match],TBA_Matches_All[[#This Row],[Match_Number]],Dyno_Data[RecordType],"Activities",Dyno_Data[DelOrig],"SubW", Dyno_Data[DelMiss],"0")</f>
        <v>0</v>
      </c>
      <c r="BR171">
        <f>COUNTIFS(Dyno_Data[Team],TBA_Matches_All[[#This Row],[Team]],Dyno_Data[Match],TBA_Matches_All[[#This Row],[Match_Number]],Dyno_Data[RecordType],"Activities",Dyno_Data[DelOrig],"SubW", Dyno_Data[DelMiss],"1")</f>
        <v>0</v>
      </c>
      <c r="BS171" s="60">
        <f>IFERROR(SUM((TBA_Matches_All[[#This Row],[SubwT]])/(TBA_Matches_All[[#This Row],[SubwT]]+TBA_Matches_All[[#This Row],[SubwM]])),0)</f>
        <v>0</v>
      </c>
      <c r="BT171">
        <f>COUNTIFS(Dyno_Data[Team],TBA_Matches_All[[#This Row],[Team]],Dyno_Data[Match],TBA_Matches_All[[#This Row],[Match_Number]],Dyno_Data[RecordType],"Activities", Dyno_Data[AcqLoc],"OppWing")</f>
        <v>0</v>
      </c>
      <c r="BU171">
        <f>COUNTIFS(Dyno_Data[Team],TBA_Matches_All[[#This Row],[Team]],Dyno_Data[Match],TBA_Matches_All[[#This Row],[Match_Number]],Dyno_Data[RecordType],"Activities", Dyno_Data[AcqLoc],"Neutral")</f>
        <v>0</v>
      </c>
      <c r="BV171">
        <f>COUNTIFS(Dyno_Data[Team],TBA_Matches_All[[#This Row],[Team]],Dyno_Data[Match],TBA_Matches_All[[#This Row],[Match_Number]],Dyno_Data[RecordType],"Activities", Dyno_Data[AcqLoc],"AllyWing")</f>
        <v>0</v>
      </c>
      <c r="BW171">
        <f>COUNTIFS(Dyno_Data[Team],TBA_Matches_All[[#This Row],[Team]],Dyno_Data[Match],TBA_Matches_All[[#This Row],[Match_Number]],Dyno_Data[RecordType],"Activities", Dyno_Data[AcqLoc],"Source")</f>
        <v>0</v>
      </c>
      <c r="BX171">
        <f>SUMIFS(Dyno_Data[AcqDrp], Dyno_Data[Team],TBA_Matches_All[[#This Row],[Team]],Dyno_Data[Match],TBA_Matches_All[[#This Row],[Match_Number]],Dyno_Data[RecordType],"Activities", Dyno_Data[AcqLoc],"Source")</f>
        <v>0</v>
      </c>
      <c r="BY171">
        <f>SUMIFS(Dyno_Data[OZTime], Dyno_Data[Team],TBA_Matches_All[[#This Row],[Team]],Dyno_Data[Match],TBA_Matches_All[[#This Row],[Match_Number]],Dyno_Data[RecordType],"EndMatch")</f>
        <v>0</v>
      </c>
      <c r="BZ171">
        <f>SUMIFS(Dyno_Data[NZTime], Dyno_Data[Team],TBA_Matches_All[[#This Row],[Team]],Dyno_Data[Match],TBA_Matches_All[[#This Row],[Match_Number]],Dyno_Data[RecordType],"EndMatch")</f>
        <v>0</v>
      </c>
      <c r="CA171">
        <f>SUMIFS(Dyno_Data[AZTime], Dyno_Data[Team],TBA_Matches_All[[#This Row],[Team]],Dyno_Data[Match],TBA_Matches_All[[#This Row],[Match_Number]],Dyno_Data[RecordType],"EndMatch")</f>
        <v>0</v>
      </c>
      <c r="CB171">
        <f>SUMIFS(Dyno_Data[ClimbT], Dyno_Data[Team],TBA_Matches_All[[#This Row],[Team]],Dyno_Data[Match],TBA_Matches_All[[#This Row],[Match_Number]],Dyno_Data[RecordType],"EndMatch")</f>
        <v>0</v>
      </c>
      <c r="CC171" t="str">
        <f>_xlfn.XLOOKUP(SUM(MID(TBA_Matches_All[[#This Row],[Team]],4,5),(TBA_Matches_All[[#This Row],[Match_Number]]/100)),Dyno_EndMatch[teammat],Dyno_EndMatch[StageStat],"_",0,1)</f>
        <v>_</v>
      </c>
      <c r="CD171" t="str">
        <f>_xlfn.XLOOKUP(TBA_Matches_All[[#This Row],[teammat]],Dyno_EndMatch[teammat],Dyno_EndMatch[StageAtt],"_",0,1)</f>
        <v>_</v>
      </c>
      <c r="CE171" t="str">
        <f>_xlfn.XLOOKUP(TBA_Matches_All[[#This Row],[teammat]],Dyno_EndMatch[teammat],Dyno_EndMatch[StageLoc],"_",0,1)</f>
        <v>_</v>
      </c>
      <c r="CF171">
        <f>SUMIFS(Dyno_Data[Harmony], Dyno_Data[Team],TBA_Matches_All[[#This Row],[Team]],Dyno_Data[Match],TBA_Matches_All[[#This Row],[Match_Number]],Dyno_Data[RecordType],"EndMatch", Dyno_Data[StageStat],"On",Dyno_Data[Harmony],"&lt;&gt;9")</f>
        <v>0</v>
      </c>
      <c r="CG171">
        <f>SUMIFS(Dyno_Data[Spotlit], Dyno_Data[Team],TBA_Matches_All[[#This Row],[Team]],Dyno_Data[Match],TBA_Matches_All[[#This Row],[Match_Number]],Dyno_Data[RecordType],"EndMatch", Dyno_Data[StageStat],"On",Dyno_Data[Spotlit],"&lt;&gt;9")</f>
        <v>0</v>
      </c>
      <c r="CH171" t="str">
        <f>_xlfn.XLOOKUP(TBA_Matches_All[[#This Row],[teammat]],Dyno_EndMatch[teammat],Dyno_EndMatch[Strategy],"_",0,1)</f>
        <v>_</v>
      </c>
      <c r="CI171">
        <f>SUMIFS(Dyno_Data[Defense], Dyno_Data[Team],TBA_Matches_All[[#This Row],[Team]],Dyno_Data[Match],TBA_Matches_All[[#This Row],[Match_Number]],Dyno_Data[RecordType],"EndMatch",Dyno_Data[Defense],"&lt;&gt;9")</f>
        <v>0</v>
      </c>
      <c r="CJ171">
        <f>SUMIFS(Dyno_Data[Avoidance], Dyno_Data[Team],TBA_Matches_All[[#This Row],[Team]],Dyno_Data[Match],TBA_Matches_All[[#This Row],[Match_Number]],Dyno_Data[RecordType],"EndMatch",Dyno_Data[Avoidance],"&lt;&gt;9")</f>
        <v>0</v>
      </c>
      <c r="CK171" s="82">
        <f>COUNTIF($H$2:TBA_Matches_All[[#This Row],[Team]],TBA_Matches_All[[#This Row],[Team]])</f>
        <v>4</v>
      </c>
      <c r="CL171" s="111">
        <f>SUM(MID(TBA_Matches_All[[#This Row],[Team]],4,5)+TBA_Matches_All[[#This Row],[Match_Number]]/100)</f>
        <v>1559.29</v>
      </c>
      <c r="CM171">
        <f>SUM((TBA_Matches_All[[#This Row],[Leave]]*2)+(TBA_Matches_All[[#This Row],[AampT]]*2)+(TBA_Matches_All[[#This Row],[AspkrT]]*5)+(TBA_Matches_All[[#This Row],[AtrapT]]*5))</f>
        <v>0</v>
      </c>
      <c r="CN171" s="59">
        <f>IFERROR(SUM(TBA_Matches_All[[#This Row],[AptsT]]/TBA_Matches_All[[#This Row],[AutoPts]]),0)</f>
        <v>0</v>
      </c>
      <c r="CO171" s="59">
        <f>IFERROR(SUM(TBA_Matches_All[[#This Row],[AampT]]+TBA_Matches_All[[#This Row],[AspkrT]]+TBA_Matches_All[[#This Row],[AtrapT]]/TBA_Matches_All[[#This Row],[Aamp]]+TBA_Matches_All[[#This Row],[Aspkr]]+TBA_Matches_All[[#This Row],[AtrapT]]),0)</f>
        <v>0</v>
      </c>
      <c r="CP171" s="59">
        <f>IFERROR(SUM(TBA_Matches_All[[#This Row],[TampT]]/TBA_Matches_All[[#This Row],[Tamp]]),0)</f>
        <v>0</v>
      </c>
      <c r="CQ171" s="59">
        <f>IFERROR(SUM(TBA_Matches_All[[#This Row],[TspkrT]]/TBA_Matches_All[[#This Row],[Tspkr]]),0)</f>
        <v>0</v>
      </c>
      <c r="CR171">
        <f>SUM(TBA_Matches_All[[#This Row],[TspkrPts]]*TBA_Matches_All[[#This Row],[TspkrP]])</f>
        <v>0</v>
      </c>
      <c r="CS171" s="59">
        <f>IFERROR(SUM(TBA_Matches_All[[#This Row],[TtrapT]]/TBA_Matches_All[[#This Row],[Trap]]),0)</f>
        <v>0</v>
      </c>
      <c r="CT171" s="59">
        <f>IFERROR(SUM(TBA_Matches_All[[#This Row],[TotNotesT]]/TBA_Matches_All[[#This Row],[TotNotes]]),0)</f>
        <v>0</v>
      </c>
      <c r="CU171" s="66">
        <f>SUM((TBA_Matches_All[[#This Row],[AampT]]*2)+(TBA_Matches_All[[#This Row],[AspkrT]]*5)+(TBA_Matches_All[[#This Row],[AtrapT]]*5)+(TBA_Matches_All[[#This Row],[TampT]]*1)+(TBA_Matches_All[[#This Row],[TspkrptsC]]))</f>
        <v>0</v>
      </c>
      <c r="CV171" s="59">
        <f>IFERROR(TBA_Matches_All[[#This Row],[noteptsT]]/TBA_Matches_All[[#This Row],[NotePts]],0)</f>
        <v>0</v>
      </c>
      <c r="CW171">
        <f>SUM(IF(TBA_Matches_All[[#This Row],[stageStat]]="On",3,0),IF(TBA_Matches_All[[#This Row],[stageStat]]="Park",1,0),SUMIFS(TBA_Matches_All[[#This Row],[Spotlit]],TBA_Matches_All[[#This Row],[stageStat]],"On"),SUMIFS(TBA_Matches_All[[#This Row],[Harmony]],TBA_Matches_All[[#This Row],[stageStat]],"On"))</f>
        <v>0</v>
      </c>
      <c r="CX171" s="59">
        <f>IFERROR(TBA_Matches_All[[#This Row],[stageptsT]]/TBA_Matches_All[[#This Row],[StagePts]],0)</f>
        <v>0</v>
      </c>
      <c r="CY171">
        <f>SUM((TBA_Matches_All[[#This Row],[AptsT]]+TBA_Matches_All[[#This Row],[TampT]]+TBA_Matches_All[[#This Row],[TspkrptsC]]+(TBA_Matches_All[[#This Row],[TtrapT]]*5)+TBA_Matches_All[[#This Row],[stageptsT]]))</f>
        <v>0</v>
      </c>
      <c r="CZ171" s="59">
        <f>IFERROR(SUM(TBA_Matches_All[[#This Row],[TotptsC]]/TBA_Matches_All[[#This Row],[Score]]),0)</f>
        <v>0</v>
      </c>
      <c r="DA17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9.2583333333333329</v>
      </c>
      <c r="DB171" s="74">
        <f>SUMIFS(TBA_Matches_All[AveTeamTNoteDels],TBA_Matches_All[Match_Number],TBA_Matches_All[[#This Row],[Match_Number]],TBA_Matches_All[Alliance],"&lt;&gt;"&amp;TBA_Matches_All[[#This Row],[Alliance]],TBA_Matches_All[Scouted],"&gt;0")</f>
        <v>0</v>
      </c>
      <c r="DC171" s="74">
        <f>(TBA_Matches_All[[#This Row],[TampT]]+TBA_Matches_All[[#This Row],[TspkrptsC]])-TBA_Matches_All[[#This Row],[AveTeamTNoteDels]]</f>
        <v>-9.2583333333333329</v>
      </c>
      <c r="DD171" s="74">
        <f>SUMIFS(TBA_Matches_All[AveTeamTNoteDels],TBA_Matches_All[Match_Number],TBA_Matches_All[[#This Row],[Match_Number]],TBA_Matches_All[Alliance],"&lt;&gt;"&amp;TBA_Matches_All[[#This Row],[Alliance]])-TBA_Matches_All[[#This Row],[AveOppTNoteDels]]</f>
        <v>11.560606060606059</v>
      </c>
    </row>
    <row r="172" spans="1:108" x14ac:dyDescent="0.3">
      <c r="A172" t="s">
        <v>1042</v>
      </c>
      <c r="B172" t="s">
        <v>489</v>
      </c>
      <c r="C172" t="s">
        <v>1338</v>
      </c>
      <c r="D172">
        <v>29</v>
      </c>
      <c r="E172" t="s">
        <v>1406</v>
      </c>
      <c r="F172" t="s">
        <v>1422</v>
      </c>
      <c r="G172" t="s">
        <v>105</v>
      </c>
      <c r="H172" t="s">
        <v>1290</v>
      </c>
      <c r="I172" t="b">
        <v>0</v>
      </c>
      <c r="J172">
        <v>31</v>
      </c>
      <c r="K172">
        <v>0</v>
      </c>
      <c r="L172">
        <v>0</v>
      </c>
      <c r="M172">
        <v>15</v>
      </c>
      <c r="N172">
        <v>0</v>
      </c>
      <c r="O172">
        <v>0</v>
      </c>
      <c r="P172">
        <v>0</v>
      </c>
      <c r="Q172">
        <v>2</v>
      </c>
      <c r="R172">
        <v>4</v>
      </c>
      <c r="S172">
        <v>2</v>
      </c>
      <c r="T172">
        <v>6</v>
      </c>
      <c r="U172">
        <v>10</v>
      </c>
      <c r="V172">
        <v>12</v>
      </c>
      <c r="W172">
        <v>8</v>
      </c>
      <c r="X172">
        <v>22</v>
      </c>
      <c r="Y172">
        <v>26</v>
      </c>
      <c r="Z172">
        <v>0</v>
      </c>
      <c r="AA172">
        <v>0</v>
      </c>
      <c r="AB172">
        <v>12</v>
      </c>
      <c r="AC172">
        <v>26</v>
      </c>
      <c r="AD172">
        <v>3</v>
      </c>
      <c r="AE172">
        <f>IFERROR(6/(COUNTIF(Dyno_EndMatch[Match],TBA_Matches_All[[#This Row],[Match_Number]])),0)</f>
        <v>0</v>
      </c>
      <c r="AF172">
        <f>COUNTIFS(Dyno_Data[Team],TBA_Matches_All[[#This Row],[Team]],Dyno_Data[Match],TBA_Matches_All[[#This Row],[Match_Number]],Dyno_Data[RecordType],"EndMatch",Dyno_Data[HPAmp],"Y")</f>
        <v>0</v>
      </c>
      <c r="AG172">
        <f>SUMIFS(Dyno_Data[Mics], Dyno_Data[Team],TBA_Matches_All[[#This Row],[Team]],Dyno_Data[Match],TBA_Matches_All[[#This Row],[Match_Number]],Dyno_Data[RecordType],"EndMatch",Dyno_Data[HPAmp],"Y")</f>
        <v>0</v>
      </c>
      <c r="AH172">
        <f>SUMIFS(Dyno_Data[Leave], Dyno_Data[Team],TBA_Matches_All[[#This Row],[Team]],Dyno_Data[Match],TBA_Matches_All[[#This Row],[Match_Number]],Dyno_Data[RecordType],"EndAuto")</f>
        <v>0</v>
      </c>
      <c r="AI172">
        <f>COUNTIFS(Dyno_Data[Team],TBA_Matches_All[[#This Row],[Team]],Dyno_Data[Match],TBA_Matches_All[[#This Row],[Match_Number]],Dyno_Data[RecordType],"Activities",Dyno_Data[DelDest],"Amp", Dyno_Data[DelMiss],"0", Dyno_Data[Mode],"Auto")</f>
        <v>0</v>
      </c>
      <c r="AJ172">
        <f>COUNTIFS(Dyno_Data[Team],TBA_Matches_All[[#This Row],[Team]],Dyno_Data[Match],TBA_Matches_All[[#This Row],[Match_Number]],Dyno_Data[RecordType],"Activities",Dyno_Data[DelDest],"Spkr", Dyno_Data[DelMiss],"0", Dyno_Data[Mode],"Auto")</f>
        <v>0</v>
      </c>
      <c r="AK172">
        <f>COUNTIFS(Dyno_Data[Team],TBA_Matches_All[[#This Row],[Team]],Dyno_Data[Match],TBA_Matches_All[[#This Row],[Match_Number]],Dyno_Data[RecordType],"Activities",Dyno_Data[DelDest],"Trap", Dyno_Data[DelMiss],"0", Dyno_Data[Mode],"Auto")</f>
        <v>0</v>
      </c>
      <c r="AL172">
        <f>COUNTIFS(Dyno_Data[Team],TBA_Matches_All[[#This Row],[Team]],Dyno_Data[Match],TBA_Matches_All[[#This Row],[Match_Number]],Dyno_Data[RecordType],"Activities",Dyno_Data[DelDest],"Amp", Dyno_Data[DelMiss],"0", Dyno_Data[Mode],"Teleop")</f>
        <v>0</v>
      </c>
      <c r="AM172">
        <f>COUNTIFS(Dyno_Data[Team],TBA_Matches_All[[#This Row],[Team]],Dyno_Data[Match],TBA_Matches_All[[#This Row],[Match_Number]],Dyno_Data[RecordType],"Activities",Dyno_Data[DelDest],"Spkr", Dyno_Data[DelMiss],"0", Dyno_Data[Mode],"Teleop")</f>
        <v>0</v>
      </c>
      <c r="AN172">
        <f>COUNTIFS(Dyno_Data[Team],TBA_Matches_All[[#This Row],[Team]],Dyno_Data[Match],TBA_Matches_All[[#This Row],[Match_Number]],Dyno_Data[RecordType],"Activities",Dyno_Data[DelDest],"Trap", Dyno_Data[DelMiss],"0", Dyno_Data[Mode],"&lt;&gt;Auto")</f>
        <v>0</v>
      </c>
      <c r="AO172">
        <f>SUM(TBA_Matches_All[[#This Row],[AampT]]+TBA_Matches_All[[#This Row],[AspkrT]]+TBA_Matches_All[[#This Row],[AtrapT]]+TBA_Matches_All[[#This Row],[TampT]]+TBA_Matches_All[[#This Row],[TspkrT]]+TBA_Matches_All[[#This Row],[TtrapT]])</f>
        <v>0</v>
      </c>
      <c r="AP172">
        <f>COUNTIFS(Dyno_Data[Team],TBA_Matches_All[[#This Row],[Team]],Dyno_Data[Match],TBA_Matches_All[[#This Row],[Match_Number]],Dyno_Data[RecordType],"Activities",Dyno_Data[DelDest],"Neut", Dyno_Data[DelMiss],"0")</f>
        <v>0</v>
      </c>
      <c r="AQ172">
        <f>COUNTIFS(Dyno_Data[Team],TBA_Matches_All[[#This Row],[Team]],Dyno_Data[Match],TBA_Matches_All[[#This Row],[Match_Number]],Dyno_Data[RecordType],"Activities",Dyno_Data[DelDest],"AllyW", Dyno_Data[DelMiss],"0")</f>
        <v>0</v>
      </c>
      <c r="AR172" t="str">
        <f>_xlfn.XLOOKUP(SUM(MID(TBA_Matches_All[[#This Row],[Team]],4,5),(TBA_Matches_All[[#This Row],[Match_Number]]/100)),Dyno_EndMatch[teammat],Dyno_EndMatch[RobotSta],"_",0,1)</f>
        <v>_</v>
      </c>
      <c r="AS172">
        <f>SUMIFS(Dyno_Data[AcqDis], Dyno_Data[Team],TBA_Matches_All[[#This Row],[Team]],Dyno_Data[Match],TBA_Matches_All[[#This Row],[Match_Number]],Dyno_Data[RecordType],"Activities", Dyno_Data[AcqCenter],1,Dyno_Data[Mode],"Auto")</f>
        <v>0</v>
      </c>
      <c r="AT172">
        <f>SUMIFS(Dyno_Data[AcqDis], Dyno_Data[Team],TBA_Matches_All[[#This Row],[Team]],Dyno_Data[Match],TBA_Matches_All[[#This Row],[Match_Number]],Dyno_Data[RecordType],"Activities", Dyno_Data[AcqCenter],2,Dyno_Data[Mode],"Auto")</f>
        <v>0</v>
      </c>
      <c r="AU172">
        <f>SUMIFS(Dyno_Data[AcqDis], Dyno_Data[Team],TBA_Matches_All[[#This Row],[Team]],Dyno_Data[Match],TBA_Matches_All[[#This Row],[Match_Number]],Dyno_Data[RecordType],"Activities", Dyno_Data[AcqCenter],3,Dyno_Data[Mode],"Auto")</f>
        <v>0</v>
      </c>
      <c r="AV172">
        <f>SUMIFS(Dyno_Data[AcqDis], Dyno_Data[Team],TBA_Matches_All[[#This Row],[Team]],Dyno_Data[Match],TBA_Matches_All[[#This Row],[Match_Number]],Dyno_Data[RecordType],"Activities", Dyno_Data[AcqCenter],4,Dyno_Data[Mode],"Auto")</f>
        <v>0</v>
      </c>
      <c r="AW172">
        <f>SUMIFS(Dyno_Data[AcqDis], Dyno_Data[Team],TBA_Matches_All[[#This Row],[Team]],Dyno_Data[Match],TBA_Matches_All[[#This Row],[Match_Number]],Dyno_Data[RecordType],"Activities", Dyno_Data[AcqCenter],5,Dyno_Data[Mode],"Auto")</f>
        <v>0</v>
      </c>
      <c r="AX172">
        <f>SUMIFS(Dyno_Data[DelMiss], Dyno_Data[Team],TBA_Matches_All[[#This Row],[Team]],Dyno_Data[Match],TBA_Matches_All[[#This Row],[Match_Number]],Dyno_Data[RecordType],"Activities", Dyno_Data[DelDest],"Amp")</f>
        <v>0</v>
      </c>
      <c r="AY172" s="60">
        <f>IFERROR(SUM((TBA_Matches_All[[#This Row],[AampT]]+TBA_Matches_All[[#This Row],[TampT]])/(TBA_Matches_All[[#This Row],[AampT]]+TBA_Matches_All[[#This Row],[TampT]]+TBA_Matches_All[[#This Row],[ampM]])),0)</f>
        <v>0</v>
      </c>
      <c r="AZ172">
        <f>SUMIFS(Dyno_Data[DelMiss], Dyno_Data[Team],TBA_Matches_All[[#This Row],[Team]],Dyno_Data[Match],TBA_Matches_All[[#This Row],[Match_Number]],Dyno_Data[RecordType],"Activities", Dyno_Data[DelDest],"Spkr")</f>
        <v>0</v>
      </c>
      <c r="BA172" s="60">
        <f>IFERROR(SUM((TBA_Matches_All[[#This Row],[AspkrT]]+TBA_Matches_All[[#This Row],[TspkrT]])/(TBA_Matches_All[[#This Row],[AspkrT]]+TBA_Matches_All[[#This Row],[TspkrT]]+TBA_Matches_All[[#This Row],[spkrM]])),0)</f>
        <v>0</v>
      </c>
      <c r="BB172">
        <f>SUMIFS(Dyno_Data[DelMiss], Dyno_Data[Team],TBA_Matches_All[[#This Row],[Team]],Dyno_Data[Match],TBA_Matches_All[[#This Row],[Match_Number]],Dyno_Data[RecordType],"Activities", Dyno_Data[DelDest],"Trap")</f>
        <v>0</v>
      </c>
      <c r="BC172" s="60">
        <f>IFERROR((TBA_Matches_All[[#This Row],[AtrapT]]+TBA_Matches_All[[#This Row],[TtrapT]])/(TBA_Matches_All[[#This Row],[AtrapT]]+TBA_Matches_All[[#This Row],[TtrapT]]+TBA_Matches_All[[#This Row],[trapM]]),0)</f>
        <v>0</v>
      </c>
      <c r="BD172">
        <f>COUNTIFS(Dyno_Data[Team],TBA_Matches_All[[#This Row],[Team]],Dyno_Data[Match],TBA_Matches_All[[#This Row],[Match_Number]],Dyno_Data[RecordType],"Activities",Dyno_Data[DelDest],"Neut", Dyno_Data[DelMiss],1)</f>
        <v>0</v>
      </c>
      <c r="BE172" s="60">
        <f>IFERROR(SUM((TBA_Matches_All[[#This Row],[NeutFlrT]])/(TBA_Matches_All[[#This Row],[NeutFlrT]]+TBA_Matches_All[[#This Row],[NZflM]])),0)</f>
        <v>0</v>
      </c>
      <c r="BF172">
        <f>COUNTIFS(Dyno_Data[Team],TBA_Matches_All[[#This Row],[Team]],Dyno_Data[Match],TBA_Matches_All[[#This Row],[Match_Number]],Dyno_Data[RecordType],"Activities",Dyno_Data[DelDest],"AllyW", Dyno_Data[DelMiss],1)</f>
        <v>0</v>
      </c>
      <c r="BG172" s="60">
        <f>IFERROR(SUM((TBA_Matches_All[[#This Row],[AllyWFlrT]])/(TBA_Matches_All[[#This Row],[AllyWFlrT]]+TBA_Matches_All[[#This Row],[AZflM]])),0)</f>
        <v>0</v>
      </c>
      <c r="BH172">
        <f>COUNTIFS(Dyno_Data[Team],TBA_Matches_All[[#This Row],[Team]],Dyno_Data[Match],TBA_Matches_All[[#This Row],[Match_Number]],Dyno_Data[RecordType],"Activities",Dyno_Data[DelOrig],"OppW", Dyno_Data[DelMiss],"0")</f>
        <v>0</v>
      </c>
      <c r="BI172">
        <f>COUNTIFS(Dyno_Data[Team],TBA_Matches_All[[#This Row],[Team]],Dyno_Data[Match],TBA_Matches_All[[#This Row],[Match_Number]],Dyno_Data[RecordType],"Activities",Dyno_Data[DelOrig],"OppW", Dyno_Data[DelMiss],"1")</f>
        <v>0</v>
      </c>
      <c r="BJ172" s="60">
        <f>IFERROR(SUM((TBA_Matches_All[[#This Row],[OZflrT]])/(TBA_Matches_All[[#This Row],[OZflrT]]+TBA_Matches_All[[#This Row],[OZflrM]])),0)</f>
        <v>0</v>
      </c>
      <c r="BK172">
        <f>COUNTIFS(Dyno_Data[Team],TBA_Matches_All[[#This Row],[Team]],Dyno_Data[Match],TBA_Matches_All[[#This Row],[Match_Number]],Dyno_Data[RecordType],"Activities",Dyno_Data[DelOrig],"Neut", Dyno_Data[DelMiss],"0")</f>
        <v>0</v>
      </c>
      <c r="BL172">
        <f>COUNTIFS(Dyno_Data[Team],TBA_Matches_All[[#This Row],[Team]],Dyno_Data[Match],TBA_Matches_All[[#This Row],[Match_Number]],Dyno_Data[RecordType],"Activities",Dyno_Data[DelOrig],"Neut", Dyno_Data[DelMiss],"1")</f>
        <v>0</v>
      </c>
      <c r="BM172" s="60">
        <f>IFERROR(SUM((TBA_Matches_All[[#This Row],[NZflrT]])/(TBA_Matches_All[[#This Row],[NZflrT]]+TBA_Matches_All[[#This Row],[NZflrM]])),0)</f>
        <v>0</v>
      </c>
      <c r="BN172">
        <f>COUNTIFS(Dyno_Data[Team],TBA_Matches_All[[#This Row],[Team]],Dyno_Data[Match],TBA_Matches_All[[#This Row],[Match_Number]],Dyno_Data[RecordType],"Activities",Dyno_Data[DelOrig],"AllyW", Dyno_Data[DelMiss],"0")</f>
        <v>0</v>
      </c>
      <c r="BO172">
        <f>COUNTIFS(Dyno_Data[Team],TBA_Matches_All[[#This Row],[Team]],Dyno_Data[Match],TBA_Matches_All[[#This Row],[Match_Number]],Dyno_Data[RecordType],"Activities",Dyno_Data[DelOrig],"AllyW", Dyno_Data[DelMiss],"1")</f>
        <v>0</v>
      </c>
      <c r="BP172" s="60">
        <f>IFERROR(SUM((TBA_Matches_All[[#This Row],[AZflrT]])/(TBA_Matches_All[[#This Row],[AZflrT]]+TBA_Matches_All[[#This Row],[AZflrM]])),0)</f>
        <v>0</v>
      </c>
      <c r="BQ172">
        <f>COUNTIFS(Dyno_Data[Team],TBA_Matches_All[[#This Row],[Team]],Dyno_Data[Match],TBA_Matches_All[[#This Row],[Match_Number]],Dyno_Data[RecordType],"Activities",Dyno_Data[DelOrig],"SubW", Dyno_Data[DelMiss],"0")</f>
        <v>0</v>
      </c>
      <c r="BR172">
        <f>COUNTIFS(Dyno_Data[Team],TBA_Matches_All[[#This Row],[Team]],Dyno_Data[Match],TBA_Matches_All[[#This Row],[Match_Number]],Dyno_Data[RecordType],"Activities",Dyno_Data[DelOrig],"SubW", Dyno_Data[DelMiss],"1")</f>
        <v>0</v>
      </c>
      <c r="BS172" s="60">
        <f>IFERROR(SUM((TBA_Matches_All[[#This Row],[SubwT]])/(TBA_Matches_All[[#This Row],[SubwT]]+TBA_Matches_All[[#This Row],[SubwM]])),0)</f>
        <v>0</v>
      </c>
      <c r="BT172">
        <f>COUNTIFS(Dyno_Data[Team],TBA_Matches_All[[#This Row],[Team]],Dyno_Data[Match],TBA_Matches_All[[#This Row],[Match_Number]],Dyno_Data[RecordType],"Activities", Dyno_Data[AcqLoc],"OppWing")</f>
        <v>0</v>
      </c>
      <c r="BU172">
        <f>COUNTIFS(Dyno_Data[Team],TBA_Matches_All[[#This Row],[Team]],Dyno_Data[Match],TBA_Matches_All[[#This Row],[Match_Number]],Dyno_Data[RecordType],"Activities", Dyno_Data[AcqLoc],"Neutral")</f>
        <v>0</v>
      </c>
      <c r="BV172">
        <f>COUNTIFS(Dyno_Data[Team],TBA_Matches_All[[#This Row],[Team]],Dyno_Data[Match],TBA_Matches_All[[#This Row],[Match_Number]],Dyno_Data[RecordType],"Activities", Dyno_Data[AcqLoc],"AllyWing")</f>
        <v>0</v>
      </c>
      <c r="BW172">
        <f>COUNTIFS(Dyno_Data[Team],TBA_Matches_All[[#This Row],[Team]],Dyno_Data[Match],TBA_Matches_All[[#This Row],[Match_Number]],Dyno_Data[RecordType],"Activities", Dyno_Data[AcqLoc],"Source")</f>
        <v>0</v>
      </c>
      <c r="BX172">
        <f>SUMIFS(Dyno_Data[AcqDrp], Dyno_Data[Team],TBA_Matches_All[[#This Row],[Team]],Dyno_Data[Match],TBA_Matches_All[[#This Row],[Match_Number]],Dyno_Data[RecordType],"Activities", Dyno_Data[AcqLoc],"Source")</f>
        <v>0</v>
      </c>
      <c r="BY172">
        <f>SUMIFS(Dyno_Data[OZTime], Dyno_Data[Team],TBA_Matches_All[[#This Row],[Team]],Dyno_Data[Match],TBA_Matches_All[[#This Row],[Match_Number]],Dyno_Data[RecordType],"EndMatch")</f>
        <v>0</v>
      </c>
      <c r="BZ172">
        <f>SUMIFS(Dyno_Data[NZTime], Dyno_Data[Team],TBA_Matches_All[[#This Row],[Team]],Dyno_Data[Match],TBA_Matches_All[[#This Row],[Match_Number]],Dyno_Data[RecordType],"EndMatch")</f>
        <v>0</v>
      </c>
      <c r="CA172">
        <f>SUMIFS(Dyno_Data[AZTime], Dyno_Data[Team],TBA_Matches_All[[#This Row],[Team]],Dyno_Data[Match],TBA_Matches_All[[#This Row],[Match_Number]],Dyno_Data[RecordType],"EndMatch")</f>
        <v>0</v>
      </c>
      <c r="CB172">
        <f>SUMIFS(Dyno_Data[ClimbT], Dyno_Data[Team],TBA_Matches_All[[#This Row],[Team]],Dyno_Data[Match],TBA_Matches_All[[#This Row],[Match_Number]],Dyno_Data[RecordType],"EndMatch")</f>
        <v>0</v>
      </c>
      <c r="CC172" t="str">
        <f>_xlfn.XLOOKUP(SUM(MID(TBA_Matches_All[[#This Row],[Team]],4,5),(TBA_Matches_All[[#This Row],[Match_Number]]/100)),Dyno_EndMatch[teammat],Dyno_EndMatch[StageStat],"_",0,1)</f>
        <v>_</v>
      </c>
      <c r="CD172" t="str">
        <f>_xlfn.XLOOKUP(TBA_Matches_All[[#This Row],[teammat]],Dyno_EndMatch[teammat],Dyno_EndMatch[StageAtt],"_",0,1)</f>
        <v>_</v>
      </c>
      <c r="CE172" t="str">
        <f>_xlfn.XLOOKUP(TBA_Matches_All[[#This Row],[teammat]],Dyno_EndMatch[teammat],Dyno_EndMatch[StageLoc],"_",0,1)</f>
        <v>_</v>
      </c>
      <c r="CF172">
        <f>SUMIFS(Dyno_Data[Harmony], Dyno_Data[Team],TBA_Matches_All[[#This Row],[Team]],Dyno_Data[Match],TBA_Matches_All[[#This Row],[Match_Number]],Dyno_Data[RecordType],"EndMatch", Dyno_Data[StageStat],"On",Dyno_Data[Harmony],"&lt;&gt;9")</f>
        <v>0</v>
      </c>
      <c r="CG172">
        <f>SUMIFS(Dyno_Data[Spotlit], Dyno_Data[Team],TBA_Matches_All[[#This Row],[Team]],Dyno_Data[Match],TBA_Matches_All[[#This Row],[Match_Number]],Dyno_Data[RecordType],"EndMatch", Dyno_Data[StageStat],"On",Dyno_Data[Spotlit],"&lt;&gt;9")</f>
        <v>0</v>
      </c>
      <c r="CH172" t="str">
        <f>_xlfn.XLOOKUP(TBA_Matches_All[[#This Row],[teammat]],Dyno_EndMatch[teammat],Dyno_EndMatch[Strategy],"_",0,1)</f>
        <v>_</v>
      </c>
      <c r="CI172">
        <f>SUMIFS(Dyno_Data[Defense], Dyno_Data[Team],TBA_Matches_All[[#This Row],[Team]],Dyno_Data[Match],TBA_Matches_All[[#This Row],[Match_Number]],Dyno_Data[RecordType],"EndMatch",Dyno_Data[Defense],"&lt;&gt;9")</f>
        <v>0</v>
      </c>
      <c r="CJ172">
        <f>SUMIFS(Dyno_Data[Avoidance], Dyno_Data[Team],TBA_Matches_All[[#This Row],[Team]],Dyno_Data[Match],TBA_Matches_All[[#This Row],[Match_Number]],Dyno_Data[RecordType],"EndMatch",Dyno_Data[Avoidance],"&lt;&gt;9")</f>
        <v>0</v>
      </c>
      <c r="CK172" s="82">
        <f>COUNTIF($H$2:TBA_Matches_All[[#This Row],[Team]],TBA_Matches_All[[#This Row],[Team]])</f>
        <v>4</v>
      </c>
      <c r="CL172" s="111">
        <f>SUM(MID(TBA_Matches_All[[#This Row],[Team]],4,5)+TBA_Matches_All[[#This Row],[Match_Number]]/100)</f>
        <v>5881.29</v>
      </c>
      <c r="CM172">
        <f>SUM((TBA_Matches_All[[#This Row],[Leave]]*2)+(TBA_Matches_All[[#This Row],[AampT]]*2)+(TBA_Matches_All[[#This Row],[AspkrT]]*5)+(TBA_Matches_All[[#This Row],[AtrapT]]*5))</f>
        <v>0</v>
      </c>
      <c r="CN172" s="59">
        <f>IFERROR(SUM(TBA_Matches_All[[#This Row],[AptsT]]/TBA_Matches_All[[#This Row],[AutoPts]]),0)</f>
        <v>0</v>
      </c>
      <c r="CO172" s="59">
        <f>IFERROR(SUM(TBA_Matches_All[[#This Row],[AampT]]+TBA_Matches_All[[#This Row],[AspkrT]]+TBA_Matches_All[[#This Row],[AtrapT]]/TBA_Matches_All[[#This Row],[Aamp]]+TBA_Matches_All[[#This Row],[Aspkr]]+TBA_Matches_All[[#This Row],[AtrapT]]),0)</f>
        <v>0</v>
      </c>
      <c r="CP172" s="59">
        <f>IFERROR(SUM(TBA_Matches_All[[#This Row],[TampT]]/TBA_Matches_All[[#This Row],[Tamp]]),0)</f>
        <v>0</v>
      </c>
      <c r="CQ172" s="59">
        <f>IFERROR(SUM(TBA_Matches_All[[#This Row],[TspkrT]]/TBA_Matches_All[[#This Row],[Tspkr]]),0)</f>
        <v>0</v>
      </c>
      <c r="CR172">
        <f>SUM(TBA_Matches_All[[#This Row],[TspkrPts]]*TBA_Matches_All[[#This Row],[TspkrP]])</f>
        <v>0</v>
      </c>
      <c r="CS172" s="59">
        <f>IFERROR(SUM(TBA_Matches_All[[#This Row],[TtrapT]]/TBA_Matches_All[[#This Row],[Trap]]),0)</f>
        <v>0</v>
      </c>
      <c r="CT172" s="59">
        <f>IFERROR(SUM(TBA_Matches_All[[#This Row],[TotNotesT]]/TBA_Matches_All[[#This Row],[TotNotes]]),0)</f>
        <v>0</v>
      </c>
      <c r="CU172" s="66">
        <f>SUM((TBA_Matches_All[[#This Row],[AampT]]*2)+(TBA_Matches_All[[#This Row],[AspkrT]]*5)+(TBA_Matches_All[[#This Row],[AtrapT]]*5)+(TBA_Matches_All[[#This Row],[TampT]]*1)+(TBA_Matches_All[[#This Row],[TspkrptsC]]))</f>
        <v>0</v>
      </c>
      <c r="CV172" s="59">
        <f>IFERROR(TBA_Matches_All[[#This Row],[noteptsT]]/TBA_Matches_All[[#This Row],[NotePts]],0)</f>
        <v>0</v>
      </c>
      <c r="CW172">
        <f>SUM(IF(TBA_Matches_All[[#This Row],[stageStat]]="On",3,0),IF(TBA_Matches_All[[#This Row],[stageStat]]="Park",1,0),SUMIFS(TBA_Matches_All[[#This Row],[Spotlit]],TBA_Matches_All[[#This Row],[stageStat]],"On"),SUMIFS(TBA_Matches_All[[#This Row],[Harmony]],TBA_Matches_All[[#This Row],[stageStat]],"On"))</f>
        <v>0</v>
      </c>
      <c r="CX172" s="59">
        <f>IFERROR(TBA_Matches_All[[#This Row],[stageptsT]]/TBA_Matches_All[[#This Row],[StagePts]],0)</f>
        <v>0</v>
      </c>
      <c r="CY172">
        <f>SUM((TBA_Matches_All[[#This Row],[AptsT]]+TBA_Matches_All[[#This Row],[TampT]]+TBA_Matches_All[[#This Row],[TspkrptsC]]+(TBA_Matches_All[[#This Row],[TtrapT]]*5)+TBA_Matches_All[[#This Row],[stageptsT]]))</f>
        <v>0</v>
      </c>
      <c r="CZ172" s="59">
        <f>IFERROR(SUM(TBA_Matches_All[[#This Row],[TotptsC]]/TBA_Matches_All[[#This Row],[Score]]),0)</f>
        <v>0</v>
      </c>
      <c r="DA17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7.0606060606060597</v>
      </c>
      <c r="DB172" s="74">
        <f>SUMIFS(TBA_Matches_All[AveTeamTNoteDels],TBA_Matches_All[Match_Number],TBA_Matches_All[[#This Row],[Match_Number]],TBA_Matches_All[Alliance],"&lt;&gt;"&amp;TBA_Matches_All[[#This Row],[Alliance]],TBA_Matches_All[Scouted],"&gt;0")</f>
        <v>0</v>
      </c>
      <c r="DC172" s="74">
        <f>(TBA_Matches_All[[#This Row],[TampT]]+TBA_Matches_All[[#This Row],[TspkrptsC]])-TBA_Matches_All[[#This Row],[AveTeamTNoteDels]]</f>
        <v>-7.0606060606060597</v>
      </c>
      <c r="DD172" s="74">
        <f>SUMIFS(TBA_Matches_All[AveTeamTNoteDels],TBA_Matches_All[Match_Number],TBA_Matches_All[[#This Row],[Match_Number]],TBA_Matches_All[Alliance],"&lt;&gt;"&amp;TBA_Matches_All[[#This Row],[Alliance]])-TBA_Matches_All[[#This Row],[AveOppTNoteDels]]</f>
        <v>37.195238095238096</v>
      </c>
    </row>
    <row r="173" spans="1:108" x14ac:dyDescent="0.3">
      <c r="A173" t="s">
        <v>1042</v>
      </c>
      <c r="B173" t="s">
        <v>489</v>
      </c>
      <c r="C173" t="s">
        <v>1338</v>
      </c>
      <c r="D173">
        <v>29</v>
      </c>
      <c r="E173" t="s">
        <v>1420</v>
      </c>
      <c r="F173" t="s">
        <v>1423</v>
      </c>
      <c r="G173" t="s">
        <v>1409</v>
      </c>
      <c r="H173" t="s">
        <v>318</v>
      </c>
      <c r="I173" t="b">
        <v>1</v>
      </c>
      <c r="J173">
        <v>46</v>
      </c>
      <c r="K173">
        <v>0</v>
      </c>
      <c r="L173">
        <v>0</v>
      </c>
      <c r="M173">
        <v>0</v>
      </c>
      <c r="N173">
        <v>0</v>
      </c>
      <c r="O173">
        <v>2</v>
      </c>
      <c r="P173">
        <v>10</v>
      </c>
      <c r="Q173">
        <v>16</v>
      </c>
      <c r="R173">
        <v>2</v>
      </c>
      <c r="S173">
        <v>0</v>
      </c>
      <c r="T173">
        <v>4</v>
      </c>
      <c r="U173">
        <v>0</v>
      </c>
      <c r="V173">
        <v>8</v>
      </c>
      <c r="W173">
        <v>4</v>
      </c>
      <c r="X173">
        <v>8</v>
      </c>
      <c r="Y173">
        <v>10</v>
      </c>
      <c r="Z173">
        <v>0</v>
      </c>
      <c r="AA173">
        <v>0</v>
      </c>
      <c r="AB173">
        <v>8</v>
      </c>
      <c r="AC173">
        <v>20</v>
      </c>
      <c r="AD173">
        <v>5</v>
      </c>
      <c r="AE173">
        <f>IFERROR(6/(COUNTIF(Dyno_EndMatch[Match],TBA_Matches_All[[#This Row],[Match_Number]])),0)</f>
        <v>0</v>
      </c>
      <c r="AF173">
        <f>COUNTIFS(Dyno_Data[Team],TBA_Matches_All[[#This Row],[Team]],Dyno_Data[Match],TBA_Matches_All[[#This Row],[Match_Number]],Dyno_Data[RecordType],"EndMatch",Dyno_Data[HPAmp],"Y")</f>
        <v>0</v>
      </c>
      <c r="AG173">
        <f>SUMIFS(Dyno_Data[Mics], Dyno_Data[Team],TBA_Matches_All[[#This Row],[Team]],Dyno_Data[Match],TBA_Matches_All[[#This Row],[Match_Number]],Dyno_Data[RecordType],"EndMatch",Dyno_Data[HPAmp],"Y")</f>
        <v>0</v>
      </c>
      <c r="AH173">
        <f>SUMIFS(Dyno_Data[Leave], Dyno_Data[Team],TBA_Matches_All[[#This Row],[Team]],Dyno_Data[Match],TBA_Matches_All[[#This Row],[Match_Number]],Dyno_Data[RecordType],"EndAuto")</f>
        <v>0</v>
      </c>
      <c r="AI173">
        <f>COUNTIFS(Dyno_Data[Team],TBA_Matches_All[[#This Row],[Team]],Dyno_Data[Match],TBA_Matches_All[[#This Row],[Match_Number]],Dyno_Data[RecordType],"Activities",Dyno_Data[DelDest],"Amp", Dyno_Data[DelMiss],"0", Dyno_Data[Mode],"Auto")</f>
        <v>0</v>
      </c>
      <c r="AJ173">
        <f>COUNTIFS(Dyno_Data[Team],TBA_Matches_All[[#This Row],[Team]],Dyno_Data[Match],TBA_Matches_All[[#This Row],[Match_Number]],Dyno_Data[RecordType],"Activities",Dyno_Data[DelDest],"Spkr", Dyno_Data[DelMiss],"0", Dyno_Data[Mode],"Auto")</f>
        <v>0</v>
      </c>
      <c r="AK173">
        <f>COUNTIFS(Dyno_Data[Team],TBA_Matches_All[[#This Row],[Team]],Dyno_Data[Match],TBA_Matches_All[[#This Row],[Match_Number]],Dyno_Data[RecordType],"Activities",Dyno_Data[DelDest],"Trap", Dyno_Data[DelMiss],"0", Dyno_Data[Mode],"Auto")</f>
        <v>0</v>
      </c>
      <c r="AL173">
        <f>COUNTIFS(Dyno_Data[Team],TBA_Matches_All[[#This Row],[Team]],Dyno_Data[Match],TBA_Matches_All[[#This Row],[Match_Number]],Dyno_Data[RecordType],"Activities",Dyno_Data[DelDest],"Amp", Dyno_Data[DelMiss],"0", Dyno_Data[Mode],"Teleop")</f>
        <v>0</v>
      </c>
      <c r="AM173">
        <f>COUNTIFS(Dyno_Data[Team],TBA_Matches_All[[#This Row],[Team]],Dyno_Data[Match],TBA_Matches_All[[#This Row],[Match_Number]],Dyno_Data[RecordType],"Activities",Dyno_Data[DelDest],"Spkr", Dyno_Data[DelMiss],"0", Dyno_Data[Mode],"Teleop")</f>
        <v>0</v>
      </c>
      <c r="AN173">
        <f>COUNTIFS(Dyno_Data[Team],TBA_Matches_All[[#This Row],[Team]],Dyno_Data[Match],TBA_Matches_All[[#This Row],[Match_Number]],Dyno_Data[RecordType],"Activities",Dyno_Data[DelDest],"Trap", Dyno_Data[DelMiss],"0", Dyno_Data[Mode],"&lt;&gt;Auto")</f>
        <v>0</v>
      </c>
      <c r="AO173">
        <f>SUM(TBA_Matches_All[[#This Row],[AampT]]+TBA_Matches_All[[#This Row],[AspkrT]]+TBA_Matches_All[[#This Row],[AtrapT]]+TBA_Matches_All[[#This Row],[TampT]]+TBA_Matches_All[[#This Row],[TspkrT]]+TBA_Matches_All[[#This Row],[TtrapT]])</f>
        <v>0</v>
      </c>
      <c r="AP173">
        <f>COUNTIFS(Dyno_Data[Team],TBA_Matches_All[[#This Row],[Team]],Dyno_Data[Match],TBA_Matches_All[[#This Row],[Match_Number]],Dyno_Data[RecordType],"Activities",Dyno_Data[DelDest],"Neut", Dyno_Data[DelMiss],"0")</f>
        <v>0</v>
      </c>
      <c r="AQ173">
        <f>COUNTIFS(Dyno_Data[Team],TBA_Matches_All[[#This Row],[Team]],Dyno_Data[Match],TBA_Matches_All[[#This Row],[Match_Number]],Dyno_Data[RecordType],"Activities",Dyno_Data[DelDest],"AllyW", Dyno_Data[DelMiss],"0")</f>
        <v>0</v>
      </c>
      <c r="AR173" t="str">
        <f>_xlfn.XLOOKUP(SUM(MID(TBA_Matches_All[[#This Row],[Team]],4,5),(TBA_Matches_All[[#This Row],[Match_Number]]/100)),Dyno_EndMatch[teammat],Dyno_EndMatch[RobotSta],"_",0,1)</f>
        <v>_</v>
      </c>
      <c r="AS173">
        <f>SUMIFS(Dyno_Data[AcqDis], Dyno_Data[Team],TBA_Matches_All[[#This Row],[Team]],Dyno_Data[Match],TBA_Matches_All[[#This Row],[Match_Number]],Dyno_Data[RecordType],"Activities", Dyno_Data[AcqCenter],1,Dyno_Data[Mode],"Auto")</f>
        <v>0</v>
      </c>
      <c r="AT173">
        <f>SUMIFS(Dyno_Data[AcqDis], Dyno_Data[Team],TBA_Matches_All[[#This Row],[Team]],Dyno_Data[Match],TBA_Matches_All[[#This Row],[Match_Number]],Dyno_Data[RecordType],"Activities", Dyno_Data[AcqCenter],2,Dyno_Data[Mode],"Auto")</f>
        <v>0</v>
      </c>
      <c r="AU173">
        <f>SUMIFS(Dyno_Data[AcqDis], Dyno_Data[Team],TBA_Matches_All[[#This Row],[Team]],Dyno_Data[Match],TBA_Matches_All[[#This Row],[Match_Number]],Dyno_Data[RecordType],"Activities", Dyno_Data[AcqCenter],3,Dyno_Data[Mode],"Auto")</f>
        <v>0</v>
      </c>
      <c r="AV173">
        <f>SUMIFS(Dyno_Data[AcqDis], Dyno_Data[Team],TBA_Matches_All[[#This Row],[Team]],Dyno_Data[Match],TBA_Matches_All[[#This Row],[Match_Number]],Dyno_Data[RecordType],"Activities", Dyno_Data[AcqCenter],4,Dyno_Data[Mode],"Auto")</f>
        <v>0</v>
      </c>
      <c r="AW173">
        <f>SUMIFS(Dyno_Data[AcqDis], Dyno_Data[Team],TBA_Matches_All[[#This Row],[Team]],Dyno_Data[Match],TBA_Matches_All[[#This Row],[Match_Number]],Dyno_Data[RecordType],"Activities", Dyno_Data[AcqCenter],5,Dyno_Data[Mode],"Auto")</f>
        <v>0</v>
      </c>
      <c r="AX173">
        <f>SUMIFS(Dyno_Data[DelMiss], Dyno_Data[Team],TBA_Matches_All[[#This Row],[Team]],Dyno_Data[Match],TBA_Matches_All[[#This Row],[Match_Number]],Dyno_Data[RecordType],"Activities", Dyno_Data[DelDest],"Amp")</f>
        <v>0</v>
      </c>
      <c r="AY173" s="60">
        <f>IFERROR(SUM((TBA_Matches_All[[#This Row],[AampT]]+TBA_Matches_All[[#This Row],[TampT]])/(TBA_Matches_All[[#This Row],[AampT]]+TBA_Matches_All[[#This Row],[TampT]]+TBA_Matches_All[[#This Row],[ampM]])),0)</f>
        <v>0</v>
      </c>
      <c r="AZ173">
        <f>SUMIFS(Dyno_Data[DelMiss], Dyno_Data[Team],TBA_Matches_All[[#This Row],[Team]],Dyno_Data[Match],TBA_Matches_All[[#This Row],[Match_Number]],Dyno_Data[RecordType],"Activities", Dyno_Data[DelDest],"Spkr")</f>
        <v>0</v>
      </c>
      <c r="BA173" s="60">
        <f>IFERROR(SUM((TBA_Matches_All[[#This Row],[AspkrT]]+TBA_Matches_All[[#This Row],[TspkrT]])/(TBA_Matches_All[[#This Row],[AspkrT]]+TBA_Matches_All[[#This Row],[TspkrT]]+TBA_Matches_All[[#This Row],[spkrM]])),0)</f>
        <v>0</v>
      </c>
      <c r="BB173">
        <f>SUMIFS(Dyno_Data[DelMiss], Dyno_Data[Team],TBA_Matches_All[[#This Row],[Team]],Dyno_Data[Match],TBA_Matches_All[[#This Row],[Match_Number]],Dyno_Data[RecordType],"Activities", Dyno_Data[DelDest],"Trap")</f>
        <v>0</v>
      </c>
      <c r="BC173" s="60">
        <f>IFERROR((TBA_Matches_All[[#This Row],[AtrapT]]+TBA_Matches_All[[#This Row],[TtrapT]])/(TBA_Matches_All[[#This Row],[AtrapT]]+TBA_Matches_All[[#This Row],[TtrapT]]+TBA_Matches_All[[#This Row],[trapM]]),0)</f>
        <v>0</v>
      </c>
      <c r="BD173">
        <f>COUNTIFS(Dyno_Data[Team],TBA_Matches_All[[#This Row],[Team]],Dyno_Data[Match],TBA_Matches_All[[#This Row],[Match_Number]],Dyno_Data[RecordType],"Activities",Dyno_Data[DelDest],"Neut", Dyno_Data[DelMiss],1)</f>
        <v>0</v>
      </c>
      <c r="BE173" s="60">
        <f>IFERROR(SUM((TBA_Matches_All[[#This Row],[NeutFlrT]])/(TBA_Matches_All[[#This Row],[NeutFlrT]]+TBA_Matches_All[[#This Row],[NZflM]])),0)</f>
        <v>0</v>
      </c>
      <c r="BF173">
        <f>COUNTIFS(Dyno_Data[Team],TBA_Matches_All[[#This Row],[Team]],Dyno_Data[Match],TBA_Matches_All[[#This Row],[Match_Number]],Dyno_Data[RecordType],"Activities",Dyno_Data[DelDest],"AllyW", Dyno_Data[DelMiss],1)</f>
        <v>0</v>
      </c>
      <c r="BG173" s="60">
        <f>IFERROR(SUM((TBA_Matches_All[[#This Row],[AllyWFlrT]])/(TBA_Matches_All[[#This Row],[AllyWFlrT]]+TBA_Matches_All[[#This Row],[AZflM]])),0)</f>
        <v>0</v>
      </c>
      <c r="BH173">
        <f>COUNTIFS(Dyno_Data[Team],TBA_Matches_All[[#This Row],[Team]],Dyno_Data[Match],TBA_Matches_All[[#This Row],[Match_Number]],Dyno_Data[RecordType],"Activities",Dyno_Data[DelOrig],"OppW", Dyno_Data[DelMiss],"0")</f>
        <v>0</v>
      </c>
      <c r="BI173">
        <f>COUNTIFS(Dyno_Data[Team],TBA_Matches_All[[#This Row],[Team]],Dyno_Data[Match],TBA_Matches_All[[#This Row],[Match_Number]],Dyno_Data[RecordType],"Activities",Dyno_Data[DelOrig],"OppW", Dyno_Data[DelMiss],"1")</f>
        <v>0</v>
      </c>
      <c r="BJ173" s="60">
        <f>IFERROR(SUM((TBA_Matches_All[[#This Row],[OZflrT]])/(TBA_Matches_All[[#This Row],[OZflrT]]+TBA_Matches_All[[#This Row],[OZflrM]])),0)</f>
        <v>0</v>
      </c>
      <c r="BK173">
        <f>COUNTIFS(Dyno_Data[Team],TBA_Matches_All[[#This Row],[Team]],Dyno_Data[Match],TBA_Matches_All[[#This Row],[Match_Number]],Dyno_Data[RecordType],"Activities",Dyno_Data[DelOrig],"Neut", Dyno_Data[DelMiss],"0")</f>
        <v>0</v>
      </c>
      <c r="BL173">
        <f>COUNTIFS(Dyno_Data[Team],TBA_Matches_All[[#This Row],[Team]],Dyno_Data[Match],TBA_Matches_All[[#This Row],[Match_Number]],Dyno_Data[RecordType],"Activities",Dyno_Data[DelOrig],"Neut", Dyno_Data[DelMiss],"1")</f>
        <v>0</v>
      </c>
      <c r="BM173" s="60">
        <f>IFERROR(SUM((TBA_Matches_All[[#This Row],[NZflrT]])/(TBA_Matches_All[[#This Row],[NZflrT]]+TBA_Matches_All[[#This Row],[NZflrM]])),0)</f>
        <v>0</v>
      </c>
      <c r="BN173">
        <f>COUNTIFS(Dyno_Data[Team],TBA_Matches_All[[#This Row],[Team]],Dyno_Data[Match],TBA_Matches_All[[#This Row],[Match_Number]],Dyno_Data[RecordType],"Activities",Dyno_Data[DelOrig],"AllyW", Dyno_Data[DelMiss],"0")</f>
        <v>0</v>
      </c>
      <c r="BO173">
        <f>COUNTIFS(Dyno_Data[Team],TBA_Matches_All[[#This Row],[Team]],Dyno_Data[Match],TBA_Matches_All[[#This Row],[Match_Number]],Dyno_Data[RecordType],"Activities",Dyno_Data[DelOrig],"AllyW", Dyno_Data[DelMiss],"1")</f>
        <v>0</v>
      </c>
      <c r="BP173" s="60">
        <f>IFERROR(SUM((TBA_Matches_All[[#This Row],[AZflrT]])/(TBA_Matches_All[[#This Row],[AZflrT]]+TBA_Matches_All[[#This Row],[AZflrM]])),0)</f>
        <v>0</v>
      </c>
      <c r="BQ173">
        <f>COUNTIFS(Dyno_Data[Team],TBA_Matches_All[[#This Row],[Team]],Dyno_Data[Match],TBA_Matches_All[[#This Row],[Match_Number]],Dyno_Data[RecordType],"Activities",Dyno_Data[DelOrig],"SubW", Dyno_Data[DelMiss],"0")</f>
        <v>0</v>
      </c>
      <c r="BR173">
        <f>COUNTIFS(Dyno_Data[Team],TBA_Matches_All[[#This Row],[Team]],Dyno_Data[Match],TBA_Matches_All[[#This Row],[Match_Number]],Dyno_Data[RecordType],"Activities",Dyno_Data[DelOrig],"SubW", Dyno_Data[DelMiss],"1")</f>
        <v>0</v>
      </c>
      <c r="BS173" s="60">
        <f>IFERROR(SUM((TBA_Matches_All[[#This Row],[SubwT]])/(TBA_Matches_All[[#This Row],[SubwT]]+TBA_Matches_All[[#This Row],[SubwM]])),0)</f>
        <v>0</v>
      </c>
      <c r="BT173">
        <f>COUNTIFS(Dyno_Data[Team],TBA_Matches_All[[#This Row],[Team]],Dyno_Data[Match],TBA_Matches_All[[#This Row],[Match_Number]],Dyno_Data[RecordType],"Activities", Dyno_Data[AcqLoc],"OppWing")</f>
        <v>0</v>
      </c>
      <c r="BU173">
        <f>COUNTIFS(Dyno_Data[Team],TBA_Matches_All[[#This Row],[Team]],Dyno_Data[Match],TBA_Matches_All[[#This Row],[Match_Number]],Dyno_Data[RecordType],"Activities", Dyno_Data[AcqLoc],"Neutral")</f>
        <v>0</v>
      </c>
      <c r="BV173">
        <f>COUNTIFS(Dyno_Data[Team],TBA_Matches_All[[#This Row],[Team]],Dyno_Data[Match],TBA_Matches_All[[#This Row],[Match_Number]],Dyno_Data[RecordType],"Activities", Dyno_Data[AcqLoc],"AllyWing")</f>
        <v>0</v>
      </c>
      <c r="BW173">
        <f>COUNTIFS(Dyno_Data[Team],TBA_Matches_All[[#This Row],[Team]],Dyno_Data[Match],TBA_Matches_All[[#This Row],[Match_Number]],Dyno_Data[RecordType],"Activities", Dyno_Data[AcqLoc],"Source")</f>
        <v>0</v>
      </c>
      <c r="BX173">
        <f>SUMIFS(Dyno_Data[AcqDrp], Dyno_Data[Team],TBA_Matches_All[[#This Row],[Team]],Dyno_Data[Match],TBA_Matches_All[[#This Row],[Match_Number]],Dyno_Data[RecordType],"Activities", Dyno_Data[AcqLoc],"Source")</f>
        <v>0</v>
      </c>
      <c r="BY173">
        <f>SUMIFS(Dyno_Data[OZTime], Dyno_Data[Team],TBA_Matches_All[[#This Row],[Team]],Dyno_Data[Match],TBA_Matches_All[[#This Row],[Match_Number]],Dyno_Data[RecordType],"EndMatch")</f>
        <v>0</v>
      </c>
      <c r="BZ173">
        <f>SUMIFS(Dyno_Data[NZTime], Dyno_Data[Team],TBA_Matches_All[[#This Row],[Team]],Dyno_Data[Match],TBA_Matches_All[[#This Row],[Match_Number]],Dyno_Data[RecordType],"EndMatch")</f>
        <v>0</v>
      </c>
      <c r="CA173">
        <f>SUMIFS(Dyno_Data[AZTime], Dyno_Data[Team],TBA_Matches_All[[#This Row],[Team]],Dyno_Data[Match],TBA_Matches_All[[#This Row],[Match_Number]],Dyno_Data[RecordType],"EndMatch")</f>
        <v>0</v>
      </c>
      <c r="CB173">
        <f>SUMIFS(Dyno_Data[ClimbT], Dyno_Data[Team],TBA_Matches_All[[#This Row],[Team]],Dyno_Data[Match],TBA_Matches_All[[#This Row],[Match_Number]],Dyno_Data[RecordType],"EndMatch")</f>
        <v>0</v>
      </c>
      <c r="CC173" t="str">
        <f>_xlfn.XLOOKUP(SUM(MID(TBA_Matches_All[[#This Row],[Team]],4,5),(TBA_Matches_All[[#This Row],[Match_Number]]/100)),Dyno_EndMatch[teammat],Dyno_EndMatch[StageStat],"_",0,1)</f>
        <v>_</v>
      </c>
      <c r="CD173" t="str">
        <f>_xlfn.XLOOKUP(TBA_Matches_All[[#This Row],[teammat]],Dyno_EndMatch[teammat],Dyno_EndMatch[StageAtt],"_",0,1)</f>
        <v>_</v>
      </c>
      <c r="CE173" t="str">
        <f>_xlfn.XLOOKUP(TBA_Matches_All[[#This Row],[teammat]],Dyno_EndMatch[teammat],Dyno_EndMatch[StageLoc],"_",0,1)</f>
        <v>_</v>
      </c>
      <c r="CF173">
        <f>SUMIFS(Dyno_Data[Harmony], Dyno_Data[Team],TBA_Matches_All[[#This Row],[Team]],Dyno_Data[Match],TBA_Matches_All[[#This Row],[Match_Number]],Dyno_Data[RecordType],"EndMatch", Dyno_Data[StageStat],"On",Dyno_Data[Harmony],"&lt;&gt;9")</f>
        <v>0</v>
      </c>
      <c r="CG173">
        <f>SUMIFS(Dyno_Data[Spotlit], Dyno_Data[Team],TBA_Matches_All[[#This Row],[Team]],Dyno_Data[Match],TBA_Matches_All[[#This Row],[Match_Number]],Dyno_Data[RecordType],"EndMatch", Dyno_Data[StageStat],"On",Dyno_Data[Spotlit],"&lt;&gt;9")</f>
        <v>0</v>
      </c>
      <c r="CH173" t="str">
        <f>_xlfn.XLOOKUP(TBA_Matches_All[[#This Row],[teammat]],Dyno_EndMatch[teammat],Dyno_EndMatch[Strategy],"_",0,1)</f>
        <v>_</v>
      </c>
      <c r="CI173">
        <f>SUMIFS(Dyno_Data[Defense], Dyno_Data[Team],TBA_Matches_All[[#This Row],[Team]],Dyno_Data[Match],TBA_Matches_All[[#This Row],[Match_Number]],Dyno_Data[RecordType],"EndMatch",Dyno_Data[Defense],"&lt;&gt;9")</f>
        <v>0</v>
      </c>
      <c r="CJ173">
        <f>SUMIFS(Dyno_Data[Avoidance], Dyno_Data[Team],TBA_Matches_All[[#This Row],[Team]],Dyno_Data[Match],TBA_Matches_All[[#This Row],[Match_Number]],Dyno_Data[RecordType],"EndMatch",Dyno_Data[Avoidance],"&lt;&gt;9")</f>
        <v>0</v>
      </c>
      <c r="CK173" s="82">
        <f>COUNTIF($H$2:TBA_Matches_All[[#This Row],[Team]],TBA_Matches_All[[#This Row],[Team]])</f>
        <v>4</v>
      </c>
      <c r="CL173" s="111">
        <f>SUM(MID(TBA_Matches_All[[#This Row],[Team]],4,5)+TBA_Matches_All[[#This Row],[Match_Number]]/100)</f>
        <v>639.29</v>
      </c>
      <c r="CM173">
        <f>SUM((TBA_Matches_All[[#This Row],[Leave]]*2)+(TBA_Matches_All[[#This Row],[AampT]]*2)+(TBA_Matches_All[[#This Row],[AspkrT]]*5)+(TBA_Matches_All[[#This Row],[AtrapT]]*5))</f>
        <v>0</v>
      </c>
      <c r="CN173" s="59">
        <f>IFERROR(SUM(TBA_Matches_All[[#This Row],[AptsT]]/TBA_Matches_All[[#This Row],[AutoPts]]),0)</f>
        <v>0</v>
      </c>
      <c r="CO173" s="59">
        <f>IFERROR(SUM(TBA_Matches_All[[#This Row],[AampT]]+TBA_Matches_All[[#This Row],[AspkrT]]+TBA_Matches_All[[#This Row],[AtrapT]]/TBA_Matches_All[[#This Row],[Aamp]]+TBA_Matches_All[[#This Row],[Aspkr]]+TBA_Matches_All[[#This Row],[AtrapT]]),0)</f>
        <v>0</v>
      </c>
      <c r="CP173" s="59">
        <f>IFERROR(SUM(TBA_Matches_All[[#This Row],[TampT]]/TBA_Matches_All[[#This Row],[Tamp]]),0)</f>
        <v>0</v>
      </c>
      <c r="CQ173" s="59">
        <f>IFERROR(SUM(TBA_Matches_All[[#This Row],[TspkrT]]/TBA_Matches_All[[#This Row],[Tspkr]]),0)</f>
        <v>0</v>
      </c>
      <c r="CR173">
        <f>SUM(TBA_Matches_All[[#This Row],[TspkrPts]]*TBA_Matches_All[[#This Row],[TspkrP]])</f>
        <v>0</v>
      </c>
      <c r="CS173" s="59">
        <f>IFERROR(SUM(TBA_Matches_All[[#This Row],[TtrapT]]/TBA_Matches_All[[#This Row],[Trap]]),0)</f>
        <v>0</v>
      </c>
      <c r="CT173" s="59">
        <f>IFERROR(SUM(TBA_Matches_All[[#This Row],[TotNotesT]]/TBA_Matches_All[[#This Row],[TotNotes]]),0)</f>
        <v>0</v>
      </c>
      <c r="CU173" s="66">
        <f>SUM((TBA_Matches_All[[#This Row],[AampT]]*2)+(TBA_Matches_All[[#This Row],[AspkrT]]*5)+(TBA_Matches_All[[#This Row],[AtrapT]]*5)+(TBA_Matches_All[[#This Row],[TampT]]*1)+(TBA_Matches_All[[#This Row],[TspkrptsC]]))</f>
        <v>0</v>
      </c>
      <c r="CV173" s="59">
        <f>IFERROR(TBA_Matches_All[[#This Row],[noteptsT]]/TBA_Matches_All[[#This Row],[NotePts]],0)</f>
        <v>0</v>
      </c>
      <c r="CW173">
        <f>SUM(IF(TBA_Matches_All[[#This Row],[stageStat]]="On",3,0),IF(TBA_Matches_All[[#This Row],[stageStat]]="Park",1,0),SUMIFS(TBA_Matches_All[[#This Row],[Spotlit]],TBA_Matches_All[[#This Row],[stageStat]],"On"),SUMIFS(TBA_Matches_All[[#This Row],[Harmony]],TBA_Matches_All[[#This Row],[stageStat]],"On"))</f>
        <v>0</v>
      </c>
      <c r="CX173" s="59">
        <f>IFERROR(TBA_Matches_All[[#This Row],[stageptsT]]/TBA_Matches_All[[#This Row],[StagePts]],0)</f>
        <v>0</v>
      </c>
      <c r="CY173">
        <f>SUM((TBA_Matches_All[[#This Row],[AptsT]]+TBA_Matches_All[[#This Row],[TampT]]+TBA_Matches_All[[#This Row],[TspkrptsC]]+(TBA_Matches_All[[#This Row],[TtrapT]]*5)+TBA_Matches_All[[#This Row],[stageptsT]]))</f>
        <v>0</v>
      </c>
      <c r="CZ173" s="59">
        <f>IFERROR(SUM(TBA_Matches_All[[#This Row],[TotptsC]]/TBA_Matches_All[[#This Row],[Score]]),0)</f>
        <v>0</v>
      </c>
      <c r="DA17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18.303571428571431</v>
      </c>
      <c r="DB173" s="74">
        <f>SUMIFS(TBA_Matches_All[AveTeamTNoteDels],TBA_Matches_All[Match_Number],TBA_Matches_All[[#This Row],[Match_Number]],TBA_Matches_All[Alliance],"&lt;&gt;"&amp;TBA_Matches_All[[#This Row],[Alliance]],TBA_Matches_All[Scouted],"&gt;0")</f>
        <v>0</v>
      </c>
      <c r="DC173" s="74">
        <f>(TBA_Matches_All[[#This Row],[TampT]]+TBA_Matches_All[[#This Row],[TspkrptsC]])-TBA_Matches_All[[#This Row],[AveTeamTNoteDels]]</f>
        <v>-18.303571428571431</v>
      </c>
      <c r="DD173" s="74">
        <f>SUMIFS(TBA_Matches_All[AveTeamTNoteDels],TBA_Matches_All[Match_Number],TBA_Matches_All[[#This Row],[Match_Number]],TBA_Matches_All[Alliance],"&lt;&gt;"&amp;TBA_Matches_All[[#This Row],[Alliance]])-TBA_Matches_All[[#This Row],[AveOppTNoteDels]]</f>
        <v>11.560606060606059</v>
      </c>
    </row>
    <row r="174" spans="1:108" x14ac:dyDescent="0.3">
      <c r="A174" t="s">
        <v>1042</v>
      </c>
      <c r="B174" t="s">
        <v>489</v>
      </c>
      <c r="C174" t="s">
        <v>1338</v>
      </c>
      <c r="D174">
        <v>29</v>
      </c>
      <c r="E174" t="s">
        <v>1406</v>
      </c>
      <c r="F174" t="s">
        <v>1424</v>
      </c>
      <c r="G174" t="s">
        <v>1409</v>
      </c>
      <c r="H174" t="s">
        <v>1297</v>
      </c>
      <c r="I174" t="b">
        <v>0</v>
      </c>
      <c r="J174">
        <v>31</v>
      </c>
      <c r="K174">
        <v>0</v>
      </c>
      <c r="L174">
        <v>0</v>
      </c>
      <c r="M174">
        <v>15</v>
      </c>
      <c r="N174">
        <v>0</v>
      </c>
      <c r="O174">
        <v>0</v>
      </c>
      <c r="P174">
        <v>0</v>
      </c>
      <c r="Q174">
        <v>2</v>
      </c>
      <c r="R174">
        <v>4</v>
      </c>
      <c r="S174">
        <v>2</v>
      </c>
      <c r="T174">
        <v>6</v>
      </c>
      <c r="U174">
        <v>10</v>
      </c>
      <c r="V174">
        <v>12</v>
      </c>
      <c r="W174">
        <v>8</v>
      </c>
      <c r="X174">
        <v>22</v>
      </c>
      <c r="Y174">
        <v>26</v>
      </c>
      <c r="Z174">
        <v>0</v>
      </c>
      <c r="AA174">
        <v>0</v>
      </c>
      <c r="AB174">
        <v>12</v>
      </c>
      <c r="AC174">
        <v>26</v>
      </c>
      <c r="AD174">
        <v>3</v>
      </c>
      <c r="AE174">
        <f>IFERROR(6/(COUNTIF(Dyno_EndMatch[Match],TBA_Matches_All[[#This Row],[Match_Number]])),0)</f>
        <v>0</v>
      </c>
      <c r="AF174">
        <f>COUNTIFS(Dyno_Data[Team],TBA_Matches_All[[#This Row],[Team]],Dyno_Data[Match],TBA_Matches_All[[#This Row],[Match_Number]],Dyno_Data[RecordType],"EndMatch",Dyno_Data[HPAmp],"Y")</f>
        <v>0</v>
      </c>
      <c r="AG174">
        <f>SUMIFS(Dyno_Data[Mics], Dyno_Data[Team],TBA_Matches_All[[#This Row],[Team]],Dyno_Data[Match],TBA_Matches_All[[#This Row],[Match_Number]],Dyno_Data[RecordType],"EndMatch",Dyno_Data[HPAmp],"Y")</f>
        <v>0</v>
      </c>
      <c r="AH174">
        <f>SUMIFS(Dyno_Data[Leave], Dyno_Data[Team],TBA_Matches_All[[#This Row],[Team]],Dyno_Data[Match],TBA_Matches_All[[#This Row],[Match_Number]],Dyno_Data[RecordType],"EndAuto")</f>
        <v>0</v>
      </c>
      <c r="AI174">
        <f>COUNTIFS(Dyno_Data[Team],TBA_Matches_All[[#This Row],[Team]],Dyno_Data[Match],TBA_Matches_All[[#This Row],[Match_Number]],Dyno_Data[RecordType],"Activities",Dyno_Data[DelDest],"Amp", Dyno_Data[DelMiss],"0", Dyno_Data[Mode],"Auto")</f>
        <v>0</v>
      </c>
      <c r="AJ174">
        <f>COUNTIFS(Dyno_Data[Team],TBA_Matches_All[[#This Row],[Team]],Dyno_Data[Match],TBA_Matches_All[[#This Row],[Match_Number]],Dyno_Data[RecordType],"Activities",Dyno_Data[DelDest],"Spkr", Dyno_Data[DelMiss],"0", Dyno_Data[Mode],"Auto")</f>
        <v>0</v>
      </c>
      <c r="AK174">
        <f>COUNTIFS(Dyno_Data[Team],TBA_Matches_All[[#This Row],[Team]],Dyno_Data[Match],TBA_Matches_All[[#This Row],[Match_Number]],Dyno_Data[RecordType],"Activities",Dyno_Data[DelDest],"Trap", Dyno_Data[DelMiss],"0", Dyno_Data[Mode],"Auto")</f>
        <v>0</v>
      </c>
      <c r="AL174">
        <f>COUNTIFS(Dyno_Data[Team],TBA_Matches_All[[#This Row],[Team]],Dyno_Data[Match],TBA_Matches_All[[#This Row],[Match_Number]],Dyno_Data[RecordType],"Activities",Dyno_Data[DelDest],"Amp", Dyno_Data[DelMiss],"0", Dyno_Data[Mode],"Teleop")</f>
        <v>0</v>
      </c>
      <c r="AM174">
        <f>COUNTIFS(Dyno_Data[Team],TBA_Matches_All[[#This Row],[Team]],Dyno_Data[Match],TBA_Matches_All[[#This Row],[Match_Number]],Dyno_Data[RecordType],"Activities",Dyno_Data[DelDest],"Spkr", Dyno_Data[DelMiss],"0", Dyno_Data[Mode],"Teleop")</f>
        <v>0</v>
      </c>
      <c r="AN174">
        <f>COUNTIFS(Dyno_Data[Team],TBA_Matches_All[[#This Row],[Team]],Dyno_Data[Match],TBA_Matches_All[[#This Row],[Match_Number]],Dyno_Data[RecordType],"Activities",Dyno_Data[DelDest],"Trap", Dyno_Data[DelMiss],"0", Dyno_Data[Mode],"&lt;&gt;Auto")</f>
        <v>0</v>
      </c>
      <c r="AO174">
        <f>SUM(TBA_Matches_All[[#This Row],[AampT]]+TBA_Matches_All[[#This Row],[AspkrT]]+TBA_Matches_All[[#This Row],[AtrapT]]+TBA_Matches_All[[#This Row],[TampT]]+TBA_Matches_All[[#This Row],[TspkrT]]+TBA_Matches_All[[#This Row],[TtrapT]])</f>
        <v>0</v>
      </c>
      <c r="AP174">
        <f>COUNTIFS(Dyno_Data[Team],TBA_Matches_All[[#This Row],[Team]],Dyno_Data[Match],TBA_Matches_All[[#This Row],[Match_Number]],Dyno_Data[RecordType],"Activities",Dyno_Data[DelDest],"Neut", Dyno_Data[DelMiss],"0")</f>
        <v>0</v>
      </c>
      <c r="AQ174">
        <f>COUNTIFS(Dyno_Data[Team],TBA_Matches_All[[#This Row],[Team]],Dyno_Data[Match],TBA_Matches_All[[#This Row],[Match_Number]],Dyno_Data[RecordType],"Activities",Dyno_Data[DelDest],"AllyW", Dyno_Data[DelMiss],"0")</f>
        <v>0</v>
      </c>
      <c r="AR174" t="str">
        <f>_xlfn.XLOOKUP(SUM(MID(TBA_Matches_All[[#This Row],[Team]],4,5),(TBA_Matches_All[[#This Row],[Match_Number]]/100)),Dyno_EndMatch[teammat],Dyno_EndMatch[RobotSta],"_",0,1)</f>
        <v>_</v>
      </c>
      <c r="AS174">
        <f>SUMIFS(Dyno_Data[AcqDis], Dyno_Data[Team],TBA_Matches_All[[#This Row],[Team]],Dyno_Data[Match],TBA_Matches_All[[#This Row],[Match_Number]],Dyno_Data[RecordType],"Activities", Dyno_Data[AcqCenter],1,Dyno_Data[Mode],"Auto")</f>
        <v>0</v>
      </c>
      <c r="AT174">
        <f>SUMIFS(Dyno_Data[AcqDis], Dyno_Data[Team],TBA_Matches_All[[#This Row],[Team]],Dyno_Data[Match],TBA_Matches_All[[#This Row],[Match_Number]],Dyno_Data[RecordType],"Activities", Dyno_Data[AcqCenter],2,Dyno_Data[Mode],"Auto")</f>
        <v>0</v>
      </c>
      <c r="AU174">
        <f>SUMIFS(Dyno_Data[AcqDis], Dyno_Data[Team],TBA_Matches_All[[#This Row],[Team]],Dyno_Data[Match],TBA_Matches_All[[#This Row],[Match_Number]],Dyno_Data[RecordType],"Activities", Dyno_Data[AcqCenter],3,Dyno_Data[Mode],"Auto")</f>
        <v>0</v>
      </c>
      <c r="AV174">
        <f>SUMIFS(Dyno_Data[AcqDis], Dyno_Data[Team],TBA_Matches_All[[#This Row],[Team]],Dyno_Data[Match],TBA_Matches_All[[#This Row],[Match_Number]],Dyno_Data[RecordType],"Activities", Dyno_Data[AcqCenter],4,Dyno_Data[Mode],"Auto")</f>
        <v>0</v>
      </c>
      <c r="AW174">
        <f>SUMIFS(Dyno_Data[AcqDis], Dyno_Data[Team],TBA_Matches_All[[#This Row],[Team]],Dyno_Data[Match],TBA_Matches_All[[#This Row],[Match_Number]],Dyno_Data[RecordType],"Activities", Dyno_Data[AcqCenter],5,Dyno_Data[Mode],"Auto")</f>
        <v>0</v>
      </c>
      <c r="AX174">
        <f>SUMIFS(Dyno_Data[DelMiss], Dyno_Data[Team],TBA_Matches_All[[#This Row],[Team]],Dyno_Data[Match],TBA_Matches_All[[#This Row],[Match_Number]],Dyno_Data[RecordType],"Activities", Dyno_Data[DelDest],"Amp")</f>
        <v>0</v>
      </c>
      <c r="AY174" s="60">
        <f>IFERROR(SUM((TBA_Matches_All[[#This Row],[AampT]]+TBA_Matches_All[[#This Row],[TampT]])/(TBA_Matches_All[[#This Row],[AampT]]+TBA_Matches_All[[#This Row],[TampT]]+TBA_Matches_All[[#This Row],[ampM]])),0)</f>
        <v>0</v>
      </c>
      <c r="AZ174">
        <f>SUMIFS(Dyno_Data[DelMiss], Dyno_Data[Team],TBA_Matches_All[[#This Row],[Team]],Dyno_Data[Match],TBA_Matches_All[[#This Row],[Match_Number]],Dyno_Data[RecordType],"Activities", Dyno_Data[DelDest],"Spkr")</f>
        <v>0</v>
      </c>
      <c r="BA174" s="60">
        <f>IFERROR(SUM((TBA_Matches_All[[#This Row],[AspkrT]]+TBA_Matches_All[[#This Row],[TspkrT]])/(TBA_Matches_All[[#This Row],[AspkrT]]+TBA_Matches_All[[#This Row],[TspkrT]]+TBA_Matches_All[[#This Row],[spkrM]])),0)</f>
        <v>0</v>
      </c>
      <c r="BB174">
        <f>SUMIFS(Dyno_Data[DelMiss], Dyno_Data[Team],TBA_Matches_All[[#This Row],[Team]],Dyno_Data[Match],TBA_Matches_All[[#This Row],[Match_Number]],Dyno_Data[RecordType],"Activities", Dyno_Data[DelDest],"Trap")</f>
        <v>0</v>
      </c>
      <c r="BC174" s="60">
        <f>IFERROR((TBA_Matches_All[[#This Row],[AtrapT]]+TBA_Matches_All[[#This Row],[TtrapT]])/(TBA_Matches_All[[#This Row],[AtrapT]]+TBA_Matches_All[[#This Row],[TtrapT]]+TBA_Matches_All[[#This Row],[trapM]]),0)</f>
        <v>0</v>
      </c>
      <c r="BD174">
        <f>COUNTIFS(Dyno_Data[Team],TBA_Matches_All[[#This Row],[Team]],Dyno_Data[Match],TBA_Matches_All[[#This Row],[Match_Number]],Dyno_Data[RecordType],"Activities",Dyno_Data[DelDest],"Neut", Dyno_Data[DelMiss],1)</f>
        <v>0</v>
      </c>
      <c r="BE174" s="60">
        <f>IFERROR(SUM((TBA_Matches_All[[#This Row],[NeutFlrT]])/(TBA_Matches_All[[#This Row],[NeutFlrT]]+TBA_Matches_All[[#This Row],[NZflM]])),0)</f>
        <v>0</v>
      </c>
      <c r="BF174">
        <f>COUNTIFS(Dyno_Data[Team],TBA_Matches_All[[#This Row],[Team]],Dyno_Data[Match],TBA_Matches_All[[#This Row],[Match_Number]],Dyno_Data[RecordType],"Activities",Dyno_Data[DelDest],"AllyW", Dyno_Data[DelMiss],1)</f>
        <v>0</v>
      </c>
      <c r="BG174" s="60">
        <f>IFERROR(SUM((TBA_Matches_All[[#This Row],[AllyWFlrT]])/(TBA_Matches_All[[#This Row],[AllyWFlrT]]+TBA_Matches_All[[#This Row],[AZflM]])),0)</f>
        <v>0</v>
      </c>
      <c r="BH174">
        <f>COUNTIFS(Dyno_Data[Team],TBA_Matches_All[[#This Row],[Team]],Dyno_Data[Match],TBA_Matches_All[[#This Row],[Match_Number]],Dyno_Data[RecordType],"Activities",Dyno_Data[DelOrig],"OppW", Dyno_Data[DelMiss],"0")</f>
        <v>0</v>
      </c>
      <c r="BI174">
        <f>COUNTIFS(Dyno_Data[Team],TBA_Matches_All[[#This Row],[Team]],Dyno_Data[Match],TBA_Matches_All[[#This Row],[Match_Number]],Dyno_Data[RecordType],"Activities",Dyno_Data[DelOrig],"OppW", Dyno_Data[DelMiss],"1")</f>
        <v>0</v>
      </c>
      <c r="BJ174" s="60">
        <f>IFERROR(SUM((TBA_Matches_All[[#This Row],[OZflrT]])/(TBA_Matches_All[[#This Row],[OZflrT]]+TBA_Matches_All[[#This Row],[OZflrM]])),0)</f>
        <v>0</v>
      </c>
      <c r="BK174">
        <f>COUNTIFS(Dyno_Data[Team],TBA_Matches_All[[#This Row],[Team]],Dyno_Data[Match],TBA_Matches_All[[#This Row],[Match_Number]],Dyno_Data[RecordType],"Activities",Dyno_Data[DelOrig],"Neut", Dyno_Data[DelMiss],"0")</f>
        <v>0</v>
      </c>
      <c r="BL174">
        <f>COUNTIFS(Dyno_Data[Team],TBA_Matches_All[[#This Row],[Team]],Dyno_Data[Match],TBA_Matches_All[[#This Row],[Match_Number]],Dyno_Data[RecordType],"Activities",Dyno_Data[DelOrig],"Neut", Dyno_Data[DelMiss],"1")</f>
        <v>0</v>
      </c>
      <c r="BM174" s="60">
        <f>IFERROR(SUM((TBA_Matches_All[[#This Row],[NZflrT]])/(TBA_Matches_All[[#This Row],[NZflrT]]+TBA_Matches_All[[#This Row],[NZflrM]])),0)</f>
        <v>0</v>
      </c>
      <c r="BN174">
        <f>COUNTIFS(Dyno_Data[Team],TBA_Matches_All[[#This Row],[Team]],Dyno_Data[Match],TBA_Matches_All[[#This Row],[Match_Number]],Dyno_Data[RecordType],"Activities",Dyno_Data[DelOrig],"AllyW", Dyno_Data[DelMiss],"0")</f>
        <v>0</v>
      </c>
      <c r="BO174">
        <f>COUNTIFS(Dyno_Data[Team],TBA_Matches_All[[#This Row],[Team]],Dyno_Data[Match],TBA_Matches_All[[#This Row],[Match_Number]],Dyno_Data[RecordType],"Activities",Dyno_Data[DelOrig],"AllyW", Dyno_Data[DelMiss],"1")</f>
        <v>0</v>
      </c>
      <c r="BP174" s="60">
        <f>IFERROR(SUM((TBA_Matches_All[[#This Row],[AZflrT]])/(TBA_Matches_All[[#This Row],[AZflrT]]+TBA_Matches_All[[#This Row],[AZflrM]])),0)</f>
        <v>0</v>
      </c>
      <c r="BQ174">
        <f>COUNTIFS(Dyno_Data[Team],TBA_Matches_All[[#This Row],[Team]],Dyno_Data[Match],TBA_Matches_All[[#This Row],[Match_Number]],Dyno_Data[RecordType],"Activities",Dyno_Data[DelOrig],"SubW", Dyno_Data[DelMiss],"0")</f>
        <v>0</v>
      </c>
      <c r="BR174">
        <f>COUNTIFS(Dyno_Data[Team],TBA_Matches_All[[#This Row],[Team]],Dyno_Data[Match],TBA_Matches_All[[#This Row],[Match_Number]],Dyno_Data[RecordType],"Activities",Dyno_Data[DelOrig],"SubW", Dyno_Data[DelMiss],"1")</f>
        <v>0</v>
      </c>
      <c r="BS174" s="60">
        <f>IFERROR(SUM((TBA_Matches_All[[#This Row],[SubwT]])/(TBA_Matches_All[[#This Row],[SubwT]]+TBA_Matches_All[[#This Row],[SubwM]])),0)</f>
        <v>0</v>
      </c>
      <c r="BT174">
        <f>COUNTIFS(Dyno_Data[Team],TBA_Matches_All[[#This Row],[Team]],Dyno_Data[Match],TBA_Matches_All[[#This Row],[Match_Number]],Dyno_Data[RecordType],"Activities", Dyno_Data[AcqLoc],"OppWing")</f>
        <v>0</v>
      </c>
      <c r="BU174">
        <f>COUNTIFS(Dyno_Data[Team],TBA_Matches_All[[#This Row],[Team]],Dyno_Data[Match],TBA_Matches_All[[#This Row],[Match_Number]],Dyno_Data[RecordType],"Activities", Dyno_Data[AcqLoc],"Neutral")</f>
        <v>0</v>
      </c>
      <c r="BV174">
        <f>COUNTIFS(Dyno_Data[Team],TBA_Matches_All[[#This Row],[Team]],Dyno_Data[Match],TBA_Matches_All[[#This Row],[Match_Number]],Dyno_Data[RecordType],"Activities", Dyno_Data[AcqLoc],"AllyWing")</f>
        <v>0</v>
      </c>
      <c r="BW174">
        <f>COUNTIFS(Dyno_Data[Team],TBA_Matches_All[[#This Row],[Team]],Dyno_Data[Match],TBA_Matches_All[[#This Row],[Match_Number]],Dyno_Data[RecordType],"Activities", Dyno_Data[AcqLoc],"Source")</f>
        <v>0</v>
      </c>
      <c r="BX174">
        <f>SUMIFS(Dyno_Data[AcqDrp], Dyno_Data[Team],TBA_Matches_All[[#This Row],[Team]],Dyno_Data[Match],TBA_Matches_All[[#This Row],[Match_Number]],Dyno_Data[RecordType],"Activities", Dyno_Data[AcqLoc],"Source")</f>
        <v>0</v>
      </c>
      <c r="BY174">
        <f>SUMIFS(Dyno_Data[OZTime], Dyno_Data[Team],TBA_Matches_All[[#This Row],[Team]],Dyno_Data[Match],TBA_Matches_All[[#This Row],[Match_Number]],Dyno_Data[RecordType],"EndMatch")</f>
        <v>0</v>
      </c>
      <c r="BZ174">
        <f>SUMIFS(Dyno_Data[NZTime], Dyno_Data[Team],TBA_Matches_All[[#This Row],[Team]],Dyno_Data[Match],TBA_Matches_All[[#This Row],[Match_Number]],Dyno_Data[RecordType],"EndMatch")</f>
        <v>0</v>
      </c>
      <c r="CA174">
        <f>SUMIFS(Dyno_Data[AZTime], Dyno_Data[Team],TBA_Matches_All[[#This Row],[Team]],Dyno_Data[Match],TBA_Matches_All[[#This Row],[Match_Number]],Dyno_Data[RecordType],"EndMatch")</f>
        <v>0</v>
      </c>
      <c r="CB174">
        <f>SUMIFS(Dyno_Data[ClimbT], Dyno_Data[Team],TBA_Matches_All[[#This Row],[Team]],Dyno_Data[Match],TBA_Matches_All[[#This Row],[Match_Number]],Dyno_Data[RecordType],"EndMatch")</f>
        <v>0</v>
      </c>
      <c r="CC174" t="str">
        <f>_xlfn.XLOOKUP(SUM(MID(TBA_Matches_All[[#This Row],[Team]],4,5),(TBA_Matches_All[[#This Row],[Match_Number]]/100)),Dyno_EndMatch[teammat],Dyno_EndMatch[StageStat],"_",0,1)</f>
        <v>_</v>
      </c>
      <c r="CD174" t="str">
        <f>_xlfn.XLOOKUP(TBA_Matches_All[[#This Row],[teammat]],Dyno_EndMatch[teammat],Dyno_EndMatch[StageAtt],"_",0,1)</f>
        <v>_</v>
      </c>
      <c r="CE174" t="str">
        <f>_xlfn.XLOOKUP(TBA_Matches_All[[#This Row],[teammat]],Dyno_EndMatch[teammat],Dyno_EndMatch[StageLoc],"_",0,1)</f>
        <v>_</v>
      </c>
      <c r="CF174">
        <f>SUMIFS(Dyno_Data[Harmony], Dyno_Data[Team],TBA_Matches_All[[#This Row],[Team]],Dyno_Data[Match],TBA_Matches_All[[#This Row],[Match_Number]],Dyno_Data[RecordType],"EndMatch", Dyno_Data[StageStat],"On",Dyno_Data[Harmony],"&lt;&gt;9")</f>
        <v>0</v>
      </c>
      <c r="CG174">
        <f>SUMIFS(Dyno_Data[Spotlit], Dyno_Data[Team],TBA_Matches_All[[#This Row],[Team]],Dyno_Data[Match],TBA_Matches_All[[#This Row],[Match_Number]],Dyno_Data[RecordType],"EndMatch", Dyno_Data[StageStat],"On",Dyno_Data[Spotlit],"&lt;&gt;9")</f>
        <v>0</v>
      </c>
      <c r="CH174" t="str">
        <f>_xlfn.XLOOKUP(TBA_Matches_All[[#This Row],[teammat]],Dyno_EndMatch[teammat],Dyno_EndMatch[Strategy],"_",0,1)</f>
        <v>_</v>
      </c>
      <c r="CI174">
        <f>SUMIFS(Dyno_Data[Defense], Dyno_Data[Team],TBA_Matches_All[[#This Row],[Team]],Dyno_Data[Match],TBA_Matches_All[[#This Row],[Match_Number]],Dyno_Data[RecordType],"EndMatch",Dyno_Data[Defense],"&lt;&gt;9")</f>
        <v>0</v>
      </c>
      <c r="CJ174">
        <f>SUMIFS(Dyno_Data[Avoidance], Dyno_Data[Team],TBA_Matches_All[[#This Row],[Team]],Dyno_Data[Match],TBA_Matches_All[[#This Row],[Match_Number]],Dyno_Data[RecordType],"EndMatch",Dyno_Data[Avoidance],"&lt;&gt;9")</f>
        <v>0</v>
      </c>
      <c r="CK174" s="82">
        <f>COUNTIF($H$2:TBA_Matches_All[[#This Row],[Team]],TBA_Matches_All[[#This Row],[Team]])</f>
        <v>4</v>
      </c>
      <c r="CL174" s="111">
        <f>SUM(MID(TBA_Matches_All[[#This Row],[Team]],4,5)+TBA_Matches_All[[#This Row],[Match_Number]]/100)</f>
        <v>9750.2900000000009</v>
      </c>
      <c r="CM174">
        <f>SUM((TBA_Matches_All[[#This Row],[Leave]]*2)+(TBA_Matches_All[[#This Row],[AampT]]*2)+(TBA_Matches_All[[#This Row],[AspkrT]]*5)+(TBA_Matches_All[[#This Row],[AtrapT]]*5))</f>
        <v>0</v>
      </c>
      <c r="CN174" s="59">
        <f>IFERROR(SUM(TBA_Matches_All[[#This Row],[AptsT]]/TBA_Matches_All[[#This Row],[AutoPts]]),0)</f>
        <v>0</v>
      </c>
      <c r="CO174" s="59">
        <f>IFERROR(SUM(TBA_Matches_All[[#This Row],[AampT]]+TBA_Matches_All[[#This Row],[AspkrT]]+TBA_Matches_All[[#This Row],[AtrapT]]/TBA_Matches_All[[#This Row],[Aamp]]+TBA_Matches_All[[#This Row],[Aspkr]]+TBA_Matches_All[[#This Row],[AtrapT]]),0)</f>
        <v>0</v>
      </c>
      <c r="CP174" s="59">
        <f>IFERROR(SUM(TBA_Matches_All[[#This Row],[TampT]]/TBA_Matches_All[[#This Row],[Tamp]]),0)</f>
        <v>0</v>
      </c>
      <c r="CQ174" s="59">
        <f>IFERROR(SUM(TBA_Matches_All[[#This Row],[TspkrT]]/TBA_Matches_All[[#This Row],[Tspkr]]),0)</f>
        <v>0</v>
      </c>
      <c r="CR174">
        <f>SUM(TBA_Matches_All[[#This Row],[TspkrPts]]*TBA_Matches_All[[#This Row],[TspkrP]])</f>
        <v>0</v>
      </c>
      <c r="CS174" s="59">
        <f>IFERROR(SUM(TBA_Matches_All[[#This Row],[TtrapT]]/TBA_Matches_All[[#This Row],[Trap]]),0)</f>
        <v>0</v>
      </c>
      <c r="CT174" s="59">
        <f>IFERROR(SUM(TBA_Matches_All[[#This Row],[TotNotesT]]/TBA_Matches_All[[#This Row],[TotNotes]]),0)</f>
        <v>0</v>
      </c>
      <c r="CU174" s="66">
        <f>SUM((TBA_Matches_All[[#This Row],[AampT]]*2)+(TBA_Matches_All[[#This Row],[AspkrT]]*5)+(TBA_Matches_All[[#This Row],[AtrapT]]*5)+(TBA_Matches_All[[#This Row],[TampT]]*1)+(TBA_Matches_All[[#This Row],[TspkrptsC]]))</f>
        <v>0</v>
      </c>
      <c r="CV174" s="59">
        <f>IFERROR(TBA_Matches_All[[#This Row],[noteptsT]]/TBA_Matches_All[[#This Row],[NotePts]],0)</f>
        <v>0</v>
      </c>
      <c r="CW174">
        <f>SUM(IF(TBA_Matches_All[[#This Row],[stageStat]]="On",3,0),IF(TBA_Matches_All[[#This Row],[stageStat]]="Park",1,0),SUMIFS(TBA_Matches_All[[#This Row],[Spotlit]],TBA_Matches_All[[#This Row],[stageStat]],"On"),SUMIFS(TBA_Matches_All[[#This Row],[Harmony]],TBA_Matches_All[[#This Row],[stageStat]],"On"))</f>
        <v>0</v>
      </c>
      <c r="CX174" s="59">
        <f>IFERROR(TBA_Matches_All[[#This Row],[stageptsT]]/TBA_Matches_All[[#This Row],[StagePts]],0)</f>
        <v>0</v>
      </c>
      <c r="CY174">
        <f>SUM((TBA_Matches_All[[#This Row],[AptsT]]+TBA_Matches_All[[#This Row],[TampT]]+TBA_Matches_All[[#This Row],[TspkrptsC]]+(TBA_Matches_All[[#This Row],[TtrapT]]*5)+TBA_Matches_All[[#This Row],[stageptsT]]))</f>
        <v>0</v>
      </c>
      <c r="CZ174" s="59">
        <f>IFERROR(SUM(TBA_Matches_All[[#This Row],[TotptsC]]/TBA_Matches_All[[#This Row],[Score]]),0)</f>
        <v>0</v>
      </c>
      <c r="DA17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4.5</v>
      </c>
      <c r="DB174" s="74">
        <f>SUMIFS(TBA_Matches_All[AveTeamTNoteDels],TBA_Matches_All[Match_Number],TBA_Matches_All[[#This Row],[Match_Number]],TBA_Matches_All[Alliance],"&lt;&gt;"&amp;TBA_Matches_All[[#This Row],[Alliance]],TBA_Matches_All[Scouted],"&gt;0")</f>
        <v>0</v>
      </c>
      <c r="DC174" s="74">
        <f>(TBA_Matches_All[[#This Row],[TampT]]+TBA_Matches_All[[#This Row],[TspkrptsC]])-TBA_Matches_All[[#This Row],[AveTeamTNoteDels]]</f>
        <v>-4.5</v>
      </c>
      <c r="DD174" s="74">
        <f>SUMIFS(TBA_Matches_All[AveTeamTNoteDels],TBA_Matches_All[Match_Number],TBA_Matches_All[[#This Row],[Match_Number]],TBA_Matches_All[Alliance],"&lt;&gt;"&amp;TBA_Matches_All[[#This Row],[Alliance]])-TBA_Matches_All[[#This Row],[AveOppTNoteDels]]</f>
        <v>37.195238095238096</v>
      </c>
    </row>
    <row r="175" spans="1:108" x14ac:dyDescent="0.3">
      <c r="A175" t="s">
        <v>1042</v>
      </c>
      <c r="B175" t="s">
        <v>489</v>
      </c>
      <c r="C175" t="s">
        <v>1338</v>
      </c>
      <c r="D175">
        <v>29</v>
      </c>
      <c r="E175" t="s">
        <v>1420</v>
      </c>
      <c r="F175" t="s">
        <v>1425</v>
      </c>
      <c r="G175" t="s">
        <v>105</v>
      </c>
      <c r="H175" t="s">
        <v>364</v>
      </c>
      <c r="I175" t="b">
        <v>1</v>
      </c>
      <c r="J175">
        <v>46</v>
      </c>
      <c r="K175">
        <v>0</v>
      </c>
      <c r="L175">
        <v>0</v>
      </c>
      <c r="M175">
        <v>0</v>
      </c>
      <c r="N175">
        <v>0</v>
      </c>
      <c r="O175">
        <v>2</v>
      </c>
      <c r="P175">
        <v>10</v>
      </c>
      <c r="Q175">
        <v>16</v>
      </c>
      <c r="R175">
        <v>2</v>
      </c>
      <c r="S175">
        <v>0</v>
      </c>
      <c r="T175">
        <v>4</v>
      </c>
      <c r="U175">
        <v>0</v>
      </c>
      <c r="V175">
        <v>8</v>
      </c>
      <c r="W175">
        <v>4</v>
      </c>
      <c r="X175">
        <v>8</v>
      </c>
      <c r="Y175">
        <v>10</v>
      </c>
      <c r="Z175">
        <v>0</v>
      </c>
      <c r="AA175">
        <v>0</v>
      </c>
      <c r="AB175">
        <v>8</v>
      </c>
      <c r="AC175">
        <v>20</v>
      </c>
      <c r="AD175">
        <v>5</v>
      </c>
      <c r="AE175">
        <f>IFERROR(6/(COUNTIF(Dyno_EndMatch[Match],TBA_Matches_All[[#This Row],[Match_Number]])),0)</f>
        <v>0</v>
      </c>
      <c r="AF175">
        <f>COUNTIFS(Dyno_Data[Team],TBA_Matches_All[[#This Row],[Team]],Dyno_Data[Match],TBA_Matches_All[[#This Row],[Match_Number]],Dyno_Data[RecordType],"EndMatch",Dyno_Data[HPAmp],"Y")</f>
        <v>0</v>
      </c>
      <c r="AG175">
        <f>SUMIFS(Dyno_Data[Mics], Dyno_Data[Team],TBA_Matches_All[[#This Row],[Team]],Dyno_Data[Match],TBA_Matches_All[[#This Row],[Match_Number]],Dyno_Data[RecordType],"EndMatch",Dyno_Data[HPAmp],"Y")</f>
        <v>0</v>
      </c>
      <c r="AH175">
        <f>SUMIFS(Dyno_Data[Leave], Dyno_Data[Team],TBA_Matches_All[[#This Row],[Team]],Dyno_Data[Match],TBA_Matches_All[[#This Row],[Match_Number]],Dyno_Data[RecordType],"EndAuto")</f>
        <v>0</v>
      </c>
      <c r="AI175">
        <f>COUNTIFS(Dyno_Data[Team],TBA_Matches_All[[#This Row],[Team]],Dyno_Data[Match],TBA_Matches_All[[#This Row],[Match_Number]],Dyno_Data[RecordType],"Activities",Dyno_Data[DelDest],"Amp", Dyno_Data[DelMiss],"0", Dyno_Data[Mode],"Auto")</f>
        <v>0</v>
      </c>
      <c r="AJ175">
        <f>COUNTIFS(Dyno_Data[Team],TBA_Matches_All[[#This Row],[Team]],Dyno_Data[Match],TBA_Matches_All[[#This Row],[Match_Number]],Dyno_Data[RecordType],"Activities",Dyno_Data[DelDest],"Spkr", Dyno_Data[DelMiss],"0", Dyno_Data[Mode],"Auto")</f>
        <v>0</v>
      </c>
      <c r="AK175">
        <f>COUNTIFS(Dyno_Data[Team],TBA_Matches_All[[#This Row],[Team]],Dyno_Data[Match],TBA_Matches_All[[#This Row],[Match_Number]],Dyno_Data[RecordType],"Activities",Dyno_Data[DelDest],"Trap", Dyno_Data[DelMiss],"0", Dyno_Data[Mode],"Auto")</f>
        <v>0</v>
      </c>
      <c r="AL175">
        <f>COUNTIFS(Dyno_Data[Team],TBA_Matches_All[[#This Row],[Team]],Dyno_Data[Match],TBA_Matches_All[[#This Row],[Match_Number]],Dyno_Data[RecordType],"Activities",Dyno_Data[DelDest],"Amp", Dyno_Data[DelMiss],"0", Dyno_Data[Mode],"Teleop")</f>
        <v>0</v>
      </c>
      <c r="AM175">
        <f>COUNTIFS(Dyno_Data[Team],TBA_Matches_All[[#This Row],[Team]],Dyno_Data[Match],TBA_Matches_All[[#This Row],[Match_Number]],Dyno_Data[RecordType],"Activities",Dyno_Data[DelDest],"Spkr", Dyno_Data[DelMiss],"0", Dyno_Data[Mode],"Teleop")</f>
        <v>0</v>
      </c>
      <c r="AN175">
        <f>COUNTIFS(Dyno_Data[Team],TBA_Matches_All[[#This Row],[Team]],Dyno_Data[Match],TBA_Matches_All[[#This Row],[Match_Number]],Dyno_Data[RecordType],"Activities",Dyno_Data[DelDest],"Trap", Dyno_Data[DelMiss],"0", Dyno_Data[Mode],"&lt;&gt;Auto")</f>
        <v>0</v>
      </c>
      <c r="AO175">
        <f>SUM(TBA_Matches_All[[#This Row],[AampT]]+TBA_Matches_All[[#This Row],[AspkrT]]+TBA_Matches_All[[#This Row],[AtrapT]]+TBA_Matches_All[[#This Row],[TampT]]+TBA_Matches_All[[#This Row],[TspkrT]]+TBA_Matches_All[[#This Row],[TtrapT]])</f>
        <v>0</v>
      </c>
      <c r="AP175">
        <f>COUNTIFS(Dyno_Data[Team],TBA_Matches_All[[#This Row],[Team]],Dyno_Data[Match],TBA_Matches_All[[#This Row],[Match_Number]],Dyno_Data[RecordType],"Activities",Dyno_Data[DelDest],"Neut", Dyno_Data[DelMiss],"0")</f>
        <v>0</v>
      </c>
      <c r="AQ175">
        <f>COUNTIFS(Dyno_Data[Team],TBA_Matches_All[[#This Row],[Team]],Dyno_Data[Match],TBA_Matches_All[[#This Row],[Match_Number]],Dyno_Data[RecordType],"Activities",Dyno_Data[DelDest],"AllyW", Dyno_Data[DelMiss],"0")</f>
        <v>0</v>
      </c>
      <c r="AR175" t="str">
        <f>_xlfn.XLOOKUP(SUM(MID(TBA_Matches_All[[#This Row],[Team]],4,5),(TBA_Matches_All[[#This Row],[Match_Number]]/100)),Dyno_EndMatch[teammat],Dyno_EndMatch[RobotSta],"_",0,1)</f>
        <v>_</v>
      </c>
      <c r="AS175">
        <f>SUMIFS(Dyno_Data[AcqDis], Dyno_Data[Team],TBA_Matches_All[[#This Row],[Team]],Dyno_Data[Match],TBA_Matches_All[[#This Row],[Match_Number]],Dyno_Data[RecordType],"Activities", Dyno_Data[AcqCenter],1,Dyno_Data[Mode],"Auto")</f>
        <v>0</v>
      </c>
      <c r="AT175">
        <f>SUMIFS(Dyno_Data[AcqDis], Dyno_Data[Team],TBA_Matches_All[[#This Row],[Team]],Dyno_Data[Match],TBA_Matches_All[[#This Row],[Match_Number]],Dyno_Data[RecordType],"Activities", Dyno_Data[AcqCenter],2,Dyno_Data[Mode],"Auto")</f>
        <v>0</v>
      </c>
      <c r="AU175">
        <f>SUMIFS(Dyno_Data[AcqDis], Dyno_Data[Team],TBA_Matches_All[[#This Row],[Team]],Dyno_Data[Match],TBA_Matches_All[[#This Row],[Match_Number]],Dyno_Data[RecordType],"Activities", Dyno_Data[AcqCenter],3,Dyno_Data[Mode],"Auto")</f>
        <v>0</v>
      </c>
      <c r="AV175">
        <f>SUMIFS(Dyno_Data[AcqDis], Dyno_Data[Team],TBA_Matches_All[[#This Row],[Team]],Dyno_Data[Match],TBA_Matches_All[[#This Row],[Match_Number]],Dyno_Data[RecordType],"Activities", Dyno_Data[AcqCenter],4,Dyno_Data[Mode],"Auto")</f>
        <v>0</v>
      </c>
      <c r="AW175">
        <f>SUMIFS(Dyno_Data[AcqDis], Dyno_Data[Team],TBA_Matches_All[[#This Row],[Team]],Dyno_Data[Match],TBA_Matches_All[[#This Row],[Match_Number]],Dyno_Data[RecordType],"Activities", Dyno_Data[AcqCenter],5,Dyno_Data[Mode],"Auto")</f>
        <v>0</v>
      </c>
      <c r="AX175">
        <f>SUMIFS(Dyno_Data[DelMiss], Dyno_Data[Team],TBA_Matches_All[[#This Row],[Team]],Dyno_Data[Match],TBA_Matches_All[[#This Row],[Match_Number]],Dyno_Data[RecordType],"Activities", Dyno_Data[DelDest],"Amp")</f>
        <v>0</v>
      </c>
      <c r="AY175" s="60">
        <f>IFERROR(SUM((TBA_Matches_All[[#This Row],[AampT]]+TBA_Matches_All[[#This Row],[TampT]])/(TBA_Matches_All[[#This Row],[AampT]]+TBA_Matches_All[[#This Row],[TampT]]+TBA_Matches_All[[#This Row],[ampM]])),0)</f>
        <v>0</v>
      </c>
      <c r="AZ175">
        <f>SUMIFS(Dyno_Data[DelMiss], Dyno_Data[Team],TBA_Matches_All[[#This Row],[Team]],Dyno_Data[Match],TBA_Matches_All[[#This Row],[Match_Number]],Dyno_Data[RecordType],"Activities", Dyno_Data[DelDest],"Spkr")</f>
        <v>0</v>
      </c>
      <c r="BA175" s="60">
        <f>IFERROR(SUM((TBA_Matches_All[[#This Row],[AspkrT]]+TBA_Matches_All[[#This Row],[TspkrT]])/(TBA_Matches_All[[#This Row],[AspkrT]]+TBA_Matches_All[[#This Row],[TspkrT]]+TBA_Matches_All[[#This Row],[spkrM]])),0)</f>
        <v>0</v>
      </c>
      <c r="BB175">
        <f>SUMIFS(Dyno_Data[DelMiss], Dyno_Data[Team],TBA_Matches_All[[#This Row],[Team]],Dyno_Data[Match],TBA_Matches_All[[#This Row],[Match_Number]],Dyno_Data[RecordType],"Activities", Dyno_Data[DelDest],"Trap")</f>
        <v>0</v>
      </c>
      <c r="BC175" s="60">
        <f>IFERROR((TBA_Matches_All[[#This Row],[AtrapT]]+TBA_Matches_All[[#This Row],[TtrapT]])/(TBA_Matches_All[[#This Row],[AtrapT]]+TBA_Matches_All[[#This Row],[TtrapT]]+TBA_Matches_All[[#This Row],[trapM]]),0)</f>
        <v>0</v>
      </c>
      <c r="BD175">
        <f>COUNTIFS(Dyno_Data[Team],TBA_Matches_All[[#This Row],[Team]],Dyno_Data[Match],TBA_Matches_All[[#This Row],[Match_Number]],Dyno_Data[RecordType],"Activities",Dyno_Data[DelDest],"Neut", Dyno_Data[DelMiss],1)</f>
        <v>0</v>
      </c>
      <c r="BE175" s="60">
        <f>IFERROR(SUM((TBA_Matches_All[[#This Row],[NeutFlrT]])/(TBA_Matches_All[[#This Row],[NeutFlrT]]+TBA_Matches_All[[#This Row],[NZflM]])),0)</f>
        <v>0</v>
      </c>
      <c r="BF175">
        <f>COUNTIFS(Dyno_Data[Team],TBA_Matches_All[[#This Row],[Team]],Dyno_Data[Match],TBA_Matches_All[[#This Row],[Match_Number]],Dyno_Data[RecordType],"Activities",Dyno_Data[DelDest],"AllyW", Dyno_Data[DelMiss],1)</f>
        <v>0</v>
      </c>
      <c r="BG175" s="60">
        <f>IFERROR(SUM((TBA_Matches_All[[#This Row],[AllyWFlrT]])/(TBA_Matches_All[[#This Row],[AllyWFlrT]]+TBA_Matches_All[[#This Row],[AZflM]])),0)</f>
        <v>0</v>
      </c>
      <c r="BH175">
        <f>COUNTIFS(Dyno_Data[Team],TBA_Matches_All[[#This Row],[Team]],Dyno_Data[Match],TBA_Matches_All[[#This Row],[Match_Number]],Dyno_Data[RecordType],"Activities",Dyno_Data[DelOrig],"OppW", Dyno_Data[DelMiss],"0")</f>
        <v>0</v>
      </c>
      <c r="BI175">
        <f>COUNTIFS(Dyno_Data[Team],TBA_Matches_All[[#This Row],[Team]],Dyno_Data[Match],TBA_Matches_All[[#This Row],[Match_Number]],Dyno_Data[RecordType],"Activities",Dyno_Data[DelOrig],"OppW", Dyno_Data[DelMiss],"1")</f>
        <v>0</v>
      </c>
      <c r="BJ175" s="60">
        <f>IFERROR(SUM((TBA_Matches_All[[#This Row],[OZflrT]])/(TBA_Matches_All[[#This Row],[OZflrT]]+TBA_Matches_All[[#This Row],[OZflrM]])),0)</f>
        <v>0</v>
      </c>
      <c r="BK175">
        <f>COUNTIFS(Dyno_Data[Team],TBA_Matches_All[[#This Row],[Team]],Dyno_Data[Match],TBA_Matches_All[[#This Row],[Match_Number]],Dyno_Data[RecordType],"Activities",Dyno_Data[DelOrig],"Neut", Dyno_Data[DelMiss],"0")</f>
        <v>0</v>
      </c>
      <c r="BL175">
        <f>COUNTIFS(Dyno_Data[Team],TBA_Matches_All[[#This Row],[Team]],Dyno_Data[Match],TBA_Matches_All[[#This Row],[Match_Number]],Dyno_Data[RecordType],"Activities",Dyno_Data[DelOrig],"Neut", Dyno_Data[DelMiss],"1")</f>
        <v>0</v>
      </c>
      <c r="BM175" s="60">
        <f>IFERROR(SUM((TBA_Matches_All[[#This Row],[NZflrT]])/(TBA_Matches_All[[#This Row],[NZflrT]]+TBA_Matches_All[[#This Row],[NZflrM]])),0)</f>
        <v>0</v>
      </c>
      <c r="BN175">
        <f>COUNTIFS(Dyno_Data[Team],TBA_Matches_All[[#This Row],[Team]],Dyno_Data[Match],TBA_Matches_All[[#This Row],[Match_Number]],Dyno_Data[RecordType],"Activities",Dyno_Data[DelOrig],"AllyW", Dyno_Data[DelMiss],"0")</f>
        <v>0</v>
      </c>
      <c r="BO175">
        <f>COUNTIFS(Dyno_Data[Team],TBA_Matches_All[[#This Row],[Team]],Dyno_Data[Match],TBA_Matches_All[[#This Row],[Match_Number]],Dyno_Data[RecordType],"Activities",Dyno_Data[DelOrig],"AllyW", Dyno_Data[DelMiss],"1")</f>
        <v>0</v>
      </c>
      <c r="BP175" s="60">
        <f>IFERROR(SUM((TBA_Matches_All[[#This Row],[AZflrT]])/(TBA_Matches_All[[#This Row],[AZflrT]]+TBA_Matches_All[[#This Row],[AZflrM]])),0)</f>
        <v>0</v>
      </c>
      <c r="BQ175">
        <f>COUNTIFS(Dyno_Data[Team],TBA_Matches_All[[#This Row],[Team]],Dyno_Data[Match],TBA_Matches_All[[#This Row],[Match_Number]],Dyno_Data[RecordType],"Activities",Dyno_Data[DelOrig],"SubW", Dyno_Data[DelMiss],"0")</f>
        <v>0</v>
      </c>
      <c r="BR175">
        <f>COUNTIFS(Dyno_Data[Team],TBA_Matches_All[[#This Row],[Team]],Dyno_Data[Match],TBA_Matches_All[[#This Row],[Match_Number]],Dyno_Data[RecordType],"Activities",Dyno_Data[DelOrig],"SubW", Dyno_Data[DelMiss],"1")</f>
        <v>0</v>
      </c>
      <c r="BS175" s="60">
        <f>IFERROR(SUM((TBA_Matches_All[[#This Row],[SubwT]])/(TBA_Matches_All[[#This Row],[SubwT]]+TBA_Matches_All[[#This Row],[SubwM]])),0)</f>
        <v>0</v>
      </c>
      <c r="BT175">
        <f>COUNTIFS(Dyno_Data[Team],TBA_Matches_All[[#This Row],[Team]],Dyno_Data[Match],TBA_Matches_All[[#This Row],[Match_Number]],Dyno_Data[RecordType],"Activities", Dyno_Data[AcqLoc],"OppWing")</f>
        <v>0</v>
      </c>
      <c r="BU175">
        <f>COUNTIFS(Dyno_Data[Team],TBA_Matches_All[[#This Row],[Team]],Dyno_Data[Match],TBA_Matches_All[[#This Row],[Match_Number]],Dyno_Data[RecordType],"Activities", Dyno_Data[AcqLoc],"Neutral")</f>
        <v>0</v>
      </c>
      <c r="BV175">
        <f>COUNTIFS(Dyno_Data[Team],TBA_Matches_All[[#This Row],[Team]],Dyno_Data[Match],TBA_Matches_All[[#This Row],[Match_Number]],Dyno_Data[RecordType],"Activities", Dyno_Data[AcqLoc],"AllyWing")</f>
        <v>0</v>
      </c>
      <c r="BW175">
        <f>COUNTIFS(Dyno_Data[Team],TBA_Matches_All[[#This Row],[Team]],Dyno_Data[Match],TBA_Matches_All[[#This Row],[Match_Number]],Dyno_Data[RecordType],"Activities", Dyno_Data[AcqLoc],"Source")</f>
        <v>0</v>
      </c>
      <c r="BX175">
        <f>SUMIFS(Dyno_Data[AcqDrp], Dyno_Data[Team],TBA_Matches_All[[#This Row],[Team]],Dyno_Data[Match],TBA_Matches_All[[#This Row],[Match_Number]],Dyno_Data[RecordType],"Activities", Dyno_Data[AcqLoc],"Source")</f>
        <v>0</v>
      </c>
      <c r="BY175">
        <f>SUMIFS(Dyno_Data[OZTime], Dyno_Data[Team],TBA_Matches_All[[#This Row],[Team]],Dyno_Data[Match],TBA_Matches_All[[#This Row],[Match_Number]],Dyno_Data[RecordType],"EndMatch")</f>
        <v>0</v>
      </c>
      <c r="BZ175">
        <f>SUMIFS(Dyno_Data[NZTime], Dyno_Data[Team],TBA_Matches_All[[#This Row],[Team]],Dyno_Data[Match],TBA_Matches_All[[#This Row],[Match_Number]],Dyno_Data[RecordType],"EndMatch")</f>
        <v>0</v>
      </c>
      <c r="CA175">
        <f>SUMIFS(Dyno_Data[AZTime], Dyno_Data[Team],TBA_Matches_All[[#This Row],[Team]],Dyno_Data[Match],TBA_Matches_All[[#This Row],[Match_Number]],Dyno_Data[RecordType],"EndMatch")</f>
        <v>0</v>
      </c>
      <c r="CB175">
        <f>SUMIFS(Dyno_Data[ClimbT], Dyno_Data[Team],TBA_Matches_All[[#This Row],[Team]],Dyno_Data[Match],TBA_Matches_All[[#This Row],[Match_Number]],Dyno_Data[RecordType],"EndMatch")</f>
        <v>0</v>
      </c>
      <c r="CC175" t="str">
        <f>_xlfn.XLOOKUP(SUM(MID(TBA_Matches_All[[#This Row],[Team]],4,5),(TBA_Matches_All[[#This Row],[Match_Number]]/100)),Dyno_EndMatch[teammat],Dyno_EndMatch[StageStat],"_",0,1)</f>
        <v>_</v>
      </c>
      <c r="CD175" t="str">
        <f>_xlfn.XLOOKUP(TBA_Matches_All[[#This Row],[teammat]],Dyno_EndMatch[teammat],Dyno_EndMatch[StageAtt],"_",0,1)</f>
        <v>_</v>
      </c>
      <c r="CE175" t="str">
        <f>_xlfn.XLOOKUP(TBA_Matches_All[[#This Row],[teammat]],Dyno_EndMatch[teammat],Dyno_EndMatch[StageLoc],"_",0,1)</f>
        <v>_</v>
      </c>
      <c r="CF175">
        <f>SUMIFS(Dyno_Data[Harmony], Dyno_Data[Team],TBA_Matches_All[[#This Row],[Team]],Dyno_Data[Match],TBA_Matches_All[[#This Row],[Match_Number]],Dyno_Data[RecordType],"EndMatch", Dyno_Data[StageStat],"On",Dyno_Data[Harmony],"&lt;&gt;9")</f>
        <v>0</v>
      </c>
      <c r="CG175">
        <f>SUMIFS(Dyno_Data[Spotlit], Dyno_Data[Team],TBA_Matches_All[[#This Row],[Team]],Dyno_Data[Match],TBA_Matches_All[[#This Row],[Match_Number]],Dyno_Data[RecordType],"EndMatch", Dyno_Data[StageStat],"On",Dyno_Data[Spotlit],"&lt;&gt;9")</f>
        <v>0</v>
      </c>
      <c r="CH175" t="str">
        <f>_xlfn.XLOOKUP(TBA_Matches_All[[#This Row],[teammat]],Dyno_EndMatch[teammat],Dyno_EndMatch[Strategy],"_",0,1)</f>
        <v>_</v>
      </c>
      <c r="CI175">
        <f>SUMIFS(Dyno_Data[Defense], Dyno_Data[Team],TBA_Matches_All[[#This Row],[Team]],Dyno_Data[Match],TBA_Matches_All[[#This Row],[Match_Number]],Dyno_Data[RecordType],"EndMatch",Dyno_Data[Defense],"&lt;&gt;9")</f>
        <v>0</v>
      </c>
      <c r="CJ175">
        <f>SUMIFS(Dyno_Data[Avoidance], Dyno_Data[Team],TBA_Matches_All[[#This Row],[Team]],Dyno_Data[Match],TBA_Matches_All[[#This Row],[Match_Number]],Dyno_Data[RecordType],"EndMatch",Dyno_Data[Avoidance],"&lt;&gt;9")</f>
        <v>0</v>
      </c>
      <c r="CK175" s="82">
        <f>COUNTIF($H$2:TBA_Matches_All[[#This Row],[Team]],TBA_Matches_All[[#This Row],[Team]])</f>
        <v>4</v>
      </c>
      <c r="CL175" s="111">
        <f>SUM(MID(TBA_Matches_All[[#This Row],[Team]],4,5)+TBA_Matches_All[[#This Row],[Match_Number]]/100)</f>
        <v>2791.29</v>
      </c>
      <c r="CM175">
        <f>SUM((TBA_Matches_All[[#This Row],[Leave]]*2)+(TBA_Matches_All[[#This Row],[AampT]]*2)+(TBA_Matches_All[[#This Row],[AspkrT]]*5)+(TBA_Matches_All[[#This Row],[AtrapT]]*5))</f>
        <v>0</v>
      </c>
      <c r="CN175" s="59">
        <f>IFERROR(SUM(TBA_Matches_All[[#This Row],[AptsT]]/TBA_Matches_All[[#This Row],[AutoPts]]),0)</f>
        <v>0</v>
      </c>
      <c r="CO175" s="59">
        <f>IFERROR(SUM(TBA_Matches_All[[#This Row],[AampT]]+TBA_Matches_All[[#This Row],[AspkrT]]+TBA_Matches_All[[#This Row],[AtrapT]]/TBA_Matches_All[[#This Row],[Aamp]]+TBA_Matches_All[[#This Row],[Aspkr]]+TBA_Matches_All[[#This Row],[AtrapT]]),0)</f>
        <v>0</v>
      </c>
      <c r="CP175" s="59">
        <f>IFERROR(SUM(TBA_Matches_All[[#This Row],[TampT]]/TBA_Matches_All[[#This Row],[Tamp]]),0)</f>
        <v>0</v>
      </c>
      <c r="CQ175" s="59">
        <f>IFERROR(SUM(TBA_Matches_All[[#This Row],[TspkrT]]/TBA_Matches_All[[#This Row],[Tspkr]]),0)</f>
        <v>0</v>
      </c>
      <c r="CR175">
        <f>SUM(TBA_Matches_All[[#This Row],[TspkrPts]]*TBA_Matches_All[[#This Row],[TspkrP]])</f>
        <v>0</v>
      </c>
      <c r="CS175" s="59">
        <f>IFERROR(SUM(TBA_Matches_All[[#This Row],[TtrapT]]/TBA_Matches_All[[#This Row],[Trap]]),0)</f>
        <v>0</v>
      </c>
      <c r="CT175" s="59">
        <f>IFERROR(SUM(TBA_Matches_All[[#This Row],[TotNotesT]]/TBA_Matches_All[[#This Row],[TotNotes]]),0)</f>
        <v>0</v>
      </c>
      <c r="CU175" s="66">
        <f>SUM((TBA_Matches_All[[#This Row],[AampT]]*2)+(TBA_Matches_All[[#This Row],[AspkrT]]*5)+(TBA_Matches_All[[#This Row],[AtrapT]]*5)+(TBA_Matches_All[[#This Row],[TampT]]*1)+(TBA_Matches_All[[#This Row],[TspkrptsC]]))</f>
        <v>0</v>
      </c>
      <c r="CV175" s="59">
        <f>IFERROR(TBA_Matches_All[[#This Row],[noteptsT]]/TBA_Matches_All[[#This Row],[NotePts]],0)</f>
        <v>0</v>
      </c>
      <c r="CW175">
        <f>SUM(IF(TBA_Matches_All[[#This Row],[stageStat]]="On",3,0),IF(TBA_Matches_All[[#This Row],[stageStat]]="Park",1,0),SUMIFS(TBA_Matches_All[[#This Row],[Spotlit]],TBA_Matches_All[[#This Row],[stageStat]],"On"),SUMIFS(TBA_Matches_All[[#This Row],[Harmony]],TBA_Matches_All[[#This Row],[stageStat]],"On"))</f>
        <v>0</v>
      </c>
      <c r="CX175" s="59">
        <f>IFERROR(TBA_Matches_All[[#This Row],[stageptsT]]/TBA_Matches_All[[#This Row],[StagePts]],0)</f>
        <v>0</v>
      </c>
      <c r="CY175">
        <f>SUM((TBA_Matches_All[[#This Row],[AptsT]]+TBA_Matches_All[[#This Row],[TampT]]+TBA_Matches_All[[#This Row],[TspkrptsC]]+(TBA_Matches_All[[#This Row],[TtrapT]]*5)+TBA_Matches_All[[#This Row],[stageptsT]]))</f>
        <v>0</v>
      </c>
      <c r="CZ175" s="59">
        <f>IFERROR(SUM(TBA_Matches_All[[#This Row],[TotptsC]]/TBA_Matches_All[[#This Row],[Score]]),0)</f>
        <v>0</v>
      </c>
      <c r="DA17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9.6333333333333329</v>
      </c>
      <c r="DB175" s="74">
        <f>SUMIFS(TBA_Matches_All[AveTeamTNoteDels],TBA_Matches_All[Match_Number],TBA_Matches_All[[#This Row],[Match_Number]],TBA_Matches_All[Alliance],"&lt;&gt;"&amp;TBA_Matches_All[[#This Row],[Alliance]],TBA_Matches_All[Scouted],"&gt;0")</f>
        <v>0</v>
      </c>
      <c r="DC175" s="74">
        <f>(TBA_Matches_All[[#This Row],[TampT]]+TBA_Matches_All[[#This Row],[TspkrptsC]])-TBA_Matches_All[[#This Row],[AveTeamTNoteDels]]</f>
        <v>-9.6333333333333329</v>
      </c>
      <c r="DD175" s="74">
        <f>SUMIFS(TBA_Matches_All[AveTeamTNoteDels],TBA_Matches_All[Match_Number],TBA_Matches_All[[#This Row],[Match_Number]],TBA_Matches_All[Alliance],"&lt;&gt;"&amp;TBA_Matches_All[[#This Row],[Alliance]])-TBA_Matches_All[[#This Row],[AveOppTNoteDels]]</f>
        <v>11.560606060606059</v>
      </c>
    </row>
    <row r="176" spans="1:108" x14ac:dyDescent="0.3">
      <c r="A176" t="s">
        <v>1042</v>
      </c>
      <c r="B176" t="s">
        <v>489</v>
      </c>
      <c r="C176" t="s">
        <v>1338</v>
      </c>
      <c r="D176">
        <v>29</v>
      </c>
      <c r="E176" t="s">
        <v>1406</v>
      </c>
      <c r="F176" t="s">
        <v>1426</v>
      </c>
      <c r="G176" t="s">
        <v>164</v>
      </c>
      <c r="H176" t="s">
        <v>369</v>
      </c>
      <c r="I176" t="b">
        <v>0</v>
      </c>
      <c r="J176">
        <v>31</v>
      </c>
      <c r="K176">
        <v>0</v>
      </c>
      <c r="L176">
        <v>0</v>
      </c>
      <c r="M176">
        <v>15</v>
      </c>
      <c r="N176">
        <v>0</v>
      </c>
      <c r="O176">
        <v>0</v>
      </c>
      <c r="P176">
        <v>0</v>
      </c>
      <c r="Q176">
        <v>2</v>
      </c>
      <c r="R176">
        <v>4</v>
      </c>
      <c r="S176">
        <v>2</v>
      </c>
      <c r="T176">
        <v>6</v>
      </c>
      <c r="U176">
        <v>10</v>
      </c>
      <c r="V176">
        <v>12</v>
      </c>
      <c r="W176">
        <v>8</v>
      </c>
      <c r="X176">
        <v>22</v>
      </c>
      <c r="Y176">
        <v>26</v>
      </c>
      <c r="Z176">
        <v>0</v>
      </c>
      <c r="AA176">
        <v>0</v>
      </c>
      <c r="AB176">
        <v>12</v>
      </c>
      <c r="AC176">
        <v>26</v>
      </c>
      <c r="AD176">
        <v>3</v>
      </c>
      <c r="AE176">
        <f>IFERROR(6/(COUNTIF(Dyno_EndMatch[Match],TBA_Matches_All[[#This Row],[Match_Number]])),0)</f>
        <v>0</v>
      </c>
      <c r="AF176">
        <f>COUNTIFS(Dyno_Data[Team],TBA_Matches_All[[#This Row],[Team]],Dyno_Data[Match],TBA_Matches_All[[#This Row],[Match_Number]],Dyno_Data[RecordType],"EndMatch",Dyno_Data[HPAmp],"Y")</f>
        <v>0</v>
      </c>
      <c r="AG176">
        <f>SUMIFS(Dyno_Data[Mics], Dyno_Data[Team],TBA_Matches_All[[#This Row],[Team]],Dyno_Data[Match],TBA_Matches_All[[#This Row],[Match_Number]],Dyno_Data[RecordType],"EndMatch",Dyno_Data[HPAmp],"Y")</f>
        <v>0</v>
      </c>
      <c r="AH176">
        <f>SUMIFS(Dyno_Data[Leave], Dyno_Data[Team],TBA_Matches_All[[#This Row],[Team]],Dyno_Data[Match],TBA_Matches_All[[#This Row],[Match_Number]],Dyno_Data[RecordType],"EndAuto")</f>
        <v>0</v>
      </c>
      <c r="AI176">
        <f>COUNTIFS(Dyno_Data[Team],TBA_Matches_All[[#This Row],[Team]],Dyno_Data[Match],TBA_Matches_All[[#This Row],[Match_Number]],Dyno_Data[RecordType],"Activities",Dyno_Data[DelDest],"Amp", Dyno_Data[DelMiss],"0", Dyno_Data[Mode],"Auto")</f>
        <v>0</v>
      </c>
      <c r="AJ176">
        <f>COUNTIFS(Dyno_Data[Team],TBA_Matches_All[[#This Row],[Team]],Dyno_Data[Match],TBA_Matches_All[[#This Row],[Match_Number]],Dyno_Data[RecordType],"Activities",Dyno_Data[DelDest],"Spkr", Dyno_Data[DelMiss],"0", Dyno_Data[Mode],"Auto")</f>
        <v>0</v>
      </c>
      <c r="AK176">
        <f>COUNTIFS(Dyno_Data[Team],TBA_Matches_All[[#This Row],[Team]],Dyno_Data[Match],TBA_Matches_All[[#This Row],[Match_Number]],Dyno_Data[RecordType],"Activities",Dyno_Data[DelDest],"Trap", Dyno_Data[DelMiss],"0", Dyno_Data[Mode],"Auto")</f>
        <v>0</v>
      </c>
      <c r="AL176">
        <f>COUNTIFS(Dyno_Data[Team],TBA_Matches_All[[#This Row],[Team]],Dyno_Data[Match],TBA_Matches_All[[#This Row],[Match_Number]],Dyno_Data[RecordType],"Activities",Dyno_Data[DelDest],"Amp", Dyno_Data[DelMiss],"0", Dyno_Data[Mode],"Teleop")</f>
        <v>0</v>
      </c>
      <c r="AM176">
        <f>COUNTIFS(Dyno_Data[Team],TBA_Matches_All[[#This Row],[Team]],Dyno_Data[Match],TBA_Matches_All[[#This Row],[Match_Number]],Dyno_Data[RecordType],"Activities",Dyno_Data[DelDest],"Spkr", Dyno_Data[DelMiss],"0", Dyno_Data[Mode],"Teleop")</f>
        <v>0</v>
      </c>
      <c r="AN176">
        <f>COUNTIFS(Dyno_Data[Team],TBA_Matches_All[[#This Row],[Team]],Dyno_Data[Match],TBA_Matches_All[[#This Row],[Match_Number]],Dyno_Data[RecordType],"Activities",Dyno_Data[DelDest],"Trap", Dyno_Data[DelMiss],"0", Dyno_Data[Mode],"&lt;&gt;Auto")</f>
        <v>0</v>
      </c>
      <c r="AO176">
        <f>SUM(TBA_Matches_All[[#This Row],[AampT]]+TBA_Matches_All[[#This Row],[AspkrT]]+TBA_Matches_All[[#This Row],[AtrapT]]+TBA_Matches_All[[#This Row],[TampT]]+TBA_Matches_All[[#This Row],[TspkrT]]+TBA_Matches_All[[#This Row],[TtrapT]])</f>
        <v>0</v>
      </c>
      <c r="AP176">
        <f>COUNTIFS(Dyno_Data[Team],TBA_Matches_All[[#This Row],[Team]],Dyno_Data[Match],TBA_Matches_All[[#This Row],[Match_Number]],Dyno_Data[RecordType],"Activities",Dyno_Data[DelDest],"Neut", Dyno_Data[DelMiss],"0")</f>
        <v>0</v>
      </c>
      <c r="AQ176">
        <f>COUNTIFS(Dyno_Data[Team],TBA_Matches_All[[#This Row],[Team]],Dyno_Data[Match],TBA_Matches_All[[#This Row],[Match_Number]],Dyno_Data[RecordType],"Activities",Dyno_Data[DelDest],"AllyW", Dyno_Data[DelMiss],"0")</f>
        <v>0</v>
      </c>
      <c r="AR176" t="str">
        <f>_xlfn.XLOOKUP(SUM(MID(TBA_Matches_All[[#This Row],[Team]],4,5),(TBA_Matches_All[[#This Row],[Match_Number]]/100)),Dyno_EndMatch[teammat],Dyno_EndMatch[RobotSta],"_",0,1)</f>
        <v>_</v>
      </c>
      <c r="AS176">
        <f>SUMIFS(Dyno_Data[AcqDis], Dyno_Data[Team],TBA_Matches_All[[#This Row],[Team]],Dyno_Data[Match],TBA_Matches_All[[#This Row],[Match_Number]],Dyno_Data[RecordType],"Activities", Dyno_Data[AcqCenter],1,Dyno_Data[Mode],"Auto")</f>
        <v>0</v>
      </c>
      <c r="AT176">
        <f>SUMIFS(Dyno_Data[AcqDis], Dyno_Data[Team],TBA_Matches_All[[#This Row],[Team]],Dyno_Data[Match],TBA_Matches_All[[#This Row],[Match_Number]],Dyno_Data[RecordType],"Activities", Dyno_Data[AcqCenter],2,Dyno_Data[Mode],"Auto")</f>
        <v>0</v>
      </c>
      <c r="AU176">
        <f>SUMIFS(Dyno_Data[AcqDis], Dyno_Data[Team],TBA_Matches_All[[#This Row],[Team]],Dyno_Data[Match],TBA_Matches_All[[#This Row],[Match_Number]],Dyno_Data[RecordType],"Activities", Dyno_Data[AcqCenter],3,Dyno_Data[Mode],"Auto")</f>
        <v>0</v>
      </c>
      <c r="AV176">
        <f>SUMIFS(Dyno_Data[AcqDis], Dyno_Data[Team],TBA_Matches_All[[#This Row],[Team]],Dyno_Data[Match],TBA_Matches_All[[#This Row],[Match_Number]],Dyno_Data[RecordType],"Activities", Dyno_Data[AcqCenter],4,Dyno_Data[Mode],"Auto")</f>
        <v>0</v>
      </c>
      <c r="AW176">
        <f>SUMIFS(Dyno_Data[AcqDis], Dyno_Data[Team],TBA_Matches_All[[#This Row],[Team]],Dyno_Data[Match],TBA_Matches_All[[#This Row],[Match_Number]],Dyno_Data[RecordType],"Activities", Dyno_Data[AcqCenter],5,Dyno_Data[Mode],"Auto")</f>
        <v>0</v>
      </c>
      <c r="AX176">
        <f>SUMIFS(Dyno_Data[DelMiss], Dyno_Data[Team],TBA_Matches_All[[#This Row],[Team]],Dyno_Data[Match],TBA_Matches_All[[#This Row],[Match_Number]],Dyno_Data[RecordType],"Activities", Dyno_Data[DelDest],"Amp")</f>
        <v>0</v>
      </c>
      <c r="AY176" s="60">
        <f>IFERROR(SUM((TBA_Matches_All[[#This Row],[AampT]]+TBA_Matches_All[[#This Row],[TampT]])/(TBA_Matches_All[[#This Row],[AampT]]+TBA_Matches_All[[#This Row],[TampT]]+TBA_Matches_All[[#This Row],[ampM]])),0)</f>
        <v>0</v>
      </c>
      <c r="AZ176">
        <f>SUMIFS(Dyno_Data[DelMiss], Dyno_Data[Team],TBA_Matches_All[[#This Row],[Team]],Dyno_Data[Match],TBA_Matches_All[[#This Row],[Match_Number]],Dyno_Data[RecordType],"Activities", Dyno_Data[DelDest],"Spkr")</f>
        <v>0</v>
      </c>
      <c r="BA176" s="60">
        <f>IFERROR(SUM((TBA_Matches_All[[#This Row],[AspkrT]]+TBA_Matches_All[[#This Row],[TspkrT]])/(TBA_Matches_All[[#This Row],[AspkrT]]+TBA_Matches_All[[#This Row],[TspkrT]]+TBA_Matches_All[[#This Row],[spkrM]])),0)</f>
        <v>0</v>
      </c>
      <c r="BB176">
        <f>SUMIFS(Dyno_Data[DelMiss], Dyno_Data[Team],TBA_Matches_All[[#This Row],[Team]],Dyno_Data[Match],TBA_Matches_All[[#This Row],[Match_Number]],Dyno_Data[RecordType],"Activities", Dyno_Data[DelDest],"Trap")</f>
        <v>0</v>
      </c>
      <c r="BC176" s="60">
        <f>IFERROR((TBA_Matches_All[[#This Row],[AtrapT]]+TBA_Matches_All[[#This Row],[TtrapT]])/(TBA_Matches_All[[#This Row],[AtrapT]]+TBA_Matches_All[[#This Row],[TtrapT]]+TBA_Matches_All[[#This Row],[trapM]]),0)</f>
        <v>0</v>
      </c>
      <c r="BD176">
        <f>COUNTIFS(Dyno_Data[Team],TBA_Matches_All[[#This Row],[Team]],Dyno_Data[Match],TBA_Matches_All[[#This Row],[Match_Number]],Dyno_Data[RecordType],"Activities",Dyno_Data[DelDest],"Neut", Dyno_Data[DelMiss],1)</f>
        <v>0</v>
      </c>
      <c r="BE176" s="60">
        <f>IFERROR(SUM((TBA_Matches_All[[#This Row],[NeutFlrT]])/(TBA_Matches_All[[#This Row],[NeutFlrT]]+TBA_Matches_All[[#This Row],[NZflM]])),0)</f>
        <v>0</v>
      </c>
      <c r="BF176">
        <f>COUNTIFS(Dyno_Data[Team],TBA_Matches_All[[#This Row],[Team]],Dyno_Data[Match],TBA_Matches_All[[#This Row],[Match_Number]],Dyno_Data[RecordType],"Activities",Dyno_Data[DelDest],"AllyW", Dyno_Data[DelMiss],1)</f>
        <v>0</v>
      </c>
      <c r="BG176" s="60">
        <f>IFERROR(SUM((TBA_Matches_All[[#This Row],[AllyWFlrT]])/(TBA_Matches_All[[#This Row],[AllyWFlrT]]+TBA_Matches_All[[#This Row],[AZflM]])),0)</f>
        <v>0</v>
      </c>
      <c r="BH176">
        <f>COUNTIFS(Dyno_Data[Team],TBA_Matches_All[[#This Row],[Team]],Dyno_Data[Match],TBA_Matches_All[[#This Row],[Match_Number]],Dyno_Data[RecordType],"Activities",Dyno_Data[DelOrig],"OppW", Dyno_Data[DelMiss],"0")</f>
        <v>0</v>
      </c>
      <c r="BI176">
        <f>COUNTIFS(Dyno_Data[Team],TBA_Matches_All[[#This Row],[Team]],Dyno_Data[Match],TBA_Matches_All[[#This Row],[Match_Number]],Dyno_Data[RecordType],"Activities",Dyno_Data[DelOrig],"OppW", Dyno_Data[DelMiss],"1")</f>
        <v>0</v>
      </c>
      <c r="BJ176" s="60">
        <f>IFERROR(SUM((TBA_Matches_All[[#This Row],[OZflrT]])/(TBA_Matches_All[[#This Row],[OZflrT]]+TBA_Matches_All[[#This Row],[OZflrM]])),0)</f>
        <v>0</v>
      </c>
      <c r="BK176">
        <f>COUNTIFS(Dyno_Data[Team],TBA_Matches_All[[#This Row],[Team]],Dyno_Data[Match],TBA_Matches_All[[#This Row],[Match_Number]],Dyno_Data[RecordType],"Activities",Dyno_Data[DelOrig],"Neut", Dyno_Data[DelMiss],"0")</f>
        <v>0</v>
      </c>
      <c r="BL176">
        <f>COUNTIFS(Dyno_Data[Team],TBA_Matches_All[[#This Row],[Team]],Dyno_Data[Match],TBA_Matches_All[[#This Row],[Match_Number]],Dyno_Data[RecordType],"Activities",Dyno_Data[DelOrig],"Neut", Dyno_Data[DelMiss],"1")</f>
        <v>0</v>
      </c>
      <c r="BM176" s="60">
        <f>IFERROR(SUM((TBA_Matches_All[[#This Row],[NZflrT]])/(TBA_Matches_All[[#This Row],[NZflrT]]+TBA_Matches_All[[#This Row],[NZflrM]])),0)</f>
        <v>0</v>
      </c>
      <c r="BN176">
        <f>COUNTIFS(Dyno_Data[Team],TBA_Matches_All[[#This Row],[Team]],Dyno_Data[Match],TBA_Matches_All[[#This Row],[Match_Number]],Dyno_Data[RecordType],"Activities",Dyno_Data[DelOrig],"AllyW", Dyno_Data[DelMiss],"0")</f>
        <v>0</v>
      </c>
      <c r="BO176">
        <f>COUNTIFS(Dyno_Data[Team],TBA_Matches_All[[#This Row],[Team]],Dyno_Data[Match],TBA_Matches_All[[#This Row],[Match_Number]],Dyno_Data[RecordType],"Activities",Dyno_Data[DelOrig],"AllyW", Dyno_Data[DelMiss],"1")</f>
        <v>0</v>
      </c>
      <c r="BP176" s="60">
        <f>IFERROR(SUM((TBA_Matches_All[[#This Row],[AZflrT]])/(TBA_Matches_All[[#This Row],[AZflrT]]+TBA_Matches_All[[#This Row],[AZflrM]])),0)</f>
        <v>0</v>
      </c>
      <c r="BQ176">
        <f>COUNTIFS(Dyno_Data[Team],TBA_Matches_All[[#This Row],[Team]],Dyno_Data[Match],TBA_Matches_All[[#This Row],[Match_Number]],Dyno_Data[RecordType],"Activities",Dyno_Data[DelOrig],"SubW", Dyno_Data[DelMiss],"0")</f>
        <v>0</v>
      </c>
      <c r="BR176">
        <f>COUNTIFS(Dyno_Data[Team],TBA_Matches_All[[#This Row],[Team]],Dyno_Data[Match],TBA_Matches_All[[#This Row],[Match_Number]],Dyno_Data[RecordType],"Activities",Dyno_Data[DelOrig],"SubW", Dyno_Data[DelMiss],"1")</f>
        <v>0</v>
      </c>
      <c r="BS176" s="60">
        <f>IFERROR(SUM((TBA_Matches_All[[#This Row],[SubwT]])/(TBA_Matches_All[[#This Row],[SubwT]]+TBA_Matches_All[[#This Row],[SubwM]])),0)</f>
        <v>0</v>
      </c>
      <c r="BT176">
        <f>COUNTIFS(Dyno_Data[Team],TBA_Matches_All[[#This Row],[Team]],Dyno_Data[Match],TBA_Matches_All[[#This Row],[Match_Number]],Dyno_Data[RecordType],"Activities", Dyno_Data[AcqLoc],"OppWing")</f>
        <v>0</v>
      </c>
      <c r="BU176">
        <f>COUNTIFS(Dyno_Data[Team],TBA_Matches_All[[#This Row],[Team]],Dyno_Data[Match],TBA_Matches_All[[#This Row],[Match_Number]],Dyno_Data[RecordType],"Activities", Dyno_Data[AcqLoc],"Neutral")</f>
        <v>0</v>
      </c>
      <c r="BV176">
        <f>COUNTIFS(Dyno_Data[Team],TBA_Matches_All[[#This Row],[Team]],Dyno_Data[Match],TBA_Matches_All[[#This Row],[Match_Number]],Dyno_Data[RecordType],"Activities", Dyno_Data[AcqLoc],"AllyWing")</f>
        <v>0</v>
      </c>
      <c r="BW176">
        <f>COUNTIFS(Dyno_Data[Team],TBA_Matches_All[[#This Row],[Team]],Dyno_Data[Match],TBA_Matches_All[[#This Row],[Match_Number]],Dyno_Data[RecordType],"Activities", Dyno_Data[AcqLoc],"Source")</f>
        <v>0</v>
      </c>
      <c r="BX176">
        <f>SUMIFS(Dyno_Data[AcqDrp], Dyno_Data[Team],TBA_Matches_All[[#This Row],[Team]],Dyno_Data[Match],TBA_Matches_All[[#This Row],[Match_Number]],Dyno_Data[RecordType],"Activities", Dyno_Data[AcqLoc],"Source")</f>
        <v>0</v>
      </c>
      <c r="BY176">
        <f>SUMIFS(Dyno_Data[OZTime], Dyno_Data[Team],TBA_Matches_All[[#This Row],[Team]],Dyno_Data[Match],TBA_Matches_All[[#This Row],[Match_Number]],Dyno_Data[RecordType],"EndMatch")</f>
        <v>0</v>
      </c>
      <c r="BZ176">
        <f>SUMIFS(Dyno_Data[NZTime], Dyno_Data[Team],TBA_Matches_All[[#This Row],[Team]],Dyno_Data[Match],TBA_Matches_All[[#This Row],[Match_Number]],Dyno_Data[RecordType],"EndMatch")</f>
        <v>0</v>
      </c>
      <c r="CA176">
        <f>SUMIFS(Dyno_Data[AZTime], Dyno_Data[Team],TBA_Matches_All[[#This Row],[Team]],Dyno_Data[Match],TBA_Matches_All[[#This Row],[Match_Number]],Dyno_Data[RecordType],"EndMatch")</f>
        <v>0</v>
      </c>
      <c r="CB176">
        <f>SUMIFS(Dyno_Data[ClimbT], Dyno_Data[Team],TBA_Matches_All[[#This Row],[Team]],Dyno_Data[Match],TBA_Matches_All[[#This Row],[Match_Number]],Dyno_Data[RecordType],"EndMatch")</f>
        <v>0</v>
      </c>
      <c r="CC176" t="str">
        <f>_xlfn.XLOOKUP(SUM(MID(TBA_Matches_All[[#This Row],[Team]],4,5),(TBA_Matches_All[[#This Row],[Match_Number]]/100)),Dyno_EndMatch[teammat],Dyno_EndMatch[StageStat],"_",0,1)</f>
        <v>_</v>
      </c>
      <c r="CD176" t="str">
        <f>_xlfn.XLOOKUP(TBA_Matches_All[[#This Row],[teammat]],Dyno_EndMatch[teammat],Dyno_EndMatch[StageAtt],"_",0,1)</f>
        <v>_</v>
      </c>
      <c r="CE176" t="str">
        <f>_xlfn.XLOOKUP(TBA_Matches_All[[#This Row],[teammat]],Dyno_EndMatch[teammat],Dyno_EndMatch[StageLoc],"_",0,1)</f>
        <v>_</v>
      </c>
      <c r="CF176">
        <f>SUMIFS(Dyno_Data[Harmony], Dyno_Data[Team],TBA_Matches_All[[#This Row],[Team]],Dyno_Data[Match],TBA_Matches_All[[#This Row],[Match_Number]],Dyno_Data[RecordType],"EndMatch", Dyno_Data[StageStat],"On",Dyno_Data[Harmony],"&lt;&gt;9")</f>
        <v>0</v>
      </c>
      <c r="CG176">
        <f>SUMIFS(Dyno_Data[Spotlit], Dyno_Data[Team],TBA_Matches_All[[#This Row],[Team]],Dyno_Data[Match],TBA_Matches_All[[#This Row],[Match_Number]],Dyno_Data[RecordType],"EndMatch", Dyno_Data[StageStat],"On",Dyno_Data[Spotlit],"&lt;&gt;9")</f>
        <v>0</v>
      </c>
      <c r="CH176" t="str">
        <f>_xlfn.XLOOKUP(TBA_Matches_All[[#This Row],[teammat]],Dyno_EndMatch[teammat],Dyno_EndMatch[Strategy],"_",0,1)</f>
        <v>_</v>
      </c>
      <c r="CI176">
        <f>SUMIFS(Dyno_Data[Defense], Dyno_Data[Team],TBA_Matches_All[[#This Row],[Team]],Dyno_Data[Match],TBA_Matches_All[[#This Row],[Match_Number]],Dyno_Data[RecordType],"EndMatch",Dyno_Data[Defense],"&lt;&gt;9")</f>
        <v>0</v>
      </c>
      <c r="CJ176">
        <f>SUMIFS(Dyno_Data[Avoidance], Dyno_Data[Team],TBA_Matches_All[[#This Row],[Team]],Dyno_Data[Match],TBA_Matches_All[[#This Row],[Match_Number]],Dyno_Data[RecordType],"EndMatch",Dyno_Data[Avoidance],"&lt;&gt;9")</f>
        <v>0</v>
      </c>
      <c r="CK176" s="82">
        <f>COUNTIF($H$2:TBA_Matches_All[[#This Row],[Team]],TBA_Matches_All[[#This Row],[Team]])</f>
        <v>4</v>
      </c>
      <c r="CL176" s="111">
        <f>SUM(MID(TBA_Matches_All[[#This Row],[Team]],4,5)+TBA_Matches_All[[#This Row],[Match_Number]]/100)</f>
        <v>6463.29</v>
      </c>
      <c r="CM176">
        <f>SUM((TBA_Matches_All[[#This Row],[Leave]]*2)+(TBA_Matches_All[[#This Row],[AampT]]*2)+(TBA_Matches_All[[#This Row],[AspkrT]]*5)+(TBA_Matches_All[[#This Row],[AtrapT]]*5))</f>
        <v>0</v>
      </c>
      <c r="CN176" s="59">
        <f>IFERROR(SUM(TBA_Matches_All[[#This Row],[AptsT]]/TBA_Matches_All[[#This Row],[AutoPts]]),0)</f>
        <v>0</v>
      </c>
      <c r="CO176" s="59">
        <f>IFERROR(SUM(TBA_Matches_All[[#This Row],[AampT]]+TBA_Matches_All[[#This Row],[AspkrT]]+TBA_Matches_All[[#This Row],[AtrapT]]/TBA_Matches_All[[#This Row],[Aamp]]+TBA_Matches_All[[#This Row],[Aspkr]]+TBA_Matches_All[[#This Row],[AtrapT]]),0)</f>
        <v>0</v>
      </c>
      <c r="CP176" s="59">
        <f>IFERROR(SUM(TBA_Matches_All[[#This Row],[TampT]]/TBA_Matches_All[[#This Row],[Tamp]]),0)</f>
        <v>0</v>
      </c>
      <c r="CQ176" s="59">
        <f>IFERROR(SUM(TBA_Matches_All[[#This Row],[TspkrT]]/TBA_Matches_All[[#This Row],[Tspkr]]),0)</f>
        <v>0</v>
      </c>
      <c r="CR176">
        <f>SUM(TBA_Matches_All[[#This Row],[TspkrPts]]*TBA_Matches_All[[#This Row],[TspkrP]])</f>
        <v>0</v>
      </c>
      <c r="CS176" s="59">
        <f>IFERROR(SUM(TBA_Matches_All[[#This Row],[TtrapT]]/TBA_Matches_All[[#This Row],[Trap]]),0)</f>
        <v>0</v>
      </c>
      <c r="CT176" s="59">
        <f>IFERROR(SUM(TBA_Matches_All[[#This Row],[TotNotesT]]/TBA_Matches_All[[#This Row],[TotNotes]]),0)</f>
        <v>0</v>
      </c>
      <c r="CU176" s="66">
        <f>SUM((TBA_Matches_All[[#This Row],[AampT]]*2)+(TBA_Matches_All[[#This Row],[AspkrT]]*5)+(TBA_Matches_All[[#This Row],[AtrapT]]*5)+(TBA_Matches_All[[#This Row],[TampT]]*1)+(TBA_Matches_All[[#This Row],[TspkrptsC]]))</f>
        <v>0</v>
      </c>
      <c r="CV176" s="59">
        <f>IFERROR(TBA_Matches_All[[#This Row],[noteptsT]]/TBA_Matches_All[[#This Row],[NotePts]],0)</f>
        <v>0</v>
      </c>
      <c r="CW176">
        <f>SUM(IF(TBA_Matches_All[[#This Row],[stageStat]]="On",3,0),IF(TBA_Matches_All[[#This Row],[stageStat]]="Park",1,0),SUMIFS(TBA_Matches_All[[#This Row],[Spotlit]],TBA_Matches_All[[#This Row],[stageStat]],"On"),SUMIFS(TBA_Matches_All[[#This Row],[Harmony]],TBA_Matches_All[[#This Row],[stageStat]],"On"))</f>
        <v>0</v>
      </c>
      <c r="CX176" s="59">
        <f>IFERROR(TBA_Matches_All[[#This Row],[stageptsT]]/TBA_Matches_All[[#This Row],[StagePts]],0)</f>
        <v>0</v>
      </c>
      <c r="CY176">
        <f>SUM((TBA_Matches_All[[#This Row],[AptsT]]+TBA_Matches_All[[#This Row],[TampT]]+TBA_Matches_All[[#This Row],[TspkrptsC]]+(TBA_Matches_All[[#This Row],[TtrapT]]*5)+TBA_Matches_All[[#This Row],[stageptsT]]))</f>
        <v>0</v>
      </c>
      <c r="CZ176" s="59">
        <f>IFERROR(SUM(TBA_Matches_All[[#This Row],[TotptsC]]/TBA_Matches_All[[#This Row],[Score]]),0)</f>
        <v>0</v>
      </c>
      <c r="DA17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76" s="74">
        <f>SUMIFS(TBA_Matches_All[AveTeamTNoteDels],TBA_Matches_All[Match_Number],TBA_Matches_All[[#This Row],[Match_Number]],TBA_Matches_All[Alliance],"&lt;&gt;"&amp;TBA_Matches_All[[#This Row],[Alliance]],TBA_Matches_All[Scouted],"&gt;0")</f>
        <v>0</v>
      </c>
      <c r="DC176" s="74">
        <f>(TBA_Matches_All[[#This Row],[TampT]]+TBA_Matches_All[[#This Row],[TspkrptsC]])-TBA_Matches_All[[#This Row],[AveTeamTNoteDels]]</f>
        <v>0</v>
      </c>
      <c r="DD176" s="74">
        <f>SUMIFS(TBA_Matches_All[AveTeamTNoteDels],TBA_Matches_All[Match_Number],TBA_Matches_All[[#This Row],[Match_Number]],TBA_Matches_All[Alliance],"&lt;&gt;"&amp;TBA_Matches_All[[#This Row],[Alliance]])-TBA_Matches_All[[#This Row],[AveOppTNoteDels]]</f>
        <v>37.195238095238096</v>
      </c>
    </row>
    <row r="177" spans="1:108" x14ac:dyDescent="0.3">
      <c r="A177" t="s">
        <v>1042</v>
      </c>
      <c r="B177" t="s">
        <v>489</v>
      </c>
      <c r="C177" t="s">
        <v>1339</v>
      </c>
      <c r="D177">
        <v>30</v>
      </c>
      <c r="E177" t="s">
        <v>1420</v>
      </c>
      <c r="F177" t="s">
        <v>1423</v>
      </c>
      <c r="G177" t="s">
        <v>1409</v>
      </c>
      <c r="H177" t="s">
        <v>1291</v>
      </c>
      <c r="I177" t="b">
        <v>0</v>
      </c>
      <c r="J177">
        <v>64</v>
      </c>
      <c r="K177">
        <v>0</v>
      </c>
      <c r="L177">
        <v>0</v>
      </c>
      <c r="M177">
        <v>15</v>
      </c>
      <c r="N177">
        <v>0</v>
      </c>
      <c r="O177">
        <v>5</v>
      </c>
      <c r="P177">
        <v>25</v>
      </c>
      <c r="Q177">
        <v>27</v>
      </c>
      <c r="R177">
        <v>4</v>
      </c>
      <c r="S177">
        <v>2</v>
      </c>
      <c r="T177">
        <v>3</v>
      </c>
      <c r="U177">
        <v>10</v>
      </c>
      <c r="V177">
        <v>6</v>
      </c>
      <c r="W177">
        <v>5</v>
      </c>
      <c r="X177">
        <v>16</v>
      </c>
      <c r="Y177">
        <v>20</v>
      </c>
      <c r="Z177">
        <v>0</v>
      </c>
      <c r="AA177">
        <v>0</v>
      </c>
      <c r="AB177">
        <v>14</v>
      </c>
      <c r="AC177">
        <v>45</v>
      </c>
      <c r="AD177">
        <v>1</v>
      </c>
      <c r="AE177">
        <f>IFERROR(6/(COUNTIF(Dyno_EndMatch[Match],TBA_Matches_All[[#This Row],[Match_Number]])),0)</f>
        <v>1</v>
      </c>
      <c r="AF177">
        <f>COUNTIFS(Dyno_Data[Team],TBA_Matches_All[[#This Row],[Team]],Dyno_Data[Match],TBA_Matches_All[[#This Row],[Match_Number]],Dyno_Data[RecordType],"EndMatch",Dyno_Data[HPAmp],"Y")</f>
        <v>0</v>
      </c>
      <c r="AG177">
        <f>SUMIFS(Dyno_Data[Mics], Dyno_Data[Team],TBA_Matches_All[[#This Row],[Team]],Dyno_Data[Match],TBA_Matches_All[[#This Row],[Match_Number]],Dyno_Data[RecordType],"EndMatch",Dyno_Data[HPAmp],"Y")</f>
        <v>0</v>
      </c>
      <c r="AH177">
        <f>SUMIFS(Dyno_Data[Leave], Dyno_Data[Team],TBA_Matches_All[[#This Row],[Team]],Dyno_Data[Match],TBA_Matches_All[[#This Row],[Match_Number]],Dyno_Data[RecordType],"EndAuto")</f>
        <v>1</v>
      </c>
      <c r="AI177">
        <f>COUNTIFS(Dyno_Data[Team],TBA_Matches_All[[#This Row],[Team]],Dyno_Data[Match],TBA_Matches_All[[#This Row],[Match_Number]],Dyno_Data[RecordType],"Activities",Dyno_Data[DelDest],"Amp", Dyno_Data[DelMiss],"0", Dyno_Data[Mode],"Auto")</f>
        <v>0</v>
      </c>
      <c r="AJ177">
        <f>COUNTIFS(Dyno_Data[Team],TBA_Matches_All[[#This Row],[Team]],Dyno_Data[Match],TBA_Matches_All[[#This Row],[Match_Number]],Dyno_Data[RecordType],"Activities",Dyno_Data[DelDest],"Spkr", Dyno_Data[DelMiss],"0", Dyno_Data[Mode],"Auto")</f>
        <v>3</v>
      </c>
      <c r="AK177">
        <f>COUNTIFS(Dyno_Data[Team],TBA_Matches_All[[#This Row],[Team]],Dyno_Data[Match],TBA_Matches_All[[#This Row],[Match_Number]],Dyno_Data[RecordType],"Activities",Dyno_Data[DelDest],"Trap", Dyno_Data[DelMiss],"0", Dyno_Data[Mode],"Auto")</f>
        <v>0</v>
      </c>
      <c r="AL177">
        <f>COUNTIFS(Dyno_Data[Team],TBA_Matches_All[[#This Row],[Team]],Dyno_Data[Match],TBA_Matches_All[[#This Row],[Match_Number]],Dyno_Data[RecordType],"Activities",Dyno_Data[DelDest],"Amp", Dyno_Data[DelMiss],"0", Dyno_Data[Mode],"Teleop")</f>
        <v>0</v>
      </c>
      <c r="AM177">
        <f>COUNTIFS(Dyno_Data[Team],TBA_Matches_All[[#This Row],[Team]],Dyno_Data[Match],TBA_Matches_All[[#This Row],[Match_Number]],Dyno_Data[RecordType],"Activities",Dyno_Data[DelDest],"Spkr", Dyno_Data[DelMiss],"0", Dyno_Data[Mode],"Teleop")</f>
        <v>1</v>
      </c>
      <c r="AN177">
        <f>COUNTIFS(Dyno_Data[Team],TBA_Matches_All[[#This Row],[Team]],Dyno_Data[Match],TBA_Matches_All[[#This Row],[Match_Number]],Dyno_Data[RecordType],"Activities",Dyno_Data[DelDest],"Trap", Dyno_Data[DelMiss],"0", Dyno_Data[Mode],"&lt;&gt;Auto")</f>
        <v>0</v>
      </c>
      <c r="AO177">
        <f>SUM(TBA_Matches_All[[#This Row],[AampT]]+TBA_Matches_All[[#This Row],[AspkrT]]+TBA_Matches_All[[#This Row],[AtrapT]]+TBA_Matches_All[[#This Row],[TampT]]+TBA_Matches_All[[#This Row],[TspkrT]]+TBA_Matches_All[[#This Row],[TtrapT]])</f>
        <v>4</v>
      </c>
      <c r="AP177">
        <f>COUNTIFS(Dyno_Data[Team],TBA_Matches_All[[#This Row],[Team]],Dyno_Data[Match],TBA_Matches_All[[#This Row],[Match_Number]],Dyno_Data[RecordType],"Activities",Dyno_Data[DelDest],"Neut", Dyno_Data[DelMiss],"0")</f>
        <v>0</v>
      </c>
      <c r="AQ177">
        <f>COUNTIFS(Dyno_Data[Team],TBA_Matches_All[[#This Row],[Team]],Dyno_Data[Match],TBA_Matches_All[[#This Row],[Match_Number]],Dyno_Data[RecordType],"Activities",Dyno_Data[DelDest],"AllyW", Dyno_Data[DelMiss],"0")</f>
        <v>0</v>
      </c>
      <c r="AR177" t="str">
        <f>_xlfn.XLOOKUP(SUM(MID(TBA_Matches_All[[#This Row],[Team]],4,5),(TBA_Matches_All[[#This Row],[Match_Number]]/100)),Dyno_EndMatch[teammat],Dyno_EndMatch[RobotSta],"_",0,1)</f>
        <v>SubW</v>
      </c>
      <c r="AS177">
        <f>SUMIFS(Dyno_Data[AcqDis], Dyno_Data[Team],TBA_Matches_All[[#This Row],[Team]],Dyno_Data[Match],TBA_Matches_All[[#This Row],[Match_Number]],Dyno_Data[RecordType],"Activities", Dyno_Data[AcqCenter],1,Dyno_Data[Mode],"Auto")</f>
        <v>0</v>
      </c>
      <c r="AT177">
        <f>SUMIFS(Dyno_Data[AcqDis], Dyno_Data[Team],TBA_Matches_All[[#This Row],[Team]],Dyno_Data[Match],TBA_Matches_All[[#This Row],[Match_Number]],Dyno_Data[RecordType],"Activities", Dyno_Data[AcqCenter],2,Dyno_Data[Mode],"Auto")</f>
        <v>0</v>
      </c>
      <c r="AU177">
        <f>SUMIFS(Dyno_Data[AcqDis], Dyno_Data[Team],TBA_Matches_All[[#This Row],[Team]],Dyno_Data[Match],TBA_Matches_All[[#This Row],[Match_Number]],Dyno_Data[RecordType],"Activities", Dyno_Data[AcqCenter],3,Dyno_Data[Mode],"Auto")</f>
        <v>0</v>
      </c>
      <c r="AV177">
        <f>SUMIFS(Dyno_Data[AcqDis], Dyno_Data[Team],TBA_Matches_All[[#This Row],[Team]],Dyno_Data[Match],TBA_Matches_All[[#This Row],[Match_Number]],Dyno_Data[RecordType],"Activities", Dyno_Data[AcqCenter],4,Dyno_Data[Mode],"Auto")</f>
        <v>0</v>
      </c>
      <c r="AW177">
        <f>SUMIFS(Dyno_Data[AcqDis], Dyno_Data[Team],TBA_Matches_All[[#This Row],[Team]],Dyno_Data[Match],TBA_Matches_All[[#This Row],[Match_Number]],Dyno_Data[RecordType],"Activities", Dyno_Data[AcqCenter],5,Dyno_Data[Mode],"Auto")</f>
        <v>0</v>
      </c>
      <c r="AX177">
        <f>SUMIFS(Dyno_Data[DelMiss], Dyno_Data[Team],TBA_Matches_All[[#This Row],[Team]],Dyno_Data[Match],TBA_Matches_All[[#This Row],[Match_Number]],Dyno_Data[RecordType],"Activities", Dyno_Data[DelDest],"Amp")</f>
        <v>0</v>
      </c>
      <c r="AY177" s="60">
        <f>IFERROR(SUM((TBA_Matches_All[[#This Row],[AampT]]+TBA_Matches_All[[#This Row],[TampT]])/(TBA_Matches_All[[#This Row],[AampT]]+TBA_Matches_All[[#This Row],[TampT]]+TBA_Matches_All[[#This Row],[ampM]])),0)</f>
        <v>0</v>
      </c>
      <c r="AZ177">
        <f>SUMIFS(Dyno_Data[DelMiss], Dyno_Data[Team],TBA_Matches_All[[#This Row],[Team]],Dyno_Data[Match],TBA_Matches_All[[#This Row],[Match_Number]],Dyno_Data[RecordType],"Activities", Dyno_Data[DelDest],"Spkr")</f>
        <v>3</v>
      </c>
      <c r="BA177" s="60">
        <f>IFERROR(SUM((TBA_Matches_All[[#This Row],[AspkrT]]+TBA_Matches_All[[#This Row],[TspkrT]])/(TBA_Matches_All[[#This Row],[AspkrT]]+TBA_Matches_All[[#This Row],[TspkrT]]+TBA_Matches_All[[#This Row],[spkrM]])),0)</f>
        <v>0.5714285714285714</v>
      </c>
      <c r="BB177">
        <f>SUMIFS(Dyno_Data[DelMiss], Dyno_Data[Team],TBA_Matches_All[[#This Row],[Team]],Dyno_Data[Match],TBA_Matches_All[[#This Row],[Match_Number]],Dyno_Data[RecordType],"Activities", Dyno_Data[DelDest],"Trap")</f>
        <v>0</v>
      </c>
      <c r="BC177" s="60">
        <f>IFERROR((TBA_Matches_All[[#This Row],[AtrapT]]+TBA_Matches_All[[#This Row],[TtrapT]])/(TBA_Matches_All[[#This Row],[AtrapT]]+TBA_Matches_All[[#This Row],[TtrapT]]+TBA_Matches_All[[#This Row],[trapM]]),0)</f>
        <v>0</v>
      </c>
      <c r="BD177">
        <f>COUNTIFS(Dyno_Data[Team],TBA_Matches_All[[#This Row],[Team]],Dyno_Data[Match],TBA_Matches_All[[#This Row],[Match_Number]],Dyno_Data[RecordType],"Activities",Dyno_Data[DelDest],"Neut", Dyno_Data[DelMiss],1)</f>
        <v>0</v>
      </c>
      <c r="BE177" s="60">
        <f>IFERROR(SUM((TBA_Matches_All[[#This Row],[NeutFlrT]])/(TBA_Matches_All[[#This Row],[NeutFlrT]]+TBA_Matches_All[[#This Row],[NZflM]])),0)</f>
        <v>0</v>
      </c>
      <c r="BF177">
        <f>COUNTIFS(Dyno_Data[Team],TBA_Matches_All[[#This Row],[Team]],Dyno_Data[Match],TBA_Matches_All[[#This Row],[Match_Number]],Dyno_Data[RecordType],"Activities",Dyno_Data[DelDest],"AllyW", Dyno_Data[DelMiss],1)</f>
        <v>0</v>
      </c>
      <c r="BG177" s="60">
        <f>IFERROR(SUM((TBA_Matches_All[[#This Row],[AllyWFlrT]])/(TBA_Matches_All[[#This Row],[AllyWFlrT]]+TBA_Matches_All[[#This Row],[AZflM]])),0)</f>
        <v>0</v>
      </c>
      <c r="BH177">
        <f>COUNTIFS(Dyno_Data[Team],TBA_Matches_All[[#This Row],[Team]],Dyno_Data[Match],TBA_Matches_All[[#This Row],[Match_Number]],Dyno_Data[RecordType],"Activities",Dyno_Data[DelOrig],"OppW", Dyno_Data[DelMiss],"0")</f>
        <v>0</v>
      </c>
      <c r="BI177">
        <f>COUNTIFS(Dyno_Data[Team],TBA_Matches_All[[#This Row],[Team]],Dyno_Data[Match],TBA_Matches_All[[#This Row],[Match_Number]],Dyno_Data[RecordType],"Activities",Dyno_Data[DelOrig],"OppW", Dyno_Data[DelMiss],"1")</f>
        <v>0</v>
      </c>
      <c r="BJ177" s="60">
        <f>IFERROR(SUM((TBA_Matches_All[[#This Row],[OZflrT]])/(TBA_Matches_All[[#This Row],[OZflrT]]+TBA_Matches_All[[#This Row],[OZflrM]])),0)</f>
        <v>0</v>
      </c>
      <c r="BK177">
        <f>COUNTIFS(Dyno_Data[Team],TBA_Matches_All[[#This Row],[Team]],Dyno_Data[Match],TBA_Matches_All[[#This Row],[Match_Number]],Dyno_Data[RecordType],"Activities",Dyno_Data[DelOrig],"Neut", Dyno_Data[DelMiss],"0")</f>
        <v>0</v>
      </c>
      <c r="BL177">
        <f>COUNTIFS(Dyno_Data[Team],TBA_Matches_All[[#This Row],[Team]],Dyno_Data[Match],TBA_Matches_All[[#This Row],[Match_Number]],Dyno_Data[RecordType],"Activities",Dyno_Data[DelOrig],"Neut", Dyno_Data[DelMiss],"1")</f>
        <v>0</v>
      </c>
      <c r="BM177" s="60">
        <f>IFERROR(SUM((TBA_Matches_All[[#This Row],[NZflrT]])/(TBA_Matches_All[[#This Row],[NZflrT]]+TBA_Matches_All[[#This Row],[NZflrM]])),0)</f>
        <v>0</v>
      </c>
      <c r="BN177">
        <f>COUNTIFS(Dyno_Data[Team],TBA_Matches_All[[#This Row],[Team]],Dyno_Data[Match],TBA_Matches_All[[#This Row],[Match_Number]],Dyno_Data[RecordType],"Activities",Dyno_Data[DelOrig],"AllyW", Dyno_Data[DelMiss],"0")</f>
        <v>0</v>
      </c>
      <c r="BO177">
        <f>COUNTIFS(Dyno_Data[Team],TBA_Matches_All[[#This Row],[Team]],Dyno_Data[Match],TBA_Matches_All[[#This Row],[Match_Number]],Dyno_Data[RecordType],"Activities",Dyno_Data[DelOrig],"AllyW", Dyno_Data[DelMiss],"1")</f>
        <v>1</v>
      </c>
      <c r="BP177" s="60">
        <f>IFERROR(SUM((TBA_Matches_All[[#This Row],[AZflrT]])/(TBA_Matches_All[[#This Row],[AZflrT]]+TBA_Matches_All[[#This Row],[AZflrM]])),0)</f>
        <v>0</v>
      </c>
      <c r="BQ177">
        <f>COUNTIFS(Dyno_Data[Team],TBA_Matches_All[[#This Row],[Team]],Dyno_Data[Match],TBA_Matches_All[[#This Row],[Match_Number]],Dyno_Data[RecordType],"Activities",Dyno_Data[DelOrig],"SubW", Dyno_Data[DelMiss],"0")</f>
        <v>4</v>
      </c>
      <c r="BR177">
        <f>COUNTIFS(Dyno_Data[Team],TBA_Matches_All[[#This Row],[Team]],Dyno_Data[Match],TBA_Matches_All[[#This Row],[Match_Number]],Dyno_Data[RecordType],"Activities",Dyno_Data[DelOrig],"SubW", Dyno_Data[DelMiss],"1")</f>
        <v>2</v>
      </c>
      <c r="BS177" s="60">
        <f>IFERROR(SUM((TBA_Matches_All[[#This Row],[SubwT]])/(TBA_Matches_All[[#This Row],[SubwT]]+TBA_Matches_All[[#This Row],[SubwM]])),0)</f>
        <v>0.66666666666666663</v>
      </c>
      <c r="BT177">
        <f>COUNTIFS(Dyno_Data[Team],TBA_Matches_All[[#This Row],[Team]],Dyno_Data[Match],TBA_Matches_All[[#This Row],[Match_Number]],Dyno_Data[RecordType],"Activities", Dyno_Data[AcqLoc],"OppWing")</f>
        <v>0</v>
      </c>
      <c r="BU177">
        <f>COUNTIFS(Dyno_Data[Team],TBA_Matches_All[[#This Row],[Team]],Dyno_Data[Match],TBA_Matches_All[[#This Row],[Match_Number]],Dyno_Data[RecordType],"Activities", Dyno_Data[AcqLoc],"Neutral")</f>
        <v>0</v>
      </c>
      <c r="BV177">
        <f>COUNTIFS(Dyno_Data[Team],TBA_Matches_All[[#This Row],[Team]],Dyno_Data[Match],TBA_Matches_All[[#This Row],[Match_Number]],Dyno_Data[RecordType],"Activities", Dyno_Data[AcqLoc],"AllyWing")</f>
        <v>0</v>
      </c>
      <c r="BW177">
        <f>COUNTIFS(Dyno_Data[Team],TBA_Matches_All[[#This Row],[Team]],Dyno_Data[Match],TBA_Matches_All[[#This Row],[Match_Number]],Dyno_Data[RecordType],"Activities", Dyno_Data[AcqLoc],"Source")</f>
        <v>0</v>
      </c>
      <c r="BX177">
        <f>SUMIFS(Dyno_Data[AcqDrp], Dyno_Data[Team],TBA_Matches_All[[#This Row],[Team]],Dyno_Data[Match],TBA_Matches_All[[#This Row],[Match_Number]],Dyno_Data[RecordType],"Activities", Dyno_Data[AcqLoc],"Source")</f>
        <v>0</v>
      </c>
      <c r="BY177">
        <f>SUMIFS(Dyno_Data[OZTime], Dyno_Data[Team],TBA_Matches_All[[#This Row],[Team]],Dyno_Data[Match],TBA_Matches_All[[#This Row],[Match_Number]],Dyno_Data[RecordType],"EndMatch")</f>
        <v>49.0173104</v>
      </c>
      <c r="BZ177">
        <f>SUMIFS(Dyno_Data[NZTime], Dyno_Data[Team],TBA_Matches_All[[#This Row],[Team]],Dyno_Data[Match],TBA_Matches_All[[#This Row],[Match_Number]],Dyno_Data[RecordType],"EndMatch")</f>
        <v>15.484428699999999</v>
      </c>
      <c r="CA177">
        <f>SUMIFS(Dyno_Data[AZTime], Dyno_Data[Team],TBA_Matches_All[[#This Row],[Team]],Dyno_Data[Match],TBA_Matches_All[[#This Row],[Match_Number]],Dyno_Data[RecordType],"EndMatch")</f>
        <v>72.575189299999991</v>
      </c>
      <c r="CB177">
        <f>SUMIFS(Dyno_Data[ClimbT], Dyno_Data[Team],TBA_Matches_All[[#This Row],[Team]],Dyno_Data[Match],TBA_Matches_All[[#This Row],[Match_Number]],Dyno_Data[RecordType],"EndMatch")</f>
        <v>0</v>
      </c>
      <c r="CC177" t="str">
        <f>_xlfn.XLOOKUP(SUM(MID(TBA_Matches_All[[#This Row],[Team]],4,5),(TBA_Matches_All[[#This Row],[Match_Number]]/100)),Dyno_EndMatch[teammat],Dyno_EndMatch[StageStat],"_",0,1)</f>
        <v>Else</v>
      </c>
      <c r="CD177" t="str">
        <f>_xlfn.XLOOKUP(TBA_Matches_All[[#This Row],[teammat]],Dyno_EndMatch[teammat],Dyno_EndMatch[StageAtt],"_",0,1)</f>
        <v>0</v>
      </c>
      <c r="CE177" t="str">
        <f>_xlfn.XLOOKUP(TBA_Matches_All[[#This Row],[teammat]],Dyno_EndMatch[teammat],Dyno_EndMatch[StageLoc],"_",0,1)</f>
        <v>A</v>
      </c>
      <c r="CF177">
        <f>SUMIFS(Dyno_Data[Harmony], Dyno_Data[Team],TBA_Matches_All[[#This Row],[Team]],Dyno_Data[Match],TBA_Matches_All[[#This Row],[Match_Number]],Dyno_Data[RecordType],"EndMatch", Dyno_Data[StageStat],"On",Dyno_Data[Harmony],"&lt;&gt;9")</f>
        <v>0</v>
      </c>
      <c r="CG177">
        <f>SUMIFS(Dyno_Data[Spotlit], Dyno_Data[Team],TBA_Matches_All[[#This Row],[Team]],Dyno_Data[Match],TBA_Matches_All[[#This Row],[Match_Number]],Dyno_Data[RecordType],"EndMatch", Dyno_Data[StageStat],"On",Dyno_Data[Spotlit],"&lt;&gt;9")</f>
        <v>0</v>
      </c>
      <c r="CH177" t="str">
        <f>_xlfn.XLOOKUP(TBA_Matches_All[[#This Row],[teammat]],Dyno_EndMatch[teammat],Dyno_EndMatch[Strategy],"_",0,1)</f>
        <v>Hybrid</v>
      </c>
      <c r="CI177">
        <f>SUMIFS(Dyno_Data[Defense], Dyno_Data[Team],TBA_Matches_All[[#This Row],[Team]],Dyno_Data[Match],TBA_Matches_All[[#This Row],[Match_Number]],Dyno_Data[RecordType],"EndMatch",Dyno_Data[Defense],"&lt;&gt;9")</f>
        <v>0</v>
      </c>
      <c r="CJ177">
        <f>SUMIFS(Dyno_Data[Avoidance], Dyno_Data[Team],TBA_Matches_All[[#This Row],[Team]],Dyno_Data[Match],TBA_Matches_All[[#This Row],[Match_Number]],Dyno_Data[RecordType],"EndMatch",Dyno_Data[Avoidance],"&lt;&gt;9")</f>
        <v>3</v>
      </c>
      <c r="CK177" s="82">
        <f>COUNTIF($H$2:TBA_Matches_All[[#This Row],[Team]],TBA_Matches_All[[#This Row],[Team]])</f>
        <v>4</v>
      </c>
      <c r="CL177" s="111">
        <f>SUM(MID(TBA_Matches_All[[#This Row],[Team]],4,5)+TBA_Matches_All[[#This Row],[Match_Number]]/100)</f>
        <v>1493.3</v>
      </c>
      <c r="CM177">
        <f>SUM((TBA_Matches_All[[#This Row],[Leave]]*2)+(TBA_Matches_All[[#This Row],[AampT]]*2)+(TBA_Matches_All[[#This Row],[AspkrT]]*5)+(TBA_Matches_All[[#This Row],[AtrapT]]*5))</f>
        <v>17</v>
      </c>
      <c r="CN177" s="59">
        <f>IFERROR(SUM(TBA_Matches_All[[#This Row],[AptsT]]/TBA_Matches_All[[#This Row],[AutoPts]]),0)</f>
        <v>0.62962962962962965</v>
      </c>
      <c r="CO177" s="59">
        <f>IFERROR(SUM(TBA_Matches_All[[#This Row],[AampT]]+TBA_Matches_All[[#This Row],[AspkrT]]+TBA_Matches_All[[#This Row],[AtrapT]]/TBA_Matches_All[[#This Row],[Aamp]]+TBA_Matches_All[[#This Row],[Aspkr]]+TBA_Matches_All[[#This Row],[AtrapT]]),0)</f>
        <v>0</v>
      </c>
      <c r="CP177" s="59">
        <f>IFERROR(SUM(TBA_Matches_All[[#This Row],[TampT]]/TBA_Matches_All[[#This Row],[Tamp]]),0)</f>
        <v>0</v>
      </c>
      <c r="CQ177" s="59">
        <f>IFERROR(SUM(TBA_Matches_All[[#This Row],[TspkrT]]/TBA_Matches_All[[#This Row],[Tspkr]]),0)</f>
        <v>0.2</v>
      </c>
      <c r="CR177">
        <f>SUM(TBA_Matches_All[[#This Row],[TspkrPts]]*TBA_Matches_All[[#This Row],[TspkrP]])</f>
        <v>3.2</v>
      </c>
      <c r="CS177" s="59">
        <f>IFERROR(SUM(TBA_Matches_All[[#This Row],[TtrapT]]/TBA_Matches_All[[#This Row],[Trap]]),0)</f>
        <v>0</v>
      </c>
      <c r="CT177" s="59">
        <f>IFERROR(SUM(TBA_Matches_All[[#This Row],[TotNotesT]]/TBA_Matches_All[[#This Row],[TotNotes]]),0)</f>
        <v>0.2857142857142857</v>
      </c>
      <c r="CU177" s="66">
        <f>SUM((TBA_Matches_All[[#This Row],[AampT]]*2)+(TBA_Matches_All[[#This Row],[AspkrT]]*5)+(TBA_Matches_All[[#This Row],[AtrapT]]*5)+(TBA_Matches_All[[#This Row],[TampT]]*1)+(TBA_Matches_All[[#This Row],[TspkrptsC]]))</f>
        <v>18.2</v>
      </c>
      <c r="CV177" s="59">
        <f>IFERROR(TBA_Matches_All[[#This Row],[noteptsT]]/TBA_Matches_All[[#This Row],[NotePts]],0)</f>
        <v>0.40444444444444444</v>
      </c>
      <c r="CW177">
        <f>SUM(IF(TBA_Matches_All[[#This Row],[stageStat]]="On",3,0),IF(TBA_Matches_All[[#This Row],[stageStat]]="Park",1,0),SUMIFS(TBA_Matches_All[[#This Row],[Spotlit]],TBA_Matches_All[[#This Row],[stageStat]],"On"),SUMIFS(TBA_Matches_All[[#This Row],[Harmony]],TBA_Matches_All[[#This Row],[stageStat]],"On"))</f>
        <v>0</v>
      </c>
      <c r="CX177" s="59">
        <f>IFERROR(TBA_Matches_All[[#This Row],[stageptsT]]/TBA_Matches_All[[#This Row],[StagePts]],0)</f>
        <v>0</v>
      </c>
      <c r="CY177">
        <f>SUM((TBA_Matches_All[[#This Row],[AptsT]]+TBA_Matches_All[[#This Row],[TampT]]+TBA_Matches_All[[#This Row],[TspkrptsC]]+(TBA_Matches_All[[#This Row],[TtrapT]]*5)+TBA_Matches_All[[#This Row],[stageptsT]]))</f>
        <v>20.2</v>
      </c>
      <c r="CZ177" s="59">
        <f>IFERROR(SUM(TBA_Matches_All[[#This Row],[TotptsC]]/TBA_Matches_All[[#This Row],[Score]]),0)</f>
        <v>0.31562499999999999</v>
      </c>
      <c r="DA17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13.921428571428571</v>
      </c>
      <c r="DB177" s="74">
        <f>SUMIFS(TBA_Matches_All[AveTeamTNoteDels],TBA_Matches_All[Match_Number],TBA_Matches_All[[#This Row],[Match_Number]],TBA_Matches_All[Alliance],"&lt;&gt;"&amp;TBA_Matches_All[[#This Row],[Alliance]],TBA_Matches_All[Scouted],"&gt;0")</f>
        <v>17.159523809523812</v>
      </c>
      <c r="DC177" s="74">
        <f>(TBA_Matches_All[[#This Row],[TampT]]+TBA_Matches_All[[#This Row],[TspkrptsC]])-TBA_Matches_All[[#This Row],[AveTeamTNoteDels]]</f>
        <v>-10.721428571428572</v>
      </c>
      <c r="DD177" s="74">
        <f>SUMIFS(TBA_Matches_All[AveTeamTNoteDels],TBA_Matches_All[Match_Number],TBA_Matches_All[[#This Row],[Match_Number]],TBA_Matches_All[Alliance],"&lt;&gt;"&amp;TBA_Matches_All[[#This Row],[Alliance]])-TBA_Matches_All[[#This Row],[AveOppTNoteDels]]</f>
        <v>0</v>
      </c>
    </row>
    <row r="178" spans="1:108" x14ac:dyDescent="0.3">
      <c r="A178" t="s">
        <v>1042</v>
      </c>
      <c r="B178" t="s">
        <v>489</v>
      </c>
      <c r="C178" t="s">
        <v>1339</v>
      </c>
      <c r="D178">
        <v>30</v>
      </c>
      <c r="E178" t="s">
        <v>1406</v>
      </c>
      <c r="F178" t="s">
        <v>1424</v>
      </c>
      <c r="G178" t="s">
        <v>1409</v>
      </c>
      <c r="H178" t="s">
        <v>1283</v>
      </c>
      <c r="I178" t="b">
        <v>0</v>
      </c>
      <c r="J178">
        <v>30</v>
      </c>
      <c r="K178">
        <v>0</v>
      </c>
      <c r="L178">
        <v>1</v>
      </c>
      <c r="M178">
        <v>16</v>
      </c>
      <c r="N178">
        <v>0</v>
      </c>
      <c r="O178">
        <v>1</v>
      </c>
      <c r="P178">
        <v>5</v>
      </c>
      <c r="Q178">
        <v>9</v>
      </c>
      <c r="R178">
        <v>0</v>
      </c>
      <c r="S178">
        <v>0</v>
      </c>
      <c r="T178">
        <v>3</v>
      </c>
      <c r="U178">
        <v>0</v>
      </c>
      <c r="V178">
        <v>6</v>
      </c>
      <c r="W178">
        <v>3</v>
      </c>
      <c r="X178">
        <v>6</v>
      </c>
      <c r="Y178">
        <v>6</v>
      </c>
      <c r="Z178">
        <v>0</v>
      </c>
      <c r="AA178">
        <v>0</v>
      </c>
      <c r="AB178">
        <v>4</v>
      </c>
      <c r="AC178">
        <v>11</v>
      </c>
      <c r="AD178">
        <v>0</v>
      </c>
      <c r="AE178">
        <f>IFERROR(6/(COUNTIF(Dyno_EndMatch[Match],TBA_Matches_All[[#This Row],[Match_Number]])),0)</f>
        <v>1</v>
      </c>
      <c r="AF178">
        <f>COUNTIFS(Dyno_Data[Team],TBA_Matches_All[[#This Row],[Team]],Dyno_Data[Match],TBA_Matches_All[[#This Row],[Match_Number]],Dyno_Data[RecordType],"EndMatch",Dyno_Data[HPAmp],"Y")</f>
        <v>0</v>
      </c>
      <c r="AG178">
        <f>SUMIFS(Dyno_Data[Mics], Dyno_Data[Team],TBA_Matches_All[[#This Row],[Team]],Dyno_Data[Match],TBA_Matches_All[[#This Row],[Match_Number]],Dyno_Data[RecordType],"EndMatch",Dyno_Data[HPAmp],"Y")</f>
        <v>0</v>
      </c>
      <c r="AH178">
        <f>SUMIFS(Dyno_Data[Leave], Dyno_Data[Team],TBA_Matches_All[[#This Row],[Team]],Dyno_Data[Match],TBA_Matches_All[[#This Row],[Match_Number]],Dyno_Data[RecordType],"EndAuto")</f>
        <v>1</v>
      </c>
      <c r="AI178">
        <f>COUNTIFS(Dyno_Data[Team],TBA_Matches_All[[#This Row],[Team]],Dyno_Data[Match],TBA_Matches_All[[#This Row],[Match_Number]],Dyno_Data[RecordType],"Activities",Dyno_Data[DelDest],"Amp", Dyno_Data[DelMiss],"0", Dyno_Data[Mode],"Auto")</f>
        <v>0</v>
      </c>
      <c r="AJ178">
        <f>COUNTIFS(Dyno_Data[Team],TBA_Matches_All[[#This Row],[Team]],Dyno_Data[Match],TBA_Matches_All[[#This Row],[Match_Number]],Dyno_Data[RecordType],"Activities",Dyno_Data[DelDest],"Spkr", Dyno_Data[DelMiss],"0", Dyno_Data[Mode],"Auto")</f>
        <v>0</v>
      </c>
      <c r="AK178">
        <f>COUNTIFS(Dyno_Data[Team],TBA_Matches_All[[#This Row],[Team]],Dyno_Data[Match],TBA_Matches_All[[#This Row],[Match_Number]],Dyno_Data[RecordType],"Activities",Dyno_Data[DelDest],"Trap", Dyno_Data[DelMiss],"0", Dyno_Data[Mode],"Auto")</f>
        <v>0</v>
      </c>
      <c r="AL178">
        <f>COUNTIFS(Dyno_Data[Team],TBA_Matches_All[[#This Row],[Team]],Dyno_Data[Match],TBA_Matches_All[[#This Row],[Match_Number]],Dyno_Data[RecordType],"Activities",Dyno_Data[DelDest],"Amp", Dyno_Data[DelMiss],"0", Dyno_Data[Mode],"Teleop")</f>
        <v>0</v>
      </c>
      <c r="AM178">
        <f>COUNTIFS(Dyno_Data[Team],TBA_Matches_All[[#This Row],[Team]],Dyno_Data[Match],TBA_Matches_All[[#This Row],[Match_Number]],Dyno_Data[RecordType],"Activities",Dyno_Data[DelDest],"Spkr", Dyno_Data[DelMiss],"0", Dyno_Data[Mode],"Teleop")</f>
        <v>0</v>
      </c>
      <c r="AN178">
        <f>COUNTIFS(Dyno_Data[Team],TBA_Matches_All[[#This Row],[Team]],Dyno_Data[Match],TBA_Matches_All[[#This Row],[Match_Number]],Dyno_Data[RecordType],"Activities",Dyno_Data[DelDest],"Trap", Dyno_Data[DelMiss],"0", Dyno_Data[Mode],"&lt;&gt;Auto")</f>
        <v>0</v>
      </c>
      <c r="AO178">
        <f>SUM(TBA_Matches_All[[#This Row],[AampT]]+TBA_Matches_All[[#This Row],[AspkrT]]+TBA_Matches_All[[#This Row],[AtrapT]]+TBA_Matches_All[[#This Row],[TampT]]+TBA_Matches_All[[#This Row],[TspkrT]]+TBA_Matches_All[[#This Row],[TtrapT]])</f>
        <v>0</v>
      </c>
      <c r="AP178">
        <f>COUNTIFS(Dyno_Data[Team],TBA_Matches_All[[#This Row],[Team]],Dyno_Data[Match],TBA_Matches_All[[#This Row],[Match_Number]],Dyno_Data[RecordType],"Activities",Dyno_Data[DelDest],"Neut", Dyno_Data[DelMiss],"0")</f>
        <v>0</v>
      </c>
      <c r="AQ178">
        <f>COUNTIFS(Dyno_Data[Team],TBA_Matches_All[[#This Row],[Team]],Dyno_Data[Match],TBA_Matches_All[[#This Row],[Match_Number]],Dyno_Data[RecordType],"Activities",Dyno_Data[DelDest],"AllyW", Dyno_Data[DelMiss],"0")</f>
        <v>0</v>
      </c>
      <c r="AR178" t="str">
        <f>_xlfn.XLOOKUP(SUM(MID(TBA_Matches_All[[#This Row],[Team]],4,5),(TBA_Matches_All[[#This Row],[Match_Number]]/100)),Dyno_EndMatch[teammat],Dyno_EndMatch[RobotSta],"_",0,1)</f>
        <v>Amp</v>
      </c>
      <c r="AS178">
        <f>SUMIFS(Dyno_Data[AcqDis], Dyno_Data[Team],TBA_Matches_All[[#This Row],[Team]],Dyno_Data[Match],TBA_Matches_All[[#This Row],[Match_Number]],Dyno_Data[RecordType],"Activities", Dyno_Data[AcqCenter],1,Dyno_Data[Mode],"Auto")</f>
        <v>0</v>
      </c>
      <c r="AT178">
        <f>SUMIFS(Dyno_Data[AcqDis], Dyno_Data[Team],TBA_Matches_All[[#This Row],[Team]],Dyno_Data[Match],TBA_Matches_All[[#This Row],[Match_Number]],Dyno_Data[RecordType],"Activities", Dyno_Data[AcqCenter],2,Dyno_Data[Mode],"Auto")</f>
        <v>0</v>
      </c>
      <c r="AU178">
        <f>SUMIFS(Dyno_Data[AcqDis], Dyno_Data[Team],TBA_Matches_All[[#This Row],[Team]],Dyno_Data[Match],TBA_Matches_All[[#This Row],[Match_Number]],Dyno_Data[RecordType],"Activities", Dyno_Data[AcqCenter],3,Dyno_Data[Mode],"Auto")</f>
        <v>0</v>
      </c>
      <c r="AV178">
        <f>SUMIFS(Dyno_Data[AcqDis], Dyno_Data[Team],TBA_Matches_All[[#This Row],[Team]],Dyno_Data[Match],TBA_Matches_All[[#This Row],[Match_Number]],Dyno_Data[RecordType],"Activities", Dyno_Data[AcqCenter],4,Dyno_Data[Mode],"Auto")</f>
        <v>0</v>
      </c>
      <c r="AW178">
        <f>SUMIFS(Dyno_Data[AcqDis], Dyno_Data[Team],TBA_Matches_All[[#This Row],[Team]],Dyno_Data[Match],TBA_Matches_All[[#This Row],[Match_Number]],Dyno_Data[RecordType],"Activities", Dyno_Data[AcqCenter],5,Dyno_Data[Mode],"Auto")</f>
        <v>0</v>
      </c>
      <c r="AX178">
        <f>SUMIFS(Dyno_Data[DelMiss], Dyno_Data[Team],TBA_Matches_All[[#This Row],[Team]],Dyno_Data[Match],TBA_Matches_All[[#This Row],[Match_Number]],Dyno_Data[RecordType],"Activities", Dyno_Data[DelDest],"Amp")</f>
        <v>0</v>
      </c>
      <c r="AY178" s="60">
        <f>IFERROR(SUM((TBA_Matches_All[[#This Row],[AampT]]+TBA_Matches_All[[#This Row],[TampT]])/(TBA_Matches_All[[#This Row],[AampT]]+TBA_Matches_All[[#This Row],[TampT]]+TBA_Matches_All[[#This Row],[ampM]])),0)</f>
        <v>0</v>
      </c>
      <c r="AZ178">
        <f>SUMIFS(Dyno_Data[DelMiss], Dyno_Data[Team],TBA_Matches_All[[#This Row],[Team]],Dyno_Data[Match],TBA_Matches_All[[#This Row],[Match_Number]],Dyno_Data[RecordType],"Activities", Dyno_Data[DelDest],"Spkr")</f>
        <v>1</v>
      </c>
      <c r="BA178" s="60">
        <f>IFERROR(SUM((TBA_Matches_All[[#This Row],[AspkrT]]+TBA_Matches_All[[#This Row],[TspkrT]])/(TBA_Matches_All[[#This Row],[AspkrT]]+TBA_Matches_All[[#This Row],[TspkrT]]+TBA_Matches_All[[#This Row],[spkrM]])),0)</f>
        <v>0</v>
      </c>
      <c r="BB178">
        <f>SUMIFS(Dyno_Data[DelMiss], Dyno_Data[Team],TBA_Matches_All[[#This Row],[Team]],Dyno_Data[Match],TBA_Matches_All[[#This Row],[Match_Number]],Dyno_Data[RecordType],"Activities", Dyno_Data[DelDest],"Trap")</f>
        <v>0</v>
      </c>
      <c r="BC178" s="60">
        <f>IFERROR((TBA_Matches_All[[#This Row],[AtrapT]]+TBA_Matches_All[[#This Row],[TtrapT]])/(TBA_Matches_All[[#This Row],[AtrapT]]+TBA_Matches_All[[#This Row],[TtrapT]]+TBA_Matches_All[[#This Row],[trapM]]),0)</f>
        <v>0</v>
      </c>
      <c r="BD178">
        <f>COUNTIFS(Dyno_Data[Team],TBA_Matches_All[[#This Row],[Team]],Dyno_Data[Match],TBA_Matches_All[[#This Row],[Match_Number]],Dyno_Data[RecordType],"Activities",Dyno_Data[DelDest],"Neut", Dyno_Data[DelMiss],1)</f>
        <v>0</v>
      </c>
      <c r="BE178" s="60">
        <f>IFERROR(SUM((TBA_Matches_All[[#This Row],[NeutFlrT]])/(TBA_Matches_All[[#This Row],[NeutFlrT]]+TBA_Matches_All[[#This Row],[NZflM]])),0)</f>
        <v>0</v>
      </c>
      <c r="BF178">
        <f>COUNTIFS(Dyno_Data[Team],TBA_Matches_All[[#This Row],[Team]],Dyno_Data[Match],TBA_Matches_All[[#This Row],[Match_Number]],Dyno_Data[RecordType],"Activities",Dyno_Data[DelDest],"AllyW", Dyno_Data[DelMiss],1)</f>
        <v>0</v>
      </c>
      <c r="BG178" s="60">
        <f>IFERROR(SUM((TBA_Matches_All[[#This Row],[AllyWFlrT]])/(TBA_Matches_All[[#This Row],[AllyWFlrT]]+TBA_Matches_All[[#This Row],[AZflM]])),0)</f>
        <v>0</v>
      </c>
      <c r="BH178">
        <f>COUNTIFS(Dyno_Data[Team],TBA_Matches_All[[#This Row],[Team]],Dyno_Data[Match],TBA_Matches_All[[#This Row],[Match_Number]],Dyno_Data[RecordType],"Activities",Dyno_Data[DelOrig],"OppW", Dyno_Data[DelMiss],"0")</f>
        <v>0</v>
      </c>
      <c r="BI178">
        <f>COUNTIFS(Dyno_Data[Team],TBA_Matches_All[[#This Row],[Team]],Dyno_Data[Match],TBA_Matches_All[[#This Row],[Match_Number]],Dyno_Data[RecordType],"Activities",Dyno_Data[DelOrig],"OppW", Dyno_Data[DelMiss],"1")</f>
        <v>0</v>
      </c>
      <c r="BJ178" s="60">
        <f>IFERROR(SUM((TBA_Matches_All[[#This Row],[OZflrT]])/(TBA_Matches_All[[#This Row],[OZflrT]]+TBA_Matches_All[[#This Row],[OZflrM]])),0)</f>
        <v>0</v>
      </c>
      <c r="BK178">
        <f>COUNTIFS(Dyno_Data[Team],TBA_Matches_All[[#This Row],[Team]],Dyno_Data[Match],TBA_Matches_All[[#This Row],[Match_Number]],Dyno_Data[RecordType],"Activities",Dyno_Data[DelOrig],"Neut", Dyno_Data[DelMiss],"0")</f>
        <v>0</v>
      </c>
      <c r="BL178">
        <f>COUNTIFS(Dyno_Data[Team],TBA_Matches_All[[#This Row],[Team]],Dyno_Data[Match],TBA_Matches_All[[#This Row],[Match_Number]],Dyno_Data[RecordType],"Activities",Dyno_Data[DelOrig],"Neut", Dyno_Data[DelMiss],"1")</f>
        <v>0</v>
      </c>
      <c r="BM178" s="60">
        <f>IFERROR(SUM((TBA_Matches_All[[#This Row],[NZflrT]])/(TBA_Matches_All[[#This Row],[NZflrT]]+TBA_Matches_All[[#This Row],[NZflrM]])),0)</f>
        <v>0</v>
      </c>
      <c r="BN178">
        <f>COUNTIFS(Dyno_Data[Team],TBA_Matches_All[[#This Row],[Team]],Dyno_Data[Match],TBA_Matches_All[[#This Row],[Match_Number]],Dyno_Data[RecordType],"Activities",Dyno_Data[DelOrig],"AllyW", Dyno_Data[DelMiss],"0")</f>
        <v>0</v>
      </c>
      <c r="BO178">
        <f>COUNTIFS(Dyno_Data[Team],TBA_Matches_All[[#This Row],[Team]],Dyno_Data[Match],TBA_Matches_All[[#This Row],[Match_Number]],Dyno_Data[RecordType],"Activities",Dyno_Data[DelOrig],"AllyW", Dyno_Data[DelMiss],"1")</f>
        <v>1</v>
      </c>
      <c r="BP178" s="60">
        <f>IFERROR(SUM((TBA_Matches_All[[#This Row],[AZflrT]])/(TBA_Matches_All[[#This Row],[AZflrT]]+TBA_Matches_All[[#This Row],[AZflrM]])),0)</f>
        <v>0</v>
      </c>
      <c r="BQ178">
        <f>COUNTIFS(Dyno_Data[Team],TBA_Matches_All[[#This Row],[Team]],Dyno_Data[Match],TBA_Matches_All[[#This Row],[Match_Number]],Dyno_Data[RecordType],"Activities",Dyno_Data[DelOrig],"SubW", Dyno_Data[DelMiss],"0")</f>
        <v>0</v>
      </c>
      <c r="BR178">
        <f>COUNTIFS(Dyno_Data[Team],TBA_Matches_All[[#This Row],[Team]],Dyno_Data[Match],TBA_Matches_All[[#This Row],[Match_Number]],Dyno_Data[RecordType],"Activities",Dyno_Data[DelOrig],"SubW", Dyno_Data[DelMiss],"1")</f>
        <v>0</v>
      </c>
      <c r="BS178" s="60">
        <f>IFERROR(SUM((TBA_Matches_All[[#This Row],[SubwT]])/(TBA_Matches_All[[#This Row],[SubwT]]+TBA_Matches_All[[#This Row],[SubwM]])),0)</f>
        <v>0</v>
      </c>
      <c r="BT178">
        <f>COUNTIFS(Dyno_Data[Team],TBA_Matches_All[[#This Row],[Team]],Dyno_Data[Match],TBA_Matches_All[[#This Row],[Match_Number]],Dyno_Data[RecordType],"Activities", Dyno_Data[AcqLoc],"OppWing")</f>
        <v>0</v>
      </c>
      <c r="BU178">
        <f>COUNTIFS(Dyno_Data[Team],TBA_Matches_All[[#This Row],[Team]],Dyno_Data[Match],TBA_Matches_All[[#This Row],[Match_Number]],Dyno_Data[RecordType],"Activities", Dyno_Data[AcqLoc],"Neutral")</f>
        <v>0</v>
      </c>
      <c r="BV178">
        <f>COUNTIFS(Dyno_Data[Team],TBA_Matches_All[[#This Row],[Team]],Dyno_Data[Match],TBA_Matches_All[[#This Row],[Match_Number]],Dyno_Data[RecordType],"Activities", Dyno_Data[AcqLoc],"AllyWing")</f>
        <v>0</v>
      </c>
      <c r="BW178">
        <f>COUNTIFS(Dyno_Data[Team],TBA_Matches_All[[#This Row],[Team]],Dyno_Data[Match],TBA_Matches_All[[#This Row],[Match_Number]],Dyno_Data[RecordType],"Activities", Dyno_Data[AcqLoc],"Source")</f>
        <v>0</v>
      </c>
      <c r="BX178">
        <f>SUMIFS(Dyno_Data[AcqDrp], Dyno_Data[Team],TBA_Matches_All[[#This Row],[Team]],Dyno_Data[Match],TBA_Matches_All[[#This Row],[Match_Number]],Dyno_Data[RecordType],"Activities", Dyno_Data[AcqLoc],"Source")</f>
        <v>0</v>
      </c>
      <c r="BY178">
        <f>SUMIFS(Dyno_Data[OZTime], Dyno_Data[Team],TBA_Matches_All[[#This Row],[Team]],Dyno_Data[Match],TBA_Matches_All[[#This Row],[Match_Number]],Dyno_Data[RecordType],"EndMatch")</f>
        <v>61.272961599999995</v>
      </c>
      <c r="BZ178">
        <f>SUMIFS(Dyno_Data[NZTime], Dyno_Data[Team],TBA_Matches_All[[#This Row],[Team]],Dyno_Data[Match],TBA_Matches_All[[#This Row],[Match_Number]],Dyno_Data[RecordType],"EndMatch")</f>
        <v>14.5196206</v>
      </c>
      <c r="CA178">
        <f>SUMIFS(Dyno_Data[AZTime], Dyno_Data[Team],TBA_Matches_All[[#This Row],[Team]],Dyno_Data[Match],TBA_Matches_All[[#This Row],[Match_Number]],Dyno_Data[RecordType],"EndMatch")</f>
        <v>59.782114099999994</v>
      </c>
      <c r="CB178">
        <f>SUMIFS(Dyno_Data[ClimbT], Dyno_Data[Team],TBA_Matches_All[[#This Row],[Team]],Dyno_Data[Match],TBA_Matches_All[[#This Row],[Match_Number]],Dyno_Data[RecordType],"EndMatch")</f>
        <v>0</v>
      </c>
      <c r="CC178" t="str">
        <f>_xlfn.XLOOKUP(SUM(MID(TBA_Matches_All[[#This Row],[Team]],4,5),(TBA_Matches_All[[#This Row],[Match_Number]]/100)),Dyno_EndMatch[teammat],Dyno_EndMatch[StageStat],"_",0,1)</f>
        <v>Else</v>
      </c>
      <c r="CD178" t="str">
        <f>_xlfn.XLOOKUP(TBA_Matches_All[[#This Row],[teammat]],Dyno_EndMatch[teammat],Dyno_EndMatch[StageAtt],"_",0,1)</f>
        <v>0</v>
      </c>
      <c r="CE178" t="str">
        <f>_xlfn.XLOOKUP(TBA_Matches_All[[#This Row],[teammat]],Dyno_EndMatch[teammat],Dyno_EndMatch[StageLoc],"_",0,1)</f>
        <v>A</v>
      </c>
      <c r="CF178">
        <f>SUMIFS(Dyno_Data[Harmony], Dyno_Data[Team],TBA_Matches_All[[#This Row],[Team]],Dyno_Data[Match],TBA_Matches_All[[#This Row],[Match_Number]],Dyno_Data[RecordType],"EndMatch", Dyno_Data[StageStat],"On",Dyno_Data[Harmony],"&lt;&gt;9")</f>
        <v>0</v>
      </c>
      <c r="CG178">
        <f>SUMIFS(Dyno_Data[Spotlit], Dyno_Data[Team],TBA_Matches_All[[#This Row],[Team]],Dyno_Data[Match],TBA_Matches_All[[#This Row],[Match_Number]],Dyno_Data[RecordType],"EndMatch", Dyno_Data[StageStat],"On",Dyno_Data[Spotlit],"&lt;&gt;9")</f>
        <v>0</v>
      </c>
      <c r="CH178" t="str">
        <f>_xlfn.XLOOKUP(TBA_Matches_All[[#This Row],[teammat]],Dyno_EndMatch[teammat],Dyno_EndMatch[Strategy],"_",0,1)</f>
        <v>Hybrid</v>
      </c>
      <c r="CI178">
        <f>SUMIFS(Dyno_Data[Defense], Dyno_Data[Team],TBA_Matches_All[[#This Row],[Team]],Dyno_Data[Match],TBA_Matches_All[[#This Row],[Match_Number]],Dyno_Data[RecordType],"EndMatch",Dyno_Data[Defense],"&lt;&gt;9")</f>
        <v>0</v>
      </c>
      <c r="CJ178">
        <f>SUMIFS(Dyno_Data[Avoidance], Dyno_Data[Team],TBA_Matches_All[[#This Row],[Team]],Dyno_Data[Match],TBA_Matches_All[[#This Row],[Match_Number]],Dyno_Data[RecordType],"EndMatch",Dyno_Data[Avoidance],"&lt;&gt;9")</f>
        <v>0</v>
      </c>
      <c r="CK178" s="82">
        <f>COUNTIF($H$2:TBA_Matches_All[[#This Row],[Team]],TBA_Matches_All[[#This Row],[Team]])</f>
        <v>4</v>
      </c>
      <c r="CL178" s="111">
        <f>SUM(MID(TBA_Matches_All[[#This Row],[Team]],4,5)+TBA_Matches_All[[#This Row],[Match_Number]]/100)</f>
        <v>1601.3</v>
      </c>
      <c r="CM178">
        <f>SUM((TBA_Matches_All[[#This Row],[Leave]]*2)+(TBA_Matches_All[[#This Row],[AampT]]*2)+(TBA_Matches_All[[#This Row],[AspkrT]]*5)+(TBA_Matches_All[[#This Row],[AtrapT]]*5))</f>
        <v>2</v>
      </c>
      <c r="CN178" s="59">
        <f>IFERROR(SUM(TBA_Matches_All[[#This Row],[AptsT]]/TBA_Matches_All[[#This Row],[AutoPts]]),0)</f>
        <v>0.22222222222222221</v>
      </c>
      <c r="CO178" s="59">
        <f>IFERROR(SUM(TBA_Matches_All[[#This Row],[AampT]]+TBA_Matches_All[[#This Row],[AspkrT]]+TBA_Matches_All[[#This Row],[AtrapT]]/TBA_Matches_All[[#This Row],[Aamp]]+TBA_Matches_All[[#This Row],[Aspkr]]+TBA_Matches_All[[#This Row],[AtrapT]]),0)</f>
        <v>0</v>
      </c>
      <c r="CP178" s="59">
        <f>IFERROR(SUM(TBA_Matches_All[[#This Row],[TampT]]/TBA_Matches_All[[#This Row],[Tamp]]),0)</f>
        <v>0</v>
      </c>
      <c r="CQ178" s="59">
        <f>IFERROR(SUM(TBA_Matches_All[[#This Row],[TspkrT]]/TBA_Matches_All[[#This Row],[Tspkr]]),0)</f>
        <v>0</v>
      </c>
      <c r="CR178">
        <f>SUM(TBA_Matches_All[[#This Row],[TspkrPts]]*TBA_Matches_All[[#This Row],[TspkrP]])</f>
        <v>0</v>
      </c>
      <c r="CS178" s="59">
        <f>IFERROR(SUM(TBA_Matches_All[[#This Row],[TtrapT]]/TBA_Matches_All[[#This Row],[Trap]]),0)</f>
        <v>0</v>
      </c>
      <c r="CT178" s="59">
        <f>IFERROR(SUM(TBA_Matches_All[[#This Row],[TotNotesT]]/TBA_Matches_All[[#This Row],[TotNotes]]),0)</f>
        <v>0</v>
      </c>
      <c r="CU178" s="66">
        <f>SUM((TBA_Matches_All[[#This Row],[AampT]]*2)+(TBA_Matches_All[[#This Row],[AspkrT]]*5)+(TBA_Matches_All[[#This Row],[AtrapT]]*5)+(TBA_Matches_All[[#This Row],[TampT]]*1)+(TBA_Matches_All[[#This Row],[TspkrptsC]]))</f>
        <v>0</v>
      </c>
      <c r="CV178" s="59">
        <f>IFERROR(TBA_Matches_All[[#This Row],[noteptsT]]/TBA_Matches_All[[#This Row],[NotePts]],0)</f>
        <v>0</v>
      </c>
      <c r="CW178">
        <f>SUM(IF(TBA_Matches_All[[#This Row],[stageStat]]="On",3,0),IF(TBA_Matches_All[[#This Row],[stageStat]]="Park",1,0),SUMIFS(TBA_Matches_All[[#This Row],[Spotlit]],TBA_Matches_All[[#This Row],[stageStat]],"On"),SUMIFS(TBA_Matches_All[[#This Row],[Harmony]],TBA_Matches_All[[#This Row],[stageStat]],"On"))</f>
        <v>0</v>
      </c>
      <c r="CX178" s="59">
        <f>IFERROR(TBA_Matches_All[[#This Row],[stageptsT]]/TBA_Matches_All[[#This Row],[StagePts]],0)</f>
        <v>0</v>
      </c>
      <c r="CY178">
        <f>SUM((TBA_Matches_All[[#This Row],[AptsT]]+TBA_Matches_All[[#This Row],[TampT]]+TBA_Matches_All[[#This Row],[TspkrptsC]]+(TBA_Matches_All[[#This Row],[TtrapT]]*5)+TBA_Matches_All[[#This Row],[stageptsT]]))</f>
        <v>2</v>
      </c>
      <c r="CZ178" s="59">
        <f>IFERROR(SUM(TBA_Matches_All[[#This Row],[TotptsC]]/TBA_Matches_All[[#This Row],[Score]]),0)</f>
        <v>6.6666666666666666E-2</v>
      </c>
      <c r="DA17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0.6</v>
      </c>
      <c r="DB178" s="74">
        <f>SUMIFS(TBA_Matches_All[AveTeamTNoteDels],TBA_Matches_All[Match_Number],TBA_Matches_All[[#This Row],[Match_Number]],TBA_Matches_All[Alliance],"&lt;&gt;"&amp;TBA_Matches_All[[#This Row],[Alliance]],TBA_Matches_All[Scouted],"&gt;0")</f>
        <v>29.497069597069597</v>
      </c>
      <c r="DC178" s="74">
        <f>(TBA_Matches_All[[#This Row],[TampT]]+TBA_Matches_All[[#This Row],[TspkrptsC]])-TBA_Matches_All[[#This Row],[AveTeamTNoteDels]]</f>
        <v>-0.6</v>
      </c>
      <c r="DD178" s="74">
        <f>SUMIFS(TBA_Matches_All[AveTeamTNoteDels],TBA_Matches_All[Match_Number],TBA_Matches_All[[#This Row],[Match_Number]],TBA_Matches_All[Alliance],"&lt;&gt;"&amp;TBA_Matches_All[[#This Row],[Alliance]])-TBA_Matches_All[[#This Row],[AveOppTNoteDels]]</f>
        <v>0</v>
      </c>
    </row>
    <row r="179" spans="1:108" x14ac:dyDescent="0.3">
      <c r="A179" t="s">
        <v>1042</v>
      </c>
      <c r="B179" t="s">
        <v>489</v>
      </c>
      <c r="C179" t="s">
        <v>1339</v>
      </c>
      <c r="D179">
        <v>30</v>
      </c>
      <c r="E179" t="s">
        <v>1420</v>
      </c>
      <c r="F179" t="s">
        <v>1421</v>
      </c>
      <c r="G179" t="s">
        <v>164</v>
      </c>
      <c r="H179" t="s">
        <v>1315</v>
      </c>
      <c r="I179" t="b">
        <v>0</v>
      </c>
      <c r="J179">
        <v>64</v>
      </c>
      <c r="K179">
        <v>0</v>
      </c>
      <c r="L179">
        <v>0</v>
      </c>
      <c r="M179">
        <v>15</v>
      </c>
      <c r="N179">
        <v>0</v>
      </c>
      <c r="O179">
        <v>5</v>
      </c>
      <c r="P179">
        <v>25</v>
      </c>
      <c r="Q179">
        <v>27</v>
      </c>
      <c r="R179">
        <v>4</v>
      </c>
      <c r="S179">
        <v>2</v>
      </c>
      <c r="T179">
        <v>3</v>
      </c>
      <c r="U179">
        <v>10</v>
      </c>
      <c r="V179">
        <v>6</v>
      </c>
      <c r="W179">
        <v>5</v>
      </c>
      <c r="X179">
        <v>16</v>
      </c>
      <c r="Y179">
        <v>20</v>
      </c>
      <c r="Z179">
        <v>0</v>
      </c>
      <c r="AA179">
        <v>0</v>
      </c>
      <c r="AB179">
        <v>14</v>
      </c>
      <c r="AC179">
        <v>45</v>
      </c>
      <c r="AD179">
        <v>1</v>
      </c>
      <c r="AE179">
        <f>IFERROR(6/(COUNTIF(Dyno_EndMatch[Match],TBA_Matches_All[[#This Row],[Match_Number]])),0)</f>
        <v>1</v>
      </c>
      <c r="AF179">
        <f>COUNTIFS(Dyno_Data[Team],TBA_Matches_All[[#This Row],[Team]],Dyno_Data[Match],TBA_Matches_All[[#This Row],[Match_Number]],Dyno_Data[RecordType],"EndMatch",Dyno_Data[HPAmp],"Y")</f>
        <v>0</v>
      </c>
      <c r="AG179">
        <f>SUMIFS(Dyno_Data[Mics], Dyno_Data[Team],TBA_Matches_All[[#This Row],[Team]],Dyno_Data[Match],TBA_Matches_All[[#This Row],[Match_Number]],Dyno_Data[RecordType],"EndMatch",Dyno_Data[HPAmp],"Y")</f>
        <v>0</v>
      </c>
      <c r="AH179">
        <f>SUMIFS(Dyno_Data[Leave], Dyno_Data[Team],TBA_Matches_All[[#This Row],[Team]],Dyno_Data[Match],TBA_Matches_All[[#This Row],[Match_Number]],Dyno_Data[RecordType],"EndAuto")</f>
        <v>0</v>
      </c>
      <c r="AI179">
        <f>COUNTIFS(Dyno_Data[Team],TBA_Matches_All[[#This Row],[Team]],Dyno_Data[Match],TBA_Matches_All[[#This Row],[Match_Number]],Dyno_Data[RecordType],"Activities",Dyno_Data[DelDest],"Amp", Dyno_Data[DelMiss],"0", Dyno_Data[Mode],"Auto")</f>
        <v>0</v>
      </c>
      <c r="AJ179">
        <f>COUNTIFS(Dyno_Data[Team],TBA_Matches_All[[#This Row],[Team]],Dyno_Data[Match],TBA_Matches_All[[#This Row],[Match_Number]],Dyno_Data[RecordType],"Activities",Dyno_Data[DelDest],"Spkr", Dyno_Data[DelMiss],"0", Dyno_Data[Mode],"Auto")</f>
        <v>1</v>
      </c>
      <c r="AK179">
        <f>COUNTIFS(Dyno_Data[Team],TBA_Matches_All[[#This Row],[Team]],Dyno_Data[Match],TBA_Matches_All[[#This Row],[Match_Number]],Dyno_Data[RecordType],"Activities",Dyno_Data[DelDest],"Trap", Dyno_Data[DelMiss],"0", Dyno_Data[Mode],"Auto")</f>
        <v>0</v>
      </c>
      <c r="AL179">
        <f>COUNTIFS(Dyno_Data[Team],TBA_Matches_All[[#This Row],[Team]],Dyno_Data[Match],TBA_Matches_All[[#This Row],[Match_Number]],Dyno_Data[RecordType],"Activities",Dyno_Data[DelDest],"Amp", Dyno_Data[DelMiss],"0", Dyno_Data[Mode],"Teleop")</f>
        <v>3</v>
      </c>
      <c r="AM179">
        <f>COUNTIFS(Dyno_Data[Team],TBA_Matches_All[[#This Row],[Team]],Dyno_Data[Match],TBA_Matches_All[[#This Row],[Match_Number]],Dyno_Data[RecordType],"Activities",Dyno_Data[DelDest],"Spkr", Dyno_Data[DelMiss],"0", Dyno_Data[Mode],"Teleop")</f>
        <v>0</v>
      </c>
      <c r="AN179">
        <f>COUNTIFS(Dyno_Data[Team],TBA_Matches_All[[#This Row],[Team]],Dyno_Data[Match],TBA_Matches_All[[#This Row],[Match_Number]],Dyno_Data[RecordType],"Activities",Dyno_Data[DelDest],"Trap", Dyno_Data[DelMiss],"0", Dyno_Data[Mode],"&lt;&gt;Auto")</f>
        <v>0</v>
      </c>
      <c r="AO179">
        <f>SUM(TBA_Matches_All[[#This Row],[AampT]]+TBA_Matches_All[[#This Row],[AspkrT]]+TBA_Matches_All[[#This Row],[AtrapT]]+TBA_Matches_All[[#This Row],[TampT]]+TBA_Matches_All[[#This Row],[TspkrT]]+TBA_Matches_All[[#This Row],[TtrapT]])</f>
        <v>4</v>
      </c>
      <c r="AP179">
        <f>COUNTIFS(Dyno_Data[Team],TBA_Matches_All[[#This Row],[Team]],Dyno_Data[Match],TBA_Matches_All[[#This Row],[Match_Number]],Dyno_Data[RecordType],"Activities",Dyno_Data[DelDest],"Neut", Dyno_Data[DelMiss],"0")</f>
        <v>0</v>
      </c>
      <c r="AQ179">
        <f>COUNTIFS(Dyno_Data[Team],TBA_Matches_All[[#This Row],[Team]],Dyno_Data[Match],TBA_Matches_All[[#This Row],[Match_Number]],Dyno_Data[RecordType],"Activities",Dyno_Data[DelDest],"AllyW", Dyno_Data[DelMiss],"0")</f>
        <v>0</v>
      </c>
      <c r="AR179" t="str">
        <f>_xlfn.XLOOKUP(SUM(MID(TBA_Matches_All[[#This Row],[Team]],4,5),(TBA_Matches_All[[#This Row],[Match_Number]]/100)),Dyno_EndMatch[teammat],Dyno_EndMatch[RobotSta],"_",0,1)</f>
        <v>Podm</v>
      </c>
      <c r="AS179">
        <f>SUMIFS(Dyno_Data[AcqDis], Dyno_Data[Team],TBA_Matches_All[[#This Row],[Team]],Dyno_Data[Match],TBA_Matches_All[[#This Row],[Match_Number]],Dyno_Data[RecordType],"Activities", Dyno_Data[AcqCenter],1,Dyno_Data[Mode],"Auto")</f>
        <v>0</v>
      </c>
      <c r="AT179">
        <f>SUMIFS(Dyno_Data[AcqDis], Dyno_Data[Team],TBA_Matches_All[[#This Row],[Team]],Dyno_Data[Match],TBA_Matches_All[[#This Row],[Match_Number]],Dyno_Data[RecordType],"Activities", Dyno_Data[AcqCenter],2,Dyno_Data[Mode],"Auto")</f>
        <v>0</v>
      </c>
      <c r="AU179">
        <f>SUMIFS(Dyno_Data[AcqDis], Dyno_Data[Team],TBA_Matches_All[[#This Row],[Team]],Dyno_Data[Match],TBA_Matches_All[[#This Row],[Match_Number]],Dyno_Data[RecordType],"Activities", Dyno_Data[AcqCenter],3,Dyno_Data[Mode],"Auto")</f>
        <v>0</v>
      </c>
      <c r="AV179">
        <f>SUMIFS(Dyno_Data[AcqDis], Dyno_Data[Team],TBA_Matches_All[[#This Row],[Team]],Dyno_Data[Match],TBA_Matches_All[[#This Row],[Match_Number]],Dyno_Data[RecordType],"Activities", Dyno_Data[AcqCenter],4,Dyno_Data[Mode],"Auto")</f>
        <v>0</v>
      </c>
      <c r="AW179">
        <f>SUMIFS(Dyno_Data[AcqDis], Dyno_Data[Team],TBA_Matches_All[[#This Row],[Team]],Dyno_Data[Match],TBA_Matches_All[[#This Row],[Match_Number]],Dyno_Data[RecordType],"Activities", Dyno_Data[AcqCenter],5,Dyno_Data[Mode],"Auto")</f>
        <v>0</v>
      </c>
      <c r="AX179">
        <f>SUMIFS(Dyno_Data[DelMiss], Dyno_Data[Team],TBA_Matches_All[[#This Row],[Team]],Dyno_Data[Match],TBA_Matches_All[[#This Row],[Match_Number]],Dyno_Data[RecordType],"Activities", Dyno_Data[DelDest],"Amp")</f>
        <v>3</v>
      </c>
      <c r="AY179" s="60">
        <f>IFERROR(SUM((TBA_Matches_All[[#This Row],[AampT]]+TBA_Matches_All[[#This Row],[TampT]])/(TBA_Matches_All[[#This Row],[AampT]]+TBA_Matches_All[[#This Row],[TampT]]+TBA_Matches_All[[#This Row],[ampM]])),0)</f>
        <v>0.5</v>
      </c>
      <c r="AZ179">
        <f>SUMIFS(Dyno_Data[DelMiss], Dyno_Data[Team],TBA_Matches_All[[#This Row],[Team]],Dyno_Data[Match],TBA_Matches_All[[#This Row],[Match_Number]],Dyno_Data[RecordType],"Activities", Dyno_Data[DelDest],"Spkr")</f>
        <v>0</v>
      </c>
      <c r="BA179" s="60">
        <f>IFERROR(SUM((TBA_Matches_All[[#This Row],[AspkrT]]+TBA_Matches_All[[#This Row],[TspkrT]])/(TBA_Matches_All[[#This Row],[AspkrT]]+TBA_Matches_All[[#This Row],[TspkrT]]+TBA_Matches_All[[#This Row],[spkrM]])),0)</f>
        <v>1</v>
      </c>
      <c r="BB179">
        <f>SUMIFS(Dyno_Data[DelMiss], Dyno_Data[Team],TBA_Matches_All[[#This Row],[Team]],Dyno_Data[Match],TBA_Matches_All[[#This Row],[Match_Number]],Dyno_Data[RecordType],"Activities", Dyno_Data[DelDest],"Trap")</f>
        <v>0</v>
      </c>
      <c r="BC179" s="60">
        <f>IFERROR((TBA_Matches_All[[#This Row],[AtrapT]]+TBA_Matches_All[[#This Row],[TtrapT]])/(TBA_Matches_All[[#This Row],[AtrapT]]+TBA_Matches_All[[#This Row],[TtrapT]]+TBA_Matches_All[[#This Row],[trapM]]),0)</f>
        <v>0</v>
      </c>
      <c r="BD179">
        <f>COUNTIFS(Dyno_Data[Team],TBA_Matches_All[[#This Row],[Team]],Dyno_Data[Match],TBA_Matches_All[[#This Row],[Match_Number]],Dyno_Data[RecordType],"Activities",Dyno_Data[DelDest],"Neut", Dyno_Data[DelMiss],1)</f>
        <v>0</v>
      </c>
      <c r="BE179" s="60">
        <f>IFERROR(SUM((TBA_Matches_All[[#This Row],[NeutFlrT]])/(TBA_Matches_All[[#This Row],[NeutFlrT]]+TBA_Matches_All[[#This Row],[NZflM]])),0)</f>
        <v>0</v>
      </c>
      <c r="BF179">
        <f>COUNTIFS(Dyno_Data[Team],TBA_Matches_All[[#This Row],[Team]],Dyno_Data[Match],TBA_Matches_All[[#This Row],[Match_Number]],Dyno_Data[RecordType],"Activities",Dyno_Data[DelDest],"AllyW", Dyno_Data[DelMiss],1)</f>
        <v>0</v>
      </c>
      <c r="BG179" s="60">
        <f>IFERROR(SUM((TBA_Matches_All[[#This Row],[AllyWFlrT]])/(TBA_Matches_All[[#This Row],[AllyWFlrT]]+TBA_Matches_All[[#This Row],[AZflM]])),0)</f>
        <v>0</v>
      </c>
      <c r="BH179">
        <f>COUNTIFS(Dyno_Data[Team],TBA_Matches_All[[#This Row],[Team]],Dyno_Data[Match],TBA_Matches_All[[#This Row],[Match_Number]],Dyno_Data[RecordType],"Activities",Dyno_Data[DelOrig],"OppW", Dyno_Data[DelMiss],"0")</f>
        <v>0</v>
      </c>
      <c r="BI179">
        <f>COUNTIFS(Dyno_Data[Team],TBA_Matches_All[[#This Row],[Team]],Dyno_Data[Match],TBA_Matches_All[[#This Row],[Match_Number]],Dyno_Data[RecordType],"Activities",Dyno_Data[DelOrig],"OppW", Dyno_Data[DelMiss],"1")</f>
        <v>0</v>
      </c>
      <c r="BJ179" s="60">
        <f>IFERROR(SUM((TBA_Matches_All[[#This Row],[OZflrT]])/(TBA_Matches_All[[#This Row],[OZflrT]]+TBA_Matches_All[[#This Row],[OZflrM]])),0)</f>
        <v>0</v>
      </c>
      <c r="BK179">
        <f>COUNTIFS(Dyno_Data[Team],TBA_Matches_All[[#This Row],[Team]],Dyno_Data[Match],TBA_Matches_All[[#This Row],[Match_Number]],Dyno_Data[RecordType],"Activities",Dyno_Data[DelOrig],"Neut", Dyno_Data[DelMiss],"0")</f>
        <v>0</v>
      </c>
      <c r="BL179">
        <f>COUNTIFS(Dyno_Data[Team],TBA_Matches_All[[#This Row],[Team]],Dyno_Data[Match],TBA_Matches_All[[#This Row],[Match_Number]],Dyno_Data[RecordType],"Activities",Dyno_Data[DelOrig],"Neut", Dyno_Data[DelMiss],"1")</f>
        <v>0</v>
      </c>
      <c r="BM179" s="60">
        <f>IFERROR(SUM((TBA_Matches_All[[#This Row],[NZflrT]])/(TBA_Matches_All[[#This Row],[NZflrT]]+TBA_Matches_All[[#This Row],[NZflrM]])),0)</f>
        <v>0</v>
      </c>
      <c r="BN179">
        <f>COUNTIFS(Dyno_Data[Team],TBA_Matches_All[[#This Row],[Team]],Dyno_Data[Match],TBA_Matches_All[[#This Row],[Match_Number]],Dyno_Data[RecordType],"Activities",Dyno_Data[DelOrig],"AllyW", Dyno_Data[DelMiss],"0")</f>
        <v>4</v>
      </c>
      <c r="BO179">
        <f>COUNTIFS(Dyno_Data[Team],TBA_Matches_All[[#This Row],[Team]],Dyno_Data[Match],TBA_Matches_All[[#This Row],[Match_Number]],Dyno_Data[RecordType],"Activities",Dyno_Data[DelOrig],"AllyW", Dyno_Data[DelMiss],"1")</f>
        <v>3</v>
      </c>
      <c r="BP179" s="60">
        <f>IFERROR(SUM((TBA_Matches_All[[#This Row],[AZflrT]])/(TBA_Matches_All[[#This Row],[AZflrT]]+TBA_Matches_All[[#This Row],[AZflrM]])),0)</f>
        <v>0.5714285714285714</v>
      </c>
      <c r="BQ179">
        <f>COUNTIFS(Dyno_Data[Team],TBA_Matches_All[[#This Row],[Team]],Dyno_Data[Match],TBA_Matches_All[[#This Row],[Match_Number]],Dyno_Data[RecordType],"Activities",Dyno_Data[DelOrig],"SubW", Dyno_Data[DelMiss],"0")</f>
        <v>0</v>
      </c>
      <c r="BR179">
        <f>COUNTIFS(Dyno_Data[Team],TBA_Matches_All[[#This Row],[Team]],Dyno_Data[Match],TBA_Matches_All[[#This Row],[Match_Number]],Dyno_Data[RecordType],"Activities",Dyno_Data[DelOrig],"SubW", Dyno_Data[DelMiss],"1")</f>
        <v>0</v>
      </c>
      <c r="BS179" s="60">
        <f>IFERROR(SUM((TBA_Matches_All[[#This Row],[SubwT]])/(TBA_Matches_All[[#This Row],[SubwT]]+TBA_Matches_All[[#This Row],[SubwM]])),0)</f>
        <v>0</v>
      </c>
      <c r="BT179">
        <f>COUNTIFS(Dyno_Data[Team],TBA_Matches_All[[#This Row],[Team]],Dyno_Data[Match],TBA_Matches_All[[#This Row],[Match_Number]],Dyno_Data[RecordType],"Activities", Dyno_Data[AcqLoc],"OppWing")</f>
        <v>0</v>
      </c>
      <c r="BU179">
        <f>COUNTIFS(Dyno_Data[Team],TBA_Matches_All[[#This Row],[Team]],Dyno_Data[Match],TBA_Matches_All[[#This Row],[Match_Number]],Dyno_Data[RecordType],"Activities", Dyno_Data[AcqLoc],"Neutral")</f>
        <v>0</v>
      </c>
      <c r="BV179">
        <f>COUNTIFS(Dyno_Data[Team],TBA_Matches_All[[#This Row],[Team]],Dyno_Data[Match],TBA_Matches_All[[#This Row],[Match_Number]],Dyno_Data[RecordType],"Activities", Dyno_Data[AcqLoc],"AllyWing")</f>
        <v>0</v>
      </c>
      <c r="BW179">
        <f>COUNTIFS(Dyno_Data[Team],TBA_Matches_All[[#This Row],[Team]],Dyno_Data[Match],TBA_Matches_All[[#This Row],[Match_Number]],Dyno_Data[RecordType],"Activities", Dyno_Data[AcqLoc],"Source")</f>
        <v>0</v>
      </c>
      <c r="BX179">
        <f>SUMIFS(Dyno_Data[AcqDrp], Dyno_Data[Team],TBA_Matches_All[[#This Row],[Team]],Dyno_Data[Match],TBA_Matches_All[[#This Row],[Match_Number]],Dyno_Data[RecordType],"Activities", Dyno_Data[AcqLoc],"Source")</f>
        <v>0</v>
      </c>
      <c r="BY179">
        <f>SUMIFS(Dyno_Data[OZTime], Dyno_Data[Team],TBA_Matches_All[[#This Row],[Team]],Dyno_Data[Match],TBA_Matches_All[[#This Row],[Match_Number]],Dyno_Data[RecordType],"EndMatch")</f>
        <v>3.2642864999999999</v>
      </c>
      <c r="BZ179">
        <f>SUMIFS(Dyno_Data[NZTime], Dyno_Data[Team],TBA_Matches_All[[#This Row],[Team]],Dyno_Data[Match],TBA_Matches_All[[#This Row],[Match_Number]],Dyno_Data[RecordType],"EndMatch")</f>
        <v>9.8743608999999992</v>
      </c>
      <c r="CA179">
        <f>SUMIFS(Dyno_Data[AZTime], Dyno_Data[Team],TBA_Matches_All[[#This Row],[Team]],Dyno_Data[Match],TBA_Matches_All[[#This Row],[Match_Number]],Dyno_Data[RecordType],"EndMatch")</f>
        <v>123.5635633</v>
      </c>
      <c r="CB179">
        <f>SUMIFS(Dyno_Data[ClimbT], Dyno_Data[Team],TBA_Matches_All[[#This Row],[Team]],Dyno_Data[Match],TBA_Matches_All[[#This Row],[Match_Number]],Dyno_Data[RecordType],"EndMatch")</f>
        <v>0</v>
      </c>
      <c r="CC179" t="str">
        <f>_xlfn.XLOOKUP(SUM(MID(TBA_Matches_All[[#This Row],[Team]],4,5),(TBA_Matches_All[[#This Row],[Match_Number]]/100)),Dyno_EndMatch[teammat],Dyno_EndMatch[StageStat],"_",0,1)</f>
        <v>Park</v>
      </c>
      <c r="CD179" t="str">
        <f>_xlfn.XLOOKUP(TBA_Matches_All[[#This Row],[teammat]],Dyno_EndMatch[teammat],Dyno_EndMatch[StageAtt],"_",0,1)</f>
        <v>0</v>
      </c>
      <c r="CE179" t="str">
        <f>_xlfn.XLOOKUP(TBA_Matches_All[[#This Row],[teammat]],Dyno_EndMatch[teammat],Dyno_EndMatch[StageLoc],"_",0,1)</f>
        <v>A</v>
      </c>
      <c r="CF179">
        <f>SUMIFS(Dyno_Data[Harmony], Dyno_Data[Team],TBA_Matches_All[[#This Row],[Team]],Dyno_Data[Match],TBA_Matches_All[[#This Row],[Match_Number]],Dyno_Data[RecordType],"EndMatch", Dyno_Data[StageStat],"On",Dyno_Data[Harmony],"&lt;&gt;9")</f>
        <v>0</v>
      </c>
      <c r="CG179">
        <f>SUMIFS(Dyno_Data[Spotlit], Dyno_Data[Team],TBA_Matches_All[[#This Row],[Team]],Dyno_Data[Match],TBA_Matches_All[[#This Row],[Match_Number]],Dyno_Data[RecordType],"EndMatch", Dyno_Data[StageStat],"On",Dyno_Data[Spotlit],"&lt;&gt;9")</f>
        <v>0</v>
      </c>
      <c r="CH179" t="str">
        <f>_xlfn.XLOOKUP(TBA_Matches_All[[#This Row],[teammat]],Dyno_EndMatch[teammat],Dyno_EndMatch[Strategy],"_",0,1)</f>
        <v>Shooter</v>
      </c>
      <c r="CI179">
        <f>SUMIFS(Dyno_Data[Defense], Dyno_Data[Team],TBA_Matches_All[[#This Row],[Team]],Dyno_Data[Match],TBA_Matches_All[[#This Row],[Match_Number]],Dyno_Data[RecordType],"EndMatch",Dyno_Data[Defense],"&lt;&gt;9")</f>
        <v>0</v>
      </c>
      <c r="CJ179">
        <f>SUMIFS(Dyno_Data[Avoidance], Dyno_Data[Team],TBA_Matches_All[[#This Row],[Team]],Dyno_Data[Match],TBA_Matches_All[[#This Row],[Match_Number]],Dyno_Data[RecordType],"EndMatch",Dyno_Data[Avoidance],"&lt;&gt;9")</f>
        <v>0</v>
      </c>
      <c r="CK179" s="82">
        <f>COUNTIF($H$2:TBA_Matches_All[[#This Row],[Team]],TBA_Matches_All[[#This Row],[Team]])</f>
        <v>4</v>
      </c>
      <c r="CL179" s="111">
        <f>SUM(MID(TBA_Matches_All[[#This Row],[Team]],4,5)+TBA_Matches_All[[#This Row],[Match_Number]]/100)</f>
        <v>1511.3</v>
      </c>
      <c r="CM179">
        <f>SUM((TBA_Matches_All[[#This Row],[Leave]]*2)+(TBA_Matches_All[[#This Row],[AampT]]*2)+(TBA_Matches_All[[#This Row],[AspkrT]]*5)+(TBA_Matches_All[[#This Row],[AtrapT]]*5))</f>
        <v>5</v>
      </c>
      <c r="CN179" s="59">
        <f>IFERROR(SUM(TBA_Matches_All[[#This Row],[AptsT]]/TBA_Matches_All[[#This Row],[AutoPts]]),0)</f>
        <v>0.18518518518518517</v>
      </c>
      <c r="CO179" s="59">
        <f>IFERROR(SUM(TBA_Matches_All[[#This Row],[AampT]]+TBA_Matches_All[[#This Row],[AspkrT]]+TBA_Matches_All[[#This Row],[AtrapT]]/TBA_Matches_All[[#This Row],[Aamp]]+TBA_Matches_All[[#This Row],[Aspkr]]+TBA_Matches_All[[#This Row],[AtrapT]]),0)</f>
        <v>0</v>
      </c>
      <c r="CP179" s="59">
        <f>IFERROR(SUM(TBA_Matches_All[[#This Row],[TampT]]/TBA_Matches_All[[#This Row],[Tamp]]),0)</f>
        <v>0.75</v>
      </c>
      <c r="CQ179" s="59">
        <f>IFERROR(SUM(TBA_Matches_All[[#This Row],[TspkrT]]/TBA_Matches_All[[#This Row],[Tspkr]]),0)</f>
        <v>0</v>
      </c>
      <c r="CR179">
        <f>SUM(TBA_Matches_All[[#This Row],[TspkrPts]]*TBA_Matches_All[[#This Row],[TspkrP]])</f>
        <v>0</v>
      </c>
      <c r="CS179" s="59">
        <f>IFERROR(SUM(TBA_Matches_All[[#This Row],[TtrapT]]/TBA_Matches_All[[#This Row],[Trap]]),0)</f>
        <v>0</v>
      </c>
      <c r="CT179" s="59">
        <f>IFERROR(SUM(TBA_Matches_All[[#This Row],[TotNotesT]]/TBA_Matches_All[[#This Row],[TotNotes]]),0)</f>
        <v>0.2857142857142857</v>
      </c>
      <c r="CU179" s="66">
        <f>SUM((TBA_Matches_All[[#This Row],[AampT]]*2)+(TBA_Matches_All[[#This Row],[AspkrT]]*5)+(TBA_Matches_All[[#This Row],[AtrapT]]*5)+(TBA_Matches_All[[#This Row],[TampT]]*1)+(TBA_Matches_All[[#This Row],[TspkrptsC]]))</f>
        <v>8</v>
      </c>
      <c r="CV179" s="59">
        <f>IFERROR(TBA_Matches_All[[#This Row],[noteptsT]]/TBA_Matches_All[[#This Row],[NotePts]],0)</f>
        <v>0.17777777777777778</v>
      </c>
      <c r="CW179">
        <f>SUM(IF(TBA_Matches_All[[#This Row],[stageStat]]="On",3,0),IF(TBA_Matches_All[[#This Row],[stageStat]]="Park",1,0),SUMIFS(TBA_Matches_All[[#This Row],[Spotlit]],TBA_Matches_All[[#This Row],[stageStat]],"On"),SUMIFS(TBA_Matches_All[[#This Row],[Harmony]],TBA_Matches_All[[#This Row],[stageStat]],"On"))</f>
        <v>1</v>
      </c>
      <c r="CX179" s="59">
        <f>IFERROR(TBA_Matches_All[[#This Row],[stageptsT]]/TBA_Matches_All[[#This Row],[StagePts]],0)</f>
        <v>1</v>
      </c>
      <c r="CY179">
        <f>SUM((TBA_Matches_All[[#This Row],[AptsT]]+TBA_Matches_All[[#This Row],[TampT]]+TBA_Matches_All[[#This Row],[TspkrptsC]]+(TBA_Matches_All[[#This Row],[TtrapT]]*5)+TBA_Matches_All[[#This Row],[stageptsT]]))</f>
        <v>9</v>
      </c>
      <c r="CZ179" s="59">
        <f>IFERROR(SUM(TBA_Matches_All[[#This Row],[TotptsC]]/TBA_Matches_All[[#This Row],[Score]]),0)</f>
        <v>0.140625</v>
      </c>
      <c r="DA17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12.133333333333333</v>
      </c>
      <c r="DB179" s="74">
        <f>SUMIFS(TBA_Matches_All[AveTeamTNoteDels],TBA_Matches_All[Match_Number],TBA_Matches_All[[#This Row],[Match_Number]],TBA_Matches_All[Alliance],"&lt;&gt;"&amp;TBA_Matches_All[[#This Row],[Alliance]],TBA_Matches_All[Scouted],"&gt;0")</f>
        <v>17.159523809523812</v>
      </c>
      <c r="DC179" s="74">
        <f>(TBA_Matches_All[[#This Row],[TampT]]+TBA_Matches_All[[#This Row],[TspkrptsC]])-TBA_Matches_All[[#This Row],[AveTeamTNoteDels]]</f>
        <v>-9.1333333333333329</v>
      </c>
      <c r="DD179" s="74">
        <f>SUMIFS(TBA_Matches_All[AveTeamTNoteDels],TBA_Matches_All[Match_Number],TBA_Matches_All[[#This Row],[Match_Number]],TBA_Matches_All[Alliance],"&lt;&gt;"&amp;TBA_Matches_All[[#This Row],[Alliance]])-TBA_Matches_All[[#This Row],[AveOppTNoteDels]]</f>
        <v>0</v>
      </c>
    </row>
    <row r="180" spans="1:108" x14ac:dyDescent="0.3">
      <c r="A180" t="s">
        <v>1042</v>
      </c>
      <c r="B180" t="s">
        <v>489</v>
      </c>
      <c r="C180" t="s">
        <v>1339</v>
      </c>
      <c r="D180">
        <v>30</v>
      </c>
      <c r="E180" t="s">
        <v>1406</v>
      </c>
      <c r="F180" t="s">
        <v>1422</v>
      </c>
      <c r="G180" t="s">
        <v>105</v>
      </c>
      <c r="H180" t="s">
        <v>362</v>
      </c>
      <c r="I180" t="b">
        <v>0</v>
      </c>
      <c r="J180">
        <v>30</v>
      </c>
      <c r="K180">
        <v>0</v>
      </c>
      <c r="L180">
        <v>1</v>
      </c>
      <c r="M180">
        <v>16</v>
      </c>
      <c r="N180">
        <v>0</v>
      </c>
      <c r="O180">
        <v>1</v>
      </c>
      <c r="P180">
        <v>5</v>
      </c>
      <c r="Q180">
        <v>9</v>
      </c>
      <c r="R180">
        <v>0</v>
      </c>
      <c r="S180">
        <v>0</v>
      </c>
      <c r="T180">
        <v>3</v>
      </c>
      <c r="U180">
        <v>0</v>
      </c>
      <c r="V180">
        <v>6</v>
      </c>
      <c r="W180">
        <v>3</v>
      </c>
      <c r="X180">
        <v>6</v>
      </c>
      <c r="Y180">
        <v>6</v>
      </c>
      <c r="Z180">
        <v>0</v>
      </c>
      <c r="AA180">
        <v>0</v>
      </c>
      <c r="AB180">
        <v>4</v>
      </c>
      <c r="AC180">
        <v>11</v>
      </c>
      <c r="AD180">
        <v>0</v>
      </c>
      <c r="AE180">
        <f>IFERROR(6/(COUNTIF(Dyno_EndMatch[Match],TBA_Matches_All[[#This Row],[Match_Number]])),0)</f>
        <v>1</v>
      </c>
      <c r="AF180">
        <f>COUNTIFS(Dyno_Data[Team],TBA_Matches_All[[#This Row],[Team]],Dyno_Data[Match],TBA_Matches_All[[#This Row],[Match_Number]],Dyno_Data[RecordType],"EndMatch",Dyno_Data[HPAmp],"Y")</f>
        <v>1</v>
      </c>
      <c r="AG180">
        <f>SUMIFS(Dyno_Data[Mics], Dyno_Data[Team],TBA_Matches_All[[#This Row],[Team]],Dyno_Data[Match],TBA_Matches_All[[#This Row],[Match_Number]],Dyno_Data[RecordType],"EndMatch",Dyno_Data[HPAmp],"Y")</f>
        <v>0</v>
      </c>
      <c r="AH180">
        <f>SUMIFS(Dyno_Data[Leave], Dyno_Data[Team],TBA_Matches_All[[#This Row],[Team]],Dyno_Data[Match],TBA_Matches_All[[#This Row],[Match_Number]],Dyno_Data[RecordType],"EndAuto")</f>
        <v>1</v>
      </c>
      <c r="AI180">
        <f>COUNTIFS(Dyno_Data[Team],TBA_Matches_All[[#This Row],[Team]],Dyno_Data[Match],TBA_Matches_All[[#This Row],[Match_Number]],Dyno_Data[RecordType],"Activities",Dyno_Data[DelDest],"Amp", Dyno_Data[DelMiss],"0", Dyno_Data[Mode],"Auto")</f>
        <v>0</v>
      </c>
      <c r="AJ180">
        <f>COUNTIFS(Dyno_Data[Team],TBA_Matches_All[[#This Row],[Team]],Dyno_Data[Match],TBA_Matches_All[[#This Row],[Match_Number]],Dyno_Data[RecordType],"Activities",Dyno_Data[DelDest],"Spkr", Dyno_Data[DelMiss],"0", Dyno_Data[Mode],"Auto")</f>
        <v>0</v>
      </c>
      <c r="AK180">
        <f>COUNTIFS(Dyno_Data[Team],TBA_Matches_All[[#This Row],[Team]],Dyno_Data[Match],TBA_Matches_All[[#This Row],[Match_Number]],Dyno_Data[RecordType],"Activities",Dyno_Data[DelDest],"Trap", Dyno_Data[DelMiss],"0", Dyno_Data[Mode],"Auto")</f>
        <v>0</v>
      </c>
      <c r="AL180">
        <f>COUNTIFS(Dyno_Data[Team],TBA_Matches_All[[#This Row],[Team]],Dyno_Data[Match],TBA_Matches_All[[#This Row],[Match_Number]],Dyno_Data[RecordType],"Activities",Dyno_Data[DelDest],"Amp", Dyno_Data[DelMiss],"0", Dyno_Data[Mode],"Teleop")</f>
        <v>0</v>
      </c>
      <c r="AM180">
        <f>COUNTIFS(Dyno_Data[Team],TBA_Matches_All[[#This Row],[Team]],Dyno_Data[Match],TBA_Matches_All[[#This Row],[Match_Number]],Dyno_Data[RecordType],"Activities",Dyno_Data[DelDest],"Spkr", Dyno_Data[DelMiss],"0", Dyno_Data[Mode],"Teleop")</f>
        <v>0</v>
      </c>
      <c r="AN180">
        <f>COUNTIFS(Dyno_Data[Team],TBA_Matches_All[[#This Row],[Team]],Dyno_Data[Match],TBA_Matches_All[[#This Row],[Match_Number]],Dyno_Data[RecordType],"Activities",Dyno_Data[DelDest],"Trap", Dyno_Data[DelMiss],"0", Dyno_Data[Mode],"&lt;&gt;Auto")</f>
        <v>0</v>
      </c>
      <c r="AO180">
        <f>SUM(TBA_Matches_All[[#This Row],[AampT]]+TBA_Matches_All[[#This Row],[AspkrT]]+TBA_Matches_All[[#This Row],[AtrapT]]+TBA_Matches_All[[#This Row],[TampT]]+TBA_Matches_All[[#This Row],[TspkrT]]+TBA_Matches_All[[#This Row],[TtrapT]])</f>
        <v>0</v>
      </c>
      <c r="AP180">
        <f>COUNTIFS(Dyno_Data[Team],TBA_Matches_All[[#This Row],[Team]],Dyno_Data[Match],TBA_Matches_All[[#This Row],[Match_Number]],Dyno_Data[RecordType],"Activities",Dyno_Data[DelDest],"Neut", Dyno_Data[DelMiss],"0")</f>
        <v>0</v>
      </c>
      <c r="AQ180">
        <f>COUNTIFS(Dyno_Data[Team],TBA_Matches_All[[#This Row],[Team]],Dyno_Data[Match],TBA_Matches_All[[#This Row],[Match_Number]],Dyno_Data[RecordType],"Activities",Dyno_Data[DelDest],"AllyW", Dyno_Data[DelMiss],"0")</f>
        <v>0</v>
      </c>
      <c r="AR180" t="str">
        <f>_xlfn.XLOOKUP(SUM(MID(TBA_Matches_All[[#This Row],[Team]],4,5),(TBA_Matches_All[[#This Row],[Match_Number]]/100)),Dyno_EndMatch[teammat],Dyno_EndMatch[RobotSta],"_",0,1)</f>
        <v>OppS</v>
      </c>
      <c r="AS180">
        <f>SUMIFS(Dyno_Data[AcqDis], Dyno_Data[Team],TBA_Matches_All[[#This Row],[Team]],Dyno_Data[Match],TBA_Matches_All[[#This Row],[Match_Number]],Dyno_Data[RecordType],"Activities", Dyno_Data[AcqCenter],1,Dyno_Data[Mode],"Auto")</f>
        <v>-1</v>
      </c>
      <c r="AT180">
        <f>SUMIFS(Dyno_Data[AcqDis], Dyno_Data[Team],TBA_Matches_All[[#This Row],[Team]],Dyno_Data[Match],TBA_Matches_All[[#This Row],[Match_Number]],Dyno_Data[RecordType],"Activities", Dyno_Data[AcqCenter],2,Dyno_Data[Mode],"Auto")</f>
        <v>-1</v>
      </c>
      <c r="AU180">
        <f>SUMIFS(Dyno_Data[AcqDis], Dyno_Data[Team],TBA_Matches_All[[#This Row],[Team]],Dyno_Data[Match],TBA_Matches_All[[#This Row],[Match_Number]],Dyno_Data[RecordType],"Activities", Dyno_Data[AcqCenter],3,Dyno_Data[Mode],"Auto")</f>
        <v>-1</v>
      </c>
      <c r="AV180">
        <f>SUMIFS(Dyno_Data[AcqDis], Dyno_Data[Team],TBA_Matches_All[[#This Row],[Team]],Dyno_Data[Match],TBA_Matches_All[[#This Row],[Match_Number]],Dyno_Data[RecordType],"Activities", Dyno_Data[AcqCenter],4,Dyno_Data[Mode],"Auto")</f>
        <v>0</v>
      </c>
      <c r="AW180">
        <f>SUMIFS(Dyno_Data[AcqDis], Dyno_Data[Team],TBA_Matches_All[[#This Row],[Team]],Dyno_Data[Match],TBA_Matches_All[[#This Row],[Match_Number]],Dyno_Data[RecordType],"Activities", Dyno_Data[AcqCenter],5,Dyno_Data[Mode],"Auto")</f>
        <v>0</v>
      </c>
      <c r="AX180">
        <f>SUMIFS(Dyno_Data[DelMiss], Dyno_Data[Team],TBA_Matches_All[[#This Row],[Team]],Dyno_Data[Match],TBA_Matches_All[[#This Row],[Match_Number]],Dyno_Data[RecordType],"Activities", Dyno_Data[DelDest],"Amp")</f>
        <v>0</v>
      </c>
      <c r="AY180" s="60">
        <f>IFERROR(SUM((TBA_Matches_All[[#This Row],[AampT]]+TBA_Matches_All[[#This Row],[TampT]])/(TBA_Matches_All[[#This Row],[AampT]]+TBA_Matches_All[[#This Row],[TampT]]+TBA_Matches_All[[#This Row],[ampM]])),0)</f>
        <v>0</v>
      </c>
      <c r="AZ180">
        <f>SUMIFS(Dyno_Data[DelMiss], Dyno_Data[Team],TBA_Matches_All[[#This Row],[Team]],Dyno_Data[Match],TBA_Matches_All[[#This Row],[Match_Number]],Dyno_Data[RecordType],"Activities", Dyno_Data[DelDest],"Spkr")</f>
        <v>0</v>
      </c>
      <c r="BA180" s="60">
        <f>IFERROR(SUM((TBA_Matches_All[[#This Row],[AspkrT]]+TBA_Matches_All[[#This Row],[TspkrT]])/(TBA_Matches_All[[#This Row],[AspkrT]]+TBA_Matches_All[[#This Row],[TspkrT]]+TBA_Matches_All[[#This Row],[spkrM]])),0)</f>
        <v>0</v>
      </c>
      <c r="BB180">
        <f>SUMIFS(Dyno_Data[DelMiss], Dyno_Data[Team],TBA_Matches_All[[#This Row],[Team]],Dyno_Data[Match],TBA_Matches_All[[#This Row],[Match_Number]],Dyno_Data[RecordType],"Activities", Dyno_Data[DelDest],"Trap")</f>
        <v>0</v>
      </c>
      <c r="BC180" s="60">
        <f>IFERROR((TBA_Matches_All[[#This Row],[AtrapT]]+TBA_Matches_All[[#This Row],[TtrapT]])/(TBA_Matches_All[[#This Row],[AtrapT]]+TBA_Matches_All[[#This Row],[TtrapT]]+TBA_Matches_All[[#This Row],[trapM]]),0)</f>
        <v>0</v>
      </c>
      <c r="BD180">
        <f>COUNTIFS(Dyno_Data[Team],TBA_Matches_All[[#This Row],[Team]],Dyno_Data[Match],TBA_Matches_All[[#This Row],[Match_Number]],Dyno_Data[RecordType],"Activities",Dyno_Data[DelDest],"Neut", Dyno_Data[DelMiss],1)</f>
        <v>0</v>
      </c>
      <c r="BE180" s="60">
        <f>IFERROR(SUM((TBA_Matches_All[[#This Row],[NeutFlrT]])/(TBA_Matches_All[[#This Row],[NeutFlrT]]+TBA_Matches_All[[#This Row],[NZflM]])),0)</f>
        <v>0</v>
      </c>
      <c r="BF180">
        <f>COUNTIFS(Dyno_Data[Team],TBA_Matches_All[[#This Row],[Team]],Dyno_Data[Match],TBA_Matches_All[[#This Row],[Match_Number]],Dyno_Data[RecordType],"Activities",Dyno_Data[DelDest],"AllyW", Dyno_Data[DelMiss],1)</f>
        <v>0</v>
      </c>
      <c r="BG180" s="60">
        <f>IFERROR(SUM((TBA_Matches_All[[#This Row],[AllyWFlrT]])/(TBA_Matches_All[[#This Row],[AllyWFlrT]]+TBA_Matches_All[[#This Row],[AZflM]])),0)</f>
        <v>0</v>
      </c>
      <c r="BH180">
        <f>COUNTIFS(Dyno_Data[Team],TBA_Matches_All[[#This Row],[Team]],Dyno_Data[Match],TBA_Matches_All[[#This Row],[Match_Number]],Dyno_Data[RecordType],"Activities",Dyno_Data[DelOrig],"OppW", Dyno_Data[DelMiss],"0")</f>
        <v>0</v>
      </c>
      <c r="BI180">
        <f>COUNTIFS(Dyno_Data[Team],TBA_Matches_All[[#This Row],[Team]],Dyno_Data[Match],TBA_Matches_All[[#This Row],[Match_Number]],Dyno_Data[RecordType],"Activities",Dyno_Data[DelOrig],"OppW", Dyno_Data[DelMiss],"1")</f>
        <v>0</v>
      </c>
      <c r="BJ180" s="60">
        <f>IFERROR(SUM((TBA_Matches_All[[#This Row],[OZflrT]])/(TBA_Matches_All[[#This Row],[OZflrT]]+TBA_Matches_All[[#This Row],[OZflrM]])),0)</f>
        <v>0</v>
      </c>
      <c r="BK180">
        <f>COUNTIFS(Dyno_Data[Team],TBA_Matches_All[[#This Row],[Team]],Dyno_Data[Match],TBA_Matches_All[[#This Row],[Match_Number]],Dyno_Data[RecordType],"Activities",Dyno_Data[DelOrig],"Neut", Dyno_Data[DelMiss],"0")</f>
        <v>0</v>
      </c>
      <c r="BL180">
        <f>COUNTIFS(Dyno_Data[Team],TBA_Matches_All[[#This Row],[Team]],Dyno_Data[Match],TBA_Matches_All[[#This Row],[Match_Number]],Dyno_Data[RecordType],"Activities",Dyno_Data[DelOrig],"Neut", Dyno_Data[DelMiss],"1")</f>
        <v>0</v>
      </c>
      <c r="BM180" s="60">
        <f>IFERROR(SUM((TBA_Matches_All[[#This Row],[NZflrT]])/(TBA_Matches_All[[#This Row],[NZflrT]]+TBA_Matches_All[[#This Row],[NZflrM]])),0)</f>
        <v>0</v>
      </c>
      <c r="BN180">
        <f>COUNTIFS(Dyno_Data[Team],TBA_Matches_All[[#This Row],[Team]],Dyno_Data[Match],TBA_Matches_All[[#This Row],[Match_Number]],Dyno_Data[RecordType],"Activities",Dyno_Data[DelOrig],"AllyW", Dyno_Data[DelMiss],"0")</f>
        <v>0</v>
      </c>
      <c r="BO180">
        <f>COUNTIFS(Dyno_Data[Team],TBA_Matches_All[[#This Row],[Team]],Dyno_Data[Match],TBA_Matches_All[[#This Row],[Match_Number]],Dyno_Data[RecordType],"Activities",Dyno_Data[DelOrig],"AllyW", Dyno_Data[DelMiss],"1")</f>
        <v>0</v>
      </c>
      <c r="BP180" s="60">
        <f>IFERROR(SUM((TBA_Matches_All[[#This Row],[AZflrT]])/(TBA_Matches_All[[#This Row],[AZflrT]]+TBA_Matches_All[[#This Row],[AZflrM]])),0)</f>
        <v>0</v>
      </c>
      <c r="BQ180">
        <f>COUNTIFS(Dyno_Data[Team],TBA_Matches_All[[#This Row],[Team]],Dyno_Data[Match],TBA_Matches_All[[#This Row],[Match_Number]],Dyno_Data[RecordType],"Activities",Dyno_Data[DelOrig],"SubW", Dyno_Data[DelMiss],"0")</f>
        <v>0</v>
      </c>
      <c r="BR180">
        <f>COUNTIFS(Dyno_Data[Team],TBA_Matches_All[[#This Row],[Team]],Dyno_Data[Match],TBA_Matches_All[[#This Row],[Match_Number]],Dyno_Data[RecordType],"Activities",Dyno_Data[DelOrig],"SubW", Dyno_Data[DelMiss],"1")</f>
        <v>0</v>
      </c>
      <c r="BS180" s="60">
        <f>IFERROR(SUM((TBA_Matches_All[[#This Row],[SubwT]])/(TBA_Matches_All[[#This Row],[SubwT]]+TBA_Matches_All[[#This Row],[SubwM]])),0)</f>
        <v>0</v>
      </c>
      <c r="BT180">
        <f>COUNTIFS(Dyno_Data[Team],TBA_Matches_All[[#This Row],[Team]],Dyno_Data[Match],TBA_Matches_All[[#This Row],[Match_Number]],Dyno_Data[RecordType],"Activities", Dyno_Data[AcqLoc],"OppWing")</f>
        <v>0</v>
      </c>
      <c r="BU180">
        <f>COUNTIFS(Dyno_Data[Team],TBA_Matches_All[[#This Row],[Team]],Dyno_Data[Match],TBA_Matches_All[[#This Row],[Match_Number]],Dyno_Data[RecordType],"Activities", Dyno_Data[AcqLoc],"Neutral")</f>
        <v>3</v>
      </c>
      <c r="BV180">
        <f>COUNTIFS(Dyno_Data[Team],TBA_Matches_All[[#This Row],[Team]],Dyno_Data[Match],TBA_Matches_All[[#This Row],[Match_Number]],Dyno_Data[RecordType],"Activities", Dyno_Data[AcqLoc],"AllyWing")</f>
        <v>0</v>
      </c>
      <c r="BW180">
        <f>COUNTIFS(Dyno_Data[Team],TBA_Matches_All[[#This Row],[Team]],Dyno_Data[Match],TBA_Matches_All[[#This Row],[Match_Number]],Dyno_Data[RecordType],"Activities", Dyno_Data[AcqLoc],"Source")</f>
        <v>0</v>
      </c>
      <c r="BX180">
        <f>SUMIFS(Dyno_Data[AcqDrp], Dyno_Data[Team],TBA_Matches_All[[#This Row],[Team]],Dyno_Data[Match],TBA_Matches_All[[#This Row],[Match_Number]],Dyno_Data[RecordType],"Activities", Dyno_Data[AcqLoc],"Source")</f>
        <v>0</v>
      </c>
      <c r="BY180">
        <f>SUMIFS(Dyno_Data[OZTime], Dyno_Data[Team],TBA_Matches_All[[#This Row],[Team]],Dyno_Data[Match],TBA_Matches_All[[#This Row],[Match_Number]],Dyno_Data[RecordType],"EndMatch")</f>
        <v>72.606539900000001</v>
      </c>
      <c r="BZ180">
        <f>SUMIFS(Dyno_Data[NZTime], Dyno_Data[Team],TBA_Matches_All[[#This Row],[Team]],Dyno_Data[Match],TBA_Matches_All[[#This Row],[Match_Number]],Dyno_Data[RecordType],"EndMatch")</f>
        <v>31.706765599999997</v>
      </c>
      <c r="CA180">
        <f>SUMIFS(Dyno_Data[AZTime], Dyno_Data[Team],TBA_Matches_All[[#This Row],[Team]],Dyno_Data[Match],TBA_Matches_All[[#This Row],[Match_Number]],Dyno_Data[RecordType],"EndMatch")</f>
        <v>31.643913399999999</v>
      </c>
      <c r="CB180">
        <f>SUMIFS(Dyno_Data[ClimbT], Dyno_Data[Team],TBA_Matches_All[[#This Row],[Team]],Dyno_Data[Match],TBA_Matches_All[[#This Row],[Match_Number]],Dyno_Data[RecordType],"EndMatch")</f>
        <v>0</v>
      </c>
      <c r="CC180" t="str">
        <f>_xlfn.XLOOKUP(SUM(MID(TBA_Matches_All[[#This Row],[Team]],4,5),(TBA_Matches_All[[#This Row],[Match_Number]]/100)),Dyno_EndMatch[teammat],Dyno_EndMatch[StageStat],"_",0,1)</f>
        <v>Else</v>
      </c>
      <c r="CD180" t="str">
        <f>_xlfn.XLOOKUP(TBA_Matches_All[[#This Row],[teammat]],Dyno_EndMatch[teammat],Dyno_EndMatch[StageAtt],"_",0,1)</f>
        <v>0</v>
      </c>
      <c r="CE180" t="str">
        <f>_xlfn.XLOOKUP(TBA_Matches_All[[#This Row],[teammat]],Dyno_EndMatch[teammat],Dyno_EndMatch[StageLoc],"_",0,1)</f>
        <v>A</v>
      </c>
      <c r="CF180">
        <f>SUMIFS(Dyno_Data[Harmony], Dyno_Data[Team],TBA_Matches_All[[#This Row],[Team]],Dyno_Data[Match],TBA_Matches_All[[#This Row],[Match_Number]],Dyno_Data[RecordType],"EndMatch", Dyno_Data[StageStat],"On",Dyno_Data[Harmony],"&lt;&gt;9")</f>
        <v>0</v>
      </c>
      <c r="CG180">
        <f>SUMIFS(Dyno_Data[Spotlit], Dyno_Data[Team],TBA_Matches_All[[#This Row],[Team]],Dyno_Data[Match],TBA_Matches_All[[#This Row],[Match_Number]],Dyno_Data[RecordType],"EndMatch", Dyno_Data[StageStat],"On",Dyno_Data[Spotlit],"&lt;&gt;9")</f>
        <v>0</v>
      </c>
      <c r="CH180" t="str">
        <f>_xlfn.XLOOKUP(TBA_Matches_All[[#This Row],[teammat]],Dyno_EndMatch[teammat],Dyno_EndMatch[Strategy],"_",0,1)</f>
        <v>Defense</v>
      </c>
      <c r="CI180">
        <f>SUMIFS(Dyno_Data[Defense], Dyno_Data[Team],TBA_Matches_All[[#This Row],[Team]],Dyno_Data[Match],TBA_Matches_All[[#This Row],[Match_Number]],Dyno_Data[RecordType],"EndMatch",Dyno_Data[Defense],"&lt;&gt;9")</f>
        <v>0</v>
      </c>
      <c r="CJ180">
        <f>SUMIFS(Dyno_Data[Avoidance], Dyno_Data[Team],TBA_Matches_All[[#This Row],[Team]],Dyno_Data[Match],TBA_Matches_All[[#This Row],[Match_Number]],Dyno_Data[RecordType],"EndMatch",Dyno_Data[Avoidance],"&lt;&gt;9")</f>
        <v>0</v>
      </c>
      <c r="CK180" s="82">
        <f>COUNTIF($H$2:TBA_Matches_All[[#This Row],[Team]],TBA_Matches_All[[#This Row],[Team]])</f>
        <v>4</v>
      </c>
      <c r="CL180" s="111">
        <f>SUM(MID(TBA_Matches_All[[#This Row],[Team]],4,5)+TBA_Matches_All[[#This Row],[Match_Number]]/100)</f>
        <v>250.3</v>
      </c>
      <c r="CM180">
        <f>SUM((TBA_Matches_All[[#This Row],[Leave]]*2)+(TBA_Matches_All[[#This Row],[AampT]]*2)+(TBA_Matches_All[[#This Row],[AspkrT]]*5)+(TBA_Matches_All[[#This Row],[AtrapT]]*5))</f>
        <v>2</v>
      </c>
      <c r="CN180" s="59">
        <f>IFERROR(SUM(TBA_Matches_All[[#This Row],[AptsT]]/TBA_Matches_All[[#This Row],[AutoPts]]),0)</f>
        <v>0.22222222222222221</v>
      </c>
      <c r="CO180" s="59">
        <f>IFERROR(SUM(TBA_Matches_All[[#This Row],[AampT]]+TBA_Matches_All[[#This Row],[AspkrT]]+TBA_Matches_All[[#This Row],[AtrapT]]/TBA_Matches_All[[#This Row],[Aamp]]+TBA_Matches_All[[#This Row],[Aspkr]]+TBA_Matches_All[[#This Row],[AtrapT]]),0)</f>
        <v>0</v>
      </c>
      <c r="CP180" s="59">
        <f>IFERROR(SUM(TBA_Matches_All[[#This Row],[TampT]]/TBA_Matches_All[[#This Row],[Tamp]]),0)</f>
        <v>0</v>
      </c>
      <c r="CQ180" s="59">
        <f>IFERROR(SUM(TBA_Matches_All[[#This Row],[TspkrT]]/TBA_Matches_All[[#This Row],[Tspkr]]),0)</f>
        <v>0</v>
      </c>
      <c r="CR180">
        <f>SUM(TBA_Matches_All[[#This Row],[TspkrPts]]*TBA_Matches_All[[#This Row],[TspkrP]])</f>
        <v>0</v>
      </c>
      <c r="CS180" s="59">
        <f>IFERROR(SUM(TBA_Matches_All[[#This Row],[TtrapT]]/TBA_Matches_All[[#This Row],[Trap]]),0)</f>
        <v>0</v>
      </c>
      <c r="CT180" s="59">
        <f>IFERROR(SUM(TBA_Matches_All[[#This Row],[TotNotesT]]/TBA_Matches_All[[#This Row],[TotNotes]]),0)</f>
        <v>0</v>
      </c>
      <c r="CU180" s="66">
        <f>SUM((TBA_Matches_All[[#This Row],[AampT]]*2)+(TBA_Matches_All[[#This Row],[AspkrT]]*5)+(TBA_Matches_All[[#This Row],[AtrapT]]*5)+(TBA_Matches_All[[#This Row],[TampT]]*1)+(TBA_Matches_All[[#This Row],[TspkrptsC]]))</f>
        <v>0</v>
      </c>
      <c r="CV180" s="59">
        <f>IFERROR(TBA_Matches_All[[#This Row],[noteptsT]]/TBA_Matches_All[[#This Row],[NotePts]],0)</f>
        <v>0</v>
      </c>
      <c r="CW180">
        <f>SUM(IF(TBA_Matches_All[[#This Row],[stageStat]]="On",3,0),IF(TBA_Matches_All[[#This Row],[stageStat]]="Park",1,0),SUMIFS(TBA_Matches_All[[#This Row],[Spotlit]],TBA_Matches_All[[#This Row],[stageStat]],"On"),SUMIFS(TBA_Matches_All[[#This Row],[Harmony]],TBA_Matches_All[[#This Row],[stageStat]],"On"))</f>
        <v>0</v>
      </c>
      <c r="CX180" s="59">
        <f>IFERROR(TBA_Matches_All[[#This Row],[stageptsT]]/TBA_Matches_All[[#This Row],[StagePts]],0)</f>
        <v>0</v>
      </c>
      <c r="CY180">
        <f>SUM((TBA_Matches_All[[#This Row],[AptsT]]+TBA_Matches_All[[#This Row],[TampT]]+TBA_Matches_All[[#This Row],[TspkrptsC]]+(TBA_Matches_All[[#This Row],[TtrapT]]*5)+TBA_Matches_All[[#This Row],[stageptsT]]))</f>
        <v>2</v>
      </c>
      <c r="CZ180" s="59">
        <f>IFERROR(SUM(TBA_Matches_All[[#This Row],[TotptsC]]/TBA_Matches_All[[#This Row],[Score]]),0)</f>
        <v>6.6666666666666666E-2</v>
      </c>
      <c r="DA18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4.375</v>
      </c>
      <c r="DB180" s="74">
        <f>SUMIFS(TBA_Matches_All[AveTeamTNoteDels],TBA_Matches_All[Match_Number],TBA_Matches_All[[#This Row],[Match_Number]],TBA_Matches_All[Alliance],"&lt;&gt;"&amp;TBA_Matches_All[[#This Row],[Alliance]],TBA_Matches_All[Scouted],"&gt;0")</f>
        <v>29.497069597069597</v>
      </c>
      <c r="DC180" s="74">
        <f>(TBA_Matches_All[[#This Row],[TampT]]+TBA_Matches_All[[#This Row],[TspkrptsC]])-TBA_Matches_All[[#This Row],[AveTeamTNoteDels]]</f>
        <v>-4.375</v>
      </c>
      <c r="DD180" s="74">
        <f>SUMIFS(TBA_Matches_All[AveTeamTNoteDels],TBA_Matches_All[Match_Number],TBA_Matches_All[[#This Row],[Match_Number]],TBA_Matches_All[Alliance],"&lt;&gt;"&amp;TBA_Matches_All[[#This Row],[Alliance]])-TBA_Matches_All[[#This Row],[AveOppTNoteDels]]</f>
        <v>0</v>
      </c>
    </row>
    <row r="181" spans="1:108" x14ac:dyDescent="0.3">
      <c r="A181" t="s">
        <v>1042</v>
      </c>
      <c r="B181" t="s">
        <v>489</v>
      </c>
      <c r="C181" t="s">
        <v>1339</v>
      </c>
      <c r="D181">
        <v>30</v>
      </c>
      <c r="E181" t="s">
        <v>1420</v>
      </c>
      <c r="F181" t="s">
        <v>1425</v>
      </c>
      <c r="G181" t="s">
        <v>105</v>
      </c>
      <c r="H181" t="s">
        <v>1309</v>
      </c>
      <c r="I181" t="b">
        <v>0</v>
      </c>
      <c r="J181">
        <v>64</v>
      </c>
      <c r="K181">
        <v>0</v>
      </c>
      <c r="L181">
        <v>0</v>
      </c>
      <c r="M181">
        <v>15</v>
      </c>
      <c r="N181">
        <v>0</v>
      </c>
      <c r="O181">
        <v>5</v>
      </c>
      <c r="P181">
        <v>25</v>
      </c>
      <c r="Q181">
        <v>27</v>
      </c>
      <c r="R181">
        <v>4</v>
      </c>
      <c r="S181">
        <v>2</v>
      </c>
      <c r="T181">
        <v>3</v>
      </c>
      <c r="U181">
        <v>10</v>
      </c>
      <c r="V181">
        <v>6</v>
      </c>
      <c r="W181">
        <v>5</v>
      </c>
      <c r="X181">
        <v>16</v>
      </c>
      <c r="Y181">
        <v>20</v>
      </c>
      <c r="Z181">
        <v>0</v>
      </c>
      <c r="AA181">
        <v>0</v>
      </c>
      <c r="AB181">
        <v>14</v>
      </c>
      <c r="AC181">
        <v>45</v>
      </c>
      <c r="AD181">
        <v>1</v>
      </c>
      <c r="AE181">
        <f>IFERROR(6/(COUNTIF(Dyno_EndMatch[Match],TBA_Matches_All[[#This Row],[Match_Number]])),0)</f>
        <v>1</v>
      </c>
      <c r="AF181">
        <f>COUNTIFS(Dyno_Data[Team],TBA_Matches_All[[#This Row],[Team]],Dyno_Data[Match],TBA_Matches_All[[#This Row],[Match_Number]],Dyno_Data[RecordType],"EndMatch",Dyno_Data[HPAmp],"Y")</f>
        <v>1</v>
      </c>
      <c r="AG181">
        <f>SUMIFS(Dyno_Data[Mics], Dyno_Data[Team],TBA_Matches_All[[#This Row],[Team]],Dyno_Data[Match],TBA_Matches_All[[#This Row],[Match_Number]],Dyno_Data[RecordType],"EndMatch",Dyno_Data[HPAmp],"Y")</f>
        <v>0</v>
      </c>
      <c r="AH181">
        <f>SUMIFS(Dyno_Data[Leave], Dyno_Data[Team],TBA_Matches_All[[#This Row],[Team]],Dyno_Data[Match],TBA_Matches_All[[#This Row],[Match_Number]],Dyno_Data[RecordType],"EndAuto")</f>
        <v>0</v>
      </c>
      <c r="AI181">
        <f>COUNTIFS(Dyno_Data[Team],TBA_Matches_All[[#This Row],[Team]],Dyno_Data[Match],TBA_Matches_All[[#This Row],[Match_Number]],Dyno_Data[RecordType],"Activities",Dyno_Data[DelDest],"Amp", Dyno_Data[DelMiss],"0", Dyno_Data[Mode],"Auto")</f>
        <v>0</v>
      </c>
      <c r="AJ181">
        <f>COUNTIFS(Dyno_Data[Team],TBA_Matches_All[[#This Row],[Team]],Dyno_Data[Match],TBA_Matches_All[[#This Row],[Match_Number]],Dyno_Data[RecordType],"Activities",Dyno_Data[DelDest],"Spkr", Dyno_Data[DelMiss],"0", Dyno_Data[Mode],"Auto")</f>
        <v>1</v>
      </c>
      <c r="AK181">
        <f>COUNTIFS(Dyno_Data[Team],TBA_Matches_All[[#This Row],[Team]],Dyno_Data[Match],TBA_Matches_All[[#This Row],[Match_Number]],Dyno_Data[RecordType],"Activities",Dyno_Data[DelDest],"Trap", Dyno_Data[DelMiss],"0", Dyno_Data[Mode],"Auto")</f>
        <v>0</v>
      </c>
      <c r="AL181">
        <f>COUNTIFS(Dyno_Data[Team],TBA_Matches_All[[#This Row],[Team]],Dyno_Data[Match],TBA_Matches_All[[#This Row],[Match_Number]],Dyno_Data[RecordType],"Activities",Dyno_Data[DelDest],"Amp", Dyno_Data[DelMiss],"0", Dyno_Data[Mode],"Teleop")</f>
        <v>1</v>
      </c>
      <c r="AM181">
        <f>COUNTIFS(Dyno_Data[Team],TBA_Matches_All[[#This Row],[Team]],Dyno_Data[Match],TBA_Matches_All[[#This Row],[Match_Number]],Dyno_Data[RecordType],"Activities",Dyno_Data[DelDest],"Spkr", Dyno_Data[DelMiss],"0", Dyno_Data[Mode],"Teleop")</f>
        <v>4</v>
      </c>
      <c r="AN181">
        <f>COUNTIFS(Dyno_Data[Team],TBA_Matches_All[[#This Row],[Team]],Dyno_Data[Match],TBA_Matches_All[[#This Row],[Match_Number]],Dyno_Data[RecordType],"Activities",Dyno_Data[DelDest],"Trap", Dyno_Data[DelMiss],"0", Dyno_Data[Mode],"&lt;&gt;Auto")</f>
        <v>0</v>
      </c>
      <c r="AO181">
        <f>SUM(TBA_Matches_All[[#This Row],[AampT]]+TBA_Matches_All[[#This Row],[AspkrT]]+TBA_Matches_All[[#This Row],[AtrapT]]+TBA_Matches_All[[#This Row],[TampT]]+TBA_Matches_All[[#This Row],[TspkrT]]+TBA_Matches_All[[#This Row],[TtrapT]])</f>
        <v>6</v>
      </c>
      <c r="AP181">
        <f>COUNTIFS(Dyno_Data[Team],TBA_Matches_All[[#This Row],[Team]],Dyno_Data[Match],TBA_Matches_All[[#This Row],[Match_Number]],Dyno_Data[RecordType],"Activities",Dyno_Data[DelDest],"Neut", Dyno_Data[DelMiss],"0")</f>
        <v>0</v>
      </c>
      <c r="AQ181">
        <f>COUNTIFS(Dyno_Data[Team],TBA_Matches_All[[#This Row],[Team]],Dyno_Data[Match],TBA_Matches_All[[#This Row],[Match_Number]],Dyno_Data[RecordType],"Activities",Dyno_Data[DelDest],"AllyW", Dyno_Data[DelMiss],"0")</f>
        <v>0</v>
      </c>
      <c r="AR181" t="str">
        <f>_xlfn.XLOOKUP(SUM(MID(TBA_Matches_All[[#This Row],[Team]],4,5),(TBA_Matches_All[[#This Row],[Match_Number]]/100)),Dyno_EndMatch[teammat],Dyno_EndMatch[RobotSta],"_",0,1)</f>
        <v>Amp</v>
      </c>
      <c r="AS181">
        <f>SUMIFS(Dyno_Data[AcqDis], Dyno_Data[Team],TBA_Matches_All[[#This Row],[Team]],Dyno_Data[Match],TBA_Matches_All[[#This Row],[Match_Number]],Dyno_Data[RecordType],"Activities", Dyno_Data[AcqCenter],1,Dyno_Data[Mode],"Auto")</f>
        <v>0</v>
      </c>
      <c r="AT181">
        <f>SUMIFS(Dyno_Data[AcqDis], Dyno_Data[Team],TBA_Matches_All[[#This Row],[Team]],Dyno_Data[Match],TBA_Matches_All[[#This Row],[Match_Number]],Dyno_Data[RecordType],"Activities", Dyno_Data[AcqCenter],2,Dyno_Data[Mode],"Auto")</f>
        <v>0</v>
      </c>
      <c r="AU181">
        <f>SUMIFS(Dyno_Data[AcqDis], Dyno_Data[Team],TBA_Matches_All[[#This Row],[Team]],Dyno_Data[Match],TBA_Matches_All[[#This Row],[Match_Number]],Dyno_Data[RecordType],"Activities", Dyno_Data[AcqCenter],3,Dyno_Data[Mode],"Auto")</f>
        <v>0</v>
      </c>
      <c r="AV181">
        <f>SUMIFS(Dyno_Data[AcqDis], Dyno_Data[Team],TBA_Matches_All[[#This Row],[Team]],Dyno_Data[Match],TBA_Matches_All[[#This Row],[Match_Number]],Dyno_Data[RecordType],"Activities", Dyno_Data[AcqCenter],4,Dyno_Data[Mode],"Auto")</f>
        <v>0</v>
      </c>
      <c r="AW181">
        <f>SUMIFS(Dyno_Data[AcqDis], Dyno_Data[Team],TBA_Matches_All[[#This Row],[Team]],Dyno_Data[Match],TBA_Matches_All[[#This Row],[Match_Number]],Dyno_Data[RecordType],"Activities", Dyno_Data[AcqCenter],5,Dyno_Data[Mode],"Auto")</f>
        <v>0</v>
      </c>
      <c r="AX181">
        <f>SUMIFS(Dyno_Data[DelMiss], Dyno_Data[Team],TBA_Matches_All[[#This Row],[Team]],Dyno_Data[Match],TBA_Matches_All[[#This Row],[Match_Number]],Dyno_Data[RecordType],"Activities", Dyno_Data[DelDest],"Amp")</f>
        <v>0</v>
      </c>
      <c r="AY181" s="60">
        <f>IFERROR(SUM((TBA_Matches_All[[#This Row],[AampT]]+TBA_Matches_All[[#This Row],[TampT]])/(TBA_Matches_All[[#This Row],[AampT]]+TBA_Matches_All[[#This Row],[TampT]]+TBA_Matches_All[[#This Row],[ampM]])),0)</f>
        <v>1</v>
      </c>
      <c r="AZ181">
        <f>SUMIFS(Dyno_Data[DelMiss], Dyno_Data[Team],TBA_Matches_All[[#This Row],[Team]],Dyno_Data[Match],TBA_Matches_All[[#This Row],[Match_Number]],Dyno_Data[RecordType],"Activities", Dyno_Data[DelDest],"Spkr")</f>
        <v>1</v>
      </c>
      <c r="BA181" s="60">
        <f>IFERROR(SUM((TBA_Matches_All[[#This Row],[AspkrT]]+TBA_Matches_All[[#This Row],[TspkrT]])/(TBA_Matches_All[[#This Row],[AspkrT]]+TBA_Matches_All[[#This Row],[TspkrT]]+TBA_Matches_All[[#This Row],[spkrM]])),0)</f>
        <v>0.83333333333333337</v>
      </c>
      <c r="BB181">
        <f>SUMIFS(Dyno_Data[DelMiss], Dyno_Data[Team],TBA_Matches_All[[#This Row],[Team]],Dyno_Data[Match],TBA_Matches_All[[#This Row],[Match_Number]],Dyno_Data[RecordType],"Activities", Dyno_Data[DelDest],"Trap")</f>
        <v>0</v>
      </c>
      <c r="BC181" s="60">
        <f>IFERROR((TBA_Matches_All[[#This Row],[AtrapT]]+TBA_Matches_All[[#This Row],[TtrapT]])/(TBA_Matches_All[[#This Row],[AtrapT]]+TBA_Matches_All[[#This Row],[TtrapT]]+TBA_Matches_All[[#This Row],[trapM]]),0)</f>
        <v>0</v>
      </c>
      <c r="BD181">
        <f>COUNTIFS(Dyno_Data[Team],TBA_Matches_All[[#This Row],[Team]],Dyno_Data[Match],TBA_Matches_All[[#This Row],[Match_Number]],Dyno_Data[RecordType],"Activities",Dyno_Data[DelDest],"Neut", Dyno_Data[DelMiss],1)</f>
        <v>0</v>
      </c>
      <c r="BE181" s="60">
        <f>IFERROR(SUM((TBA_Matches_All[[#This Row],[NeutFlrT]])/(TBA_Matches_All[[#This Row],[NeutFlrT]]+TBA_Matches_All[[#This Row],[NZflM]])),0)</f>
        <v>0</v>
      </c>
      <c r="BF181">
        <f>COUNTIFS(Dyno_Data[Team],TBA_Matches_All[[#This Row],[Team]],Dyno_Data[Match],TBA_Matches_All[[#This Row],[Match_Number]],Dyno_Data[RecordType],"Activities",Dyno_Data[DelDest],"AllyW", Dyno_Data[DelMiss],1)</f>
        <v>0</v>
      </c>
      <c r="BG181" s="60">
        <f>IFERROR(SUM((TBA_Matches_All[[#This Row],[AllyWFlrT]])/(TBA_Matches_All[[#This Row],[AllyWFlrT]]+TBA_Matches_All[[#This Row],[AZflM]])),0)</f>
        <v>0</v>
      </c>
      <c r="BH181">
        <f>COUNTIFS(Dyno_Data[Team],TBA_Matches_All[[#This Row],[Team]],Dyno_Data[Match],TBA_Matches_All[[#This Row],[Match_Number]],Dyno_Data[RecordType],"Activities",Dyno_Data[DelOrig],"OppW", Dyno_Data[DelMiss],"0")</f>
        <v>0</v>
      </c>
      <c r="BI181">
        <f>COUNTIFS(Dyno_Data[Team],TBA_Matches_All[[#This Row],[Team]],Dyno_Data[Match],TBA_Matches_All[[#This Row],[Match_Number]],Dyno_Data[RecordType],"Activities",Dyno_Data[DelOrig],"OppW", Dyno_Data[DelMiss],"1")</f>
        <v>0</v>
      </c>
      <c r="BJ181" s="60">
        <f>IFERROR(SUM((TBA_Matches_All[[#This Row],[OZflrT]])/(TBA_Matches_All[[#This Row],[OZflrT]]+TBA_Matches_All[[#This Row],[OZflrM]])),0)</f>
        <v>0</v>
      </c>
      <c r="BK181">
        <f>COUNTIFS(Dyno_Data[Team],TBA_Matches_All[[#This Row],[Team]],Dyno_Data[Match],TBA_Matches_All[[#This Row],[Match_Number]],Dyno_Data[RecordType],"Activities",Dyno_Data[DelOrig],"Neut", Dyno_Data[DelMiss],"0")</f>
        <v>0</v>
      </c>
      <c r="BL181">
        <f>COUNTIFS(Dyno_Data[Team],TBA_Matches_All[[#This Row],[Team]],Dyno_Data[Match],TBA_Matches_All[[#This Row],[Match_Number]],Dyno_Data[RecordType],"Activities",Dyno_Data[DelOrig],"Neut", Dyno_Data[DelMiss],"1")</f>
        <v>0</v>
      </c>
      <c r="BM181" s="60">
        <f>IFERROR(SUM((TBA_Matches_All[[#This Row],[NZflrT]])/(TBA_Matches_All[[#This Row],[NZflrT]]+TBA_Matches_All[[#This Row],[NZflrM]])),0)</f>
        <v>0</v>
      </c>
      <c r="BN181">
        <f>COUNTIFS(Dyno_Data[Team],TBA_Matches_All[[#This Row],[Team]],Dyno_Data[Match],TBA_Matches_All[[#This Row],[Match_Number]],Dyno_Data[RecordType],"Activities",Dyno_Data[DelOrig],"AllyW", Dyno_Data[DelMiss],"0")</f>
        <v>2</v>
      </c>
      <c r="BO181">
        <f>COUNTIFS(Dyno_Data[Team],TBA_Matches_All[[#This Row],[Team]],Dyno_Data[Match],TBA_Matches_All[[#This Row],[Match_Number]],Dyno_Data[RecordType],"Activities",Dyno_Data[DelOrig],"AllyW", Dyno_Data[DelMiss],"1")</f>
        <v>1</v>
      </c>
      <c r="BP181" s="60">
        <f>IFERROR(SUM((TBA_Matches_All[[#This Row],[AZflrT]])/(TBA_Matches_All[[#This Row],[AZflrT]]+TBA_Matches_All[[#This Row],[AZflrM]])),0)</f>
        <v>0.66666666666666663</v>
      </c>
      <c r="BQ181">
        <f>COUNTIFS(Dyno_Data[Team],TBA_Matches_All[[#This Row],[Team]],Dyno_Data[Match],TBA_Matches_All[[#This Row],[Match_Number]],Dyno_Data[RecordType],"Activities",Dyno_Data[DelOrig],"SubW", Dyno_Data[DelMiss],"0")</f>
        <v>4</v>
      </c>
      <c r="BR181">
        <f>COUNTIFS(Dyno_Data[Team],TBA_Matches_All[[#This Row],[Team]],Dyno_Data[Match],TBA_Matches_All[[#This Row],[Match_Number]],Dyno_Data[RecordType],"Activities",Dyno_Data[DelOrig],"SubW", Dyno_Data[DelMiss],"1")</f>
        <v>0</v>
      </c>
      <c r="BS181" s="60">
        <f>IFERROR(SUM((TBA_Matches_All[[#This Row],[SubwT]])/(TBA_Matches_All[[#This Row],[SubwT]]+TBA_Matches_All[[#This Row],[SubwM]])),0)</f>
        <v>1</v>
      </c>
      <c r="BT181">
        <f>COUNTIFS(Dyno_Data[Team],TBA_Matches_All[[#This Row],[Team]],Dyno_Data[Match],TBA_Matches_All[[#This Row],[Match_Number]],Dyno_Data[RecordType],"Activities", Dyno_Data[AcqLoc],"OppWing")</f>
        <v>0</v>
      </c>
      <c r="BU181">
        <f>COUNTIFS(Dyno_Data[Team],TBA_Matches_All[[#This Row],[Team]],Dyno_Data[Match],TBA_Matches_All[[#This Row],[Match_Number]],Dyno_Data[RecordType],"Activities", Dyno_Data[AcqLoc],"Neutral")</f>
        <v>0</v>
      </c>
      <c r="BV181">
        <f>COUNTIFS(Dyno_Data[Team],TBA_Matches_All[[#This Row],[Team]],Dyno_Data[Match],TBA_Matches_All[[#This Row],[Match_Number]],Dyno_Data[RecordType],"Activities", Dyno_Data[AcqLoc],"AllyWing")</f>
        <v>0</v>
      </c>
      <c r="BW181">
        <f>COUNTIFS(Dyno_Data[Team],TBA_Matches_All[[#This Row],[Team]],Dyno_Data[Match],TBA_Matches_All[[#This Row],[Match_Number]],Dyno_Data[RecordType],"Activities", Dyno_Data[AcqLoc],"Source")</f>
        <v>0</v>
      </c>
      <c r="BX181">
        <f>SUMIFS(Dyno_Data[AcqDrp], Dyno_Data[Team],TBA_Matches_All[[#This Row],[Team]],Dyno_Data[Match],TBA_Matches_All[[#This Row],[Match_Number]],Dyno_Data[RecordType],"Activities", Dyno_Data[AcqLoc],"Source")</f>
        <v>0</v>
      </c>
      <c r="BY181">
        <f>SUMIFS(Dyno_Data[OZTime], Dyno_Data[Team],TBA_Matches_All[[#This Row],[Team]],Dyno_Data[Match],TBA_Matches_All[[#This Row],[Match_Number]],Dyno_Data[RecordType],"EndMatch")</f>
        <v>43.891694799999996</v>
      </c>
      <c r="BZ181">
        <f>SUMIFS(Dyno_Data[NZTime], Dyno_Data[Team],TBA_Matches_All[[#This Row],[Team]],Dyno_Data[Match],TBA_Matches_All[[#This Row],[Match_Number]],Dyno_Data[RecordType],"EndMatch")</f>
        <v>32.846365999999996</v>
      </c>
      <c r="CA181">
        <f>SUMIFS(Dyno_Data[AZTime], Dyno_Data[Team],TBA_Matches_All[[#This Row],[Team]],Dyno_Data[Match],TBA_Matches_All[[#This Row],[Match_Number]],Dyno_Data[RecordType],"EndMatch")</f>
        <v>58.7138901</v>
      </c>
      <c r="CB181">
        <f>SUMIFS(Dyno_Data[ClimbT], Dyno_Data[Team],TBA_Matches_All[[#This Row],[Team]],Dyno_Data[Match],TBA_Matches_All[[#This Row],[Match_Number]],Dyno_Data[RecordType],"EndMatch")</f>
        <v>0</v>
      </c>
      <c r="CC181" t="str">
        <f>_xlfn.XLOOKUP(SUM(MID(TBA_Matches_All[[#This Row],[Team]],4,5),(TBA_Matches_All[[#This Row],[Match_Number]]/100)),Dyno_EndMatch[teammat],Dyno_EndMatch[StageStat],"_",0,1)</f>
        <v>Else</v>
      </c>
      <c r="CD181" t="str">
        <f>_xlfn.XLOOKUP(TBA_Matches_All[[#This Row],[teammat]],Dyno_EndMatch[teammat],Dyno_EndMatch[StageAtt],"_",0,1)</f>
        <v>0</v>
      </c>
      <c r="CE181" t="str">
        <f>_xlfn.XLOOKUP(TBA_Matches_All[[#This Row],[teammat]],Dyno_EndMatch[teammat],Dyno_EndMatch[StageLoc],"_",0,1)</f>
        <v>A</v>
      </c>
      <c r="CF181">
        <f>SUMIFS(Dyno_Data[Harmony], Dyno_Data[Team],TBA_Matches_All[[#This Row],[Team]],Dyno_Data[Match],TBA_Matches_All[[#This Row],[Match_Number]],Dyno_Data[RecordType],"EndMatch", Dyno_Data[StageStat],"On",Dyno_Data[Harmony],"&lt;&gt;9")</f>
        <v>0</v>
      </c>
      <c r="CG181">
        <f>SUMIFS(Dyno_Data[Spotlit], Dyno_Data[Team],TBA_Matches_All[[#This Row],[Team]],Dyno_Data[Match],TBA_Matches_All[[#This Row],[Match_Number]],Dyno_Data[RecordType],"EndMatch", Dyno_Data[StageStat],"On",Dyno_Data[Spotlit],"&lt;&gt;9")</f>
        <v>0</v>
      </c>
      <c r="CH181" t="str">
        <f>_xlfn.XLOOKUP(TBA_Matches_All[[#This Row],[teammat]],Dyno_EndMatch[teammat],Dyno_EndMatch[Strategy],"_",0,1)</f>
        <v>Hybrid</v>
      </c>
      <c r="CI181">
        <f>SUMIFS(Dyno_Data[Defense], Dyno_Data[Team],TBA_Matches_All[[#This Row],[Team]],Dyno_Data[Match],TBA_Matches_All[[#This Row],[Match_Number]],Dyno_Data[RecordType],"EndMatch",Dyno_Data[Defense],"&lt;&gt;9")</f>
        <v>0</v>
      </c>
      <c r="CJ181">
        <f>SUMIFS(Dyno_Data[Avoidance], Dyno_Data[Team],TBA_Matches_All[[#This Row],[Team]],Dyno_Data[Match],TBA_Matches_All[[#This Row],[Match_Number]],Dyno_Data[RecordType],"EndMatch",Dyno_Data[Avoidance],"&lt;&gt;9")</f>
        <v>1</v>
      </c>
      <c r="CK181" s="82">
        <f>COUNTIF($H$2:TBA_Matches_All[[#This Row],[Team]],TBA_Matches_All[[#This Row],[Team]])</f>
        <v>4</v>
      </c>
      <c r="CL181" s="111">
        <f>SUM(MID(TBA_Matches_All[[#This Row],[Team]],4,5)+TBA_Matches_All[[#This Row],[Match_Number]]/100)</f>
        <v>3550.3</v>
      </c>
      <c r="CM181">
        <f>SUM((TBA_Matches_All[[#This Row],[Leave]]*2)+(TBA_Matches_All[[#This Row],[AampT]]*2)+(TBA_Matches_All[[#This Row],[AspkrT]]*5)+(TBA_Matches_All[[#This Row],[AtrapT]]*5))</f>
        <v>5</v>
      </c>
      <c r="CN181" s="59">
        <f>IFERROR(SUM(TBA_Matches_All[[#This Row],[AptsT]]/TBA_Matches_All[[#This Row],[AutoPts]]),0)</f>
        <v>0.18518518518518517</v>
      </c>
      <c r="CO181" s="59">
        <f>IFERROR(SUM(TBA_Matches_All[[#This Row],[AampT]]+TBA_Matches_All[[#This Row],[AspkrT]]+TBA_Matches_All[[#This Row],[AtrapT]]/TBA_Matches_All[[#This Row],[Aamp]]+TBA_Matches_All[[#This Row],[Aspkr]]+TBA_Matches_All[[#This Row],[AtrapT]]),0)</f>
        <v>0</v>
      </c>
      <c r="CP181" s="59">
        <f>IFERROR(SUM(TBA_Matches_All[[#This Row],[TampT]]/TBA_Matches_All[[#This Row],[Tamp]]),0)</f>
        <v>0.25</v>
      </c>
      <c r="CQ181" s="59">
        <f>IFERROR(SUM(TBA_Matches_All[[#This Row],[TspkrT]]/TBA_Matches_All[[#This Row],[Tspkr]]),0)</f>
        <v>0.8</v>
      </c>
      <c r="CR181">
        <f>SUM(TBA_Matches_All[[#This Row],[TspkrPts]]*TBA_Matches_All[[#This Row],[TspkrP]])</f>
        <v>12.8</v>
      </c>
      <c r="CS181" s="59">
        <f>IFERROR(SUM(TBA_Matches_All[[#This Row],[TtrapT]]/TBA_Matches_All[[#This Row],[Trap]]),0)</f>
        <v>0</v>
      </c>
      <c r="CT181" s="59">
        <f>IFERROR(SUM(TBA_Matches_All[[#This Row],[TotNotesT]]/TBA_Matches_All[[#This Row],[TotNotes]]),0)</f>
        <v>0.42857142857142855</v>
      </c>
      <c r="CU181" s="66">
        <f>SUM((TBA_Matches_All[[#This Row],[AampT]]*2)+(TBA_Matches_All[[#This Row],[AspkrT]]*5)+(TBA_Matches_All[[#This Row],[AtrapT]]*5)+(TBA_Matches_All[[#This Row],[TampT]]*1)+(TBA_Matches_All[[#This Row],[TspkrptsC]]))</f>
        <v>18.8</v>
      </c>
      <c r="CV181" s="59">
        <f>IFERROR(TBA_Matches_All[[#This Row],[noteptsT]]/TBA_Matches_All[[#This Row],[NotePts]],0)</f>
        <v>0.4177777777777778</v>
      </c>
      <c r="CW181">
        <f>SUM(IF(TBA_Matches_All[[#This Row],[stageStat]]="On",3,0),IF(TBA_Matches_All[[#This Row],[stageStat]]="Park",1,0),SUMIFS(TBA_Matches_All[[#This Row],[Spotlit]],TBA_Matches_All[[#This Row],[stageStat]],"On"),SUMIFS(TBA_Matches_All[[#This Row],[Harmony]],TBA_Matches_All[[#This Row],[stageStat]],"On"))</f>
        <v>0</v>
      </c>
      <c r="CX181" s="59">
        <f>IFERROR(TBA_Matches_All[[#This Row],[stageptsT]]/TBA_Matches_All[[#This Row],[StagePts]],0)</f>
        <v>0</v>
      </c>
      <c r="CY181">
        <f>SUM((TBA_Matches_All[[#This Row],[AptsT]]+TBA_Matches_All[[#This Row],[TampT]]+TBA_Matches_All[[#This Row],[TspkrptsC]]+(TBA_Matches_All[[#This Row],[TtrapT]]*5)+TBA_Matches_All[[#This Row],[stageptsT]]))</f>
        <v>18.8</v>
      </c>
      <c r="CZ181" s="59">
        <f>IFERROR(SUM(TBA_Matches_All[[#This Row],[TotptsC]]/TBA_Matches_All[[#This Row],[Score]]),0)</f>
        <v>0.29375000000000001</v>
      </c>
      <c r="DA18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3.4423076923076925</v>
      </c>
      <c r="DB181" s="74">
        <f>SUMIFS(TBA_Matches_All[AveTeamTNoteDels],TBA_Matches_All[Match_Number],TBA_Matches_All[[#This Row],[Match_Number]],TBA_Matches_All[Alliance],"&lt;&gt;"&amp;TBA_Matches_All[[#This Row],[Alliance]],TBA_Matches_All[Scouted],"&gt;0")</f>
        <v>17.159523809523812</v>
      </c>
      <c r="DC181" s="74">
        <f>(TBA_Matches_All[[#This Row],[TampT]]+TBA_Matches_All[[#This Row],[TspkrptsC]])-TBA_Matches_All[[#This Row],[AveTeamTNoteDels]]</f>
        <v>10.357692307692307</v>
      </c>
      <c r="DD181" s="74">
        <f>SUMIFS(TBA_Matches_All[AveTeamTNoteDels],TBA_Matches_All[Match_Number],TBA_Matches_All[[#This Row],[Match_Number]],TBA_Matches_All[Alliance],"&lt;&gt;"&amp;TBA_Matches_All[[#This Row],[Alliance]])-TBA_Matches_All[[#This Row],[AveOppTNoteDels]]</f>
        <v>0</v>
      </c>
    </row>
    <row r="182" spans="1:108" x14ac:dyDescent="0.3">
      <c r="A182" t="s">
        <v>1042</v>
      </c>
      <c r="B182" t="s">
        <v>489</v>
      </c>
      <c r="C182" t="s">
        <v>1339</v>
      </c>
      <c r="D182">
        <v>30</v>
      </c>
      <c r="E182" t="s">
        <v>1406</v>
      </c>
      <c r="F182" t="s">
        <v>1426</v>
      </c>
      <c r="G182" t="s">
        <v>164</v>
      </c>
      <c r="H182" t="s">
        <v>366</v>
      </c>
      <c r="I182" t="b">
        <v>0</v>
      </c>
      <c r="J182">
        <v>30</v>
      </c>
      <c r="K182">
        <v>0</v>
      </c>
      <c r="L182">
        <v>1</v>
      </c>
      <c r="M182">
        <v>16</v>
      </c>
      <c r="N182">
        <v>0</v>
      </c>
      <c r="O182">
        <v>1</v>
      </c>
      <c r="P182">
        <v>5</v>
      </c>
      <c r="Q182">
        <v>9</v>
      </c>
      <c r="R182">
        <v>0</v>
      </c>
      <c r="S182">
        <v>0</v>
      </c>
      <c r="T182">
        <v>3</v>
      </c>
      <c r="U182">
        <v>0</v>
      </c>
      <c r="V182">
        <v>6</v>
      </c>
      <c r="W182">
        <v>3</v>
      </c>
      <c r="X182">
        <v>6</v>
      </c>
      <c r="Y182">
        <v>6</v>
      </c>
      <c r="Z182">
        <v>0</v>
      </c>
      <c r="AA182">
        <v>0</v>
      </c>
      <c r="AB182">
        <v>4</v>
      </c>
      <c r="AC182">
        <v>11</v>
      </c>
      <c r="AD182">
        <v>0</v>
      </c>
      <c r="AE182">
        <f>IFERROR(6/(COUNTIF(Dyno_EndMatch[Match],TBA_Matches_All[[#This Row],[Match_Number]])),0)</f>
        <v>1</v>
      </c>
      <c r="AF182">
        <f>COUNTIFS(Dyno_Data[Team],TBA_Matches_All[[#This Row],[Team]],Dyno_Data[Match],TBA_Matches_All[[#This Row],[Match_Number]],Dyno_Data[RecordType],"EndMatch",Dyno_Data[HPAmp],"Y")</f>
        <v>0</v>
      </c>
      <c r="AG182">
        <f>SUMIFS(Dyno_Data[Mics], Dyno_Data[Team],TBA_Matches_All[[#This Row],[Team]],Dyno_Data[Match],TBA_Matches_All[[#This Row],[Match_Number]],Dyno_Data[RecordType],"EndMatch",Dyno_Data[HPAmp],"Y")</f>
        <v>0</v>
      </c>
      <c r="AH182">
        <f>SUMIFS(Dyno_Data[Leave], Dyno_Data[Team],TBA_Matches_All[[#This Row],[Team]],Dyno_Data[Match],TBA_Matches_All[[#This Row],[Match_Number]],Dyno_Data[RecordType],"EndAuto")</f>
        <v>0</v>
      </c>
      <c r="AI182">
        <f>COUNTIFS(Dyno_Data[Team],TBA_Matches_All[[#This Row],[Team]],Dyno_Data[Match],TBA_Matches_All[[#This Row],[Match_Number]],Dyno_Data[RecordType],"Activities",Dyno_Data[DelDest],"Amp", Dyno_Data[DelMiss],"0", Dyno_Data[Mode],"Auto")</f>
        <v>0</v>
      </c>
      <c r="AJ182">
        <f>COUNTIFS(Dyno_Data[Team],TBA_Matches_All[[#This Row],[Team]],Dyno_Data[Match],TBA_Matches_All[[#This Row],[Match_Number]],Dyno_Data[RecordType],"Activities",Dyno_Data[DelDest],"Spkr", Dyno_Data[DelMiss],"0", Dyno_Data[Mode],"Auto")</f>
        <v>1</v>
      </c>
      <c r="AK182">
        <f>COUNTIFS(Dyno_Data[Team],TBA_Matches_All[[#This Row],[Team]],Dyno_Data[Match],TBA_Matches_All[[#This Row],[Match_Number]],Dyno_Data[RecordType],"Activities",Dyno_Data[DelDest],"Trap", Dyno_Data[DelMiss],"0", Dyno_Data[Mode],"Auto")</f>
        <v>0</v>
      </c>
      <c r="AL182">
        <f>COUNTIFS(Dyno_Data[Team],TBA_Matches_All[[#This Row],[Team]],Dyno_Data[Match],TBA_Matches_All[[#This Row],[Match_Number]],Dyno_Data[RecordType],"Activities",Dyno_Data[DelDest],"Amp", Dyno_Data[DelMiss],"0", Dyno_Data[Mode],"Teleop")</f>
        <v>0</v>
      </c>
      <c r="AM182">
        <f>COUNTIFS(Dyno_Data[Team],TBA_Matches_All[[#This Row],[Team]],Dyno_Data[Match],TBA_Matches_All[[#This Row],[Match_Number]],Dyno_Data[RecordType],"Activities",Dyno_Data[DelDest],"Spkr", Dyno_Data[DelMiss],"0", Dyno_Data[Mode],"Teleop")</f>
        <v>3</v>
      </c>
      <c r="AN182">
        <f>COUNTIFS(Dyno_Data[Team],TBA_Matches_All[[#This Row],[Team]],Dyno_Data[Match],TBA_Matches_All[[#This Row],[Match_Number]],Dyno_Data[RecordType],"Activities",Dyno_Data[DelDest],"Trap", Dyno_Data[DelMiss],"0", Dyno_Data[Mode],"&lt;&gt;Auto")</f>
        <v>0</v>
      </c>
      <c r="AO182">
        <f>SUM(TBA_Matches_All[[#This Row],[AampT]]+TBA_Matches_All[[#This Row],[AspkrT]]+TBA_Matches_All[[#This Row],[AtrapT]]+TBA_Matches_All[[#This Row],[TampT]]+TBA_Matches_All[[#This Row],[TspkrT]]+TBA_Matches_All[[#This Row],[TtrapT]])</f>
        <v>4</v>
      </c>
      <c r="AP182">
        <f>COUNTIFS(Dyno_Data[Team],TBA_Matches_All[[#This Row],[Team]],Dyno_Data[Match],TBA_Matches_All[[#This Row],[Match_Number]],Dyno_Data[RecordType],"Activities",Dyno_Data[DelDest],"Neut", Dyno_Data[DelMiss],"0")</f>
        <v>0</v>
      </c>
      <c r="AQ182">
        <f>COUNTIFS(Dyno_Data[Team],TBA_Matches_All[[#This Row],[Team]],Dyno_Data[Match],TBA_Matches_All[[#This Row],[Match_Number]],Dyno_Data[RecordType],"Activities",Dyno_Data[DelDest],"AllyW", Dyno_Data[DelMiss],"0")</f>
        <v>0</v>
      </c>
      <c r="AR182" t="str">
        <f>_xlfn.XLOOKUP(SUM(MID(TBA_Matches_All[[#This Row],[Team]],4,5),(TBA_Matches_All[[#This Row],[Match_Number]]/100)),Dyno_EndMatch[teammat],Dyno_EndMatch[RobotSta],"_",0,1)</f>
        <v>SubW</v>
      </c>
      <c r="AS182">
        <f>SUMIFS(Dyno_Data[AcqDis], Dyno_Data[Team],TBA_Matches_All[[#This Row],[Team]],Dyno_Data[Match],TBA_Matches_All[[#This Row],[Match_Number]],Dyno_Data[RecordType],"Activities", Dyno_Data[AcqCenter],1,Dyno_Data[Mode],"Auto")</f>
        <v>0</v>
      </c>
      <c r="AT182">
        <f>SUMIFS(Dyno_Data[AcqDis], Dyno_Data[Team],TBA_Matches_All[[#This Row],[Team]],Dyno_Data[Match],TBA_Matches_All[[#This Row],[Match_Number]],Dyno_Data[RecordType],"Activities", Dyno_Data[AcqCenter],2,Dyno_Data[Mode],"Auto")</f>
        <v>0</v>
      </c>
      <c r="AU182">
        <f>SUMIFS(Dyno_Data[AcqDis], Dyno_Data[Team],TBA_Matches_All[[#This Row],[Team]],Dyno_Data[Match],TBA_Matches_All[[#This Row],[Match_Number]],Dyno_Data[RecordType],"Activities", Dyno_Data[AcqCenter],3,Dyno_Data[Mode],"Auto")</f>
        <v>0</v>
      </c>
      <c r="AV182">
        <f>SUMIFS(Dyno_Data[AcqDis], Dyno_Data[Team],TBA_Matches_All[[#This Row],[Team]],Dyno_Data[Match],TBA_Matches_All[[#This Row],[Match_Number]],Dyno_Data[RecordType],"Activities", Dyno_Data[AcqCenter],4,Dyno_Data[Mode],"Auto")</f>
        <v>0</v>
      </c>
      <c r="AW182">
        <f>SUMIFS(Dyno_Data[AcqDis], Dyno_Data[Team],TBA_Matches_All[[#This Row],[Team]],Dyno_Data[Match],TBA_Matches_All[[#This Row],[Match_Number]],Dyno_Data[RecordType],"Activities", Dyno_Data[AcqCenter],5,Dyno_Data[Mode],"Auto")</f>
        <v>0</v>
      </c>
      <c r="AX182">
        <f>SUMIFS(Dyno_Data[DelMiss], Dyno_Data[Team],TBA_Matches_All[[#This Row],[Team]],Dyno_Data[Match],TBA_Matches_All[[#This Row],[Match_Number]],Dyno_Data[RecordType],"Activities", Dyno_Data[DelDest],"Amp")</f>
        <v>0</v>
      </c>
      <c r="AY182" s="60">
        <f>IFERROR(SUM((TBA_Matches_All[[#This Row],[AampT]]+TBA_Matches_All[[#This Row],[TampT]])/(TBA_Matches_All[[#This Row],[AampT]]+TBA_Matches_All[[#This Row],[TampT]]+TBA_Matches_All[[#This Row],[ampM]])),0)</f>
        <v>0</v>
      </c>
      <c r="AZ182">
        <f>SUMIFS(Dyno_Data[DelMiss], Dyno_Data[Team],TBA_Matches_All[[#This Row],[Team]],Dyno_Data[Match],TBA_Matches_All[[#This Row],[Match_Number]],Dyno_Data[RecordType],"Activities", Dyno_Data[DelDest],"Spkr")</f>
        <v>0</v>
      </c>
      <c r="BA182" s="60">
        <f>IFERROR(SUM((TBA_Matches_All[[#This Row],[AspkrT]]+TBA_Matches_All[[#This Row],[TspkrT]])/(TBA_Matches_All[[#This Row],[AspkrT]]+TBA_Matches_All[[#This Row],[TspkrT]]+TBA_Matches_All[[#This Row],[spkrM]])),0)</f>
        <v>1</v>
      </c>
      <c r="BB182">
        <f>SUMIFS(Dyno_Data[DelMiss], Dyno_Data[Team],TBA_Matches_All[[#This Row],[Team]],Dyno_Data[Match],TBA_Matches_All[[#This Row],[Match_Number]],Dyno_Data[RecordType],"Activities", Dyno_Data[DelDest],"Trap")</f>
        <v>0</v>
      </c>
      <c r="BC182" s="60">
        <f>IFERROR((TBA_Matches_All[[#This Row],[AtrapT]]+TBA_Matches_All[[#This Row],[TtrapT]])/(TBA_Matches_All[[#This Row],[AtrapT]]+TBA_Matches_All[[#This Row],[TtrapT]]+TBA_Matches_All[[#This Row],[trapM]]),0)</f>
        <v>0</v>
      </c>
      <c r="BD182">
        <f>COUNTIFS(Dyno_Data[Team],TBA_Matches_All[[#This Row],[Team]],Dyno_Data[Match],TBA_Matches_All[[#This Row],[Match_Number]],Dyno_Data[RecordType],"Activities",Dyno_Data[DelDest],"Neut", Dyno_Data[DelMiss],1)</f>
        <v>0</v>
      </c>
      <c r="BE182" s="60">
        <f>IFERROR(SUM((TBA_Matches_All[[#This Row],[NeutFlrT]])/(TBA_Matches_All[[#This Row],[NeutFlrT]]+TBA_Matches_All[[#This Row],[NZflM]])),0)</f>
        <v>0</v>
      </c>
      <c r="BF182">
        <f>COUNTIFS(Dyno_Data[Team],TBA_Matches_All[[#This Row],[Team]],Dyno_Data[Match],TBA_Matches_All[[#This Row],[Match_Number]],Dyno_Data[RecordType],"Activities",Dyno_Data[DelDest],"AllyW", Dyno_Data[DelMiss],1)</f>
        <v>0</v>
      </c>
      <c r="BG182" s="60">
        <f>IFERROR(SUM((TBA_Matches_All[[#This Row],[AllyWFlrT]])/(TBA_Matches_All[[#This Row],[AllyWFlrT]]+TBA_Matches_All[[#This Row],[AZflM]])),0)</f>
        <v>0</v>
      </c>
      <c r="BH182">
        <f>COUNTIFS(Dyno_Data[Team],TBA_Matches_All[[#This Row],[Team]],Dyno_Data[Match],TBA_Matches_All[[#This Row],[Match_Number]],Dyno_Data[RecordType],"Activities",Dyno_Data[DelOrig],"OppW", Dyno_Data[DelMiss],"0")</f>
        <v>0</v>
      </c>
      <c r="BI182">
        <f>COUNTIFS(Dyno_Data[Team],TBA_Matches_All[[#This Row],[Team]],Dyno_Data[Match],TBA_Matches_All[[#This Row],[Match_Number]],Dyno_Data[RecordType],"Activities",Dyno_Data[DelOrig],"OppW", Dyno_Data[DelMiss],"1")</f>
        <v>0</v>
      </c>
      <c r="BJ182" s="60">
        <f>IFERROR(SUM((TBA_Matches_All[[#This Row],[OZflrT]])/(TBA_Matches_All[[#This Row],[OZflrT]]+TBA_Matches_All[[#This Row],[OZflrM]])),0)</f>
        <v>0</v>
      </c>
      <c r="BK182">
        <f>COUNTIFS(Dyno_Data[Team],TBA_Matches_All[[#This Row],[Team]],Dyno_Data[Match],TBA_Matches_All[[#This Row],[Match_Number]],Dyno_Data[RecordType],"Activities",Dyno_Data[DelOrig],"Neut", Dyno_Data[DelMiss],"0")</f>
        <v>0</v>
      </c>
      <c r="BL182">
        <f>COUNTIFS(Dyno_Data[Team],TBA_Matches_All[[#This Row],[Team]],Dyno_Data[Match],TBA_Matches_All[[#This Row],[Match_Number]],Dyno_Data[RecordType],"Activities",Dyno_Data[DelOrig],"Neut", Dyno_Data[DelMiss],"1")</f>
        <v>0</v>
      </c>
      <c r="BM182" s="60">
        <f>IFERROR(SUM((TBA_Matches_All[[#This Row],[NZflrT]])/(TBA_Matches_All[[#This Row],[NZflrT]]+TBA_Matches_All[[#This Row],[NZflrM]])),0)</f>
        <v>0</v>
      </c>
      <c r="BN182">
        <f>COUNTIFS(Dyno_Data[Team],TBA_Matches_All[[#This Row],[Team]],Dyno_Data[Match],TBA_Matches_All[[#This Row],[Match_Number]],Dyno_Data[RecordType],"Activities",Dyno_Data[DelOrig],"AllyW", Dyno_Data[DelMiss],"0")</f>
        <v>1</v>
      </c>
      <c r="BO182">
        <f>COUNTIFS(Dyno_Data[Team],TBA_Matches_All[[#This Row],[Team]],Dyno_Data[Match],TBA_Matches_All[[#This Row],[Match_Number]],Dyno_Data[RecordType],"Activities",Dyno_Data[DelOrig],"AllyW", Dyno_Data[DelMiss],"1")</f>
        <v>0</v>
      </c>
      <c r="BP182" s="60">
        <f>IFERROR(SUM((TBA_Matches_All[[#This Row],[AZflrT]])/(TBA_Matches_All[[#This Row],[AZflrT]]+TBA_Matches_All[[#This Row],[AZflrM]])),0)</f>
        <v>1</v>
      </c>
      <c r="BQ182">
        <f>COUNTIFS(Dyno_Data[Team],TBA_Matches_All[[#This Row],[Team]],Dyno_Data[Match],TBA_Matches_All[[#This Row],[Match_Number]],Dyno_Data[RecordType],"Activities",Dyno_Data[DelOrig],"SubW", Dyno_Data[DelMiss],"0")</f>
        <v>3</v>
      </c>
      <c r="BR182">
        <f>COUNTIFS(Dyno_Data[Team],TBA_Matches_All[[#This Row],[Team]],Dyno_Data[Match],TBA_Matches_All[[#This Row],[Match_Number]],Dyno_Data[RecordType],"Activities",Dyno_Data[DelOrig],"SubW", Dyno_Data[DelMiss],"1")</f>
        <v>0</v>
      </c>
      <c r="BS182" s="60">
        <f>IFERROR(SUM((TBA_Matches_All[[#This Row],[SubwT]])/(TBA_Matches_All[[#This Row],[SubwT]]+TBA_Matches_All[[#This Row],[SubwM]])),0)</f>
        <v>1</v>
      </c>
      <c r="BT182">
        <f>COUNTIFS(Dyno_Data[Team],TBA_Matches_All[[#This Row],[Team]],Dyno_Data[Match],TBA_Matches_All[[#This Row],[Match_Number]],Dyno_Data[RecordType],"Activities", Dyno_Data[AcqLoc],"OppWing")</f>
        <v>0</v>
      </c>
      <c r="BU182">
        <f>COUNTIFS(Dyno_Data[Team],TBA_Matches_All[[#This Row],[Team]],Dyno_Data[Match],TBA_Matches_All[[#This Row],[Match_Number]],Dyno_Data[RecordType],"Activities", Dyno_Data[AcqLoc],"Neutral")</f>
        <v>0</v>
      </c>
      <c r="BV182">
        <f>COUNTIFS(Dyno_Data[Team],TBA_Matches_All[[#This Row],[Team]],Dyno_Data[Match],TBA_Matches_All[[#This Row],[Match_Number]],Dyno_Data[RecordType],"Activities", Dyno_Data[AcqLoc],"AllyWing")</f>
        <v>0</v>
      </c>
      <c r="BW182">
        <f>COUNTIFS(Dyno_Data[Team],TBA_Matches_All[[#This Row],[Team]],Dyno_Data[Match],TBA_Matches_All[[#This Row],[Match_Number]],Dyno_Data[RecordType],"Activities", Dyno_Data[AcqLoc],"Source")</f>
        <v>0</v>
      </c>
      <c r="BX182">
        <f>SUMIFS(Dyno_Data[AcqDrp], Dyno_Data[Team],TBA_Matches_All[[#This Row],[Team]],Dyno_Data[Match],TBA_Matches_All[[#This Row],[Match_Number]],Dyno_Data[RecordType],"Activities", Dyno_Data[AcqLoc],"Source")</f>
        <v>0</v>
      </c>
      <c r="BY182">
        <f>SUMIFS(Dyno_Data[OZTime], Dyno_Data[Team],TBA_Matches_All[[#This Row],[Team]],Dyno_Data[Match],TBA_Matches_All[[#This Row],[Match_Number]],Dyno_Data[RecordType],"EndMatch")</f>
        <v>0</v>
      </c>
      <c r="BZ182">
        <f>SUMIFS(Dyno_Data[NZTime], Dyno_Data[Team],TBA_Matches_All[[#This Row],[Team]],Dyno_Data[Match],TBA_Matches_All[[#This Row],[Match_Number]],Dyno_Data[RecordType],"EndMatch")</f>
        <v>0</v>
      </c>
      <c r="CA182">
        <f>SUMIFS(Dyno_Data[AZTime], Dyno_Data[Team],TBA_Matches_All[[#This Row],[Team]],Dyno_Data[Match],TBA_Matches_All[[#This Row],[Match_Number]],Dyno_Data[RecordType],"EndMatch")</f>
        <v>135.95632129999998</v>
      </c>
      <c r="CB182">
        <f>SUMIFS(Dyno_Data[ClimbT], Dyno_Data[Team],TBA_Matches_All[[#This Row],[Team]],Dyno_Data[Match],TBA_Matches_All[[#This Row],[Match_Number]],Dyno_Data[RecordType],"EndMatch")</f>
        <v>0</v>
      </c>
      <c r="CC182" t="str">
        <f>_xlfn.XLOOKUP(SUM(MID(TBA_Matches_All[[#This Row],[Team]],4,5),(TBA_Matches_All[[#This Row],[Match_Number]]/100)),Dyno_EndMatch[teammat],Dyno_EndMatch[StageStat],"_",0,1)</f>
        <v>Else</v>
      </c>
      <c r="CD182" t="str">
        <f>_xlfn.XLOOKUP(TBA_Matches_All[[#This Row],[teammat]],Dyno_EndMatch[teammat],Dyno_EndMatch[StageAtt],"_",0,1)</f>
        <v>0</v>
      </c>
      <c r="CE182" t="str">
        <f>_xlfn.XLOOKUP(TBA_Matches_All[[#This Row],[teammat]],Dyno_EndMatch[teammat],Dyno_EndMatch[StageLoc],"_",0,1)</f>
        <v>A</v>
      </c>
      <c r="CF182">
        <f>SUMIFS(Dyno_Data[Harmony], Dyno_Data[Team],TBA_Matches_All[[#This Row],[Team]],Dyno_Data[Match],TBA_Matches_All[[#This Row],[Match_Number]],Dyno_Data[RecordType],"EndMatch", Dyno_Data[StageStat],"On",Dyno_Data[Harmony],"&lt;&gt;9")</f>
        <v>0</v>
      </c>
      <c r="CG182">
        <f>SUMIFS(Dyno_Data[Spotlit], Dyno_Data[Team],TBA_Matches_All[[#This Row],[Team]],Dyno_Data[Match],TBA_Matches_All[[#This Row],[Match_Number]],Dyno_Data[RecordType],"EndMatch", Dyno_Data[StageStat],"On",Dyno_Data[Spotlit],"&lt;&gt;9")</f>
        <v>0</v>
      </c>
      <c r="CH182" t="str">
        <f>_xlfn.XLOOKUP(TBA_Matches_All[[#This Row],[teammat]],Dyno_EndMatch[teammat],Dyno_EndMatch[Strategy],"_",0,1)</f>
        <v>Shooter</v>
      </c>
      <c r="CI182">
        <f>SUMIFS(Dyno_Data[Defense], Dyno_Data[Team],TBA_Matches_All[[#This Row],[Team]],Dyno_Data[Match],TBA_Matches_All[[#This Row],[Match_Number]],Dyno_Data[RecordType],"EndMatch",Dyno_Data[Defense],"&lt;&gt;9")</f>
        <v>0</v>
      </c>
      <c r="CJ182">
        <f>SUMIFS(Dyno_Data[Avoidance], Dyno_Data[Team],TBA_Matches_All[[#This Row],[Team]],Dyno_Data[Match],TBA_Matches_All[[#This Row],[Match_Number]],Dyno_Data[RecordType],"EndMatch",Dyno_Data[Avoidance],"&lt;&gt;9")</f>
        <v>0</v>
      </c>
      <c r="CK182" s="82">
        <f>COUNTIF($H$2:TBA_Matches_All[[#This Row],[Team]],TBA_Matches_All[[#This Row],[Team]])</f>
        <v>4</v>
      </c>
      <c r="CL182" s="111">
        <f>SUM(MID(TBA_Matches_All[[#This Row],[Team]],4,5)+TBA_Matches_All[[#This Row],[Match_Number]]/100)</f>
        <v>4122.3</v>
      </c>
      <c r="CM182">
        <f>SUM((TBA_Matches_All[[#This Row],[Leave]]*2)+(TBA_Matches_All[[#This Row],[AampT]]*2)+(TBA_Matches_All[[#This Row],[AspkrT]]*5)+(TBA_Matches_All[[#This Row],[AtrapT]]*5))</f>
        <v>5</v>
      </c>
      <c r="CN182" s="59">
        <f>IFERROR(SUM(TBA_Matches_All[[#This Row],[AptsT]]/TBA_Matches_All[[#This Row],[AutoPts]]),0)</f>
        <v>0.55555555555555558</v>
      </c>
      <c r="CO182" s="59">
        <f>IFERROR(SUM(TBA_Matches_All[[#This Row],[AampT]]+TBA_Matches_All[[#This Row],[AspkrT]]+TBA_Matches_All[[#This Row],[AtrapT]]/TBA_Matches_All[[#This Row],[Aamp]]+TBA_Matches_All[[#This Row],[Aspkr]]+TBA_Matches_All[[#This Row],[AtrapT]]),0)</f>
        <v>0</v>
      </c>
      <c r="CP182" s="59">
        <f>IFERROR(SUM(TBA_Matches_All[[#This Row],[TampT]]/TBA_Matches_All[[#This Row],[Tamp]]),0)</f>
        <v>0</v>
      </c>
      <c r="CQ182" s="59">
        <f>IFERROR(SUM(TBA_Matches_All[[#This Row],[TspkrT]]/TBA_Matches_All[[#This Row],[Tspkr]]),0)</f>
        <v>1</v>
      </c>
      <c r="CR182">
        <f>SUM(TBA_Matches_All[[#This Row],[TspkrPts]]*TBA_Matches_All[[#This Row],[TspkrP]])</f>
        <v>6</v>
      </c>
      <c r="CS182" s="59">
        <f>IFERROR(SUM(TBA_Matches_All[[#This Row],[TtrapT]]/TBA_Matches_All[[#This Row],[Trap]]),0)</f>
        <v>0</v>
      </c>
      <c r="CT182" s="59">
        <f>IFERROR(SUM(TBA_Matches_All[[#This Row],[TotNotesT]]/TBA_Matches_All[[#This Row],[TotNotes]]),0)</f>
        <v>1</v>
      </c>
      <c r="CU182" s="66">
        <f>SUM((TBA_Matches_All[[#This Row],[AampT]]*2)+(TBA_Matches_All[[#This Row],[AspkrT]]*5)+(TBA_Matches_All[[#This Row],[AtrapT]]*5)+(TBA_Matches_All[[#This Row],[TampT]]*1)+(TBA_Matches_All[[#This Row],[TspkrptsC]]))</f>
        <v>11</v>
      </c>
      <c r="CV182" s="59">
        <f>IFERROR(TBA_Matches_All[[#This Row],[noteptsT]]/TBA_Matches_All[[#This Row],[NotePts]],0)</f>
        <v>1</v>
      </c>
      <c r="CW182">
        <f>SUM(IF(TBA_Matches_All[[#This Row],[stageStat]]="On",3,0),IF(TBA_Matches_All[[#This Row],[stageStat]]="Park",1,0),SUMIFS(TBA_Matches_All[[#This Row],[Spotlit]],TBA_Matches_All[[#This Row],[stageStat]],"On"),SUMIFS(TBA_Matches_All[[#This Row],[Harmony]],TBA_Matches_All[[#This Row],[stageStat]],"On"))</f>
        <v>0</v>
      </c>
      <c r="CX182" s="59">
        <f>IFERROR(TBA_Matches_All[[#This Row],[stageptsT]]/TBA_Matches_All[[#This Row],[StagePts]],0)</f>
        <v>0</v>
      </c>
      <c r="CY182">
        <f>SUM((TBA_Matches_All[[#This Row],[AptsT]]+TBA_Matches_All[[#This Row],[TampT]]+TBA_Matches_All[[#This Row],[TspkrptsC]]+(TBA_Matches_All[[#This Row],[TtrapT]]*5)+TBA_Matches_All[[#This Row],[stageptsT]]))</f>
        <v>11</v>
      </c>
      <c r="CZ182" s="59">
        <f>IFERROR(SUM(TBA_Matches_All[[#This Row],[TotptsC]]/TBA_Matches_All[[#This Row],[Score]]),0)</f>
        <v>0.36666666666666664</v>
      </c>
      <c r="DA18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12.18452380952381</v>
      </c>
      <c r="DB182" s="74">
        <f>SUMIFS(TBA_Matches_All[AveTeamTNoteDels],TBA_Matches_All[Match_Number],TBA_Matches_All[[#This Row],[Match_Number]],TBA_Matches_All[Alliance],"&lt;&gt;"&amp;TBA_Matches_All[[#This Row],[Alliance]],TBA_Matches_All[Scouted],"&gt;0")</f>
        <v>29.497069597069597</v>
      </c>
      <c r="DC182" s="74">
        <f>(TBA_Matches_All[[#This Row],[TampT]]+TBA_Matches_All[[#This Row],[TspkrptsC]])-TBA_Matches_All[[#This Row],[AveTeamTNoteDels]]</f>
        <v>-6.1845238095238102</v>
      </c>
      <c r="DD182" s="74">
        <f>SUMIFS(TBA_Matches_All[AveTeamTNoteDels],TBA_Matches_All[Match_Number],TBA_Matches_All[[#This Row],[Match_Number]],TBA_Matches_All[Alliance],"&lt;&gt;"&amp;TBA_Matches_All[[#This Row],[Alliance]])-TBA_Matches_All[[#This Row],[AveOppTNoteDels]]</f>
        <v>0</v>
      </c>
    </row>
    <row r="183" spans="1:108" x14ac:dyDescent="0.3">
      <c r="A183" t="s">
        <v>1042</v>
      </c>
      <c r="B183" t="s">
        <v>489</v>
      </c>
      <c r="C183" t="s">
        <v>1340</v>
      </c>
      <c r="D183">
        <v>31</v>
      </c>
      <c r="E183" t="s">
        <v>1420</v>
      </c>
      <c r="F183" t="s">
        <v>1425</v>
      </c>
      <c r="G183" t="s">
        <v>105</v>
      </c>
      <c r="H183" t="s">
        <v>361</v>
      </c>
      <c r="I183" t="b">
        <v>1</v>
      </c>
      <c r="J183">
        <v>54</v>
      </c>
      <c r="K183">
        <v>1</v>
      </c>
      <c r="L183">
        <v>0</v>
      </c>
      <c r="M183">
        <v>0</v>
      </c>
      <c r="N183">
        <v>0</v>
      </c>
      <c r="O183">
        <v>1</v>
      </c>
      <c r="P183">
        <v>5</v>
      </c>
      <c r="Q183">
        <v>7</v>
      </c>
      <c r="R183">
        <v>5</v>
      </c>
      <c r="S183">
        <v>5</v>
      </c>
      <c r="T183">
        <v>5</v>
      </c>
      <c r="U183">
        <v>25</v>
      </c>
      <c r="V183">
        <v>10</v>
      </c>
      <c r="W183">
        <v>10</v>
      </c>
      <c r="X183">
        <v>35</v>
      </c>
      <c r="Y183">
        <v>40</v>
      </c>
      <c r="Z183">
        <v>0</v>
      </c>
      <c r="AA183">
        <v>0</v>
      </c>
      <c r="AB183">
        <v>16</v>
      </c>
      <c r="AC183">
        <v>45</v>
      </c>
      <c r="AD183">
        <v>5</v>
      </c>
      <c r="AE183">
        <f>IFERROR(6/(COUNTIF(Dyno_EndMatch[Match],TBA_Matches_All[[#This Row],[Match_Number]])),0)</f>
        <v>1</v>
      </c>
      <c r="AF183">
        <f>COUNTIFS(Dyno_Data[Team],TBA_Matches_All[[#This Row],[Team]],Dyno_Data[Match],TBA_Matches_All[[#This Row],[Match_Number]],Dyno_Data[RecordType],"EndMatch",Dyno_Data[HPAmp],"Y")</f>
        <v>1</v>
      </c>
      <c r="AG183">
        <f>SUMIFS(Dyno_Data[Mics], Dyno_Data[Team],TBA_Matches_All[[#This Row],[Team]],Dyno_Data[Match],TBA_Matches_All[[#This Row],[Match_Number]],Dyno_Data[RecordType],"EndMatch",Dyno_Data[HPAmp],"Y")</f>
        <v>0</v>
      </c>
      <c r="AH183">
        <f>SUMIFS(Dyno_Data[Leave], Dyno_Data[Team],TBA_Matches_All[[#This Row],[Team]],Dyno_Data[Match],TBA_Matches_All[[#This Row],[Match_Number]],Dyno_Data[RecordType],"EndAuto")</f>
        <v>0</v>
      </c>
      <c r="AI183">
        <f>COUNTIFS(Dyno_Data[Team],TBA_Matches_All[[#This Row],[Team]],Dyno_Data[Match],TBA_Matches_All[[#This Row],[Match_Number]],Dyno_Data[RecordType],"Activities",Dyno_Data[DelDest],"Amp", Dyno_Data[DelMiss],"0", Dyno_Data[Mode],"Auto")</f>
        <v>0</v>
      </c>
      <c r="AJ183">
        <f>COUNTIFS(Dyno_Data[Team],TBA_Matches_All[[#This Row],[Team]],Dyno_Data[Match],TBA_Matches_All[[#This Row],[Match_Number]],Dyno_Data[RecordType],"Activities",Dyno_Data[DelDest],"Spkr", Dyno_Data[DelMiss],"0", Dyno_Data[Mode],"Auto")</f>
        <v>0</v>
      </c>
      <c r="AK183">
        <f>COUNTIFS(Dyno_Data[Team],TBA_Matches_All[[#This Row],[Team]],Dyno_Data[Match],TBA_Matches_All[[#This Row],[Match_Number]],Dyno_Data[RecordType],"Activities",Dyno_Data[DelDest],"Trap", Dyno_Data[DelMiss],"0", Dyno_Data[Mode],"Auto")</f>
        <v>0</v>
      </c>
      <c r="AL183">
        <f>COUNTIFS(Dyno_Data[Team],TBA_Matches_All[[#This Row],[Team]],Dyno_Data[Match],TBA_Matches_All[[#This Row],[Match_Number]],Dyno_Data[RecordType],"Activities",Dyno_Data[DelDest],"Amp", Dyno_Data[DelMiss],"0", Dyno_Data[Mode],"Teleop")</f>
        <v>5</v>
      </c>
      <c r="AM183">
        <f>COUNTIFS(Dyno_Data[Team],TBA_Matches_All[[#This Row],[Team]],Dyno_Data[Match],TBA_Matches_All[[#This Row],[Match_Number]],Dyno_Data[RecordType],"Activities",Dyno_Data[DelDest],"Spkr", Dyno_Data[DelMiss],"0", Dyno_Data[Mode],"Teleop")</f>
        <v>5</v>
      </c>
      <c r="AN183">
        <f>COUNTIFS(Dyno_Data[Team],TBA_Matches_All[[#This Row],[Team]],Dyno_Data[Match],TBA_Matches_All[[#This Row],[Match_Number]],Dyno_Data[RecordType],"Activities",Dyno_Data[DelDest],"Trap", Dyno_Data[DelMiss],"0", Dyno_Data[Mode],"&lt;&gt;Auto")</f>
        <v>0</v>
      </c>
      <c r="AO183">
        <f>SUM(TBA_Matches_All[[#This Row],[AampT]]+TBA_Matches_All[[#This Row],[AspkrT]]+TBA_Matches_All[[#This Row],[AtrapT]]+TBA_Matches_All[[#This Row],[TampT]]+TBA_Matches_All[[#This Row],[TspkrT]]+TBA_Matches_All[[#This Row],[TtrapT]])</f>
        <v>10</v>
      </c>
      <c r="AP183">
        <f>COUNTIFS(Dyno_Data[Team],TBA_Matches_All[[#This Row],[Team]],Dyno_Data[Match],TBA_Matches_All[[#This Row],[Match_Number]],Dyno_Data[RecordType],"Activities",Dyno_Data[DelDest],"Neut", Dyno_Data[DelMiss],"0")</f>
        <v>0</v>
      </c>
      <c r="AQ183">
        <f>COUNTIFS(Dyno_Data[Team],TBA_Matches_All[[#This Row],[Team]],Dyno_Data[Match],TBA_Matches_All[[#This Row],[Match_Number]],Dyno_Data[RecordType],"Activities",Dyno_Data[DelDest],"AllyW", Dyno_Data[DelMiss],"0")</f>
        <v>0</v>
      </c>
      <c r="AR183" t="str">
        <f>_xlfn.XLOOKUP(SUM(MID(TBA_Matches_All[[#This Row],[Team]],4,5),(TBA_Matches_All[[#This Row],[Match_Number]]/100)),Dyno_EndMatch[teammat],Dyno_EndMatch[RobotSta],"_",0,1)</f>
        <v>SubW</v>
      </c>
      <c r="AS183">
        <f>SUMIFS(Dyno_Data[AcqDis], Dyno_Data[Team],TBA_Matches_All[[#This Row],[Team]],Dyno_Data[Match],TBA_Matches_All[[#This Row],[Match_Number]],Dyno_Data[RecordType],"Activities", Dyno_Data[AcqCenter],1,Dyno_Data[Mode],"Auto")</f>
        <v>0</v>
      </c>
      <c r="AT183">
        <f>SUMIFS(Dyno_Data[AcqDis], Dyno_Data[Team],TBA_Matches_All[[#This Row],[Team]],Dyno_Data[Match],TBA_Matches_All[[#This Row],[Match_Number]],Dyno_Data[RecordType],"Activities", Dyno_Data[AcqCenter],2,Dyno_Data[Mode],"Auto")</f>
        <v>0</v>
      </c>
      <c r="AU183">
        <f>SUMIFS(Dyno_Data[AcqDis], Dyno_Data[Team],TBA_Matches_All[[#This Row],[Team]],Dyno_Data[Match],TBA_Matches_All[[#This Row],[Match_Number]],Dyno_Data[RecordType],"Activities", Dyno_Data[AcqCenter],3,Dyno_Data[Mode],"Auto")</f>
        <v>0</v>
      </c>
      <c r="AV183">
        <f>SUMIFS(Dyno_Data[AcqDis], Dyno_Data[Team],TBA_Matches_All[[#This Row],[Team]],Dyno_Data[Match],TBA_Matches_All[[#This Row],[Match_Number]],Dyno_Data[RecordType],"Activities", Dyno_Data[AcqCenter],4,Dyno_Data[Mode],"Auto")</f>
        <v>0</v>
      </c>
      <c r="AW183">
        <f>SUMIFS(Dyno_Data[AcqDis], Dyno_Data[Team],TBA_Matches_All[[#This Row],[Team]],Dyno_Data[Match],TBA_Matches_All[[#This Row],[Match_Number]],Dyno_Data[RecordType],"Activities", Dyno_Data[AcqCenter],5,Dyno_Data[Mode],"Auto")</f>
        <v>0</v>
      </c>
      <c r="AX183">
        <f>SUMIFS(Dyno_Data[DelMiss], Dyno_Data[Team],TBA_Matches_All[[#This Row],[Team]],Dyno_Data[Match],TBA_Matches_All[[#This Row],[Match_Number]],Dyno_Data[RecordType],"Activities", Dyno_Data[DelDest],"Amp")</f>
        <v>1</v>
      </c>
      <c r="AY183" s="60">
        <f>IFERROR(SUM((TBA_Matches_All[[#This Row],[AampT]]+TBA_Matches_All[[#This Row],[TampT]])/(TBA_Matches_All[[#This Row],[AampT]]+TBA_Matches_All[[#This Row],[TampT]]+TBA_Matches_All[[#This Row],[ampM]])),0)</f>
        <v>0.83333333333333337</v>
      </c>
      <c r="AZ183">
        <f>SUMIFS(Dyno_Data[DelMiss], Dyno_Data[Team],TBA_Matches_All[[#This Row],[Team]],Dyno_Data[Match],TBA_Matches_All[[#This Row],[Match_Number]],Dyno_Data[RecordType],"Activities", Dyno_Data[DelDest],"Spkr")</f>
        <v>0</v>
      </c>
      <c r="BA183" s="60">
        <f>IFERROR(SUM((TBA_Matches_All[[#This Row],[AspkrT]]+TBA_Matches_All[[#This Row],[TspkrT]])/(TBA_Matches_All[[#This Row],[AspkrT]]+TBA_Matches_All[[#This Row],[TspkrT]]+TBA_Matches_All[[#This Row],[spkrM]])),0)</f>
        <v>1</v>
      </c>
      <c r="BB183">
        <f>SUMIFS(Dyno_Data[DelMiss], Dyno_Data[Team],TBA_Matches_All[[#This Row],[Team]],Dyno_Data[Match],TBA_Matches_All[[#This Row],[Match_Number]],Dyno_Data[RecordType],"Activities", Dyno_Data[DelDest],"Trap")</f>
        <v>0</v>
      </c>
      <c r="BC183" s="60">
        <f>IFERROR((TBA_Matches_All[[#This Row],[AtrapT]]+TBA_Matches_All[[#This Row],[TtrapT]])/(TBA_Matches_All[[#This Row],[AtrapT]]+TBA_Matches_All[[#This Row],[TtrapT]]+TBA_Matches_All[[#This Row],[trapM]]),0)</f>
        <v>0</v>
      </c>
      <c r="BD183">
        <f>COUNTIFS(Dyno_Data[Team],TBA_Matches_All[[#This Row],[Team]],Dyno_Data[Match],TBA_Matches_All[[#This Row],[Match_Number]],Dyno_Data[RecordType],"Activities",Dyno_Data[DelDest],"Neut", Dyno_Data[DelMiss],1)</f>
        <v>0</v>
      </c>
      <c r="BE183" s="60">
        <f>IFERROR(SUM((TBA_Matches_All[[#This Row],[NeutFlrT]])/(TBA_Matches_All[[#This Row],[NeutFlrT]]+TBA_Matches_All[[#This Row],[NZflM]])),0)</f>
        <v>0</v>
      </c>
      <c r="BF183">
        <f>COUNTIFS(Dyno_Data[Team],TBA_Matches_All[[#This Row],[Team]],Dyno_Data[Match],TBA_Matches_All[[#This Row],[Match_Number]],Dyno_Data[RecordType],"Activities",Dyno_Data[DelDest],"AllyW", Dyno_Data[DelMiss],1)</f>
        <v>0</v>
      </c>
      <c r="BG183" s="60">
        <f>IFERROR(SUM((TBA_Matches_All[[#This Row],[AllyWFlrT]])/(TBA_Matches_All[[#This Row],[AllyWFlrT]]+TBA_Matches_All[[#This Row],[AZflM]])),0)</f>
        <v>0</v>
      </c>
      <c r="BH183">
        <f>COUNTIFS(Dyno_Data[Team],TBA_Matches_All[[#This Row],[Team]],Dyno_Data[Match],TBA_Matches_All[[#This Row],[Match_Number]],Dyno_Data[RecordType],"Activities",Dyno_Data[DelOrig],"OppW", Dyno_Data[DelMiss],"0")</f>
        <v>0</v>
      </c>
      <c r="BI183">
        <f>COUNTIFS(Dyno_Data[Team],TBA_Matches_All[[#This Row],[Team]],Dyno_Data[Match],TBA_Matches_All[[#This Row],[Match_Number]],Dyno_Data[RecordType],"Activities",Dyno_Data[DelOrig],"OppW", Dyno_Data[DelMiss],"1")</f>
        <v>0</v>
      </c>
      <c r="BJ183" s="60">
        <f>IFERROR(SUM((TBA_Matches_All[[#This Row],[OZflrT]])/(TBA_Matches_All[[#This Row],[OZflrT]]+TBA_Matches_All[[#This Row],[OZflrM]])),0)</f>
        <v>0</v>
      </c>
      <c r="BK183">
        <f>COUNTIFS(Dyno_Data[Team],TBA_Matches_All[[#This Row],[Team]],Dyno_Data[Match],TBA_Matches_All[[#This Row],[Match_Number]],Dyno_Data[RecordType],"Activities",Dyno_Data[DelOrig],"Neut", Dyno_Data[DelMiss],"0")</f>
        <v>0</v>
      </c>
      <c r="BL183">
        <f>COUNTIFS(Dyno_Data[Team],TBA_Matches_All[[#This Row],[Team]],Dyno_Data[Match],TBA_Matches_All[[#This Row],[Match_Number]],Dyno_Data[RecordType],"Activities",Dyno_Data[DelOrig],"Neut", Dyno_Data[DelMiss],"1")</f>
        <v>0</v>
      </c>
      <c r="BM183" s="60">
        <f>IFERROR(SUM((TBA_Matches_All[[#This Row],[NZflrT]])/(TBA_Matches_All[[#This Row],[NZflrT]]+TBA_Matches_All[[#This Row],[NZflrM]])),0)</f>
        <v>0</v>
      </c>
      <c r="BN183">
        <f>COUNTIFS(Dyno_Data[Team],TBA_Matches_All[[#This Row],[Team]],Dyno_Data[Match],TBA_Matches_All[[#This Row],[Match_Number]],Dyno_Data[RecordType],"Activities",Dyno_Data[DelOrig],"AllyW", Dyno_Data[DelMiss],"0")</f>
        <v>6</v>
      </c>
      <c r="BO183">
        <f>COUNTIFS(Dyno_Data[Team],TBA_Matches_All[[#This Row],[Team]],Dyno_Data[Match],TBA_Matches_All[[#This Row],[Match_Number]],Dyno_Data[RecordType],"Activities",Dyno_Data[DelOrig],"AllyW", Dyno_Data[DelMiss],"1")</f>
        <v>1</v>
      </c>
      <c r="BP183" s="60">
        <f>IFERROR(SUM((TBA_Matches_All[[#This Row],[AZflrT]])/(TBA_Matches_All[[#This Row],[AZflrT]]+TBA_Matches_All[[#This Row],[AZflrM]])),0)</f>
        <v>0.8571428571428571</v>
      </c>
      <c r="BQ183">
        <f>COUNTIFS(Dyno_Data[Team],TBA_Matches_All[[#This Row],[Team]],Dyno_Data[Match],TBA_Matches_All[[#This Row],[Match_Number]],Dyno_Data[RecordType],"Activities",Dyno_Data[DelOrig],"SubW", Dyno_Data[DelMiss],"0")</f>
        <v>4</v>
      </c>
      <c r="BR183">
        <f>COUNTIFS(Dyno_Data[Team],TBA_Matches_All[[#This Row],[Team]],Dyno_Data[Match],TBA_Matches_All[[#This Row],[Match_Number]],Dyno_Data[RecordType],"Activities",Dyno_Data[DelOrig],"SubW", Dyno_Data[DelMiss],"1")</f>
        <v>0</v>
      </c>
      <c r="BS183" s="60">
        <f>IFERROR(SUM((TBA_Matches_All[[#This Row],[SubwT]])/(TBA_Matches_All[[#This Row],[SubwT]]+TBA_Matches_All[[#This Row],[SubwM]])),0)</f>
        <v>1</v>
      </c>
      <c r="BT183">
        <f>COUNTIFS(Dyno_Data[Team],TBA_Matches_All[[#This Row],[Team]],Dyno_Data[Match],TBA_Matches_All[[#This Row],[Match_Number]],Dyno_Data[RecordType],"Activities", Dyno_Data[AcqLoc],"OppWing")</f>
        <v>0</v>
      </c>
      <c r="BU183">
        <f>COUNTIFS(Dyno_Data[Team],TBA_Matches_All[[#This Row],[Team]],Dyno_Data[Match],TBA_Matches_All[[#This Row],[Match_Number]],Dyno_Data[RecordType],"Activities", Dyno_Data[AcqLoc],"Neutral")</f>
        <v>0</v>
      </c>
      <c r="BV183">
        <f>COUNTIFS(Dyno_Data[Team],TBA_Matches_All[[#This Row],[Team]],Dyno_Data[Match],TBA_Matches_All[[#This Row],[Match_Number]],Dyno_Data[RecordType],"Activities", Dyno_Data[AcqLoc],"AllyWing")</f>
        <v>0</v>
      </c>
      <c r="BW183">
        <f>COUNTIFS(Dyno_Data[Team],TBA_Matches_All[[#This Row],[Team]],Dyno_Data[Match],TBA_Matches_All[[#This Row],[Match_Number]],Dyno_Data[RecordType],"Activities", Dyno_Data[AcqLoc],"Source")</f>
        <v>0</v>
      </c>
      <c r="BX183">
        <f>SUMIFS(Dyno_Data[AcqDrp], Dyno_Data[Team],TBA_Matches_All[[#This Row],[Team]],Dyno_Data[Match],TBA_Matches_All[[#This Row],[Match_Number]],Dyno_Data[RecordType],"Activities", Dyno_Data[AcqLoc],"Source")</f>
        <v>0</v>
      </c>
      <c r="BY183">
        <f>SUMIFS(Dyno_Data[OZTime], Dyno_Data[Team],TBA_Matches_All[[#This Row],[Team]],Dyno_Data[Match],TBA_Matches_All[[#This Row],[Match_Number]],Dyno_Data[RecordType],"EndMatch")</f>
        <v>34.103573799999999</v>
      </c>
      <c r="BZ183">
        <f>SUMIFS(Dyno_Data[NZTime], Dyno_Data[Team],TBA_Matches_All[[#This Row],[Team]],Dyno_Data[Match],TBA_Matches_All[[#This Row],[Match_Number]],Dyno_Data[RecordType],"EndMatch")</f>
        <v>19.9357088</v>
      </c>
      <c r="CA183">
        <f>SUMIFS(Dyno_Data[AZTime], Dyno_Data[Team],TBA_Matches_All[[#This Row],[Team]],Dyno_Data[Match],TBA_Matches_All[[#This Row],[Match_Number]],Dyno_Data[RecordType],"EndMatch")</f>
        <v>73.660958699999995</v>
      </c>
      <c r="CB183">
        <f>SUMIFS(Dyno_Data[ClimbT], Dyno_Data[Team],TBA_Matches_All[[#This Row],[Team]],Dyno_Data[Match],TBA_Matches_All[[#This Row],[Match_Number]],Dyno_Data[RecordType],"EndMatch")</f>
        <v>9.9899919999999991</v>
      </c>
      <c r="CC183" t="str">
        <f>_xlfn.XLOOKUP(SUM(MID(TBA_Matches_All[[#This Row],[Team]],4,5),(TBA_Matches_All[[#This Row],[Match_Number]]/100)),Dyno_EndMatch[teammat],Dyno_EndMatch[StageStat],"_",0,1)</f>
        <v>Park</v>
      </c>
      <c r="CD183" t="str">
        <f>_xlfn.XLOOKUP(TBA_Matches_All[[#This Row],[teammat]],Dyno_EndMatch[teammat],Dyno_EndMatch[StageAtt],"_",0,1)</f>
        <v>-1</v>
      </c>
      <c r="CE183" t="str">
        <f>_xlfn.XLOOKUP(TBA_Matches_All[[#This Row],[teammat]],Dyno_EndMatch[teammat],Dyno_EndMatch[StageLoc],"_",0,1)</f>
        <v>A</v>
      </c>
      <c r="CF183">
        <f>SUMIFS(Dyno_Data[Harmony], Dyno_Data[Team],TBA_Matches_All[[#This Row],[Team]],Dyno_Data[Match],TBA_Matches_All[[#This Row],[Match_Number]],Dyno_Data[RecordType],"EndMatch", Dyno_Data[StageStat],"On",Dyno_Data[Harmony],"&lt;&gt;9")</f>
        <v>0</v>
      </c>
      <c r="CG183">
        <f>SUMIFS(Dyno_Data[Spotlit], Dyno_Data[Team],TBA_Matches_All[[#This Row],[Team]],Dyno_Data[Match],TBA_Matches_All[[#This Row],[Match_Number]],Dyno_Data[RecordType],"EndMatch", Dyno_Data[StageStat],"On",Dyno_Data[Spotlit],"&lt;&gt;9")</f>
        <v>0</v>
      </c>
      <c r="CH183" t="str">
        <f>_xlfn.XLOOKUP(TBA_Matches_All[[#This Row],[teammat]],Dyno_EndMatch[teammat],Dyno_EndMatch[Strategy],"_",0,1)</f>
        <v>Shooter</v>
      </c>
      <c r="CI183">
        <f>SUMIFS(Dyno_Data[Defense], Dyno_Data[Team],TBA_Matches_All[[#This Row],[Team]],Dyno_Data[Match],TBA_Matches_All[[#This Row],[Match_Number]],Dyno_Data[RecordType],"EndMatch",Dyno_Data[Defense],"&lt;&gt;9")</f>
        <v>0</v>
      </c>
      <c r="CJ183">
        <f>SUMIFS(Dyno_Data[Avoidance], Dyno_Data[Team],TBA_Matches_All[[#This Row],[Team]],Dyno_Data[Match],TBA_Matches_All[[#This Row],[Match_Number]],Dyno_Data[RecordType],"EndMatch",Dyno_Data[Avoidance],"&lt;&gt;9")</f>
        <v>0</v>
      </c>
      <c r="CK183" s="82">
        <f>COUNTIF($H$2:TBA_Matches_All[[#This Row],[Team]],TBA_Matches_All[[#This Row],[Team]])</f>
        <v>4</v>
      </c>
      <c r="CL183" s="111">
        <f>SUM(MID(TBA_Matches_All[[#This Row],[Team]],4,5)+TBA_Matches_All[[#This Row],[Match_Number]]/100)</f>
        <v>20.309999999999999</v>
      </c>
      <c r="CM183">
        <f>SUM((TBA_Matches_All[[#This Row],[Leave]]*2)+(TBA_Matches_All[[#This Row],[AampT]]*2)+(TBA_Matches_All[[#This Row],[AspkrT]]*5)+(TBA_Matches_All[[#This Row],[AtrapT]]*5))</f>
        <v>0</v>
      </c>
      <c r="CN183" s="59">
        <f>IFERROR(SUM(TBA_Matches_All[[#This Row],[AptsT]]/TBA_Matches_All[[#This Row],[AutoPts]]),0)</f>
        <v>0</v>
      </c>
      <c r="CO183" s="59">
        <f>IFERROR(SUM(TBA_Matches_All[[#This Row],[AampT]]+TBA_Matches_All[[#This Row],[AspkrT]]+TBA_Matches_All[[#This Row],[AtrapT]]/TBA_Matches_All[[#This Row],[Aamp]]+TBA_Matches_All[[#This Row],[Aspkr]]+TBA_Matches_All[[#This Row],[AtrapT]]),0)</f>
        <v>0</v>
      </c>
      <c r="CP183" s="59">
        <f>IFERROR(SUM(TBA_Matches_All[[#This Row],[TampT]]/TBA_Matches_All[[#This Row],[Tamp]]),0)</f>
        <v>1</v>
      </c>
      <c r="CQ183" s="59">
        <f>IFERROR(SUM(TBA_Matches_All[[#This Row],[TspkrT]]/TBA_Matches_All[[#This Row],[Tspkr]]),0)</f>
        <v>0.5</v>
      </c>
      <c r="CR183">
        <f>SUM(TBA_Matches_All[[#This Row],[TspkrPts]]*TBA_Matches_All[[#This Row],[TspkrP]])</f>
        <v>17.5</v>
      </c>
      <c r="CS183" s="59">
        <f>IFERROR(SUM(TBA_Matches_All[[#This Row],[TtrapT]]/TBA_Matches_All[[#This Row],[Trap]]),0)</f>
        <v>0</v>
      </c>
      <c r="CT183" s="59">
        <f>IFERROR(SUM(TBA_Matches_All[[#This Row],[TotNotesT]]/TBA_Matches_All[[#This Row],[TotNotes]]),0)</f>
        <v>0.625</v>
      </c>
      <c r="CU183" s="66">
        <f>SUM((TBA_Matches_All[[#This Row],[AampT]]*2)+(TBA_Matches_All[[#This Row],[AspkrT]]*5)+(TBA_Matches_All[[#This Row],[AtrapT]]*5)+(TBA_Matches_All[[#This Row],[TampT]]*1)+(TBA_Matches_All[[#This Row],[TspkrptsC]]))</f>
        <v>22.5</v>
      </c>
      <c r="CV183" s="59">
        <f>IFERROR(TBA_Matches_All[[#This Row],[noteptsT]]/TBA_Matches_All[[#This Row],[NotePts]],0)</f>
        <v>0.5</v>
      </c>
      <c r="CW183">
        <f>SUM(IF(TBA_Matches_All[[#This Row],[stageStat]]="On",3,0),IF(TBA_Matches_All[[#This Row],[stageStat]]="Park",1,0),SUMIFS(TBA_Matches_All[[#This Row],[Spotlit]],TBA_Matches_All[[#This Row],[stageStat]],"On"),SUMIFS(TBA_Matches_All[[#This Row],[Harmony]],TBA_Matches_All[[#This Row],[stageStat]],"On"))</f>
        <v>1</v>
      </c>
      <c r="CX183" s="59">
        <f>IFERROR(TBA_Matches_All[[#This Row],[stageptsT]]/TBA_Matches_All[[#This Row],[StagePts]],0)</f>
        <v>0.2</v>
      </c>
      <c r="CY183">
        <f>SUM((TBA_Matches_All[[#This Row],[AptsT]]+TBA_Matches_All[[#This Row],[TampT]]+TBA_Matches_All[[#This Row],[TspkrptsC]]+(TBA_Matches_All[[#This Row],[TtrapT]]*5)+TBA_Matches_All[[#This Row],[stageptsT]]))</f>
        <v>23.5</v>
      </c>
      <c r="CZ183" s="59">
        <f>IFERROR(SUM(TBA_Matches_All[[#This Row],[TotptsC]]/TBA_Matches_All[[#This Row],[Score]]),0)</f>
        <v>0.43518518518518517</v>
      </c>
      <c r="DA18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13.487689393939393</v>
      </c>
      <c r="DB183" s="74">
        <f>SUMIFS(TBA_Matches_All[AveTeamTNoteDels],TBA_Matches_All[Match_Number],TBA_Matches_All[[#This Row],[Match_Number]],TBA_Matches_All[Alliance],"&lt;&gt;"&amp;TBA_Matches_All[[#This Row],[Alliance]],TBA_Matches_All[Scouted],"&gt;0")</f>
        <v>29.535037878787879</v>
      </c>
      <c r="DC183" s="74">
        <f>(TBA_Matches_All[[#This Row],[TampT]]+TBA_Matches_All[[#This Row],[TspkrptsC]])-TBA_Matches_All[[#This Row],[AveTeamTNoteDels]]</f>
        <v>9.0123106060606073</v>
      </c>
      <c r="DD183" s="74">
        <f>SUMIFS(TBA_Matches_All[AveTeamTNoteDels],TBA_Matches_All[Match_Number],TBA_Matches_All[[#This Row],[Match_Number]],TBA_Matches_All[Alliance],"&lt;&gt;"&amp;TBA_Matches_All[[#This Row],[Alliance]])-TBA_Matches_All[[#This Row],[AveOppTNoteDels]]</f>
        <v>0</v>
      </c>
    </row>
    <row r="184" spans="1:108" x14ac:dyDescent="0.3">
      <c r="A184" t="s">
        <v>1042</v>
      </c>
      <c r="B184" t="s">
        <v>489</v>
      </c>
      <c r="C184" t="s">
        <v>1340</v>
      </c>
      <c r="D184">
        <v>31</v>
      </c>
      <c r="E184" t="s">
        <v>1406</v>
      </c>
      <c r="F184" t="s">
        <v>1426</v>
      </c>
      <c r="G184" t="s">
        <v>164</v>
      </c>
      <c r="H184" t="s">
        <v>1296</v>
      </c>
      <c r="I184" t="b">
        <v>1</v>
      </c>
      <c r="J184">
        <v>63</v>
      </c>
      <c r="K184">
        <v>1</v>
      </c>
      <c r="L184">
        <v>0</v>
      </c>
      <c r="M184">
        <v>2</v>
      </c>
      <c r="N184">
        <v>0</v>
      </c>
      <c r="O184">
        <v>3</v>
      </c>
      <c r="P184">
        <v>15</v>
      </c>
      <c r="Q184">
        <v>19</v>
      </c>
      <c r="R184">
        <v>1</v>
      </c>
      <c r="S184">
        <v>0</v>
      </c>
      <c r="T184">
        <v>19</v>
      </c>
      <c r="U184">
        <v>0</v>
      </c>
      <c r="V184">
        <v>38</v>
      </c>
      <c r="W184">
        <v>19</v>
      </c>
      <c r="X184">
        <v>38</v>
      </c>
      <c r="Y184">
        <v>39</v>
      </c>
      <c r="Z184">
        <v>0</v>
      </c>
      <c r="AA184">
        <v>0</v>
      </c>
      <c r="AB184">
        <v>23</v>
      </c>
      <c r="AC184">
        <v>54</v>
      </c>
      <c r="AD184">
        <v>5</v>
      </c>
      <c r="AE184">
        <f>IFERROR(6/(COUNTIF(Dyno_EndMatch[Match],TBA_Matches_All[[#This Row],[Match_Number]])),0)</f>
        <v>1</v>
      </c>
      <c r="AF184">
        <f>COUNTIFS(Dyno_Data[Team],TBA_Matches_All[[#This Row],[Team]],Dyno_Data[Match],TBA_Matches_All[[#This Row],[Match_Number]],Dyno_Data[RecordType],"EndMatch",Dyno_Data[HPAmp],"Y")</f>
        <v>1</v>
      </c>
      <c r="AG184">
        <f>SUMIFS(Dyno_Data[Mics], Dyno_Data[Team],TBA_Matches_All[[#This Row],[Team]],Dyno_Data[Match],TBA_Matches_All[[#This Row],[Match_Number]],Dyno_Data[RecordType],"EndMatch",Dyno_Data[HPAmp],"Y")</f>
        <v>0</v>
      </c>
      <c r="AH184">
        <f>SUMIFS(Dyno_Data[Leave], Dyno_Data[Team],TBA_Matches_All[[#This Row],[Team]],Dyno_Data[Match],TBA_Matches_All[[#This Row],[Match_Number]],Dyno_Data[RecordType],"EndAuto")</f>
        <v>1</v>
      </c>
      <c r="AI184">
        <f>COUNTIFS(Dyno_Data[Team],TBA_Matches_All[[#This Row],[Team]],Dyno_Data[Match],TBA_Matches_All[[#This Row],[Match_Number]],Dyno_Data[RecordType],"Activities",Dyno_Data[DelDest],"Amp", Dyno_Data[DelMiss],"0", Dyno_Data[Mode],"Auto")</f>
        <v>0</v>
      </c>
      <c r="AJ184">
        <f>COUNTIFS(Dyno_Data[Team],TBA_Matches_All[[#This Row],[Team]],Dyno_Data[Match],TBA_Matches_All[[#This Row],[Match_Number]],Dyno_Data[RecordType],"Activities",Dyno_Data[DelDest],"Spkr", Dyno_Data[DelMiss],"0", Dyno_Data[Mode],"Auto")</f>
        <v>1</v>
      </c>
      <c r="AK184">
        <f>COUNTIFS(Dyno_Data[Team],TBA_Matches_All[[#This Row],[Team]],Dyno_Data[Match],TBA_Matches_All[[#This Row],[Match_Number]],Dyno_Data[RecordType],"Activities",Dyno_Data[DelDest],"Trap", Dyno_Data[DelMiss],"0", Dyno_Data[Mode],"Auto")</f>
        <v>0</v>
      </c>
      <c r="AL184">
        <f>COUNTIFS(Dyno_Data[Team],TBA_Matches_All[[#This Row],[Team]],Dyno_Data[Match],TBA_Matches_All[[#This Row],[Match_Number]],Dyno_Data[RecordType],"Activities",Dyno_Data[DelDest],"Amp", Dyno_Data[DelMiss],"0", Dyno_Data[Mode],"Teleop")</f>
        <v>0</v>
      </c>
      <c r="AM184">
        <f>COUNTIFS(Dyno_Data[Team],TBA_Matches_All[[#This Row],[Team]],Dyno_Data[Match],TBA_Matches_All[[#This Row],[Match_Number]],Dyno_Data[RecordType],"Activities",Dyno_Data[DelDest],"Spkr", Dyno_Data[DelMiss],"0", Dyno_Data[Mode],"Teleop")</f>
        <v>9</v>
      </c>
      <c r="AN184">
        <f>COUNTIFS(Dyno_Data[Team],TBA_Matches_All[[#This Row],[Team]],Dyno_Data[Match],TBA_Matches_All[[#This Row],[Match_Number]],Dyno_Data[RecordType],"Activities",Dyno_Data[DelDest],"Trap", Dyno_Data[DelMiss],"0", Dyno_Data[Mode],"&lt;&gt;Auto")</f>
        <v>0</v>
      </c>
      <c r="AO184">
        <f>SUM(TBA_Matches_All[[#This Row],[AampT]]+TBA_Matches_All[[#This Row],[AspkrT]]+TBA_Matches_All[[#This Row],[AtrapT]]+TBA_Matches_All[[#This Row],[TampT]]+TBA_Matches_All[[#This Row],[TspkrT]]+TBA_Matches_All[[#This Row],[TtrapT]])</f>
        <v>10</v>
      </c>
      <c r="AP184">
        <f>COUNTIFS(Dyno_Data[Team],TBA_Matches_All[[#This Row],[Team]],Dyno_Data[Match],TBA_Matches_All[[#This Row],[Match_Number]],Dyno_Data[RecordType],"Activities",Dyno_Data[DelDest],"Neut", Dyno_Data[DelMiss],"0")</f>
        <v>0</v>
      </c>
      <c r="AQ184">
        <f>COUNTIFS(Dyno_Data[Team],TBA_Matches_All[[#This Row],[Team]],Dyno_Data[Match],TBA_Matches_All[[#This Row],[Match_Number]],Dyno_Data[RecordType],"Activities",Dyno_Data[DelDest],"AllyW", Dyno_Data[DelMiss],"0")</f>
        <v>0</v>
      </c>
      <c r="AR184" t="str">
        <f>_xlfn.XLOOKUP(SUM(MID(TBA_Matches_All[[#This Row],[Team]],4,5),(TBA_Matches_All[[#This Row],[Match_Number]]/100)),Dyno_EndMatch[teammat],Dyno_EndMatch[RobotSta],"_",0,1)</f>
        <v>SubW</v>
      </c>
      <c r="AS184">
        <f>SUMIFS(Dyno_Data[AcqDis], Dyno_Data[Team],TBA_Matches_All[[#This Row],[Team]],Dyno_Data[Match],TBA_Matches_All[[#This Row],[Match_Number]],Dyno_Data[RecordType],"Activities", Dyno_Data[AcqCenter],1,Dyno_Data[Mode],"Auto")</f>
        <v>0</v>
      </c>
      <c r="AT184">
        <f>SUMIFS(Dyno_Data[AcqDis], Dyno_Data[Team],TBA_Matches_All[[#This Row],[Team]],Dyno_Data[Match],TBA_Matches_All[[#This Row],[Match_Number]],Dyno_Data[RecordType],"Activities", Dyno_Data[AcqCenter],2,Dyno_Data[Mode],"Auto")</f>
        <v>0</v>
      </c>
      <c r="AU184">
        <f>SUMIFS(Dyno_Data[AcqDis], Dyno_Data[Team],TBA_Matches_All[[#This Row],[Team]],Dyno_Data[Match],TBA_Matches_All[[#This Row],[Match_Number]],Dyno_Data[RecordType],"Activities", Dyno_Data[AcqCenter],3,Dyno_Data[Mode],"Auto")</f>
        <v>0</v>
      </c>
      <c r="AV184">
        <f>SUMIFS(Dyno_Data[AcqDis], Dyno_Data[Team],TBA_Matches_All[[#This Row],[Team]],Dyno_Data[Match],TBA_Matches_All[[#This Row],[Match_Number]],Dyno_Data[RecordType],"Activities", Dyno_Data[AcqCenter],4,Dyno_Data[Mode],"Auto")</f>
        <v>0</v>
      </c>
      <c r="AW184">
        <f>SUMIFS(Dyno_Data[AcqDis], Dyno_Data[Team],TBA_Matches_All[[#This Row],[Team]],Dyno_Data[Match],TBA_Matches_All[[#This Row],[Match_Number]],Dyno_Data[RecordType],"Activities", Dyno_Data[AcqCenter],5,Dyno_Data[Mode],"Auto")</f>
        <v>0</v>
      </c>
      <c r="AX184">
        <f>SUMIFS(Dyno_Data[DelMiss], Dyno_Data[Team],TBA_Matches_All[[#This Row],[Team]],Dyno_Data[Match],TBA_Matches_All[[#This Row],[Match_Number]],Dyno_Data[RecordType],"Activities", Dyno_Data[DelDest],"Amp")</f>
        <v>0</v>
      </c>
      <c r="AY184" s="60">
        <f>IFERROR(SUM((TBA_Matches_All[[#This Row],[AampT]]+TBA_Matches_All[[#This Row],[TampT]])/(TBA_Matches_All[[#This Row],[AampT]]+TBA_Matches_All[[#This Row],[TampT]]+TBA_Matches_All[[#This Row],[ampM]])),0)</f>
        <v>0</v>
      </c>
      <c r="AZ184">
        <f>SUMIFS(Dyno_Data[DelMiss], Dyno_Data[Team],TBA_Matches_All[[#This Row],[Team]],Dyno_Data[Match],TBA_Matches_All[[#This Row],[Match_Number]],Dyno_Data[RecordType],"Activities", Dyno_Data[DelDest],"Spkr")</f>
        <v>0</v>
      </c>
      <c r="BA184" s="60">
        <f>IFERROR(SUM((TBA_Matches_All[[#This Row],[AspkrT]]+TBA_Matches_All[[#This Row],[TspkrT]])/(TBA_Matches_All[[#This Row],[AspkrT]]+TBA_Matches_All[[#This Row],[TspkrT]]+TBA_Matches_All[[#This Row],[spkrM]])),0)</f>
        <v>1</v>
      </c>
      <c r="BB184">
        <f>SUMIFS(Dyno_Data[DelMiss], Dyno_Data[Team],TBA_Matches_All[[#This Row],[Team]],Dyno_Data[Match],TBA_Matches_All[[#This Row],[Match_Number]],Dyno_Data[RecordType],"Activities", Dyno_Data[DelDest],"Trap")</f>
        <v>0</v>
      </c>
      <c r="BC184" s="60">
        <f>IFERROR((TBA_Matches_All[[#This Row],[AtrapT]]+TBA_Matches_All[[#This Row],[TtrapT]])/(TBA_Matches_All[[#This Row],[AtrapT]]+TBA_Matches_All[[#This Row],[TtrapT]]+TBA_Matches_All[[#This Row],[trapM]]),0)</f>
        <v>0</v>
      </c>
      <c r="BD184">
        <f>COUNTIFS(Dyno_Data[Team],TBA_Matches_All[[#This Row],[Team]],Dyno_Data[Match],TBA_Matches_All[[#This Row],[Match_Number]],Dyno_Data[RecordType],"Activities",Dyno_Data[DelDest],"Neut", Dyno_Data[DelMiss],1)</f>
        <v>0</v>
      </c>
      <c r="BE184" s="60">
        <f>IFERROR(SUM((TBA_Matches_All[[#This Row],[NeutFlrT]])/(TBA_Matches_All[[#This Row],[NeutFlrT]]+TBA_Matches_All[[#This Row],[NZflM]])),0)</f>
        <v>0</v>
      </c>
      <c r="BF184">
        <f>COUNTIFS(Dyno_Data[Team],TBA_Matches_All[[#This Row],[Team]],Dyno_Data[Match],TBA_Matches_All[[#This Row],[Match_Number]],Dyno_Data[RecordType],"Activities",Dyno_Data[DelDest],"AllyW", Dyno_Data[DelMiss],1)</f>
        <v>0</v>
      </c>
      <c r="BG184" s="60">
        <f>IFERROR(SUM((TBA_Matches_All[[#This Row],[AllyWFlrT]])/(TBA_Matches_All[[#This Row],[AllyWFlrT]]+TBA_Matches_All[[#This Row],[AZflM]])),0)</f>
        <v>0</v>
      </c>
      <c r="BH184">
        <f>COUNTIFS(Dyno_Data[Team],TBA_Matches_All[[#This Row],[Team]],Dyno_Data[Match],TBA_Matches_All[[#This Row],[Match_Number]],Dyno_Data[RecordType],"Activities",Dyno_Data[DelOrig],"OppW", Dyno_Data[DelMiss],"0")</f>
        <v>0</v>
      </c>
      <c r="BI184">
        <f>COUNTIFS(Dyno_Data[Team],TBA_Matches_All[[#This Row],[Team]],Dyno_Data[Match],TBA_Matches_All[[#This Row],[Match_Number]],Dyno_Data[RecordType],"Activities",Dyno_Data[DelOrig],"OppW", Dyno_Data[DelMiss],"1")</f>
        <v>0</v>
      </c>
      <c r="BJ184" s="60">
        <f>IFERROR(SUM((TBA_Matches_All[[#This Row],[OZflrT]])/(TBA_Matches_All[[#This Row],[OZflrT]]+TBA_Matches_All[[#This Row],[OZflrM]])),0)</f>
        <v>0</v>
      </c>
      <c r="BK184">
        <f>COUNTIFS(Dyno_Data[Team],TBA_Matches_All[[#This Row],[Team]],Dyno_Data[Match],TBA_Matches_All[[#This Row],[Match_Number]],Dyno_Data[RecordType],"Activities",Dyno_Data[DelOrig],"Neut", Dyno_Data[DelMiss],"0")</f>
        <v>0</v>
      </c>
      <c r="BL184">
        <f>COUNTIFS(Dyno_Data[Team],TBA_Matches_All[[#This Row],[Team]],Dyno_Data[Match],TBA_Matches_All[[#This Row],[Match_Number]],Dyno_Data[RecordType],"Activities",Dyno_Data[DelOrig],"Neut", Dyno_Data[DelMiss],"1")</f>
        <v>0</v>
      </c>
      <c r="BM184" s="60">
        <f>IFERROR(SUM((TBA_Matches_All[[#This Row],[NZflrT]])/(TBA_Matches_All[[#This Row],[NZflrT]]+TBA_Matches_All[[#This Row],[NZflrM]])),0)</f>
        <v>0</v>
      </c>
      <c r="BN184">
        <f>COUNTIFS(Dyno_Data[Team],TBA_Matches_All[[#This Row],[Team]],Dyno_Data[Match],TBA_Matches_All[[#This Row],[Match_Number]],Dyno_Data[RecordType],"Activities",Dyno_Data[DelOrig],"AllyW", Dyno_Data[DelMiss],"0")</f>
        <v>10</v>
      </c>
      <c r="BO184">
        <f>COUNTIFS(Dyno_Data[Team],TBA_Matches_All[[#This Row],[Team]],Dyno_Data[Match],TBA_Matches_All[[#This Row],[Match_Number]],Dyno_Data[RecordType],"Activities",Dyno_Data[DelOrig],"AllyW", Dyno_Data[DelMiss],"1")</f>
        <v>0</v>
      </c>
      <c r="BP184" s="60">
        <f>IFERROR(SUM((TBA_Matches_All[[#This Row],[AZflrT]])/(TBA_Matches_All[[#This Row],[AZflrT]]+TBA_Matches_All[[#This Row],[AZflrM]])),0)</f>
        <v>1</v>
      </c>
      <c r="BQ184">
        <f>COUNTIFS(Dyno_Data[Team],TBA_Matches_All[[#This Row],[Team]],Dyno_Data[Match],TBA_Matches_All[[#This Row],[Match_Number]],Dyno_Data[RecordType],"Activities",Dyno_Data[DelOrig],"SubW", Dyno_Data[DelMiss],"0")</f>
        <v>0</v>
      </c>
      <c r="BR184">
        <f>COUNTIFS(Dyno_Data[Team],TBA_Matches_All[[#This Row],[Team]],Dyno_Data[Match],TBA_Matches_All[[#This Row],[Match_Number]],Dyno_Data[RecordType],"Activities",Dyno_Data[DelOrig],"SubW", Dyno_Data[DelMiss],"1")</f>
        <v>0</v>
      </c>
      <c r="BS184" s="60">
        <f>IFERROR(SUM((TBA_Matches_All[[#This Row],[SubwT]])/(TBA_Matches_All[[#This Row],[SubwT]]+TBA_Matches_All[[#This Row],[SubwM]])),0)</f>
        <v>0</v>
      </c>
      <c r="BT184">
        <f>COUNTIFS(Dyno_Data[Team],TBA_Matches_All[[#This Row],[Team]],Dyno_Data[Match],TBA_Matches_All[[#This Row],[Match_Number]],Dyno_Data[RecordType],"Activities", Dyno_Data[AcqLoc],"OppWing")</f>
        <v>0</v>
      </c>
      <c r="BU184">
        <f>COUNTIFS(Dyno_Data[Team],TBA_Matches_All[[#This Row],[Team]],Dyno_Data[Match],TBA_Matches_All[[#This Row],[Match_Number]],Dyno_Data[RecordType],"Activities", Dyno_Data[AcqLoc],"Neutral")</f>
        <v>0</v>
      </c>
      <c r="BV184">
        <f>COUNTIFS(Dyno_Data[Team],TBA_Matches_All[[#This Row],[Team]],Dyno_Data[Match],TBA_Matches_All[[#This Row],[Match_Number]],Dyno_Data[RecordType],"Activities", Dyno_Data[AcqLoc],"AllyWing")</f>
        <v>0</v>
      </c>
      <c r="BW184">
        <f>COUNTIFS(Dyno_Data[Team],TBA_Matches_All[[#This Row],[Team]],Dyno_Data[Match],TBA_Matches_All[[#This Row],[Match_Number]],Dyno_Data[RecordType],"Activities", Dyno_Data[AcqLoc],"Source")</f>
        <v>0</v>
      </c>
      <c r="BX184">
        <f>SUMIFS(Dyno_Data[AcqDrp], Dyno_Data[Team],TBA_Matches_All[[#This Row],[Team]],Dyno_Data[Match],TBA_Matches_All[[#This Row],[Match_Number]],Dyno_Data[RecordType],"Activities", Dyno_Data[AcqLoc],"Source")</f>
        <v>0</v>
      </c>
      <c r="BY184">
        <f>SUMIFS(Dyno_Data[OZTime], Dyno_Data[Team],TBA_Matches_All[[#This Row],[Team]],Dyno_Data[Match],TBA_Matches_All[[#This Row],[Match_Number]],Dyno_Data[RecordType],"EndMatch")</f>
        <v>25.444462899999998</v>
      </c>
      <c r="BZ184">
        <f>SUMIFS(Dyno_Data[NZTime], Dyno_Data[Team],TBA_Matches_All[[#This Row],[Team]],Dyno_Data[Match],TBA_Matches_All[[#This Row],[Match_Number]],Dyno_Data[RecordType],"EndMatch")</f>
        <v>38.371553800000001</v>
      </c>
      <c r="CA184">
        <f>SUMIFS(Dyno_Data[AZTime], Dyno_Data[Team],TBA_Matches_All[[#This Row],[Team]],Dyno_Data[Match],TBA_Matches_All[[#This Row],[Match_Number]],Dyno_Data[RecordType],"EndMatch")</f>
        <v>72.762662800000001</v>
      </c>
      <c r="CB184">
        <f>SUMIFS(Dyno_Data[ClimbT], Dyno_Data[Team],TBA_Matches_All[[#This Row],[Team]],Dyno_Data[Match],TBA_Matches_All[[#This Row],[Match_Number]],Dyno_Data[RecordType],"EndMatch")</f>
        <v>3.2516045999999998</v>
      </c>
      <c r="CC184" t="str">
        <f>_xlfn.XLOOKUP(SUM(MID(TBA_Matches_All[[#This Row],[Team]],4,5),(TBA_Matches_All[[#This Row],[Match_Number]]/100)),Dyno_EndMatch[teammat],Dyno_EndMatch[StageStat],"_",0,1)</f>
        <v>Park</v>
      </c>
      <c r="CD184" t="str">
        <f>_xlfn.XLOOKUP(TBA_Matches_All[[#This Row],[teammat]],Dyno_EndMatch[teammat],Dyno_EndMatch[StageAtt],"_",0,1)</f>
        <v>-1</v>
      </c>
      <c r="CE184" t="str">
        <f>_xlfn.XLOOKUP(TBA_Matches_All[[#This Row],[teammat]],Dyno_EndMatch[teammat],Dyno_EndMatch[StageLoc],"_",0,1)</f>
        <v>A</v>
      </c>
      <c r="CF184">
        <f>SUMIFS(Dyno_Data[Harmony], Dyno_Data[Team],TBA_Matches_All[[#This Row],[Team]],Dyno_Data[Match],TBA_Matches_All[[#This Row],[Match_Number]],Dyno_Data[RecordType],"EndMatch", Dyno_Data[StageStat],"On",Dyno_Data[Harmony],"&lt;&gt;9")</f>
        <v>0</v>
      </c>
      <c r="CG184">
        <f>SUMIFS(Dyno_Data[Spotlit], Dyno_Data[Team],TBA_Matches_All[[#This Row],[Team]],Dyno_Data[Match],TBA_Matches_All[[#This Row],[Match_Number]],Dyno_Data[RecordType],"EndMatch", Dyno_Data[StageStat],"On",Dyno_Data[Spotlit],"&lt;&gt;9")</f>
        <v>0</v>
      </c>
      <c r="CH184" t="str">
        <f>_xlfn.XLOOKUP(TBA_Matches_All[[#This Row],[teammat]],Dyno_EndMatch[teammat],Dyno_EndMatch[Strategy],"_",0,1)</f>
        <v>Hybrid</v>
      </c>
      <c r="CI184">
        <f>SUMIFS(Dyno_Data[Defense], Dyno_Data[Team],TBA_Matches_All[[#This Row],[Team]],Dyno_Data[Match],TBA_Matches_All[[#This Row],[Match_Number]],Dyno_Data[RecordType],"EndMatch",Dyno_Data[Defense],"&lt;&gt;9")</f>
        <v>0</v>
      </c>
      <c r="CJ184">
        <f>SUMIFS(Dyno_Data[Avoidance], Dyno_Data[Team],TBA_Matches_All[[#This Row],[Team]],Dyno_Data[Match],TBA_Matches_All[[#This Row],[Match_Number]],Dyno_Data[RecordType],"EndMatch",Dyno_Data[Avoidance],"&lt;&gt;9")</f>
        <v>3</v>
      </c>
      <c r="CK184" s="82">
        <f>COUNTIF($H$2:TBA_Matches_All[[#This Row],[Team]],TBA_Matches_All[[#This Row],[Team]])</f>
        <v>4</v>
      </c>
      <c r="CL184" s="111">
        <f>SUM(MID(TBA_Matches_All[[#This Row],[Team]],4,5)+TBA_Matches_All[[#This Row],[Match_Number]]/100)</f>
        <v>3003.31</v>
      </c>
      <c r="CM184">
        <f>SUM((TBA_Matches_All[[#This Row],[Leave]]*2)+(TBA_Matches_All[[#This Row],[AampT]]*2)+(TBA_Matches_All[[#This Row],[AspkrT]]*5)+(TBA_Matches_All[[#This Row],[AtrapT]]*5))</f>
        <v>7</v>
      </c>
      <c r="CN184" s="59">
        <f>IFERROR(SUM(TBA_Matches_All[[#This Row],[AptsT]]/TBA_Matches_All[[#This Row],[AutoPts]]),0)</f>
        <v>0.36842105263157893</v>
      </c>
      <c r="CO184" s="59">
        <f>IFERROR(SUM(TBA_Matches_All[[#This Row],[AampT]]+TBA_Matches_All[[#This Row],[AspkrT]]+TBA_Matches_All[[#This Row],[AtrapT]]/TBA_Matches_All[[#This Row],[Aamp]]+TBA_Matches_All[[#This Row],[Aspkr]]+TBA_Matches_All[[#This Row],[AtrapT]]),0)</f>
        <v>0</v>
      </c>
      <c r="CP184" s="59">
        <f>IFERROR(SUM(TBA_Matches_All[[#This Row],[TampT]]/TBA_Matches_All[[#This Row],[Tamp]]),0)</f>
        <v>0</v>
      </c>
      <c r="CQ184" s="59">
        <f>IFERROR(SUM(TBA_Matches_All[[#This Row],[TspkrT]]/TBA_Matches_All[[#This Row],[Tspkr]]),0)</f>
        <v>0.47368421052631576</v>
      </c>
      <c r="CR184">
        <f>SUM(TBA_Matches_All[[#This Row],[TspkrPts]]*TBA_Matches_All[[#This Row],[TspkrP]])</f>
        <v>18</v>
      </c>
      <c r="CS184" s="59">
        <f>IFERROR(SUM(TBA_Matches_All[[#This Row],[TtrapT]]/TBA_Matches_All[[#This Row],[Trap]]),0)</f>
        <v>0</v>
      </c>
      <c r="CT184" s="59">
        <f>IFERROR(SUM(TBA_Matches_All[[#This Row],[TotNotesT]]/TBA_Matches_All[[#This Row],[TotNotes]]),0)</f>
        <v>0.43478260869565216</v>
      </c>
      <c r="CU184" s="66">
        <f>SUM((TBA_Matches_All[[#This Row],[AampT]]*2)+(TBA_Matches_All[[#This Row],[AspkrT]]*5)+(TBA_Matches_All[[#This Row],[AtrapT]]*5)+(TBA_Matches_All[[#This Row],[TampT]]*1)+(TBA_Matches_All[[#This Row],[TspkrptsC]]))</f>
        <v>23</v>
      </c>
      <c r="CV184" s="59">
        <f>IFERROR(TBA_Matches_All[[#This Row],[noteptsT]]/TBA_Matches_All[[#This Row],[NotePts]],0)</f>
        <v>0.42592592592592593</v>
      </c>
      <c r="CW184">
        <f>SUM(IF(TBA_Matches_All[[#This Row],[stageStat]]="On",3,0),IF(TBA_Matches_All[[#This Row],[stageStat]]="Park",1,0),SUMIFS(TBA_Matches_All[[#This Row],[Spotlit]],TBA_Matches_All[[#This Row],[stageStat]],"On"),SUMIFS(TBA_Matches_All[[#This Row],[Harmony]],TBA_Matches_All[[#This Row],[stageStat]],"On"))</f>
        <v>1</v>
      </c>
      <c r="CX184" s="59">
        <f>IFERROR(TBA_Matches_All[[#This Row],[stageptsT]]/TBA_Matches_All[[#This Row],[StagePts]],0)</f>
        <v>0.2</v>
      </c>
      <c r="CY184">
        <f>SUM((TBA_Matches_All[[#This Row],[AptsT]]+TBA_Matches_All[[#This Row],[TampT]]+TBA_Matches_All[[#This Row],[TspkrptsC]]+(TBA_Matches_All[[#This Row],[TtrapT]]*5)+TBA_Matches_All[[#This Row],[stageptsT]]))</f>
        <v>26</v>
      </c>
      <c r="CZ184" s="59">
        <f>IFERROR(SUM(TBA_Matches_All[[#This Row],[TotptsC]]/TBA_Matches_All[[#This Row],[Score]]),0)</f>
        <v>0.41269841269841268</v>
      </c>
      <c r="DA18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8.295454545454545</v>
      </c>
      <c r="DB184" s="74">
        <f>SUMIFS(TBA_Matches_All[AveTeamTNoteDels],TBA_Matches_All[Match_Number],TBA_Matches_All[[#This Row],[Match_Number]],TBA_Matches_All[Alliance],"&lt;&gt;"&amp;TBA_Matches_All[[#This Row],[Alliance]],TBA_Matches_All[Scouted],"&gt;0")</f>
        <v>24.384053030303029</v>
      </c>
      <c r="DC184" s="74">
        <f>(TBA_Matches_All[[#This Row],[TampT]]+TBA_Matches_All[[#This Row],[TspkrptsC]])-TBA_Matches_All[[#This Row],[AveTeamTNoteDels]]</f>
        <v>9.704545454545455</v>
      </c>
      <c r="DD184" s="74">
        <f>SUMIFS(TBA_Matches_All[AveTeamTNoteDels],TBA_Matches_All[Match_Number],TBA_Matches_All[[#This Row],[Match_Number]],TBA_Matches_All[Alliance],"&lt;&gt;"&amp;TBA_Matches_All[[#This Row],[Alliance]])-TBA_Matches_All[[#This Row],[AveOppTNoteDels]]</f>
        <v>0</v>
      </c>
    </row>
    <row r="185" spans="1:108" x14ac:dyDescent="0.3">
      <c r="A185" t="s">
        <v>1042</v>
      </c>
      <c r="B185" t="s">
        <v>489</v>
      </c>
      <c r="C185" t="s">
        <v>1340</v>
      </c>
      <c r="D185">
        <v>31</v>
      </c>
      <c r="E185" t="s">
        <v>1420</v>
      </c>
      <c r="F185" t="s">
        <v>1423</v>
      </c>
      <c r="G185" t="s">
        <v>1409</v>
      </c>
      <c r="H185" t="s">
        <v>368</v>
      </c>
      <c r="I185" t="b">
        <v>1</v>
      </c>
      <c r="J185">
        <v>54</v>
      </c>
      <c r="K185">
        <v>1</v>
      </c>
      <c r="L185">
        <v>0</v>
      </c>
      <c r="M185">
        <v>0</v>
      </c>
      <c r="N185">
        <v>0</v>
      </c>
      <c r="O185">
        <v>1</v>
      </c>
      <c r="P185">
        <v>5</v>
      </c>
      <c r="Q185">
        <v>7</v>
      </c>
      <c r="R185">
        <v>5</v>
      </c>
      <c r="S185">
        <v>5</v>
      </c>
      <c r="T185">
        <v>5</v>
      </c>
      <c r="U185">
        <v>25</v>
      </c>
      <c r="V185">
        <v>10</v>
      </c>
      <c r="W185">
        <v>10</v>
      </c>
      <c r="X185">
        <v>35</v>
      </c>
      <c r="Y185">
        <v>40</v>
      </c>
      <c r="Z185">
        <v>0</v>
      </c>
      <c r="AA185">
        <v>0</v>
      </c>
      <c r="AB185">
        <v>16</v>
      </c>
      <c r="AC185">
        <v>45</v>
      </c>
      <c r="AD185">
        <v>5</v>
      </c>
      <c r="AE185">
        <f>IFERROR(6/(COUNTIF(Dyno_EndMatch[Match],TBA_Matches_All[[#This Row],[Match_Number]])),0)</f>
        <v>1</v>
      </c>
      <c r="AF185">
        <f>COUNTIFS(Dyno_Data[Team],TBA_Matches_All[[#This Row],[Team]],Dyno_Data[Match],TBA_Matches_All[[#This Row],[Match_Number]],Dyno_Data[RecordType],"EndMatch",Dyno_Data[HPAmp],"Y")</f>
        <v>0</v>
      </c>
      <c r="AG185">
        <f>SUMIFS(Dyno_Data[Mics], Dyno_Data[Team],TBA_Matches_All[[#This Row],[Team]],Dyno_Data[Match],TBA_Matches_All[[#This Row],[Match_Number]],Dyno_Data[RecordType],"EndMatch",Dyno_Data[HPAmp],"Y")</f>
        <v>0</v>
      </c>
      <c r="AH185">
        <f>SUMIFS(Dyno_Data[Leave], Dyno_Data[Team],TBA_Matches_All[[#This Row],[Team]],Dyno_Data[Match],TBA_Matches_All[[#This Row],[Match_Number]],Dyno_Data[RecordType],"EndAuto")</f>
        <v>0</v>
      </c>
      <c r="AI185">
        <f>COUNTIFS(Dyno_Data[Team],TBA_Matches_All[[#This Row],[Team]],Dyno_Data[Match],TBA_Matches_All[[#This Row],[Match_Number]],Dyno_Data[RecordType],"Activities",Dyno_Data[DelDest],"Amp", Dyno_Data[DelMiss],"0", Dyno_Data[Mode],"Auto")</f>
        <v>0</v>
      </c>
      <c r="AJ185">
        <f>COUNTIFS(Dyno_Data[Team],TBA_Matches_All[[#This Row],[Team]],Dyno_Data[Match],TBA_Matches_All[[#This Row],[Match_Number]],Dyno_Data[RecordType],"Activities",Dyno_Data[DelDest],"Spkr", Dyno_Data[DelMiss],"0", Dyno_Data[Mode],"Auto")</f>
        <v>1</v>
      </c>
      <c r="AK185">
        <f>COUNTIFS(Dyno_Data[Team],TBA_Matches_All[[#This Row],[Team]],Dyno_Data[Match],TBA_Matches_All[[#This Row],[Match_Number]],Dyno_Data[RecordType],"Activities",Dyno_Data[DelDest],"Trap", Dyno_Data[DelMiss],"0", Dyno_Data[Mode],"Auto")</f>
        <v>0</v>
      </c>
      <c r="AL185">
        <f>COUNTIFS(Dyno_Data[Team],TBA_Matches_All[[#This Row],[Team]],Dyno_Data[Match],TBA_Matches_All[[#This Row],[Match_Number]],Dyno_Data[RecordType],"Activities",Dyno_Data[DelDest],"Amp", Dyno_Data[DelMiss],"0", Dyno_Data[Mode],"Teleop")</f>
        <v>0</v>
      </c>
      <c r="AM185">
        <f>COUNTIFS(Dyno_Data[Team],TBA_Matches_All[[#This Row],[Team]],Dyno_Data[Match],TBA_Matches_All[[#This Row],[Match_Number]],Dyno_Data[RecordType],"Activities",Dyno_Data[DelDest],"Spkr", Dyno_Data[DelMiss],"0", Dyno_Data[Mode],"Teleop")</f>
        <v>1</v>
      </c>
      <c r="AN185">
        <f>COUNTIFS(Dyno_Data[Team],TBA_Matches_All[[#This Row],[Team]],Dyno_Data[Match],TBA_Matches_All[[#This Row],[Match_Number]],Dyno_Data[RecordType],"Activities",Dyno_Data[DelDest],"Trap", Dyno_Data[DelMiss],"0", Dyno_Data[Mode],"&lt;&gt;Auto")</f>
        <v>0</v>
      </c>
      <c r="AO185">
        <f>SUM(TBA_Matches_All[[#This Row],[AampT]]+TBA_Matches_All[[#This Row],[AspkrT]]+TBA_Matches_All[[#This Row],[AtrapT]]+TBA_Matches_All[[#This Row],[TampT]]+TBA_Matches_All[[#This Row],[TspkrT]]+TBA_Matches_All[[#This Row],[TtrapT]])</f>
        <v>2</v>
      </c>
      <c r="AP185">
        <f>COUNTIFS(Dyno_Data[Team],TBA_Matches_All[[#This Row],[Team]],Dyno_Data[Match],TBA_Matches_All[[#This Row],[Match_Number]],Dyno_Data[RecordType],"Activities",Dyno_Data[DelDest],"Neut", Dyno_Data[DelMiss],"0")</f>
        <v>0</v>
      </c>
      <c r="AQ185">
        <f>COUNTIFS(Dyno_Data[Team],TBA_Matches_All[[#This Row],[Team]],Dyno_Data[Match],TBA_Matches_All[[#This Row],[Match_Number]],Dyno_Data[RecordType],"Activities",Dyno_Data[DelDest],"AllyW", Dyno_Data[DelMiss],"0")</f>
        <v>0</v>
      </c>
      <c r="AR185" t="str">
        <f>_xlfn.XLOOKUP(SUM(MID(TBA_Matches_All[[#This Row],[Team]],4,5),(TBA_Matches_All[[#This Row],[Match_Number]]/100)),Dyno_EndMatch[teammat],Dyno_EndMatch[RobotSta],"_",0,1)</f>
        <v>Amp</v>
      </c>
      <c r="AS185">
        <f>SUMIFS(Dyno_Data[AcqDis], Dyno_Data[Team],TBA_Matches_All[[#This Row],[Team]],Dyno_Data[Match],TBA_Matches_All[[#This Row],[Match_Number]],Dyno_Data[RecordType],"Activities", Dyno_Data[AcqCenter],1,Dyno_Data[Mode],"Auto")</f>
        <v>0</v>
      </c>
      <c r="AT185">
        <f>SUMIFS(Dyno_Data[AcqDis], Dyno_Data[Team],TBA_Matches_All[[#This Row],[Team]],Dyno_Data[Match],TBA_Matches_All[[#This Row],[Match_Number]],Dyno_Data[RecordType],"Activities", Dyno_Data[AcqCenter],2,Dyno_Data[Mode],"Auto")</f>
        <v>0</v>
      </c>
      <c r="AU185">
        <f>SUMIFS(Dyno_Data[AcqDis], Dyno_Data[Team],TBA_Matches_All[[#This Row],[Team]],Dyno_Data[Match],TBA_Matches_All[[#This Row],[Match_Number]],Dyno_Data[RecordType],"Activities", Dyno_Data[AcqCenter],3,Dyno_Data[Mode],"Auto")</f>
        <v>0</v>
      </c>
      <c r="AV185">
        <f>SUMIFS(Dyno_Data[AcqDis], Dyno_Data[Team],TBA_Matches_All[[#This Row],[Team]],Dyno_Data[Match],TBA_Matches_All[[#This Row],[Match_Number]],Dyno_Data[RecordType],"Activities", Dyno_Data[AcqCenter],4,Dyno_Data[Mode],"Auto")</f>
        <v>0</v>
      </c>
      <c r="AW185">
        <f>SUMIFS(Dyno_Data[AcqDis], Dyno_Data[Team],TBA_Matches_All[[#This Row],[Team]],Dyno_Data[Match],TBA_Matches_All[[#This Row],[Match_Number]],Dyno_Data[RecordType],"Activities", Dyno_Data[AcqCenter],5,Dyno_Data[Mode],"Auto")</f>
        <v>0</v>
      </c>
      <c r="AX185">
        <f>SUMIFS(Dyno_Data[DelMiss], Dyno_Data[Team],TBA_Matches_All[[#This Row],[Team]],Dyno_Data[Match],TBA_Matches_All[[#This Row],[Match_Number]],Dyno_Data[RecordType],"Activities", Dyno_Data[DelDest],"Amp")</f>
        <v>0</v>
      </c>
      <c r="AY185" s="60">
        <f>IFERROR(SUM((TBA_Matches_All[[#This Row],[AampT]]+TBA_Matches_All[[#This Row],[TampT]])/(TBA_Matches_All[[#This Row],[AampT]]+TBA_Matches_All[[#This Row],[TampT]]+TBA_Matches_All[[#This Row],[ampM]])),0)</f>
        <v>0</v>
      </c>
      <c r="AZ185">
        <f>SUMIFS(Dyno_Data[DelMiss], Dyno_Data[Team],TBA_Matches_All[[#This Row],[Team]],Dyno_Data[Match],TBA_Matches_All[[#This Row],[Match_Number]],Dyno_Data[RecordType],"Activities", Dyno_Data[DelDest],"Spkr")</f>
        <v>0</v>
      </c>
      <c r="BA185" s="60">
        <f>IFERROR(SUM((TBA_Matches_All[[#This Row],[AspkrT]]+TBA_Matches_All[[#This Row],[TspkrT]])/(TBA_Matches_All[[#This Row],[AspkrT]]+TBA_Matches_All[[#This Row],[TspkrT]]+TBA_Matches_All[[#This Row],[spkrM]])),0)</f>
        <v>1</v>
      </c>
      <c r="BB185">
        <f>SUMIFS(Dyno_Data[DelMiss], Dyno_Data[Team],TBA_Matches_All[[#This Row],[Team]],Dyno_Data[Match],TBA_Matches_All[[#This Row],[Match_Number]],Dyno_Data[RecordType],"Activities", Dyno_Data[DelDest],"Trap")</f>
        <v>0</v>
      </c>
      <c r="BC185" s="60">
        <f>IFERROR((TBA_Matches_All[[#This Row],[AtrapT]]+TBA_Matches_All[[#This Row],[TtrapT]])/(TBA_Matches_All[[#This Row],[AtrapT]]+TBA_Matches_All[[#This Row],[TtrapT]]+TBA_Matches_All[[#This Row],[trapM]]),0)</f>
        <v>0</v>
      </c>
      <c r="BD185">
        <f>COUNTIFS(Dyno_Data[Team],TBA_Matches_All[[#This Row],[Team]],Dyno_Data[Match],TBA_Matches_All[[#This Row],[Match_Number]],Dyno_Data[RecordType],"Activities",Dyno_Data[DelDest],"Neut", Dyno_Data[DelMiss],1)</f>
        <v>0</v>
      </c>
      <c r="BE185" s="60">
        <f>IFERROR(SUM((TBA_Matches_All[[#This Row],[NeutFlrT]])/(TBA_Matches_All[[#This Row],[NeutFlrT]]+TBA_Matches_All[[#This Row],[NZflM]])),0)</f>
        <v>0</v>
      </c>
      <c r="BF185">
        <f>COUNTIFS(Dyno_Data[Team],TBA_Matches_All[[#This Row],[Team]],Dyno_Data[Match],TBA_Matches_All[[#This Row],[Match_Number]],Dyno_Data[RecordType],"Activities",Dyno_Data[DelDest],"AllyW", Dyno_Data[DelMiss],1)</f>
        <v>0</v>
      </c>
      <c r="BG185" s="60">
        <f>IFERROR(SUM((TBA_Matches_All[[#This Row],[AllyWFlrT]])/(TBA_Matches_All[[#This Row],[AllyWFlrT]]+TBA_Matches_All[[#This Row],[AZflM]])),0)</f>
        <v>0</v>
      </c>
      <c r="BH185">
        <f>COUNTIFS(Dyno_Data[Team],TBA_Matches_All[[#This Row],[Team]],Dyno_Data[Match],TBA_Matches_All[[#This Row],[Match_Number]],Dyno_Data[RecordType],"Activities",Dyno_Data[DelOrig],"OppW", Dyno_Data[DelMiss],"0")</f>
        <v>0</v>
      </c>
      <c r="BI185">
        <f>COUNTIFS(Dyno_Data[Team],TBA_Matches_All[[#This Row],[Team]],Dyno_Data[Match],TBA_Matches_All[[#This Row],[Match_Number]],Dyno_Data[RecordType],"Activities",Dyno_Data[DelOrig],"OppW", Dyno_Data[DelMiss],"1")</f>
        <v>0</v>
      </c>
      <c r="BJ185" s="60">
        <f>IFERROR(SUM((TBA_Matches_All[[#This Row],[OZflrT]])/(TBA_Matches_All[[#This Row],[OZflrT]]+TBA_Matches_All[[#This Row],[OZflrM]])),0)</f>
        <v>0</v>
      </c>
      <c r="BK185">
        <f>COUNTIFS(Dyno_Data[Team],TBA_Matches_All[[#This Row],[Team]],Dyno_Data[Match],TBA_Matches_All[[#This Row],[Match_Number]],Dyno_Data[RecordType],"Activities",Dyno_Data[DelOrig],"Neut", Dyno_Data[DelMiss],"0")</f>
        <v>0</v>
      </c>
      <c r="BL185">
        <f>COUNTIFS(Dyno_Data[Team],TBA_Matches_All[[#This Row],[Team]],Dyno_Data[Match],TBA_Matches_All[[#This Row],[Match_Number]],Dyno_Data[RecordType],"Activities",Dyno_Data[DelOrig],"Neut", Dyno_Data[DelMiss],"1")</f>
        <v>0</v>
      </c>
      <c r="BM185" s="60">
        <f>IFERROR(SUM((TBA_Matches_All[[#This Row],[NZflrT]])/(TBA_Matches_All[[#This Row],[NZflrT]]+TBA_Matches_All[[#This Row],[NZflrM]])),0)</f>
        <v>0</v>
      </c>
      <c r="BN185">
        <f>COUNTIFS(Dyno_Data[Team],TBA_Matches_All[[#This Row],[Team]],Dyno_Data[Match],TBA_Matches_All[[#This Row],[Match_Number]],Dyno_Data[RecordType],"Activities",Dyno_Data[DelOrig],"AllyW", Dyno_Data[DelMiss],"0")</f>
        <v>0</v>
      </c>
      <c r="BO185">
        <f>COUNTIFS(Dyno_Data[Team],TBA_Matches_All[[#This Row],[Team]],Dyno_Data[Match],TBA_Matches_All[[#This Row],[Match_Number]],Dyno_Data[RecordType],"Activities",Dyno_Data[DelOrig],"AllyW", Dyno_Data[DelMiss],"1")</f>
        <v>0</v>
      </c>
      <c r="BP185" s="60">
        <f>IFERROR(SUM((TBA_Matches_All[[#This Row],[AZflrT]])/(TBA_Matches_All[[#This Row],[AZflrT]]+TBA_Matches_All[[#This Row],[AZflrM]])),0)</f>
        <v>0</v>
      </c>
      <c r="BQ185">
        <f>COUNTIFS(Dyno_Data[Team],TBA_Matches_All[[#This Row],[Team]],Dyno_Data[Match],TBA_Matches_All[[#This Row],[Match_Number]],Dyno_Data[RecordType],"Activities",Dyno_Data[DelOrig],"SubW", Dyno_Data[DelMiss],"0")</f>
        <v>2</v>
      </c>
      <c r="BR185">
        <f>COUNTIFS(Dyno_Data[Team],TBA_Matches_All[[#This Row],[Team]],Dyno_Data[Match],TBA_Matches_All[[#This Row],[Match_Number]],Dyno_Data[RecordType],"Activities",Dyno_Data[DelOrig],"SubW", Dyno_Data[DelMiss],"1")</f>
        <v>0</v>
      </c>
      <c r="BS185" s="60">
        <f>IFERROR(SUM((TBA_Matches_All[[#This Row],[SubwT]])/(TBA_Matches_All[[#This Row],[SubwT]]+TBA_Matches_All[[#This Row],[SubwM]])),0)</f>
        <v>1</v>
      </c>
      <c r="BT185">
        <f>COUNTIFS(Dyno_Data[Team],TBA_Matches_All[[#This Row],[Team]],Dyno_Data[Match],TBA_Matches_All[[#This Row],[Match_Number]],Dyno_Data[RecordType],"Activities", Dyno_Data[AcqLoc],"OppWing")</f>
        <v>0</v>
      </c>
      <c r="BU185">
        <f>COUNTIFS(Dyno_Data[Team],TBA_Matches_All[[#This Row],[Team]],Dyno_Data[Match],TBA_Matches_All[[#This Row],[Match_Number]],Dyno_Data[RecordType],"Activities", Dyno_Data[AcqLoc],"Neutral")</f>
        <v>0</v>
      </c>
      <c r="BV185">
        <f>COUNTIFS(Dyno_Data[Team],TBA_Matches_All[[#This Row],[Team]],Dyno_Data[Match],TBA_Matches_All[[#This Row],[Match_Number]],Dyno_Data[RecordType],"Activities", Dyno_Data[AcqLoc],"AllyWing")</f>
        <v>0</v>
      </c>
      <c r="BW185">
        <f>COUNTIFS(Dyno_Data[Team],TBA_Matches_All[[#This Row],[Team]],Dyno_Data[Match],TBA_Matches_All[[#This Row],[Match_Number]],Dyno_Data[RecordType],"Activities", Dyno_Data[AcqLoc],"Source")</f>
        <v>0</v>
      </c>
      <c r="BX185">
        <f>SUMIFS(Dyno_Data[AcqDrp], Dyno_Data[Team],TBA_Matches_All[[#This Row],[Team]],Dyno_Data[Match],TBA_Matches_All[[#This Row],[Match_Number]],Dyno_Data[RecordType],"Activities", Dyno_Data[AcqLoc],"Source")</f>
        <v>0</v>
      </c>
      <c r="BY185">
        <f>SUMIFS(Dyno_Data[OZTime], Dyno_Data[Team],TBA_Matches_All[[#This Row],[Team]],Dyno_Data[Match],TBA_Matches_All[[#This Row],[Match_Number]],Dyno_Data[RecordType],"EndMatch")</f>
        <v>0</v>
      </c>
      <c r="BZ185">
        <f>SUMIFS(Dyno_Data[NZTime], Dyno_Data[Team],TBA_Matches_All[[#This Row],[Team]],Dyno_Data[Match],TBA_Matches_All[[#This Row],[Match_Number]],Dyno_Data[RecordType],"EndMatch")</f>
        <v>11.2230744</v>
      </c>
      <c r="CA185">
        <f>SUMIFS(Dyno_Data[AZTime], Dyno_Data[Team],TBA_Matches_All[[#This Row],[Team]],Dyno_Data[Match],TBA_Matches_All[[#This Row],[Match_Number]],Dyno_Data[RecordType],"EndMatch")</f>
        <v>101.29487349999999</v>
      </c>
      <c r="CB185">
        <f>SUMIFS(Dyno_Data[ClimbT], Dyno_Data[Team],TBA_Matches_All[[#This Row],[Team]],Dyno_Data[Match],TBA_Matches_All[[#This Row],[Match_Number]],Dyno_Data[RecordType],"EndMatch")</f>
        <v>25.808873899999998</v>
      </c>
      <c r="CC185" t="str">
        <f>_xlfn.XLOOKUP(SUM(MID(TBA_Matches_All[[#This Row],[Team]],4,5),(TBA_Matches_All[[#This Row],[Match_Number]]/100)),Dyno_EndMatch[teammat],Dyno_EndMatch[StageStat],"_",0,1)</f>
        <v>Park</v>
      </c>
      <c r="CD185" t="str">
        <f>_xlfn.XLOOKUP(TBA_Matches_All[[#This Row],[teammat]],Dyno_EndMatch[teammat],Dyno_EndMatch[StageAtt],"_",0,1)</f>
        <v>-1</v>
      </c>
      <c r="CE185" t="str">
        <f>_xlfn.XLOOKUP(TBA_Matches_All[[#This Row],[teammat]],Dyno_EndMatch[teammat],Dyno_EndMatch[StageLoc],"_",0,1)</f>
        <v>A</v>
      </c>
      <c r="CF185">
        <f>SUMIFS(Dyno_Data[Harmony], Dyno_Data[Team],TBA_Matches_All[[#This Row],[Team]],Dyno_Data[Match],TBA_Matches_All[[#This Row],[Match_Number]],Dyno_Data[RecordType],"EndMatch", Dyno_Data[StageStat],"On",Dyno_Data[Harmony],"&lt;&gt;9")</f>
        <v>0</v>
      </c>
      <c r="CG185">
        <f>SUMIFS(Dyno_Data[Spotlit], Dyno_Data[Team],TBA_Matches_All[[#This Row],[Team]],Dyno_Data[Match],TBA_Matches_All[[#This Row],[Match_Number]],Dyno_Data[RecordType],"EndMatch", Dyno_Data[StageStat],"On",Dyno_Data[Spotlit],"&lt;&gt;9")</f>
        <v>0</v>
      </c>
      <c r="CH185" t="str">
        <f>_xlfn.XLOOKUP(TBA_Matches_All[[#This Row],[teammat]],Dyno_EndMatch[teammat],Dyno_EndMatch[Strategy],"_",0,1)</f>
        <v>Defense</v>
      </c>
      <c r="CI185">
        <f>SUMIFS(Dyno_Data[Defense], Dyno_Data[Team],TBA_Matches_All[[#This Row],[Team]],Dyno_Data[Match],TBA_Matches_All[[#This Row],[Match_Number]],Dyno_Data[RecordType],"EndMatch",Dyno_Data[Defense],"&lt;&gt;9")</f>
        <v>3</v>
      </c>
      <c r="CJ185">
        <f>SUMIFS(Dyno_Data[Avoidance], Dyno_Data[Team],TBA_Matches_All[[#This Row],[Team]],Dyno_Data[Match],TBA_Matches_All[[#This Row],[Match_Number]],Dyno_Data[RecordType],"EndMatch",Dyno_Data[Avoidance],"&lt;&gt;9")</f>
        <v>0</v>
      </c>
      <c r="CK185" s="82">
        <f>COUNTIF($H$2:TBA_Matches_All[[#This Row],[Team]],TBA_Matches_All[[#This Row],[Team]])</f>
        <v>4</v>
      </c>
      <c r="CL185" s="111">
        <f>SUM(MID(TBA_Matches_All[[#This Row],[Team]],4,5)+TBA_Matches_All[[#This Row],[Match_Number]]/100)</f>
        <v>6401.31</v>
      </c>
      <c r="CM185">
        <f>SUM((TBA_Matches_All[[#This Row],[Leave]]*2)+(TBA_Matches_All[[#This Row],[AampT]]*2)+(TBA_Matches_All[[#This Row],[AspkrT]]*5)+(TBA_Matches_All[[#This Row],[AtrapT]]*5))</f>
        <v>5</v>
      </c>
      <c r="CN185" s="59">
        <f>IFERROR(SUM(TBA_Matches_All[[#This Row],[AptsT]]/TBA_Matches_All[[#This Row],[AutoPts]]),0)</f>
        <v>0.7142857142857143</v>
      </c>
      <c r="CO185" s="59">
        <f>IFERROR(SUM(TBA_Matches_All[[#This Row],[AampT]]+TBA_Matches_All[[#This Row],[AspkrT]]+TBA_Matches_All[[#This Row],[AtrapT]]/TBA_Matches_All[[#This Row],[Aamp]]+TBA_Matches_All[[#This Row],[Aspkr]]+TBA_Matches_All[[#This Row],[AtrapT]]),0)</f>
        <v>0</v>
      </c>
      <c r="CP185" s="59">
        <f>IFERROR(SUM(TBA_Matches_All[[#This Row],[TampT]]/TBA_Matches_All[[#This Row],[Tamp]]),0)</f>
        <v>0</v>
      </c>
      <c r="CQ185" s="59">
        <f>IFERROR(SUM(TBA_Matches_All[[#This Row],[TspkrT]]/TBA_Matches_All[[#This Row],[Tspkr]]),0)</f>
        <v>0.1</v>
      </c>
      <c r="CR185">
        <f>SUM(TBA_Matches_All[[#This Row],[TspkrPts]]*TBA_Matches_All[[#This Row],[TspkrP]])</f>
        <v>3.5</v>
      </c>
      <c r="CS185" s="59">
        <f>IFERROR(SUM(TBA_Matches_All[[#This Row],[TtrapT]]/TBA_Matches_All[[#This Row],[Trap]]),0)</f>
        <v>0</v>
      </c>
      <c r="CT185" s="59">
        <f>IFERROR(SUM(TBA_Matches_All[[#This Row],[TotNotesT]]/TBA_Matches_All[[#This Row],[TotNotes]]),0)</f>
        <v>0.125</v>
      </c>
      <c r="CU185" s="66">
        <f>SUM((TBA_Matches_All[[#This Row],[AampT]]*2)+(TBA_Matches_All[[#This Row],[AspkrT]]*5)+(TBA_Matches_All[[#This Row],[AtrapT]]*5)+(TBA_Matches_All[[#This Row],[TampT]]*1)+(TBA_Matches_All[[#This Row],[TspkrptsC]]))</f>
        <v>8.5</v>
      </c>
      <c r="CV185" s="59">
        <f>IFERROR(TBA_Matches_All[[#This Row],[noteptsT]]/TBA_Matches_All[[#This Row],[NotePts]],0)</f>
        <v>0.18888888888888888</v>
      </c>
      <c r="CW185">
        <f>SUM(IF(TBA_Matches_All[[#This Row],[stageStat]]="On",3,0),IF(TBA_Matches_All[[#This Row],[stageStat]]="Park",1,0),SUMIFS(TBA_Matches_All[[#This Row],[Spotlit]],TBA_Matches_All[[#This Row],[stageStat]],"On"),SUMIFS(TBA_Matches_All[[#This Row],[Harmony]],TBA_Matches_All[[#This Row],[stageStat]],"On"))</f>
        <v>1</v>
      </c>
      <c r="CX185" s="59">
        <f>IFERROR(TBA_Matches_All[[#This Row],[stageptsT]]/TBA_Matches_All[[#This Row],[StagePts]],0)</f>
        <v>0.2</v>
      </c>
      <c r="CY185">
        <f>SUM((TBA_Matches_All[[#This Row],[AptsT]]+TBA_Matches_All[[#This Row],[TampT]]+TBA_Matches_All[[#This Row],[TspkrptsC]]+(TBA_Matches_All[[#This Row],[TtrapT]]*5)+TBA_Matches_All[[#This Row],[stageptsT]]))</f>
        <v>9.5</v>
      </c>
      <c r="CZ185" s="59">
        <f>IFERROR(SUM(TBA_Matches_All[[#This Row],[TotptsC]]/TBA_Matches_All[[#This Row],[Score]]),0)</f>
        <v>0.17592592592592593</v>
      </c>
      <c r="DA18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4.46</v>
      </c>
      <c r="DB185" s="74">
        <f>SUMIFS(TBA_Matches_All[AveTeamTNoteDels],TBA_Matches_All[Match_Number],TBA_Matches_All[[#This Row],[Match_Number]],TBA_Matches_All[Alliance],"&lt;&gt;"&amp;TBA_Matches_All[[#This Row],[Alliance]],TBA_Matches_All[Scouted],"&gt;0")</f>
        <v>29.535037878787879</v>
      </c>
      <c r="DC185" s="74">
        <f>(TBA_Matches_All[[#This Row],[TampT]]+TBA_Matches_All[[#This Row],[TspkrptsC]])-TBA_Matches_All[[#This Row],[AveTeamTNoteDels]]</f>
        <v>-0.96</v>
      </c>
      <c r="DD185" s="74">
        <f>SUMIFS(TBA_Matches_All[AveTeamTNoteDels],TBA_Matches_All[Match_Number],TBA_Matches_All[[#This Row],[Match_Number]],TBA_Matches_All[Alliance],"&lt;&gt;"&amp;TBA_Matches_All[[#This Row],[Alliance]])-TBA_Matches_All[[#This Row],[AveOppTNoteDels]]</f>
        <v>0</v>
      </c>
    </row>
    <row r="186" spans="1:108" x14ac:dyDescent="0.3">
      <c r="A186" t="s">
        <v>1042</v>
      </c>
      <c r="B186" t="s">
        <v>489</v>
      </c>
      <c r="C186" t="s">
        <v>1340</v>
      </c>
      <c r="D186">
        <v>31</v>
      </c>
      <c r="E186" t="s">
        <v>1406</v>
      </c>
      <c r="F186" t="s">
        <v>1424</v>
      </c>
      <c r="G186" t="s">
        <v>1409</v>
      </c>
      <c r="H186" t="s">
        <v>371</v>
      </c>
      <c r="I186" t="b">
        <v>1</v>
      </c>
      <c r="J186">
        <v>63</v>
      </c>
      <c r="K186">
        <v>1</v>
      </c>
      <c r="L186">
        <v>0</v>
      </c>
      <c r="M186">
        <v>2</v>
      </c>
      <c r="N186">
        <v>0</v>
      </c>
      <c r="O186">
        <v>3</v>
      </c>
      <c r="P186">
        <v>15</v>
      </c>
      <c r="Q186">
        <v>19</v>
      </c>
      <c r="R186">
        <v>1</v>
      </c>
      <c r="S186">
        <v>0</v>
      </c>
      <c r="T186">
        <v>19</v>
      </c>
      <c r="U186">
        <v>0</v>
      </c>
      <c r="V186">
        <v>38</v>
      </c>
      <c r="W186">
        <v>19</v>
      </c>
      <c r="X186">
        <v>38</v>
      </c>
      <c r="Y186">
        <v>39</v>
      </c>
      <c r="Z186">
        <v>0</v>
      </c>
      <c r="AA186">
        <v>0</v>
      </c>
      <c r="AB186">
        <v>23</v>
      </c>
      <c r="AC186">
        <v>54</v>
      </c>
      <c r="AD186">
        <v>5</v>
      </c>
      <c r="AE186">
        <f>IFERROR(6/(COUNTIF(Dyno_EndMatch[Match],TBA_Matches_All[[#This Row],[Match_Number]])),0)</f>
        <v>1</v>
      </c>
      <c r="AF186">
        <f>COUNTIFS(Dyno_Data[Team],TBA_Matches_All[[#This Row],[Team]],Dyno_Data[Match],TBA_Matches_All[[#This Row],[Match_Number]],Dyno_Data[RecordType],"EndMatch",Dyno_Data[HPAmp],"Y")</f>
        <v>0</v>
      </c>
      <c r="AG186">
        <f>SUMIFS(Dyno_Data[Mics], Dyno_Data[Team],TBA_Matches_All[[#This Row],[Team]],Dyno_Data[Match],TBA_Matches_All[[#This Row],[Match_Number]],Dyno_Data[RecordType],"EndMatch",Dyno_Data[HPAmp],"Y")</f>
        <v>0</v>
      </c>
      <c r="AH186">
        <f>SUMIFS(Dyno_Data[Leave], Dyno_Data[Team],TBA_Matches_All[[#This Row],[Team]],Dyno_Data[Match],TBA_Matches_All[[#This Row],[Match_Number]],Dyno_Data[RecordType],"EndAuto")</f>
        <v>0</v>
      </c>
      <c r="AI186">
        <f>COUNTIFS(Dyno_Data[Team],TBA_Matches_All[[#This Row],[Team]],Dyno_Data[Match],TBA_Matches_All[[#This Row],[Match_Number]],Dyno_Data[RecordType],"Activities",Dyno_Data[DelDest],"Amp", Dyno_Data[DelMiss],"0", Dyno_Data[Mode],"Auto")</f>
        <v>0</v>
      </c>
      <c r="AJ186">
        <f>COUNTIFS(Dyno_Data[Team],TBA_Matches_All[[#This Row],[Team]],Dyno_Data[Match],TBA_Matches_All[[#This Row],[Match_Number]],Dyno_Data[RecordType],"Activities",Dyno_Data[DelDest],"Spkr", Dyno_Data[DelMiss],"0", Dyno_Data[Mode],"Auto")</f>
        <v>0</v>
      </c>
      <c r="AK186">
        <f>COUNTIFS(Dyno_Data[Team],TBA_Matches_All[[#This Row],[Team]],Dyno_Data[Match],TBA_Matches_All[[#This Row],[Match_Number]],Dyno_Data[RecordType],"Activities",Dyno_Data[DelDest],"Trap", Dyno_Data[DelMiss],"0", Dyno_Data[Mode],"Auto")</f>
        <v>0</v>
      </c>
      <c r="AL186">
        <f>COUNTIFS(Dyno_Data[Team],TBA_Matches_All[[#This Row],[Team]],Dyno_Data[Match],TBA_Matches_All[[#This Row],[Match_Number]],Dyno_Data[RecordType],"Activities",Dyno_Data[DelDest],"Amp", Dyno_Data[DelMiss],"0", Dyno_Data[Mode],"Teleop")</f>
        <v>0</v>
      </c>
      <c r="AM186">
        <f>COUNTIFS(Dyno_Data[Team],TBA_Matches_All[[#This Row],[Team]],Dyno_Data[Match],TBA_Matches_All[[#This Row],[Match_Number]],Dyno_Data[RecordType],"Activities",Dyno_Data[DelDest],"Spkr", Dyno_Data[DelMiss],"0", Dyno_Data[Mode],"Teleop")</f>
        <v>1</v>
      </c>
      <c r="AN186">
        <f>COUNTIFS(Dyno_Data[Team],TBA_Matches_All[[#This Row],[Team]],Dyno_Data[Match],TBA_Matches_All[[#This Row],[Match_Number]],Dyno_Data[RecordType],"Activities",Dyno_Data[DelDest],"Trap", Dyno_Data[DelMiss],"0", Dyno_Data[Mode],"&lt;&gt;Auto")</f>
        <v>0</v>
      </c>
      <c r="AO186">
        <f>SUM(TBA_Matches_All[[#This Row],[AampT]]+TBA_Matches_All[[#This Row],[AspkrT]]+TBA_Matches_All[[#This Row],[AtrapT]]+TBA_Matches_All[[#This Row],[TampT]]+TBA_Matches_All[[#This Row],[TspkrT]]+TBA_Matches_All[[#This Row],[TtrapT]])</f>
        <v>1</v>
      </c>
      <c r="AP186">
        <f>COUNTIFS(Dyno_Data[Team],TBA_Matches_All[[#This Row],[Team]],Dyno_Data[Match],TBA_Matches_All[[#This Row],[Match_Number]],Dyno_Data[RecordType],"Activities",Dyno_Data[DelDest],"Neut", Dyno_Data[DelMiss],"0")</f>
        <v>0</v>
      </c>
      <c r="AQ186">
        <f>COUNTIFS(Dyno_Data[Team],TBA_Matches_All[[#This Row],[Team]],Dyno_Data[Match],TBA_Matches_All[[#This Row],[Match_Number]],Dyno_Data[RecordType],"Activities",Dyno_Data[DelDest],"AllyW", Dyno_Data[DelMiss],"0")</f>
        <v>0</v>
      </c>
      <c r="AR186" t="str">
        <f>_xlfn.XLOOKUP(SUM(MID(TBA_Matches_All[[#This Row],[Team]],4,5),(TBA_Matches_All[[#This Row],[Match_Number]]/100)),Dyno_EndMatch[teammat],Dyno_EndMatch[RobotSta],"_",0,1)</f>
        <v>OppS</v>
      </c>
      <c r="AS186">
        <f>SUMIFS(Dyno_Data[AcqDis], Dyno_Data[Team],TBA_Matches_All[[#This Row],[Team]],Dyno_Data[Match],TBA_Matches_All[[#This Row],[Match_Number]],Dyno_Data[RecordType],"Activities", Dyno_Data[AcqCenter],1,Dyno_Data[Mode],"Auto")</f>
        <v>0</v>
      </c>
      <c r="AT186">
        <f>SUMIFS(Dyno_Data[AcqDis], Dyno_Data[Team],TBA_Matches_All[[#This Row],[Team]],Dyno_Data[Match],TBA_Matches_All[[#This Row],[Match_Number]],Dyno_Data[RecordType],"Activities", Dyno_Data[AcqCenter],2,Dyno_Data[Mode],"Auto")</f>
        <v>0</v>
      </c>
      <c r="AU186">
        <f>SUMIFS(Dyno_Data[AcqDis], Dyno_Data[Team],TBA_Matches_All[[#This Row],[Team]],Dyno_Data[Match],TBA_Matches_All[[#This Row],[Match_Number]],Dyno_Data[RecordType],"Activities", Dyno_Data[AcqCenter],3,Dyno_Data[Mode],"Auto")</f>
        <v>0</v>
      </c>
      <c r="AV186">
        <f>SUMIFS(Dyno_Data[AcqDis], Dyno_Data[Team],TBA_Matches_All[[#This Row],[Team]],Dyno_Data[Match],TBA_Matches_All[[#This Row],[Match_Number]],Dyno_Data[RecordType],"Activities", Dyno_Data[AcqCenter],4,Dyno_Data[Mode],"Auto")</f>
        <v>0</v>
      </c>
      <c r="AW186">
        <f>SUMIFS(Dyno_Data[AcqDis], Dyno_Data[Team],TBA_Matches_All[[#This Row],[Team]],Dyno_Data[Match],TBA_Matches_All[[#This Row],[Match_Number]],Dyno_Data[RecordType],"Activities", Dyno_Data[AcqCenter],5,Dyno_Data[Mode],"Auto")</f>
        <v>0</v>
      </c>
      <c r="AX186">
        <f>SUMIFS(Dyno_Data[DelMiss], Dyno_Data[Team],TBA_Matches_All[[#This Row],[Team]],Dyno_Data[Match],TBA_Matches_All[[#This Row],[Match_Number]],Dyno_Data[RecordType],"Activities", Dyno_Data[DelDest],"Amp")</f>
        <v>0</v>
      </c>
      <c r="AY186" s="60">
        <f>IFERROR(SUM((TBA_Matches_All[[#This Row],[AampT]]+TBA_Matches_All[[#This Row],[TampT]])/(TBA_Matches_All[[#This Row],[AampT]]+TBA_Matches_All[[#This Row],[TampT]]+TBA_Matches_All[[#This Row],[ampM]])),0)</f>
        <v>0</v>
      </c>
      <c r="AZ186">
        <f>SUMIFS(Dyno_Data[DelMiss], Dyno_Data[Team],TBA_Matches_All[[#This Row],[Team]],Dyno_Data[Match],TBA_Matches_All[[#This Row],[Match_Number]],Dyno_Data[RecordType],"Activities", Dyno_Data[DelDest],"Spkr")</f>
        <v>1</v>
      </c>
      <c r="BA186" s="60">
        <f>IFERROR(SUM((TBA_Matches_All[[#This Row],[AspkrT]]+TBA_Matches_All[[#This Row],[TspkrT]])/(TBA_Matches_All[[#This Row],[AspkrT]]+TBA_Matches_All[[#This Row],[TspkrT]]+TBA_Matches_All[[#This Row],[spkrM]])),0)</f>
        <v>0.5</v>
      </c>
      <c r="BB186">
        <f>SUMIFS(Dyno_Data[DelMiss], Dyno_Data[Team],TBA_Matches_All[[#This Row],[Team]],Dyno_Data[Match],TBA_Matches_All[[#This Row],[Match_Number]],Dyno_Data[RecordType],"Activities", Dyno_Data[DelDest],"Trap")</f>
        <v>0</v>
      </c>
      <c r="BC186" s="60">
        <f>IFERROR((TBA_Matches_All[[#This Row],[AtrapT]]+TBA_Matches_All[[#This Row],[TtrapT]])/(TBA_Matches_All[[#This Row],[AtrapT]]+TBA_Matches_All[[#This Row],[TtrapT]]+TBA_Matches_All[[#This Row],[trapM]]),0)</f>
        <v>0</v>
      </c>
      <c r="BD186">
        <f>COUNTIFS(Dyno_Data[Team],TBA_Matches_All[[#This Row],[Team]],Dyno_Data[Match],TBA_Matches_All[[#This Row],[Match_Number]],Dyno_Data[RecordType],"Activities",Dyno_Data[DelDest],"Neut", Dyno_Data[DelMiss],1)</f>
        <v>0</v>
      </c>
      <c r="BE186" s="60">
        <f>IFERROR(SUM((TBA_Matches_All[[#This Row],[NeutFlrT]])/(TBA_Matches_All[[#This Row],[NeutFlrT]]+TBA_Matches_All[[#This Row],[NZflM]])),0)</f>
        <v>0</v>
      </c>
      <c r="BF186">
        <f>COUNTIFS(Dyno_Data[Team],TBA_Matches_All[[#This Row],[Team]],Dyno_Data[Match],TBA_Matches_All[[#This Row],[Match_Number]],Dyno_Data[RecordType],"Activities",Dyno_Data[DelDest],"AllyW", Dyno_Data[DelMiss],1)</f>
        <v>0</v>
      </c>
      <c r="BG186" s="60">
        <f>IFERROR(SUM((TBA_Matches_All[[#This Row],[AllyWFlrT]])/(TBA_Matches_All[[#This Row],[AllyWFlrT]]+TBA_Matches_All[[#This Row],[AZflM]])),0)</f>
        <v>0</v>
      </c>
      <c r="BH186">
        <f>COUNTIFS(Dyno_Data[Team],TBA_Matches_All[[#This Row],[Team]],Dyno_Data[Match],TBA_Matches_All[[#This Row],[Match_Number]],Dyno_Data[RecordType],"Activities",Dyno_Data[DelOrig],"OppW", Dyno_Data[DelMiss],"0")</f>
        <v>0</v>
      </c>
      <c r="BI186">
        <f>COUNTIFS(Dyno_Data[Team],TBA_Matches_All[[#This Row],[Team]],Dyno_Data[Match],TBA_Matches_All[[#This Row],[Match_Number]],Dyno_Data[RecordType],"Activities",Dyno_Data[DelOrig],"OppW", Dyno_Data[DelMiss],"1")</f>
        <v>0</v>
      </c>
      <c r="BJ186" s="60">
        <f>IFERROR(SUM((TBA_Matches_All[[#This Row],[OZflrT]])/(TBA_Matches_All[[#This Row],[OZflrT]]+TBA_Matches_All[[#This Row],[OZflrM]])),0)</f>
        <v>0</v>
      </c>
      <c r="BK186">
        <f>COUNTIFS(Dyno_Data[Team],TBA_Matches_All[[#This Row],[Team]],Dyno_Data[Match],TBA_Matches_All[[#This Row],[Match_Number]],Dyno_Data[RecordType],"Activities",Dyno_Data[DelOrig],"Neut", Dyno_Data[DelMiss],"0")</f>
        <v>0</v>
      </c>
      <c r="BL186">
        <f>COUNTIFS(Dyno_Data[Team],TBA_Matches_All[[#This Row],[Team]],Dyno_Data[Match],TBA_Matches_All[[#This Row],[Match_Number]],Dyno_Data[RecordType],"Activities",Dyno_Data[DelOrig],"Neut", Dyno_Data[DelMiss],"1")</f>
        <v>0</v>
      </c>
      <c r="BM186" s="60">
        <f>IFERROR(SUM((TBA_Matches_All[[#This Row],[NZflrT]])/(TBA_Matches_All[[#This Row],[NZflrT]]+TBA_Matches_All[[#This Row],[NZflrM]])),0)</f>
        <v>0</v>
      </c>
      <c r="BN186">
        <f>COUNTIFS(Dyno_Data[Team],TBA_Matches_All[[#This Row],[Team]],Dyno_Data[Match],TBA_Matches_All[[#This Row],[Match_Number]],Dyno_Data[RecordType],"Activities",Dyno_Data[DelOrig],"AllyW", Dyno_Data[DelMiss],"0")</f>
        <v>1</v>
      </c>
      <c r="BO186">
        <f>COUNTIFS(Dyno_Data[Team],TBA_Matches_All[[#This Row],[Team]],Dyno_Data[Match],TBA_Matches_All[[#This Row],[Match_Number]],Dyno_Data[RecordType],"Activities",Dyno_Data[DelOrig],"AllyW", Dyno_Data[DelMiss],"1")</f>
        <v>1</v>
      </c>
      <c r="BP186" s="60">
        <f>IFERROR(SUM((TBA_Matches_All[[#This Row],[AZflrT]])/(TBA_Matches_All[[#This Row],[AZflrT]]+TBA_Matches_All[[#This Row],[AZflrM]])),0)</f>
        <v>0.5</v>
      </c>
      <c r="BQ186">
        <f>COUNTIFS(Dyno_Data[Team],TBA_Matches_All[[#This Row],[Team]],Dyno_Data[Match],TBA_Matches_All[[#This Row],[Match_Number]],Dyno_Data[RecordType],"Activities",Dyno_Data[DelOrig],"SubW", Dyno_Data[DelMiss],"0")</f>
        <v>0</v>
      </c>
      <c r="BR186">
        <f>COUNTIFS(Dyno_Data[Team],TBA_Matches_All[[#This Row],[Team]],Dyno_Data[Match],TBA_Matches_All[[#This Row],[Match_Number]],Dyno_Data[RecordType],"Activities",Dyno_Data[DelOrig],"SubW", Dyno_Data[DelMiss],"1")</f>
        <v>0</v>
      </c>
      <c r="BS186" s="60">
        <f>IFERROR(SUM((TBA_Matches_All[[#This Row],[SubwT]])/(TBA_Matches_All[[#This Row],[SubwT]]+TBA_Matches_All[[#This Row],[SubwM]])),0)</f>
        <v>0</v>
      </c>
      <c r="BT186">
        <f>COUNTIFS(Dyno_Data[Team],TBA_Matches_All[[#This Row],[Team]],Dyno_Data[Match],TBA_Matches_All[[#This Row],[Match_Number]],Dyno_Data[RecordType],"Activities", Dyno_Data[AcqLoc],"OppWing")</f>
        <v>0</v>
      </c>
      <c r="BU186">
        <f>COUNTIFS(Dyno_Data[Team],TBA_Matches_All[[#This Row],[Team]],Dyno_Data[Match],TBA_Matches_All[[#This Row],[Match_Number]],Dyno_Data[RecordType],"Activities", Dyno_Data[AcqLoc],"Neutral")</f>
        <v>0</v>
      </c>
      <c r="BV186">
        <f>COUNTIFS(Dyno_Data[Team],TBA_Matches_All[[#This Row],[Team]],Dyno_Data[Match],TBA_Matches_All[[#This Row],[Match_Number]],Dyno_Data[RecordType],"Activities", Dyno_Data[AcqLoc],"AllyWing")</f>
        <v>0</v>
      </c>
      <c r="BW186">
        <f>COUNTIFS(Dyno_Data[Team],TBA_Matches_All[[#This Row],[Team]],Dyno_Data[Match],TBA_Matches_All[[#This Row],[Match_Number]],Dyno_Data[RecordType],"Activities", Dyno_Data[AcqLoc],"Source")</f>
        <v>0</v>
      </c>
      <c r="BX186">
        <f>SUMIFS(Dyno_Data[AcqDrp], Dyno_Data[Team],TBA_Matches_All[[#This Row],[Team]],Dyno_Data[Match],TBA_Matches_All[[#This Row],[Match_Number]],Dyno_Data[RecordType],"Activities", Dyno_Data[AcqLoc],"Source")</f>
        <v>0</v>
      </c>
      <c r="BY186">
        <f>SUMIFS(Dyno_Data[OZTime], Dyno_Data[Team],TBA_Matches_All[[#This Row],[Team]],Dyno_Data[Match],TBA_Matches_All[[#This Row],[Match_Number]],Dyno_Data[RecordType],"EndMatch")</f>
        <v>53.377674499999998</v>
      </c>
      <c r="BZ186">
        <f>SUMIFS(Dyno_Data[NZTime], Dyno_Data[Team],TBA_Matches_All[[#This Row],[Team]],Dyno_Data[Match],TBA_Matches_All[[#This Row],[Match_Number]],Dyno_Data[RecordType],"EndMatch")</f>
        <v>10.6209107</v>
      </c>
      <c r="CA186">
        <f>SUMIFS(Dyno_Data[AZTime], Dyno_Data[Team],TBA_Matches_All[[#This Row],[Team]],Dyno_Data[Match],TBA_Matches_All[[#This Row],[Match_Number]],Dyno_Data[RecordType],"EndMatch")</f>
        <v>63.445817299999995</v>
      </c>
      <c r="CB186">
        <f>SUMIFS(Dyno_Data[ClimbT], Dyno_Data[Team],TBA_Matches_All[[#This Row],[Team]],Dyno_Data[Match],TBA_Matches_All[[#This Row],[Match_Number]],Dyno_Data[RecordType],"EndMatch")</f>
        <v>7.0029013999999998</v>
      </c>
      <c r="CC186" t="str">
        <f>_xlfn.XLOOKUP(SUM(MID(TBA_Matches_All[[#This Row],[Team]],4,5),(TBA_Matches_All[[#This Row],[Match_Number]]/100)),Dyno_EndMatch[teammat],Dyno_EndMatch[StageStat],"_",0,1)</f>
        <v>Park</v>
      </c>
      <c r="CD186" t="str">
        <f>_xlfn.XLOOKUP(TBA_Matches_All[[#This Row],[teammat]],Dyno_EndMatch[teammat],Dyno_EndMatch[StageAtt],"_",0,1)</f>
        <v>-1</v>
      </c>
      <c r="CE186" t="str">
        <f>_xlfn.XLOOKUP(TBA_Matches_All[[#This Row],[teammat]],Dyno_EndMatch[teammat],Dyno_EndMatch[StageLoc],"_",0,1)</f>
        <v>A</v>
      </c>
      <c r="CF186">
        <f>SUMIFS(Dyno_Data[Harmony], Dyno_Data[Team],TBA_Matches_All[[#This Row],[Team]],Dyno_Data[Match],TBA_Matches_All[[#This Row],[Match_Number]],Dyno_Data[RecordType],"EndMatch", Dyno_Data[StageStat],"On",Dyno_Data[Harmony],"&lt;&gt;9")</f>
        <v>0</v>
      </c>
      <c r="CG186">
        <f>SUMIFS(Dyno_Data[Spotlit], Dyno_Data[Team],TBA_Matches_All[[#This Row],[Team]],Dyno_Data[Match],TBA_Matches_All[[#This Row],[Match_Number]],Dyno_Data[RecordType],"EndMatch", Dyno_Data[StageStat],"On",Dyno_Data[Spotlit],"&lt;&gt;9")</f>
        <v>0</v>
      </c>
      <c r="CH186" t="str">
        <f>_xlfn.XLOOKUP(TBA_Matches_All[[#This Row],[teammat]],Dyno_EndMatch[teammat],Dyno_EndMatch[Strategy],"_",0,1)</f>
        <v>Hybrid</v>
      </c>
      <c r="CI186">
        <f>SUMIFS(Dyno_Data[Defense], Dyno_Data[Team],TBA_Matches_All[[#This Row],[Team]],Dyno_Data[Match],TBA_Matches_All[[#This Row],[Match_Number]],Dyno_Data[RecordType],"EndMatch",Dyno_Data[Defense],"&lt;&gt;9")</f>
        <v>0</v>
      </c>
      <c r="CJ186">
        <f>SUMIFS(Dyno_Data[Avoidance], Dyno_Data[Team],TBA_Matches_All[[#This Row],[Team]],Dyno_Data[Match],TBA_Matches_All[[#This Row],[Match_Number]],Dyno_Data[RecordType],"EndMatch",Dyno_Data[Avoidance],"&lt;&gt;9")</f>
        <v>0</v>
      </c>
      <c r="CK186" s="82">
        <f>COUNTIF($H$2:TBA_Matches_All[[#This Row],[Team]],TBA_Matches_All[[#This Row],[Team]])</f>
        <v>4</v>
      </c>
      <c r="CL186" s="111">
        <f>SUM(MID(TBA_Matches_All[[#This Row],[Team]],4,5)+TBA_Matches_All[[#This Row],[Match_Number]]/100)</f>
        <v>6969.31</v>
      </c>
      <c r="CM186">
        <f>SUM((TBA_Matches_All[[#This Row],[Leave]]*2)+(TBA_Matches_All[[#This Row],[AampT]]*2)+(TBA_Matches_All[[#This Row],[AspkrT]]*5)+(TBA_Matches_All[[#This Row],[AtrapT]]*5))</f>
        <v>0</v>
      </c>
      <c r="CN186" s="59">
        <f>IFERROR(SUM(TBA_Matches_All[[#This Row],[AptsT]]/TBA_Matches_All[[#This Row],[AutoPts]]),0)</f>
        <v>0</v>
      </c>
      <c r="CO186" s="59">
        <f>IFERROR(SUM(TBA_Matches_All[[#This Row],[AampT]]+TBA_Matches_All[[#This Row],[AspkrT]]+TBA_Matches_All[[#This Row],[AtrapT]]/TBA_Matches_All[[#This Row],[Aamp]]+TBA_Matches_All[[#This Row],[Aspkr]]+TBA_Matches_All[[#This Row],[AtrapT]]),0)</f>
        <v>0</v>
      </c>
      <c r="CP186" s="59">
        <f>IFERROR(SUM(TBA_Matches_All[[#This Row],[TampT]]/TBA_Matches_All[[#This Row],[Tamp]]),0)</f>
        <v>0</v>
      </c>
      <c r="CQ186" s="59">
        <f>IFERROR(SUM(TBA_Matches_All[[#This Row],[TspkrT]]/TBA_Matches_All[[#This Row],[Tspkr]]),0)</f>
        <v>5.2631578947368418E-2</v>
      </c>
      <c r="CR186">
        <f>SUM(TBA_Matches_All[[#This Row],[TspkrPts]]*TBA_Matches_All[[#This Row],[TspkrP]])</f>
        <v>2</v>
      </c>
      <c r="CS186" s="59">
        <f>IFERROR(SUM(TBA_Matches_All[[#This Row],[TtrapT]]/TBA_Matches_All[[#This Row],[Trap]]),0)</f>
        <v>0</v>
      </c>
      <c r="CT186" s="59">
        <f>IFERROR(SUM(TBA_Matches_All[[#This Row],[TotNotesT]]/TBA_Matches_All[[#This Row],[TotNotes]]),0)</f>
        <v>4.3478260869565216E-2</v>
      </c>
      <c r="CU186" s="66">
        <f>SUM((TBA_Matches_All[[#This Row],[AampT]]*2)+(TBA_Matches_All[[#This Row],[AspkrT]]*5)+(TBA_Matches_All[[#This Row],[AtrapT]]*5)+(TBA_Matches_All[[#This Row],[TampT]]*1)+(TBA_Matches_All[[#This Row],[TspkrptsC]]))</f>
        <v>2</v>
      </c>
      <c r="CV186" s="59">
        <f>IFERROR(TBA_Matches_All[[#This Row],[noteptsT]]/TBA_Matches_All[[#This Row],[NotePts]],0)</f>
        <v>3.7037037037037035E-2</v>
      </c>
      <c r="CW186">
        <f>SUM(IF(TBA_Matches_All[[#This Row],[stageStat]]="On",3,0),IF(TBA_Matches_All[[#This Row],[stageStat]]="Park",1,0),SUMIFS(TBA_Matches_All[[#This Row],[Spotlit]],TBA_Matches_All[[#This Row],[stageStat]],"On"),SUMIFS(TBA_Matches_All[[#This Row],[Harmony]],TBA_Matches_All[[#This Row],[stageStat]],"On"))</f>
        <v>1</v>
      </c>
      <c r="CX186" s="59">
        <f>IFERROR(TBA_Matches_All[[#This Row],[stageptsT]]/TBA_Matches_All[[#This Row],[StagePts]],0)</f>
        <v>0.2</v>
      </c>
      <c r="CY186">
        <f>SUM((TBA_Matches_All[[#This Row],[AptsT]]+TBA_Matches_All[[#This Row],[TampT]]+TBA_Matches_All[[#This Row],[TspkrptsC]]+(TBA_Matches_All[[#This Row],[TtrapT]]*5)+TBA_Matches_All[[#This Row],[stageptsT]]))</f>
        <v>3</v>
      </c>
      <c r="CZ186" s="59">
        <f>IFERROR(SUM(TBA_Matches_All[[#This Row],[TotptsC]]/TBA_Matches_All[[#This Row],[Score]]),0)</f>
        <v>4.7619047619047616E-2</v>
      </c>
      <c r="DA18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0.66666666666666663</v>
      </c>
      <c r="DB186" s="74">
        <f>SUMIFS(TBA_Matches_All[AveTeamTNoteDels],TBA_Matches_All[Match_Number],TBA_Matches_All[[#This Row],[Match_Number]],TBA_Matches_All[Alliance],"&lt;&gt;"&amp;TBA_Matches_All[[#This Row],[Alliance]],TBA_Matches_All[Scouted],"&gt;0")</f>
        <v>24.384053030303029</v>
      </c>
      <c r="DC186" s="74">
        <f>(TBA_Matches_All[[#This Row],[TampT]]+TBA_Matches_All[[#This Row],[TspkrptsC]])-TBA_Matches_All[[#This Row],[AveTeamTNoteDels]]</f>
        <v>1.3333333333333335</v>
      </c>
      <c r="DD186" s="74">
        <f>SUMIFS(TBA_Matches_All[AveTeamTNoteDels],TBA_Matches_All[Match_Number],TBA_Matches_All[[#This Row],[Match_Number]],TBA_Matches_All[Alliance],"&lt;&gt;"&amp;TBA_Matches_All[[#This Row],[Alliance]])-TBA_Matches_All[[#This Row],[AveOppTNoteDels]]</f>
        <v>0</v>
      </c>
    </row>
    <row r="187" spans="1:108" x14ac:dyDescent="0.3">
      <c r="A187" t="s">
        <v>1042</v>
      </c>
      <c r="B187" t="s">
        <v>489</v>
      </c>
      <c r="C187" t="s">
        <v>1340</v>
      </c>
      <c r="D187">
        <v>31</v>
      </c>
      <c r="E187" t="s">
        <v>1420</v>
      </c>
      <c r="F187" t="s">
        <v>1421</v>
      </c>
      <c r="G187" t="s">
        <v>164</v>
      </c>
      <c r="H187" t="s">
        <v>1306</v>
      </c>
      <c r="I187" t="b">
        <v>1</v>
      </c>
      <c r="J187">
        <v>54</v>
      </c>
      <c r="K187">
        <v>1</v>
      </c>
      <c r="L187">
        <v>0</v>
      </c>
      <c r="M187">
        <v>0</v>
      </c>
      <c r="N187">
        <v>0</v>
      </c>
      <c r="O187">
        <v>1</v>
      </c>
      <c r="P187">
        <v>5</v>
      </c>
      <c r="Q187">
        <v>7</v>
      </c>
      <c r="R187">
        <v>5</v>
      </c>
      <c r="S187">
        <v>5</v>
      </c>
      <c r="T187">
        <v>5</v>
      </c>
      <c r="U187">
        <v>25</v>
      </c>
      <c r="V187">
        <v>10</v>
      </c>
      <c r="W187">
        <v>10</v>
      </c>
      <c r="X187">
        <v>35</v>
      </c>
      <c r="Y187">
        <v>40</v>
      </c>
      <c r="Z187">
        <v>0</v>
      </c>
      <c r="AA187">
        <v>0</v>
      </c>
      <c r="AB187">
        <v>16</v>
      </c>
      <c r="AC187">
        <v>45</v>
      </c>
      <c r="AD187">
        <v>5</v>
      </c>
      <c r="AE187">
        <f>IFERROR(6/(COUNTIF(Dyno_EndMatch[Match],TBA_Matches_All[[#This Row],[Match_Number]])),0)</f>
        <v>1</v>
      </c>
      <c r="AF187">
        <f>COUNTIFS(Dyno_Data[Team],TBA_Matches_All[[#This Row],[Team]],Dyno_Data[Match],TBA_Matches_All[[#This Row],[Match_Number]],Dyno_Data[RecordType],"EndMatch",Dyno_Data[HPAmp],"Y")</f>
        <v>0</v>
      </c>
      <c r="AG187">
        <f>SUMIFS(Dyno_Data[Mics], Dyno_Data[Team],TBA_Matches_All[[#This Row],[Team]],Dyno_Data[Match],TBA_Matches_All[[#This Row],[Match_Number]],Dyno_Data[RecordType],"EndMatch",Dyno_Data[HPAmp],"Y")</f>
        <v>0</v>
      </c>
      <c r="AH187">
        <f>SUMIFS(Dyno_Data[Leave], Dyno_Data[Team],TBA_Matches_All[[#This Row],[Team]],Dyno_Data[Match],TBA_Matches_All[[#This Row],[Match_Number]],Dyno_Data[RecordType],"EndAuto")</f>
        <v>1</v>
      </c>
      <c r="AI187">
        <f>COUNTIFS(Dyno_Data[Team],TBA_Matches_All[[#This Row],[Team]],Dyno_Data[Match],TBA_Matches_All[[#This Row],[Match_Number]],Dyno_Data[RecordType],"Activities",Dyno_Data[DelDest],"Amp", Dyno_Data[DelMiss],"0", Dyno_Data[Mode],"Auto")</f>
        <v>0</v>
      </c>
      <c r="AJ187">
        <f>COUNTIFS(Dyno_Data[Team],TBA_Matches_All[[#This Row],[Team]],Dyno_Data[Match],TBA_Matches_All[[#This Row],[Match_Number]],Dyno_Data[RecordType],"Activities",Dyno_Data[DelDest],"Spkr", Dyno_Data[DelMiss],"0", Dyno_Data[Mode],"Auto")</f>
        <v>0</v>
      </c>
      <c r="AK187">
        <f>COUNTIFS(Dyno_Data[Team],TBA_Matches_All[[#This Row],[Team]],Dyno_Data[Match],TBA_Matches_All[[#This Row],[Match_Number]],Dyno_Data[RecordType],"Activities",Dyno_Data[DelDest],"Trap", Dyno_Data[DelMiss],"0", Dyno_Data[Mode],"Auto")</f>
        <v>0</v>
      </c>
      <c r="AL187">
        <f>COUNTIFS(Dyno_Data[Team],TBA_Matches_All[[#This Row],[Team]],Dyno_Data[Match],TBA_Matches_All[[#This Row],[Match_Number]],Dyno_Data[RecordType],"Activities",Dyno_Data[DelDest],"Amp", Dyno_Data[DelMiss],"0", Dyno_Data[Mode],"Teleop")</f>
        <v>0</v>
      </c>
      <c r="AM187">
        <f>COUNTIFS(Dyno_Data[Team],TBA_Matches_All[[#This Row],[Team]],Dyno_Data[Match],TBA_Matches_All[[#This Row],[Match_Number]],Dyno_Data[RecordType],"Activities",Dyno_Data[DelDest],"Spkr", Dyno_Data[DelMiss],"0", Dyno_Data[Mode],"Teleop")</f>
        <v>4</v>
      </c>
      <c r="AN187">
        <f>COUNTIFS(Dyno_Data[Team],TBA_Matches_All[[#This Row],[Team]],Dyno_Data[Match],TBA_Matches_All[[#This Row],[Match_Number]],Dyno_Data[RecordType],"Activities",Dyno_Data[DelDest],"Trap", Dyno_Data[DelMiss],"0", Dyno_Data[Mode],"&lt;&gt;Auto")</f>
        <v>0</v>
      </c>
      <c r="AO187">
        <f>SUM(TBA_Matches_All[[#This Row],[AampT]]+TBA_Matches_All[[#This Row],[AspkrT]]+TBA_Matches_All[[#This Row],[AtrapT]]+TBA_Matches_All[[#This Row],[TampT]]+TBA_Matches_All[[#This Row],[TspkrT]]+TBA_Matches_All[[#This Row],[TtrapT]])</f>
        <v>4</v>
      </c>
      <c r="AP187">
        <f>COUNTIFS(Dyno_Data[Team],TBA_Matches_All[[#This Row],[Team]],Dyno_Data[Match],TBA_Matches_All[[#This Row],[Match_Number]],Dyno_Data[RecordType],"Activities",Dyno_Data[DelDest],"Neut", Dyno_Data[DelMiss],"0")</f>
        <v>0</v>
      </c>
      <c r="AQ187">
        <f>COUNTIFS(Dyno_Data[Team],TBA_Matches_All[[#This Row],[Team]],Dyno_Data[Match],TBA_Matches_All[[#This Row],[Match_Number]],Dyno_Data[RecordType],"Activities",Dyno_Data[DelDest],"AllyW", Dyno_Data[DelMiss],"0")</f>
        <v>7</v>
      </c>
      <c r="AR187" t="str">
        <f>_xlfn.XLOOKUP(SUM(MID(TBA_Matches_All[[#This Row],[Team]],4,5),(TBA_Matches_All[[#This Row],[Match_Number]]/100)),Dyno_EndMatch[teammat],Dyno_EndMatch[RobotSta],"_",0,1)</f>
        <v>OppS</v>
      </c>
      <c r="AS187">
        <f>SUMIFS(Dyno_Data[AcqDis], Dyno_Data[Team],TBA_Matches_All[[#This Row],[Team]],Dyno_Data[Match],TBA_Matches_All[[#This Row],[Match_Number]],Dyno_Data[RecordType],"Activities", Dyno_Data[AcqCenter],1,Dyno_Data[Mode],"Auto")</f>
        <v>0</v>
      </c>
      <c r="AT187">
        <f>SUMIFS(Dyno_Data[AcqDis], Dyno_Data[Team],TBA_Matches_All[[#This Row],[Team]],Dyno_Data[Match],TBA_Matches_All[[#This Row],[Match_Number]],Dyno_Data[RecordType],"Activities", Dyno_Data[AcqCenter],2,Dyno_Data[Mode],"Auto")</f>
        <v>0</v>
      </c>
      <c r="AU187">
        <f>SUMIFS(Dyno_Data[AcqDis], Dyno_Data[Team],TBA_Matches_All[[#This Row],[Team]],Dyno_Data[Match],TBA_Matches_All[[#This Row],[Match_Number]],Dyno_Data[RecordType],"Activities", Dyno_Data[AcqCenter],3,Dyno_Data[Mode],"Auto")</f>
        <v>0</v>
      </c>
      <c r="AV187">
        <f>SUMIFS(Dyno_Data[AcqDis], Dyno_Data[Team],TBA_Matches_All[[#This Row],[Team]],Dyno_Data[Match],TBA_Matches_All[[#This Row],[Match_Number]],Dyno_Data[RecordType],"Activities", Dyno_Data[AcqCenter],4,Dyno_Data[Mode],"Auto")</f>
        <v>1</v>
      </c>
      <c r="AW187">
        <f>SUMIFS(Dyno_Data[AcqDis], Dyno_Data[Team],TBA_Matches_All[[#This Row],[Team]],Dyno_Data[Match],TBA_Matches_All[[#This Row],[Match_Number]],Dyno_Data[RecordType],"Activities", Dyno_Data[AcqCenter],5,Dyno_Data[Mode],"Auto")</f>
        <v>0</v>
      </c>
      <c r="AX187">
        <f>SUMIFS(Dyno_Data[DelMiss], Dyno_Data[Team],TBA_Matches_All[[#This Row],[Team]],Dyno_Data[Match],TBA_Matches_All[[#This Row],[Match_Number]],Dyno_Data[RecordType],"Activities", Dyno_Data[DelDest],"Amp")</f>
        <v>0</v>
      </c>
      <c r="AY187" s="60">
        <f>IFERROR(SUM((TBA_Matches_All[[#This Row],[AampT]]+TBA_Matches_All[[#This Row],[TampT]])/(TBA_Matches_All[[#This Row],[AampT]]+TBA_Matches_All[[#This Row],[TampT]]+TBA_Matches_All[[#This Row],[ampM]])),0)</f>
        <v>0</v>
      </c>
      <c r="AZ187">
        <f>SUMIFS(Dyno_Data[DelMiss], Dyno_Data[Team],TBA_Matches_All[[#This Row],[Team]],Dyno_Data[Match],TBA_Matches_All[[#This Row],[Match_Number]],Dyno_Data[RecordType],"Activities", Dyno_Data[DelDest],"Spkr")</f>
        <v>0</v>
      </c>
      <c r="BA187" s="60">
        <f>IFERROR(SUM((TBA_Matches_All[[#This Row],[AspkrT]]+TBA_Matches_All[[#This Row],[TspkrT]])/(TBA_Matches_All[[#This Row],[AspkrT]]+TBA_Matches_All[[#This Row],[TspkrT]]+TBA_Matches_All[[#This Row],[spkrM]])),0)</f>
        <v>1</v>
      </c>
      <c r="BB187">
        <f>SUMIFS(Dyno_Data[DelMiss], Dyno_Data[Team],TBA_Matches_All[[#This Row],[Team]],Dyno_Data[Match],TBA_Matches_All[[#This Row],[Match_Number]],Dyno_Data[RecordType],"Activities", Dyno_Data[DelDest],"Trap")</f>
        <v>0</v>
      </c>
      <c r="BC187" s="60">
        <f>IFERROR((TBA_Matches_All[[#This Row],[AtrapT]]+TBA_Matches_All[[#This Row],[TtrapT]])/(TBA_Matches_All[[#This Row],[AtrapT]]+TBA_Matches_All[[#This Row],[TtrapT]]+TBA_Matches_All[[#This Row],[trapM]]),0)</f>
        <v>0</v>
      </c>
      <c r="BD187">
        <f>COUNTIFS(Dyno_Data[Team],TBA_Matches_All[[#This Row],[Team]],Dyno_Data[Match],TBA_Matches_All[[#This Row],[Match_Number]],Dyno_Data[RecordType],"Activities",Dyno_Data[DelDest],"Neut", Dyno_Data[DelMiss],1)</f>
        <v>0</v>
      </c>
      <c r="BE187" s="60">
        <f>IFERROR(SUM((TBA_Matches_All[[#This Row],[NeutFlrT]])/(TBA_Matches_All[[#This Row],[NeutFlrT]]+TBA_Matches_All[[#This Row],[NZflM]])),0)</f>
        <v>0</v>
      </c>
      <c r="BF187">
        <f>COUNTIFS(Dyno_Data[Team],TBA_Matches_All[[#This Row],[Team]],Dyno_Data[Match],TBA_Matches_All[[#This Row],[Match_Number]],Dyno_Data[RecordType],"Activities",Dyno_Data[DelDest],"AllyW", Dyno_Data[DelMiss],1)</f>
        <v>0</v>
      </c>
      <c r="BG187" s="60">
        <f>IFERROR(SUM((TBA_Matches_All[[#This Row],[AllyWFlrT]])/(TBA_Matches_All[[#This Row],[AllyWFlrT]]+TBA_Matches_All[[#This Row],[AZflM]])),0)</f>
        <v>1</v>
      </c>
      <c r="BH187">
        <f>COUNTIFS(Dyno_Data[Team],TBA_Matches_All[[#This Row],[Team]],Dyno_Data[Match],TBA_Matches_All[[#This Row],[Match_Number]],Dyno_Data[RecordType],"Activities",Dyno_Data[DelOrig],"OppW", Dyno_Data[DelMiss],"0")</f>
        <v>0</v>
      </c>
      <c r="BI187">
        <f>COUNTIFS(Dyno_Data[Team],TBA_Matches_All[[#This Row],[Team]],Dyno_Data[Match],TBA_Matches_All[[#This Row],[Match_Number]],Dyno_Data[RecordType],"Activities",Dyno_Data[DelOrig],"OppW", Dyno_Data[DelMiss],"1")</f>
        <v>0</v>
      </c>
      <c r="BJ187" s="60">
        <f>IFERROR(SUM((TBA_Matches_All[[#This Row],[OZflrT]])/(TBA_Matches_All[[#This Row],[OZflrT]]+TBA_Matches_All[[#This Row],[OZflrM]])),0)</f>
        <v>0</v>
      </c>
      <c r="BK187">
        <f>COUNTIFS(Dyno_Data[Team],TBA_Matches_All[[#This Row],[Team]],Dyno_Data[Match],TBA_Matches_All[[#This Row],[Match_Number]],Dyno_Data[RecordType],"Activities",Dyno_Data[DelOrig],"Neut", Dyno_Data[DelMiss],"0")</f>
        <v>7</v>
      </c>
      <c r="BL187">
        <f>COUNTIFS(Dyno_Data[Team],TBA_Matches_All[[#This Row],[Team]],Dyno_Data[Match],TBA_Matches_All[[#This Row],[Match_Number]],Dyno_Data[RecordType],"Activities",Dyno_Data[DelOrig],"Neut", Dyno_Data[DelMiss],"1")</f>
        <v>0</v>
      </c>
      <c r="BM187" s="60">
        <f>IFERROR(SUM((TBA_Matches_All[[#This Row],[NZflrT]])/(TBA_Matches_All[[#This Row],[NZflrT]]+TBA_Matches_All[[#This Row],[NZflrM]])),0)</f>
        <v>1</v>
      </c>
      <c r="BN187">
        <f>COUNTIFS(Dyno_Data[Team],TBA_Matches_All[[#This Row],[Team]],Dyno_Data[Match],TBA_Matches_All[[#This Row],[Match_Number]],Dyno_Data[RecordType],"Activities",Dyno_Data[DelOrig],"AllyW", Dyno_Data[DelMiss],"0")</f>
        <v>4</v>
      </c>
      <c r="BO187">
        <f>COUNTIFS(Dyno_Data[Team],TBA_Matches_All[[#This Row],[Team]],Dyno_Data[Match],TBA_Matches_All[[#This Row],[Match_Number]],Dyno_Data[RecordType],"Activities",Dyno_Data[DelOrig],"AllyW", Dyno_Data[DelMiss],"1")</f>
        <v>0</v>
      </c>
      <c r="BP187" s="60">
        <f>IFERROR(SUM((TBA_Matches_All[[#This Row],[AZflrT]])/(TBA_Matches_All[[#This Row],[AZflrT]]+TBA_Matches_All[[#This Row],[AZflrM]])),0)</f>
        <v>1</v>
      </c>
      <c r="BQ187">
        <f>COUNTIFS(Dyno_Data[Team],TBA_Matches_All[[#This Row],[Team]],Dyno_Data[Match],TBA_Matches_All[[#This Row],[Match_Number]],Dyno_Data[RecordType],"Activities",Dyno_Data[DelOrig],"SubW", Dyno_Data[DelMiss],"0")</f>
        <v>0</v>
      </c>
      <c r="BR187">
        <f>COUNTIFS(Dyno_Data[Team],TBA_Matches_All[[#This Row],[Team]],Dyno_Data[Match],TBA_Matches_All[[#This Row],[Match_Number]],Dyno_Data[RecordType],"Activities",Dyno_Data[DelOrig],"SubW", Dyno_Data[DelMiss],"1")</f>
        <v>0</v>
      </c>
      <c r="BS187" s="60">
        <f>IFERROR(SUM((TBA_Matches_All[[#This Row],[SubwT]])/(TBA_Matches_All[[#This Row],[SubwT]]+TBA_Matches_All[[#This Row],[SubwM]])),0)</f>
        <v>0</v>
      </c>
      <c r="BT187">
        <f>COUNTIFS(Dyno_Data[Team],TBA_Matches_All[[#This Row],[Team]],Dyno_Data[Match],TBA_Matches_All[[#This Row],[Match_Number]],Dyno_Data[RecordType],"Activities", Dyno_Data[AcqLoc],"OppWing")</f>
        <v>0</v>
      </c>
      <c r="BU187">
        <f>COUNTIFS(Dyno_Data[Team],TBA_Matches_All[[#This Row],[Team]],Dyno_Data[Match],TBA_Matches_All[[#This Row],[Match_Number]],Dyno_Data[RecordType],"Activities", Dyno_Data[AcqLoc],"Neutral")</f>
        <v>2</v>
      </c>
      <c r="BV187">
        <f>COUNTIFS(Dyno_Data[Team],TBA_Matches_All[[#This Row],[Team]],Dyno_Data[Match],TBA_Matches_All[[#This Row],[Match_Number]],Dyno_Data[RecordType],"Activities", Dyno_Data[AcqLoc],"AllyWing")</f>
        <v>0</v>
      </c>
      <c r="BW187">
        <f>COUNTIFS(Dyno_Data[Team],TBA_Matches_All[[#This Row],[Team]],Dyno_Data[Match],TBA_Matches_All[[#This Row],[Match_Number]],Dyno_Data[RecordType],"Activities", Dyno_Data[AcqLoc],"Source")</f>
        <v>0</v>
      </c>
      <c r="BX187">
        <f>SUMIFS(Dyno_Data[AcqDrp], Dyno_Data[Team],TBA_Matches_All[[#This Row],[Team]],Dyno_Data[Match],TBA_Matches_All[[#This Row],[Match_Number]],Dyno_Data[RecordType],"Activities", Dyno_Data[AcqLoc],"Source")</f>
        <v>0</v>
      </c>
      <c r="BY187">
        <f>SUMIFS(Dyno_Data[OZTime], Dyno_Data[Team],TBA_Matches_All[[#This Row],[Team]],Dyno_Data[Match],TBA_Matches_All[[#This Row],[Match_Number]],Dyno_Data[RecordType],"EndMatch")</f>
        <v>40.921852799999996</v>
      </c>
      <c r="BZ187">
        <f>SUMIFS(Dyno_Data[NZTime], Dyno_Data[Team],TBA_Matches_All[[#This Row],[Team]],Dyno_Data[Match],TBA_Matches_All[[#This Row],[Match_Number]],Dyno_Data[RecordType],"EndMatch")</f>
        <v>53.776271699999995</v>
      </c>
      <c r="CA187">
        <f>SUMIFS(Dyno_Data[AZTime], Dyno_Data[Team],TBA_Matches_All[[#This Row],[Team]],Dyno_Data[Match],TBA_Matches_All[[#This Row],[Match_Number]],Dyno_Data[RecordType],"EndMatch")</f>
        <v>27.5782527</v>
      </c>
      <c r="CB187">
        <f>SUMIFS(Dyno_Data[ClimbT], Dyno_Data[Team],TBA_Matches_All[[#This Row],[Team]],Dyno_Data[Match],TBA_Matches_All[[#This Row],[Match_Number]],Dyno_Data[RecordType],"EndMatch")</f>
        <v>2.6140314</v>
      </c>
      <c r="CC187" t="str">
        <f>_xlfn.XLOOKUP(SUM(MID(TBA_Matches_All[[#This Row],[Team]],4,5),(TBA_Matches_All[[#This Row],[Match_Number]]/100)),Dyno_EndMatch[teammat],Dyno_EndMatch[StageStat],"_",0,1)</f>
        <v>On</v>
      </c>
      <c r="CD187" t="str">
        <f>_xlfn.XLOOKUP(TBA_Matches_All[[#This Row],[teammat]],Dyno_EndMatch[teammat],Dyno_EndMatch[StageAtt],"_",0,1)</f>
        <v>1</v>
      </c>
      <c r="CE187" t="str">
        <f>_xlfn.XLOOKUP(TBA_Matches_All[[#This Row],[teammat]],Dyno_EndMatch[teammat],Dyno_EndMatch[StageLoc],"_",0,1)</f>
        <v>R</v>
      </c>
      <c r="CF187">
        <f>SUMIFS(Dyno_Data[Harmony], Dyno_Data[Team],TBA_Matches_All[[#This Row],[Team]],Dyno_Data[Match],TBA_Matches_All[[#This Row],[Match_Number]],Dyno_Data[RecordType],"EndMatch", Dyno_Data[StageStat],"On",Dyno_Data[Harmony],"&lt;&gt;9")</f>
        <v>0</v>
      </c>
      <c r="CG187">
        <f>SUMIFS(Dyno_Data[Spotlit], Dyno_Data[Team],TBA_Matches_All[[#This Row],[Team]],Dyno_Data[Match],TBA_Matches_All[[#This Row],[Match_Number]],Dyno_Data[RecordType],"EndMatch", Dyno_Data[StageStat],"On",Dyno_Data[Spotlit],"&lt;&gt;9")</f>
        <v>0</v>
      </c>
      <c r="CH187" t="str">
        <f>_xlfn.XLOOKUP(TBA_Matches_All[[#This Row],[teammat]],Dyno_EndMatch[teammat],Dyno_EndMatch[Strategy],"_",0,1)</f>
        <v>Mover</v>
      </c>
      <c r="CI187">
        <f>SUMIFS(Dyno_Data[Defense], Dyno_Data[Team],TBA_Matches_All[[#This Row],[Team]],Dyno_Data[Match],TBA_Matches_All[[#This Row],[Match_Number]],Dyno_Data[RecordType],"EndMatch",Dyno_Data[Defense],"&lt;&gt;9")</f>
        <v>0</v>
      </c>
      <c r="CJ187">
        <f>SUMIFS(Dyno_Data[Avoidance], Dyno_Data[Team],TBA_Matches_All[[#This Row],[Team]],Dyno_Data[Match],TBA_Matches_All[[#This Row],[Match_Number]],Dyno_Data[RecordType],"EndMatch",Dyno_Data[Avoidance],"&lt;&gt;9")</f>
        <v>0</v>
      </c>
      <c r="CK187" s="82">
        <f>COUNTIF($H$2:TBA_Matches_All[[#This Row],[Team]],TBA_Matches_All[[#This Row],[Team]])</f>
        <v>4</v>
      </c>
      <c r="CL187" s="111">
        <f>SUM(MID(TBA_Matches_All[[#This Row],[Team]],4,5)+TBA_Matches_All[[#This Row],[Match_Number]]/100)</f>
        <v>3986.31</v>
      </c>
      <c r="CM187">
        <f>SUM((TBA_Matches_All[[#This Row],[Leave]]*2)+(TBA_Matches_All[[#This Row],[AampT]]*2)+(TBA_Matches_All[[#This Row],[AspkrT]]*5)+(TBA_Matches_All[[#This Row],[AtrapT]]*5))</f>
        <v>2</v>
      </c>
      <c r="CN187" s="59">
        <f>IFERROR(SUM(TBA_Matches_All[[#This Row],[AptsT]]/TBA_Matches_All[[#This Row],[AutoPts]]),0)</f>
        <v>0.2857142857142857</v>
      </c>
      <c r="CO187" s="59">
        <f>IFERROR(SUM(TBA_Matches_All[[#This Row],[AampT]]+TBA_Matches_All[[#This Row],[AspkrT]]+TBA_Matches_All[[#This Row],[AtrapT]]/TBA_Matches_All[[#This Row],[Aamp]]+TBA_Matches_All[[#This Row],[Aspkr]]+TBA_Matches_All[[#This Row],[AtrapT]]),0)</f>
        <v>0</v>
      </c>
      <c r="CP187" s="59">
        <f>IFERROR(SUM(TBA_Matches_All[[#This Row],[TampT]]/TBA_Matches_All[[#This Row],[Tamp]]),0)</f>
        <v>0</v>
      </c>
      <c r="CQ187" s="59">
        <f>IFERROR(SUM(TBA_Matches_All[[#This Row],[TspkrT]]/TBA_Matches_All[[#This Row],[Tspkr]]),0)</f>
        <v>0.4</v>
      </c>
      <c r="CR187">
        <f>SUM(TBA_Matches_All[[#This Row],[TspkrPts]]*TBA_Matches_All[[#This Row],[TspkrP]])</f>
        <v>14</v>
      </c>
      <c r="CS187" s="59">
        <f>IFERROR(SUM(TBA_Matches_All[[#This Row],[TtrapT]]/TBA_Matches_All[[#This Row],[Trap]]),0)</f>
        <v>0</v>
      </c>
      <c r="CT187" s="59">
        <f>IFERROR(SUM(TBA_Matches_All[[#This Row],[TotNotesT]]/TBA_Matches_All[[#This Row],[TotNotes]]),0)</f>
        <v>0.25</v>
      </c>
      <c r="CU187" s="66">
        <f>SUM((TBA_Matches_All[[#This Row],[AampT]]*2)+(TBA_Matches_All[[#This Row],[AspkrT]]*5)+(TBA_Matches_All[[#This Row],[AtrapT]]*5)+(TBA_Matches_All[[#This Row],[TampT]]*1)+(TBA_Matches_All[[#This Row],[TspkrptsC]]))</f>
        <v>14</v>
      </c>
      <c r="CV187" s="59">
        <f>IFERROR(TBA_Matches_All[[#This Row],[noteptsT]]/TBA_Matches_All[[#This Row],[NotePts]],0)</f>
        <v>0.31111111111111112</v>
      </c>
      <c r="CW187">
        <f>SUM(IF(TBA_Matches_All[[#This Row],[stageStat]]="On",3,0),IF(TBA_Matches_All[[#This Row],[stageStat]]="Park",1,0),SUMIFS(TBA_Matches_All[[#This Row],[Spotlit]],TBA_Matches_All[[#This Row],[stageStat]],"On"),SUMIFS(TBA_Matches_All[[#This Row],[Harmony]],TBA_Matches_All[[#This Row],[stageStat]],"On"))</f>
        <v>3</v>
      </c>
      <c r="CX187" s="59">
        <f>IFERROR(TBA_Matches_All[[#This Row],[stageptsT]]/TBA_Matches_All[[#This Row],[StagePts]],0)</f>
        <v>0.6</v>
      </c>
      <c r="CY187">
        <f>SUM((TBA_Matches_All[[#This Row],[AptsT]]+TBA_Matches_All[[#This Row],[TampT]]+TBA_Matches_All[[#This Row],[TspkrptsC]]+(TBA_Matches_All[[#This Row],[TtrapT]]*5)+TBA_Matches_All[[#This Row],[stageptsT]]))</f>
        <v>19</v>
      </c>
      <c r="CZ187" s="59">
        <f>IFERROR(SUM(TBA_Matches_All[[#This Row],[TotptsC]]/TBA_Matches_All[[#This Row],[Score]]),0)</f>
        <v>0.35185185185185186</v>
      </c>
      <c r="DA18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6.4363636363636365</v>
      </c>
      <c r="DB187" s="74">
        <f>SUMIFS(TBA_Matches_All[AveTeamTNoteDels],TBA_Matches_All[Match_Number],TBA_Matches_All[[#This Row],[Match_Number]],TBA_Matches_All[Alliance],"&lt;&gt;"&amp;TBA_Matches_All[[#This Row],[Alliance]],TBA_Matches_All[Scouted],"&gt;0")</f>
        <v>29.535037878787879</v>
      </c>
      <c r="DC187" s="74">
        <f>(TBA_Matches_All[[#This Row],[TampT]]+TBA_Matches_All[[#This Row],[TspkrptsC]])-TBA_Matches_All[[#This Row],[AveTeamTNoteDels]]</f>
        <v>7.5636363636363635</v>
      </c>
      <c r="DD187" s="74">
        <f>SUMIFS(TBA_Matches_All[AveTeamTNoteDels],TBA_Matches_All[Match_Number],TBA_Matches_All[[#This Row],[Match_Number]],TBA_Matches_All[Alliance],"&lt;&gt;"&amp;TBA_Matches_All[[#This Row],[Alliance]])-TBA_Matches_All[[#This Row],[AveOppTNoteDels]]</f>
        <v>0</v>
      </c>
    </row>
    <row r="188" spans="1:108" x14ac:dyDescent="0.3">
      <c r="A188" t="s">
        <v>1042</v>
      </c>
      <c r="B188" t="s">
        <v>489</v>
      </c>
      <c r="C188" t="s">
        <v>1340</v>
      </c>
      <c r="D188">
        <v>31</v>
      </c>
      <c r="E188" t="s">
        <v>1406</v>
      </c>
      <c r="F188" t="s">
        <v>1422</v>
      </c>
      <c r="G188" t="s">
        <v>105</v>
      </c>
      <c r="H188" t="s">
        <v>1286</v>
      </c>
      <c r="I188" t="b">
        <v>1</v>
      </c>
      <c r="J188">
        <v>63</v>
      </c>
      <c r="K188">
        <v>1</v>
      </c>
      <c r="L188">
        <v>0</v>
      </c>
      <c r="M188">
        <v>2</v>
      </c>
      <c r="N188">
        <v>0</v>
      </c>
      <c r="O188">
        <v>3</v>
      </c>
      <c r="P188">
        <v>15</v>
      </c>
      <c r="Q188">
        <v>19</v>
      </c>
      <c r="R188">
        <v>1</v>
      </c>
      <c r="S188">
        <v>0</v>
      </c>
      <c r="T188">
        <v>19</v>
      </c>
      <c r="U188">
        <v>0</v>
      </c>
      <c r="V188">
        <v>38</v>
      </c>
      <c r="W188">
        <v>19</v>
      </c>
      <c r="X188">
        <v>38</v>
      </c>
      <c r="Y188">
        <v>39</v>
      </c>
      <c r="Z188">
        <v>0</v>
      </c>
      <c r="AA188">
        <v>0</v>
      </c>
      <c r="AB188">
        <v>23</v>
      </c>
      <c r="AC188">
        <v>54</v>
      </c>
      <c r="AD188">
        <v>5</v>
      </c>
      <c r="AE188">
        <f>IFERROR(6/(COUNTIF(Dyno_EndMatch[Match],TBA_Matches_All[[#This Row],[Match_Number]])),0)</f>
        <v>1</v>
      </c>
      <c r="AF188">
        <f>COUNTIFS(Dyno_Data[Team],TBA_Matches_All[[#This Row],[Team]],Dyno_Data[Match],TBA_Matches_All[[#This Row],[Match_Number]],Dyno_Data[RecordType],"EndMatch",Dyno_Data[HPAmp],"Y")</f>
        <v>0</v>
      </c>
      <c r="AG188">
        <f>SUMIFS(Dyno_Data[Mics], Dyno_Data[Team],TBA_Matches_All[[#This Row],[Team]],Dyno_Data[Match],TBA_Matches_All[[#This Row],[Match_Number]],Dyno_Data[RecordType],"EndMatch",Dyno_Data[HPAmp],"Y")</f>
        <v>0</v>
      </c>
      <c r="AH188">
        <f>SUMIFS(Dyno_Data[Leave], Dyno_Data[Team],TBA_Matches_All[[#This Row],[Team]],Dyno_Data[Match],TBA_Matches_All[[#This Row],[Match_Number]],Dyno_Data[RecordType],"EndAuto")</f>
        <v>1</v>
      </c>
      <c r="AI188">
        <f>COUNTIFS(Dyno_Data[Team],TBA_Matches_All[[#This Row],[Team]],Dyno_Data[Match],TBA_Matches_All[[#This Row],[Match_Number]],Dyno_Data[RecordType],"Activities",Dyno_Data[DelDest],"Amp", Dyno_Data[DelMiss],"0", Dyno_Data[Mode],"Auto")</f>
        <v>0</v>
      </c>
      <c r="AJ188">
        <f>COUNTIFS(Dyno_Data[Team],TBA_Matches_All[[#This Row],[Team]],Dyno_Data[Match],TBA_Matches_All[[#This Row],[Match_Number]],Dyno_Data[RecordType],"Activities",Dyno_Data[DelDest],"Spkr", Dyno_Data[DelMiss],"0", Dyno_Data[Mode],"Auto")</f>
        <v>2</v>
      </c>
      <c r="AK188">
        <f>COUNTIFS(Dyno_Data[Team],TBA_Matches_All[[#This Row],[Team]],Dyno_Data[Match],TBA_Matches_All[[#This Row],[Match_Number]],Dyno_Data[RecordType],"Activities",Dyno_Data[DelDest],"Trap", Dyno_Data[DelMiss],"0", Dyno_Data[Mode],"Auto")</f>
        <v>0</v>
      </c>
      <c r="AL188">
        <f>COUNTIFS(Dyno_Data[Team],TBA_Matches_All[[#This Row],[Team]],Dyno_Data[Match],TBA_Matches_All[[#This Row],[Match_Number]],Dyno_Data[RecordType],"Activities",Dyno_Data[DelDest],"Amp", Dyno_Data[DelMiss],"0", Dyno_Data[Mode],"Teleop")</f>
        <v>1</v>
      </c>
      <c r="AM188">
        <f>COUNTIFS(Dyno_Data[Team],TBA_Matches_All[[#This Row],[Team]],Dyno_Data[Match],TBA_Matches_All[[#This Row],[Match_Number]],Dyno_Data[RecordType],"Activities",Dyno_Data[DelDest],"Spkr", Dyno_Data[DelMiss],"0", Dyno_Data[Mode],"Teleop")</f>
        <v>10</v>
      </c>
      <c r="AN188">
        <f>COUNTIFS(Dyno_Data[Team],TBA_Matches_All[[#This Row],[Team]],Dyno_Data[Match],TBA_Matches_All[[#This Row],[Match_Number]],Dyno_Data[RecordType],"Activities",Dyno_Data[DelDest],"Trap", Dyno_Data[DelMiss],"0", Dyno_Data[Mode],"&lt;&gt;Auto")</f>
        <v>0</v>
      </c>
      <c r="AO188">
        <f>SUM(TBA_Matches_All[[#This Row],[AampT]]+TBA_Matches_All[[#This Row],[AspkrT]]+TBA_Matches_All[[#This Row],[AtrapT]]+TBA_Matches_All[[#This Row],[TampT]]+TBA_Matches_All[[#This Row],[TspkrT]]+TBA_Matches_All[[#This Row],[TtrapT]])</f>
        <v>13</v>
      </c>
      <c r="AP188">
        <f>COUNTIFS(Dyno_Data[Team],TBA_Matches_All[[#This Row],[Team]],Dyno_Data[Match],TBA_Matches_All[[#This Row],[Match_Number]],Dyno_Data[RecordType],"Activities",Dyno_Data[DelDest],"Neut", Dyno_Data[DelMiss],"0")</f>
        <v>0</v>
      </c>
      <c r="AQ188">
        <f>COUNTIFS(Dyno_Data[Team],TBA_Matches_All[[#This Row],[Team]],Dyno_Data[Match],TBA_Matches_All[[#This Row],[Match_Number]],Dyno_Data[RecordType],"Activities",Dyno_Data[DelDest],"AllyW", Dyno_Data[DelMiss],"0")</f>
        <v>0</v>
      </c>
      <c r="AR188" t="str">
        <f>_xlfn.XLOOKUP(SUM(MID(TBA_Matches_All[[#This Row],[Team]],4,5),(TBA_Matches_All[[#This Row],[Match_Number]]/100)),Dyno_EndMatch[teammat],Dyno_EndMatch[RobotSta],"_",0,1)</f>
        <v>Podm</v>
      </c>
      <c r="AS188">
        <f>SUMIFS(Dyno_Data[AcqDis], Dyno_Data[Team],TBA_Matches_All[[#This Row],[Team]],Dyno_Data[Match],TBA_Matches_All[[#This Row],[Match_Number]],Dyno_Data[RecordType],"Activities", Dyno_Data[AcqCenter],1,Dyno_Data[Mode],"Auto")</f>
        <v>0</v>
      </c>
      <c r="AT188">
        <f>SUMIFS(Dyno_Data[AcqDis], Dyno_Data[Team],TBA_Matches_All[[#This Row],[Team]],Dyno_Data[Match],TBA_Matches_All[[#This Row],[Match_Number]],Dyno_Data[RecordType],"Activities", Dyno_Data[AcqCenter],2,Dyno_Data[Mode],"Auto")</f>
        <v>0</v>
      </c>
      <c r="AU188">
        <f>SUMIFS(Dyno_Data[AcqDis], Dyno_Data[Team],TBA_Matches_All[[#This Row],[Team]],Dyno_Data[Match],TBA_Matches_All[[#This Row],[Match_Number]],Dyno_Data[RecordType],"Activities", Dyno_Data[AcqCenter],3,Dyno_Data[Mode],"Auto")</f>
        <v>1</v>
      </c>
      <c r="AV188">
        <f>SUMIFS(Dyno_Data[AcqDis], Dyno_Data[Team],TBA_Matches_All[[#This Row],[Team]],Dyno_Data[Match],TBA_Matches_All[[#This Row],[Match_Number]],Dyno_Data[RecordType],"Activities", Dyno_Data[AcqCenter],4,Dyno_Data[Mode],"Auto")</f>
        <v>0</v>
      </c>
      <c r="AW188">
        <f>SUMIFS(Dyno_Data[AcqDis], Dyno_Data[Team],TBA_Matches_All[[#This Row],[Team]],Dyno_Data[Match],TBA_Matches_All[[#This Row],[Match_Number]],Dyno_Data[RecordType],"Activities", Dyno_Data[AcqCenter],5,Dyno_Data[Mode],"Auto")</f>
        <v>0</v>
      </c>
      <c r="AX188">
        <f>SUMIFS(Dyno_Data[DelMiss], Dyno_Data[Team],TBA_Matches_All[[#This Row],[Team]],Dyno_Data[Match],TBA_Matches_All[[#This Row],[Match_Number]],Dyno_Data[RecordType],"Activities", Dyno_Data[DelDest],"Amp")</f>
        <v>0</v>
      </c>
      <c r="AY188" s="60">
        <f>IFERROR(SUM((TBA_Matches_All[[#This Row],[AampT]]+TBA_Matches_All[[#This Row],[TampT]])/(TBA_Matches_All[[#This Row],[AampT]]+TBA_Matches_All[[#This Row],[TampT]]+TBA_Matches_All[[#This Row],[ampM]])),0)</f>
        <v>1</v>
      </c>
      <c r="AZ188">
        <f>SUMIFS(Dyno_Data[DelMiss], Dyno_Data[Team],TBA_Matches_All[[#This Row],[Team]],Dyno_Data[Match],TBA_Matches_All[[#This Row],[Match_Number]],Dyno_Data[RecordType],"Activities", Dyno_Data[DelDest],"Spkr")</f>
        <v>0</v>
      </c>
      <c r="BA188" s="60">
        <f>IFERROR(SUM((TBA_Matches_All[[#This Row],[AspkrT]]+TBA_Matches_All[[#This Row],[TspkrT]])/(TBA_Matches_All[[#This Row],[AspkrT]]+TBA_Matches_All[[#This Row],[TspkrT]]+TBA_Matches_All[[#This Row],[spkrM]])),0)</f>
        <v>1</v>
      </c>
      <c r="BB188">
        <f>SUMIFS(Dyno_Data[DelMiss], Dyno_Data[Team],TBA_Matches_All[[#This Row],[Team]],Dyno_Data[Match],TBA_Matches_All[[#This Row],[Match_Number]],Dyno_Data[RecordType],"Activities", Dyno_Data[DelDest],"Trap")</f>
        <v>0</v>
      </c>
      <c r="BC188" s="60">
        <f>IFERROR((TBA_Matches_All[[#This Row],[AtrapT]]+TBA_Matches_All[[#This Row],[TtrapT]])/(TBA_Matches_All[[#This Row],[AtrapT]]+TBA_Matches_All[[#This Row],[TtrapT]]+TBA_Matches_All[[#This Row],[trapM]]),0)</f>
        <v>0</v>
      </c>
      <c r="BD188">
        <f>COUNTIFS(Dyno_Data[Team],TBA_Matches_All[[#This Row],[Team]],Dyno_Data[Match],TBA_Matches_All[[#This Row],[Match_Number]],Dyno_Data[RecordType],"Activities",Dyno_Data[DelDest],"Neut", Dyno_Data[DelMiss],1)</f>
        <v>0</v>
      </c>
      <c r="BE188" s="60">
        <f>IFERROR(SUM((TBA_Matches_All[[#This Row],[NeutFlrT]])/(TBA_Matches_All[[#This Row],[NeutFlrT]]+TBA_Matches_All[[#This Row],[NZflM]])),0)</f>
        <v>0</v>
      </c>
      <c r="BF188">
        <f>COUNTIFS(Dyno_Data[Team],TBA_Matches_All[[#This Row],[Team]],Dyno_Data[Match],TBA_Matches_All[[#This Row],[Match_Number]],Dyno_Data[RecordType],"Activities",Dyno_Data[DelDest],"AllyW", Dyno_Data[DelMiss],1)</f>
        <v>0</v>
      </c>
      <c r="BG188" s="60">
        <f>IFERROR(SUM((TBA_Matches_All[[#This Row],[AllyWFlrT]])/(TBA_Matches_All[[#This Row],[AllyWFlrT]]+TBA_Matches_All[[#This Row],[AZflM]])),0)</f>
        <v>0</v>
      </c>
      <c r="BH188">
        <f>COUNTIFS(Dyno_Data[Team],TBA_Matches_All[[#This Row],[Team]],Dyno_Data[Match],TBA_Matches_All[[#This Row],[Match_Number]],Dyno_Data[RecordType],"Activities",Dyno_Data[DelOrig],"OppW", Dyno_Data[DelMiss],"0")</f>
        <v>0</v>
      </c>
      <c r="BI188">
        <f>COUNTIFS(Dyno_Data[Team],TBA_Matches_All[[#This Row],[Team]],Dyno_Data[Match],TBA_Matches_All[[#This Row],[Match_Number]],Dyno_Data[RecordType],"Activities",Dyno_Data[DelOrig],"OppW", Dyno_Data[DelMiss],"1")</f>
        <v>0</v>
      </c>
      <c r="BJ188" s="60">
        <f>IFERROR(SUM((TBA_Matches_All[[#This Row],[OZflrT]])/(TBA_Matches_All[[#This Row],[OZflrT]]+TBA_Matches_All[[#This Row],[OZflrM]])),0)</f>
        <v>0</v>
      </c>
      <c r="BK188">
        <f>COUNTIFS(Dyno_Data[Team],TBA_Matches_All[[#This Row],[Team]],Dyno_Data[Match],TBA_Matches_All[[#This Row],[Match_Number]],Dyno_Data[RecordType],"Activities",Dyno_Data[DelOrig],"Neut", Dyno_Data[DelMiss],"0")</f>
        <v>0</v>
      </c>
      <c r="BL188">
        <f>COUNTIFS(Dyno_Data[Team],TBA_Matches_All[[#This Row],[Team]],Dyno_Data[Match],TBA_Matches_All[[#This Row],[Match_Number]],Dyno_Data[RecordType],"Activities",Dyno_Data[DelOrig],"Neut", Dyno_Data[DelMiss],"1")</f>
        <v>0</v>
      </c>
      <c r="BM188" s="60">
        <f>IFERROR(SUM((TBA_Matches_All[[#This Row],[NZflrT]])/(TBA_Matches_All[[#This Row],[NZflrT]]+TBA_Matches_All[[#This Row],[NZflrM]])),0)</f>
        <v>0</v>
      </c>
      <c r="BN188">
        <f>COUNTIFS(Dyno_Data[Team],TBA_Matches_All[[#This Row],[Team]],Dyno_Data[Match],TBA_Matches_All[[#This Row],[Match_Number]],Dyno_Data[RecordType],"Activities",Dyno_Data[DelOrig],"AllyW", Dyno_Data[DelMiss],"0")</f>
        <v>12</v>
      </c>
      <c r="BO188">
        <f>COUNTIFS(Dyno_Data[Team],TBA_Matches_All[[#This Row],[Team]],Dyno_Data[Match],TBA_Matches_All[[#This Row],[Match_Number]],Dyno_Data[RecordType],"Activities",Dyno_Data[DelOrig],"AllyW", Dyno_Data[DelMiss],"1")</f>
        <v>0</v>
      </c>
      <c r="BP188" s="60">
        <f>IFERROR(SUM((TBA_Matches_All[[#This Row],[AZflrT]])/(TBA_Matches_All[[#This Row],[AZflrT]]+TBA_Matches_All[[#This Row],[AZflrM]])),0)</f>
        <v>1</v>
      </c>
      <c r="BQ188">
        <f>COUNTIFS(Dyno_Data[Team],TBA_Matches_All[[#This Row],[Team]],Dyno_Data[Match],TBA_Matches_All[[#This Row],[Match_Number]],Dyno_Data[RecordType],"Activities",Dyno_Data[DelOrig],"SubW", Dyno_Data[DelMiss],"0")</f>
        <v>1</v>
      </c>
      <c r="BR188">
        <f>COUNTIFS(Dyno_Data[Team],TBA_Matches_All[[#This Row],[Team]],Dyno_Data[Match],TBA_Matches_All[[#This Row],[Match_Number]],Dyno_Data[RecordType],"Activities",Dyno_Data[DelOrig],"SubW", Dyno_Data[DelMiss],"1")</f>
        <v>0</v>
      </c>
      <c r="BS188" s="60">
        <f>IFERROR(SUM((TBA_Matches_All[[#This Row],[SubwT]])/(TBA_Matches_All[[#This Row],[SubwT]]+TBA_Matches_All[[#This Row],[SubwM]])),0)</f>
        <v>1</v>
      </c>
      <c r="BT188">
        <f>COUNTIFS(Dyno_Data[Team],TBA_Matches_All[[#This Row],[Team]],Dyno_Data[Match],TBA_Matches_All[[#This Row],[Match_Number]],Dyno_Data[RecordType],"Activities", Dyno_Data[AcqLoc],"OppWing")</f>
        <v>0</v>
      </c>
      <c r="BU188">
        <f>COUNTIFS(Dyno_Data[Team],TBA_Matches_All[[#This Row],[Team]],Dyno_Data[Match],TBA_Matches_All[[#This Row],[Match_Number]],Dyno_Data[RecordType],"Activities", Dyno_Data[AcqLoc],"Neutral")</f>
        <v>2</v>
      </c>
      <c r="BV188">
        <f>COUNTIFS(Dyno_Data[Team],TBA_Matches_All[[#This Row],[Team]],Dyno_Data[Match],TBA_Matches_All[[#This Row],[Match_Number]],Dyno_Data[RecordType],"Activities", Dyno_Data[AcqLoc],"AllyWing")</f>
        <v>0</v>
      </c>
      <c r="BW188">
        <f>COUNTIFS(Dyno_Data[Team],TBA_Matches_All[[#This Row],[Team]],Dyno_Data[Match],TBA_Matches_All[[#This Row],[Match_Number]],Dyno_Data[RecordType],"Activities", Dyno_Data[AcqLoc],"Source")</f>
        <v>0</v>
      </c>
      <c r="BX188">
        <f>SUMIFS(Dyno_Data[AcqDrp], Dyno_Data[Team],TBA_Matches_All[[#This Row],[Team]],Dyno_Data[Match],TBA_Matches_All[[#This Row],[Match_Number]],Dyno_Data[RecordType],"Activities", Dyno_Data[AcqLoc],"Source")</f>
        <v>0</v>
      </c>
      <c r="BY188">
        <f>SUMIFS(Dyno_Data[OZTime], Dyno_Data[Team],TBA_Matches_All[[#This Row],[Team]],Dyno_Data[Match],TBA_Matches_All[[#This Row],[Match_Number]],Dyno_Data[RecordType],"EndMatch")</f>
        <v>51.863894299999998</v>
      </c>
      <c r="BZ188">
        <f>SUMIFS(Dyno_Data[NZTime], Dyno_Data[Team],TBA_Matches_All[[#This Row],[Team]],Dyno_Data[Match],TBA_Matches_All[[#This Row],[Match_Number]],Dyno_Data[RecordType],"EndMatch")</f>
        <v>33.283823599999998</v>
      </c>
      <c r="CA188">
        <f>SUMIFS(Dyno_Data[AZTime], Dyno_Data[Team],TBA_Matches_All[[#This Row],[Team]],Dyno_Data[Match],TBA_Matches_All[[#This Row],[Match_Number]],Dyno_Data[RecordType],"EndMatch")</f>
        <v>41.244686799999997</v>
      </c>
      <c r="CB188">
        <f>SUMIFS(Dyno_Data[ClimbT], Dyno_Data[Team],TBA_Matches_All[[#This Row],[Team]],Dyno_Data[Match],TBA_Matches_All[[#This Row],[Match_Number]],Dyno_Data[RecordType],"EndMatch")</f>
        <v>7.6305126999999997</v>
      </c>
      <c r="CC188" t="str">
        <f>_xlfn.XLOOKUP(SUM(MID(TBA_Matches_All[[#This Row],[Team]],4,5),(TBA_Matches_All[[#This Row],[Match_Number]]/100)),Dyno_EndMatch[teammat],Dyno_EndMatch[StageStat],"_",0,1)</f>
        <v>On</v>
      </c>
      <c r="CD188" t="str">
        <f>_xlfn.XLOOKUP(TBA_Matches_All[[#This Row],[teammat]],Dyno_EndMatch[teammat],Dyno_EndMatch[StageAtt],"_",0,1)</f>
        <v>1</v>
      </c>
      <c r="CE188" t="str">
        <f>_xlfn.XLOOKUP(TBA_Matches_All[[#This Row],[teammat]],Dyno_EndMatch[teammat],Dyno_EndMatch[StageLoc],"_",0,1)</f>
        <v>R</v>
      </c>
      <c r="CF188">
        <f>SUMIFS(Dyno_Data[Harmony], Dyno_Data[Team],TBA_Matches_All[[#This Row],[Team]],Dyno_Data[Match],TBA_Matches_All[[#This Row],[Match_Number]],Dyno_Data[RecordType],"EndMatch", Dyno_Data[StageStat],"On",Dyno_Data[Harmony],"&lt;&gt;9")</f>
        <v>0</v>
      </c>
      <c r="CG188">
        <f>SUMIFS(Dyno_Data[Spotlit], Dyno_Data[Team],TBA_Matches_All[[#This Row],[Team]],Dyno_Data[Match],TBA_Matches_All[[#This Row],[Match_Number]],Dyno_Data[RecordType],"EndMatch", Dyno_Data[StageStat],"On",Dyno_Data[Spotlit],"&lt;&gt;9")</f>
        <v>0</v>
      </c>
      <c r="CH188" t="str">
        <f>_xlfn.XLOOKUP(TBA_Matches_All[[#This Row],[teammat]],Dyno_EndMatch[teammat],Dyno_EndMatch[Strategy],"_",0,1)</f>
        <v>Hybrid</v>
      </c>
      <c r="CI188">
        <f>SUMIFS(Dyno_Data[Defense], Dyno_Data[Team],TBA_Matches_All[[#This Row],[Team]],Dyno_Data[Match],TBA_Matches_All[[#This Row],[Match_Number]],Dyno_Data[RecordType],"EndMatch",Dyno_Data[Defense],"&lt;&gt;9")</f>
        <v>0</v>
      </c>
      <c r="CJ188">
        <f>SUMIFS(Dyno_Data[Avoidance], Dyno_Data[Team],TBA_Matches_All[[#This Row],[Team]],Dyno_Data[Match],TBA_Matches_All[[#This Row],[Match_Number]],Dyno_Data[RecordType],"EndMatch",Dyno_Data[Avoidance],"&lt;&gt;9")</f>
        <v>0</v>
      </c>
      <c r="CK188" s="82">
        <f>COUNTIF($H$2:TBA_Matches_All[[#This Row],[Team]],TBA_Matches_All[[#This Row],[Team]])</f>
        <v>4</v>
      </c>
      <c r="CL188" s="111">
        <f>SUM(MID(TBA_Matches_All[[#This Row],[Team]],4,5)+TBA_Matches_All[[#This Row],[Match_Number]]/100)</f>
        <v>1591.31</v>
      </c>
      <c r="CM188">
        <f>SUM((TBA_Matches_All[[#This Row],[Leave]]*2)+(TBA_Matches_All[[#This Row],[AampT]]*2)+(TBA_Matches_All[[#This Row],[AspkrT]]*5)+(TBA_Matches_All[[#This Row],[AtrapT]]*5))</f>
        <v>12</v>
      </c>
      <c r="CN188" s="59">
        <f>IFERROR(SUM(TBA_Matches_All[[#This Row],[AptsT]]/TBA_Matches_All[[#This Row],[AutoPts]]),0)</f>
        <v>0.63157894736842102</v>
      </c>
      <c r="CO188" s="59">
        <f>IFERROR(SUM(TBA_Matches_All[[#This Row],[AampT]]+TBA_Matches_All[[#This Row],[AspkrT]]+TBA_Matches_All[[#This Row],[AtrapT]]/TBA_Matches_All[[#This Row],[Aamp]]+TBA_Matches_All[[#This Row],[Aspkr]]+TBA_Matches_All[[#This Row],[AtrapT]]),0)</f>
        <v>0</v>
      </c>
      <c r="CP188" s="59">
        <f>IFERROR(SUM(TBA_Matches_All[[#This Row],[TampT]]/TBA_Matches_All[[#This Row],[Tamp]]),0)</f>
        <v>1</v>
      </c>
      <c r="CQ188" s="59">
        <f>IFERROR(SUM(TBA_Matches_All[[#This Row],[TspkrT]]/TBA_Matches_All[[#This Row],[Tspkr]]),0)</f>
        <v>0.52631578947368418</v>
      </c>
      <c r="CR188">
        <f>SUM(TBA_Matches_All[[#This Row],[TspkrPts]]*TBA_Matches_All[[#This Row],[TspkrP]])</f>
        <v>20</v>
      </c>
      <c r="CS188" s="59">
        <f>IFERROR(SUM(TBA_Matches_All[[#This Row],[TtrapT]]/TBA_Matches_All[[#This Row],[Trap]]),0)</f>
        <v>0</v>
      </c>
      <c r="CT188" s="59">
        <f>IFERROR(SUM(TBA_Matches_All[[#This Row],[TotNotesT]]/TBA_Matches_All[[#This Row],[TotNotes]]),0)</f>
        <v>0.56521739130434778</v>
      </c>
      <c r="CU188" s="66">
        <f>SUM((TBA_Matches_All[[#This Row],[AampT]]*2)+(TBA_Matches_All[[#This Row],[AspkrT]]*5)+(TBA_Matches_All[[#This Row],[AtrapT]]*5)+(TBA_Matches_All[[#This Row],[TampT]]*1)+(TBA_Matches_All[[#This Row],[TspkrptsC]]))</f>
        <v>31</v>
      </c>
      <c r="CV188" s="59">
        <f>IFERROR(TBA_Matches_All[[#This Row],[noteptsT]]/TBA_Matches_All[[#This Row],[NotePts]],0)</f>
        <v>0.57407407407407407</v>
      </c>
      <c r="CW188">
        <f>SUM(IF(TBA_Matches_All[[#This Row],[stageStat]]="On",3,0),IF(TBA_Matches_All[[#This Row],[stageStat]]="Park",1,0),SUMIFS(TBA_Matches_All[[#This Row],[Spotlit]],TBA_Matches_All[[#This Row],[stageStat]],"On"),SUMIFS(TBA_Matches_All[[#This Row],[Harmony]],TBA_Matches_All[[#This Row],[stageStat]],"On"))</f>
        <v>3</v>
      </c>
      <c r="CX188" s="59">
        <f>IFERROR(TBA_Matches_All[[#This Row],[stageptsT]]/TBA_Matches_All[[#This Row],[StagePts]],0)</f>
        <v>0.6</v>
      </c>
      <c r="CY188">
        <f>SUM((TBA_Matches_All[[#This Row],[AptsT]]+TBA_Matches_All[[#This Row],[TampT]]+TBA_Matches_All[[#This Row],[TspkrptsC]]+(TBA_Matches_All[[#This Row],[TtrapT]]*5)+TBA_Matches_All[[#This Row],[stageptsT]]))</f>
        <v>36</v>
      </c>
      <c r="CZ188" s="59">
        <f>IFERROR(SUM(TBA_Matches_All[[#This Row],[TotptsC]]/TBA_Matches_All[[#This Row],[Score]]),0)</f>
        <v>0.5714285714285714</v>
      </c>
      <c r="DA18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20.572916666666668</v>
      </c>
      <c r="DB188" s="74">
        <f>SUMIFS(TBA_Matches_All[AveTeamTNoteDels],TBA_Matches_All[Match_Number],TBA_Matches_All[[#This Row],[Match_Number]],TBA_Matches_All[Alliance],"&lt;&gt;"&amp;TBA_Matches_All[[#This Row],[Alliance]],TBA_Matches_All[Scouted],"&gt;0")</f>
        <v>24.384053030303029</v>
      </c>
      <c r="DC188" s="74">
        <f>(TBA_Matches_All[[#This Row],[TampT]]+TBA_Matches_All[[#This Row],[TspkrptsC]])-TBA_Matches_All[[#This Row],[AveTeamTNoteDels]]</f>
        <v>0.42708333333333215</v>
      </c>
      <c r="DD188" s="74">
        <f>SUMIFS(TBA_Matches_All[AveTeamTNoteDels],TBA_Matches_All[Match_Number],TBA_Matches_All[[#This Row],[Match_Number]],TBA_Matches_All[Alliance],"&lt;&gt;"&amp;TBA_Matches_All[[#This Row],[Alliance]])-TBA_Matches_All[[#This Row],[AveOppTNoteDels]]</f>
        <v>0</v>
      </c>
    </row>
    <row r="189" spans="1:108" x14ac:dyDescent="0.3">
      <c r="A189" t="s">
        <v>1042</v>
      </c>
      <c r="B189" t="s">
        <v>489</v>
      </c>
      <c r="C189" t="s">
        <v>1341</v>
      </c>
      <c r="D189">
        <v>32</v>
      </c>
      <c r="E189" t="s">
        <v>1420</v>
      </c>
      <c r="F189" t="s">
        <v>1421</v>
      </c>
      <c r="G189" t="s">
        <v>164</v>
      </c>
      <c r="H189" t="s">
        <v>1302</v>
      </c>
      <c r="I189" t="b">
        <v>1</v>
      </c>
      <c r="J189">
        <v>53</v>
      </c>
      <c r="K189">
        <v>1</v>
      </c>
      <c r="L189">
        <v>0</v>
      </c>
      <c r="M189">
        <v>0</v>
      </c>
      <c r="N189">
        <v>0</v>
      </c>
      <c r="O189">
        <v>1</v>
      </c>
      <c r="P189">
        <v>5</v>
      </c>
      <c r="Q189">
        <v>11</v>
      </c>
      <c r="R189">
        <v>3</v>
      </c>
      <c r="S189">
        <v>3</v>
      </c>
      <c r="T189">
        <v>8</v>
      </c>
      <c r="U189">
        <v>15</v>
      </c>
      <c r="V189">
        <v>16</v>
      </c>
      <c r="W189">
        <v>11</v>
      </c>
      <c r="X189">
        <v>31</v>
      </c>
      <c r="Y189">
        <v>34</v>
      </c>
      <c r="Z189">
        <v>0</v>
      </c>
      <c r="AA189">
        <v>0</v>
      </c>
      <c r="AB189">
        <v>15</v>
      </c>
      <c r="AC189">
        <v>39</v>
      </c>
      <c r="AD189">
        <v>6</v>
      </c>
      <c r="AE189">
        <f>IFERROR(6/(COUNTIF(Dyno_EndMatch[Match],TBA_Matches_All[[#This Row],[Match_Number]])),0)</f>
        <v>1</v>
      </c>
      <c r="AF189">
        <f>COUNTIFS(Dyno_Data[Team],TBA_Matches_All[[#This Row],[Team]],Dyno_Data[Match],TBA_Matches_All[[#This Row],[Match_Number]],Dyno_Data[RecordType],"EndMatch",Dyno_Data[HPAmp],"Y")</f>
        <v>0</v>
      </c>
      <c r="AG189">
        <f>SUMIFS(Dyno_Data[Mics], Dyno_Data[Team],TBA_Matches_All[[#This Row],[Team]],Dyno_Data[Match],TBA_Matches_All[[#This Row],[Match_Number]],Dyno_Data[RecordType],"EndMatch",Dyno_Data[HPAmp],"Y")</f>
        <v>0</v>
      </c>
      <c r="AH189">
        <f>SUMIFS(Dyno_Data[Leave], Dyno_Data[Team],TBA_Matches_All[[#This Row],[Team]],Dyno_Data[Match],TBA_Matches_All[[#This Row],[Match_Number]],Dyno_Data[RecordType],"EndAuto")</f>
        <v>1</v>
      </c>
      <c r="AI189">
        <f>COUNTIFS(Dyno_Data[Team],TBA_Matches_All[[#This Row],[Team]],Dyno_Data[Match],TBA_Matches_All[[#This Row],[Match_Number]],Dyno_Data[RecordType],"Activities",Dyno_Data[DelDest],"Amp", Dyno_Data[DelMiss],"0", Dyno_Data[Mode],"Auto")</f>
        <v>0</v>
      </c>
      <c r="AJ189">
        <f>COUNTIFS(Dyno_Data[Team],TBA_Matches_All[[#This Row],[Team]],Dyno_Data[Match],TBA_Matches_All[[#This Row],[Match_Number]],Dyno_Data[RecordType],"Activities",Dyno_Data[DelDest],"Spkr", Dyno_Data[DelMiss],"0", Dyno_Data[Mode],"Auto")</f>
        <v>0</v>
      </c>
      <c r="AK189">
        <f>COUNTIFS(Dyno_Data[Team],TBA_Matches_All[[#This Row],[Team]],Dyno_Data[Match],TBA_Matches_All[[#This Row],[Match_Number]],Dyno_Data[RecordType],"Activities",Dyno_Data[DelDest],"Trap", Dyno_Data[DelMiss],"0", Dyno_Data[Mode],"Auto")</f>
        <v>0</v>
      </c>
      <c r="AL189">
        <f>COUNTIFS(Dyno_Data[Team],TBA_Matches_All[[#This Row],[Team]],Dyno_Data[Match],TBA_Matches_All[[#This Row],[Match_Number]],Dyno_Data[RecordType],"Activities",Dyno_Data[DelDest],"Amp", Dyno_Data[DelMiss],"0", Dyno_Data[Mode],"Teleop")</f>
        <v>0</v>
      </c>
      <c r="AM189">
        <f>COUNTIFS(Dyno_Data[Team],TBA_Matches_All[[#This Row],[Team]],Dyno_Data[Match],TBA_Matches_All[[#This Row],[Match_Number]],Dyno_Data[RecordType],"Activities",Dyno_Data[DelDest],"Spkr", Dyno_Data[DelMiss],"0", Dyno_Data[Mode],"Teleop")</f>
        <v>2</v>
      </c>
      <c r="AN189">
        <f>COUNTIFS(Dyno_Data[Team],TBA_Matches_All[[#This Row],[Team]],Dyno_Data[Match],TBA_Matches_All[[#This Row],[Match_Number]],Dyno_Data[RecordType],"Activities",Dyno_Data[DelDest],"Trap", Dyno_Data[DelMiss],"0", Dyno_Data[Mode],"&lt;&gt;Auto")</f>
        <v>0</v>
      </c>
      <c r="AO189">
        <f>SUM(TBA_Matches_All[[#This Row],[AampT]]+TBA_Matches_All[[#This Row],[AspkrT]]+TBA_Matches_All[[#This Row],[AtrapT]]+TBA_Matches_All[[#This Row],[TampT]]+TBA_Matches_All[[#This Row],[TspkrT]]+TBA_Matches_All[[#This Row],[TtrapT]])</f>
        <v>2</v>
      </c>
      <c r="AP189">
        <f>COUNTIFS(Dyno_Data[Team],TBA_Matches_All[[#This Row],[Team]],Dyno_Data[Match],TBA_Matches_All[[#This Row],[Match_Number]],Dyno_Data[RecordType],"Activities",Dyno_Data[DelDest],"Neut", Dyno_Data[DelMiss],"0")</f>
        <v>0</v>
      </c>
      <c r="AQ189">
        <f>COUNTIFS(Dyno_Data[Team],TBA_Matches_All[[#This Row],[Team]],Dyno_Data[Match],TBA_Matches_All[[#This Row],[Match_Number]],Dyno_Data[RecordType],"Activities",Dyno_Data[DelDest],"AllyW", Dyno_Data[DelMiss],"0")</f>
        <v>0</v>
      </c>
      <c r="AR189" t="str">
        <f>_xlfn.XLOOKUP(SUM(MID(TBA_Matches_All[[#This Row],[Team]],4,5),(TBA_Matches_All[[#This Row],[Match_Number]]/100)),Dyno_EndMatch[teammat],Dyno_EndMatch[RobotSta],"_",0,1)</f>
        <v>OppS</v>
      </c>
      <c r="AS189">
        <f>SUMIFS(Dyno_Data[AcqDis], Dyno_Data[Team],TBA_Matches_All[[#This Row],[Team]],Dyno_Data[Match],TBA_Matches_All[[#This Row],[Match_Number]],Dyno_Data[RecordType],"Activities", Dyno_Data[AcqCenter],1,Dyno_Data[Mode],"Auto")</f>
        <v>0</v>
      </c>
      <c r="AT189">
        <f>SUMIFS(Dyno_Data[AcqDis], Dyno_Data[Team],TBA_Matches_All[[#This Row],[Team]],Dyno_Data[Match],TBA_Matches_All[[#This Row],[Match_Number]],Dyno_Data[RecordType],"Activities", Dyno_Data[AcqCenter],2,Dyno_Data[Mode],"Auto")</f>
        <v>0</v>
      </c>
      <c r="AU189">
        <f>SUMIFS(Dyno_Data[AcqDis], Dyno_Data[Team],TBA_Matches_All[[#This Row],[Team]],Dyno_Data[Match],TBA_Matches_All[[#This Row],[Match_Number]],Dyno_Data[RecordType],"Activities", Dyno_Data[AcqCenter],3,Dyno_Data[Mode],"Auto")</f>
        <v>0</v>
      </c>
      <c r="AV189">
        <f>SUMIFS(Dyno_Data[AcqDis], Dyno_Data[Team],TBA_Matches_All[[#This Row],[Team]],Dyno_Data[Match],TBA_Matches_All[[#This Row],[Match_Number]],Dyno_Data[RecordType],"Activities", Dyno_Data[AcqCenter],4,Dyno_Data[Mode],"Auto")</f>
        <v>0</v>
      </c>
      <c r="AW189">
        <f>SUMIFS(Dyno_Data[AcqDis], Dyno_Data[Team],TBA_Matches_All[[#This Row],[Team]],Dyno_Data[Match],TBA_Matches_All[[#This Row],[Match_Number]],Dyno_Data[RecordType],"Activities", Dyno_Data[AcqCenter],5,Dyno_Data[Mode],"Auto")</f>
        <v>0</v>
      </c>
      <c r="AX189">
        <f>SUMIFS(Dyno_Data[DelMiss], Dyno_Data[Team],TBA_Matches_All[[#This Row],[Team]],Dyno_Data[Match],TBA_Matches_All[[#This Row],[Match_Number]],Dyno_Data[RecordType],"Activities", Dyno_Data[DelDest],"Amp")</f>
        <v>0</v>
      </c>
      <c r="AY189" s="60">
        <f>IFERROR(SUM((TBA_Matches_All[[#This Row],[AampT]]+TBA_Matches_All[[#This Row],[TampT]])/(TBA_Matches_All[[#This Row],[AampT]]+TBA_Matches_All[[#This Row],[TampT]]+TBA_Matches_All[[#This Row],[ampM]])),0)</f>
        <v>0</v>
      </c>
      <c r="AZ189">
        <f>SUMIFS(Dyno_Data[DelMiss], Dyno_Data[Team],TBA_Matches_All[[#This Row],[Team]],Dyno_Data[Match],TBA_Matches_All[[#This Row],[Match_Number]],Dyno_Data[RecordType],"Activities", Dyno_Data[DelDest],"Spkr")</f>
        <v>1</v>
      </c>
      <c r="BA189" s="60">
        <f>IFERROR(SUM((TBA_Matches_All[[#This Row],[AspkrT]]+TBA_Matches_All[[#This Row],[TspkrT]])/(TBA_Matches_All[[#This Row],[AspkrT]]+TBA_Matches_All[[#This Row],[TspkrT]]+TBA_Matches_All[[#This Row],[spkrM]])),0)</f>
        <v>0.66666666666666663</v>
      </c>
      <c r="BB189">
        <f>SUMIFS(Dyno_Data[DelMiss], Dyno_Data[Team],TBA_Matches_All[[#This Row],[Team]],Dyno_Data[Match],TBA_Matches_All[[#This Row],[Match_Number]],Dyno_Data[RecordType],"Activities", Dyno_Data[DelDest],"Trap")</f>
        <v>0</v>
      </c>
      <c r="BC189" s="60">
        <f>IFERROR((TBA_Matches_All[[#This Row],[AtrapT]]+TBA_Matches_All[[#This Row],[TtrapT]])/(TBA_Matches_All[[#This Row],[AtrapT]]+TBA_Matches_All[[#This Row],[TtrapT]]+TBA_Matches_All[[#This Row],[trapM]]),0)</f>
        <v>0</v>
      </c>
      <c r="BD189">
        <f>COUNTIFS(Dyno_Data[Team],TBA_Matches_All[[#This Row],[Team]],Dyno_Data[Match],TBA_Matches_All[[#This Row],[Match_Number]],Dyno_Data[RecordType],"Activities",Dyno_Data[DelDest],"Neut", Dyno_Data[DelMiss],1)</f>
        <v>0</v>
      </c>
      <c r="BE189" s="60">
        <f>IFERROR(SUM((TBA_Matches_All[[#This Row],[NeutFlrT]])/(TBA_Matches_All[[#This Row],[NeutFlrT]]+TBA_Matches_All[[#This Row],[NZflM]])),0)</f>
        <v>0</v>
      </c>
      <c r="BF189">
        <f>COUNTIFS(Dyno_Data[Team],TBA_Matches_All[[#This Row],[Team]],Dyno_Data[Match],TBA_Matches_All[[#This Row],[Match_Number]],Dyno_Data[RecordType],"Activities",Dyno_Data[DelDest],"AllyW", Dyno_Data[DelMiss],1)</f>
        <v>0</v>
      </c>
      <c r="BG189" s="60">
        <f>IFERROR(SUM((TBA_Matches_All[[#This Row],[AllyWFlrT]])/(TBA_Matches_All[[#This Row],[AllyWFlrT]]+TBA_Matches_All[[#This Row],[AZflM]])),0)</f>
        <v>0</v>
      </c>
      <c r="BH189">
        <f>COUNTIFS(Dyno_Data[Team],TBA_Matches_All[[#This Row],[Team]],Dyno_Data[Match],TBA_Matches_All[[#This Row],[Match_Number]],Dyno_Data[RecordType],"Activities",Dyno_Data[DelOrig],"OppW", Dyno_Data[DelMiss],"0")</f>
        <v>0</v>
      </c>
      <c r="BI189">
        <f>COUNTIFS(Dyno_Data[Team],TBA_Matches_All[[#This Row],[Team]],Dyno_Data[Match],TBA_Matches_All[[#This Row],[Match_Number]],Dyno_Data[RecordType],"Activities",Dyno_Data[DelOrig],"OppW", Dyno_Data[DelMiss],"1")</f>
        <v>0</v>
      </c>
      <c r="BJ189" s="60">
        <f>IFERROR(SUM((TBA_Matches_All[[#This Row],[OZflrT]])/(TBA_Matches_All[[#This Row],[OZflrT]]+TBA_Matches_All[[#This Row],[OZflrM]])),0)</f>
        <v>0</v>
      </c>
      <c r="BK189">
        <f>COUNTIFS(Dyno_Data[Team],TBA_Matches_All[[#This Row],[Team]],Dyno_Data[Match],TBA_Matches_All[[#This Row],[Match_Number]],Dyno_Data[RecordType],"Activities",Dyno_Data[DelOrig],"Neut", Dyno_Data[DelMiss],"0")</f>
        <v>0</v>
      </c>
      <c r="BL189">
        <f>COUNTIFS(Dyno_Data[Team],TBA_Matches_All[[#This Row],[Team]],Dyno_Data[Match],TBA_Matches_All[[#This Row],[Match_Number]],Dyno_Data[RecordType],"Activities",Dyno_Data[DelOrig],"Neut", Dyno_Data[DelMiss],"1")</f>
        <v>0</v>
      </c>
      <c r="BM189" s="60">
        <f>IFERROR(SUM((TBA_Matches_All[[#This Row],[NZflrT]])/(TBA_Matches_All[[#This Row],[NZflrT]]+TBA_Matches_All[[#This Row],[NZflrM]])),0)</f>
        <v>0</v>
      </c>
      <c r="BN189">
        <f>COUNTIFS(Dyno_Data[Team],TBA_Matches_All[[#This Row],[Team]],Dyno_Data[Match],TBA_Matches_All[[#This Row],[Match_Number]],Dyno_Data[RecordType],"Activities",Dyno_Data[DelOrig],"AllyW", Dyno_Data[DelMiss],"0")</f>
        <v>0</v>
      </c>
      <c r="BO189">
        <f>COUNTIFS(Dyno_Data[Team],TBA_Matches_All[[#This Row],[Team]],Dyno_Data[Match],TBA_Matches_All[[#This Row],[Match_Number]],Dyno_Data[RecordType],"Activities",Dyno_Data[DelOrig],"AllyW", Dyno_Data[DelMiss],"1")</f>
        <v>1</v>
      </c>
      <c r="BP189" s="60">
        <f>IFERROR(SUM((TBA_Matches_All[[#This Row],[AZflrT]])/(TBA_Matches_All[[#This Row],[AZflrT]]+TBA_Matches_All[[#This Row],[AZflrM]])),0)</f>
        <v>0</v>
      </c>
      <c r="BQ189">
        <f>COUNTIFS(Dyno_Data[Team],TBA_Matches_All[[#This Row],[Team]],Dyno_Data[Match],TBA_Matches_All[[#This Row],[Match_Number]],Dyno_Data[RecordType],"Activities",Dyno_Data[DelOrig],"SubW", Dyno_Data[DelMiss],"0")</f>
        <v>2</v>
      </c>
      <c r="BR189">
        <f>COUNTIFS(Dyno_Data[Team],TBA_Matches_All[[#This Row],[Team]],Dyno_Data[Match],TBA_Matches_All[[#This Row],[Match_Number]],Dyno_Data[RecordType],"Activities",Dyno_Data[DelOrig],"SubW", Dyno_Data[DelMiss],"1")</f>
        <v>0</v>
      </c>
      <c r="BS189" s="60">
        <f>IFERROR(SUM((TBA_Matches_All[[#This Row],[SubwT]])/(TBA_Matches_All[[#This Row],[SubwT]]+TBA_Matches_All[[#This Row],[SubwM]])),0)</f>
        <v>1</v>
      </c>
      <c r="BT189">
        <f>COUNTIFS(Dyno_Data[Team],TBA_Matches_All[[#This Row],[Team]],Dyno_Data[Match],TBA_Matches_All[[#This Row],[Match_Number]],Dyno_Data[RecordType],"Activities", Dyno_Data[AcqLoc],"OppWing")</f>
        <v>0</v>
      </c>
      <c r="BU189">
        <f>COUNTIFS(Dyno_Data[Team],TBA_Matches_All[[#This Row],[Team]],Dyno_Data[Match],TBA_Matches_All[[#This Row],[Match_Number]],Dyno_Data[RecordType],"Activities", Dyno_Data[AcqLoc],"Neutral")</f>
        <v>0</v>
      </c>
      <c r="BV189">
        <f>COUNTIFS(Dyno_Data[Team],TBA_Matches_All[[#This Row],[Team]],Dyno_Data[Match],TBA_Matches_All[[#This Row],[Match_Number]],Dyno_Data[RecordType],"Activities", Dyno_Data[AcqLoc],"AllyWing")</f>
        <v>0</v>
      </c>
      <c r="BW189">
        <f>COUNTIFS(Dyno_Data[Team],TBA_Matches_All[[#This Row],[Team]],Dyno_Data[Match],TBA_Matches_All[[#This Row],[Match_Number]],Dyno_Data[RecordType],"Activities", Dyno_Data[AcqLoc],"Source")</f>
        <v>0</v>
      </c>
      <c r="BX189">
        <f>SUMIFS(Dyno_Data[AcqDrp], Dyno_Data[Team],TBA_Matches_All[[#This Row],[Team]],Dyno_Data[Match],TBA_Matches_All[[#This Row],[Match_Number]],Dyno_Data[RecordType],"Activities", Dyno_Data[AcqLoc],"Source")</f>
        <v>0</v>
      </c>
      <c r="BY189">
        <f>SUMIFS(Dyno_Data[OZTime], Dyno_Data[Team],TBA_Matches_All[[#This Row],[Team]],Dyno_Data[Match],TBA_Matches_All[[#This Row],[Match_Number]],Dyno_Data[RecordType],"EndMatch")</f>
        <v>69.455333600000003</v>
      </c>
      <c r="BZ189">
        <f>SUMIFS(Dyno_Data[NZTime], Dyno_Data[Team],TBA_Matches_All[[#This Row],[Team]],Dyno_Data[Match],TBA_Matches_All[[#This Row],[Match_Number]],Dyno_Data[RecordType],"EndMatch")</f>
        <v>11.1351985</v>
      </c>
      <c r="CA189">
        <f>SUMIFS(Dyno_Data[AZTime], Dyno_Data[Team],TBA_Matches_All[[#This Row],[Team]],Dyno_Data[Match],TBA_Matches_All[[#This Row],[Match_Number]],Dyno_Data[RecordType],"EndMatch")</f>
        <v>52.412488199999999</v>
      </c>
      <c r="CB189">
        <f>SUMIFS(Dyno_Data[ClimbT], Dyno_Data[Team],TBA_Matches_All[[#This Row],[Team]],Dyno_Data[Match],TBA_Matches_All[[#This Row],[Match_Number]],Dyno_Data[RecordType],"EndMatch")</f>
        <v>0</v>
      </c>
      <c r="CC189" t="str">
        <f>_xlfn.XLOOKUP(SUM(MID(TBA_Matches_All[[#This Row],[Team]],4,5),(TBA_Matches_All[[#This Row],[Match_Number]]/100)),Dyno_EndMatch[teammat],Dyno_EndMatch[StageStat],"_",0,1)</f>
        <v>Else</v>
      </c>
      <c r="CD189" t="str">
        <f>_xlfn.XLOOKUP(TBA_Matches_All[[#This Row],[teammat]],Dyno_EndMatch[teammat],Dyno_EndMatch[StageAtt],"_",0,1)</f>
        <v>0</v>
      </c>
      <c r="CE189" t="str">
        <f>_xlfn.XLOOKUP(TBA_Matches_All[[#This Row],[teammat]],Dyno_EndMatch[teammat],Dyno_EndMatch[StageLoc],"_",0,1)</f>
        <v>A</v>
      </c>
      <c r="CF189">
        <f>SUMIFS(Dyno_Data[Harmony], Dyno_Data[Team],TBA_Matches_All[[#This Row],[Team]],Dyno_Data[Match],TBA_Matches_All[[#This Row],[Match_Number]],Dyno_Data[RecordType],"EndMatch", Dyno_Data[StageStat],"On",Dyno_Data[Harmony],"&lt;&gt;9")</f>
        <v>0</v>
      </c>
      <c r="CG189">
        <f>SUMIFS(Dyno_Data[Spotlit], Dyno_Data[Team],TBA_Matches_All[[#This Row],[Team]],Dyno_Data[Match],TBA_Matches_All[[#This Row],[Match_Number]],Dyno_Data[RecordType],"EndMatch", Dyno_Data[StageStat],"On",Dyno_Data[Spotlit],"&lt;&gt;9")</f>
        <v>0</v>
      </c>
      <c r="CH189" t="str">
        <f>_xlfn.XLOOKUP(TBA_Matches_All[[#This Row],[teammat]],Dyno_EndMatch[teammat],Dyno_EndMatch[Strategy],"_",0,1)</f>
        <v>Hybrid</v>
      </c>
      <c r="CI189">
        <f>SUMIFS(Dyno_Data[Defense], Dyno_Data[Team],TBA_Matches_All[[#This Row],[Team]],Dyno_Data[Match],TBA_Matches_All[[#This Row],[Match_Number]],Dyno_Data[RecordType],"EndMatch",Dyno_Data[Defense],"&lt;&gt;9")</f>
        <v>2</v>
      </c>
      <c r="CJ189">
        <f>SUMIFS(Dyno_Data[Avoidance], Dyno_Data[Team],TBA_Matches_All[[#This Row],[Team]],Dyno_Data[Match],TBA_Matches_All[[#This Row],[Match_Number]],Dyno_Data[RecordType],"EndMatch",Dyno_Data[Avoidance],"&lt;&gt;9")</f>
        <v>0</v>
      </c>
      <c r="CK189" s="82">
        <f>COUNTIF($H$2:TBA_Matches_All[[#This Row],[Team]],TBA_Matches_All[[#This Row],[Team]])</f>
        <v>4</v>
      </c>
      <c r="CL189" s="111">
        <f>SUM(MID(TBA_Matches_All[[#This Row],[Team]],4,5)+TBA_Matches_All[[#This Row],[Match_Number]]/100)</f>
        <v>2095.3200000000002</v>
      </c>
      <c r="CM189">
        <f>SUM((TBA_Matches_All[[#This Row],[Leave]]*2)+(TBA_Matches_All[[#This Row],[AampT]]*2)+(TBA_Matches_All[[#This Row],[AspkrT]]*5)+(TBA_Matches_All[[#This Row],[AtrapT]]*5))</f>
        <v>2</v>
      </c>
      <c r="CN189" s="59">
        <f>IFERROR(SUM(TBA_Matches_All[[#This Row],[AptsT]]/TBA_Matches_All[[#This Row],[AutoPts]]),0)</f>
        <v>0.18181818181818182</v>
      </c>
      <c r="CO189" s="59">
        <f>IFERROR(SUM(TBA_Matches_All[[#This Row],[AampT]]+TBA_Matches_All[[#This Row],[AspkrT]]+TBA_Matches_All[[#This Row],[AtrapT]]/TBA_Matches_All[[#This Row],[Aamp]]+TBA_Matches_All[[#This Row],[Aspkr]]+TBA_Matches_All[[#This Row],[AtrapT]]),0)</f>
        <v>0</v>
      </c>
      <c r="CP189" s="59">
        <f>IFERROR(SUM(TBA_Matches_All[[#This Row],[TampT]]/TBA_Matches_All[[#This Row],[Tamp]]),0)</f>
        <v>0</v>
      </c>
      <c r="CQ189" s="59">
        <f>IFERROR(SUM(TBA_Matches_All[[#This Row],[TspkrT]]/TBA_Matches_All[[#This Row],[Tspkr]]),0)</f>
        <v>0.18181818181818182</v>
      </c>
      <c r="CR189">
        <f>SUM(TBA_Matches_All[[#This Row],[TspkrPts]]*TBA_Matches_All[[#This Row],[TspkrP]])</f>
        <v>5.6363636363636367</v>
      </c>
      <c r="CS189" s="59">
        <f>IFERROR(SUM(TBA_Matches_All[[#This Row],[TtrapT]]/TBA_Matches_All[[#This Row],[Trap]]),0)</f>
        <v>0</v>
      </c>
      <c r="CT189" s="59">
        <f>IFERROR(SUM(TBA_Matches_All[[#This Row],[TotNotesT]]/TBA_Matches_All[[#This Row],[TotNotes]]),0)</f>
        <v>0.13333333333333333</v>
      </c>
      <c r="CU189" s="66">
        <f>SUM((TBA_Matches_All[[#This Row],[AampT]]*2)+(TBA_Matches_All[[#This Row],[AspkrT]]*5)+(TBA_Matches_All[[#This Row],[AtrapT]]*5)+(TBA_Matches_All[[#This Row],[TampT]]*1)+(TBA_Matches_All[[#This Row],[TspkrptsC]]))</f>
        <v>5.6363636363636367</v>
      </c>
      <c r="CV189" s="59">
        <f>IFERROR(TBA_Matches_All[[#This Row],[noteptsT]]/TBA_Matches_All[[#This Row],[NotePts]],0)</f>
        <v>0.14452214452214454</v>
      </c>
      <c r="CW189">
        <f>SUM(IF(TBA_Matches_All[[#This Row],[stageStat]]="On",3,0),IF(TBA_Matches_All[[#This Row],[stageStat]]="Park",1,0),SUMIFS(TBA_Matches_All[[#This Row],[Spotlit]],TBA_Matches_All[[#This Row],[stageStat]],"On"),SUMIFS(TBA_Matches_All[[#This Row],[Harmony]],TBA_Matches_All[[#This Row],[stageStat]],"On"))</f>
        <v>0</v>
      </c>
      <c r="CX189" s="59">
        <f>IFERROR(TBA_Matches_All[[#This Row],[stageptsT]]/TBA_Matches_All[[#This Row],[StagePts]],0)</f>
        <v>0</v>
      </c>
      <c r="CY189">
        <f>SUM((TBA_Matches_All[[#This Row],[AptsT]]+TBA_Matches_All[[#This Row],[TampT]]+TBA_Matches_All[[#This Row],[TspkrptsC]]+(TBA_Matches_All[[#This Row],[TtrapT]]*5)+TBA_Matches_All[[#This Row],[stageptsT]]))</f>
        <v>7.6363636363636367</v>
      </c>
      <c r="CZ189" s="59">
        <f>IFERROR(SUM(TBA_Matches_All[[#This Row],[TotptsC]]/TBA_Matches_All[[#This Row],[Score]]),0)</f>
        <v>0.14408233276157806</v>
      </c>
      <c r="DA18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4.8650000000000002</v>
      </c>
      <c r="DB189" s="74">
        <f>SUMIFS(TBA_Matches_All[AveTeamTNoteDels],TBA_Matches_All[Match_Number],TBA_Matches_All[[#This Row],[Match_Number]],TBA_Matches_All[Alliance],"&lt;&gt;"&amp;TBA_Matches_All[[#This Row],[Alliance]],TBA_Matches_All[Scouted],"&gt;0")</f>
        <v>25.408928571428568</v>
      </c>
      <c r="DC189" s="74">
        <f>(TBA_Matches_All[[#This Row],[TampT]]+TBA_Matches_All[[#This Row],[TspkrptsC]])-TBA_Matches_All[[#This Row],[AveTeamTNoteDels]]</f>
        <v>0.77136363636363647</v>
      </c>
      <c r="DD189" s="74">
        <f>SUMIFS(TBA_Matches_All[AveTeamTNoteDels],TBA_Matches_All[Match_Number],TBA_Matches_All[[#This Row],[Match_Number]],TBA_Matches_All[Alliance],"&lt;&gt;"&amp;TBA_Matches_All[[#This Row],[Alliance]])-TBA_Matches_All[[#This Row],[AveOppTNoteDels]]</f>
        <v>0</v>
      </c>
    </row>
    <row r="190" spans="1:108" x14ac:dyDescent="0.3">
      <c r="A190" t="s">
        <v>1042</v>
      </c>
      <c r="B190" t="s">
        <v>489</v>
      </c>
      <c r="C190" t="s">
        <v>1341</v>
      </c>
      <c r="D190">
        <v>32</v>
      </c>
      <c r="E190" t="s">
        <v>1406</v>
      </c>
      <c r="F190" t="s">
        <v>1422</v>
      </c>
      <c r="G190" t="s">
        <v>105</v>
      </c>
      <c r="H190" t="s">
        <v>1282</v>
      </c>
      <c r="I190" t="b">
        <v>1</v>
      </c>
      <c r="J190">
        <v>65</v>
      </c>
      <c r="K190">
        <v>1</v>
      </c>
      <c r="L190">
        <v>0</v>
      </c>
      <c r="M190">
        <v>2</v>
      </c>
      <c r="N190">
        <v>0</v>
      </c>
      <c r="O190">
        <v>5</v>
      </c>
      <c r="P190">
        <v>25</v>
      </c>
      <c r="Q190">
        <v>29</v>
      </c>
      <c r="R190">
        <v>5</v>
      </c>
      <c r="S190">
        <v>2</v>
      </c>
      <c r="T190">
        <v>7</v>
      </c>
      <c r="U190">
        <v>10</v>
      </c>
      <c r="V190">
        <v>14</v>
      </c>
      <c r="W190">
        <v>9</v>
      </c>
      <c r="X190">
        <v>24</v>
      </c>
      <c r="Y190">
        <v>29</v>
      </c>
      <c r="Z190">
        <v>0</v>
      </c>
      <c r="AA190">
        <v>0</v>
      </c>
      <c r="AB190">
        <v>19</v>
      </c>
      <c r="AC190">
        <v>54</v>
      </c>
      <c r="AD190">
        <v>7</v>
      </c>
      <c r="AE190">
        <f>IFERROR(6/(COUNTIF(Dyno_EndMatch[Match],TBA_Matches_All[[#This Row],[Match_Number]])),0)</f>
        <v>1</v>
      </c>
      <c r="AF190">
        <f>COUNTIFS(Dyno_Data[Team],TBA_Matches_All[[#This Row],[Team]],Dyno_Data[Match],TBA_Matches_All[[#This Row],[Match_Number]],Dyno_Data[RecordType],"EndMatch",Dyno_Data[HPAmp],"Y")</f>
        <v>0</v>
      </c>
      <c r="AG190">
        <f>SUMIFS(Dyno_Data[Mics], Dyno_Data[Team],TBA_Matches_All[[#This Row],[Team]],Dyno_Data[Match],TBA_Matches_All[[#This Row],[Match_Number]],Dyno_Data[RecordType],"EndMatch",Dyno_Data[HPAmp],"Y")</f>
        <v>0</v>
      </c>
      <c r="AH190">
        <f>SUMIFS(Dyno_Data[Leave], Dyno_Data[Team],TBA_Matches_All[[#This Row],[Team]],Dyno_Data[Match],TBA_Matches_All[[#This Row],[Match_Number]],Dyno_Data[RecordType],"EndAuto")</f>
        <v>1</v>
      </c>
      <c r="AI190">
        <f>COUNTIFS(Dyno_Data[Team],TBA_Matches_All[[#This Row],[Team]],Dyno_Data[Match],TBA_Matches_All[[#This Row],[Match_Number]],Dyno_Data[RecordType],"Activities",Dyno_Data[DelDest],"Amp", Dyno_Data[DelMiss],"0", Dyno_Data[Mode],"Auto")</f>
        <v>0</v>
      </c>
      <c r="AJ190">
        <f>COUNTIFS(Dyno_Data[Team],TBA_Matches_All[[#This Row],[Team]],Dyno_Data[Match],TBA_Matches_All[[#This Row],[Match_Number]],Dyno_Data[RecordType],"Activities",Dyno_Data[DelDest],"Spkr", Dyno_Data[DelMiss],"0", Dyno_Data[Mode],"Auto")</f>
        <v>1</v>
      </c>
      <c r="AK190">
        <f>COUNTIFS(Dyno_Data[Team],TBA_Matches_All[[#This Row],[Team]],Dyno_Data[Match],TBA_Matches_All[[#This Row],[Match_Number]],Dyno_Data[RecordType],"Activities",Dyno_Data[DelDest],"Trap", Dyno_Data[DelMiss],"0", Dyno_Data[Mode],"Auto")</f>
        <v>0</v>
      </c>
      <c r="AL190">
        <f>COUNTIFS(Dyno_Data[Team],TBA_Matches_All[[#This Row],[Team]],Dyno_Data[Match],TBA_Matches_All[[#This Row],[Match_Number]],Dyno_Data[RecordType],"Activities",Dyno_Data[DelDest],"Amp", Dyno_Data[DelMiss],"0", Dyno_Data[Mode],"Teleop")</f>
        <v>0</v>
      </c>
      <c r="AM190">
        <f>COUNTIFS(Dyno_Data[Team],TBA_Matches_All[[#This Row],[Team]],Dyno_Data[Match],TBA_Matches_All[[#This Row],[Match_Number]],Dyno_Data[RecordType],"Activities",Dyno_Data[DelDest],"Spkr", Dyno_Data[DelMiss],"0", Dyno_Data[Mode],"Teleop")</f>
        <v>5</v>
      </c>
      <c r="AN190">
        <f>COUNTIFS(Dyno_Data[Team],TBA_Matches_All[[#This Row],[Team]],Dyno_Data[Match],TBA_Matches_All[[#This Row],[Match_Number]],Dyno_Data[RecordType],"Activities",Dyno_Data[DelDest],"Trap", Dyno_Data[DelMiss],"0", Dyno_Data[Mode],"&lt;&gt;Auto")</f>
        <v>0</v>
      </c>
      <c r="AO190">
        <f>SUM(TBA_Matches_All[[#This Row],[AampT]]+TBA_Matches_All[[#This Row],[AspkrT]]+TBA_Matches_All[[#This Row],[AtrapT]]+TBA_Matches_All[[#This Row],[TampT]]+TBA_Matches_All[[#This Row],[TspkrT]]+TBA_Matches_All[[#This Row],[TtrapT]])</f>
        <v>6</v>
      </c>
      <c r="AP190">
        <f>COUNTIFS(Dyno_Data[Team],TBA_Matches_All[[#This Row],[Team]],Dyno_Data[Match],TBA_Matches_All[[#This Row],[Match_Number]],Dyno_Data[RecordType],"Activities",Dyno_Data[DelDest],"Neut", Dyno_Data[DelMiss],"0")</f>
        <v>0</v>
      </c>
      <c r="AQ190">
        <f>COUNTIFS(Dyno_Data[Team],TBA_Matches_All[[#This Row],[Team]],Dyno_Data[Match],TBA_Matches_All[[#This Row],[Match_Number]],Dyno_Data[RecordType],"Activities",Dyno_Data[DelDest],"AllyW", Dyno_Data[DelMiss],"0")</f>
        <v>0</v>
      </c>
      <c r="AR190" t="str">
        <f>_xlfn.XLOOKUP(SUM(MID(TBA_Matches_All[[#This Row],[Team]],4,5),(TBA_Matches_All[[#This Row],[Match_Number]]/100)),Dyno_EndMatch[teammat],Dyno_EndMatch[RobotSta],"_",0,1)</f>
        <v>Podm</v>
      </c>
      <c r="AS190">
        <f>SUMIFS(Dyno_Data[AcqDis], Dyno_Data[Team],TBA_Matches_All[[#This Row],[Team]],Dyno_Data[Match],TBA_Matches_All[[#This Row],[Match_Number]],Dyno_Data[RecordType],"Activities", Dyno_Data[AcqCenter],1,Dyno_Data[Mode],"Auto")</f>
        <v>0</v>
      </c>
      <c r="AT190">
        <f>SUMIFS(Dyno_Data[AcqDis], Dyno_Data[Team],TBA_Matches_All[[#This Row],[Team]],Dyno_Data[Match],TBA_Matches_All[[#This Row],[Match_Number]],Dyno_Data[RecordType],"Activities", Dyno_Data[AcqCenter],2,Dyno_Data[Mode],"Auto")</f>
        <v>0</v>
      </c>
      <c r="AU190">
        <f>SUMIFS(Dyno_Data[AcqDis], Dyno_Data[Team],TBA_Matches_All[[#This Row],[Team]],Dyno_Data[Match],TBA_Matches_All[[#This Row],[Match_Number]],Dyno_Data[RecordType],"Activities", Dyno_Data[AcqCenter],3,Dyno_Data[Mode],"Auto")</f>
        <v>0</v>
      </c>
      <c r="AV190">
        <f>SUMIFS(Dyno_Data[AcqDis], Dyno_Data[Team],TBA_Matches_All[[#This Row],[Team]],Dyno_Data[Match],TBA_Matches_All[[#This Row],[Match_Number]],Dyno_Data[RecordType],"Activities", Dyno_Data[AcqCenter],4,Dyno_Data[Mode],"Auto")</f>
        <v>0</v>
      </c>
      <c r="AW190">
        <f>SUMIFS(Dyno_Data[AcqDis], Dyno_Data[Team],TBA_Matches_All[[#This Row],[Team]],Dyno_Data[Match],TBA_Matches_All[[#This Row],[Match_Number]],Dyno_Data[RecordType],"Activities", Dyno_Data[AcqCenter],5,Dyno_Data[Mode],"Auto")</f>
        <v>0</v>
      </c>
      <c r="AX190">
        <f>SUMIFS(Dyno_Data[DelMiss], Dyno_Data[Team],TBA_Matches_All[[#This Row],[Team]],Dyno_Data[Match],TBA_Matches_All[[#This Row],[Match_Number]],Dyno_Data[RecordType],"Activities", Dyno_Data[DelDest],"Amp")</f>
        <v>0</v>
      </c>
      <c r="AY190" s="60">
        <f>IFERROR(SUM((TBA_Matches_All[[#This Row],[AampT]]+TBA_Matches_All[[#This Row],[TampT]])/(TBA_Matches_All[[#This Row],[AampT]]+TBA_Matches_All[[#This Row],[TampT]]+TBA_Matches_All[[#This Row],[ampM]])),0)</f>
        <v>0</v>
      </c>
      <c r="AZ190">
        <f>SUMIFS(Dyno_Data[DelMiss], Dyno_Data[Team],TBA_Matches_All[[#This Row],[Team]],Dyno_Data[Match],TBA_Matches_All[[#This Row],[Match_Number]],Dyno_Data[RecordType],"Activities", Dyno_Data[DelDest],"Spkr")</f>
        <v>0</v>
      </c>
      <c r="BA190" s="60">
        <f>IFERROR(SUM((TBA_Matches_All[[#This Row],[AspkrT]]+TBA_Matches_All[[#This Row],[TspkrT]])/(TBA_Matches_All[[#This Row],[AspkrT]]+TBA_Matches_All[[#This Row],[TspkrT]]+TBA_Matches_All[[#This Row],[spkrM]])),0)</f>
        <v>1</v>
      </c>
      <c r="BB190">
        <f>SUMIFS(Dyno_Data[DelMiss], Dyno_Data[Team],TBA_Matches_All[[#This Row],[Team]],Dyno_Data[Match],TBA_Matches_All[[#This Row],[Match_Number]],Dyno_Data[RecordType],"Activities", Dyno_Data[DelDest],"Trap")</f>
        <v>0</v>
      </c>
      <c r="BC190" s="60">
        <f>IFERROR((TBA_Matches_All[[#This Row],[AtrapT]]+TBA_Matches_All[[#This Row],[TtrapT]])/(TBA_Matches_All[[#This Row],[AtrapT]]+TBA_Matches_All[[#This Row],[TtrapT]]+TBA_Matches_All[[#This Row],[trapM]]),0)</f>
        <v>0</v>
      </c>
      <c r="BD190">
        <f>COUNTIFS(Dyno_Data[Team],TBA_Matches_All[[#This Row],[Team]],Dyno_Data[Match],TBA_Matches_All[[#This Row],[Match_Number]],Dyno_Data[RecordType],"Activities",Dyno_Data[DelDest],"Neut", Dyno_Data[DelMiss],1)</f>
        <v>0</v>
      </c>
      <c r="BE190" s="60">
        <f>IFERROR(SUM((TBA_Matches_All[[#This Row],[NeutFlrT]])/(TBA_Matches_All[[#This Row],[NeutFlrT]]+TBA_Matches_All[[#This Row],[NZflM]])),0)</f>
        <v>0</v>
      </c>
      <c r="BF190">
        <f>COUNTIFS(Dyno_Data[Team],TBA_Matches_All[[#This Row],[Team]],Dyno_Data[Match],TBA_Matches_All[[#This Row],[Match_Number]],Dyno_Data[RecordType],"Activities",Dyno_Data[DelDest],"AllyW", Dyno_Data[DelMiss],1)</f>
        <v>0</v>
      </c>
      <c r="BG190" s="60">
        <f>IFERROR(SUM((TBA_Matches_All[[#This Row],[AllyWFlrT]])/(TBA_Matches_All[[#This Row],[AllyWFlrT]]+TBA_Matches_All[[#This Row],[AZflM]])),0)</f>
        <v>0</v>
      </c>
      <c r="BH190">
        <f>COUNTIFS(Dyno_Data[Team],TBA_Matches_All[[#This Row],[Team]],Dyno_Data[Match],TBA_Matches_All[[#This Row],[Match_Number]],Dyno_Data[RecordType],"Activities",Dyno_Data[DelOrig],"OppW", Dyno_Data[DelMiss],"0")</f>
        <v>0</v>
      </c>
      <c r="BI190">
        <f>COUNTIFS(Dyno_Data[Team],TBA_Matches_All[[#This Row],[Team]],Dyno_Data[Match],TBA_Matches_All[[#This Row],[Match_Number]],Dyno_Data[RecordType],"Activities",Dyno_Data[DelOrig],"OppW", Dyno_Data[DelMiss],"1")</f>
        <v>0</v>
      </c>
      <c r="BJ190" s="60">
        <f>IFERROR(SUM((TBA_Matches_All[[#This Row],[OZflrT]])/(TBA_Matches_All[[#This Row],[OZflrT]]+TBA_Matches_All[[#This Row],[OZflrM]])),0)</f>
        <v>0</v>
      </c>
      <c r="BK190">
        <f>COUNTIFS(Dyno_Data[Team],TBA_Matches_All[[#This Row],[Team]],Dyno_Data[Match],TBA_Matches_All[[#This Row],[Match_Number]],Dyno_Data[RecordType],"Activities",Dyno_Data[DelOrig],"Neut", Dyno_Data[DelMiss],"0")</f>
        <v>0</v>
      </c>
      <c r="BL190">
        <f>COUNTIFS(Dyno_Data[Team],TBA_Matches_All[[#This Row],[Team]],Dyno_Data[Match],TBA_Matches_All[[#This Row],[Match_Number]],Dyno_Data[RecordType],"Activities",Dyno_Data[DelOrig],"Neut", Dyno_Data[DelMiss],"1")</f>
        <v>0</v>
      </c>
      <c r="BM190" s="60">
        <f>IFERROR(SUM((TBA_Matches_All[[#This Row],[NZflrT]])/(TBA_Matches_All[[#This Row],[NZflrT]]+TBA_Matches_All[[#This Row],[NZflrM]])),0)</f>
        <v>0</v>
      </c>
      <c r="BN190">
        <f>COUNTIFS(Dyno_Data[Team],TBA_Matches_All[[#This Row],[Team]],Dyno_Data[Match],TBA_Matches_All[[#This Row],[Match_Number]],Dyno_Data[RecordType],"Activities",Dyno_Data[DelOrig],"AllyW", Dyno_Data[DelMiss],"0")</f>
        <v>3</v>
      </c>
      <c r="BO190">
        <f>COUNTIFS(Dyno_Data[Team],TBA_Matches_All[[#This Row],[Team]],Dyno_Data[Match],TBA_Matches_All[[#This Row],[Match_Number]],Dyno_Data[RecordType],"Activities",Dyno_Data[DelOrig],"AllyW", Dyno_Data[DelMiss],"1")</f>
        <v>0</v>
      </c>
      <c r="BP190" s="60">
        <f>IFERROR(SUM((TBA_Matches_All[[#This Row],[AZflrT]])/(TBA_Matches_All[[#This Row],[AZflrT]]+TBA_Matches_All[[#This Row],[AZflrM]])),0)</f>
        <v>1</v>
      </c>
      <c r="BQ190">
        <f>COUNTIFS(Dyno_Data[Team],TBA_Matches_All[[#This Row],[Team]],Dyno_Data[Match],TBA_Matches_All[[#This Row],[Match_Number]],Dyno_Data[RecordType],"Activities",Dyno_Data[DelOrig],"SubW", Dyno_Data[DelMiss],"0")</f>
        <v>3</v>
      </c>
      <c r="BR190">
        <f>COUNTIFS(Dyno_Data[Team],TBA_Matches_All[[#This Row],[Team]],Dyno_Data[Match],TBA_Matches_All[[#This Row],[Match_Number]],Dyno_Data[RecordType],"Activities",Dyno_Data[DelOrig],"SubW", Dyno_Data[DelMiss],"1")</f>
        <v>0</v>
      </c>
      <c r="BS190" s="60">
        <f>IFERROR(SUM((TBA_Matches_All[[#This Row],[SubwT]])/(TBA_Matches_All[[#This Row],[SubwT]]+TBA_Matches_All[[#This Row],[SubwM]])),0)</f>
        <v>1</v>
      </c>
      <c r="BT190">
        <f>COUNTIFS(Dyno_Data[Team],TBA_Matches_All[[#This Row],[Team]],Dyno_Data[Match],TBA_Matches_All[[#This Row],[Match_Number]],Dyno_Data[RecordType],"Activities", Dyno_Data[AcqLoc],"OppWing")</f>
        <v>0</v>
      </c>
      <c r="BU190">
        <f>COUNTIFS(Dyno_Data[Team],TBA_Matches_All[[#This Row],[Team]],Dyno_Data[Match],TBA_Matches_All[[#This Row],[Match_Number]],Dyno_Data[RecordType],"Activities", Dyno_Data[AcqLoc],"Neutral")</f>
        <v>0</v>
      </c>
      <c r="BV190">
        <f>COUNTIFS(Dyno_Data[Team],TBA_Matches_All[[#This Row],[Team]],Dyno_Data[Match],TBA_Matches_All[[#This Row],[Match_Number]],Dyno_Data[RecordType],"Activities", Dyno_Data[AcqLoc],"AllyWing")</f>
        <v>0</v>
      </c>
      <c r="BW190">
        <f>COUNTIFS(Dyno_Data[Team],TBA_Matches_All[[#This Row],[Team]],Dyno_Data[Match],TBA_Matches_All[[#This Row],[Match_Number]],Dyno_Data[RecordType],"Activities", Dyno_Data[AcqLoc],"Source")</f>
        <v>0</v>
      </c>
      <c r="BX190">
        <f>SUMIFS(Dyno_Data[AcqDrp], Dyno_Data[Team],TBA_Matches_All[[#This Row],[Team]],Dyno_Data[Match],TBA_Matches_All[[#This Row],[Match_Number]],Dyno_Data[RecordType],"Activities", Dyno_Data[AcqLoc],"Source")</f>
        <v>0</v>
      </c>
      <c r="BY190">
        <f>SUMIFS(Dyno_Data[OZTime], Dyno_Data[Team],TBA_Matches_All[[#This Row],[Team]],Dyno_Data[Match],TBA_Matches_All[[#This Row],[Match_Number]],Dyno_Data[RecordType],"EndMatch")</f>
        <v>45.789717099999997</v>
      </c>
      <c r="BZ190">
        <f>SUMIFS(Dyno_Data[NZTime], Dyno_Data[Team],TBA_Matches_All[[#This Row],[Team]],Dyno_Data[Match],TBA_Matches_All[[#This Row],[Match_Number]],Dyno_Data[RecordType],"EndMatch")</f>
        <v>21.757945899999999</v>
      </c>
      <c r="CA190">
        <f>SUMIFS(Dyno_Data[AZTime], Dyno_Data[Team],TBA_Matches_All[[#This Row],[Team]],Dyno_Data[Match],TBA_Matches_All[[#This Row],[Match_Number]],Dyno_Data[RecordType],"EndMatch")</f>
        <v>37.056694899999997</v>
      </c>
      <c r="CB190">
        <f>SUMIFS(Dyno_Data[ClimbT], Dyno_Data[Team],TBA_Matches_All[[#This Row],[Team]],Dyno_Data[Match],TBA_Matches_All[[#This Row],[Match_Number]],Dyno_Data[RecordType],"EndMatch")</f>
        <v>15.0580786</v>
      </c>
      <c r="CC190" t="str">
        <f>_xlfn.XLOOKUP(SUM(MID(TBA_Matches_All[[#This Row],[Team]],4,5),(TBA_Matches_All[[#This Row],[Match_Number]]/100)),Dyno_EndMatch[teammat],Dyno_EndMatch[StageStat],"_",0,1)</f>
        <v>Park</v>
      </c>
      <c r="CD190" t="str">
        <f>_xlfn.XLOOKUP(TBA_Matches_All[[#This Row],[teammat]],Dyno_EndMatch[teammat],Dyno_EndMatch[StageAtt],"_",0,1)</f>
        <v>-1</v>
      </c>
      <c r="CE190" t="str">
        <f>_xlfn.XLOOKUP(TBA_Matches_All[[#This Row],[teammat]],Dyno_EndMatch[teammat],Dyno_EndMatch[StageLoc],"_",0,1)</f>
        <v>A</v>
      </c>
      <c r="CF190">
        <f>SUMIFS(Dyno_Data[Harmony], Dyno_Data[Team],TBA_Matches_All[[#This Row],[Team]],Dyno_Data[Match],TBA_Matches_All[[#This Row],[Match_Number]],Dyno_Data[RecordType],"EndMatch", Dyno_Data[StageStat],"On",Dyno_Data[Harmony],"&lt;&gt;9")</f>
        <v>0</v>
      </c>
      <c r="CG190">
        <f>SUMIFS(Dyno_Data[Spotlit], Dyno_Data[Team],TBA_Matches_All[[#This Row],[Team]],Dyno_Data[Match],TBA_Matches_All[[#This Row],[Match_Number]],Dyno_Data[RecordType],"EndMatch", Dyno_Data[StageStat],"On",Dyno_Data[Spotlit],"&lt;&gt;9")</f>
        <v>0</v>
      </c>
      <c r="CH190" t="str">
        <f>_xlfn.XLOOKUP(TBA_Matches_All[[#This Row],[teammat]],Dyno_EndMatch[teammat],Dyno_EndMatch[Strategy],"_",0,1)</f>
        <v>Hybrid</v>
      </c>
      <c r="CI190">
        <f>SUMIFS(Dyno_Data[Defense], Dyno_Data[Team],TBA_Matches_All[[#This Row],[Team]],Dyno_Data[Match],TBA_Matches_All[[#This Row],[Match_Number]],Dyno_Data[RecordType],"EndMatch",Dyno_Data[Defense],"&lt;&gt;9")</f>
        <v>0</v>
      </c>
      <c r="CJ190">
        <f>SUMIFS(Dyno_Data[Avoidance], Dyno_Data[Team],TBA_Matches_All[[#This Row],[Team]],Dyno_Data[Match],TBA_Matches_All[[#This Row],[Match_Number]],Dyno_Data[RecordType],"EndMatch",Dyno_Data[Avoidance],"&lt;&gt;9")</f>
        <v>0</v>
      </c>
      <c r="CK190" s="82">
        <f>COUNTIF($H$2:TBA_Matches_All[[#This Row],[Team]],TBA_Matches_All[[#This Row],[Team]])</f>
        <v>4</v>
      </c>
      <c r="CL190" s="111">
        <f>SUM(MID(TBA_Matches_All[[#This Row],[Team]],4,5)+TBA_Matches_All[[#This Row],[Match_Number]]/100)</f>
        <v>333.32</v>
      </c>
      <c r="CM190">
        <f>SUM((TBA_Matches_All[[#This Row],[Leave]]*2)+(TBA_Matches_All[[#This Row],[AampT]]*2)+(TBA_Matches_All[[#This Row],[AspkrT]]*5)+(TBA_Matches_All[[#This Row],[AtrapT]]*5))</f>
        <v>7</v>
      </c>
      <c r="CN190" s="59">
        <f>IFERROR(SUM(TBA_Matches_All[[#This Row],[AptsT]]/TBA_Matches_All[[#This Row],[AutoPts]]),0)</f>
        <v>0.2413793103448276</v>
      </c>
      <c r="CO190" s="59">
        <f>IFERROR(SUM(TBA_Matches_All[[#This Row],[AampT]]+TBA_Matches_All[[#This Row],[AspkrT]]+TBA_Matches_All[[#This Row],[AtrapT]]/TBA_Matches_All[[#This Row],[Aamp]]+TBA_Matches_All[[#This Row],[Aspkr]]+TBA_Matches_All[[#This Row],[AtrapT]]),0)</f>
        <v>0</v>
      </c>
      <c r="CP190" s="59">
        <f>IFERROR(SUM(TBA_Matches_All[[#This Row],[TampT]]/TBA_Matches_All[[#This Row],[Tamp]]),0)</f>
        <v>0</v>
      </c>
      <c r="CQ190" s="59">
        <f>IFERROR(SUM(TBA_Matches_All[[#This Row],[TspkrT]]/TBA_Matches_All[[#This Row],[Tspkr]]),0)</f>
        <v>0.55555555555555558</v>
      </c>
      <c r="CR190">
        <f>SUM(TBA_Matches_All[[#This Row],[TspkrPts]]*TBA_Matches_All[[#This Row],[TspkrP]])</f>
        <v>13.333333333333334</v>
      </c>
      <c r="CS190" s="59">
        <f>IFERROR(SUM(TBA_Matches_All[[#This Row],[TtrapT]]/TBA_Matches_All[[#This Row],[Trap]]),0)</f>
        <v>0</v>
      </c>
      <c r="CT190" s="59">
        <f>IFERROR(SUM(TBA_Matches_All[[#This Row],[TotNotesT]]/TBA_Matches_All[[#This Row],[TotNotes]]),0)</f>
        <v>0.31578947368421051</v>
      </c>
      <c r="CU190" s="66">
        <f>SUM((TBA_Matches_All[[#This Row],[AampT]]*2)+(TBA_Matches_All[[#This Row],[AspkrT]]*5)+(TBA_Matches_All[[#This Row],[AtrapT]]*5)+(TBA_Matches_All[[#This Row],[TampT]]*1)+(TBA_Matches_All[[#This Row],[TspkrptsC]]))</f>
        <v>18.333333333333336</v>
      </c>
      <c r="CV190" s="59">
        <f>IFERROR(TBA_Matches_All[[#This Row],[noteptsT]]/TBA_Matches_All[[#This Row],[NotePts]],0)</f>
        <v>0.33950617283950624</v>
      </c>
      <c r="CW190">
        <f>SUM(IF(TBA_Matches_All[[#This Row],[stageStat]]="On",3,0),IF(TBA_Matches_All[[#This Row],[stageStat]]="Park",1,0),SUMIFS(TBA_Matches_All[[#This Row],[Spotlit]],TBA_Matches_All[[#This Row],[stageStat]],"On"),SUMIFS(TBA_Matches_All[[#This Row],[Harmony]],TBA_Matches_All[[#This Row],[stageStat]],"On"))</f>
        <v>1</v>
      </c>
      <c r="CX190" s="59">
        <f>IFERROR(TBA_Matches_All[[#This Row],[stageptsT]]/TBA_Matches_All[[#This Row],[StagePts]],0)</f>
        <v>0.14285714285714285</v>
      </c>
      <c r="CY190">
        <f>SUM((TBA_Matches_All[[#This Row],[AptsT]]+TBA_Matches_All[[#This Row],[TampT]]+TBA_Matches_All[[#This Row],[TspkrptsC]]+(TBA_Matches_All[[#This Row],[TtrapT]]*5)+TBA_Matches_All[[#This Row],[stageptsT]]))</f>
        <v>21.333333333333336</v>
      </c>
      <c r="CZ190" s="59">
        <f>IFERROR(SUM(TBA_Matches_All[[#This Row],[TotptsC]]/TBA_Matches_All[[#This Row],[Score]]),0)</f>
        <v>0.32820512820512826</v>
      </c>
      <c r="DA19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3.5999999999999996</v>
      </c>
      <c r="DB190" s="74">
        <f>SUMIFS(TBA_Matches_All[AveTeamTNoteDels],TBA_Matches_All[Match_Number],TBA_Matches_All[[#This Row],[Match_Number]],TBA_Matches_All[Alliance],"&lt;&gt;"&amp;TBA_Matches_All[[#This Row],[Alliance]],TBA_Matches_All[Scouted],"&gt;0")</f>
        <v>29.453506493506492</v>
      </c>
      <c r="DC190" s="74">
        <f>(TBA_Matches_All[[#This Row],[TampT]]+TBA_Matches_All[[#This Row],[TspkrptsC]])-TBA_Matches_All[[#This Row],[AveTeamTNoteDels]]</f>
        <v>9.7333333333333343</v>
      </c>
      <c r="DD190" s="74">
        <f>SUMIFS(TBA_Matches_All[AveTeamTNoteDels],TBA_Matches_All[Match_Number],TBA_Matches_All[[#This Row],[Match_Number]],TBA_Matches_All[Alliance],"&lt;&gt;"&amp;TBA_Matches_All[[#This Row],[Alliance]])-TBA_Matches_All[[#This Row],[AveOppTNoteDels]]</f>
        <v>0</v>
      </c>
    </row>
    <row r="191" spans="1:108" x14ac:dyDescent="0.3">
      <c r="A191" t="s">
        <v>1042</v>
      </c>
      <c r="B191" t="s">
        <v>489</v>
      </c>
      <c r="C191" t="s">
        <v>1341</v>
      </c>
      <c r="D191">
        <v>32</v>
      </c>
      <c r="E191" t="s">
        <v>1420</v>
      </c>
      <c r="F191" t="s">
        <v>1423</v>
      </c>
      <c r="G191" t="s">
        <v>1409</v>
      </c>
      <c r="H191" t="s">
        <v>1288</v>
      </c>
      <c r="I191" t="b">
        <v>1</v>
      </c>
      <c r="J191">
        <v>53</v>
      </c>
      <c r="K191">
        <v>1</v>
      </c>
      <c r="L191">
        <v>0</v>
      </c>
      <c r="M191">
        <v>0</v>
      </c>
      <c r="N191">
        <v>0</v>
      </c>
      <c r="O191">
        <v>1</v>
      </c>
      <c r="P191">
        <v>5</v>
      </c>
      <c r="Q191">
        <v>11</v>
      </c>
      <c r="R191">
        <v>3</v>
      </c>
      <c r="S191">
        <v>3</v>
      </c>
      <c r="T191">
        <v>8</v>
      </c>
      <c r="U191">
        <v>15</v>
      </c>
      <c r="V191">
        <v>16</v>
      </c>
      <c r="W191">
        <v>11</v>
      </c>
      <c r="X191">
        <v>31</v>
      </c>
      <c r="Y191">
        <v>34</v>
      </c>
      <c r="Z191">
        <v>0</v>
      </c>
      <c r="AA191">
        <v>0</v>
      </c>
      <c r="AB191">
        <v>15</v>
      </c>
      <c r="AC191">
        <v>39</v>
      </c>
      <c r="AD191">
        <v>6</v>
      </c>
      <c r="AE191">
        <f>IFERROR(6/(COUNTIF(Dyno_EndMatch[Match],TBA_Matches_All[[#This Row],[Match_Number]])),0)</f>
        <v>1</v>
      </c>
      <c r="AF191">
        <f>COUNTIFS(Dyno_Data[Team],TBA_Matches_All[[#This Row],[Team]],Dyno_Data[Match],TBA_Matches_All[[#This Row],[Match_Number]],Dyno_Data[RecordType],"EndMatch",Dyno_Data[HPAmp],"Y")</f>
        <v>1</v>
      </c>
      <c r="AG191">
        <f>SUMIFS(Dyno_Data[Mics], Dyno_Data[Team],TBA_Matches_All[[#This Row],[Team]],Dyno_Data[Match],TBA_Matches_All[[#This Row],[Match_Number]],Dyno_Data[RecordType],"EndMatch",Dyno_Data[HPAmp],"Y")</f>
        <v>0</v>
      </c>
      <c r="AH191">
        <f>SUMIFS(Dyno_Data[Leave], Dyno_Data[Team],TBA_Matches_All[[#This Row],[Team]],Dyno_Data[Match],TBA_Matches_All[[#This Row],[Match_Number]],Dyno_Data[RecordType],"EndAuto")</f>
        <v>1</v>
      </c>
      <c r="AI191">
        <f>COUNTIFS(Dyno_Data[Team],TBA_Matches_All[[#This Row],[Team]],Dyno_Data[Match],TBA_Matches_All[[#This Row],[Match_Number]],Dyno_Data[RecordType],"Activities",Dyno_Data[DelDest],"Amp", Dyno_Data[DelMiss],"0", Dyno_Data[Mode],"Auto")</f>
        <v>0</v>
      </c>
      <c r="AJ191">
        <f>COUNTIFS(Dyno_Data[Team],TBA_Matches_All[[#This Row],[Team]],Dyno_Data[Match],TBA_Matches_All[[#This Row],[Match_Number]],Dyno_Data[RecordType],"Activities",Dyno_Data[DelDest],"Spkr", Dyno_Data[DelMiss],"0", Dyno_Data[Mode],"Auto")</f>
        <v>1</v>
      </c>
      <c r="AK191">
        <f>COUNTIFS(Dyno_Data[Team],TBA_Matches_All[[#This Row],[Team]],Dyno_Data[Match],TBA_Matches_All[[#This Row],[Match_Number]],Dyno_Data[RecordType],"Activities",Dyno_Data[DelDest],"Trap", Dyno_Data[DelMiss],"0", Dyno_Data[Mode],"Auto")</f>
        <v>0</v>
      </c>
      <c r="AL191">
        <f>COUNTIFS(Dyno_Data[Team],TBA_Matches_All[[#This Row],[Team]],Dyno_Data[Match],TBA_Matches_All[[#This Row],[Match_Number]],Dyno_Data[RecordType],"Activities",Dyno_Data[DelDest],"Amp", Dyno_Data[DelMiss],"0", Dyno_Data[Mode],"Teleop")</f>
        <v>1</v>
      </c>
      <c r="AM191">
        <f>COUNTIFS(Dyno_Data[Team],TBA_Matches_All[[#This Row],[Team]],Dyno_Data[Match],TBA_Matches_All[[#This Row],[Match_Number]],Dyno_Data[RecordType],"Activities",Dyno_Data[DelDest],"Spkr", Dyno_Data[DelMiss],"0", Dyno_Data[Mode],"Teleop")</f>
        <v>4</v>
      </c>
      <c r="AN191">
        <f>COUNTIFS(Dyno_Data[Team],TBA_Matches_All[[#This Row],[Team]],Dyno_Data[Match],TBA_Matches_All[[#This Row],[Match_Number]],Dyno_Data[RecordType],"Activities",Dyno_Data[DelDest],"Trap", Dyno_Data[DelMiss],"0", Dyno_Data[Mode],"&lt;&gt;Auto")</f>
        <v>0</v>
      </c>
      <c r="AO191">
        <f>SUM(TBA_Matches_All[[#This Row],[AampT]]+TBA_Matches_All[[#This Row],[AspkrT]]+TBA_Matches_All[[#This Row],[AtrapT]]+TBA_Matches_All[[#This Row],[TampT]]+TBA_Matches_All[[#This Row],[TspkrT]]+TBA_Matches_All[[#This Row],[TtrapT]])</f>
        <v>6</v>
      </c>
      <c r="AP191">
        <f>COUNTIFS(Dyno_Data[Team],TBA_Matches_All[[#This Row],[Team]],Dyno_Data[Match],TBA_Matches_All[[#This Row],[Match_Number]],Dyno_Data[RecordType],"Activities",Dyno_Data[DelDest],"Neut", Dyno_Data[DelMiss],"0")</f>
        <v>0</v>
      </c>
      <c r="AQ191">
        <f>COUNTIFS(Dyno_Data[Team],TBA_Matches_All[[#This Row],[Team]],Dyno_Data[Match],TBA_Matches_All[[#This Row],[Match_Number]],Dyno_Data[RecordType],"Activities",Dyno_Data[DelDest],"AllyW", Dyno_Data[DelMiss],"0")</f>
        <v>0</v>
      </c>
      <c r="AR191" t="str">
        <f>_xlfn.XLOOKUP(SUM(MID(TBA_Matches_All[[#This Row],[Team]],4,5),(TBA_Matches_All[[#This Row],[Match_Number]]/100)),Dyno_EndMatch[teammat],Dyno_EndMatch[RobotSta],"_",0,1)</f>
        <v>Podm</v>
      </c>
      <c r="AS191">
        <f>SUMIFS(Dyno_Data[AcqDis], Dyno_Data[Team],TBA_Matches_All[[#This Row],[Team]],Dyno_Data[Match],TBA_Matches_All[[#This Row],[Match_Number]],Dyno_Data[RecordType],"Activities", Dyno_Data[AcqCenter],1,Dyno_Data[Mode],"Auto")</f>
        <v>0</v>
      </c>
      <c r="AT191">
        <f>SUMIFS(Dyno_Data[AcqDis], Dyno_Data[Team],TBA_Matches_All[[#This Row],[Team]],Dyno_Data[Match],TBA_Matches_All[[#This Row],[Match_Number]],Dyno_Data[RecordType],"Activities", Dyno_Data[AcqCenter],2,Dyno_Data[Mode],"Auto")</f>
        <v>0</v>
      </c>
      <c r="AU191">
        <f>SUMIFS(Dyno_Data[AcqDis], Dyno_Data[Team],TBA_Matches_All[[#This Row],[Team]],Dyno_Data[Match],TBA_Matches_All[[#This Row],[Match_Number]],Dyno_Data[RecordType],"Activities", Dyno_Data[AcqCenter],3,Dyno_Data[Mode],"Auto")</f>
        <v>0</v>
      </c>
      <c r="AV191">
        <f>SUMIFS(Dyno_Data[AcqDis], Dyno_Data[Team],TBA_Matches_All[[#This Row],[Team]],Dyno_Data[Match],TBA_Matches_All[[#This Row],[Match_Number]],Dyno_Data[RecordType],"Activities", Dyno_Data[AcqCenter],4,Dyno_Data[Mode],"Auto")</f>
        <v>0</v>
      </c>
      <c r="AW191">
        <f>SUMIFS(Dyno_Data[AcqDis], Dyno_Data[Team],TBA_Matches_All[[#This Row],[Team]],Dyno_Data[Match],TBA_Matches_All[[#This Row],[Match_Number]],Dyno_Data[RecordType],"Activities", Dyno_Data[AcqCenter],5,Dyno_Data[Mode],"Auto")</f>
        <v>0</v>
      </c>
      <c r="AX191">
        <f>SUMIFS(Dyno_Data[DelMiss], Dyno_Data[Team],TBA_Matches_All[[#This Row],[Team]],Dyno_Data[Match],TBA_Matches_All[[#This Row],[Match_Number]],Dyno_Data[RecordType],"Activities", Dyno_Data[DelDest],"Amp")</f>
        <v>0</v>
      </c>
      <c r="AY191" s="60">
        <f>IFERROR(SUM((TBA_Matches_All[[#This Row],[AampT]]+TBA_Matches_All[[#This Row],[TampT]])/(TBA_Matches_All[[#This Row],[AampT]]+TBA_Matches_All[[#This Row],[TampT]]+TBA_Matches_All[[#This Row],[ampM]])),0)</f>
        <v>1</v>
      </c>
      <c r="AZ191">
        <f>SUMIFS(Dyno_Data[DelMiss], Dyno_Data[Team],TBA_Matches_All[[#This Row],[Team]],Dyno_Data[Match],TBA_Matches_All[[#This Row],[Match_Number]],Dyno_Data[RecordType],"Activities", Dyno_Data[DelDest],"Spkr")</f>
        <v>0</v>
      </c>
      <c r="BA191" s="60">
        <f>IFERROR(SUM((TBA_Matches_All[[#This Row],[AspkrT]]+TBA_Matches_All[[#This Row],[TspkrT]])/(TBA_Matches_All[[#This Row],[AspkrT]]+TBA_Matches_All[[#This Row],[TspkrT]]+TBA_Matches_All[[#This Row],[spkrM]])),0)</f>
        <v>1</v>
      </c>
      <c r="BB191">
        <f>SUMIFS(Dyno_Data[DelMiss], Dyno_Data[Team],TBA_Matches_All[[#This Row],[Team]],Dyno_Data[Match],TBA_Matches_All[[#This Row],[Match_Number]],Dyno_Data[RecordType],"Activities", Dyno_Data[DelDest],"Trap")</f>
        <v>0</v>
      </c>
      <c r="BC191" s="60">
        <f>IFERROR((TBA_Matches_All[[#This Row],[AtrapT]]+TBA_Matches_All[[#This Row],[TtrapT]])/(TBA_Matches_All[[#This Row],[AtrapT]]+TBA_Matches_All[[#This Row],[TtrapT]]+TBA_Matches_All[[#This Row],[trapM]]),0)</f>
        <v>0</v>
      </c>
      <c r="BD191">
        <f>COUNTIFS(Dyno_Data[Team],TBA_Matches_All[[#This Row],[Team]],Dyno_Data[Match],TBA_Matches_All[[#This Row],[Match_Number]],Dyno_Data[RecordType],"Activities",Dyno_Data[DelDest],"Neut", Dyno_Data[DelMiss],1)</f>
        <v>0</v>
      </c>
      <c r="BE191" s="60">
        <f>IFERROR(SUM((TBA_Matches_All[[#This Row],[NeutFlrT]])/(TBA_Matches_All[[#This Row],[NeutFlrT]]+TBA_Matches_All[[#This Row],[NZflM]])),0)</f>
        <v>0</v>
      </c>
      <c r="BF191">
        <f>COUNTIFS(Dyno_Data[Team],TBA_Matches_All[[#This Row],[Team]],Dyno_Data[Match],TBA_Matches_All[[#This Row],[Match_Number]],Dyno_Data[RecordType],"Activities",Dyno_Data[DelDest],"AllyW", Dyno_Data[DelMiss],1)</f>
        <v>0</v>
      </c>
      <c r="BG191" s="60">
        <f>IFERROR(SUM((TBA_Matches_All[[#This Row],[AllyWFlrT]])/(TBA_Matches_All[[#This Row],[AllyWFlrT]]+TBA_Matches_All[[#This Row],[AZflM]])),0)</f>
        <v>0</v>
      </c>
      <c r="BH191">
        <f>COUNTIFS(Dyno_Data[Team],TBA_Matches_All[[#This Row],[Team]],Dyno_Data[Match],TBA_Matches_All[[#This Row],[Match_Number]],Dyno_Data[RecordType],"Activities",Dyno_Data[DelOrig],"OppW", Dyno_Data[DelMiss],"0")</f>
        <v>0</v>
      </c>
      <c r="BI191">
        <f>COUNTIFS(Dyno_Data[Team],TBA_Matches_All[[#This Row],[Team]],Dyno_Data[Match],TBA_Matches_All[[#This Row],[Match_Number]],Dyno_Data[RecordType],"Activities",Dyno_Data[DelOrig],"OppW", Dyno_Data[DelMiss],"1")</f>
        <v>0</v>
      </c>
      <c r="BJ191" s="60">
        <f>IFERROR(SUM((TBA_Matches_All[[#This Row],[OZflrT]])/(TBA_Matches_All[[#This Row],[OZflrT]]+TBA_Matches_All[[#This Row],[OZflrM]])),0)</f>
        <v>0</v>
      </c>
      <c r="BK191">
        <f>COUNTIFS(Dyno_Data[Team],TBA_Matches_All[[#This Row],[Team]],Dyno_Data[Match],TBA_Matches_All[[#This Row],[Match_Number]],Dyno_Data[RecordType],"Activities",Dyno_Data[DelOrig],"Neut", Dyno_Data[DelMiss],"0")</f>
        <v>0</v>
      </c>
      <c r="BL191">
        <f>COUNTIFS(Dyno_Data[Team],TBA_Matches_All[[#This Row],[Team]],Dyno_Data[Match],TBA_Matches_All[[#This Row],[Match_Number]],Dyno_Data[RecordType],"Activities",Dyno_Data[DelOrig],"Neut", Dyno_Data[DelMiss],"1")</f>
        <v>0</v>
      </c>
      <c r="BM191" s="60">
        <f>IFERROR(SUM((TBA_Matches_All[[#This Row],[NZflrT]])/(TBA_Matches_All[[#This Row],[NZflrT]]+TBA_Matches_All[[#This Row],[NZflrM]])),0)</f>
        <v>0</v>
      </c>
      <c r="BN191">
        <f>COUNTIFS(Dyno_Data[Team],TBA_Matches_All[[#This Row],[Team]],Dyno_Data[Match],TBA_Matches_All[[#This Row],[Match_Number]],Dyno_Data[RecordType],"Activities",Dyno_Data[DelOrig],"AllyW", Dyno_Data[DelMiss],"0")</f>
        <v>3</v>
      </c>
      <c r="BO191">
        <f>COUNTIFS(Dyno_Data[Team],TBA_Matches_All[[#This Row],[Team]],Dyno_Data[Match],TBA_Matches_All[[#This Row],[Match_Number]],Dyno_Data[RecordType],"Activities",Dyno_Data[DelOrig],"AllyW", Dyno_Data[DelMiss],"1")</f>
        <v>0</v>
      </c>
      <c r="BP191" s="60">
        <f>IFERROR(SUM((TBA_Matches_All[[#This Row],[AZflrT]])/(TBA_Matches_All[[#This Row],[AZflrT]]+TBA_Matches_All[[#This Row],[AZflrM]])),0)</f>
        <v>1</v>
      </c>
      <c r="BQ191">
        <f>COUNTIFS(Dyno_Data[Team],TBA_Matches_All[[#This Row],[Team]],Dyno_Data[Match],TBA_Matches_All[[#This Row],[Match_Number]],Dyno_Data[RecordType],"Activities",Dyno_Data[DelOrig],"SubW", Dyno_Data[DelMiss],"0")</f>
        <v>3</v>
      </c>
      <c r="BR191">
        <f>COUNTIFS(Dyno_Data[Team],TBA_Matches_All[[#This Row],[Team]],Dyno_Data[Match],TBA_Matches_All[[#This Row],[Match_Number]],Dyno_Data[RecordType],"Activities",Dyno_Data[DelOrig],"SubW", Dyno_Data[DelMiss],"1")</f>
        <v>0</v>
      </c>
      <c r="BS191" s="60">
        <f>IFERROR(SUM((TBA_Matches_All[[#This Row],[SubwT]])/(TBA_Matches_All[[#This Row],[SubwT]]+TBA_Matches_All[[#This Row],[SubwM]])),0)</f>
        <v>1</v>
      </c>
      <c r="BT191">
        <f>COUNTIFS(Dyno_Data[Team],TBA_Matches_All[[#This Row],[Team]],Dyno_Data[Match],TBA_Matches_All[[#This Row],[Match_Number]],Dyno_Data[RecordType],"Activities", Dyno_Data[AcqLoc],"OppWing")</f>
        <v>0</v>
      </c>
      <c r="BU191">
        <f>COUNTIFS(Dyno_Data[Team],TBA_Matches_All[[#This Row],[Team]],Dyno_Data[Match],TBA_Matches_All[[#This Row],[Match_Number]],Dyno_Data[RecordType],"Activities", Dyno_Data[AcqLoc],"Neutral")</f>
        <v>0</v>
      </c>
      <c r="BV191">
        <f>COUNTIFS(Dyno_Data[Team],TBA_Matches_All[[#This Row],[Team]],Dyno_Data[Match],TBA_Matches_All[[#This Row],[Match_Number]],Dyno_Data[RecordType],"Activities", Dyno_Data[AcqLoc],"AllyWing")</f>
        <v>0</v>
      </c>
      <c r="BW191">
        <f>COUNTIFS(Dyno_Data[Team],TBA_Matches_All[[#This Row],[Team]],Dyno_Data[Match],TBA_Matches_All[[#This Row],[Match_Number]],Dyno_Data[RecordType],"Activities", Dyno_Data[AcqLoc],"Source")</f>
        <v>0</v>
      </c>
      <c r="BX191">
        <f>SUMIFS(Dyno_Data[AcqDrp], Dyno_Data[Team],TBA_Matches_All[[#This Row],[Team]],Dyno_Data[Match],TBA_Matches_All[[#This Row],[Match_Number]],Dyno_Data[RecordType],"Activities", Dyno_Data[AcqLoc],"Source")</f>
        <v>0</v>
      </c>
      <c r="BY191">
        <f>SUMIFS(Dyno_Data[OZTime], Dyno_Data[Team],TBA_Matches_All[[#This Row],[Team]],Dyno_Data[Match],TBA_Matches_All[[#This Row],[Match_Number]],Dyno_Data[RecordType],"EndMatch")</f>
        <v>27.645032399999998</v>
      </c>
      <c r="BZ191">
        <f>SUMIFS(Dyno_Data[NZTime], Dyno_Data[Team],TBA_Matches_All[[#This Row],[Team]],Dyno_Data[Match],TBA_Matches_All[[#This Row],[Match_Number]],Dyno_Data[RecordType],"EndMatch")</f>
        <v>19.1312949</v>
      </c>
      <c r="CA191">
        <f>SUMIFS(Dyno_Data[AZTime], Dyno_Data[Team],TBA_Matches_All[[#This Row],[Team]],Dyno_Data[Match],TBA_Matches_All[[#This Row],[Match_Number]],Dyno_Data[RecordType],"EndMatch")</f>
        <v>70.838421099999991</v>
      </c>
      <c r="CB191">
        <f>SUMIFS(Dyno_Data[ClimbT], Dyno_Data[Team],TBA_Matches_All[[#This Row],[Team]],Dyno_Data[Match],TBA_Matches_All[[#This Row],[Match_Number]],Dyno_Data[RecordType],"EndMatch")</f>
        <v>11.739989399999999</v>
      </c>
      <c r="CC191" t="str">
        <f>_xlfn.XLOOKUP(SUM(MID(TBA_Matches_All[[#This Row],[Team]],4,5),(TBA_Matches_All[[#This Row],[Match_Number]]/100)),Dyno_EndMatch[teammat],Dyno_EndMatch[StageStat],"_",0,1)</f>
        <v>On</v>
      </c>
      <c r="CD191" t="str">
        <f>_xlfn.XLOOKUP(TBA_Matches_All[[#This Row],[teammat]],Dyno_EndMatch[teammat],Dyno_EndMatch[StageAtt],"_",0,1)</f>
        <v>1</v>
      </c>
      <c r="CE191" t="str">
        <f>_xlfn.XLOOKUP(TBA_Matches_All[[#This Row],[teammat]],Dyno_EndMatch[teammat],Dyno_EndMatch[StageLoc],"_",0,1)</f>
        <v>R</v>
      </c>
      <c r="CF191">
        <f>SUMIFS(Dyno_Data[Harmony], Dyno_Data[Team],TBA_Matches_All[[#This Row],[Team]],Dyno_Data[Match],TBA_Matches_All[[#This Row],[Match_Number]],Dyno_Data[RecordType],"EndMatch", Dyno_Data[StageStat],"On",Dyno_Data[Harmony],"&lt;&gt;9")</f>
        <v>0</v>
      </c>
      <c r="CG191">
        <f>SUMIFS(Dyno_Data[Spotlit], Dyno_Data[Team],TBA_Matches_All[[#This Row],[Team]],Dyno_Data[Match],TBA_Matches_All[[#This Row],[Match_Number]],Dyno_Data[RecordType],"EndMatch", Dyno_Data[StageStat],"On",Dyno_Data[Spotlit],"&lt;&gt;9")</f>
        <v>0</v>
      </c>
      <c r="CH191" t="str">
        <f>_xlfn.XLOOKUP(TBA_Matches_All[[#This Row],[teammat]],Dyno_EndMatch[teammat],Dyno_EndMatch[Strategy],"_",0,1)</f>
        <v>Hybrid</v>
      </c>
      <c r="CI191">
        <f>SUMIFS(Dyno_Data[Defense], Dyno_Data[Team],TBA_Matches_All[[#This Row],[Team]],Dyno_Data[Match],TBA_Matches_All[[#This Row],[Match_Number]],Dyno_Data[RecordType],"EndMatch",Dyno_Data[Defense],"&lt;&gt;9")</f>
        <v>0</v>
      </c>
      <c r="CJ191">
        <f>SUMIFS(Dyno_Data[Avoidance], Dyno_Data[Team],TBA_Matches_All[[#This Row],[Team]],Dyno_Data[Match],TBA_Matches_All[[#This Row],[Match_Number]],Dyno_Data[RecordType],"EndMatch",Dyno_Data[Avoidance],"&lt;&gt;9")</f>
        <v>1</v>
      </c>
      <c r="CK191" s="82">
        <f>COUNTIF($H$2:TBA_Matches_All[[#This Row],[Team]],TBA_Matches_All[[#This Row],[Team]])</f>
        <v>4</v>
      </c>
      <c r="CL191" s="111">
        <f>SUM(MID(TBA_Matches_All[[#This Row],[Team]],4,5)+TBA_Matches_All[[#This Row],[Match_Number]]/100)</f>
        <v>3181.32</v>
      </c>
      <c r="CM191">
        <f>SUM((TBA_Matches_All[[#This Row],[Leave]]*2)+(TBA_Matches_All[[#This Row],[AampT]]*2)+(TBA_Matches_All[[#This Row],[AspkrT]]*5)+(TBA_Matches_All[[#This Row],[AtrapT]]*5))</f>
        <v>7</v>
      </c>
      <c r="CN191" s="59">
        <f>IFERROR(SUM(TBA_Matches_All[[#This Row],[AptsT]]/TBA_Matches_All[[#This Row],[AutoPts]]),0)</f>
        <v>0.63636363636363635</v>
      </c>
      <c r="CO191" s="59">
        <f>IFERROR(SUM(TBA_Matches_All[[#This Row],[AampT]]+TBA_Matches_All[[#This Row],[AspkrT]]+TBA_Matches_All[[#This Row],[AtrapT]]/TBA_Matches_All[[#This Row],[Aamp]]+TBA_Matches_All[[#This Row],[Aspkr]]+TBA_Matches_All[[#This Row],[AtrapT]]),0)</f>
        <v>0</v>
      </c>
      <c r="CP191" s="59">
        <f>IFERROR(SUM(TBA_Matches_All[[#This Row],[TampT]]/TBA_Matches_All[[#This Row],[Tamp]]),0)</f>
        <v>0.33333333333333331</v>
      </c>
      <c r="CQ191" s="59">
        <f>IFERROR(SUM(TBA_Matches_All[[#This Row],[TspkrT]]/TBA_Matches_All[[#This Row],[Tspkr]]),0)</f>
        <v>0.36363636363636365</v>
      </c>
      <c r="CR191">
        <f>SUM(TBA_Matches_All[[#This Row],[TspkrPts]]*TBA_Matches_All[[#This Row],[TspkrP]])</f>
        <v>11.272727272727273</v>
      </c>
      <c r="CS191" s="59">
        <f>IFERROR(SUM(TBA_Matches_All[[#This Row],[TtrapT]]/TBA_Matches_All[[#This Row],[Trap]]),0)</f>
        <v>0</v>
      </c>
      <c r="CT191" s="59">
        <f>IFERROR(SUM(TBA_Matches_All[[#This Row],[TotNotesT]]/TBA_Matches_All[[#This Row],[TotNotes]]),0)</f>
        <v>0.4</v>
      </c>
      <c r="CU191" s="66">
        <f>SUM((TBA_Matches_All[[#This Row],[AampT]]*2)+(TBA_Matches_All[[#This Row],[AspkrT]]*5)+(TBA_Matches_All[[#This Row],[AtrapT]]*5)+(TBA_Matches_All[[#This Row],[TampT]]*1)+(TBA_Matches_All[[#This Row],[TspkrptsC]]))</f>
        <v>17.272727272727273</v>
      </c>
      <c r="CV191" s="59">
        <f>IFERROR(TBA_Matches_All[[#This Row],[noteptsT]]/TBA_Matches_All[[#This Row],[NotePts]],0)</f>
        <v>0.44289044289044288</v>
      </c>
      <c r="CW191">
        <f>SUM(IF(TBA_Matches_All[[#This Row],[stageStat]]="On",3,0),IF(TBA_Matches_All[[#This Row],[stageStat]]="Park",1,0),SUMIFS(TBA_Matches_All[[#This Row],[Spotlit]],TBA_Matches_All[[#This Row],[stageStat]],"On"),SUMIFS(TBA_Matches_All[[#This Row],[Harmony]],TBA_Matches_All[[#This Row],[stageStat]],"On"))</f>
        <v>3</v>
      </c>
      <c r="CX191" s="59">
        <f>IFERROR(TBA_Matches_All[[#This Row],[stageptsT]]/TBA_Matches_All[[#This Row],[StagePts]],0)</f>
        <v>0.5</v>
      </c>
      <c r="CY191">
        <f>SUM((TBA_Matches_All[[#This Row],[AptsT]]+TBA_Matches_All[[#This Row],[TampT]]+TBA_Matches_All[[#This Row],[TspkrptsC]]+(TBA_Matches_All[[#This Row],[TtrapT]]*5)+TBA_Matches_All[[#This Row],[stageptsT]]))</f>
        <v>22.272727272727273</v>
      </c>
      <c r="CZ191" s="59">
        <f>IFERROR(SUM(TBA_Matches_All[[#This Row],[TotptsC]]/TBA_Matches_All[[#This Row],[Score]]),0)</f>
        <v>0.42024013722126929</v>
      </c>
      <c r="DA19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7.5416666666666661</v>
      </c>
      <c r="DB191" s="74">
        <f>SUMIFS(TBA_Matches_All[AveTeamTNoteDels],TBA_Matches_All[Match_Number],TBA_Matches_All[[#This Row],[Match_Number]],TBA_Matches_All[Alliance],"&lt;&gt;"&amp;TBA_Matches_All[[#This Row],[Alliance]],TBA_Matches_All[Scouted],"&gt;0")</f>
        <v>25.408928571428568</v>
      </c>
      <c r="DC191" s="74">
        <f>(TBA_Matches_All[[#This Row],[TampT]]+TBA_Matches_All[[#This Row],[TspkrptsC]])-TBA_Matches_All[[#This Row],[AveTeamTNoteDels]]</f>
        <v>4.7310606060606073</v>
      </c>
      <c r="DD191" s="74">
        <f>SUMIFS(TBA_Matches_All[AveTeamTNoteDels],TBA_Matches_All[Match_Number],TBA_Matches_All[[#This Row],[Match_Number]],TBA_Matches_All[Alliance],"&lt;&gt;"&amp;TBA_Matches_All[[#This Row],[Alliance]])-TBA_Matches_All[[#This Row],[AveOppTNoteDels]]</f>
        <v>0</v>
      </c>
    </row>
    <row r="192" spans="1:108" x14ac:dyDescent="0.3">
      <c r="A192" t="s">
        <v>1042</v>
      </c>
      <c r="B192" t="s">
        <v>489</v>
      </c>
      <c r="C192" t="s">
        <v>1341</v>
      </c>
      <c r="D192">
        <v>32</v>
      </c>
      <c r="E192" t="s">
        <v>1406</v>
      </c>
      <c r="F192" t="s">
        <v>1424</v>
      </c>
      <c r="G192" t="s">
        <v>1409</v>
      </c>
      <c r="H192" t="s">
        <v>1277</v>
      </c>
      <c r="I192" t="b">
        <v>1</v>
      </c>
      <c r="J192">
        <v>65</v>
      </c>
      <c r="K192">
        <v>1</v>
      </c>
      <c r="L192">
        <v>0</v>
      </c>
      <c r="M192">
        <v>2</v>
      </c>
      <c r="N192">
        <v>0</v>
      </c>
      <c r="O192">
        <v>5</v>
      </c>
      <c r="P192">
        <v>25</v>
      </c>
      <c r="Q192">
        <v>29</v>
      </c>
      <c r="R192">
        <v>5</v>
      </c>
      <c r="S192">
        <v>2</v>
      </c>
      <c r="T192">
        <v>7</v>
      </c>
      <c r="U192">
        <v>10</v>
      </c>
      <c r="V192">
        <v>14</v>
      </c>
      <c r="W192">
        <v>9</v>
      </c>
      <c r="X192">
        <v>24</v>
      </c>
      <c r="Y192">
        <v>29</v>
      </c>
      <c r="Z192">
        <v>0</v>
      </c>
      <c r="AA192">
        <v>0</v>
      </c>
      <c r="AB192">
        <v>19</v>
      </c>
      <c r="AC192">
        <v>54</v>
      </c>
      <c r="AD192">
        <v>7</v>
      </c>
      <c r="AE192">
        <f>IFERROR(6/(COUNTIF(Dyno_EndMatch[Match],TBA_Matches_All[[#This Row],[Match_Number]])),0)</f>
        <v>1</v>
      </c>
      <c r="AF192">
        <f>COUNTIFS(Dyno_Data[Team],TBA_Matches_All[[#This Row],[Team]],Dyno_Data[Match],TBA_Matches_All[[#This Row],[Match_Number]],Dyno_Data[RecordType],"EndMatch",Dyno_Data[HPAmp],"Y")</f>
        <v>1</v>
      </c>
      <c r="AG192">
        <f>SUMIFS(Dyno_Data[Mics], Dyno_Data[Team],TBA_Matches_All[[#This Row],[Team]],Dyno_Data[Match],TBA_Matches_All[[#This Row],[Match_Number]],Dyno_Data[RecordType],"EndMatch",Dyno_Data[HPAmp],"Y")</f>
        <v>0</v>
      </c>
      <c r="AH192">
        <f>SUMIFS(Dyno_Data[Leave], Dyno_Data[Team],TBA_Matches_All[[#This Row],[Team]],Dyno_Data[Match],TBA_Matches_All[[#This Row],[Match_Number]],Dyno_Data[RecordType],"EndAuto")</f>
        <v>0</v>
      </c>
      <c r="AI192">
        <f>COUNTIFS(Dyno_Data[Team],TBA_Matches_All[[#This Row],[Team]],Dyno_Data[Match],TBA_Matches_All[[#This Row],[Match_Number]],Dyno_Data[RecordType],"Activities",Dyno_Data[DelDest],"Amp", Dyno_Data[DelMiss],"0", Dyno_Data[Mode],"Auto")</f>
        <v>0</v>
      </c>
      <c r="AJ192">
        <f>COUNTIFS(Dyno_Data[Team],TBA_Matches_All[[#This Row],[Team]],Dyno_Data[Match],TBA_Matches_All[[#This Row],[Match_Number]],Dyno_Data[RecordType],"Activities",Dyno_Data[DelDest],"Spkr", Dyno_Data[DelMiss],"0", Dyno_Data[Mode],"Auto")</f>
        <v>3</v>
      </c>
      <c r="AK192">
        <f>COUNTIFS(Dyno_Data[Team],TBA_Matches_All[[#This Row],[Team]],Dyno_Data[Match],TBA_Matches_All[[#This Row],[Match_Number]],Dyno_Data[RecordType],"Activities",Dyno_Data[DelDest],"Trap", Dyno_Data[DelMiss],"0", Dyno_Data[Mode],"Auto")</f>
        <v>0</v>
      </c>
      <c r="AL192">
        <f>COUNTIFS(Dyno_Data[Team],TBA_Matches_All[[#This Row],[Team]],Dyno_Data[Match],TBA_Matches_All[[#This Row],[Match_Number]],Dyno_Data[RecordType],"Activities",Dyno_Data[DelDest],"Amp", Dyno_Data[DelMiss],"0", Dyno_Data[Mode],"Teleop")</f>
        <v>1</v>
      </c>
      <c r="AM192">
        <f>COUNTIFS(Dyno_Data[Team],TBA_Matches_All[[#This Row],[Team]],Dyno_Data[Match],TBA_Matches_All[[#This Row],[Match_Number]],Dyno_Data[RecordType],"Activities",Dyno_Data[DelDest],"Spkr", Dyno_Data[DelMiss],"0", Dyno_Data[Mode],"Teleop")</f>
        <v>4</v>
      </c>
      <c r="AN192">
        <f>COUNTIFS(Dyno_Data[Team],TBA_Matches_All[[#This Row],[Team]],Dyno_Data[Match],TBA_Matches_All[[#This Row],[Match_Number]],Dyno_Data[RecordType],"Activities",Dyno_Data[DelDest],"Trap", Dyno_Data[DelMiss],"0", Dyno_Data[Mode],"&lt;&gt;Auto")</f>
        <v>0</v>
      </c>
      <c r="AO192">
        <f>SUM(TBA_Matches_All[[#This Row],[AampT]]+TBA_Matches_All[[#This Row],[AspkrT]]+TBA_Matches_All[[#This Row],[AtrapT]]+TBA_Matches_All[[#This Row],[TampT]]+TBA_Matches_All[[#This Row],[TspkrT]]+TBA_Matches_All[[#This Row],[TtrapT]])</f>
        <v>8</v>
      </c>
      <c r="AP192">
        <f>COUNTIFS(Dyno_Data[Team],TBA_Matches_All[[#This Row],[Team]],Dyno_Data[Match],TBA_Matches_All[[#This Row],[Match_Number]],Dyno_Data[RecordType],"Activities",Dyno_Data[DelDest],"Neut", Dyno_Data[DelMiss],"0")</f>
        <v>0</v>
      </c>
      <c r="AQ192">
        <f>COUNTIFS(Dyno_Data[Team],TBA_Matches_All[[#This Row],[Team]],Dyno_Data[Match],TBA_Matches_All[[#This Row],[Match_Number]],Dyno_Data[RecordType],"Activities",Dyno_Data[DelDest],"AllyW", Dyno_Data[DelMiss],"0")</f>
        <v>0</v>
      </c>
      <c r="AR192" t="str">
        <f>_xlfn.XLOOKUP(SUM(MID(TBA_Matches_All[[#This Row],[Team]],4,5),(TBA_Matches_All[[#This Row],[Match_Number]]/100)),Dyno_EndMatch[teammat],Dyno_EndMatch[RobotSta],"_",0,1)</f>
        <v>SubW</v>
      </c>
      <c r="AS192">
        <f>SUMIFS(Dyno_Data[AcqDis], Dyno_Data[Team],TBA_Matches_All[[#This Row],[Team]],Dyno_Data[Match],TBA_Matches_All[[#This Row],[Match_Number]],Dyno_Data[RecordType],"Activities", Dyno_Data[AcqCenter],1,Dyno_Data[Mode],"Auto")</f>
        <v>0</v>
      </c>
      <c r="AT192">
        <f>SUMIFS(Dyno_Data[AcqDis], Dyno_Data[Team],TBA_Matches_All[[#This Row],[Team]],Dyno_Data[Match],TBA_Matches_All[[#This Row],[Match_Number]],Dyno_Data[RecordType],"Activities", Dyno_Data[AcqCenter],2,Dyno_Data[Mode],"Auto")</f>
        <v>0</v>
      </c>
      <c r="AU192">
        <f>SUMIFS(Dyno_Data[AcqDis], Dyno_Data[Team],TBA_Matches_All[[#This Row],[Team]],Dyno_Data[Match],TBA_Matches_All[[#This Row],[Match_Number]],Dyno_Data[RecordType],"Activities", Dyno_Data[AcqCenter],3,Dyno_Data[Mode],"Auto")</f>
        <v>0</v>
      </c>
      <c r="AV192">
        <f>SUMIFS(Dyno_Data[AcqDis], Dyno_Data[Team],TBA_Matches_All[[#This Row],[Team]],Dyno_Data[Match],TBA_Matches_All[[#This Row],[Match_Number]],Dyno_Data[RecordType],"Activities", Dyno_Data[AcqCenter],4,Dyno_Data[Mode],"Auto")</f>
        <v>0</v>
      </c>
      <c r="AW192">
        <f>SUMIFS(Dyno_Data[AcqDis], Dyno_Data[Team],TBA_Matches_All[[#This Row],[Team]],Dyno_Data[Match],TBA_Matches_All[[#This Row],[Match_Number]],Dyno_Data[RecordType],"Activities", Dyno_Data[AcqCenter],5,Dyno_Data[Mode],"Auto")</f>
        <v>0</v>
      </c>
      <c r="AX192">
        <f>SUMIFS(Dyno_Data[DelMiss], Dyno_Data[Team],TBA_Matches_All[[#This Row],[Team]],Dyno_Data[Match],TBA_Matches_All[[#This Row],[Match_Number]],Dyno_Data[RecordType],"Activities", Dyno_Data[DelDest],"Amp")</f>
        <v>0</v>
      </c>
      <c r="AY192" s="60">
        <f>IFERROR(SUM((TBA_Matches_All[[#This Row],[AampT]]+TBA_Matches_All[[#This Row],[TampT]])/(TBA_Matches_All[[#This Row],[AampT]]+TBA_Matches_All[[#This Row],[TampT]]+TBA_Matches_All[[#This Row],[ampM]])),0)</f>
        <v>1</v>
      </c>
      <c r="AZ192">
        <f>SUMIFS(Dyno_Data[DelMiss], Dyno_Data[Team],TBA_Matches_All[[#This Row],[Team]],Dyno_Data[Match],TBA_Matches_All[[#This Row],[Match_Number]],Dyno_Data[RecordType],"Activities", Dyno_Data[DelDest],"Spkr")</f>
        <v>0</v>
      </c>
      <c r="BA192" s="60">
        <f>IFERROR(SUM((TBA_Matches_All[[#This Row],[AspkrT]]+TBA_Matches_All[[#This Row],[TspkrT]])/(TBA_Matches_All[[#This Row],[AspkrT]]+TBA_Matches_All[[#This Row],[TspkrT]]+TBA_Matches_All[[#This Row],[spkrM]])),0)</f>
        <v>1</v>
      </c>
      <c r="BB192">
        <f>SUMIFS(Dyno_Data[DelMiss], Dyno_Data[Team],TBA_Matches_All[[#This Row],[Team]],Dyno_Data[Match],TBA_Matches_All[[#This Row],[Match_Number]],Dyno_Data[RecordType],"Activities", Dyno_Data[DelDest],"Trap")</f>
        <v>0</v>
      </c>
      <c r="BC192" s="60">
        <f>IFERROR((TBA_Matches_All[[#This Row],[AtrapT]]+TBA_Matches_All[[#This Row],[TtrapT]])/(TBA_Matches_All[[#This Row],[AtrapT]]+TBA_Matches_All[[#This Row],[TtrapT]]+TBA_Matches_All[[#This Row],[trapM]]),0)</f>
        <v>0</v>
      </c>
      <c r="BD192">
        <f>COUNTIFS(Dyno_Data[Team],TBA_Matches_All[[#This Row],[Team]],Dyno_Data[Match],TBA_Matches_All[[#This Row],[Match_Number]],Dyno_Data[RecordType],"Activities",Dyno_Data[DelDest],"Neut", Dyno_Data[DelMiss],1)</f>
        <v>0</v>
      </c>
      <c r="BE192" s="60">
        <f>IFERROR(SUM((TBA_Matches_All[[#This Row],[NeutFlrT]])/(TBA_Matches_All[[#This Row],[NeutFlrT]]+TBA_Matches_All[[#This Row],[NZflM]])),0)</f>
        <v>0</v>
      </c>
      <c r="BF192">
        <f>COUNTIFS(Dyno_Data[Team],TBA_Matches_All[[#This Row],[Team]],Dyno_Data[Match],TBA_Matches_All[[#This Row],[Match_Number]],Dyno_Data[RecordType],"Activities",Dyno_Data[DelDest],"AllyW", Dyno_Data[DelMiss],1)</f>
        <v>0</v>
      </c>
      <c r="BG192" s="60">
        <f>IFERROR(SUM((TBA_Matches_All[[#This Row],[AllyWFlrT]])/(TBA_Matches_All[[#This Row],[AllyWFlrT]]+TBA_Matches_All[[#This Row],[AZflM]])),0)</f>
        <v>0</v>
      </c>
      <c r="BH192">
        <f>COUNTIFS(Dyno_Data[Team],TBA_Matches_All[[#This Row],[Team]],Dyno_Data[Match],TBA_Matches_All[[#This Row],[Match_Number]],Dyno_Data[RecordType],"Activities",Dyno_Data[DelOrig],"OppW", Dyno_Data[DelMiss],"0")</f>
        <v>0</v>
      </c>
      <c r="BI192">
        <f>COUNTIFS(Dyno_Data[Team],TBA_Matches_All[[#This Row],[Team]],Dyno_Data[Match],TBA_Matches_All[[#This Row],[Match_Number]],Dyno_Data[RecordType],"Activities",Dyno_Data[DelOrig],"OppW", Dyno_Data[DelMiss],"1")</f>
        <v>0</v>
      </c>
      <c r="BJ192" s="60">
        <f>IFERROR(SUM((TBA_Matches_All[[#This Row],[OZflrT]])/(TBA_Matches_All[[#This Row],[OZflrT]]+TBA_Matches_All[[#This Row],[OZflrM]])),0)</f>
        <v>0</v>
      </c>
      <c r="BK192">
        <f>COUNTIFS(Dyno_Data[Team],TBA_Matches_All[[#This Row],[Team]],Dyno_Data[Match],TBA_Matches_All[[#This Row],[Match_Number]],Dyno_Data[RecordType],"Activities",Dyno_Data[DelOrig],"Neut", Dyno_Data[DelMiss],"0")</f>
        <v>1</v>
      </c>
      <c r="BL192">
        <f>COUNTIFS(Dyno_Data[Team],TBA_Matches_All[[#This Row],[Team]],Dyno_Data[Match],TBA_Matches_All[[#This Row],[Match_Number]],Dyno_Data[RecordType],"Activities",Dyno_Data[DelOrig],"Neut", Dyno_Data[DelMiss],"1")</f>
        <v>0</v>
      </c>
      <c r="BM192" s="60">
        <f>IFERROR(SUM((TBA_Matches_All[[#This Row],[NZflrT]])/(TBA_Matches_All[[#This Row],[NZflrT]]+TBA_Matches_All[[#This Row],[NZflrM]])),0)</f>
        <v>1</v>
      </c>
      <c r="BN192">
        <f>COUNTIFS(Dyno_Data[Team],TBA_Matches_All[[#This Row],[Team]],Dyno_Data[Match],TBA_Matches_All[[#This Row],[Match_Number]],Dyno_Data[RecordType],"Activities",Dyno_Data[DelOrig],"AllyW", Dyno_Data[DelMiss],"0")</f>
        <v>5</v>
      </c>
      <c r="BO192">
        <f>COUNTIFS(Dyno_Data[Team],TBA_Matches_All[[#This Row],[Team]],Dyno_Data[Match],TBA_Matches_All[[#This Row],[Match_Number]],Dyno_Data[RecordType],"Activities",Dyno_Data[DelOrig],"AllyW", Dyno_Data[DelMiss],"1")</f>
        <v>0</v>
      </c>
      <c r="BP192" s="60">
        <f>IFERROR(SUM((TBA_Matches_All[[#This Row],[AZflrT]])/(TBA_Matches_All[[#This Row],[AZflrT]]+TBA_Matches_All[[#This Row],[AZflrM]])),0)</f>
        <v>1</v>
      </c>
      <c r="BQ192">
        <f>COUNTIFS(Dyno_Data[Team],TBA_Matches_All[[#This Row],[Team]],Dyno_Data[Match],TBA_Matches_All[[#This Row],[Match_Number]],Dyno_Data[RecordType],"Activities",Dyno_Data[DelOrig],"SubW", Dyno_Data[DelMiss],"0")</f>
        <v>2</v>
      </c>
      <c r="BR192">
        <f>COUNTIFS(Dyno_Data[Team],TBA_Matches_All[[#This Row],[Team]],Dyno_Data[Match],TBA_Matches_All[[#This Row],[Match_Number]],Dyno_Data[RecordType],"Activities",Dyno_Data[DelOrig],"SubW", Dyno_Data[DelMiss],"1")</f>
        <v>0</v>
      </c>
      <c r="BS192" s="60">
        <f>IFERROR(SUM((TBA_Matches_All[[#This Row],[SubwT]])/(TBA_Matches_All[[#This Row],[SubwT]]+TBA_Matches_All[[#This Row],[SubwM]])),0)</f>
        <v>1</v>
      </c>
      <c r="BT192">
        <f>COUNTIFS(Dyno_Data[Team],TBA_Matches_All[[#This Row],[Team]],Dyno_Data[Match],TBA_Matches_All[[#This Row],[Match_Number]],Dyno_Data[RecordType],"Activities", Dyno_Data[AcqLoc],"OppWing")</f>
        <v>0</v>
      </c>
      <c r="BU192">
        <f>COUNTIFS(Dyno_Data[Team],TBA_Matches_All[[#This Row],[Team]],Dyno_Data[Match],TBA_Matches_All[[#This Row],[Match_Number]],Dyno_Data[RecordType],"Activities", Dyno_Data[AcqLoc],"Neutral")</f>
        <v>0</v>
      </c>
      <c r="BV192">
        <f>COUNTIFS(Dyno_Data[Team],TBA_Matches_All[[#This Row],[Team]],Dyno_Data[Match],TBA_Matches_All[[#This Row],[Match_Number]],Dyno_Data[RecordType],"Activities", Dyno_Data[AcqLoc],"AllyWing")</f>
        <v>0</v>
      </c>
      <c r="BW192">
        <f>COUNTIFS(Dyno_Data[Team],TBA_Matches_All[[#This Row],[Team]],Dyno_Data[Match],TBA_Matches_All[[#This Row],[Match_Number]],Dyno_Data[RecordType],"Activities", Dyno_Data[AcqLoc],"Source")</f>
        <v>0</v>
      </c>
      <c r="BX192">
        <f>SUMIFS(Dyno_Data[AcqDrp], Dyno_Data[Team],TBA_Matches_All[[#This Row],[Team]],Dyno_Data[Match],TBA_Matches_All[[#This Row],[Match_Number]],Dyno_Data[RecordType],"Activities", Dyno_Data[AcqLoc],"Source")</f>
        <v>0</v>
      </c>
      <c r="BY192">
        <f>SUMIFS(Dyno_Data[OZTime], Dyno_Data[Team],TBA_Matches_All[[#This Row],[Team]],Dyno_Data[Match],TBA_Matches_All[[#This Row],[Match_Number]],Dyno_Data[RecordType],"EndMatch")</f>
        <v>29.8127107</v>
      </c>
      <c r="BZ192">
        <f>SUMIFS(Dyno_Data[NZTime], Dyno_Data[Team],TBA_Matches_All[[#This Row],[Team]],Dyno_Data[Match],TBA_Matches_All[[#This Row],[Match_Number]],Dyno_Data[RecordType],"EndMatch")</f>
        <v>28.553922999999998</v>
      </c>
      <c r="CA192">
        <f>SUMIFS(Dyno_Data[AZTime], Dyno_Data[Team],TBA_Matches_All[[#This Row],[Team]],Dyno_Data[Match],TBA_Matches_All[[#This Row],[Match_Number]],Dyno_Data[RecordType],"EndMatch")</f>
        <v>44.324375499999995</v>
      </c>
      <c r="CB192">
        <f>SUMIFS(Dyno_Data[ClimbT], Dyno_Data[Team],TBA_Matches_All[[#This Row],[Team]],Dyno_Data[Match],TBA_Matches_All[[#This Row],[Match_Number]],Dyno_Data[RecordType],"EndMatch")</f>
        <v>15.373867899999999</v>
      </c>
      <c r="CC192" t="str">
        <f>_xlfn.XLOOKUP(SUM(MID(TBA_Matches_All[[#This Row],[Team]],4,5),(TBA_Matches_All[[#This Row],[Match_Number]]/100)),Dyno_EndMatch[teammat],Dyno_EndMatch[StageStat],"_",0,1)</f>
        <v>On</v>
      </c>
      <c r="CD192" t="str">
        <f>_xlfn.XLOOKUP(TBA_Matches_All[[#This Row],[teammat]],Dyno_EndMatch[teammat],Dyno_EndMatch[StageAtt],"_",0,1)</f>
        <v>1</v>
      </c>
      <c r="CE192" t="str">
        <f>_xlfn.XLOOKUP(TBA_Matches_All[[#This Row],[teammat]],Dyno_EndMatch[teammat],Dyno_EndMatch[StageLoc],"_",0,1)</f>
        <v>L</v>
      </c>
      <c r="CF192">
        <f>SUMIFS(Dyno_Data[Harmony], Dyno_Data[Team],TBA_Matches_All[[#This Row],[Team]],Dyno_Data[Match],TBA_Matches_All[[#This Row],[Match_Number]],Dyno_Data[RecordType],"EndMatch", Dyno_Data[StageStat],"On",Dyno_Data[Harmony],"&lt;&gt;9")</f>
        <v>0</v>
      </c>
      <c r="CG192">
        <f>SUMIFS(Dyno_Data[Spotlit], Dyno_Data[Team],TBA_Matches_All[[#This Row],[Team]],Dyno_Data[Match],TBA_Matches_All[[#This Row],[Match_Number]],Dyno_Data[RecordType],"EndMatch", Dyno_Data[StageStat],"On",Dyno_Data[Spotlit],"&lt;&gt;9")</f>
        <v>0</v>
      </c>
      <c r="CH192" t="str">
        <f>_xlfn.XLOOKUP(TBA_Matches_All[[#This Row],[teammat]],Dyno_EndMatch[teammat],Dyno_EndMatch[Strategy],"_",0,1)</f>
        <v>Hybrid</v>
      </c>
      <c r="CI192">
        <f>SUMIFS(Dyno_Data[Defense], Dyno_Data[Team],TBA_Matches_All[[#This Row],[Team]],Dyno_Data[Match],TBA_Matches_All[[#This Row],[Match_Number]],Dyno_Data[RecordType],"EndMatch",Dyno_Data[Defense],"&lt;&gt;9")</f>
        <v>0</v>
      </c>
      <c r="CJ192">
        <f>SUMIFS(Dyno_Data[Avoidance], Dyno_Data[Team],TBA_Matches_All[[#This Row],[Team]],Dyno_Data[Match],TBA_Matches_All[[#This Row],[Match_Number]],Dyno_Data[RecordType],"EndMatch",Dyno_Data[Avoidance],"&lt;&gt;9")</f>
        <v>0</v>
      </c>
      <c r="CK192" s="82">
        <f>COUNTIF($H$2:TBA_Matches_All[[#This Row],[Team]],TBA_Matches_All[[#This Row],[Team]])</f>
        <v>4</v>
      </c>
      <c r="CL192" s="111">
        <f>SUM(MID(TBA_Matches_All[[#This Row],[Team]],4,5)+TBA_Matches_All[[#This Row],[Match_Number]]/100)</f>
        <v>3360.32</v>
      </c>
      <c r="CM192">
        <f>SUM((TBA_Matches_All[[#This Row],[Leave]]*2)+(TBA_Matches_All[[#This Row],[AampT]]*2)+(TBA_Matches_All[[#This Row],[AspkrT]]*5)+(TBA_Matches_All[[#This Row],[AtrapT]]*5))</f>
        <v>15</v>
      </c>
      <c r="CN192" s="59">
        <f>IFERROR(SUM(TBA_Matches_All[[#This Row],[AptsT]]/TBA_Matches_All[[#This Row],[AutoPts]]),0)</f>
        <v>0.51724137931034486</v>
      </c>
      <c r="CO192" s="59">
        <f>IFERROR(SUM(TBA_Matches_All[[#This Row],[AampT]]+TBA_Matches_All[[#This Row],[AspkrT]]+TBA_Matches_All[[#This Row],[AtrapT]]/TBA_Matches_All[[#This Row],[Aamp]]+TBA_Matches_All[[#This Row],[Aspkr]]+TBA_Matches_All[[#This Row],[AtrapT]]),0)</f>
        <v>0</v>
      </c>
      <c r="CP192" s="59">
        <f>IFERROR(SUM(TBA_Matches_All[[#This Row],[TampT]]/TBA_Matches_All[[#This Row],[Tamp]]),0)</f>
        <v>0.2</v>
      </c>
      <c r="CQ192" s="59">
        <f>IFERROR(SUM(TBA_Matches_All[[#This Row],[TspkrT]]/TBA_Matches_All[[#This Row],[Tspkr]]),0)</f>
        <v>0.44444444444444442</v>
      </c>
      <c r="CR192">
        <f>SUM(TBA_Matches_All[[#This Row],[TspkrPts]]*TBA_Matches_All[[#This Row],[TspkrP]])</f>
        <v>10.666666666666666</v>
      </c>
      <c r="CS192" s="59">
        <f>IFERROR(SUM(TBA_Matches_All[[#This Row],[TtrapT]]/TBA_Matches_All[[#This Row],[Trap]]),0)</f>
        <v>0</v>
      </c>
      <c r="CT192" s="59">
        <f>IFERROR(SUM(TBA_Matches_All[[#This Row],[TotNotesT]]/TBA_Matches_All[[#This Row],[TotNotes]]),0)</f>
        <v>0.42105263157894735</v>
      </c>
      <c r="CU192" s="66">
        <f>SUM((TBA_Matches_All[[#This Row],[AampT]]*2)+(TBA_Matches_All[[#This Row],[AspkrT]]*5)+(TBA_Matches_All[[#This Row],[AtrapT]]*5)+(TBA_Matches_All[[#This Row],[TampT]]*1)+(TBA_Matches_All[[#This Row],[TspkrptsC]]))</f>
        <v>26.666666666666664</v>
      </c>
      <c r="CV192" s="59">
        <f>IFERROR(TBA_Matches_All[[#This Row],[noteptsT]]/TBA_Matches_All[[#This Row],[NotePts]],0)</f>
        <v>0.49382716049382713</v>
      </c>
      <c r="CW192">
        <f>SUM(IF(TBA_Matches_All[[#This Row],[stageStat]]="On",3,0),IF(TBA_Matches_All[[#This Row],[stageStat]]="Park",1,0),SUMIFS(TBA_Matches_All[[#This Row],[Spotlit]],TBA_Matches_All[[#This Row],[stageStat]],"On"),SUMIFS(TBA_Matches_All[[#This Row],[Harmony]],TBA_Matches_All[[#This Row],[stageStat]],"On"))</f>
        <v>3</v>
      </c>
      <c r="CX192" s="59">
        <f>IFERROR(TBA_Matches_All[[#This Row],[stageptsT]]/TBA_Matches_All[[#This Row],[StagePts]],0)</f>
        <v>0.42857142857142855</v>
      </c>
      <c r="CY192">
        <f>SUM((TBA_Matches_All[[#This Row],[AptsT]]+TBA_Matches_All[[#This Row],[TampT]]+TBA_Matches_All[[#This Row],[TspkrptsC]]+(TBA_Matches_All[[#This Row],[TtrapT]]*5)+TBA_Matches_All[[#This Row],[stageptsT]]))</f>
        <v>29.666666666666664</v>
      </c>
      <c r="CZ192" s="59">
        <f>IFERROR(SUM(TBA_Matches_All[[#This Row],[TotptsC]]/TBA_Matches_All[[#This Row],[Score]]),0)</f>
        <v>0.4564102564102564</v>
      </c>
      <c r="DA19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11.299999999999999</v>
      </c>
      <c r="DB192" s="74">
        <f>SUMIFS(TBA_Matches_All[AveTeamTNoteDels],TBA_Matches_All[Match_Number],TBA_Matches_All[[#This Row],[Match_Number]],TBA_Matches_All[Alliance],"&lt;&gt;"&amp;TBA_Matches_All[[#This Row],[Alliance]],TBA_Matches_All[Scouted],"&gt;0")</f>
        <v>29.453506493506492</v>
      </c>
      <c r="DC192" s="74">
        <f>(TBA_Matches_All[[#This Row],[TampT]]+TBA_Matches_All[[#This Row],[TspkrptsC]])-TBA_Matches_All[[#This Row],[AveTeamTNoteDels]]</f>
        <v>0.36666666666666714</v>
      </c>
      <c r="DD192" s="74">
        <f>SUMIFS(TBA_Matches_All[AveTeamTNoteDels],TBA_Matches_All[Match_Number],TBA_Matches_All[[#This Row],[Match_Number]],TBA_Matches_All[Alliance],"&lt;&gt;"&amp;TBA_Matches_All[[#This Row],[Alliance]])-TBA_Matches_All[[#This Row],[AveOppTNoteDels]]</f>
        <v>0</v>
      </c>
    </row>
    <row r="193" spans="1:108" x14ac:dyDescent="0.3">
      <c r="A193" t="s">
        <v>1042</v>
      </c>
      <c r="B193" t="s">
        <v>489</v>
      </c>
      <c r="C193" t="s">
        <v>1341</v>
      </c>
      <c r="D193">
        <v>32</v>
      </c>
      <c r="E193" t="s">
        <v>1420</v>
      </c>
      <c r="F193" t="s">
        <v>1425</v>
      </c>
      <c r="G193" t="s">
        <v>105</v>
      </c>
      <c r="H193" t="s">
        <v>1295</v>
      </c>
      <c r="I193" t="b">
        <v>1</v>
      </c>
      <c r="J193">
        <v>53</v>
      </c>
      <c r="K193">
        <v>1</v>
      </c>
      <c r="L193">
        <v>0</v>
      </c>
      <c r="M193">
        <v>0</v>
      </c>
      <c r="N193">
        <v>0</v>
      </c>
      <c r="O193">
        <v>1</v>
      </c>
      <c r="P193">
        <v>5</v>
      </c>
      <c r="Q193">
        <v>11</v>
      </c>
      <c r="R193">
        <v>3</v>
      </c>
      <c r="S193">
        <v>3</v>
      </c>
      <c r="T193">
        <v>8</v>
      </c>
      <c r="U193">
        <v>15</v>
      </c>
      <c r="V193">
        <v>16</v>
      </c>
      <c r="W193">
        <v>11</v>
      </c>
      <c r="X193">
        <v>31</v>
      </c>
      <c r="Y193">
        <v>34</v>
      </c>
      <c r="Z193">
        <v>0</v>
      </c>
      <c r="AA193">
        <v>0</v>
      </c>
      <c r="AB193">
        <v>15</v>
      </c>
      <c r="AC193">
        <v>39</v>
      </c>
      <c r="AD193">
        <v>6</v>
      </c>
      <c r="AE193">
        <f>IFERROR(6/(COUNTIF(Dyno_EndMatch[Match],TBA_Matches_All[[#This Row],[Match_Number]])),0)</f>
        <v>1</v>
      </c>
      <c r="AF193">
        <f>COUNTIFS(Dyno_Data[Team],TBA_Matches_All[[#This Row],[Team]],Dyno_Data[Match],TBA_Matches_All[[#This Row],[Match_Number]],Dyno_Data[RecordType],"EndMatch",Dyno_Data[HPAmp],"Y")</f>
        <v>0</v>
      </c>
      <c r="AG193">
        <f>SUMIFS(Dyno_Data[Mics], Dyno_Data[Team],TBA_Matches_All[[#This Row],[Team]],Dyno_Data[Match],TBA_Matches_All[[#This Row],[Match_Number]],Dyno_Data[RecordType],"EndMatch",Dyno_Data[HPAmp],"Y")</f>
        <v>0</v>
      </c>
      <c r="AH193">
        <f>SUMIFS(Dyno_Data[Leave], Dyno_Data[Team],TBA_Matches_All[[#This Row],[Team]],Dyno_Data[Match],TBA_Matches_All[[#This Row],[Match_Number]],Dyno_Data[RecordType],"EndAuto")</f>
        <v>1</v>
      </c>
      <c r="AI193">
        <f>COUNTIFS(Dyno_Data[Team],TBA_Matches_All[[#This Row],[Team]],Dyno_Data[Match],TBA_Matches_All[[#This Row],[Match_Number]],Dyno_Data[RecordType],"Activities",Dyno_Data[DelDest],"Amp", Dyno_Data[DelMiss],"0", Dyno_Data[Mode],"Auto")</f>
        <v>0</v>
      </c>
      <c r="AJ193">
        <f>COUNTIFS(Dyno_Data[Team],TBA_Matches_All[[#This Row],[Team]],Dyno_Data[Match],TBA_Matches_All[[#This Row],[Match_Number]],Dyno_Data[RecordType],"Activities",Dyno_Data[DelDest],"Spkr", Dyno_Data[DelMiss],"0", Dyno_Data[Mode],"Auto")</f>
        <v>0</v>
      </c>
      <c r="AK193">
        <f>COUNTIFS(Dyno_Data[Team],TBA_Matches_All[[#This Row],[Team]],Dyno_Data[Match],TBA_Matches_All[[#This Row],[Match_Number]],Dyno_Data[RecordType],"Activities",Dyno_Data[DelDest],"Trap", Dyno_Data[DelMiss],"0", Dyno_Data[Mode],"Auto")</f>
        <v>0</v>
      </c>
      <c r="AL193">
        <f>COUNTIFS(Dyno_Data[Team],TBA_Matches_All[[#This Row],[Team]],Dyno_Data[Match],TBA_Matches_All[[#This Row],[Match_Number]],Dyno_Data[RecordType],"Activities",Dyno_Data[DelDest],"Amp", Dyno_Data[DelMiss],"0", Dyno_Data[Mode],"Teleop")</f>
        <v>2</v>
      </c>
      <c r="AM193">
        <f>COUNTIFS(Dyno_Data[Team],TBA_Matches_All[[#This Row],[Team]],Dyno_Data[Match],TBA_Matches_All[[#This Row],[Match_Number]],Dyno_Data[RecordType],"Activities",Dyno_Data[DelDest],"Spkr", Dyno_Data[DelMiss],"0", Dyno_Data[Mode],"Teleop")</f>
        <v>5</v>
      </c>
      <c r="AN193">
        <f>COUNTIFS(Dyno_Data[Team],TBA_Matches_All[[#This Row],[Team]],Dyno_Data[Match],TBA_Matches_All[[#This Row],[Match_Number]],Dyno_Data[RecordType],"Activities",Dyno_Data[DelDest],"Trap", Dyno_Data[DelMiss],"0", Dyno_Data[Mode],"&lt;&gt;Auto")</f>
        <v>0</v>
      </c>
      <c r="AO193">
        <f>SUM(TBA_Matches_All[[#This Row],[AampT]]+TBA_Matches_All[[#This Row],[AspkrT]]+TBA_Matches_All[[#This Row],[AtrapT]]+TBA_Matches_All[[#This Row],[TampT]]+TBA_Matches_All[[#This Row],[TspkrT]]+TBA_Matches_All[[#This Row],[TtrapT]])</f>
        <v>7</v>
      </c>
      <c r="AP193">
        <f>COUNTIFS(Dyno_Data[Team],TBA_Matches_All[[#This Row],[Team]],Dyno_Data[Match],TBA_Matches_All[[#This Row],[Match_Number]],Dyno_Data[RecordType],"Activities",Dyno_Data[DelDest],"Neut", Dyno_Data[DelMiss],"0")</f>
        <v>0</v>
      </c>
      <c r="AQ193">
        <f>COUNTIFS(Dyno_Data[Team],TBA_Matches_All[[#This Row],[Team]],Dyno_Data[Match],TBA_Matches_All[[#This Row],[Match_Number]],Dyno_Data[RecordType],"Activities",Dyno_Data[DelDest],"AllyW", Dyno_Data[DelMiss],"0")</f>
        <v>0</v>
      </c>
      <c r="AR193" t="str">
        <f>_xlfn.XLOOKUP(SUM(MID(TBA_Matches_All[[#This Row],[Team]],4,5),(TBA_Matches_All[[#This Row],[Match_Number]]/100)),Dyno_EndMatch[teammat],Dyno_EndMatch[RobotSta],"_",0,1)</f>
        <v>Amp</v>
      </c>
      <c r="AS193">
        <f>SUMIFS(Dyno_Data[AcqDis], Dyno_Data[Team],TBA_Matches_All[[#This Row],[Team]],Dyno_Data[Match],TBA_Matches_All[[#This Row],[Match_Number]],Dyno_Data[RecordType],"Activities", Dyno_Data[AcqCenter],1,Dyno_Data[Mode],"Auto")</f>
        <v>0</v>
      </c>
      <c r="AT193">
        <f>SUMIFS(Dyno_Data[AcqDis], Dyno_Data[Team],TBA_Matches_All[[#This Row],[Team]],Dyno_Data[Match],TBA_Matches_All[[#This Row],[Match_Number]],Dyno_Data[RecordType],"Activities", Dyno_Data[AcqCenter],2,Dyno_Data[Mode],"Auto")</f>
        <v>1</v>
      </c>
      <c r="AU193">
        <f>SUMIFS(Dyno_Data[AcqDis], Dyno_Data[Team],TBA_Matches_All[[#This Row],[Team]],Dyno_Data[Match],TBA_Matches_All[[#This Row],[Match_Number]],Dyno_Data[RecordType],"Activities", Dyno_Data[AcqCenter],3,Dyno_Data[Mode],"Auto")</f>
        <v>0</v>
      </c>
      <c r="AV193">
        <f>SUMIFS(Dyno_Data[AcqDis], Dyno_Data[Team],TBA_Matches_All[[#This Row],[Team]],Dyno_Data[Match],TBA_Matches_All[[#This Row],[Match_Number]],Dyno_Data[RecordType],"Activities", Dyno_Data[AcqCenter],4,Dyno_Data[Mode],"Auto")</f>
        <v>0</v>
      </c>
      <c r="AW193">
        <f>SUMIFS(Dyno_Data[AcqDis], Dyno_Data[Team],TBA_Matches_All[[#This Row],[Team]],Dyno_Data[Match],TBA_Matches_All[[#This Row],[Match_Number]],Dyno_Data[RecordType],"Activities", Dyno_Data[AcqCenter],5,Dyno_Data[Mode],"Auto")</f>
        <v>0</v>
      </c>
      <c r="AX193">
        <f>SUMIFS(Dyno_Data[DelMiss], Dyno_Data[Team],TBA_Matches_All[[#This Row],[Team]],Dyno_Data[Match],TBA_Matches_All[[#This Row],[Match_Number]],Dyno_Data[RecordType],"Activities", Dyno_Data[DelDest],"Amp")</f>
        <v>0</v>
      </c>
      <c r="AY193" s="60">
        <f>IFERROR(SUM((TBA_Matches_All[[#This Row],[AampT]]+TBA_Matches_All[[#This Row],[TampT]])/(TBA_Matches_All[[#This Row],[AampT]]+TBA_Matches_All[[#This Row],[TampT]]+TBA_Matches_All[[#This Row],[ampM]])),0)</f>
        <v>1</v>
      </c>
      <c r="AZ193">
        <f>SUMIFS(Dyno_Data[DelMiss], Dyno_Data[Team],TBA_Matches_All[[#This Row],[Team]],Dyno_Data[Match],TBA_Matches_All[[#This Row],[Match_Number]],Dyno_Data[RecordType],"Activities", Dyno_Data[DelDest],"Spkr")</f>
        <v>6</v>
      </c>
      <c r="BA193" s="60">
        <f>IFERROR(SUM((TBA_Matches_All[[#This Row],[AspkrT]]+TBA_Matches_All[[#This Row],[TspkrT]])/(TBA_Matches_All[[#This Row],[AspkrT]]+TBA_Matches_All[[#This Row],[TspkrT]]+TBA_Matches_All[[#This Row],[spkrM]])),0)</f>
        <v>0.45454545454545453</v>
      </c>
      <c r="BB193">
        <f>SUMIFS(Dyno_Data[DelMiss], Dyno_Data[Team],TBA_Matches_All[[#This Row],[Team]],Dyno_Data[Match],TBA_Matches_All[[#This Row],[Match_Number]],Dyno_Data[RecordType],"Activities", Dyno_Data[DelDest],"Trap")</f>
        <v>0</v>
      </c>
      <c r="BC193" s="60">
        <f>IFERROR((TBA_Matches_All[[#This Row],[AtrapT]]+TBA_Matches_All[[#This Row],[TtrapT]])/(TBA_Matches_All[[#This Row],[AtrapT]]+TBA_Matches_All[[#This Row],[TtrapT]]+TBA_Matches_All[[#This Row],[trapM]]),0)</f>
        <v>0</v>
      </c>
      <c r="BD193">
        <f>COUNTIFS(Dyno_Data[Team],TBA_Matches_All[[#This Row],[Team]],Dyno_Data[Match],TBA_Matches_All[[#This Row],[Match_Number]],Dyno_Data[RecordType],"Activities",Dyno_Data[DelDest],"Neut", Dyno_Data[DelMiss],1)</f>
        <v>0</v>
      </c>
      <c r="BE193" s="60">
        <f>IFERROR(SUM((TBA_Matches_All[[#This Row],[NeutFlrT]])/(TBA_Matches_All[[#This Row],[NeutFlrT]]+TBA_Matches_All[[#This Row],[NZflM]])),0)</f>
        <v>0</v>
      </c>
      <c r="BF193">
        <f>COUNTIFS(Dyno_Data[Team],TBA_Matches_All[[#This Row],[Team]],Dyno_Data[Match],TBA_Matches_All[[#This Row],[Match_Number]],Dyno_Data[RecordType],"Activities",Dyno_Data[DelDest],"AllyW", Dyno_Data[DelMiss],1)</f>
        <v>0</v>
      </c>
      <c r="BG193" s="60">
        <f>IFERROR(SUM((TBA_Matches_All[[#This Row],[AllyWFlrT]])/(TBA_Matches_All[[#This Row],[AllyWFlrT]]+TBA_Matches_All[[#This Row],[AZflM]])),0)</f>
        <v>0</v>
      </c>
      <c r="BH193">
        <f>COUNTIFS(Dyno_Data[Team],TBA_Matches_All[[#This Row],[Team]],Dyno_Data[Match],TBA_Matches_All[[#This Row],[Match_Number]],Dyno_Data[RecordType],"Activities",Dyno_Data[DelOrig],"OppW", Dyno_Data[DelMiss],"0")</f>
        <v>0</v>
      </c>
      <c r="BI193">
        <f>COUNTIFS(Dyno_Data[Team],TBA_Matches_All[[#This Row],[Team]],Dyno_Data[Match],TBA_Matches_All[[#This Row],[Match_Number]],Dyno_Data[RecordType],"Activities",Dyno_Data[DelOrig],"OppW", Dyno_Data[DelMiss],"1")</f>
        <v>0</v>
      </c>
      <c r="BJ193" s="60">
        <f>IFERROR(SUM((TBA_Matches_All[[#This Row],[OZflrT]])/(TBA_Matches_All[[#This Row],[OZflrT]]+TBA_Matches_All[[#This Row],[OZflrM]])),0)</f>
        <v>0</v>
      </c>
      <c r="BK193">
        <f>COUNTIFS(Dyno_Data[Team],TBA_Matches_All[[#This Row],[Team]],Dyno_Data[Match],TBA_Matches_All[[#This Row],[Match_Number]],Dyno_Data[RecordType],"Activities",Dyno_Data[DelOrig],"Neut", Dyno_Data[DelMiss],"0")</f>
        <v>0</v>
      </c>
      <c r="BL193">
        <f>COUNTIFS(Dyno_Data[Team],TBA_Matches_All[[#This Row],[Team]],Dyno_Data[Match],TBA_Matches_All[[#This Row],[Match_Number]],Dyno_Data[RecordType],"Activities",Dyno_Data[DelOrig],"Neut", Dyno_Data[DelMiss],"1")</f>
        <v>0</v>
      </c>
      <c r="BM193" s="60">
        <f>IFERROR(SUM((TBA_Matches_All[[#This Row],[NZflrT]])/(TBA_Matches_All[[#This Row],[NZflrT]]+TBA_Matches_All[[#This Row],[NZflrM]])),0)</f>
        <v>0</v>
      </c>
      <c r="BN193">
        <f>COUNTIFS(Dyno_Data[Team],TBA_Matches_All[[#This Row],[Team]],Dyno_Data[Match],TBA_Matches_All[[#This Row],[Match_Number]],Dyno_Data[RecordType],"Activities",Dyno_Data[DelOrig],"AllyW", Dyno_Data[DelMiss],"0")</f>
        <v>6</v>
      </c>
      <c r="BO193">
        <f>COUNTIFS(Dyno_Data[Team],TBA_Matches_All[[#This Row],[Team]],Dyno_Data[Match],TBA_Matches_All[[#This Row],[Match_Number]],Dyno_Data[RecordType],"Activities",Dyno_Data[DelOrig],"AllyW", Dyno_Data[DelMiss],"1")</f>
        <v>6</v>
      </c>
      <c r="BP193" s="60">
        <f>IFERROR(SUM((TBA_Matches_All[[#This Row],[AZflrT]])/(TBA_Matches_All[[#This Row],[AZflrT]]+TBA_Matches_All[[#This Row],[AZflrM]])),0)</f>
        <v>0.5</v>
      </c>
      <c r="BQ193">
        <f>COUNTIFS(Dyno_Data[Team],TBA_Matches_All[[#This Row],[Team]],Dyno_Data[Match],TBA_Matches_All[[#This Row],[Match_Number]],Dyno_Data[RecordType],"Activities",Dyno_Data[DelOrig],"SubW", Dyno_Data[DelMiss],"0")</f>
        <v>1</v>
      </c>
      <c r="BR193">
        <f>COUNTIFS(Dyno_Data[Team],TBA_Matches_All[[#This Row],[Team]],Dyno_Data[Match],TBA_Matches_All[[#This Row],[Match_Number]],Dyno_Data[RecordType],"Activities",Dyno_Data[DelOrig],"SubW", Dyno_Data[DelMiss],"1")</f>
        <v>0</v>
      </c>
      <c r="BS193" s="60">
        <f>IFERROR(SUM((TBA_Matches_All[[#This Row],[SubwT]])/(TBA_Matches_All[[#This Row],[SubwT]]+TBA_Matches_All[[#This Row],[SubwM]])),0)</f>
        <v>1</v>
      </c>
      <c r="BT193">
        <f>COUNTIFS(Dyno_Data[Team],TBA_Matches_All[[#This Row],[Team]],Dyno_Data[Match],TBA_Matches_All[[#This Row],[Match_Number]],Dyno_Data[RecordType],"Activities", Dyno_Data[AcqLoc],"OppWing")</f>
        <v>0</v>
      </c>
      <c r="BU193">
        <f>COUNTIFS(Dyno_Data[Team],TBA_Matches_All[[#This Row],[Team]],Dyno_Data[Match],TBA_Matches_All[[#This Row],[Match_Number]],Dyno_Data[RecordType],"Activities", Dyno_Data[AcqLoc],"Neutral")</f>
        <v>2</v>
      </c>
      <c r="BV193">
        <f>COUNTIFS(Dyno_Data[Team],TBA_Matches_All[[#This Row],[Team]],Dyno_Data[Match],TBA_Matches_All[[#This Row],[Match_Number]],Dyno_Data[RecordType],"Activities", Dyno_Data[AcqLoc],"AllyWing")</f>
        <v>0</v>
      </c>
      <c r="BW193">
        <f>COUNTIFS(Dyno_Data[Team],TBA_Matches_All[[#This Row],[Team]],Dyno_Data[Match],TBA_Matches_All[[#This Row],[Match_Number]],Dyno_Data[RecordType],"Activities", Dyno_Data[AcqLoc],"Source")</f>
        <v>0</v>
      </c>
      <c r="BX193">
        <f>SUMIFS(Dyno_Data[AcqDrp], Dyno_Data[Team],TBA_Matches_All[[#This Row],[Team]],Dyno_Data[Match],TBA_Matches_All[[#This Row],[Match_Number]],Dyno_Data[RecordType],"Activities", Dyno_Data[AcqLoc],"Source")</f>
        <v>0</v>
      </c>
      <c r="BY193">
        <f>SUMIFS(Dyno_Data[OZTime], Dyno_Data[Team],TBA_Matches_All[[#This Row],[Team]],Dyno_Data[Match],TBA_Matches_All[[#This Row],[Match_Number]],Dyno_Data[RecordType],"EndMatch")</f>
        <v>32.222245100000002</v>
      </c>
      <c r="BZ193">
        <f>SUMIFS(Dyno_Data[NZTime], Dyno_Data[Team],TBA_Matches_All[[#This Row],[Team]],Dyno_Data[Match],TBA_Matches_All[[#This Row],[Match_Number]],Dyno_Data[RecordType],"EndMatch")</f>
        <v>18.896991699999997</v>
      </c>
      <c r="CA193">
        <f>SUMIFS(Dyno_Data[AZTime], Dyno_Data[Team],TBA_Matches_All[[#This Row],[Team]],Dyno_Data[Match],TBA_Matches_All[[#This Row],[Match_Number]],Dyno_Data[RecordType],"EndMatch")</f>
        <v>62.743969499999999</v>
      </c>
      <c r="CB193">
        <f>SUMIFS(Dyno_Data[ClimbT], Dyno_Data[Team],TBA_Matches_All[[#This Row],[Team]],Dyno_Data[Match],TBA_Matches_All[[#This Row],[Match_Number]],Dyno_Data[RecordType],"EndMatch")</f>
        <v>2.9993422999999999</v>
      </c>
      <c r="CC193" t="str">
        <f>_xlfn.XLOOKUP(SUM(MID(TBA_Matches_All[[#This Row],[Team]],4,5),(TBA_Matches_All[[#This Row],[Match_Number]]/100)),Dyno_EndMatch[teammat],Dyno_EndMatch[StageStat],"_",0,1)</f>
        <v>On</v>
      </c>
      <c r="CD193" t="str">
        <f>_xlfn.XLOOKUP(TBA_Matches_All[[#This Row],[teammat]],Dyno_EndMatch[teammat],Dyno_EndMatch[StageAtt],"_",0,1)</f>
        <v>1</v>
      </c>
      <c r="CE193" t="str">
        <f>_xlfn.XLOOKUP(TBA_Matches_All[[#This Row],[teammat]],Dyno_EndMatch[teammat],Dyno_EndMatch[StageLoc],"_",0,1)</f>
        <v>C</v>
      </c>
      <c r="CF193">
        <f>SUMIFS(Dyno_Data[Harmony], Dyno_Data[Team],TBA_Matches_All[[#This Row],[Team]],Dyno_Data[Match],TBA_Matches_All[[#This Row],[Match_Number]],Dyno_Data[RecordType],"EndMatch", Dyno_Data[StageStat],"On",Dyno_Data[Harmony],"&lt;&gt;9")</f>
        <v>0</v>
      </c>
      <c r="CG193">
        <f>SUMIFS(Dyno_Data[Spotlit], Dyno_Data[Team],TBA_Matches_All[[#This Row],[Team]],Dyno_Data[Match],TBA_Matches_All[[#This Row],[Match_Number]],Dyno_Data[RecordType],"EndMatch", Dyno_Data[StageStat],"On",Dyno_Data[Spotlit],"&lt;&gt;9")</f>
        <v>0</v>
      </c>
      <c r="CH193" t="str">
        <f>_xlfn.XLOOKUP(TBA_Matches_All[[#This Row],[teammat]],Dyno_EndMatch[teammat],Dyno_EndMatch[Strategy],"_",0,1)</f>
        <v>Hybrid</v>
      </c>
      <c r="CI193">
        <f>SUMIFS(Dyno_Data[Defense], Dyno_Data[Team],TBA_Matches_All[[#This Row],[Team]],Dyno_Data[Match],TBA_Matches_All[[#This Row],[Match_Number]],Dyno_Data[RecordType],"EndMatch",Dyno_Data[Defense],"&lt;&gt;9")</f>
        <v>0</v>
      </c>
      <c r="CJ193">
        <f>SUMIFS(Dyno_Data[Avoidance], Dyno_Data[Team],TBA_Matches_All[[#This Row],[Team]],Dyno_Data[Match],TBA_Matches_All[[#This Row],[Match_Number]],Dyno_Data[RecordType],"EndMatch",Dyno_Data[Avoidance],"&lt;&gt;9")</f>
        <v>0</v>
      </c>
      <c r="CK193" s="82">
        <f>COUNTIF($H$2:TBA_Matches_All[[#This Row],[Team]],TBA_Matches_All[[#This Row],[Team]])</f>
        <v>4</v>
      </c>
      <c r="CL193" s="111">
        <f>SUM(MID(TBA_Matches_All[[#This Row],[Team]],4,5)+TBA_Matches_All[[#This Row],[Match_Number]]/100)</f>
        <v>6300.32</v>
      </c>
      <c r="CM193">
        <f>SUM((TBA_Matches_All[[#This Row],[Leave]]*2)+(TBA_Matches_All[[#This Row],[AampT]]*2)+(TBA_Matches_All[[#This Row],[AspkrT]]*5)+(TBA_Matches_All[[#This Row],[AtrapT]]*5))</f>
        <v>2</v>
      </c>
      <c r="CN193" s="59">
        <f>IFERROR(SUM(TBA_Matches_All[[#This Row],[AptsT]]/TBA_Matches_All[[#This Row],[AutoPts]]),0)</f>
        <v>0.18181818181818182</v>
      </c>
      <c r="CO193" s="59">
        <f>IFERROR(SUM(TBA_Matches_All[[#This Row],[AampT]]+TBA_Matches_All[[#This Row],[AspkrT]]+TBA_Matches_All[[#This Row],[AtrapT]]/TBA_Matches_All[[#This Row],[Aamp]]+TBA_Matches_All[[#This Row],[Aspkr]]+TBA_Matches_All[[#This Row],[AtrapT]]),0)</f>
        <v>0</v>
      </c>
      <c r="CP193" s="59">
        <f>IFERROR(SUM(TBA_Matches_All[[#This Row],[TampT]]/TBA_Matches_All[[#This Row],[Tamp]]),0)</f>
        <v>0.66666666666666663</v>
      </c>
      <c r="CQ193" s="59">
        <f>IFERROR(SUM(TBA_Matches_All[[#This Row],[TspkrT]]/TBA_Matches_All[[#This Row],[Tspkr]]),0)</f>
        <v>0.45454545454545453</v>
      </c>
      <c r="CR193">
        <f>SUM(TBA_Matches_All[[#This Row],[TspkrPts]]*TBA_Matches_All[[#This Row],[TspkrP]])</f>
        <v>14.09090909090909</v>
      </c>
      <c r="CS193" s="59">
        <f>IFERROR(SUM(TBA_Matches_All[[#This Row],[TtrapT]]/TBA_Matches_All[[#This Row],[Trap]]),0)</f>
        <v>0</v>
      </c>
      <c r="CT193" s="59">
        <f>IFERROR(SUM(TBA_Matches_All[[#This Row],[TotNotesT]]/TBA_Matches_All[[#This Row],[TotNotes]]),0)</f>
        <v>0.46666666666666667</v>
      </c>
      <c r="CU193" s="66">
        <f>SUM((TBA_Matches_All[[#This Row],[AampT]]*2)+(TBA_Matches_All[[#This Row],[AspkrT]]*5)+(TBA_Matches_All[[#This Row],[AtrapT]]*5)+(TBA_Matches_All[[#This Row],[TampT]]*1)+(TBA_Matches_All[[#This Row],[TspkrptsC]]))</f>
        <v>16.09090909090909</v>
      </c>
      <c r="CV193" s="59">
        <f>IFERROR(TBA_Matches_All[[#This Row],[noteptsT]]/TBA_Matches_All[[#This Row],[NotePts]],0)</f>
        <v>0.41258741258741255</v>
      </c>
      <c r="CW193">
        <f>SUM(IF(TBA_Matches_All[[#This Row],[stageStat]]="On",3,0),IF(TBA_Matches_All[[#This Row],[stageStat]]="Park",1,0),SUMIFS(TBA_Matches_All[[#This Row],[Spotlit]],TBA_Matches_All[[#This Row],[stageStat]],"On"),SUMIFS(TBA_Matches_All[[#This Row],[Harmony]],TBA_Matches_All[[#This Row],[stageStat]],"On"))</f>
        <v>3</v>
      </c>
      <c r="CX193" s="59">
        <f>IFERROR(TBA_Matches_All[[#This Row],[stageptsT]]/TBA_Matches_All[[#This Row],[StagePts]],0)</f>
        <v>0.5</v>
      </c>
      <c r="CY193">
        <f>SUM((TBA_Matches_All[[#This Row],[AptsT]]+TBA_Matches_All[[#This Row],[TampT]]+TBA_Matches_All[[#This Row],[TspkrptsC]]+(TBA_Matches_All[[#This Row],[TtrapT]]*5)+TBA_Matches_All[[#This Row],[stageptsT]]))</f>
        <v>21.09090909090909</v>
      </c>
      <c r="CZ193" s="59">
        <f>IFERROR(SUM(TBA_Matches_All[[#This Row],[TotptsC]]/TBA_Matches_All[[#This Row],[Score]]),0)</f>
        <v>0.39794168096054888</v>
      </c>
      <c r="DA19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17.046839826839825</v>
      </c>
      <c r="DB193" s="74">
        <f>SUMIFS(TBA_Matches_All[AveTeamTNoteDels],TBA_Matches_All[Match_Number],TBA_Matches_All[[#This Row],[Match_Number]],TBA_Matches_All[Alliance],"&lt;&gt;"&amp;TBA_Matches_All[[#This Row],[Alliance]],TBA_Matches_All[Scouted],"&gt;0")</f>
        <v>25.408928571428568</v>
      </c>
      <c r="DC193" s="74">
        <f>(TBA_Matches_All[[#This Row],[TampT]]+TBA_Matches_All[[#This Row],[TspkrptsC]])-TBA_Matches_All[[#This Row],[AveTeamTNoteDels]]</f>
        <v>-0.95593073593073541</v>
      </c>
      <c r="DD193" s="74">
        <f>SUMIFS(TBA_Matches_All[AveTeamTNoteDels],TBA_Matches_All[Match_Number],TBA_Matches_All[[#This Row],[Match_Number]],TBA_Matches_All[Alliance],"&lt;&gt;"&amp;TBA_Matches_All[[#This Row],[Alliance]])-TBA_Matches_All[[#This Row],[AveOppTNoteDels]]</f>
        <v>0</v>
      </c>
    </row>
    <row r="194" spans="1:108" x14ac:dyDescent="0.3">
      <c r="A194" t="s">
        <v>1042</v>
      </c>
      <c r="B194" t="s">
        <v>489</v>
      </c>
      <c r="C194" t="s">
        <v>1341</v>
      </c>
      <c r="D194">
        <v>32</v>
      </c>
      <c r="E194" t="s">
        <v>1406</v>
      </c>
      <c r="F194" t="s">
        <v>1426</v>
      </c>
      <c r="G194" t="s">
        <v>164</v>
      </c>
      <c r="H194" t="s">
        <v>372</v>
      </c>
      <c r="I194" t="b">
        <v>1</v>
      </c>
      <c r="J194">
        <v>65</v>
      </c>
      <c r="K194">
        <v>1</v>
      </c>
      <c r="L194">
        <v>0</v>
      </c>
      <c r="M194">
        <v>2</v>
      </c>
      <c r="N194">
        <v>0</v>
      </c>
      <c r="O194">
        <v>5</v>
      </c>
      <c r="P194">
        <v>25</v>
      </c>
      <c r="Q194">
        <v>29</v>
      </c>
      <c r="R194">
        <v>5</v>
      </c>
      <c r="S194">
        <v>2</v>
      </c>
      <c r="T194">
        <v>7</v>
      </c>
      <c r="U194">
        <v>10</v>
      </c>
      <c r="V194">
        <v>14</v>
      </c>
      <c r="W194">
        <v>9</v>
      </c>
      <c r="X194">
        <v>24</v>
      </c>
      <c r="Y194">
        <v>29</v>
      </c>
      <c r="Z194">
        <v>0</v>
      </c>
      <c r="AA194">
        <v>0</v>
      </c>
      <c r="AB194">
        <v>19</v>
      </c>
      <c r="AC194">
        <v>54</v>
      </c>
      <c r="AD194">
        <v>7</v>
      </c>
      <c r="AE194">
        <f>IFERROR(6/(COUNTIF(Dyno_EndMatch[Match],TBA_Matches_All[[#This Row],[Match_Number]])),0)</f>
        <v>1</v>
      </c>
      <c r="AF194">
        <f>COUNTIFS(Dyno_Data[Team],TBA_Matches_All[[#This Row],[Team]],Dyno_Data[Match],TBA_Matches_All[[#This Row],[Match_Number]],Dyno_Data[RecordType],"EndMatch",Dyno_Data[HPAmp],"Y")</f>
        <v>0</v>
      </c>
      <c r="AG194">
        <f>SUMIFS(Dyno_Data[Mics], Dyno_Data[Team],TBA_Matches_All[[#This Row],[Team]],Dyno_Data[Match],TBA_Matches_All[[#This Row],[Match_Number]],Dyno_Data[RecordType],"EndMatch",Dyno_Data[HPAmp],"Y")</f>
        <v>0</v>
      </c>
      <c r="AH194">
        <f>SUMIFS(Dyno_Data[Leave], Dyno_Data[Team],TBA_Matches_All[[#This Row],[Team]],Dyno_Data[Match],TBA_Matches_All[[#This Row],[Match_Number]],Dyno_Data[RecordType],"EndAuto")</f>
        <v>0</v>
      </c>
      <c r="AI194">
        <f>COUNTIFS(Dyno_Data[Team],TBA_Matches_All[[#This Row],[Team]],Dyno_Data[Match],TBA_Matches_All[[#This Row],[Match_Number]],Dyno_Data[RecordType],"Activities",Dyno_Data[DelDest],"Amp", Dyno_Data[DelMiss],"0", Dyno_Data[Mode],"Auto")</f>
        <v>0</v>
      </c>
      <c r="AJ194">
        <f>COUNTIFS(Dyno_Data[Team],TBA_Matches_All[[#This Row],[Team]],Dyno_Data[Match],TBA_Matches_All[[#This Row],[Match_Number]],Dyno_Data[RecordType],"Activities",Dyno_Data[DelDest],"Spkr", Dyno_Data[DelMiss],"0", Dyno_Data[Mode],"Auto")</f>
        <v>1</v>
      </c>
      <c r="AK194">
        <f>COUNTIFS(Dyno_Data[Team],TBA_Matches_All[[#This Row],[Team]],Dyno_Data[Match],TBA_Matches_All[[#This Row],[Match_Number]],Dyno_Data[RecordType],"Activities",Dyno_Data[DelDest],"Trap", Dyno_Data[DelMiss],"0", Dyno_Data[Mode],"Auto")</f>
        <v>0</v>
      </c>
      <c r="AL194">
        <f>COUNTIFS(Dyno_Data[Team],TBA_Matches_All[[#This Row],[Team]],Dyno_Data[Match],TBA_Matches_All[[#This Row],[Match_Number]],Dyno_Data[RecordType],"Activities",Dyno_Data[DelDest],"Amp", Dyno_Data[DelMiss],"0", Dyno_Data[Mode],"Teleop")</f>
        <v>4</v>
      </c>
      <c r="AM194">
        <f>COUNTIFS(Dyno_Data[Team],TBA_Matches_All[[#This Row],[Team]],Dyno_Data[Match],TBA_Matches_All[[#This Row],[Match_Number]],Dyno_Data[RecordType],"Activities",Dyno_Data[DelDest],"Spkr", Dyno_Data[DelMiss],"0", Dyno_Data[Mode],"Teleop")</f>
        <v>0</v>
      </c>
      <c r="AN194">
        <f>COUNTIFS(Dyno_Data[Team],TBA_Matches_All[[#This Row],[Team]],Dyno_Data[Match],TBA_Matches_All[[#This Row],[Match_Number]],Dyno_Data[RecordType],"Activities",Dyno_Data[DelDest],"Trap", Dyno_Data[DelMiss],"0", Dyno_Data[Mode],"&lt;&gt;Auto")</f>
        <v>0</v>
      </c>
      <c r="AO194">
        <f>SUM(TBA_Matches_All[[#This Row],[AampT]]+TBA_Matches_All[[#This Row],[AspkrT]]+TBA_Matches_All[[#This Row],[AtrapT]]+TBA_Matches_All[[#This Row],[TampT]]+TBA_Matches_All[[#This Row],[TspkrT]]+TBA_Matches_All[[#This Row],[TtrapT]])</f>
        <v>5</v>
      </c>
      <c r="AP194">
        <f>COUNTIFS(Dyno_Data[Team],TBA_Matches_All[[#This Row],[Team]],Dyno_Data[Match],TBA_Matches_All[[#This Row],[Match_Number]],Dyno_Data[RecordType],"Activities",Dyno_Data[DelDest],"Neut", Dyno_Data[DelMiss],"0")</f>
        <v>0</v>
      </c>
      <c r="AQ194">
        <f>COUNTIFS(Dyno_Data[Team],TBA_Matches_All[[#This Row],[Team]],Dyno_Data[Match],TBA_Matches_All[[#This Row],[Match_Number]],Dyno_Data[RecordType],"Activities",Dyno_Data[DelDest],"AllyW", Dyno_Data[DelMiss],"0")</f>
        <v>0</v>
      </c>
      <c r="AR194" t="str">
        <f>_xlfn.XLOOKUP(SUM(MID(TBA_Matches_All[[#This Row],[Team]],4,5),(TBA_Matches_All[[#This Row],[Match_Number]]/100)),Dyno_EndMatch[teammat],Dyno_EndMatch[RobotSta],"_",0,1)</f>
        <v>Amp</v>
      </c>
      <c r="AS194">
        <f>SUMIFS(Dyno_Data[AcqDis], Dyno_Data[Team],TBA_Matches_All[[#This Row],[Team]],Dyno_Data[Match],TBA_Matches_All[[#This Row],[Match_Number]],Dyno_Data[RecordType],"Activities", Dyno_Data[AcqCenter],1,Dyno_Data[Mode],"Auto")</f>
        <v>0</v>
      </c>
      <c r="AT194">
        <f>SUMIFS(Dyno_Data[AcqDis], Dyno_Data[Team],TBA_Matches_All[[#This Row],[Team]],Dyno_Data[Match],TBA_Matches_All[[#This Row],[Match_Number]],Dyno_Data[RecordType],"Activities", Dyno_Data[AcqCenter],2,Dyno_Data[Mode],"Auto")</f>
        <v>0</v>
      </c>
      <c r="AU194">
        <f>SUMIFS(Dyno_Data[AcqDis], Dyno_Data[Team],TBA_Matches_All[[#This Row],[Team]],Dyno_Data[Match],TBA_Matches_All[[#This Row],[Match_Number]],Dyno_Data[RecordType],"Activities", Dyno_Data[AcqCenter],3,Dyno_Data[Mode],"Auto")</f>
        <v>0</v>
      </c>
      <c r="AV194">
        <f>SUMIFS(Dyno_Data[AcqDis], Dyno_Data[Team],TBA_Matches_All[[#This Row],[Team]],Dyno_Data[Match],TBA_Matches_All[[#This Row],[Match_Number]],Dyno_Data[RecordType],"Activities", Dyno_Data[AcqCenter],4,Dyno_Data[Mode],"Auto")</f>
        <v>0</v>
      </c>
      <c r="AW194">
        <f>SUMIFS(Dyno_Data[AcqDis], Dyno_Data[Team],TBA_Matches_All[[#This Row],[Team]],Dyno_Data[Match],TBA_Matches_All[[#This Row],[Match_Number]],Dyno_Data[RecordType],"Activities", Dyno_Data[AcqCenter],5,Dyno_Data[Mode],"Auto")</f>
        <v>0</v>
      </c>
      <c r="AX194">
        <f>SUMIFS(Dyno_Data[DelMiss], Dyno_Data[Team],TBA_Matches_All[[#This Row],[Team]],Dyno_Data[Match],TBA_Matches_All[[#This Row],[Match_Number]],Dyno_Data[RecordType],"Activities", Dyno_Data[DelDest],"Amp")</f>
        <v>0</v>
      </c>
      <c r="AY194" s="60">
        <f>IFERROR(SUM((TBA_Matches_All[[#This Row],[AampT]]+TBA_Matches_All[[#This Row],[TampT]])/(TBA_Matches_All[[#This Row],[AampT]]+TBA_Matches_All[[#This Row],[TampT]]+TBA_Matches_All[[#This Row],[ampM]])),0)</f>
        <v>1</v>
      </c>
      <c r="AZ194">
        <f>SUMIFS(Dyno_Data[DelMiss], Dyno_Data[Team],TBA_Matches_All[[#This Row],[Team]],Dyno_Data[Match],TBA_Matches_All[[#This Row],[Match_Number]],Dyno_Data[RecordType],"Activities", Dyno_Data[DelDest],"Spkr")</f>
        <v>0</v>
      </c>
      <c r="BA194" s="60">
        <f>IFERROR(SUM((TBA_Matches_All[[#This Row],[AspkrT]]+TBA_Matches_All[[#This Row],[TspkrT]])/(TBA_Matches_All[[#This Row],[AspkrT]]+TBA_Matches_All[[#This Row],[TspkrT]]+TBA_Matches_All[[#This Row],[spkrM]])),0)</f>
        <v>1</v>
      </c>
      <c r="BB194">
        <f>SUMIFS(Dyno_Data[DelMiss], Dyno_Data[Team],TBA_Matches_All[[#This Row],[Team]],Dyno_Data[Match],TBA_Matches_All[[#This Row],[Match_Number]],Dyno_Data[RecordType],"Activities", Dyno_Data[DelDest],"Trap")</f>
        <v>0</v>
      </c>
      <c r="BC194" s="60">
        <f>IFERROR((TBA_Matches_All[[#This Row],[AtrapT]]+TBA_Matches_All[[#This Row],[TtrapT]])/(TBA_Matches_All[[#This Row],[AtrapT]]+TBA_Matches_All[[#This Row],[TtrapT]]+TBA_Matches_All[[#This Row],[trapM]]),0)</f>
        <v>0</v>
      </c>
      <c r="BD194">
        <f>COUNTIFS(Dyno_Data[Team],TBA_Matches_All[[#This Row],[Team]],Dyno_Data[Match],TBA_Matches_All[[#This Row],[Match_Number]],Dyno_Data[RecordType],"Activities",Dyno_Data[DelDest],"Neut", Dyno_Data[DelMiss],1)</f>
        <v>0</v>
      </c>
      <c r="BE194" s="60">
        <f>IFERROR(SUM((TBA_Matches_All[[#This Row],[NeutFlrT]])/(TBA_Matches_All[[#This Row],[NeutFlrT]]+TBA_Matches_All[[#This Row],[NZflM]])),0)</f>
        <v>0</v>
      </c>
      <c r="BF194">
        <f>COUNTIFS(Dyno_Data[Team],TBA_Matches_All[[#This Row],[Team]],Dyno_Data[Match],TBA_Matches_All[[#This Row],[Match_Number]],Dyno_Data[RecordType],"Activities",Dyno_Data[DelDest],"AllyW", Dyno_Data[DelMiss],1)</f>
        <v>0</v>
      </c>
      <c r="BG194" s="60">
        <f>IFERROR(SUM((TBA_Matches_All[[#This Row],[AllyWFlrT]])/(TBA_Matches_All[[#This Row],[AllyWFlrT]]+TBA_Matches_All[[#This Row],[AZflM]])),0)</f>
        <v>0</v>
      </c>
      <c r="BH194">
        <f>COUNTIFS(Dyno_Data[Team],TBA_Matches_All[[#This Row],[Team]],Dyno_Data[Match],TBA_Matches_All[[#This Row],[Match_Number]],Dyno_Data[RecordType],"Activities",Dyno_Data[DelOrig],"OppW", Dyno_Data[DelMiss],"0")</f>
        <v>0</v>
      </c>
      <c r="BI194">
        <f>COUNTIFS(Dyno_Data[Team],TBA_Matches_All[[#This Row],[Team]],Dyno_Data[Match],TBA_Matches_All[[#This Row],[Match_Number]],Dyno_Data[RecordType],"Activities",Dyno_Data[DelOrig],"OppW", Dyno_Data[DelMiss],"1")</f>
        <v>0</v>
      </c>
      <c r="BJ194" s="60">
        <f>IFERROR(SUM((TBA_Matches_All[[#This Row],[OZflrT]])/(TBA_Matches_All[[#This Row],[OZflrT]]+TBA_Matches_All[[#This Row],[OZflrM]])),0)</f>
        <v>0</v>
      </c>
      <c r="BK194">
        <f>COUNTIFS(Dyno_Data[Team],TBA_Matches_All[[#This Row],[Team]],Dyno_Data[Match],TBA_Matches_All[[#This Row],[Match_Number]],Dyno_Data[RecordType],"Activities",Dyno_Data[DelOrig],"Neut", Dyno_Data[DelMiss],"0")</f>
        <v>0</v>
      </c>
      <c r="BL194">
        <f>COUNTIFS(Dyno_Data[Team],TBA_Matches_All[[#This Row],[Team]],Dyno_Data[Match],TBA_Matches_All[[#This Row],[Match_Number]],Dyno_Data[RecordType],"Activities",Dyno_Data[DelOrig],"Neut", Dyno_Data[DelMiss],"1")</f>
        <v>0</v>
      </c>
      <c r="BM194" s="60">
        <f>IFERROR(SUM((TBA_Matches_All[[#This Row],[NZflrT]])/(TBA_Matches_All[[#This Row],[NZflrT]]+TBA_Matches_All[[#This Row],[NZflrM]])),0)</f>
        <v>0</v>
      </c>
      <c r="BN194">
        <f>COUNTIFS(Dyno_Data[Team],TBA_Matches_All[[#This Row],[Team]],Dyno_Data[Match],TBA_Matches_All[[#This Row],[Match_Number]],Dyno_Data[RecordType],"Activities",Dyno_Data[DelOrig],"AllyW", Dyno_Data[DelMiss],"0")</f>
        <v>4</v>
      </c>
      <c r="BO194">
        <f>COUNTIFS(Dyno_Data[Team],TBA_Matches_All[[#This Row],[Team]],Dyno_Data[Match],TBA_Matches_All[[#This Row],[Match_Number]],Dyno_Data[RecordType],"Activities",Dyno_Data[DelOrig],"AllyW", Dyno_Data[DelMiss],"1")</f>
        <v>0</v>
      </c>
      <c r="BP194" s="60">
        <f>IFERROR(SUM((TBA_Matches_All[[#This Row],[AZflrT]])/(TBA_Matches_All[[#This Row],[AZflrT]]+TBA_Matches_All[[#This Row],[AZflrM]])),0)</f>
        <v>1</v>
      </c>
      <c r="BQ194">
        <f>COUNTIFS(Dyno_Data[Team],TBA_Matches_All[[#This Row],[Team]],Dyno_Data[Match],TBA_Matches_All[[#This Row],[Match_Number]],Dyno_Data[RecordType],"Activities",Dyno_Data[DelOrig],"SubW", Dyno_Data[DelMiss],"0")</f>
        <v>1</v>
      </c>
      <c r="BR194">
        <f>COUNTIFS(Dyno_Data[Team],TBA_Matches_All[[#This Row],[Team]],Dyno_Data[Match],TBA_Matches_All[[#This Row],[Match_Number]],Dyno_Data[RecordType],"Activities",Dyno_Data[DelOrig],"SubW", Dyno_Data[DelMiss],"1")</f>
        <v>0</v>
      </c>
      <c r="BS194" s="60">
        <f>IFERROR(SUM((TBA_Matches_All[[#This Row],[SubwT]])/(TBA_Matches_All[[#This Row],[SubwT]]+TBA_Matches_All[[#This Row],[SubwM]])),0)</f>
        <v>1</v>
      </c>
      <c r="BT194">
        <f>COUNTIFS(Dyno_Data[Team],TBA_Matches_All[[#This Row],[Team]],Dyno_Data[Match],TBA_Matches_All[[#This Row],[Match_Number]],Dyno_Data[RecordType],"Activities", Dyno_Data[AcqLoc],"OppWing")</f>
        <v>0</v>
      </c>
      <c r="BU194">
        <f>COUNTIFS(Dyno_Data[Team],TBA_Matches_All[[#This Row],[Team]],Dyno_Data[Match],TBA_Matches_All[[#This Row],[Match_Number]],Dyno_Data[RecordType],"Activities", Dyno_Data[AcqLoc],"Neutral")</f>
        <v>0</v>
      </c>
      <c r="BV194">
        <f>COUNTIFS(Dyno_Data[Team],TBA_Matches_All[[#This Row],[Team]],Dyno_Data[Match],TBA_Matches_All[[#This Row],[Match_Number]],Dyno_Data[RecordType],"Activities", Dyno_Data[AcqLoc],"AllyWing")</f>
        <v>0</v>
      </c>
      <c r="BW194">
        <f>COUNTIFS(Dyno_Data[Team],TBA_Matches_All[[#This Row],[Team]],Dyno_Data[Match],TBA_Matches_All[[#This Row],[Match_Number]],Dyno_Data[RecordType],"Activities", Dyno_Data[AcqLoc],"Source")</f>
        <v>0</v>
      </c>
      <c r="BX194">
        <f>SUMIFS(Dyno_Data[AcqDrp], Dyno_Data[Team],TBA_Matches_All[[#This Row],[Team]],Dyno_Data[Match],TBA_Matches_All[[#This Row],[Match_Number]],Dyno_Data[RecordType],"Activities", Dyno_Data[AcqLoc],"Source")</f>
        <v>0</v>
      </c>
      <c r="BY194">
        <f>SUMIFS(Dyno_Data[OZTime], Dyno_Data[Team],TBA_Matches_All[[#This Row],[Team]],Dyno_Data[Match],TBA_Matches_All[[#This Row],[Match_Number]],Dyno_Data[RecordType],"EndMatch")</f>
        <v>14.0303176</v>
      </c>
      <c r="BZ194">
        <f>SUMIFS(Dyno_Data[NZTime], Dyno_Data[Team],TBA_Matches_All[[#This Row],[Team]],Dyno_Data[Match],TBA_Matches_All[[#This Row],[Match_Number]],Dyno_Data[RecordType],"EndMatch")</f>
        <v>27.6851141</v>
      </c>
      <c r="CA194">
        <f>SUMIFS(Dyno_Data[AZTime], Dyno_Data[Team],TBA_Matches_All[[#This Row],[Team]],Dyno_Data[Match],TBA_Matches_All[[#This Row],[Match_Number]],Dyno_Data[RecordType],"EndMatch")</f>
        <v>64.021109600000003</v>
      </c>
      <c r="CB194">
        <f>SUMIFS(Dyno_Data[ClimbT], Dyno_Data[Team],TBA_Matches_All[[#This Row],[Team]],Dyno_Data[Match],TBA_Matches_All[[#This Row],[Match_Number]],Dyno_Data[RecordType],"EndMatch")</f>
        <v>10.257351399999999</v>
      </c>
      <c r="CC194" t="str">
        <f>_xlfn.XLOOKUP(SUM(MID(TBA_Matches_All[[#This Row],[Team]],4,5),(TBA_Matches_All[[#This Row],[Match_Number]]/100)),Dyno_EndMatch[teammat],Dyno_EndMatch[StageStat],"_",0,1)</f>
        <v>On</v>
      </c>
      <c r="CD194" t="str">
        <f>_xlfn.XLOOKUP(TBA_Matches_All[[#This Row],[teammat]],Dyno_EndMatch[teammat],Dyno_EndMatch[StageAtt],"_",0,1)</f>
        <v>1</v>
      </c>
      <c r="CE194" t="str">
        <f>_xlfn.XLOOKUP(TBA_Matches_All[[#This Row],[teammat]],Dyno_EndMatch[teammat],Dyno_EndMatch[StageLoc],"_",0,1)</f>
        <v>R</v>
      </c>
      <c r="CF194">
        <f>SUMIFS(Dyno_Data[Harmony], Dyno_Data[Team],TBA_Matches_All[[#This Row],[Team]],Dyno_Data[Match],TBA_Matches_All[[#This Row],[Match_Number]],Dyno_Data[RecordType],"EndMatch", Dyno_Data[StageStat],"On",Dyno_Data[Harmony],"&lt;&gt;9")</f>
        <v>0</v>
      </c>
      <c r="CG194">
        <f>SUMIFS(Dyno_Data[Spotlit], Dyno_Data[Team],TBA_Matches_All[[#This Row],[Team]],Dyno_Data[Match],TBA_Matches_All[[#This Row],[Match_Number]],Dyno_Data[RecordType],"EndMatch", Dyno_Data[StageStat],"On",Dyno_Data[Spotlit],"&lt;&gt;9")</f>
        <v>0</v>
      </c>
      <c r="CH194" t="str">
        <f>_xlfn.XLOOKUP(TBA_Matches_All[[#This Row],[teammat]],Dyno_EndMatch[teammat],Dyno_EndMatch[Strategy],"_",0,1)</f>
        <v>Hybrid</v>
      </c>
      <c r="CI194">
        <f>SUMIFS(Dyno_Data[Defense], Dyno_Data[Team],TBA_Matches_All[[#This Row],[Team]],Dyno_Data[Match],TBA_Matches_All[[#This Row],[Match_Number]],Dyno_Data[RecordType],"EndMatch",Dyno_Data[Defense],"&lt;&gt;9")</f>
        <v>0</v>
      </c>
      <c r="CJ194">
        <f>SUMIFS(Dyno_Data[Avoidance], Dyno_Data[Team],TBA_Matches_All[[#This Row],[Team]],Dyno_Data[Match],TBA_Matches_All[[#This Row],[Match_Number]],Dyno_Data[RecordType],"EndMatch",Dyno_Data[Avoidance],"&lt;&gt;9")</f>
        <v>2</v>
      </c>
      <c r="CK194" s="82">
        <f>COUNTIF($H$2:TBA_Matches_All[[#This Row],[Team]],TBA_Matches_All[[#This Row],[Team]])</f>
        <v>4</v>
      </c>
      <c r="CL194" s="111">
        <f>SUM(MID(TBA_Matches_All[[#This Row],[Team]],4,5)+TBA_Matches_All[[#This Row],[Match_Number]]/100)</f>
        <v>7504.32</v>
      </c>
      <c r="CM194">
        <f>SUM((TBA_Matches_All[[#This Row],[Leave]]*2)+(TBA_Matches_All[[#This Row],[AampT]]*2)+(TBA_Matches_All[[#This Row],[AspkrT]]*5)+(TBA_Matches_All[[#This Row],[AtrapT]]*5))</f>
        <v>5</v>
      </c>
      <c r="CN194" s="59">
        <f>IFERROR(SUM(TBA_Matches_All[[#This Row],[AptsT]]/TBA_Matches_All[[#This Row],[AutoPts]]),0)</f>
        <v>0.17241379310344829</v>
      </c>
      <c r="CO194" s="59">
        <f>IFERROR(SUM(TBA_Matches_All[[#This Row],[AampT]]+TBA_Matches_All[[#This Row],[AspkrT]]+TBA_Matches_All[[#This Row],[AtrapT]]/TBA_Matches_All[[#This Row],[Aamp]]+TBA_Matches_All[[#This Row],[Aspkr]]+TBA_Matches_All[[#This Row],[AtrapT]]),0)</f>
        <v>0</v>
      </c>
      <c r="CP194" s="59">
        <f>IFERROR(SUM(TBA_Matches_All[[#This Row],[TampT]]/TBA_Matches_All[[#This Row],[Tamp]]),0)</f>
        <v>0.8</v>
      </c>
      <c r="CQ194" s="59">
        <f>IFERROR(SUM(TBA_Matches_All[[#This Row],[TspkrT]]/TBA_Matches_All[[#This Row],[Tspkr]]),0)</f>
        <v>0</v>
      </c>
      <c r="CR194">
        <f>SUM(TBA_Matches_All[[#This Row],[TspkrPts]]*TBA_Matches_All[[#This Row],[TspkrP]])</f>
        <v>0</v>
      </c>
      <c r="CS194" s="59">
        <f>IFERROR(SUM(TBA_Matches_All[[#This Row],[TtrapT]]/TBA_Matches_All[[#This Row],[Trap]]),0)</f>
        <v>0</v>
      </c>
      <c r="CT194" s="59">
        <f>IFERROR(SUM(TBA_Matches_All[[#This Row],[TotNotesT]]/TBA_Matches_All[[#This Row],[TotNotes]]),0)</f>
        <v>0.26315789473684209</v>
      </c>
      <c r="CU194" s="66">
        <f>SUM((TBA_Matches_All[[#This Row],[AampT]]*2)+(TBA_Matches_All[[#This Row],[AspkrT]]*5)+(TBA_Matches_All[[#This Row],[AtrapT]]*5)+(TBA_Matches_All[[#This Row],[TampT]]*1)+(TBA_Matches_All[[#This Row],[TspkrptsC]]))</f>
        <v>9</v>
      </c>
      <c r="CV194" s="59">
        <f>IFERROR(TBA_Matches_All[[#This Row],[noteptsT]]/TBA_Matches_All[[#This Row],[NotePts]],0)</f>
        <v>0.16666666666666666</v>
      </c>
      <c r="CW194">
        <f>SUM(IF(TBA_Matches_All[[#This Row],[stageStat]]="On",3,0),IF(TBA_Matches_All[[#This Row],[stageStat]]="Park",1,0),SUMIFS(TBA_Matches_All[[#This Row],[Spotlit]],TBA_Matches_All[[#This Row],[stageStat]],"On"),SUMIFS(TBA_Matches_All[[#This Row],[Harmony]],TBA_Matches_All[[#This Row],[stageStat]],"On"))</f>
        <v>3</v>
      </c>
      <c r="CX194" s="59">
        <f>IFERROR(TBA_Matches_All[[#This Row],[stageptsT]]/TBA_Matches_All[[#This Row],[StagePts]],0)</f>
        <v>0.42857142857142855</v>
      </c>
      <c r="CY194">
        <f>SUM((TBA_Matches_All[[#This Row],[AptsT]]+TBA_Matches_All[[#This Row],[TampT]]+TBA_Matches_All[[#This Row],[TspkrptsC]]+(TBA_Matches_All[[#This Row],[TtrapT]]*5)+TBA_Matches_All[[#This Row],[stageptsT]]))</f>
        <v>12</v>
      </c>
      <c r="CZ194" s="59">
        <f>IFERROR(SUM(TBA_Matches_All[[#This Row],[TotptsC]]/TBA_Matches_All[[#This Row],[Score]]),0)</f>
        <v>0.18461538461538463</v>
      </c>
      <c r="DA19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10.508928571428571</v>
      </c>
      <c r="DB194" s="74">
        <f>SUMIFS(TBA_Matches_All[AveTeamTNoteDels],TBA_Matches_All[Match_Number],TBA_Matches_All[[#This Row],[Match_Number]],TBA_Matches_All[Alliance],"&lt;&gt;"&amp;TBA_Matches_All[[#This Row],[Alliance]],TBA_Matches_All[Scouted],"&gt;0")</f>
        <v>29.453506493506492</v>
      </c>
      <c r="DC194" s="74">
        <f>(TBA_Matches_All[[#This Row],[TampT]]+TBA_Matches_All[[#This Row],[TspkrptsC]])-TBA_Matches_All[[#This Row],[AveTeamTNoteDels]]</f>
        <v>-6.5089285714285712</v>
      </c>
      <c r="DD194" s="74">
        <f>SUMIFS(TBA_Matches_All[AveTeamTNoteDels],TBA_Matches_All[Match_Number],TBA_Matches_All[[#This Row],[Match_Number]],TBA_Matches_All[Alliance],"&lt;&gt;"&amp;TBA_Matches_All[[#This Row],[Alliance]])-TBA_Matches_All[[#This Row],[AveOppTNoteDels]]</f>
        <v>0</v>
      </c>
    </row>
    <row r="195" spans="1:108" x14ac:dyDescent="0.3">
      <c r="A195" t="s">
        <v>1042</v>
      </c>
      <c r="B195" t="s">
        <v>489</v>
      </c>
      <c r="C195" t="s">
        <v>1342</v>
      </c>
      <c r="D195">
        <v>33</v>
      </c>
      <c r="E195" t="s">
        <v>1420</v>
      </c>
      <c r="F195" t="s">
        <v>1421</v>
      </c>
      <c r="G195" t="s">
        <v>164</v>
      </c>
      <c r="H195" t="s">
        <v>1310</v>
      </c>
      <c r="I195" t="b">
        <v>1</v>
      </c>
      <c r="J195">
        <v>33</v>
      </c>
      <c r="K195">
        <v>0</v>
      </c>
      <c r="L195">
        <v>0</v>
      </c>
      <c r="M195">
        <v>10</v>
      </c>
      <c r="N195">
        <v>0</v>
      </c>
      <c r="O195">
        <v>2</v>
      </c>
      <c r="P195">
        <v>10</v>
      </c>
      <c r="Q195">
        <v>14</v>
      </c>
      <c r="R195">
        <v>2</v>
      </c>
      <c r="S195">
        <v>0</v>
      </c>
      <c r="T195">
        <v>6</v>
      </c>
      <c r="U195">
        <v>0</v>
      </c>
      <c r="V195">
        <v>12</v>
      </c>
      <c r="W195">
        <v>6</v>
      </c>
      <c r="X195">
        <v>12</v>
      </c>
      <c r="Y195">
        <v>14</v>
      </c>
      <c r="Z195">
        <v>0</v>
      </c>
      <c r="AA195">
        <v>0</v>
      </c>
      <c r="AB195">
        <v>10</v>
      </c>
      <c r="AC195">
        <v>24</v>
      </c>
      <c r="AD195">
        <v>5</v>
      </c>
      <c r="AE195">
        <f>IFERROR(6/(COUNTIF(Dyno_EndMatch[Match],TBA_Matches_All[[#This Row],[Match_Number]])),0)</f>
        <v>1</v>
      </c>
      <c r="AF195">
        <f>COUNTIFS(Dyno_Data[Team],TBA_Matches_All[[#This Row],[Team]],Dyno_Data[Match],TBA_Matches_All[[#This Row],[Match_Number]],Dyno_Data[RecordType],"EndMatch",Dyno_Data[HPAmp],"Y")</f>
        <v>0</v>
      </c>
      <c r="AG195">
        <f>SUMIFS(Dyno_Data[Mics], Dyno_Data[Team],TBA_Matches_All[[#This Row],[Team]],Dyno_Data[Match],TBA_Matches_All[[#This Row],[Match_Number]],Dyno_Data[RecordType],"EndMatch",Dyno_Data[HPAmp],"Y")</f>
        <v>0</v>
      </c>
      <c r="AH195">
        <f>SUMIFS(Dyno_Data[Leave], Dyno_Data[Team],TBA_Matches_All[[#This Row],[Team]],Dyno_Data[Match],TBA_Matches_All[[#This Row],[Match_Number]],Dyno_Data[RecordType],"EndAuto")</f>
        <v>1</v>
      </c>
      <c r="AI195">
        <f>COUNTIFS(Dyno_Data[Team],TBA_Matches_All[[#This Row],[Team]],Dyno_Data[Match],TBA_Matches_All[[#This Row],[Match_Number]],Dyno_Data[RecordType],"Activities",Dyno_Data[DelDest],"Amp", Dyno_Data[DelMiss],"0", Dyno_Data[Mode],"Auto")</f>
        <v>0</v>
      </c>
      <c r="AJ195">
        <f>COUNTIFS(Dyno_Data[Team],TBA_Matches_All[[#This Row],[Team]],Dyno_Data[Match],TBA_Matches_All[[#This Row],[Match_Number]],Dyno_Data[RecordType],"Activities",Dyno_Data[DelDest],"Spkr", Dyno_Data[DelMiss],"0", Dyno_Data[Mode],"Auto")</f>
        <v>0</v>
      </c>
      <c r="AK195">
        <f>COUNTIFS(Dyno_Data[Team],TBA_Matches_All[[#This Row],[Team]],Dyno_Data[Match],TBA_Matches_All[[#This Row],[Match_Number]],Dyno_Data[RecordType],"Activities",Dyno_Data[DelDest],"Trap", Dyno_Data[DelMiss],"0", Dyno_Data[Mode],"Auto")</f>
        <v>0</v>
      </c>
      <c r="AL195">
        <f>COUNTIFS(Dyno_Data[Team],TBA_Matches_All[[#This Row],[Team]],Dyno_Data[Match],TBA_Matches_All[[#This Row],[Match_Number]],Dyno_Data[RecordType],"Activities",Dyno_Data[DelDest],"Amp", Dyno_Data[DelMiss],"0", Dyno_Data[Mode],"Teleop")</f>
        <v>0</v>
      </c>
      <c r="AM195">
        <f>COUNTIFS(Dyno_Data[Team],TBA_Matches_All[[#This Row],[Team]],Dyno_Data[Match],TBA_Matches_All[[#This Row],[Match_Number]],Dyno_Data[RecordType],"Activities",Dyno_Data[DelDest],"Spkr", Dyno_Data[DelMiss],"0", Dyno_Data[Mode],"Teleop")</f>
        <v>6</v>
      </c>
      <c r="AN195">
        <f>COUNTIFS(Dyno_Data[Team],TBA_Matches_All[[#This Row],[Team]],Dyno_Data[Match],TBA_Matches_All[[#This Row],[Match_Number]],Dyno_Data[RecordType],"Activities",Dyno_Data[DelDest],"Trap", Dyno_Data[DelMiss],"0", Dyno_Data[Mode],"&lt;&gt;Auto")</f>
        <v>0</v>
      </c>
      <c r="AO195">
        <f>SUM(TBA_Matches_All[[#This Row],[AampT]]+TBA_Matches_All[[#This Row],[AspkrT]]+TBA_Matches_All[[#This Row],[AtrapT]]+TBA_Matches_All[[#This Row],[TampT]]+TBA_Matches_All[[#This Row],[TspkrT]]+TBA_Matches_All[[#This Row],[TtrapT]])</f>
        <v>6</v>
      </c>
      <c r="AP195">
        <f>COUNTIFS(Dyno_Data[Team],TBA_Matches_All[[#This Row],[Team]],Dyno_Data[Match],TBA_Matches_All[[#This Row],[Match_Number]],Dyno_Data[RecordType],"Activities",Dyno_Data[DelDest],"Neut", Dyno_Data[DelMiss],"0")</f>
        <v>0</v>
      </c>
      <c r="AQ195">
        <f>COUNTIFS(Dyno_Data[Team],TBA_Matches_All[[#This Row],[Team]],Dyno_Data[Match],TBA_Matches_All[[#This Row],[Match_Number]],Dyno_Data[RecordType],"Activities",Dyno_Data[DelDest],"AllyW", Dyno_Data[DelMiss],"0")</f>
        <v>0</v>
      </c>
      <c r="AR195" t="str">
        <f>_xlfn.XLOOKUP(SUM(MID(TBA_Matches_All[[#This Row],[Team]],4,5),(TBA_Matches_All[[#This Row],[Match_Number]]/100)),Dyno_EndMatch[teammat],Dyno_EndMatch[RobotSta],"_",0,1)</f>
        <v>Amp</v>
      </c>
      <c r="AS195">
        <f>SUMIFS(Dyno_Data[AcqDis], Dyno_Data[Team],TBA_Matches_All[[#This Row],[Team]],Dyno_Data[Match],TBA_Matches_All[[#This Row],[Match_Number]],Dyno_Data[RecordType],"Activities", Dyno_Data[AcqCenter],1,Dyno_Data[Mode],"Auto")</f>
        <v>0</v>
      </c>
      <c r="AT195">
        <f>SUMIFS(Dyno_Data[AcqDis], Dyno_Data[Team],TBA_Matches_All[[#This Row],[Team]],Dyno_Data[Match],TBA_Matches_All[[#This Row],[Match_Number]],Dyno_Data[RecordType],"Activities", Dyno_Data[AcqCenter],2,Dyno_Data[Mode],"Auto")</f>
        <v>0</v>
      </c>
      <c r="AU195">
        <f>SUMIFS(Dyno_Data[AcqDis], Dyno_Data[Team],TBA_Matches_All[[#This Row],[Team]],Dyno_Data[Match],TBA_Matches_All[[#This Row],[Match_Number]],Dyno_Data[RecordType],"Activities", Dyno_Data[AcqCenter],3,Dyno_Data[Mode],"Auto")</f>
        <v>0</v>
      </c>
      <c r="AV195">
        <f>SUMIFS(Dyno_Data[AcqDis], Dyno_Data[Team],TBA_Matches_All[[#This Row],[Team]],Dyno_Data[Match],TBA_Matches_All[[#This Row],[Match_Number]],Dyno_Data[RecordType],"Activities", Dyno_Data[AcqCenter],4,Dyno_Data[Mode],"Auto")</f>
        <v>0</v>
      </c>
      <c r="AW195">
        <f>SUMIFS(Dyno_Data[AcqDis], Dyno_Data[Team],TBA_Matches_All[[#This Row],[Team]],Dyno_Data[Match],TBA_Matches_All[[#This Row],[Match_Number]],Dyno_Data[RecordType],"Activities", Dyno_Data[AcqCenter],5,Dyno_Data[Mode],"Auto")</f>
        <v>0</v>
      </c>
      <c r="AX195">
        <f>SUMIFS(Dyno_Data[DelMiss], Dyno_Data[Team],TBA_Matches_All[[#This Row],[Team]],Dyno_Data[Match],TBA_Matches_All[[#This Row],[Match_Number]],Dyno_Data[RecordType],"Activities", Dyno_Data[DelDest],"Amp")</f>
        <v>0</v>
      </c>
      <c r="AY195" s="60">
        <f>IFERROR(SUM((TBA_Matches_All[[#This Row],[AampT]]+TBA_Matches_All[[#This Row],[TampT]])/(TBA_Matches_All[[#This Row],[AampT]]+TBA_Matches_All[[#This Row],[TampT]]+TBA_Matches_All[[#This Row],[ampM]])),0)</f>
        <v>0</v>
      </c>
      <c r="AZ195">
        <f>SUMIFS(Dyno_Data[DelMiss], Dyno_Data[Team],TBA_Matches_All[[#This Row],[Team]],Dyno_Data[Match],TBA_Matches_All[[#This Row],[Match_Number]],Dyno_Data[RecordType],"Activities", Dyno_Data[DelDest],"Spkr")</f>
        <v>2</v>
      </c>
      <c r="BA195" s="60">
        <f>IFERROR(SUM((TBA_Matches_All[[#This Row],[AspkrT]]+TBA_Matches_All[[#This Row],[TspkrT]])/(TBA_Matches_All[[#This Row],[AspkrT]]+TBA_Matches_All[[#This Row],[TspkrT]]+TBA_Matches_All[[#This Row],[spkrM]])),0)</f>
        <v>0.75</v>
      </c>
      <c r="BB195">
        <f>SUMIFS(Dyno_Data[DelMiss], Dyno_Data[Team],TBA_Matches_All[[#This Row],[Team]],Dyno_Data[Match],TBA_Matches_All[[#This Row],[Match_Number]],Dyno_Data[RecordType],"Activities", Dyno_Data[DelDest],"Trap")</f>
        <v>0</v>
      </c>
      <c r="BC195" s="60">
        <f>IFERROR((TBA_Matches_All[[#This Row],[AtrapT]]+TBA_Matches_All[[#This Row],[TtrapT]])/(TBA_Matches_All[[#This Row],[AtrapT]]+TBA_Matches_All[[#This Row],[TtrapT]]+TBA_Matches_All[[#This Row],[trapM]]),0)</f>
        <v>0</v>
      </c>
      <c r="BD195">
        <f>COUNTIFS(Dyno_Data[Team],TBA_Matches_All[[#This Row],[Team]],Dyno_Data[Match],TBA_Matches_All[[#This Row],[Match_Number]],Dyno_Data[RecordType],"Activities",Dyno_Data[DelDest],"Neut", Dyno_Data[DelMiss],1)</f>
        <v>0</v>
      </c>
      <c r="BE195" s="60">
        <f>IFERROR(SUM((TBA_Matches_All[[#This Row],[NeutFlrT]])/(TBA_Matches_All[[#This Row],[NeutFlrT]]+TBA_Matches_All[[#This Row],[NZflM]])),0)</f>
        <v>0</v>
      </c>
      <c r="BF195">
        <f>COUNTIFS(Dyno_Data[Team],TBA_Matches_All[[#This Row],[Team]],Dyno_Data[Match],TBA_Matches_All[[#This Row],[Match_Number]],Dyno_Data[RecordType],"Activities",Dyno_Data[DelDest],"AllyW", Dyno_Data[DelMiss],1)</f>
        <v>0</v>
      </c>
      <c r="BG195" s="60">
        <f>IFERROR(SUM((TBA_Matches_All[[#This Row],[AllyWFlrT]])/(TBA_Matches_All[[#This Row],[AllyWFlrT]]+TBA_Matches_All[[#This Row],[AZflM]])),0)</f>
        <v>0</v>
      </c>
      <c r="BH195">
        <f>COUNTIFS(Dyno_Data[Team],TBA_Matches_All[[#This Row],[Team]],Dyno_Data[Match],TBA_Matches_All[[#This Row],[Match_Number]],Dyno_Data[RecordType],"Activities",Dyno_Data[DelOrig],"OppW", Dyno_Data[DelMiss],"0")</f>
        <v>0</v>
      </c>
      <c r="BI195">
        <f>COUNTIFS(Dyno_Data[Team],TBA_Matches_All[[#This Row],[Team]],Dyno_Data[Match],TBA_Matches_All[[#This Row],[Match_Number]],Dyno_Data[RecordType],"Activities",Dyno_Data[DelOrig],"OppW", Dyno_Data[DelMiss],"1")</f>
        <v>0</v>
      </c>
      <c r="BJ195" s="60">
        <f>IFERROR(SUM((TBA_Matches_All[[#This Row],[OZflrT]])/(TBA_Matches_All[[#This Row],[OZflrT]]+TBA_Matches_All[[#This Row],[OZflrM]])),0)</f>
        <v>0</v>
      </c>
      <c r="BK195">
        <f>COUNTIFS(Dyno_Data[Team],TBA_Matches_All[[#This Row],[Team]],Dyno_Data[Match],TBA_Matches_All[[#This Row],[Match_Number]],Dyno_Data[RecordType],"Activities",Dyno_Data[DelOrig],"Neut", Dyno_Data[DelMiss],"0")</f>
        <v>0</v>
      </c>
      <c r="BL195">
        <f>COUNTIFS(Dyno_Data[Team],TBA_Matches_All[[#This Row],[Team]],Dyno_Data[Match],TBA_Matches_All[[#This Row],[Match_Number]],Dyno_Data[RecordType],"Activities",Dyno_Data[DelOrig],"Neut", Dyno_Data[DelMiss],"1")</f>
        <v>0</v>
      </c>
      <c r="BM195" s="60">
        <f>IFERROR(SUM((TBA_Matches_All[[#This Row],[NZflrT]])/(TBA_Matches_All[[#This Row],[NZflrT]]+TBA_Matches_All[[#This Row],[NZflrM]])),0)</f>
        <v>0</v>
      </c>
      <c r="BN195">
        <f>COUNTIFS(Dyno_Data[Team],TBA_Matches_All[[#This Row],[Team]],Dyno_Data[Match],TBA_Matches_All[[#This Row],[Match_Number]],Dyno_Data[RecordType],"Activities",Dyno_Data[DelOrig],"AllyW", Dyno_Data[DelMiss],"0")</f>
        <v>6</v>
      </c>
      <c r="BO195">
        <f>COUNTIFS(Dyno_Data[Team],TBA_Matches_All[[#This Row],[Team]],Dyno_Data[Match],TBA_Matches_All[[#This Row],[Match_Number]],Dyno_Data[RecordType],"Activities",Dyno_Data[DelOrig],"AllyW", Dyno_Data[DelMiss],"1")</f>
        <v>2</v>
      </c>
      <c r="BP195" s="60">
        <f>IFERROR(SUM((TBA_Matches_All[[#This Row],[AZflrT]])/(TBA_Matches_All[[#This Row],[AZflrT]]+TBA_Matches_All[[#This Row],[AZflrM]])),0)</f>
        <v>0.75</v>
      </c>
      <c r="BQ195">
        <f>COUNTIFS(Dyno_Data[Team],TBA_Matches_All[[#This Row],[Team]],Dyno_Data[Match],TBA_Matches_All[[#This Row],[Match_Number]],Dyno_Data[RecordType],"Activities",Dyno_Data[DelOrig],"SubW", Dyno_Data[DelMiss],"0")</f>
        <v>0</v>
      </c>
      <c r="BR195">
        <f>COUNTIFS(Dyno_Data[Team],TBA_Matches_All[[#This Row],[Team]],Dyno_Data[Match],TBA_Matches_All[[#This Row],[Match_Number]],Dyno_Data[RecordType],"Activities",Dyno_Data[DelOrig],"SubW", Dyno_Data[DelMiss],"1")</f>
        <v>0</v>
      </c>
      <c r="BS195" s="60">
        <f>IFERROR(SUM((TBA_Matches_All[[#This Row],[SubwT]])/(TBA_Matches_All[[#This Row],[SubwT]]+TBA_Matches_All[[#This Row],[SubwM]])),0)</f>
        <v>0</v>
      </c>
      <c r="BT195">
        <f>COUNTIFS(Dyno_Data[Team],TBA_Matches_All[[#This Row],[Team]],Dyno_Data[Match],TBA_Matches_All[[#This Row],[Match_Number]],Dyno_Data[RecordType],"Activities", Dyno_Data[AcqLoc],"OppWing")</f>
        <v>0</v>
      </c>
      <c r="BU195">
        <f>COUNTIFS(Dyno_Data[Team],TBA_Matches_All[[#This Row],[Team]],Dyno_Data[Match],TBA_Matches_All[[#This Row],[Match_Number]],Dyno_Data[RecordType],"Activities", Dyno_Data[AcqLoc],"Neutral")</f>
        <v>0</v>
      </c>
      <c r="BV195">
        <f>COUNTIFS(Dyno_Data[Team],TBA_Matches_All[[#This Row],[Team]],Dyno_Data[Match],TBA_Matches_All[[#This Row],[Match_Number]],Dyno_Data[RecordType],"Activities", Dyno_Data[AcqLoc],"AllyWing")</f>
        <v>0</v>
      </c>
      <c r="BW195">
        <f>COUNTIFS(Dyno_Data[Team],TBA_Matches_All[[#This Row],[Team]],Dyno_Data[Match],TBA_Matches_All[[#This Row],[Match_Number]],Dyno_Data[RecordType],"Activities", Dyno_Data[AcqLoc],"Source")</f>
        <v>0</v>
      </c>
      <c r="BX195">
        <f>SUMIFS(Dyno_Data[AcqDrp], Dyno_Data[Team],TBA_Matches_All[[#This Row],[Team]],Dyno_Data[Match],TBA_Matches_All[[#This Row],[Match_Number]],Dyno_Data[RecordType],"Activities", Dyno_Data[AcqLoc],"Source")</f>
        <v>0</v>
      </c>
      <c r="BY195">
        <f>SUMIFS(Dyno_Data[OZTime], Dyno_Data[Team],TBA_Matches_All[[#This Row],[Team]],Dyno_Data[Match],TBA_Matches_All[[#This Row],[Match_Number]],Dyno_Data[RecordType],"EndMatch")</f>
        <v>20.346346499999999</v>
      </c>
      <c r="BZ195">
        <f>SUMIFS(Dyno_Data[NZTime], Dyno_Data[Team],TBA_Matches_All[[#This Row],[Team]],Dyno_Data[Match],TBA_Matches_All[[#This Row],[Match_Number]],Dyno_Data[RecordType],"EndMatch")</f>
        <v>35.147652799999996</v>
      </c>
      <c r="CA195">
        <f>SUMIFS(Dyno_Data[AZTime], Dyno_Data[Team],TBA_Matches_All[[#This Row],[Team]],Dyno_Data[Match],TBA_Matches_All[[#This Row],[Match_Number]],Dyno_Data[RecordType],"EndMatch")</f>
        <v>73.886321999999993</v>
      </c>
      <c r="CB195">
        <f>SUMIFS(Dyno_Data[ClimbT], Dyno_Data[Team],TBA_Matches_All[[#This Row],[Team]],Dyno_Data[Match],TBA_Matches_All[[#This Row],[Match_Number]],Dyno_Data[RecordType],"EndMatch")</f>
        <v>1.1312046</v>
      </c>
      <c r="CC195" t="str">
        <f>_xlfn.XLOOKUP(SUM(MID(TBA_Matches_All[[#This Row],[Team]],4,5),(TBA_Matches_All[[#This Row],[Match_Number]]/100)),Dyno_EndMatch[teammat],Dyno_EndMatch[StageStat],"_",0,1)</f>
        <v>On</v>
      </c>
      <c r="CD195" t="str">
        <f>_xlfn.XLOOKUP(TBA_Matches_All[[#This Row],[teammat]],Dyno_EndMatch[teammat],Dyno_EndMatch[StageAtt],"_",0,1)</f>
        <v>1</v>
      </c>
      <c r="CE195" t="str">
        <f>_xlfn.XLOOKUP(TBA_Matches_All[[#This Row],[teammat]],Dyno_EndMatch[teammat],Dyno_EndMatch[StageLoc],"_",0,1)</f>
        <v>C</v>
      </c>
      <c r="CF195">
        <f>SUMIFS(Dyno_Data[Harmony], Dyno_Data[Team],TBA_Matches_All[[#This Row],[Team]],Dyno_Data[Match],TBA_Matches_All[[#This Row],[Match_Number]],Dyno_Data[RecordType],"EndMatch", Dyno_Data[StageStat],"On",Dyno_Data[Harmony],"&lt;&gt;9")</f>
        <v>0</v>
      </c>
      <c r="CG195">
        <f>SUMIFS(Dyno_Data[Spotlit], Dyno_Data[Team],TBA_Matches_All[[#This Row],[Team]],Dyno_Data[Match],TBA_Matches_All[[#This Row],[Match_Number]],Dyno_Data[RecordType],"EndMatch", Dyno_Data[StageStat],"On",Dyno_Data[Spotlit],"&lt;&gt;9")</f>
        <v>0</v>
      </c>
      <c r="CH195" t="str">
        <f>_xlfn.XLOOKUP(TBA_Matches_All[[#This Row],[teammat]],Dyno_EndMatch[teammat],Dyno_EndMatch[Strategy],"_",0,1)</f>
        <v>Hybrid</v>
      </c>
      <c r="CI195">
        <f>SUMIFS(Dyno_Data[Defense], Dyno_Data[Team],TBA_Matches_All[[#This Row],[Team]],Dyno_Data[Match],TBA_Matches_All[[#This Row],[Match_Number]],Dyno_Data[RecordType],"EndMatch",Dyno_Data[Defense],"&lt;&gt;9")</f>
        <v>1</v>
      </c>
      <c r="CJ195">
        <f>SUMIFS(Dyno_Data[Avoidance], Dyno_Data[Team],TBA_Matches_All[[#This Row],[Team]],Dyno_Data[Match],TBA_Matches_All[[#This Row],[Match_Number]],Dyno_Data[RecordType],"EndMatch",Dyno_Data[Avoidance],"&lt;&gt;9")</f>
        <v>0</v>
      </c>
      <c r="CK195" s="82">
        <f>COUNTIF($H$2:TBA_Matches_All[[#This Row],[Team]],TBA_Matches_All[[#This Row],[Team]])</f>
        <v>4</v>
      </c>
      <c r="CL195" s="111">
        <f>SUM(MID(TBA_Matches_All[[#This Row],[Team]],4,5)+TBA_Matches_All[[#This Row],[Match_Number]]/100)</f>
        <v>6621.33</v>
      </c>
      <c r="CM195">
        <f>SUM((TBA_Matches_All[[#This Row],[Leave]]*2)+(TBA_Matches_All[[#This Row],[AampT]]*2)+(TBA_Matches_All[[#This Row],[AspkrT]]*5)+(TBA_Matches_All[[#This Row],[AtrapT]]*5))</f>
        <v>2</v>
      </c>
      <c r="CN195" s="59">
        <f>IFERROR(SUM(TBA_Matches_All[[#This Row],[AptsT]]/TBA_Matches_All[[#This Row],[AutoPts]]),0)</f>
        <v>0.14285714285714285</v>
      </c>
      <c r="CO195" s="59">
        <f>IFERROR(SUM(TBA_Matches_All[[#This Row],[AampT]]+TBA_Matches_All[[#This Row],[AspkrT]]+TBA_Matches_All[[#This Row],[AtrapT]]/TBA_Matches_All[[#This Row],[Aamp]]+TBA_Matches_All[[#This Row],[Aspkr]]+TBA_Matches_All[[#This Row],[AtrapT]]),0)</f>
        <v>0</v>
      </c>
      <c r="CP195" s="59">
        <f>IFERROR(SUM(TBA_Matches_All[[#This Row],[TampT]]/TBA_Matches_All[[#This Row],[Tamp]]),0)</f>
        <v>0</v>
      </c>
      <c r="CQ195" s="59">
        <f>IFERROR(SUM(TBA_Matches_All[[#This Row],[TspkrT]]/TBA_Matches_All[[#This Row],[Tspkr]]),0)</f>
        <v>1</v>
      </c>
      <c r="CR195">
        <f>SUM(TBA_Matches_All[[#This Row],[TspkrPts]]*TBA_Matches_All[[#This Row],[TspkrP]])</f>
        <v>12</v>
      </c>
      <c r="CS195" s="59">
        <f>IFERROR(SUM(TBA_Matches_All[[#This Row],[TtrapT]]/TBA_Matches_All[[#This Row],[Trap]]),0)</f>
        <v>0</v>
      </c>
      <c r="CT195" s="59">
        <f>IFERROR(SUM(TBA_Matches_All[[#This Row],[TotNotesT]]/TBA_Matches_All[[#This Row],[TotNotes]]),0)</f>
        <v>0.6</v>
      </c>
      <c r="CU195" s="66">
        <f>SUM((TBA_Matches_All[[#This Row],[AampT]]*2)+(TBA_Matches_All[[#This Row],[AspkrT]]*5)+(TBA_Matches_All[[#This Row],[AtrapT]]*5)+(TBA_Matches_All[[#This Row],[TampT]]*1)+(TBA_Matches_All[[#This Row],[TspkrptsC]]))</f>
        <v>12</v>
      </c>
      <c r="CV195" s="59">
        <f>IFERROR(TBA_Matches_All[[#This Row],[noteptsT]]/TBA_Matches_All[[#This Row],[NotePts]],0)</f>
        <v>0.5</v>
      </c>
      <c r="CW195">
        <f>SUM(IF(TBA_Matches_All[[#This Row],[stageStat]]="On",3,0),IF(TBA_Matches_All[[#This Row],[stageStat]]="Park",1,0),SUMIFS(TBA_Matches_All[[#This Row],[Spotlit]],TBA_Matches_All[[#This Row],[stageStat]],"On"),SUMIFS(TBA_Matches_All[[#This Row],[Harmony]],TBA_Matches_All[[#This Row],[stageStat]],"On"))</f>
        <v>3</v>
      </c>
      <c r="CX195" s="59">
        <f>IFERROR(TBA_Matches_All[[#This Row],[stageptsT]]/TBA_Matches_All[[#This Row],[StagePts]],0)</f>
        <v>0.6</v>
      </c>
      <c r="CY195">
        <f>SUM((TBA_Matches_All[[#This Row],[AptsT]]+TBA_Matches_All[[#This Row],[TampT]]+TBA_Matches_All[[#This Row],[TspkrptsC]]+(TBA_Matches_All[[#This Row],[TtrapT]]*5)+TBA_Matches_All[[#This Row],[stageptsT]]))</f>
        <v>17</v>
      </c>
      <c r="CZ195" s="59">
        <f>IFERROR(SUM(TBA_Matches_All[[#This Row],[TotptsC]]/TBA_Matches_All[[#This Row],[Score]]),0)</f>
        <v>0.51515151515151514</v>
      </c>
      <c r="DA19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8.815384615384616</v>
      </c>
      <c r="DB195" s="74">
        <f>SUMIFS(TBA_Matches_All[AveTeamTNoteDels],TBA_Matches_All[Match_Number],TBA_Matches_All[[#This Row],[Match_Number]],TBA_Matches_All[Alliance],"&lt;&gt;"&amp;TBA_Matches_All[[#This Row],[Alliance]],TBA_Matches_All[Scouted],"&gt;0")</f>
        <v>19.285714285714285</v>
      </c>
      <c r="DC195" s="74">
        <f>(TBA_Matches_All[[#This Row],[TampT]]+TBA_Matches_All[[#This Row],[TspkrptsC]])-TBA_Matches_All[[#This Row],[AveTeamTNoteDels]]</f>
        <v>3.184615384615384</v>
      </c>
      <c r="DD195" s="74">
        <f>SUMIFS(TBA_Matches_All[AveTeamTNoteDels],TBA_Matches_All[Match_Number],TBA_Matches_All[[#This Row],[Match_Number]],TBA_Matches_All[Alliance],"&lt;&gt;"&amp;TBA_Matches_All[[#This Row],[Alliance]])-TBA_Matches_All[[#This Row],[AveOppTNoteDels]]</f>
        <v>0</v>
      </c>
    </row>
    <row r="196" spans="1:108" x14ac:dyDescent="0.3">
      <c r="A196" t="s">
        <v>1042</v>
      </c>
      <c r="B196" t="s">
        <v>489</v>
      </c>
      <c r="C196" t="s">
        <v>1342</v>
      </c>
      <c r="D196">
        <v>33</v>
      </c>
      <c r="E196" t="s">
        <v>1406</v>
      </c>
      <c r="F196" t="s">
        <v>1422</v>
      </c>
      <c r="G196" t="s">
        <v>105</v>
      </c>
      <c r="H196" t="s">
        <v>1284</v>
      </c>
      <c r="I196" t="b">
        <v>1</v>
      </c>
      <c r="J196">
        <v>57</v>
      </c>
      <c r="K196">
        <v>0</v>
      </c>
      <c r="L196">
        <v>0</v>
      </c>
      <c r="M196">
        <v>0</v>
      </c>
      <c r="N196">
        <v>0</v>
      </c>
      <c r="O196">
        <v>3</v>
      </c>
      <c r="P196">
        <v>15</v>
      </c>
      <c r="Q196">
        <v>21</v>
      </c>
      <c r="R196">
        <v>1</v>
      </c>
      <c r="S196">
        <v>0</v>
      </c>
      <c r="T196">
        <v>10</v>
      </c>
      <c r="U196">
        <v>0</v>
      </c>
      <c r="V196">
        <v>20</v>
      </c>
      <c r="W196">
        <v>10</v>
      </c>
      <c r="X196">
        <v>20</v>
      </c>
      <c r="Y196">
        <v>21</v>
      </c>
      <c r="Z196">
        <v>0</v>
      </c>
      <c r="AA196">
        <v>0</v>
      </c>
      <c r="AB196">
        <v>14</v>
      </c>
      <c r="AC196">
        <v>36</v>
      </c>
      <c r="AD196">
        <v>5</v>
      </c>
      <c r="AE196">
        <f>IFERROR(6/(COUNTIF(Dyno_EndMatch[Match],TBA_Matches_All[[#This Row],[Match_Number]])),0)</f>
        <v>1</v>
      </c>
      <c r="AF196">
        <f>COUNTIFS(Dyno_Data[Team],TBA_Matches_All[[#This Row],[Team]],Dyno_Data[Match],TBA_Matches_All[[#This Row],[Match_Number]],Dyno_Data[RecordType],"EndMatch",Dyno_Data[HPAmp],"Y")</f>
        <v>1</v>
      </c>
      <c r="AG196">
        <f>SUMIFS(Dyno_Data[Mics], Dyno_Data[Team],TBA_Matches_All[[#This Row],[Team]],Dyno_Data[Match],TBA_Matches_All[[#This Row],[Match_Number]],Dyno_Data[RecordType],"EndMatch",Dyno_Data[HPAmp],"Y")</f>
        <v>0</v>
      </c>
      <c r="AH196">
        <f>SUMIFS(Dyno_Data[Leave], Dyno_Data[Team],TBA_Matches_All[[#This Row],[Team]],Dyno_Data[Match],TBA_Matches_All[[#This Row],[Match_Number]],Dyno_Data[RecordType],"EndAuto")</f>
        <v>1</v>
      </c>
      <c r="AI196">
        <f>COUNTIFS(Dyno_Data[Team],TBA_Matches_All[[#This Row],[Team]],Dyno_Data[Match],TBA_Matches_All[[#This Row],[Match_Number]],Dyno_Data[RecordType],"Activities",Dyno_Data[DelDest],"Amp", Dyno_Data[DelMiss],"0", Dyno_Data[Mode],"Auto")</f>
        <v>0</v>
      </c>
      <c r="AJ196">
        <f>COUNTIFS(Dyno_Data[Team],TBA_Matches_All[[#This Row],[Team]],Dyno_Data[Match],TBA_Matches_All[[#This Row],[Match_Number]],Dyno_Data[RecordType],"Activities",Dyno_Data[DelDest],"Spkr", Dyno_Data[DelMiss],"0", Dyno_Data[Mode],"Auto")</f>
        <v>0</v>
      </c>
      <c r="AK196">
        <f>COUNTIFS(Dyno_Data[Team],TBA_Matches_All[[#This Row],[Team]],Dyno_Data[Match],TBA_Matches_All[[#This Row],[Match_Number]],Dyno_Data[RecordType],"Activities",Dyno_Data[DelDest],"Trap", Dyno_Data[DelMiss],"0", Dyno_Data[Mode],"Auto")</f>
        <v>0</v>
      </c>
      <c r="AL196">
        <f>COUNTIFS(Dyno_Data[Team],TBA_Matches_All[[#This Row],[Team]],Dyno_Data[Match],TBA_Matches_All[[#This Row],[Match_Number]],Dyno_Data[RecordType],"Activities",Dyno_Data[DelDest],"Amp", Dyno_Data[DelMiss],"0", Dyno_Data[Mode],"Teleop")</f>
        <v>0</v>
      </c>
      <c r="AM196">
        <f>COUNTIFS(Dyno_Data[Team],TBA_Matches_All[[#This Row],[Team]],Dyno_Data[Match],TBA_Matches_All[[#This Row],[Match_Number]],Dyno_Data[RecordType],"Activities",Dyno_Data[DelDest],"Spkr", Dyno_Data[DelMiss],"0", Dyno_Data[Mode],"Teleop")</f>
        <v>3</v>
      </c>
      <c r="AN196">
        <f>COUNTIFS(Dyno_Data[Team],TBA_Matches_All[[#This Row],[Team]],Dyno_Data[Match],TBA_Matches_All[[#This Row],[Match_Number]],Dyno_Data[RecordType],"Activities",Dyno_Data[DelDest],"Trap", Dyno_Data[DelMiss],"0", Dyno_Data[Mode],"&lt;&gt;Auto")</f>
        <v>0</v>
      </c>
      <c r="AO196">
        <f>SUM(TBA_Matches_All[[#This Row],[AampT]]+TBA_Matches_All[[#This Row],[AspkrT]]+TBA_Matches_All[[#This Row],[AtrapT]]+TBA_Matches_All[[#This Row],[TampT]]+TBA_Matches_All[[#This Row],[TspkrT]]+TBA_Matches_All[[#This Row],[TtrapT]])</f>
        <v>3</v>
      </c>
      <c r="AP196">
        <f>COUNTIFS(Dyno_Data[Team],TBA_Matches_All[[#This Row],[Team]],Dyno_Data[Match],TBA_Matches_All[[#This Row],[Match_Number]],Dyno_Data[RecordType],"Activities",Dyno_Data[DelDest],"Neut", Dyno_Data[DelMiss],"0")</f>
        <v>0</v>
      </c>
      <c r="AQ196">
        <f>COUNTIFS(Dyno_Data[Team],TBA_Matches_All[[#This Row],[Team]],Dyno_Data[Match],TBA_Matches_All[[#This Row],[Match_Number]],Dyno_Data[RecordType],"Activities",Dyno_Data[DelDest],"AllyW", Dyno_Data[DelMiss],"0")</f>
        <v>0</v>
      </c>
      <c r="AR196" t="str">
        <f>_xlfn.XLOOKUP(SUM(MID(TBA_Matches_All[[#This Row],[Team]],4,5),(TBA_Matches_All[[#This Row],[Match_Number]]/100)),Dyno_EndMatch[teammat],Dyno_EndMatch[RobotSta],"_",0,1)</f>
        <v>Podm</v>
      </c>
      <c r="AS196">
        <f>SUMIFS(Dyno_Data[AcqDis], Dyno_Data[Team],TBA_Matches_All[[#This Row],[Team]],Dyno_Data[Match],TBA_Matches_All[[#This Row],[Match_Number]],Dyno_Data[RecordType],"Activities", Dyno_Data[AcqCenter],1,Dyno_Data[Mode],"Auto")</f>
        <v>0</v>
      </c>
      <c r="AT196">
        <f>SUMIFS(Dyno_Data[AcqDis], Dyno_Data[Team],TBA_Matches_All[[#This Row],[Team]],Dyno_Data[Match],TBA_Matches_All[[#This Row],[Match_Number]],Dyno_Data[RecordType],"Activities", Dyno_Data[AcqCenter],2,Dyno_Data[Mode],"Auto")</f>
        <v>0</v>
      </c>
      <c r="AU196">
        <f>SUMIFS(Dyno_Data[AcqDis], Dyno_Data[Team],TBA_Matches_All[[#This Row],[Team]],Dyno_Data[Match],TBA_Matches_All[[#This Row],[Match_Number]],Dyno_Data[RecordType],"Activities", Dyno_Data[AcqCenter],3,Dyno_Data[Mode],"Auto")</f>
        <v>0</v>
      </c>
      <c r="AV196">
        <f>SUMIFS(Dyno_Data[AcqDis], Dyno_Data[Team],TBA_Matches_All[[#This Row],[Team]],Dyno_Data[Match],TBA_Matches_All[[#This Row],[Match_Number]],Dyno_Data[RecordType],"Activities", Dyno_Data[AcqCenter],4,Dyno_Data[Mode],"Auto")</f>
        <v>0</v>
      </c>
      <c r="AW196">
        <f>SUMIFS(Dyno_Data[AcqDis], Dyno_Data[Team],TBA_Matches_All[[#This Row],[Team]],Dyno_Data[Match],TBA_Matches_All[[#This Row],[Match_Number]],Dyno_Data[RecordType],"Activities", Dyno_Data[AcqCenter],5,Dyno_Data[Mode],"Auto")</f>
        <v>0</v>
      </c>
      <c r="AX196">
        <f>SUMIFS(Dyno_Data[DelMiss], Dyno_Data[Team],TBA_Matches_All[[#This Row],[Team]],Dyno_Data[Match],TBA_Matches_All[[#This Row],[Match_Number]],Dyno_Data[RecordType],"Activities", Dyno_Data[DelDest],"Amp")</f>
        <v>0</v>
      </c>
      <c r="AY196" s="60">
        <f>IFERROR(SUM((TBA_Matches_All[[#This Row],[AampT]]+TBA_Matches_All[[#This Row],[TampT]])/(TBA_Matches_All[[#This Row],[AampT]]+TBA_Matches_All[[#This Row],[TampT]]+TBA_Matches_All[[#This Row],[ampM]])),0)</f>
        <v>0</v>
      </c>
      <c r="AZ196">
        <f>SUMIFS(Dyno_Data[DelMiss], Dyno_Data[Team],TBA_Matches_All[[#This Row],[Team]],Dyno_Data[Match],TBA_Matches_All[[#This Row],[Match_Number]],Dyno_Data[RecordType],"Activities", Dyno_Data[DelDest],"Spkr")</f>
        <v>4</v>
      </c>
      <c r="BA196" s="60">
        <f>IFERROR(SUM((TBA_Matches_All[[#This Row],[AspkrT]]+TBA_Matches_All[[#This Row],[TspkrT]])/(TBA_Matches_All[[#This Row],[AspkrT]]+TBA_Matches_All[[#This Row],[TspkrT]]+TBA_Matches_All[[#This Row],[spkrM]])),0)</f>
        <v>0.42857142857142855</v>
      </c>
      <c r="BB196">
        <f>SUMIFS(Dyno_Data[DelMiss], Dyno_Data[Team],TBA_Matches_All[[#This Row],[Team]],Dyno_Data[Match],TBA_Matches_All[[#This Row],[Match_Number]],Dyno_Data[RecordType],"Activities", Dyno_Data[DelDest],"Trap")</f>
        <v>0</v>
      </c>
      <c r="BC196" s="60">
        <f>IFERROR((TBA_Matches_All[[#This Row],[AtrapT]]+TBA_Matches_All[[#This Row],[TtrapT]])/(TBA_Matches_All[[#This Row],[AtrapT]]+TBA_Matches_All[[#This Row],[TtrapT]]+TBA_Matches_All[[#This Row],[trapM]]),0)</f>
        <v>0</v>
      </c>
      <c r="BD196">
        <f>COUNTIFS(Dyno_Data[Team],TBA_Matches_All[[#This Row],[Team]],Dyno_Data[Match],TBA_Matches_All[[#This Row],[Match_Number]],Dyno_Data[RecordType],"Activities",Dyno_Data[DelDest],"Neut", Dyno_Data[DelMiss],1)</f>
        <v>0</v>
      </c>
      <c r="BE196" s="60">
        <f>IFERROR(SUM((TBA_Matches_All[[#This Row],[NeutFlrT]])/(TBA_Matches_All[[#This Row],[NeutFlrT]]+TBA_Matches_All[[#This Row],[NZflM]])),0)</f>
        <v>0</v>
      </c>
      <c r="BF196">
        <f>COUNTIFS(Dyno_Data[Team],TBA_Matches_All[[#This Row],[Team]],Dyno_Data[Match],TBA_Matches_All[[#This Row],[Match_Number]],Dyno_Data[RecordType],"Activities",Dyno_Data[DelDest],"AllyW", Dyno_Data[DelMiss],1)</f>
        <v>0</v>
      </c>
      <c r="BG196" s="60">
        <f>IFERROR(SUM((TBA_Matches_All[[#This Row],[AllyWFlrT]])/(TBA_Matches_All[[#This Row],[AllyWFlrT]]+TBA_Matches_All[[#This Row],[AZflM]])),0)</f>
        <v>0</v>
      </c>
      <c r="BH196">
        <f>COUNTIFS(Dyno_Data[Team],TBA_Matches_All[[#This Row],[Team]],Dyno_Data[Match],TBA_Matches_All[[#This Row],[Match_Number]],Dyno_Data[RecordType],"Activities",Dyno_Data[DelOrig],"OppW", Dyno_Data[DelMiss],"0")</f>
        <v>0</v>
      </c>
      <c r="BI196">
        <f>COUNTIFS(Dyno_Data[Team],TBA_Matches_All[[#This Row],[Team]],Dyno_Data[Match],TBA_Matches_All[[#This Row],[Match_Number]],Dyno_Data[RecordType],"Activities",Dyno_Data[DelOrig],"OppW", Dyno_Data[DelMiss],"1")</f>
        <v>0</v>
      </c>
      <c r="BJ196" s="60">
        <f>IFERROR(SUM((TBA_Matches_All[[#This Row],[OZflrT]])/(TBA_Matches_All[[#This Row],[OZflrT]]+TBA_Matches_All[[#This Row],[OZflrM]])),0)</f>
        <v>0</v>
      </c>
      <c r="BK196">
        <f>COUNTIFS(Dyno_Data[Team],TBA_Matches_All[[#This Row],[Team]],Dyno_Data[Match],TBA_Matches_All[[#This Row],[Match_Number]],Dyno_Data[RecordType],"Activities",Dyno_Data[DelOrig],"Neut", Dyno_Data[DelMiss],"0")</f>
        <v>0</v>
      </c>
      <c r="BL196">
        <f>COUNTIFS(Dyno_Data[Team],TBA_Matches_All[[#This Row],[Team]],Dyno_Data[Match],TBA_Matches_All[[#This Row],[Match_Number]],Dyno_Data[RecordType],"Activities",Dyno_Data[DelOrig],"Neut", Dyno_Data[DelMiss],"1")</f>
        <v>0</v>
      </c>
      <c r="BM196" s="60">
        <f>IFERROR(SUM((TBA_Matches_All[[#This Row],[NZflrT]])/(TBA_Matches_All[[#This Row],[NZflrT]]+TBA_Matches_All[[#This Row],[NZflrM]])),0)</f>
        <v>0</v>
      </c>
      <c r="BN196">
        <f>COUNTIFS(Dyno_Data[Team],TBA_Matches_All[[#This Row],[Team]],Dyno_Data[Match],TBA_Matches_All[[#This Row],[Match_Number]],Dyno_Data[RecordType],"Activities",Dyno_Data[DelOrig],"AllyW", Dyno_Data[DelMiss],"0")</f>
        <v>2</v>
      </c>
      <c r="BO196">
        <f>COUNTIFS(Dyno_Data[Team],TBA_Matches_All[[#This Row],[Team]],Dyno_Data[Match],TBA_Matches_All[[#This Row],[Match_Number]],Dyno_Data[RecordType],"Activities",Dyno_Data[DelOrig],"AllyW", Dyno_Data[DelMiss],"1")</f>
        <v>2</v>
      </c>
      <c r="BP196" s="60">
        <f>IFERROR(SUM((TBA_Matches_All[[#This Row],[AZflrT]])/(TBA_Matches_All[[#This Row],[AZflrT]]+TBA_Matches_All[[#This Row],[AZflrM]])),0)</f>
        <v>0.5</v>
      </c>
      <c r="BQ196">
        <f>COUNTIFS(Dyno_Data[Team],TBA_Matches_All[[#This Row],[Team]],Dyno_Data[Match],TBA_Matches_All[[#This Row],[Match_Number]],Dyno_Data[RecordType],"Activities",Dyno_Data[DelOrig],"SubW", Dyno_Data[DelMiss],"0")</f>
        <v>1</v>
      </c>
      <c r="BR196">
        <f>COUNTIFS(Dyno_Data[Team],TBA_Matches_All[[#This Row],[Team]],Dyno_Data[Match],TBA_Matches_All[[#This Row],[Match_Number]],Dyno_Data[RecordType],"Activities",Dyno_Data[DelOrig],"SubW", Dyno_Data[DelMiss],"1")</f>
        <v>2</v>
      </c>
      <c r="BS196" s="60">
        <f>IFERROR(SUM((TBA_Matches_All[[#This Row],[SubwT]])/(TBA_Matches_All[[#This Row],[SubwT]]+TBA_Matches_All[[#This Row],[SubwM]])),0)</f>
        <v>0.33333333333333331</v>
      </c>
      <c r="BT196">
        <f>COUNTIFS(Dyno_Data[Team],TBA_Matches_All[[#This Row],[Team]],Dyno_Data[Match],TBA_Matches_All[[#This Row],[Match_Number]],Dyno_Data[RecordType],"Activities", Dyno_Data[AcqLoc],"OppWing")</f>
        <v>0</v>
      </c>
      <c r="BU196">
        <f>COUNTIFS(Dyno_Data[Team],TBA_Matches_All[[#This Row],[Team]],Dyno_Data[Match],TBA_Matches_All[[#This Row],[Match_Number]],Dyno_Data[RecordType],"Activities", Dyno_Data[AcqLoc],"Neutral")</f>
        <v>0</v>
      </c>
      <c r="BV196">
        <f>COUNTIFS(Dyno_Data[Team],TBA_Matches_All[[#This Row],[Team]],Dyno_Data[Match],TBA_Matches_All[[#This Row],[Match_Number]],Dyno_Data[RecordType],"Activities", Dyno_Data[AcqLoc],"AllyWing")</f>
        <v>0</v>
      </c>
      <c r="BW196">
        <f>COUNTIFS(Dyno_Data[Team],TBA_Matches_All[[#This Row],[Team]],Dyno_Data[Match],TBA_Matches_All[[#This Row],[Match_Number]],Dyno_Data[RecordType],"Activities", Dyno_Data[AcqLoc],"Source")</f>
        <v>0</v>
      </c>
      <c r="BX196">
        <f>SUMIFS(Dyno_Data[AcqDrp], Dyno_Data[Team],TBA_Matches_All[[#This Row],[Team]],Dyno_Data[Match],TBA_Matches_All[[#This Row],[Match_Number]],Dyno_Data[RecordType],"Activities", Dyno_Data[AcqLoc],"Source")</f>
        <v>0</v>
      </c>
      <c r="BY196">
        <f>SUMIFS(Dyno_Data[OZTime], Dyno_Data[Team],TBA_Matches_All[[#This Row],[Team]],Dyno_Data[Match],TBA_Matches_All[[#This Row],[Match_Number]],Dyno_Data[RecordType],"EndMatch")</f>
        <v>35.589537799999995</v>
      </c>
      <c r="BZ196">
        <f>SUMIFS(Dyno_Data[NZTime], Dyno_Data[Team],TBA_Matches_All[[#This Row],[Team]],Dyno_Data[Match],TBA_Matches_All[[#This Row],[Match_Number]],Dyno_Data[RecordType],"EndMatch")</f>
        <v>30.097283399999998</v>
      </c>
      <c r="CA196">
        <f>SUMIFS(Dyno_Data[AZTime], Dyno_Data[Team],TBA_Matches_All[[#This Row],[Team]],Dyno_Data[Match],TBA_Matches_All[[#This Row],[Match_Number]],Dyno_Data[RecordType],"EndMatch")</f>
        <v>69.497243999999995</v>
      </c>
      <c r="CB196">
        <f>SUMIFS(Dyno_Data[ClimbT], Dyno_Data[Team],TBA_Matches_All[[#This Row],[Team]],Dyno_Data[Match],TBA_Matches_All[[#This Row],[Match_Number]],Dyno_Data[RecordType],"EndMatch")</f>
        <v>0</v>
      </c>
      <c r="CC196" t="str">
        <f>_xlfn.XLOOKUP(SUM(MID(TBA_Matches_All[[#This Row],[Team]],4,5),(TBA_Matches_All[[#This Row],[Match_Number]]/100)),Dyno_EndMatch[teammat],Dyno_EndMatch[StageStat],"_",0,1)</f>
        <v>Park</v>
      </c>
      <c r="CD196" t="str">
        <f>_xlfn.XLOOKUP(TBA_Matches_All[[#This Row],[teammat]],Dyno_EndMatch[teammat],Dyno_EndMatch[StageAtt],"_",0,1)</f>
        <v>0</v>
      </c>
      <c r="CE196" t="str">
        <f>_xlfn.XLOOKUP(TBA_Matches_All[[#This Row],[teammat]],Dyno_EndMatch[teammat],Dyno_EndMatch[StageLoc],"_",0,1)</f>
        <v>A</v>
      </c>
      <c r="CF196">
        <f>SUMIFS(Dyno_Data[Harmony], Dyno_Data[Team],TBA_Matches_All[[#This Row],[Team]],Dyno_Data[Match],TBA_Matches_All[[#This Row],[Match_Number]],Dyno_Data[RecordType],"EndMatch", Dyno_Data[StageStat],"On",Dyno_Data[Harmony],"&lt;&gt;9")</f>
        <v>0</v>
      </c>
      <c r="CG196">
        <f>SUMIFS(Dyno_Data[Spotlit], Dyno_Data[Team],TBA_Matches_All[[#This Row],[Team]],Dyno_Data[Match],TBA_Matches_All[[#This Row],[Match_Number]],Dyno_Data[RecordType],"EndMatch", Dyno_Data[StageStat],"On",Dyno_Data[Spotlit],"&lt;&gt;9")</f>
        <v>0</v>
      </c>
      <c r="CH196" t="str">
        <f>_xlfn.XLOOKUP(TBA_Matches_All[[#This Row],[teammat]],Dyno_EndMatch[teammat],Dyno_EndMatch[Strategy],"_",0,1)</f>
        <v>Hybrid</v>
      </c>
      <c r="CI196">
        <f>SUMIFS(Dyno_Data[Defense], Dyno_Data[Team],TBA_Matches_All[[#This Row],[Team]],Dyno_Data[Match],TBA_Matches_All[[#This Row],[Match_Number]],Dyno_Data[RecordType],"EndMatch",Dyno_Data[Defense],"&lt;&gt;9")</f>
        <v>0</v>
      </c>
      <c r="CJ196">
        <f>SUMIFS(Dyno_Data[Avoidance], Dyno_Data[Team],TBA_Matches_All[[#This Row],[Team]],Dyno_Data[Match],TBA_Matches_All[[#This Row],[Match_Number]],Dyno_Data[RecordType],"EndMatch",Dyno_Data[Avoidance],"&lt;&gt;9")</f>
        <v>1</v>
      </c>
      <c r="CK196" s="82">
        <f>COUNTIF($H$2:TBA_Matches_All[[#This Row],[Team]],TBA_Matches_All[[#This Row],[Team]])</f>
        <v>4</v>
      </c>
      <c r="CL196" s="111">
        <f>SUM(MID(TBA_Matches_All[[#This Row],[Team]],4,5)+TBA_Matches_All[[#This Row],[Match_Number]]/100)</f>
        <v>5590.33</v>
      </c>
      <c r="CM196">
        <f>SUM((TBA_Matches_All[[#This Row],[Leave]]*2)+(TBA_Matches_All[[#This Row],[AampT]]*2)+(TBA_Matches_All[[#This Row],[AspkrT]]*5)+(TBA_Matches_All[[#This Row],[AtrapT]]*5))</f>
        <v>2</v>
      </c>
      <c r="CN196" s="59">
        <f>IFERROR(SUM(TBA_Matches_All[[#This Row],[AptsT]]/TBA_Matches_All[[#This Row],[AutoPts]]),0)</f>
        <v>9.5238095238095233E-2</v>
      </c>
      <c r="CO196" s="59">
        <f>IFERROR(SUM(TBA_Matches_All[[#This Row],[AampT]]+TBA_Matches_All[[#This Row],[AspkrT]]+TBA_Matches_All[[#This Row],[AtrapT]]/TBA_Matches_All[[#This Row],[Aamp]]+TBA_Matches_All[[#This Row],[Aspkr]]+TBA_Matches_All[[#This Row],[AtrapT]]),0)</f>
        <v>0</v>
      </c>
      <c r="CP196" s="59">
        <f>IFERROR(SUM(TBA_Matches_All[[#This Row],[TampT]]/TBA_Matches_All[[#This Row],[Tamp]]),0)</f>
        <v>0</v>
      </c>
      <c r="CQ196" s="59">
        <f>IFERROR(SUM(TBA_Matches_All[[#This Row],[TspkrT]]/TBA_Matches_All[[#This Row],[Tspkr]]),0)</f>
        <v>0.3</v>
      </c>
      <c r="CR196">
        <f>SUM(TBA_Matches_All[[#This Row],[TspkrPts]]*TBA_Matches_All[[#This Row],[TspkrP]])</f>
        <v>6</v>
      </c>
      <c r="CS196" s="59">
        <f>IFERROR(SUM(TBA_Matches_All[[#This Row],[TtrapT]]/TBA_Matches_All[[#This Row],[Trap]]),0)</f>
        <v>0</v>
      </c>
      <c r="CT196" s="59">
        <f>IFERROR(SUM(TBA_Matches_All[[#This Row],[TotNotesT]]/TBA_Matches_All[[#This Row],[TotNotes]]),0)</f>
        <v>0.21428571428571427</v>
      </c>
      <c r="CU196" s="66">
        <f>SUM((TBA_Matches_All[[#This Row],[AampT]]*2)+(TBA_Matches_All[[#This Row],[AspkrT]]*5)+(TBA_Matches_All[[#This Row],[AtrapT]]*5)+(TBA_Matches_All[[#This Row],[TampT]]*1)+(TBA_Matches_All[[#This Row],[TspkrptsC]]))</f>
        <v>6</v>
      </c>
      <c r="CV196" s="59">
        <f>IFERROR(TBA_Matches_All[[#This Row],[noteptsT]]/TBA_Matches_All[[#This Row],[NotePts]],0)</f>
        <v>0.16666666666666666</v>
      </c>
      <c r="CW196">
        <f>SUM(IF(TBA_Matches_All[[#This Row],[stageStat]]="On",3,0),IF(TBA_Matches_All[[#This Row],[stageStat]]="Park",1,0),SUMIFS(TBA_Matches_All[[#This Row],[Spotlit]],TBA_Matches_All[[#This Row],[stageStat]],"On"),SUMIFS(TBA_Matches_All[[#This Row],[Harmony]],TBA_Matches_All[[#This Row],[stageStat]],"On"))</f>
        <v>1</v>
      </c>
      <c r="CX196" s="59">
        <f>IFERROR(TBA_Matches_All[[#This Row],[stageptsT]]/TBA_Matches_All[[#This Row],[StagePts]],0)</f>
        <v>0.2</v>
      </c>
      <c r="CY196">
        <f>SUM((TBA_Matches_All[[#This Row],[AptsT]]+TBA_Matches_All[[#This Row],[TampT]]+TBA_Matches_All[[#This Row],[TspkrptsC]]+(TBA_Matches_All[[#This Row],[TtrapT]]*5)+TBA_Matches_All[[#This Row],[stageptsT]]))</f>
        <v>9</v>
      </c>
      <c r="CZ196" s="59">
        <f>IFERROR(SUM(TBA_Matches_All[[#This Row],[TotptsC]]/TBA_Matches_All[[#This Row],[Score]]),0)</f>
        <v>0.15789473684210525</v>
      </c>
      <c r="DA19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6.1142857142857139</v>
      </c>
      <c r="DB196" s="74">
        <f>SUMIFS(TBA_Matches_All[AveTeamTNoteDels],TBA_Matches_All[Match_Number],TBA_Matches_All[[#This Row],[Match_Number]],TBA_Matches_All[Alliance],"&lt;&gt;"&amp;TBA_Matches_All[[#This Row],[Alliance]],TBA_Matches_All[Scouted],"&gt;0")</f>
        <v>13.365384615384617</v>
      </c>
      <c r="DC196" s="74">
        <f>(TBA_Matches_All[[#This Row],[TampT]]+TBA_Matches_All[[#This Row],[TspkrptsC]])-TBA_Matches_All[[#This Row],[AveTeamTNoteDels]]</f>
        <v>-0.11428571428571388</v>
      </c>
      <c r="DD196" s="74">
        <f>SUMIFS(TBA_Matches_All[AveTeamTNoteDels],TBA_Matches_All[Match_Number],TBA_Matches_All[[#This Row],[Match_Number]],TBA_Matches_All[Alliance],"&lt;&gt;"&amp;TBA_Matches_All[[#This Row],[Alliance]])-TBA_Matches_All[[#This Row],[AveOppTNoteDels]]</f>
        <v>0</v>
      </c>
    </row>
    <row r="197" spans="1:108" x14ac:dyDescent="0.3">
      <c r="A197" t="s">
        <v>1042</v>
      </c>
      <c r="B197" t="s">
        <v>489</v>
      </c>
      <c r="C197" t="s">
        <v>1342</v>
      </c>
      <c r="D197">
        <v>33</v>
      </c>
      <c r="E197" t="s">
        <v>1420</v>
      </c>
      <c r="F197" t="s">
        <v>1423</v>
      </c>
      <c r="G197" t="s">
        <v>1409</v>
      </c>
      <c r="H197" t="s">
        <v>1278</v>
      </c>
      <c r="I197" t="b">
        <v>1</v>
      </c>
      <c r="J197">
        <v>33</v>
      </c>
      <c r="K197">
        <v>0</v>
      </c>
      <c r="L197">
        <v>0</v>
      </c>
      <c r="M197">
        <v>10</v>
      </c>
      <c r="N197">
        <v>0</v>
      </c>
      <c r="O197">
        <v>2</v>
      </c>
      <c r="P197">
        <v>10</v>
      </c>
      <c r="Q197">
        <v>14</v>
      </c>
      <c r="R197">
        <v>2</v>
      </c>
      <c r="S197">
        <v>0</v>
      </c>
      <c r="T197">
        <v>6</v>
      </c>
      <c r="U197">
        <v>0</v>
      </c>
      <c r="V197">
        <v>12</v>
      </c>
      <c r="W197">
        <v>6</v>
      </c>
      <c r="X197">
        <v>12</v>
      </c>
      <c r="Y197">
        <v>14</v>
      </c>
      <c r="Z197">
        <v>0</v>
      </c>
      <c r="AA197">
        <v>0</v>
      </c>
      <c r="AB197">
        <v>10</v>
      </c>
      <c r="AC197">
        <v>24</v>
      </c>
      <c r="AD197">
        <v>5</v>
      </c>
      <c r="AE197">
        <f>IFERROR(6/(COUNTIF(Dyno_EndMatch[Match],TBA_Matches_All[[#This Row],[Match_Number]])),0)</f>
        <v>1</v>
      </c>
      <c r="AF197">
        <f>COUNTIFS(Dyno_Data[Team],TBA_Matches_All[[#This Row],[Team]],Dyno_Data[Match],TBA_Matches_All[[#This Row],[Match_Number]],Dyno_Data[RecordType],"EndMatch",Dyno_Data[HPAmp],"Y")</f>
        <v>0</v>
      </c>
      <c r="AG197">
        <f>SUMIFS(Dyno_Data[Mics], Dyno_Data[Team],TBA_Matches_All[[#This Row],[Team]],Dyno_Data[Match],TBA_Matches_All[[#This Row],[Match_Number]],Dyno_Data[RecordType],"EndMatch",Dyno_Data[HPAmp],"Y")</f>
        <v>0</v>
      </c>
      <c r="AH197">
        <f>SUMIFS(Dyno_Data[Leave], Dyno_Data[Team],TBA_Matches_All[[#This Row],[Team]],Dyno_Data[Match],TBA_Matches_All[[#This Row],[Match_Number]],Dyno_Data[RecordType],"EndAuto")</f>
        <v>1</v>
      </c>
      <c r="AI197">
        <f>COUNTIFS(Dyno_Data[Team],TBA_Matches_All[[#This Row],[Team]],Dyno_Data[Match],TBA_Matches_All[[#This Row],[Match_Number]],Dyno_Data[RecordType],"Activities",Dyno_Data[DelDest],"Amp", Dyno_Data[DelMiss],"0", Dyno_Data[Mode],"Auto")</f>
        <v>0</v>
      </c>
      <c r="AJ197">
        <f>COUNTIFS(Dyno_Data[Team],TBA_Matches_All[[#This Row],[Team]],Dyno_Data[Match],TBA_Matches_All[[#This Row],[Match_Number]],Dyno_Data[RecordType],"Activities",Dyno_Data[DelDest],"Spkr", Dyno_Data[DelMiss],"0", Dyno_Data[Mode],"Auto")</f>
        <v>2</v>
      </c>
      <c r="AK197">
        <f>COUNTIFS(Dyno_Data[Team],TBA_Matches_All[[#This Row],[Team]],Dyno_Data[Match],TBA_Matches_All[[#This Row],[Match_Number]],Dyno_Data[RecordType],"Activities",Dyno_Data[DelDest],"Trap", Dyno_Data[DelMiss],"0", Dyno_Data[Mode],"Auto")</f>
        <v>0</v>
      </c>
      <c r="AL197">
        <f>COUNTIFS(Dyno_Data[Team],TBA_Matches_All[[#This Row],[Team]],Dyno_Data[Match],TBA_Matches_All[[#This Row],[Match_Number]],Dyno_Data[RecordType],"Activities",Dyno_Data[DelDest],"Amp", Dyno_Data[DelMiss],"0", Dyno_Data[Mode],"Teleop")</f>
        <v>2</v>
      </c>
      <c r="AM197">
        <f>COUNTIFS(Dyno_Data[Team],TBA_Matches_All[[#This Row],[Team]],Dyno_Data[Match],TBA_Matches_All[[#This Row],[Match_Number]],Dyno_Data[RecordType],"Activities",Dyno_Data[DelDest],"Spkr", Dyno_Data[DelMiss],"0", Dyno_Data[Mode],"Teleop")</f>
        <v>0</v>
      </c>
      <c r="AN197">
        <f>COUNTIFS(Dyno_Data[Team],TBA_Matches_All[[#This Row],[Team]],Dyno_Data[Match],TBA_Matches_All[[#This Row],[Match_Number]],Dyno_Data[RecordType],"Activities",Dyno_Data[DelDest],"Trap", Dyno_Data[DelMiss],"0", Dyno_Data[Mode],"&lt;&gt;Auto")</f>
        <v>0</v>
      </c>
      <c r="AO197">
        <f>SUM(TBA_Matches_All[[#This Row],[AampT]]+TBA_Matches_All[[#This Row],[AspkrT]]+TBA_Matches_All[[#This Row],[AtrapT]]+TBA_Matches_All[[#This Row],[TampT]]+TBA_Matches_All[[#This Row],[TspkrT]]+TBA_Matches_All[[#This Row],[TtrapT]])</f>
        <v>4</v>
      </c>
      <c r="AP197">
        <f>COUNTIFS(Dyno_Data[Team],TBA_Matches_All[[#This Row],[Team]],Dyno_Data[Match],TBA_Matches_All[[#This Row],[Match_Number]],Dyno_Data[RecordType],"Activities",Dyno_Data[DelDest],"Neut", Dyno_Data[DelMiss],"0")</f>
        <v>0</v>
      </c>
      <c r="AQ197">
        <f>COUNTIFS(Dyno_Data[Team],TBA_Matches_All[[#This Row],[Team]],Dyno_Data[Match],TBA_Matches_All[[#This Row],[Match_Number]],Dyno_Data[RecordType],"Activities",Dyno_Data[DelDest],"AllyW", Dyno_Data[DelMiss],"0")</f>
        <v>0</v>
      </c>
      <c r="AR197" t="str">
        <f>_xlfn.XLOOKUP(SUM(MID(TBA_Matches_All[[#This Row],[Team]],4,5),(TBA_Matches_All[[#This Row],[Match_Number]]/100)),Dyno_EndMatch[teammat],Dyno_EndMatch[RobotSta],"_",0,1)</f>
        <v>SubW</v>
      </c>
      <c r="AS197">
        <f>SUMIFS(Dyno_Data[AcqDis], Dyno_Data[Team],TBA_Matches_All[[#This Row],[Team]],Dyno_Data[Match],TBA_Matches_All[[#This Row],[Match_Number]],Dyno_Data[RecordType],"Activities", Dyno_Data[AcqCenter],1,Dyno_Data[Mode],"Auto")</f>
        <v>0</v>
      </c>
      <c r="AT197">
        <f>SUMIFS(Dyno_Data[AcqDis], Dyno_Data[Team],TBA_Matches_All[[#This Row],[Team]],Dyno_Data[Match],TBA_Matches_All[[#This Row],[Match_Number]],Dyno_Data[RecordType],"Activities", Dyno_Data[AcqCenter],2,Dyno_Data[Mode],"Auto")</f>
        <v>0</v>
      </c>
      <c r="AU197">
        <f>SUMIFS(Dyno_Data[AcqDis], Dyno_Data[Team],TBA_Matches_All[[#This Row],[Team]],Dyno_Data[Match],TBA_Matches_All[[#This Row],[Match_Number]],Dyno_Data[RecordType],"Activities", Dyno_Data[AcqCenter],3,Dyno_Data[Mode],"Auto")</f>
        <v>0</v>
      </c>
      <c r="AV197">
        <f>SUMIFS(Dyno_Data[AcqDis], Dyno_Data[Team],TBA_Matches_All[[#This Row],[Team]],Dyno_Data[Match],TBA_Matches_All[[#This Row],[Match_Number]],Dyno_Data[RecordType],"Activities", Dyno_Data[AcqCenter],4,Dyno_Data[Mode],"Auto")</f>
        <v>0</v>
      </c>
      <c r="AW197">
        <f>SUMIFS(Dyno_Data[AcqDis], Dyno_Data[Team],TBA_Matches_All[[#This Row],[Team]],Dyno_Data[Match],TBA_Matches_All[[#This Row],[Match_Number]],Dyno_Data[RecordType],"Activities", Dyno_Data[AcqCenter],5,Dyno_Data[Mode],"Auto")</f>
        <v>0</v>
      </c>
      <c r="AX197">
        <f>SUMIFS(Dyno_Data[DelMiss], Dyno_Data[Team],TBA_Matches_All[[#This Row],[Team]],Dyno_Data[Match],TBA_Matches_All[[#This Row],[Match_Number]],Dyno_Data[RecordType],"Activities", Dyno_Data[DelDest],"Amp")</f>
        <v>1</v>
      </c>
      <c r="AY197" s="60">
        <f>IFERROR(SUM((TBA_Matches_All[[#This Row],[AampT]]+TBA_Matches_All[[#This Row],[TampT]])/(TBA_Matches_All[[#This Row],[AampT]]+TBA_Matches_All[[#This Row],[TampT]]+TBA_Matches_All[[#This Row],[ampM]])),0)</f>
        <v>0.66666666666666663</v>
      </c>
      <c r="AZ197">
        <f>SUMIFS(Dyno_Data[DelMiss], Dyno_Data[Team],TBA_Matches_All[[#This Row],[Team]],Dyno_Data[Match],TBA_Matches_All[[#This Row],[Match_Number]],Dyno_Data[RecordType],"Activities", Dyno_Data[DelDest],"Spkr")</f>
        <v>0</v>
      </c>
      <c r="BA197" s="60">
        <f>IFERROR(SUM((TBA_Matches_All[[#This Row],[AspkrT]]+TBA_Matches_All[[#This Row],[TspkrT]])/(TBA_Matches_All[[#This Row],[AspkrT]]+TBA_Matches_All[[#This Row],[TspkrT]]+TBA_Matches_All[[#This Row],[spkrM]])),0)</f>
        <v>1</v>
      </c>
      <c r="BB197">
        <f>SUMIFS(Dyno_Data[DelMiss], Dyno_Data[Team],TBA_Matches_All[[#This Row],[Team]],Dyno_Data[Match],TBA_Matches_All[[#This Row],[Match_Number]],Dyno_Data[RecordType],"Activities", Dyno_Data[DelDest],"Trap")</f>
        <v>0</v>
      </c>
      <c r="BC197" s="60">
        <f>IFERROR((TBA_Matches_All[[#This Row],[AtrapT]]+TBA_Matches_All[[#This Row],[TtrapT]])/(TBA_Matches_All[[#This Row],[AtrapT]]+TBA_Matches_All[[#This Row],[TtrapT]]+TBA_Matches_All[[#This Row],[trapM]]),0)</f>
        <v>0</v>
      </c>
      <c r="BD197">
        <f>COUNTIFS(Dyno_Data[Team],TBA_Matches_All[[#This Row],[Team]],Dyno_Data[Match],TBA_Matches_All[[#This Row],[Match_Number]],Dyno_Data[RecordType],"Activities",Dyno_Data[DelDest],"Neut", Dyno_Data[DelMiss],1)</f>
        <v>0</v>
      </c>
      <c r="BE197" s="60">
        <f>IFERROR(SUM((TBA_Matches_All[[#This Row],[NeutFlrT]])/(TBA_Matches_All[[#This Row],[NeutFlrT]]+TBA_Matches_All[[#This Row],[NZflM]])),0)</f>
        <v>0</v>
      </c>
      <c r="BF197">
        <f>COUNTIFS(Dyno_Data[Team],TBA_Matches_All[[#This Row],[Team]],Dyno_Data[Match],TBA_Matches_All[[#This Row],[Match_Number]],Dyno_Data[RecordType],"Activities",Dyno_Data[DelDest],"AllyW", Dyno_Data[DelMiss],1)</f>
        <v>0</v>
      </c>
      <c r="BG197" s="60">
        <f>IFERROR(SUM((TBA_Matches_All[[#This Row],[AllyWFlrT]])/(TBA_Matches_All[[#This Row],[AllyWFlrT]]+TBA_Matches_All[[#This Row],[AZflM]])),0)</f>
        <v>0</v>
      </c>
      <c r="BH197">
        <f>COUNTIFS(Dyno_Data[Team],TBA_Matches_All[[#This Row],[Team]],Dyno_Data[Match],TBA_Matches_All[[#This Row],[Match_Number]],Dyno_Data[RecordType],"Activities",Dyno_Data[DelOrig],"OppW", Dyno_Data[DelMiss],"0")</f>
        <v>0</v>
      </c>
      <c r="BI197">
        <f>COUNTIFS(Dyno_Data[Team],TBA_Matches_All[[#This Row],[Team]],Dyno_Data[Match],TBA_Matches_All[[#This Row],[Match_Number]],Dyno_Data[RecordType],"Activities",Dyno_Data[DelOrig],"OppW", Dyno_Data[DelMiss],"1")</f>
        <v>0</v>
      </c>
      <c r="BJ197" s="60">
        <f>IFERROR(SUM((TBA_Matches_All[[#This Row],[OZflrT]])/(TBA_Matches_All[[#This Row],[OZflrT]]+TBA_Matches_All[[#This Row],[OZflrM]])),0)</f>
        <v>0</v>
      </c>
      <c r="BK197">
        <f>COUNTIFS(Dyno_Data[Team],TBA_Matches_All[[#This Row],[Team]],Dyno_Data[Match],TBA_Matches_All[[#This Row],[Match_Number]],Dyno_Data[RecordType],"Activities",Dyno_Data[DelOrig],"Neut", Dyno_Data[DelMiss],"0")</f>
        <v>0</v>
      </c>
      <c r="BL197">
        <f>COUNTIFS(Dyno_Data[Team],TBA_Matches_All[[#This Row],[Team]],Dyno_Data[Match],TBA_Matches_All[[#This Row],[Match_Number]],Dyno_Data[RecordType],"Activities",Dyno_Data[DelOrig],"Neut", Dyno_Data[DelMiss],"1")</f>
        <v>0</v>
      </c>
      <c r="BM197" s="60">
        <f>IFERROR(SUM((TBA_Matches_All[[#This Row],[NZflrT]])/(TBA_Matches_All[[#This Row],[NZflrT]]+TBA_Matches_All[[#This Row],[NZflrM]])),0)</f>
        <v>0</v>
      </c>
      <c r="BN197">
        <f>COUNTIFS(Dyno_Data[Team],TBA_Matches_All[[#This Row],[Team]],Dyno_Data[Match],TBA_Matches_All[[#This Row],[Match_Number]],Dyno_Data[RecordType],"Activities",Dyno_Data[DelOrig],"AllyW", Dyno_Data[DelMiss],"0")</f>
        <v>3</v>
      </c>
      <c r="BO197">
        <f>COUNTIFS(Dyno_Data[Team],TBA_Matches_All[[#This Row],[Team]],Dyno_Data[Match],TBA_Matches_All[[#This Row],[Match_Number]],Dyno_Data[RecordType],"Activities",Dyno_Data[DelOrig],"AllyW", Dyno_Data[DelMiss],"1")</f>
        <v>1</v>
      </c>
      <c r="BP197" s="60">
        <f>IFERROR(SUM((TBA_Matches_All[[#This Row],[AZflrT]])/(TBA_Matches_All[[#This Row],[AZflrT]]+TBA_Matches_All[[#This Row],[AZflrM]])),0)</f>
        <v>0.75</v>
      </c>
      <c r="BQ197">
        <f>COUNTIFS(Dyno_Data[Team],TBA_Matches_All[[#This Row],[Team]],Dyno_Data[Match],TBA_Matches_All[[#This Row],[Match_Number]],Dyno_Data[RecordType],"Activities",Dyno_Data[DelOrig],"SubW", Dyno_Data[DelMiss],"0")</f>
        <v>1</v>
      </c>
      <c r="BR197">
        <f>COUNTIFS(Dyno_Data[Team],TBA_Matches_All[[#This Row],[Team]],Dyno_Data[Match],TBA_Matches_All[[#This Row],[Match_Number]],Dyno_Data[RecordType],"Activities",Dyno_Data[DelOrig],"SubW", Dyno_Data[DelMiss],"1")</f>
        <v>0</v>
      </c>
      <c r="BS197" s="60">
        <f>IFERROR(SUM((TBA_Matches_All[[#This Row],[SubwT]])/(TBA_Matches_All[[#This Row],[SubwT]]+TBA_Matches_All[[#This Row],[SubwM]])),0)</f>
        <v>1</v>
      </c>
      <c r="BT197">
        <f>COUNTIFS(Dyno_Data[Team],TBA_Matches_All[[#This Row],[Team]],Dyno_Data[Match],TBA_Matches_All[[#This Row],[Match_Number]],Dyno_Data[RecordType],"Activities", Dyno_Data[AcqLoc],"OppWing")</f>
        <v>0</v>
      </c>
      <c r="BU197">
        <f>COUNTIFS(Dyno_Data[Team],TBA_Matches_All[[#This Row],[Team]],Dyno_Data[Match],TBA_Matches_All[[#This Row],[Match_Number]],Dyno_Data[RecordType],"Activities", Dyno_Data[AcqLoc],"Neutral")</f>
        <v>0</v>
      </c>
      <c r="BV197">
        <f>COUNTIFS(Dyno_Data[Team],TBA_Matches_All[[#This Row],[Team]],Dyno_Data[Match],TBA_Matches_All[[#This Row],[Match_Number]],Dyno_Data[RecordType],"Activities", Dyno_Data[AcqLoc],"AllyWing")</f>
        <v>0</v>
      </c>
      <c r="BW197">
        <f>COUNTIFS(Dyno_Data[Team],TBA_Matches_All[[#This Row],[Team]],Dyno_Data[Match],TBA_Matches_All[[#This Row],[Match_Number]],Dyno_Data[RecordType],"Activities", Dyno_Data[AcqLoc],"Source")</f>
        <v>0</v>
      </c>
      <c r="BX197">
        <f>SUMIFS(Dyno_Data[AcqDrp], Dyno_Data[Team],TBA_Matches_All[[#This Row],[Team]],Dyno_Data[Match],TBA_Matches_All[[#This Row],[Match_Number]],Dyno_Data[RecordType],"Activities", Dyno_Data[AcqLoc],"Source")</f>
        <v>0</v>
      </c>
      <c r="BY197">
        <f>SUMIFS(Dyno_Data[OZTime], Dyno_Data[Team],TBA_Matches_All[[#This Row],[Team]],Dyno_Data[Match],TBA_Matches_All[[#This Row],[Match_Number]],Dyno_Data[RecordType],"EndMatch")</f>
        <v>0</v>
      </c>
      <c r="BZ197">
        <f>SUMIFS(Dyno_Data[NZTime], Dyno_Data[Team],TBA_Matches_All[[#This Row],[Team]],Dyno_Data[Match],TBA_Matches_All[[#This Row],[Match_Number]],Dyno_Data[RecordType],"EndMatch")</f>
        <v>37.212438800000001</v>
      </c>
      <c r="CA197">
        <f>SUMIFS(Dyno_Data[AZTime], Dyno_Data[Team],TBA_Matches_All[[#This Row],[Team]],Dyno_Data[Match],TBA_Matches_All[[#This Row],[Match_Number]],Dyno_Data[RecordType],"EndMatch")</f>
        <v>91.324595699999989</v>
      </c>
      <c r="CB197">
        <f>SUMIFS(Dyno_Data[ClimbT], Dyno_Data[Team],TBA_Matches_All[[#This Row],[Team]],Dyno_Data[Match],TBA_Matches_All[[#This Row],[Match_Number]],Dyno_Data[RecordType],"EndMatch")</f>
        <v>4.1287130999999997</v>
      </c>
      <c r="CC197" t="str">
        <f>_xlfn.XLOOKUP(SUM(MID(TBA_Matches_All[[#This Row],[Team]],4,5),(TBA_Matches_All[[#This Row],[Match_Number]]/100)),Dyno_EndMatch[teammat],Dyno_EndMatch[StageStat],"_",0,1)</f>
        <v>Park</v>
      </c>
      <c r="CD197" t="str">
        <f>_xlfn.XLOOKUP(TBA_Matches_All[[#This Row],[teammat]],Dyno_EndMatch[teammat],Dyno_EndMatch[StageAtt],"_",0,1)</f>
        <v>-1</v>
      </c>
      <c r="CE197" t="str">
        <f>_xlfn.XLOOKUP(TBA_Matches_All[[#This Row],[teammat]],Dyno_EndMatch[teammat],Dyno_EndMatch[StageLoc],"_",0,1)</f>
        <v>A</v>
      </c>
      <c r="CF197">
        <f>SUMIFS(Dyno_Data[Harmony], Dyno_Data[Team],TBA_Matches_All[[#This Row],[Team]],Dyno_Data[Match],TBA_Matches_All[[#This Row],[Match_Number]],Dyno_Data[RecordType],"EndMatch", Dyno_Data[StageStat],"On",Dyno_Data[Harmony],"&lt;&gt;9")</f>
        <v>0</v>
      </c>
      <c r="CG197">
        <f>SUMIFS(Dyno_Data[Spotlit], Dyno_Data[Team],TBA_Matches_All[[#This Row],[Team]],Dyno_Data[Match],TBA_Matches_All[[#This Row],[Match_Number]],Dyno_Data[RecordType],"EndMatch", Dyno_Data[StageStat],"On",Dyno_Data[Spotlit],"&lt;&gt;9")</f>
        <v>0</v>
      </c>
      <c r="CH197" t="str">
        <f>_xlfn.XLOOKUP(TBA_Matches_All[[#This Row],[teammat]],Dyno_EndMatch[teammat],Dyno_EndMatch[Strategy],"_",0,1)</f>
        <v>Defense</v>
      </c>
      <c r="CI197">
        <f>SUMIFS(Dyno_Data[Defense], Dyno_Data[Team],TBA_Matches_All[[#This Row],[Team]],Dyno_Data[Match],TBA_Matches_All[[#This Row],[Match_Number]],Dyno_Data[RecordType],"EndMatch",Dyno_Data[Defense],"&lt;&gt;9")</f>
        <v>2</v>
      </c>
      <c r="CJ197">
        <f>SUMIFS(Dyno_Data[Avoidance], Dyno_Data[Team],TBA_Matches_All[[#This Row],[Team]],Dyno_Data[Match],TBA_Matches_All[[#This Row],[Match_Number]],Dyno_Data[RecordType],"EndMatch",Dyno_Data[Avoidance],"&lt;&gt;9")</f>
        <v>0</v>
      </c>
      <c r="CK197" s="82">
        <f>COUNTIF($H$2:TBA_Matches_All[[#This Row],[Team]],TBA_Matches_All[[#This Row],[Team]])</f>
        <v>4</v>
      </c>
      <c r="CL197" s="111">
        <f>SUM(MID(TBA_Matches_All[[#This Row],[Team]],4,5)+TBA_Matches_All[[#This Row],[Match_Number]]/100)</f>
        <v>3951.33</v>
      </c>
      <c r="CM197">
        <f>SUM((TBA_Matches_All[[#This Row],[Leave]]*2)+(TBA_Matches_All[[#This Row],[AampT]]*2)+(TBA_Matches_All[[#This Row],[AspkrT]]*5)+(TBA_Matches_All[[#This Row],[AtrapT]]*5))</f>
        <v>12</v>
      </c>
      <c r="CN197" s="59">
        <f>IFERROR(SUM(TBA_Matches_All[[#This Row],[AptsT]]/TBA_Matches_All[[#This Row],[AutoPts]]),0)</f>
        <v>0.8571428571428571</v>
      </c>
      <c r="CO197" s="59">
        <f>IFERROR(SUM(TBA_Matches_All[[#This Row],[AampT]]+TBA_Matches_All[[#This Row],[AspkrT]]+TBA_Matches_All[[#This Row],[AtrapT]]/TBA_Matches_All[[#This Row],[Aamp]]+TBA_Matches_All[[#This Row],[Aspkr]]+TBA_Matches_All[[#This Row],[AtrapT]]),0)</f>
        <v>0</v>
      </c>
      <c r="CP197" s="59">
        <f>IFERROR(SUM(TBA_Matches_All[[#This Row],[TampT]]/TBA_Matches_All[[#This Row],[Tamp]]),0)</f>
        <v>1</v>
      </c>
      <c r="CQ197" s="59">
        <f>IFERROR(SUM(TBA_Matches_All[[#This Row],[TspkrT]]/TBA_Matches_All[[#This Row],[Tspkr]]),0)</f>
        <v>0</v>
      </c>
      <c r="CR197">
        <f>SUM(TBA_Matches_All[[#This Row],[TspkrPts]]*TBA_Matches_All[[#This Row],[TspkrP]])</f>
        <v>0</v>
      </c>
      <c r="CS197" s="59">
        <f>IFERROR(SUM(TBA_Matches_All[[#This Row],[TtrapT]]/TBA_Matches_All[[#This Row],[Trap]]),0)</f>
        <v>0</v>
      </c>
      <c r="CT197" s="59">
        <f>IFERROR(SUM(TBA_Matches_All[[#This Row],[TotNotesT]]/TBA_Matches_All[[#This Row],[TotNotes]]),0)</f>
        <v>0.4</v>
      </c>
      <c r="CU197" s="66">
        <f>SUM((TBA_Matches_All[[#This Row],[AampT]]*2)+(TBA_Matches_All[[#This Row],[AspkrT]]*5)+(TBA_Matches_All[[#This Row],[AtrapT]]*5)+(TBA_Matches_All[[#This Row],[TampT]]*1)+(TBA_Matches_All[[#This Row],[TspkrptsC]]))</f>
        <v>12</v>
      </c>
      <c r="CV197" s="59">
        <f>IFERROR(TBA_Matches_All[[#This Row],[noteptsT]]/TBA_Matches_All[[#This Row],[NotePts]],0)</f>
        <v>0.5</v>
      </c>
      <c r="CW197">
        <f>SUM(IF(TBA_Matches_All[[#This Row],[stageStat]]="On",3,0),IF(TBA_Matches_All[[#This Row],[stageStat]]="Park",1,0),SUMIFS(TBA_Matches_All[[#This Row],[Spotlit]],TBA_Matches_All[[#This Row],[stageStat]],"On"),SUMIFS(TBA_Matches_All[[#This Row],[Harmony]],TBA_Matches_All[[#This Row],[stageStat]],"On"))</f>
        <v>1</v>
      </c>
      <c r="CX197" s="59">
        <f>IFERROR(TBA_Matches_All[[#This Row],[stageptsT]]/TBA_Matches_All[[#This Row],[StagePts]],0)</f>
        <v>0.2</v>
      </c>
      <c r="CY197">
        <f>SUM((TBA_Matches_All[[#This Row],[AptsT]]+TBA_Matches_All[[#This Row],[TampT]]+TBA_Matches_All[[#This Row],[TspkrptsC]]+(TBA_Matches_All[[#This Row],[TtrapT]]*5)+TBA_Matches_All[[#This Row],[stageptsT]]))</f>
        <v>15</v>
      </c>
      <c r="CZ197" s="59">
        <f>IFERROR(SUM(TBA_Matches_All[[#This Row],[TotptsC]]/TBA_Matches_All[[#This Row],[Score]]),0)</f>
        <v>0.45454545454545453</v>
      </c>
      <c r="DA19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4.55</v>
      </c>
      <c r="DB197" s="74">
        <f>SUMIFS(TBA_Matches_All[AveTeamTNoteDels],TBA_Matches_All[Match_Number],TBA_Matches_All[[#This Row],[Match_Number]],TBA_Matches_All[Alliance],"&lt;&gt;"&amp;TBA_Matches_All[[#This Row],[Alliance]],TBA_Matches_All[Scouted],"&gt;0")</f>
        <v>19.285714285714285</v>
      </c>
      <c r="DC197" s="74">
        <f>(TBA_Matches_All[[#This Row],[TampT]]+TBA_Matches_All[[#This Row],[TspkrptsC]])-TBA_Matches_All[[#This Row],[AveTeamTNoteDels]]</f>
        <v>-2.5499999999999998</v>
      </c>
      <c r="DD197" s="74">
        <f>SUMIFS(TBA_Matches_All[AveTeamTNoteDels],TBA_Matches_All[Match_Number],TBA_Matches_All[[#This Row],[Match_Number]],TBA_Matches_All[Alliance],"&lt;&gt;"&amp;TBA_Matches_All[[#This Row],[Alliance]])-TBA_Matches_All[[#This Row],[AveOppTNoteDels]]</f>
        <v>0</v>
      </c>
    </row>
    <row r="198" spans="1:108" x14ac:dyDescent="0.3">
      <c r="A198" t="s">
        <v>1042</v>
      </c>
      <c r="B198" t="s">
        <v>489</v>
      </c>
      <c r="C198" t="s">
        <v>1342</v>
      </c>
      <c r="D198">
        <v>33</v>
      </c>
      <c r="E198" t="s">
        <v>1406</v>
      </c>
      <c r="F198" t="s">
        <v>1424</v>
      </c>
      <c r="G198" t="s">
        <v>1409</v>
      </c>
      <c r="H198" t="s">
        <v>1289</v>
      </c>
      <c r="I198" t="b">
        <v>1</v>
      </c>
      <c r="J198">
        <v>57</v>
      </c>
      <c r="K198">
        <v>0</v>
      </c>
      <c r="L198">
        <v>0</v>
      </c>
      <c r="M198">
        <v>0</v>
      </c>
      <c r="N198">
        <v>0</v>
      </c>
      <c r="O198">
        <v>3</v>
      </c>
      <c r="P198">
        <v>15</v>
      </c>
      <c r="Q198">
        <v>21</v>
      </c>
      <c r="R198">
        <v>1</v>
      </c>
      <c r="S198">
        <v>0</v>
      </c>
      <c r="T198">
        <v>10</v>
      </c>
      <c r="U198">
        <v>0</v>
      </c>
      <c r="V198">
        <v>20</v>
      </c>
      <c r="W198">
        <v>10</v>
      </c>
      <c r="X198">
        <v>20</v>
      </c>
      <c r="Y198">
        <v>21</v>
      </c>
      <c r="Z198">
        <v>0</v>
      </c>
      <c r="AA198">
        <v>0</v>
      </c>
      <c r="AB198">
        <v>14</v>
      </c>
      <c r="AC198">
        <v>36</v>
      </c>
      <c r="AD198">
        <v>5</v>
      </c>
      <c r="AE198">
        <f>IFERROR(6/(COUNTIF(Dyno_EndMatch[Match],TBA_Matches_All[[#This Row],[Match_Number]])),0)</f>
        <v>1</v>
      </c>
      <c r="AF198">
        <f>COUNTIFS(Dyno_Data[Team],TBA_Matches_All[[#This Row],[Team]],Dyno_Data[Match],TBA_Matches_All[[#This Row],[Match_Number]],Dyno_Data[RecordType],"EndMatch",Dyno_Data[HPAmp],"Y")</f>
        <v>0</v>
      </c>
      <c r="AG198">
        <f>SUMIFS(Dyno_Data[Mics], Dyno_Data[Team],TBA_Matches_All[[#This Row],[Team]],Dyno_Data[Match],TBA_Matches_All[[#This Row],[Match_Number]],Dyno_Data[RecordType],"EndMatch",Dyno_Data[HPAmp],"Y")</f>
        <v>0</v>
      </c>
      <c r="AH198">
        <f>SUMIFS(Dyno_Data[Leave], Dyno_Data[Team],TBA_Matches_All[[#This Row],[Team]],Dyno_Data[Match],TBA_Matches_All[[#This Row],[Match_Number]],Dyno_Data[RecordType],"EndAuto")</f>
        <v>1</v>
      </c>
      <c r="AI198">
        <f>COUNTIFS(Dyno_Data[Team],TBA_Matches_All[[#This Row],[Team]],Dyno_Data[Match],TBA_Matches_All[[#This Row],[Match_Number]],Dyno_Data[RecordType],"Activities",Dyno_Data[DelDest],"Amp", Dyno_Data[DelMiss],"0", Dyno_Data[Mode],"Auto")</f>
        <v>0</v>
      </c>
      <c r="AJ198">
        <f>COUNTIFS(Dyno_Data[Team],TBA_Matches_All[[#This Row],[Team]],Dyno_Data[Match],TBA_Matches_All[[#This Row],[Match_Number]],Dyno_Data[RecordType],"Activities",Dyno_Data[DelDest],"Spkr", Dyno_Data[DelMiss],"0", Dyno_Data[Mode],"Auto")</f>
        <v>0</v>
      </c>
      <c r="AK198">
        <f>COUNTIFS(Dyno_Data[Team],TBA_Matches_All[[#This Row],[Team]],Dyno_Data[Match],TBA_Matches_All[[#This Row],[Match_Number]],Dyno_Data[RecordType],"Activities",Dyno_Data[DelDest],"Trap", Dyno_Data[DelMiss],"0", Dyno_Data[Mode],"Auto")</f>
        <v>0</v>
      </c>
      <c r="AL198">
        <f>COUNTIFS(Dyno_Data[Team],TBA_Matches_All[[#This Row],[Team]],Dyno_Data[Match],TBA_Matches_All[[#This Row],[Match_Number]],Dyno_Data[RecordType],"Activities",Dyno_Data[DelDest],"Amp", Dyno_Data[DelMiss],"0", Dyno_Data[Mode],"Teleop")</f>
        <v>1</v>
      </c>
      <c r="AM198">
        <f>COUNTIFS(Dyno_Data[Team],TBA_Matches_All[[#This Row],[Team]],Dyno_Data[Match],TBA_Matches_All[[#This Row],[Match_Number]],Dyno_Data[RecordType],"Activities",Dyno_Data[DelDest],"Spkr", Dyno_Data[DelMiss],"0", Dyno_Data[Mode],"Teleop")</f>
        <v>0</v>
      </c>
      <c r="AN198">
        <f>COUNTIFS(Dyno_Data[Team],TBA_Matches_All[[#This Row],[Team]],Dyno_Data[Match],TBA_Matches_All[[#This Row],[Match_Number]],Dyno_Data[RecordType],"Activities",Dyno_Data[DelDest],"Trap", Dyno_Data[DelMiss],"0", Dyno_Data[Mode],"&lt;&gt;Auto")</f>
        <v>0</v>
      </c>
      <c r="AO198">
        <f>SUM(TBA_Matches_All[[#This Row],[AampT]]+TBA_Matches_All[[#This Row],[AspkrT]]+TBA_Matches_All[[#This Row],[AtrapT]]+TBA_Matches_All[[#This Row],[TampT]]+TBA_Matches_All[[#This Row],[TspkrT]]+TBA_Matches_All[[#This Row],[TtrapT]])</f>
        <v>1</v>
      </c>
      <c r="AP198">
        <f>COUNTIFS(Dyno_Data[Team],TBA_Matches_All[[#This Row],[Team]],Dyno_Data[Match],TBA_Matches_All[[#This Row],[Match_Number]],Dyno_Data[RecordType],"Activities",Dyno_Data[DelDest],"Neut", Dyno_Data[DelMiss],"0")</f>
        <v>0</v>
      </c>
      <c r="AQ198">
        <f>COUNTIFS(Dyno_Data[Team],TBA_Matches_All[[#This Row],[Team]],Dyno_Data[Match],TBA_Matches_All[[#This Row],[Match_Number]],Dyno_Data[RecordType],"Activities",Dyno_Data[DelDest],"AllyW", Dyno_Data[DelMiss],"0")</f>
        <v>0</v>
      </c>
      <c r="AR198" t="str">
        <f>_xlfn.XLOOKUP(SUM(MID(TBA_Matches_All[[#This Row],[Team]],4,5),(TBA_Matches_All[[#This Row],[Match_Number]]/100)),Dyno_EndMatch[teammat],Dyno_EndMatch[RobotSta],"_",0,1)</f>
        <v>OppS</v>
      </c>
      <c r="AS198">
        <f>SUMIFS(Dyno_Data[AcqDis], Dyno_Data[Team],TBA_Matches_All[[#This Row],[Team]],Dyno_Data[Match],TBA_Matches_All[[#This Row],[Match_Number]],Dyno_Data[RecordType],"Activities", Dyno_Data[AcqCenter],1,Dyno_Data[Mode],"Auto")</f>
        <v>0</v>
      </c>
      <c r="AT198">
        <f>SUMIFS(Dyno_Data[AcqDis], Dyno_Data[Team],TBA_Matches_All[[#This Row],[Team]],Dyno_Data[Match],TBA_Matches_All[[#This Row],[Match_Number]],Dyno_Data[RecordType],"Activities", Dyno_Data[AcqCenter],2,Dyno_Data[Mode],"Auto")</f>
        <v>0</v>
      </c>
      <c r="AU198">
        <f>SUMIFS(Dyno_Data[AcqDis], Dyno_Data[Team],TBA_Matches_All[[#This Row],[Team]],Dyno_Data[Match],TBA_Matches_All[[#This Row],[Match_Number]],Dyno_Data[RecordType],"Activities", Dyno_Data[AcqCenter],3,Dyno_Data[Mode],"Auto")</f>
        <v>0</v>
      </c>
      <c r="AV198">
        <f>SUMIFS(Dyno_Data[AcqDis], Dyno_Data[Team],TBA_Matches_All[[#This Row],[Team]],Dyno_Data[Match],TBA_Matches_All[[#This Row],[Match_Number]],Dyno_Data[RecordType],"Activities", Dyno_Data[AcqCenter],4,Dyno_Data[Mode],"Auto")</f>
        <v>0</v>
      </c>
      <c r="AW198">
        <f>SUMIFS(Dyno_Data[AcqDis], Dyno_Data[Team],TBA_Matches_All[[#This Row],[Team]],Dyno_Data[Match],TBA_Matches_All[[#This Row],[Match_Number]],Dyno_Data[RecordType],"Activities", Dyno_Data[AcqCenter],5,Dyno_Data[Mode],"Auto")</f>
        <v>0</v>
      </c>
      <c r="AX198">
        <f>SUMIFS(Dyno_Data[DelMiss], Dyno_Data[Team],TBA_Matches_All[[#This Row],[Team]],Dyno_Data[Match],TBA_Matches_All[[#This Row],[Match_Number]],Dyno_Data[RecordType],"Activities", Dyno_Data[DelDest],"Amp")</f>
        <v>0</v>
      </c>
      <c r="AY198" s="60">
        <f>IFERROR(SUM((TBA_Matches_All[[#This Row],[AampT]]+TBA_Matches_All[[#This Row],[TampT]])/(TBA_Matches_All[[#This Row],[AampT]]+TBA_Matches_All[[#This Row],[TampT]]+TBA_Matches_All[[#This Row],[ampM]])),0)</f>
        <v>1</v>
      </c>
      <c r="AZ198">
        <f>SUMIFS(Dyno_Data[DelMiss], Dyno_Data[Team],TBA_Matches_All[[#This Row],[Team]],Dyno_Data[Match],TBA_Matches_All[[#This Row],[Match_Number]],Dyno_Data[RecordType],"Activities", Dyno_Data[DelDest],"Spkr")</f>
        <v>0</v>
      </c>
      <c r="BA198" s="60">
        <f>IFERROR(SUM((TBA_Matches_All[[#This Row],[AspkrT]]+TBA_Matches_All[[#This Row],[TspkrT]])/(TBA_Matches_All[[#This Row],[AspkrT]]+TBA_Matches_All[[#This Row],[TspkrT]]+TBA_Matches_All[[#This Row],[spkrM]])),0)</f>
        <v>0</v>
      </c>
      <c r="BB198">
        <f>SUMIFS(Dyno_Data[DelMiss], Dyno_Data[Team],TBA_Matches_All[[#This Row],[Team]],Dyno_Data[Match],TBA_Matches_All[[#This Row],[Match_Number]],Dyno_Data[RecordType],"Activities", Dyno_Data[DelDest],"Trap")</f>
        <v>0</v>
      </c>
      <c r="BC198" s="60">
        <f>IFERROR((TBA_Matches_All[[#This Row],[AtrapT]]+TBA_Matches_All[[#This Row],[TtrapT]])/(TBA_Matches_All[[#This Row],[AtrapT]]+TBA_Matches_All[[#This Row],[TtrapT]]+TBA_Matches_All[[#This Row],[trapM]]),0)</f>
        <v>0</v>
      </c>
      <c r="BD198">
        <f>COUNTIFS(Dyno_Data[Team],TBA_Matches_All[[#This Row],[Team]],Dyno_Data[Match],TBA_Matches_All[[#This Row],[Match_Number]],Dyno_Data[RecordType],"Activities",Dyno_Data[DelDest],"Neut", Dyno_Data[DelMiss],1)</f>
        <v>0</v>
      </c>
      <c r="BE198" s="60">
        <f>IFERROR(SUM((TBA_Matches_All[[#This Row],[NeutFlrT]])/(TBA_Matches_All[[#This Row],[NeutFlrT]]+TBA_Matches_All[[#This Row],[NZflM]])),0)</f>
        <v>0</v>
      </c>
      <c r="BF198">
        <f>COUNTIFS(Dyno_Data[Team],TBA_Matches_All[[#This Row],[Team]],Dyno_Data[Match],TBA_Matches_All[[#This Row],[Match_Number]],Dyno_Data[RecordType],"Activities",Dyno_Data[DelDest],"AllyW", Dyno_Data[DelMiss],1)</f>
        <v>0</v>
      </c>
      <c r="BG198" s="60">
        <f>IFERROR(SUM((TBA_Matches_All[[#This Row],[AllyWFlrT]])/(TBA_Matches_All[[#This Row],[AllyWFlrT]]+TBA_Matches_All[[#This Row],[AZflM]])),0)</f>
        <v>0</v>
      </c>
      <c r="BH198">
        <f>COUNTIFS(Dyno_Data[Team],TBA_Matches_All[[#This Row],[Team]],Dyno_Data[Match],TBA_Matches_All[[#This Row],[Match_Number]],Dyno_Data[RecordType],"Activities",Dyno_Data[DelOrig],"OppW", Dyno_Data[DelMiss],"0")</f>
        <v>0</v>
      </c>
      <c r="BI198">
        <f>COUNTIFS(Dyno_Data[Team],TBA_Matches_All[[#This Row],[Team]],Dyno_Data[Match],TBA_Matches_All[[#This Row],[Match_Number]],Dyno_Data[RecordType],"Activities",Dyno_Data[DelOrig],"OppW", Dyno_Data[DelMiss],"1")</f>
        <v>0</v>
      </c>
      <c r="BJ198" s="60">
        <f>IFERROR(SUM((TBA_Matches_All[[#This Row],[OZflrT]])/(TBA_Matches_All[[#This Row],[OZflrT]]+TBA_Matches_All[[#This Row],[OZflrM]])),0)</f>
        <v>0</v>
      </c>
      <c r="BK198">
        <f>COUNTIFS(Dyno_Data[Team],TBA_Matches_All[[#This Row],[Team]],Dyno_Data[Match],TBA_Matches_All[[#This Row],[Match_Number]],Dyno_Data[RecordType],"Activities",Dyno_Data[DelOrig],"Neut", Dyno_Data[DelMiss],"0")</f>
        <v>0</v>
      </c>
      <c r="BL198">
        <f>COUNTIFS(Dyno_Data[Team],TBA_Matches_All[[#This Row],[Team]],Dyno_Data[Match],TBA_Matches_All[[#This Row],[Match_Number]],Dyno_Data[RecordType],"Activities",Dyno_Data[DelOrig],"Neut", Dyno_Data[DelMiss],"1")</f>
        <v>0</v>
      </c>
      <c r="BM198" s="60">
        <f>IFERROR(SUM((TBA_Matches_All[[#This Row],[NZflrT]])/(TBA_Matches_All[[#This Row],[NZflrT]]+TBA_Matches_All[[#This Row],[NZflrM]])),0)</f>
        <v>0</v>
      </c>
      <c r="BN198">
        <f>COUNTIFS(Dyno_Data[Team],TBA_Matches_All[[#This Row],[Team]],Dyno_Data[Match],TBA_Matches_All[[#This Row],[Match_Number]],Dyno_Data[RecordType],"Activities",Dyno_Data[DelOrig],"AllyW", Dyno_Data[DelMiss],"0")</f>
        <v>1</v>
      </c>
      <c r="BO198">
        <f>COUNTIFS(Dyno_Data[Team],TBA_Matches_All[[#This Row],[Team]],Dyno_Data[Match],TBA_Matches_All[[#This Row],[Match_Number]],Dyno_Data[RecordType],"Activities",Dyno_Data[DelOrig],"AllyW", Dyno_Data[DelMiss],"1")</f>
        <v>0</v>
      </c>
      <c r="BP198" s="60">
        <f>IFERROR(SUM((TBA_Matches_All[[#This Row],[AZflrT]])/(TBA_Matches_All[[#This Row],[AZflrT]]+TBA_Matches_All[[#This Row],[AZflrM]])),0)</f>
        <v>1</v>
      </c>
      <c r="BQ198">
        <f>COUNTIFS(Dyno_Data[Team],TBA_Matches_All[[#This Row],[Team]],Dyno_Data[Match],TBA_Matches_All[[#This Row],[Match_Number]],Dyno_Data[RecordType],"Activities",Dyno_Data[DelOrig],"SubW", Dyno_Data[DelMiss],"0")</f>
        <v>0</v>
      </c>
      <c r="BR198">
        <f>COUNTIFS(Dyno_Data[Team],TBA_Matches_All[[#This Row],[Team]],Dyno_Data[Match],TBA_Matches_All[[#This Row],[Match_Number]],Dyno_Data[RecordType],"Activities",Dyno_Data[DelOrig],"SubW", Dyno_Data[DelMiss],"1")</f>
        <v>0</v>
      </c>
      <c r="BS198" s="60">
        <f>IFERROR(SUM((TBA_Matches_All[[#This Row],[SubwT]])/(TBA_Matches_All[[#This Row],[SubwT]]+TBA_Matches_All[[#This Row],[SubwM]])),0)</f>
        <v>0</v>
      </c>
      <c r="BT198">
        <f>COUNTIFS(Dyno_Data[Team],TBA_Matches_All[[#This Row],[Team]],Dyno_Data[Match],TBA_Matches_All[[#This Row],[Match_Number]],Dyno_Data[RecordType],"Activities", Dyno_Data[AcqLoc],"OppWing")</f>
        <v>0</v>
      </c>
      <c r="BU198">
        <f>COUNTIFS(Dyno_Data[Team],TBA_Matches_All[[#This Row],[Team]],Dyno_Data[Match],TBA_Matches_All[[#This Row],[Match_Number]],Dyno_Data[RecordType],"Activities", Dyno_Data[AcqLoc],"Neutral")</f>
        <v>0</v>
      </c>
      <c r="BV198">
        <f>COUNTIFS(Dyno_Data[Team],TBA_Matches_All[[#This Row],[Team]],Dyno_Data[Match],TBA_Matches_All[[#This Row],[Match_Number]],Dyno_Data[RecordType],"Activities", Dyno_Data[AcqLoc],"AllyWing")</f>
        <v>0</v>
      </c>
      <c r="BW198">
        <f>COUNTIFS(Dyno_Data[Team],TBA_Matches_All[[#This Row],[Team]],Dyno_Data[Match],TBA_Matches_All[[#This Row],[Match_Number]],Dyno_Data[RecordType],"Activities", Dyno_Data[AcqLoc],"Source")</f>
        <v>0</v>
      </c>
      <c r="BX198">
        <f>SUMIFS(Dyno_Data[AcqDrp], Dyno_Data[Team],TBA_Matches_All[[#This Row],[Team]],Dyno_Data[Match],TBA_Matches_All[[#This Row],[Match_Number]],Dyno_Data[RecordType],"Activities", Dyno_Data[AcqLoc],"Source")</f>
        <v>0</v>
      </c>
      <c r="BY198">
        <f>SUMIFS(Dyno_Data[OZTime], Dyno_Data[Team],TBA_Matches_All[[#This Row],[Team]],Dyno_Data[Match],TBA_Matches_All[[#This Row],[Match_Number]],Dyno_Data[RecordType],"EndMatch")</f>
        <v>60.982821799999996</v>
      </c>
      <c r="BZ198">
        <f>SUMIFS(Dyno_Data[NZTime], Dyno_Data[Team],TBA_Matches_All[[#This Row],[Team]],Dyno_Data[Match],TBA_Matches_All[[#This Row],[Match_Number]],Dyno_Data[RecordType],"EndMatch")</f>
        <v>40.347897599999996</v>
      </c>
      <c r="CA198">
        <f>SUMIFS(Dyno_Data[AZTime], Dyno_Data[Team],TBA_Matches_All[[#This Row],[Team]],Dyno_Data[Match],TBA_Matches_All[[#This Row],[Match_Number]],Dyno_Data[RecordType],"EndMatch")</f>
        <v>32.716366100000002</v>
      </c>
      <c r="CB198">
        <f>SUMIFS(Dyno_Data[ClimbT], Dyno_Data[Team],TBA_Matches_All[[#This Row],[Team]],Dyno_Data[Match],TBA_Matches_All[[#This Row],[Match_Number]],Dyno_Data[RecordType],"EndMatch")</f>
        <v>0</v>
      </c>
      <c r="CC198" t="str">
        <f>_xlfn.XLOOKUP(SUM(MID(TBA_Matches_All[[#This Row],[Team]],4,5),(TBA_Matches_All[[#This Row],[Match_Number]]/100)),Dyno_EndMatch[teammat],Dyno_EndMatch[StageStat],"_",0,1)</f>
        <v>Park</v>
      </c>
      <c r="CD198" t="str">
        <f>_xlfn.XLOOKUP(TBA_Matches_All[[#This Row],[teammat]],Dyno_EndMatch[teammat],Dyno_EndMatch[StageAtt],"_",0,1)</f>
        <v>0</v>
      </c>
      <c r="CE198" t="str">
        <f>_xlfn.XLOOKUP(TBA_Matches_All[[#This Row],[teammat]],Dyno_EndMatch[teammat],Dyno_EndMatch[StageLoc],"_",0,1)</f>
        <v>A</v>
      </c>
      <c r="CF198">
        <f>SUMIFS(Dyno_Data[Harmony], Dyno_Data[Team],TBA_Matches_All[[#This Row],[Team]],Dyno_Data[Match],TBA_Matches_All[[#This Row],[Match_Number]],Dyno_Data[RecordType],"EndMatch", Dyno_Data[StageStat],"On",Dyno_Data[Harmony],"&lt;&gt;9")</f>
        <v>0</v>
      </c>
      <c r="CG198">
        <f>SUMIFS(Dyno_Data[Spotlit], Dyno_Data[Team],TBA_Matches_All[[#This Row],[Team]],Dyno_Data[Match],TBA_Matches_All[[#This Row],[Match_Number]],Dyno_Data[RecordType],"EndMatch", Dyno_Data[StageStat],"On",Dyno_Data[Spotlit],"&lt;&gt;9")</f>
        <v>0</v>
      </c>
      <c r="CH198" t="str">
        <f>_xlfn.XLOOKUP(TBA_Matches_All[[#This Row],[teammat]],Dyno_EndMatch[teammat],Dyno_EndMatch[Strategy],"_",0,1)</f>
        <v>None</v>
      </c>
      <c r="CI198">
        <f>SUMIFS(Dyno_Data[Defense], Dyno_Data[Team],TBA_Matches_All[[#This Row],[Team]],Dyno_Data[Match],TBA_Matches_All[[#This Row],[Match_Number]],Dyno_Data[RecordType],"EndMatch",Dyno_Data[Defense],"&lt;&gt;9")</f>
        <v>2</v>
      </c>
      <c r="CJ198">
        <f>SUMIFS(Dyno_Data[Avoidance], Dyno_Data[Team],TBA_Matches_All[[#This Row],[Team]],Dyno_Data[Match],TBA_Matches_All[[#This Row],[Match_Number]],Dyno_Data[RecordType],"EndMatch",Dyno_Data[Avoidance],"&lt;&gt;9")</f>
        <v>0</v>
      </c>
      <c r="CK198" s="82">
        <f>COUNTIF($H$2:TBA_Matches_All[[#This Row],[Team]],TBA_Matches_All[[#This Row],[Team]])</f>
        <v>4</v>
      </c>
      <c r="CL198" s="111">
        <f>SUM(MID(TBA_Matches_All[[#This Row],[Team]],4,5)+TBA_Matches_All[[#This Row],[Match_Number]]/100)</f>
        <v>6648.33</v>
      </c>
      <c r="CM198">
        <f>SUM((TBA_Matches_All[[#This Row],[Leave]]*2)+(TBA_Matches_All[[#This Row],[AampT]]*2)+(TBA_Matches_All[[#This Row],[AspkrT]]*5)+(TBA_Matches_All[[#This Row],[AtrapT]]*5))</f>
        <v>2</v>
      </c>
      <c r="CN198" s="59">
        <f>IFERROR(SUM(TBA_Matches_All[[#This Row],[AptsT]]/TBA_Matches_All[[#This Row],[AutoPts]]),0)</f>
        <v>9.5238095238095233E-2</v>
      </c>
      <c r="CO198" s="59">
        <f>IFERROR(SUM(TBA_Matches_All[[#This Row],[AampT]]+TBA_Matches_All[[#This Row],[AspkrT]]+TBA_Matches_All[[#This Row],[AtrapT]]/TBA_Matches_All[[#This Row],[Aamp]]+TBA_Matches_All[[#This Row],[Aspkr]]+TBA_Matches_All[[#This Row],[AtrapT]]),0)</f>
        <v>0</v>
      </c>
      <c r="CP198" s="59">
        <f>IFERROR(SUM(TBA_Matches_All[[#This Row],[TampT]]/TBA_Matches_All[[#This Row],[Tamp]]),0)</f>
        <v>1</v>
      </c>
      <c r="CQ198" s="59">
        <f>IFERROR(SUM(TBA_Matches_All[[#This Row],[TspkrT]]/TBA_Matches_All[[#This Row],[Tspkr]]),0)</f>
        <v>0</v>
      </c>
      <c r="CR198">
        <f>SUM(TBA_Matches_All[[#This Row],[TspkrPts]]*TBA_Matches_All[[#This Row],[TspkrP]])</f>
        <v>0</v>
      </c>
      <c r="CS198" s="59">
        <f>IFERROR(SUM(TBA_Matches_All[[#This Row],[TtrapT]]/TBA_Matches_All[[#This Row],[Trap]]),0)</f>
        <v>0</v>
      </c>
      <c r="CT198" s="59">
        <f>IFERROR(SUM(TBA_Matches_All[[#This Row],[TotNotesT]]/TBA_Matches_All[[#This Row],[TotNotes]]),0)</f>
        <v>7.1428571428571425E-2</v>
      </c>
      <c r="CU198" s="66">
        <f>SUM((TBA_Matches_All[[#This Row],[AampT]]*2)+(TBA_Matches_All[[#This Row],[AspkrT]]*5)+(TBA_Matches_All[[#This Row],[AtrapT]]*5)+(TBA_Matches_All[[#This Row],[TampT]]*1)+(TBA_Matches_All[[#This Row],[TspkrptsC]]))</f>
        <v>1</v>
      </c>
      <c r="CV198" s="59">
        <f>IFERROR(TBA_Matches_All[[#This Row],[noteptsT]]/TBA_Matches_All[[#This Row],[NotePts]],0)</f>
        <v>2.7777777777777776E-2</v>
      </c>
      <c r="CW198">
        <f>SUM(IF(TBA_Matches_All[[#This Row],[stageStat]]="On",3,0),IF(TBA_Matches_All[[#This Row],[stageStat]]="Park",1,0),SUMIFS(TBA_Matches_All[[#This Row],[Spotlit]],TBA_Matches_All[[#This Row],[stageStat]],"On"),SUMIFS(TBA_Matches_All[[#This Row],[Harmony]],TBA_Matches_All[[#This Row],[stageStat]],"On"))</f>
        <v>1</v>
      </c>
      <c r="CX198" s="59">
        <f>IFERROR(TBA_Matches_All[[#This Row],[stageptsT]]/TBA_Matches_All[[#This Row],[StagePts]],0)</f>
        <v>0.2</v>
      </c>
      <c r="CY198">
        <f>SUM((TBA_Matches_All[[#This Row],[AptsT]]+TBA_Matches_All[[#This Row],[TampT]]+TBA_Matches_All[[#This Row],[TspkrptsC]]+(TBA_Matches_All[[#This Row],[TtrapT]]*5)+TBA_Matches_All[[#This Row],[stageptsT]]))</f>
        <v>4</v>
      </c>
      <c r="CZ198" s="59">
        <f>IFERROR(SUM(TBA_Matches_All[[#This Row],[TotptsC]]/TBA_Matches_All[[#This Row],[Score]]),0)</f>
        <v>7.0175438596491224E-2</v>
      </c>
      <c r="DA19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0.2</v>
      </c>
      <c r="DB198" s="74">
        <f>SUMIFS(TBA_Matches_All[AveTeamTNoteDels],TBA_Matches_All[Match_Number],TBA_Matches_All[[#This Row],[Match_Number]],TBA_Matches_All[Alliance],"&lt;&gt;"&amp;TBA_Matches_All[[#This Row],[Alliance]],TBA_Matches_All[Scouted],"&gt;0")</f>
        <v>13.365384615384617</v>
      </c>
      <c r="DC198" s="74">
        <f>(TBA_Matches_All[[#This Row],[TampT]]+TBA_Matches_All[[#This Row],[TspkrptsC]])-TBA_Matches_All[[#This Row],[AveTeamTNoteDels]]</f>
        <v>0.8</v>
      </c>
      <c r="DD198" s="74">
        <f>SUMIFS(TBA_Matches_All[AveTeamTNoteDels],TBA_Matches_All[Match_Number],TBA_Matches_All[[#This Row],[Match_Number]],TBA_Matches_All[Alliance],"&lt;&gt;"&amp;TBA_Matches_All[[#This Row],[Alliance]])-TBA_Matches_All[[#This Row],[AveOppTNoteDels]]</f>
        <v>0</v>
      </c>
    </row>
    <row r="199" spans="1:108" x14ac:dyDescent="0.3">
      <c r="A199" t="s">
        <v>1042</v>
      </c>
      <c r="B199" t="s">
        <v>489</v>
      </c>
      <c r="C199" t="s">
        <v>1342</v>
      </c>
      <c r="D199">
        <v>33</v>
      </c>
      <c r="E199" t="s">
        <v>1420</v>
      </c>
      <c r="F199" t="s">
        <v>1425</v>
      </c>
      <c r="G199" t="s">
        <v>105</v>
      </c>
      <c r="H199" t="s">
        <v>373</v>
      </c>
      <c r="I199" t="b">
        <v>1</v>
      </c>
      <c r="J199">
        <v>33</v>
      </c>
      <c r="K199">
        <v>0</v>
      </c>
      <c r="L199">
        <v>0</v>
      </c>
      <c r="M199">
        <v>10</v>
      </c>
      <c r="N199">
        <v>0</v>
      </c>
      <c r="O199">
        <v>2</v>
      </c>
      <c r="P199">
        <v>10</v>
      </c>
      <c r="Q199">
        <v>14</v>
      </c>
      <c r="R199">
        <v>2</v>
      </c>
      <c r="S199">
        <v>0</v>
      </c>
      <c r="T199">
        <v>6</v>
      </c>
      <c r="U199">
        <v>0</v>
      </c>
      <c r="V199">
        <v>12</v>
      </c>
      <c r="W199">
        <v>6</v>
      </c>
      <c r="X199">
        <v>12</v>
      </c>
      <c r="Y199">
        <v>14</v>
      </c>
      <c r="Z199">
        <v>0</v>
      </c>
      <c r="AA199">
        <v>0</v>
      </c>
      <c r="AB199">
        <v>10</v>
      </c>
      <c r="AC199">
        <v>24</v>
      </c>
      <c r="AD199">
        <v>5</v>
      </c>
      <c r="AE199">
        <f>IFERROR(6/(COUNTIF(Dyno_EndMatch[Match],TBA_Matches_All[[#This Row],[Match_Number]])),0)</f>
        <v>1</v>
      </c>
      <c r="AF199">
        <f>COUNTIFS(Dyno_Data[Team],TBA_Matches_All[[#This Row],[Team]],Dyno_Data[Match],TBA_Matches_All[[#This Row],[Match_Number]],Dyno_Data[RecordType],"EndMatch",Dyno_Data[HPAmp],"Y")</f>
        <v>1</v>
      </c>
      <c r="AG199">
        <f>SUMIFS(Dyno_Data[Mics], Dyno_Data[Team],TBA_Matches_All[[#This Row],[Team]],Dyno_Data[Match],TBA_Matches_All[[#This Row],[Match_Number]],Dyno_Data[RecordType],"EndMatch",Dyno_Data[HPAmp],"Y")</f>
        <v>0</v>
      </c>
      <c r="AH199">
        <f>SUMIFS(Dyno_Data[Leave], Dyno_Data[Team],TBA_Matches_All[[#This Row],[Team]],Dyno_Data[Match],TBA_Matches_All[[#This Row],[Match_Number]],Dyno_Data[RecordType],"EndAuto")</f>
        <v>0</v>
      </c>
      <c r="AI199">
        <f>COUNTIFS(Dyno_Data[Team],TBA_Matches_All[[#This Row],[Team]],Dyno_Data[Match],TBA_Matches_All[[#This Row],[Match_Number]],Dyno_Data[RecordType],"Activities",Dyno_Data[DelDest],"Amp", Dyno_Data[DelMiss],"0", Dyno_Data[Mode],"Auto")</f>
        <v>0</v>
      </c>
      <c r="AJ199">
        <f>COUNTIFS(Dyno_Data[Team],TBA_Matches_All[[#This Row],[Team]],Dyno_Data[Match],TBA_Matches_All[[#This Row],[Match_Number]],Dyno_Data[RecordType],"Activities",Dyno_Data[DelDest],"Spkr", Dyno_Data[DelMiss],"0", Dyno_Data[Mode],"Auto")</f>
        <v>0</v>
      </c>
      <c r="AK199">
        <f>COUNTIFS(Dyno_Data[Team],TBA_Matches_All[[#This Row],[Team]],Dyno_Data[Match],TBA_Matches_All[[#This Row],[Match_Number]],Dyno_Data[RecordType],"Activities",Dyno_Data[DelDest],"Trap", Dyno_Data[DelMiss],"0", Dyno_Data[Mode],"Auto")</f>
        <v>0</v>
      </c>
      <c r="AL199">
        <f>COUNTIFS(Dyno_Data[Team],TBA_Matches_All[[#This Row],[Team]],Dyno_Data[Match],TBA_Matches_All[[#This Row],[Match_Number]],Dyno_Data[RecordType],"Activities",Dyno_Data[DelDest],"Amp", Dyno_Data[DelMiss],"0", Dyno_Data[Mode],"Teleop")</f>
        <v>0</v>
      </c>
      <c r="AM199">
        <f>COUNTIFS(Dyno_Data[Team],TBA_Matches_All[[#This Row],[Team]],Dyno_Data[Match],TBA_Matches_All[[#This Row],[Match_Number]],Dyno_Data[RecordType],"Activities",Dyno_Data[DelDest],"Spkr", Dyno_Data[DelMiss],"0", Dyno_Data[Mode],"Teleop")</f>
        <v>0</v>
      </c>
      <c r="AN199">
        <f>COUNTIFS(Dyno_Data[Team],TBA_Matches_All[[#This Row],[Team]],Dyno_Data[Match],TBA_Matches_All[[#This Row],[Match_Number]],Dyno_Data[RecordType],"Activities",Dyno_Data[DelDest],"Trap", Dyno_Data[DelMiss],"0", Dyno_Data[Mode],"&lt;&gt;Auto")</f>
        <v>0</v>
      </c>
      <c r="AO199">
        <f>SUM(TBA_Matches_All[[#This Row],[AampT]]+TBA_Matches_All[[#This Row],[AspkrT]]+TBA_Matches_All[[#This Row],[AtrapT]]+TBA_Matches_All[[#This Row],[TampT]]+TBA_Matches_All[[#This Row],[TspkrT]]+TBA_Matches_All[[#This Row],[TtrapT]])</f>
        <v>0</v>
      </c>
      <c r="AP199">
        <f>COUNTIFS(Dyno_Data[Team],TBA_Matches_All[[#This Row],[Team]],Dyno_Data[Match],TBA_Matches_All[[#This Row],[Match_Number]],Dyno_Data[RecordType],"Activities",Dyno_Data[DelDest],"Neut", Dyno_Data[DelMiss],"0")</f>
        <v>0</v>
      </c>
      <c r="AQ199">
        <f>COUNTIFS(Dyno_Data[Team],TBA_Matches_All[[#This Row],[Team]],Dyno_Data[Match],TBA_Matches_All[[#This Row],[Match_Number]],Dyno_Data[RecordType],"Activities",Dyno_Data[DelDest],"AllyW", Dyno_Data[DelMiss],"0")</f>
        <v>0</v>
      </c>
      <c r="AR199" t="str">
        <f>_xlfn.XLOOKUP(SUM(MID(TBA_Matches_All[[#This Row],[Team]],4,5),(TBA_Matches_All[[#This Row],[Match_Number]]/100)),Dyno_EndMatch[teammat],Dyno_EndMatch[RobotSta],"_",0,1)</f>
        <v>Podm</v>
      </c>
      <c r="AS199">
        <f>SUMIFS(Dyno_Data[AcqDis], Dyno_Data[Team],TBA_Matches_All[[#This Row],[Team]],Dyno_Data[Match],TBA_Matches_All[[#This Row],[Match_Number]],Dyno_Data[RecordType],"Activities", Dyno_Data[AcqCenter],1,Dyno_Data[Mode],"Auto")</f>
        <v>0</v>
      </c>
      <c r="AT199">
        <f>SUMIFS(Dyno_Data[AcqDis], Dyno_Data[Team],TBA_Matches_All[[#This Row],[Team]],Dyno_Data[Match],TBA_Matches_All[[#This Row],[Match_Number]],Dyno_Data[RecordType],"Activities", Dyno_Data[AcqCenter],2,Dyno_Data[Mode],"Auto")</f>
        <v>0</v>
      </c>
      <c r="AU199">
        <f>SUMIFS(Dyno_Data[AcqDis], Dyno_Data[Team],TBA_Matches_All[[#This Row],[Team]],Dyno_Data[Match],TBA_Matches_All[[#This Row],[Match_Number]],Dyno_Data[RecordType],"Activities", Dyno_Data[AcqCenter],3,Dyno_Data[Mode],"Auto")</f>
        <v>0</v>
      </c>
      <c r="AV199">
        <f>SUMIFS(Dyno_Data[AcqDis], Dyno_Data[Team],TBA_Matches_All[[#This Row],[Team]],Dyno_Data[Match],TBA_Matches_All[[#This Row],[Match_Number]],Dyno_Data[RecordType],"Activities", Dyno_Data[AcqCenter],4,Dyno_Data[Mode],"Auto")</f>
        <v>0</v>
      </c>
      <c r="AW199">
        <f>SUMIFS(Dyno_Data[AcqDis], Dyno_Data[Team],TBA_Matches_All[[#This Row],[Team]],Dyno_Data[Match],TBA_Matches_All[[#This Row],[Match_Number]],Dyno_Data[RecordType],"Activities", Dyno_Data[AcqCenter],5,Dyno_Data[Mode],"Auto")</f>
        <v>0</v>
      </c>
      <c r="AX199">
        <f>SUMIFS(Dyno_Data[DelMiss], Dyno_Data[Team],TBA_Matches_All[[#This Row],[Team]],Dyno_Data[Match],TBA_Matches_All[[#This Row],[Match_Number]],Dyno_Data[RecordType],"Activities", Dyno_Data[DelDest],"Amp")</f>
        <v>0</v>
      </c>
      <c r="AY199" s="60">
        <f>IFERROR(SUM((TBA_Matches_All[[#This Row],[AampT]]+TBA_Matches_All[[#This Row],[TampT]])/(TBA_Matches_All[[#This Row],[AampT]]+TBA_Matches_All[[#This Row],[TampT]]+TBA_Matches_All[[#This Row],[ampM]])),0)</f>
        <v>0</v>
      </c>
      <c r="AZ199">
        <f>SUMIFS(Dyno_Data[DelMiss], Dyno_Data[Team],TBA_Matches_All[[#This Row],[Team]],Dyno_Data[Match],TBA_Matches_All[[#This Row],[Match_Number]],Dyno_Data[RecordType],"Activities", Dyno_Data[DelDest],"Spkr")</f>
        <v>1</v>
      </c>
      <c r="BA199" s="60">
        <f>IFERROR(SUM((TBA_Matches_All[[#This Row],[AspkrT]]+TBA_Matches_All[[#This Row],[TspkrT]])/(TBA_Matches_All[[#This Row],[AspkrT]]+TBA_Matches_All[[#This Row],[TspkrT]]+TBA_Matches_All[[#This Row],[spkrM]])),0)</f>
        <v>0</v>
      </c>
      <c r="BB199">
        <f>SUMIFS(Dyno_Data[DelMiss], Dyno_Data[Team],TBA_Matches_All[[#This Row],[Team]],Dyno_Data[Match],TBA_Matches_All[[#This Row],[Match_Number]],Dyno_Data[RecordType],"Activities", Dyno_Data[DelDest],"Trap")</f>
        <v>0</v>
      </c>
      <c r="BC199" s="60">
        <f>IFERROR((TBA_Matches_All[[#This Row],[AtrapT]]+TBA_Matches_All[[#This Row],[TtrapT]])/(TBA_Matches_All[[#This Row],[AtrapT]]+TBA_Matches_All[[#This Row],[TtrapT]]+TBA_Matches_All[[#This Row],[trapM]]),0)</f>
        <v>0</v>
      </c>
      <c r="BD199">
        <f>COUNTIFS(Dyno_Data[Team],TBA_Matches_All[[#This Row],[Team]],Dyno_Data[Match],TBA_Matches_All[[#This Row],[Match_Number]],Dyno_Data[RecordType],"Activities",Dyno_Data[DelDest],"Neut", Dyno_Data[DelMiss],1)</f>
        <v>0</v>
      </c>
      <c r="BE199" s="60">
        <f>IFERROR(SUM((TBA_Matches_All[[#This Row],[NeutFlrT]])/(TBA_Matches_All[[#This Row],[NeutFlrT]]+TBA_Matches_All[[#This Row],[NZflM]])),0)</f>
        <v>0</v>
      </c>
      <c r="BF199">
        <f>COUNTIFS(Dyno_Data[Team],TBA_Matches_All[[#This Row],[Team]],Dyno_Data[Match],TBA_Matches_All[[#This Row],[Match_Number]],Dyno_Data[RecordType],"Activities",Dyno_Data[DelDest],"AllyW", Dyno_Data[DelMiss],1)</f>
        <v>0</v>
      </c>
      <c r="BG199" s="60">
        <f>IFERROR(SUM((TBA_Matches_All[[#This Row],[AllyWFlrT]])/(TBA_Matches_All[[#This Row],[AllyWFlrT]]+TBA_Matches_All[[#This Row],[AZflM]])),0)</f>
        <v>0</v>
      </c>
      <c r="BH199">
        <f>COUNTIFS(Dyno_Data[Team],TBA_Matches_All[[#This Row],[Team]],Dyno_Data[Match],TBA_Matches_All[[#This Row],[Match_Number]],Dyno_Data[RecordType],"Activities",Dyno_Data[DelOrig],"OppW", Dyno_Data[DelMiss],"0")</f>
        <v>0</v>
      </c>
      <c r="BI199">
        <f>COUNTIFS(Dyno_Data[Team],TBA_Matches_All[[#This Row],[Team]],Dyno_Data[Match],TBA_Matches_All[[#This Row],[Match_Number]],Dyno_Data[RecordType],"Activities",Dyno_Data[DelOrig],"OppW", Dyno_Data[DelMiss],"1")</f>
        <v>0</v>
      </c>
      <c r="BJ199" s="60">
        <f>IFERROR(SUM((TBA_Matches_All[[#This Row],[OZflrT]])/(TBA_Matches_All[[#This Row],[OZflrT]]+TBA_Matches_All[[#This Row],[OZflrM]])),0)</f>
        <v>0</v>
      </c>
      <c r="BK199">
        <f>COUNTIFS(Dyno_Data[Team],TBA_Matches_All[[#This Row],[Team]],Dyno_Data[Match],TBA_Matches_All[[#This Row],[Match_Number]],Dyno_Data[RecordType],"Activities",Dyno_Data[DelOrig],"Neut", Dyno_Data[DelMiss],"0")</f>
        <v>0</v>
      </c>
      <c r="BL199">
        <f>COUNTIFS(Dyno_Data[Team],TBA_Matches_All[[#This Row],[Team]],Dyno_Data[Match],TBA_Matches_All[[#This Row],[Match_Number]],Dyno_Data[RecordType],"Activities",Dyno_Data[DelOrig],"Neut", Dyno_Data[DelMiss],"1")</f>
        <v>0</v>
      </c>
      <c r="BM199" s="60">
        <f>IFERROR(SUM((TBA_Matches_All[[#This Row],[NZflrT]])/(TBA_Matches_All[[#This Row],[NZflrT]]+TBA_Matches_All[[#This Row],[NZflrM]])),0)</f>
        <v>0</v>
      </c>
      <c r="BN199">
        <f>COUNTIFS(Dyno_Data[Team],TBA_Matches_All[[#This Row],[Team]],Dyno_Data[Match],TBA_Matches_All[[#This Row],[Match_Number]],Dyno_Data[RecordType],"Activities",Dyno_Data[DelOrig],"AllyW", Dyno_Data[DelMiss],"0")</f>
        <v>0</v>
      </c>
      <c r="BO199">
        <f>COUNTIFS(Dyno_Data[Team],TBA_Matches_All[[#This Row],[Team]],Dyno_Data[Match],TBA_Matches_All[[#This Row],[Match_Number]],Dyno_Data[RecordType],"Activities",Dyno_Data[DelOrig],"AllyW", Dyno_Data[DelMiss],"1")</f>
        <v>1</v>
      </c>
      <c r="BP199" s="60">
        <f>IFERROR(SUM((TBA_Matches_All[[#This Row],[AZflrT]])/(TBA_Matches_All[[#This Row],[AZflrT]]+TBA_Matches_All[[#This Row],[AZflrM]])),0)</f>
        <v>0</v>
      </c>
      <c r="BQ199">
        <f>COUNTIFS(Dyno_Data[Team],TBA_Matches_All[[#This Row],[Team]],Dyno_Data[Match],TBA_Matches_All[[#This Row],[Match_Number]],Dyno_Data[RecordType],"Activities",Dyno_Data[DelOrig],"SubW", Dyno_Data[DelMiss],"0")</f>
        <v>0</v>
      </c>
      <c r="BR199">
        <f>COUNTIFS(Dyno_Data[Team],TBA_Matches_All[[#This Row],[Team]],Dyno_Data[Match],TBA_Matches_All[[#This Row],[Match_Number]],Dyno_Data[RecordType],"Activities",Dyno_Data[DelOrig],"SubW", Dyno_Data[DelMiss],"1")</f>
        <v>0</v>
      </c>
      <c r="BS199" s="60">
        <f>IFERROR(SUM((TBA_Matches_All[[#This Row],[SubwT]])/(TBA_Matches_All[[#This Row],[SubwT]]+TBA_Matches_All[[#This Row],[SubwM]])),0)</f>
        <v>0</v>
      </c>
      <c r="BT199">
        <f>COUNTIFS(Dyno_Data[Team],TBA_Matches_All[[#This Row],[Team]],Dyno_Data[Match],TBA_Matches_All[[#This Row],[Match_Number]],Dyno_Data[RecordType],"Activities", Dyno_Data[AcqLoc],"OppWing")</f>
        <v>0</v>
      </c>
      <c r="BU199">
        <f>COUNTIFS(Dyno_Data[Team],TBA_Matches_All[[#This Row],[Team]],Dyno_Data[Match],TBA_Matches_All[[#This Row],[Match_Number]],Dyno_Data[RecordType],"Activities", Dyno_Data[AcqLoc],"Neutral")</f>
        <v>0</v>
      </c>
      <c r="BV199">
        <f>COUNTIFS(Dyno_Data[Team],TBA_Matches_All[[#This Row],[Team]],Dyno_Data[Match],TBA_Matches_All[[#This Row],[Match_Number]],Dyno_Data[RecordType],"Activities", Dyno_Data[AcqLoc],"AllyWing")</f>
        <v>0</v>
      </c>
      <c r="BW199">
        <f>COUNTIFS(Dyno_Data[Team],TBA_Matches_All[[#This Row],[Team]],Dyno_Data[Match],TBA_Matches_All[[#This Row],[Match_Number]],Dyno_Data[RecordType],"Activities", Dyno_Data[AcqLoc],"Source")</f>
        <v>0</v>
      </c>
      <c r="BX199">
        <f>SUMIFS(Dyno_Data[AcqDrp], Dyno_Data[Team],TBA_Matches_All[[#This Row],[Team]],Dyno_Data[Match],TBA_Matches_All[[#This Row],[Match_Number]],Dyno_Data[RecordType],"Activities", Dyno_Data[AcqLoc],"Source")</f>
        <v>0</v>
      </c>
      <c r="BY199">
        <f>SUMIFS(Dyno_Data[OZTime], Dyno_Data[Team],TBA_Matches_All[[#This Row],[Team]],Dyno_Data[Match],TBA_Matches_All[[#This Row],[Match_Number]],Dyno_Data[RecordType],"EndMatch")</f>
        <v>20.204751899999998</v>
      </c>
      <c r="BZ199">
        <f>SUMIFS(Dyno_Data[NZTime], Dyno_Data[Team],TBA_Matches_All[[#This Row],[Team]],Dyno_Data[Match],TBA_Matches_All[[#This Row],[Match_Number]],Dyno_Data[RecordType],"EndMatch")</f>
        <v>22.440284500000001</v>
      </c>
      <c r="CA199">
        <f>SUMIFS(Dyno_Data[AZTime], Dyno_Data[Team],TBA_Matches_All[[#This Row],[Team]],Dyno_Data[Match],TBA_Matches_All[[#This Row],[Match_Number]],Dyno_Data[RecordType],"EndMatch")</f>
        <v>62.415406399999995</v>
      </c>
      <c r="CB199">
        <f>SUMIFS(Dyno_Data[ClimbT], Dyno_Data[Team],TBA_Matches_All[[#This Row],[Team]],Dyno_Data[Match],TBA_Matches_All[[#This Row],[Match_Number]],Dyno_Data[RecordType],"EndMatch")</f>
        <v>31.986016099999997</v>
      </c>
      <c r="CC199" t="str">
        <f>_xlfn.XLOOKUP(SUM(MID(TBA_Matches_All[[#This Row],[Team]],4,5),(TBA_Matches_All[[#This Row],[Match_Number]]/100)),Dyno_EndMatch[teammat],Dyno_EndMatch[StageStat],"_",0,1)</f>
        <v>Park</v>
      </c>
      <c r="CD199" t="str">
        <f>_xlfn.XLOOKUP(TBA_Matches_All[[#This Row],[teammat]],Dyno_EndMatch[teammat],Dyno_EndMatch[StageAtt],"_",0,1)</f>
        <v>-1</v>
      </c>
      <c r="CE199" t="str">
        <f>_xlfn.XLOOKUP(TBA_Matches_All[[#This Row],[teammat]],Dyno_EndMatch[teammat],Dyno_EndMatch[StageLoc],"_",0,1)</f>
        <v>A</v>
      </c>
      <c r="CF199">
        <f>SUMIFS(Dyno_Data[Harmony], Dyno_Data[Team],TBA_Matches_All[[#This Row],[Team]],Dyno_Data[Match],TBA_Matches_All[[#This Row],[Match_Number]],Dyno_Data[RecordType],"EndMatch", Dyno_Data[StageStat],"On",Dyno_Data[Harmony],"&lt;&gt;9")</f>
        <v>0</v>
      </c>
      <c r="CG199">
        <f>SUMIFS(Dyno_Data[Spotlit], Dyno_Data[Team],TBA_Matches_All[[#This Row],[Team]],Dyno_Data[Match],TBA_Matches_All[[#This Row],[Match_Number]],Dyno_Data[RecordType],"EndMatch", Dyno_Data[StageStat],"On",Dyno_Data[Spotlit],"&lt;&gt;9")</f>
        <v>0</v>
      </c>
      <c r="CH199" t="str">
        <f>_xlfn.XLOOKUP(TBA_Matches_All[[#This Row],[teammat]],Dyno_EndMatch[teammat],Dyno_EndMatch[Strategy],"_",0,1)</f>
        <v>None</v>
      </c>
      <c r="CI199">
        <f>SUMIFS(Dyno_Data[Defense], Dyno_Data[Team],TBA_Matches_All[[#This Row],[Team]],Dyno_Data[Match],TBA_Matches_All[[#This Row],[Match_Number]],Dyno_Data[RecordType],"EndMatch",Dyno_Data[Defense],"&lt;&gt;9")</f>
        <v>0</v>
      </c>
      <c r="CJ199">
        <f>SUMIFS(Dyno_Data[Avoidance], Dyno_Data[Team],TBA_Matches_All[[#This Row],[Team]],Dyno_Data[Match],TBA_Matches_All[[#This Row],[Match_Number]],Dyno_Data[RecordType],"EndMatch",Dyno_Data[Avoidance],"&lt;&gt;9")</f>
        <v>0</v>
      </c>
      <c r="CK199" s="82">
        <f>COUNTIF($H$2:TBA_Matches_All[[#This Row],[Team]],TBA_Matches_All[[#This Row],[Team]])</f>
        <v>4</v>
      </c>
      <c r="CL199" s="111">
        <f>SUM(MID(TBA_Matches_All[[#This Row],[Team]],4,5)+TBA_Matches_All[[#This Row],[Match_Number]]/100)</f>
        <v>7718.33</v>
      </c>
      <c r="CM199">
        <f>SUM((TBA_Matches_All[[#This Row],[Leave]]*2)+(TBA_Matches_All[[#This Row],[AampT]]*2)+(TBA_Matches_All[[#This Row],[AspkrT]]*5)+(TBA_Matches_All[[#This Row],[AtrapT]]*5))</f>
        <v>0</v>
      </c>
      <c r="CN199" s="59">
        <f>IFERROR(SUM(TBA_Matches_All[[#This Row],[AptsT]]/TBA_Matches_All[[#This Row],[AutoPts]]),0)</f>
        <v>0</v>
      </c>
      <c r="CO199" s="59">
        <f>IFERROR(SUM(TBA_Matches_All[[#This Row],[AampT]]+TBA_Matches_All[[#This Row],[AspkrT]]+TBA_Matches_All[[#This Row],[AtrapT]]/TBA_Matches_All[[#This Row],[Aamp]]+TBA_Matches_All[[#This Row],[Aspkr]]+TBA_Matches_All[[#This Row],[AtrapT]]),0)</f>
        <v>0</v>
      </c>
      <c r="CP199" s="59">
        <f>IFERROR(SUM(TBA_Matches_All[[#This Row],[TampT]]/TBA_Matches_All[[#This Row],[Tamp]]),0)</f>
        <v>0</v>
      </c>
      <c r="CQ199" s="59">
        <f>IFERROR(SUM(TBA_Matches_All[[#This Row],[TspkrT]]/TBA_Matches_All[[#This Row],[Tspkr]]),0)</f>
        <v>0</v>
      </c>
      <c r="CR199">
        <f>SUM(TBA_Matches_All[[#This Row],[TspkrPts]]*TBA_Matches_All[[#This Row],[TspkrP]])</f>
        <v>0</v>
      </c>
      <c r="CS199" s="59">
        <f>IFERROR(SUM(TBA_Matches_All[[#This Row],[TtrapT]]/TBA_Matches_All[[#This Row],[Trap]]),0)</f>
        <v>0</v>
      </c>
      <c r="CT199" s="59">
        <f>IFERROR(SUM(TBA_Matches_All[[#This Row],[TotNotesT]]/TBA_Matches_All[[#This Row],[TotNotes]]),0)</f>
        <v>0</v>
      </c>
      <c r="CU199" s="66">
        <f>SUM((TBA_Matches_All[[#This Row],[AampT]]*2)+(TBA_Matches_All[[#This Row],[AspkrT]]*5)+(TBA_Matches_All[[#This Row],[AtrapT]]*5)+(TBA_Matches_All[[#This Row],[TampT]]*1)+(TBA_Matches_All[[#This Row],[TspkrptsC]]))</f>
        <v>0</v>
      </c>
      <c r="CV199" s="59">
        <f>IFERROR(TBA_Matches_All[[#This Row],[noteptsT]]/TBA_Matches_All[[#This Row],[NotePts]],0)</f>
        <v>0</v>
      </c>
      <c r="CW199">
        <f>SUM(IF(TBA_Matches_All[[#This Row],[stageStat]]="On",3,0),IF(TBA_Matches_All[[#This Row],[stageStat]]="Park",1,0),SUMIFS(TBA_Matches_All[[#This Row],[Spotlit]],TBA_Matches_All[[#This Row],[stageStat]],"On"),SUMIFS(TBA_Matches_All[[#This Row],[Harmony]],TBA_Matches_All[[#This Row],[stageStat]],"On"))</f>
        <v>1</v>
      </c>
      <c r="CX199" s="59">
        <f>IFERROR(TBA_Matches_All[[#This Row],[stageptsT]]/TBA_Matches_All[[#This Row],[StagePts]],0)</f>
        <v>0.2</v>
      </c>
      <c r="CY199">
        <f>SUM((TBA_Matches_All[[#This Row],[AptsT]]+TBA_Matches_All[[#This Row],[TampT]]+TBA_Matches_All[[#This Row],[TspkrptsC]]+(TBA_Matches_All[[#This Row],[TtrapT]]*5)+TBA_Matches_All[[#This Row],[stageptsT]]))</f>
        <v>1</v>
      </c>
      <c r="CZ199" s="59">
        <f>IFERROR(SUM(TBA_Matches_All[[#This Row],[TotptsC]]/TBA_Matches_All[[#This Row],[Score]]),0)</f>
        <v>3.0303030303030304E-2</v>
      </c>
      <c r="DA19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199" s="74">
        <f>SUMIFS(TBA_Matches_All[AveTeamTNoteDels],TBA_Matches_All[Match_Number],TBA_Matches_All[[#This Row],[Match_Number]],TBA_Matches_All[Alliance],"&lt;&gt;"&amp;TBA_Matches_All[[#This Row],[Alliance]],TBA_Matches_All[Scouted],"&gt;0")</f>
        <v>19.285714285714285</v>
      </c>
      <c r="DC199" s="74">
        <f>(TBA_Matches_All[[#This Row],[TampT]]+TBA_Matches_All[[#This Row],[TspkrptsC]])-TBA_Matches_All[[#This Row],[AveTeamTNoteDels]]</f>
        <v>0</v>
      </c>
      <c r="DD199" s="74">
        <f>SUMIFS(TBA_Matches_All[AveTeamTNoteDels],TBA_Matches_All[Match_Number],TBA_Matches_All[[#This Row],[Match_Number]],TBA_Matches_All[Alliance],"&lt;&gt;"&amp;TBA_Matches_All[[#This Row],[Alliance]])-TBA_Matches_All[[#This Row],[AveOppTNoteDels]]</f>
        <v>0</v>
      </c>
    </row>
    <row r="200" spans="1:108" x14ac:dyDescent="0.3">
      <c r="A200" t="s">
        <v>1042</v>
      </c>
      <c r="B200" t="s">
        <v>489</v>
      </c>
      <c r="C200" t="s">
        <v>1342</v>
      </c>
      <c r="D200">
        <v>33</v>
      </c>
      <c r="E200" t="s">
        <v>1406</v>
      </c>
      <c r="F200" t="s">
        <v>1426</v>
      </c>
      <c r="G200" t="s">
        <v>164</v>
      </c>
      <c r="H200" t="s">
        <v>1300</v>
      </c>
      <c r="I200" t="b">
        <v>1</v>
      </c>
      <c r="J200">
        <v>57</v>
      </c>
      <c r="K200">
        <v>0</v>
      </c>
      <c r="L200">
        <v>0</v>
      </c>
      <c r="M200">
        <v>0</v>
      </c>
      <c r="N200">
        <v>0</v>
      </c>
      <c r="O200">
        <v>3</v>
      </c>
      <c r="P200">
        <v>15</v>
      </c>
      <c r="Q200">
        <v>21</v>
      </c>
      <c r="R200">
        <v>1</v>
      </c>
      <c r="S200">
        <v>0</v>
      </c>
      <c r="T200">
        <v>10</v>
      </c>
      <c r="U200">
        <v>0</v>
      </c>
      <c r="V200">
        <v>20</v>
      </c>
      <c r="W200">
        <v>10</v>
      </c>
      <c r="X200">
        <v>20</v>
      </c>
      <c r="Y200">
        <v>21</v>
      </c>
      <c r="Z200">
        <v>0</v>
      </c>
      <c r="AA200">
        <v>0</v>
      </c>
      <c r="AB200">
        <v>14</v>
      </c>
      <c r="AC200">
        <v>36</v>
      </c>
      <c r="AD200">
        <v>5</v>
      </c>
      <c r="AE200">
        <f>IFERROR(6/(COUNTIF(Dyno_EndMatch[Match],TBA_Matches_All[[#This Row],[Match_Number]])),0)</f>
        <v>1</v>
      </c>
      <c r="AF200">
        <f>COUNTIFS(Dyno_Data[Team],TBA_Matches_All[[#This Row],[Team]],Dyno_Data[Match],TBA_Matches_All[[#This Row],[Match_Number]],Dyno_Data[RecordType],"EndMatch",Dyno_Data[HPAmp],"Y")</f>
        <v>0</v>
      </c>
      <c r="AG200">
        <f>SUMIFS(Dyno_Data[Mics], Dyno_Data[Team],TBA_Matches_All[[#This Row],[Team]],Dyno_Data[Match],TBA_Matches_All[[#This Row],[Match_Number]],Dyno_Data[RecordType],"EndMatch",Dyno_Data[HPAmp],"Y")</f>
        <v>0</v>
      </c>
      <c r="AH200">
        <f>SUMIFS(Dyno_Data[Leave], Dyno_Data[Team],TBA_Matches_All[[#This Row],[Team]],Dyno_Data[Match],TBA_Matches_All[[#This Row],[Match_Number]],Dyno_Data[RecordType],"EndAuto")</f>
        <v>1</v>
      </c>
      <c r="AI200">
        <f>COUNTIFS(Dyno_Data[Team],TBA_Matches_All[[#This Row],[Team]],Dyno_Data[Match],TBA_Matches_All[[#This Row],[Match_Number]],Dyno_Data[RecordType],"Activities",Dyno_Data[DelDest],"Amp", Dyno_Data[DelMiss],"0", Dyno_Data[Mode],"Auto")</f>
        <v>0</v>
      </c>
      <c r="AJ200">
        <f>COUNTIFS(Dyno_Data[Team],TBA_Matches_All[[#This Row],[Team]],Dyno_Data[Match],TBA_Matches_All[[#This Row],[Match_Number]],Dyno_Data[RecordType],"Activities",Dyno_Data[DelDest],"Spkr", Dyno_Data[DelMiss],"0", Dyno_Data[Mode],"Auto")</f>
        <v>3</v>
      </c>
      <c r="AK200">
        <f>COUNTIFS(Dyno_Data[Team],TBA_Matches_All[[#This Row],[Team]],Dyno_Data[Match],TBA_Matches_All[[#This Row],[Match_Number]],Dyno_Data[RecordType],"Activities",Dyno_Data[DelDest],"Trap", Dyno_Data[DelMiss],"0", Dyno_Data[Mode],"Auto")</f>
        <v>0</v>
      </c>
      <c r="AL200">
        <f>COUNTIFS(Dyno_Data[Team],TBA_Matches_All[[#This Row],[Team]],Dyno_Data[Match],TBA_Matches_All[[#This Row],[Match_Number]],Dyno_Data[RecordType],"Activities",Dyno_Data[DelDest],"Amp", Dyno_Data[DelMiss],"0", Dyno_Data[Mode],"Teleop")</f>
        <v>0</v>
      </c>
      <c r="AM200">
        <f>COUNTIFS(Dyno_Data[Team],TBA_Matches_All[[#This Row],[Team]],Dyno_Data[Match],TBA_Matches_All[[#This Row],[Match_Number]],Dyno_Data[RecordType],"Activities",Dyno_Data[DelDest],"Spkr", Dyno_Data[DelMiss],"0", Dyno_Data[Mode],"Teleop")</f>
        <v>7</v>
      </c>
      <c r="AN200">
        <f>COUNTIFS(Dyno_Data[Team],TBA_Matches_All[[#This Row],[Team]],Dyno_Data[Match],TBA_Matches_All[[#This Row],[Match_Number]],Dyno_Data[RecordType],"Activities",Dyno_Data[DelDest],"Trap", Dyno_Data[DelMiss],"0", Dyno_Data[Mode],"&lt;&gt;Auto")</f>
        <v>0</v>
      </c>
      <c r="AO200">
        <f>SUM(TBA_Matches_All[[#This Row],[AampT]]+TBA_Matches_All[[#This Row],[AspkrT]]+TBA_Matches_All[[#This Row],[AtrapT]]+TBA_Matches_All[[#This Row],[TampT]]+TBA_Matches_All[[#This Row],[TspkrT]]+TBA_Matches_All[[#This Row],[TtrapT]])</f>
        <v>10</v>
      </c>
      <c r="AP200">
        <f>COUNTIFS(Dyno_Data[Team],TBA_Matches_All[[#This Row],[Team]],Dyno_Data[Match],TBA_Matches_All[[#This Row],[Match_Number]],Dyno_Data[RecordType],"Activities",Dyno_Data[DelDest],"Neut", Dyno_Data[DelMiss],"0")</f>
        <v>0</v>
      </c>
      <c r="AQ200">
        <f>COUNTIFS(Dyno_Data[Team],TBA_Matches_All[[#This Row],[Team]],Dyno_Data[Match],TBA_Matches_All[[#This Row],[Match_Number]],Dyno_Data[RecordType],"Activities",Dyno_Data[DelDest],"AllyW", Dyno_Data[DelMiss],"0")</f>
        <v>0</v>
      </c>
      <c r="AR200" t="str">
        <f>_xlfn.XLOOKUP(SUM(MID(TBA_Matches_All[[#This Row],[Team]],4,5),(TBA_Matches_All[[#This Row],[Match_Number]]/100)),Dyno_EndMatch[teammat],Dyno_EndMatch[RobotSta],"_",0,1)</f>
        <v>Amp</v>
      </c>
      <c r="AS200">
        <f>SUMIFS(Dyno_Data[AcqDis], Dyno_Data[Team],TBA_Matches_All[[#This Row],[Team]],Dyno_Data[Match],TBA_Matches_All[[#This Row],[Match_Number]],Dyno_Data[RecordType],"Activities", Dyno_Data[AcqCenter],1,Dyno_Data[Mode],"Auto")</f>
        <v>0</v>
      </c>
      <c r="AT200">
        <f>SUMIFS(Dyno_Data[AcqDis], Dyno_Data[Team],TBA_Matches_All[[#This Row],[Team]],Dyno_Data[Match],TBA_Matches_All[[#This Row],[Match_Number]],Dyno_Data[RecordType],"Activities", Dyno_Data[AcqCenter],2,Dyno_Data[Mode],"Auto")</f>
        <v>0</v>
      </c>
      <c r="AU200">
        <f>SUMIFS(Dyno_Data[AcqDis], Dyno_Data[Team],TBA_Matches_All[[#This Row],[Team]],Dyno_Data[Match],TBA_Matches_All[[#This Row],[Match_Number]],Dyno_Data[RecordType],"Activities", Dyno_Data[AcqCenter],3,Dyno_Data[Mode],"Auto")</f>
        <v>0</v>
      </c>
      <c r="AV200">
        <f>SUMIFS(Dyno_Data[AcqDis], Dyno_Data[Team],TBA_Matches_All[[#This Row],[Team]],Dyno_Data[Match],TBA_Matches_All[[#This Row],[Match_Number]],Dyno_Data[RecordType],"Activities", Dyno_Data[AcqCenter],4,Dyno_Data[Mode],"Auto")</f>
        <v>0</v>
      </c>
      <c r="AW200">
        <f>SUMIFS(Dyno_Data[AcqDis], Dyno_Data[Team],TBA_Matches_All[[#This Row],[Team]],Dyno_Data[Match],TBA_Matches_All[[#This Row],[Match_Number]],Dyno_Data[RecordType],"Activities", Dyno_Data[AcqCenter],5,Dyno_Data[Mode],"Auto")</f>
        <v>0</v>
      </c>
      <c r="AX200">
        <f>SUMIFS(Dyno_Data[DelMiss], Dyno_Data[Team],TBA_Matches_All[[#This Row],[Team]],Dyno_Data[Match],TBA_Matches_All[[#This Row],[Match_Number]],Dyno_Data[RecordType],"Activities", Dyno_Data[DelDest],"Amp")</f>
        <v>0</v>
      </c>
      <c r="AY200" s="60">
        <f>IFERROR(SUM((TBA_Matches_All[[#This Row],[AampT]]+TBA_Matches_All[[#This Row],[TampT]])/(TBA_Matches_All[[#This Row],[AampT]]+TBA_Matches_All[[#This Row],[TampT]]+TBA_Matches_All[[#This Row],[ampM]])),0)</f>
        <v>0</v>
      </c>
      <c r="AZ200">
        <f>SUMIFS(Dyno_Data[DelMiss], Dyno_Data[Team],TBA_Matches_All[[#This Row],[Team]],Dyno_Data[Match],TBA_Matches_All[[#This Row],[Match_Number]],Dyno_Data[RecordType],"Activities", Dyno_Data[DelDest],"Spkr")</f>
        <v>4</v>
      </c>
      <c r="BA200" s="60">
        <f>IFERROR(SUM((TBA_Matches_All[[#This Row],[AspkrT]]+TBA_Matches_All[[#This Row],[TspkrT]])/(TBA_Matches_All[[#This Row],[AspkrT]]+TBA_Matches_All[[#This Row],[TspkrT]]+TBA_Matches_All[[#This Row],[spkrM]])),0)</f>
        <v>0.7142857142857143</v>
      </c>
      <c r="BB200">
        <f>SUMIFS(Dyno_Data[DelMiss], Dyno_Data[Team],TBA_Matches_All[[#This Row],[Team]],Dyno_Data[Match],TBA_Matches_All[[#This Row],[Match_Number]],Dyno_Data[RecordType],"Activities", Dyno_Data[DelDest],"Trap")</f>
        <v>0</v>
      </c>
      <c r="BC200" s="60">
        <f>IFERROR((TBA_Matches_All[[#This Row],[AtrapT]]+TBA_Matches_All[[#This Row],[TtrapT]])/(TBA_Matches_All[[#This Row],[AtrapT]]+TBA_Matches_All[[#This Row],[TtrapT]]+TBA_Matches_All[[#This Row],[trapM]]),0)</f>
        <v>0</v>
      </c>
      <c r="BD200">
        <f>COUNTIFS(Dyno_Data[Team],TBA_Matches_All[[#This Row],[Team]],Dyno_Data[Match],TBA_Matches_All[[#This Row],[Match_Number]],Dyno_Data[RecordType],"Activities",Dyno_Data[DelDest],"Neut", Dyno_Data[DelMiss],1)</f>
        <v>0</v>
      </c>
      <c r="BE200" s="60">
        <f>IFERROR(SUM((TBA_Matches_All[[#This Row],[NeutFlrT]])/(TBA_Matches_All[[#This Row],[NeutFlrT]]+TBA_Matches_All[[#This Row],[NZflM]])),0)</f>
        <v>0</v>
      </c>
      <c r="BF200">
        <f>COUNTIFS(Dyno_Data[Team],TBA_Matches_All[[#This Row],[Team]],Dyno_Data[Match],TBA_Matches_All[[#This Row],[Match_Number]],Dyno_Data[RecordType],"Activities",Dyno_Data[DelDest],"AllyW", Dyno_Data[DelMiss],1)</f>
        <v>0</v>
      </c>
      <c r="BG200" s="60">
        <f>IFERROR(SUM((TBA_Matches_All[[#This Row],[AllyWFlrT]])/(TBA_Matches_All[[#This Row],[AllyWFlrT]]+TBA_Matches_All[[#This Row],[AZflM]])),0)</f>
        <v>0</v>
      </c>
      <c r="BH200">
        <f>COUNTIFS(Dyno_Data[Team],TBA_Matches_All[[#This Row],[Team]],Dyno_Data[Match],TBA_Matches_All[[#This Row],[Match_Number]],Dyno_Data[RecordType],"Activities",Dyno_Data[DelOrig],"OppW", Dyno_Data[DelMiss],"0")</f>
        <v>0</v>
      </c>
      <c r="BI200">
        <f>COUNTIFS(Dyno_Data[Team],TBA_Matches_All[[#This Row],[Team]],Dyno_Data[Match],TBA_Matches_All[[#This Row],[Match_Number]],Dyno_Data[RecordType],"Activities",Dyno_Data[DelOrig],"OppW", Dyno_Data[DelMiss],"1")</f>
        <v>0</v>
      </c>
      <c r="BJ200" s="60">
        <f>IFERROR(SUM((TBA_Matches_All[[#This Row],[OZflrT]])/(TBA_Matches_All[[#This Row],[OZflrT]]+TBA_Matches_All[[#This Row],[OZflrM]])),0)</f>
        <v>0</v>
      </c>
      <c r="BK200">
        <f>COUNTIFS(Dyno_Data[Team],TBA_Matches_All[[#This Row],[Team]],Dyno_Data[Match],TBA_Matches_All[[#This Row],[Match_Number]],Dyno_Data[RecordType],"Activities",Dyno_Data[DelOrig],"Neut", Dyno_Data[DelMiss],"0")</f>
        <v>0</v>
      </c>
      <c r="BL200">
        <f>COUNTIFS(Dyno_Data[Team],TBA_Matches_All[[#This Row],[Team]],Dyno_Data[Match],TBA_Matches_All[[#This Row],[Match_Number]],Dyno_Data[RecordType],"Activities",Dyno_Data[DelOrig],"Neut", Dyno_Data[DelMiss],"1")</f>
        <v>0</v>
      </c>
      <c r="BM200" s="60">
        <f>IFERROR(SUM((TBA_Matches_All[[#This Row],[NZflrT]])/(TBA_Matches_All[[#This Row],[NZflrT]]+TBA_Matches_All[[#This Row],[NZflrM]])),0)</f>
        <v>0</v>
      </c>
      <c r="BN200">
        <f>COUNTIFS(Dyno_Data[Team],TBA_Matches_All[[#This Row],[Team]],Dyno_Data[Match],TBA_Matches_All[[#This Row],[Match_Number]],Dyno_Data[RecordType],"Activities",Dyno_Data[DelOrig],"AllyW", Dyno_Data[DelMiss],"0")</f>
        <v>8</v>
      </c>
      <c r="BO200">
        <f>COUNTIFS(Dyno_Data[Team],TBA_Matches_All[[#This Row],[Team]],Dyno_Data[Match],TBA_Matches_All[[#This Row],[Match_Number]],Dyno_Data[RecordType],"Activities",Dyno_Data[DelOrig],"AllyW", Dyno_Data[DelMiss],"1")</f>
        <v>4</v>
      </c>
      <c r="BP200" s="60">
        <f>IFERROR(SUM((TBA_Matches_All[[#This Row],[AZflrT]])/(TBA_Matches_All[[#This Row],[AZflrT]]+TBA_Matches_All[[#This Row],[AZflrM]])),0)</f>
        <v>0.66666666666666663</v>
      </c>
      <c r="BQ200">
        <f>COUNTIFS(Dyno_Data[Team],TBA_Matches_All[[#This Row],[Team]],Dyno_Data[Match],TBA_Matches_All[[#This Row],[Match_Number]],Dyno_Data[RecordType],"Activities",Dyno_Data[DelOrig],"SubW", Dyno_Data[DelMiss],"0")</f>
        <v>2</v>
      </c>
      <c r="BR200">
        <f>COUNTIFS(Dyno_Data[Team],TBA_Matches_All[[#This Row],[Team]],Dyno_Data[Match],TBA_Matches_All[[#This Row],[Match_Number]],Dyno_Data[RecordType],"Activities",Dyno_Data[DelOrig],"SubW", Dyno_Data[DelMiss],"1")</f>
        <v>0</v>
      </c>
      <c r="BS200" s="60">
        <f>IFERROR(SUM((TBA_Matches_All[[#This Row],[SubwT]])/(TBA_Matches_All[[#This Row],[SubwT]]+TBA_Matches_All[[#This Row],[SubwM]])),0)</f>
        <v>1</v>
      </c>
      <c r="BT200">
        <f>COUNTIFS(Dyno_Data[Team],TBA_Matches_All[[#This Row],[Team]],Dyno_Data[Match],TBA_Matches_All[[#This Row],[Match_Number]],Dyno_Data[RecordType],"Activities", Dyno_Data[AcqLoc],"OppWing")</f>
        <v>0</v>
      </c>
      <c r="BU200">
        <f>COUNTIFS(Dyno_Data[Team],TBA_Matches_All[[#This Row],[Team]],Dyno_Data[Match],TBA_Matches_All[[#This Row],[Match_Number]],Dyno_Data[RecordType],"Activities", Dyno_Data[AcqLoc],"Neutral")</f>
        <v>0</v>
      </c>
      <c r="BV200">
        <f>COUNTIFS(Dyno_Data[Team],TBA_Matches_All[[#This Row],[Team]],Dyno_Data[Match],TBA_Matches_All[[#This Row],[Match_Number]],Dyno_Data[RecordType],"Activities", Dyno_Data[AcqLoc],"AllyWing")</f>
        <v>0</v>
      </c>
      <c r="BW200">
        <f>COUNTIFS(Dyno_Data[Team],TBA_Matches_All[[#This Row],[Team]],Dyno_Data[Match],TBA_Matches_All[[#This Row],[Match_Number]],Dyno_Data[RecordType],"Activities", Dyno_Data[AcqLoc],"Source")</f>
        <v>0</v>
      </c>
      <c r="BX200">
        <f>SUMIFS(Dyno_Data[AcqDrp], Dyno_Data[Team],TBA_Matches_All[[#This Row],[Team]],Dyno_Data[Match],TBA_Matches_All[[#This Row],[Match_Number]],Dyno_Data[RecordType],"Activities", Dyno_Data[AcqLoc],"Source")</f>
        <v>0</v>
      </c>
      <c r="BY200">
        <f>SUMIFS(Dyno_Data[OZTime], Dyno_Data[Team],TBA_Matches_All[[#This Row],[Team]],Dyno_Data[Match],TBA_Matches_All[[#This Row],[Match_Number]],Dyno_Data[RecordType],"EndMatch")</f>
        <v>25.744411199999998</v>
      </c>
      <c r="BZ200">
        <f>SUMIFS(Dyno_Data[NZTime], Dyno_Data[Team],TBA_Matches_All[[#This Row],[Team]],Dyno_Data[Match],TBA_Matches_All[[#This Row],[Match_Number]],Dyno_Data[RecordType],"EndMatch")</f>
        <v>11.448741499999999</v>
      </c>
      <c r="CA200">
        <f>SUMIFS(Dyno_Data[AZTime], Dyno_Data[Team],TBA_Matches_All[[#This Row],[Team]],Dyno_Data[Match],TBA_Matches_All[[#This Row],[Match_Number]],Dyno_Data[RecordType],"EndMatch")</f>
        <v>87.1401374</v>
      </c>
      <c r="CB200">
        <f>SUMIFS(Dyno_Data[ClimbT], Dyno_Data[Team],TBA_Matches_All[[#This Row],[Team]],Dyno_Data[Match],TBA_Matches_All[[#This Row],[Match_Number]],Dyno_Data[RecordType],"EndMatch")</f>
        <v>7.9654029999999993</v>
      </c>
      <c r="CC200" t="str">
        <f>_xlfn.XLOOKUP(SUM(MID(TBA_Matches_All[[#This Row],[Team]],4,5),(TBA_Matches_All[[#This Row],[Match_Number]]/100)),Dyno_EndMatch[teammat],Dyno_EndMatch[StageStat],"_",0,1)</f>
        <v>On</v>
      </c>
      <c r="CD200" t="str">
        <f>_xlfn.XLOOKUP(TBA_Matches_All[[#This Row],[teammat]],Dyno_EndMatch[teammat],Dyno_EndMatch[StageAtt],"_",0,1)</f>
        <v>1</v>
      </c>
      <c r="CE200" t="str">
        <f>_xlfn.XLOOKUP(TBA_Matches_All[[#This Row],[teammat]],Dyno_EndMatch[teammat],Dyno_EndMatch[StageLoc],"_",0,1)</f>
        <v>L</v>
      </c>
      <c r="CF200">
        <f>SUMIFS(Dyno_Data[Harmony], Dyno_Data[Team],TBA_Matches_All[[#This Row],[Team]],Dyno_Data[Match],TBA_Matches_All[[#This Row],[Match_Number]],Dyno_Data[RecordType],"EndMatch", Dyno_Data[StageStat],"On",Dyno_Data[Harmony],"&lt;&gt;9")</f>
        <v>0</v>
      </c>
      <c r="CG200">
        <f>SUMIFS(Dyno_Data[Spotlit], Dyno_Data[Team],TBA_Matches_All[[#This Row],[Team]],Dyno_Data[Match],TBA_Matches_All[[#This Row],[Match_Number]],Dyno_Data[RecordType],"EndMatch", Dyno_Data[StageStat],"On",Dyno_Data[Spotlit],"&lt;&gt;9")</f>
        <v>0</v>
      </c>
      <c r="CH200" t="str">
        <f>_xlfn.XLOOKUP(TBA_Matches_All[[#This Row],[teammat]],Dyno_EndMatch[teammat],Dyno_EndMatch[Strategy],"_",0,1)</f>
        <v>Hybrid</v>
      </c>
      <c r="CI200">
        <f>SUMIFS(Dyno_Data[Defense], Dyno_Data[Team],TBA_Matches_All[[#This Row],[Team]],Dyno_Data[Match],TBA_Matches_All[[#This Row],[Match_Number]],Dyno_Data[RecordType],"EndMatch",Dyno_Data[Defense],"&lt;&gt;9")</f>
        <v>0</v>
      </c>
      <c r="CJ200">
        <f>SUMIFS(Dyno_Data[Avoidance], Dyno_Data[Team],TBA_Matches_All[[#This Row],[Team]],Dyno_Data[Match],TBA_Matches_All[[#This Row],[Match_Number]],Dyno_Data[RecordType],"EndMatch",Dyno_Data[Avoidance],"&lt;&gt;9")</f>
        <v>0</v>
      </c>
      <c r="CK200" s="82">
        <f>COUNTIF($H$2:TBA_Matches_All[[#This Row],[Team]],TBA_Matches_All[[#This Row],[Team]])</f>
        <v>4</v>
      </c>
      <c r="CL200" s="111">
        <f>SUM(MID(TBA_Matches_All[[#This Row],[Team]],4,5)+TBA_Matches_All[[#This Row],[Match_Number]]/100)</f>
        <v>3044.33</v>
      </c>
      <c r="CM200">
        <f>SUM((TBA_Matches_All[[#This Row],[Leave]]*2)+(TBA_Matches_All[[#This Row],[AampT]]*2)+(TBA_Matches_All[[#This Row],[AspkrT]]*5)+(TBA_Matches_All[[#This Row],[AtrapT]]*5))</f>
        <v>17</v>
      </c>
      <c r="CN200" s="59">
        <f>IFERROR(SUM(TBA_Matches_All[[#This Row],[AptsT]]/TBA_Matches_All[[#This Row],[AutoPts]]),0)</f>
        <v>0.80952380952380953</v>
      </c>
      <c r="CO200" s="59">
        <f>IFERROR(SUM(TBA_Matches_All[[#This Row],[AampT]]+TBA_Matches_All[[#This Row],[AspkrT]]+TBA_Matches_All[[#This Row],[AtrapT]]/TBA_Matches_All[[#This Row],[Aamp]]+TBA_Matches_All[[#This Row],[Aspkr]]+TBA_Matches_All[[#This Row],[AtrapT]]),0)</f>
        <v>0</v>
      </c>
      <c r="CP200" s="59">
        <f>IFERROR(SUM(TBA_Matches_All[[#This Row],[TampT]]/TBA_Matches_All[[#This Row],[Tamp]]),0)</f>
        <v>0</v>
      </c>
      <c r="CQ200" s="59">
        <f>IFERROR(SUM(TBA_Matches_All[[#This Row],[TspkrT]]/TBA_Matches_All[[#This Row],[Tspkr]]),0)</f>
        <v>0.7</v>
      </c>
      <c r="CR200">
        <f>SUM(TBA_Matches_All[[#This Row],[TspkrPts]]*TBA_Matches_All[[#This Row],[TspkrP]])</f>
        <v>14</v>
      </c>
      <c r="CS200" s="59">
        <f>IFERROR(SUM(TBA_Matches_All[[#This Row],[TtrapT]]/TBA_Matches_All[[#This Row],[Trap]]),0)</f>
        <v>0</v>
      </c>
      <c r="CT200" s="59">
        <f>IFERROR(SUM(TBA_Matches_All[[#This Row],[TotNotesT]]/TBA_Matches_All[[#This Row],[TotNotes]]),0)</f>
        <v>0.7142857142857143</v>
      </c>
      <c r="CU200" s="66">
        <f>SUM((TBA_Matches_All[[#This Row],[AampT]]*2)+(TBA_Matches_All[[#This Row],[AspkrT]]*5)+(TBA_Matches_All[[#This Row],[AtrapT]]*5)+(TBA_Matches_All[[#This Row],[TampT]]*1)+(TBA_Matches_All[[#This Row],[TspkrptsC]]))</f>
        <v>29</v>
      </c>
      <c r="CV200" s="59">
        <f>IFERROR(TBA_Matches_All[[#This Row],[noteptsT]]/TBA_Matches_All[[#This Row],[NotePts]],0)</f>
        <v>0.80555555555555558</v>
      </c>
      <c r="CW200">
        <f>SUM(IF(TBA_Matches_All[[#This Row],[stageStat]]="On",3,0),IF(TBA_Matches_All[[#This Row],[stageStat]]="Park",1,0),SUMIFS(TBA_Matches_All[[#This Row],[Spotlit]],TBA_Matches_All[[#This Row],[stageStat]],"On"),SUMIFS(TBA_Matches_All[[#This Row],[Harmony]],TBA_Matches_All[[#This Row],[stageStat]],"On"))</f>
        <v>3</v>
      </c>
      <c r="CX200" s="59">
        <f>IFERROR(TBA_Matches_All[[#This Row],[stageptsT]]/TBA_Matches_All[[#This Row],[StagePts]],0)</f>
        <v>0.6</v>
      </c>
      <c r="CY200">
        <f>SUM((TBA_Matches_All[[#This Row],[AptsT]]+TBA_Matches_All[[#This Row],[TampT]]+TBA_Matches_All[[#This Row],[TspkrptsC]]+(TBA_Matches_All[[#This Row],[TtrapT]]*5)+TBA_Matches_All[[#This Row],[stageptsT]]))</f>
        <v>34</v>
      </c>
      <c r="CZ200" s="59">
        <f>IFERROR(SUM(TBA_Matches_All[[#This Row],[TotptsC]]/TBA_Matches_All[[#This Row],[Score]]),0)</f>
        <v>0.59649122807017541</v>
      </c>
      <c r="DA20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12.97142857142857</v>
      </c>
      <c r="DB200" s="74">
        <f>SUMIFS(TBA_Matches_All[AveTeamTNoteDels],TBA_Matches_All[Match_Number],TBA_Matches_All[[#This Row],[Match_Number]],TBA_Matches_All[Alliance],"&lt;&gt;"&amp;TBA_Matches_All[[#This Row],[Alliance]],TBA_Matches_All[Scouted],"&gt;0")</f>
        <v>13.365384615384617</v>
      </c>
      <c r="DC200" s="74">
        <f>(TBA_Matches_All[[#This Row],[TampT]]+TBA_Matches_All[[#This Row],[TspkrptsC]])-TBA_Matches_All[[#This Row],[AveTeamTNoteDels]]</f>
        <v>1.0285714285714302</v>
      </c>
      <c r="DD200" s="74">
        <f>SUMIFS(TBA_Matches_All[AveTeamTNoteDels],TBA_Matches_All[Match_Number],TBA_Matches_All[[#This Row],[Match_Number]],TBA_Matches_All[Alliance],"&lt;&gt;"&amp;TBA_Matches_All[[#This Row],[Alliance]])-TBA_Matches_All[[#This Row],[AveOppTNoteDels]]</f>
        <v>0</v>
      </c>
    </row>
    <row r="201" spans="1:108" x14ac:dyDescent="0.3">
      <c r="A201" t="s">
        <v>1042</v>
      </c>
      <c r="B201" t="s">
        <v>489</v>
      </c>
      <c r="C201" t="s">
        <v>1343</v>
      </c>
      <c r="D201">
        <v>34</v>
      </c>
      <c r="E201" t="s">
        <v>1420</v>
      </c>
      <c r="F201" t="s">
        <v>1423</v>
      </c>
      <c r="G201" t="s">
        <v>1409</v>
      </c>
      <c r="H201" t="s">
        <v>1301</v>
      </c>
      <c r="I201" t="b">
        <v>0</v>
      </c>
      <c r="J201">
        <v>33</v>
      </c>
      <c r="K201">
        <v>0</v>
      </c>
      <c r="L201">
        <v>0</v>
      </c>
      <c r="M201">
        <v>7</v>
      </c>
      <c r="N201">
        <v>0</v>
      </c>
      <c r="O201">
        <v>2</v>
      </c>
      <c r="P201">
        <v>10</v>
      </c>
      <c r="Q201">
        <v>12</v>
      </c>
      <c r="R201">
        <v>4</v>
      </c>
      <c r="S201">
        <v>2</v>
      </c>
      <c r="T201">
        <v>1</v>
      </c>
      <c r="U201">
        <v>10</v>
      </c>
      <c r="V201">
        <v>2</v>
      </c>
      <c r="W201">
        <v>3</v>
      </c>
      <c r="X201">
        <v>12</v>
      </c>
      <c r="Y201">
        <v>16</v>
      </c>
      <c r="Z201">
        <v>0</v>
      </c>
      <c r="AA201">
        <v>0</v>
      </c>
      <c r="AB201">
        <v>9</v>
      </c>
      <c r="AC201">
        <v>26</v>
      </c>
      <c r="AD201">
        <v>5</v>
      </c>
      <c r="AE201">
        <f>IFERROR(6/(COUNTIF(Dyno_EndMatch[Match],TBA_Matches_All[[#This Row],[Match_Number]])),0)</f>
        <v>1</v>
      </c>
      <c r="AF201">
        <f>COUNTIFS(Dyno_Data[Team],TBA_Matches_All[[#This Row],[Team]],Dyno_Data[Match],TBA_Matches_All[[#This Row],[Match_Number]],Dyno_Data[RecordType],"EndMatch",Dyno_Data[HPAmp],"Y")</f>
        <v>0</v>
      </c>
      <c r="AG201">
        <f>SUMIFS(Dyno_Data[Mics], Dyno_Data[Team],TBA_Matches_All[[#This Row],[Team]],Dyno_Data[Match],TBA_Matches_All[[#This Row],[Match_Number]],Dyno_Data[RecordType],"EndMatch",Dyno_Data[HPAmp],"Y")</f>
        <v>0</v>
      </c>
      <c r="AH201">
        <f>SUMIFS(Dyno_Data[Leave], Dyno_Data[Team],TBA_Matches_All[[#This Row],[Team]],Dyno_Data[Match],TBA_Matches_All[[#This Row],[Match_Number]],Dyno_Data[RecordType],"EndAuto")</f>
        <v>0</v>
      </c>
      <c r="AI201">
        <f>COUNTIFS(Dyno_Data[Team],TBA_Matches_All[[#This Row],[Team]],Dyno_Data[Match],TBA_Matches_All[[#This Row],[Match_Number]],Dyno_Data[RecordType],"Activities",Dyno_Data[DelDest],"Amp", Dyno_Data[DelMiss],"0", Dyno_Data[Mode],"Auto")</f>
        <v>0</v>
      </c>
      <c r="AJ201">
        <f>COUNTIFS(Dyno_Data[Team],TBA_Matches_All[[#This Row],[Team]],Dyno_Data[Match],TBA_Matches_All[[#This Row],[Match_Number]],Dyno_Data[RecordType],"Activities",Dyno_Data[DelDest],"Spkr", Dyno_Data[DelMiss],"0", Dyno_Data[Mode],"Auto")</f>
        <v>0</v>
      </c>
      <c r="AK201">
        <f>COUNTIFS(Dyno_Data[Team],TBA_Matches_All[[#This Row],[Team]],Dyno_Data[Match],TBA_Matches_All[[#This Row],[Match_Number]],Dyno_Data[RecordType],"Activities",Dyno_Data[DelDest],"Trap", Dyno_Data[DelMiss],"0", Dyno_Data[Mode],"Auto")</f>
        <v>0</v>
      </c>
      <c r="AL201">
        <f>COUNTIFS(Dyno_Data[Team],TBA_Matches_All[[#This Row],[Team]],Dyno_Data[Match],TBA_Matches_All[[#This Row],[Match_Number]],Dyno_Data[RecordType],"Activities",Dyno_Data[DelDest],"Amp", Dyno_Data[DelMiss],"0", Dyno_Data[Mode],"Teleop")</f>
        <v>0</v>
      </c>
      <c r="AM201">
        <f>COUNTIFS(Dyno_Data[Team],TBA_Matches_All[[#This Row],[Team]],Dyno_Data[Match],TBA_Matches_All[[#This Row],[Match_Number]],Dyno_Data[RecordType],"Activities",Dyno_Data[DelDest],"Spkr", Dyno_Data[DelMiss],"0", Dyno_Data[Mode],"Teleop")</f>
        <v>0</v>
      </c>
      <c r="AN201">
        <f>COUNTIFS(Dyno_Data[Team],TBA_Matches_All[[#This Row],[Team]],Dyno_Data[Match],TBA_Matches_All[[#This Row],[Match_Number]],Dyno_Data[RecordType],"Activities",Dyno_Data[DelDest],"Trap", Dyno_Data[DelMiss],"0", Dyno_Data[Mode],"&lt;&gt;Auto")</f>
        <v>0</v>
      </c>
      <c r="AO201">
        <f>SUM(TBA_Matches_All[[#This Row],[AampT]]+TBA_Matches_All[[#This Row],[AspkrT]]+TBA_Matches_All[[#This Row],[AtrapT]]+TBA_Matches_All[[#This Row],[TampT]]+TBA_Matches_All[[#This Row],[TspkrT]]+TBA_Matches_All[[#This Row],[TtrapT]])</f>
        <v>0</v>
      </c>
      <c r="AP201">
        <f>COUNTIFS(Dyno_Data[Team],TBA_Matches_All[[#This Row],[Team]],Dyno_Data[Match],TBA_Matches_All[[#This Row],[Match_Number]],Dyno_Data[RecordType],"Activities",Dyno_Data[DelDest],"Neut", Dyno_Data[DelMiss],"0")</f>
        <v>0</v>
      </c>
      <c r="AQ201">
        <f>COUNTIFS(Dyno_Data[Team],TBA_Matches_All[[#This Row],[Team]],Dyno_Data[Match],TBA_Matches_All[[#This Row],[Match_Number]],Dyno_Data[RecordType],"Activities",Dyno_Data[DelDest],"AllyW", Dyno_Data[DelMiss],"0")</f>
        <v>1</v>
      </c>
      <c r="AR201" t="str">
        <f>_xlfn.XLOOKUP(SUM(MID(TBA_Matches_All[[#This Row],[Team]],4,5),(TBA_Matches_All[[#This Row],[Match_Number]]/100)),Dyno_EndMatch[teammat],Dyno_EndMatch[RobotSta],"_",0,1)</f>
        <v>Podm</v>
      </c>
      <c r="AS201">
        <f>SUMIFS(Dyno_Data[AcqDis], Dyno_Data[Team],TBA_Matches_All[[#This Row],[Team]],Dyno_Data[Match],TBA_Matches_All[[#This Row],[Match_Number]],Dyno_Data[RecordType],"Activities", Dyno_Data[AcqCenter],1,Dyno_Data[Mode],"Auto")</f>
        <v>0</v>
      </c>
      <c r="AT201">
        <f>SUMIFS(Dyno_Data[AcqDis], Dyno_Data[Team],TBA_Matches_All[[#This Row],[Team]],Dyno_Data[Match],TBA_Matches_All[[#This Row],[Match_Number]],Dyno_Data[RecordType],"Activities", Dyno_Data[AcqCenter],2,Dyno_Data[Mode],"Auto")</f>
        <v>0</v>
      </c>
      <c r="AU201">
        <f>SUMIFS(Dyno_Data[AcqDis], Dyno_Data[Team],TBA_Matches_All[[#This Row],[Team]],Dyno_Data[Match],TBA_Matches_All[[#This Row],[Match_Number]],Dyno_Data[RecordType],"Activities", Dyno_Data[AcqCenter],3,Dyno_Data[Mode],"Auto")</f>
        <v>0</v>
      </c>
      <c r="AV201">
        <f>SUMIFS(Dyno_Data[AcqDis], Dyno_Data[Team],TBA_Matches_All[[#This Row],[Team]],Dyno_Data[Match],TBA_Matches_All[[#This Row],[Match_Number]],Dyno_Data[RecordType],"Activities", Dyno_Data[AcqCenter],4,Dyno_Data[Mode],"Auto")</f>
        <v>0</v>
      </c>
      <c r="AW201">
        <f>SUMIFS(Dyno_Data[AcqDis], Dyno_Data[Team],TBA_Matches_All[[#This Row],[Team]],Dyno_Data[Match],TBA_Matches_All[[#This Row],[Match_Number]],Dyno_Data[RecordType],"Activities", Dyno_Data[AcqCenter],5,Dyno_Data[Mode],"Auto")</f>
        <v>0</v>
      </c>
      <c r="AX201">
        <f>SUMIFS(Dyno_Data[DelMiss], Dyno_Data[Team],TBA_Matches_All[[#This Row],[Team]],Dyno_Data[Match],TBA_Matches_All[[#This Row],[Match_Number]],Dyno_Data[RecordType],"Activities", Dyno_Data[DelDest],"Amp")</f>
        <v>0</v>
      </c>
      <c r="AY201" s="60">
        <f>IFERROR(SUM((TBA_Matches_All[[#This Row],[AampT]]+TBA_Matches_All[[#This Row],[TampT]])/(TBA_Matches_All[[#This Row],[AampT]]+TBA_Matches_All[[#This Row],[TampT]]+TBA_Matches_All[[#This Row],[ampM]])),0)</f>
        <v>0</v>
      </c>
      <c r="AZ201">
        <f>SUMIFS(Dyno_Data[DelMiss], Dyno_Data[Team],TBA_Matches_All[[#This Row],[Team]],Dyno_Data[Match],TBA_Matches_All[[#This Row],[Match_Number]],Dyno_Data[RecordType],"Activities", Dyno_Data[DelDest],"Spkr")</f>
        <v>0</v>
      </c>
      <c r="BA201" s="60">
        <f>IFERROR(SUM((TBA_Matches_All[[#This Row],[AspkrT]]+TBA_Matches_All[[#This Row],[TspkrT]])/(TBA_Matches_All[[#This Row],[AspkrT]]+TBA_Matches_All[[#This Row],[TspkrT]]+TBA_Matches_All[[#This Row],[spkrM]])),0)</f>
        <v>0</v>
      </c>
      <c r="BB201">
        <f>SUMIFS(Dyno_Data[DelMiss], Dyno_Data[Team],TBA_Matches_All[[#This Row],[Team]],Dyno_Data[Match],TBA_Matches_All[[#This Row],[Match_Number]],Dyno_Data[RecordType],"Activities", Dyno_Data[DelDest],"Trap")</f>
        <v>0</v>
      </c>
      <c r="BC201" s="60">
        <f>IFERROR((TBA_Matches_All[[#This Row],[AtrapT]]+TBA_Matches_All[[#This Row],[TtrapT]])/(TBA_Matches_All[[#This Row],[AtrapT]]+TBA_Matches_All[[#This Row],[TtrapT]]+TBA_Matches_All[[#This Row],[trapM]]),0)</f>
        <v>0</v>
      </c>
      <c r="BD201">
        <f>COUNTIFS(Dyno_Data[Team],TBA_Matches_All[[#This Row],[Team]],Dyno_Data[Match],TBA_Matches_All[[#This Row],[Match_Number]],Dyno_Data[RecordType],"Activities",Dyno_Data[DelDest],"Neut", Dyno_Data[DelMiss],1)</f>
        <v>0</v>
      </c>
      <c r="BE201" s="60">
        <f>IFERROR(SUM((TBA_Matches_All[[#This Row],[NeutFlrT]])/(TBA_Matches_All[[#This Row],[NeutFlrT]]+TBA_Matches_All[[#This Row],[NZflM]])),0)</f>
        <v>0</v>
      </c>
      <c r="BF201">
        <f>COUNTIFS(Dyno_Data[Team],TBA_Matches_All[[#This Row],[Team]],Dyno_Data[Match],TBA_Matches_All[[#This Row],[Match_Number]],Dyno_Data[RecordType],"Activities",Dyno_Data[DelDest],"AllyW", Dyno_Data[DelMiss],1)</f>
        <v>0</v>
      </c>
      <c r="BG201" s="60">
        <f>IFERROR(SUM((TBA_Matches_All[[#This Row],[AllyWFlrT]])/(TBA_Matches_All[[#This Row],[AllyWFlrT]]+TBA_Matches_All[[#This Row],[AZflM]])),0)</f>
        <v>1</v>
      </c>
      <c r="BH201">
        <f>COUNTIFS(Dyno_Data[Team],TBA_Matches_All[[#This Row],[Team]],Dyno_Data[Match],TBA_Matches_All[[#This Row],[Match_Number]],Dyno_Data[RecordType],"Activities",Dyno_Data[DelOrig],"OppW", Dyno_Data[DelMiss],"0")</f>
        <v>0</v>
      </c>
      <c r="BI201">
        <f>COUNTIFS(Dyno_Data[Team],TBA_Matches_All[[#This Row],[Team]],Dyno_Data[Match],TBA_Matches_All[[#This Row],[Match_Number]],Dyno_Data[RecordType],"Activities",Dyno_Data[DelOrig],"OppW", Dyno_Data[DelMiss],"1")</f>
        <v>0</v>
      </c>
      <c r="BJ201" s="60">
        <f>IFERROR(SUM((TBA_Matches_All[[#This Row],[OZflrT]])/(TBA_Matches_All[[#This Row],[OZflrT]]+TBA_Matches_All[[#This Row],[OZflrM]])),0)</f>
        <v>0</v>
      </c>
      <c r="BK201">
        <f>COUNTIFS(Dyno_Data[Team],TBA_Matches_All[[#This Row],[Team]],Dyno_Data[Match],TBA_Matches_All[[#This Row],[Match_Number]],Dyno_Data[RecordType],"Activities",Dyno_Data[DelOrig],"Neut", Dyno_Data[DelMiss],"0")</f>
        <v>0</v>
      </c>
      <c r="BL201">
        <f>COUNTIFS(Dyno_Data[Team],TBA_Matches_All[[#This Row],[Team]],Dyno_Data[Match],TBA_Matches_All[[#This Row],[Match_Number]],Dyno_Data[RecordType],"Activities",Dyno_Data[DelOrig],"Neut", Dyno_Data[DelMiss],"1")</f>
        <v>0</v>
      </c>
      <c r="BM201" s="60">
        <f>IFERROR(SUM((TBA_Matches_All[[#This Row],[NZflrT]])/(TBA_Matches_All[[#This Row],[NZflrT]]+TBA_Matches_All[[#This Row],[NZflrM]])),0)</f>
        <v>0</v>
      </c>
      <c r="BN201">
        <f>COUNTIFS(Dyno_Data[Team],TBA_Matches_All[[#This Row],[Team]],Dyno_Data[Match],TBA_Matches_All[[#This Row],[Match_Number]],Dyno_Data[RecordType],"Activities",Dyno_Data[DelOrig],"AllyW", Dyno_Data[DelMiss],"0")</f>
        <v>1</v>
      </c>
      <c r="BO201">
        <f>COUNTIFS(Dyno_Data[Team],TBA_Matches_All[[#This Row],[Team]],Dyno_Data[Match],TBA_Matches_All[[#This Row],[Match_Number]],Dyno_Data[RecordType],"Activities",Dyno_Data[DelOrig],"AllyW", Dyno_Data[DelMiss],"1")</f>
        <v>0</v>
      </c>
      <c r="BP201" s="60">
        <f>IFERROR(SUM((TBA_Matches_All[[#This Row],[AZflrT]])/(TBA_Matches_All[[#This Row],[AZflrT]]+TBA_Matches_All[[#This Row],[AZflrM]])),0)</f>
        <v>1</v>
      </c>
      <c r="BQ201">
        <f>COUNTIFS(Dyno_Data[Team],TBA_Matches_All[[#This Row],[Team]],Dyno_Data[Match],TBA_Matches_All[[#This Row],[Match_Number]],Dyno_Data[RecordType],"Activities",Dyno_Data[DelOrig],"SubW", Dyno_Data[DelMiss],"0")</f>
        <v>0</v>
      </c>
      <c r="BR201">
        <f>COUNTIFS(Dyno_Data[Team],TBA_Matches_All[[#This Row],[Team]],Dyno_Data[Match],TBA_Matches_All[[#This Row],[Match_Number]],Dyno_Data[RecordType],"Activities",Dyno_Data[DelOrig],"SubW", Dyno_Data[DelMiss],"1")</f>
        <v>0</v>
      </c>
      <c r="BS201" s="60">
        <f>IFERROR(SUM((TBA_Matches_All[[#This Row],[SubwT]])/(TBA_Matches_All[[#This Row],[SubwT]]+TBA_Matches_All[[#This Row],[SubwM]])),0)</f>
        <v>0</v>
      </c>
      <c r="BT201">
        <f>COUNTIFS(Dyno_Data[Team],TBA_Matches_All[[#This Row],[Team]],Dyno_Data[Match],TBA_Matches_All[[#This Row],[Match_Number]],Dyno_Data[RecordType],"Activities", Dyno_Data[AcqLoc],"OppWing")</f>
        <v>0</v>
      </c>
      <c r="BU201">
        <f>COUNTIFS(Dyno_Data[Team],TBA_Matches_All[[#This Row],[Team]],Dyno_Data[Match],TBA_Matches_All[[#This Row],[Match_Number]],Dyno_Data[RecordType],"Activities", Dyno_Data[AcqLoc],"Neutral")</f>
        <v>0</v>
      </c>
      <c r="BV201">
        <f>COUNTIFS(Dyno_Data[Team],TBA_Matches_All[[#This Row],[Team]],Dyno_Data[Match],TBA_Matches_All[[#This Row],[Match_Number]],Dyno_Data[RecordType],"Activities", Dyno_Data[AcqLoc],"AllyWing")</f>
        <v>0</v>
      </c>
      <c r="BW201">
        <f>COUNTIFS(Dyno_Data[Team],TBA_Matches_All[[#This Row],[Team]],Dyno_Data[Match],TBA_Matches_All[[#This Row],[Match_Number]],Dyno_Data[RecordType],"Activities", Dyno_Data[AcqLoc],"Source")</f>
        <v>0</v>
      </c>
      <c r="BX201">
        <f>SUMIFS(Dyno_Data[AcqDrp], Dyno_Data[Team],TBA_Matches_All[[#This Row],[Team]],Dyno_Data[Match],TBA_Matches_All[[#This Row],[Match_Number]],Dyno_Data[RecordType],"Activities", Dyno_Data[AcqLoc],"Source")</f>
        <v>0</v>
      </c>
      <c r="BY201">
        <f>SUMIFS(Dyno_Data[OZTime], Dyno_Data[Team],TBA_Matches_All[[#This Row],[Team]],Dyno_Data[Match],TBA_Matches_All[[#This Row],[Match_Number]],Dyno_Data[RecordType],"EndMatch")</f>
        <v>0</v>
      </c>
      <c r="BZ201">
        <f>SUMIFS(Dyno_Data[NZTime], Dyno_Data[Team],TBA_Matches_All[[#This Row],[Team]],Dyno_Data[Match],TBA_Matches_All[[#This Row],[Match_Number]],Dyno_Data[RecordType],"EndMatch")</f>
        <v>36.5201128</v>
      </c>
      <c r="CA201">
        <f>SUMIFS(Dyno_Data[AZTime], Dyno_Data[Team],TBA_Matches_All[[#This Row],[Team]],Dyno_Data[Match],TBA_Matches_All[[#This Row],[Match_Number]],Dyno_Data[RecordType],"EndMatch")</f>
        <v>93.245114999999998</v>
      </c>
      <c r="CB201">
        <f>SUMIFS(Dyno_Data[ClimbT], Dyno_Data[Team],TBA_Matches_All[[#This Row],[Team]],Dyno_Data[Match],TBA_Matches_All[[#This Row],[Match_Number]],Dyno_Data[RecordType],"EndMatch")</f>
        <v>0</v>
      </c>
      <c r="CC201" t="str">
        <f>_xlfn.XLOOKUP(SUM(MID(TBA_Matches_All[[#This Row],[Team]],4,5),(TBA_Matches_All[[#This Row],[Match_Number]]/100)),Dyno_EndMatch[teammat],Dyno_EndMatch[StageStat],"_",0,1)</f>
        <v>Park</v>
      </c>
      <c r="CD201" t="str">
        <f>_xlfn.XLOOKUP(TBA_Matches_All[[#This Row],[teammat]],Dyno_EndMatch[teammat],Dyno_EndMatch[StageAtt],"_",0,1)</f>
        <v>0</v>
      </c>
      <c r="CE201" t="str">
        <f>_xlfn.XLOOKUP(TBA_Matches_All[[#This Row],[teammat]],Dyno_EndMatch[teammat],Dyno_EndMatch[StageLoc],"_",0,1)</f>
        <v>A</v>
      </c>
      <c r="CF201">
        <f>SUMIFS(Dyno_Data[Harmony], Dyno_Data[Team],TBA_Matches_All[[#This Row],[Team]],Dyno_Data[Match],TBA_Matches_All[[#This Row],[Match_Number]],Dyno_Data[RecordType],"EndMatch", Dyno_Data[StageStat],"On",Dyno_Data[Harmony],"&lt;&gt;9")</f>
        <v>0</v>
      </c>
      <c r="CG201">
        <f>SUMIFS(Dyno_Data[Spotlit], Dyno_Data[Team],TBA_Matches_All[[#This Row],[Team]],Dyno_Data[Match],TBA_Matches_All[[#This Row],[Match_Number]],Dyno_Data[RecordType],"EndMatch", Dyno_Data[StageStat],"On",Dyno_Data[Spotlit],"&lt;&gt;9")</f>
        <v>0</v>
      </c>
      <c r="CH201" t="str">
        <f>_xlfn.XLOOKUP(TBA_Matches_All[[#This Row],[teammat]],Dyno_EndMatch[teammat],Dyno_EndMatch[Strategy],"_",0,1)</f>
        <v>None</v>
      </c>
      <c r="CI201">
        <f>SUMIFS(Dyno_Data[Defense], Dyno_Data[Team],TBA_Matches_All[[#This Row],[Team]],Dyno_Data[Match],TBA_Matches_All[[#This Row],[Match_Number]],Dyno_Data[RecordType],"EndMatch",Dyno_Data[Defense],"&lt;&gt;9")</f>
        <v>0</v>
      </c>
      <c r="CJ201">
        <f>SUMIFS(Dyno_Data[Avoidance], Dyno_Data[Team],TBA_Matches_All[[#This Row],[Team]],Dyno_Data[Match],TBA_Matches_All[[#This Row],[Match_Number]],Dyno_Data[RecordType],"EndMatch",Dyno_Data[Avoidance],"&lt;&gt;9")</f>
        <v>0</v>
      </c>
      <c r="CK201" s="82">
        <f>COUNTIF($H$2:TBA_Matches_All[[#This Row],[Team]],TBA_Matches_All[[#This Row],[Team]])</f>
        <v>4</v>
      </c>
      <c r="CL201" s="111">
        <f>SUM(MID(TBA_Matches_All[[#This Row],[Team]],4,5)+TBA_Matches_All[[#This Row],[Match_Number]]/100)</f>
        <v>7031.34</v>
      </c>
      <c r="CM201">
        <f>SUM((TBA_Matches_All[[#This Row],[Leave]]*2)+(TBA_Matches_All[[#This Row],[AampT]]*2)+(TBA_Matches_All[[#This Row],[AspkrT]]*5)+(TBA_Matches_All[[#This Row],[AtrapT]]*5))</f>
        <v>0</v>
      </c>
      <c r="CN201" s="59">
        <f>IFERROR(SUM(TBA_Matches_All[[#This Row],[AptsT]]/TBA_Matches_All[[#This Row],[AutoPts]]),0)</f>
        <v>0</v>
      </c>
      <c r="CO201" s="59">
        <f>IFERROR(SUM(TBA_Matches_All[[#This Row],[AampT]]+TBA_Matches_All[[#This Row],[AspkrT]]+TBA_Matches_All[[#This Row],[AtrapT]]/TBA_Matches_All[[#This Row],[Aamp]]+TBA_Matches_All[[#This Row],[Aspkr]]+TBA_Matches_All[[#This Row],[AtrapT]]),0)</f>
        <v>0</v>
      </c>
      <c r="CP201" s="59">
        <f>IFERROR(SUM(TBA_Matches_All[[#This Row],[TampT]]/TBA_Matches_All[[#This Row],[Tamp]]),0)</f>
        <v>0</v>
      </c>
      <c r="CQ201" s="59">
        <f>IFERROR(SUM(TBA_Matches_All[[#This Row],[TspkrT]]/TBA_Matches_All[[#This Row],[Tspkr]]),0)</f>
        <v>0</v>
      </c>
      <c r="CR201">
        <f>SUM(TBA_Matches_All[[#This Row],[TspkrPts]]*TBA_Matches_All[[#This Row],[TspkrP]])</f>
        <v>0</v>
      </c>
      <c r="CS201" s="59">
        <f>IFERROR(SUM(TBA_Matches_All[[#This Row],[TtrapT]]/TBA_Matches_All[[#This Row],[Trap]]),0)</f>
        <v>0</v>
      </c>
      <c r="CT201" s="59">
        <f>IFERROR(SUM(TBA_Matches_All[[#This Row],[TotNotesT]]/TBA_Matches_All[[#This Row],[TotNotes]]),0)</f>
        <v>0</v>
      </c>
      <c r="CU201" s="66">
        <f>SUM((TBA_Matches_All[[#This Row],[AampT]]*2)+(TBA_Matches_All[[#This Row],[AspkrT]]*5)+(TBA_Matches_All[[#This Row],[AtrapT]]*5)+(TBA_Matches_All[[#This Row],[TampT]]*1)+(TBA_Matches_All[[#This Row],[TspkrptsC]]))</f>
        <v>0</v>
      </c>
      <c r="CV201" s="59">
        <f>IFERROR(TBA_Matches_All[[#This Row],[noteptsT]]/TBA_Matches_All[[#This Row],[NotePts]],0)</f>
        <v>0</v>
      </c>
      <c r="CW201">
        <f>SUM(IF(TBA_Matches_All[[#This Row],[stageStat]]="On",3,0),IF(TBA_Matches_All[[#This Row],[stageStat]]="Park",1,0),SUMIFS(TBA_Matches_All[[#This Row],[Spotlit]],TBA_Matches_All[[#This Row],[stageStat]],"On"),SUMIFS(TBA_Matches_All[[#This Row],[Harmony]],TBA_Matches_All[[#This Row],[stageStat]],"On"))</f>
        <v>1</v>
      </c>
      <c r="CX201" s="59">
        <f>IFERROR(TBA_Matches_All[[#This Row],[stageptsT]]/TBA_Matches_All[[#This Row],[StagePts]],0)</f>
        <v>0.2</v>
      </c>
      <c r="CY201">
        <f>SUM((TBA_Matches_All[[#This Row],[AptsT]]+TBA_Matches_All[[#This Row],[TampT]]+TBA_Matches_All[[#This Row],[TspkrptsC]]+(TBA_Matches_All[[#This Row],[TtrapT]]*5)+TBA_Matches_All[[#This Row],[stageptsT]]))</f>
        <v>1</v>
      </c>
      <c r="CZ201" s="59">
        <f>IFERROR(SUM(TBA_Matches_All[[#This Row],[TotptsC]]/TBA_Matches_All[[#This Row],[Score]]),0)</f>
        <v>3.0303030303030304E-2</v>
      </c>
      <c r="DA20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01" s="74">
        <f>SUMIFS(TBA_Matches_All[AveTeamTNoteDels],TBA_Matches_All[Match_Number],TBA_Matches_All[[#This Row],[Match_Number]],TBA_Matches_All[Alliance],"&lt;&gt;"&amp;TBA_Matches_All[[#This Row],[Alliance]],TBA_Matches_All[Scouted],"&gt;0")</f>
        <v>15.880681818181818</v>
      </c>
      <c r="DC201" s="74">
        <f>(TBA_Matches_All[[#This Row],[TampT]]+TBA_Matches_All[[#This Row],[TspkrptsC]])-TBA_Matches_All[[#This Row],[AveTeamTNoteDels]]</f>
        <v>0</v>
      </c>
      <c r="DD201" s="74">
        <f>SUMIFS(TBA_Matches_All[AveTeamTNoteDels],TBA_Matches_All[Match_Number],TBA_Matches_All[[#This Row],[Match_Number]],TBA_Matches_All[Alliance],"&lt;&gt;"&amp;TBA_Matches_All[[#This Row],[Alliance]])-TBA_Matches_All[[#This Row],[AveOppTNoteDels]]</f>
        <v>0</v>
      </c>
    </row>
    <row r="202" spans="1:108" x14ac:dyDescent="0.3">
      <c r="A202" t="s">
        <v>1042</v>
      </c>
      <c r="B202" t="s">
        <v>489</v>
      </c>
      <c r="C202" t="s">
        <v>1343</v>
      </c>
      <c r="D202">
        <v>34</v>
      </c>
      <c r="E202" t="s">
        <v>1406</v>
      </c>
      <c r="F202" t="s">
        <v>1424</v>
      </c>
      <c r="G202" t="s">
        <v>1409</v>
      </c>
      <c r="H202" t="s">
        <v>1292</v>
      </c>
      <c r="I202" t="b">
        <v>0</v>
      </c>
      <c r="J202">
        <v>42</v>
      </c>
      <c r="K202">
        <v>0</v>
      </c>
      <c r="L202">
        <v>0</v>
      </c>
      <c r="M202">
        <v>0</v>
      </c>
      <c r="N202">
        <v>0</v>
      </c>
      <c r="O202">
        <v>3</v>
      </c>
      <c r="P202">
        <v>15</v>
      </c>
      <c r="Q202">
        <v>19</v>
      </c>
      <c r="R202">
        <v>0</v>
      </c>
      <c r="S202">
        <v>0</v>
      </c>
      <c r="T202">
        <v>7</v>
      </c>
      <c r="U202">
        <v>0</v>
      </c>
      <c r="V202">
        <v>14</v>
      </c>
      <c r="W202">
        <v>7</v>
      </c>
      <c r="X202">
        <v>14</v>
      </c>
      <c r="Y202">
        <v>14</v>
      </c>
      <c r="Z202">
        <v>0</v>
      </c>
      <c r="AA202">
        <v>0</v>
      </c>
      <c r="AB202">
        <v>10</v>
      </c>
      <c r="AC202">
        <v>29</v>
      </c>
      <c r="AD202">
        <v>2</v>
      </c>
      <c r="AE202">
        <f>IFERROR(6/(COUNTIF(Dyno_EndMatch[Match],TBA_Matches_All[[#This Row],[Match_Number]])),0)</f>
        <v>1</v>
      </c>
      <c r="AF202">
        <f>COUNTIFS(Dyno_Data[Team],TBA_Matches_All[[#This Row],[Team]],Dyno_Data[Match],TBA_Matches_All[[#This Row],[Match_Number]],Dyno_Data[RecordType],"EndMatch",Dyno_Data[HPAmp],"Y")</f>
        <v>0</v>
      </c>
      <c r="AG202">
        <f>SUMIFS(Dyno_Data[Mics], Dyno_Data[Team],TBA_Matches_All[[#This Row],[Team]],Dyno_Data[Match],TBA_Matches_All[[#This Row],[Match_Number]],Dyno_Data[RecordType],"EndMatch",Dyno_Data[HPAmp],"Y")</f>
        <v>0</v>
      </c>
      <c r="AH202">
        <f>SUMIFS(Dyno_Data[Leave], Dyno_Data[Team],TBA_Matches_All[[#This Row],[Team]],Dyno_Data[Match],TBA_Matches_All[[#This Row],[Match_Number]],Dyno_Data[RecordType],"EndAuto")</f>
        <v>0</v>
      </c>
      <c r="AI202">
        <f>COUNTIFS(Dyno_Data[Team],TBA_Matches_All[[#This Row],[Team]],Dyno_Data[Match],TBA_Matches_All[[#This Row],[Match_Number]],Dyno_Data[RecordType],"Activities",Dyno_Data[DelDest],"Amp", Dyno_Data[DelMiss],"0", Dyno_Data[Mode],"Auto")</f>
        <v>0</v>
      </c>
      <c r="AJ202">
        <f>COUNTIFS(Dyno_Data[Team],TBA_Matches_All[[#This Row],[Team]],Dyno_Data[Match],TBA_Matches_All[[#This Row],[Match_Number]],Dyno_Data[RecordType],"Activities",Dyno_Data[DelDest],"Spkr", Dyno_Data[DelMiss],"0", Dyno_Data[Mode],"Auto")</f>
        <v>0</v>
      </c>
      <c r="AK202">
        <f>COUNTIFS(Dyno_Data[Team],TBA_Matches_All[[#This Row],[Team]],Dyno_Data[Match],TBA_Matches_All[[#This Row],[Match_Number]],Dyno_Data[RecordType],"Activities",Dyno_Data[DelDest],"Trap", Dyno_Data[DelMiss],"0", Dyno_Data[Mode],"Auto")</f>
        <v>0</v>
      </c>
      <c r="AL202">
        <f>COUNTIFS(Dyno_Data[Team],TBA_Matches_All[[#This Row],[Team]],Dyno_Data[Match],TBA_Matches_All[[#This Row],[Match_Number]],Dyno_Data[RecordType],"Activities",Dyno_Data[DelDest],"Amp", Dyno_Data[DelMiss],"0", Dyno_Data[Mode],"Teleop")</f>
        <v>0</v>
      </c>
      <c r="AM202">
        <f>COUNTIFS(Dyno_Data[Team],TBA_Matches_All[[#This Row],[Team]],Dyno_Data[Match],TBA_Matches_All[[#This Row],[Match_Number]],Dyno_Data[RecordType],"Activities",Dyno_Data[DelDest],"Spkr", Dyno_Data[DelMiss],"0", Dyno_Data[Mode],"Teleop")</f>
        <v>0</v>
      </c>
      <c r="AN202">
        <f>COUNTIFS(Dyno_Data[Team],TBA_Matches_All[[#This Row],[Team]],Dyno_Data[Match],TBA_Matches_All[[#This Row],[Match_Number]],Dyno_Data[RecordType],"Activities",Dyno_Data[DelDest],"Trap", Dyno_Data[DelMiss],"0", Dyno_Data[Mode],"&lt;&gt;Auto")</f>
        <v>0</v>
      </c>
      <c r="AO202">
        <f>SUM(TBA_Matches_All[[#This Row],[AampT]]+TBA_Matches_All[[#This Row],[AspkrT]]+TBA_Matches_All[[#This Row],[AtrapT]]+TBA_Matches_All[[#This Row],[TampT]]+TBA_Matches_All[[#This Row],[TspkrT]]+TBA_Matches_All[[#This Row],[TtrapT]])</f>
        <v>0</v>
      </c>
      <c r="AP202">
        <f>COUNTIFS(Dyno_Data[Team],TBA_Matches_All[[#This Row],[Team]],Dyno_Data[Match],TBA_Matches_All[[#This Row],[Match_Number]],Dyno_Data[RecordType],"Activities",Dyno_Data[DelDest],"Neut", Dyno_Data[DelMiss],"0")</f>
        <v>0</v>
      </c>
      <c r="AQ202">
        <f>COUNTIFS(Dyno_Data[Team],TBA_Matches_All[[#This Row],[Team]],Dyno_Data[Match],TBA_Matches_All[[#This Row],[Match_Number]],Dyno_Data[RecordType],"Activities",Dyno_Data[DelDest],"AllyW", Dyno_Data[DelMiss],"0")</f>
        <v>0</v>
      </c>
      <c r="AR202" t="str">
        <f>_xlfn.XLOOKUP(SUM(MID(TBA_Matches_All[[#This Row],[Team]],4,5),(TBA_Matches_All[[#This Row],[Match_Number]]/100)),Dyno_EndMatch[teammat],Dyno_EndMatch[RobotSta],"_",0,1)</f>
        <v>Amp</v>
      </c>
      <c r="AS202">
        <f>SUMIFS(Dyno_Data[AcqDis], Dyno_Data[Team],TBA_Matches_All[[#This Row],[Team]],Dyno_Data[Match],TBA_Matches_All[[#This Row],[Match_Number]],Dyno_Data[RecordType],"Activities", Dyno_Data[AcqCenter],1,Dyno_Data[Mode],"Auto")</f>
        <v>0</v>
      </c>
      <c r="AT202">
        <f>SUMIFS(Dyno_Data[AcqDis], Dyno_Data[Team],TBA_Matches_All[[#This Row],[Team]],Dyno_Data[Match],TBA_Matches_All[[#This Row],[Match_Number]],Dyno_Data[RecordType],"Activities", Dyno_Data[AcqCenter],2,Dyno_Data[Mode],"Auto")</f>
        <v>0</v>
      </c>
      <c r="AU202">
        <f>SUMIFS(Dyno_Data[AcqDis], Dyno_Data[Team],TBA_Matches_All[[#This Row],[Team]],Dyno_Data[Match],TBA_Matches_All[[#This Row],[Match_Number]],Dyno_Data[RecordType],"Activities", Dyno_Data[AcqCenter],3,Dyno_Data[Mode],"Auto")</f>
        <v>0</v>
      </c>
      <c r="AV202">
        <f>SUMIFS(Dyno_Data[AcqDis], Dyno_Data[Team],TBA_Matches_All[[#This Row],[Team]],Dyno_Data[Match],TBA_Matches_All[[#This Row],[Match_Number]],Dyno_Data[RecordType],"Activities", Dyno_Data[AcqCenter],4,Dyno_Data[Mode],"Auto")</f>
        <v>0</v>
      </c>
      <c r="AW202">
        <f>SUMIFS(Dyno_Data[AcqDis], Dyno_Data[Team],TBA_Matches_All[[#This Row],[Team]],Dyno_Data[Match],TBA_Matches_All[[#This Row],[Match_Number]],Dyno_Data[RecordType],"Activities", Dyno_Data[AcqCenter],5,Dyno_Data[Mode],"Auto")</f>
        <v>0</v>
      </c>
      <c r="AX202">
        <f>SUMIFS(Dyno_Data[DelMiss], Dyno_Data[Team],TBA_Matches_All[[#This Row],[Team]],Dyno_Data[Match],TBA_Matches_All[[#This Row],[Match_Number]],Dyno_Data[RecordType],"Activities", Dyno_Data[DelDest],"Amp")</f>
        <v>0</v>
      </c>
      <c r="AY202" s="60">
        <f>IFERROR(SUM((TBA_Matches_All[[#This Row],[AampT]]+TBA_Matches_All[[#This Row],[TampT]])/(TBA_Matches_All[[#This Row],[AampT]]+TBA_Matches_All[[#This Row],[TampT]]+TBA_Matches_All[[#This Row],[ampM]])),0)</f>
        <v>0</v>
      </c>
      <c r="AZ202">
        <f>SUMIFS(Dyno_Data[DelMiss], Dyno_Data[Team],TBA_Matches_All[[#This Row],[Team]],Dyno_Data[Match],TBA_Matches_All[[#This Row],[Match_Number]],Dyno_Data[RecordType],"Activities", Dyno_Data[DelDest],"Spkr")</f>
        <v>0</v>
      </c>
      <c r="BA202" s="60">
        <f>IFERROR(SUM((TBA_Matches_All[[#This Row],[AspkrT]]+TBA_Matches_All[[#This Row],[TspkrT]])/(TBA_Matches_All[[#This Row],[AspkrT]]+TBA_Matches_All[[#This Row],[TspkrT]]+TBA_Matches_All[[#This Row],[spkrM]])),0)</f>
        <v>0</v>
      </c>
      <c r="BB202">
        <f>SUMIFS(Dyno_Data[DelMiss], Dyno_Data[Team],TBA_Matches_All[[#This Row],[Team]],Dyno_Data[Match],TBA_Matches_All[[#This Row],[Match_Number]],Dyno_Data[RecordType],"Activities", Dyno_Data[DelDest],"Trap")</f>
        <v>0</v>
      </c>
      <c r="BC202" s="60">
        <f>IFERROR((TBA_Matches_All[[#This Row],[AtrapT]]+TBA_Matches_All[[#This Row],[TtrapT]])/(TBA_Matches_All[[#This Row],[AtrapT]]+TBA_Matches_All[[#This Row],[TtrapT]]+TBA_Matches_All[[#This Row],[trapM]]),0)</f>
        <v>0</v>
      </c>
      <c r="BD202">
        <f>COUNTIFS(Dyno_Data[Team],TBA_Matches_All[[#This Row],[Team]],Dyno_Data[Match],TBA_Matches_All[[#This Row],[Match_Number]],Dyno_Data[RecordType],"Activities",Dyno_Data[DelDest],"Neut", Dyno_Data[DelMiss],1)</f>
        <v>0</v>
      </c>
      <c r="BE202" s="60">
        <f>IFERROR(SUM((TBA_Matches_All[[#This Row],[NeutFlrT]])/(TBA_Matches_All[[#This Row],[NeutFlrT]]+TBA_Matches_All[[#This Row],[NZflM]])),0)</f>
        <v>0</v>
      </c>
      <c r="BF202">
        <f>COUNTIFS(Dyno_Data[Team],TBA_Matches_All[[#This Row],[Team]],Dyno_Data[Match],TBA_Matches_All[[#This Row],[Match_Number]],Dyno_Data[RecordType],"Activities",Dyno_Data[DelDest],"AllyW", Dyno_Data[DelMiss],1)</f>
        <v>0</v>
      </c>
      <c r="BG202" s="60">
        <f>IFERROR(SUM((TBA_Matches_All[[#This Row],[AllyWFlrT]])/(TBA_Matches_All[[#This Row],[AllyWFlrT]]+TBA_Matches_All[[#This Row],[AZflM]])),0)</f>
        <v>0</v>
      </c>
      <c r="BH202">
        <f>COUNTIFS(Dyno_Data[Team],TBA_Matches_All[[#This Row],[Team]],Dyno_Data[Match],TBA_Matches_All[[#This Row],[Match_Number]],Dyno_Data[RecordType],"Activities",Dyno_Data[DelOrig],"OppW", Dyno_Data[DelMiss],"0")</f>
        <v>0</v>
      </c>
      <c r="BI202">
        <f>COUNTIFS(Dyno_Data[Team],TBA_Matches_All[[#This Row],[Team]],Dyno_Data[Match],TBA_Matches_All[[#This Row],[Match_Number]],Dyno_Data[RecordType],"Activities",Dyno_Data[DelOrig],"OppW", Dyno_Data[DelMiss],"1")</f>
        <v>0</v>
      </c>
      <c r="BJ202" s="60">
        <f>IFERROR(SUM((TBA_Matches_All[[#This Row],[OZflrT]])/(TBA_Matches_All[[#This Row],[OZflrT]]+TBA_Matches_All[[#This Row],[OZflrM]])),0)</f>
        <v>0</v>
      </c>
      <c r="BK202">
        <f>COUNTIFS(Dyno_Data[Team],TBA_Matches_All[[#This Row],[Team]],Dyno_Data[Match],TBA_Matches_All[[#This Row],[Match_Number]],Dyno_Data[RecordType],"Activities",Dyno_Data[DelOrig],"Neut", Dyno_Data[DelMiss],"0")</f>
        <v>0</v>
      </c>
      <c r="BL202">
        <f>COUNTIFS(Dyno_Data[Team],TBA_Matches_All[[#This Row],[Team]],Dyno_Data[Match],TBA_Matches_All[[#This Row],[Match_Number]],Dyno_Data[RecordType],"Activities",Dyno_Data[DelOrig],"Neut", Dyno_Data[DelMiss],"1")</f>
        <v>0</v>
      </c>
      <c r="BM202" s="60">
        <f>IFERROR(SUM((TBA_Matches_All[[#This Row],[NZflrT]])/(TBA_Matches_All[[#This Row],[NZflrT]]+TBA_Matches_All[[#This Row],[NZflrM]])),0)</f>
        <v>0</v>
      </c>
      <c r="BN202">
        <f>COUNTIFS(Dyno_Data[Team],TBA_Matches_All[[#This Row],[Team]],Dyno_Data[Match],TBA_Matches_All[[#This Row],[Match_Number]],Dyno_Data[RecordType],"Activities",Dyno_Data[DelOrig],"AllyW", Dyno_Data[DelMiss],"0")</f>
        <v>0</v>
      </c>
      <c r="BO202">
        <f>COUNTIFS(Dyno_Data[Team],TBA_Matches_All[[#This Row],[Team]],Dyno_Data[Match],TBA_Matches_All[[#This Row],[Match_Number]],Dyno_Data[RecordType],"Activities",Dyno_Data[DelOrig],"AllyW", Dyno_Data[DelMiss],"1")</f>
        <v>0</v>
      </c>
      <c r="BP202" s="60">
        <f>IFERROR(SUM((TBA_Matches_All[[#This Row],[AZflrT]])/(TBA_Matches_All[[#This Row],[AZflrT]]+TBA_Matches_All[[#This Row],[AZflrM]])),0)</f>
        <v>0</v>
      </c>
      <c r="BQ202">
        <f>COUNTIFS(Dyno_Data[Team],TBA_Matches_All[[#This Row],[Team]],Dyno_Data[Match],TBA_Matches_All[[#This Row],[Match_Number]],Dyno_Data[RecordType],"Activities",Dyno_Data[DelOrig],"SubW", Dyno_Data[DelMiss],"0")</f>
        <v>0</v>
      </c>
      <c r="BR202">
        <f>COUNTIFS(Dyno_Data[Team],TBA_Matches_All[[#This Row],[Team]],Dyno_Data[Match],TBA_Matches_All[[#This Row],[Match_Number]],Dyno_Data[RecordType],"Activities",Dyno_Data[DelOrig],"SubW", Dyno_Data[DelMiss],"1")</f>
        <v>0</v>
      </c>
      <c r="BS202" s="60">
        <f>IFERROR(SUM((TBA_Matches_All[[#This Row],[SubwT]])/(TBA_Matches_All[[#This Row],[SubwT]]+TBA_Matches_All[[#This Row],[SubwM]])),0)</f>
        <v>0</v>
      </c>
      <c r="BT202">
        <f>COUNTIFS(Dyno_Data[Team],TBA_Matches_All[[#This Row],[Team]],Dyno_Data[Match],TBA_Matches_All[[#This Row],[Match_Number]],Dyno_Data[RecordType],"Activities", Dyno_Data[AcqLoc],"OppWing")</f>
        <v>0</v>
      </c>
      <c r="BU202">
        <f>COUNTIFS(Dyno_Data[Team],TBA_Matches_All[[#This Row],[Team]],Dyno_Data[Match],TBA_Matches_All[[#This Row],[Match_Number]],Dyno_Data[RecordType],"Activities", Dyno_Data[AcqLoc],"Neutral")</f>
        <v>0</v>
      </c>
      <c r="BV202">
        <f>COUNTIFS(Dyno_Data[Team],TBA_Matches_All[[#This Row],[Team]],Dyno_Data[Match],TBA_Matches_All[[#This Row],[Match_Number]],Dyno_Data[RecordType],"Activities", Dyno_Data[AcqLoc],"AllyWing")</f>
        <v>0</v>
      </c>
      <c r="BW202">
        <f>COUNTIFS(Dyno_Data[Team],TBA_Matches_All[[#This Row],[Team]],Dyno_Data[Match],TBA_Matches_All[[#This Row],[Match_Number]],Dyno_Data[RecordType],"Activities", Dyno_Data[AcqLoc],"Source")</f>
        <v>0</v>
      </c>
      <c r="BX202">
        <f>SUMIFS(Dyno_Data[AcqDrp], Dyno_Data[Team],TBA_Matches_All[[#This Row],[Team]],Dyno_Data[Match],TBA_Matches_All[[#This Row],[Match_Number]],Dyno_Data[RecordType],"Activities", Dyno_Data[AcqLoc],"Source")</f>
        <v>0</v>
      </c>
      <c r="BY202">
        <f>SUMIFS(Dyno_Data[OZTime], Dyno_Data[Team],TBA_Matches_All[[#This Row],[Team]],Dyno_Data[Match],TBA_Matches_All[[#This Row],[Match_Number]],Dyno_Data[RecordType],"EndMatch")</f>
        <v>0</v>
      </c>
      <c r="BZ202">
        <f>SUMIFS(Dyno_Data[NZTime], Dyno_Data[Team],TBA_Matches_All[[#This Row],[Team]],Dyno_Data[Match],TBA_Matches_All[[#This Row],[Match_Number]],Dyno_Data[RecordType],"EndMatch")</f>
        <v>56.803789399999999</v>
      </c>
      <c r="CA202">
        <f>SUMIFS(Dyno_Data[AZTime], Dyno_Data[Team],TBA_Matches_All[[#This Row],[Team]],Dyno_Data[Match],TBA_Matches_All[[#This Row],[Match_Number]],Dyno_Data[RecordType],"EndMatch")</f>
        <v>80.767469599999998</v>
      </c>
      <c r="CB202">
        <f>SUMIFS(Dyno_Data[ClimbT], Dyno_Data[Team],TBA_Matches_All[[#This Row],[Team]],Dyno_Data[Match],TBA_Matches_All[[#This Row],[Match_Number]],Dyno_Data[RecordType],"EndMatch")</f>
        <v>0</v>
      </c>
      <c r="CC202" t="str">
        <f>_xlfn.XLOOKUP(SUM(MID(TBA_Matches_All[[#This Row],[Team]],4,5),(TBA_Matches_All[[#This Row],[Match_Number]]/100)),Dyno_EndMatch[teammat],Dyno_EndMatch[StageStat],"_",0,1)</f>
        <v>Park</v>
      </c>
      <c r="CD202" t="str">
        <f>_xlfn.XLOOKUP(TBA_Matches_All[[#This Row],[teammat]],Dyno_EndMatch[teammat],Dyno_EndMatch[StageAtt],"_",0,1)</f>
        <v>0</v>
      </c>
      <c r="CE202" t="str">
        <f>_xlfn.XLOOKUP(TBA_Matches_All[[#This Row],[teammat]],Dyno_EndMatch[teammat],Dyno_EndMatch[StageLoc],"_",0,1)</f>
        <v>A</v>
      </c>
      <c r="CF202">
        <f>SUMIFS(Dyno_Data[Harmony], Dyno_Data[Team],TBA_Matches_All[[#This Row],[Team]],Dyno_Data[Match],TBA_Matches_All[[#This Row],[Match_Number]],Dyno_Data[RecordType],"EndMatch", Dyno_Data[StageStat],"On",Dyno_Data[Harmony],"&lt;&gt;9")</f>
        <v>0</v>
      </c>
      <c r="CG202">
        <f>SUMIFS(Dyno_Data[Spotlit], Dyno_Data[Team],TBA_Matches_All[[#This Row],[Team]],Dyno_Data[Match],TBA_Matches_All[[#This Row],[Match_Number]],Dyno_Data[RecordType],"EndMatch", Dyno_Data[StageStat],"On",Dyno_Data[Spotlit],"&lt;&gt;9")</f>
        <v>0</v>
      </c>
      <c r="CH202" t="str">
        <f>_xlfn.XLOOKUP(TBA_Matches_All[[#This Row],[teammat]],Dyno_EndMatch[teammat],Dyno_EndMatch[Strategy],"_",0,1)</f>
        <v>Celebity</v>
      </c>
      <c r="CI202">
        <f>SUMIFS(Dyno_Data[Defense], Dyno_Data[Team],TBA_Matches_All[[#This Row],[Team]],Dyno_Data[Match],TBA_Matches_All[[#This Row],[Match_Number]],Dyno_Data[RecordType],"EndMatch",Dyno_Data[Defense],"&lt;&gt;9")</f>
        <v>2</v>
      </c>
      <c r="CJ202">
        <f>SUMIFS(Dyno_Data[Avoidance], Dyno_Data[Team],TBA_Matches_All[[#This Row],[Team]],Dyno_Data[Match],TBA_Matches_All[[#This Row],[Match_Number]],Dyno_Data[RecordType],"EndMatch",Dyno_Data[Avoidance],"&lt;&gt;9")</f>
        <v>0</v>
      </c>
      <c r="CK202" s="82">
        <f>COUNTIF($H$2:TBA_Matches_All[[#This Row],[Team]],TBA_Matches_All[[#This Row],[Team]])</f>
        <v>4</v>
      </c>
      <c r="CL202" s="111">
        <f>SUM(MID(TBA_Matches_All[[#This Row],[Team]],4,5)+TBA_Matches_All[[#This Row],[Match_Number]]/100)</f>
        <v>7030.34</v>
      </c>
      <c r="CM202">
        <f>SUM((TBA_Matches_All[[#This Row],[Leave]]*2)+(TBA_Matches_All[[#This Row],[AampT]]*2)+(TBA_Matches_All[[#This Row],[AspkrT]]*5)+(TBA_Matches_All[[#This Row],[AtrapT]]*5))</f>
        <v>0</v>
      </c>
      <c r="CN202" s="59">
        <f>IFERROR(SUM(TBA_Matches_All[[#This Row],[AptsT]]/TBA_Matches_All[[#This Row],[AutoPts]]),0)</f>
        <v>0</v>
      </c>
      <c r="CO202" s="59">
        <f>IFERROR(SUM(TBA_Matches_All[[#This Row],[AampT]]+TBA_Matches_All[[#This Row],[AspkrT]]+TBA_Matches_All[[#This Row],[AtrapT]]/TBA_Matches_All[[#This Row],[Aamp]]+TBA_Matches_All[[#This Row],[Aspkr]]+TBA_Matches_All[[#This Row],[AtrapT]]),0)</f>
        <v>0</v>
      </c>
      <c r="CP202" s="59">
        <f>IFERROR(SUM(TBA_Matches_All[[#This Row],[TampT]]/TBA_Matches_All[[#This Row],[Tamp]]),0)</f>
        <v>0</v>
      </c>
      <c r="CQ202" s="59">
        <f>IFERROR(SUM(TBA_Matches_All[[#This Row],[TspkrT]]/TBA_Matches_All[[#This Row],[Tspkr]]),0)</f>
        <v>0</v>
      </c>
      <c r="CR202">
        <f>SUM(TBA_Matches_All[[#This Row],[TspkrPts]]*TBA_Matches_All[[#This Row],[TspkrP]])</f>
        <v>0</v>
      </c>
      <c r="CS202" s="59">
        <f>IFERROR(SUM(TBA_Matches_All[[#This Row],[TtrapT]]/TBA_Matches_All[[#This Row],[Trap]]),0)</f>
        <v>0</v>
      </c>
      <c r="CT202" s="59">
        <f>IFERROR(SUM(TBA_Matches_All[[#This Row],[TotNotesT]]/TBA_Matches_All[[#This Row],[TotNotes]]),0)</f>
        <v>0</v>
      </c>
      <c r="CU202" s="66">
        <f>SUM((TBA_Matches_All[[#This Row],[AampT]]*2)+(TBA_Matches_All[[#This Row],[AspkrT]]*5)+(TBA_Matches_All[[#This Row],[AtrapT]]*5)+(TBA_Matches_All[[#This Row],[TampT]]*1)+(TBA_Matches_All[[#This Row],[TspkrptsC]]))</f>
        <v>0</v>
      </c>
      <c r="CV202" s="59">
        <f>IFERROR(TBA_Matches_All[[#This Row],[noteptsT]]/TBA_Matches_All[[#This Row],[NotePts]],0)</f>
        <v>0</v>
      </c>
      <c r="CW202">
        <f>SUM(IF(TBA_Matches_All[[#This Row],[stageStat]]="On",3,0),IF(TBA_Matches_All[[#This Row],[stageStat]]="Park",1,0),SUMIFS(TBA_Matches_All[[#This Row],[Spotlit]],TBA_Matches_All[[#This Row],[stageStat]],"On"),SUMIFS(TBA_Matches_All[[#This Row],[Harmony]],TBA_Matches_All[[#This Row],[stageStat]],"On"))</f>
        <v>1</v>
      </c>
      <c r="CX202" s="59">
        <f>IFERROR(TBA_Matches_All[[#This Row],[stageptsT]]/TBA_Matches_All[[#This Row],[StagePts]],0)</f>
        <v>0.5</v>
      </c>
      <c r="CY202">
        <f>SUM((TBA_Matches_All[[#This Row],[AptsT]]+TBA_Matches_All[[#This Row],[TampT]]+TBA_Matches_All[[#This Row],[TspkrptsC]]+(TBA_Matches_All[[#This Row],[TtrapT]]*5)+TBA_Matches_All[[#This Row],[stageptsT]]))</f>
        <v>1</v>
      </c>
      <c r="CZ202" s="59">
        <f>IFERROR(SUM(TBA_Matches_All[[#This Row],[TotptsC]]/TBA_Matches_All[[#This Row],[Score]]),0)</f>
        <v>2.3809523809523808E-2</v>
      </c>
      <c r="DA20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02" s="74">
        <f>SUMIFS(TBA_Matches_All[AveTeamTNoteDels],TBA_Matches_All[Match_Number],TBA_Matches_All[[#This Row],[Match_Number]],TBA_Matches_All[Alliance],"&lt;&gt;"&amp;TBA_Matches_All[[#This Row],[Alliance]],TBA_Matches_All[Scouted],"&gt;0")</f>
        <v>13.239999999999998</v>
      </c>
      <c r="DC202" s="74">
        <f>(TBA_Matches_All[[#This Row],[TampT]]+TBA_Matches_All[[#This Row],[TspkrptsC]])-TBA_Matches_All[[#This Row],[AveTeamTNoteDels]]</f>
        <v>0</v>
      </c>
      <c r="DD202" s="74">
        <f>SUMIFS(TBA_Matches_All[AveTeamTNoteDels],TBA_Matches_All[Match_Number],TBA_Matches_All[[#This Row],[Match_Number]],TBA_Matches_All[Alliance],"&lt;&gt;"&amp;TBA_Matches_All[[#This Row],[Alliance]])-TBA_Matches_All[[#This Row],[AveOppTNoteDels]]</f>
        <v>0</v>
      </c>
    </row>
    <row r="203" spans="1:108" x14ac:dyDescent="0.3">
      <c r="A203" t="s">
        <v>1042</v>
      </c>
      <c r="B203" t="s">
        <v>489</v>
      </c>
      <c r="C203" t="s">
        <v>1343</v>
      </c>
      <c r="D203">
        <v>34</v>
      </c>
      <c r="E203" t="s">
        <v>1420</v>
      </c>
      <c r="F203" t="s">
        <v>1421</v>
      </c>
      <c r="G203" t="s">
        <v>164</v>
      </c>
      <c r="H203" t="s">
        <v>1285</v>
      </c>
      <c r="I203" t="b">
        <v>0</v>
      </c>
      <c r="J203">
        <v>33</v>
      </c>
      <c r="K203">
        <v>0</v>
      </c>
      <c r="L203">
        <v>0</v>
      </c>
      <c r="M203">
        <v>7</v>
      </c>
      <c r="N203">
        <v>0</v>
      </c>
      <c r="O203">
        <v>2</v>
      </c>
      <c r="P203">
        <v>10</v>
      </c>
      <c r="Q203">
        <v>12</v>
      </c>
      <c r="R203">
        <v>4</v>
      </c>
      <c r="S203">
        <v>2</v>
      </c>
      <c r="T203">
        <v>1</v>
      </c>
      <c r="U203">
        <v>10</v>
      </c>
      <c r="V203">
        <v>2</v>
      </c>
      <c r="W203">
        <v>3</v>
      </c>
      <c r="X203">
        <v>12</v>
      </c>
      <c r="Y203">
        <v>16</v>
      </c>
      <c r="Z203">
        <v>0</v>
      </c>
      <c r="AA203">
        <v>0</v>
      </c>
      <c r="AB203">
        <v>9</v>
      </c>
      <c r="AC203">
        <v>26</v>
      </c>
      <c r="AD203">
        <v>5</v>
      </c>
      <c r="AE203">
        <f>IFERROR(6/(COUNTIF(Dyno_EndMatch[Match],TBA_Matches_All[[#This Row],[Match_Number]])),0)</f>
        <v>1</v>
      </c>
      <c r="AF203">
        <f>COUNTIFS(Dyno_Data[Team],TBA_Matches_All[[#This Row],[Team]],Dyno_Data[Match],TBA_Matches_All[[#This Row],[Match_Number]],Dyno_Data[RecordType],"EndMatch",Dyno_Data[HPAmp],"Y")</f>
        <v>0</v>
      </c>
      <c r="AG203">
        <f>SUMIFS(Dyno_Data[Mics], Dyno_Data[Team],TBA_Matches_All[[#This Row],[Team]],Dyno_Data[Match],TBA_Matches_All[[#This Row],[Match_Number]],Dyno_Data[RecordType],"EndMatch",Dyno_Data[HPAmp],"Y")</f>
        <v>0</v>
      </c>
      <c r="AH203">
        <f>SUMIFS(Dyno_Data[Leave], Dyno_Data[Team],TBA_Matches_All[[#This Row],[Team]],Dyno_Data[Match],TBA_Matches_All[[#This Row],[Match_Number]],Dyno_Data[RecordType],"EndAuto")</f>
        <v>0</v>
      </c>
      <c r="AI203">
        <f>COUNTIFS(Dyno_Data[Team],TBA_Matches_All[[#This Row],[Team]],Dyno_Data[Match],TBA_Matches_All[[#This Row],[Match_Number]],Dyno_Data[RecordType],"Activities",Dyno_Data[DelDest],"Amp", Dyno_Data[DelMiss],"0", Dyno_Data[Mode],"Auto")</f>
        <v>0</v>
      </c>
      <c r="AJ203">
        <f>COUNTIFS(Dyno_Data[Team],TBA_Matches_All[[#This Row],[Team]],Dyno_Data[Match],TBA_Matches_All[[#This Row],[Match_Number]],Dyno_Data[RecordType],"Activities",Dyno_Data[DelDest],"Spkr", Dyno_Data[DelMiss],"0", Dyno_Data[Mode],"Auto")</f>
        <v>0</v>
      </c>
      <c r="AK203">
        <f>COUNTIFS(Dyno_Data[Team],TBA_Matches_All[[#This Row],[Team]],Dyno_Data[Match],TBA_Matches_All[[#This Row],[Match_Number]],Dyno_Data[RecordType],"Activities",Dyno_Data[DelDest],"Trap", Dyno_Data[DelMiss],"0", Dyno_Data[Mode],"Auto")</f>
        <v>0</v>
      </c>
      <c r="AL203">
        <f>COUNTIFS(Dyno_Data[Team],TBA_Matches_All[[#This Row],[Team]],Dyno_Data[Match],TBA_Matches_All[[#This Row],[Match_Number]],Dyno_Data[RecordType],"Activities",Dyno_Data[DelDest],"Amp", Dyno_Data[DelMiss],"0", Dyno_Data[Mode],"Teleop")</f>
        <v>2</v>
      </c>
      <c r="AM203">
        <f>COUNTIFS(Dyno_Data[Team],TBA_Matches_All[[#This Row],[Team]],Dyno_Data[Match],TBA_Matches_All[[#This Row],[Match_Number]],Dyno_Data[RecordType],"Activities",Dyno_Data[DelDest],"Spkr", Dyno_Data[DelMiss],"0", Dyno_Data[Mode],"Teleop")</f>
        <v>0</v>
      </c>
      <c r="AN203">
        <f>COUNTIFS(Dyno_Data[Team],TBA_Matches_All[[#This Row],[Team]],Dyno_Data[Match],TBA_Matches_All[[#This Row],[Match_Number]],Dyno_Data[RecordType],"Activities",Dyno_Data[DelDest],"Trap", Dyno_Data[DelMiss],"0", Dyno_Data[Mode],"&lt;&gt;Auto")</f>
        <v>0</v>
      </c>
      <c r="AO203">
        <f>SUM(TBA_Matches_All[[#This Row],[AampT]]+TBA_Matches_All[[#This Row],[AspkrT]]+TBA_Matches_All[[#This Row],[AtrapT]]+TBA_Matches_All[[#This Row],[TampT]]+TBA_Matches_All[[#This Row],[TspkrT]]+TBA_Matches_All[[#This Row],[TtrapT]])</f>
        <v>2</v>
      </c>
      <c r="AP203">
        <f>COUNTIFS(Dyno_Data[Team],TBA_Matches_All[[#This Row],[Team]],Dyno_Data[Match],TBA_Matches_All[[#This Row],[Match_Number]],Dyno_Data[RecordType],"Activities",Dyno_Data[DelDest],"Neut", Dyno_Data[DelMiss],"0")</f>
        <v>0</v>
      </c>
      <c r="AQ203">
        <f>COUNTIFS(Dyno_Data[Team],TBA_Matches_All[[#This Row],[Team]],Dyno_Data[Match],TBA_Matches_All[[#This Row],[Match_Number]],Dyno_Data[RecordType],"Activities",Dyno_Data[DelDest],"AllyW", Dyno_Data[DelMiss],"0")</f>
        <v>0</v>
      </c>
      <c r="AR203" t="str">
        <f>_xlfn.XLOOKUP(SUM(MID(TBA_Matches_All[[#This Row],[Team]],4,5),(TBA_Matches_All[[#This Row],[Match_Number]]/100)),Dyno_EndMatch[teammat],Dyno_EndMatch[RobotSta],"_",0,1)</f>
        <v>Amp</v>
      </c>
      <c r="AS203">
        <f>SUMIFS(Dyno_Data[AcqDis], Dyno_Data[Team],TBA_Matches_All[[#This Row],[Team]],Dyno_Data[Match],TBA_Matches_All[[#This Row],[Match_Number]],Dyno_Data[RecordType],"Activities", Dyno_Data[AcqCenter],1,Dyno_Data[Mode],"Auto")</f>
        <v>0</v>
      </c>
      <c r="AT203">
        <f>SUMIFS(Dyno_Data[AcqDis], Dyno_Data[Team],TBA_Matches_All[[#This Row],[Team]],Dyno_Data[Match],TBA_Matches_All[[#This Row],[Match_Number]],Dyno_Data[RecordType],"Activities", Dyno_Data[AcqCenter],2,Dyno_Data[Mode],"Auto")</f>
        <v>0</v>
      </c>
      <c r="AU203">
        <f>SUMIFS(Dyno_Data[AcqDis], Dyno_Data[Team],TBA_Matches_All[[#This Row],[Team]],Dyno_Data[Match],TBA_Matches_All[[#This Row],[Match_Number]],Dyno_Data[RecordType],"Activities", Dyno_Data[AcqCenter],3,Dyno_Data[Mode],"Auto")</f>
        <v>0</v>
      </c>
      <c r="AV203">
        <f>SUMIFS(Dyno_Data[AcqDis], Dyno_Data[Team],TBA_Matches_All[[#This Row],[Team]],Dyno_Data[Match],TBA_Matches_All[[#This Row],[Match_Number]],Dyno_Data[RecordType],"Activities", Dyno_Data[AcqCenter],4,Dyno_Data[Mode],"Auto")</f>
        <v>0</v>
      </c>
      <c r="AW203">
        <f>SUMIFS(Dyno_Data[AcqDis], Dyno_Data[Team],TBA_Matches_All[[#This Row],[Team]],Dyno_Data[Match],TBA_Matches_All[[#This Row],[Match_Number]],Dyno_Data[RecordType],"Activities", Dyno_Data[AcqCenter],5,Dyno_Data[Mode],"Auto")</f>
        <v>0</v>
      </c>
      <c r="AX203">
        <f>SUMIFS(Dyno_Data[DelMiss], Dyno_Data[Team],TBA_Matches_All[[#This Row],[Team]],Dyno_Data[Match],TBA_Matches_All[[#This Row],[Match_Number]],Dyno_Data[RecordType],"Activities", Dyno_Data[DelDest],"Amp")</f>
        <v>0</v>
      </c>
      <c r="AY203" s="60">
        <f>IFERROR(SUM((TBA_Matches_All[[#This Row],[AampT]]+TBA_Matches_All[[#This Row],[TampT]])/(TBA_Matches_All[[#This Row],[AampT]]+TBA_Matches_All[[#This Row],[TampT]]+TBA_Matches_All[[#This Row],[ampM]])),0)</f>
        <v>1</v>
      </c>
      <c r="AZ203">
        <f>SUMIFS(Dyno_Data[DelMiss], Dyno_Data[Team],TBA_Matches_All[[#This Row],[Team]],Dyno_Data[Match],TBA_Matches_All[[#This Row],[Match_Number]],Dyno_Data[RecordType],"Activities", Dyno_Data[DelDest],"Spkr")</f>
        <v>2</v>
      </c>
      <c r="BA203" s="60">
        <f>IFERROR(SUM((TBA_Matches_All[[#This Row],[AspkrT]]+TBA_Matches_All[[#This Row],[TspkrT]])/(TBA_Matches_All[[#This Row],[AspkrT]]+TBA_Matches_All[[#This Row],[TspkrT]]+TBA_Matches_All[[#This Row],[spkrM]])),0)</f>
        <v>0</v>
      </c>
      <c r="BB203">
        <f>SUMIFS(Dyno_Data[DelMiss], Dyno_Data[Team],TBA_Matches_All[[#This Row],[Team]],Dyno_Data[Match],TBA_Matches_All[[#This Row],[Match_Number]],Dyno_Data[RecordType],"Activities", Dyno_Data[DelDest],"Trap")</f>
        <v>0</v>
      </c>
      <c r="BC203" s="60">
        <f>IFERROR((TBA_Matches_All[[#This Row],[AtrapT]]+TBA_Matches_All[[#This Row],[TtrapT]])/(TBA_Matches_All[[#This Row],[AtrapT]]+TBA_Matches_All[[#This Row],[TtrapT]]+TBA_Matches_All[[#This Row],[trapM]]),0)</f>
        <v>0</v>
      </c>
      <c r="BD203">
        <f>COUNTIFS(Dyno_Data[Team],TBA_Matches_All[[#This Row],[Team]],Dyno_Data[Match],TBA_Matches_All[[#This Row],[Match_Number]],Dyno_Data[RecordType],"Activities",Dyno_Data[DelDest],"Neut", Dyno_Data[DelMiss],1)</f>
        <v>0</v>
      </c>
      <c r="BE203" s="60">
        <f>IFERROR(SUM((TBA_Matches_All[[#This Row],[NeutFlrT]])/(TBA_Matches_All[[#This Row],[NeutFlrT]]+TBA_Matches_All[[#This Row],[NZflM]])),0)</f>
        <v>0</v>
      </c>
      <c r="BF203">
        <f>COUNTIFS(Dyno_Data[Team],TBA_Matches_All[[#This Row],[Team]],Dyno_Data[Match],TBA_Matches_All[[#This Row],[Match_Number]],Dyno_Data[RecordType],"Activities",Dyno_Data[DelDest],"AllyW", Dyno_Data[DelMiss],1)</f>
        <v>0</v>
      </c>
      <c r="BG203" s="60">
        <f>IFERROR(SUM((TBA_Matches_All[[#This Row],[AllyWFlrT]])/(TBA_Matches_All[[#This Row],[AllyWFlrT]]+TBA_Matches_All[[#This Row],[AZflM]])),0)</f>
        <v>0</v>
      </c>
      <c r="BH203">
        <f>COUNTIFS(Dyno_Data[Team],TBA_Matches_All[[#This Row],[Team]],Dyno_Data[Match],TBA_Matches_All[[#This Row],[Match_Number]],Dyno_Data[RecordType],"Activities",Dyno_Data[DelOrig],"OppW", Dyno_Data[DelMiss],"0")</f>
        <v>0</v>
      </c>
      <c r="BI203">
        <f>COUNTIFS(Dyno_Data[Team],TBA_Matches_All[[#This Row],[Team]],Dyno_Data[Match],TBA_Matches_All[[#This Row],[Match_Number]],Dyno_Data[RecordType],"Activities",Dyno_Data[DelOrig],"OppW", Dyno_Data[DelMiss],"1")</f>
        <v>0</v>
      </c>
      <c r="BJ203" s="60">
        <f>IFERROR(SUM((TBA_Matches_All[[#This Row],[OZflrT]])/(TBA_Matches_All[[#This Row],[OZflrT]]+TBA_Matches_All[[#This Row],[OZflrM]])),0)</f>
        <v>0</v>
      </c>
      <c r="BK203">
        <f>COUNTIFS(Dyno_Data[Team],TBA_Matches_All[[#This Row],[Team]],Dyno_Data[Match],TBA_Matches_All[[#This Row],[Match_Number]],Dyno_Data[RecordType],"Activities",Dyno_Data[DelOrig],"Neut", Dyno_Data[DelMiss],"0")</f>
        <v>0</v>
      </c>
      <c r="BL203">
        <f>COUNTIFS(Dyno_Data[Team],TBA_Matches_All[[#This Row],[Team]],Dyno_Data[Match],TBA_Matches_All[[#This Row],[Match_Number]],Dyno_Data[RecordType],"Activities",Dyno_Data[DelOrig],"Neut", Dyno_Data[DelMiss],"1")</f>
        <v>0</v>
      </c>
      <c r="BM203" s="60">
        <f>IFERROR(SUM((TBA_Matches_All[[#This Row],[NZflrT]])/(TBA_Matches_All[[#This Row],[NZflrT]]+TBA_Matches_All[[#This Row],[NZflrM]])),0)</f>
        <v>0</v>
      </c>
      <c r="BN203">
        <f>COUNTIFS(Dyno_Data[Team],TBA_Matches_All[[#This Row],[Team]],Dyno_Data[Match],TBA_Matches_All[[#This Row],[Match_Number]],Dyno_Data[RecordType],"Activities",Dyno_Data[DelOrig],"AllyW", Dyno_Data[DelMiss],"0")</f>
        <v>2</v>
      </c>
      <c r="BO203">
        <f>COUNTIFS(Dyno_Data[Team],TBA_Matches_All[[#This Row],[Team]],Dyno_Data[Match],TBA_Matches_All[[#This Row],[Match_Number]],Dyno_Data[RecordType],"Activities",Dyno_Data[DelOrig],"AllyW", Dyno_Data[DelMiss],"1")</f>
        <v>1</v>
      </c>
      <c r="BP203" s="60">
        <f>IFERROR(SUM((TBA_Matches_All[[#This Row],[AZflrT]])/(TBA_Matches_All[[#This Row],[AZflrT]]+TBA_Matches_All[[#This Row],[AZflrM]])),0)</f>
        <v>0.66666666666666663</v>
      </c>
      <c r="BQ203">
        <f>COUNTIFS(Dyno_Data[Team],TBA_Matches_All[[#This Row],[Team]],Dyno_Data[Match],TBA_Matches_All[[#This Row],[Match_Number]],Dyno_Data[RecordType],"Activities",Dyno_Data[DelOrig],"SubW", Dyno_Data[DelMiss],"0")</f>
        <v>0</v>
      </c>
      <c r="BR203">
        <f>COUNTIFS(Dyno_Data[Team],TBA_Matches_All[[#This Row],[Team]],Dyno_Data[Match],TBA_Matches_All[[#This Row],[Match_Number]],Dyno_Data[RecordType],"Activities",Dyno_Data[DelOrig],"SubW", Dyno_Data[DelMiss],"1")</f>
        <v>1</v>
      </c>
      <c r="BS203" s="60">
        <f>IFERROR(SUM((TBA_Matches_All[[#This Row],[SubwT]])/(TBA_Matches_All[[#This Row],[SubwT]]+TBA_Matches_All[[#This Row],[SubwM]])),0)</f>
        <v>0</v>
      </c>
      <c r="BT203">
        <f>COUNTIFS(Dyno_Data[Team],TBA_Matches_All[[#This Row],[Team]],Dyno_Data[Match],TBA_Matches_All[[#This Row],[Match_Number]],Dyno_Data[RecordType],"Activities", Dyno_Data[AcqLoc],"OppWing")</f>
        <v>0</v>
      </c>
      <c r="BU203">
        <f>COUNTIFS(Dyno_Data[Team],TBA_Matches_All[[#This Row],[Team]],Dyno_Data[Match],TBA_Matches_All[[#This Row],[Match_Number]],Dyno_Data[RecordType],"Activities", Dyno_Data[AcqLoc],"Neutral")</f>
        <v>0</v>
      </c>
      <c r="BV203">
        <f>COUNTIFS(Dyno_Data[Team],TBA_Matches_All[[#This Row],[Team]],Dyno_Data[Match],TBA_Matches_All[[#This Row],[Match_Number]],Dyno_Data[RecordType],"Activities", Dyno_Data[AcqLoc],"AllyWing")</f>
        <v>0</v>
      </c>
      <c r="BW203">
        <f>COUNTIFS(Dyno_Data[Team],TBA_Matches_All[[#This Row],[Team]],Dyno_Data[Match],TBA_Matches_All[[#This Row],[Match_Number]],Dyno_Data[RecordType],"Activities", Dyno_Data[AcqLoc],"Source")</f>
        <v>0</v>
      </c>
      <c r="BX203">
        <f>SUMIFS(Dyno_Data[AcqDrp], Dyno_Data[Team],TBA_Matches_All[[#This Row],[Team]],Dyno_Data[Match],TBA_Matches_All[[#This Row],[Match_Number]],Dyno_Data[RecordType],"Activities", Dyno_Data[AcqLoc],"Source")</f>
        <v>0</v>
      </c>
      <c r="BY203">
        <f>SUMIFS(Dyno_Data[OZTime], Dyno_Data[Team],TBA_Matches_All[[#This Row],[Team]],Dyno_Data[Match],TBA_Matches_All[[#This Row],[Match_Number]],Dyno_Data[RecordType],"EndMatch")</f>
        <v>2.8041318</v>
      </c>
      <c r="BZ203">
        <f>SUMIFS(Dyno_Data[NZTime], Dyno_Data[Team],TBA_Matches_All[[#This Row],[Team]],Dyno_Data[Match],TBA_Matches_All[[#This Row],[Match_Number]],Dyno_Data[RecordType],"EndMatch")</f>
        <v>39.3729345</v>
      </c>
      <c r="CA203">
        <f>SUMIFS(Dyno_Data[AZTime], Dyno_Data[Team],TBA_Matches_All[[#This Row],[Team]],Dyno_Data[Match],TBA_Matches_All[[#This Row],[Match_Number]],Dyno_Data[RecordType],"EndMatch")</f>
        <v>73.986666900000003</v>
      </c>
      <c r="CB203">
        <f>SUMIFS(Dyno_Data[ClimbT], Dyno_Data[Team],TBA_Matches_All[[#This Row],[Team]],Dyno_Data[Match],TBA_Matches_All[[#This Row],[Match_Number]],Dyno_Data[RecordType],"EndMatch")</f>
        <v>3.8737578999999998</v>
      </c>
      <c r="CC203" t="str">
        <f>_xlfn.XLOOKUP(SUM(MID(TBA_Matches_All[[#This Row],[Team]],4,5),(TBA_Matches_All[[#This Row],[Match_Number]]/100)),Dyno_EndMatch[teammat],Dyno_EndMatch[StageStat],"_",0,1)</f>
        <v>On</v>
      </c>
      <c r="CD203" t="str">
        <f>_xlfn.XLOOKUP(TBA_Matches_All[[#This Row],[teammat]],Dyno_EndMatch[teammat],Dyno_EndMatch[StageAtt],"_",0,1)</f>
        <v>1</v>
      </c>
      <c r="CE203" t="str">
        <f>_xlfn.XLOOKUP(TBA_Matches_All[[#This Row],[teammat]],Dyno_EndMatch[teammat],Dyno_EndMatch[StageLoc],"_",0,1)</f>
        <v>R</v>
      </c>
      <c r="CF203">
        <f>SUMIFS(Dyno_Data[Harmony], Dyno_Data[Team],TBA_Matches_All[[#This Row],[Team]],Dyno_Data[Match],TBA_Matches_All[[#This Row],[Match_Number]],Dyno_Data[RecordType],"EndMatch", Dyno_Data[StageStat],"On",Dyno_Data[Harmony],"&lt;&gt;9")</f>
        <v>0</v>
      </c>
      <c r="CG203">
        <f>SUMIFS(Dyno_Data[Spotlit], Dyno_Data[Team],TBA_Matches_All[[#This Row],[Team]],Dyno_Data[Match],TBA_Matches_All[[#This Row],[Match_Number]],Dyno_Data[RecordType],"EndMatch", Dyno_Data[StageStat],"On",Dyno_Data[Spotlit],"&lt;&gt;9")</f>
        <v>0</v>
      </c>
      <c r="CH203" t="str">
        <f>_xlfn.XLOOKUP(TBA_Matches_All[[#This Row],[teammat]],Dyno_EndMatch[teammat],Dyno_EndMatch[Strategy],"_",0,1)</f>
        <v>Hybrid</v>
      </c>
      <c r="CI203">
        <f>SUMIFS(Dyno_Data[Defense], Dyno_Data[Team],TBA_Matches_All[[#This Row],[Team]],Dyno_Data[Match],TBA_Matches_All[[#This Row],[Match_Number]],Dyno_Data[RecordType],"EndMatch",Dyno_Data[Defense],"&lt;&gt;9")</f>
        <v>0</v>
      </c>
      <c r="CJ203">
        <f>SUMIFS(Dyno_Data[Avoidance], Dyno_Data[Team],TBA_Matches_All[[#This Row],[Team]],Dyno_Data[Match],TBA_Matches_All[[#This Row],[Match_Number]],Dyno_Data[RecordType],"EndMatch",Dyno_Data[Avoidance],"&lt;&gt;9")</f>
        <v>0</v>
      </c>
      <c r="CK203" s="82">
        <f>COUNTIF($H$2:TBA_Matches_All[[#This Row],[Team]],TBA_Matches_All[[#This Row],[Team]])</f>
        <v>4</v>
      </c>
      <c r="CL203" s="111">
        <f>SUM(MID(TBA_Matches_All[[#This Row],[Team]],4,5)+TBA_Matches_All[[#This Row],[Match_Number]]/100)</f>
        <v>5993.34</v>
      </c>
      <c r="CM203">
        <f>SUM((TBA_Matches_All[[#This Row],[Leave]]*2)+(TBA_Matches_All[[#This Row],[AampT]]*2)+(TBA_Matches_All[[#This Row],[AspkrT]]*5)+(TBA_Matches_All[[#This Row],[AtrapT]]*5))</f>
        <v>0</v>
      </c>
      <c r="CN203" s="59">
        <f>IFERROR(SUM(TBA_Matches_All[[#This Row],[AptsT]]/TBA_Matches_All[[#This Row],[AutoPts]]),0)</f>
        <v>0</v>
      </c>
      <c r="CO203" s="59">
        <f>IFERROR(SUM(TBA_Matches_All[[#This Row],[AampT]]+TBA_Matches_All[[#This Row],[AspkrT]]+TBA_Matches_All[[#This Row],[AtrapT]]/TBA_Matches_All[[#This Row],[Aamp]]+TBA_Matches_All[[#This Row],[Aspkr]]+TBA_Matches_All[[#This Row],[AtrapT]]),0)</f>
        <v>0</v>
      </c>
      <c r="CP203" s="59">
        <f>IFERROR(SUM(TBA_Matches_All[[#This Row],[TampT]]/TBA_Matches_All[[#This Row],[Tamp]]),0)</f>
        <v>0.5</v>
      </c>
      <c r="CQ203" s="59">
        <f>IFERROR(SUM(TBA_Matches_All[[#This Row],[TspkrT]]/TBA_Matches_All[[#This Row],[Tspkr]]),0)</f>
        <v>0</v>
      </c>
      <c r="CR203">
        <f>SUM(TBA_Matches_All[[#This Row],[TspkrPts]]*TBA_Matches_All[[#This Row],[TspkrP]])</f>
        <v>0</v>
      </c>
      <c r="CS203" s="59">
        <f>IFERROR(SUM(TBA_Matches_All[[#This Row],[TtrapT]]/TBA_Matches_All[[#This Row],[Trap]]),0)</f>
        <v>0</v>
      </c>
      <c r="CT203" s="59">
        <f>IFERROR(SUM(TBA_Matches_All[[#This Row],[TotNotesT]]/TBA_Matches_All[[#This Row],[TotNotes]]),0)</f>
        <v>0.22222222222222221</v>
      </c>
      <c r="CU203" s="66">
        <f>SUM((TBA_Matches_All[[#This Row],[AampT]]*2)+(TBA_Matches_All[[#This Row],[AspkrT]]*5)+(TBA_Matches_All[[#This Row],[AtrapT]]*5)+(TBA_Matches_All[[#This Row],[TampT]]*1)+(TBA_Matches_All[[#This Row],[TspkrptsC]]))</f>
        <v>2</v>
      </c>
      <c r="CV203" s="59">
        <f>IFERROR(TBA_Matches_All[[#This Row],[noteptsT]]/TBA_Matches_All[[#This Row],[NotePts]],0)</f>
        <v>7.6923076923076927E-2</v>
      </c>
      <c r="CW203">
        <f>SUM(IF(TBA_Matches_All[[#This Row],[stageStat]]="On",3,0),IF(TBA_Matches_All[[#This Row],[stageStat]]="Park",1,0),SUMIFS(TBA_Matches_All[[#This Row],[Spotlit]],TBA_Matches_All[[#This Row],[stageStat]],"On"),SUMIFS(TBA_Matches_All[[#This Row],[Harmony]],TBA_Matches_All[[#This Row],[stageStat]],"On"))</f>
        <v>3</v>
      </c>
      <c r="CX203" s="59">
        <f>IFERROR(TBA_Matches_All[[#This Row],[stageptsT]]/TBA_Matches_All[[#This Row],[StagePts]],0)</f>
        <v>0.6</v>
      </c>
      <c r="CY203">
        <f>SUM((TBA_Matches_All[[#This Row],[AptsT]]+TBA_Matches_All[[#This Row],[TampT]]+TBA_Matches_All[[#This Row],[TspkrptsC]]+(TBA_Matches_All[[#This Row],[TtrapT]]*5)+TBA_Matches_All[[#This Row],[stageptsT]]))</f>
        <v>5</v>
      </c>
      <c r="CZ203" s="59">
        <f>IFERROR(SUM(TBA_Matches_All[[#This Row],[TotptsC]]/TBA_Matches_All[[#This Row],[Score]]),0)</f>
        <v>0.15151515151515152</v>
      </c>
      <c r="DA20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3.84</v>
      </c>
      <c r="DB203" s="74">
        <f>SUMIFS(TBA_Matches_All[AveTeamTNoteDels],TBA_Matches_All[Match_Number],TBA_Matches_All[[#This Row],[Match_Number]],TBA_Matches_All[Alliance],"&lt;&gt;"&amp;TBA_Matches_All[[#This Row],[Alliance]],TBA_Matches_All[Scouted],"&gt;0")</f>
        <v>15.880681818181818</v>
      </c>
      <c r="DC203" s="74">
        <f>(TBA_Matches_All[[#This Row],[TampT]]+TBA_Matches_All[[#This Row],[TspkrptsC]])-TBA_Matches_All[[#This Row],[AveTeamTNoteDels]]</f>
        <v>-1.8399999999999999</v>
      </c>
      <c r="DD203" s="74">
        <f>SUMIFS(TBA_Matches_All[AveTeamTNoteDels],TBA_Matches_All[Match_Number],TBA_Matches_All[[#This Row],[Match_Number]],TBA_Matches_All[Alliance],"&lt;&gt;"&amp;TBA_Matches_All[[#This Row],[Alliance]])-TBA_Matches_All[[#This Row],[AveOppTNoteDels]]</f>
        <v>0</v>
      </c>
    </row>
    <row r="204" spans="1:108" x14ac:dyDescent="0.3">
      <c r="A204" t="s">
        <v>1042</v>
      </c>
      <c r="B204" t="s">
        <v>489</v>
      </c>
      <c r="C204" t="s">
        <v>1343</v>
      </c>
      <c r="D204">
        <v>34</v>
      </c>
      <c r="E204" t="s">
        <v>1406</v>
      </c>
      <c r="F204" t="s">
        <v>1422</v>
      </c>
      <c r="G204" t="s">
        <v>105</v>
      </c>
      <c r="H204" t="s">
        <v>1276</v>
      </c>
      <c r="I204" t="b">
        <v>0</v>
      </c>
      <c r="J204">
        <v>42</v>
      </c>
      <c r="K204">
        <v>0</v>
      </c>
      <c r="L204">
        <v>0</v>
      </c>
      <c r="M204">
        <v>0</v>
      </c>
      <c r="N204">
        <v>0</v>
      </c>
      <c r="O204">
        <v>3</v>
      </c>
      <c r="P204">
        <v>15</v>
      </c>
      <c r="Q204">
        <v>19</v>
      </c>
      <c r="R204">
        <v>0</v>
      </c>
      <c r="S204">
        <v>0</v>
      </c>
      <c r="T204">
        <v>7</v>
      </c>
      <c r="U204">
        <v>0</v>
      </c>
      <c r="V204">
        <v>14</v>
      </c>
      <c r="W204">
        <v>7</v>
      </c>
      <c r="X204">
        <v>14</v>
      </c>
      <c r="Y204">
        <v>14</v>
      </c>
      <c r="Z204">
        <v>0</v>
      </c>
      <c r="AA204">
        <v>0</v>
      </c>
      <c r="AB204">
        <v>10</v>
      </c>
      <c r="AC204">
        <v>29</v>
      </c>
      <c r="AD204">
        <v>2</v>
      </c>
      <c r="AE204">
        <f>IFERROR(6/(COUNTIF(Dyno_EndMatch[Match],TBA_Matches_All[[#This Row],[Match_Number]])),0)</f>
        <v>1</v>
      </c>
      <c r="AF204">
        <f>COUNTIFS(Dyno_Data[Team],TBA_Matches_All[[#This Row],[Team]],Dyno_Data[Match],TBA_Matches_All[[#This Row],[Match_Number]],Dyno_Data[RecordType],"EndMatch",Dyno_Data[HPAmp],"Y")</f>
        <v>1</v>
      </c>
      <c r="AG204">
        <f>SUMIFS(Dyno_Data[Mics], Dyno_Data[Team],TBA_Matches_All[[#This Row],[Team]],Dyno_Data[Match],TBA_Matches_All[[#This Row],[Match_Number]],Dyno_Data[RecordType],"EndMatch",Dyno_Data[HPAmp],"Y")</f>
        <v>0</v>
      </c>
      <c r="AH204">
        <f>SUMIFS(Dyno_Data[Leave], Dyno_Data[Team],TBA_Matches_All[[#This Row],[Team]],Dyno_Data[Match],TBA_Matches_All[[#This Row],[Match_Number]],Dyno_Data[RecordType],"EndAuto")</f>
        <v>1</v>
      </c>
      <c r="AI204">
        <f>COUNTIFS(Dyno_Data[Team],TBA_Matches_All[[#This Row],[Team]],Dyno_Data[Match],TBA_Matches_All[[#This Row],[Match_Number]],Dyno_Data[RecordType],"Activities",Dyno_Data[DelDest],"Amp", Dyno_Data[DelMiss],"0", Dyno_Data[Mode],"Auto")</f>
        <v>0</v>
      </c>
      <c r="AJ204">
        <f>COUNTIFS(Dyno_Data[Team],TBA_Matches_All[[#This Row],[Team]],Dyno_Data[Match],TBA_Matches_All[[#This Row],[Match_Number]],Dyno_Data[RecordType],"Activities",Dyno_Data[DelDest],"Spkr", Dyno_Data[DelMiss],"0", Dyno_Data[Mode],"Auto")</f>
        <v>0</v>
      </c>
      <c r="AK204">
        <f>COUNTIFS(Dyno_Data[Team],TBA_Matches_All[[#This Row],[Team]],Dyno_Data[Match],TBA_Matches_All[[#This Row],[Match_Number]],Dyno_Data[RecordType],"Activities",Dyno_Data[DelDest],"Trap", Dyno_Data[DelMiss],"0", Dyno_Data[Mode],"Auto")</f>
        <v>0</v>
      </c>
      <c r="AL204">
        <f>COUNTIFS(Dyno_Data[Team],TBA_Matches_All[[#This Row],[Team]],Dyno_Data[Match],TBA_Matches_All[[#This Row],[Match_Number]],Dyno_Data[RecordType],"Activities",Dyno_Data[DelDest],"Amp", Dyno_Data[DelMiss],"0", Dyno_Data[Mode],"Teleop")</f>
        <v>0</v>
      </c>
      <c r="AM204">
        <f>COUNTIFS(Dyno_Data[Team],TBA_Matches_All[[#This Row],[Team]],Dyno_Data[Match],TBA_Matches_All[[#This Row],[Match_Number]],Dyno_Data[RecordType],"Activities",Dyno_Data[DelDest],"Spkr", Dyno_Data[DelMiss],"0", Dyno_Data[Mode],"Teleop")</f>
        <v>0</v>
      </c>
      <c r="AN204">
        <f>COUNTIFS(Dyno_Data[Team],TBA_Matches_All[[#This Row],[Team]],Dyno_Data[Match],TBA_Matches_All[[#This Row],[Match_Number]],Dyno_Data[RecordType],"Activities",Dyno_Data[DelDest],"Trap", Dyno_Data[DelMiss],"0", Dyno_Data[Mode],"&lt;&gt;Auto")</f>
        <v>0</v>
      </c>
      <c r="AO204">
        <f>SUM(TBA_Matches_All[[#This Row],[AampT]]+TBA_Matches_All[[#This Row],[AspkrT]]+TBA_Matches_All[[#This Row],[AtrapT]]+TBA_Matches_All[[#This Row],[TampT]]+TBA_Matches_All[[#This Row],[TspkrT]]+TBA_Matches_All[[#This Row],[TtrapT]])</f>
        <v>0</v>
      </c>
      <c r="AP204">
        <f>COUNTIFS(Dyno_Data[Team],TBA_Matches_All[[#This Row],[Team]],Dyno_Data[Match],TBA_Matches_All[[#This Row],[Match_Number]],Dyno_Data[RecordType],"Activities",Dyno_Data[DelDest],"Neut", Dyno_Data[DelMiss],"0")</f>
        <v>0</v>
      </c>
      <c r="AQ204">
        <f>COUNTIFS(Dyno_Data[Team],TBA_Matches_All[[#This Row],[Team]],Dyno_Data[Match],TBA_Matches_All[[#This Row],[Match_Number]],Dyno_Data[RecordType],"Activities",Dyno_Data[DelDest],"AllyW", Dyno_Data[DelMiss],"0")</f>
        <v>0</v>
      </c>
      <c r="AR204" t="str">
        <f>_xlfn.XLOOKUP(SUM(MID(TBA_Matches_All[[#This Row],[Team]],4,5),(TBA_Matches_All[[#This Row],[Match_Number]]/100)),Dyno_EndMatch[teammat],Dyno_EndMatch[RobotSta],"_",0,1)</f>
        <v>OppS</v>
      </c>
      <c r="AS204">
        <f>SUMIFS(Dyno_Data[AcqDis], Dyno_Data[Team],TBA_Matches_All[[#This Row],[Team]],Dyno_Data[Match],TBA_Matches_All[[#This Row],[Match_Number]],Dyno_Data[RecordType],"Activities", Dyno_Data[AcqCenter],1,Dyno_Data[Mode],"Auto")</f>
        <v>0</v>
      </c>
      <c r="AT204">
        <f>SUMIFS(Dyno_Data[AcqDis], Dyno_Data[Team],TBA_Matches_All[[#This Row],[Team]],Dyno_Data[Match],TBA_Matches_All[[#This Row],[Match_Number]],Dyno_Data[RecordType],"Activities", Dyno_Data[AcqCenter],2,Dyno_Data[Mode],"Auto")</f>
        <v>0</v>
      </c>
      <c r="AU204">
        <f>SUMIFS(Dyno_Data[AcqDis], Dyno_Data[Team],TBA_Matches_All[[#This Row],[Team]],Dyno_Data[Match],TBA_Matches_All[[#This Row],[Match_Number]],Dyno_Data[RecordType],"Activities", Dyno_Data[AcqCenter],3,Dyno_Data[Mode],"Auto")</f>
        <v>0</v>
      </c>
      <c r="AV204">
        <f>SUMIFS(Dyno_Data[AcqDis], Dyno_Data[Team],TBA_Matches_All[[#This Row],[Team]],Dyno_Data[Match],TBA_Matches_All[[#This Row],[Match_Number]],Dyno_Data[RecordType],"Activities", Dyno_Data[AcqCenter],4,Dyno_Data[Mode],"Auto")</f>
        <v>0</v>
      </c>
      <c r="AW204">
        <f>SUMIFS(Dyno_Data[AcqDis], Dyno_Data[Team],TBA_Matches_All[[#This Row],[Team]],Dyno_Data[Match],TBA_Matches_All[[#This Row],[Match_Number]],Dyno_Data[RecordType],"Activities", Dyno_Data[AcqCenter],5,Dyno_Data[Mode],"Auto")</f>
        <v>0</v>
      </c>
      <c r="AX204">
        <f>SUMIFS(Dyno_Data[DelMiss], Dyno_Data[Team],TBA_Matches_All[[#This Row],[Team]],Dyno_Data[Match],TBA_Matches_All[[#This Row],[Match_Number]],Dyno_Data[RecordType],"Activities", Dyno_Data[DelDest],"Amp")</f>
        <v>0</v>
      </c>
      <c r="AY204" s="60">
        <f>IFERROR(SUM((TBA_Matches_All[[#This Row],[AampT]]+TBA_Matches_All[[#This Row],[TampT]])/(TBA_Matches_All[[#This Row],[AampT]]+TBA_Matches_All[[#This Row],[TampT]]+TBA_Matches_All[[#This Row],[ampM]])),0)</f>
        <v>0</v>
      </c>
      <c r="AZ204">
        <f>SUMIFS(Dyno_Data[DelMiss], Dyno_Data[Team],TBA_Matches_All[[#This Row],[Team]],Dyno_Data[Match],TBA_Matches_All[[#This Row],[Match_Number]],Dyno_Data[RecordType],"Activities", Dyno_Data[DelDest],"Spkr")</f>
        <v>0</v>
      </c>
      <c r="BA204" s="60">
        <f>IFERROR(SUM((TBA_Matches_All[[#This Row],[AspkrT]]+TBA_Matches_All[[#This Row],[TspkrT]])/(TBA_Matches_All[[#This Row],[AspkrT]]+TBA_Matches_All[[#This Row],[TspkrT]]+TBA_Matches_All[[#This Row],[spkrM]])),0)</f>
        <v>0</v>
      </c>
      <c r="BB204">
        <f>SUMIFS(Dyno_Data[DelMiss], Dyno_Data[Team],TBA_Matches_All[[#This Row],[Team]],Dyno_Data[Match],TBA_Matches_All[[#This Row],[Match_Number]],Dyno_Data[RecordType],"Activities", Dyno_Data[DelDest],"Trap")</f>
        <v>0</v>
      </c>
      <c r="BC204" s="60">
        <f>IFERROR((TBA_Matches_All[[#This Row],[AtrapT]]+TBA_Matches_All[[#This Row],[TtrapT]])/(TBA_Matches_All[[#This Row],[AtrapT]]+TBA_Matches_All[[#This Row],[TtrapT]]+TBA_Matches_All[[#This Row],[trapM]]),0)</f>
        <v>0</v>
      </c>
      <c r="BD204">
        <f>COUNTIFS(Dyno_Data[Team],TBA_Matches_All[[#This Row],[Team]],Dyno_Data[Match],TBA_Matches_All[[#This Row],[Match_Number]],Dyno_Data[RecordType],"Activities",Dyno_Data[DelDest],"Neut", Dyno_Data[DelMiss],1)</f>
        <v>0</v>
      </c>
      <c r="BE204" s="60">
        <f>IFERROR(SUM((TBA_Matches_All[[#This Row],[NeutFlrT]])/(TBA_Matches_All[[#This Row],[NeutFlrT]]+TBA_Matches_All[[#This Row],[NZflM]])),0)</f>
        <v>0</v>
      </c>
      <c r="BF204">
        <f>COUNTIFS(Dyno_Data[Team],TBA_Matches_All[[#This Row],[Team]],Dyno_Data[Match],TBA_Matches_All[[#This Row],[Match_Number]],Dyno_Data[RecordType],"Activities",Dyno_Data[DelDest],"AllyW", Dyno_Data[DelMiss],1)</f>
        <v>0</v>
      </c>
      <c r="BG204" s="60">
        <f>IFERROR(SUM((TBA_Matches_All[[#This Row],[AllyWFlrT]])/(TBA_Matches_All[[#This Row],[AllyWFlrT]]+TBA_Matches_All[[#This Row],[AZflM]])),0)</f>
        <v>0</v>
      </c>
      <c r="BH204">
        <f>COUNTIFS(Dyno_Data[Team],TBA_Matches_All[[#This Row],[Team]],Dyno_Data[Match],TBA_Matches_All[[#This Row],[Match_Number]],Dyno_Data[RecordType],"Activities",Dyno_Data[DelOrig],"OppW", Dyno_Data[DelMiss],"0")</f>
        <v>0</v>
      </c>
      <c r="BI204">
        <f>COUNTIFS(Dyno_Data[Team],TBA_Matches_All[[#This Row],[Team]],Dyno_Data[Match],TBA_Matches_All[[#This Row],[Match_Number]],Dyno_Data[RecordType],"Activities",Dyno_Data[DelOrig],"OppW", Dyno_Data[DelMiss],"1")</f>
        <v>0</v>
      </c>
      <c r="BJ204" s="60">
        <f>IFERROR(SUM((TBA_Matches_All[[#This Row],[OZflrT]])/(TBA_Matches_All[[#This Row],[OZflrT]]+TBA_Matches_All[[#This Row],[OZflrM]])),0)</f>
        <v>0</v>
      </c>
      <c r="BK204">
        <f>COUNTIFS(Dyno_Data[Team],TBA_Matches_All[[#This Row],[Team]],Dyno_Data[Match],TBA_Matches_All[[#This Row],[Match_Number]],Dyno_Data[RecordType],"Activities",Dyno_Data[DelOrig],"Neut", Dyno_Data[DelMiss],"0")</f>
        <v>0</v>
      </c>
      <c r="BL204">
        <f>COUNTIFS(Dyno_Data[Team],TBA_Matches_All[[#This Row],[Team]],Dyno_Data[Match],TBA_Matches_All[[#This Row],[Match_Number]],Dyno_Data[RecordType],"Activities",Dyno_Data[DelOrig],"Neut", Dyno_Data[DelMiss],"1")</f>
        <v>0</v>
      </c>
      <c r="BM204" s="60">
        <f>IFERROR(SUM((TBA_Matches_All[[#This Row],[NZflrT]])/(TBA_Matches_All[[#This Row],[NZflrT]]+TBA_Matches_All[[#This Row],[NZflrM]])),0)</f>
        <v>0</v>
      </c>
      <c r="BN204">
        <f>COUNTIFS(Dyno_Data[Team],TBA_Matches_All[[#This Row],[Team]],Dyno_Data[Match],TBA_Matches_All[[#This Row],[Match_Number]],Dyno_Data[RecordType],"Activities",Dyno_Data[DelOrig],"AllyW", Dyno_Data[DelMiss],"0")</f>
        <v>0</v>
      </c>
      <c r="BO204">
        <f>COUNTIFS(Dyno_Data[Team],TBA_Matches_All[[#This Row],[Team]],Dyno_Data[Match],TBA_Matches_All[[#This Row],[Match_Number]],Dyno_Data[RecordType],"Activities",Dyno_Data[DelOrig],"AllyW", Dyno_Data[DelMiss],"1")</f>
        <v>0</v>
      </c>
      <c r="BP204" s="60">
        <f>IFERROR(SUM((TBA_Matches_All[[#This Row],[AZflrT]])/(TBA_Matches_All[[#This Row],[AZflrT]]+TBA_Matches_All[[#This Row],[AZflrM]])),0)</f>
        <v>0</v>
      </c>
      <c r="BQ204">
        <f>COUNTIFS(Dyno_Data[Team],TBA_Matches_All[[#This Row],[Team]],Dyno_Data[Match],TBA_Matches_All[[#This Row],[Match_Number]],Dyno_Data[RecordType],"Activities",Dyno_Data[DelOrig],"SubW", Dyno_Data[DelMiss],"0")</f>
        <v>0</v>
      </c>
      <c r="BR204">
        <f>COUNTIFS(Dyno_Data[Team],TBA_Matches_All[[#This Row],[Team]],Dyno_Data[Match],TBA_Matches_All[[#This Row],[Match_Number]],Dyno_Data[RecordType],"Activities",Dyno_Data[DelOrig],"SubW", Dyno_Data[DelMiss],"1")</f>
        <v>0</v>
      </c>
      <c r="BS204" s="60">
        <f>IFERROR(SUM((TBA_Matches_All[[#This Row],[SubwT]])/(TBA_Matches_All[[#This Row],[SubwT]]+TBA_Matches_All[[#This Row],[SubwM]])),0)</f>
        <v>0</v>
      </c>
      <c r="BT204">
        <f>COUNTIFS(Dyno_Data[Team],TBA_Matches_All[[#This Row],[Team]],Dyno_Data[Match],TBA_Matches_All[[#This Row],[Match_Number]],Dyno_Data[RecordType],"Activities", Dyno_Data[AcqLoc],"OppWing")</f>
        <v>0</v>
      </c>
      <c r="BU204">
        <f>COUNTIFS(Dyno_Data[Team],TBA_Matches_All[[#This Row],[Team]],Dyno_Data[Match],TBA_Matches_All[[#This Row],[Match_Number]],Dyno_Data[RecordType],"Activities", Dyno_Data[AcqLoc],"Neutral")</f>
        <v>0</v>
      </c>
      <c r="BV204">
        <f>COUNTIFS(Dyno_Data[Team],TBA_Matches_All[[#This Row],[Team]],Dyno_Data[Match],TBA_Matches_All[[#This Row],[Match_Number]],Dyno_Data[RecordType],"Activities", Dyno_Data[AcqLoc],"AllyWing")</f>
        <v>0</v>
      </c>
      <c r="BW204">
        <f>COUNTIFS(Dyno_Data[Team],TBA_Matches_All[[#This Row],[Team]],Dyno_Data[Match],TBA_Matches_All[[#This Row],[Match_Number]],Dyno_Data[RecordType],"Activities", Dyno_Data[AcqLoc],"Source")</f>
        <v>0</v>
      </c>
      <c r="BX204">
        <f>SUMIFS(Dyno_Data[AcqDrp], Dyno_Data[Team],TBA_Matches_All[[#This Row],[Team]],Dyno_Data[Match],TBA_Matches_All[[#This Row],[Match_Number]],Dyno_Data[RecordType],"Activities", Dyno_Data[AcqLoc],"Source")</f>
        <v>0</v>
      </c>
      <c r="BY204">
        <f>SUMIFS(Dyno_Data[OZTime], Dyno_Data[Team],TBA_Matches_All[[#This Row],[Team]],Dyno_Data[Match],TBA_Matches_All[[#This Row],[Match_Number]],Dyno_Data[RecordType],"EndMatch")</f>
        <v>28.737153499999998</v>
      </c>
      <c r="BZ204">
        <f>SUMIFS(Dyno_Data[NZTime], Dyno_Data[Team],TBA_Matches_All[[#This Row],[Team]],Dyno_Data[Match],TBA_Matches_All[[#This Row],[Match_Number]],Dyno_Data[RecordType],"EndMatch")</f>
        <v>94.723269899999991</v>
      </c>
      <c r="CA204">
        <f>SUMIFS(Dyno_Data[AZTime], Dyno_Data[Team],TBA_Matches_All[[#This Row],[Team]],Dyno_Data[Match],TBA_Matches_All[[#This Row],[Match_Number]],Dyno_Data[RecordType],"EndMatch")</f>
        <v>11.679309399999999</v>
      </c>
      <c r="CB204">
        <f>SUMIFS(Dyno_Data[ClimbT], Dyno_Data[Team],TBA_Matches_All[[#This Row],[Team]],Dyno_Data[Match],TBA_Matches_All[[#This Row],[Match_Number]],Dyno_Data[RecordType],"EndMatch")</f>
        <v>0</v>
      </c>
      <c r="CC204" t="str">
        <f>_xlfn.XLOOKUP(SUM(MID(TBA_Matches_All[[#This Row],[Team]],4,5),(TBA_Matches_All[[#This Row],[Match_Number]]/100)),Dyno_EndMatch[teammat],Dyno_EndMatch[StageStat],"_",0,1)</f>
        <v>Park</v>
      </c>
      <c r="CD204" t="str">
        <f>_xlfn.XLOOKUP(TBA_Matches_All[[#This Row],[teammat]],Dyno_EndMatch[teammat],Dyno_EndMatch[StageAtt],"_",0,1)</f>
        <v>0</v>
      </c>
      <c r="CE204" t="str">
        <f>_xlfn.XLOOKUP(TBA_Matches_All[[#This Row],[teammat]],Dyno_EndMatch[teammat],Dyno_EndMatch[StageLoc],"_",0,1)</f>
        <v>A</v>
      </c>
      <c r="CF204">
        <f>SUMIFS(Dyno_Data[Harmony], Dyno_Data[Team],TBA_Matches_All[[#This Row],[Team]],Dyno_Data[Match],TBA_Matches_All[[#This Row],[Match_Number]],Dyno_Data[RecordType],"EndMatch", Dyno_Data[StageStat],"On",Dyno_Data[Harmony],"&lt;&gt;9")</f>
        <v>0</v>
      </c>
      <c r="CG204">
        <f>SUMIFS(Dyno_Data[Spotlit], Dyno_Data[Team],TBA_Matches_All[[#This Row],[Team]],Dyno_Data[Match],TBA_Matches_All[[#This Row],[Match_Number]],Dyno_Data[RecordType],"EndMatch", Dyno_Data[StageStat],"On",Dyno_Data[Spotlit],"&lt;&gt;9")</f>
        <v>0</v>
      </c>
      <c r="CH204" t="str">
        <f>_xlfn.XLOOKUP(TBA_Matches_All[[#This Row],[teammat]],Dyno_EndMatch[teammat],Dyno_EndMatch[Strategy],"_",0,1)</f>
        <v>Defense</v>
      </c>
      <c r="CI204">
        <f>SUMIFS(Dyno_Data[Defense], Dyno_Data[Team],TBA_Matches_All[[#This Row],[Team]],Dyno_Data[Match],TBA_Matches_All[[#This Row],[Match_Number]],Dyno_Data[RecordType],"EndMatch",Dyno_Data[Defense],"&lt;&gt;9")</f>
        <v>3</v>
      </c>
      <c r="CJ204">
        <f>SUMIFS(Dyno_Data[Avoidance], Dyno_Data[Team],TBA_Matches_All[[#This Row],[Team]],Dyno_Data[Match],TBA_Matches_All[[#This Row],[Match_Number]],Dyno_Data[RecordType],"EndMatch",Dyno_Data[Avoidance],"&lt;&gt;9")</f>
        <v>0</v>
      </c>
      <c r="CK204" s="82">
        <f>COUNTIF($H$2:TBA_Matches_All[[#This Row],[Team]],TBA_Matches_All[[#This Row],[Team]])</f>
        <v>4</v>
      </c>
      <c r="CL204" s="111">
        <f>SUM(MID(TBA_Matches_All[[#This Row],[Team]],4,5)+TBA_Matches_All[[#This Row],[Match_Number]]/100)</f>
        <v>229.34</v>
      </c>
      <c r="CM204">
        <f>SUM((TBA_Matches_All[[#This Row],[Leave]]*2)+(TBA_Matches_All[[#This Row],[AampT]]*2)+(TBA_Matches_All[[#This Row],[AspkrT]]*5)+(TBA_Matches_All[[#This Row],[AtrapT]]*5))</f>
        <v>2</v>
      </c>
      <c r="CN204" s="59">
        <f>IFERROR(SUM(TBA_Matches_All[[#This Row],[AptsT]]/TBA_Matches_All[[#This Row],[AutoPts]]),0)</f>
        <v>0.10526315789473684</v>
      </c>
      <c r="CO204" s="59">
        <f>IFERROR(SUM(TBA_Matches_All[[#This Row],[AampT]]+TBA_Matches_All[[#This Row],[AspkrT]]+TBA_Matches_All[[#This Row],[AtrapT]]/TBA_Matches_All[[#This Row],[Aamp]]+TBA_Matches_All[[#This Row],[Aspkr]]+TBA_Matches_All[[#This Row],[AtrapT]]),0)</f>
        <v>0</v>
      </c>
      <c r="CP204" s="59">
        <f>IFERROR(SUM(TBA_Matches_All[[#This Row],[TampT]]/TBA_Matches_All[[#This Row],[Tamp]]),0)</f>
        <v>0</v>
      </c>
      <c r="CQ204" s="59">
        <f>IFERROR(SUM(TBA_Matches_All[[#This Row],[TspkrT]]/TBA_Matches_All[[#This Row],[Tspkr]]),0)</f>
        <v>0</v>
      </c>
      <c r="CR204">
        <f>SUM(TBA_Matches_All[[#This Row],[TspkrPts]]*TBA_Matches_All[[#This Row],[TspkrP]])</f>
        <v>0</v>
      </c>
      <c r="CS204" s="59">
        <f>IFERROR(SUM(TBA_Matches_All[[#This Row],[TtrapT]]/TBA_Matches_All[[#This Row],[Trap]]),0)</f>
        <v>0</v>
      </c>
      <c r="CT204" s="59">
        <f>IFERROR(SUM(TBA_Matches_All[[#This Row],[TotNotesT]]/TBA_Matches_All[[#This Row],[TotNotes]]),0)</f>
        <v>0</v>
      </c>
      <c r="CU204" s="66">
        <f>SUM((TBA_Matches_All[[#This Row],[AampT]]*2)+(TBA_Matches_All[[#This Row],[AspkrT]]*5)+(TBA_Matches_All[[#This Row],[AtrapT]]*5)+(TBA_Matches_All[[#This Row],[TampT]]*1)+(TBA_Matches_All[[#This Row],[TspkrptsC]]))</f>
        <v>0</v>
      </c>
      <c r="CV204" s="59">
        <f>IFERROR(TBA_Matches_All[[#This Row],[noteptsT]]/TBA_Matches_All[[#This Row],[NotePts]],0)</f>
        <v>0</v>
      </c>
      <c r="CW204">
        <f>SUM(IF(TBA_Matches_All[[#This Row],[stageStat]]="On",3,0),IF(TBA_Matches_All[[#This Row],[stageStat]]="Park",1,0),SUMIFS(TBA_Matches_All[[#This Row],[Spotlit]],TBA_Matches_All[[#This Row],[stageStat]],"On"),SUMIFS(TBA_Matches_All[[#This Row],[Harmony]],TBA_Matches_All[[#This Row],[stageStat]],"On"))</f>
        <v>1</v>
      </c>
      <c r="CX204" s="59">
        <f>IFERROR(TBA_Matches_All[[#This Row],[stageptsT]]/TBA_Matches_All[[#This Row],[StagePts]],0)</f>
        <v>0.5</v>
      </c>
      <c r="CY204">
        <f>SUM((TBA_Matches_All[[#This Row],[AptsT]]+TBA_Matches_All[[#This Row],[TampT]]+TBA_Matches_All[[#This Row],[TspkrptsC]]+(TBA_Matches_All[[#This Row],[TtrapT]]*5)+TBA_Matches_All[[#This Row],[stageptsT]]))</f>
        <v>3</v>
      </c>
      <c r="CZ204" s="59">
        <f>IFERROR(SUM(TBA_Matches_All[[#This Row],[TotptsC]]/TBA_Matches_All[[#This Row],[Score]]),0)</f>
        <v>7.1428571428571425E-2</v>
      </c>
      <c r="DA20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04" s="74">
        <f>SUMIFS(TBA_Matches_All[AveTeamTNoteDels],TBA_Matches_All[Match_Number],TBA_Matches_All[[#This Row],[Match_Number]],TBA_Matches_All[Alliance],"&lt;&gt;"&amp;TBA_Matches_All[[#This Row],[Alliance]],TBA_Matches_All[Scouted],"&gt;0")</f>
        <v>13.239999999999998</v>
      </c>
      <c r="DC204" s="74">
        <f>(TBA_Matches_All[[#This Row],[TampT]]+TBA_Matches_All[[#This Row],[TspkrptsC]])-TBA_Matches_All[[#This Row],[AveTeamTNoteDels]]</f>
        <v>0</v>
      </c>
      <c r="DD204" s="74">
        <f>SUMIFS(TBA_Matches_All[AveTeamTNoteDels],TBA_Matches_All[Match_Number],TBA_Matches_All[[#This Row],[Match_Number]],TBA_Matches_All[Alliance],"&lt;&gt;"&amp;TBA_Matches_All[[#This Row],[Alliance]])-TBA_Matches_All[[#This Row],[AveOppTNoteDels]]</f>
        <v>0</v>
      </c>
    </row>
    <row r="205" spans="1:108" x14ac:dyDescent="0.3">
      <c r="A205" t="s">
        <v>1042</v>
      </c>
      <c r="B205" t="s">
        <v>489</v>
      </c>
      <c r="C205" t="s">
        <v>1343</v>
      </c>
      <c r="D205">
        <v>34</v>
      </c>
      <c r="E205" t="s">
        <v>1420</v>
      </c>
      <c r="F205" t="s">
        <v>1425</v>
      </c>
      <c r="G205" t="s">
        <v>105</v>
      </c>
      <c r="H205" t="s">
        <v>1312</v>
      </c>
      <c r="I205" t="b">
        <v>0</v>
      </c>
      <c r="J205">
        <v>33</v>
      </c>
      <c r="K205">
        <v>0</v>
      </c>
      <c r="L205">
        <v>0</v>
      </c>
      <c r="M205">
        <v>7</v>
      </c>
      <c r="N205">
        <v>0</v>
      </c>
      <c r="O205">
        <v>2</v>
      </c>
      <c r="P205">
        <v>10</v>
      </c>
      <c r="Q205">
        <v>12</v>
      </c>
      <c r="R205">
        <v>4</v>
      </c>
      <c r="S205">
        <v>2</v>
      </c>
      <c r="T205">
        <v>1</v>
      </c>
      <c r="U205">
        <v>10</v>
      </c>
      <c r="V205">
        <v>2</v>
      </c>
      <c r="W205">
        <v>3</v>
      </c>
      <c r="X205">
        <v>12</v>
      </c>
      <c r="Y205">
        <v>16</v>
      </c>
      <c r="Z205">
        <v>0</v>
      </c>
      <c r="AA205">
        <v>0</v>
      </c>
      <c r="AB205">
        <v>9</v>
      </c>
      <c r="AC205">
        <v>26</v>
      </c>
      <c r="AD205">
        <v>5</v>
      </c>
      <c r="AE205">
        <f>IFERROR(6/(COUNTIF(Dyno_EndMatch[Match],TBA_Matches_All[[#This Row],[Match_Number]])),0)</f>
        <v>1</v>
      </c>
      <c r="AF205">
        <f>COUNTIFS(Dyno_Data[Team],TBA_Matches_All[[#This Row],[Team]],Dyno_Data[Match],TBA_Matches_All[[#This Row],[Match_Number]],Dyno_Data[RecordType],"EndMatch",Dyno_Data[HPAmp],"Y")</f>
        <v>1</v>
      </c>
      <c r="AG205">
        <f>SUMIFS(Dyno_Data[Mics], Dyno_Data[Team],TBA_Matches_All[[#This Row],[Team]],Dyno_Data[Match],TBA_Matches_All[[#This Row],[Match_Number]],Dyno_Data[RecordType],"EndMatch",Dyno_Data[HPAmp],"Y")</f>
        <v>0</v>
      </c>
      <c r="AH205">
        <f>SUMIFS(Dyno_Data[Leave], Dyno_Data[Team],TBA_Matches_All[[#This Row],[Team]],Dyno_Data[Match],TBA_Matches_All[[#This Row],[Match_Number]],Dyno_Data[RecordType],"EndAuto")</f>
        <v>1</v>
      </c>
      <c r="AI205">
        <f>COUNTIFS(Dyno_Data[Team],TBA_Matches_All[[#This Row],[Team]],Dyno_Data[Match],TBA_Matches_All[[#This Row],[Match_Number]],Dyno_Data[RecordType],"Activities",Dyno_Data[DelDest],"Amp", Dyno_Data[DelMiss],"0", Dyno_Data[Mode],"Auto")</f>
        <v>0</v>
      </c>
      <c r="AJ205">
        <f>COUNTIFS(Dyno_Data[Team],TBA_Matches_All[[#This Row],[Team]],Dyno_Data[Match],TBA_Matches_All[[#This Row],[Match_Number]],Dyno_Data[RecordType],"Activities",Dyno_Data[DelDest],"Spkr", Dyno_Data[DelMiss],"0", Dyno_Data[Mode],"Auto")</f>
        <v>2</v>
      </c>
      <c r="AK205">
        <f>COUNTIFS(Dyno_Data[Team],TBA_Matches_All[[#This Row],[Team]],Dyno_Data[Match],TBA_Matches_All[[#This Row],[Match_Number]],Dyno_Data[RecordType],"Activities",Dyno_Data[DelDest],"Trap", Dyno_Data[DelMiss],"0", Dyno_Data[Mode],"Auto")</f>
        <v>0</v>
      </c>
      <c r="AL205">
        <f>COUNTIFS(Dyno_Data[Team],TBA_Matches_All[[#This Row],[Team]],Dyno_Data[Match],TBA_Matches_All[[#This Row],[Match_Number]],Dyno_Data[RecordType],"Activities",Dyno_Data[DelDest],"Amp", Dyno_Data[DelMiss],"0", Dyno_Data[Mode],"Teleop")</f>
        <v>2</v>
      </c>
      <c r="AM205">
        <f>COUNTIFS(Dyno_Data[Team],TBA_Matches_All[[#This Row],[Team]],Dyno_Data[Match],TBA_Matches_All[[#This Row],[Match_Number]],Dyno_Data[RecordType],"Activities",Dyno_Data[DelDest],"Spkr", Dyno_Data[DelMiss],"0", Dyno_Data[Mode],"Teleop")</f>
        <v>3</v>
      </c>
      <c r="AN205">
        <f>COUNTIFS(Dyno_Data[Team],TBA_Matches_All[[#This Row],[Team]],Dyno_Data[Match],TBA_Matches_All[[#This Row],[Match_Number]],Dyno_Data[RecordType],"Activities",Dyno_Data[DelDest],"Trap", Dyno_Data[DelMiss],"0", Dyno_Data[Mode],"&lt;&gt;Auto")</f>
        <v>0</v>
      </c>
      <c r="AO205">
        <f>SUM(TBA_Matches_All[[#This Row],[AampT]]+TBA_Matches_All[[#This Row],[AspkrT]]+TBA_Matches_All[[#This Row],[AtrapT]]+TBA_Matches_All[[#This Row],[TampT]]+TBA_Matches_All[[#This Row],[TspkrT]]+TBA_Matches_All[[#This Row],[TtrapT]])</f>
        <v>7</v>
      </c>
      <c r="AP205">
        <f>COUNTIFS(Dyno_Data[Team],TBA_Matches_All[[#This Row],[Team]],Dyno_Data[Match],TBA_Matches_All[[#This Row],[Match_Number]],Dyno_Data[RecordType],"Activities",Dyno_Data[DelDest],"Neut", Dyno_Data[DelMiss],"0")</f>
        <v>0</v>
      </c>
      <c r="AQ205">
        <f>COUNTIFS(Dyno_Data[Team],TBA_Matches_All[[#This Row],[Team]],Dyno_Data[Match],TBA_Matches_All[[#This Row],[Match_Number]],Dyno_Data[RecordType],"Activities",Dyno_Data[DelDest],"AllyW", Dyno_Data[DelMiss],"0")</f>
        <v>0</v>
      </c>
      <c r="AR205" t="str">
        <f>_xlfn.XLOOKUP(SUM(MID(TBA_Matches_All[[#This Row],[Team]],4,5),(TBA_Matches_All[[#This Row],[Match_Number]]/100)),Dyno_EndMatch[teammat],Dyno_EndMatch[RobotSta],"_",0,1)</f>
        <v>SubW</v>
      </c>
      <c r="AS205">
        <f>SUMIFS(Dyno_Data[AcqDis], Dyno_Data[Team],TBA_Matches_All[[#This Row],[Team]],Dyno_Data[Match],TBA_Matches_All[[#This Row],[Match_Number]],Dyno_Data[RecordType],"Activities", Dyno_Data[AcqCenter],1,Dyno_Data[Mode],"Auto")</f>
        <v>0</v>
      </c>
      <c r="AT205">
        <f>SUMIFS(Dyno_Data[AcqDis], Dyno_Data[Team],TBA_Matches_All[[#This Row],[Team]],Dyno_Data[Match],TBA_Matches_All[[#This Row],[Match_Number]],Dyno_Data[RecordType],"Activities", Dyno_Data[AcqCenter],2,Dyno_Data[Mode],"Auto")</f>
        <v>0</v>
      </c>
      <c r="AU205">
        <f>SUMIFS(Dyno_Data[AcqDis], Dyno_Data[Team],TBA_Matches_All[[#This Row],[Team]],Dyno_Data[Match],TBA_Matches_All[[#This Row],[Match_Number]],Dyno_Data[RecordType],"Activities", Dyno_Data[AcqCenter],3,Dyno_Data[Mode],"Auto")</f>
        <v>0</v>
      </c>
      <c r="AV205">
        <f>SUMIFS(Dyno_Data[AcqDis], Dyno_Data[Team],TBA_Matches_All[[#This Row],[Team]],Dyno_Data[Match],TBA_Matches_All[[#This Row],[Match_Number]],Dyno_Data[RecordType],"Activities", Dyno_Data[AcqCenter],4,Dyno_Data[Mode],"Auto")</f>
        <v>0</v>
      </c>
      <c r="AW205">
        <f>SUMIFS(Dyno_Data[AcqDis], Dyno_Data[Team],TBA_Matches_All[[#This Row],[Team]],Dyno_Data[Match],TBA_Matches_All[[#This Row],[Match_Number]],Dyno_Data[RecordType],"Activities", Dyno_Data[AcqCenter],5,Dyno_Data[Mode],"Auto")</f>
        <v>0</v>
      </c>
      <c r="AX205">
        <f>SUMIFS(Dyno_Data[DelMiss], Dyno_Data[Team],TBA_Matches_All[[#This Row],[Team]],Dyno_Data[Match],TBA_Matches_All[[#This Row],[Match_Number]],Dyno_Data[RecordType],"Activities", Dyno_Data[DelDest],"Amp")</f>
        <v>1</v>
      </c>
      <c r="AY205" s="60">
        <f>IFERROR(SUM((TBA_Matches_All[[#This Row],[AampT]]+TBA_Matches_All[[#This Row],[TampT]])/(TBA_Matches_All[[#This Row],[AampT]]+TBA_Matches_All[[#This Row],[TampT]]+TBA_Matches_All[[#This Row],[ampM]])),0)</f>
        <v>0.66666666666666663</v>
      </c>
      <c r="AZ205">
        <f>SUMIFS(Dyno_Data[DelMiss], Dyno_Data[Team],TBA_Matches_All[[#This Row],[Team]],Dyno_Data[Match],TBA_Matches_All[[#This Row],[Match_Number]],Dyno_Data[RecordType],"Activities", Dyno_Data[DelDest],"Spkr")</f>
        <v>0</v>
      </c>
      <c r="BA205" s="60">
        <f>IFERROR(SUM((TBA_Matches_All[[#This Row],[AspkrT]]+TBA_Matches_All[[#This Row],[TspkrT]])/(TBA_Matches_All[[#This Row],[AspkrT]]+TBA_Matches_All[[#This Row],[TspkrT]]+TBA_Matches_All[[#This Row],[spkrM]])),0)</f>
        <v>1</v>
      </c>
      <c r="BB205">
        <f>SUMIFS(Dyno_Data[DelMiss], Dyno_Data[Team],TBA_Matches_All[[#This Row],[Team]],Dyno_Data[Match],TBA_Matches_All[[#This Row],[Match_Number]],Dyno_Data[RecordType],"Activities", Dyno_Data[DelDest],"Trap")</f>
        <v>0</v>
      </c>
      <c r="BC205" s="60">
        <f>IFERROR((TBA_Matches_All[[#This Row],[AtrapT]]+TBA_Matches_All[[#This Row],[TtrapT]])/(TBA_Matches_All[[#This Row],[AtrapT]]+TBA_Matches_All[[#This Row],[TtrapT]]+TBA_Matches_All[[#This Row],[trapM]]),0)</f>
        <v>0</v>
      </c>
      <c r="BD205">
        <f>COUNTIFS(Dyno_Data[Team],TBA_Matches_All[[#This Row],[Team]],Dyno_Data[Match],TBA_Matches_All[[#This Row],[Match_Number]],Dyno_Data[RecordType],"Activities",Dyno_Data[DelDest],"Neut", Dyno_Data[DelMiss],1)</f>
        <v>0</v>
      </c>
      <c r="BE205" s="60">
        <f>IFERROR(SUM((TBA_Matches_All[[#This Row],[NeutFlrT]])/(TBA_Matches_All[[#This Row],[NeutFlrT]]+TBA_Matches_All[[#This Row],[NZflM]])),0)</f>
        <v>0</v>
      </c>
      <c r="BF205">
        <f>COUNTIFS(Dyno_Data[Team],TBA_Matches_All[[#This Row],[Team]],Dyno_Data[Match],TBA_Matches_All[[#This Row],[Match_Number]],Dyno_Data[RecordType],"Activities",Dyno_Data[DelDest],"AllyW", Dyno_Data[DelMiss],1)</f>
        <v>0</v>
      </c>
      <c r="BG205" s="60">
        <f>IFERROR(SUM((TBA_Matches_All[[#This Row],[AllyWFlrT]])/(TBA_Matches_All[[#This Row],[AllyWFlrT]]+TBA_Matches_All[[#This Row],[AZflM]])),0)</f>
        <v>0</v>
      </c>
      <c r="BH205">
        <f>COUNTIFS(Dyno_Data[Team],TBA_Matches_All[[#This Row],[Team]],Dyno_Data[Match],TBA_Matches_All[[#This Row],[Match_Number]],Dyno_Data[RecordType],"Activities",Dyno_Data[DelOrig],"OppW", Dyno_Data[DelMiss],"0")</f>
        <v>0</v>
      </c>
      <c r="BI205">
        <f>COUNTIFS(Dyno_Data[Team],TBA_Matches_All[[#This Row],[Team]],Dyno_Data[Match],TBA_Matches_All[[#This Row],[Match_Number]],Dyno_Data[RecordType],"Activities",Dyno_Data[DelOrig],"OppW", Dyno_Data[DelMiss],"1")</f>
        <v>0</v>
      </c>
      <c r="BJ205" s="60">
        <f>IFERROR(SUM((TBA_Matches_All[[#This Row],[OZflrT]])/(TBA_Matches_All[[#This Row],[OZflrT]]+TBA_Matches_All[[#This Row],[OZflrM]])),0)</f>
        <v>0</v>
      </c>
      <c r="BK205">
        <f>COUNTIFS(Dyno_Data[Team],TBA_Matches_All[[#This Row],[Team]],Dyno_Data[Match],TBA_Matches_All[[#This Row],[Match_Number]],Dyno_Data[RecordType],"Activities",Dyno_Data[DelOrig],"Neut", Dyno_Data[DelMiss],"0")</f>
        <v>0</v>
      </c>
      <c r="BL205">
        <f>COUNTIFS(Dyno_Data[Team],TBA_Matches_All[[#This Row],[Team]],Dyno_Data[Match],TBA_Matches_All[[#This Row],[Match_Number]],Dyno_Data[RecordType],"Activities",Dyno_Data[DelOrig],"Neut", Dyno_Data[DelMiss],"1")</f>
        <v>0</v>
      </c>
      <c r="BM205" s="60">
        <f>IFERROR(SUM((TBA_Matches_All[[#This Row],[NZflrT]])/(TBA_Matches_All[[#This Row],[NZflrT]]+TBA_Matches_All[[#This Row],[NZflrM]])),0)</f>
        <v>0</v>
      </c>
      <c r="BN205">
        <f>COUNTIFS(Dyno_Data[Team],TBA_Matches_All[[#This Row],[Team]],Dyno_Data[Match],TBA_Matches_All[[#This Row],[Match_Number]],Dyno_Data[RecordType],"Activities",Dyno_Data[DelOrig],"AllyW", Dyno_Data[DelMiss],"0")</f>
        <v>7</v>
      </c>
      <c r="BO205">
        <f>COUNTIFS(Dyno_Data[Team],TBA_Matches_All[[#This Row],[Team]],Dyno_Data[Match],TBA_Matches_All[[#This Row],[Match_Number]],Dyno_Data[RecordType],"Activities",Dyno_Data[DelOrig],"AllyW", Dyno_Data[DelMiss],"1")</f>
        <v>1</v>
      </c>
      <c r="BP205" s="60">
        <f>IFERROR(SUM((TBA_Matches_All[[#This Row],[AZflrT]])/(TBA_Matches_All[[#This Row],[AZflrT]]+TBA_Matches_All[[#This Row],[AZflrM]])),0)</f>
        <v>0.875</v>
      </c>
      <c r="BQ205">
        <f>COUNTIFS(Dyno_Data[Team],TBA_Matches_All[[#This Row],[Team]],Dyno_Data[Match],TBA_Matches_All[[#This Row],[Match_Number]],Dyno_Data[RecordType],"Activities",Dyno_Data[DelOrig],"SubW", Dyno_Data[DelMiss],"0")</f>
        <v>0</v>
      </c>
      <c r="BR205">
        <f>COUNTIFS(Dyno_Data[Team],TBA_Matches_All[[#This Row],[Team]],Dyno_Data[Match],TBA_Matches_All[[#This Row],[Match_Number]],Dyno_Data[RecordType],"Activities",Dyno_Data[DelOrig],"SubW", Dyno_Data[DelMiss],"1")</f>
        <v>0</v>
      </c>
      <c r="BS205" s="60">
        <f>IFERROR(SUM((TBA_Matches_All[[#This Row],[SubwT]])/(TBA_Matches_All[[#This Row],[SubwT]]+TBA_Matches_All[[#This Row],[SubwM]])),0)</f>
        <v>0</v>
      </c>
      <c r="BT205">
        <f>COUNTIFS(Dyno_Data[Team],TBA_Matches_All[[#This Row],[Team]],Dyno_Data[Match],TBA_Matches_All[[#This Row],[Match_Number]],Dyno_Data[RecordType],"Activities", Dyno_Data[AcqLoc],"OppWing")</f>
        <v>0</v>
      </c>
      <c r="BU205">
        <f>COUNTIFS(Dyno_Data[Team],TBA_Matches_All[[#This Row],[Team]],Dyno_Data[Match],TBA_Matches_All[[#This Row],[Match_Number]],Dyno_Data[RecordType],"Activities", Dyno_Data[AcqLoc],"Neutral")</f>
        <v>0</v>
      </c>
      <c r="BV205">
        <f>COUNTIFS(Dyno_Data[Team],TBA_Matches_All[[#This Row],[Team]],Dyno_Data[Match],TBA_Matches_All[[#This Row],[Match_Number]],Dyno_Data[RecordType],"Activities", Dyno_Data[AcqLoc],"AllyWing")</f>
        <v>0</v>
      </c>
      <c r="BW205">
        <f>COUNTIFS(Dyno_Data[Team],TBA_Matches_All[[#This Row],[Team]],Dyno_Data[Match],TBA_Matches_All[[#This Row],[Match_Number]],Dyno_Data[RecordType],"Activities", Dyno_Data[AcqLoc],"Source")</f>
        <v>0</v>
      </c>
      <c r="BX205">
        <f>SUMIFS(Dyno_Data[AcqDrp], Dyno_Data[Team],TBA_Matches_All[[#This Row],[Team]],Dyno_Data[Match],TBA_Matches_All[[#This Row],[Match_Number]],Dyno_Data[RecordType],"Activities", Dyno_Data[AcqLoc],"Source")</f>
        <v>0</v>
      </c>
      <c r="BY205">
        <f>SUMIFS(Dyno_Data[OZTime], Dyno_Data[Team],TBA_Matches_All[[#This Row],[Team]],Dyno_Data[Match],TBA_Matches_All[[#This Row],[Match_Number]],Dyno_Data[RecordType],"EndMatch")</f>
        <v>30.750961</v>
      </c>
      <c r="BZ205">
        <f>SUMIFS(Dyno_Data[NZTime], Dyno_Data[Team],TBA_Matches_All[[#This Row],[Team]],Dyno_Data[Match],TBA_Matches_All[[#This Row],[Match_Number]],Dyno_Data[RecordType],"EndMatch")</f>
        <v>27.075415</v>
      </c>
      <c r="CA205">
        <f>SUMIFS(Dyno_Data[AZTime], Dyno_Data[Team],TBA_Matches_All[[#This Row],[Team]],Dyno_Data[Match],TBA_Matches_All[[#This Row],[Match_Number]],Dyno_Data[RecordType],"EndMatch")</f>
        <v>77.059992999999992</v>
      </c>
      <c r="CB205">
        <f>SUMIFS(Dyno_Data[ClimbT], Dyno_Data[Team],TBA_Matches_All[[#This Row],[Team]],Dyno_Data[Match],TBA_Matches_All[[#This Row],[Match_Number]],Dyno_Data[RecordType],"EndMatch")</f>
        <v>0.37608059999999999</v>
      </c>
      <c r="CC205" t="str">
        <f>_xlfn.XLOOKUP(SUM(MID(TBA_Matches_All[[#This Row],[Team]],4,5),(TBA_Matches_All[[#This Row],[Match_Number]]/100)),Dyno_EndMatch[teammat],Dyno_EndMatch[StageStat],"_",0,1)</f>
        <v>Park</v>
      </c>
      <c r="CD205" t="str">
        <f>_xlfn.XLOOKUP(TBA_Matches_All[[#This Row],[teammat]],Dyno_EndMatch[teammat],Dyno_EndMatch[StageAtt],"_",0,1)</f>
        <v>-1</v>
      </c>
      <c r="CE205" t="str">
        <f>_xlfn.XLOOKUP(TBA_Matches_All[[#This Row],[teammat]],Dyno_EndMatch[teammat],Dyno_EndMatch[StageLoc],"_",0,1)</f>
        <v>A</v>
      </c>
      <c r="CF205">
        <f>SUMIFS(Dyno_Data[Harmony], Dyno_Data[Team],TBA_Matches_All[[#This Row],[Team]],Dyno_Data[Match],TBA_Matches_All[[#This Row],[Match_Number]],Dyno_Data[RecordType],"EndMatch", Dyno_Data[StageStat],"On",Dyno_Data[Harmony],"&lt;&gt;9")</f>
        <v>0</v>
      </c>
      <c r="CG205">
        <f>SUMIFS(Dyno_Data[Spotlit], Dyno_Data[Team],TBA_Matches_All[[#This Row],[Team]],Dyno_Data[Match],TBA_Matches_All[[#This Row],[Match_Number]],Dyno_Data[RecordType],"EndMatch", Dyno_Data[StageStat],"On",Dyno_Data[Spotlit],"&lt;&gt;9")</f>
        <v>0</v>
      </c>
      <c r="CH205" t="str">
        <f>_xlfn.XLOOKUP(TBA_Matches_All[[#This Row],[teammat]],Dyno_EndMatch[teammat],Dyno_EndMatch[Strategy],"_",0,1)</f>
        <v>Hybrid</v>
      </c>
      <c r="CI205">
        <f>SUMIFS(Dyno_Data[Defense], Dyno_Data[Team],TBA_Matches_All[[#This Row],[Team]],Dyno_Data[Match],TBA_Matches_All[[#This Row],[Match_Number]],Dyno_Data[RecordType],"EndMatch",Dyno_Data[Defense],"&lt;&gt;9")</f>
        <v>0</v>
      </c>
      <c r="CJ205">
        <f>SUMIFS(Dyno_Data[Avoidance], Dyno_Data[Team],TBA_Matches_All[[#This Row],[Team]],Dyno_Data[Match],TBA_Matches_All[[#This Row],[Match_Number]],Dyno_Data[RecordType],"EndMatch",Dyno_Data[Avoidance],"&lt;&gt;9")</f>
        <v>0</v>
      </c>
      <c r="CK205" s="82">
        <f>COUNTIF($H$2:TBA_Matches_All[[#This Row],[Team]],TBA_Matches_All[[#This Row],[Team]])</f>
        <v>4</v>
      </c>
      <c r="CL205" s="111">
        <f>SUM(MID(TBA_Matches_All[[#This Row],[Team]],4,5)+TBA_Matches_All[[#This Row],[Match_Number]]/100)</f>
        <v>2053.34</v>
      </c>
      <c r="CM205">
        <f>SUM((TBA_Matches_All[[#This Row],[Leave]]*2)+(TBA_Matches_All[[#This Row],[AampT]]*2)+(TBA_Matches_All[[#This Row],[AspkrT]]*5)+(TBA_Matches_All[[#This Row],[AtrapT]]*5))</f>
        <v>12</v>
      </c>
      <c r="CN205" s="59">
        <f>IFERROR(SUM(TBA_Matches_All[[#This Row],[AptsT]]/TBA_Matches_All[[#This Row],[AutoPts]]),0)</f>
        <v>1</v>
      </c>
      <c r="CO205" s="59">
        <f>IFERROR(SUM(TBA_Matches_All[[#This Row],[AampT]]+TBA_Matches_All[[#This Row],[AspkrT]]+TBA_Matches_All[[#This Row],[AtrapT]]/TBA_Matches_All[[#This Row],[Aamp]]+TBA_Matches_All[[#This Row],[Aspkr]]+TBA_Matches_All[[#This Row],[AtrapT]]),0)</f>
        <v>0</v>
      </c>
      <c r="CP205" s="59">
        <f>IFERROR(SUM(TBA_Matches_All[[#This Row],[TampT]]/TBA_Matches_All[[#This Row],[Tamp]]),0)</f>
        <v>0.5</v>
      </c>
      <c r="CQ205" s="59">
        <f>IFERROR(SUM(TBA_Matches_All[[#This Row],[TspkrT]]/TBA_Matches_All[[#This Row],[Tspkr]]),0)</f>
        <v>1</v>
      </c>
      <c r="CR205">
        <f>SUM(TBA_Matches_All[[#This Row],[TspkrPts]]*TBA_Matches_All[[#This Row],[TspkrP]])</f>
        <v>12</v>
      </c>
      <c r="CS205" s="59">
        <f>IFERROR(SUM(TBA_Matches_All[[#This Row],[TtrapT]]/TBA_Matches_All[[#This Row],[Trap]]),0)</f>
        <v>0</v>
      </c>
      <c r="CT205" s="59">
        <f>IFERROR(SUM(TBA_Matches_All[[#This Row],[TotNotesT]]/TBA_Matches_All[[#This Row],[TotNotes]]),0)</f>
        <v>0.77777777777777779</v>
      </c>
      <c r="CU205" s="66">
        <f>SUM((TBA_Matches_All[[#This Row],[AampT]]*2)+(TBA_Matches_All[[#This Row],[AspkrT]]*5)+(TBA_Matches_All[[#This Row],[AtrapT]]*5)+(TBA_Matches_All[[#This Row],[TampT]]*1)+(TBA_Matches_All[[#This Row],[TspkrptsC]]))</f>
        <v>24</v>
      </c>
      <c r="CV205" s="59">
        <f>IFERROR(TBA_Matches_All[[#This Row],[noteptsT]]/TBA_Matches_All[[#This Row],[NotePts]],0)</f>
        <v>0.92307692307692313</v>
      </c>
      <c r="CW205">
        <f>SUM(IF(TBA_Matches_All[[#This Row],[stageStat]]="On",3,0),IF(TBA_Matches_All[[#This Row],[stageStat]]="Park",1,0),SUMIFS(TBA_Matches_All[[#This Row],[Spotlit]],TBA_Matches_All[[#This Row],[stageStat]],"On"),SUMIFS(TBA_Matches_All[[#This Row],[Harmony]],TBA_Matches_All[[#This Row],[stageStat]],"On"))</f>
        <v>1</v>
      </c>
      <c r="CX205" s="59">
        <f>IFERROR(TBA_Matches_All[[#This Row],[stageptsT]]/TBA_Matches_All[[#This Row],[StagePts]],0)</f>
        <v>0.2</v>
      </c>
      <c r="CY205">
        <f>SUM((TBA_Matches_All[[#This Row],[AptsT]]+TBA_Matches_All[[#This Row],[TampT]]+TBA_Matches_All[[#This Row],[TspkrptsC]]+(TBA_Matches_All[[#This Row],[TtrapT]]*5)+TBA_Matches_All[[#This Row],[stageptsT]]))</f>
        <v>27</v>
      </c>
      <c r="CZ205" s="59">
        <f>IFERROR(SUM(TBA_Matches_All[[#This Row],[TotptsC]]/TBA_Matches_All[[#This Row],[Score]]),0)</f>
        <v>0.81818181818181823</v>
      </c>
      <c r="DA20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9.3999999999999986</v>
      </c>
      <c r="DB205" s="74">
        <f>SUMIFS(TBA_Matches_All[AveTeamTNoteDels],TBA_Matches_All[Match_Number],TBA_Matches_All[[#This Row],[Match_Number]],TBA_Matches_All[Alliance],"&lt;&gt;"&amp;TBA_Matches_All[[#This Row],[Alliance]],TBA_Matches_All[Scouted],"&gt;0")</f>
        <v>15.880681818181818</v>
      </c>
      <c r="DC205" s="74">
        <f>(TBA_Matches_All[[#This Row],[TampT]]+TBA_Matches_All[[#This Row],[TspkrptsC]])-TBA_Matches_All[[#This Row],[AveTeamTNoteDels]]</f>
        <v>4.6000000000000014</v>
      </c>
      <c r="DD205" s="74">
        <f>SUMIFS(TBA_Matches_All[AveTeamTNoteDels],TBA_Matches_All[Match_Number],TBA_Matches_All[[#This Row],[Match_Number]],TBA_Matches_All[Alliance],"&lt;&gt;"&amp;TBA_Matches_All[[#This Row],[Alliance]])-TBA_Matches_All[[#This Row],[AveOppTNoteDels]]</f>
        <v>0</v>
      </c>
    </row>
    <row r="206" spans="1:108" x14ac:dyDescent="0.3">
      <c r="A206" t="s">
        <v>1042</v>
      </c>
      <c r="B206" t="s">
        <v>489</v>
      </c>
      <c r="C206" t="s">
        <v>1343</v>
      </c>
      <c r="D206">
        <v>34</v>
      </c>
      <c r="E206" t="s">
        <v>1406</v>
      </c>
      <c r="F206" t="s">
        <v>1426</v>
      </c>
      <c r="G206" t="s">
        <v>164</v>
      </c>
      <c r="H206" t="s">
        <v>1314</v>
      </c>
      <c r="I206" t="b">
        <v>0</v>
      </c>
      <c r="J206">
        <v>42</v>
      </c>
      <c r="K206">
        <v>0</v>
      </c>
      <c r="L206">
        <v>0</v>
      </c>
      <c r="M206">
        <v>0</v>
      </c>
      <c r="N206">
        <v>0</v>
      </c>
      <c r="O206">
        <v>3</v>
      </c>
      <c r="P206">
        <v>15</v>
      </c>
      <c r="Q206">
        <v>19</v>
      </c>
      <c r="R206">
        <v>0</v>
      </c>
      <c r="S206">
        <v>0</v>
      </c>
      <c r="T206">
        <v>7</v>
      </c>
      <c r="U206">
        <v>0</v>
      </c>
      <c r="V206">
        <v>14</v>
      </c>
      <c r="W206">
        <v>7</v>
      </c>
      <c r="X206">
        <v>14</v>
      </c>
      <c r="Y206">
        <v>14</v>
      </c>
      <c r="Z206">
        <v>0</v>
      </c>
      <c r="AA206">
        <v>0</v>
      </c>
      <c r="AB206">
        <v>10</v>
      </c>
      <c r="AC206">
        <v>29</v>
      </c>
      <c r="AD206">
        <v>2</v>
      </c>
      <c r="AE206">
        <f>IFERROR(6/(COUNTIF(Dyno_EndMatch[Match],TBA_Matches_All[[#This Row],[Match_Number]])),0)</f>
        <v>1</v>
      </c>
      <c r="AF206">
        <f>COUNTIFS(Dyno_Data[Team],TBA_Matches_All[[#This Row],[Team]],Dyno_Data[Match],TBA_Matches_All[[#This Row],[Match_Number]],Dyno_Data[RecordType],"EndMatch",Dyno_Data[HPAmp],"Y")</f>
        <v>0</v>
      </c>
      <c r="AG206">
        <f>SUMIFS(Dyno_Data[Mics], Dyno_Data[Team],TBA_Matches_All[[#This Row],[Team]],Dyno_Data[Match],TBA_Matches_All[[#This Row],[Match_Number]],Dyno_Data[RecordType],"EndMatch",Dyno_Data[HPAmp],"Y")</f>
        <v>0</v>
      </c>
      <c r="AH206">
        <f>SUMIFS(Dyno_Data[Leave], Dyno_Data[Team],TBA_Matches_All[[#This Row],[Team]],Dyno_Data[Match],TBA_Matches_All[[#This Row],[Match_Number]],Dyno_Data[RecordType],"EndAuto")</f>
        <v>1</v>
      </c>
      <c r="AI206">
        <f>COUNTIFS(Dyno_Data[Team],TBA_Matches_All[[#This Row],[Team]],Dyno_Data[Match],TBA_Matches_All[[#This Row],[Match_Number]],Dyno_Data[RecordType],"Activities",Dyno_Data[DelDest],"Amp", Dyno_Data[DelMiss],"0", Dyno_Data[Mode],"Auto")</f>
        <v>0</v>
      </c>
      <c r="AJ206">
        <f>COUNTIFS(Dyno_Data[Team],TBA_Matches_All[[#This Row],[Team]],Dyno_Data[Match],TBA_Matches_All[[#This Row],[Match_Number]],Dyno_Data[RecordType],"Activities",Dyno_Data[DelDest],"Spkr", Dyno_Data[DelMiss],"0", Dyno_Data[Mode],"Auto")</f>
        <v>3</v>
      </c>
      <c r="AK206">
        <f>COUNTIFS(Dyno_Data[Team],TBA_Matches_All[[#This Row],[Team]],Dyno_Data[Match],TBA_Matches_All[[#This Row],[Match_Number]],Dyno_Data[RecordType],"Activities",Dyno_Data[DelDest],"Trap", Dyno_Data[DelMiss],"0", Dyno_Data[Mode],"Auto")</f>
        <v>0</v>
      </c>
      <c r="AL206">
        <f>COUNTIFS(Dyno_Data[Team],TBA_Matches_All[[#This Row],[Team]],Dyno_Data[Match],TBA_Matches_All[[#This Row],[Match_Number]],Dyno_Data[RecordType],"Activities",Dyno_Data[DelDest],"Amp", Dyno_Data[DelMiss],"0", Dyno_Data[Mode],"Teleop")</f>
        <v>0</v>
      </c>
      <c r="AM206">
        <f>COUNTIFS(Dyno_Data[Team],TBA_Matches_All[[#This Row],[Team]],Dyno_Data[Match],TBA_Matches_All[[#This Row],[Match_Number]],Dyno_Data[RecordType],"Activities",Dyno_Data[DelDest],"Spkr", Dyno_Data[DelMiss],"0", Dyno_Data[Mode],"Teleop")</f>
        <v>6</v>
      </c>
      <c r="AN206">
        <f>COUNTIFS(Dyno_Data[Team],TBA_Matches_All[[#This Row],[Team]],Dyno_Data[Match],TBA_Matches_All[[#This Row],[Match_Number]],Dyno_Data[RecordType],"Activities",Dyno_Data[DelDest],"Trap", Dyno_Data[DelMiss],"0", Dyno_Data[Mode],"&lt;&gt;Auto")</f>
        <v>0</v>
      </c>
      <c r="AO206">
        <f>SUM(TBA_Matches_All[[#This Row],[AampT]]+TBA_Matches_All[[#This Row],[AspkrT]]+TBA_Matches_All[[#This Row],[AtrapT]]+TBA_Matches_All[[#This Row],[TampT]]+TBA_Matches_All[[#This Row],[TspkrT]]+TBA_Matches_All[[#This Row],[TtrapT]])</f>
        <v>9</v>
      </c>
      <c r="AP206">
        <f>COUNTIFS(Dyno_Data[Team],TBA_Matches_All[[#This Row],[Team]],Dyno_Data[Match],TBA_Matches_All[[#This Row],[Match_Number]],Dyno_Data[RecordType],"Activities",Dyno_Data[DelDest],"Neut", Dyno_Data[DelMiss],"0")</f>
        <v>0</v>
      </c>
      <c r="AQ206">
        <f>COUNTIFS(Dyno_Data[Team],TBA_Matches_All[[#This Row],[Team]],Dyno_Data[Match],TBA_Matches_All[[#This Row],[Match_Number]],Dyno_Data[RecordType],"Activities",Dyno_Data[DelDest],"AllyW", Dyno_Data[DelMiss],"0")</f>
        <v>0</v>
      </c>
      <c r="AR206" t="str">
        <f>_xlfn.XLOOKUP(SUM(MID(TBA_Matches_All[[#This Row],[Team]],4,5),(TBA_Matches_All[[#This Row],[Match_Number]]/100)),Dyno_EndMatch[teammat],Dyno_EndMatch[RobotSta],"_",0,1)</f>
        <v>Podm</v>
      </c>
      <c r="AS206">
        <f>SUMIFS(Dyno_Data[AcqDis], Dyno_Data[Team],TBA_Matches_All[[#This Row],[Team]],Dyno_Data[Match],TBA_Matches_All[[#This Row],[Match_Number]],Dyno_Data[RecordType],"Activities", Dyno_Data[AcqCenter],1,Dyno_Data[Mode],"Auto")</f>
        <v>0</v>
      </c>
      <c r="AT206">
        <f>SUMIFS(Dyno_Data[AcqDis], Dyno_Data[Team],TBA_Matches_All[[#This Row],[Team]],Dyno_Data[Match],TBA_Matches_All[[#This Row],[Match_Number]],Dyno_Data[RecordType],"Activities", Dyno_Data[AcqCenter],2,Dyno_Data[Mode],"Auto")</f>
        <v>0</v>
      </c>
      <c r="AU206">
        <f>SUMIFS(Dyno_Data[AcqDis], Dyno_Data[Team],TBA_Matches_All[[#This Row],[Team]],Dyno_Data[Match],TBA_Matches_All[[#This Row],[Match_Number]],Dyno_Data[RecordType],"Activities", Dyno_Data[AcqCenter],3,Dyno_Data[Mode],"Auto")</f>
        <v>0</v>
      </c>
      <c r="AV206">
        <f>SUMIFS(Dyno_Data[AcqDis], Dyno_Data[Team],TBA_Matches_All[[#This Row],[Team]],Dyno_Data[Match],TBA_Matches_All[[#This Row],[Match_Number]],Dyno_Data[RecordType],"Activities", Dyno_Data[AcqCenter],4,Dyno_Data[Mode],"Auto")</f>
        <v>0</v>
      </c>
      <c r="AW206">
        <f>SUMIFS(Dyno_Data[AcqDis], Dyno_Data[Team],TBA_Matches_All[[#This Row],[Team]],Dyno_Data[Match],TBA_Matches_All[[#This Row],[Match_Number]],Dyno_Data[RecordType],"Activities", Dyno_Data[AcqCenter],5,Dyno_Data[Mode],"Auto")</f>
        <v>0</v>
      </c>
      <c r="AX206">
        <f>SUMIFS(Dyno_Data[DelMiss], Dyno_Data[Team],TBA_Matches_All[[#This Row],[Team]],Dyno_Data[Match],TBA_Matches_All[[#This Row],[Match_Number]],Dyno_Data[RecordType],"Activities", Dyno_Data[DelDest],"Amp")</f>
        <v>0</v>
      </c>
      <c r="AY206" s="60">
        <f>IFERROR(SUM((TBA_Matches_All[[#This Row],[AampT]]+TBA_Matches_All[[#This Row],[TampT]])/(TBA_Matches_All[[#This Row],[AampT]]+TBA_Matches_All[[#This Row],[TampT]]+TBA_Matches_All[[#This Row],[ampM]])),0)</f>
        <v>0</v>
      </c>
      <c r="AZ206">
        <f>SUMIFS(Dyno_Data[DelMiss], Dyno_Data[Team],TBA_Matches_All[[#This Row],[Team]],Dyno_Data[Match],TBA_Matches_All[[#This Row],[Match_Number]],Dyno_Data[RecordType],"Activities", Dyno_Data[DelDest],"Spkr")</f>
        <v>2</v>
      </c>
      <c r="BA206" s="60">
        <f>IFERROR(SUM((TBA_Matches_All[[#This Row],[AspkrT]]+TBA_Matches_All[[#This Row],[TspkrT]])/(TBA_Matches_All[[#This Row],[AspkrT]]+TBA_Matches_All[[#This Row],[TspkrT]]+TBA_Matches_All[[#This Row],[spkrM]])),0)</f>
        <v>0.81818181818181823</v>
      </c>
      <c r="BB206">
        <f>SUMIFS(Dyno_Data[DelMiss], Dyno_Data[Team],TBA_Matches_All[[#This Row],[Team]],Dyno_Data[Match],TBA_Matches_All[[#This Row],[Match_Number]],Dyno_Data[RecordType],"Activities", Dyno_Data[DelDest],"Trap")</f>
        <v>0</v>
      </c>
      <c r="BC206" s="60">
        <f>IFERROR((TBA_Matches_All[[#This Row],[AtrapT]]+TBA_Matches_All[[#This Row],[TtrapT]])/(TBA_Matches_All[[#This Row],[AtrapT]]+TBA_Matches_All[[#This Row],[TtrapT]]+TBA_Matches_All[[#This Row],[trapM]]),0)</f>
        <v>0</v>
      </c>
      <c r="BD206">
        <f>COUNTIFS(Dyno_Data[Team],TBA_Matches_All[[#This Row],[Team]],Dyno_Data[Match],TBA_Matches_All[[#This Row],[Match_Number]],Dyno_Data[RecordType],"Activities",Dyno_Data[DelDest],"Neut", Dyno_Data[DelMiss],1)</f>
        <v>0</v>
      </c>
      <c r="BE206" s="60">
        <f>IFERROR(SUM((TBA_Matches_All[[#This Row],[NeutFlrT]])/(TBA_Matches_All[[#This Row],[NeutFlrT]]+TBA_Matches_All[[#This Row],[NZflM]])),0)</f>
        <v>0</v>
      </c>
      <c r="BF206">
        <f>COUNTIFS(Dyno_Data[Team],TBA_Matches_All[[#This Row],[Team]],Dyno_Data[Match],TBA_Matches_All[[#This Row],[Match_Number]],Dyno_Data[RecordType],"Activities",Dyno_Data[DelDest],"AllyW", Dyno_Data[DelMiss],1)</f>
        <v>0</v>
      </c>
      <c r="BG206" s="60">
        <f>IFERROR(SUM((TBA_Matches_All[[#This Row],[AllyWFlrT]])/(TBA_Matches_All[[#This Row],[AllyWFlrT]]+TBA_Matches_All[[#This Row],[AZflM]])),0)</f>
        <v>0</v>
      </c>
      <c r="BH206">
        <f>COUNTIFS(Dyno_Data[Team],TBA_Matches_All[[#This Row],[Team]],Dyno_Data[Match],TBA_Matches_All[[#This Row],[Match_Number]],Dyno_Data[RecordType],"Activities",Dyno_Data[DelOrig],"OppW", Dyno_Data[DelMiss],"0")</f>
        <v>0</v>
      </c>
      <c r="BI206">
        <f>COUNTIFS(Dyno_Data[Team],TBA_Matches_All[[#This Row],[Team]],Dyno_Data[Match],TBA_Matches_All[[#This Row],[Match_Number]],Dyno_Data[RecordType],"Activities",Dyno_Data[DelOrig],"OppW", Dyno_Data[DelMiss],"1")</f>
        <v>0</v>
      </c>
      <c r="BJ206" s="60">
        <f>IFERROR(SUM((TBA_Matches_All[[#This Row],[OZflrT]])/(TBA_Matches_All[[#This Row],[OZflrT]]+TBA_Matches_All[[#This Row],[OZflrM]])),0)</f>
        <v>0</v>
      </c>
      <c r="BK206">
        <f>COUNTIFS(Dyno_Data[Team],TBA_Matches_All[[#This Row],[Team]],Dyno_Data[Match],TBA_Matches_All[[#This Row],[Match_Number]],Dyno_Data[RecordType],"Activities",Dyno_Data[DelOrig],"Neut", Dyno_Data[DelMiss],"0")</f>
        <v>0</v>
      </c>
      <c r="BL206">
        <f>COUNTIFS(Dyno_Data[Team],TBA_Matches_All[[#This Row],[Team]],Dyno_Data[Match],TBA_Matches_All[[#This Row],[Match_Number]],Dyno_Data[RecordType],"Activities",Dyno_Data[DelOrig],"Neut", Dyno_Data[DelMiss],"1")</f>
        <v>0</v>
      </c>
      <c r="BM206" s="60">
        <f>IFERROR(SUM((TBA_Matches_All[[#This Row],[NZflrT]])/(TBA_Matches_All[[#This Row],[NZflrT]]+TBA_Matches_All[[#This Row],[NZflrM]])),0)</f>
        <v>0</v>
      </c>
      <c r="BN206">
        <f>COUNTIFS(Dyno_Data[Team],TBA_Matches_All[[#This Row],[Team]],Dyno_Data[Match],TBA_Matches_All[[#This Row],[Match_Number]],Dyno_Data[RecordType],"Activities",Dyno_Data[DelOrig],"AllyW", Dyno_Data[DelMiss],"0")</f>
        <v>6</v>
      </c>
      <c r="BO206">
        <f>COUNTIFS(Dyno_Data[Team],TBA_Matches_All[[#This Row],[Team]],Dyno_Data[Match],TBA_Matches_All[[#This Row],[Match_Number]],Dyno_Data[RecordType],"Activities",Dyno_Data[DelOrig],"AllyW", Dyno_Data[DelMiss],"1")</f>
        <v>2</v>
      </c>
      <c r="BP206" s="60">
        <f>IFERROR(SUM((TBA_Matches_All[[#This Row],[AZflrT]])/(TBA_Matches_All[[#This Row],[AZflrT]]+TBA_Matches_All[[#This Row],[AZflrM]])),0)</f>
        <v>0.75</v>
      </c>
      <c r="BQ206">
        <f>COUNTIFS(Dyno_Data[Team],TBA_Matches_All[[#This Row],[Team]],Dyno_Data[Match],TBA_Matches_All[[#This Row],[Match_Number]],Dyno_Data[RecordType],"Activities",Dyno_Data[DelOrig],"SubW", Dyno_Data[DelMiss],"0")</f>
        <v>3</v>
      </c>
      <c r="BR206">
        <f>COUNTIFS(Dyno_Data[Team],TBA_Matches_All[[#This Row],[Team]],Dyno_Data[Match],TBA_Matches_All[[#This Row],[Match_Number]],Dyno_Data[RecordType],"Activities",Dyno_Data[DelOrig],"SubW", Dyno_Data[DelMiss],"1")</f>
        <v>0</v>
      </c>
      <c r="BS206" s="60">
        <f>IFERROR(SUM((TBA_Matches_All[[#This Row],[SubwT]])/(TBA_Matches_All[[#This Row],[SubwT]]+TBA_Matches_All[[#This Row],[SubwM]])),0)</f>
        <v>1</v>
      </c>
      <c r="BT206">
        <f>COUNTIFS(Dyno_Data[Team],TBA_Matches_All[[#This Row],[Team]],Dyno_Data[Match],TBA_Matches_All[[#This Row],[Match_Number]],Dyno_Data[RecordType],"Activities", Dyno_Data[AcqLoc],"OppWing")</f>
        <v>0</v>
      </c>
      <c r="BU206">
        <f>COUNTIFS(Dyno_Data[Team],TBA_Matches_All[[#This Row],[Team]],Dyno_Data[Match],TBA_Matches_All[[#This Row],[Match_Number]],Dyno_Data[RecordType],"Activities", Dyno_Data[AcqLoc],"Neutral")</f>
        <v>0</v>
      </c>
      <c r="BV206">
        <f>COUNTIFS(Dyno_Data[Team],TBA_Matches_All[[#This Row],[Team]],Dyno_Data[Match],TBA_Matches_All[[#This Row],[Match_Number]],Dyno_Data[RecordType],"Activities", Dyno_Data[AcqLoc],"AllyWing")</f>
        <v>0</v>
      </c>
      <c r="BW206">
        <f>COUNTIFS(Dyno_Data[Team],TBA_Matches_All[[#This Row],[Team]],Dyno_Data[Match],TBA_Matches_All[[#This Row],[Match_Number]],Dyno_Data[RecordType],"Activities", Dyno_Data[AcqLoc],"Source")</f>
        <v>0</v>
      </c>
      <c r="BX206">
        <f>SUMIFS(Dyno_Data[AcqDrp], Dyno_Data[Team],TBA_Matches_All[[#This Row],[Team]],Dyno_Data[Match],TBA_Matches_All[[#This Row],[Match_Number]],Dyno_Data[RecordType],"Activities", Dyno_Data[AcqLoc],"Source")</f>
        <v>0</v>
      </c>
      <c r="BY206">
        <f>SUMIFS(Dyno_Data[OZTime], Dyno_Data[Team],TBA_Matches_All[[#This Row],[Team]],Dyno_Data[Match],TBA_Matches_All[[#This Row],[Match_Number]],Dyno_Data[RecordType],"EndMatch")</f>
        <v>7.4042538999999996</v>
      </c>
      <c r="BZ206">
        <f>SUMIFS(Dyno_Data[NZTime], Dyno_Data[Team],TBA_Matches_All[[#This Row],[Team]],Dyno_Data[Match],TBA_Matches_All[[#This Row],[Match_Number]],Dyno_Data[RecordType],"EndMatch")</f>
        <v>9.900751099999999</v>
      </c>
      <c r="CA206">
        <f>SUMIFS(Dyno_Data[AZTime], Dyno_Data[Team],TBA_Matches_All[[#This Row],[Team]],Dyno_Data[Match],TBA_Matches_All[[#This Row],[Match_Number]],Dyno_Data[RecordType],"EndMatch")</f>
        <v>117.6475523</v>
      </c>
      <c r="CB206">
        <f>SUMIFS(Dyno_Data[ClimbT], Dyno_Data[Team],TBA_Matches_All[[#This Row],[Team]],Dyno_Data[Match],TBA_Matches_All[[#This Row],[Match_Number]],Dyno_Data[RecordType],"EndMatch")</f>
        <v>0</v>
      </c>
      <c r="CC206" t="str">
        <f>_xlfn.XLOOKUP(SUM(MID(TBA_Matches_All[[#This Row],[Team]],4,5),(TBA_Matches_All[[#This Row],[Match_Number]]/100)),Dyno_EndMatch[teammat],Dyno_EndMatch[StageStat],"_",0,1)</f>
        <v>Else</v>
      </c>
      <c r="CD206" t="str">
        <f>_xlfn.XLOOKUP(TBA_Matches_All[[#This Row],[teammat]],Dyno_EndMatch[teammat],Dyno_EndMatch[StageAtt],"_",0,1)</f>
        <v>0</v>
      </c>
      <c r="CE206" t="str">
        <f>_xlfn.XLOOKUP(TBA_Matches_All[[#This Row],[teammat]],Dyno_EndMatch[teammat],Dyno_EndMatch[StageLoc],"_",0,1)</f>
        <v>A</v>
      </c>
      <c r="CF206">
        <f>SUMIFS(Dyno_Data[Harmony], Dyno_Data[Team],TBA_Matches_All[[#This Row],[Team]],Dyno_Data[Match],TBA_Matches_All[[#This Row],[Match_Number]],Dyno_Data[RecordType],"EndMatch", Dyno_Data[StageStat],"On",Dyno_Data[Harmony],"&lt;&gt;9")</f>
        <v>0</v>
      </c>
      <c r="CG206">
        <f>SUMIFS(Dyno_Data[Spotlit], Dyno_Data[Team],TBA_Matches_All[[#This Row],[Team]],Dyno_Data[Match],TBA_Matches_All[[#This Row],[Match_Number]],Dyno_Data[RecordType],"EndMatch", Dyno_Data[StageStat],"On",Dyno_Data[Spotlit],"&lt;&gt;9")</f>
        <v>0</v>
      </c>
      <c r="CH206" t="str">
        <f>_xlfn.XLOOKUP(TBA_Matches_All[[#This Row],[teammat]],Dyno_EndMatch[teammat],Dyno_EndMatch[Strategy],"_",0,1)</f>
        <v>Shooter</v>
      </c>
      <c r="CI206">
        <f>SUMIFS(Dyno_Data[Defense], Dyno_Data[Team],TBA_Matches_All[[#This Row],[Team]],Dyno_Data[Match],TBA_Matches_All[[#This Row],[Match_Number]],Dyno_Data[RecordType],"EndMatch",Dyno_Data[Defense],"&lt;&gt;9")</f>
        <v>0</v>
      </c>
      <c r="CJ206">
        <f>SUMIFS(Dyno_Data[Avoidance], Dyno_Data[Team],TBA_Matches_All[[#This Row],[Team]],Dyno_Data[Match],TBA_Matches_All[[#This Row],[Match_Number]],Dyno_Data[RecordType],"EndMatch",Dyno_Data[Avoidance],"&lt;&gt;9")</f>
        <v>0</v>
      </c>
      <c r="CK206" s="82">
        <f>COUNTIF($H$2:TBA_Matches_All[[#This Row],[Team]],TBA_Matches_All[[#This Row],[Team]])</f>
        <v>4</v>
      </c>
      <c r="CL206" s="111">
        <f>SUM(MID(TBA_Matches_All[[#This Row],[Team]],4,5)+TBA_Matches_All[[#This Row],[Match_Number]]/100)</f>
        <v>3419.34</v>
      </c>
      <c r="CM206">
        <f>SUM((TBA_Matches_All[[#This Row],[Leave]]*2)+(TBA_Matches_All[[#This Row],[AampT]]*2)+(TBA_Matches_All[[#This Row],[AspkrT]]*5)+(TBA_Matches_All[[#This Row],[AtrapT]]*5))</f>
        <v>17</v>
      </c>
      <c r="CN206" s="59">
        <f>IFERROR(SUM(TBA_Matches_All[[#This Row],[AptsT]]/TBA_Matches_All[[#This Row],[AutoPts]]),0)</f>
        <v>0.89473684210526316</v>
      </c>
      <c r="CO206" s="59">
        <f>IFERROR(SUM(TBA_Matches_All[[#This Row],[AampT]]+TBA_Matches_All[[#This Row],[AspkrT]]+TBA_Matches_All[[#This Row],[AtrapT]]/TBA_Matches_All[[#This Row],[Aamp]]+TBA_Matches_All[[#This Row],[Aspkr]]+TBA_Matches_All[[#This Row],[AtrapT]]),0)</f>
        <v>0</v>
      </c>
      <c r="CP206" s="59">
        <f>IFERROR(SUM(TBA_Matches_All[[#This Row],[TampT]]/TBA_Matches_All[[#This Row],[Tamp]]),0)</f>
        <v>0</v>
      </c>
      <c r="CQ206" s="59">
        <f>IFERROR(SUM(TBA_Matches_All[[#This Row],[TspkrT]]/TBA_Matches_All[[#This Row],[Tspkr]]),0)</f>
        <v>0.8571428571428571</v>
      </c>
      <c r="CR206">
        <f>SUM(TBA_Matches_All[[#This Row],[TspkrPts]]*TBA_Matches_All[[#This Row],[TspkrP]])</f>
        <v>12</v>
      </c>
      <c r="CS206" s="59">
        <f>IFERROR(SUM(TBA_Matches_All[[#This Row],[TtrapT]]/TBA_Matches_All[[#This Row],[Trap]]),0)</f>
        <v>0</v>
      </c>
      <c r="CT206" s="59">
        <f>IFERROR(SUM(TBA_Matches_All[[#This Row],[TotNotesT]]/TBA_Matches_All[[#This Row],[TotNotes]]),0)</f>
        <v>0.9</v>
      </c>
      <c r="CU206" s="66">
        <f>SUM((TBA_Matches_All[[#This Row],[AampT]]*2)+(TBA_Matches_All[[#This Row],[AspkrT]]*5)+(TBA_Matches_All[[#This Row],[AtrapT]]*5)+(TBA_Matches_All[[#This Row],[TampT]]*1)+(TBA_Matches_All[[#This Row],[TspkrptsC]]))</f>
        <v>27</v>
      </c>
      <c r="CV206" s="59">
        <f>IFERROR(TBA_Matches_All[[#This Row],[noteptsT]]/TBA_Matches_All[[#This Row],[NotePts]],0)</f>
        <v>0.93103448275862066</v>
      </c>
      <c r="CW206">
        <f>SUM(IF(TBA_Matches_All[[#This Row],[stageStat]]="On",3,0),IF(TBA_Matches_All[[#This Row],[stageStat]]="Park",1,0),SUMIFS(TBA_Matches_All[[#This Row],[Spotlit]],TBA_Matches_All[[#This Row],[stageStat]],"On"),SUMIFS(TBA_Matches_All[[#This Row],[Harmony]],TBA_Matches_All[[#This Row],[stageStat]],"On"))</f>
        <v>0</v>
      </c>
      <c r="CX206" s="59">
        <f>IFERROR(TBA_Matches_All[[#This Row],[stageptsT]]/TBA_Matches_All[[#This Row],[StagePts]],0)</f>
        <v>0</v>
      </c>
      <c r="CY206">
        <f>SUM((TBA_Matches_All[[#This Row],[AptsT]]+TBA_Matches_All[[#This Row],[TampT]]+TBA_Matches_All[[#This Row],[TspkrptsC]]+(TBA_Matches_All[[#This Row],[TtrapT]]*5)+TBA_Matches_All[[#This Row],[stageptsT]]))</f>
        <v>29</v>
      </c>
      <c r="CZ206" s="59">
        <f>IFERROR(SUM(TBA_Matches_All[[#This Row],[TotptsC]]/TBA_Matches_All[[#This Row],[Score]]),0)</f>
        <v>0.69047619047619047</v>
      </c>
      <c r="DA20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15.880681818181818</v>
      </c>
      <c r="DB206" s="74">
        <f>SUMIFS(TBA_Matches_All[AveTeamTNoteDels],TBA_Matches_All[Match_Number],TBA_Matches_All[[#This Row],[Match_Number]],TBA_Matches_All[Alliance],"&lt;&gt;"&amp;TBA_Matches_All[[#This Row],[Alliance]],TBA_Matches_All[Scouted],"&gt;0")</f>
        <v>13.239999999999998</v>
      </c>
      <c r="DC206" s="74">
        <f>(TBA_Matches_All[[#This Row],[TampT]]+TBA_Matches_All[[#This Row],[TspkrptsC]])-TBA_Matches_All[[#This Row],[AveTeamTNoteDels]]</f>
        <v>-3.8806818181818183</v>
      </c>
      <c r="DD206" s="74">
        <f>SUMIFS(TBA_Matches_All[AveTeamTNoteDels],TBA_Matches_All[Match_Number],TBA_Matches_All[[#This Row],[Match_Number]],TBA_Matches_All[Alliance],"&lt;&gt;"&amp;TBA_Matches_All[[#This Row],[Alliance]])-TBA_Matches_All[[#This Row],[AveOppTNoteDels]]</f>
        <v>0</v>
      </c>
    </row>
    <row r="207" spans="1:108" x14ac:dyDescent="0.3">
      <c r="A207" t="s">
        <v>1042</v>
      </c>
      <c r="B207" t="s">
        <v>489</v>
      </c>
      <c r="C207" t="s">
        <v>1344</v>
      </c>
      <c r="D207">
        <v>35</v>
      </c>
      <c r="E207" t="s">
        <v>1420</v>
      </c>
      <c r="F207" t="s">
        <v>1421</v>
      </c>
      <c r="G207" t="s">
        <v>164</v>
      </c>
      <c r="H207" t="s">
        <v>1279</v>
      </c>
      <c r="I207" t="b">
        <v>1</v>
      </c>
      <c r="J207">
        <v>42</v>
      </c>
      <c r="K207">
        <v>1</v>
      </c>
      <c r="L207">
        <v>0</v>
      </c>
      <c r="M207">
        <v>0</v>
      </c>
      <c r="N207">
        <v>0</v>
      </c>
      <c r="O207">
        <v>1</v>
      </c>
      <c r="P207">
        <v>5</v>
      </c>
      <c r="Q207">
        <v>9</v>
      </c>
      <c r="R207">
        <v>5</v>
      </c>
      <c r="S207">
        <v>3</v>
      </c>
      <c r="T207">
        <v>6</v>
      </c>
      <c r="U207">
        <v>15</v>
      </c>
      <c r="V207">
        <v>12</v>
      </c>
      <c r="W207">
        <v>9</v>
      </c>
      <c r="X207">
        <v>27</v>
      </c>
      <c r="Y207">
        <v>32</v>
      </c>
      <c r="Z207">
        <v>0</v>
      </c>
      <c r="AA207">
        <v>0</v>
      </c>
      <c r="AB207">
        <v>15</v>
      </c>
      <c r="AC207">
        <v>37</v>
      </c>
      <c r="AD207">
        <v>1</v>
      </c>
      <c r="AE207">
        <f>IFERROR(6/(COUNTIF(Dyno_EndMatch[Match],TBA_Matches_All[[#This Row],[Match_Number]])),0)</f>
        <v>1</v>
      </c>
      <c r="AF207">
        <f>COUNTIFS(Dyno_Data[Team],TBA_Matches_All[[#This Row],[Team]],Dyno_Data[Match],TBA_Matches_All[[#This Row],[Match_Number]],Dyno_Data[RecordType],"EndMatch",Dyno_Data[HPAmp],"Y")</f>
        <v>1</v>
      </c>
      <c r="AG207">
        <f>SUMIFS(Dyno_Data[Mics], Dyno_Data[Team],TBA_Matches_All[[#This Row],[Team]],Dyno_Data[Match],TBA_Matches_All[[#This Row],[Match_Number]],Dyno_Data[RecordType],"EndMatch",Dyno_Data[HPAmp],"Y")</f>
        <v>0</v>
      </c>
      <c r="AH207">
        <f>SUMIFS(Dyno_Data[Leave], Dyno_Data[Team],TBA_Matches_All[[#This Row],[Team]],Dyno_Data[Match],TBA_Matches_All[[#This Row],[Match_Number]],Dyno_Data[RecordType],"EndAuto")</f>
        <v>0</v>
      </c>
      <c r="AI207">
        <f>COUNTIFS(Dyno_Data[Team],TBA_Matches_All[[#This Row],[Team]],Dyno_Data[Match],TBA_Matches_All[[#This Row],[Match_Number]],Dyno_Data[RecordType],"Activities",Dyno_Data[DelDest],"Amp", Dyno_Data[DelMiss],"0", Dyno_Data[Mode],"Auto")</f>
        <v>0</v>
      </c>
      <c r="AJ207">
        <f>COUNTIFS(Dyno_Data[Team],TBA_Matches_All[[#This Row],[Team]],Dyno_Data[Match],TBA_Matches_All[[#This Row],[Match_Number]],Dyno_Data[RecordType],"Activities",Dyno_Data[DelDest],"Spkr", Dyno_Data[DelMiss],"0", Dyno_Data[Mode],"Auto")</f>
        <v>0</v>
      </c>
      <c r="AK207">
        <f>COUNTIFS(Dyno_Data[Team],TBA_Matches_All[[#This Row],[Team]],Dyno_Data[Match],TBA_Matches_All[[#This Row],[Match_Number]],Dyno_Data[RecordType],"Activities",Dyno_Data[DelDest],"Trap", Dyno_Data[DelMiss],"0", Dyno_Data[Mode],"Auto")</f>
        <v>0</v>
      </c>
      <c r="AL207">
        <f>COUNTIFS(Dyno_Data[Team],TBA_Matches_All[[#This Row],[Team]],Dyno_Data[Match],TBA_Matches_All[[#This Row],[Match_Number]],Dyno_Data[RecordType],"Activities",Dyno_Data[DelDest],"Amp", Dyno_Data[DelMiss],"0", Dyno_Data[Mode],"Teleop")</f>
        <v>0</v>
      </c>
      <c r="AM207">
        <f>COUNTIFS(Dyno_Data[Team],TBA_Matches_All[[#This Row],[Team]],Dyno_Data[Match],TBA_Matches_All[[#This Row],[Match_Number]],Dyno_Data[RecordType],"Activities",Dyno_Data[DelDest],"Spkr", Dyno_Data[DelMiss],"0", Dyno_Data[Mode],"Teleop")</f>
        <v>0</v>
      </c>
      <c r="AN207">
        <f>COUNTIFS(Dyno_Data[Team],TBA_Matches_All[[#This Row],[Team]],Dyno_Data[Match],TBA_Matches_All[[#This Row],[Match_Number]],Dyno_Data[RecordType],"Activities",Dyno_Data[DelDest],"Trap", Dyno_Data[DelMiss],"0", Dyno_Data[Mode],"&lt;&gt;Auto")</f>
        <v>0</v>
      </c>
      <c r="AO207">
        <f>SUM(TBA_Matches_All[[#This Row],[AampT]]+TBA_Matches_All[[#This Row],[AspkrT]]+TBA_Matches_All[[#This Row],[AtrapT]]+TBA_Matches_All[[#This Row],[TampT]]+TBA_Matches_All[[#This Row],[TspkrT]]+TBA_Matches_All[[#This Row],[TtrapT]])</f>
        <v>0</v>
      </c>
      <c r="AP207">
        <f>COUNTIFS(Dyno_Data[Team],TBA_Matches_All[[#This Row],[Team]],Dyno_Data[Match],TBA_Matches_All[[#This Row],[Match_Number]],Dyno_Data[RecordType],"Activities",Dyno_Data[DelDest],"Neut", Dyno_Data[DelMiss],"0")</f>
        <v>0</v>
      </c>
      <c r="AQ207">
        <f>COUNTIFS(Dyno_Data[Team],TBA_Matches_All[[#This Row],[Team]],Dyno_Data[Match],TBA_Matches_All[[#This Row],[Match_Number]],Dyno_Data[RecordType],"Activities",Dyno_Data[DelDest],"AllyW", Dyno_Data[DelMiss],"0")</f>
        <v>0</v>
      </c>
      <c r="AR207" t="str">
        <f>_xlfn.XLOOKUP(SUM(MID(TBA_Matches_All[[#This Row],[Team]],4,5),(TBA_Matches_All[[#This Row],[Match_Number]]/100)),Dyno_EndMatch[teammat],Dyno_EndMatch[RobotSta],"_",0,1)</f>
        <v>OppS</v>
      </c>
      <c r="AS207">
        <f>SUMIFS(Dyno_Data[AcqDis], Dyno_Data[Team],TBA_Matches_All[[#This Row],[Team]],Dyno_Data[Match],TBA_Matches_All[[#This Row],[Match_Number]],Dyno_Data[RecordType],"Activities", Dyno_Data[AcqCenter],1,Dyno_Data[Mode],"Auto")</f>
        <v>0</v>
      </c>
      <c r="AT207">
        <f>SUMIFS(Dyno_Data[AcqDis], Dyno_Data[Team],TBA_Matches_All[[#This Row],[Team]],Dyno_Data[Match],TBA_Matches_All[[#This Row],[Match_Number]],Dyno_Data[RecordType],"Activities", Dyno_Data[AcqCenter],2,Dyno_Data[Mode],"Auto")</f>
        <v>0</v>
      </c>
      <c r="AU207">
        <f>SUMIFS(Dyno_Data[AcqDis], Dyno_Data[Team],TBA_Matches_All[[#This Row],[Team]],Dyno_Data[Match],TBA_Matches_All[[#This Row],[Match_Number]],Dyno_Data[RecordType],"Activities", Dyno_Data[AcqCenter],3,Dyno_Data[Mode],"Auto")</f>
        <v>0</v>
      </c>
      <c r="AV207">
        <f>SUMIFS(Dyno_Data[AcqDis], Dyno_Data[Team],TBA_Matches_All[[#This Row],[Team]],Dyno_Data[Match],TBA_Matches_All[[#This Row],[Match_Number]],Dyno_Data[RecordType],"Activities", Dyno_Data[AcqCenter],4,Dyno_Data[Mode],"Auto")</f>
        <v>0</v>
      </c>
      <c r="AW207">
        <f>SUMIFS(Dyno_Data[AcqDis], Dyno_Data[Team],TBA_Matches_All[[#This Row],[Team]],Dyno_Data[Match],TBA_Matches_All[[#This Row],[Match_Number]],Dyno_Data[RecordType],"Activities", Dyno_Data[AcqCenter],5,Dyno_Data[Mode],"Auto")</f>
        <v>0</v>
      </c>
      <c r="AX207">
        <f>SUMIFS(Dyno_Data[DelMiss], Dyno_Data[Team],TBA_Matches_All[[#This Row],[Team]],Dyno_Data[Match],TBA_Matches_All[[#This Row],[Match_Number]],Dyno_Data[RecordType],"Activities", Dyno_Data[DelDest],"Amp")</f>
        <v>0</v>
      </c>
      <c r="AY207" s="60">
        <f>IFERROR(SUM((TBA_Matches_All[[#This Row],[AampT]]+TBA_Matches_All[[#This Row],[TampT]])/(TBA_Matches_All[[#This Row],[AampT]]+TBA_Matches_All[[#This Row],[TampT]]+TBA_Matches_All[[#This Row],[ampM]])),0)</f>
        <v>0</v>
      </c>
      <c r="AZ207">
        <f>SUMIFS(Dyno_Data[DelMiss], Dyno_Data[Team],TBA_Matches_All[[#This Row],[Team]],Dyno_Data[Match],TBA_Matches_All[[#This Row],[Match_Number]],Dyno_Data[RecordType],"Activities", Dyno_Data[DelDest],"Spkr")</f>
        <v>0</v>
      </c>
      <c r="BA207" s="60">
        <f>IFERROR(SUM((TBA_Matches_All[[#This Row],[AspkrT]]+TBA_Matches_All[[#This Row],[TspkrT]])/(TBA_Matches_All[[#This Row],[AspkrT]]+TBA_Matches_All[[#This Row],[TspkrT]]+TBA_Matches_All[[#This Row],[spkrM]])),0)</f>
        <v>0</v>
      </c>
      <c r="BB207">
        <f>SUMIFS(Dyno_Data[DelMiss], Dyno_Data[Team],TBA_Matches_All[[#This Row],[Team]],Dyno_Data[Match],TBA_Matches_All[[#This Row],[Match_Number]],Dyno_Data[RecordType],"Activities", Dyno_Data[DelDest],"Trap")</f>
        <v>0</v>
      </c>
      <c r="BC207" s="60">
        <f>IFERROR((TBA_Matches_All[[#This Row],[AtrapT]]+TBA_Matches_All[[#This Row],[TtrapT]])/(TBA_Matches_All[[#This Row],[AtrapT]]+TBA_Matches_All[[#This Row],[TtrapT]]+TBA_Matches_All[[#This Row],[trapM]]),0)</f>
        <v>0</v>
      </c>
      <c r="BD207">
        <f>COUNTIFS(Dyno_Data[Team],TBA_Matches_All[[#This Row],[Team]],Dyno_Data[Match],TBA_Matches_All[[#This Row],[Match_Number]],Dyno_Data[RecordType],"Activities",Dyno_Data[DelDest],"Neut", Dyno_Data[DelMiss],1)</f>
        <v>0</v>
      </c>
      <c r="BE207" s="60">
        <f>IFERROR(SUM((TBA_Matches_All[[#This Row],[NeutFlrT]])/(TBA_Matches_All[[#This Row],[NeutFlrT]]+TBA_Matches_All[[#This Row],[NZflM]])),0)</f>
        <v>0</v>
      </c>
      <c r="BF207">
        <f>COUNTIFS(Dyno_Data[Team],TBA_Matches_All[[#This Row],[Team]],Dyno_Data[Match],TBA_Matches_All[[#This Row],[Match_Number]],Dyno_Data[RecordType],"Activities",Dyno_Data[DelDest],"AllyW", Dyno_Data[DelMiss],1)</f>
        <v>0</v>
      </c>
      <c r="BG207" s="60">
        <f>IFERROR(SUM((TBA_Matches_All[[#This Row],[AllyWFlrT]])/(TBA_Matches_All[[#This Row],[AllyWFlrT]]+TBA_Matches_All[[#This Row],[AZflM]])),0)</f>
        <v>0</v>
      </c>
      <c r="BH207">
        <f>COUNTIFS(Dyno_Data[Team],TBA_Matches_All[[#This Row],[Team]],Dyno_Data[Match],TBA_Matches_All[[#This Row],[Match_Number]],Dyno_Data[RecordType],"Activities",Dyno_Data[DelOrig],"OppW", Dyno_Data[DelMiss],"0")</f>
        <v>0</v>
      </c>
      <c r="BI207">
        <f>COUNTIFS(Dyno_Data[Team],TBA_Matches_All[[#This Row],[Team]],Dyno_Data[Match],TBA_Matches_All[[#This Row],[Match_Number]],Dyno_Data[RecordType],"Activities",Dyno_Data[DelOrig],"OppW", Dyno_Data[DelMiss],"1")</f>
        <v>0</v>
      </c>
      <c r="BJ207" s="60">
        <f>IFERROR(SUM((TBA_Matches_All[[#This Row],[OZflrT]])/(TBA_Matches_All[[#This Row],[OZflrT]]+TBA_Matches_All[[#This Row],[OZflrM]])),0)</f>
        <v>0</v>
      </c>
      <c r="BK207">
        <f>COUNTIFS(Dyno_Data[Team],TBA_Matches_All[[#This Row],[Team]],Dyno_Data[Match],TBA_Matches_All[[#This Row],[Match_Number]],Dyno_Data[RecordType],"Activities",Dyno_Data[DelOrig],"Neut", Dyno_Data[DelMiss],"0")</f>
        <v>0</v>
      </c>
      <c r="BL207">
        <f>COUNTIFS(Dyno_Data[Team],TBA_Matches_All[[#This Row],[Team]],Dyno_Data[Match],TBA_Matches_All[[#This Row],[Match_Number]],Dyno_Data[RecordType],"Activities",Dyno_Data[DelOrig],"Neut", Dyno_Data[DelMiss],"1")</f>
        <v>0</v>
      </c>
      <c r="BM207" s="60">
        <f>IFERROR(SUM((TBA_Matches_All[[#This Row],[NZflrT]])/(TBA_Matches_All[[#This Row],[NZflrT]]+TBA_Matches_All[[#This Row],[NZflrM]])),0)</f>
        <v>0</v>
      </c>
      <c r="BN207">
        <f>COUNTIFS(Dyno_Data[Team],TBA_Matches_All[[#This Row],[Team]],Dyno_Data[Match],TBA_Matches_All[[#This Row],[Match_Number]],Dyno_Data[RecordType],"Activities",Dyno_Data[DelOrig],"AllyW", Dyno_Data[DelMiss],"0")</f>
        <v>0</v>
      </c>
      <c r="BO207">
        <f>COUNTIFS(Dyno_Data[Team],TBA_Matches_All[[#This Row],[Team]],Dyno_Data[Match],TBA_Matches_All[[#This Row],[Match_Number]],Dyno_Data[RecordType],"Activities",Dyno_Data[DelOrig],"AllyW", Dyno_Data[DelMiss],"1")</f>
        <v>0</v>
      </c>
      <c r="BP207" s="60">
        <f>IFERROR(SUM((TBA_Matches_All[[#This Row],[AZflrT]])/(TBA_Matches_All[[#This Row],[AZflrT]]+TBA_Matches_All[[#This Row],[AZflrM]])),0)</f>
        <v>0</v>
      </c>
      <c r="BQ207">
        <f>COUNTIFS(Dyno_Data[Team],TBA_Matches_All[[#This Row],[Team]],Dyno_Data[Match],TBA_Matches_All[[#This Row],[Match_Number]],Dyno_Data[RecordType],"Activities",Dyno_Data[DelOrig],"SubW", Dyno_Data[DelMiss],"0")</f>
        <v>0</v>
      </c>
      <c r="BR207">
        <f>COUNTIFS(Dyno_Data[Team],TBA_Matches_All[[#This Row],[Team]],Dyno_Data[Match],TBA_Matches_All[[#This Row],[Match_Number]],Dyno_Data[RecordType],"Activities",Dyno_Data[DelOrig],"SubW", Dyno_Data[DelMiss],"1")</f>
        <v>0</v>
      </c>
      <c r="BS207" s="60">
        <f>IFERROR(SUM((TBA_Matches_All[[#This Row],[SubwT]])/(TBA_Matches_All[[#This Row],[SubwT]]+TBA_Matches_All[[#This Row],[SubwM]])),0)</f>
        <v>0</v>
      </c>
      <c r="BT207">
        <f>COUNTIFS(Dyno_Data[Team],TBA_Matches_All[[#This Row],[Team]],Dyno_Data[Match],TBA_Matches_All[[#This Row],[Match_Number]],Dyno_Data[RecordType],"Activities", Dyno_Data[AcqLoc],"OppWing")</f>
        <v>0</v>
      </c>
      <c r="BU207">
        <f>COUNTIFS(Dyno_Data[Team],TBA_Matches_All[[#This Row],[Team]],Dyno_Data[Match],TBA_Matches_All[[#This Row],[Match_Number]],Dyno_Data[RecordType],"Activities", Dyno_Data[AcqLoc],"Neutral")</f>
        <v>0</v>
      </c>
      <c r="BV207">
        <f>COUNTIFS(Dyno_Data[Team],TBA_Matches_All[[#This Row],[Team]],Dyno_Data[Match],TBA_Matches_All[[#This Row],[Match_Number]],Dyno_Data[RecordType],"Activities", Dyno_Data[AcqLoc],"AllyWing")</f>
        <v>0</v>
      </c>
      <c r="BW207">
        <f>COUNTIFS(Dyno_Data[Team],TBA_Matches_All[[#This Row],[Team]],Dyno_Data[Match],TBA_Matches_All[[#This Row],[Match_Number]],Dyno_Data[RecordType],"Activities", Dyno_Data[AcqLoc],"Source")</f>
        <v>0</v>
      </c>
      <c r="BX207">
        <f>SUMIFS(Dyno_Data[AcqDrp], Dyno_Data[Team],TBA_Matches_All[[#This Row],[Team]],Dyno_Data[Match],TBA_Matches_All[[#This Row],[Match_Number]],Dyno_Data[RecordType],"Activities", Dyno_Data[AcqLoc],"Source")</f>
        <v>0</v>
      </c>
      <c r="BY207">
        <f>SUMIFS(Dyno_Data[OZTime], Dyno_Data[Team],TBA_Matches_All[[#This Row],[Team]],Dyno_Data[Match],TBA_Matches_All[[#This Row],[Match_Number]],Dyno_Data[RecordType],"EndMatch")</f>
        <v>0</v>
      </c>
      <c r="BZ207">
        <f>SUMIFS(Dyno_Data[NZTime], Dyno_Data[Team],TBA_Matches_All[[#This Row],[Team]],Dyno_Data[Match],TBA_Matches_All[[#This Row],[Match_Number]],Dyno_Data[RecordType],"EndMatch")</f>
        <v>22.436211699999998</v>
      </c>
      <c r="CA207">
        <f>SUMIFS(Dyno_Data[AZTime], Dyno_Data[Team],TBA_Matches_All[[#This Row],[Team]],Dyno_Data[Match],TBA_Matches_All[[#This Row],[Match_Number]],Dyno_Data[RecordType],"EndMatch")</f>
        <v>113.63313289999999</v>
      </c>
      <c r="CB207">
        <f>SUMIFS(Dyno_Data[ClimbT], Dyno_Data[Team],TBA_Matches_All[[#This Row],[Team]],Dyno_Data[Match],TBA_Matches_All[[#This Row],[Match_Number]],Dyno_Data[RecordType],"EndMatch")</f>
        <v>0</v>
      </c>
      <c r="CC207" t="str">
        <f>_xlfn.XLOOKUP(SUM(MID(TBA_Matches_All[[#This Row],[Team]],4,5),(TBA_Matches_All[[#This Row],[Match_Number]]/100)),Dyno_EndMatch[teammat],Dyno_EndMatch[StageStat],"_",0,1)</f>
        <v>Else</v>
      </c>
      <c r="CD207" t="str">
        <f>_xlfn.XLOOKUP(TBA_Matches_All[[#This Row],[teammat]],Dyno_EndMatch[teammat],Dyno_EndMatch[StageAtt],"_",0,1)</f>
        <v>0</v>
      </c>
      <c r="CE207" t="str">
        <f>_xlfn.XLOOKUP(TBA_Matches_All[[#This Row],[teammat]],Dyno_EndMatch[teammat],Dyno_EndMatch[StageLoc],"_",0,1)</f>
        <v>A</v>
      </c>
      <c r="CF207">
        <f>SUMIFS(Dyno_Data[Harmony], Dyno_Data[Team],TBA_Matches_All[[#This Row],[Team]],Dyno_Data[Match],TBA_Matches_All[[#This Row],[Match_Number]],Dyno_Data[RecordType],"EndMatch", Dyno_Data[StageStat],"On",Dyno_Data[Harmony],"&lt;&gt;9")</f>
        <v>0</v>
      </c>
      <c r="CG207">
        <f>SUMIFS(Dyno_Data[Spotlit], Dyno_Data[Team],TBA_Matches_All[[#This Row],[Team]],Dyno_Data[Match],TBA_Matches_All[[#This Row],[Match_Number]],Dyno_Data[RecordType],"EndMatch", Dyno_Data[StageStat],"On",Dyno_Data[Spotlit],"&lt;&gt;9")</f>
        <v>0</v>
      </c>
      <c r="CH207" t="str">
        <f>_xlfn.XLOOKUP(TBA_Matches_All[[#This Row],[teammat]],Dyno_EndMatch[teammat],Dyno_EndMatch[Strategy],"_",0,1)</f>
        <v>None</v>
      </c>
      <c r="CI207">
        <f>SUMIFS(Dyno_Data[Defense], Dyno_Data[Team],TBA_Matches_All[[#This Row],[Team]],Dyno_Data[Match],TBA_Matches_All[[#This Row],[Match_Number]],Dyno_Data[RecordType],"EndMatch",Dyno_Data[Defense],"&lt;&gt;9")</f>
        <v>0</v>
      </c>
      <c r="CJ207">
        <f>SUMIFS(Dyno_Data[Avoidance], Dyno_Data[Team],TBA_Matches_All[[#This Row],[Team]],Dyno_Data[Match],TBA_Matches_All[[#This Row],[Match_Number]],Dyno_Data[RecordType],"EndMatch",Dyno_Data[Avoidance],"&lt;&gt;9")</f>
        <v>0</v>
      </c>
      <c r="CK207" s="82">
        <f>COUNTIF($H$2:TBA_Matches_All[[#This Row],[Team]],TBA_Matches_All[[#This Row],[Team]])</f>
        <v>5</v>
      </c>
      <c r="CL207" s="111">
        <f>SUM(MID(TBA_Matches_All[[#This Row],[Team]],4,5)+TBA_Matches_All[[#This Row],[Match_Number]]/100)</f>
        <v>5149.3500000000004</v>
      </c>
      <c r="CM207">
        <f>SUM((TBA_Matches_All[[#This Row],[Leave]]*2)+(TBA_Matches_All[[#This Row],[AampT]]*2)+(TBA_Matches_All[[#This Row],[AspkrT]]*5)+(TBA_Matches_All[[#This Row],[AtrapT]]*5))</f>
        <v>0</v>
      </c>
      <c r="CN207" s="59">
        <f>IFERROR(SUM(TBA_Matches_All[[#This Row],[AptsT]]/TBA_Matches_All[[#This Row],[AutoPts]]),0)</f>
        <v>0</v>
      </c>
      <c r="CO207" s="59">
        <f>IFERROR(SUM(TBA_Matches_All[[#This Row],[AampT]]+TBA_Matches_All[[#This Row],[AspkrT]]+TBA_Matches_All[[#This Row],[AtrapT]]/TBA_Matches_All[[#This Row],[Aamp]]+TBA_Matches_All[[#This Row],[Aspkr]]+TBA_Matches_All[[#This Row],[AtrapT]]),0)</f>
        <v>0</v>
      </c>
      <c r="CP207" s="59">
        <f>IFERROR(SUM(TBA_Matches_All[[#This Row],[TampT]]/TBA_Matches_All[[#This Row],[Tamp]]),0)</f>
        <v>0</v>
      </c>
      <c r="CQ207" s="59">
        <f>IFERROR(SUM(TBA_Matches_All[[#This Row],[TspkrT]]/TBA_Matches_All[[#This Row],[Tspkr]]),0)</f>
        <v>0</v>
      </c>
      <c r="CR207">
        <f>SUM(TBA_Matches_All[[#This Row],[TspkrPts]]*TBA_Matches_All[[#This Row],[TspkrP]])</f>
        <v>0</v>
      </c>
      <c r="CS207" s="59">
        <f>IFERROR(SUM(TBA_Matches_All[[#This Row],[TtrapT]]/TBA_Matches_All[[#This Row],[Trap]]),0)</f>
        <v>0</v>
      </c>
      <c r="CT207" s="59">
        <f>IFERROR(SUM(TBA_Matches_All[[#This Row],[TotNotesT]]/TBA_Matches_All[[#This Row],[TotNotes]]),0)</f>
        <v>0</v>
      </c>
      <c r="CU207" s="66">
        <f>SUM((TBA_Matches_All[[#This Row],[AampT]]*2)+(TBA_Matches_All[[#This Row],[AspkrT]]*5)+(TBA_Matches_All[[#This Row],[AtrapT]]*5)+(TBA_Matches_All[[#This Row],[TampT]]*1)+(TBA_Matches_All[[#This Row],[TspkrptsC]]))</f>
        <v>0</v>
      </c>
      <c r="CV207" s="59">
        <f>IFERROR(TBA_Matches_All[[#This Row],[noteptsT]]/TBA_Matches_All[[#This Row],[NotePts]],0)</f>
        <v>0</v>
      </c>
      <c r="CW207">
        <f>SUM(IF(TBA_Matches_All[[#This Row],[stageStat]]="On",3,0),IF(TBA_Matches_All[[#This Row],[stageStat]]="Park",1,0),SUMIFS(TBA_Matches_All[[#This Row],[Spotlit]],TBA_Matches_All[[#This Row],[stageStat]],"On"),SUMIFS(TBA_Matches_All[[#This Row],[Harmony]],TBA_Matches_All[[#This Row],[stageStat]],"On"))</f>
        <v>0</v>
      </c>
      <c r="CX207" s="59">
        <f>IFERROR(TBA_Matches_All[[#This Row],[stageptsT]]/TBA_Matches_All[[#This Row],[StagePts]],0)</f>
        <v>0</v>
      </c>
      <c r="CY207">
        <f>SUM((TBA_Matches_All[[#This Row],[AptsT]]+TBA_Matches_All[[#This Row],[TampT]]+TBA_Matches_All[[#This Row],[TspkrptsC]]+(TBA_Matches_All[[#This Row],[TtrapT]]*5)+TBA_Matches_All[[#This Row],[stageptsT]]))</f>
        <v>0</v>
      </c>
      <c r="CZ207" s="59">
        <f>IFERROR(SUM(TBA_Matches_All[[#This Row],[TotptsC]]/TBA_Matches_All[[#This Row],[Score]]),0)</f>
        <v>0</v>
      </c>
      <c r="DA20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07" s="74">
        <f>SUMIFS(TBA_Matches_All[AveTeamTNoteDels],TBA_Matches_All[Match_Number],TBA_Matches_All[[#This Row],[Match_Number]],TBA_Matches_All[Alliance],"&lt;&gt;"&amp;TBA_Matches_All[[#This Row],[Alliance]],TBA_Matches_All[Scouted],"&gt;0")</f>
        <v>31.43333333333333</v>
      </c>
      <c r="DC207" s="74">
        <f>(TBA_Matches_All[[#This Row],[TampT]]+TBA_Matches_All[[#This Row],[TspkrptsC]])-TBA_Matches_All[[#This Row],[AveTeamTNoteDels]]</f>
        <v>0</v>
      </c>
      <c r="DD207" s="74">
        <f>SUMIFS(TBA_Matches_All[AveTeamTNoteDels],TBA_Matches_All[Match_Number],TBA_Matches_All[[#This Row],[Match_Number]],TBA_Matches_All[Alliance],"&lt;&gt;"&amp;TBA_Matches_All[[#This Row],[Alliance]])-TBA_Matches_All[[#This Row],[AveOppTNoteDels]]</f>
        <v>0</v>
      </c>
    </row>
    <row r="208" spans="1:108" x14ac:dyDescent="0.3">
      <c r="A208" t="s">
        <v>1042</v>
      </c>
      <c r="B208" t="s">
        <v>489</v>
      </c>
      <c r="C208" t="s">
        <v>1344</v>
      </c>
      <c r="D208">
        <v>35</v>
      </c>
      <c r="E208" t="s">
        <v>1406</v>
      </c>
      <c r="F208" t="s">
        <v>1422</v>
      </c>
      <c r="G208" t="s">
        <v>105</v>
      </c>
      <c r="H208" t="s">
        <v>1297</v>
      </c>
      <c r="I208" t="b">
        <v>1</v>
      </c>
      <c r="J208">
        <v>52</v>
      </c>
      <c r="K208">
        <v>1</v>
      </c>
      <c r="L208">
        <v>0</v>
      </c>
      <c r="M208">
        <v>0</v>
      </c>
      <c r="N208">
        <v>0</v>
      </c>
      <c r="O208">
        <v>2</v>
      </c>
      <c r="P208">
        <v>10</v>
      </c>
      <c r="Q208">
        <v>12</v>
      </c>
      <c r="R208">
        <v>6</v>
      </c>
      <c r="S208">
        <v>3</v>
      </c>
      <c r="T208">
        <v>6</v>
      </c>
      <c r="U208">
        <v>15</v>
      </c>
      <c r="V208">
        <v>12</v>
      </c>
      <c r="W208">
        <v>9</v>
      </c>
      <c r="X208">
        <v>27</v>
      </c>
      <c r="Y208">
        <v>33</v>
      </c>
      <c r="Z208">
        <v>0</v>
      </c>
      <c r="AA208">
        <v>0</v>
      </c>
      <c r="AB208">
        <v>17</v>
      </c>
      <c r="AC208">
        <v>43</v>
      </c>
      <c r="AD208">
        <v>7</v>
      </c>
      <c r="AE208">
        <f>IFERROR(6/(COUNTIF(Dyno_EndMatch[Match],TBA_Matches_All[[#This Row],[Match_Number]])),0)</f>
        <v>1</v>
      </c>
      <c r="AF208">
        <f>COUNTIFS(Dyno_Data[Team],TBA_Matches_All[[#This Row],[Team]],Dyno_Data[Match],TBA_Matches_All[[#This Row],[Match_Number]],Dyno_Data[RecordType],"EndMatch",Dyno_Data[HPAmp],"Y")</f>
        <v>0</v>
      </c>
      <c r="AG208">
        <f>SUMIFS(Dyno_Data[Mics], Dyno_Data[Team],TBA_Matches_All[[#This Row],[Team]],Dyno_Data[Match],TBA_Matches_All[[#This Row],[Match_Number]],Dyno_Data[RecordType],"EndMatch",Dyno_Data[HPAmp],"Y")</f>
        <v>0</v>
      </c>
      <c r="AH208">
        <f>SUMIFS(Dyno_Data[Leave], Dyno_Data[Team],TBA_Matches_All[[#This Row],[Team]],Dyno_Data[Match],TBA_Matches_All[[#This Row],[Match_Number]],Dyno_Data[RecordType],"EndAuto")</f>
        <v>0</v>
      </c>
      <c r="AI208">
        <f>COUNTIFS(Dyno_Data[Team],TBA_Matches_All[[#This Row],[Team]],Dyno_Data[Match],TBA_Matches_All[[#This Row],[Match_Number]],Dyno_Data[RecordType],"Activities",Dyno_Data[DelDest],"Amp", Dyno_Data[DelMiss],"0", Dyno_Data[Mode],"Auto")</f>
        <v>0</v>
      </c>
      <c r="AJ208">
        <f>COUNTIFS(Dyno_Data[Team],TBA_Matches_All[[#This Row],[Team]],Dyno_Data[Match],TBA_Matches_All[[#This Row],[Match_Number]],Dyno_Data[RecordType],"Activities",Dyno_Data[DelDest],"Spkr", Dyno_Data[DelMiss],"0", Dyno_Data[Mode],"Auto")</f>
        <v>0</v>
      </c>
      <c r="AK208">
        <f>COUNTIFS(Dyno_Data[Team],TBA_Matches_All[[#This Row],[Team]],Dyno_Data[Match],TBA_Matches_All[[#This Row],[Match_Number]],Dyno_Data[RecordType],"Activities",Dyno_Data[DelDest],"Trap", Dyno_Data[DelMiss],"0", Dyno_Data[Mode],"Auto")</f>
        <v>0</v>
      </c>
      <c r="AL208">
        <f>COUNTIFS(Dyno_Data[Team],TBA_Matches_All[[#This Row],[Team]],Dyno_Data[Match],TBA_Matches_All[[#This Row],[Match_Number]],Dyno_Data[RecordType],"Activities",Dyno_Data[DelDest],"Amp", Dyno_Data[DelMiss],"0", Dyno_Data[Mode],"Teleop")</f>
        <v>6</v>
      </c>
      <c r="AM208">
        <f>COUNTIFS(Dyno_Data[Team],TBA_Matches_All[[#This Row],[Team]],Dyno_Data[Match],TBA_Matches_All[[#This Row],[Match_Number]],Dyno_Data[RecordType],"Activities",Dyno_Data[DelDest],"Spkr", Dyno_Data[DelMiss],"0", Dyno_Data[Mode],"Teleop")</f>
        <v>0</v>
      </c>
      <c r="AN208">
        <f>COUNTIFS(Dyno_Data[Team],TBA_Matches_All[[#This Row],[Team]],Dyno_Data[Match],TBA_Matches_All[[#This Row],[Match_Number]],Dyno_Data[RecordType],"Activities",Dyno_Data[DelDest],"Trap", Dyno_Data[DelMiss],"0", Dyno_Data[Mode],"&lt;&gt;Auto")</f>
        <v>0</v>
      </c>
      <c r="AO208">
        <f>SUM(TBA_Matches_All[[#This Row],[AampT]]+TBA_Matches_All[[#This Row],[AspkrT]]+TBA_Matches_All[[#This Row],[AtrapT]]+TBA_Matches_All[[#This Row],[TampT]]+TBA_Matches_All[[#This Row],[TspkrT]]+TBA_Matches_All[[#This Row],[TtrapT]])</f>
        <v>6</v>
      </c>
      <c r="AP208">
        <f>COUNTIFS(Dyno_Data[Team],TBA_Matches_All[[#This Row],[Team]],Dyno_Data[Match],TBA_Matches_All[[#This Row],[Match_Number]],Dyno_Data[RecordType],"Activities",Dyno_Data[DelDest],"Neut", Dyno_Data[DelMiss],"0")</f>
        <v>0</v>
      </c>
      <c r="AQ208">
        <f>COUNTIFS(Dyno_Data[Team],TBA_Matches_All[[#This Row],[Team]],Dyno_Data[Match],TBA_Matches_All[[#This Row],[Match_Number]],Dyno_Data[RecordType],"Activities",Dyno_Data[DelDest],"AllyW", Dyno_Data[DelMiss],"0")</f>
        <v>0</v>
      </c>
      <c r="AR208" t="str">
        <f>_xlfn.XLOOKUP(SUM(MID(TBA_Matches_All[[#This Row],[Team]],4,5),(TBA_Matches_All[[#This Row],[Match_Number]]/100)),Dyno_EndMatch[teammat],Dyno_EndMatch[RobotSta],"_",0,1)</f>
        <v>Amp</v>
      </c>
      <c r="AS208">
        <f>SUMIFS(Dyno_Data[AcqDis], Dyno_Data[Team],TBA_Matches_All[[#This Row],[Team]],Dyno_Data[Match],TBA_Matches_All[[#This Row],[Match_Number]],Dyno_Data[RecordType],"Activities", Dyno_Data[AcqCenter],1,Dyno_Data[Mode],"Auto")</f>
        <v>0</v>
      </c>
      <c r="AT208">
        <f>SUMIFS(Dyno_Data[AcqDis], Dyno_Data[Team],TBA_Matches_All[[#This Row],[Team]],Dyno_Data[Match],TBA_Matches_All[[#This Row],[Match_Number]],Dyno_Data[RecordType],"Activities", Dyno_Data[AcqCenter],2,Dyno_Data[Mode],"Auto")</f>
        <v>0</v>
      </c>
      <c r="AU208">
        <f>SUMIFS(Dyno_Data[AcqDis], Dyno_Data[Team],TBA_Matches_All[[#This Row],[Team]],Dyno_Data[Match],TBA_Matches_All[[#This Row],[Match_Number]],Dyno_Data[RecordType],"Activities", Dyno_Data[AcqCenter],3,Dyno_Data[Mode],"Auto")</f>
        <v>0</v>
      </c>
      <c r="AV208">
        <f>SUMIFS(Dyno_Data[AcqDis], Dyno_Data[Team],TBA_Matches_All[[#This Row],[Team]],Dyno_Data[Match],TBA_Matches_All[[#This Row],[Match_Number]],Dyno_Data[RecordType],"Activities", Dyno_Data[AcqCenter],4,Dyno_Data[Mode],"Auto")</f>
        <v>0</v>
      </c>
      <c r="AW208">
        <f>SUMIFS(Dyno_Data[AcqDis], Dyno_Data[Team],TBA_Matches_All[[#This Row],[Team]],Dyno_Data[Match],TBA_Matches_All[[#This Row],[Match_Number]],Dyno_Data[RecordType],"Activities", Dyno_Data[AcqCenter],5,Dyno_Data[Mode],"Auto")</f>
        <v>0</v>
      </c>
      <c r="AX208">
        <f>SUMIFS(Dyno_Data[DelMiss], Dyno_Data[Team],TBA_Matches_All[[#This Row],[Team]],Dyno_Data[Match],TBA_Matches_All[[#This Row],[Match_Number]],Dyno_Data[RecordType],"Activities", Dyno_Data[DelDest],"Amp")</f>
        <v>0</v>
      </c>
      <c r="AY208" s="60">
        <f>IFERROR(SUM((TBA_Matches_All[[#This Row],[AampT]]+TBA_Matches_All[[#This Row],[TampT]])/(TBA_Matches_All[[#This Row],[AampT]]+TBA_Matches_All[[#This Row],[TampT]]+TBA_Matches_All[[#This Row],[ampM]])),0)</f>
        <v>1</v>
      </c>
      <c r="AZ208">
        <f>SUMIFS(Dyno_Data[DelMiss], Dyno_Data[Team],TBA_Matches_All[[#This Row],[Team]],Dyno_Data[Match],TBA_Matches_All[[#This Row],[Match_Number]],Dyno_Data[RecordType],"Activities", Dyno_Data[DelDest],"Spkr")</f>
        <v>0</v>
      </c>
      <c r="BA208" s="60">
        <f>IFERROR(SUM((TBA_Matches_All[[#This Row],[AspkrT]]+TBA_Matches_All[[#This Row],[TspkrT]])/(TBA_Matches_All[[#This Row],[AspkrT]]+TBA_Matches_All[[#This Row],[TspkrT]]+TBA_Matches_All[[#This Row],[spkrM]])),0)</f>
        <v>0</v>
      </c>
      <c r="BB208">
        <f>SUMIFS(Dyno_Data[DelMiss], Dyno_Data[Team],TBA_Matches_All[[#This Row],[Team]],Dyno_Data[Match],TBA_Matches_All[[#This Row],[Match_Number]],Dyno_Data[RecordType],"Activities", Dyno_Data[DelDest],"Trap")</f>
        <v>0</v>
      </c>
      <c r="BC208" s="60">
        <f>IFERROR((TBA_Matches_All[[#This Row],[AtrapT]]+TBA_Matches_All[[#This Row],[TtrapT]])/(TBA_Matches_All[[#This Row],[AtrapT]]+TBA_Matches_All[[#This Row],[TtrapT]]+TBA_Matches_All[[#This Row],[trapM]]),0)</f>
        <v>0</v>
      </c>
      <c r="BD208">
        <f>COUNTIFS(Dyno_Data[Team],TBA_Matches_All[[#This Row],[Team]],Dyno_Data[Match],TBA_Matches_All[[#This Row],[Match_Number]],Dyno_Data[RecordType],"Activities",Dyno_Data[DelDest],"Neut", Dyno_Data[DelMiss],1)</f>
        <v>0</v>
      </c>
      <c r="BE208" s="60">
        <f>IFERROR(SUM((TBA_Matches_All[[#This Row],[NeutFlrT]])/(TBA_Matches_All[[#This Row],[NeutFlrT]]+TBA_Matches_All[[#This Row],[NZflM]])),0)</f>
        <v>0</v>
      </c>
      <c r="BF208">
        <f>COUNTIFS(Dyno_Data[Team],TBA_Matches_All[[#This Row],[Team]],Dyno_Data[Match],TBA_Matches_All[[#This Row],[Match_Number]],Dyno_Data[RecordType],"Activities",Dyno_Data[DelDest],"AllyW", Dyno_Data[DelMiss],1)</f>
        <v>0</v>
      </c>
      <c r="BG208" s="60">
        <f>IFERROR(SUM((TBA_Matches_All[[#This Row],[AllyWFlrT]])/(TBA_Matches_All[[#This Row],[AllyWFlrT]]+TBA_Matches_All[[#This Row],[AZflM]])),0)</f>
        <v>0</v>
      </c>
      <c r="BH208">
        <f>COUNTIFS(Dyno_Data[Team],TBA_Matches_All[[#This Row],[Team]],Dyno_Data[Match],TBA_Matches_All[[#This Row],[Match_Number]],Dyno_Data[RecordType],"Activities",Dyno_Data[DelOrig],"OppW", Dyno_Data[DelMiss],"0")</f>
        <v>0</v>
      </c>
      <c r="BI208">
        <f>COUNTIFS(Dyno_Data[Team],TBA_Matches_All[[#This Row],[Team]],Dyno_Data[Match],TBA_Matches_All[[#This Row],[Match_Number]],Dyno_Data[RecordType],"Activities",Dyno_Data[DelOrig],"OppW", Dyno_Data[DelMiss],"1")</f>
        <v>0</v>
      </c>
      <c r="BJ208" s="60">
        <f>IFERROR(SUM((TBA_Matches_All[[#This Row],[OZflrT]])/(TBA_Matches_All[[#This Row],[OZflrT]]+TBA_Matches_All[[#This Row],[OZflrM]])),0)</f>
        <v>0</v>
      </c>
      <c r="BK208">
        <f>COUNTIFS(Dyno_Data[Team],TBA_Matches_All[[#This Row],[Team]],Dyno_Data[Match],TBA_Matches_All[[#This Row],[Match_Number]],Dyno_Data[RecordType],"Activities",Dyno_Data[DelOrig],"Neut", Dyno_Data[DelMiss],"0")</f>
        <v>0</v>
      </c>
      <c r="BL208">
        <f>COUNTIFS(Dyno_Data[Team],TBA_Matches_All[[#This Row],[Team]],Dyno_Data[Match],TBA_Matches_All[[#This Row],[Match_Number]],Dyno_Data[RecordType],"Activities",Dyno_Data[DelOrig],"Neut", Dyno_Data[DelMiss],"1")</f>
        <v>0</v>
      </c>
      <c r="BM208" s="60">
        <f>IFERROR(SUM((TBA_Matches_All[[#This Row],[NZflrT]])/(TBA_Matches_All[[#This Row],[NZflrT]]+TBA_Matches_All[[#This Row],[NZflrM]])),0)</f>
        <v>0</v>
      </c>
      <c r="BN208">
        <f>COUNTIFS(Dyno_Data[Team],TBA_Matches_All[[#This Row],[Team]],Dyno_Data[Match],TBA_Matches_All[[#This Row],[Match_Number]],Dyno_Data[RecordType],"Activities",Dyno_Data[DelOrig],"AllyW", Dyno_Data[DelMiss],"0")</f>
        <v>6</v>
      </c>
      <c r="BO208">
        <f>COUNTIFS(Dyno_Data[Team],TBA_Matches_All[[#This Row],[Team]],Dyno_Data[Match],TBA_Matches_All[[#This Row],[Match_Number]],Dyno_Data[RecordType],"Activities",Dyno_Data[DelOrig],"AllyW", Dyno_Data[DelMiss],"1")</f>
        <v>0</v>
      </c>
      <c r="BP208" s="60">
        <f>IFERROR(SUM((TBA_Matches_All[[#This Row],[AZflrT]])/(TBA_Matches_All[[#This Row],[AZflrT]]+TBA_Matches_All[[#This Row],[AZflrM]])),0)</f>
        <v>1</v>
      </c>
      <c r="BQ208">
        <f>COUNTIFS(Dyno_Data[Team],TBA_Matches_All[[#This Row],[Team]],Dyno_Data[Match],TBA_Matches_All[[#This Row],[Match_Number]],Dyno_Data[RecordType],"Activities",Dyno_Data[DelOrig],"SubW", Dyno_Data[DelMiss],"0")</f>
        <v>0</v>
      </c>
      <c r="BR208">
        <f>COUNTIFS(Dyno_Data[Team],TBA_Matches_All[[#This Row],[Team]],Dyno_Data[Match],TBA_Matches_All[[#This Row],[Match_Number]],Dyno_Data[RecordType],"Activities",Dyno_Data[DelOrig],"SubW", Dyno_Data[DelMiss],"1")</f>
        <v>0</v>
      </c>
      <c r="BS208" s="60">
        <f>IFERROR(SUM((TBA_Matches_All[[#This Row],[SubwT]])/(TBA_Matches_All[[#This Row],[SubwT]]+TBA_Matches_All[[#This Row],[SubwM]])),0)</f>
        <v>0</v>
      </c>
      <c r="BT208">
        <f>COUNTIFS(Dyno_Data[Team],TBA_Matches_All[[#This Row],[Team]],Dyno_Data[Match],TBA_Matches_All[[#This Row],[Match_Number]],Dyno_Data[RecordType],"Activities", Dyno_Data[AcqLoc],"OppWing")</f>
        <v>0</v>
      </c>
      <c r="BU208">
        <f>COUNTIFS(Dyno_Data[Team],TBA_Matches_All[[#This Row],[Team]],Dyno_Data[Match],TBA_Matches_All[[#This Row],[Match_Number]],Dyno_Data[RecordType],"Activities", Dyno_Data[AcqLoc],"Neutral")</f>
        <v>0</v>
      </c>
      <c r="BV208">
        <f>COUNTIFS(Dyno_Data[Team],TBA_Matches_All[[#This Row],[Team]],Dyno_Data[Match],TBA_Matches_All[[#This Row],[Match_Number]],Dyno_Data[RecordType],"Activities", Dyno_Data[AcqLoc],"AllyWing")</f>
        <v>0</v>
      </c>
      <c r="BW208">
        <f>COUNTIFS(Dyno_Data[Team],TBA_Matches_All[[#This Row],[Team]],Dyno_Data[Match],TBA_Matches_All[[#This Row],[Match_Number]],Dyno_Data[RecordType],"Activities", Dyno_Data[AcqLoc],"Source")</f>
        <v>0</v>
      </c>
      <c r="BX208">
        <f>SUMIFS(Dyno_Data[AcqDrp], Dyno_Data[Team],TBA_Matches_All[[#This Row],[Team]],Dyno_Data[Match],TBA_Matches_All[[#This Row],[Match_Number]],Dyno_Data[RecordType],"Activities", Dyno_Data[AcqLoc],"Source")</f>
        <v>0</v>
      </c>
      <c r="BY208">
        <f>SUMIFS(Dyno_Data[OZTime], Dyno_Data[Team],TBA_Matches_All[[#This Row],[Team]],Dyno_Data[Match],TBA_Matches_All[[#This Row],[Match_Number]],Dyno_Data[RecordType],"EndMatch")</f>
        <v>55.033797399999997</v>
      </c>
      <c r="BZ208">
        <f>SUMIFS(Dyno_Data[NZTime], Dyno_Data[Team],TBA_Matches_All[[#This Row],[Team]],Dyno_Data[Match],TBA_Matches_All[[#This Row],[Match_Number]],Dyno_Data[RecordType],"EndMatch")</f>
        <v>16.056981799999999</v>
      </c>
      <c r="CA208">
        <f>SUMIFS(Dyno_Data[AZTime], Dyno_Data[Team],TBA_Matches_All[[#This Row],[Team]],Dyno_Data[Match],TBA_Matches_All[[#This Row],[Match_Number]],Dyno_Data[RecordType],"EndMatch")</f>
        <v>64.048651599999999</v>
      </c>
      <c r="CB208">
        <f>SUMIFS(Dyno_Data[ClimbT], Dyno_Data[Team],TBA_Matches_All[[#This Row],[Team]],Dyno_Data[Match],TBA_Matches_All[[#This Row],[Match_Number]],Dyno_Data[RecordType],"EndMatch")</f>
        <v>0</v>
      </c>
      <c r="CC208" t="str">
        <f>_xlfn.XLOOKUP(SUM(MID(TBA_Matches_All[[#This Row],[Team]],4,5),(TBA_Matches_All[[#This Row],[Match_Number]]/100)),Dyno_EndMatch[teammat],Dyno_EndMatch[StageStat],"_",0,1)</f>
        <v>Park</v>
      </c>
      <c r="CD208" t="str">
        <f>_xlfn.XLOOKUP(TBA_Matches_All[[#This Row],[teammat]],Dyno_EndMatch[teammat],Dyno_EndMatch[StageAtt],"_",0,1)</f>
        <v>0</v>
      </c>
      <c r="CE208" t="str">
        <f>_xlfn.XLOOKUP(TBA_Matches_All[[#This Row],[teammat]],Dyno_EndMatch[teammat],Dyno_EndMatch[StageLoc],"_",0,1)</f>
        <v>A</v>
      </c>
      <c r="CF208">
        <f>SUMIFS(Dyno_Data[Harmony], Dyno_Data[Team],TBA_Matches_All[[#This Row],[Team]],Dyno_Data[Match],TBA_Matches_All[[#This Row],[Match_Number]],Dyno_Data[RecordType],"EndMatch", Dyno_Data[StageStat],"On",Dyno_Data[Harmony],"&lt;&gt;9")</f>
        <v>0</v>
      </c>
      <c r="CG208">
        <f>SUMIFS(Dyno_Data[Spotlit], Dyno_Data[Team],TBA_Matches_All[[#This Row],[Team]],Dyno_Data[Match],TBA_Matches_All[[#This Row],[Match_Number]],Dyno_Data[RecordType],"EndMatch", Dyno_Data[StageStat],"On",Dyno_Data[Spotlit],"&lt;&gt;9")</f>
        <v>0</v>
      </c>
      <c r="CH208" t="str">
        <f>_xlfn.XLOOKUP(TBA_Matches_All[[#This Row],[teammat]],Dyno_EndMatch[teammat],Dyno_EndMatch[Strategy],"_",0,1)</f>
        <v>Hybrid</v>
      </c>
      <c r="CI208">
        <f>SUMIFS(Dyno_Data[Defense], Dyno_Data[Team],TBA_Matches_All[[#This Row],[Team]],Dyno_Data[Match],TBA_Matches_All[[#This Row],[Match_Number]],Dyno_Data[RecordType],"EndMatch",Dyno_Data[Defense],"&lt;&gt;9")</f>
        <v>0</v>
      </c>
      <c r="CJ208">
        <f>SUMIFS(Dyno_Data[Avoidance], Dyno_Data[Team],TBA_Matches_All[[#This Row],[Team]],Dyno_Data[Match],TBA_Matches_All[[#This Row],[Match_Number]],Dyno_Data[RecordType],"EndMatch",Dyno_Data[Avoidance],"&lt;&gt;9")</f>
        <v>0</v>
      </c>
      <c r="CK208" s="82">
        <f>COUNTIF($H$2:TBA_Matches_All[[#This Row],[Team]],TBA_Matches_All[[#This Row],[Team]])</f>
        <v>5</v>
      </c>
      <c r="CL208" s="111">
        <f>SUM(MID(TBA_Matches_All[[#This Row],[Team]],4,5)+TBA_Matches_All[[#This Row],[Match_Number]]/100)</f>
        <v>9750.35</v>
      </c>
      <c r="CM208">
        <f>SUM((TBA_Matches_All[[#This Row],[Leave]]*2)+(TBA_Matches_All[[#This Row],[AampT]]*2)+(TBA_Matches_All[[#This Row],[AspkrT]]*5)+(TBA_Matches_All[[#This Row],[AtrapT]]*5))</f>
        <v>0</v>
      </c>
      <c r="CN208" s="59">
        <f>IFERROR(SUM(TBA_Matches_All[[#This Row],[AptsT]]/TBA_Matches_All[[#This Row],[AutoPts]]),0)</f>
        <v>0</v>
      </c>
      <c r="CO208" s="59">
        <f>IFERROR(SUM(TBA_Matches_All[[#This Row],[AampT]]+TBA_Matches_All[[#This Row],[AspkrT]]+TBA_Matches_All[[#This Row],[AtrapT]]/TBA_Matches_All[[#This Row],[Aamp]]+TBA_Matches_All[[#This Row],[Aspkr]]+TBA_Matches_All[[#This Row],[AtrapT]]),0)</f>
        <v>0</v>
      </c>
      <c r="CP208" s="59">
        <f>IFERROR(SUM(TBA_Matches_All[[#This Row],[TampT]]/TBA_Matches_All[[#This Row],[Tamp]]),0)</f>
        <v>1</v>
      </c>
      <c r="CQ208" s="59">
        <f>IFERROR(SUM(TBA_Matches_All[[#This Row],[TspkrT]]/TBA_Matches_All[[#This Row],[Tspkr]]),0)</f>
        <v>0</v>
      </c>
      <c r="CR208">
        <f>SUM(TBA_Matches_All[[#This Row],[TspkrPts]]*TBA_Matches_All[[#This Row],[TspkrP]])</f>
        <v>0</v>
      </c>
      <c r="CS208" s="59">
        <f>IFERROR(SUM(TBA_Matches_All[[#This Row],[TtrapT]]/TBA_Matches_All[[#This Row],[Trap]]),0)</f>
        <v>0</v>
      </c>
      <c r="CT208" s="59">
        <f>IFERROR(SUM(TBA_Matches_All[[#This Row],[TotNotesT]]/TBA_Matches_All[[#This Row],[TotNotes]]),0)</f>
        <v>0.35294117647058826</v>
      </c>
      <c r="CU208" s="66">
        <f>SUM((TBA_Matches_All[[#This Row],[AampT]]*2)+(TBA_Matches_All[[#This Row],[AspkrT]]*5)+(TBA_Matches_All[[#This Row],[AtrapT]]*5)+(TBA_Matches_All[[#This Row],[TampT]]*1)+(TBA_Matches_All[[#This Row],[TspkrptsC]]))</f>
        <v>6</v>
      </c>
      <c r="CV208" s="59">
        <f>IFERROR(TBA_Matches_All[[#This Row],[noteptsT]]/TBA_Matches_All[[#This Row],[NotePts]],0)</f>
        <v>0.13953488372093023</v>
      </c>
      <c r="CW208">
        <f>SUM(IF(TBA_Matches_All[[#This Row],[stageStat]]="On",3,0),IF(TBA_Matches_All[[#This Row],[stageStat]]="Park",1,0),SUMIFS(TBA_Matches_All[[#This Row],[Spotlit]],TBA_Matches_All[[#This Row],[stageStat]],"On"),SUMIFS(TBA_Matches_All[[#This Row],[Harmony]],TBA_Matches_All[[#This Row],[stageStat]],"On"))</f>
        <v>1</v>
      </c>
      <c r="CX208" s="59">
        <f>IFERROR(TBA_Matches_All[[#This Row],[stageptsT]]/TBA_Matches_All[[#This Row],[StagePts]],0)</f>
        <v>0.14285714285714285</v>
      </c>
      <c r="CY208">
        <f>SUM((TBA_Matches_All[[#This Row],[AptsT]]+TBA_Matches_All[[#This Row],[TampT]]+TBA_Matches_All[[#This Row],[TspkrptsC]]+(TBA_Matches_All[[#This Row],[TtrapT]]*5)+TBA_Matches_All[[#This Row],[stageptsT]]))</f>
        <v>7</v>
      </c>
      <c r="CZ208" s="59">
        <f>IFERROR(SUM(TBA_Matches_All[[#This Row],[TotptsC]]/TBA_Matches_All[[#This Row],[Score]]),0)</f>
        <v>0.13461538461538461</v>
      </c>
      <c r="DA20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4.2</v>
      </c>
      <c r="DB208" s="74">
        <f>SUMIFS(TBA_Matches_All[AveTeamTNoteDels],TBA_Matches_All[Match_Number],TBA_Matches_All[[#This Row],[Match_Number]],TBA_Matches_All[Alliance],"&lt;&gt;"&amp;TBA_Matches_All[[#This Row],[Alliance]],TBA_Matches_All[Scouted],"&gt;0")</f>
        <v>25.521428571428572</v>
      </c>
      <c r="DC208" s="74">
        <f>(TBA_Matches_All[[#This Row],[TampT]]+TBA_Matches_All[[#This Row],[TspkrptsC]])-TBA_Matches_All[[#This Row],[AveTeamTNoteDels]]</f>
        <v>1.7999999999999998</v>
      </c>
      <c r="DD208" s="74">
        <f>SUMIFS(TBA_Matches_All[AveTeamTNoteDels],TBA_Matches_All[Match_Number],TBA_Matches_All[[#This Row],[Match_Number]],TBA_Matches_All[Alliance],"&lt;&gt;"&amp;TBA_Matches_All[[#This Row],[Alliance]])-TBA_Matches_All[[#This Row],[AveOppTNoteDels]]</f>
        <v>0</v>
      </c>
    </row>
    <row r="209" spans="1:108" x14ac:dyDescent="0.3">
      <c r="A209" t="s">
        <v>1042</v>
      </c>
      <c r="B209" t="s">
        <v>489</v>
      </c>
      <c r="C209" t="s">
        <v>1344</v>
      </c>
      <c r="D209">
        <v>35</v>
      </c>
      <c r="E209" t="s">
        <v>1420</v>
      </c>
      <c r="F209" t="s">
        <v>1425</v>
      </c>
      <c r="G209" t="s">
        <v>105</v>
      </c>
      <c r="H209" t="s">
        <v>1291</v>
      </c>
      <c r="I209" t="b">
        <v>1</v>
      </c>
      <c r="J209">
        <v>42</v>
      </c>
      <c r="K209">
        <v>1</v>
      </c>
      <c r="L209">
        <v>0</v>
      </c>
      <c r="M209">
        <v>0</v>
      </c>
      <c r="N209">
        <v>0</v>
      </c>
      <c r="O209">
        <v>1</v>
      </c>
      <c r="P209">
        <v>5</v>
      </c>
      <c r="Q209">
        <v>9</v>
      </c>
      <c r="R209">
        <v>5</v>
      </c>
      <c r="S209">
        <v>3</v>
      </c>
      <c r="T209">
        <v>6</v>
      </c>
      <c r="U209">
        <v>15</v>
      </c>
      <c r="V209">
        <v>12</v>
      </c>
      <c r="W209">
        <v>9</v>
      </c>
      <c r="X209">
        <v>27</v>
      </c>
      <c r="Y209">
        <v>32</v>
      </c>
      <c r="Z209">
        <v>0</v>
      </c>
      <c r="AA209">
        <v>0</v>
      </c>
      <c r="AB209">
        <v>15</v>
      </c>
      <c r="AC209">
        <v>37</v>
      </c>
      <c r="AD209">
        <v>1</v>
      </c>
      <c r="AE209">
        <f>IFERROR(6/(COUNTIF(Dyno_EndMatch[Match],TBA_Matches_All[[#This Row],[Match_Number]])),0)</f>
        <v>1</v>
      </c>
      <c r="AF209">
        <f>COUNTIFS(Dyno_Data[Team],TBA_Matches_All[[#This Row],[Team]],Dyno_Data[Match],TBA_Matches_All[[#This Row],[Match_Number]],Dyno_Data[RecordType],"EndMatch",Dyno_Data[HPAmp],"Y")</f>
        <v>0</v>
      </c>
      <c r="AG209">
        <f>SUMIFS(Dyno_Data[Mics], Dyno_Data[Team],TBA_Matches_All[[#This Row],[Team]],Dyno_Data[Match],TBA_Matches_All[[#This Row],[Match_Number]],Dyno_Data[RecordType],"EndMatch",Dyno_Data[HPAmp],"Y")</f>
        <v>0</v>
      </c>
      <c r="AH209">
        <f>SUMIFS(Dyno_Data[Leave], Dyno_Data[Team],TBA_Matches_All[[#This Row],[Team]],Dyno_Data[Match],TBA_Matches_All[[#This Row],[Match_Number]],Dyno_Data[RecordType],"EndAuto")</f>
        <v>0</v>
      </c>
      <c r="AI209">
        <f>COUNTIFS(Dyno_Data[Team],TBA_Matches_All[[#This Row],[Team]],Dyno_Data[Match],TBA_Matches_All[[#This Row],[Match_Number]],Dyno_Data[RecordType],"Activities",Dyno_Data[DelDest],"Amp", Dyno_Data[DelMiss],"0", Dyno_Data[Mode],"Auto")</f>
        <v>0</v>
      </c>
      <c r="AJ209">
        <f>COUNTIFS(Dyno_Data[Team],TBA_Matches_All[[#This Row],[Team]],Dyno_Data[Match],TBA_Matches_All[[#This Row],[Match_Number]],Dyno_Data[RecordType],"Activities",Dyno_Data[DelDest],"Spkr", Dyno_Data[DelMiss],"0", Dyno_Data[Mode],"Auto")</f>
        <v>1</v>
      </c>
      <c r="AK209">
        <f>COUNTIFS(Dyno_Data[Team],TBA_Matches_All[[#This Row],[Team]],Dyno_Data[Match],TBA_Matches_All[[#This Row],[Match_Number]],Dyno_Data[RecordType],"Activities",Dyno_Data[DelDest],"Trap", Dyno_Data[DelMiss],"0", Dyno_Data[Mode],"Auto")</f>
        <v>0</v>
      </c>
      <c r="AL209">
        <f>COUNTIFS(Dyno_Data[Team],TBA_Matches_All[[#This Row],[Team]],Dyno_Data[Match],TBA_Matches_All[[#This Row],[Match_Number]],Dyno_Data[RecordType],"Activities",Dyno_Data[DelDest],"Amp", Dyno_Data[DelMiss],"0", Dyno_Data[Mode],"Teleop")</f>
        <v>5</v>
      </c>
      <c r="AM209">
        <f>COUNTIFS(Dyno_Data[Team],TBA_Matches_All[[#This Row],[Team]],Dyno_Data[Match],TBA_Matches_All[[#This Row],[Match_Number]],Dyno_Data[RecordType],"Activities",Dyno_Data[DelDest],"Spkr", Dyno_Data[DelMiss],"0", Dyno_Data[Mode],"Teleop")</f>
        <v>5</v>
      </c>
      <c r="AN209">
        <f>COUNTIFS(Dyno_Data[Team],TBA_Matches_All[[#This Row],[Team]],Dyno_Data[Match],TBA_Matches_All[[#This Row],[Match_Number]],Dyno_Data[RecordType],"Activities",Dyno_Data[DelDest],"Trap", Dyno_Data[DelMiss],"0", Dyno_Data[Mode],"&lt;&gt;Auto")</f>
        <v>0</v>
      </c>
      <c r="AO209">
        <f>SUM(TBA_Matches_All[[#This Row],[AampT]]+TBA_Matches_All[[#This Row],[AspkrT]]+TBA_Matches_All[[#This Row],[AtrapT]]+TBA_Matches_All[[#This Row],[TampT]]+TBA_Matches_All[[#This Row],[TspkrT]]+TBA_Matches_All[[#This Row],[TtrapT]])</f>
        <v>11</v>
      </c>
      <c r="AP209">
        <f>COUNTIFS(Dyno_Data[Team],TBA_Matches_All[[#This Row],[Team]],Dyno_Data[Match],TBA_Matches_All[[#This Row],[Match_Number]],Dyno_Data[RecordType],"Activities",Dyno_Data[DelDest],"Neut", Dyno_Data[DelMiss],"0")</f>
        <v>0</v>
      </c>
      <c r="AQ209">
        <f>COUNTIFS(Dyno_Data[Team],TBA_Matches_All[[#This Row],[Team]],Dyno_Data[Match],TBA_Matches_All[[#This Row],[Match_Number]],Dyno_Data[RecordType],"Activities",Dyno_Data[DelDest],"AllyW", Dyno_Data[DelMiss],"0")</f>
        <v>3</v>
      </c>
      <c r="AR209" t="str">
        <f>_xlfn.XLOOKUP(SUM(MID(TBA_Matches_All[[#This Row],[Team]],4,5),(TBA_Matches_All[[#This Row],[Match_Number]]/100)),Dyno_EndMatch[teammat],Dyno_EndMatch[RobotSta],"_",0,1)</f>
        <v>SubW</v>
      </c>
      <c r="AS209">
        <f>SUMIFS(Dyno_Data[AcqDis], Dyno_Data[Team],TBA_Matches_All[[#This Row],[Team]],Dyno_Data[Match],TBA_Matches_All[[#This Row],[Match_Number]],Dyno_Data[RecordType],"Activities", Dyno_Data[AcqCenter],1,Dyno_Data[Mode],"Auto")</f>
        <v>0</v>
      </c>
      <c r="AT209">
        <f>SUMIFS(Dyno_Data[AcqDis], Dyno_Data[Team],TBA_Matches_All[[#This Row],[Team]],Dyno_Data[Match],TBA_Matches_All[[#This Row],[Match_Number]],Dyno_Data[RecordType],"Activities", Dyno_Data[AcqCenter],2,Dyno_Data[Mode],"Auto")</f>
        <v>0</v>
      </c>
      <c r="AU209">
        <f>SUMIFS(Dyno_Data[AcqDis], Dyno_Data[Team],TBA_Matches_All[[#This Row],[Team]],Dyno_Data[Match],TBA_Matches_All[[#This Row],[Match_Number]],Dyno_Data[RecordType],"Activities", Dyno_Data[AcqCenter],3,Dyno_Data[Mode],"Auto")</f>
        <v>0</v>
      </c>
      <c r="AV209">
        <f>SUMIFS(Dyno_Data[AcqDis], Dyno_Data[Team],TBA_Matches_All[[#This Row],[Team]],Dyno_Data[Match],TBA_Matches_All[[#This Row],[Match_Number]],Dyno_Data[RecordType],"Activities", Dyno_Data[AcqCenter],4,Dyno_Data[Mode],"Auto")</f>
        <v>0</v>
      </c>
      <c r="AW209">
        <f>SUMIFS(Dyno_Data[AcqDis], Dyno_Data[Team],TBA_Matches_All[[#This Row],[Team]],Dyno_Data[Match],TBA_Matches_All[[#This Row],[Match_Number]],Dyno_Data[RecordType],"Activities", Dyno_Data[AcqCenter],5,Dyno_Data[Mode],"Auto")</f>
        <v>0</v>
      </c>
      <c r="AX209">
        <f>SUMIFS(Dyno_Data[DelMiss], Dyno_Data[Team],TBA_Matches_All[[#This Row],[Team]],Dyno_Data[Match],TBA_Matches_All[[#This Row],[Match_Number]],Dyno_Data[RecordType],"Activities", Dyno_Data[DelDest],"Amp")</f>
        <v>0</v>
      </c>
      <c r="AY209" s="60">
        <f>IFERROR(SUM((TBA_Matches_All[[#This Row],[AampT]]+TBA_Matches_All[[#This Row],[TampT]])/(TBA_Matches_All[[#This Row],[AampT]]+TBA_Matches_All[[#This Row],[TampT]]+TBA_Matches_All[[#This Row],[ampM]])),0)</f>
        <v>1</v>
      </c>
      <c r="AZ209">
        <f>SUMIFS(Dyno_Data[DelMiss], Dyno_Data[Team],TBA_Matches_All[[#This Row],[Team]],Dyno_Data[Match],TBA_Matches_All[[#This Row],[Match_Number]],Dyno_Data[RecordType],"Activities", Dyno_Data[DelDest],"Spkr")</f>
        <v>0</v>
      </c>
      <c r="BA209" s="60">
        <f>IFERROR(SUM((TBA_Matches_All[[#This Row],[AspkrT]]+TBA_Matches_All[[#This Row],[TspkrT]])/(TBA_Matches_All[[#This Row],[AspkrT]]+TBA_Matches_All[[#This Row],[TspkrT]]+TBA_Matches_All[[#This Row],[spkrM]])),0)</f>
        <v>1</v>
      </c>
      <c r="BB209">
        <f>SUMIFS(Dyno_Data[DelMiss], Dyno_Data[Team],TBA_Matches_All[[#This Row],[Team]],Dyno_Data[Match],TBA_Matches_All[[#This Row],[Match_Number]],Dyno_Data[RecordType],"Activities", Dyno_Data[DelDest],"Trap")</f>
        <v>0</v>
      </c>
      <c r="BC209" s="60">
        <f>IFERROR((TBA_Matches_All[[#This Row],[AtrapT]]+TBA_Matches_All[[#This Row],[TtrapT]])/(TBA_Matches_All[[#This Row],[AtrapT]]+TBA_Matches_All[[#This Row],[TtrapT]]+TBA_Matches_All[[#This Row],[trapM]]),0)</f>
        <v>0</v>
      </c>
      <c r="BD209">
        <f>COUNTIFS(Dyno_Data[Team],TBA_Matches_All[[#This Row],[Team]],Dyno_Data[Match],TBA_Matches_All[[#This Row],[Match_Number]],Dyno_Data[RecordType],"Activities",Dyno_Data[DelDest],"Neut", Dyno_Data[DelMiss],1)</f>
        <v>0</v>
      </c>
      <c r="BE209" s="60">
        <f>IFERROR(SUM((TBA_Matches_All[[#This Row],[NeutFlrT]])/(TBA_Matches_All[[#This Row],[NeutFlrT]]+TBA_Matches_All[[#This Row],[NZflM]])),0)</f>
        <v>0</v>
      </c>
      <c r="BF209">
        <f>COUNTIFS(Dyno_Data[Team],TBA_Matches_All[[#This Row],[Team]],Dyno_Data[Match],TBA_Matches_All[[#This Row],[Match_Number]],Dyno_Data[RecordType],"Activities",Dyno_Data[DelDest],"AllyW", Dyno_Data[DelMiss],1)</f>
        <v>0</v>
      </c>
      <c r="BG209" s="60">
        <f>IFERROR(SUM((TBA_Matches_All[[#This Row],[AllyWFlrT]])/(TBA_Matches_All[[#This Row],[AllyWFlrT]]+TBA_Matches_All[[#This Row],[AZflM]])),0)</f>
        <v>1</v>
      </c>
      <c r="BH209">
        <f>COUNTIFS(Dyno_Data[Team],TBA_Matches_All[[#This Row],[Team]],Dyno_Data[Match],TBA_Matches_All[[#This Row],[Match_Number]],Dyno_Data[RecordType],"Activities",Dyno_Data[DelOrig],"OppW", Dyno_Data[DelMiss],"0")</f>
        <v>0</v>
      </c>
      <c r="BI209">
        <f>COUNTIFS(Dyno_Data[Team],TBA_Matches_All[[#This Row],[Team]],Dyno_Data[Match],TBA_Matches_All[[#This Row],[Match_Number]],Dyno_Data[RecordType],"Activities",Dyno_Data[DelOrig],"OppW", Dyno_Data[DelMiss],"1")</f>
        <v>0</v>
      </c>
      <c r="BJ209" s="60">
        <f>IFERROR(SUM((TBA_Matches_All[[#This Row],[OZflrT]])/(TBA_Matches_All[[#This Row],[OZflrT]]+TBA_Matches_All[[#This Row],[OZflrM]])),0)</f>
        <v>0</v>
      </c>
      <c r="BK209">
        <f>COUNTIFS(Dyno_Data[Team],TBA_Matches_All[[#This Row],[Team]],Dyno_Data[Match],TBA_Matches_All[[#This Row],[Match_Number]],Dyno_Data[RecordType],"Activities",Dyno_Data[DelOrig],"Neut", Dyno_Data[DelMiss],"0")</f>
        <v>5</v>
      </c>
      <c r="BL209">
        <f>COUNTIFS(Dyno_Data[Team],TBA_Matches_All[[#This Row],[Team]],Dyno_Data[Match],TBA_Matches_All[[#This Row],[Match_Number]],Dyno_Data[RecordType],"Activities",Dyno_Data[DelOrig],"Neut", Dyno_Data[DelMiss],"1")</f>
        <v>0</v>
      </c>
      <c r="BM209" s="60">
        <f>IFERROR(SUM((TBA_Matches_All[[#This Row],[NZflrT]])/(TBA_Matches_All[[#This Row],[NZflrT]]+TBA_Matches_All[[#This Row],[NZflrM]])),0)</f>
        <v>1</v>
      </c>
      <c r="BN209">
        <f>COUNTIFS(Dyno_Data[Team],TBA_Matches_All[[#This Row],[Team]],Dyno_Data[Match],TBA_Matches_All[[#This Row],[Match_Number]],Dyno_Data[RecordType],"Activities",Dyno_Data[DelOrig],"AllyW", Dyno_Data[DelMiss],"0")</f>
        <v>7</v>
      </c>
      <c r="BO209">
        <f>COUNTIFS(Dyno_Data[Team],TBA_Matches_All[[#This Row],[Team]],Dyno_Data[Match],TBA_Matches_All[[#This Row],[Match_Number]],Dyno_Data[RecordType],"Activities",Dyno_Data[DelOrig],"AllyW", Dyno_Data[DelMiss],"1")</f>
        <v>0</v>
      </c>
      <c r="BP209" s="60">
        <f>IFERROR(SUM((TBA_Matches_All[[#This Row],[AZflrT]])/(TBA_Matches_All[[#This Row],[AZflrT]]+TBA_Matches_All[[#This Row],[AZflrM]])),0)</f>
        <v>1</v>
      </c>
      <c r="BQ209">
        <f>COUNTIFS(Dyno_Data[Team],TBA_Matches_All[[#This Row],[Team]],Dyno_Data[Match],TBA_Matches_All[[#This Row],[Match_Number]],Dyno_Data[RecordType],"Activities",Dyno_Data[DelOrig],"SubW", Dyno_Data[DelMiss],"0")</f>
        <v>2</v>
      </c>
      <c r="BR209">
        <f>COUNTIFS(Dyno_Data[Team],TBA_Matches_All[[#This Row],[Team]],Dyno_Data[Match],TBA_Matches_All[[#This Row],[Match_Number]],Dyno_Data[RecordType],"Activities",Dyno_Data[DelOrig],"SubW", Dyno_Data[DelMiss],"1")</f>
        <v>0</v>
      </c>
      <c r="BS209" s="60">
        <f>IFERROR(SUM((TBA_Matches_All[[#This Row],[SubwT]])/(TBA_Matches_All[[#This Row],[SubwT]]+TBA_Matches_All[[#This Row],[SubwM]])),0)</f>
        <v>1</v>
      </c>
      <c r="BT209">
        <f>COUNTIFS(Dyno_Data[Team],TBA_Matches_All[[#This Row],[Team]],Dyno_Data[Match],TBA_Matches_All[[#This Row],[Match_Number]],Dyno_Data[RecordType],"Activities", Dyno_Data[AcqLoc],"OppWing")</f>
        <v>0</v>
      </c>
      <c r="BU209">
        <f>COUNTIFS(Dyno_Data[Team],TBA_Matches_All[[#This Row],[Team]],Dyno_Data[Match],TBA_Matches_All[[#This Row],[Match_Number]],Dyno_Data[RecordType],"Activities", Dyno_Data[AcqLoc],"Neutral")</f>
        <v>0</v>
      </c>
      <c r="BV209">
        <f>COUNTIFS(Dyno_Data[Team],TBA_Matches_All[[#This Row],[Team]],Dyno_Data[Match],TBA_Matches_All[[#This Row],[Match_Number]],Dyno_Data[RecordType],"Activities", Dyno_Data[AcqLoc],"AllyWing")</f>
        <v>0</v>
      </c>
      <c r="BW209">
        <f>COUNTIFS(Dyno_Data[Team],TBA_Matches_All[[#This Row],[Team]],Dyno_Data[Match],TBA_Matches_All[[#This Row],[Match_Number]],Dyno_Data[RecordType],"Activities", Dyno_Data[AcqLoc],"Source")</f>
        <v>0</v>
      </c>
      <c r="BX209">
        <f>SUMIFS(Dyno_Data[AcqDrp], Dyno_Data[Team],TBA_Matches_All[[#This Row],[Team]],Dyno_Data[Match],TBA_Matches_All[[#This Row],[Match_Number]],Dyno_Data[RecordType],"Activities", Dyno_Data[AcqLoc],"Source")</f>
        <v>0</v>
      </c>
      <c r="BY209">
        <f>SUMIFS(Dyno_Data[OZTime], Dyno_Data[Team],TBA_Matches_All[[#This Row],[Team]],Dyno_Data[Match],TBA_Matches_All[[#This Row],[Match_Number]],Dyno_Data[RecordType],"EndMatch")</f>
        <v>26.6572259</v>
      </c>
      <c r="BZ209">
        <f>SUMIFS(Dyno_Data[NZTime], Dyno_Data[Team],TBA_Matches_All[[#This Row],[Team]],Dyno_Data[Match],TBA_Matches_All[[#This Row],[Match_Number]],Dyno_Data[RecordType],"EndMatch")</f>
        <v>58.401547199999996</v>
      </c>
      <c r="CA209">
        <f>SUMIFS(Dyno_Data[AZTime], Dyno_Data[Team],TBA_Matches_All[[#This Row],[Team]],Dyno_Data[Match],TBA_Matches_All[[#This Row],[Match_Number]],Dyno_Data[RecordType],"EndMatch")</f>
        <v>51.458037699999998</v>
      </c>
      <c r="CB209">
        <f>SUMIFS(Dyno_Data[ClimbT], Dyno_Data[Team],TBA_Matches_All[[#This Row],[Team]],Dyno_Data[Match],TBA_Matches_All[[#This Row],[Match_Number]],Dyno_Data[RecordType],"EndMatch")</f>
        <v>0</v>
      </c>
      <c r="CC209" t="str">
        <f>_xlfn.XLOOKUP(SUM(MID(TBA_Matches_All[[#This Row],[Team]],4,5),(TBA_Matches_All[[#This Row],[Match_Number]]/100)),Dyno_EndMatch[teammat],Dyno_EndMatch[StageStat],"_",0,1)</f>
        <v>Park</v>
      </c>
      <c r="CD209" t="str">
        <f>_xlfn.XLOOKUP(TBA_Matches_All[[#This Row],[teammat]],Dyno_EndMatch[teammat],Dyno_EndMatch[StageAtt],"_",0,1)</f>
        <v>0</v>
      </c>
      <c r="CE209" t="str">
        <f>_xlfn.XLOOKUP(TBA_Matches_All[[#This Row],[teammat]],Dyno_EndMatch[teammat],Dyno_EndMatch[StageLoc],"_",0,1)</f>
        <v>A</v>
      </c>
      <c r="CF209">
        <f>SUMIFS(Dyno_Data[Harmony], Dyno_Data[Team],TBA_Matches_All[[#This Row],[Team]],Dyno_Data[Match],TBA_Matches_All[[#This Row],[Match_Number]],Dyno_Data[RecordType],"EndMatch", Dyno_Data[StageStat],"On",Dyno_Data[Harmony],"&lt;&gt;9")</f>
        <v>0</v>
      </c>
      <c r="CG209">
        <f>SUMIFS(Dyno_Data[Spotlit], Dyno_Data[Team],TBA_Matches_All[[#This Row],[Team]],Dyno_Data[Match],TBA_Matches_All[[#This Row],[Match_Number]],Dyno_Data[RecordType],"EndMatch", Dyno_Data[StageStat],"On",Dyno_Data[Spotlit],"&lt;&gt;9")</f>
        <v>0</v>
      </c>
      <c r="CH209" t="str">
        <f>_xlfn.XLOOKUP(TBA_Matches_All[[#This Row],[teammat]],Dyno_EndMatch[teammat],Dyno_EndMatch[Strategy],"_",0,1)</f>
        <v>Hybrid</v>
      </c>
      <c r="CI209">
        <f>SUMIFS(Dyno_Data[Defense], Dyno_Data[Team],TBA_Matches_All[[#This Row],[Team]],Dyno_Data[Match],TBA_Matches_All[[#This Row],[Match_Number]],Dyno_Data[RecordType],"EndMatch",Dyno_Data[Defense],"&lt;&gt;9")</f>
        <v>0</v>
      </c>
      <c r="CJ209">
        <f>SUMIFS(Dyno_Data[Avoidance], Dyno_Data[Team],TBA_Matches_All[[#This Row],[Team]],Dyno_Data[Match],TBA_Matches_All[[#This Row],[Match_Number]],Dyno_Data[RecordType],"EndMatch",Dyno_Data[Avoidance],"&lt;&gt;9")</f>
        <v>0</v>
      </c>
      <c r="CK209" s="82">
        <f>COUNTIF($H$2:TBA_Matches_All[[#This Row],[Team]],TBA_Matches_All[[#This Row],[Team]])</f>
        <v>5</v>
      </c>
      <c r="CL209" s="111">
        <f>SUM(MID(TBA_Matches_All[[#This Row],[Team]],4,5)+TBA_Matches_All[[#This Row],[Match_Number]]/100)</f>
        <v>1493.35</v>
      </c>
      <c r="CM209">
        <f>SUM((TBA_Matches_All[[#This Row],[Leave]]*2)+(TBA_Matches_All[[#This Row],[AampT]]*2)+(TBA_Matches_All[[#This Row],[AspkrT]]*5)+(TBA_Matches_All[[#This Row],[AtrapT]]*5))</f>
        <v>5</v>
      </c>
      <c r="CN209" s="59">
        <f>IFERROR(SUM(TBA_Matches_All[[#This Row],[AptsT]]/TBA_Matches_All[[#This Row],[AutoPts]]),0)</f>
        <v>0.55555555555555558</v>
      </c>
      <c r="CO209" s="59">
        <f>IFERROR(SUM(TBA_Matches_All[[#This Row],[AampT]]+TBA_Matches_All[[#This Row],[AspkrT]]+TBA_Matches_All[[#This Row],[AtrapT]]/TBA_Matches_All[[#This Row],[Aamp]]+TBA_Matches_All[[#This Row],[Aspkr]]+TBA_Matches_All[[#This Row],[AtrapT]]),0)</f>
        <v>0</v>
      </c>
      <c r="CP209" s="59">
        <f>IFERROR(SUM(TBA_Matches_All[[#This Row],[TampT]]/TBA_Matches_All[[#This Row],[Tamp]]),0)</f>
        <v>1</v>
      </c>
      <c r="CQ209" s="59">
        <f>IFERROR(SUM(TBA_Matches_All[[#This Row],[TspkrT]]/TBA_Matches_All[[#This Row],[Tspkr]]),0)</f>
        <v>0.55555555555555558</v>
      </c>
      <c r="CR209">
        <f>SUM(TBA_Matches_All[[#This Row],[TspkrPts]]*TBA_Matches_All[[#This Row],[TspkrP]])</f>
        <v>15</v>
      </c>
      <c r="CS209" s="59">
        <f>IFERROR(SUM(TBA_Matches_All[[#This Row],[TtrapT]]/TBA_Matches_All[[#This Row],[Trap]]),0)</f>
        <v>0</v>
      </c>
      <c r="CT209" s="59">
        <f>IFERROR(SUM(TBA_Matches_All[[#This Row],[TotNotesT]]/TBA_Matches_All[[#This Row],[TotNotes]]),0)</f>
        <v>0.73333333333333328</v>
      </c>
      <c r="CU209" s="66">
        <f>SUM((TBA_Matches_All[[#This Row],[AampT]]*2)+(TBA_Matches_All[[#This Row],[AspkrT]]*5)+(TBA_Matches_All[[#This Row],[AtrapT]]*5)+(TBA_Matches_All[[#This Row],[TampT]]*1)+(TBA_Matches_All[[#This Row],[TspkrptsC]]))</f>
        <v>25</v>
      </c>
      <c r="CV209" s="59">
        <f>IFERROR(TBA_Matches_All[[#This Row],[noteptsT]]/TBA_Matches_All[[#This Row],[NotePts]],0)</f>
        <v>0.67567567567567566</v>
      </c>
      <c r="CW209">
        <f>SUM(IF(TBA_Matches_All[[#This Row],[stageStat]]="On",3,0),IF(TBA_Matches_All[[#This Row],[stageStat]]="Park",1,0),SUMIFS(TBA_Matches_All[[#This Row],[Spotlit]],TBA_Matches_All[[#This Row],[stageStat]],"On"),SUMIFS(TBA_Matches_All[[#This Row],[Harmony]],TBA_Matches_All[[#This Row],[stageStat]],"On"))</f>
        <v>1</v>
      </c>
      <c r="CX209" s="59">
        <f>IFERROR(TBA_Matches_All[[#This Row],[stageptsT]]/TBA_Matches_All[[#This Row],[StagePts]],0)</f>
        <v>1</v>
      </c>
      <c r="CY209">
        <f>SUM((TBA_Matches_All[[#This Row],[AptsT]]+TBA_Matches_All[[#This Row],[TampT]]+TBA_Matches_All[[#This Row],[TspkrptsC]]+(TBA_Matches_All[[#This Row],[TtrapT]]*5)+TBA_Matches_All[[#This Row],[stageptsT]]))</f>
        <v>26</v>
      </c>
      <c r="CZ209" s="59">
        <f>IFERROR(SUM(TBA_Matches_All[[#This Row],[TotptsC]]/TBA_Matches_All[[#This Row],[Score]]),0)</f>
        <v>0.61904761904761907</v>
      </c>
      <c r="DA20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11.12142857142857</v>
      </c>
      <c r="DB209" s="74">
        <f>SUMIFS(TBA_Matches_All[AveTeamTNoteDels],TBA_Matches_All[Match_Number],TBA_Matches_All[[#This Row],[Match_Number]],TBA_Matches_All[Alliance],"&lt;&gt;"&amp;TBA_Matches_All[[#This Row],[Alliance]],TBA_Matches_All[Scouted],"&gt;0")</f>
        <v>31.43333333333333</v>
      </c>
      <c r="DC209" s="74">
        <f>(TBA_Matches_All[[#This Row],[TampT]]+TBA_Matches_All[[#This Row],[TspkrptsC]])-TBA_Matches_All[[#This Row],[AveTeamTNoteDels]]</f>
        <v>8.8785714285714299</v>
      </c>
      <c r="DD209" s="74">
        <f>SUMIFS(TBA_Matches_All[AveTeamTNoteDels],TBA_Matches_All[Match_Number],TBA_Matches_All[[#This Row],[Match_Number]],TBA_Matches_All[Alliance],"&lt;&gt;"&amp;TBA_Matches_All[[#This Row],[Alliance]])-TBA_Matches_All[[#This Row],[AveOppTNoteDels]]</f>
        <v>0</v>
      </c>
    </row>
    <row r="210" spans="1:108" x14ac:dyDescent="0.3">
      <c r="A210" t="s">
        <v>1042</v>
      </c>
      <c r="B210" t="s">
        <v>489</v>
      </c>
      <c r="C210" t="s">
        <v>1344</v>
      </c>
      <c r="D210">
        <v>35</v>
      </c>
      <c r="E210" t="s">
        <v>1406</v>
      </c>
      <c r="F210" t="s">
        <v>1426</v>
      </c>
      <c r="G210" t="s">
        <v>164</v>
      </c>
      <c r="H210" t="s">
        <v>318</v>
      </c>
      <c r="I210" t="b">
        <v>1</v>
      </c>
      <c r="J210">
        <v>52</v>
      </c>
      <c r="K210">
        <v>1</v>
      </c>
      <c r="L210">
        <v>0</v>
      </c>
      <c r="M210">
        <v>0</v>
      </c>
      <c r="N210">
        <v>0</v>
      </c>
      <c r="O210">
        <v>2</v>
      </c>
      <c r="P210">
        <v>10</v>
      </c>
      <c r="Q210">
        <v>12</v>
      </c>
      <c r="R210">
        <v>6</v>
      </c>
      <c r="S210">
        <v>3</v>
      </c>
      <c r="T210">
        <v>6</v>
      </c>
      <c r="U210">
        <v>15</v>
      </c>
      <c r="V210">
        <v>12</v>
      </c>
      <c r="W210">
        <v>9</v>
      </c>
      <c r="X210">
        <v>27</v>
      </c>
      <c r="Y210">
        <v>33</v>
      </c>
      <c r="Z210">
        <v>0</v>
      </c>
      <c r="AA210">
        <v>0</v>
      </c>
      <c r="AB210">
        <v>17</v>
      </c>
      <c r="AC210">
        <v>43</v>
      </c>
      <c r="AD210">
        <v>7</v>
      </c>
      <c r="AE210">
        <f>IFERROR(6/(COUNTIF(Dyno_EndMatch[Match],TBA_Matches_All[[#This Row],[Match_Number]])),0)</f>
        <v>1</v>
      </c>
      <c r="AF210">
        <f>COUNTIFS(Dyno_Data[Team],TBA_Matches_All[[#This Row],[Team]],Dyno_Data[Match],TBA_Matches_All[[#This Row],[Match_Number]],Dyno_Data[RecordType],"EndMatch",Dyno_Data[HPAmp],"Y")</f>
        <v>1</v>
      </c>
      <c r="AG210">
        <f>SUMIFS(Dyno_Data[Mics], Dyno_Data[Team],TBA_Matches_All[[#This Row],[Team]],Dyno_Data[Match],TBA_Matches_All[[#This Row],[Match_Number]],Dyno_Data[RecordType],"EndMatch",Dyno_Data[HPAmp],"Y")</f>
        <v>1</v>
      </c>
      <c r="AH210">
        <f>SUMIFS(Dyno_Data[Leave], Dyno_Data[Team],TBA_Matches_All[[#This Row],[Team]],Dyno_Data[Match],TBA_Matches_All[[#This Row],[Match_Number]],Dyno_Data[RecordType],"EndAuto")</f>
        <v>0</v>
      </c>
      <c r="AI210">
        <f>COUNTIFS(Dyno_Data[Team],TBA_Matches_All[[#This Row],[Team]],Dyno_Data[Match],TBA_Matches_All[[#This Row],[Match_Number]],Dyno_Data[RecordType],"Activities",Dyno_Data[DelDest],"Amp", Dyno_Data[DelMiss],"0", Dyno_Data[Mode],"Auto")</f>
        <v>0</v>
      </c>
      <c r="AJ210">
        <f>COUNTIFS(Dyno_Data[Team],TBA_Matches_All[[#This Row],[Team]],Dyno_Data[Match],TBA_Matches_All[[#This Row],[Match_Number]],Dyno_Data[RecordType],"Activities",Dyno_Data[DelDest],"Spkr", Dyno_Data[DelMiss],"0", Dyno_Data[Mode],"Auto")</f>
        <v>0</v>
      </c>
      <c r="AK210">
        <f>COUNTIFS(Dyno_Data[Team],TBA_Matches_All[[#This Row],[Team]],Dyno_Data[Match],TBA_Matches_All[[#This Row],[Match_Number]],Dyno_Data[RecordType],"Activities",Dyno_Data[DelDest],"Trap", Dyno_Data[DelMiss],"0", Dyno_Data[Mode],"Auto")</f>
        <v>0</v>
      </c>
      <c r="AL210">
        <f>COUNTIFS(Dyno_Data[Team],TBA_Matches_All[[#This Row],[Team]],Dyno_Data[Match],TBA_Matches_All[[#This Row],[Match_Number]],Dyno_Data[RecordType],"Activities",Dyno_Data[DelDest],"Amp", Dyno_Data[DelMiss],"0", Dyno_Data[Mode],"Teleop")</f>
        <v>0</v>
      </c>
      <c r="AM210">
        <f>COUNTIFS(Dyno_Data[Team],TBA_Matches_All[[#This Row],[Team]],Dyno_Data[Match],TBA_Matches_All[[#This Row],[Match_Number]],Dyno_Data[RecordType],"Activities",Dyno_Data[DelDest],"Spkr", Dyno_Data[DelMiss],"0", Dyno_Data[Mode],"Teleop")</f>
        <v>5</v>
      </c>
      <c r="AN210">
        <f>COUNTIFS(Dyno_Data[Team],TBA_Matches_All[[#This Row],[Team]],Dyno_Data[Match],TBA_Matches_All[[#This Row],[Match_Number]],Dyno_Data[RecordType],"Activities",Dyno_Data[DelDest],"Trap", Dyno_Data[DelMiss],"0", Dyno_Data[Mode],"&lt;&gt;Auto")</f>
        <v>0</v>
      </c>
      <c r="AO210">
        <f>SUM(TBA_Matches_All[[#This Row],[AampT]]+TBA_Matches_All[[#This Row],[AspkrT]]+TBA_Matches_All[[#This Row],[AtrapT]]+TBA_Matches_All[[#This Row],[TampT]]+TBA_Matches_All[[#This Row],[TspkrT]]+TBA_Matches_All[[#This Row],[TtrapT]])</f>
        <v>5</v>
      </c>
      <c r="AP210">
        <f>COUNTIFS(Dyno_Data[Team],TBA_Matches_All[[#This Row],[Team]],Dyno_Data[Match],TBA_Matches_All[[#This Row],[Match_Number]],Dyno_Data[RecordType],"Activities",Dyno_Data[DelDest],"Neut", Dyno_Data[DelMiss],"0")</f>
        <v>0</v>
      </c>
      <c r="AQ210">
        <f>COUNTIFS(Dyno_Data[Team],TBA_Matches_All[[#This Row],[Team]],Dyno_Data[Match],TBA_Matches_All[[#This Row],[Match_Number]],Dyno_Data[RecordType],"Activities",Dyno_Data[DelDest],"AllyW", Dyno_Data[DelMiss],"0")</f>
        <v>0</v>
      </c>
      <c r="AR210" t="str">
        <f>_xlfn.XLOOKUP(SUM(MID(TBA_Matches_All[[#This Row],[Team]],4,5),(TBA_Matches_All[[#This Row],[Match_Number]]/100)),Dyno_EndMatch[teammat],Dyno_EndMatch[RobotSta],"_",0,1)</f>
        <v>Podm</v>
      </c>
      <c r="AS210">
        <f>SUMIFS(Dyno_Data[AcqDis], Dyno_Data[Team],TBA_Matches_All[[#This Row],[Team]],Dyno_Data[Match],TBA_Matches_All[[#This Row],[Match_Number]],Dyno_Data[RecordType],"Activities", Dyno_Data[AcqCenter],1,Dyno_Data[Mode],"Auto")</f>
        <v>0</v>
      </c>
      <c r="AT210">
        <f>SUMIFS(Dyno_Data[AcqDis], Dyno_Data[Team],TBA_Matches_All[[#This Row],[Team]],Dyno_Data[Match],TBA_Matches_All[[#This Row],[Match_Number]],Dyno_Data[RecordType],"Activities", Dyno_Data[AcqCenter],2,Dyno_Data[Mode],"Auto")</f>
        <v>0</v>
      </c>
      <c r="AU210">
        <f>SUMIFS(Dyno_Data[AcqDis], Dyno_Data[Team],TBA_Matches_All[[#This Row],[Team]],Dyno_Data[Match],TBA_Matches_All[[#This Row],[Match_Number]],Dyno_Data[RecordType],"Activities", Dyno_Data[AcqCenter],3,Dyno_Data[Mode],"Auto")</f>
        <v>0</v>
      </c>
      <c r="AV210">
        <f>SUMIFS(Dyno_Data[AcqDis], Dyno_Data[Team],TBA_Matches_All[[#This Row],[Team]],Dyno_Data[Match],TBA_Matches_All[[#This Row],[Match_Number]],Dyno_Data[RecordType],"Activities", Dyno_Data[AcqCenter],4,Dyno_Data[Mode],"Auto")</f>
        <v>0</v>
      </c>
      <c r="AW210">
        <f>SUMIFS(Dyno_Data[AcqDis], Dyno_Data[Team],TBA_Matches_All[[#This Row],[Team]],Dyno_Data[Match],TBA_Matches_All[[#This Row],[Match_Number]],Dyno_Data[RecordType],"Activities", Dyno_Data[AcqCenter],5,Dyno_Data[Mode],"Auto")</f>
        <v>0</v>
      </c>
      <c r="AX210">
        <f>SUMIFS(Dyno_Data[DelMiss], Dyno_Data[Team],TBA_Matches_All[[#This Row],[Team]],Dyno_Data[Match],TBA_Matches_All[[#This Row],[Match_Number]],Dyno_Data[RecordType],"Activities", Dyno_Data[DelDest],"Amp")</f>
        <v>0</v>
      </c>
      <c r="AY210" s="60">
        <f>IFERROR(SUM((TBA_Matches_All[[#This Row],[AampT]]+TBA_Matches_All[[#This Row],[TampT]])/(TBA_Matches_All[[#This Row],[AampT]]+TBA_Matches_All[[#This Row],[TampT]]+TBA_Matches_All[[#This Row],[ampM]])),0)</f>
        <v>0</v>
      </c>
      <c r="AZ210">
        <f>SUMIFS(Dyno_Data[DelMiss], Dyno_Data[Team],TBA_Matches_All[[#This Row],[Team]],Dyno_Data[Match],TBA_Matches_All[[#This Row],[Match_Number]],Dyno_Data[RecordType],"Activities", Dyno_Data[DelDest],"Spkr")</f>
        <v>4</v>
      </c>
      <c r="BA210" s="60">
        <f>IFERROR(SUM((TBA_Matches_All[[#This Row],[AspkrT]]+TBA_Matches_All[[#This Row],[TspkrT]])/(TBA_Matches_All[[#This Row],[AspkrT]]+TBA_Matches_All[[#This Row],[TspkrT]]+TBA_Matches_All[[#This Row],[spkrM]])),0)</f>
        <v>0.55555555555555558</v>
      </c>
      <c r="BB210">
        <f>SUMIFS(Dyno_Data[DelMiss], Dyno_Data[Team],TBA_Matches_All[[#This Row],[Team]],Dyno_Data[Match],TBA_Matches_All[[#This Row],[Match_Number]],Dyno_Data[RecordType],"Activities", Dyno_Data[DelDest],"Trap")</f>
        <v>0</v>
      </c>
      <c r="BC210" s="60">
        <f>IFERROR((TBA_Matches_All[[#This Row],[AtrapT]]+TBA_Matches_All[[#This Row],[TtrapT]])/(TBA_Matches_All[[#This Row],[AtrapT]]+TBA_Matches_All[[#This Row],[TtrapT]]+TBA_Matches_All[[#This Row],[trapM]]),0)</f>
        <v>0</v>
      </c>
      <c r="BD210">
        <f>COUNTIFS(Dyno_Data[Team],TBA_Matches_All[[#This Row],[Team]],Dyno_Data[Match],TBA_Matches_All[[#This Row],[Match_Number]],Dyno_Data[RecordType],"Activities",Dyno_Data[DelDest],"Neut", Dyno_Data[DelMiss],1)</f>
        <v>0</v>
      </c>
      <c r="BE210" s="60">
        <f>IFERROR(SUM((TBA_Matches_All[[#This Row],[NeutFlrT]])/(TBA_Matches_All[[#This Row],[NeutFlrT]]+TBA_Matches_All[[#This Row],[NZflM]])),0)</f>
        <v>0</v>
      </c>
      <c r="BF210">
        <f>COUNTIFS(Dyno_Data[Team],TBA_Matches_All[[#This Row],[Team]],Dyno_Data[Match],TBA_Matches_All[[#This Row],[Match_Number]],Dyno_Data[RecordType],"Activities",Dyno_Data[DelDest],"AllyW", Dyno_Data[DelMiss],1)</f>
        <v>0</v>
      </c>
      <c r="BG210" s="60">
        <f>IFERROR(SUM((TBA_Matches_All[[#This Row],[AllyWFlrT]])/(TBA_Matches_All[[#This Row],[AllyWFlrT]]+TBA_Matches_All[[#This Row],[AZflM]])),0)</f>
        <v>0</v>
      </c>
      <c r="BH210">
        <f>COUNTIFS(Dyno_Data[Team],TBA_Matches_All[[#This Row],[Team]],Dyno_Data[Match],TBA_Matches_All[[#This Row],[Match_Number]],Dyno_Data[RecordType],"Activities",Dyno_Data[DelOrig],"OppW", Dyno_Data[DelMiss],"0")</f>
        <v>0</v>
      </c>
      <c r="BI210">
        <f>COUNTIFS(Dyno_Data[Team],TBA_Matches_All[[#This Row],[Team]],Dyno_Data[Match],TBA_Matches_All[[#This Row],[Match_Number]],Dyno_Data[RecordType],"Activities",Dyno_Data[DelOrig],"OppW", Dyno_Data[DelMiss],"1")</f>
        <v>0</v>
      </c>
      <c r="BJ210" s="60">
        <f>IFERROR(SUM((TBA_Matches_All[[#This Row],[OZflrT]])/(TBA_Matches_All[[#This Row],[OZflrT]]+TBA_Matches_All[[#This Row],[OZflrM]])),0)</f>
        <v>0</v>
      </c>
      <c r="BK210">
        <f>COUNTIFS(Dyno_Data[Team],TBA_Matches_All[[#This Row],[Team]],Dyno_Data[Match],TBA_Matches_All[[#This Row],[Match_Number]],Dyno_Data[RecordType],"Activities",Dyno_Data[DelOrig],"Neut", Dyno_Data[DelMiss],"0")</f>
        <v>0</v>
      </c>
      <c r="BL210">
        <f>COUNTIFS(Dyno_Data[Team],TBA_Matches_All[[#This Row],[Team]],Dyno_Data[Match],TBA_Matches_All[[#This Row],[Match_Number]],Dyno_Data[RecordType],"Activities",Dyno_Data[DelOrig],"Neut", Dyno_Data[DelMiss],"1")</f>
        <v>0</v>
      </c>
      <c r="BM210" s="60">
        <f>IFERROR(SUM((TBA_Matches_All[[#This Row],[NZflrT]])/(TBA_Matches_All[[#This Row],[NZflrT]]+TBA_Matches_All[[#This Row],[NZflrM]])),0)</f>
        <v>0</v>
      </c>
      <c r="BN210">
        <f>COUNTIFS(Dyno_Data[Team],TBA_Matches_All[[#This Row],[Team]],Dyno_Data[Match],TBA_Matches_All[[#This Row],[Match_Number]],Dyno_Data[RecordType],"Activities",Dyno_Data[DelOrig],"AllyW", Dyno_Data[DelMiss],"0")</f>
        <v>0</v>
      </c>
      <c r="BO210">
        <f>COUNTIFS(Dyno_Data[Team],TBA_Matches_All[[#This Row],[Team]],Dyno_Data[Match],TBA_Matches_All[[#This Row],[Match_Number]],Dyno_Data[RecordType],"Activities",Dyno_Data[DelOrig],"AllyW", Dyno_Data[DelMiss],"1")</f>
        <v>0</v>
      </c>
      <c r="BP210" s="60">
        <f>IFERROR(SUM((TBA_Matches_All[[#This Row],[AZflrT]])/(TBA_Matches_All[[#This Row],[AZflrT]]+TBA_Matches_All[[#This Row],[AZflrM]])),0)</f>
        <v>0</v>
      </c>
      <c r="BQ210">
        <f>COUNTIFS(Dyno_Data[Team],TBA_Matches_All[[#This Row],[Team]],Dyno_Data[Match],TBA_Matches_All[[#This Row],[Match_Number]],Dyno_Data[RecordType],"Activities",Dyno_Data[DelOrig],"SubW", Dyno_Data[DelMiss],"0")</f>
        <v>5</v>
      </c>
      <c r="BR210">
        <f>COUNTIFS(Dyno_Data[Team],TBA_Matches_All[[#This Row],[Team]],Dyno_Data[Match],TBA_Matches_All[[#This Row],[Match_Number]],Dyno_Data[RecordType],"Activities",Dyno_Data[DelOrig],"SubW", Dyno_Data[DelMiss],"1")</f>
        <v>4</v>
      </c>
      <c r="BS210" s="60">
        <f>IFERROR(SUM((TBA_Matches_All[[#This Row],[SubwT]])/(TBA_Matches_All[[#This Row],[SubwT]]+TBA_Matches_All[[#This Row],[SubwM]])),0)</f>
        <v>0.55555555555555558</v>
      </c>
      <c r="BT210">
        <f>COUNTIFS(Dyno_Data[Team],TBA_Matches_All[[#This Row],[Team]],Dyno_Data[Match],TBA_Matches_All[[#This Row],[Match_Number]],Dyno_Data[RecordType],"Activities", Dyno_Data[AcqLoc],"OppWing")</f>
        <v>0</v>
      </c>
      <c r="BU210">
        <f>COUNTIFS(Dyno_Data[Team],TBA_Matches_All[[#This Row],[Team]],Dyno_Data[Match],TBA_Matches_All[[#This Row],[Match_Number]],Dyno_Data[RecordType],"Activities", Dyno_Data[AcqLoc],"Neutral")</f>
        <v>0</v>
      </c>
      <c r="BV210">
        <f>COUNTIFS(Dyno_Data[Team],TBA_Matches_All[[#This Row],[Team]],Dyno_Data[Match],TBA_Matches_All[[#This Row],[Match_Number]],Dyno_Data[RecordType],"Activities", Dyno_Data[AcqLoc],"AllyWing")</f>
        <v>0</v>
      </c>
      <c r="BW210">
        <f>COUNTIFS(Dyno_Data[Team],TBA_Matches_All[[#This Row],[Team]],Dyno_Data[Match],TBA_Matches_All[[#This Row],[Match_Number]],Dyno_Data[RecordType],"Activities", Dyno_Data[AcqLoc],"Source")</f>
        <v>0</v>
      </c>
      <c r="BX210">
        <f>SUMIFS(Dyno_Data[AcqDrp], Dyno_Data[Team],TBA_Matches_All[[#This Row],[Team]],Dyno_Data[Match],TBA_Matches_All[[#This Row],[Match_Number]],Dyno_Data[RecordType],"Activities", Dyno_Data[AcqLoc],"Source")</f>
        <v>0</v>
      </c>
      <c r="BY210">
        <f>SUMIFS(Dyno_Data[OZTime], Dyno_Data[Team],TBA_Matches_All[[#This Row],[Team]],Dyno_Data[Match],TBA_Matches_All[[#This Row],[Match_Number]],Dyno_Data[RecordType],"EndMatch")</f>
        <v>26.699034899999997</v>
      </c>
      <c r="BZ210">
        <f>SUMIFS(Dyno_Data[NZTime], Dyno_Data[Team],TBA_Matches_All[[#This Row],[Team]],Dyno_Data[Match],TBA_Matches_All[[#This Row],[Match_Number]],Dyno_Data[RecordType],"EndMatch")</f>
        <v>14.5197202</v>
      </c>
      <c r="CA210">
        <f>SUMIFS(Dyno_Data[AZTime], Dyno_Data[Team],TBA_Matches_All[[#This Row],[Team]],Dyno_Data[Match],TBA_Matches_All[[#This Row],[Match_Number]],Dyno_Data[RecordType],"EndMatch")</f>
        <v>73.043987799999996</v>
      </c>
      <c r="CB210">
        <f>SUMIFS(Dyno_Data[ClimbT], Dyno_Data[Team],TBA_Matches_All[[#This Row],[Team]],Dyno_Data[Match],TBA_Matches_All[[#This Row],[Match_Number]],Dyno_Data[RecordType],"EndMatch")</f>
        <v>13.2443645</v>
      </c>
      <c r="CC210" t="str">
        <f>_xlfn.XLOOKUP(SUM(MID(TBA_Matches_All[[#This Row],[Team]],4,5),(TBA_Matches_All[[#This Row],[Match_Number]]/100)),Dyno_EndMatch[teammat],Dyno_EndMatch[StageStat],"_",0,1)</f>
        <v>On</v>
      </c>
      <c r="CD210" t="str">
        <f>_xlfn.XLOOKUP(TBA_Matches_All[[#This Row],[teammat]],Dyno_EndMatch[teammat],Dyno_EndMatch[StageAtt],"_",0,1)</f>
        <v>1</v>
      </c>
      <c r="CE210" t="str">
        <f>_xlfn.XLOOKUP(TBA_Matches_All[[#This Row],[teammat]],Dyno_EndMatch[teammat],Dyno_EndMatch[StageLoc],"_",0,1)</f>
        <v>C</v>
      </c>
      <c r="CF210">
        <f>SUMIFS(Dyno_Data[Harmony], Dyno_Data[Team],TBA_Matches_All[[#This Row],[Team]],Dyno_Data[Match],TBA_Matches_All[[#This Row],[Match_Number]],Dyno_Data[RecordType],"EndMatch", Dyno_Data[StageStat],"On",Dyno_Data[Harmony],"&lt;&gt;9")</f>
        <v>0</v>
      </c>
      <c r="CG210">
        <f>SUMIFS(Dyno_Data[Spotlit], Dyno_Data[Team],TBA_Matches_All[[#This Row],[Team]],Dyno_Data[Match],TBA_Matches_All[[#This Row],[Match_Number]],Dyno_Data[RecordType],"EndMatch", Dyno_Data[StageStat],"On",Dyno_Data[Spotlit],"&lt;&gt;9")</f>
        <v>0</v>
      </c>
      <c r="CH210" t="str">
        <f>_xlfn.XLOOKUP(TBA_Matches_All[[#This Row],[teammat]],Dyno_EndMatch[teammat],Dyno_EndMatch[Strategy],"_",0,1)</f>
        <v>Hybrid</v>
      </c>
      <c r="CI210">
        <f>SUMIFS(Dyno_Data[Defense], Dyno_Data[Team],TBA_Matches_All[[#This Row],[Team]],Dyno_Data[Match],TBA_Matches_All[[#This Row],[Match_Number]],Dyno_Data[RecordType],"EndMatch",Dyno_Data[Defense],"&lt;&gt;9")</f>
        <v>0</v>
      </c>
      <c r="CJ210">
        <f>SUMIFS(Dyno_Data[Avoidance], Dyno_Data[Team],TBA_Matches_All[[#This Row],[Team]],Dyno_Data[Match],TBA_Matches_All[[#This Row],[Match_Number]],Dyno_Data[RecordType],"EndMatch",Dyno_Data[Avoidance],"&lt;&gt;9")</f>
        <v>0</v>
      </c>
      <c r="CK210" s="82">
        <f>COUNTIF($H$2:TBA_Matches_All[[#This Row],[Team]],TBA_Matches_All[[#This Row],[Team]])</f>
        <v>5</v>
      </c>
      <c r="CL210" s="111">
        <f>SUM(MID(TBA_Matches_All[[#This Row],[Team]],4,5)+TBA_Matches_All[[#This Row],[Match_Number]]/100)</f>
        <v>639.35</v>
      </c>
      <c r="CM210">
        <f>SUM((TBA_Matches_All[[#This Row],[Leave]]*2)+(TBA_Matches_All[[#This Row],[AampT]]*2)+(TBA_Matches_All[[#This Row],[AspkrT]]*5)+(TBA_Matches_All[[#This Row],[AtrapT]]*5))</f>
        <v>0</v>
      </c>
      <c r="CN210" s="59">
        <f>IFERROR(SUM(TBA_Matches_All[[#This Row],[AptsT]]/TBA_Matches_All[[#This Row],[AutoPts]]),0)</f>
        <v>0</v>
      </c>
      <c r="CO210" s="59">
        <f>IFERROR(SUM(TBA_Matches_All[[#This Row],[AampT]]+TBA_Matches_All[[#This Row],[AspkrT]]+TBA_Matches_All[[#This Row],[AtrapT]]/TBA_Matches_All[[#This Row],[Aamp]]+TBA_Matches_All[[#This Row],[Aspkr]]+TBA_Matches_All[[#This Row],[AtrapT]]),0)</f>
        <v>0</v>
      </c>
      <c r="CP210" s="59">
        <f>IFERROR(SUM(TBA_Matches_All[[#This Row],[TampT]]/TBA_Matches_All[[#This Row],[Tamp]]),0)</f>
        <v>0</v>
      </c>
      <c r="CQ210" s="59">
        <f>IFERROR(SUM(TBA_Matches_All[[#This Row],[TspkrT]]/TBA_Matches_All[[#This Row],[Tspkr]]),0)</f>
        <v>0.55555555555555558</v>
      </c>
      <c r="CR210">
        <f>SUM(TBA_Matches_All[[#This Row],[TspkrPts]]*TBA_Matches_All[[#This Row],[TspkrP]])</f>
        <v>15</v>
      </c>
      <c r="CS210" s="59">
        <f>IFERROR(SUM(TBA_Matches_All[[#This Row],[TtrapT]]/TBA_Matches_All[[#This Row],[Trap]]),0)</f>
        <v>0</v>
      </c>
      <c r="CT210" s="59">
        <f>IFERROR(SUM(TBA_Matches_All[[#This Row],[TotNotesT]]/TBA_Matches_All[[#This Row],[TotNotes]]),0)</f>
        <v>0.29411764705882354</v>
      </c>
      <c r="CU210" s="66">
        <f>SUM((TBA_Matches_All[[#This Row],[AampT]]*2)+(TBA_Matches_All[[#This Row],[AspkrT]]*5)+(TBA_Matches_All[[#This Row],[AtrapT]]*5)+(TBA_Matches_All[[#This Row],[TampT]]*1)+(TBA_Matches_All[[#This Row],[TspkrptsC]]))</f>
        <v>15</v>
      </c>
      <c r="CV210" s="59">
        <f>IFERROR(TBA_Matches_All[[#This Row],[noteptsT]]/TBA_Matches_All[[#This Row],[NotePts]],0)</f>
        <v>0.34883720930232559</v>
      </c>
      <c r="CW210">
        <f>SUM(IF(TBA_Matches_All[[#This Row],[stageStat]]="On",3,0),IF(TBA_Matches_All[[#This Row],[stageStat]]="Park",1,0),SUMIFS(TBA_Matches_All[[#This Row],[Spotlit]],TBA_Matches_All[[#This Row],[stageStat]],"On"),SUMIFS(TBA_Matches_All[[#This Row],[Harmony]],TBA_Matches_All[[#This Row],[stageStat]],"On"))</f>
        <v>3</v>
      </c>
      <c r="CX210" s="59">
        <f>IFERROR(TBA_Matches_All[[#This Row],[stageptsT]]/TBA_Matches_All[[#This Row],[StagePts]],0)</f>
        <v>0.42857142857142855</v>
      </c>
      <c r="CY210">
        <f>SUM((TBA_Matches_All[[#This Row],[AptsT]]+TBA_Matches_All[[#This Row],[TampT]]+TBA_Matches_All[[#This Row],[TspkrptsC]]+(TBA_Matches_All[[#This Row],[TtrapT]]*5)+TBA_Matches_All[[#This Row],[stageptsT]]))</f>
        <v>18</v>
      </c>
      <c r="CZ210" s="59">
        <f>IFERROR(SUM(TBA_Matches_All[[#This Row],[TotptsC]]/TBA_Matches_All[[#This Row],[Score]]),0)</f>
        <v>0.34615384615384615</v>
      </c>
      <c r="DA21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19.404761904761905</v>
      </c>
      <c r="DB210" s="74">
        <f>SUMIFS(TBA_Matches_All[AveTeamTNoteDels],TBA_Matches_All[Match_Number],TBA_Matches_All[[#This Row],[Match_Number]],TBA_Matches_All[Alliance],"&lt;&gt;"&amp;TBA_Matches_All[[#This Row],[Alliance]],TBA_Matches_All[Scouted],"&gt;0")</f>
        <v>25.521428571428572</v>
      </c>
      <c r="DC210" s="74">
        <f>(TBA_Matches_All[[#This Row],[TampT]]+TBA_Matches_All[[#This Row],[TspkrptsC]])-TBA_Matches_All[[#This Row],[AveTeamTNoteDels]]</f>
        <v>-4.4047619047619051</v>
      </c>
      <c r="DD210" s="74">
        <f>SUMIFS(TBA_Matches_All[AveTeamTNoteDels],TBA_Matches_All[Match_Number],TBA_Matches_All[[#This Row],[Match_Number]],TBA_Matches_All[Alliance],"&lt;&gt;"&amp;TBA_Matches_All[[#This Row],[Alliance]])-TBA_Matches_All[[#This Row],[AveOppTNoteDels]]</f>
        <v>0</v>
      </c>
    </row>
    <row r="211" spans="1:108" x14ac:dyDescent="0.3">
      <c r="A211" t="s">
        <v>1042</v>
      </c>
      <c r="B211" t="s">
        <v>489</v>
      </c>
      <c r="C211" t="s">
        <v>1344</v>
      </c>
      <c r="D211">
        <v>35</v>
      </c>
      <c r="E211" t="s">
        <v>1420</v>
      </c>
      <c r="F211" t="s">
        <v>1423</v>
      </c>
      <c r="G211" t="s">
        <v>1409</v>
      </c>
      <c r="H211" t="s">
        <v>1318</v>
      </c>
      <c r="I211" t="b">
        <v>1</v>
      </c>
      <c r="J211">
        <v>42</v>
      </c>
      <c r="K211">
        <v>1</v>
      </c>
      <c r="L211">
        <v>0</v>
      </c>
      <c r="M211">
        <v>0</v>
      </c>
      <c r="N211">
        <v>0</v>
      </c>
      <c r="O211">
        <v>1</v>
      </c>
      <c r="P211">
        <v>5</v>
      </c>
      <c r="Q211">
        <v>9</v>
      </c>
      <c r="R211">
        <v>5</v>
      </c>
      <c r="S211">
        <v>3</v>
      </c>
      <c r="T211">
        <v>6</v>
      </c>
      <c r="U211">
        <v>15</v>
      </c>
      <c r="V211">
        <v>12</v>
      </c>
      <c r="W211">
        <v>9</v>
      </c>
      <c r="X211">
        <v>27</v>
      </c>
      <c r="Y211">
        <v>32</v>
      </c>
      <c r="Z211">
        <v>0</v>
      </c>
      <c r="AA211">
        <v>0</v>
      </c>
      <c r="AB211">
        <v>15</v>
      </c>
      <c r="AC211">
        <v>37</v>
      </c>
      <c r="AD211">
        <v>1</v>
      </c>
      <c r="AE211">
        <f>IFERROR(6/(COUNTIF(Dyno_EndMatch[Match],TBA_Matches_All[[#This Row],[Match_Number]])),0)</f>
        <v>1</v>
      </c>
      <c r="AF211">
        <f>COUNTIFS(Dyno_Data[Team],TBA_Matches_All[[#This Row],[Team]],Dyno_Data[Match],TBA_Matches_All[[#This Row],[Match_Number]],Dyno_Data[RecordType],"EndMatch",Dyno_Data[HPAmp],"Y")</f>
        <v>0</v>
      </c>
      <c r="AG211">
        <f>SUMIFS(Dyno_Data[Mics], Dyno_Data[Team],TBA_Matches_All[[#This Row],[Team]],Dyno_Data[Match],TBA_Matches_All[[#This Row],[Match_Number]],Dyno_Data[RecordType],"EndMatch",Dyno_Data[HPAmp],"Y")</f>
        <v>0</v>
      </c>
      <c r="AH211">
        <f>SUMIFS(Dyno_Data[Leave], Dyno_Data[Team],TBA_Matches_All[[#This Row],[Team]],Dyno_Data[Match],TBA_Matches_All[[#This Row],[Match_Number]],Dyno_Data[RecordType],"EndAuto")</f>
        <v>1</v>
      </c>
      <c r="AI211">
        <f>COUNTIFS(Dyno_Data[Team],TBA_Matches_All[[#This Row],[Team]],Dyno_Data[Match],TBA_Matches_All[[#This Row],[Match_Number]],Dyno_Data[RecordType],"Activities",Dyno_Data[DelDest],"Amp", Dyno_Data[DelMiss],"0", Dyno_Data[Mode],"Auto")</f>
        <v>0</v>
      </c>
      <c r="AJ211">
        <f>COUNTIFS(Dyno_Data[Team],TBA_Matches_All[[#This Row],[Team]],Dyno_Data[Match],TBA_Matches_All[[#This Row],[Match_Number]],Dyno_Data[RecordType],"Activities",Dyno_Data[DelDest],"Spkr", Dyno_Data[DelMiss],"0", Dyno_Data[Mode],"Auto")</f>
        <v>0</v>
      </c>
      <c r="AK211">
        <f>COUNTIFS(Dyno_Data[Team],TBA_Matches_All[[#This Row],[Team]],Dyno_Data[Match],TBA_Matches_All[[#This Row],[Match_Number]],Dyno_Data[RecordType],"Activities",Dyno_Data[DelDest],"Trap", Dyno_Data[DelMiss],"0", Dyno_Data[Mode],"Auto")</f>
        <v>0</v>
      </c>
      <c r="AL211">
        <f>COUNTIFS(Dyno_Data[Team],TBA_Matches_All[[#This Row],[Team]],Dyno_Data[Match],TBA_Matches_All[[#This Row],[Match_Number]],Dyno_Data[RecordType],"Activities",Dyno_Data[DelDest],"Amp", Dyno_Data[DelMiss],"0", Dyno_Data[Mode],"Teleop")</f>
        <v>0</v>
      </c>
      <c r="AM211">
        <f>COUNTIFS(Dyno_Data[Team],TBA_Matches_All[[#This Row],[Team]],Dyno_Data[Match],TBA_Matches_All[[#This Row],[Match_Number]],Dyno_Data[RecordType],"Activities",Dyno_Data[DelDest],"Spkr", Dyno_Data[DelMiss],"0", Dyno_Data[Mode],"Teleop")</f>
        <v>4</v>
      </c>
      <c r="AN211">
        <f>COUNTIFS(Dyno_Data[Team],TBA_Matches_All[[#This Row],[Team]],Dyno_Data[Match],TBA_Matches_All[[#This Row],[Match_Number]],Dyno_Data[RecordType],"Activities",Dyno_Data[DelDest],"Trap", Dyno_Data[DelMiss],"0", Dyno_Data[Mode],"&lt;&gt;Auto")</f>
        <v>0</v>
      </c>
      <c r="AO211">
        <f>SUM(TBA_Matches_All[[#This Row],[AampT]]+TBA_Matches_All[[#This Row],[AspkrT]]+TBA_Matches_All[[#This Row],[AtrapT]]+TBA_Matches_All[[#This Row],[TampT]]+TBA_Matches_All[[#This Row],[TspkrT]]+TBA_Matches_All[[#This Row],[TtrapT]])</f>
        <v>4</v>
      </c>
      <c r="AP211">
        <f>COUNTIFS(Dyno_Data[Team],TBA_Matches_All[[#This Row],[Team]],Dyno_Data[Match],TBA_Matches_All[[#This Row],[Match_Number]],Dyno_Data[RecordType],"Activities",Dyno_Data[DelDest],"Neut", Dyno_Data[DelMiss],"0")</f>
        <v>0</v>
      </c>
      <c r="AQ211">
        <f>COUNTIFS(Dyno_Data[Team],TBA_Matches_All[[#This Row],[Team]],Dyno_Data[Match],TBA_Matches_All[[#This Row],[Match_Number]],Dyno_Data[RecordType],"Activities",Dyno_Data[DelDest],"AllyW", Dyno_Data[DelMiss],"0")</f>
        <v>1</v>
      </c>
      <c r="AR211" t="str">
        <f>_xlfn.XLOOKUP(SUM(MID(TBA_Matches_All[[#This Row],[Team]],4,5),(TBA_Matches_All[[#This Row],[Match_Number]]/100)),Dyno_EndMatch[teammat],Dyno_EndMatch[RobotSta],"_",0,1)</f>
        <v>Podm</v>
      </c>
      <c r="AS211">
        <f>SUMIFS(Dyno_Data[AcqDis], Dyno_Data[Team],TBA_Matches_All[[#This Row],[Team]],Dyno_Data[Match],TBA_Matches_All[[#This Row],[Match_Number]],Dyno_Data[RecordType],"Activities", Dyno_Data[AcqCenter],1,Dyno_Data[Mode],"Auto")</f>
        <v>0</v>
      </c>
      <c r="AT211">
        <f>SUMIFS(Dyno_Data[AcqDis], Dyno_Data[Team],TBA_Matches_All[[#This Row],[Team]],Dyno_Data[Match],TBA_Matches_All[[#This Row],[Match_Number]],Dyno_Data[RecordType],"Activities", Dyno_Data[AcqCenter],2,Dyno_Data[Mode],"Auto")</f>
        <v>0</v>
      </c>
      <c r="AU211">
        <f>SUMIFS(Dyno_Data[AcqDis], Dyno_Data[Team],TBA_Matches_All[[#This Row],[Team]],Dyno_Data[Match],TBA_Matches_All[[#This Row],[Match_Number]],Dyno_Data[RecordType],"Activities", Dyno_Data[AcqCenter],3,Dyno_Data[Mode],"Auto")</f>
        <v>0</v>
      </c>
      <c r="AV211">
        <f>SUMIFS(Dyno_Data[AcqDis], Dyno_Data[Team],TBA_Matches_All[[#This Row],[Team]],Dyno_Data[Match],TBA_Matches_All[[#This Row],[Match_Number]],Dyno_Data[RecordType],"Activities", Dyno_Data[AcqCenter],4,Dyno_Data[Mode],"Auto")</f>
        <v>0</v>
      </c>
      <c r="AW211">
        <f>SUMIFS(Dyno_Data[AcqDis], Dyno_Data[Team],TBA_Matches_All[[#This Row],[Team]],Dyno_Data[Match],TBA_Matches_All[[#This Row],[Match_Number]],Dyno_Data[RecordType],"Activities", Dyno_Data[AcqCenter],5,Dyno_Data[Mode],"Auto")</f>
        <v>0</v>
      </c>
      <c r="AX211">
        <f>SUMIFS(Dyno_Data[DelMiss], Dyno_Data[Team],TBA_Matches_All[[#This Row],[Team]],Dyno_Data[Match],TBA_Matches_All[[#This Row],[Match_Number]],Dyno_Data[RecordType],"Activities", Dyno_Data[DelDest],"Amp")</f>
        <v>0</v>
      </c>
      <c r="AY211" s="60">
        <f>IFERROR(SUM((TBA_Matches_All[[#This Row],[AampT]]+TBA_Matches_All[[#This Row],[TampT]])/(TBA_Matches_All[[#This Row],[AampT]]+TBA_Matches_All[[#This Row],[TampT]]+TBA_Matches_All[[#This Row],[ampM]])),0)</f>
        <v>0</v>
      </c>
      <c r="AZ211">
        <f>SUMIFS(Dyno_Data[DelMiss], Dyno_Data[Team],TBA_Matches_All[[#This Row],[Team]],Dyno_Data[Match],TBA_Matches_All[[#This Row],[Match_Number]],Dyno_Data[RecordType],"Activities", Dyno_Data[DelDest],"Spkr")</f>
        <v>1</v>
      </c>
      <c r="BA211" s="60">
        <f>IFERROR(SUM((TBA_Matches_All[[#This Row],[AspkrT]]+TBA_Matches_All[[#This Row],[TspkrT]])/(TBA_Matches_All[[#This Row],[AspkrT]]+TBA_Matches_All[[#This Row],[TspkrT]]+TBA_Matches_All[[#This Row],[spkrM]])),0)</f>
        <v>0.8</v>
      </c>
      <c r="BB211">
        <f>SUMIFS(Dyno_Data[DelMiss], Dyno_Data[Team],TBA_Matches_All[[#This Row],[Team]],Dyno_Data[Match],TBA_Matches_All[[#This Row],[Match_Number]],Dyno_Data[RecordType],"Activities", Dyno_Data[DelDest],"Trap")</f>
        <v>0</v>
      </c>
      <c r="BC211" s="60">
        <f>IFERROR((TBA_Matches_All[[#This Row],[AtrapT]]+TBA_Matches_All[[#This Row],[TtrapT]])/(TBA_Matches_All[[#This Row],[AtrapT]]+TBA_Matches_All[[#This Row],[TtrapT]]+TBA_Matches_All[[#This Row],[trapM]]),0)</f>
        <v>0</v>
      </c>
      <c r="BD211">
        <f>COUNTIFS(Dyno_Data[Team],TBA_Matches_All[[#This Row],[Team]],Dyno_Data[Match],TBA_Matches_All[[#This Row],[Match_Number]],Dyno_Data[RecordType],"Activities",Dyno_Data[DelDest],"Neut", Dyno_Data[DelMiss],1)</f>
        <v>0</v>
      </c>
      <c r="BE211" s="60">
        <f>IFERROR(SUM((TBA_Matches_All[[#This Row],[NeutFlrT]])/(TBA_Matches_All[[#This Row],[NeutFlrT]]+TBA_Matches_All[[#This Row],[NZflM]])),0)</f>
        <v>0</v>
      </c>
      <c r="BF211">
        <f>COUNTIFS(Dyno_Data[Team],TBA_Matches_All[[#This Row],[Team]],Dyno_Data[Match],TBA_Matches_All[[#This Row],[Match_Number]],Dyno_Data[RecordType],"Activities",Dyno_Data[DelDest],"AllyW", Dyno_Data[DelMiss],1)</f>
        <v>0</v>
      </c>
      <c r="BG211" s="60">
        <f>IFERROR(SUM((TBA_Matches_All[[#This Row],[AllyWFlrT]])/(TBA_Matches_All[[#This Row],[AllyWFlrT]]+TBA_Matches_All[[#This Row],[AZflM]])),0)</f>
        <v>1</v>
      </c>
      <c r="BH211">
        <f>COUNTIFS(Dyno_Data[Team],TBA_Matches_All[[#This Row],[Team]],Dyno_Data[Match],TBA_Matches_All[[#This Row],[Match_Number]],Dyno_Data[RecordType],"Activities",Dyno_Data[DelOrig],"OppW", Dyno_Data[DelMiss],"0")</f>
        <v>0</v>
      </c>
      <c r="BI211">
        <f>COUNTIFS(Dyno_Data[Team],TBA_Matches_All[[#This Row],[Team]],Dyno_Data[Match],TBA_Matches_All[[#This Row],[Match_Number]],Dyno_Data[RecordType],"Activities",Dyno_Data[DelOrig],"OppW", Dyno_Data[DelMiss],"1")</f>
        <v>0</v>
      </c>
      <c r="BJ211" s="60">
        <f>IFERROR(SUM((TBA_Matches_All[[#This Row],[OZflrT]])/(TBA_Matches_All[[#This Row],[OZflrT]]+TBA_Matches_All[[#This Row],[OZflrM]])),0)</f>
        <v>0</v>
      </c>
      <c r="BK211">
        <f>COUNTIFS(Dyno_Data[Team],TBA_Matches_All[[#This Row],[Team]],Dyno_Data[Match],TBA_Matches_All[[#This Row],[Match_Number]],Dyno_Data[RecordType],"Activities",Dyno_Data[DelOrig],"Neut", Dyno_Data[DelMiss],"0")</f>
        <v>0</v>
      </c>
      <c r="BL211">
        <f>COUNTIFS(Dyno_Data[Team],TBA_Matches_All[[#This Row],[Team]],Dyno_Data[Match],TBA_Matches_All[[#This Row],[Match_Number]],Dyno_Data[RecordType],"Activities",Dyno_Data[DelOrig],"Neut", Dyno_Data[DelMiss],"1")</f>
        <v>0</v>
      </c>
      <c r="BM211" s="60">
        <f>IFERROR(SUM((TBA_Matches_All[[#This Row],[NZflrT]])/(TBA_Matches_All[[#This Row],[NZflrT]]+TBA_Matches_All[[#This Row],[NZflrM]])),0)</f>
        <v>0</v>
      </c>
      <c r="BN211">
        <f>COUNTIFS(Dyno_Data[Team],TBA_Matches_All[[#This Row],[Team]],Dyno_Data[Match],TBA_Matches_All[[#This Row],[Match_Number]],Dyno_Data[RecordType],"Activities",Dyno_Data[DelOrig],"AllyW", Dyno_Data[DelMiss],"0")</f>
        <v>2</v>
      </c>
      <c r="BO211">
        <f>COUNTIFS(Dyno_Data[Team],TBA_Matches_All[[#This Row],[Team]],Dyno_Data[Match],TBA_Matches_All[[#This Row],[Match_Number]],Dyno_Data[RecordType],"Activities",Dyno_Data[DelOrig],"AllyW", Dyno_Data[DelMiss],"1")</f>
        <v>0</v>
      </c>
      <c r="BP211" s="60">
        <f>IFERROR(SUM((TBA_Matches_All[[#This Row],[AZflrT]])/(TBA_Matches_All[[#This Row],[AZflrT]]+TBA_Matches_All[[#This Row],[AZflrM]])),0)</f>
        <v>1</v>
      </c>
      <c r="BQ211">
        <f>COUNTIFS(Dyno_Data[Team],TBA_Matches_All[[#This Row],[Team]],Dyno_Data[Match],TBA_Matches_All[[#This Row],[Match_Number]],Dyno_Data[RecordType],"Activities",Dyno_Data[DelOrig],"SubW", Dyno_Data[DelMiss],"0")</f>
        <v>3</v>
      </c>
      <c r="BR211">
        <f>COUNTIFS(Dyno_Data[Team],TBA_Matches_All[[#This Row],[Team]],Dyno_Data[Match],TBA_Matches_All[[#This Row],[Match_Number]],Dyno_Data[RecordType],"Activities",Dyno_Data[DelOrig],"SubW", Dyno_Data[DelMiss],"1")</f>
        <v>1</v>
      </c>
      <c r="BS211" s="60">
        <f>IFERROR(SUM((TBA_Matches_All[[#This Row],[SubwT]])/(TBA_Matches_All[[#This Row],[SubwT]]+TBA_Matches_All[[#This Row],[SubwM]])),0)</f>
        <v>0.75</v>
      </c>
      <c r="BT211">
        <f>COUNTIFS(Dyno_Data[Team],TBA_Matches_All[[#This Row],[Team]],Dyno_Data[Match],TBA_Matches_All[[#This Row],[Match_Number]],Dyno_Data[RecordType],"Activities", Dyno_Data[AcqLoc],"OppWing")</f>
        <v>0</v>
      </c>
      <c r="BU211">
        <f>COUNTIFS(Dyno_Data[Team],TBA_Matches_All[[#This Row],[Team]],Dyno_Data[Match],TBA_Matches_All[[#This Row],[Match_Number]],Dyno_Data[RecordType],"Activities", Dyno_Data[AcqLoc],"Neutral")</f>
        <v>0</v>
      </c>
      <c r="BV211">
        <f>COUNTIFS(Dyno_Data[Team],TBA_Matches_All[[#This Row],[Team]],Dyno_Data[Match],TBA_Matches_All[[#This Row],[Match_Number]],Dyno_Data[RecordType],"Activities", Dyno_Data[AcqLoc],"AllyWing")</f>
        <v>0</v>
      </c>
      <c r="BW211">
        <f>COUNTIFS(Dyno_Data[Team],TBA_Matches_All[[#This Row],[Team]],Dyno_Data[Match],TBA_Matches_All[[#This Row],[Match_Number]],Dyno_Data[RecordType],"Activities", Dyno_Data[AcqLoc],"Source")</f>
        <v>0</v>
      </c>
      <c r="BX211">
        <f>SUMIFS(Dyno_Data[AcqDrp], Dyno_Data[Team],TBA_Matches_All[[#This Row],[Team]],Dyno_Data[Match],TBA_Matches_All[[#This Row],[Match_Number]],Dyno_Data[RecordType],"Activities", Dyno_Data[AcqLoc],"Source")</f>
        <v>0</v>
      </c>
      <c r="BY211">
        <f>SUMIFS(Dyno_Data[OZTime], Dyno_Data[Team],TBA_Matches_All[[#This Row],[Team]],Dyno_Data[Match],TBA_Matches_All[[#This Row],[Match_Number]],Dyno_Data[RecordType],"EndMatch")</f>
        <v>29.412975099999997</v>
      </c>
      <c r="BZ211">
        <f>SUMIFS(Dyno_Data[NZTime], Dyno_Data[Team],TBA_Matches_All[[#This Row],[Team]],Dyno_Data[Match],TBA_Matches_All[[#This Row],[Match_Number]],Dyno_Data[RecordType],"EndMatch")</f>
        <v>19.053282199999998</v>
      </c>
      <c r="CA211">
        <f>SUMIFS(Dyno_Data[AZTime], Dyno_Data[Team],TBA_Matches_All[[#This Row],[Team]],Dyno_Data[Match],TBA_Matches_All[[#This Row],[Match_Number]],Dyno_Data[RecordType],"EndMatch")</f>
        <v>87.35503349999999</v>
      </c>
      <c r="CB211">
        <f>SUMIFS(Dyno_Data[ClimbT], Dyno_Data[Team],TBA_Matches_All[[#This Row],[Team]],Dyno_Data[Match],TBA_Matches_All[[#This Row],[Match_Number]],Dyno_Data[RecordType],"EndMatch")</f>
        <v>0</v>
      </c>
      <c r="CC211" t="str">
        <f>_xlfn.XLOOKUP(SUM(MID(TBA_Matches_All[[#This Row],[Team]],4,5),(TBA_Matches_All[[#This Row],[Match_Number]]/100)),Dyno_EndMatch[teammat],Dyno_EndMatch[StageStat],"_",0,1)</f>
        <v>Else</v>
      </c>
      <c r="CD211" t="str">
        <f>_xlfn.XLOOKUP(TBA_Matches_All[[#This Row],[teammat]],Dyno_EndMatch[teammat],Dyno_EndMatch[StageAtt],"_",0,1)</f>
        <v>0</v>
      </c>
      <c r="CE211" t="str">
        <f>_xlfn.XLOOKUP(TBA_Matches_All[[#This Row],[teammat]],Dyno_EndMatch[teammat],Dyno_EndMatch[StageLoc],"_",0,1)</f>
        <v>A</v>
      </c>
      <c r="CF211">
        <f>SUMIFS(Dyno_Data[Harmony], Dyno_Data[Team],TBA_Matches_All[[#This Row],[Team]],Dyno_Data[Match],TBA_Matches_All[[#This Row],[Match_Number]],Dyno_Data[RecordType],"EndMatch", Dyno_Data[StageStat],"On",Dyno_Data[Harmony],"&lt;&gt;9")</f>
        <v>0</v>
      </c>
      <c r="CG211">
        <f>SUMIFS(Dyno_Data[Spotlit], Dyno_Data[Team],TBA_Matches_All[[#This Row],[Team]],Dyno_Data[Match],TBA_Matches_All[[#This Row],[Match_Number]],Dyno_Data[RecordType],"EndMatch", Dyno_Data[StageStat],"On",Dyno_Data[Spotlit],"&lt;&gt;9")</f>
        <v>0</v>
      </c>
      <c r="CH211" t="str">
        <f>_xlfn.XLOOKUP(TBA_Matches_All[[#This Row],[teammat]],Dyno_EndMatch[teammat],Dyno_EndMatch[Strategy],"_",0,1)</f>
        <v>Hybrid</v>
      </c>
      <c r="CI211">
        <f>SUMIFS(Dyno_Data[Defense], Dyno_Data[Team],TBA_Matches_All[[#This Row],[Team]],Dyno_Data[Match],TBA_Matches_All[[#This Row],[Match_Number]],Dyno_Data[RecordType],"EndMatch",Dyno_Data[Defense],"&lt;&gt;9")</f>
        <v>0</v>
      </c>
      <c r="CJ211">
        <f>SUMIFS(Dyno_Data[Avoidance], Dyno_Data[Team],TBA_Matches_All[[#This Row],[Team]],Dyno_Data[Match],TBA_Matches_All[[#This Row],[Match_Number]],Dyno_Data[RecordType],"EndMatch",Dyno_Data[Avoidance],"&lt;&gt;9")</f>
        <v>0</v>
      </c>
      <c r="CK211" s="82">
        <f>COUNTIF($H$2:TBA_Matches_All[[#This Row],[Team]],TBA_Matches_All[[#This Row],[Team]])</f>
        <v>5</v>
      </c>
      <c r="CL211" s="111">
        <f>SUM(MID(TBA_Matches_All[[#This Row],[Team]],4,5)+TBA_Matches_All[[#This Row],[Match_Number]]/100)</f>
        <v>7709.35</v>
      </c>
      <c r="CM211">
        <f>SUM((TBA_Matches_All[[#This Row],[Leave]]*2)+(TBA_Matches_All[[#This Row],[AampT]]*2)+(TBA_Matches_All[[#This Row],[AspkrT]]*5)+(TBA_Matches_All[[#This Row],[AtrapT]]*5))</f>
        <v>2</v>
      </c>
      <c r="CN211" s="59">
        <f>IFERROR(SUM(TBA_Matches_All[[#This Row],[AptsT]]/TBA_Matches_All[[#This Row],[AutoPts]]),0)</f>
        <v>0.22222222222222221</v>
      </c>
      <c r="CO211" s="59">
        <f>IFERROR(SUM(TBA_Matches_All[[#This Row],[AampT]]+TBA_Matches_All[[#This Row],[AspkrT]]+TBA_Matches_All[[#This Row],[AtrapT]]/TBA_Matches_All[[#This Row],[Aamp]]+TBA_Matches_All[[#This Row],[Aspkr]]+TBA_Matches_All[[#This Row],[AtrapT]]),0)</f>
        <v>0</v>
      </c>
      <c r="CP211" s="59">
        <f>IFERROR(SUM(TBA_Matches_All[[#This Row],[TampT]]/TBA_Matches_All[[#This Row],[Tamp]]),0)</f>
        <v>0</v>
      </c>
      <c r="CQ211" s="59">
        <f>IFERROR(SUM(TBA_Matches_All[[#This Row],[TspkrT]]/TBA_Matches_All[[#This Row],[Tspkr]]),0)</f>
        <v>0.44444444444444442</v>
      </c>
      <c r="CR211">
        <f>SUM(TBA_Matches_All[[#This Row],[TspkrPts]]*TBA_Matches_All[[#This Row],[TspkrP]])</f>
        <v>12</v>
      </c>
      <c r="CS211" s="59">
        <f>IFERROR(SUM(TBA_Matches_All[[#This Row],[TtrapT]]/TBA_Matches_All[[#This Row],[Trap]]),0)</f>
        <v>0</v>
      </c>
      <c r="CT211" s="59">
        <f>IFERROR(SUM(TBA_Matches_All[[#This Row],[TotNotesT]]/TBA_Matches_All[[#This Row],[TotNotes]]),0)</f>
        <v>0.26666666666666666</v>
      </c>
      <c r="CU211" s="66">
        <f>SUM((TBA_Matches_All[[#This Row],[AampT]]*2)+(TBA_Matches_All[[#This Row],[AspkrT]]*5)+(TBA_Matches_All[[#This Row],[AtrapT]]*5)+(TBA_Matches_All[[#This Row],[TampT]]*1)+(TBA_Matches_All[[#This Row],[TspkrptsC]]))</f>
        <v>12</v>
      </c>
      <c r="CV211" s="59">
        <f>IFERROR(TBA_Matches_All[[#This Row],[noteptsT]]/TBA_Matches_All[[#This Row],[NotePts]],0)</f>
        <v>0.32432432432432434</v>
      </c>
      <c r="CW211">
        <f>SUM(IF(TBA_Matches_All[[#This Row],[stageStat]]="On",3,0),IF(TBA_Matches_All[[#This Row],[stageStat]]="Park",1,0),SUMIFS(TBA_Matches_All[[#This Row],[Spotlit]],TBA_Matches_All[[#This Row],[stageStat]],"On"),SUMIFS(TBA_Matches_All[[#This Row],[Harmony]],TBA_Matches_All[[#This Row],[stageStat]],"On"))</f>
        <v>0</v>
      </c>
      <c r="CX211" s="59">
        <f>IFERROR(TBA_Matches_All[[#This Row],[stageptsT]]/TBA_Matches_All[[#This Row],[StagePts]],0)</f>
        <v>0</v>
      </c>
      <c r="CY211">
        <f>SUM((TBA_Matches_All[[#This Row],[AptsT]]+TBA_Matches_All[[#This Row],[TampT]]+TBA_Matches_All[[#This Row],[TspkrptsC]]+(TBA_Matches_All[[#This Row],[TtrapT]]*5)+TBA_Matches_All[[#This Row],[stageptsT]]))</f>
        <v>14</v>
      </c>
      <c r="CZ211" s="59">
        <f>IFERROR(SUM(TBA_Matches_All[[#This Row],[TotptsC]]/TBA_Matches_All[[#This Row],[Score]]),0)</f>
        <v>0.33333333333333331</v>
      </c>
      <c r="DA21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14.4</v>
      </c>
      <c r="DB211" s="74">
        <f>SUMIFS(TBA_Matches_All[AveTeamTNoteDels],TBA_Matches_All[Match_Number],TBA_Matches_All[[#This Row],[Match_Number]],TBA_Matches_All[Alliance],"&lt;&gt;"&amp;TBA_Matches_All[[#This Row],[Alliance]],TBA_Matches_All[Scouted],"&gt;0")</f>
        <v>31.43333333333333</v>
      </c>
      <c r="DC211" s="74">
        <f>(TBA_Matches_All[[#This Row],[TampT]]+TBA_Matches_All[[#This Row],[TspkrptsC]])-TBA_Matches_All[[#This Row],[AveTeamTNoteDels]]</f>
        <v>-2.4000000000000004</v>
      </c>
      <c r="DD211" s="74">
        <f>SUMIFS(TBA_Matches_All[AveTeamTNoteDels],TBA_Matches_All[Match_Number],TBA_Matches_All[[#This Row],[Match_Number]],TBA_Matches_All[Alliance],"&lt;&gt;"&amp;TBA_Matches_All[[#This Row],[Alliance]])-TBA_Matches_All[[#This Row],[AveOppTNoteDels]]</f>
        <v>0</v>
      </c>
    </row>
    <row r="212" spans="1:108" x14ac:dyDescent="0.3">
      <c r="A212" t="s">
        <v>1042</v>
      </c>
      <c r="B212" t="s">
        <v>489</v>
      </c>
      <c r="C212" t="s">
        <v>1344</v>
      </c>
      <c r="D212">
        <v>35</v>
      </c>
      <c r="E212" t="s">
        <v>1406</v>
      </c>
      <c r="F212" t="s">
        <v>1424</v>
      </c>
      <c r="G212" t="s">
        <v>1409</v>
      </c>
      <c r="H212" t="s">
        <v>1317</v>
      </c>
      <c r="I212" t="b">
        <v>1</v>
      </c>
      <c r="J212">
        <v>52</v>
      </c>
      <c r="K212">
        <v>1</v>
      </c>
      <c r="L212">
        <v>0</v>
      </c>
      <c r="M212">
        <v>0</v>
      </c>
      <c r="N212">
        <v>0</v>
      </c>
      <c r="O212">
        <v>2</v>
      </c>
      <c r="P212">
        <v>10</v>
      </c>
      <c r="Q212">
        <v>12</v>
      </c>
      <c r="R212">
        <v>6</v>
      </c>
      <c r="S212">
        <v>3</v>
      </c>
      <c r="T212">
        <v>6</v>
      </c>
      <c r="U212">
        <v>15</v>
      </c>
      <c r="V212">
        <v>12</v>
      </c>
      <c r="W212">
        <v>9</v>
      </c>
      <c r="X212">
        <v>27</v>
      </c>
      <c r="Y212">
        <v>33</v>
      </c>
      <c r="Z212">
        <v>0</v>
      </c>
      <c r="AA212">
        <v>0</v>
      </c>
      <c r="AB212">
        <v>17</v>
      </c>
      <c r="AC212">
        <v>43</v>
      </c>
      <c r="AD212">
        <v>7</v>
      </c>
      <c r="AE212">
        <f>IFERROR(6/(COUNTIF(Dyno_EndMatch[Match],TBA_Matches_All[[#This Row],[Match_Number]])),0)</f>
        <v>1</v>
      </c>
      <c r="AF212">
        <f>COUNTIFS(Dyno_Data[Team],TBA_Matches_All[[#This Row],[Team]],Dyno_Data[Match],TBA_Matches_All[[#This Row],[Match_Number]],Dyno_Data[RecordType],"EndMatch",Dyno_Data[HPAmp],"Y")</f>
        <v>0</v>
      </c>
      <c r="AG212">
        <f>SUMIFS(Dyno_Data[Mics], Dyno_Data[Team],TBA_Matches_All[[#This Row],[Team]],Dyno_Data[Match],TBA_Matches_All[[#This Row],[Match_Number]],Dyno_Data[RecordType],"EndMatch",Dyno_Data[HPAmp],"Y")</f>
        <v>0</v>
      </c>
      <c r="AH212">
        <f>SUMIFS(Dyno_Data[Leave], Dyno_Data[Team],TBA_Matches_All[[#This Row],[Team]],Dyno_Data[Match],TBA_Matches_All[[#This Row],[Match_Number]],Dyno_Data[RecordType],"EndAuto")</f>
        <v>0</v>
      </c>
      <c r="AI212">
        <f>COUNTIFS(Dyno_Data[Team],TBA_Matches_All[[#This Row],[Team]],Dyno_Data[Match],TBA_Matches_All[[#This Row],[Match_Number]],Dyno_Data[RecordType],"Activities",Dyno_Data[DelDest],"Amp", Dyno_Data[DelMiss],"0", Dyno_Data[Mode],"Auto")</f>
        <v>0</v>
      </c>
      <c r="AJ212">
        <f>COUNTIFS(Dyno_Data[Team],TBA_Matches_All[[#This Row],[Team]],Dyno_Data[Match],TBA_Matches_All[[#This Row],[Match_Number]],Dyno_Data[RecordType],"Activities",Dyno_Data[DelDest],"Spkr", Dyno_Data[DelMiss],"0", Dyno_Data[Mode],"Auto")</f>
        <v>2</v>
      </c>
      <c r="AK212">
        <f>COUNTIFS(Dyno_Data[Team],TBA_Matches_All[[#This Row],[Team]],Dyno_Data[Match],TBA_Matches_All[[#This Row],[Match_Number]],Dyno_Data[RecordType],"Activities",Dyno_Data[DelDest],"Trap", Dyno_Data[DelMiss],"0", Dyno_Data[Mode],"Auto")</f>
        <v>0</v>
      </c>
      <c r="AL212">
        <f>COUNTIFS(Dyno_Data[Team],TBA_Matches_All[[#This Row],[Team]],Dyno_Data[Match],TBA_Matches_All[[#This Row],[Match_Number]],Dyno_Data[RecordType],"Activities",Dyno_Data[DelDest],"Amp", Dyno_Data[DelMiss],"0", Dyno_Data[Mode],"Teleop")</f>
        <v>0</v>
      </c>
      <c r="AM212">
        <f>COUNTIFS(Dyno_Data[Team],TBA_Matches_All[[#This Row],[Team]],Dyno_Data[Match],TBA_Matches_All[[#This Row],[Match_Number]],Dyno_Data[RecordType],"Activities",Dyno_Data[DelDest],"Spkr", Dyno_Data[DelMiss],"0", Dyno_Data[Mode],"Teleop")</f>
        <v>5</v>
      </c>
      <c r="AN212">
        <f>COUNTIFS(Dyno_Data[Team],TBA_Matches_All[[#This Row],[Team]],Dyno_Data[Match],TBA_Matches_All[[#This Row],[Match_Number]],Dyno_Data[RecordType],"Activities",Dyno_Data[DelDest],"Trap", Dyno_Data[DelMiss],"0", Dyno_Data[Mode],"&lt;&gt;Auto")</f>
        <v>0</v>
      </c>
      <c r="AO212">
        <f>SUM(TBA_Matches_All[[#This Row],[AampT]]+TBA_Matches_All[[#This Row],[AspkrT]]+TBA_Matches_All[[#This Row],[AtrapT]]+TBA_Matches_All[[#This Row],[TampT]]+TBA_Matches_All[[#This Row],[TspkrT]]+TBA_Matches_All[[#This Row],[TtrapT]])</f>
        <v>7</v>
      </c>
      <c r="AP212">
        <f>COUNTIFS(Dyno_Data[Team],TBA_Matches_All[[#This Row],[Team]],Dyno_Data[Match],TBA_Matches_All[[#This Row],[Match_Number]],Dyno_Data[RecordType],"Activities",Dyno_Data[DelDest],"Neut", Dyno_Data[DelMiss],"0")</f>
        <v>0</v>
      </c>
      <c r="AQ212">
        <f>COUNTIFS(Dyno_Data[Team],TBA_Matches_All[[#This Row],[Team]],Dyno_Data[Match],TBA_Matches_All[[#This Row],[Match_Number]],Dyno_Data[RecordType],"Activities",Dyno_Data[DelDest],"AllyW", Dyno_Data[DelMiss],"0")</f>
        <v>0</v>
      </c>
      <c r="AR212" t="str">
        <f>_xlfn.XLOOKUP(SUM(MID(TBA_Matches_All[[#This Row],[Team]],4,5),(TBA_Matches_All[[#This Row],[Match_Number]]/100)),Dyno_EndMatch[teammat],Dyno_EndMatch[RobotSta],"_",0,1)</f>
        <v>SubW</v>
      </c>
      <c r="AS212">
        <f>SUMIFS(Dyno_Data[AcqDis], Dyno_Data[Team],TBA_Matches_All[[#This Row],[Team]],Dyno_Data[Match],TBA_Matches_All[[#This Row],[Match_Number]],Dyno_Data[RecordType],"Activities", Dyno_Data[AcqCenter],1,Dyno_Data[Mode],"Auto")</f>
        <v>0</v>
      </c>
      <c r="AT212">
        <f>SUMIFS(Dyno_Data[AcqDis], Dyno_Data[Team],TBA_Matches_All[[#This Row],[Team]],Dyno_Data[Match],TBA_Matches_All[[#This Row],[Match_Number]],Dyno_Data[RecordType],"Activities", Dyno_Data[AcqCenter],2,Dyno_Data[Mode],"Auto")</f>
        <v>0</v>
      </c>
      <c r="AU212">
        <f>SUMIFS(Dyno_Data[AcqDis], Dyno_Data[Team],TBA_Matches_All[[#This Row],[Team]],Dyno_Data[Match],TBA_Matches_All[[#This Row],[Match_Number]],Dyno_Data[RecordType],"Activities", Dyno_Data[AcqCenter],3,Dyno_Data[Mode],"Auto")</f>
        <v>0</v>
      </c>
      <c r="AV212">
        <f>SUMIFS(Dyno_Data[AcqDis], Dyno_Data[Team],TBA_Matches_All[[#This Row],[Team]],Dyno_Data[Match],TBA_Matches_All[[#This Row],[Match_Number]],Dyno_Data[RecordType],"Activities", Dyno_Data[AcqCenter],4,Dyno_Data[Mode],"Auto")</f>
        <v>0</v>
      </c>
      <c r="AW212">
        <f>SUMIFS(Dyno_Data[AcqDis], Dyno_Data[Team],TBA_Matches_All[[#This Row],[Team]],Dyno_Data[Match],TBA_Matches_All[[#This Row],[Match_Number]],Dyno_Data[RecordType],"Activities", Dyno_Data[AcqCenter],5,Dyno_Data[Mode],"Auto")</f>
        <v>0</v>
      </c>
      <c r="AX212">
        <f>SUMIFS(Dyno_Data[DelMiss], Dyno_Data[Team],TBA_Matches_All[[#This Row],[Team]],Dyno_Data[Match],TBA_Matches_All[[#This Row],[Match_Number]],Dyno_Data[RecordType],"Activities", Dyno_Data[DelDest],"Amp")</f>
        <v>0</v>
      </c>
      <c r="AY212" s="60">
        <f>IFERROR(SUM((TBA_Matches_All[[#This Row],[AampT]]+TBA_Matches_All[[#This Row],[TampT]])/(TBA_Matches_All[[#This Row],[AampT]]+TBA_Matches_All[[#This Row],[TampT]]+TBA_Matches_All[[#This Row],[ampM]])),0)</f>
        <v>0</v>
      </c>
      <c r="AZ212">
        <f>SUMIFS(Dyno_Data[DelMiss], Dyno_Data[Team],TBA_Matches_All[[#This Row],[Team]],Dyno_Data[Match],TBA_Matches_All[[#This Row],[Match_Number]],Dyno_Data[RecordType],"Activities", Dyno_Data[DelDest],"Spkr")</f>
        <v>0</v>
      </c>
      <c r="BA212" s="60">
        <f>IFERROR(SUM((TBA_Matches_All[[#This Row],[AspkrT]]+TBA_Matches_All[[#This Row],[TspkrT]])/(TBA_Matches_All[[#This Row],[AspkrT]]+TBA_Matches_All[[#This Row],[TspkrT]]+TBA_Matches_All[[#This Row],[spkrM]])),0)</f>
        <v>1</v>
      </c>
      <c r="BB212">
        <f>SUMIFS(Dyno_Data[DelMiss], Dyno_Data[Team],TBA_Matches_All[[#This Row],[Team]],Dyno_Data[Match],TBA_Matches_All[[#This Row],[Match_Number]],Dyno_Data[RecordType],"Activities", Dyno_Data[DelDest],"Trap")</f>
        <v>0</v>
      </c>
      <c r="BC212" s="60">
        <f>IFERROR((TBA_Matches_All[[#This Row],[AtrapT]]+TBA_Matches_All[[#This Row],[TtrapT]])/(TBA_Matches_All[[#This Row],[AtrapT]]+TBA_Matches_All[[#This Row],[TtrapT]]+TBA_Matches_All[[#This Row],[trapM]]),0)</f>
        <v>0</v>
      </c>
      <c r="BD212">
        <f>COUNTIFS(Dyno_Data[Team],TBA_Matches_All[[#This Row],[Team]],Dyno_Data[Match],TBA_Matches_All[[#This Row],[Match_Number]],Dyno_Data[RecordType],"Activities",Dyno_Data[DelDest],"Neut", Dyno_Data[DelMiss],1)</f>
        <v>0</v>
      </c>
      <c r="BE212" s="60">
        <f>IFERROR(SUM((TBA_Matches_All[[#This Row],[NeutFlrT]])/(TBA_Matches_All[[#This Row],[NeutFlrT]]+TBA_Matches_All[[#This Row],[NZflM]])),0)</f>
        <v>0</v>
      </c>
      <c r="BF212">
        <f>COUNTIFS(Dyno_Data[Team],TBA_Matches_All[[#This Row],[Team]],Dyno_Data[Match],TBA_Matches_All[[#This Row],[Match_Number]],Dyno_Data[RecordType],"Activities",Dyno_Data[DelDest],"AllyW", Dyno_Data[DelMiss],1)</f>
        <v>0</v>
      </c>
      <c r="BG212" s="60">
        <f>IFERROR(SUM((TBA_Matches_All[[#This Row],[AllyWFlrT]])/(TBA_Matches_All[[#This Row],[AllyWFlrT]]+TBA_Matches_All[[#This Row],[AZflM]])),0)</f>
        <v>0</v>
      </c>
      <c r="BH212">
        <f>COUNTIFS(Dyno_Data[Team],TBA_Matches_All[[#This Row],[Team]],Dyno_Data[Match],TBA_Matches_All[[#This Row],[Match_Number]],Dyno_Data[RecordType],"Activities",Dyno_Data[DelOrig],"OppW", Dyno_Data[DelMiss],"0")</f>
        <v>0</v>
      </c>
      <c r="BI212">
        <f>COUNTIFS(Dyno_Data[Team],TBA_Matches_All[[#This Row],[Team]],Dyno_Data[Match],TBA_Matches_All[[#This Row],[Match_Number]],Dyno_Data[RecordType],"Activities",Dyno_Data[DelOrig],"OppW", Dyno_Data[DelMiss],"1")</f>
        <v>0</v>
      </c>
      <c r="BJ212" s="60">
        <f>IFERROR(SUM((TBA_Matches_All[[#This Row],[OZflrT]])/(TBA_Matches_All[[#This Row],[OZflrT]]+TBA_Matches_All[[#This Row],[OZflrM]])),0)</f>
        <v>0</v>
      </c>
      <c r="BK212">
        <f>COUNTIFS(Dyno_Data[Team],TBA_Matches_All[[#This Row],[Team]],Dyno_Data[Match],TBA_Matches_All[[#This Row],[Match_Number]],Dyno_Data[RecordType],"Activities",Dyno_Data[DelOrig],"Neut", Dyno_Data[DelMiss],"0")</f>
        <v>0</v>
      </c>
      <c r="BL212">
        <f>COUNTIFS(Dyno_Data[Team],TBA_Matches_All[[#This Row],[Team]],Dyno_Data[Match],TBA_Matches_All[[#This Row],[Match_Number]],Dyno_Data[RecordType],"Activities",Dyno_Data[DelOrig],"Neut", Dyno_Data[DelMiss],"1")</f>
        <v>0</v>
      </c>
      <c r="BM212" s="60">
        <f>IFERROR(SUM((TBA_Matches_All[[#This Row],[NZflrT]])/(TBA_Matches_All[[#This Row],[NZflrT]]+TBA_Matches_All[[#This Row],[NZflrM]])),0)</f>
        <v>0</v>
      </c>
      <c r="BN212">
        <f>COUNTIFS(Dyno_Data[Team],TBA_Matches_All[[#This Row],[Team]],Dyno_Data[Match],TBA_Matches_All[[#This Row],[Match_Number]],Dyno_Data[RecordType],"Activities",Dyno_Data[DelOrig],"AllyW", Dyno_Data[DelMiss],"0")</f>
        <v>2</v>
      </c>
      <c r="BO212">
        <f>COUNTIFS(Dyno_Data[Team],TBA_Matches_All[[#This Row],[Team]],Dyno_Data[Match],TBA_Matches_All[[#This Row],[Match_Number]],Dyno_Data[RecordType],"Activities",Dyno_Data[DelOrig],"AllyW", Dyno_Data[DelMiss],"1")</f>
        <v>0</v>
      </c>
      <c r="BP212" s="60">
        <f>IFERROR(SUM((TBA_Matches_All[[#This Row],[AZflrT]])/(TBA_Matches_All[[#This Row],[AZflrT]]+TBA_Matches_All[[#This Row],[AZflrM]])),0)</f>
        <v>1</v>
      </c>
      <c r="BQ212">
        <f>COUNTIFS(Dyno_Data[Team],TBA_Matches_All[[#This Row],[Team]],Dyno_Data[Match],TBA_Matches_All[[#This Row],[Match_Number]],Dyno_Data[RecordType],"Activities",Dyno_Data[DelOrig],"SubW", Dyno_Data[DelMiss],"0")</f>
        <v>5</v>
      </c>
      <c r="BR212">
        <f>COUNTIFS(Dyno_Data[Team],TBA_Matches_All[[#This Row],[Team]],Dyno_Data[Match],TBA_Matches_All[[#This Row],[Match_Number]],Dyno_Data[RecordType],"Activities",Dyno_Data[DelOrig],"SubW", Dyno_Data[DelMiss],"1")</f>
        <v>0</v>
      </c>
      <c r="BS212" s="60">
        <f>IFERROR(SUM((TBA_Matches_All[[#This Row],[SubwT]])/(TBA_Matches_All[[#This Row],[SubwT]]+TBA_Matches_All[[#This Row],[SubwM]])),0)</f>
        <v>1</v>
      </c>
      <c r="BT212">
        <f>COUNTIFS(Dyno_Data[Team],TBA_Matches_All[[#This Row],[Team]],Dyno_Data[Match],TBA_Matches_All[[#This Row],[Match_Number]],Dyno_Data[RecordType],"Activities", Dyno_Data[AcqLoc],"OppWing")</f>
        <v>0</v>
      </c>
      <c r="BU212">
        <f>COUNTIFS(Dyno_Data[Team],TBA_Matches_All[[#This Row],[Team]],Dyno_Data[Match],TBA_Matches_All[[#This Row],[Match_Number]],Dyno_Data[RecordType],"Activities", Dyno_Data[AcqLoc],"Neutral")</f>
        <v>0</v>
      </c>
      <c r="BV212">
        <f>COUNTIFS(Dyno_Data[Team],TBA_Matches_All[[#This Row],[Team]],Dyno_Data[Match],TBA_Matches_All[[#This Row],[Match_Number]],Dyno_Data[RecordType],"Activities", Dyno_Data[AcqLoc],"AllyWing")</f>
        <v>0</v>
      </c>
      <c r="BW212">
        <f>COUNTIFS(Dyno_Data[Team],TBA_Matches_All[[#This Row],[Team]],Dyno_Data[Match],TBA_Matches_All[[#This Row],[Match_Number]],Dyno_Data[RecordType],"Activities", Dyno_Data[AcqLoc],"Source")</f>
        <v>0</v>
      </c>
      <c r="BX212">
        <f>SUMIFS(Dyno_Data[AcqDrp], Dyno_Data[Team],TBA_Matches_All[[#This Row],[Team]],Dyno_Data[Match],TBA_Matches_All[[#This Row],[Match_Number]],Dyno_Data[RecordType],"Activities", Dyno_Data[AcqLoc],"Source")</f>
        <v>0</v>
      </c>
      <c r="BY212">
        <f>SUMIFS(Dyno_Data[OZTime], Dyno_Data[Team],TBA_Matches_All[[#This Row],[Team]],Dyno_Data[Match],TBA_Matches_All[[#This Row],[Match_Number]],Dyno_Data[RecordType],"EndMatch")</f>
        <v>27.6251769</v>
      </c>
      <c r="BZ212">
        <f>SUMIFS(Dyno_Data[NZTime], Dyno_Data[Team],TBA_Matches_All[[#This Row],[Team]],Dyno_Data[Match],TBA_Matches_All[[#This Row],[Match_Number]],Dyno_Data[RecordType],"EndMatch")</f>
        <v>60.419325799999996</v>
      </c>
      <c r="CA212">
        <f>SUMIFS(Dyno_Data[AZTime], Dyno_Data[Team],TBA_Matches_All[[#This Row],[Team]],Dyno_Data[Match],TBA_Matches_All[[#This Row],[Match_Number]],Dyno_Data[RecordType],"EndMatch")</f>
        <v>50.150452999999999</v>
      </c>
      <c r="CB212">
        <f>SUMIFS(Dyno_Data[ClimbT], Dyno_Data[Team],TBA_Matches_All[[#This Row],[Team]],Dyno_Data[Match],TBA_Matches_All[[#This Row],[Match_Number]],Dyno_Data[RecordType],"EndMatch")</f>
        <v>2.5625066999999997</v>
      </c>
      <c r="CC212" t="str">
        <f>_xlfn.XLOOKUP(SUM(MID(TBA_Matches_All[[#This Row],[Team]],4,5),(TBA_Matches_All[[#This Row],[Match_Number]]/100)),Dyno_EndMatch[teammat],Dyno_EndMatch[StageStat],"_",0,1)</f>
        <v>On</v>
      </c>
      <c r="CD212" t="str">
        <f>_xlfn.XLOOKUP(TBA_Matches_All[[#This Row],[teammat]],Dyno_EndMatch[teammat],Dyno_EndMatch[StageAtt],"_",0,1)</f>
        <v>1</v>
      </c>
      <c r="CE212" t="str">
        <f>_xlfn.XLOOKUP(TBA_Matches_All[[#This Row],[teammat]],Dyno_EndMatch[teammat],Dyno_EndMatch[StageLoc],"_",0,1)</f>
        <v>R</v>
      </c>
      <c r="CF212">
        <f>SUMIFS(Dyno_Data[Harmony], Dyno_Data[Team],TBA_Matches_All[[#This Row],[Team]],Dyno_Data[Match],TBA_Matches_All[[#This Row],[Match_Number]],Dyno_Data[RecordType],"EndMatch", Dyno_Data[StageStat],"On",Dyno_Data[Harmony],"&lt;&gt;9")</f>
        <v>0</v>
      </c>
      <c r="CG212">
        <f>SUMIFS(Dyno_Data[Spotlit], Dyno_Data[Team],TBA_Matches_All[[#This Row],[Team]],Dyno_Data[Match],TBA_Matches_All[[#This Row],[Match_Number]],Dyno_Data[RecordType],"EndMatch", Dyno_Data[StageStat],"On",Dyno_Data[Spotlit],"&lt;&gt;9")</f>
        <v>0</v>
      </c>
      <c r="CH212" t="str">
        <f>_xlfn.XLOOKUP(TBA_Matches_All[[#This Row],[teammat]],Dyno_EndMatch[teammat],Dyno_EndMatch[Strategy],"_",0,1)</f>
        <v>Shooter</v>
      </c>
      <c r="CI212">
        <f>SUMIFS(Dyno_Data[Defense], Dyno_Data[Team],TBA_Matches_All[[#This Row],[Team]],Dyno_Data[Match],TBA_Matches_All[[#This Row],[Match_Number]],Dyno_Data[RecordType],"EndMatch",Dyno_Data[Defense],"&lt;&gt;9")</f>
        <v>0</v>
      </c>
      <c r="CJ212">
        <f>SUMIFS(Dyno_Data[Avoidance], Dyno_Data[Team],TBA_Matches_All[[#This Row],[Team]],Dyno_Data[Match],TBA_Matches_All[[#This Row],[Match_Number]],Dyno_Data[RecordType],"EndMatch",Dyno_Data[Avoidance],"&lt;&gt;9")</f>
        <v>0</v>
      </c>
      <c r="CK212" s="82">
        <f>COUNTIF($H$2:TBA_Matches_All[[#This Row],[Team]],TBA_Matches_All[[#This Row],[Team]])</f>
        <v>5</v>
      </c>
      <c r="CL212" s="111">
        <f>SUM(MID(TBA_Matches_All[[#This Row],[Team]],4,5)+TBA_Matches_All[[#This Row],[Match_Number]]/100)</f>
        <v>296.35000000000002</v>
      </c>
      <c r="CM212">
        <f>SUM((TBA_Matches_All[[#This Row],[Leave]]*2)+(TBA_Matches_All[[#This Row],[AampT]]*2)+(TBA_Matches_All[[#This Row],[AspkrT]]*5)+(TBA_Matches_All[[#This Row],[AtrapT]]*5))</f>
        <v>10</v>
      </c>
      <c r="CN212" s="59">
        <f>IFERROR(SUM(TBA_Matches_All[[#This Row],[AptsT]]/TBA_Matches_All[[#This Row],[AutoPts]]),0)</f>
        <v>0.83333333333333337</v>
      </c>
      <c r="CO212" s="59">
        <f>IFERROR(SUM(TBA_Matches_All[[#This Row],[AampT]]+TBA_Matches_All[[#This Row],[AspkrT]]+TBA_Matches_All[[#This Row],[AtrapT]]/TBA_Matches_All[[#This Row],[Aamp]]+TBA_Matches_All[[#This Row],[Aspkr]]+TBA_Matches_All[[#This Row],[AtrapT]]),0)</f>
        <v>0</v>
      </c>
      <c r="CP212" s="59">
        <f>IFERROR(SUM(TBA_Matches_All[[#This Row],[TampT]]/TBA_Matches_All[[#This Row],[Tamp]]),0)</f>
        <v>0</v>
      </c>
      <c r="CQ212" s="59">
        <f>IFERROR(SUM(TBA_Matches_All[[#This Row],[TspkrT]]/TBA_Matches_All[[#This Row],[Tspkr]]),0)</f>
        <v>0.55555555555555558</v>
      </c>
      <c r="CR212">
        <f>SUM(TBA_Matches_All[[#This Row],[TspkrPts]]*TBA_Matches_All[[#This Row],[TspkrP]])</f>
        <v>15</v>
      </c>
      <c r="CS212" s="59">
        <f>IFERROR(SUM(TBA_Matches_All[[#This Row],[TtrapT]]/TBA_Matches_All[[#This Row],[Trap]]),0)</f>
        <v>0</v>
      </c>
      <c r="CT212" s="59">
        <f>IFERROR(SUM(TBA_Matches_All[[#This Row],[TotNotesT]]/TBA_Matches_All[[#This Row],[TotNotes]]),0)</f>
        <v>0.41176470588235292</v>
      </c>
      <c r="CU212" s="66">
        <f>SUM((TBA_Matches_All[[#This Row],[AampT]]*2)+(TBA_Matches_All[[#This Row],[AspkrT]]*5)+(TBA_Matches_All[[#This Row],[AtrapT]]*5)+(TBA_Matches_All[[#This Row],[TampT]]*1)+(TBA_Matches_All[[#This Row],[TspkrptsC]]))</f>
        <v>25</v>
      </c>
      <c r="CV212" s="59">
        <f>IFERROR(TBA_Matches_All[[#This Row],[noteptsT]]/TBA_Matches_All[[#This Row],[NotePts]],0)</f>
        <v>0.58139534883720934</v>
      </c>
      <c r="CW212">
        <f>SUM(IF(TBA_Matches_All[[#This Row],[stageStat]]="On",3,0),IF(TBA_Matches_All[[#This Row],[stageStat]]="Park",1,0),SUMIFS(TBA_Matches_All[[#This Row],[Spotlit]],TBA_Matches_All[[#This Row],[stageStat]],"On"),SUMIFS(TBA_Matches_All[[#This Row],[Harmony]],TBA_Matches_All[[#This Row],[stageStat]],"On"))</f>
        <v>3</v>
      </c>
      <c r="CX212" s="59">
        <f>IFERROR(TBA_Matches_All[[#This Row],[stageptsT]]/TBA_Matches_All[[#This Row],[StagePts]],0)</f>
        <v>0.42857142857142855</v>
      </c>
      <c r="CY212">
        <f>SUM((TBA_Matches_All[[#This Row],[AptsT]]+TBA_Matches_All[[#This Row],[TampT]]+TBA_Matches_All[[#This Row],[TspkrptsC]]+(TBA_Matches_All[[#This Row],[TtrapT]]*5)+TBA_Matches_All[[#This Row],[stageptsT]]))</f>
        <v>28</v>
      </c>
      <c r="CZ212" s="59">
        <f>IFERROR(SUM(TBA_Matches_All[[#This Row],[TotptsC]]/TBA_Matches_All[[#This Row],[Score]]),0)</f>
        <v>0.53846153846153844</v>
      </c>
      <c r="DA21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7.8285714285714274</v>
      </c>
      <c r="DB212" s="74">
        <f>SUMIFS(TBA_Matches_All[AveTeamTNoteDels],TBA_Matches_All[Match_Number],TBA_Matches_All[[#This Row],[Match_Number]],TBA_Matches_All[Alliance],"&lt;&gt;"&amp;TBA_Matches_All[[#This Row],[Alliance]],TBA_Matches_All[Scouted],"&gt;0")</f>
        <v>25.521428571428572</v>
      </c>
      <c r="DC212" s="74">
        <f>(TBA_Matches_All[[#This Row],[TampT]]+TBA_Matches_All[[#This Row],[TspkrptsC]])-TBA_Matches_All[[#This Row],[AveTeamTNoteDels]]</f>
        <v>7.1714285714285726</v>
      </c>
      <c r="DD212" s="74">
        <f>SUMIFS(TBA_Matches_All[AveTeamTNoteDels],TBA_Matches_All[Match_Number],TBA_Matches_All[[#This Row],[Match_Number]],TBA_Matches_All[Alliance],"&lt;&gt;"&amp;TBA_Matches_All[[#This Row],[Alliance]])-TBA_Matches_All[[#This Row],[AveOppTNoteDels]]</f>
        <v>0</v>
      </c>
    </row>
    <row r="213" spans="1:108" x14ac:dyDescent="0.3">
      <c r="A213" t="s">
        <v>1042</v>
      </c>
      <c r="B213" t="s">
        <v>489</v>
      </c>
      <c r="C213" t="s">
        <v>1345</v>
      </c>
      <c r="D213">
        <v>36</v>
      </c>
      <c r="E213" t="s">
        <v>1420</v>
      </c>
      <c r="F213" t="s">
        <v>1421</v>
      </c>
      <c r="G213" t="s">
        <v>164</v>
      </c>
      <c r="H213" t="s">
        <v>1275</v>
      </c>
      <c r="I213" t="b">
        <v>0</v>
      </c>
      <c r="J213">
        <v>72</v>
      </c>
      <c r="K213">
        <v>1</v>
      </c>
      <c r="L213">
        <v>0</v>
      </c>
      <c r="M213">
        <v>0</v>
      </c>
      <c r="N213">
        <v>0</v>
      </c>
      <c r="O213">
        <v>3</v>
      </c>
      <c r="P213">
        <v>15</v>
      </c>
      <c r="Q213">
        <v>19</v>
      </c>
      <c r="R213">
        <v>4</v>
      </c>
      <c r="S213">
        <v>4</v>
      </c>
      <c r="T213">
        <v>7</v>
      </c>
      <c r="U213">
        <v>20</v>
      </c>
      <c r="V213">
        <v>14</v>
      </c>
      <c r="W213">
        <v>11</v>
      </c>
      <c r="X213">
        <v>34</v>
      </c>
      <c r="Y213">
        <v>38</v>
      </c>
      <c r="Z213">
        <v>0</v>
      </c>
      <c r="AA213">
        <v>0</v>
      </c>
      <c r="AB213">
        <v>18</v>
      </c>
      <c r="AC213">
        <v>53</v>
      </c>
      <c r="AD213">
        <v>0</v>
      </c>
      <c r="AE213">
        <f>IFERROR(6/(COUNTIF(Dyno_EndMatch[Match],TBA_Matches_All[[#This Row],[Match_Number]])),0)</f>
        <v>1</v>
      </c>
      <c r="AF213">
        <f>COUNTIFS(Dyno_Data[Team],TBA_Matches_All[[#This Row],[Team]],Dyno_Data[Match],TBA_Matches_All[[#This Row],[Match_Number]],Dyno_Data[RecordType],"EndMatch",Dyno_Data[HPAmp],"Y")</f>
        <v>1</v>
      </c>
      <c r="AG213">
        <f>SUMIFS(Dyno_Data[Mics], Dyno_Data[Team],TBA_Matches_All[[#This Row],[Team]],Dyno_Data[Match],TBA_Matches_All[[#This Row],[Match_Number]],Dyno_Data[RecordType],"EndMatch",Dyno_Data[HPAmp],"Y")</f>
        <v>0</v>
      </c>
      <c r="AH213">
        <f>SUMIFS(Dyno_Data[Leave], Dyno_Data[Team],TBA_Matches_All[[#This Row],[Team]],Dyno_Data[Match],TBA_Matches_All[[#This Row],[Match_Number]],Dyno_Data[RecordType],"EndAuto")</f>
        <v>1</v>
      </c>
      <c r="AI213">
        <f>COUNTIFS(Dyno_Data[Team],TBA_Matches_All[[#This Row],[Team]],Dyno_Data[Match],TBA_Matches_All[[#This Row],[Match_Number]],Dyno_Data[RecordType],"Activities",Dyno_Data[DelDest],"Amp", Dyno_Data[DelMiss],"0", Dyno_Data[Mode],"Auto")</f>
        <v>0</v>
      </c>
      <c r="AJ213">
        <f>COUNTIFS(Dyno_Data[Team],TBA_Matches_All[[#This Row],[Team]],Dyno_Data[Match],TBA_Matches_All[[#This Row],[Match_Number]],Dyno_Data[RecordType],"Activities",Dyno_Data[DelDest],"Spkr", Dyno_Data[DelMiss],"0", Dyno_Data[Mode],"Auto")</f>
        <v>1</v>
      </c>
      <c r="AK213">
        <f>COUNTIFS(Dyno_Data[Team],TBA_Matches_All[[#This Row],[Team]],Dyno_Data[Match],TBA_Matches_All[[#This Row],[Match_Number]],Dyno_Data[RecordType],"Activities",Dyno_Data[DelDest],"Trap", Dyno_Data[DelMiss],"0", Dyno_Data[Mode],"Auto")</f>
        <v>0</v>
      </c>
      <c r="AL213">
        <f>COUNTIFS(Dyno_Data[Team],TBA_Matches_All[[#This Row],[Team]],Dyno_Data[Match],TBA_Matches_All[[#This Row],[Match_Number]],Dyno_Data[RecordType],"Activities",Dyno_Data[DelDest],"Amp", Dyno_Data[DelMiss],"0", Dyno_Data[Mode],"Teleop")</f>
        <v>0</v>
      </c>
      <c r="AM213">
        <f>COUNTIFS(Dyno_Data[Team],TBA_Matches_All[[#This Row],[Team]],Dyno_Data[Match],TBA_Matches_All[[#This Row],[Match_Number]],Dyno_Data[RecordType],"Activities",Dyno_Data[DelDest],"Spkr", Dyno_Data[DelMiss],"0", Dyno_Data[Mode],"Teleop")</f>
        <v>1</v>
      </c>
      <c r="AN213">
        <f>COUNTIFS(Dyno_Data[Team],TBA_Matches_All[[#This Row],[Team]],Dyno_Data[Match],TBA_Matches_All[[#This Row],[Match_Number]],Dyno_Data[RecordType],"Activities",Dyno_Data[DelDest],"Trap", Dyno_Data[DelMiss],"0", Dyno_Data[Mode],"&lt;&gt;Auto")</f>
        <v>0</v>
      </c>
      <c r="AO213">
        <f>SUM(TBA_Matches_All[[#This Row],[AampT]]+TBA_Matches_All[[#This Row],[AspkrT]]+TBA_Matches_All[[#This Row],[AtrapT]]+TBA_Matches_All[[#This Row],[TampT]]+TBA_Matches_All[[#This Row],[TspkrT]]+TBA_Matches_All[[#This Row],[TtrapT]])</f>
        <v>2</v>
      </c>
      <c r="AP213">
        <f>COUNTIFS(Dyno_Data[Team],TBA_Matches_All[[#This Row],[Team]],Dyno_Data[Match],TBA_Matches_All[[#This Row],[Match_Number]],Dyno_Data[RecordType],"Activities",Dyno_Data[DelDest],"Neut", Dyno_Data[DelMiss],"0")</f>
        <v>0</v>
      </c>
      <c r="AQ213">
        <f>COUNTIFS(Dyno_Data[Team],TBA_Matches_All[[#This Row],[Team]],Dyno_Data[Match],TBA_Matches_All[[#This Row],[Match_Number]],Dyno_Data[RecordType],"Activities",Dyno_Data[DelDest],"AllyW", Dyno_Data[DelMiss],"0")</f>
        <v>7</v>
      </c>
      <c r="AR213" t="str">
        <f>_xlfn.XLOOKUP(SUM(MID(TBA_Matches_All[[#This Row],[Team]],4,5),(TBA_Matches_All[[#This Row],[Match_Number]]/100)),Dyno_EndMatch[teammat],Dyno_EndMatch[RobotSta],"_",0,1)</f>
        <v>Podm</v>
      </c>
      <c r="AS213">
        <f>SUMIFS(Dyno_Data[AcqDis], Dyno_Data[Team],TBA_Matches_All[[#This Row],[Team]],Dyno_Data[Match],TBA_Matches_All[[#This Row],[Match_Number]],Dyno_Data[RecordType],"Activities", Dyno_Data[AcqCenter],1,Dyno_Data[Mode],"Auto")</f>
        <v>0</v>
      </c>
      <c r="AT213">
        <f>SUMIFS(Dyno_Data[AcqDis], Dyno_Data[Team],TBA_Matches_All[[#This Row],[Team]],Dyno_Data[Match],TBA_Matches_All[[#This Row],[Match_Number]],Dyno_Data[RecordType],"Activities", Dyno_Data[AcqCenter],2,Dyno_Data[Mode],"Auto")</f>
        <v>0</v>
      </c>
      <c r="AU213">
        <f>SUMIFS(Dyno_Data[AcqDis], Dyno_Data[Team],TBA_Matches_All[[#This Row],[Team]],Dyno_Data[Match],TBA_Matches_All[[#This Row],[Match_Number]],Dyno_Data[RecordType],"Activities", Dyno_Data[AcqCenter],3,Dyno_Data[Mode],"Auto")</f>
        <v>0</v>
      </c>
      <c r="AV213">
        <f>SUMIFS(Dyno_Data[AcqDis], Dyno_Data[Team],TBA_Matches_All[[#This Row],[Team]],Dyno_Data[Match],TBA_Matches_All[[#This Row],[Match_Number]],Dyno_Data[RecordType],"Activities", Dyno_Data[AcqCenter],4,Dyno_Data[Mode],"Auto")</f>
        <v>0</v>
      </c>
      <c r="AW213">
        <f>SUMIFS(Dyno_Data[AcqDis], Dyno_Data[Team],TBA_Matches_All[[#This Row],[Team]],Dyno_Data[Match],TBA_Matches_All[[#This Row],[Match_Number]],Dyno_Data[RecordType],"Activities", Dyno_Data[AcqCenter],5,Dyno_Data[Mode],"Auto")</f>
        <v>0</v>
      </c>
      <c r="AX213">
        <f>SUMIFS(Dyno_Data[DelMiss], Dyno_Data[Team],TBA_Matches_All[[#This Row],[Team]],Dyno_Data[Match],TBA_Matches_All[[#This Row],[Match_Number]],Dyno_Data[RecordType],"Activities", Dyno_Data[DelDest],"Amp")</f>
        <v>0</v>
      </c>
      <c r="AY213" s="60">
        <f>IFERROR(SUM((TBA_Matches_All[[#This Row],[AampT]]+TBA_Matches_All[[#This Row],[TampT]])/(TBA_Matches_All[[#This Row],[AampT]]+TBA_Matches_All[[#This Row],[TampT]]+TBA_Matches_All[[#This Row],[ampM]])),0)</f>
        <v>0</v>
      </c>
      <c r="AZ213">
        <f>SUMIFS(Dyno_Data[DelMiss], Dyno_Data[Team],TBA_Matches_All[[#This Row],[Team]],Dyno_Data[Match],TBA_Matches_All[[#This Row],[Match_Number]],Dyno_Data[RecordType],"Activities", Dyno_Data[DelDest],"Spkr")</f>
        <v>0</v>
      </c>
      <c r="BA213" s="60">
        <f>IFERROR(SUM((TBA_Matches_All[[#This Row],[AspkrT]]+TBA_Matches_All[[#This Row],[TspkrT]])/(TBA_Matches_All[[#This Row],[AspkrT]]+TBA_Matches_All[[#This Row],[TspkrT]]+TBA_Matches_All[[#This Row],[spkrM]])),0)</f>
        <v>1</v>
      </c>
      <c r="BB213">
        <f>SUMIFS(Dyno_Data[DelMiss], Dyno_Data[Team],TBA_Matches_All[[#This Row],[Team]],Dyno_Data[Match],TBA_Matches_All[[#This Row],[Match_Number]],Dyno_Data[RecordType],"Activities", Dyno_Data[DelDest],"Trap")</f>
        <v>0</v>
      </c>
      <c r="BC213" s="60">
        <f>IFERROR((TBA_Matches_All[[#This Row],[AtrapT]]+TBA_Matches_All[[#This Row],[TtrapT]])/(TBA_Matches_All[[#This Row],[AtrapT]]+TBA_Matches_All[[#This Row],[TtrapT]]+TBA_Matches_All[[#This Row],[trapM]]),0)</f>
        <v>0</v>
      </c>
      <c r="BD213">
        <f>COUNTIFS(Dyno_Data[Team],TBA_Matches_All[[#This Row],[Team]],Dyno_Data[Match],TBA_Matches_All[[#This Row],[Match_Number]],Dyno_Data[RecordType],"Activities",Dyno_Data[DelDest],"Neut", Dyno_Data[DelMiss],1)</f>
        <v>0</v>
      </c>
      <c r="BE213" s="60">
        <f>IFERROR(SUM((TBA_Matches_All[[#This Row],[NeutFlrT]])/(TBA_Matches_All[[#This Row],[NeutFlrT]]+TBA_Matches_All[[#This Row],[NZflM]])),0)</f>
        <v>0</v>
      </c>
      <c r="BF213">
        <f>COUNTIFS(Dyno_Data[Team],TBA_Matches_All[[#This Row],[Team]],Dyno_Data[Match],TBA_Matches_All[[#This Row],[Match_Number]],Dyno_Data[RecordType],"Activities",Dyno_Data[DelDest],"AllyW", Dyno_Data[DelMiss],1)</f>
        <v>0</v>
      </c>
      <c r="BG213" s="60">
        <f>IFERROR(SUM((TBA_Matches_All[[#This Row],[AllyWFlrT]])/(TBA_Matches_All[[#This Row],[AllyWFlrT]]+TBA_Matches_All[[#This Row],[AZflM]])),0)</f>
        <v>1</v>
      </c>
      <c r="BH213">
        <f>COUNTIFS(Dyno_Data[Team],TBA_Matches_All[[#This Row],[Team]],Dyno_Data[Match],TBA_Matches_All[[#This Row],[Match_Number]],Dyno_Data[RecordType],"Activities",Dyno_Data[DelOrig],"OppW", Dyno_Data[DelMiss],"0")</f>
        <v>0</v>
      </c>
      <c r="BI213">
        <f>COUNTIFS(Dyno_Data[Team],TBA_Matches_All[[#This Row],[Team]],Dyno_Data[Match],TBA_Matches_All[[#This Row],[Match_Number]],Dyno_Data[RecordType],"Activities",Dyno_Data[DelOrig],"OppW", Dyno_Data[DelMiss],"1")</f>
        <v>0</v>
      </c>
      <c r="BJ213" s="60">
        <f>IFERROR(SUM((TBA_Matches_All[[#This Row],[OZflrT]])/(TBA_Matches_All[[#This Row],[OZflrT]]+TBA_Matches_All[[#This Row],[OZflrM]])),0)</f>
        <v>0</v>
      </c>
      <c r="BK213">
        <f>COUNTIFS(Dyno_Data[Team],TBA_Matches_All[[#This Row],[Team]],Dyno_Data[Match],TBA_Matches_All[[#This Row],[Match_Number]],Dyno_Data[RecordType],"Activities",Dyno_Data[DelOrig],"Neut", Dyno_Data[DelMiss],"0")</f>
        <v>0</v>
      </c>
      <c r="BL213">
        <f>COUNTIFS(Dyno_Data[Team],TBA_Matches_All[[#This Row],[Team]],Dyno_Data[Match],TBA_Matches_All[[#This Row],[Match_Number]],Dyno_Data[RecordType],"Activities",Dyno_Data[DelOrig],"Neut", Dyno_Data[DelMiss],"1")</f>
        <v>0</v>
      </c>
      <c r="BM213" s="60">
        <f>IFERROR(SUM((TBA_Matches_All[[#This Row],[NZflrT]])/(TBA_Matches_All[[#This Row],[NZflrT]]+TBA_Matches_All[[#This Row],[NZflrM]])),0)</f>
        <v>0</v>
      </c>
      <c r="BN213">
        <f>COUNTIFS(Dyno_Data[Team],TBA_Matches_All[[#This Row],[Team]],Dyno_Data[Match],TBA_Matches_All[[#This Row],[Match_Number]],Dyno_Data[RecordType],"Activities",Dyno_Data[DelOrig],"AllyW", Dyno_Data[DelMiss],"0")</f>
        <v>8</v>
      </c>
      <c r="BO213">
        <f>COUNTIFS(Dyno_Data[Team],TBA_Matches_All[[#This Row],[Team]],Dyno_Data[Match],TBA_Matches_All[[#This Row],[Match_Number]],Dyno_Data[RecordType],"Activities",Dyno_Data[DelOrig],"AllyW", Dyno_Data[DelMiss],"1")</f>
        <v>0</v>
      </c>
      <c r="BP213" s="60">
        <f>IFERROR(SUM((TBA_Matches_All[[#This Row],[AZflrT]])/(TBA_Matches_All[[#This Row],[AZflrT]]+TBA_Matches_All[[#This Row],[AZflrM]])),0)</f>
        <v>1</v>
      </c>
      <c r="BQ213">
        <f>COUNTIFS(Dyno_Data[Team],TBA_Matches_All[[#This Row],[Team]],Dyno_Data[Match],TBA_Matches_All[[#This Row],[Match_Number]],Dyno_Data[RecordType],"Activities",Dyno_Data[DelOrig],"SubW", Dyno_Data[DelMiss],"0")</f>
        <v>1</v>
      </c>
      <c r="BR213">
        <f>COUNTIFS(Dyno_Data[Team],TBA_Matches_All[[#This Row],[Team]],Dyno_Data[Match],TBA_Matches_All[[#This Row],[Match_Number]],Dyno_Data[RecordType],"Activities",Dyno_Data[DelOrig],"SubW", Dyno_Data[DelMiss],"1")</f>
        <v>0</v>
      </c>
      <c r="BS213" s="60">
        <f>IFERROR(SUM((TBA_Matches_All[[#This Row],[SubwT]])/(TBA_Matches_All[[#This Row],[SubwT]]+TBA_Matches_All[[#This Row],[SubwM]])),0)</f>
        <v>1</v>
      </c>
      <c r="BT213">
        <f>COUNTIFS(Dyno_Data[Team],TBA_Matches_All[[#This Row],[Team]],Dyno_Data[Match],TBA_Matches_All[[#This Row],[Match_Number]],Dyno_Data[RecordType],"Activities", Dyno_Data[AcqLoc],"OppWing")</f>
        <v>0</v>
      </c>
      <c r="BU213">
        <f>COUNTIFS(Dyno_Data[Team],TBA_Matches_All[[#This Row],[Team]],Dyno_Data[Match],TBA_Matches_All[[#This Row],[Match_Number]],Dyno_Data[RecordType],"Activities", Dyno_Data[AcqLoc],"Neutral")</f>
        <v>0</v>
      </c>
      <c r="BV213">
        <f>COUNTIFS(Dyno_Data[Team],TBA_Matches_All[[#This Row],[Team]],Dyno_Data[Match],TBA_Matches_All[[#This Row],[Match_Number]],Dyno_Data[RecordType],"Activities", Dyno_Data[AcqLoc],"AllyWing")</f>
        <v>0</v>
      </c>
      <c r="BW213">
        <f>COUNTIFS(Dyno_Data[Team],TBA_Matches_All[[#This Row],[Team]],Dyno_Data[Match],TBA_Matches_All[[#This Row],[Match_Number]],Dyno_Data[RecordType],"Activities", Dyno_Data[AcqLoc],"Source")</f>
        <v>0</v>
      </c>
      <c r="BX213">
        <f>SUMIFS(Dyno_Data[AcqDrp], Dyno_Data[Team],TBA_Matches_All[[#This Row],[Team]],Dyno_Data[Match],TBA_Matches_All[[#This Row],[Match_Number]],Dyno_Data[RecordType],"Activities", Dyno_Data[AcqLoc],"Source")</f>
        <v>0</v>
      </c>
      <c r="BY213">
        <f>SUMIFS(Dyno_Data[OZTime], Dyno_Data[Team],TBA_Matches_All[[#This Row],[Team]],Dyno_Data[Match],TBA_Matches_All[[#This Row],[Match_Number]],Dyno_Data[RecordType],"EndMatch")</f>
        <v>51.208562399999998</v>
      </c>
      <c r="BZ213">
        <f>SUMIFS(Dyno_Data[NZTime], Dyno_Data[Team],TBA_Matches_All[[#This Row],[Team]],Dyno_Data[Match],TBA_Matches_All[[#This Row],[Match_Number]],Dyno_Data[RecordType],"EndMatch")</f>
        <v>33.1574277</v>
      </c>
      <c r="CA213">
        <f>SUMIFS(Dyno_Data[AZTime], Dyno_Data[Team],TBA_Matches_All[[#This Row],[Team]],Dyno_Data[Match],TBA_Matches_All[[#This Row],[Match_Number]],Dyno_Data[RecordType],"EndMatch")</f>
        <v>54.201921999999996</v>
      </c>
      <c r="CB213">
        <f>SUMIFS(Dyno_Data[ClimbT], Dyno_Data[Team],TBA_Matches_All[[#This Row],[Team]],Dyno_Data[Match],TBA_Matches_All[[#This Row],[Match_Number]],Dyno_Data[RecordType],"EndMatch")</f>
        <v>0</v>
      </c>
      <c r="CC213" t="str">
        <f>_xlfn.XLOOKUP(SUM(MID(TBA_Matches_All[[#This Row],[Team]],4,5),(TBA_Matches_All[[#This Row],[Match_Number]]/100)),Dyno_EndMatch[teammat],Dyno_EndMatch[StageStat],"_",0,1)</f>
        <v>Else</v>
      </c>
      <c r="CD213" t="str">
        <f>_xlfn.XLOOKUP(TBA_Matches_All[[#This Row],[teammat]],Dyno_EndMatch[teammat],Dyno_EndMatch[StageAtt],"_",0,1)</f>
        <v>0</v>
      </c>
      <c r="CE213" t="str">
        <f>_xlfn.XLOOKUP(TBA_Matches_All[[#This Row],[teammat]],Dyno_EndMatch[teammat],Dyno_EndMatch[StageLoc],"_",0,1)</f>
        <v>A</v>
      </c>
      <c r="CF213">
        <f>SUMIFS(Dyno_Data[Harmony], Dyno_Data[Team],TBA_Matches_All[[#This Row],[Team]],Dyno_Data[Match],TBA_Matches_All[[#This Row],[Match_Number]],Dyno_Data[RecordType],"EndMatch", Dyno_Data[StageStat],"On",Dyno_Data[Harmony],"&lt;&gt;9")</f>
        <v>0</v>
      </c>
      <c r="CG213">
        <f>SUMIFS(Dyno_Data[Spotlit], Dyno_Data[Team],TBA_Matches_All[[#This Row],[Team]],Dyno_Data[Match],TBA_Matches_All[[#This Row],[Match_Number]],Dyno_Data[RecordType],"EndMatch", Dyno_Data[StageStat],"On",Dyno_Data[Spotlit],"&lt;&gt;9")</f>
        <v>0</v>
      </c>
      <c r="CH213" t="str">
        <f>_xlfn.XLOOKUP(TBA_Matches_All[[#This Row],[teammat]],Dyno_EndMatch[teammat],Dyno_EndMatch[Strategy],"_",0,1)</f>
        <v>Mover</v>
      </c>
      <c r="CI213">
        <f>SUMIFS(Dyno_Data[Defense], Dyno_Data[Team],TBA_Matches_All[[#This Row],[Team]],Dyno_Data[Match],TBA_Matches_All[[#This Row],[Match_Number]],Dyno_Data[RecordType],"EndMatch",Dyno_Data[Defense],"&lt;&gt;9")</f>
        <v>0</v>
      </c>
      <c r="CJ213">
        <f>SUMIFS(Dyno_Data[Avoidance], Dyno_Data[Team],TBA_Matches_All[[#This Row],[Team]],Dyno_Data[Match],TBA_Matches_All[[#This Row],[Match_Number]],Dyno_Data[RecordType],"EndMatch",Dyno_Data[Avoidance],"&lt;&gt;9")</f>
        <v>1</v>
      </c>
      <c r="CK213" s="82">
        <f>COUNTIF($H$2:TBA_Matches_All[[#This Row],[Team]],TBA_Matches_All[[#This Row],[Team]])</f>
        <v>5</v>
      </c>
      <c r="CL213" s="111">
        <f>SUM(MID(TBA_Matches_All[[#This Row],[Team]],4,5)+TBA_Matches_All[[#This Row],[Match_Number]]/100)</f>
        <v>1880.36</v>
      </c>
      <c r="CM213">
        <f>SUM((TBA_Matches_All[[#This Row],[Leave]]*2)+(TBA_Matches_All[[#This Row],[AampT]]*2)+(TBA_Matches_All[[#This Row],[AspkrT]]*5)+(TBA_Matches_All[[#This Row],[AtrapT]]*5))</f>
        <v>7</v>
      </c>
      <c r="CN213" s="59">
        <f>IFERROR(SUM(TBA_Matches_All[[#This Row],[AptsT]]/TBA_Matches_All[[#This Row],[AutoPts]]),0)</f>
        <v>0.36842105263157893</v>
      </c>
      <c r="CO213" s="59">
        <f>IFERROR(SUM(TBA_Matches_All[[#This Row],[AampT]]+TBA_Matches_All[[#This Row],[AspkrT]]+TBA_Matches_All[[#This Row],[AtrapT]]/TBA_Matches_All[[#This Row],[Aamp]]+TBA_Matches_All[[#This Row],[Aspkr]]+TBA_Matches_All[[#This Row],[AtrapT]]),0)</f>
        <v>0</v>
      </c>
      <c r="CP213" s="59">
        <f>IFERROR(SUM(TBA_Matches_All[[#This Row],[TampT]]/TBA_Matches_All[[#This Row],[Tamp]]),0)</f>
        <v>0</v>
      </c>
      <c r="CQ213" s="59">
        <f>IFERROR(SUM(TBA_Matches_All[[#This Row],[TspkrT]]/TBA_Matches_All[[#This Row],[Tspkr]]),0)</f>
        <v>9.0909090909090912E-2</v>
      </c>
      <c r="CR213">
        <f>SUM(TBA_Matches_All[[#This Row],[TspkrPts]]*TBA_Matches_All[[#This Row],[TspkrP]])</f>
        <v>3.0909090909090908</v>
      </c>
      <c r="CS213" s="59">
        <f>IFERROR(SUM(TBA_Matches_All[[#This Row],[TtrapT]]/TBA_Matches_All[[#This Row],[Trap]]),0)</f>
        <v>0</v>
      </c>
      <c r="CT213" s="59">
        <f>IFERROR(SUM(TBA_Matches_All[[#This Row],[TotNotesT]]/TBA_Matches_All[[#This Row],[TotNotes]]),0)</f>
        <v>0.1111111111111111</v>
      </c>
      <c r="CU213" s="66">
        <f>SUM((TBA_Matches_All[[#This Row],[AampT]]*2)+(TBA_Matches_All[[#This Row],[AspkrT]]*5)+(TBA_Matches_All[[#This Row],[AtrapT]]*5)+(TBA_Matches_All[[#This Row],[TampT]]*1)+(TBA_Matches_All[[#This Row],[TspkrptsC]]))</f>
        <v>8.0909090909090899</v>
      </c>
      <c r="CV213" s="59">
        <f>IFERROR(TBA_Matches_All[[#This Row],[noteptsT]]/TBA_Matches_All[[#This Row],[NotePts]],0)</f>
        <v>0.15265866209262433</v>
      </c>
      <c r="CW213">
        <f>SUM(IF(TBA_Matches_All[[#This Row],[stageStat]]="On",3,0),IF(TBA_Matches_All[[#This Row],[stageStat]]="Park",1,0),SUMIFS(TBA_Matches_All[[#This Row],[Spotlit]],TBA_Matches_All[[#This Row],[stageStat]],"On"),SUMIFS(TBA_Matches_All[[#This Row],[Harmony]],TBA_Matches_All[[#This Row],[stageStat]],"On"))</f>
        <v>0</v>
      </c>
      <c r="CX213" s="59">
        <f>IFERROR(TBA_Matches_All[[#This Row],[stageptsT]]/TBA_Matches_All[[#This Row],[StagePts]],0)</f>
        <v>0</v>
      </c>
      <c r="CY213">
        <f>SUM((TBA_Matches_All[[#This Row],[AptsT]]+TBA_Matches_All[[#This Row],[TampT]]+TBA_Matches_All[[#This Row],[TspkrptsC]]+(TBA_Matches_All[[#This Row],[TtrapT]]*5)+TBA_Matches_All[[#This Row],[stageptsT]]))</f>
        <v>10.09090909090909</v>
      </c>
      <c r="CZ213" s="59">
        <f>IFERROR(SUM(TBA_Matches_All[[#This Row],[TotptsC]]/TBA_Matches_All[[#This Row],[Score]]),0)</f>
        <v>0.14015151515151514</v>
      </c>
      <c r="DA21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6.1547619047619051</v>
      </c>
      <c r="DB213" s="74">
        <f>SUMIFS(TBA_Matches_All[AveTeamTNoteDels],TBA_Matches_All[Match_Number],TBA_Matches_All[[#This Row],[Match_Number]],TBA_Matches_All[Alliance],"&lt;&gt;"&amp;TBA_Matches_All[[#This Row],[Alliance]],TBA_Matches_All[Scouted],"&gt;0")</f>
        <v>15.120833333333334</v>
      </c>
      <c r="DC213" s="74">
        <f>(TBA_Matches_All[[#This Row],[TampT]]+TBA_Matches_All[[#This Row],[TspkrptsC]])-TBA_Matches_All[[#This Row],[AveTeamTNoteDels]]</f>
        <v>-3.0638528138528143</v>
      </c>
      <c r="DD213" s="74">
        <f>SUMIFS(TBA_Matches_All[AveTeamTNoteDels],TBA_Matches_All[Match_Number],TBA_Matches_All[[#This Row],[Match_Number]],TBA_Matches_All[Alliance],"&lt;&gt;"&amp;TBA_Matches_All[[#This Row],[Alliance]])-TBA_Matches_All[[#This Row],[AveOppTNoteDels]]</f>
        <v>0</v>
      </c>
    </row>
    <row r="214" spans="1:108" x14ac:dyDescent="0.3">
      <c r="A214" t="s">
        <v>1042</v>
      </c>
      <c r="B214" t="s">
        <v>489</v>
      </c>
      <c r="C214" t="s">
        <v>1345</v>
      </c>
      <c r="D214">
        <v>36</v>
      </c>
      <c r="E214" t="s">
        <v>1406</v>
      </c>
      <c r="F214" t="s">
        <v>1422</v>
      </c>
      <c r="G214" t="s">
        <v>105</v>
      </c>
      <c r="H214" t="s">
        <v>1298</v>
      </c>
      <c r="I214" t="b">
        <v>0</v>
      </c>
      <c r="J214">
        <v>40</v>
      </c>
      <c r="K214">
        <v>0</v>
      </c>
      <c r="L214">
        <v>0</v>
      </c>
      <c r="M214">
        <v>15</v>
      </c>
      <c r="N214">
        <v>0</v>
      </c>
      <c r="O214">
        <v>2</v>
      </c>
      <c r="P214">
        <v>10</v>
      </c>
      <c r="Q214">
        <v>14</v>
      </c>
      <c r="R214">
        <v>3</v>
      </c>
      <c r="S214">
        <v>1</v>
      </c>
      <c r="T214">
        <v>5</v>
      </c>
      <c r="U214">
        <v>5</v>
      </c>
      <c r="V214">
        <v>10</v>
      </c>
      <c r="W214">
        <v>6</v>
      </c>
      <c r="X214">
        <v>15</v>
      </c>
      <c r="Y214">
        <v>18</v>
      </c>
      <c r="Z214">
        <v>0</v>
      </c>
      <c r="AA214">
        <v>0</v>
      </c>
      <c r="AB214">
        <v>11</v>
      </c>
      <c r="AC214">
        <v>28</v>
      </c>
      <c r="AD214">
        <v>8</v>
      </c>
      <c r="AE214">
        <f>IFERROR(6/(COUNTIF(Dyno_EndMatch[Match],TBA_Matches_All[[#This Row],[Match_Number]])),0)</f>
        <v>1</v>
      </c>
      <c r="AF214">
        <f>COUNTIFS(Dyno_Data[Team],TBA_Matches_All[[#This Row],[Team]],Dyno_Data[Match],TBA_Matches_All[[#This Row],[Match_Number]],Dyno_Data[RecordType],"EndMatch",Dyno_Data[HPAmp],"Y")</f>
        <v>0</v>
      </c>
      <c r="AG214">
        <f>SUMIFS(Dyno_Data[Mics], Dyno_Data[Team],TBA_Matches_All[[#This Row],[Team]],Dyno_Data[Match],TBA_Matches_All[[#This Row],[Match_Number]],Dyno_Data[RecordType],"EndMatch",Dyno_Data[HPAmp],"Y")</f>
        <v>0</v>
      </c>
      <c r="AH214">
        <f>SUMIFS(Dyno_Data[Leave], Dyno_Data[Team],TBA_Matches_All[[#This Row],[Team]],Dyno_Data[Match],TBA_Matches_All[[#This Row],[Match_Number]],Dyno_Data[RecordType],"EndAuto")</f>
        <v>0</v>
      </c>
      <c r="AI214">
        <f>COUNTIFS(Dyno_Data[Team],TBA_Matches_All[[#This Row],[Team]],Dyno_Data[Match],TBA_Matches_All[[#This Row],[Match_Number]],Dyno_Data[RecordType],"Activities",Dyno_Data[DelDest],"Amp", Dyno_Data[DelMiss],"0", Dyno_Data[Mode],"Auto")</f>
        <v>0</v>
      </c>
      <c r="AJ214">
        <f>COUNTIFS(Dyno_Data[Team],TBA_Matches_All[[#This Row],[Team]],Dyno_Data[Match],TBA_Matches_All[[#This Row],[Match_Number]],Dyno_Data[RecordType],"Activities",Dyno_Data[DelDest],"Spkr", Dyno_Data[DelMiss],"0", Dyno_Data[Mode],"Auto")</f>
        <v>2</v>
      </c>
      <c r="AK214">
        <f>COUNTIFS(Dyno_Data[Team],TBA_Matches_All[[#This Row],[Team]],Dyno_Data[Match],TBA_Matches_All[[#This Row],[Match_Number]],Dyno_Data[RecordType],"Activities",Dyno_Data[DelDest],"Trap", Dyno_Data[DelMiss],"0", Dyno_Data[Mode],"Auto")</f>
        <v>0</v>
      </c>
      <c r="AL214">
        <f>COUNTIFS(Dyno_Data[Team],TBA_Matches_All[[#This Row],[Team]],Dyno_Data[Match],TBA_Matches_All[[#This Row],[Match_Number]],Dyno_Data[RecordType],"Activities",Dyno_Data[DelDest],"Amp", Dyno_Data[DelMiss],"0", Dyno_Data[Mode],"Teleop")</f>
        <v>1</v>
      </c>
      <c r="AM214">
        <f>COUNTIFS(Dyno_Data[Team],TBA_Matches_All[[#This Row],[Team]],Dyno_Data[Match],TBA_Matches_All[[#This Row],[Match_Number]],Dyno_Data[RecordType],"Activities",Dyno_Data[DelDest],"Spkr", Dyno_Data[DelMiss],"0", Dyno_Data[Mode],"Teleop")</f>
        <v>5</v>
      </c>
      <c r="AN214">
        <f>COUNTIFS(Dyno_Data[Team],TBA_Matches_All[[#This Row],[Team]],Dyno_Data[Match],TBA_Matches_All[[#This Row],[Match_Number]],Dyno_Data[RecordType],"Activities",Dyno_Data[DelDest],"Trap", Dyno_Data[DelMiss],"0", Dyno_Data[Mode],"&lt;&gt;Auto")</f>
        <v>0</v>
      </c>
      <c r="AO214">
        <f>SUM(TBA_Matches_All[[#This Row],[AampT]]+TBA_Matches_All[[#This Row],[AspkrT]]+TBA_Matches_All[[#This Row],[AtrapT]]+TBA_Matches_All[[#This Row],[TampT]]+TBA_Matches_All[[#This Row],[TspkrT]]+TBA_Matches_All[[#This Row],[TtrapT]])</f>
        <v>8</v>
      </c>
      <c r="AP214">
        <f>COUNTIFS(Dyno_Data[Team],TBA_Matches_All[[#This Row],[Team]],Dyno_Data[Match],TBA_Matches_All[[#This Row],[Match_Number]],Dyno_Data[RecordType],"Activities",Dyno_Data[DelDest],"Neut", Dyno_Data[DelMiss],"0")</f>
        <v>0</v>
      </c>
      <c r="AQ214">
        <f>COUNTIFS(Dyno_Data[Team],TBA_Matches_All[[#This Row],[Team]],Dyno_Data[Match],TBA_Matches_All[[#This Row],[Match_Number]],Dyno_Data[RecordType],"Activities",Dyno_Data[DelDest],"AllyW", Dyno_Data[DelMiss],"0")</f>
        <v>0</v>
      </c>
      <c r="AR214" t="str">
        <f>_xlfn.XLOOKUP(SUM(MID(TBA_Matches_All[[#This Row],[Team]],4,5),(TBA_Matches_All[[#This Row],[Match_Number]]/100)),Dyno_EndMatch[teammat],Dyno_EndMatch[RobotSta],"_",0,1)</f>
        <v>SubW</v>
      </c>
      <c r="AS214">
        <f>SUMIFS(Dyno_Data[AcqDis], Dyno_Data[Team],TBA_Matches_All[[#This Row],[Team]],Dyno_Data[Match],TBA_Matches_All[[#This Row],[Match_Number]],Dyno_Data[RecordType],"Activities", Dyno_Data[AcqCenter],1,Dyno_Data[Mode],"Auto")</f>
        <v>0</v>
      </c>
      <c r="AT214">
        <f>SUMIFS(Dyno_Data[AcqDis], Dyno_Data[Team],TBA_Matches_All[[#This Row],[Team]],Dyno_Data[Match],TBA_Matches_All[[#This Row],[Match_Number]],Dyno_Data[RecordType],"Activities", Dyno_Data[AcqCenter],2,Dyno_Data[Mode],"Auto")</f>
        <v>0</v>
      </c>
      <c r="AU214">
        <f>SUMIFS(Dyno_Data[AcqDis], Dyno_Data[Team],TBA_Matches_All[[#This Row],[Team]],Dyno_Data[Match],TBA_Matches_All[[#This Row],[Match_Number]],Dyno_Data[RecordType],"Activities", Dyno_Data[AcqCenter],3,Dyno_Data[Mode],"Auto")</f>
        <v>0</v>
      </c>
      <c r="AV214">
        <f>SUMIFS(Dyno_Data[AcqDis], Dyno_Data[Team],TBA_Matches_All[[#This Row],[Team]],Dyno_Data[Match],TBA_Matches_All[[#This Row],[Match_Number]],Dyno_Data[RecordType],"Activities", Dyno_Data[AcqCenter],4,Dyno_Data[Mode],"Auto")</f>
        <v>0</v>
      </c>
      <c r="AW214">
        <f>SUMIFS(Dyno_Data[AcqDis], Dyno_Data[Team],TBA_Matches_All[[#This Row],[Team]],Dyno_Data[Match],TBA_Matches_All[[#This Row],[Match_Number]],Dyno_Data[RecordType],"Activities", Dyno_Data[AcqCenter],5,Dyno_Data[Mode],"Auto")</f>
        <v>0</v>
      </c>
      <c r="AX214">
        <f>SUMIFS(Dyno_Data[DelMiss], Dyno_Data[Team],TBA_Matches_All[[#This Row],[Team]],Dyno_Data[Match],TBA_Matches_All[[#This Row],[Match_Number]],Dyno_Data[RecordType],"Activities", Dyno_Data[DelDest],"Amp")</f>
        <v>0</v>
      </c>
      <c r="AY214" s="60">
        <f>IFERROR(SUM((TBA_Matches_All[[#This Row],[AampT]]+TBA_Matches_All[[#This Row],[TampT]])/(TBA_Matches_All[[#This Row],[AampT]]+TBA_Matches_All[[#This Row],[TampT]]+TBA_Matches_All[[#This Row],[ampM]])),0)</f>
        <v>1</v>
      </c>
      <c r="AZ214">
        <f>SUMIFS(Dyno_Data[DelMiss], Dyno_Data[Team],TBA_Matches_All[[#This Row],[Team]],Dyno_Data[Match],TBA_Matches_All[[#This Row],[Match_Number]],Dyno_Data[RecordType],"Activities", Dyno_Data[DelDest],"Spkr")</f>
        <v>0</v>
      </c>
      <c r="BA214" s="60">
        <f>IFERROR(SUM((TBA_Matches_All[[#This Row],[AspkrT]]+TBA_Matches_All[[#This Row],[TspkrT]])/(TBA_Matches_All[[#This Row],[AspkrT]]+TBA_Matches_All[[#This Row],[TspkrT]]+TBA_Matches_All[[#This Row],[spkrM]])),0)</f>
        <v>1</v>
      </c>
      <c r="BB214">
        <f>SUMIFS(Dyno_Data[DelMiss], Dyno_Data[Team],TBA_Matches_All[[#This Row],[Team]],Dyno_Data[Match],TBA_Matches_All[[#This Row],[Match_Number]],Dyno_Data[RecordType],"Activities", Dyno_Data[DelDest],"Trap")</f>
        <v>0</v>
      </c>
      <c r="BC214" s="60">
        <f>IFERROR((TBA_Matches_All[[#This Row],[AtrapT]]+TBA_Matches_All[[#This Row],[TtrapT]])/(TBA_Matches_All[[#This Row],[AtrapT]]+TBA_Matches_All[[#This Row],[TtrapT]]+TBA_Matches_All[[#This Row],[trapM]]),0)</f>
        <v>0</v>
      </c>
      <c r="BD214">
        <f>COUNTIFS(Dyno_Data[Team],TBA_Matches_All[[#This Row],[Team]],Dyno_Data[Match],TBA_Matches_All[[#This Row],[Match_Number]],Dyno_Data[RecordType],"Activities",Dyno_Data[DelDest],"Neut", Dyno_Data[DelMiss],1)</f>
        <v>0</v>
      </c>
      <c r="BE214" s="60">
        <f>IFERROR(SUM((TBA_Matches_All[[#This Row],[NeutFlrT]])/(TBA_Matches_All[[#This Row],[NeutFlrT]]+TBA_Matches_All[[#This Row],[NZflM]])),0)</f>
        <v>0</v>
      </c>
      <c r="BF214">
        <f>COUNTIFS(Dyno_Data[Team],TBA_Matches_All[[#This Row],[Team]],Dyno_Data[Match],TBA_Matches_All[[#This Row],[Match_Number]],Dyno_Data[RecordType],"Activities",Dyno_Data[DelDest],"AllyW", Dyno_Data[DelMiss],1)</f>
        <v>0</v>
      </c>
      <c r="BG214" s="60">
        <f>IFERROR(SUM((TBA_Matches_All[[#This Row],[AllyWFlrT]])/(TBA_Matches_All[[#This Row],[AllyWFlrT]]+TBA_Matches_All[[#This Row],[AZflM]])),0)</f>
        <v>0</v>
      </c>
      <c r="BH214">
        <f>COUNTIFS(Dyno_Data[Team],TBA_Matches_All[[#This Row],[Team]],Dyno_Data[Match],TBA_Matches_All[[#This Row],[Match_Number]],Dyno_Data[RecordType],"Activities",Dyno_Data[DelOrig],"OppW", Dyno_Data[DelMiss],"0")</f>
        <v>0</v>
      </c>
      <c r="BI214">
        <f>COUNTIFS(Dyno_Data[Team],TBA_Matches_All[[#This Row],[Team]],Dyno_Data[Match],TBA_Matches_All[[#This Row],[Match_Number]],Dyno_Data[RecordType],"Activities",Dyno_Data[DelOrig],"OppW", Dyno_Data[DelMiss],"1")</f>
        <v>0</v>
      </c>
      <c r="BJ214" s="60">
        <f>IFERROR(SUM((TBA_Matches_All[[#This Row],[OZflrT]])/(TBA_Matches_All[[#This Row],[OZflrT]]+TBA_Matches_All[[#This Row],[OZflrM]])),0)</f>
        <v>0</v>
      </c>
      <c r="BK214">
        <f>COUNTIFS(Dyno_Data[Team],TBA_Matches_All[[#This Row],[Team]],Dyno_Data[Match],TBA_Matches_All[[#This Row],[Match_Number]],Dyno_Data[RecordType],"Activities",Dyno_Data[DelOrig],"Neut", Dyno_Data[DelMiss],"0")</f>
        <v>0</v>
      </c>
      <c r="BL214">
        <f>COUNTIFS(Dyno_Data[Team],TBA_Matches_All[[#This Row],[Team]],Dyno_Data[Match],TBA_Matches_All[[#This Row],[Match_Number]],Dyno_Data[RecordType],"Activities",Dyno_Data[DelOrig],"Neut", Dyno_Data[DelMiss],"1")</f>
        <v>0</v>
      </c>
      <c r="BM214" s="60">
        <f>IFERROR(SUM((TBA_Matches_All[[#This Row],[NZflrT]])/(TBA_Matches_All[[#This Row],[NZflrT]]+TBA_Matches_All[[#This Row],[NZflrM]])),0)</f>
        <v>0</v>
      </c>
      <c r="BN214">
        <f>COUNTIFS(Dyno_Data[Team],TBA_Matches_All[[#This Row],[Team]],Dyno_Data[Match],TBA_Matches_All[[#This Row],[Match_Number]],Dyno_Data[RecordType],"Activities",Dyno_Data[DelOrig],"AllyW", Dyno_Data[DelMiss],"0")</f>
        <v>1</v>
      </c>
      <c r="BO214">
        <f>COUNTIFS(Dyno_Data[Team],TBA_Matches_All[[#This Row],[Team]],Dyno_Data[Match],TBA_Matches_All[[#This Row],[Match_Number]],Dyno_Data[RecordType],"Activities",Dyno_Data[DelOrig],"AllyW", Dyno_Data[DelMiss],"1")</f>
        <v>0</v>
      </c>
      <c r="BP214" s="60">
        <f>IFERROR(SUM((TBA_Matches_All[[#This Row],[AZflrT]])/(TBA_Matches_All[[#This Row],[AZflrT]]+TBA_Matches_All[[#This Row],[AZflrM]])),0)</f>
        <v>1</v>
      </c>
      <c r="BQ214">
        <f>COUNTIFS(Dyno_Data[Team],TBA_Matches_All[[#This Row],[Team]],Dyno_Data[Match],TBA_Matches_All[[#This Row],[Match_Number]],Dyno_Data[RecordType],"Activities",Dyno_Data[DelOrig],"SubW", Dyno_Data[DelMiss],"0")</f>
        <v>7</v>
      </c>
      <c r="BR214">
        <f>COUNTIFS(Dyno_Data[Team],TBA_Matches_All[[#This Row],[Team]],Dyno_Data[Match],TBA_Matches_All[[#This Row],[Match_Number]],Dyno_Data[RecordType],"Activities",Dyno_Data[DelOrig],"SubW", Dyno_Data[DelMiss],"1")</f>
        <v>0</v>
      </c>
      <c r="BS214" s="60">
        <f>IFERROR(SUM((TBA_Matches_All[[#This Row],[SubwT]])/(TBA_Matches_All[[#This Row],[SubwT]]+TBA_Matches_All[[#This Row],[SubwM]])),0)</f>
        <v>1</v>
      </c>
      <c r="BT214">
        <f>COUNTIFS(Dyno_Data[Team],TBA_Matches_All[[#This Row],[Team]],Dyno_Data[Match],TBA_Matches_All[[#This Row],[Match_Number]],Dyno_Data[RecordType],"Activities", Dyno_Data[AcqLoc],"OppWing")</f>
        <v>0</v>
      </c>
      <c r="BU214">
        <f>COUNTIFS(Dyno_Data[Team],TBA_Matches_All[[#This Row],[Team]],Dyno_Data[Match],TBA_Matches_All[[#This Row],[Match_Number]],Dyno_Data[RecordType],"Activities", Dyno_Data[AcqLoc],"Neutral")</f>
        <v>0</v>
      </c>
      <c r="BV214">
        <f>COUNTIFS(Dyno_Data[Team],TBA_Matches_All[[#This Row],[Team]],Dyno_Data[Match],TBA_Matches_All[[#This Row],[Match_Number]],Dyno_Data[RecordType],"Activities", Dyno_Data[AcqLoc],"AllyWing")</f>
        <v>0</v>
      </c>
      <c r="BW214">
        <f>COUNTIFS(Dyno_Data[Team],TBA_Matches_All[[#This Row],[Team]],Dyno_Data[Match],TBA_Matches_All[[#This Row],[Match_Number]],Dyno_Data[RecordType],"Activities", Dyno_Data[AcqLoc],"Source")</f>
        <v>0</v>
      </c>
      <c r="BX214">
        <f>SUMIFS(Dyno_Data[AcqDrp], Dyno_Data[Team],TBA_Matches_All[[#This Row],[Team]],Dyno_Data[Match],TBA_Matches_All[[#This Row],[Match_Number]],Dyno_Data[RecordType],"Activities", Dyno_Data[AcqLoc],"Source")</f>
        <v>0</v>
      </c>
      <c r="BY214">
        <f>SUMIFS(Dyno_Data[OZTime], Dyno_Data[Team],TBA_Matches_All[[#This Row],[Team]],Dyno_Data[Match],TBA_Matches_All[[#This Row],[Match_Number]],Dyno_Data[RecordType],"EndMatch")</f>
        <v>44.323532799999995</v>
      </c>
      <c r="BZ214">
        <f>SUMIFS(Dyno_Data[NZTime], Dyno_Data[Team],TBA_Matches_All[[#This Row],[Team]],Dyno_Data[Match],TBA_Matches_All[[#This Row],[Match_Number]],Dyno_Data[RecordType],"EndMatch")</f>
        <v>17.5193753</v>
      </c>
      <c r="CA214">
        <f>SUMIFS(Dyno_Data[AZTime], Dyno_Data[Team],TBA_Matches_All[[#This Row],[Team]],Dyno_Data[Match],TBA_Matches_All[[#This Row],[Match_Number]],Dyno_Data[RecordType],"EndMatch")</f>
        <v>59.971850499999995</v>
      </c>
      <c r="CB214">
        <f>SUMIFS(Dyno_Data[ClimbT], Dyno_Data[Team],TBA_Matches_All[[#This Row],[Team]],Dyno_Data[Match],TBA_Matches_All[[#This Row],[Match_Number]],Dyno_Data[RecordType],"EndMatch")</f>
        <v>2.2386645999999999</v>
      </c>
      <c r="CC214" t="str">
        <f>_xlfn.XLOOKUP(SUM(MID(TBA_Matches_All[[#This Row],[Team]],4,5),(TBA_Matches_All[[#This Row],[Match_Number]]/100)),Dyno_EndMatch[teammat],Dyno_EndMatch[StageStat],"_",0,1)</f>
        <v>On</v>
      </c>
      <c r="CD214" t="str">
        <f>_xlfn.XLOOKUP(TBA_Matches_All[[#This Row],[teammat]],Dyno_EndMatch[teammat],Dyno_EndMatch[StageAtt],"_",0,1)</f>
        <v>1</v>
      </c>
      <c r="CE214" t="str">
        <f>_xlfn.XLOOKUP(TBA_Matches_All[[#This Row],[teammat]],Dyno_EndMatch[teammat],Dyno_EndMatch[StageLoc],"_",0,1)</f>
        <v>R</v>
      </c>
      <c r="CF214">
        <f>SUMIFS(Dyno_Data[Harmony], Dyno_Data[Team],TBA_Matches_All[[#This Row],[Team]],Dyno_Data[Match],TBA_Matches_All[[#This Row],[Match_Number]],Dyno_Data[RecordType],"EndMatch", Dyno_Data[StageStat],"On",Dyno_Data[Harmony],"&lt;&gt;9")</f>
        <v>0</v>
      </c>
      <c r="CG214">
        <f>SUMIFS(Dyno_Data[Spotlit], Dyno_Data[Team],TBA_Matches_All[[#This Row],[Team]],Dyno_Data[Match],TBA_Matches_All[[#This Row],[Match_Number]],Dyno_Data[RecordType],"EndMatch", Dyno_Data[StageStat],"On",Dyno_Data[Spotlit],"&lt;&gt;9")</f>
        <v>1</v>
      </c>
      <c r="CH214" t="str">
        <f>_xlfn.XLOOKUP(TBA_Matches_All[[#This Row],[teammat]],Dyno_EndMatch[teammat],Dyno_EndMatch[Strategy],"_",0,1)</f>
        <v>Hybrid</v>
      </c>
      <c r="CI214">
        <f>SUMIFS(Dyno_Data[Defense], Dyno_Data[Team],TBA_Matches_All[[#This Row],[Team]],Dyno_Data[Match],TBA_Matches_All[[#This Row],[Match_Number]],Dyno_Data[RecordType],"EndMatch",Dyno_Data[Defense],"&lt;&gt;9")</f>
        <v>0</v>
      </c>
      <c r="CJ214">
        <f>SUMIFS(Dyno_Data[Avoidance], Dyno_Data[Team],TBA_Matches_All[[#This Row],[Team]],Dyno_Data[Match],TBA_Matches_All[[#This Row],[Match_Number]],Dyno_Data[RecordType],"EndMatch",Dyno_Data[Avoidance],"&lt;&gt;9")</f>
        <v>1</v>
      </c>
      <c r="CK214" s="82">
        <f>COUNTIF($H$2:TBA_Matches_All[[#This Row],[Team]],TBA_Matches_All[[#This Row],[Team]])</f>
        <v>5</v>
      </c>
      <c r="CL214" s="111">
        <f>SUM(MID(TBA_Matches_All[[#This Row],[Team]],4,5)+TBA_Matches_All[[#This Row],[Match_Number]]/100)</f>
        <v>9624.36</v>
      </c>
      <c r="CM214">
        <f>SUM((TBA_Matches_All[[#This Row],[Leave]]*2)+(TBA_Matches_All[[#This Row],[AampT]]*2)+(TBA_Matches_All[[#This Row],[AspkrT]]*5)+(TBA_Matches_All[[#This Row],[AtrapT]]*5))</f>
        <v>10</v>
      </c>
      <c r="CN214" s="59">
        <f>IFERROR(SUM(TBA_Matches_All[[#This Row],[AptsT]]/TBA_Matches_All[[#This Row],[AutoPts]]),0)</f>
        <v>0.7142857142857143</v>
      </c>
      <c r="CO214" s="59">
        <f>IFERROR(SUM(TBA_Matches_All[[#This Row],[AampT]]+TBA_Matches_All[[#This Row],[AspkrT]]+TBA_Matches_All[[#This Row],[AtrapT]]/TBA_Matches_All[[#This Row],[Aamp]]+TBA_Matches_All[[#This Row],[Aspkr]]+TBA_Matches_All[[#This Row],[AtrapT]]),0)</f>
        <v>0</v>
      </c>
      <c r="CP214" s="59">
        <f>IFERROR(SUM(TBA_Matches_All[[#This Row],[TampT]]/TBA_Matches_All[[#This Row],[Tamp]]),0)</f>
        <v>0.33333333333333331</v>
      </c>
      <c r="CQ214" s="59">
        <f>IFERROR(SUM(TBA_Matches_All[[#This Row],[TspkrT]]/TBA_Matches_All[[#This Row],[Tspkr]]),0)</f>
        <v>0.83333333333333337</v>
      </c>
      <c r="CR214">
        <f>SUM(TBA_Matches_All[[#This Row],[TspkrPts]]*TBA_Matches_All[[#This Row],[TspkrP]])</f>
        <v>12.5</v>
      </c>
      <c r="CS214" s="59">
        <f>IFERROR(SUM(TBA_Matches_All[[#This Row],[TtrapT]]/TBA_Matches_All[[#This Row],[Trap]]),0)</f>
        <v>0</v>
      </c>
      <c r="CT214" s="59">
        <f>IFERROR(SUM(TBA_Matches_All[[#This Row],[TotNotesT]]/TBA_Matches_All[[#This Row],[TotNotes]]),0)</f>
        <v>0.72727272727272729</v>
      </c>
      <c r="CU214" s="66">
        <f>SUM((TBA_Matches_All[[#This Row],[AampT]]*2)+(TBA_Matches_All[[#This Row],[AspkrT]]*5)+(TBA_Matches_All[[#This Row],[AtrapT]]*5)+(TBA_Matches_All[[#This Row],[TampT]]*1)+(TBA_Matches_All[[#This Row],[TspkrptsC]]))</f>
        <v>23.5</v>
      </c>
      <c r="CV214" s="59">
        <f>IFERROR(TBA_Matches_All[[#This Row],[noteptsT]]/TBA_Matches_All[[#This Row],[NotePts]],0)</f>
        <v>0.8392857142857143</v>
      </c>
      <c r="CW214">
        <f>SUM(IF(TBA_Matches_All[[#This Row],[stageStat]]="On",3,0),IF(TBA_Matches_All[[#This Row],[stageStat]]="Park",1,0),SUMIFS(TBA_Matches_All[[#This Row],[Spotlit]],TBA_Matches_All[[#This Row],[stageStat]],"On"),SUMIFS(TBA_Matches_All[[#This Row],[Harmony]],TBA_Matches_All[[#This Row],[stageStat]],"On"))</f>
        <v>4</v>
      </c>
      <c r="CX214" s="59">
        <f>IFERROR(TBA_Matches_All[[#This Row],[stageptsT]]/TBA_Matches_All[[#This Row],[StagePts]],0)</f>
        <v>0.5</v>
      </c>
      <c r="CY214">
        <f>SUM((TBA_Matches_All[[#This Row],[AptsT]]+TBA_Matches_All[[#This Row],[TampT]]+TBA_Matches_All[[#This Row],[TspkrptsC]]+(TBA_Matches_All[[#This Row],[TtrapT]]*5)+TBA_Matches_All[[#This Row],[stageptsT]]))</f>
        <v>27.5</v>
      </c>
      <c r="CZ214" s="59">
        <f>IFERROR(SUM(TBA_Matches_All[[#This Row],[TotptsC]]/TBA_Matches_All[[#This Row],[Score]]),0)</f>
        <v>0.6875</v>
      </c>
      <c r="DA21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10.362499999999999</v>
      </c>
      <c r="DB214" s="74">
        <f>SUMIFS(TBA_Matches_All[AveTeamTNoteDels],TBA_Matches_All[Match_Number],TBA_Matches_All[[#This Row],[Match_Number]],TBA_Matches_All[Alliance],"&lt;&gt;"&amp;TBA_Matches_All[[#This Row],[Alliance]],TBA_Matches_All[Scouted],"&gt;0")</f>
        <v>26.665178571428573</v>
      </c>
      <c r="DC214" s="74">
        <f>(TBA_Matches_All[[#This Row],[TampT]]+TBA_Matches_All[[#This Row],[TspkrptsC]])-TBA_Matches_All[[#This Row],[AveTeamTNoteDels]]</f>
        <v>3.1375000000000011</v>
      </c>
      <c r="DD214" s="74">
        <f>SUMIFS(TBA_Matches_All[AveTeamTNoteDels],TBA_Matches_All[Match_Number],TBA_Matches_All[[#This Row],[Match_Number]],TBA_Matches_All[Alliance],"&lt;&gt;"&amp;TBA_Matches_All[[#This Row],[Alliance]])-TBA_Matches_All[[#This Row],[AveOppTNoteDels]]</f>
        <v>0</v>
      </c>
    </row>
    <row r="215" spans="1:108" x14ac:dyDescent="0.3">
      <c r="A215" t="s">
        <v>1042</v>
      </c>
      <c r="B215" t="s">
        <v>489</v>
      </c>
      <c r="C215" t="s">
        <v>1345</v>
      </c>
      <c r="D215">
        <v>36</v>
      </c>
      <c r="E215" t="s">
        <v>1420</v>
      </c>
      <c r="F215" t="s">
        <v>1423</v>
      </c>
      <c r="G215" t="s">
        <v>1409</v>
      </c>
      <c r="H215" t="s">
        <v>361</v>
      </c>
      <c r="I215" t="b">
        <v>0</v>
      </c>
      <c r="J215">
        <v>72</v>
      </c>
      <c r="K215">
        <v>1</v>
      </c>
      <c r="L215">
        <v>0</v>
      </c>
      <c r="M215">
        <v>0</v>
      </c>
      <c r="N215">
        <v>0</v>
      </c>
      <c r="O215">
        <v>3</v>
      </c>
      <c r="P215">
        <v>15</v>
      </c>
      <c r="Q215">
        <v>19</v>
      </c>
      <c r="R215">
        <v>4</v>
      </c>
      <c r="S215">
        <v>4</v>
      </c>
      <c r="T215">
        <v>7</v>
      </c>
      <c r="U215">
        <v>20</v>
      </c>
      <c r="V215">
        <v>14</v>
      </c>
      <c r="W215">
        <v>11</v>
      </c>
      <c r="X215">
        <v>34</v>
      </c>
      <c r="Y215">
        <v>38</v>
      </c>
      <c r="Z215">
        <v>0</v>
      </c>
      <c r="AA215">
        <v>0</v>
      </c>
      <c r="AB215">
        <v>18</v>
      </c>
      <c r="AC215">
        <v>53</v>
      </c>
      <c r="AD215">
        <v>0</v>
      </c>
      <c r="AE215">
        <f>IFERROR(6/(COUNTIF(Dyno_EndMatch[Match],TBA_Matches_All[[#This Row],[Match_Number]])),0)</f>
        <v>1</v>
      </c>
      <c r="AF215">
        <f>COUNTIFS(Dyno_Data[Team],TBA_Matches_All[[#This Row],[Team]],Dyno_Data[Match],TBA_Matches_All[[#This Row],[Match_Number]],Dyno_Data[RecordType],"EndMatch",Dyno_Data[HPAmp],"Y")</f>
        <v>0</v>
      </c>
      <c r="AG215">
        <f>SUMIFS(Dyno_Data[Mics], Dyno_Data[Team],TBA_Matches_All[[#This Row],[Team]],Dyno_Data[Match],TBA_Matches_All[[#This Row],[Match_Number]],Dyno_Data[RecordType],"EndMatch",Dyno_Data[HPAmp],"Y")</f>
        <v>0</v>
      </c>
      <c r="AH215">
        <f>SUMIFS(Dyno_Data[Leave], Dyno_Data[Team],TBA_Matches_All[[#This Row],[Team]],Dyno_Data[Match],TBA_Matches_All[[#This Row],[Match_Number]],Dyno_Data[RecordType],"EndAuto")</f>
        <v>1</v>
      </c>
      <c r="AI215">
        <f>COUNTIFS(Dyno_Data[Team],TBA_Matches_All[[#This Row],[Team]],Dyno_Data[Match],TBA_Matches_All[[#This Row],[Match_Number]],Dyno_Data[RecordType],"Activities",Dyno_Data[DelDest],"Amp", Dyno_Data[DelMiss],"0", Dyno_Data[Mode],"Auto")</f>
        <v>0</v>
      </c>
      <c r="AJ215">
        <f>COUNTIFS(Dyno_Data[Team],TBA_Matches_All[[#This Row],[Team]],Dyno_Data[Match],TBA_Matches_All[[#This Row],[Match_Number]],Dyno_Data[RecordType],"Activities",Dyno_Data[DelDest],"Spkr", Dyno_Data[DelMiss],"0", Dyno_Data[Mode],"Auto")</f>
        <v>2</v>
      </c>
      <c r="AK215">
        <f>COUNTIFS(Dyno_Data[Team],TBA_Matches_All[[#This Row],[Team]],Dyno_Data[Match],TBA_Matches_All[[#This Row],[Match_Number]],Dyno_Data[RecordType],"Activities",Dyno_Data[DelDest],"Trap", Dyno_Data[DelMiss],"0", Dyno_Data[Mode],"Auto")</f>
        <v>0</v>
      </c>
      <c r="AL215">
        <f>COUNTIFS(Dyno_Data[Team],TBA_Matches_All[[#This Row],[Team]],Dyno_Data[Match],TBA_Matches_All[[#This Row],[Match_Number]],Dyno_Data[RecordType],"Activities",Dyno_Data[DelDest],"Amp", Dyno_Data[DelMiss],"0", Dyno_Data[Mode],"Teleop")</f>
        <v>4</v>
      </c>
      <c r="AM215">
        <f>COUNTIFS(Dyno_Data[Team],TBA_Matches_All[[#This Row],[Team]],Dyno_Data[Match],TBA_Matches_All[[#This Row],[Match_Number]],Dyno_Data[RecordType],"Activities",Dyno_Data[DelDest],"Spkr", Dyno_Data[DelMiss],"0", Dyno_Data[Mode],"Teleop")</f>
        <v>4</v>
      </c>
      <c r="AN215">
        <f>COUNTIFS(Dyno_Data[Team],TBA_Matches_All[[#This Row],[Team]],Dyno_Data[Match],TBA_Matches_All[[#This Row],[Match_Number]],Dyno_Data[RecordType],"Activities",Dyno_Data[DelDest],"Trap", Dyno_Data[DelMiss],"0", Dyno_Data[Mode],"&lt;&gt;Auto")</f>
        <v>0</v>
      </c>
      <c r="AO215">
        <f>SUM(TBA_Matches_All[[#This Row],[AampT]]+TBA_Matches_All[[#This Row],[AspkrT]]+TBA_Matches_All[[#This Row],[AtrapT]]+TBA_Matches_All[[#This Row],[TampT]]+TBA_Matches_All[[#This Row],[TspkrT]]+TBA_Matches_All[[#This Row],[TtrapT]])</f>
        <v>10</v>
      </c>
      <c r="AP215">
        <f>COUNTIFS(Dyno_Data[Team],TBA_Matches_All[[#This Row],[Team]],Dyno_Data[Match],TBA_Matches_All[[#This Row],[Match_Number]],Dyno_Data[RecordType],"Activities",Dyno_Data[DelDest],"Neut", Dyno_Data[DelMiss],"0")</f>
        <v>0</v>
      </c>
      <c r="AQ215">
        <f>COUNTIFS(Dyno_Data[Team],TBA_Matches_All[[#This Row],[Team]],Dyno_Data[Match],TBA_Matches_All[[#This Row],[Match_Number]],Dyno_Data[RecordType],"Activities",Dyno_Data[DelDest],"AllyW", Dyno_Data[DelMiss],"0")</f>
        <v>0</v>
      </c>
      <c r="AR215" t="str">
        <f>_xlfn.XLOOKUP(SUM(MID(TBA_Matches_All[[#This Row],[Team]],4,5),(TBA_Matches_All[[#This Row],[Match_Number]]/100)),Dyno_EndMatch[teammat],Dyno_EndMatch[RobotSta],"_",0,1)</f>
        <v>SubW</v>
      </c>
      <c r="AS215">
        <f>SUMIFS(Dyno_Data[AcqDis], Dyno_Data[Team],TBA_Matches_All[[#This Row],[Team]],Dyno_Data[Match],TBA_Matches_All[[#This Row],[Match_Number]],Dyno_Data[RecordType],"Activities", Dyno_Data[AcqCenter],1,Dyno_Data[Mode],"Auto")</f>
        <v>0</v>
      </c>
      <c r="AT215">
        <f>SUMIFS(Dyno_Data[AcqDis], Dyno_Data[Team],TBA_Matches_All[[#This Row],[Team]],Dyno_Data[Match],TBA_Matches_All[[#This Row],[Match_Number]],Dyno_Data[RecordType],"Activities", Dyno_Data[AcqCenter],2,Dyno_Data[Mode],"Auto")</f>
        <v>0</v>
      </c>
      <c r="AU215">
        <f>SUMIFS(Dyno_Data[AcqDis], Dyno_Data[Team],TBA_Matches_All[[#This Row],[Team]],Dyno_Data[Match],TBA_Matches_All[[#This Row],[Match_Number]],Dyno_Data[RecordType],"Activities", Dyno_Data[AcqCenter],3,Dyno_Data[Mode],"Auto")</f>
        <v>0</v>
      </c>
      <c r="AV215">
        <f>SUMIFS(Dyno_Data[AcqDis], Dyno_Data[Team],TBA_Matches_All[[#This Row],[Team]],Dyno_Data[Match],TBA_Matches_All[[#This Row],[Match_Number]],Dyno_Data[RecordType],"Activities", Dyno_Data[AcqCenter],4,Dyno_Data[Mode],"Auto")</f>
        <v>0</v>
      </c>
      <c r="AW215">
        <f>SUMIFS(Dyno_Data[AcqDis], Dyno_Data[Team],TBA_Matches_All[[#This Row],[Team]],Dyno_Data[Match],TBA_Matches_All[[#This Row],[Match_Number]],Dyno_Data[RecordType],"Activities", Dyno_Data[AcqCenter],5,Dyno_Data[Mode],"Auto")</f>
        <v>0</v>
      </c>
      <c r="AX215">
        <f>SUMIFS(Dyno_Data[DelMiss], Dyno_Data[Team],TBA_Matches_All[[#This Row],[Team]],Dyno_Data[Match],TBA_Matches_All[[#This Row],[Match_Number]],Dyno_Data[RecordType],"Activities", Dyno_Data[DelDest],"Amp")</f>
        <v>2</v>
      </c>
      <c r="AY215" s="60">
        <f>IFERROR(SUM((TBA_Matches_All[[#This Row],[AampT]]+TBA_Matches_All[[#This Row],[TampT]])/(TBA_Matches_All[[#This Row],[AampT]]+TBA_Matches_All[[#This Row],[TampT]]+TBA_Matches_All[[#This Row],[ampM]])),0)</f>
        <v>0.66666666666666663</v>
      </c>
      <c r="AZ215">
        <f>SUMIFS(Dyno_Data[DelMiss], Dyno_Data[Team],TBA_Matches_All[[#This Row],[Team]],Dyno_Data[Match],TBA_Matches_All[[#This Row],[Match_Number]],Dyno_Data[RecordType],"Activities", Dyno_Data[DelDest],"Spkr")</f>
        <v>3</v>
      </c>
      <c r="BA215" s="60">
        <f>IFERROR(SUM((TBA_Matches_All[[#This Row],[AspkrT]]+TBA_Matches_All[[#This Row],[TspkrT]])/(TBA_Matches_All[[#This Row],[AspkrT]]+TBA_Matches_All[[#This Row],[TspkrT]]+TBA_Matches_All[[#This Row],[spkrM]])),0)</f>
        <v>0.66666666666666663</v>
      </c>
      <c r="BB215">
        <f>SUMIFS(Dyno_Data[DelMiss], Dyno_Data[Team],TBA_Matches_All[[#This Row],[Team]],Dyno_Data[Match],TBA_Matches_All[[#This Row],[Match_Number]],Dyno_Data[RecordType],"Activities", Dyno_Data[DelDest],"Trap")</f>
        <v>0</v>
      </c>
      <c r="BC215" s="60">
        <f>IFERROR((TBA_Matches_All[[#This Row],[AtrapT]]+TBA_Matches_All[[#This Row],[TtrapT]])/(TBA_Matches_All[[#This Row],[AtrapT]]+TBA_Matches_All[[#This Row],[TtrapT]]+TBA_Matches_All[[#This Row],[trapM]]),0)</f>
        <v>0</v>
      </c>
      <c r="BD215">
        <f>COUNTIFS(Dyno_Data[Team],TBA_Matches_All[[#This Row],[Team]],Dyno_Data[Match],TBA_Matches_All[[#This Row],[Match_Number]],Dyno_Data[RecordType],"Activities",Dyno_Data[DelDest],"Neut", Dyno_Data[DelMiss],1)</f>
        <v>0</v>
      </c>
      <c r="BE215" s="60">
        <f>IFERROR(SUM((TBA_Matches_All[[#This Row],[NeutFlrT]])/(TBA_Matches_All[[#This Row],[NeutFlrT]]+TBA_Matches_All[[#This Row],[NZflM]])),0)</f>
        <v>0</v>
      </c>
      <c r="BF215">
        <f>COUNTIFS(Dyno_Data[Team],TBA_Matches_All[[#This Row],[Team]],Dyno_Data[Match],TBA_Matches_All[[#This Row],[Match_Number]],Dyno_Data[RecordType],"Activities",Dyno_Data[DelDest],"AllyW", Dyno_Data[DelMiss],1)</f>
        <v>0</v>
      </c>
      <c r="BG215" s="60">
        <f>IFERROR(SUM((TBA_Matches_All[[#This Row],[AllyWFlrT]])/(TBA_Matches_All[[#This Row],[AllyWFlrT]]+TBA_Matches_All[[#This Row],[AZflM]])),0)</f>
        <v>0</v>
      </c>
      <c r="BH215">
        <f>COUNTIFS(Dyno_Data[Team],TBA_Matches_All[[#This Row],[Team]],Dyno_Data[Match],TBA_Matches_All[[#This Row],[Match_Number]],Dyno_Data[RecordType],"Activities",Dyno_Data[DelOrig],"OppW", Dyno_Data[DelMiss],"0")</f>
        <v>0</v>
      </c>
      <c r="BI215">
        <f>COUNTIFS(Dyno_Data[Team],TBA_Matches_All[[#This Row],[Team]],Dyno_Data[Match],TBA_Matches_All[[#This Row],[Match_Number]],Dyno_Data[RecordType],"Activities",Dyno_Data[DelOrig],"OppW", Dyno_Data[DelMiss],"1")</f>
        <v>0</v>
      </c>
      <c r="BJ215" s="60">
        <f>IFERROR(SUM((TBA_Matches_All[[#This Row],[OZflrT]])/(TBA_Matches_All[[#This Row],[OZflrT]]+TBA_Matches_All[[#This Row],[OZflrM]])),0)</f>
        <v>0</v>
      </c>
      <c r="BK215">
        <f>COUNTIFS(Dyno_Data[Team],TBA_Matches_All[[#This Row],[Team]],Dyno_Data[Match],TBA_Matches_All[[#This Row],[Match_Number]],Dyno_Data[RecordType],"Activities",Dyno_Data[DelOrig],"Neut", Dyno_Data[DelMiss],"0")</f>
        <v>0</v>
      </c>
      <c r="BL215">
        <f>COUNTIFS(Dyno_Data[Team],TBA_Matches_All[[#This Row],[Team]],Dyno_Data[Match],TBA_Matches_All[[#This Row],[Match_Number]],Dyno_Data[RecordType],"Activities",Dyno_Data[DelOrig],"Neut", Dyno_Data[DelMiss],"1")</f>
        <v>0</v>
      </c>
      <c r="BM215" s="60">
        <f>IFERROR(SUM((TBA_Matches_All[[#This Row],[NZflrT]])/(TBA_Matches_All[[#This Row],[NZflrT]]+TBA_Matches_All[[#This Row],[NZflrM]])),0)</f>
        <v>0</v>
      </c>
      <c r="BN215">
        <f>COUNTIFS(Dyno_Data[Team],TBA_Matches_All[[#This Row],[Team]],Dyno_Data[Match],TBA_Matches_All[[#This Row],[Match_Number]],Dyno_Data[RecordType],"Activities",Dyno_Data[DelOrig],"AllyW", Dyno_Data[DelMiss],"0")</f>
        <v>7</v>
      </c>
      <c r="BO215">
        <f>COUNTIFS(Dyno_Data[Team],TBA_Matches_All[[#This Row],[Team]],Dyno_Data[Match],TBA_Matches_All[[#This Row],[Match_Number]],Dyno_Data[RecordType],"Activities",Dyno_Data[DelOrig],"AllyW", Dyno_Data[DelMiss],"1")</f>
        <v>4</v>
      </c>
      <c r="BP215" s="60">
        <f>IFERROR(SUM((TBA_Matches_All[[#This Row],[AZflrT]])/(TBA_Matches_All[[#This Row],[AZflrT]]+TBA_Matches_All[[#This Row],[AZflrM]])),0)</f>
        <v>0.63636363636363635</v>
      </c>
      <c r="BQ215">
        <f>COUNTIFS(Dyno_Data[Team],TBA_Matches_All[[#This Row],[Team]],Dyno_Data[Match],TBA_Matches_All[[#This Row],[Match_Number]],Dyno_Data[RecordType],"Activities",Dyno_Data[DelOrig],"SubW", Dyno_Data[DelMiss],"0")</f>
        <v>3</v>
      </c>
      <c r="BR215">
        <f>COUNTIFS(Dyno_Data[Team],TBA_Matches_All[[#This Row],[Team]],Dyno_Data[Match],TBA_Matches_All[[#This Row],[Match_Number]],Dyno_Data[RecordType],"Activities",Dyno_Data[DelOrig],"SubW", Dyno_Data[DelMiss],"1")</f>
        <v>1</v>
      </c>
      <c r="BS215" s="60">
        <f>IFERROR(SUM((TBA_Matches_All[[#This Row],[SubwT]])/(TBA_Matches_All[[#This Row],[SubwT]]+TBA_Matches_All[[#This Row],[SubwM]])),0)</f>
        <v>0.75</v>
      </c>
      <c r="BT215">
        <f>COUNTIFS(Dyno_Data[Team],TBA_Matches_All[[#This Row],[Team]],Dyno_Data[Match],TBA_Matches_All[[#This Row],[Match_Number]],Dyno_Data[RecordType],"Activities", Dyno_Data[AcqLoc],"OppWing")</f>
        <v>0</v>
      </c>
      <c r="BU215">
        <f>COUNTIFS(Dyno_Data[Team],TBA_Matches_All[[#This Row],[Team]],Dyno_Data[Match],TBA_Matches_All[[#This Row],[Match_Number]],Dyno_Data[RecordType],"Activities", Dyno_Data[AcqLoc],"Neutral")</f>
        <v>0</v>
      </c>
      <c r="BV215">
        <f>COUNTIFS(Dyno_Data[Team],TBA_Matches_All[[#This Row],[Team]],Dyno_Data[Match],TBA_Matches_All[[#This Row],[Match_Number]],Dyno_Data[RecordType],"Activities", Dyno_Data[AcqLoc],"AllyWing")</f>
        <v>0</v>
      </c>
      <c r="BW215">
        <f>COUNTIFS(Dyno_Data[Team],TBA_Matches_All[[#This Row],[Team]],Dyno_Data[Match],TBA_Matches_All[[#This Row],[Match_Number]],Dyno_Data[RecordType],"Activities", Dyno_Data[AcqLoc],"Source")</f>
        <v>0</v>
      </c>
      <c r="BX215">
        <f>SUMIFS(Dyno_Data[AcqDrp], Dyno_Data[Team],TBA_Matches_All[[#This Row],[Team]],Dyno_Data[Match],TBA_Matches_All[[#This Row],[Match_Number]],Dyno_Data[RecordType],"Activities", Dyno_Data[AcqLoc],"Source")</f>
        <v>0</v>
      </c>
      <c r="BY215">
        <f>SUMIFS(Dyno_Data[OZTime], Dyno_Data[Team],TBA_Matches_All[[#This Row],[Team]],Dyno_Data[Match],TBA_Matches_All[[#This Row],[Match_Number]],Dyno_Data[RecordType],"EndMatch")</f>
        <v>4.1325512999999994</v>
      </c>
      <c r="BZ215">
        <f>SUMIFS(Dyno_Data[NZTime], Dyno_Data[Team],TBA_Matches_All[[#This Row],[Team]],Dyno_Data[Match],TBA_Matches_All[[#This Row],[Match_Number]],Dyno_Data[RecordType],"EndMatch")</f>
        <v>23.084456400000001</v>
      </c>
      <c r="CA215">
        <f>SUMIFS(Dyno_Data[AZTime], Dyno_Data[Team],TBA_Matches_All[[#This Row],[Team]],Dyno_Data[Match],TBA_Matches_All[[#This Row],[Match_Number]],Dyno_Data[RecordType],"EndMatch")</f>
        <v>109.0487284</v>
      </c>
      <c r="CB215">
        <f>SUMIFS(Dyno_Data[ClimbT], Dyno_Data[Team],TBA_Matches_All[[#This Row],[Team]],Dyno_Data[Match],TBA_Matches_All[[#This Row],[Match_Number]],Dyno_Data[RecordType],"EndMatch")</f>
        <v>0</v>
      </c>
      <c r="CC215" t="str">
        <f>_xlfn.XLOOKUP(SUM(MID(TBA_Matches_All[[#This Row],[Team]],4,5),(TBA_Matches_All[[#This Row],[Match_Number]]/100)),Dyno_EndMatch[teammat],Dyno_EndMatch[StageStat],"_",0,1)</f>
        <v>Else</v>
      </c>
      <c r="CD215" t="str">
        <f>_xlfn.XLOOKUP(TBA_Matches_All[[#This Row],[teammat]],Dyno_EndMatch[teammat],Dyno_EndMatch[StageAtt],"_",0,1)</f>
        <v>0</v>
      </c>
      <c r="CE215" t="str">
        <f>_xlfn.XLOOKUP(TBA_Matches_All[[#This Row],[teammat]],Dyno_EndMatch[teammat],Dyno_EndMatch[StageLoc],"_",0,1)</f>
        <v>A</v>
      </c>
      <c r="CF215">
        <f>SUMIFS(Dyno_Data[Harmony], Dyno_Data[Team],TBA_Matches_All[[#This Row],[Team]],Dyno_Data[Match],TBA_Matches_All[[#This Row],[Match_Number]],Dyno_Data[RecordType],"EndMatch", Dyno_Data[StageStat],"On",Dyno_Data[Harmony],"&lt;&gt;9")</f>
        <v>0</v>
      </c>
      <c r="CG215">
        <f>SUMIFS(Dyno_Data[Spotlit], Dyno_Data[Team],TBA_Matches_All[[#This Row],[Team]],Dyno_Data[Match],TBA_Matches_All[[#This Row],[Match_Number]],Dyno_Data[RecordType],"EndMatch", Dyno_Data[StageStat],"On",Dyno_Data[Spotlit],"&lt;&gt;9")</f>
        <v>0</v>
      </c>
      <c r="CH215" t="str">
        <f>_xlfn.XLOOKUP(TBA_Matches_All[[#This Row],[teammat]],Dyno_EndMatch[teammat],Dyno_EndMatch[Strategy],"_",0,1)</f>
        <v>Hybrid</v>
      </c>
      <c r="CI215">
        <f>SUMIFS(Dyno_Data[Defense], Dyno_Data[Team],TBA_Matches_All[[#This Row],[Team]],Dyno_Data[Match],TBA_Matches_All[[#This Row],[Match_Number]],Dyno_Data[RecordType],"EndMatch",Dyno_Data[Defense],"&lt;&gt;9")</f>
        <v>0</v>
      </c>
      <c r="CJ215">
        <f>SUMIFS(Dyno_Data[Avoidance], Dyno_Data[Team],TBA_Matches_All[[#This Row],[Team]],Dyno_Data[Match],TBA_Matches_All[[#This Row],[Match_Number]],Dyno_Data[RecordType],"EndMatch",Dyno_Data[Avoidance],"&lt;&gt;9")</f>
        <v>1</v>
      </c>
      <c r="CK215" s="82">
        <f>COUNTIF($H$2:TBA_Matches_All[[#This Row],[Team]],TBA_Matches_All[[#This Row],[Team]])</f>
        <v>5</v>
      </c>
      <c r="CL215" s="111">
        <f>SUM(MID(TBA_Matches_All[[#This Row],[Team]],4,5)+TBA_Matches_All[[#This Row],[Match_Number]]/100)</f>
        <v>20.36</v>
      </c>
      <c r="CM215">
        <f>SUM((TBA_Matches_All[[#This Row],[Leave]]*2)+(TBA_Matches_All[[#This Row],[AampT]]*2)+(TBA_Matches_All[[#This Row],[AspkrT]]*5)+(TBA_Matches_All[[#This Row],[AtrapT]]*5))</f>
        <v>12</v>
      </c>
      <c r="CN215" s="59">
        <f>IFERROR(SUM(TBA_Matches_All[[#This Row],[AptsT]]/TBA_Matches_All[[#This Row],[AutoPts]]),0)</f>
        <v>0.63157894736842102</v>
      </c>
      <c r="CO215" s="59">
        <f>IFERROR(SUM(TBA_Matches_All[[#This Row],[AampT]]+TBA_Matches_All[[#This Row],[AspkrT]]+TBA_Matches_All[[#This Row],[AtrapT]]/TBA_Matches_All[[#This Row],[Aamp]]+TBA_Matches_All[[#This Row],[Aspkr]]+TBA_Matches_All[[#This Row],[AtrapT]]),0)</f>
        <v>0</v>
      </c>
      <c r="CP215" s="59">
        <f>IFERROR(SUM(TBA_Matches_All[[#This Row],[TampT]]/TBA_Matches_All[[#This Row],[Tamp]]),0)</f>
        <v>1</v>
      </c>
      <c r="CQ215" s="59">
        <f>IFERROR(SUM(TBA_Matches_All[[#This Row],[TspkrT]]/TBA_Matches_All[[#This Row],[Tspkr]]),0)</f>
        <v>0.36363636363636365</v>
      </c>
      <c r="CR215">
        <f>SUM(TBA_Matches_All[[#This Row],[TspkrPts]]*TBA_Matches_All[[#This Row],[TspkrP]])</f>
        <v>12.363636363636363</v>
      </c>
      <c r="CS215" s="59">
        <f>IFERROR(SUM(TBA_Matches_All[[#This Row],[TtrapT]]/TBA_Matches_All[[#This Row],[Trap]]),0)</f>
        <v>0</v>
      </c>
      <c r="CT215" s="59">
        <f>IFERROR(SUM(TBA_Matches_All[[#This Row],[TotNotesT]]/TBA_Matches_All[[#This Row],[TotNotes]]),0)</f>
        <v>0.55555555555555558</v>
      </c>
      <c r="CU215" s="66">
        <f>SUM((TBA_Matches_All[[#This Row],[AampT]]*2)+(TBA_Matches_All[[#This Row],[AspkrT]]*5)+(TBA_Matches_All[[#This Row],[AtrapT]]*5)+(TBA_Matches_All[[#This Row],[TampT]]*1)+(TBA_Matches_All[[#This Row],[TspkrptsC]]))</f>
        <v>26.363636363636363</v>
      </c>
      <c r="CV215" s="59">
        <f>IFERROR(TBA_Matches_All[[#This Row],[noteptsT]]/TBA_Matches_All[[#This Row],[NotePts]],0)</f>
        <v>0.49742710120068612</v>
      </c>
      <c r="CW215">
        <f>SUM(IF(TBA_Matches_All[[#This Row],[stageStat]]="On",3,0),IF(TBA_Matches_All[[#This Row],[stageStat]]="Park",1,0),SUMIFS(TBA_Matches_All[[#This Row],[Spotlit]],TBA_Matches_All[[#This Row],[stageStat]],"On"),SUMIFS(TBA_Matches_All[[#This Row],[Harmony]],TBA_Matches_All[[#This Row],[stageStat]],"On"))</f>
        <v>0</v>
      </c>
      <c r="CX215" s="59">
        <f>IFERROR(TBA_Matches_All[[#This Row],[stageptsT]]/TBA_Matches_All[[#This Row],[StagePts]],0)</f>
        <v>0</v>
      </c>
      <c r="CY215">
        <f>SUM((TBA_Matches_All[[#This Row],[AptsT]]+TBA_Matches_All[[#This Row],[TampT]]+TBA_Matches_All[[#This Row],[TspkrptsC]]+(TBA_Matches_All[[#This Row],[TtrapT]]*5)+TBA_Matches_All[[#This Row],[stageptsT]]))</f>
        <v>28.363636363636363</v>
      </c>
      <c r="CZ215" s="59">
        <f>IFERROR(SUM(TBA_Matches_All[[#This Row],[TotptsC]]/TBA_Matches_All[[#This Row],[Score]]),0)</f>
        <v>0.39393939393939392</v>
      </c>
      <c r="DA21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14.510416666666668</v>
      </c>
      <c r="DB215" s="74">
        <f>SUMIFS(TBA_Matches_All[AveTeamTNoteDels],TBA_Matches_All[Match_Number],TBA_Matches_All[[#This Row],[Match_Number]],TBA_Matches_All[Alliance],"&lt;&gt;"&amp;TBA_Matches_All[[#This Row],[Alliance]],TBA_Matches_All[Scouted],"&gt;0")</f>
        <v>15.120833333333334</v>
      </c>
      <c r="DC215" s="74">
        <f>(TBA_Matches_All[[#This Row],[TampT]]+TBA_Matches_All[[#This Row],[TspkrptsC]])-TBA_Matches_All[[#This Row],[AveTeamTNoteDels]]</f>
        <v>1.8532196969696955</v>
      </c>
      <c r="DD215" s="74">
        <f>SUMIFS(TBA_Matches_All[AveTeamTNoteDels],TBA_Matches_All[Match_Number],TBA_Matches_All[[#This Row],[Match_Number]],TBA_Matches_All[Alliance],"&lt;&gt;"&amp;TBA_Matches_All[[#This Row],[Alliance]])-TBA_Matches_All[[#This Row],[AveOppTNoteDels]]</f>
        <v>0</v>
      </c>
    </row>
    <row r="216" spans="1:108" x14ac:dyDescent="0.3">
      <c r="A216" t="s">
        <v>1042</v>
      </c>
      <c r="B216" t="s">
        <v>489</v>
      </c>
      <c r="C216" t="s">
        <v>1345</v>
      </c>
      <c r="D216">
        <v>36</v>
      </c>
      <c r="E216" t="s">
        <v>1406</v>
      </c>
      <c r="F216" t="s">
        <v>1424</v>
      </c>
      <c r="G216" t="s">
        <v>1409</v>
      </c>
      <c r="H216" t="s">
        <v>362</v>
      </c>
      <c r="I216" t="b">
        <v>0</v>
      </c>
      <c r="J216">
        <v>40</v>
      </c>
      <c r="K216">
        <v>0</v>
      </c>
      <c r="L216">
        <v>0</v>
      </c>
      <c r="M216">
        <v>15</v>
      </c>
      <c r="N216">
        <v>0</v>
      </c>
      <c r="O216">
        <v>2</v>
      </c>
      <c r="P216">
        <v>10</v>
      </c>
      <c r="Q216">
        <v>14</v>
      </c>
      <c r="R216">
        <v>3</v>
      </c>
      <c r="S216">
        <v>1</v>
      </c>
      <c r="T216">
        <v>5</v>
      </c>
      <c r="U216">
        <v>5</v>
      </c>
      <c r="V216">
        <v>10</v>
      </c>
      <c r="W216">
        <v>6</v>
      </c>
      <c r="X216">
        <v>15</v>
      </c>
      <c r="Y216">
        <v>18</v>
      </c>
      <c r="Z216">
        <v>0</v>
      </c>
      <c r="AA216">
        <v>0</v>
      </c>
      <c r="AB216">
        <v>11</v>
      </c>
      <c r="AC216">
        <v>28</v>
      </c>
      <c r="AD216">
        <v>8</v>
      </c>
      <c r="AE216">
        <f>IFERROR(6/(COUNTIF(Dyno_EndMatch[Match],TBA_Matches_All[[#This Row],[Match_Number]])),0)</f>
        <v>1</v>
      </c>
      <c r="AF216">
        <f>COUNTIFS(Dyno_Data[Team],TBA_Matches_All[[#This Row],[Team]],Dyno_Data[Match],TBA_Matches_All[[#This Row],[Match_Number]],Dyno_Data[RecordType],"EndMatch",Dyno_Data[HPAmp],"Y")</f>
        <v>1</v>
      </c>
      <c r="AG216">
        <f>SUMIFS(Dyno_Data[Mics], Dyno_Data[Team],TBA_Matches_All[[#This Row],[Team]],Dyno_Data[Match],TBA_Matches_All[[#This Row],[Match_Number]],Dyno_Data[RecordType],"EndMatch",Dyno_Data[HPAmp],"Y")</f>
        <v>1</v>
      </c>
      <c r="AH216">
        <f>SUMIFS(Dyno_Data[Leave], Dyno_Data[Team],TBA_Matches_All[[#This Row],[Team]],Dyno_Data[Match],TBA_Matches_All[[#This Row],[Match_Number]],Dyno_Data[RecordType],"EndAuto")</f>
        <v>1</v>
      </c>
      <c r="AI216">
        <f>COUNTIFS(Dyno_Data[Team],TBA_Matches_All[[#This Row],[Team]],Dyno_Data[Match],TBA_Matches_All[[#This Row],[Match_Number]],Dyno_Data[RecordType],"Activities",Dyno_Data[DelDest],"Amp", Dyno_Data[DelMiss],"0", Dyno_Data[Mode],"Auto")</f>
        <v>0</v>
      </c>
      <c r="AJ216">
        <f>COUNTIFS(Dyno_Data[Team],TBA_Matches_All[[#This Row],[Team]],Dyno_Data[Match],TBA_Matches_All[[#This Row],[Match_Number]],Dyno_Data[RecordType],"Activities",Dyno_Data[DelDest],"Spkr", Dyno_Data[DelMiss],"0", Dyno_Data[Mode],"Auto")</f>
        <v>0</v>
      </c>
      <c r="AK216">
        <f>COUNTIFS(Dyno_Data[Team],TBA_Matches_All[[#This Row],[Team]],Dyno_Data[Match],TBA_Matches_All[[#This Row],[Match_Number]],Dyno_Data[RecordType],"Activities",Dyno_Data[DelDest],"Trap", Dyno_Data[DelMiss],"0", Dyno_Data[Mode],"Auto")</f>
        <v>0</v>
      </c>
      <c r="AL216">
        <f>COUNTIFS(Dyno_Data[Team],TBA_Matches_All[[#This Row],[Team]],Dyno_Data[Match],TBA_Matches_All[[#This Row],[Match_Number]],Dyno_Data[RecordType],"Activities",Dyno_Data[DelDest],"Amp", Dyno_Data[DelMiss],"0", Dyno_Data[Mode],"Teleop")</f>
        <v>0</v>
      </c>
      <c r="AM216">
        <f>COUNTIFS(Dyno_Data[Team],TBA_Matches_All[[#This Row],[Team]],Dyno_Data[Match],TBA_Matches_All[[#This Row],[Match_Number]],Dyno_Data[RecordType],"Activities",Dyno_Data[DelDest],"Spkr", Dyno_Data[DelMiss],"0", Dyno_Data[Mode],"Teleop")</f>
        <v>1</v>
      </c>
      <c r="AN216">
        <f>COUNTIFS(Dyno_Data[Team],TBA_Matches_All[[#This Row],[Team]],Dyno_Data[Match],TBA_Matches_All[[#This Row],[Match_Number]],Dyno_Data[RecordType],"Activities",Dyno_Data[DelDest],"Trap", Dyno_Data[DelMiss],"0", Dyno_Data[Mode],"&lt;&gt;Auto")</f>
        <v>0</v>
      </c>
      <c r="AO216">
        <f>SUM(TBA_Matches_All[[#This Row],[AampT]]+TBA_Matches_All[[#This Row],[AspkrT]]+TBA_Matches_All[[#This Row],[AtrapT]]+TBA_Matches_All[[#This Row],[TampT]]+TBA_Matches_All[[#This Row],[TspkrT]]+TBA_Matches_All[[#This Row],[TtrapT]])</f>
        <v>1</v>
      </c>
      <c r="AP216">
        <f>COUNTIFS(Dyno_Data[Team],TBA_Matches_All[[#This Row],[Team]],Dyno_Data[Match],TBA_Matches_All[[#This Row],[Match_Number]],Dyno_Data[RecordType],"Activities",Dyno_Data[DelDest],"Neut", Dyno_Data[DelMiss],"0")</f>
        <v>0</v>
      </c>
      <c r="AQ216">
        <f>COUNTIFS(Dyno_Data[Team],TBA_Matches_All[[#This Row],[Team]],Dyno_Data[Match],TBA_Matches_All[[#This Row],[Match_Number]],Dyno_Data[RecordType],"Activities",Dyno_Data[DelDest],"AllyW", Dyno_Data[DelMiss],"0")</f>
        <v>0</v>
      </c>
      <c r="AR216" t="str">
        <f>_xlfn.XLOOKUP(SUM(MID(TBA_Matches_All[[#This Row],[Team]],4,5),(TBA_Matches_All[[#This Row],[Match_Number]]/100)),Dyno_EndMatch[teammat],Dyno_EndMatch[RobotSta],"_",0,1)</f>
        <v>OppS</v>
      </c>
      <c r="AS216">
        <f>SUMIFS(Dyno_Data[AcqDis], Dyno_Data[Team],TBA_Matches_All[[#This Row],[Team]],Dyno_Data[Match],TBA_Matches_All[[#This Row],[Match_Number]],Dyno_Data[RecordType],"Activities", Dyno_Data[AcqCenter],1,Dyno_Data[Mode],"Auto")</f>
        <v>1</v>
      </c>
      <c r="AT216">
        <f>SUMIFS(Dyno_Data[AcqDis], Dyno_Data[Team],TBA_Matches_All[[#This Row],[Team]],Dyno_Data[Match],TBA_Matches_All[[#This Row],[Match_Number]],Dyno_Data[RecordType],"Activities", Dyno_Data[AcqCenter],2,Dyno_Data[Mode],"Auto")</f>
        <v>1</v>
      </c>
      <c r="AU216">
        <f>SUMIFS(Dyno_Data[AcqDis], Dyno_Data[Team],TBA_Matches_All[[#This Row],[Team]],Dyno_Data[Match],TBA_Matches_All[[#This Row],[Match_Number]],Dyno_Data[RecordType],"Activities", Dyno_Data[AcqCenter],3,Dyno_Data[Mode],"Auto")</f>
        <v>1</v>
      </c>
      <c r="AV216">
        <f>SUMIFS(Dyno_Data[AcqDis], Dyno_Data[Team],TBA_Matches_All[[#This Row],[Team]],Dyno_Data[Match],TBA_Matches_All[[#This Row],[Match_Number]],Dyno_Data[RecordType],"Activities", Dyno_Data[AcqCenter],4,Dyno_Data[Mode],"Auto")</f>
        <v>0</v>
      </c>
      <c r="AW216">
        <f>SUMIFS(Dyno_Data[AcqDis], Dyno_Data[Team],TBA_Matches_All[[#This Row],[Team]],Dyno_Data[Match],TBA_Matches_All[[#This Row],[Match_Number]],Dyno_Data[RecordType],"Activities", Dyno_Data[AcqCenter],5,Dyno_Data[Mode],"Auto")</f>
        <v>0</v>
      </c>
      <c r="AX216">
        <f>SUMIFS(Dyno_Data[DelMiss], Dyno_Data[Team],TBA_Matches_All[[#This Row],[Team]],Dyno_Data[Match],TBA_Matches_All[[#This Row],[Match_Number]],Dyno_Data[RecordType],"Activities", Dyno_Data[DelDest],"Amp")</f>
        <v>0</v>
      </c>
      <c r="AY216" s="60">
        <f>IFERROR(SUM((TBA_Matches_All[[#This Row],[AampT]]+TBA_Matches_All[[#This Row],[TampT]])/(TBA_Matches_All[[#This Row],[AampT]]+TBA_Matches_All[[#This Row],[TampT]]+TBA_Matches_All[[#This Row],[ampM]])),0)</f>
        <v>0</v>
      </c>
      <c r="AZ216">
        <f>SUMIFS(Dyno_Data[DelMiss], Dyno_Data[Team],TBA_Matches_All[[#This Row],[Team]],Dyno_Data[Match],TBA_Matches_All[[#This Row],[Match_Number]],Dyno_Data[RecordType],"Activities", Dyno_Data[DelDest],"Spkr")</f>
        <v>0</v>
      </c>
      <c r="BA216" s="60">
        <f>IFERROR(SUM((TBA_Matches_All[[#This Row],[AspkrT]]+TBA_Matches_All[[#This Row],[TspkrT]])/(TBA_Matches_All[[#This Row],[AspkrT]]+TBA_Matches_All[[#This Row],[TspkrT]]+TBA_Matches_All[[#This Row],[spkrM]])),0)</f>
        <v>1</v>
      </c>
      <c r="BB216">
        <f>SUMIFS(Dyno_Data[DelMiss], Dyno_Data[Team],TBA_Matches_All[[#This Row],[Team]],Dyno_Data[Match],TBA_Matches_All[[#This Row],[Match_Number]],Dyno_Data[RecordType],"Activities", Dyno_Data[DelDest],"Trap")</f>
        <v>0</v>
      </c>
      <c r="BC216" s="60">
        <f>IFERROR((TBA_Matches_All[[#This Row],[AtrapT]]+TBA_Matches_All[[#This Row],[TtrapT]])/(TBA_Matches_All[[#This Row],[AtrapT]]+TBA_Matches_All[[#This Row],[TtrapT]]+TBA_Matches_All[[#This Row],[trapM]]),0)</f>
        <v>0</v>
      </c>
      <c r="BD216">
        <f>COUNTIFS(Dyno_Data[Team],TBA_Matches_All[[#This Row],[Team]],Dyno_Data[Match],TBA_Matches_All[[#This Row],[Match_Number]],Dyno_Data[RecordType],"Activities",Dyno_Data[DelDest],"Neut", Dyno_Data[DelMiss],1)</f>
        <v>0</v>
      </c>
      <c r="BE216" s="60">
        <f>IFERROR(SUM((TBA_Matches_All[[#This Row],[NeutFlrT]])/(TBA_Matches_All[[#This Row],[NeutFlrT]]+TBA_Matches_All[[#This Row],[NZflM]])),0)</f>
        <v>0</v>
      </c>
      <c r="BF216">
        <f>COUNTIFS(Dyno_Data[Team],TBA_Matches_All[[#This Row],[Team]],Dyno_Data[Match],TBA_Matches_All[[#This Row],[Match_Number]],Dyno_Data[RecordType],"Activities",Dyno_Data[DelDest],"AllyW", Dyno_Data[DelMiss],1)</f>
        <v>0</v>
      </c>
      <c r="BG216" s="60">
        <f>IFERROR(SUM((TBA_Matches_All[[#This Row],[AllyWFlrT]])/(TBA_Matches_All[[#This Row],[AllyWFlrT]]+TBA_Matches_All[[#This Row],[AZflM]])),0)</f>
        <v>0</v>
      </c>
      <c r="BH216">
        <f>COUNTIFS(Dyno_Data[Team],TBA_Matches_All[[#This Row],[Team]],Dyno_Data[Match],TBA_Matches_All[[#This Row],[Match_Number]],Dyno_Data[RecordType],"Activities",Dyno_Data[DelOrig],"OppW", Dyno_Data[DelMiss],"0")</f>
        <v>0</v>
      </c>
      <c r="BI216">
        <f>COUNTIFS(Dyno_Data[Team],TBA_Matches_All[[#This Row],[Team]],Dyno_Data[Match],TBA_Matches_All[[#This Row],[Match_Number]],Dyno_Data[RecordType],"Activities",Dyno_Data[DelOrig],"OppW", Dyno_Data[DelMiss],"1")</f>
        <v>0</v>
      </c>
      <c r="BJ216" s="60">
        <f>IFERROR(SUM((TBA_Matches_All[[#This Row],[OZflrT]])/(TBA_Matches_All[[#This Row],[OZflrT]]+TBA_Matches_All[[#This Row],[OZflrM]])),0)</f>
        <v>0</v>
      </c>
      <c r="BK216">
        <f>COUNTIFS(Dyno_Data[Team],TBA_Matches_All[[#This Row],[Team]],Dyno_Data[Match],TBA_Matches_All[[#This Row],[Match_Number]],Dyno_Data[RecordType],"Activities",Dyno_Data[DelOrig],"Neut", Dyno_Data[DelMiss],"0")</f>
        <v>0</v>
      </c>
      <c r="BL216">
        <f>COUNTIFS(Dyno_Data[Team],TBA_Matches_All[[#This Row],[Team]],Dyno_Data[Match],TBA_Matches_All[[#This Row],[Match_Number]],Dyno_Data[RecordType],"Activities",Dyno_Data[DelOrig],"Neut", Dyno_Data[DelMiss],"1")</f>
        <v>0</v>
      </c>
      <c r="BM216" s="60">
        <f>IFERROR(SUM((TBA_Matches_All[[#This Row],[NZflrT]])/(TBA_Matches_All[[#This Row],[NZflrT]]+TBA_Matches_All[[#This Row],[NZflrM]])),0)</f>
        <v>0</v>
      </c>
      <c r="BN216">
        <f>COUNTIFS(Dyno_Data[Team],TBA_Matches_All[[#This Row],[Team]],Dyno_Data[Match],TBA_Matches_All[[#This Row],[Match_Number]],Dyno_Data[RecordType],"Activities",Dyno_Data[DelOrig],"AllyW", Dyno_Data[DelMiss],"0")</f>
        <v>1</v>
      </c>
      <c r="BO216">
        <f>COUNTIFS(Dyno_Data[Team],TBA_Matches_All[[#This Row],[Team]],Dyno_Data[Match],TBA_Matches_All[[#This Row],[Match_Number]],Dyno_Data[RecordType],"Activities",Dyno_Data[DelOrig],"AllyW", Dyno_Data[DelMiss],"1")</f>
        <v>0</v>
      </c>
      <c r="BP216" s="60">
        <f>IFERROR(SUM((TBA_Matches_All[[#This Row],[AZflrT]])/(TBA_Matches_All[[#This Row],[AZflrT]]+TBA_Matches_All[[#This Row],[AZflrM]])),0)</f>
        <v>1</v>
      </c>
      <c r="BQ216">
        <f>COUNTIFS(Dyno_Data[Team],TBA_Matches_All[[#This Row],[Team]],Dyno_Data[Match],TBA_Matches_All[[#This Row],[Match_Number]],Dyno_Data[RecordType],"Activities",Dyno_Data[DelOrig],"SubW", Dyno_Data[DelMiss],"0")</f>
        <v>0</v>
      </c>
      <c r="BR216">
        <f>COUNTIFS(Dyno_Data[Team],TBA_Matches_All[[#This Row],[Team]],Dyno_Data[Match],TBA_Matches_All[[#This Row],[Match_Number]],Dyno_Data[RecordType],"Activities",Dyno_Data[DelOrig],"SubW", Dyno_Data[DelMiss],"1")</f>
        <v>0</v>
      </c>
      <c r="BS216" s="60">
        <f>IFERROR(SUM((TBA_Matches_All[[#This Row],[SubwT]])/(TBA_Matches_All[[#This Row],[SubwT]]+TBA_Matches_All[[#This Row],[SubwM]])),0)</f>
        <v>0</v>
      </c>
      <c r="BT216">
        <f>COUNTIFS(Dyno_Data[Team],TBA_Matches_All[[#This Row],[Team]],Dyno_Data[Match],TBA_Matches_All[[#This Row],[Match_Number]],Dyno_Data[RecordType],"Activities", Dyno_Data[AcqLoc],"OppWing")</f>
        <v>0</v>
      </c>
      <c r="BU216">
        <f>COUNTIFS(Dyno_Data[Team],TBA_Matches_All[[#This Row],[Team]],Dyno_Data[Match],TBA_Matches_All[[#This Row],[Match_Number]],Dyno_Data[RecordType],"Activities", Dyno_Data[AcqLoc],"Neutral")</f>
        <v>4</v>
      </c>
      <c r="BV216">
        <f>COUNTIFS(Dyno_Data[Team],TBA_Matches_All[[#This Row],[Team]],Dyno_Data[Match],TBA_Matches_All[[#This Row],[Match_Number]],Dyno_Data[RecordType],"Activities", Dyno_Data[AcqLoc],"AllyWing")</f>
        <v>0</v>
      </c>
      <c r="BW216">
        <f>COUNTIFS(Dyno_Data[Team],TBA_Matches_All[[#This Row],[Team]],Dyno_Data[Match],TBA_Matches_All[[#This Row],[Match_Number]],Dyno_Data[RecordType],"Activities", Dyno_Data[AcqLoc],"Source")</f>
        <v>0</v>
      </c>
      <c r="BX216">
        <f>SUMIFS(Dyno_Data[AcqDrp], Dyno_Data[Team],TBA_Matches_All[[#This Row],[Team]],Dyno_Data[Match],TBA_Matches_All[[#This Row],[Match_Number]],Dyno_Data[RecordType],"Activities", Dyno_Data[AcqLoc],"Source")</f>
        <v>0</v>
      </c>
      <c r="BY216">
        <f>SUMIFS(Dyno_Data[OZTime], Dyno_Data[Team],TBA_Matches_All[[#This Row],[Team]],Dyno_Data[Match],TBA_Matches_All[[#This Row],[Match_Number]],Dyno_Data[RecordType],"EndMatch")</f>
        <v>49.620507599999996</v>
      </c>
      <c r="BZ216">
        <f>SUMIFS(Dyno_Data[NZTime], Dyno_Data[Team],TBA_Matches_All[[#This Row],[Team]],Dyno_Data[Match],TBA_Matches_All[[#This Row],[Match_Number]],Dyno_Data[RecordType],"EndMatch")</f>
        <v>58.237331099999999</v>
      </c>
      <c r="CA216">
        <f>SUMIFS(Dyno_Data[AZTime], Dyno_Data[Team],TBA_Matches_All[[#This Row],[Team]],Dyno_Data[Match],TBA_Matches_All[[#This Row],[Match_Number]],Dyno_Data[RecordType],"EndMatch")</f>
        <v>26.341645</v>
      </c>
      <c r="CB216">
        <f>SUMIFS(Dyno_Data[ClimbT], Dyno_Data[Team],TBA_Matches_All[[#This Row],[Team]],Dyno_Data[Match],TBA_Matches_All[[#This Row],[Match_Number]],Dyno_Data[RecordType],"EndMatch")</f>
        <v>0</v>
      </c>
      <c r="CC216" t="str">
        <f>_xlfn.XLOOKUP(SUM(MID(TBA_Matches_All[[#This Row],[Team]],4,5),(TBA_Matches_All[[#This Row],[Match_Number]]/100)),Dyno_EndMatch[teammat],Dyno_EndMatch[StageStat],"_",0,1)</f>
        <v>Park</v>
      </c>
      <c r="CD216" t="str">
        <f>_xlfn.XLOOKUP(TBA_Matches_All[[#This Row],[teammat]],Dyno_EndMatch[teammat],Dyno_EndMatch[StageAtt],"_",0,1)</f>
        <v>0</v>
      </c>
      <c r="CE216" t="str">
        <f>_xlfn.XLOOKUP(TBA_Matches_All[[#This Row],[teammat]],Dyno_EndMatch[teammat],Dyno_EndMatch[StageLoc],"_",0,1)</f>
        <v>A</v>
      </c>
      <c r="CF216">
        <f>SUMIFS(Dyno_Data[Harmony], Dyno_Data[Team],TBA_Matches_All[[#This Row],[Team]],Dyno_Data[Match],TBA_Matches_All[[#This Row],[Match_Number]],Dyno_Data[RecordType],"EndMatch", Dyno_Data[StageStat],"On",Dyno_Data[Harmony],"&lt;&gt;9")</f>
        <v>0</v>
      </c>
      <c r="CG216">
        <f>SUMIFS(Dyno_Data[Spotlit], Dyno_Data[Team],TBA_Matches_All[[#This Row],[Team]],Dyno_Data[Match],TBA_Matches_All[[#This Row],[Match_Number]],Dyno_Data[RecordType],"EndMatch", Dyno_Data[StageStat],"On",Dyno_Data[Spotlit],"&lt;&gt;9")</f>
        <v>0</v>
      </c>
      <c r="CH216" t="str">
        <f>_xlfn.XLOOKUP(TBA_Matches_All[[#This Row],[teammat]],Dyno_EndMatch[teammat],Dyno_EndMatch[Strategy],"_",0,1)</f>
        <v>Defense</v>
      </c>
      <c r="CI216">
        <f>SUMIFS(Dyno_Data[Defense], Dyno_Data[Team],TBA_Matches_All[[#This Row],[Team]],Dyno_Data[Match],TBA_Matches_All[[#This Row],[Match_Number]],Dyno_Data[RecordType],"EndMatch",Dyno_Data[Defense],"&lt;&gt;9")</f>
        <v>3</v>
      </c>
      <c r="CJ216">
        <f>SUMIFS(Dyno_Data[Avoidance], Dyno_Data[Team],TBA_Matches_All[[#This Row],[Team]],Dyno_Data[Match],TBA_Matches_All[[#This Row],[Match_Number]],Dyno_Data[RecordType],"EndMatch",Dyno_Data[Avoidance],"&lt;&gt;9")</f>
        <v>0</v>
      </c>
      <c r="CK216" s="82">
        <f>COUNTIF($H$2:TBA_Matches_All[[#This Row],[Team]],TBA_Matches_All[[#This Row],[Team]])</f>
        <v>5</v>
      </c>
      <c r="CL216" s="111">
        <f>SUM(MID(TBA_Matches_All[[#This Row],[Team]],4,5)+TBA_Matches_All[[#This Row],[Match_Number]]/100)</f>
        <v>250.36</v>
      </c>
      <c r="CM216">
        <f>SUM((TBA_Matches_All[[#This Row],[Leave]]*2)+(TBA_Matches_All[[#This Row],[AampT]]*2)+(TBA_Matches_All[[#This Row],[AspkrT]]*5)+(TBA_Matches_All[[#This Row],[AtrapT]]*5))</f>
        <v>2</v>
      </c>
      <c r="CN216" s="59">
        <f>IFERROR(SUM(TBA_Matches_All[[#This Row],[AptsT]]/TBA_Matches_All[[#This Row],[AutoPts]]),0)</f>
        <v>0.14285714285714285</v>
      </c>
      <c r="CO216" s="59">
        <f>IFERROR(SUM(TBA_Matches_All[[#This Row],[AampT]]+TBA_Matches_All[[#This Row],[AspkrT]]+TBA_Matches_All[[#This Row],[AtrapT]]/TBA_Matches_All[[#This Row],[Aamp]]+TBA_Matches_All[[#This Row],[Aspkr]]+TBA_Matches_All[[#This Row],[AtrapT]]),0)</f>
        <v>0</v>
      </c>
      <c r="CP216" s="59">
        <f>IFERROR(SUM(TBA_Matches_All[[#This Row],[TampT]]/TBA_Matches_All[[#This Row],[Tamp]]),0)</f>
        <v>0</v>
      </c>
      <c r="CQ216" s="59">
        <f>IFERROR(SUM(TBA_Matches_All[[#This Row],[TspkrT]]/TBA_Matches_All[[#This Row],[Tspkr]]),0)</f>
        <v>0.16666666666666666</v>
      </c>
      <c r="CR216">
        <f>SUM(TBA_Matches_All[[#This Row],[TspkrPts]]*TBA_Matches_All[[#This Row],[TspkrP]])</f>
        <v>2.5</v>
      </c>
      <c r="CS216" s="59">
        <f>IFERROR(SUM(TBA_Matches_All[[#This Row],[TtrapT]]/TBA_Matches_All[[#This Row],[Trap]]),0)</f>
        <v>0</v>
      </c>
      <c r="CT216" s="59">
        <f>IFERROR(SUM(TBA_Matches_All[[#This Row],[TotNotesT]]/TBA_Matches_All[[#This Row],[TotNotes]]),0)</f>
        <v>9.0909090909090912E-2</v>
      </c>
      <c r="CU216" s="66">
        <f>SUM((TBA_Matches_All[[#This Row],[AampT]]*2)+(TBA_Matches_All[[#This Row],[AspkrT]]*5)+(TBA_Matches_All[[#This Row],[AtrapT]]*5)+(TBA_Matches_All[[#This Row],[TampT]]*1)+(TBA_Matches_All[[#This Row],[TspkrptsC]]))</f>
        <v>2.5</v>
      </c>
      <c r="CV216" s="59">
        <f>IFERROR(TBA_Matches_All[[#This Row],[noteptsT]]/TBA_Matches_All[[#This Row],[NotePts]],0)</f>
        <v>8.9285714285714288E-2</v>
      </c>
      <c r="CW216">
        <f>SUM(IF(TBA_Matches_All[[#This Row],[stageStat]]="On",3,0),IF(TBA_Matches_All[[#This Row],[stageStat]]="Park",1,0),SUMIFS(TBA_Matches_All[[#This Row],[Spotlit]],TBA_Matches_All[[#This Row],[stageStat]],"On"),SUMIFS(TBA_Matches_All[[#This Row],[Harmony]],TBA_Matches_All[[#This Row],[stageStat]],"On"))</f>
        <v>1</v>
      </c>
      <c r="CX216" s="59">
        <f>IFERROR(TBA_Matches_All[[#This Row],[stageptsT]]/TBA_Matches_All[[#This Row],[StagePts]],0)</f>
        <v>0.125</v>
      </c>
      <c r="CY216">
        <f>SUM((TBA_Matches_All[[#This Row],[AptsT]]+TBA_Matches_All[[#This Row],[TampT]]+TBA_Matches_All[[#This Row],[TspkrptsC]]+(TBA_Matches_All[[#This Row],[TtrapT]]*5)+TBA_Matches_All[[#This Row],[stageptsT]]))</f>
        <v>5.5</v>
      </c>
      <c r="CZ216" s="59">
        <f>IFERROR(SUM(TBA_Matches_All[[#This Row],[TotptsC]]/TBA_Matches_All[[#This Row],[Score]]),0)</f>
        <v>0.13750000000000001</v>
      </c>
      <c r="DA21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3.9583333333333335</v>
      </c>
      <c r="DB216" s="74">
        <f>SUMIFS(TBA_Matches_All[AveTeamTNoteDels],TBA_Matches_All[Match_Number],TBA_Matches_All[[#This Row],[Match_Number]],TBA_Matches_All[Alliance],"&lt;&gt;"&amp;TBA_Matches_All[[#This Row],[Alliance]],TBA_Matches_All[Scouted],"&gt;0")</f>
        <v>26.665178571428573</v>
      </c>
      <c r="DC216" s="74">
        <f>(TBA_Matches_All[[#This Row],[TampT]]+TBA_Matches_All[[#This Row],[TspkrptsC]])-TBA_Matches_All[[#This Row],[AveTeamTNoteDels]]</f>
        <v>-1.4583333333333335</v>
      </c>
      <c r="DD216" s="74">
        <f>SUMIFS(TBA_Matches_All[AveTeamTNoteDels],TBA_Matches_All[Match_Number],TBA_Matches_All[[#This Row],[Match_Number]],TBA_Matches_All[Alliance],"&lt;&gt;"&amp;TBA_Matches_All[[#This Row],[Alliance]])-TBA_Matches_All[[#This Row],[AveOppTNoteDels]]</f>
        <v>0</v>
      </c>
    </row>
    <row r="217" spans="1:108" x14ac:dyDescent="0.3">
      <c r="A217" t="s">
        <v>1042</v>
      </c>
      <c r="B217" t="s">
        <v>489</v>
      </c>
      <c r="C217" t="s">
        <v>1345</v>
      </c>
      <c r="D217">
        <v>36</v>
      </c>
      <c r="E217" t="s">
        <v>1420</v>
      </c>
      <c r="F217" t="s">
        <v>1425</v>
      </c>
      <c r="G217" t="s">
        <v>105</v>
      </c>
      <c r="H217" t="s">
        <v>1290</v>
      </c>
      <c r="I217" t="b">
        <v>0</v>
      </c>
      <c r="J217">
        <v>72</v>
      </c>
      <c r="K217">
        <v>1</v>
      </c>
      <c r="L217">
        <v>0</v>
      </c>
      <c r="M217">
        <v>0</v>
      </c>
      <c r="N217">
        <v>0</v>
      </c>
      <c r="O217">
        <v>3</v>
      </c>
      <c r="P217">
        <v>15</v>
      </c>
      <c r="Q217">
        <v>19</v>
      </c>
      <c r="R217">
        <v>4</v>
      </c>
      <c r="S217">
        <v>4</v>
      </c>
      <c r="T217">
        <v>7</v>
      </c>
      <c r="U217">
        <v>20</v>
      </c>
      <c r="V217">
        <v>14</v>
      </c>
      <c r="W217">
        <v>11</v>
      </c>
      <c r="X217">
        <v>34</v>
      </c>
      <c r="Y217">
        <v>38</v>
      </c>
      <c r="Z217">
        <v>0</v>
      </c>
      <c r="AA217">
        <v>0</v>
      </c>
      <c r="AB217">
        <v>18</v>
      </c>
      <c r="AC217">
        <v>53</v>
      </c>
      <c r="AD217">
        <v>0</v>
      </c>
      <c r="AE217">
        <f>IFERROR(6/(COUNTIF(Dyno_EndMatch[Match],TBA_Matches_All[[#This Row],[Match_Number]])),0)</f>
        <v>1</v>
      </c>
      <c r="AF217">
        <f>COUNTIFS(Dyno_Data[Team],TBA_Matches_All[[#This Row],[Team]],Dyno_Data[Match],TBA_Matches_All[[#This Row],[Match_Number]],Dyno_Data[RecordType],"EndMatch",Dyno_Data[HPAmp],"Y")</f>
        <v>0</v>
      </c>
      <c r="AG217">
        <f>SUMIFS(Dyno_Data[Mics], Dyno_Data[Team],TBA_Matches_All[[#This Row],[Team]],Dyno_Data[Match],TBA_Matches_All[[#This Row],[Match_Number]],Dyno_Data[RecordType],"EndMatch",Dyno_Data[HPAmp],"Y")</f>
        <v>0</v>
      </c>
      <c r="AH217">
        <f>SUMIFS(Dyno_Data[Leave], Dyno_Data[Team],TBA_Matches_All[[#This Row],[Team]],Dyno_Data[Match],TBA_Matches_All[[#This Row],[Match_Number]],Dyno_Data[RecordType],"EndAuto")</f>
        <v>0</v>
      </c>
      <c r="AI217">
        <f>COUNTIFS(Dyno_Data[Team],TBA_Matches_All[[#This Row],[Team]],Dyno_Data[Match],TBA_Matches_All[[#This Row],[Match_Number]],Dyno_Data[RecordType],"Activities",Dyno_Data[DelDest],"Amp", Dyno_Data[DelMiss],"0", Dyno_Data[Mode],"Auto")</f>
        <v>0</v>
      </c>
      <c r="AJ217">
        <f>COUNTIFS(Dyno_Data[Team],TBA_Matches_All[[#This Row],[Team]],Dyno_Data[Match],TBA_Matches_All[[#This Row],[Match_Number]],Dyno_Data[RecordType],"Activities",Dyno_Data[DelDest],"Spkr", Dyno_Data[DelMiss],"0", Dyno_Data[Mode],"Auto")</f>
        <v>0</v>
      </c>
      <c r="AK217">
        <f>COUNTIFS(Dyno_Data[Team],TBA_Matches_All[[#This Row],[Team]],Dyno_Data[Match],TBA_Matches_All[[#This Row],[Match_Number]],Dyno_Data[RecordType],"Activities",Dyno_Data[DelDest],"Trap", Dyno_Data[DelMiss],"0", Dyno_Data[Mode],"Auto")</f>
        <v>0</v>
      </c>
      <c r="AL217">
        <f>COUNTIFS(Dyno_Data[Team],TBA_Matches_All[[#This Row],[Team]],Dyno_Data[Match],TBA_Matches_All[[#This Row],[Match_Number]],Dyno_Data[RecordType],"Activities",Dyno_Data[DelDest],"Amp", Dyno_Data[DelMiss],"0", Dyno_Data[Mode],"Teleop")</f>
        <v>0</v>
      </c>
      <c r="AM217">
        <f>COUNTIFS(Dyno_Data[Team],TBA_Matches_All[[#This Row],[Team]],Dyno_Data[Match],TBA_Matches_All[[#This Row],[Match_Number]],Dyno_Data[RecordType],"Activities",Dyno_Data[DelDest],"Spkr", Dyno_Data[DelMiss],"0", Dyno_Data[Mode],"Teleop")</f>
        <v>4</v>
      </c>
      <c r="AN217">
        <f>COUNTIFS(Dyno_Data[Team],TBA_Matches_All[[#This Row],[Team]],Dyno_Data[Match],TBA_Matches_All[[#This Row],[Match_Number]],Dyno_Data[RecordType],"Activities",Dyno_Data[DelDest],"Trap", Dyno_Data[DelMiss],"0", Dyno_Data[Mode],"&lt;&gt;Auto")</f>
        <v>0</v>
      </c>
      <c r="AO217">
        <f>SUM(TBA_Matches_All[[#This Row],[AampT]]+TBA_Matches_All[[#This Row],[AspkrT]]+TBA_Matches_All[[#This Row],[AtrapT]]+TBA_Matches_All[[#This Row],[TampT]]+TBA_Matches_All[[#This Row],[TspkrT]]+TBA_Matches_All[[#This Row],[TtrapT]])</f>
        <v>4</v>
      </c>
      <c r="AP217">
        <f>COUNTIFS(Dyno_Data[Team],TBA_Matches_All[[#This Row],[Team]],Dyno_Data[Match],TBA_Matches_All[[#This Row],[Match_Number]],Dyno_Data[RecordType],"Activities",Dyno_Data[DelDest],"Neut", Dyno_Data[DelMiss],"0")</f>
        <v>0</v>
      </c>
      <c r="AQ217">
        <f>COUNTIFS(Dyno_Data[Team],TBA_Matches_All[[#This Row],[Team]],Dyno_Data[Match],TBA_Matches_All[[#This Row],[Match_Number]],Dyno_Data[RecordType],"Activities",Dyno_Data[DelDest],"AllyW", Dyno_Data[DelMiss],"0")</f>
        <v>0</v>
      </c>
      <c r="AR217" t="str">
        <f>_xlfn.XLOOKUP(SUM(MID(TBA_Matches_All[[#This Row],[Team]],4,5),(TBA_Matches_All[[#This Row],[Match_Number]]/100)),Dyno_EndMatch[teammat],Dyno_EndMatch[RobotSta],"_",0,1)</f>
        <v>Amp</v>
      </c>
      <c r="AS217">
        <f>SUMIFS(Dyno_Data[AcqDis], Dyno_Data[Team],TBA_Matches_All[[#This Row],[Team]],Dyno_Data[Match],TBA_Matches_All[[#This Row],[Match_Number]],Dyno_Data[RecordType],"Activities", Dyno_Data[AcqCenter],1,Dyno_Data[Mode],"Auto")</f>
        <v>0</v>
      </c>
      <c r="AT217">
        <f>SUMIFS(Dyno_Data[AcqDis], Dyno_Data[Team],TBA_Matches_All[[#This Row],[Team]],Dyno_Data[Match],TBA_Matches_All[[#This Row],[Match_Number]],Dyno_Data[RecordType],"Activities", Dyno_Data[AcqCenter],2,Dyno_Data[Mode],"Auto")</f>
        <v>0</v>
      </c>
      <c r="AU217">
        <f>SUMIFS(Dyno_Data[AcqDis], Dyno_Data[Team],TBA_Matches_All[[#This Row],[Team]],Dyno_Data[Match],TBA_Matches_All[[#This Row],[Match_Number]],Dyno_Data[RecordType],"Activities", Dyno_Data[AcqCenter],3,Dyno_Data[Mode],"Auto")</f>
        <v>0</v>
      </c>
      <c r="AV217">
        <f>SUMIFS(Dyno_Data[AcqDis], Dyno_Data[Team],TBA_Matches_All[[#This Row],[Team]],Dyno_Data[Match],TBA_Matches_All[[#This Row],[Match_Number]],Dyno_Data[RecordType],"Activities", Dyno_Data[AcqCenter],4,Dyno_Data[Mode],"Auto")</f>
        <v>0</v>
      </c>
      <c r="AW217">
        <f>SUMIFS(Dyno_Data[AcqDis], Dyno_Data[Team],TBA_Matches_All[[#This Row],[Team]],Dyno_Data[Match],TBA_Matches_All[[#This Row],[Match_Number]],Dyno_Data[RecordType],"Activities", Dyno_Data[AcqCenter],5,Dyno_Data[Mode],"Auto")</f>
        <v>0</v>
      </c>
      <c r="AX217">
        <f>SUMIFS(Dyno_Data[DelMiss], Dyno_Data[Team],TBA_Matches_All[[#This Row],[Team]],Dyno_Data[Match],TBA_Matches_All[[#This Row],[Match_Number]],Dyno_Data[RecordType],"Activities", Dyno_Data[DelDest],"Amp")</f>
        <v>0</v>
      </c>
      <c r="AY217" s="60">
        <f>IFERROR(SUM((TBA_Matches_All[[#This Row],[AampT]]+TBA_Matches_All[[#This Row],[TampT]])/(TBA_Matches_All[[#This Row],[AampT]]+TBA_Matches_All[[#This Row],[TampT]]+TBA_Matches_All[[#This Row],[ampM]])),0)</f>
        <v>0</v>
      </c>
      <c r="AZ217">
        <f>SUMIFS(Dyno_Data[DelMiss], Dyno_Data[Team],TBA_Matches_All[[#This Row],[Team]],Dyno_Data[Match],TBA_Matches_All[[#This Row],[Match_Number]],Dyno_Data[RecordType],"Activities", Dyno_Data[DelDest],"Spkr")</f>
        <v>4</v>
      </c>
      <c r="BA217" s="60">
        <f>IFERROR(SUM((TBA_Matches_All[[#This Row],[AspkrT]]+TBA_Matches_All[[#This Row],[TspkrT]])/(TBA_Matches_All[[#This Row],[AspkrT]]+TBA_Matches_All[[#This Row],[TspkrT]]+TBA_Matches_All[[#This Row],[spkrM]])),0)</f>
        <v>0.5</v>
      </c>
      <c r="BB217">
        <f>SUMIFS(Dyno_Data[DelMiss], Dyno_Data[Team],TBA_Matches_All[[#This Row],[Team]],Dyno_Data[Match],TBA_Matches_All[[#This Row],[Match_Number]],Dyno_Data[RecordType],"Activities", Dyno_Data[DelDest],"Trap")</f>
        <v>0</v>
      </c>
      <c r="BC217" s="60">
        <f>IFERROR((TBA_Matches_All[[#This Row],[AtrapT]]+TBA_Matches_All[[#This Row],[TtrapT]])/(TBA_Matches_All[[#This Row],[AtrapT]]+TBA_Matches_All[[#This Row],[TtrapT]]+TBA_Matches_All[[#This Row],[trapM]]),0)</f>
        <v>0</v>
      </c>
      <c r="BD217">
        <f>COUNTIFS(Dyno_Data[Team],TBA_Matches_All[[#This Row],[Team]],Dyno_Data[Match],TBA_Matches_All[[#This Row],[Match_Number]],Dyno_Data[RecordType],"Activities",Dyno_Data[DelDest],"Neut", Dyno_Data[DelMiss],1)</f>
        <v>0</v>
      </c>
      <c r="BE217" s="60">
        <f>IFERROR(SUM((TBA_Matches_All[[#This Row],[NeutFlrT]])/(TBA_Matches_All[[#This Row],[NeutFlrT]]+TBA_Matches_All[[#This Row],[NZflM]])),0)</f>
        <v>0</v>
      </c>
      <c r="BF217">
        <f>COUNTIFS(Dyno_Data[Team],TBA_Matches_All[[#This Row],[Team]],Dyno_Data[Match],TBA_Matches_All[[#This Row],[Match_Number]],Dyno_Data[RecordType],"Activities",Dyno_Data[DelDest],"AllyW", Dyno_Data[DelMiss],1)</f>
        <v>0</v>
      </c>
      <c r="BG217" s="60">
        <f>IFERROR(SUM((TBA_Matches_All[[#This Row],[AllyWFlrT]])/(TBA_Matches_All[[#This Row],[AllyWFlrT]]+TBA_Matches_All[[#This Row],[AZflM]])),0)</f>
        <v>0</v>
      </c>
      <c r="BH217">
        <f>COUNTIFS(Dyno_Data[Team],TBA_Matches_All[[#This Row],[Team]],Dyno_Data[Match],TBA_Matches_All[[#This Row],[Match_Number]],Dyno_Data[RecordType],"Activities",Dyno_Data[DelOrig],"OppW", Dyno_Data[DelMiss],"0")</f>
        <v>0</v>
      </c>
      <c r="BI217">
        <f>COUNTIFS(Dyno_Data[Team],TBA_Matches_All[[#This Row],[Team]],Dyno_Data[Match],TBA_Matches_All[[#This Row],[Match_Number]],Dyno_Data[RecordType],"Activities",Dyno_Data[DelOrig],"OppW", Dyno_Data[DelMiss],"1")</f>
        <v>1</v>
      </c>
      <c r="BJ217" s="60">
        <f>IFERROR(SUM((TBA_Matches_All[[#This Row],[OZflrT]])/(TBA_Matches_All[[#This Row],[OZflrT]]+TBA_Matches_All[[#This Row],[OZflrM]])),0)</f>
        <v>0</v>
      </c>
      <c r="BK217">
        <f>COUNTIFS(Dyno_Data[Team],TBA_Matches_All[[#This Row],[Team]],Dyno_Data[Match],TBA_Matches_All[[#This Row],[Match_Number]],Dyno_Data[RecordType],"Activities",Dyno_Data[DelOrig],"Neut", Dyno_Data[DelMiss],"0")</f>
        <v>0</v>
      </c>
      <c r="BL217">
        <f>COUNTIFS(Dyno_Data[Team],TBA_Matches_All[[#This Row],[Team]],Dyno_Data[Match],TBA_Matches_All[[#This Row],[Match_Number]],Dyno_Data[RecordType],"Activities",Dyno_Data[DelOrig],"Neut", Dyno_Data[DelMiss],"1")</f>
        <v>0</v>
      </c>
      <c r="BM217" s="60">
        <f>IFERROR(SUM((TBA_Matches_All[[#This Row],[NZflrT]])/(TBA_Matches_All[[#This Row],[NZflrT]]+TBA_Matches_All[[#This Row],[NZflrM]])),0)</f>
        <v>0</v>
      </c>
      <c r="BN217">
        <f>COUNTIFS(Dyno_Data[Team],TBA_Matches_All[[#This Row],[Team]],Dyno_Data[Match],TBA_Matches_All[[#This Row],[Match_Number]],Dyno_Data[RecordType],"Activities",Dyno_Data[DelOrig],"AllyW", Dyno_Data[DelMiss],"0")</f>
        <v>4</v>
      </c>
      <c r="BO217">
        <f>COUNTIFS(Dyno_Data[Team],TBA_Matches_All[[#This Row],[Team]],Dyno_Data[Match],TBA_Matches_All[[#This Row],[Match_Number]],Dyno_Data[RecordType],"Activities",Dyno_Data[DelOrig],"AllyW", Dyno_Data[DelMiss],"1")</f>
        <v>3</v>
      </c>
      <c r="BP217" s="60">
        <f>IFERROR(SUM((TBA_Matches_All[[#This Row],[AZflrT]])/(TBA_Matches_All[[#This Row],[AZflrT]]+TBA_Matches_All[[#This Row],[AZflrM]])),0)</f>
        <v>0.5714285714285714</v>
      </c>
      <c r="BQ217">
        <f>COUNTIFS(Dyno_Data[Team],TBA_Matches_All[[#This Row],[Team]],Dyno_Data[Match],TBA_Matches_All[[#This Row],[Match_Number]],Dyno_Data[RecordType],"Activities",Dyno_Data[DelOrig],"SubW", Dyno_Data[DelMiss],"0")</f>
        <v>0</v>
      </c>
      <c r="BR217">
        <f>COUNTIFS(Dyno_Data[Team],TBA_Matches_All[[#This Row],[Team]],Dyno_Data[Match],TBA_Matches_All[[#This Row],[Match_Number]],Dyno_Data[RecordType],"Activities",Dyno_Data[DelOrig],"SubW", Dyno_Data[DelMiss],"1")</f>
        <v>0</v>
      </c>
      <c r="BS217" s="60">
        <f>IFERROR(SUM((TBA_Matches_All[[#This Row],[SubwT]])/(TBA_Matches_All[[#This Row],[SubwT]]+TBA_Matches_All[[#This Row],[SubwM]])),0)</f>
        <v>0</v>
      </c>
      <c r="BT217">
        <f>COUNTIFS(Dyno_Data[Team],TBA_Matches_All[[#This Row],[Team]],Dyno_Data[Match],TBA_Matches_All[[#This Row],[Match_Number]],Dyno_Data[RecordType],"Activities", Dyno_Data[AcqLoc],"OppWing")</f>
        <v>0</v>
      </c>
      <c r="BU217">
        <f>COUNTIFS(Dyno_Data[Team],TBA_Matches_All[[#This Row],[Team]],Dyno_Data[Match],TBA_Matches_All[[#This Row],[Match_Number]],Dyno_Data[RecordType],"Activities", Dyno_Data[AcqLoc],"Neutral")</f>
        <v>0</v>
      </c>
      <c r="BV217">
        <f>COUNTIFS(Dyno_Data[Team],TBA_Matches_All[[#This Row],[Team]],Dyno_Data[Match],TBA_Matches_All[[#This Row],[Match_Number]],Dyno_Data[RecordType],"Activities", Dyno_Data[AcqLoc],"AllyWing")</f>
        <v>0</v>
      </c>
      <c r="BW217">
        <f>COUNTIFS(Dyno_Data[Team],TBA_Matches_All[[#This Row],[Team]],Dyno_Data[Match],TBA_Matches_All[[#This Row],[Match_Number]],Dyno_Data[RecordType],"Activities", Dyno_Data[AcqLoc],"Source")</f>
        <v>0</v>
      </c>
      <c r="BX217">
        <f>SUMIFS(Dyno_Data[AcqDrp], Dyno_Data[Team],TBA_Matches_All[[#This Row],[Team]],Dyno_Data[Match],TBA_Matches_All[[#This Row],[Match_Number]],Dyno_Data[RecordType],"Activities", Dyno_Data[AcqLoc],"Source")</f>
        <v>0</v>
      </c>
      <c r="BY217">
        <f>SUMIFS(Dyno_Data[OZTime], Dyno_Data[Team],TBA_Matches_All[[#This Row],[Team]],Dyno_Data[Match],TBA_Matches_All[[#This Row],[Match_Number]],Dyno_Data[RecordType],"EndMatch")</f>
        <v>20.3222402</v>
      </c>
      <c r="BZ217">
        <f>SUMIFS(Dyno_Data[NZTime], Dyno_Data[Team],TBA_Matches_All[[#This Row],[Team]],Dyno_Data[Match],TBA_Matches_All[[#This Row],[Match_Number]],Dyno_Data[RecordType],"EndMatch")</f>
        <v>4.2087393999999998</v>
      </c>
      <c r="CA217">
        <f>SUMIFS(Dyno_Data[AZTime], Dyno_Data[Team],TBA_Matches_All[[#This Row],[Team]],Dyno_Data[Match],TBA_Matches_All[[#This Row],[Match_Number]],Dyno_Data[RecordType],"EndMatch")</f>
        <v>110.85109949999999</v>
      </c>
      <c r="CB217">
        <f>SUMIFS(Dyno_Data[ClimbT], Dyno_Data[Team],TBA_Matches_All[[#This Row],[Team]],Dyno_Data[Match],TBA_Matches_All[[#This Row],[Match_Number]],Dyno_Data[RecordType],"EndMatch")</f>
        <v>0</v>
      </c>
      <c r="CC217" t="str">
        <f>_xlfn.XLOOKUP(SUM(MID(TBA_Matches_All[[#This Row],[Team]],4,5),(TBA_Matches_All[[#This Row],[Match_Number]]/100)),Dyno_EndMatch[teammat],Dyno_EndMatch[StageStat],"_",0,1)</f>
        <v>Else</v>
      </c>
      <c r="CD217" t="str">
        <f>_xlfn.XLOOKUP(TBA_Matches_All[[#This Row],[teammat]],Dyno_EndMatch[teammat],Dyno_EndMatch[StageAtt],"_",0,1)</f>
        <v>0</v>
      </c>
      <c r="CE217" t="str">
        <f>_xlfn.XLOOKUP(TBA_Matches_All[[#This Row],[teammat]],Dyno_EndMatch[teammat],Dyno_EndMatch[StageLoc],"_",0,1)</f>
        <v>A</v>
      </c>
      <c r="CF217">
        <f>SUMIFS(Dyno_Data[Harmony], Dyno_Data[Team],TBA_Matches_All[[#This Row],[Team]],Dyno_Data[Match],TBA_Matches_All[[#This Row],[Match_Number]],Dyno_Data[RecordType],"EndMatch", Dyno_Data[StageStat],"On",Dyno_Data[Harmony],"&lt;&gt;9")</f>
        <v>0</v>
      </c>
      <c r="CG217">
        <f>SUMIFS(Dyno_Data[Spotlit], Dyno_Data[Team],TBA_Matches_All[[#This Row],[Team]],Dyno_Data[Match],TBA_Matches_All[[#This Row],[Match_Number]],Dyno_Data[RecordType],"EndMatch", Dyno_Data[StageStat],"On",Dyno_Data[Spotlit],"&lt;&gt;9")</f>
        <v>0</v>
      </c>
      <c r="CH217" t="str">
        <f>_xlfn.XLOOKUP(TBA_Matches_All[[#This Row],[teammat]],Dyno_EndMatch[teammat],Dyno_EndMatch[Strategy],"_",0,1)</f>
        <v>Shooter</v>
      </c>
      <c r="CI217">
        <f>SUMIFS(Dyno_Data[Defense], Dyno_Data[Team],TBA_Matches_All[[#This Row],[Team]],Dyno_Data[Match],TBA_Matches_All[[#This Row],[Match_Number]],Dyno_Data[RecordType],"EndMatch",Dyno_Data[Defense],"&lt;&gt;9")</f>
        <v>0</v>
      </c>
      <c r="CJ217">
        <f>SUMIFS(Dyno_Data[Avoidance], Dyno_Data[Team],TBA_Matches_All[[#This Row],[Team]],Dyno_Data[Match],TBA_Matches_All[[#This Row],[Match_Number]],Dyno_Data[RecordType],"EndMatch",Dyno_Data[Avoidance],"&lt;&gt;9")</f>
        <v>0</v>
      </c>
      <c r="CK217" s="82">
        <f>COUNTIF($H$2:TBA_Matches_All[[#This Row],[Team]],TBA_Matches_All[[#This Row],[Team]])</f>
        <v>5</v>
      </c>
      <c r="CL217" s="111">
        <f>SUM(MID(TBA_Matches_All[[#This Row],[Team]],4,5)+TBA_Matches_All[[#This Row],[Match_Number]]/100)</f>
        <v>5881.36</v>
      </c>
      <c r="CM217">
        <f>SUM((TBA_Matches_All[[#This Row],[Leave]]*2)+(TBA_Matches_All[[#This Row],[AampT]]*2)+(TBA_Matches_All[[#This Row],[AspkrT]]*5)+(TBA_Matches_All[[#This Row],[AtrapT]]*5))</f>
        <v>0</v>
      </c>
      <c r="CN217" s="59">
        <f>IFERROR(SUM(TBA_Matches_All[[#This Row],[AptsT]]/TBA_Matches_All[[#This Row],[AutoPts]]),0)</f>
        <v>0</v>
      </c>
      <c r="CO217" s="59">
        <f>IFERROR(SUM(TBA_Matches_All[[#This Row],[AampT]]+TBA_Matches_All[[#This Row],[AspkrT]]+TBA_Matches_All[[#This Row],[AtrapT]]/TBA_Matches_All[[#This Row],[Aamp]]+TBA_Matches_All[[#This Row],[Aspkr]]+TBA_Matches_All[[#This Row],[AtrapT]]),0)</f>
        <v>0</v>
      </c>
      <c r="CP217" s="59">
        <f>IFERROR(SUM(TBA_Matches_All[[#This Row],[TampT]]/TBA_Matches_All[[#This Row],[Tamp]]),0)</f>
        <v>0</v>
      </c>
      <c r="CQ217" s="59">
        <f>IFERROR(SUM(TBA_Matches_All[[#This Row],[TspkrT]]/TBA_Matches_All[[#This Row],[Tspkr]]),0)</f>
        <v>0.36363636363636365</v>
      </c>
      <c r="CR217">
        <f>SUM(TBA_Matches_All[[#This Row],[TspkrPts]]*TBA_Matches_All[[#This Row],[TspkrP]])</f>
        <v>12.363636363636363</v>
      </c>
      <c r="CS217" s="59">
        <f>IFERROR(SUM(TBA_Matches_All[[#This Row],[TtrapT]]/TBA_Matches_All[[#This Row],[Trap]]),0)</f>
        <v>0</v>
      </c>
      <c r="CT217" s="59">
        <f>IFERROR(SUM(TBA_Matches_All[[#This Row],[TotNotesT]]/TBA_Matches_All[[#This Row],[TotNotes]]),0)</f>
        <v>0.22222222222222221</v>
      </c>
      <c r="CU217" s="66">
        <f>SUM((TBA_Matches_All[[#This Row],[AampT]]*2)+(TBA_Matches_All[[#This Row],[AspkrT]]*5)+(TBA_Matches_All[[#This Row],[AtrapT]]*5)+(TBA_Matches_All[[#This Row],[TampT]]*1)+(TBA_Matches_All[[#This Row],[TspkrptsC]]))</f>
        <v>12.363636363636363</v>
      </c>
      <c r="CV217" s="59">
        <f>IFERROR(TBA_Matches_All[[#This Row],[noteptsT]]/TBA_Matches_All[[#This Row],[NotePts]],0)</f>
        <v>0.23327615780445968</v>
      </c>
      <c r="CW217">
        <f>SUM(IF(TBA_Matches_All[[#This Row],[stageStat]]="On",3,0),IF(TBA_Matches_All[[#This Row],[stageStat]]="Park",1,0),SUMIFS(TBA_Matches_All[[#This Row],[Spotlit]],TBA_Matches_All[[#This Row],[stageStat]],"On"),SUMIFS(TBA_Matches_All[[#This Row],[Harmony]],TBA_Matches_All[[#This Row],[stageStat]],"On"))</f>
        <v>0</v>
      </c>
      <c r="CX217" s="59">
        <f>IFERROR(TBA_Matches_All[[#This Row],[stageptsT]]/TBA_Matches_All[[#This Row],[StagePts]],0)</f>
        <v>0</v>
      </c>
      <c r="CY217">
        <f>SUM((TBA_Matches_All[[#This Row],[AptsT]]+TBA_Matches_All[[#This Row],[TampT]]+TBA_Matches_All[[#This Row],[TspkrptsC]]+(TBA_Matches_All[[#This Row],[TtrapT]]*5)+TBA_Matches_All[[#This Row],[stageptsT]]))</f>
        <v>12.363636363636363</v>
      </c>
      <c r="CZ217" s="59">
        <f>IFERROR(SUM(TBA_Matches_All[[#This Row],[TotptsC]]/TBA_Matches_All[[#This Row],[Score]]),0)</f>
        <v>0.17171717171717171</v>
      </c>
      <c r="DA21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v>
      </c>
      <c r="DB217" s="74">
        <f>SUMIFS(TBA_Matches_All[AveTeamTNoteDels],TBA_Matches_All[Match_Number],TBA_Matches_All[[#This Row],[Match_Number]],TBA_Matches_All[Alliance],"&lt;&gt;"&amp;TBA_Matches_All[[#This Row],[Alliance]],TBA_Matches_All[Scouted],"&gt;0")</f>
        <v>15.120833333333334</v>
      </c>
      <c r="DC217" s="74">
        <f>(TBA_Matches_All[[#This Row],[TampT]]+TBA_Matches_All[[#This Row],[TspkrptsC]])-TBA_Matches_All[[#This Row],[AveTeamTNoteDels]]</f>
        <v>6.3636363636363633</v>
      </c>
      <c r="DD217" s="74">
        <f>SUMIFS(TBA_Matches_All[AveTeamTNoteDels],TBA_Matches_All[Match_Number],TBA_Matches_All[[#This Row],[Match_Number]],TBA_Matches_All[Alliance],"&lt;&gt;"&amp;TBA_Matches_All[[#This Row],[Alliance]])-TBA_Matches_All[[#This Row],[AveOppTNoteDels]]</f>
        <v>0</v>
      </c>
    </row>
    <row r="218" spans="1:108" x14ac:dyDescent="0.3">
      <c r="A218" t="s">
        <v>1042</v>
      </c>
      <c r="B218" t="s">
        <v>489</v>
      </c>
      <c r="C218" t="s">
        <v>1345</v>
      </c>
      <c r="D218">
        <v>36</v>
      </c>
      <c r="E218" t="s">
        <v>1406</v>
      </c>
      <c r="F218" t="s">
        <v>1426</v>
      </c>
      <c r="G218" t="s">
        <v>164</v>
      </c>
      <c r="H218" t="s">
        <v>1311</v>
      </c>
      <c r="I218" t="b">
        <v>0</v>
      </c>
      <c r="J218">
        <v>40</v>
      </c>
      <c r="K218">
        <v>0</v>
      </c>
      <c r="L218">
        <v>0</v>
      </c>
      <c r="M218">
        <v>15</v>
      </c>
      <c r="N218">
        <v>0</v>
      </c>
      <c r="O218">
        <v>2</v>
      </c>
      <c r="P218">
        <v>10</v>
      </c>
      <c r="Q218">
        <v>14</v>
      </c>
      <c r="R218">
        <v>3</v>
      </c>
      <c r="S218">
        <v>1</v>
      </c>
      <c r="T218">
        <v>5</v>
      </c>
      <c r="U218">
        <v>5</v>
      </c>
      <c r="V218">
        <v>10</v>
      </c>
      <c r="W218">
        <v>6</v>
      </c>
      <c r="X218">
        <v>15</v>
      </c>
      <c r="Y218">
        <v>18</v>
      </c>
      <c r="Z218">
        <v>0</v>
      </c>
      <c r="AA218">
        <v>0</v>
      </c>
      <c r="AB218">
        <v>11</v>
      </c>
      <c r="AC218">
        <v>28</v>
      </c>
      <c r="AD218">
        <v>8</v>
      </c>
      <c r="AE218">
        <f>IFERROR(6/(COUNTIF(Dyno_EndMatch[Match],TBA_Matches_All[[#This Row],[Match_Number]])),0)</f>
        <v>1</v>
      </c>
      <c r="AF218">
        <f>COUNTIFS(Dyno_Data[Team],TBA_Matches_All[[#This Row],[Team]],Dyno_Data[Match],TBA_Matches_All[[#This Row],[Match_Number]],Dyno_Data[RecordType],"EndMatch",Dyno_Data[HPAmp],"Y")</f>
        <v>0</v>
      </c>
      <c r="AG218">
        <f>SUMIFS(Dyno_Data[Mics], Dyno_Data[Team],TBA_Matches_All[[#This Row],[Team]],Dyno_Data[Match],TBA_Matches_All[[#This Row],[Match_Number]],Dyno_Data[RecordType],"EndMatch",Dyno_Data[HPAmp],"Y")</f>
        <v>0</v>
      </c>
      <c r="AH218">
        <f>SUMIFS(Dyno_Data[Leave], Dyno_Data[Team],TBA_Matches_All[[#This Row],[Team]],Dyno_Data[Match],TBA_Matches_All[[#This Row],[Match_Number]],Dyno_Data[RecordType],"EndAuto")</f>
        <v>0</v>
      </c>
      <c r="AI218">
        <f>COUNTIFS(Dyno_Data[Team],TBA_Matches_All[[#This Row],[Team]],Dyno_Data[Match],TBA_Matches_All[[#This Row],[Match_Number]],Dyno_Data[RecordType],"Activities",Dyno_Data[DelDest],"Amp", Dyno_Data[DelMiss],"0", Dyno_Data[Mode],"Auto")</f>
        <v>0</v>
      </c>
      <c r="AJ218">
        <f>COUNTIFS(Dyno_Data[Team],TBA_Matches_All[[#This Row],[Team]],Dyno_Data[Match],TBA_Matches_All[[#This Row],[Match_Number]],Dyno_Data[RecordType],"Activities",Dyno_Data[DelDest],"Spkr", Dyno_Data[DelMiss],"0", Dyno_Data[Mode],"Auto")</f>
        <v>0</v>
      </c>
      <c r="AK218">
        <f>COUNTIFS(Dyno_Data[Team],TBA_Matches_All[[#This Row],[Team]],Dyno_Data[Match],TBA_Matches_All[[#This Row],[Match_Number]],Dyno_Data[RecordType],"Activities",Dyno_Data[DelDest],"Trap", Dyno_Data[DelMiss],"0", Dyno_Data[Mode],"Auto")</f>
        <v>0</v>
      </c>
      <c r="AL218">
        <f>COUNTIFS(Dyno_Data[Team],TBA_Matches_All[[#This Row],[Team]],Dyno_Data[Match],TBA_Matches_All[[#This Row],[Match_Number]],Dyno_Data[RecordType],"Activities",Dyno_Data[DelDest],"Amp", Dyno_Data[DelMiss],"0", Dyno_Data[Mode],"Teleop")</f>
        <v>3</v>
      </c>
      <c r="AM218">
        <f>COUNTIFS(Dyno_Data[Team],TBA_Matches_All[[#This Row],[Team]],Dyno_Data[Match],TBA_Matches_All[[#This Row],[Match_Number]],Dyno_Data[RecordType],"Activities",Dyno_Data[DelDest],"Spkr", Dyno_Data[DelMiss],"0", Dyno_Data[Mode],"Teleop")</f>
        <v>0</v>
      </c>
      <c r="AN218">
        <f>COUNTIFS(Dyno_Data[Team],TBA_Matches_All[[#This Row],[Team]],Dyno_Data[Match],TBA_Matches_All[[#This Row],[Match_Number]],Dyno_Data[RecordType],"Activities",Dyno_Data[DelDest],"Trap", Dyno_Data[DelMiss],"0", Dyno_Data[Mode],"&lt;&gt;Auto")</f>
        <v>0</v>
      </c>
      <c r="AO218">
        <f>SUM(TBA_Matches_All[[#This Row],[AampT]]+TBA_Matches_All[[#This Row],[AspkrT]]+TBA_Matches_All[[#This Row],[AtrapT]]+TBA_Matches_All[[#This Row],[TampT]]+TBA_Matches_All[[#This Row],[TspkrT]]+TBA_Matches_All[[#This Row],[TtrapT]])</f>
        <v>3</v>
      </c>
      <c r="AP218">
        <f>COUNTIFS(Dyno_Data[Team],TBA_Matches_All[[#This Row],[Team]],Dyno_Data[Match],TBA_Matches_All[[#This Row],[Match_Number]],Dyno_Data[RecordType],"Activities",Dyno_Data[DelDest],"Neut", Dyno_Data[DelMiss],"0")</f>
        <v>0</v>
      </c>
      <c r="AQ218">
        <f>COUNTIFS(Dyno_Data[Team],TBA_Matches_All[[#This Row],[Team]],Dyno_Data[Match],TBA_Matches_All[[#This Row],[Match_Number]],Dyno_Data[RecordType],"Activities",Dyno_Data[DelDest],"AllyW", Dyno_Data[DelMiss],"0")</f>
        <v>0</v>
      </c>
      <c r="AR218" t="str">
        <f>_xlfn.XLOOKUP(SUM(MID(TBA_Matches_All[[#This Row],[Team]],4,5),(TBA_Matches_All[[#This Row],[Match_Number]]/100)),Dyno_EndMatch[teammat],Dyno_EndMatch[RobotSta],"_",0,1)</f>
        <v>Amp</v>
      </c>
      <c r="AS218">
        <f>SUMIFS(Dyno_Data[AcqDis], Dyno_Data[Team],TBA_Matches_All[[#This Row],[Team]],Dyno_Data[Match],TBA_Matches_All[[#This Row],[Match_Number]],Dyno_Data[RecordType],"Activities", Dyno_Data[AcqCenter],1,Dyno_Data[Mode],"Auto")</f>
        <v>0</v>
      </c>
      <c r="AT218">
        <f>SUMIFS(Dyno_Data[AcqDis], Dyno_Data[Team],TBA_Matches_All[[#This Row],[Team]],Dyno_Data[Match],TBA_Matches_All[[#This Row],[Match_Number]],Dyno_Data[RecordType],"Activities", Dyno_Data[AcqCenter],2,Dyno_Data[Mode],"Auto")</f>
        <v>0</v>
      </c>
      <c r="AU218">
        <f>SUMIFS(Dyno_Data[AcqDis], Dyno_Data[Team],TBA_Matches_All[[#This Row],[Team]],Dyno_Data[Match],TBA_Matches_All[[#This Row],[Match_Number]],Dyno_Data[RecordType],"Activities", Dyno_Data[AcqCenter],3,Dyno_Data[Mode],"Auto")</f>
        <v>0</v>
      </c>
      <c r="AV218">
        <f>SUMIFS(Dyno_Data[AcqDis], Dyno_Data[Team],TBA_Matches_All[[#This Row],[Team]],Dyno_Data[Match],TBA_Matches_All[[#This Row],[Match_Number]],Dyno_Data[RecordType],"Activities", Dyno_Data[AcqCenter],4,Dyno_Data[Mode],"Auto")</f>
        <v>0</v>
      </c>
      <c r="AW218">
        <f>SUMIFS(Dyno_Data[AcqDis], Dyno_Data[Team],TBA_Matches_All[[#This Row],[Team]],Dyno_Data[Match],TBA_Matches_All[[#This Row],[Match_Number]],Dyno_Data[RecordType],"Activities", Dyno_Data[AcqCenter],5,Dyno_Data[Mode],"Auto")</f>
        <v>0</v>
      </c>
      <c r="AX218">
        <f>SUMIFS(Dyno_Data[DelMiss], Dyno_Data[Team],TBA_Matches_All[[#This Row],[Team]],Dyno_Data[Match],TBA_Matches_All[[#This Row],[Match_Number]],Dyno_Data[RecordType],"Activities", Dyno_Data[DelDest],"Amp")</f>
        <v>0</v>
      </c>
      <c r="AY218" s="60">
        <f>IFERROR(SUM((TBA_Matches_All[[#This Row],[AampT]]+TBA_Matches_All[[#This Row],[TampT]])/(TBA_Matches_All[[#This Row],[AampT]]+TBA_Matches_All[[#This Row],[TampT]]+TBA_Matches_All[[#This Row],[ampM]])),0)</f>
        <v>1</v>
      </c>
      <c r="AZ218">
        <f>SUMIFS(Dyno_Data[DelMiss], Dyno_Data[Team],TBA_Matches_All[[#This Row],[Team]],Dyno_Data[Match],TBA_Matches_All[[#This Row],[Match_Number]],Dyno_Data[RecordType],"Activities", Dyno_Data[DelDest],"Spkr")</f>
        <v>0</v>
      </c>
      <c r="BA218" s="60">
        <f>IFERROR(SUM((TBA_Matches_All[[#This Row],[AspkrT]]+TBA_Matches_All[[#This Row],[TspkrT]])/(TBA_Matches_All[[#This Row],[AspkrT]]+TBA_Matches_All[[#This Row],[TspkrT]]+TBA_Matches_All[[#This Row],[spkrM]])),0)</f>
        <v>0</v>
      </c>
      <c r="BB218">
        <f>SUMIFS(Dyno_Data[DelMiss], Dyno_Data[Team],TBA_Matches_All[[#This Row],[Team]],Dyno_Data[Match],TBA_Matches_All[[#This Row],[Match_Number]],Dyno_Data[RecordType],"Activities", Dyno_Data[DelDest],"Trap")</f>
        <v>0</v>
      </c>
      <c r="BC218" s="60">
        <f>IFERROR((TBA_Matches_All[[#This Row],[AtrapT]]+TBA_Matches_All[[#This Row],[TtrapT]])/(TBA_Matches_All[[#This Row],[AtrapT]]+TBA_Matches_All[[#This Row],[TtrapT]]+TBA_Matches_All[[#This Row],[trapM]]),0)</f>
        <v>0</v>
      </c>
      <c r="BD218">
        <f>COUNTIFS(Dyno_Data[Team],TBA_Matches_All[[#This Row],[Team]],Dyno_Data[Match],TBA_Matches_All[[#This Row],[Match_Number]],Dyno_Data[RecordType],"Activities",Dyno_Data[DelDest],"Neut", Dyno_Data[DelMiss],1)</f>
        <v>0</v>
      </c>
      <c r="BE218" s="60">
        <f>IFERROR(SUM((TBA_Matches_All[[#This Row],[NeutFlrT]])/(TBA_Matches_All[[#This Row],[NeutFlrT]]+TBA_Matches_All[[#This Row],[NZflM]])),0)</f>
        <v>0</v>
      </c>
      <c r="BF218">
        <f>COUNTIFS(Dyno_Data[Team],TBA_Matches_All[[#This Row],[Team]],Dyno_Data[Match],TBA_Matches_All[[#This Row],[Match_Number]],Dyno_Data[RecordType],"Activities",Dyno_Data[DelDest],"AllyW", Dyno_Data[DelMiss],1)</f>
        <v>0</v>
      </c>
      <c r="BG218" s="60">
        <f>IFERROR(SUM((TBA_Matches_All[[#This Row],[AllyWFlrT]])/(TBA_Matches_All[[#This Row],[AllyWFlrT]]+TBA_Matches_All[[#This Row],[AZflM]])),0)</f>
        <v>0</v>
      </c>
      <c r="BH218">
        <f>COUNTIFS(Dyno_Data[Team],TBA_Matches_All[[#This Row],[Team]],Dyno_Data[Match],TBA_Matches_All[[#This Row],[Match_Number]],Dyno_Data[RecordType],"Activities",Dyno_Data[DelOrig],"OppW", Dyno_Data[DelMiss],"0")</f>
        <v>0</v>
      </c>
      <c r="BI218">
        <f>COUNTIFS(Dyno_Data[Team],TBA_Matches_All[[#This Row],[Team]],Dyno_Data[Match],TBA_Matches_All[[#This Row],[Match_Number]],Dyno_Data[RecordType],"Activities",Dyno_Data[DelOrig],"OppW", Dyno_Data[DelMiss],"1")</f>
        <v>0</v>
      </c>
      <c r="BJ218" s="60">
        <f>IFERROR(SUM((TBA_Matches_All[[#This Row],[OZflrT]])/(TBA_Matches_All[[#This Row],[OZflrT]]+TBA_Matches_All[[#This Row],[OZflrM]])),0)</f>
        <v>0</v>
      </c>
      <c r="BK218">
        <f>COUNTIFS(Dyno_Data[Team],TBA_Matches_All[[#This Row],[Team]],Dyno_Data[Match],TBA_Matches_All[[#This Row],[Match_Number]],Dyno_Data[RecordType],"Activities",Dyno_Data[DelOrig],"Neut", Dyno_Data[DelMiss],"0")</f>
        <v>1</v>
      </c>
      <c r="BL218">
        <f>COUNTIFS(Dyno_Data[Team],TBA_Matches_All[[#This Row],[Team]],Dyno_Data[Match],TBA_Matches_All[[#This Row],[Match_Number]],Dyno_Data[RecordType],"Activities",Dyno_Data[DelOrig],"Neut", Dyno_Data[DelMiss],"1")</f>
        <v>0</v>
      </c>
      <c r="BM218" s="60">
        <f>IFERROR(SUM((TBA_Matches_All[[#This Row],[NZflrT]])/(TBA_Matches_All[[#This Row],[NZflrT]]+TBA_Matches_All[[#This Row],[NZflrM]])),0)</f>
        <v>1</v>
      </c>
      <c r="BN218">
        <f>COUNTIFS(Dyno_Data[Team],TBA_Matches_All[[#This Row],[Team]],Dyno_Data[Match],TBA_Matches_All[[#This Row],[Match_Number]],Dyno_Data[RecordType],"Activities",Dyno_Data[DelOrig],"AllyW", Dyno_Data[DelMiss],"0")</f>
        <v>2</v>
      </c>
      <c r="BO218">
        <f>COUNTIFS(Dyno_Data[Team],TBA_Matches_All[[#This Row],[Team]],Dyno_Data[Match],TBA_Matches_All[[#This Row],[Match_Number]],Dyno_Data[RecordType],"Activities",Dyno_Data[DelOrig],"AllyW", Dyno_Data[DelMiss],"1")</f>
        <v>0</v>
      </c>
      <c r="BP218" s="60">
        <f>IFERROR(SUM((TBA_Matches_All[[#This Row],[AZflrT]])/(TBA_Matches_All[[#This Row],[AZflrT]]+TBA_Matches_All[[#This Row],[AZflrM]])),0)</f>
        <v>1</v>
      </c>
      <c r="BQ218">
        <f>COUNTIFS(Dyno_Data[Team],TBA_Matches_All[[#This Row],[Team]],Dyno_Data[Match],TBA_Matches_All[[#This Row],[Match_Number]],Dyno_Data[RecordType],"Activities",Dyno_Data[DelOrig],"SubW", Dyno_Data[DelMiss],"0")</f>
        <v>0</v>
      </c>
      <c r="BR218">
        <f>COUNTIFS(Dyno_Data[Team],TBA_Matches_All[[#This Row],[Team]],Dyno_Data[Match],TBA_Matches_All[[#This Row],[Match_Number]],Dyno_Data[RecordType],"Activities",Dyno_Data[DelOrig],"SubW", Dyno_Data[DelMiss],"1")</f>
        <v>0</v>
      </c>
      <c r="BS218" s="60">
        <f>IFERROR(SUM((TBA_Matches_All[[#This Row],[SubwT]])/(TBA_Matches_All[[#This Row],[SubwT]]+TBA_Matches_All[[#This Row],[SubwM]])),0)</f>
        <v>0</v>
      </c>
      <c r="BT218">
        <f>COUNTIFS(Dyno_Data[Team],TBA_Matches_All[[#This Row],[Team]],Dyno_Data[Match],TBA_Matches_All[[#This Row],[Match_Number]],Dyno_Data[RecordType],"Activities", Dyno_Data[AcqLoc],"OppWing")</f>
        <v>0</v>
      </c>
      <c r="BU218">
        <f>COUNTIFS(Dyno_Data[Team],TBA_Matches_All[[#This Row],[Team]],Dyno_Data[Match],TBA_Matches_All[[#This Row],[Match_Number]],Dyno_Data[RecordType],"Activities", Dyno_Data[AcqLoc],"Neutral")</f>
        <v>0</v>
      </c>
      <c r="BV218">
        <f>COUNTIFS(Dyno_Data[Team],TBA_Matches_All[[#This Row],[Team]],Dyno_Data[Match],TBA_Matches_All[[#This Row],[Match_Number]],Dyno_Data[RecordType],"Activities", Dyno_Data[AcqLoc],"AllyWing")</f>
        <v>0</v>
      </c>
      <c r="BW218">
        <f>COUNTIFS(Dyno_Data[Team],TBA_Matches_All[[#This Row],[Team]],Dyno_Data[Match],TBA_Matches_All[[#This Row],[Match_Number]],Dyno_Data[RecordType],"Activities", Dyno_Data[AcqLoc],"Source")</f>
        <v>0</v>
      </c>
      <c r="BX218">
        <f>SUMIFS(Dyno_Data[AcqDrp], Dyno_Data[Team],TBA_Matches_All[[#This Row],[Team]],Dyno_Data[Match],TBA_Matches_All[[#This Row],[Match_Number]],Dyno_Data[RecordType],"Activities", Dyno_Data[AcqLoc],"Source")</f>
        <v>0</v>
      </c>
      <c r="BY218">
        <f>SUMIFS(Dyno_Data[OZTime], Dyno_Data[Team],TBA_Matches_All[[#This Row],[Team]],Dyno_Data[Match],TBA_Matches_All[[#This Row],[Match_Number]],Dyno_Data[RecordType],"EndMatch")</f>
        <v>42.156277500000002</v>
      </c>
      <c r="BZ218">
        <f>SUMIFS(Dyno_Data[NZTime], Dyno_Data[Team],TBA_Matches_All[[#This Row],[Team]],Dyno_Data[Match],TBA_Matches_All[[#This Row],[Match_Number]],Dyno_Data[RecordType],"EndMatch")</f>
        <v>44.684163499999997</v>
      </c>
      <c r="CA218">
        <f>SUMIFS(Dyno_Data[AZTime], Dyno_Data[Team],TBA_Matches_All[[#This Row],[Team]],Dyno_Data[Match],TBA_Matches_All[[#This Row],[Match_Number]],Dyno_Data[RecordType],"EndMatch")</f>
        <v>24.228342399999999</v>
      </c>
      <c r="CB218">
        <f>SUMIFS(Dyno_Data[ClimbT], Dyno_Data[Team],TBA_Matches_All[[#This Row],[Team]],Dyno_Data[Match],TBA_Matches_All[[#This Row],[Match_Number]],Dyno_Data[RecordType],"EndMatch")</f>
        <v>3.6213929</v>
      </c>
      <c r="CC218" t="str">
        <f>_xlfn.XLOOKUP(SUM(MID(TBA_Matches_All[[#This Row],[Team]],4,5),(TBA_Matches_All[[#This Row],[Match_Number]]/100)),Dyno_EndMatch[teammat],Dyno_EndMatch[StageStat],"_",0,1)</f>
        <v>On</v>
      </c>
      <c r="CD218" t="str">
        <f>_xlfn.XLOOKUP(TBA_Matches_All[[#This Row],[teammat]],Dyno_EndMatch[teammat],Dyno_EndMatch[StageAtt],"_",0,1)</f>
        <v>1</v>
      </c>
      <c r="CE218" t="str">
        <f>_xlfn.XLOOKUP(TBA_Matches_All[[#This Row],[teammat]],Dyno_EndMatch[teammat],Dyno_EndMatch[StageLoc],"_",0,1)</f>
        <v>L</v>
      </c>
      <c r="CF218">
        <f>SUMIFS(Dyno_Data[Harmony], Dyno_Data[Team],TBA_Matches_All[[#This Row],[Team]],Dyno_Data[Match],TBA_Matches_All[[#This Row],[Match_Number]],Dyno_Data[RecordType],"EndMatch", Dyno_Data[StageStat],"On",Dyno_Data[Harmony],"&lt;&gt;9")</f>
        <v>0</v>
      </c>
      <c r="CG218">
        <f>SUMIFS(Dyno_Data[Spotlit], Dyno_Data[Team],TBA_Matches_All[[#This Row],[Team]],Dyno_Data[Match],TBA_Matches_All[[#This Row],[Match_Number]],Dyno_Data[RecordType],"EndMatch", Dyno_Data[StageStat],"On",Dyno_Data[Spotlit],"&lt;&gt;9")</f>
        <v>0</v>
      </c>
      <c r="CH218" t="str">
        <f>_xlfn.XLOOKUP(TBA_Matches_All[[#This Row],[teammat]],Dyno_EndMatch[teammat],Dyno_EndMatch[Strategy],"_",0,1)</f>
        <v>Hybrid</v>
      </c>
      <c r="CI218">
        <f>SUMIFS(Dyno_Data[Defense], Dyno_Data[Team],TBA_Matches_All[[#This Row],[Team]],Dyno_Data[Match],TBA_Matches_All[[#This Row],[Match_Number]],Dyno_Data[RecordType],"EndMatch",Dyno_Data[Defense],"&lt;&gt;9")</f>
        <v>0</v>
      </c>
      <c r="CJ218">
        <f>SUMIFS(Dyno_Data[Avoidance], Dyno_Data[Team],TBA_Matches_All[[#This Row],[Team]],Dyno_Data[Match],TBA_Matches_All[[#This Row],[Match_Number]],Dyno_Data[RecordType],"EndMatch",Dyno_Data[Avoidance],"&lt;&gt;9")</f>
        <v>0</v>
      </c>
      <c r="CK218" s="82">
        <f>COUNTIF($H$2:TBA_Matches_All[[#This Row],[Team]],TBA_Matches_All[[#This Row],[Team]])</f>
        <v>5</v>
      </c>
      <c r="CL218" s="111">
        <f>SUM(MID(TBA_Matches_All[[#This Row],[Team]],4,5)+TBA_Matches_All[[#This Row],[Match_Number]]/100)</f>
        <v>2234.36</v>
      </c>
      <c r="CM218">
        <f>SUM((TBA_Matches_All[[#This Row],[Leave]]*2)+(TBA_Matches_All[[#This Row],[AampT]]*2)+(TBA_Matches_All[[#This Row],[AspkrT]]*5)+(TBA_Matches_All[[#This Row],[AtrapT]]*5))</f>
        <v>0</v>
      </c>
      <c r="CN218" s="59">
        <f>IFERROR(SUM(TBA_Matches_All[[#This Row],[AptsT]]/TBA_Matches_All[[#This Row],[AutoPts]]),0)</f>
        <v>0</v>
      </c>
      <c r="CO218" s="59">
        <f>IFERROR(SUM(TBA_Matches_All[[#This Row],[AampT]]+TBA_Matches_All[[#This Row],[AspkrT]]+TBA_Matches_All[[#This Row],[AtrapT]]/TBA_Matches_All[[#This Row],[Aamp]]+TBA_Matches_All[[#This Row],[Aspkr]]+TBA_Matches_All[[#This Row],[AtrapT]]),0)</f>
        <v>0</v>
      </c>
      <c r="CP218" s="59">
        <f>IFERROR(SUM(TBA_Matches_All[[#This Row],[TampT]]/TBA_Matches_All[[#This Row],[Tamp]]),0)</f>
        <v>1</v>
      </c>
      <c r="CQ218" s="59">
        <f>IFERROR(SUM(TBA_Matches_All[[#This Row],[TspkrT]]/TBA_Matches_All[[#This Row],[Tspkr]]),0)</f>
        <v>0</v>
      </c>
      <c r="CR218">
        <f>SUM(TBA_Matches_All[[#This Row],[TspkrPts]]*TBA_Matches_All[[#This Row],[TspkrP]])</f>
        <v>0</v>
      </c>
      <c r="CS218" s="59">
        <f>IFERROR(SUM(TBA_Matches_All[[#This Row],[TtrapT]]/TBA_Matches_All[[#This Row],[Trap]]),0)</f>
        <v>0</v>
      </c>
      <c r="CT218" s="59">
        <f>IFERROR(SUM(TBA_Matches_All[[#This Row],[TotNotesT]]/TBA_Matches_All[[#This Row],[TotNotes]]),0)</f>
        <v>0.27272727272727271</v>
      </c>
      <c r="CU218" s="66">
        <f>SUM((TBA_Matches_All[[#This Row],[AampT]]*2)+(TBA_Matches_All[[#This Row],[AspkrT]]*5)+(TBA_Matches_All[[#This Row],[AtrapT]]*5)+(TBA_Matches_All[[#This Row],[TampT]]*1)+(TBA_Matches_All[[#This Row],[TspkrptsC]]))</f>
        <v>3</v>
      </c>
      <c r="CV218" s="59">
        <f>IFERROR(TBA_Matches_All[[#This Row],[noteptsT]]/TBA_Matches_All[[#This Row],[NotePts]],0)</f>
        <v>0.10714285714285714</v>
      </c>
      <c r="CW218">
        <f>SUM(IF(TBA_Matches_All[[#This Row],[stageStat]]="On",3,0),IF(TBA_Matches_All[[#This Row],[stageStat]]="Park",1,0),SUMIFS(TBA_Matches_All[[#This Row],[Spotlit]],TBA_Matches_All[[#This Row],[stageStat]],"On"),SUMIFS(TBA_Matches_All[[#This Row],[Harmony]],TBA_Matches_All[[#This Row],[stageStat]],"On"))</f>
        <v>3</v>
      </c>
      <c r="CX218" s="59">
        <f>IFERROR(TBA_Matches_All[[#This Row],[stageptsT]]/TBA_Matches_All[[#This Row],[StagePts]],0)</f>
        <v>0.375</v>
      </c>
      <c r="CY218">
        <f>SUM((TBA_Matches_All[[#This Row],[AptsT]]+TBA_Matches_All[[#This Row],[TampT]]+TBA_Matches_All[[#This Row],[TspkrptsC]]+(TBA_Matches_All[[#This Row],[TtrapT]]*5)+TBA_Matches_All[[#This Row],[stageptsT]]))</f>
        <v>6</v>
      </c>
      <c r="CZ218" s="59">
        <f>IFERROR(SUM(TBA_Matches_All[[#This Row],[TotptsC]]/TBA_Matches_All[[#This Row],[Score]]),0)</f>
        <v>0.15</v>
      </c>
      <c r="DA21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0.8</v>
      </c>
      <c r="DB218" s="74">
        <f>SUMIFS(TBA_Matches_All[AveTeamTNoteDels],TBA_Matches_All[Match_Number],TBA_Matches_All[[#This Row],[Match_Number]],TBA_Matches_All[Alliance],"&lt;&gt;"&amp;TBA_Matches_All[[#This Row],[Alliance]],TBA_Matches_All[Scouted],"&gt;0")</f>
        <v>26.665178571428573</v>
      </c>
      <c r="DC218" s="74">
        <f>(TBA_Matches_All[[#This Row],[TampT]]+TBA_Matches_All[[#This Row],[TspkrptsC]])-TBA_Matches_All[[#This Row],[AveTeamTNoteDels]]</f>
        <v>2.2000000000000002</v>
      </c>
      <c r="DD218" s="74">
        <f>SUMIFS(TBA_Matches_All[AveTeamTNoteDels],TBA_Matches_All[Match_Number],TBA_Matches_All[[#This Row],[Match_Number]],TBA_Matches_All[Alliance],"&lt;&gt;"&amp;TBA_Matches_All[[#This Row],[Alliance]])-TBA_Matches_All[[#This Row],[AveOppTNoteDels]]</f>
        <v>0</v>
      </c>
    </row>
    <row r="219" spans="1:108" x14ac:dyDescent="0.3">
      <c r="A219" t="s">
        <v>1042</v>
      </c>
      <c r="B219" t="s">
        <v>489</v>
      </c>
      <c r="C219" t="s">
        <v>1346</v>
      </c>
      <c r="D219">
        <v>37</v>
      </c>
      <c r="E219" t="s">
        <v>1420</v>
      </c>
      <c r="F219" t="s">
        <v>1425</v>
      </c>
      <c r="G219" t="s">
        <v>105</v>
      </c>
      <c r="H219" t="s">
        <v>371</v>
      </c>
      <c r="I219" t="b">
        <v>0</v>
      </c>
      <c r="J219">
        <v>47</v>
      </c>
      <c r="K219">
        <v>0</v>
      </c>
      <c r="L219">
        <v>1</v>
      </c>
      <c r="M219">
        <v>0</v>
      </c>
      <c r="N219">
        <v>0</v>
      </c>
      <c r="O219">
        <v>2</v>
      </c>
      <c r="P219">
        <v>10</v>
      </c>
      <c r="Q219">
        <v>12</v>
      </c>
      <c r="R219">
        <v>0</v>
      </c>
      <c r="S219">
        <v>0</v>
      </c>
      <c r="T219">
        <v>11</v>
      </c>
      <c r="U219">
        <v>0</v>
      </c>
      <c r="V219">
        <v>22</v>
      </c>
      <c r="W219">
        <v>11</v>
      </c>
      <c r="X219">
        <v>22</v>
      </c>
      <c r="Y219">
        <v>22</v>
      </c>
      <c r="Z219">
        <v>0</v>
      </c>
      <c r="AA219">
        <v>0</v>
      </c>
      <c r="AB219">
        <v>13</v>
      </c>
      <c r="AC219">
        <v>32</v>
      </c>
      <c r="AD219">
        <v>3</v>
      </c>
      <c r="AE219">
        <f>IFERROR(6/(COUNTIF(Dyno_EndMatch[Match],TBA_Matches_All[[#This Row],[Match_Number]])),0)</f>
        <v>1</v>
      </c>
      <c r="AF219">
        <f>COUNTIFS(Dyno_Data[Team],TBA_Matches_All[[#This Row],[Team]],Dyno_Data[Match],TBA_Matches_All[[#This Row],[Match_Number]],Dyno_Data[RecordType],"EndMatch",Dyno_Data[HPAmp],"Y")</f>
        <v>0</v>
      </c>
      <c r="AG219">
        <f>SUMIFS(Dyno_Data[Mics], Dyno_Data[Team],TBA_Matches_All[[#This Row],[Team]],Dyno_Data[Match],TBA_Matches_All[[#This Row],[Match_Number]],Dyno_Data[RecordType],"EndMatch",Dyno_Data[HPAmp],"Y")</f>
        <v>0</v>
      </c>
      <c r="AH219">
        <f>SUMIFS(Dyno_Data[Leave], Dyno_Data[Team],TBA_Matches_All[[#This Row],[Team]],Dyno_Data[Match],TBA_Matches_All[[#This Row],[Match_Number]],Dyno_Data[RecordType],"EndAuto")</f>
        <v>0</v>
      </c>
      <c r="AI219">
        <f>COUNTIFS(Dyno_Data[Team],TBA_Matches_All[[#This Row],[Team]],Dyno_Data[Match],TBA_Matches_All[[#This Row],[Match_Number]],Dyno_Data[RecordType],"Activities",Dyno_Data[DelDest],"Amp", Dyno_Data[DelMiss],"0", Dyno_Data[Mode],"Auto")</f>
        <v>0</v>
      </c>
      <c r="AJ219">
        <f>COUNTIFS(Dyno_Data[Team],TBA_Matches_All[[#This Row],[Team]],Dyno_Data[Match],TBA_Matches_All[[#This Row],[Match_Number]],Dyno_Data[RecordType],"Activities",Dyno_Data[DelDest],"Spkr", Dyno_Data[DelMiss],"0", Dyno_Data[Mode],"Auto")</f>
        <v>0</v>
      </c>
      <c r="AK219">
        <f>COUNTIFS(Dyno_Data[Team],TBA_Matches_All[[#This Row],[Team]],Dyno_Data[Match],TBA_Matches_All[[#This Row],[Match_Number]],Dyno_Data[RecordType],"Activities",Dyno_Data[DelDest],"Trap", Dyno_Data[DelMiss],"0", Dyno_Data[Mode],"Auto")</f>
        <v>0</v>
      </c>
      <c r="AL219">
        <f>COUNTIFS(Dyno_Data[Team],TBA_Matches_All[[#This Row],[Team]],Dyno_Data[Match],TBA_Matches_All[[#This Row],[Match_Number]],Dyno_Data[RecordType],"Activities",Dyno_Data[DelDest],"Amp", Dyno_Data[DelMiss],"0", Dyno_Data[Mode],"Teleop")</f>
        <v>0</v>
      </c>
      <c r="AM219">
        <f>COUNTIFS(Dyno_Data[Team],TBA_Matches_All[[#This Row],[Team]],Dyno_Data[Match],TBA_Matches_All[[#This Row],[Match_Number]],Dyno_Data[RecordType],"Activities",Dyno_Data[DelDest],"Spkr", Dyno_Data[DelMiss],"0", Dyno_Data[Mode],"Teleop")</f>
        <v>0</v>
      </c>
      <c r="AN219">
        <f>COUNTIFS(Dyno_Data[Team],TBA_Matches_All[[#This Row],[Team]],Dyno_Data[Match],TBA_Matches_All[[#This Row],[Match_Number]],Dyno_Data[RecordType],"Activities",Dyno_Data[DelDest],"Trap", Dyno_Data[DelMiss],"0", Dyno_Data[Mode],"&lt;&gt;Auto")</f>
        <v>0</v>
      </c>
      <c r="AO219">
        <f>SUM(TBA_Matches_All[[#This Row],[AampT]]+TBA_Matches_All[[#This Row],[AspkrT]]+TBA_Matches_All[[#This Row],[AtrapT]]+TBA_Matches_All[[#This Row],[TampT]]+TBA_Matches_All[[#This Row],[TspkrT]]+TBA_Matches_All[[#This Row],[TtrapT]])</f>
        <v>0</v>
      </c>
      <c r="AP219">
        <f>COUNTIFS(Dyno_Data[Team],TBA_Matches_All[[#This Row],[Team]],Dyno_Data[Match],TBA_Matches_All[[#This Row],[Match_Number]],Dyno_Data[RecordType],"Activities",Dyno_Data[DelDest],"Neut", Dyno_Data[DelMiss],"0")</f>
        <v>0</v>
      </c>
      <c r="AQ219">
        <f>COUNTIFS(Dyno_Data[Team],TBA_Matches_All[[#This Row],[Team]],Dyno_Data[Match],TBA_Matches_All[[#This Row],[Match_Number]],Dyno_Data[RecordType],"Activities",Dyno_Data[DelDest],"AllyW", Dyno_Data[DelMiss],"0")</f>
        <v>0</v>
      </c>
      <c r="AR219" t="str">
        <f>_xlfn.XLOOKUP(SUM(MID(TBA_Matches_All[[#This Row],[Team]],4,5),(TBA_Matches_All[[#This Row],[Match_Number]]/100)),Dyno_EndMatch[teammat],Dyno_EndMatch[RobotSta],"_",0,1)</f>
        <v>OppS</v>
      </c>
      <c r="AS219">
        <f>SUMIFS(Dyno_Data[AcqDis], Dyno_Data[Team],TBA_Matches_All[[#This Row],[Team]],Dyno_Data[Match],TBA_Matches_All[[#This Row],[Match_Number]],Dyno_Data[RecordType],"Activities", Dyno_Data[AcqCenter],1,Dyno_Data[Mode],"Auto")</f>
        <v>0</v>
      </c>
      <c r="AT219">
        <f>SUMIFS(Dyno_Data[AcqDis], Dyno_Data[Team],TBA_Matches_All[[#This Row],[Team]],Dyno_Data[Match],TBA_Matches_All[[#This Row],[Match_Number]],Dyno_Data[RecordType],"Activities", Dyno_Data[AcqCenter],2,Dyno_Data[Mode],"Auto")</f>
        <v>0</v>
      </c>
      <c r="AU219">
        <f>SUMIFS(Dyno_Data[AcqDis], Dyno_Data[Team],TBA_Matches_All[[#This Row],[Team]],Dyno_Data[Match],TBA_Matches_All[[#This Row],[Match_Number]],Dyno_Data[RecordType],"Activities", Dyno_Data[AcqCenter],3,Dyno_Data[Mode],"Auto")</f>
        <v>0</v>
      </c>
      <c r="AV219">
        <f>SUMIFS(Dyno_Data[AcqDis], Dyno_Data[Team],TBA_Matches_All[[#This Row],[Team]],Dyno_Data[Match],TBA_Matches_All[[#This Row],[Match_Number]],Dyno_Data[RecordType],"Activities", Dyno_Data[AcqCenter],4,Dyno_Data[Mode],"Auto")</f>
        <v>0</v>
      </c>
      <c r="AW219">
        <f>SUMIFS(Dyno_Data[AcqDis], Dyno_Data[Team],TBA_Matches_All[[#This Row],[Team]],Dyno_Data[Match],TBA_Matches_All[[#This Row],[Match_Number]],Dyno_Data[RecordType],"Activities", Dyno_Data[AcqCenter],5,Dyno_Data[Mode],"Auto")</f>
        <v>0</v>
      </c>
      <c r="AX219">
        <f>SUMIFS(Dyno_Data[DelMiss], Dyno_Data[Team],TBA_Matches_All[[#This Row],[Team]],Dyno_Data[Match],TBA_Matches_All[[#This Row],[Match_Number]],Dyno_Data[RecordType],"Activities", Dyno_Data[DelDest],"Amp")</f>
        <v>0</v>
      </c>
      <c r="AY219" s="60">
        <f>IFERROR(SUM((TBA_Matches_All[[#This Row],[AampT]]+TBA_Matches_All[[#This Row],[TampT]])/(TBA_Matches_All[[#This Row],[AampT]]+TBA_Matches_All[[#This Row],[TampT]]+TBA_Matches_All[[#This Row],[ampM]])),0)</f>
        <v>0</v>
      </c>
      <c r="AZ219">
        <f>SUMIFS(Dyno_Data[DelMiss], Dyno_Data[Team],TBA_Matches_All[[#This Row],[Team]],Dyno_Data[Match],TBA_Matches_All[[#This Row],[Match_Number]],Dyno_Data[RecordType],"Activities", Dyno_Data[DelDest],"Spkr")</f>
        <v>1</v>
      </c>
      <c r="BA219" s="60">
        <f>IFERROR(SUM((TBA_Matches_All[[#This Row],[AspkrT]]+TBA_Matches_All[[#This Row],[TspkrT]])/(TBA_Matches_All[[#This Row],[AspkrT]]+TBA_Matches_All[[#This Row],[TspkrT]]+TBA_Matches_All[[#This Row],[spkrM]])),0)</f>
        <v>0</v>
      </c>
      <c r="BB219">
        <f>SUMIFS(Dyno_Data[DelMiss], Dyno_Data[Team],TBA_Matches_All[[#This Row],[Team]],Dyno_Data[Match],TBA_Matches_All[[#This Row],[Match_Number]],Dyno_Data[RecordType],"Activities", Dyno_Data[DelDest],"Trap")</f>
        <v>0</v>
      </c>
      <c r="BC219" s="60">
        <f>IFERROR((TBA_Matches_All[[#This Row],[AtrapT]]+TBA_Matches_All[[#This Row],[TtrapT]])/(TBA_Matches_All[[#This Row],[AtrapT]]+TBA_Matches_All[[#This Row],[TtrapT]]+TBA_Matches_All[[#This Row],[trapM]]),0)</f>
        <v>0</v>
      </c>
      <c r="BD219">
        <f>COUNTIFS(Dyno_Data[Team],TBA_Matches_All[[#This Row],[Team]],Dyno_Data[Match],TBA_Matches_All[[#This Row],[Match_Number]],Dyno_Data[RecordType],"Activities",Dyno_Data[DelDest],"Neut", Dyno_Data[DelMiss],1)</f>
        <v>0</v>
      </c>
      <c r="BE219" s="60">
        <f>IFERROR(SUM((TBA_Matches_All[[#This Row],[NeutFlrT]])/(TBA_Matches_All[[#This Row],[NeutFlrT]]+TBA_Matches_All[[#This Row],[NZflM]])),0)</f>
        <v>0</v>
      </c>
      <c r="BF219">
        <f>COUNTIFS(Dyno_Data[Team],TBA_Matches_All[[#This Row],[Team]],Dyno_Data[Match],TBA_Matches_All[[#This Row],[Match_Number]],Dyno_Data[RecordType],"Activities",Dyno_Data[DelDest],"AllyW", Dyno_Data[DelMiss],1)</f>
        <v>0</v>
      </c>
      <c r="BG219" s="60">
        <f>IFERROR(SUM((TBA_Matches_All[[#This Row],[AllyWFlrT]])/(TBA_Matches_All[[#This Row],[AllyWFlrT]]+TBA_Matches_All[[#This Row],[AZflM]])),0)</f>
        <v>0</v>
      </c>
      <c r="BH219">
        <f>COUNTIFS(Dyno_Data[Team],TBA_Matches_All[[#This Row],[Team]],Dyno_Data[Match],TBA_Matches_All[[#This Row],[Match_Number]],Dyno_Data[RecordType],"Activities",Dyno_Data[DelOrig],"OppW", Dyno_Data[DelMiss],"0")</f>
        <v>0</v>
      </c>
      <c r="BI219">
        <f>COUNTIFS(Dyno_Data[Team],TBA_Matches_All[[#This Row],[Team]],Dyno_Data[Match],TBA_Matches_All[[#This Row],[Match_Number]],Dyno_Data[RecordType],"Activities",Dyno_Data[DelOrig],"OppW", Dyno_Data[DelMiss],"1")</f>
        <v>0</v>
      </c>
      <c r="BJ219" s="60">
        <f>IFERROR(SUM((TBA_Matches_All[[#This Row],[OZflrT]])/(TBA_Matches_All[[#This Row],[OZflrT]]+TBA_Matches_All[[#This Row],[OZflrM]])),0)</f>
        <v>0</v>
      </c>
      <c r="BK219">
        <f>COUNTIFS(Dyno_Data[Team],TBA_Matches_All[[#This Row],[Team]],Dyno_Data[Match],TBA_Matches_All[[#This Row],[Match_Number]],Dyno_Data[RecordType],"Activities",Dyno_Data[DelOrig],"Neut", Dyno_Data[DelMiss],"0")</f>
        <v>0</v>
      </c>
      <c r="BL219">
        <f>COUNTIFS(Dyno_Data[Team],TBA_Matches_All[[#This Row],[Team]],Dyno_Data[Match],TBA_Matches_All[[#This Row],[Match_Number]],Dyno_Data[RecordType],"Activities",Dyno_Data[DelOrig],"Neut", Dyno_Data[DelMiss],"1")</f>
        <v>0</v>
      </c>
      <c r="BM219" s="60">
        <f>IFERROR(SUM((TBA_Matches_All[[#This Row],[NZflrT]])/(TBA_Matches_All[[#This Row],[NZflrT]]+TBA_Matches_All[[#This Row],[NZflrM]])),0)</f>
        <v>0</v>
      </c>
      <c r="BN219">
        <f>COUNTIFS(Dyno_Data[Team],TBA_Matches_All[[#This Row],[Team]],Dyno_Data[Match],TBA_Matches_All[[#This Row],[Match_Number]],Dyno_Data[RecordType],"Activities",Dyno_Data[DelOrig],"AllyW", Dyno_Data[DelMiss],"0")</f>
        <v>0</v>
      </c>
      <c r="BO219">
        <f>COUNTIFS(Dyno_Data[Team],TBA_Matches_All[[#This Row],[Team]],Dyno_Data[Match],TBA_Matches_All[[#This Row],[Match_Number]],Dyno_Data[RecordType],"Activities",Dyno_Data[DelOrig],"AllyW", Dyno_Data[DelMiss],"1")</f>
        <v>1</v>
      </c>
      <c r="BP219" s="60">
        <f>IFERROR(SUM((TBA_Matches_All[[#This Row],[AZflrT]])/(TBA_Matches_All[[#This Row],[AZflrT]]+TBA_Matches_All[[#This Row],[AZflrM]])),0)</f>
        <v>0</v>
      </c>
      <c r="BQ219">
        <f>COUNTIFS(Dyno_Data[Team],TBA_Matches_All[[#This Row],[Team]],Dyno_Data[Match],TBA_Matches_All[[#This Row],[Match_Number]],Dyno_Data[RecordType],"Activities",Dyno_Data[DelOrig],"SubW", Dyno_Data[DelMiss],"0")</f>
        <v>0</v>
      </c>
      <c r="BR219">
        <f>COUNTIFS(Dyno_Data[Team],TBA_Matches_All[[#This Row],[Team]],Dyno_Data[Match],TBA_Matches_All[[#This Row],[Match_Number]],Dyno_Data[RecordType],"Activities",Dyno_Data[DelOrig],"SubW", Dyno_Data[DelMiss],"1")</f>
        <v>0</v>
      </c>
      <c r="BS219" s="60">
        <f>IFERROR(SUM((TBA_Matches_All[[#This Row],[SubwT]])/(TBA_Matches_All[[#This Row],[SubwT]]+TBA_Matches_All[[#This Row],[SubwM]])),0)</f>
        <v>0</v>
      </c>
      <c r="BT219">
        <f>COUNTIFS(Dyno_Data[Team],TBA_Matches_All[[#This Row],[Team]],Dyno_Data[Match],TBA_Matches_All[[#This Row],[Match_Number]],Dyno_Data[RecordType],"Activities", Dyno_Data[AcqLoc],"OppWing")</f>
        <v>0</v>
      </c>
      <c r="BU219">
        <f>COUNTIFS(Dyno_Data[Team],TBA_Matches_All[[#This Row],[Team]],Dyno_Data[Match],TBA_Matches_All[[#This Row],[Match_Number]],Dyno_Data[RecordType],"Activities", Dyno_Data[AcqLoc],"Neutral")</f>
        <v>0</v>
      </c>
      <c r="BV219">
        <f>COUNTIFS(Dyno_Data[Team],TBA_Matches_All[[#This Row],[Team]],Dyno_Data[Match],TBA_Matches_All[[#This Row],[Match_Number]],Dyno_Data[RecordType],"Activities", Dyno_Data[AcqLoc],"AllyWing")</f>
        <v>0</v>
      </c>
      <c r="BW219">
        <f>COUNTIFS(Dyno_Data[Team],TBA_Matches_All[[#This Row],[Team]],Dyno_Data[Match],TBA_Matches_All[[#This Row],[Match_Number]],Dyno_Data[RecordType],"Activities", Dyno_Data[AcqLoc],"Source")</f>
        <v>0</v>
      </c>
      <c r="BX219">
        <f>SUMIFS(Dyno_Data[AcqDrp], Dyno_Data[Team],TBA_Matches_All[[#This Row],[Team]],Dyno_Data[Match],TBA_Matches_All[[#This Row],[Match_Number]],Dyno_Data[RecordType],"Activities", Dyno_Data[AcqLoc],"Source")</f>
        <v>0</v>
      </c>
      <c r="BY219">
        <f>SUMIFS(Dyno_Data[OZTime], Dyno_Data[Team],TBA_Matches_All[[#This Row],[Team]],Dyno_Data[Match],TBA_Matches_All[[#This Row],[Match_Number]],Dyno_Data[RecordType],"EndMatch")</f>
        <v>3.1785407999999999</v>
      </c>
      <c r="BZ219">
        <f>SUMIFS(Dyno_Data[NZTime], Dyno_Data[Team],TBA_Matches_All[[#This Row],[Team]],Dyno_Data[Match],TBA_Matches_All[[#This Row],[Match_Number]],Dyno_Data[RecordType],"EndMatch")</f>
        <v>102.08429149999999</v>
      </c>
      <c r="CA219">
        <f>SUMIFS(Dyno_Data[AZTime], Dyno_Data[Team],TBA_Matches_All[[#This Row],[Team]],Dyno_Data[Match],TBA_Matches_All[[#This Row],[Match_Number]],Dyno_Data[RecordType],"EndMatch")</f>
        <v>29.886730399999998</v>
      </c>
      <c r="CB219">
        <f>SUMIFS(Dyno_Data[ClimbT], Dyno_Data[Team],TBA_Matches_All[[#This Row],[Team]],Dyno_Data[Match],TBA_Matches_All[[#This Row],[Match_Number]],Dyno_Data[RecordType],"EndMatch")</f>
        <v>0</v>
      </c>
      <c r="CC219" t="str">
        <f>_xlfn.XLOOKUP(SUM(MID(TBA_Matches_All[[#This Row],[Team]],4,5),(TBA_Matches_All[[#This Row],[Match_Number]]/100)),Dyno_EndMatch[teammat],Dyno_EndMatch[StageStat],"_",0,1)</f>
        <v>Park</v>
      </c>
      <c r="CD219" t="str">
        <f>_xlfn.XLOOKUP(TBA_Matches_All[[#This Row],[teammat]],Dyno_EndMatch[teammat],Dyno_EndMatch[StageAtt],"_",0,1)</f>
        <v>0</v>
      </c>
      <c r="CE219" t="str">
        <f>_xlfn.XLOOKUP(TBA_Matches_All[[#This Row],[teammat]],Dyno_EndMatch[teammat],Dyno_EndMatch[StageLoc],"_",0,1)</f>
        <v>A</v>
      </c>
      <c r="CF219">
        <f>SUMIFS(Dyno_Data[Harmony], Dyno_Data[Team],TBA_Matches_All[[#This Row],[Team]],Dyno_Data[Match],TBA_Matches_All[[#This Row],[Match_Number]],Dyno_Data[RecordType],"EndMatch", Dyno_Data[StageStat],"On",Dyno_Data[Harmony],"&lt;&gt;9")</f>
        <v>0</v>
      </c>
      <c r="CG219">
        <f>SUMIFS(Dyno_Data[Spotlit], Dyno_Data[Team],TBA_Matches_All[[#This Row],[Team]],Dyno_Data[Match],TBA_Matches_All[[#This Row],[Match_Number]],Dyno_Data[RecordType],"EndMatch", Dyno_Data[StageStat],"On",Dyno_Data[Spotlit],"&lt;&gt;9")</f>
        <v>0</v>
      </c>
      <c r="CH219" t="str">
        <f>_xlfn.XLOOKUP(TBA_Matches_All[[#This Row],[teammat]],Dyno_EndMatch[teammat],Dyno_EndMatch[Strategy],"_",0,1)</f>
        <v>Defense</v>
      </c>
      <c r="CI219">
        <f>SUMIFS(Dyno_Data[Defense], Dyno_Data[Team],TBA_Matches_All[[#This Row],[Team]],Dyno_Data[Match],TBA_Matches_All[[#This Row],[Match_Number]],Dyno_Data[RecordType],"EndMatch",Dyno_Data[Defense],"&lt;&gt;9")</f>
        <v>1</v>
      </c>
      <c r="CJ219">
        <f>SUMIFS(Dyno_Data[Avoidance], Dyno_Data[Team],TBA_Matches_All[[#This Row],[Team]],Dyno_Data[Match],TBA_Matches_All[[#This Row],[Match_Number]],Dyno_Data[RecordType],"EndMatch",Dyno_Data[Avoidance],"&lt;&gt;9")</f>
        <v>0</v>
      </c>
      <c r="CK219" s="82">
        <f>COUNTIF($H$2:TBA_Matches_All[[#This Row],[Team]],TBA_Matches_All[[#This Row],[Team]])</f>
        <v>5</v>
      </c>
      <c r="CL219" s="111">
        <f>SUM(MID(TBA_Matches_All[[#This Row],[Team]],4,5)+TBA_Matches_All[[#This Row],[Match_Number]]/100)</f>
        <v>6969.37</v>
      </c>
      <c r="CM219">
        <f>SUM((TBA_Matches_All[[#This Row],[Leave]]*2)+(TBA_Matches_All[[#This Row],[AampT]]*2)+(TBA_Matches_All[[#This Row],[AspkrT]]*5)+(TBA_Matches_All[[#This Row],[AtrapT]]*5))</f>
        <v>0</v>
      </c>
      <c r="CN219" s="59">
        <f>IFERROR(SUM(TBA_Matches_All[[#This Row],[AptsT]]/TBA_Matches_All[[#This Row],[AutoPts]]),0)</f>
        <v>0</v>
      </c>
      <c r="CO219" s="59">
        <f>IFERROR(SUM(TBA_Matches_All[[#This Row],[AampT]]+TBA_Matches_All[[#This Row],[AspkrT]]+TBA_Matches_All[[#This Row],[AtrapT]]/TBA_Matches_All[[#This Row],[Aamp]]+TBA_Matches_All[[#This Row],[Aspkr]]+TBA_Matches_All[[#This Row],[AtrapT]]),0)</f>
        <v>0</v>
      </c>
      <c r="CP219" s="59">
        <f>IFERROR(SUM(TBA_Matches_All[[#This Row],[TampT]]/TBA_Matches_All[[#This Row],[Tamp]]),0)</f>
        <v>0</v>
      </c>
      <c r="CQ219" s="59">
        <f>IFERROR(SUM(TBA_Matches_All[[#This Row],[TspkrT]]/TBA_Matches_All[[#This Row],[Tspkr]]),0)</f>
        <v>0</v>
      </c>
      <c r="CR219">
        <f>SUM(TBA_Matches_All[[#This Row],[TspkrPts]]*TBA_Matches_All[[#This Row],[TspkrP]])</f>
        <v>0</v>
      </c>
      <c r="CS219" s="59">
        <f>IFERROR(SUM(TBA_Matches_All[[#This Row],[TtrapT]]/TBA_Matches_All[[#This Row],[Trap]]),0)</f>
        <v>0</v>
      </c>
      <c r="CT219" s="59">
        <f>IFERROR(SUM(TBA_Matches_All[[#This Row],[TotNotesT]]/TBA_Matches_All[[#This Row],[TotNotes]]),0)</f>
        <v>0</v>
      </c>
      <c r="CU219" s="66">
        <f>SUM((TBA_Matches_All[[#This Row],[AampT]]*2)+(TBA_Matches_All[[#This Row],[AspkrT]]*5)+(TBA_Matches_All[[#This Row],[AtrapT]]*5)+(TBA_Matches_All[[#This Row],[TampT]]*1)+(TBA_Matches_All[[#This Row],[TspkrptsC]]))</f>
        <v>0</v>
      </c>
      <c r="CV219" s="59">
        <f>IFERROR(TBA_Matches_All[[#This Row],[noteptsT]]/TBA_Matches_All[[#This Row],[NotePts]],0)</f>
        <v>0</v>
      </c>
      <c r="CW219">
        <f>SUM(IF(TBA_Matches_All[[#This Row],[stageStat]]="On",3,0),IF(TBA_Matches_All[[#This Row],[stageStat]]="Park",1,0),SUMIFS(TBA_Matches_All[[#This Row],[Spotlit]],TBA_Matches_All[[#This Row],[stageStat]],"On"),SUMIFS(TBA_Matches_All[[#This Row],[Harmony]],TBA_Matches_All[[#This Row],[stageStat]],"On"))</f>
        <v>1</v>
      </c>
      <c r="CX219" s="59">
        <f>IFERROR(TBA_Matches_All[[#This Row],[stageptsT]]/TBA_Matches_All[[#This Row],[StagePts]],0)</f>
        <v>0.33333333333333331</v>
      </c>
      <c r="CY219">
        <f>SUM((TBA_Matches_All[[#This Row],[AptsT]]+TBA_Matches_All[[#This Row],[TampT]]+TBA_Matches_All[[#This Row],[TspkrptsC]]+(TBA_Matches_All[[#This Row],[TtrapT]]*5)+TBA_Matches_All[[#This Row],[stageptsT]]))</f>
        <v>1</v>
      </c>
      <c r="CZ219" s="59">
        <f>IFERROR(SUM(TBA_Matches_All[[#This Row],[TotptsC]]/TBA_Matches_All[[#This Row],[Score]]),0)</f>
        <v>2.1276595744680851E-2</v>
      </c>
      <c r="DA21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219" s="74">
        <f>SUMIFS(TBA_Matches_All[AveTeamTNoteDels],TBA_Matches_All[Match_Number],TBA_Matches_All[[#This Row],[Match_Number]],TBA_Matches_All[Alliance],"&lt;&gt;"&amp;TBA_Matches_All[[#This Row],[Alliance]],TBA_Matches_All[Scouted],"&gt;0")</f>
        <v>44.39337121212121</v>
      </c>
      <c r="DC219" s="74">
        <f>(TBA_Matches_All[[#This Row],[TampT]]+TBA_Matches_All[[#This Row],[TspkrptsC]])-TBA_Matches_All[[#This Row],[AveTeamTNoteDels]]</f>
        <v>-1</v>
      </c>
      <c r="DD219" s="74">
        <f>SUMIFS(TBA_Matches_All[AveTeamTNoteDels],TBA_Matches_All[Match_Number],TBA_Matches_All[[#This Row],[Match_Number]],TBA_Matches_All[Alliance],"&lt;&gt;"&amp;TBA_Matches_All[[#This Row],[Alliance]])-TBA_Matches_All[[#This Row],[AveOppTNoteDels]]</f>
        <v>0</v>
      </c>
    </row>
    <row r="220" spans="1:108" x14ac:dyDescent="0.3">
      <c r="A220" t="s">
        <v>1042</v>
      </c>
      <c r="B220" t="s">
        <v>489</v>
      </c>
      <c r="C220" t="s">
        <v>1346</v>
      </c>
      <c r="D220">
        <v>37</v>
      </c>
      <c r="E220" t="s">
        <v>1406</v>
      </c>
      <c r="F220" t="s">
        <v>1426</v>
      </c>
      <c r="G220" t="s">
        <v>164</v>
      </c>
      <c r="H220" t="s">
        <v>1286</v>
      </c>
      <c r="I220" t="b">
        <v>1</v>
      </c>
      <c r="J220">
        <v>86</v>
      </c>
      <c r="K220">
        <v>1</v>
      </c>
      <c r="L220">
        <v>1</v>
      </c>
      <c r="M220">
        <v>10</v>
      </c>
      <c r="N220">
        <v>0</v>
      </c>
      <c r="O220">
        <v>6</v>
      </c>
      <c r="P220">
        <v>30</v>
      </c>
      <c r="Q220">
        <v>34</v>
      </c>
      <c r="R220">
        <v>1</v>
      </c>
      <c r="S220">
        <v>0</v>
      </c>
      <c r="T220">
        <v>20</v>
      </c>
      <c r="U220">
        <v>0</v>
      </c>
      <c r="V220">
        <v>40</v>
      </c>
      <c r="W220">
        <v>20</v>
      </c>
      <c r="X220">
        <v>40</v>
      </c>
      <c r="Y220">
        <v>41</v>
      </c>
      <c r="Z220">
        <v>0</v>
      </c>
      <c r="AA220">
        <v>0</v>
      </c>
      <c r="AB220">
        <v>27</v>
      </c>
      <c r="AC220">
        <v>71</v>
      </c>
      <c r="AD220">
        <v>11</v>
      </c>
      <c r="AE220">
        <f>IFERROR(6/(COUNTIF(Dyno_EndMatch[Match],TBA_Matches_All[[#This Row],[Match_Number]])),0)</f>
        <v>1</v>
      </c>
      <c r="AF220">
        <f>COUNTIFS(Dyno_Data[Team],TBA_Matches_All[[#This Row],[Team]],Dyno_Data[Match],TBA_Matches_All[[#This Row],[Match_Number]],Dyno_Data[RecordType],"EndMatch",Dyno_Data[HPAmp],"Y")</f>
        <v>0</v>
      </c>
      <c r="AG220">
        <f>SUMIFS(Dyno_Data[Mics], Dyno_Data[Team],TBA_Matches_All[[#This Row],[Team]],Dyno_Data[Match],TBA_Matches_All[[#This Row],[Match_Number]],Dyno_Data[RecordType],"EndMatch",Dyno_Data[HPAmp],"Y")</f>
        <v>0</v>
      </c>
      <c r="AH220">
        <f>SUMIFS(Dyno_Data[Leave], Dyno_Data[Team],TBA_Matches_All[[#This Row],[Team]],Dyno_Data[Match],TBA_Matches_All[[#This Row],[Match_Number]],Dyno_Data[RecordType],"EndAuto")</f>
        <v>1</v>
      </c>
      <c r="AI220">
        <f>COUNTIFS(Dyno_Data[Team],TBA_Matches_All[[#This Row],[Team]],Dyno_Data[Match],TBA_Matches_All[[#This Row],[Match_Number]],Dyno_Data[RecordType],"Activities",Dyno_Data[DelDest],"Amp", Dyno_Data[DelMiss],"0", Dyno_Data[Mode],"Auto")</f>
        <v>0</v>
      </c>
      <c r="AJ220">
        <f>COUNTIFS(Dyno_Data[Team],TBA_Matches_All[[#This Row],[Team]],Dyno_Data[Match],TBA_Matches_All[[#This Row],[Match_Number]],Dyno_Data[RecordType],"Activities",Dyno_Data[DelDest],"Spkr", Dyno_Data[DelMiss],"0", Dyno_Data[Mode],"Auto")</f>
        <v>2</v>
      </c>
      <c r="AK220">
        <f>COUNTIFS(Dyno_Data[Team],TBA_Matches_All[[#This Row],[Team]],Dyno_Data[Match],TBA_Matches_All[[#This Row],[Match_Number]],Dyno_Data[RecordType],"Activities",Dyno_Data[DelDest],"Trap", Dyno_Data[DelMiss],"0", Dyno_Data[Mode],"Auto")</f>
        <v>0</v>
      </c>
      <c r="AL220">
        <f>COUNTIFS(Dyno_Data[Team],TBA_Matches_All[[#This Row],[Team]],Dyno_Data[Match],TBA_Matches_All[[#This Row],[Match_Number]],Dyno_Data[RecordType],"Activities",Dyno_Data[DelDest],"Amp", Dyno_Data[DelMiss],"0", Dyno_Data[Mode],"Teleop")</f>
        <v>0</v>
      </c>
      <c r="AM220">
        <f>COUNTIFS(Dyno_Data[Team],TBA_Matches_All[[#This Row],[Team]],Dyno_Data[Match],TBA_Matches_All[[#This Row],[Match_Number]],Dyno_Data[RecordType],"Activities",Dyno_Data[DelDest],"Spkr", Dyno_Data[DelMiss],"0", Dyno_Data[Mode],"Teleop")</f>
        <v>12</v>
      </c>
      <c r="AN220">
        <f>COUNTIFS(Dyno_Data[Team],TBA_Matches_All[[#This Row],[Team]],Dyno_Data[Match],TBA_Matches_All[[#This Row],[Match_Number]],Dyno_Data[RecordType],"Activities",Dyno_Data[DelDest],"Trap", Dyno_Data[DelMiss],"0", Dyno_Data[Mode],"&lt;&gt;Auto")</f>
        <v>0</v>
      </c>
      <c r="AO220">
        <f>SUM(TBA_Matches_All[[#This Row],[AampT]]+TBA_Matches_All[[#This Row],[AspkrT]]+TBA_Matches_All[[#This Row],[AtrapT]]+TBA_Matches_All[[#This Row],[TampT]]+TBA_Matches_All[[#This Row],[TspkrT]]+TBA_Matches_All[[#This Row],[TtrapT]])</f>
        <v>14</v>
      </c>
      <c r="AP220">
        <f>COUNTIFS(Dyno_Data[Team],TBA_Matches_All[[#This Row],[Team]],Dyno_Data[Match],TBA_Matches_All[[#This Row],[Match_Number]],Dyno_Data[RecordType],"Activities",Dyno_Data[DelDest],"Neut", Dyno_Data[DelMiss],"0")</f>
        <v>0</v>
      </c>
      <c r="AQ220">
        <f>COUNTIFS(Dyno_Data[Team],TBA_Matches_All[[#This Row],[Team]],Dyno_Data[Match],TBA_Matches_All[[#This Row],[Match_Number]],Dyno_Data[RecordType],"Activities",Dyno_Data[DelDest],"AllyW", Dyno_Data[DelMiss],"0")</f>
        <v>1</v>
      </c>
      <c r="AR220" t="str">
        <f>_xlfn.XLOOKUP(SUM(MID(TBA_Matches_All[[#This Row],[Team]],4,5),(TBA_Matches_All[[#This Row],[Match_Number]]/100)),Dyno_EndMatch[teammat],Dyno_EndMatch[RobotSta],"_",0,1)</f>
        <v>SubW</v>
      </c>
      <c r="AS220">
        <f>SUMIFS(Dyno_Data[AcqDis], Dyno_Data[Team],TBA_Matches_All[[#This Row],[Team]],Dyno_Data[Match],TBA_Matches_All[[#This Row],[Match_Number]],Dyno_Data[RecordType],"Activities", Dyno_Data[AcqCenter],1,Dyno_Data[Mode],"Auto")</f>
        <v>0</v>
      </c>
      <c r="AT220">
        <f>SUMIFS(Dyno_Data[AcqDis], Dyno_Data[Team],TBA_Matches_All[[#This Row],[Team]],Dyno_Data[Match],TBA_Matches_All[[#This Row],[Match_Number]],Dyno_Data[RecordType],"Activities", Dyno_Data[AcqCenter],2,Dyno_Data[Mode],"Auto")</f>
        <v>0</v>
      </c>
      <c r="AU220">
        <f>SUMIFS(Dyno_Data[AcqDis], Dyno_Data[Team],TBA_Matches_All[[#This Row],[Team]],Dyno_Data[Match],TBA_Matches_All[[#This Row],[Match_Number]],Dyno_Data[RecordType],"Activities", Dyno_Data[AcqCenter],3,Dyno_Data[Mode],"Auto")</f>
        <v>1</v>
      </c>
      <c r="AV220">
        <f>SUMIFS(Dyno_Data[AcqDis], Dyno_Data[Team],TBA_Matches_All[[#This Row],[Team]],Dyno_Data[Match],TBA_Matches_All[[#This Row],[Match_Number]],Dyno_Data[RecordType],"Activities", Dyno_Data[AcqCenter],4,Dyno_Data[Mode],"Auto")</f>
        <v>1</v>
      </c>
      <c r="AW220">
        <f>SUMIFS(Dyno_Data[AcqDis], Dyno_Data[Team],TBA_Matches_All[[#This Row],[Team]],Dyno_Data[Match],TBA_Matches_All[[#This Row],[Match_Number]],Dyno_Data[RecordType],"Activities", Dyno_Data[AcqCenter],5,Dyno_Data[Mode],"Auto")</f>
        <v>1</v>
      </c>
      <c r="AX220">
        <f>SUMIFS(Dyno_Data[DelMiss], Dyno_Data[Team],TBA_Matches_All[[#This Row],[Team]],Dyno_Data[Match],TBA_Matches_All[[#This Row],[Match_Number]],Dyno_Data[RecordType],"Activities", Dyno_Data[DelDest],"Amp")</f>
        <v>0</v>
      </c>
      <c r="AY220" s="60">
        <f>IFERROR(SUM((TBA_Matches_All[[#This Row],[AampT]]+TBA_Matches_All[[#This Row],[TampT]])/(TBA_Matches_All[[#This Row],[AampT]]+TBA_Matches_All[[#This Row],[TampT]]+TBA_Matches_All[[#This Row],[ampM]])),0)</f>
        <v>0</v>
      </c>
      <c r="AZ220">
        <f>SUMIFS(Dyno_Data[DelMiss], Dyno_Data[Team],TBA_Matches_All[[#This Row],[Team]],Dyno_Data[Match],TBA_Matches_All[[#This Row],[Match_Number]],Dyno_Data[RecordType],"Activities", Dyno_Data[DelDest],"Spkr")</f>
        <v>0</v>
      </c>
      <c r="BA220" s="60">
        <f>IFERROR(SUM((TBA_Matches_All[[#This Row],[AspkrT]]+TBA_Matches_All[[#This Row],[TspkrT]])/(TBA_Matches_All[[#This Row],[AspkrT]]+TBA_Matches_All[[#This Row],[TspkrT]]+TBA_Matches_All[[#This Row],[spkrM]])),0)</f>
        <v>1</v>
      </c>
      <c r="BB220">
        <f>SUMIFS(Dyno_Data[DelMiss], Dyno_Data[Team],TBA_Matches_All[[#This Row],[Team]],Dyno_Data[Match],TBA_Matches_All[[#This Row],[Match_Number]],Dyno_Data[RecordType],"Activities", Dyno_Data[DelDest],"Trap")</f>
        <v>0</v>
      </c>
      <c r="BC220" s="60">
        <f>IFERROR((TBA_Matches_All[[#This Row],[AtrapT]]+TBA_Matches_All[[#This Row],[TtrapT]])/(TBA_Matches_All[[#This Row],[AtrapT]]+TBA_Matches_All[[#This Row],[TtrapT]]+TBA_Matches_All[[#This Row],[trapM]]),0)</f>
        <v>0</v>
      </c>
      <c r="BD220">
        <f>COUNTIFS(Dyno_Data[Team],TBA_Matches_All[[#This Row],[Team]],Dyno_Data[Match],TBA_Matches_All[[#This Row],[Match_Number]],Dyno_Data[RecordType],"Activities",Dyno_Data[DelDest],"Neut", Dyno_Data[DelMiss],1)</f>
        <v>0</v>
      </c>
      <c r="BE220" s="60">
        <f>IFERROR(SUM((TBA_Matches_All[[#This Row],[NeutFlrT]])/(TBA_Matches_All[[#This Row],[NeutFlrT]]+TBA_Matches_All[[#This Row],[NZflM]])),0)</f>
        <v>0</v>
      </c>
      <c r="BF220">
        <f>COUNTIFS(Dyno_Data[Team],TBA_Matches_All[[#This Row],[Team]],Dyno_Data[Match],TBA_Matches_All[[#This Row],[Match_Number]],Dyno_Data[RecordType],"Activities",Dyno_Data[DelDest],"AllyW", Dyno_Data[DelMiss],1)</f>
        <v>0</v>
      </c>
      <c r="BG220" s="60">
        <f>IFERROR(SUM((TBA_Matches_All[[#This Row],[AllyWFlrT]])/(TBA_Matches_All[[#This Row],[AllyWFlrT]]+TBA_Matches_All[[#This Row],[AZflM]])),0)</f>
        <v>1</v>
      </c>
      <c r="BH220">
        <f>COUNTIFS(Dyno_Data[Team],TBA_Matches_All[[#This Row],[Team]],Dyno_Data[Match],TBA_Matches_All[[#This Row],[Match_Number]],Dyno_Data[RecordType],"Activities",Dyno_Data[DelOrig],"OppW", Dyno_Data[DelMiss],"0")</f>
        <v>0</v>
      </c>
      <c r="BI220">
        <f>COUNTIFS(Dyno_Data[Team],TBA_Matches_All[[#This Row],[Team]],Dyno_Data[Match],TBA_Matches_All[[#This Row],[Match_Number]],Dyno_Data[RecordType],"Activities",Dyno_Data[DelOrig],"OppW", Dyno_Data[DelMiss],"1")</f>
        <v>0</v>
      </c>
      <c r="BJ220" s="60">
        <f>IFERROR(SUM((TBA_Matches_All[[#This Row],[OZflrT]])/(TBA_Matches_All[[#This Row],[OZflrT]]+TBA_Matches_All[[#This Row],[OZflrM]])),0)</f>
        <v>0</v>
      </c>
      <c r="BK220">
        <f>COUNTIFS(Dyno_Data[Team],TBA_Matches_All[[#This Row],[Team]],Dyno_Data[Match],TBA_Matches_All[[#This Row],[Match_Number]],Dyno_Data[RecordType],"Activities",Dyno_Data[DelOrig],"Neut", Dyno_Data[DelMiss],"0")</f>
        <v>0</v>
      </c>
      <c r="BL220">
        <f>COUNTIFS(Dyno_Data[Team],TBA_Matches_All[[#This Row],[Team]],Dyno_Data[Match],TBA_Matches_All[[#This Row],[Match_Number]],Dyno_Data[RecordType],"Activities",Dyno_Data[DelOrig],"Neut", Dyno_Data[DelMiss],"1")</f>
        <v>0</v>
      </c>
      <c r="BM220" s="60">
        <f>IFERROR(SUM((TBA_Matches_All[[#This Row],[NZflrT]])/(TBA_Matches_All[[#This Row],[NZflrT]]+TBA_Matches_All[[#This Row],[NZflrM]])),0)</f>
        <v>0</v>
      </c>
      <c r="BN220">
        <f>COUNTIFS(Dyno_Data[Team],TBA_Matches_All[[#This Row],[Team]],Dyno_Data[Match],TBA_Matches_All[[#This Row],[Match_Number]],Dyno_Data[RecordType],"Activities",Dyno_Data[DelOrig],"AllyW", Dyno_Data[DelMiss],"0")</f>
        <v>14</v>
      </c>
      <c r="BO220">
        <f>COUNTIFS(Dyno_Data[Team],TBA_Matches_All[[#This Row],[Team]],Dyno_Data[Match],TBA_Matches_All[[#This Row],[Match_Number]],Dyno_Data[RecordType],"Activities",Dyno_Data[DelOrig],"AllyW", Dyno_Data[DelMiss],"1")</f>
        <v>0</v>
      </c>
      <c r="BP220" s="60">
        <f>IFERROR(SUM((TBA_Matches_All[[#This Row],[AZflrT]])/(TBA_Matches_All[[#This Row],[AZflrT]]+TBA_Matches_All[[#This Row],[AZflrM]])),0)</f>
        <v>1</v>
      </c>
      <c r="BQ220">
        <f>COUNTIFS(Dyno_Data[Team],TBA_Matches_All[[#This Row],[Team]],Dyno_Data[Match],TBA_Matches_All[[#This Row],[Match_Number]],Dyno_Data[RecordType],"Activities",Dyno_Data[DelOrig],"SubW", Dyno_Data[DelMiss],"0")</f>
        <v>1</v>
      </c>
      <c r="BR220">
        <f>COUNTIFS(Dyno_Data[Team],TBA_Matches_All[[#This Row],[Team]],Dyno_Data[Match],TBA_Matches_All[[#This Row],[Match_Number]],Dyno_Data[RecordType],"Activities",Dyno_Data[DelOrig],"SubW", Dyno_Data[DelMiss],"1")</f>
        <v>0</v>
      </c>
      <c r="BS220" s="60">
        <f>IFERROR(SUM((TBA_Matches_All[[#This Row],[SubwT]])/(TBA_Matches_All[[#This Row],[SubwT]]+TBA_Matches_All[[#This Row],[SubwM]])),0)</f>
        <v>1</v>
      </c>
      <c r="BT220">
        <f>COUNTIFS(Dyno_Data[Team],TBA_Matches_All[[#This Row],[Team]],Dyno_Data[Match],TBA_Matches_All[[#This Row],[Match_Number]],Dyno_Data[RecordType],"Activities", Dyno_Data[AcqLoc],"OppWing")</f>
        <v>0</v>
      </c>
      <c r="BU220">
        <f>COUNTIFS(Dyno_Data[Team],TBA_Matches_All[[#This Row],[Team]],Dyno_Data[Match],TBA_Matches_All[[#This Row],[Match_Number]],Dyno_Data[RecordType],"Activities", Dyno_Data[AcqLoc],"Neutral")</f>
        <v>5</v>
      </c>
      <c r="BV220">
        <f>COUNTIFS(Dyno_Data[Team],TBA_Matches_All[[#This Row],[Team]],Dyno_Data[Match],TBA_Matches_All[[#This Row],[Match_Number]],Dyno_Data[RecordType],"Activities", Dyno_Data[AcqLoc],"AllyWing")</f>
        <v>0</v>
      </c>
      <c r="BW220">
        <f>COUNTIFS(Dyno_Data[Team],TBA_Matches_All[[#This Row],[Team]],Dyno_Data[Match],TBA_Matches_All[[#This Row],[Match_Number]],Dyno_Data[RecordType],"Activities", Dyno_Data[AcqLoc],"Source")</f>
        <v>0</v>
      </c>
      <c r="BX220">
        <f>SUMIFS(Dyno_Data[AcqDrp], Dyno_Data[Team],TBA_Matches_All[[#This Row],[Team]],Dyno_Data[Match],TBA_Matches_All[[#This Row],[Match_Number]],Dyno_Data[RecordType],"Activities", Dyno_Data[AcqLoc],"Source")</f>
        <v>0</v>
      </c>
      <c r="BY220">
        <f>SUMIFS(Dyno_Data[OZTime], Dyno_Data[Team],TBA_Matches_All[[#This Row],[Team]],Dyno_Data[Match],TBA_Matches_All[[#This Row],[Match_Number]],Dyno_Data[RecordType],"EndMatch")</f>
        <v>45.773154499999997</v>
      </c>
      <c r="BZ220">
        <f>SUMIFS(Dyno_Data[NZTime], Dyno_Data[Team],TBA_Matches_All[[#This Row],[Team]],Dyno_Data[Match],TBA_Matches_All[[#This Row],[Match_Number]],Dyno_Data[RecordType],"EndMatch")</f>
        <v>34.263474500000001</v>
      </c>
      <c r="CA220">
        <f>SUMIFS(Dyno_Data[AZTime], Dyno_Data[Team],TBA_Matches_All[[#This Row],[Team]],Dyno_Data[Match],TBA_Matches_All[[#This Row],[Match_Number]],Dyno_Data[RecordType],"EndMatch")</f>
        <v>48.679380399999999</v>
      </c>
      <c r="CB220">
        <f>SUMIFS(Dyno_Data[ClimbT], Dyno_Data[Team],TBA_Matches_All[[#This Row],[Team]],Dyno_Data[Match],TBA_Matches_All[[#This Row],[Match_Number]],Dyno_Data[RecordType],"EndMatch")</f>
        <v>4.9388936000000001</v>
      </c>
      <c r="CC220" t="str">
        <f>_xlfn.XLOOKUP(SUM(MID(TBA_Matches_All[[#This Row],[Team]],4,5),(TBA_Matches_All[[#This Row],[Match_Number]]/100)),Dyno_EndMatch[teammat],Dyno_EndMatch[StageStat],"_",0,1)</f>
        <v>On</v>
      </c>
      <c r="CD220" t="str">
        <f>_xlfn.XLOOKUP(TBA_Matches_All[[#This Row],[teammat]],Dyno_EndMatch[teammat],Dyno_EndMatch[StageAtt],"_",0,1)</f>
        <v>1</v>
      </c>
      <c r="CE220" t="str">
        <f>_xlfn.XLOOKUP(TBA_Matches_All[[#This Row],[teammat]],Dyno_EndMatch[teammat],Dyno_EndMatch[StageLoc],"_",0,1)</f>
        <v>L</v>
      </c>
      <c r="CF220">
        <f>SUMIFS(Dyno_Data[Harmony], Dyno_Data[Team],TBA_Matches_All[[#This Row],[Team]],Dyno_Data[Match],TBA_Matches_All[[#This Row],[Match_Number]],Dyno_Data[RecordType],"EndMatch", Dyno_Data[StageStat],"On",Dyno_Data[Harmony],"&lt;&gt;9")</f>
        <v>0</v>
      </c>
      <c r="CG220">
        <f>SUMIFS(Dyno_Data[Spotlit], Dyno_Data[Team],TBA_Matches_All[[#This Row],[Team]],Dyno_Data[Match],TBA_Matches_All[[#This Row],[Match_Number]],Dyno_Data[RecordType],"EndMatch", Dyno_Data[StageStat],"On",Dyno_Data[Spotlit],"&lt;&gt;9")</f>
        <v>0</v>
      </c>
      <c r="CH220" t="str">
        <f>_xlfn.XLOOKUP(TBA_Matches_All[[#This Row],[teammat]],Dyno_EndMatch[teammat],Dyno_EndMatch[Strategy],"_",0,1)</f>
        <v>Hybrid</v>
      </c>
      <c r="CI220">
        <f>SUMIFS(Dyno_Data[Defense], Dyno_Data[Team],TBA_Matches_All[[#This Row],[Team]],Dyno_Data[Match],TBA_Matches_All[[#This Row],[Match_Number]],Dyno_Data[RecordType],"EndMatch",Dyno_Data[Defense],"&lt;&gt;9")</f>
        <v>0</v>
      </c>
      <c r="CJ220">
        <f>SUMIFS(Dyno_Data[Avoidance], Dyno_Data[Team],TBA_Matches_All[[#This Row],[Team]],Dyno_Data[Match],TBA_Matches_All[[#This Row],[Match_Number]],Dyno_Data[RecordType],"EndMatch",Dyno_Data[Avoidance],"&lt;&gt;9")</f>
        <v>0</v>
      </c>
      <c r="CK220" s="82">
        <f>COUNTIF($H$2:TBA_Matches_All[[#This Row],[Team]],TBA_Matches_All[[#This Row],[Team]])</f>
        <v>5</v>
      </c>
      <c r="CL220" s="111">
        <f>SUM(MID(TBA_Matches_All[[#This Row],[Team]],4,5)+TBA_Matches_All[[#This Row],[Match_Number]]/100)</f>
        <v>1591.37</v>
      </c>
      <c r="CM220">
        <f>SUM((TBA_Matches_All[[#This Row],[Leave]]*2)+(TBA_Matches_All[[#This Row],[AampT]]*2)+(TBA_Matches_All[[#This Row],[AspkrT]]*5)+(TBA_Matches_All[[#This Row],[AtrapT]]*5))</f>
        <v>12</v>
      </c>
      <c r="CN220" s="59">
        <f>IFERROR(SUM(TBA_Matches_All[[#This Row],[AptsT]]/TBA_Matches_All[[#This Row],[AutoPts]]),0)</f>
        <v>0.35294117647058826</v>
      </c>
      <c r="CO220" s="59">
        <f>IFERROR(SUM(TBA_Matches_All[[#This Row],[AampT]]+TBA_Matches_All[[#This Row],[AspkrT]]+TBA_Matches_All[[#This Row],[AtrapT]]/TBA_Matches_All[[#This Row],[Aamp]]+TBA_Matches_All[[#This Row],[Aspkr]]+TBA_Matches_All[[#This Row],[AtrapT]]),0)</f>
        <v>0</v>
      </c>
      <c r="CP220" s="59">
        <f>IFERROR(SUM(TBA_Matches_All[[#This Row],[TampT]]/TBA_Matches_All[[#This Row],[Tamp]]),0)</f>
        <v>0</v>
      </c>
      <c r="CQ220" s="59">
        <f>IFERROR(SUM(TBA_Matches_All[[#This Row],[TspkrT]]/TBA_Matches_All[[#This Row],[Tspkr]]),0)</f>
        <v>0.6</v>
      </c>
      <c r="CR220">
        <f>SUM(TBA_Matches_All[[#This Row],[TspkrPts]]*TBA_Matches_All[[#This Row],[TspkrP]])</f>
        <v>24</v>
      </c>
      <c r="CS220" s="59">
        <f>IFERROR(SUM(TBA_Matches_All[[#This Row],[TtrapT]]/TBA_Matches_All[[#This Row],[Trap]]),0)</f>
        <v>0</v>
      </c>
      <c r="CT220" s="59">
        <f>IFERROR(SUM(TBA_Matches_All[[#This Row],[TotNotesT]]/TBA_Matches_All[[#This Row],[TotNotes]]),0)</f>
        <v>0.51851851851851849</v>
      </c>
      <c r="CU220" s="66">
        <f>SUM((TBA_Matches_All[[#This Row],[AampT]]*2)+(TBA_Matches_All[[#This Row],[AspkrT]]*5)+(TBA_Matches_All[[#This Row],[AtrapT]]*5)+(TBA_Matches_All[[#This Row],[TampT]]*1)+(TBA_Matches_All[[#This Row],[TspkrptsC]]))</f>
        <v>34</v>
      </c>
      <c r="CV220" s="59">
        <f>IFERROR(TBA_Matches_All[[#This Row],[noteptsT]]/TBA_Matches_All[[#This Row],[NotePts]],0)</f>
        <v>0.47887323943661969</v>
      </c>
      <c r="CW220">
        <f>SUM(IF(TBA_Matches_All[[#This Row],[stageStat]]="On",3,0),IF(TBA_Matches_All[[#This Row],[stageStat]]="Park",1,0),SUMIFS(TBA_Matches_All[[#This Row],[Spotlit]],TBA_Matches_All[[#This Row],[stageStat]],"On"),SUMIFS(TBA_Matches_All[[#This Row],[Harmony]],TBA_Matches_All[[#This Row],[stageStat]],"On"))</f>
        <v>3</v>
      </c>
      <c r="CX220" s="59">
        <f>IFERROR(TBA_Matches_All[[#This Row],[stageptsT]]/TBA_Matches_All[[#This Row],[StagePts]],0)</f>
        <v>0.27272727272727271</v>
      </c>
      <c r="CY220">
        <f>SUM((TBA_Matches_All[[#This Row],[AptsT]]+TBA_Matches_All[[#This Row],[TampT]]+TBA_Matches_All[[#This Row],[TspkrptsC]]+(TBA_Matches_All[[#This Row],[TtrapT]]*5)+TBA_Matches_All[[#This Row],[stageptsT]]))</f>
        <v>39</v>
      </c>
      <c r="CZ220" s="59">
        <f>IFERROR(SUM(TBA_Matches_All[[#This Row],[TotptsC]]/TBA_Matches_All[[#This Row],[Score]]),0)</f>
        <v>0.45348837209302323</v>
      </c>
      <c r="DA22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20.072916666666664</v>
      </c>
      <c r="DB220" s="74">
        <f>SUMIFS(TBA_Matches_All[AveTeamTNoteDels],TBA_Matches_All[Match_Number],TBA_Matches_All[[#This Row],[Match_Number]],TBA_Matches_All[Alliance],"&lt;&gt;"&amp;TBA_Matches_All[[#This Row],[Alliance]],TBA_Matches_All[Scouted],"&gt;0")</f>
        <v>17.410164835164835</v>
      </c>
      <c r="DC220" s="74">
        <f>(TBA_Matches_All[[#This Row],[TampT]]+TBA_Matches_All[[#This Row],[TspkrptsC]])-TBA_Matches_All[[#This Row],[AveTeamTNoteDels]]</f>
        <v>3.9270833333333357</v>
      </c>
      <c r="DD220" s="74">
        <f>SUMIFS(TBA_Matches_All[AveTeamTNoteDels],TBA_Matches_All[Match_Number],TBA_Matches_All[[#This Row],[Match_Number]],TBA_Matches_All[Alliance],"&lt;&gt;"&amp;TBA_Matches_All[[#This Row],[Alliance]])-TBA_Matches_All[[#This Row],[AveOppTNoteDels]]</f>
        <v>0</v>
      </c>
    </row>
    <row r="221" spans="1:108" x14ac:dyDescent="0.3">
      <c r="A221" t="s">
        <v>1042</v>
      </c>
      <c r="B221" t="s">
        <v>489</v>
      </c>
      <c r="C221" t="s">
        <v>1346</v>
      </c>
      <c r="D221">
        <v>37</v>
      </c>
      <c r="E221" t="s">
        <v>1420</v>
      </c>
      <c r="F221" t="s">
        <v>1423</v>
      </c>
      <c r="G221" t="s">
        <v>1409</v>
      </c>
      <c r="H221" t="s">
        <v>366</v>
      </c>
      <c r="I221" t="b">
        <v>0</v>
      </c>
      <c r="J221">
        <v>47</v>
      </c>
      <c r="K221">
        <v>0</v>
      </c>
      <c r="L221">
        <v>1</v>
      </c>
      <c r="M221">
        <v>0</v>
      </c>
      <c r="N221">
        <v>0</v>
      </c>
      <c r="O221">
        <v>2</v>
      </c>
      <c r="P221">
        <v>10</v>
      </c>
      <c r="Q221">
        <v>12</v>
      </c>
      <c r="R221">
        <v>0</v>
      </c>
      <c r="S221">
        <v>0</v>
      </c>
      <c r="T221">
        <v>11</v>
      </c>
      <c r="U221">
        <v>0</v>
      </c>
      <c r="V221">
        <v>22</v>
      </c>
      <c r="W221">
        <v>11</v>
      </c>
      <c r="X221">
        <v>22</v>
      </c>
      <c r="Y221">
        <v>22</v>
      </c>
      <c r="Z221">
        <v>0</v>
      </c>
      <c r="AA221">
        <v>0</v>
      </c>
      <c r="AB221">
        <v>13</v>
      </c>
      <c r="AC221">
        <v>32</v>
      </c>
      <c r="AD221">
        <v>3</v>
      </c>
      <c r="AE221">
        <f>IFERROR(6/(COUNTIF(Dyno_EndMatch[Match],TBA_Matches_All[[#This Row],[Match_Number]])),0)</f>
        <v>1</v>
      </c>
      <c r="AF221">
        <f>COUNTIFS(Dyno_Data[Team],TBA_Matches_All[[#This Row],[Team]],Dyno_Data[Match],TBA_Matches_All[[#This Row],[Match_Number]],Dyno_Data[RecordType],"EndMatch",Dyno_Data[HPAmp],"Y")</f>
        <v>0</v>
      </c>
      <c r="AG221">
        <f>SUMIFS(Dyno_Data[Mics], Dyno_Data[Team],TBA_Matches_All[[#This Row],[Team]],Dyno_Data[Match],TBA_Matches_All[[#This Row],[Match_Number]],Dyno_Data[RecordType],"EndMatch",Dyno_Data[HPAmp],"Y")</f>
        <v>0</v>
      </c>
      <c r="AH221">
        <f>SUMIFS(Dyno_Data[Leave], Dyno_Data[Team],TBA_Matches_All[[#This Row],[Team]],Dyno_Data[Match],TBA_Matches_All[[#This Row],[Match_Number]],Dyno_Data[RecordType],"EndAuto")</f>
        <v>0</v>
      </c>
      <c r="AI221">
        <f>COUNTIFS(Dyno_Data[Team],TBA_Matches_All[[#This Row],[Team]],Dyno_Data[Match],TBA_Matches_All[[#This Row],[Match_Number]],Dyno_Data[RecordType],"Activities",Dyno_Data[DelDest],"Amp", Dyno_Data[DelMiss],"0", Dyno_Data[Mode],"Auto")</f>
        <v>0</v>
      </c>
      <c r="AJ221">
        <f>COUNTIFS(Dyno_Data[Team],TBA_Matches_All[[#This Row],[Team]],Dyno_Data[Match],TBA_Matches_All[[#This Row],[Match_Number]],Dyno_Data[RecordType],"Activities",Dyno_Data[DelDest],"Spkr", Dyno_Data[DelMiss],"0", Dyno_Data[Mode],"Auto")</f>
        <v>0</v>
      </c>
      <c r="AK221">
        <f>COUNTIFS(Dyno_Data[Team],TBA_Matches_All[[#This Row],[Team]],Dyno_Data[Match],TBA_Matches_All[[#This Row],[Match_Number]],Dyno_Data[RecordType],"Activities",Dyno_Data[DelDest],"Trap", Dyno_Data[DelMiss],"0", Dyno_Data[Mode],"Auto")</f>
        <v>0</v>
      </c>
      <c r="AL221">
        <f>COUNTIFS(Dyno_Data[Team],TBA_Matches_All[[#This Row],[Team]],Dyno_Data[Match],TBA_Matches_All[[#This Row],[Match_Number]],Dyno_Data[RecordType],"Activities",Dyno_Data[DelDest],"Amp", Dyno_Data[DelMiss],"0", Dyno_Data[Mode],"Teleop")</f>
        <v>0</v>
      </c>
      <c r="AM221">
        <f>COUNTIFS(Dyno_Data[Team],TBA_Matches_All[[#This Row],[Team]],Dyno_Data[Match],TBA_Matches_All[[#This Row],[Match_Number]],Dyno_Data[RecordType],"Activities",Dyno_Data[DelDest],"Spkr", Dyno_Data[DelMiss],"0", Dyno_Data[Mode],"Teleop")</f>
        <v>11</v>
      </c>
      <c r="AN221">
        <f>COUNTIFS(Dyno_Data[Team],TBA_Matches_All[[#This Row],[Team]],Dyno_Data[Match],TBA_Matches_All[[#This Row],[Match_Number]],Dyno_Data[RecordType],"Activities",Dyno_Data[DelDest],"Trap", Dyno_Data[DelMiss],"0", Dyno_Data[Mode],"&lt;&gt;Auto")</f>
        <v>0</v>
      </c>
      <c r="AO221">
        <f>SUM(TBA_Matches_All[[#This Row],[AampT]]+TBA_Matches_All[[#This Row],[AspkrT]]+TBA_Matches_All[[#This Row],[AtrapT]]+TBA_Matches_All[[#This Row],[TampT]]+TBA_Matches_All[[#This Row],[TspkrT]]+TBA_Matches_All[[#This Row],[TtrapT]])</f>
        <v>11</v>
      </c>
      <c r="AP221">
        <f>COUNTIFS(Dyno_Data[Team],TBA_Matches_All[[#This Row],[Team]],Dyno_Data[Match],TBA_Matches_All[[#This Row],[Match_Number]],Dyno_Data[RecordType],"Activities",Dyno_Data[DelDest],"Neut", Dyno_Data[DelMiss],"0")</f>
        <v>0</v>
      </c>
      <c r="AQ221">
        <f>COUNTIFS(Dyno_Data[Team],TBA_Matches_All[[#This Row],[Team]],Dyno_Data[Match],TBA_Matches_All[[#This Row],[Match_Number]],Dyno_Data[RecordType],"Activities",Dyno_Data[DelDest],"AllyW", Dyno_Data[DelMiss],"0")</f>
        <v>0</v>
      </c>
      <c r="AR221" t="str">
        <f>_xlfn.XLOOKUP(SUM(MID(TBA_Matches_All[[#This Row],[Team]],4,5),(TBA_Matches_All[[#This Row],[Match_Number]]/100)),Dyno_EndMatch[teammat],Dyno_EndMatch[RobotSta],"_",0,1)</f>
        <v>SubW</v>
      </c>
      <c r="AS221">
        <f>SUMIFS(Dyno_Data[AcqDis], Dyno_Data[Team],TBA_Matches_All[[#This Row],[Team]],Dyno_Data[Match],TBA_Matches_All[[#This Row],[Match_Number]],Dyno_Data[RecordType],"Activities", Dyno_Data[AcqCenter],1,Dyno_Data[Mode],"Auto")</f>
        <v>0</v>
      </c>
      <c r="AT221">
        <f>SUMIFS(Dyno_Data[AcqDis], Dyno_Data[Team],TBA_Matches_All[[#This Row],[Team]],Dyno_Data[Match],TBA_Matches_All[[#This Row],[Match_Number]],Dyno_Data[RecordType],"Activities", Dyno_Data[AcqCenter],2,Dyno_Data[Mode],"Auto")</f>
        <v>0</v>
      </c>
      <c r="AU221">
        <f>SUMIFS(Dyno_Data[AcqDis], Dyno_Data[Team],TBA_Matches_All[[#This Row],[Team]],Dyno_Data[Match],TBA_Matches_All[[#This Row],[Match_Number]],Dyno_Data[RecordType],"Activities", Dyno_Data[AcqCenter],3,Dyno_Data[Mode],"Auto")</f>
        <v>0</v>
      </c>
      <c r="AV221">
        <f>SUMIFS(Dyno_Data[AcqDis], Dyno_Data[Team],TBA_Matches_All[[#This Row],[Team]],Dyno_Data[Match],TBA_Matches_All[[#This Row],[Match_Number]],Dyno_Data[RecordType],"Activities", Dyno_Data[AcqCenter],4,Dyno_Data[Mode],"Auto")</f>
        <v>0</v>
      </c>
      <c r="AW221">
        <f>SUMIFS(Dyno_Data[AcqDis], Dyno_Data[Team],TBA_Matches_All[[#This Row],[Team]],Dyno_Data[Match],TBA_Matches_All[[#This Row],[Match_Number]],Dyno_Data[RecordType],"Activities", Dyno_Data[AcqCenter],5,Dyno_Data[Mode],"Auto")</f>
        <v>0</v>
      </c>
      <c r="AX221">
        <f>SUMIFS(Dyno_Data[DelMiss], Dyno_Data[Team],TBA_Matches_All[[#This Row],[Team]],Dyno_Data[Match],TBA_Matches_All[[#This Row],[Match_Number]],Dyno_Data[RecordType],"Activities", Dyno_Data[DelDest],"Amp")</f>
        <v>0</v>
      </c>
      <c r="AY221" s="60">
        <f>IFERROR(SUM((TBA_Matches_All[[#This Row],[AampT]]+TBA_Matches_All[[#This Row],[TampT]])/(TBA_Matches_All[[#This Row],[AampT]]+TBA_Matches_All[[#This Row],[TampT]]+TBA_Matches_All[[#This Row],[ampM]])),0)</f>
        <v>0</v>
      </c>
      <c r="AZ221">
        <f>SUMIFS(Dyno_Data[DelMiss], Dyno_Data[Team],TBA_Matches_All[[#This Row],[Team]],Dyno_Data[Match],TBA_Matches_All[[#This Row],[Match_Number]],Dyno_Data[RecordType],"Activities", Dyno_Data[DelDest],"Spkr")</f>
        <v>2</v>
      </c>
      <c r="BA221" s="60">
        <f>IFERROR(SUM((TBA_Matches_All[[#This Row],[AspkrT]]+TBA_Matches_All[[#This Row],[TspkrT]])/(TBA_Matches_All[[#This Row],[AspkrT]]+TBA_Matches_All[[#This Row],[TspkrT]]+TBA_Matches_All[[#This Row],[spkrM]])),0)</f>
        <v>0.84615384615384615</v>
      </c>
      <c r="BB221">
        <f>SUMIFS(Dyno_Data[DelMiss], Dyno_Data[Team],TBA_Matches_All[[#This Row],[Team]],Dyno_Data[Match],TBA_Matches_All[[#This Row],[Match_Number]],Dyno_Data[RecordType],"Activities", Dyno_Data[DelDest],"Trap")</f>
        <v>0</v>
      </c>
      <c r="BC221" s="60">
        <f>IFERROR((TBA_Matches_All[[#This Row],[AtrapT]]+TBA_Matches_All[[#This Row],[TtrapT]])/(TBA_Matches_All[[#This Row],[AtrapT]]+TBA_Matches_All[[#This Row],[TtrapT]]+TBA_Matches_All[[#This Row],[trapM]]),0)</f>
        <v>0</v>
      </c>
      <c r="BD221">
        <f>COUNTIFS(Dyno_Data[Team],TBA_Matches_All[[#This Row],[Team]],Dyno_Data[Match],TBA_Matches_All[[#This Row],[Match_Number]],Dyno_Data[RecordType],"Activities",Dyno_Data[DelDest],"Neut", Dyno_Data[DelMiss],1)</f>
        <v>0</v>
      </c>
      <c r="BE221" s="60">
        <f>IFERROR(SUM((TBA_Matches_All[[#This Row],[NeutFlrT]])/(TBA_Matches_All[[#This Row],[NeutFlrT]]+TBA_Matches_All[[#This Row],[NZflM]])),0)</f>
        <v>0</v>
      </c>
      <c r="BF221">
        <f>COUNTIFS(Dyno_Data[Team],TBA_Matches_All[[#This Row],[Team]],Dyno_Data[Match],TBA_Matches_All[[#This Row],[Match_Number]],Dyno_Data[RecordType],"Activities",Dyno_Data[DelDest],"AllyW", Dyno_Data[DelMiss],1)</f>
        <v>0</v>
      </c>
      <c r="BG221" s="60">
        <f>IFERROR(SUM((TBA_Matches_All[[#This Row],[AllyWFlrT]])/(TBA_Matches_All[[#This Row],[AllyWFlrT]]+TBA_Matches_All[[#This Row],[AZflM]])),0)</f>
        <v>0</v>
      </c>
      <c r="BH221">
        <f>COUNTIFS(Dyno_Data[Team],TBA_Matches_All[[#This Row],[Team]],Dyno_Data[Match],TBA_Matches_All[[#This Row],[Match_Number]],Dyno_Data[RecordType],"Activities",Dyno_Data[DelOrig],"OppW", Dyno_Data[DelMiss],"0")</f>
        <v>0</v>
      </c>
      <c r="BI221">
        <f>COUNTIFS(Dyno_Data[Team],TBA_Matches_All[[#This Row],[Team]],Dyno_Data[Match],TBA_Matches_All[[#This Row],[Match_Number]],Dyno_Data[RecordType],"Activities",Dyno_Data[DelOrig],"OppW", Dyno_Data[DelMiss],"1")</f>
        <v>0</v>
      </c>
      <c r="BJ221" s="60">
        <f>IFERROR(SUM((TBA_Matches_All[[#This Row],[OZflrT]])/(TBA_Matches_All[[#This Row],[OZflrT]]+TBA_Matches_All[[#This Row],[OZflrM]])),0)</f>
        <v>0</v>
      </c>
      <c r="BK221">
        <f>COUNTIFS(Dyno_Data[Team],TBA_Matches_All[[#This Row],[Team]],Dyno_Data[Match],TBA_Matches_All[[#This Row],[Match_Number]],Dyno_Data[RecordType],"Activities",Dyno_Data[DelOrig],"Neut", Dyno_Data[DelMiss],"0")</f>
        <v>0</v>
      </c>
      <c r="BL221">
        <f>COUNTIFS(Dyno_Data[Team],TBA_Matches_All[[#This Row],[Team]],Dyno_Data[Match],TBA_Matches_All[[#This Row],[Match_Number]],Dyno_Data[RecordType],"Activities",Dyno_Data[DelOrig],"Neut", Dyno_Data[DelMiss],"1")</f>
        <v>0</v>
      </c>
      <c r="BM221" s="60">
        <f>IFERROR(SUM((TBA_Matches_All[[#This Row],[NZflrT]])/(TBA_Matches_All[[#This Row],[NZflrT]]+TBA_Matches_All[[#This Row],[NZflrM]])),0)</f>
        <v>0</v>
      </c>
      <c r="BN221">
        <f>COUNTIFS(Dyno_Data[Team],TBA_Matches_All[[#This Row],[Team]],Dyno_Data[Match],TBA_Matches_All[[#This Row],[Match_Number]],Dyno_Data[RecordType],"Activities",Dyno_Data[DelOrig],"AllyW", Dyno_Data[DelMiss],"0")</f>
        <v>8</v>
      </c>
      <c r="BO221">
        <f>COUNTIFS(Dyno_Data[Team],TBA_Matches_All[[#This Row],[Team]],Dyno_Data[Match],TBA_Matches_All[[#This Row],[Match_Number]],Dyno_Data[RecordType],"Activities",Dyno_Data[DelOrig],"AllyW", Dyno_Data[DelMiss],"1")</f>
        <v>0</v>
      </c>
      <c r="BP221" s="60">
        <f>IFERROR(SUM((TBA_Matches_All[[#This Row],[AZflrT]])/(TBA_Matches_All[[#This Row],[AZflrT]]+TBA_Matches_All[[#This Row],[AZflrM]])),0)</f>
        <v>1</v>
      </c>
      <c r="BQ221">
        <f>COUNTIFS(Dyno_Data[Team],TBA_Matches_All[[#This Row],[Team]],Dyno_Data[Match],TBA_Matches_All[[#This Row],[Match_Number]],Dyno_Data[RecordType],"Activities",Dyno_Data[DelOrig],"SubW", Dyno_Data[DelMiss],"0")</f>
        <v>3</v>
      </c>
      <c r="BR221">
        <f>COUNTIFS(Dyno_Data[Team],TBA_Matches_All[[#This Row],[Team]],Dyno_Data[Match],TBA_Matches_All[[#This Row],[Match_Number]],Dyno_Data[RecordType],"Activities",Dyno_Data[DelOrig],"SubW", Dyno_Data[DelMiss],"1")</f>
        <v>2</v>
      </c>
      <c r="BS221" s="60">
        <f>IFERROR(SUM((TBA_Matches_All[[#This Row],[SubwT]])/(TBA_Matches_All[[#This Row],[SubwT]]+TBA_Matches_All[[#This Row],[SubwM]])),0)</f>
        <v>0.6</v>
      </c>
      <c r="BT221">
        <f>COUNTIFS(Dyno_Data[Team],TBA_Matches_All[[#This Row],[Team]],Dyno_Data[Match],TBA_Matches_All[[#This Row],[Match_Number]],Dyno_Data[RecordType],"Activities", Dyno_Data[AcqLoc],"OppWing")</f>
        <v>0</v>
      </c>
      <c r="BU221">
        <f>COUNTIFS(Dyno_Data[Team],TBA_Matches_All[[#This Row],[Team]],Dyno_Data[Match],TBA_Matches_All[[#This Row],[Match_Number]],Dyno_Data[RecordType],"Activities", Dyno_Data[AcqLoc],"Neutral")</f>
        <v>0</v>
      </c>
      <c r="BV221">
        <f>COUNTIFS(Dyno_Data[Team],TBA_Matches_All[[#This Row],[Team]],Dyno_Data[Match],TBA_Matches_All[[#This Row],[Match_Number]],Dyno_Data[RecordType],"Activities", Dyno_Data[AcqLoc],"AllyWing")</f>
        <v>0</v>
      </c>
      <c r="BW221">
        <f>COUNTIFS(Dyno_Data[Team],TBA_Matches_All[[#This Row],[Team]],Dyno_Data[Match],TBA_Matches_All[[#This Row],[Match_Number]],Dyno_Data[RecordType],"Activities", Dyno_Data[AcqLoc],"Source")</f>
        <v>0</v>
      </c>
      <c r="BX221">
        <f>SUMIFS(Dyno_Data[AcqDrp], Dyno_Data[Team],TBA_Matches_All[[#This Row],[Team]],Dyno_Data[Match],TBA_Matches_All[[#This Row],[Match_Number]],Dyno_Data[RecordType],"Activities", Dyno_Data[AcqLoc],"Source")</f>
        <v>0</v>
      </c>
      <c r="BY221">
        <f>SUMIFS(Dyno_Data[OZTime], Dyno_Data[Team],TBA_Matches_All[[#This Row],[Team]],Dyno_Data[Match],TBA_Matches_All[[#This Row],[Match_Number]],Dyno_Data[RecordType],"EndMatch")</f>
        <v>39.017278499999996</v>
      </c>
      <c r="BZ221">
        <f>SUMIFS(Dyno_Data[NZTime], Dyno_Data[Team],TBA_Matches_All[[#This Row],[Team]],Dyno_Data[Match],TBA_Matches_All[[#This Row],[Match_Number]],Dyno_Data[RecordType],"EndMatch")</f>
        <v>20.8628596</v>
      </c>
      <c r="CA221">
        <f>SUMIFS(Dyno_Data[AZTime], Dyno_Data[Team],TBA_Matches_All[[#This Row],[Team]],Dyno_Data[Match],TBA_Matches_All[[#This Row],[Match_Number]],Dyno_Data[RecordType],"EndMatch")</f>
        <v>75.770449900000003</v>
      </c>
      <c r="CB221">
        <f>SUMIFS(Dyno_Data[ClimbT], Dyno_Data[Team],TBA_Matches_All[[#This Row],[Team]],Dyno_Data[Match],TBA_Matches_All[[#This Row],[Match_Number]],Dyno_Data[RecordType],"EndMatch")</f>
        <v>0</v>
      </c>
      <c r="CC221" t="str">
        <f>_xlfn.XLOOKUP(SUM(MID(TBA_Matches_All[[#This Row],[Team]],4,5),(TBA_Matches_All[[#This Row],[Match_Number]]/100)),Dyno_EndMatch[teammat],Dyno_EndMatch[StageStat],"_",0,1)</f>
        <v>Park</v>
      </c>
      <c r="CD221" t="str">
        <f>_xlfn.XLOOKUP(TBA_Matches_All[[#This Row],[teammat]],Dyno_EndMatch[teammat],Dyno_EndMatch[StageAtt],"_",0,1)</f>
        <v>0</v>
      </c>
      <c r="CE221" t="str">
        <f>_xlfn.XLOOKUP(TBA_Matches_All[[#This Row],[teammat]],Dyno_EndMatch[teammat],Dyno_EndMatch[StageLoc],"_",0,1)</f>
        <v>A</v>
      </c>
      <c r="CF221">
        <f>SUMIFS(Dyno_Data[Harmony], Dyno_Data[Team],TBA_Matches_All[[#This Row],[Team]],Dyno_Data[Match],TBA_Matches_All[[#This Row],[Match_Number]],Dyno_Data[RecordType],"EndMatch", Dyno_Data[StageStat],"On",Dyno_Data[Harmony],"&lt;&gt;9")</f>
        <v>0</v>
      </c>
      <c r="CG221">
        <f>SUMIFS(Dyno_Data[Spotlit], Dyno_Data[Team],TBA_Matches_All[[#This Row],[Team]],Dyno_Data[Match],TBA_Matches_All[[#This Row],[Match_Number]],Dyno_Data[RecordType],"EndMatch", Dyno_Data[StageStat],"On",Dyno_Data[Spotlit],"&lt;&gt;9")</f>
        <v>0</v>
      </c>
      <c r="CH221" t="str">
        <f>_xlfn.XLOOKUP(TBA_Matches_All[[#This Row],[teammat]],Dyno_EndMatch[teammat],Dyno_EndMatch[Strategy],"_",0,1)</f>
        <v>Hybrid</v>
      </c>
      <c r="CI221">
        <f>SUMIFS(Dyno_Data[Defense], Dyno_Data[Team],TBA_Matches_All[[#This Row],[Team]],Dyno_Data[Match],TBA_Matches_All[[#This Row],[Match_Number]],Dyno_Data[RecordType],"EndMatch",Dyno_Data[Defense],"&lt;&gt;9")</f>
        <v>0</v>
      </c>
      <c r="CJ221">
        <f>SUMIFS(Dyno_Data[Avoidance], Dyno_Data[Team],TBA_Matches_All[[#This Row],[Team]],Dyno_Data[Match],TBA_Matches_All[[#This Row],[Match_Number]],Dyno_Data[RecordType],"EndMatch",Dyno_Data[Avoidance],"&lt;&gt;9")</f>
        <v>0</v>
      </c>
      <c r="CK221" s="82">
        <f>COUNTIF($H$2:TBA_Matches_All[[#This Row],[Team]],TBA_Matches_All[[#This Row],[Team]])</f>
        <v>5</v>
      </c>
      <c r="CL221" s="111">
        <f>SUM(MID(TBA_Matches_All[[#This Row],[Team]],4,5)+TBA_Matches_All[[#This Row],[Match_Number]]/100)</f>
        <v>4122.37</v>
      </c>
      <c r="CM221">
        <f>SUM((TBA_Matches_All[[#This Row],[Leave]]*2)+(TBA_Matches_All[[#This Row],[AampT]]*2)+(TBA_Matches_All[[#This Row],[AspkrT]]*5)+(TBA_Matches_All[[#This Row],[AtrapT]]*5))</f>
        <v>0</v>
      </c>
      <c r="CN221" s="59">
        <f>IFERROR(SUM(TBA_Matches_All[[#This Row],[AptsT]]/TBA_Matches_All[[#This Row],[AutoPts]]),0)</f>
        <v>0</v>
      </c>
      <c r="CO221" s="59">
        <f>IFERROR(SUM(TBA_Matches_All[[#This Row],[AampT]]+TBA_Matches_All[[#This Row],[AspkrT]]+TBA_Matches_All[[#This Row],[AtrapT]]/TBA_Matches_All[[#This Row],[Aamp]]+TBA_Matches_All[[#This Row],[Aspkr]]+TBA_Matches_All[[#This Row],[AtrapT]]),0)</f>
        <v>0</v>
      </c>
      <c r="CP221" s="59">
        <f>IFERROR(SUM(TBA_Matches_All[[#This Row],[TampT]]/TBA_Matches_All[[#This Row],[Tamp]]),0)</f>
        <v>0</v>
      </c>
      <c r="CQ221" s="59">
        <f>IFERROR(SUM(TBA_Matches_All[[#This Row],[TspkrT]]/TBA_Matches_All[[#This Row],[Tspkr]]),0)</f>
        <v>1</v>
      </c>
      <c r="CR221">
        <f>SUM(TBA_Matches_All[[#This Row],[TspkrPts]]*TBA_Matches_All[[#This Row],[TspkrP]])</f>
        <v>22</v>
      </c>
      <c r="CS221" s="59">
        <f>IFERROR(SUM(TBA_Matches_All[[#This Row],[TtrapT]]/TBA_Matches_All[[#This Row],[Trap]]),0)</f>
        <v>0</v>
      </c>
      <c r="CT221" s="59">
        <f>IFERROR(SUM(TBA_Matches_All[[#This Row],[TotNotesT]]/TBA_Matches_All[[#This Row],[TotNotes]]),0)</f>
        <v>0.84615384615384615</v>
      </c>
      <c r="CU221" s="66">
        <f>SUM((TBA_Matches_All[[#This Row],[AampT]]*2)+(TBA_Matches_All[[#This Row],[AspkrT]]*5)+(TBA_Matches_All[[#This Row],[AtrapT]]*5)+(TBA_Matches_All[[#This Row],[TampT]]*1)+(TBA_Matches_All[[#This Row],[TspkrptsC]]))</f>
        <v>22</v>
      </c>
      <c r="CV221" s="59">
        <f>IFERROR(TBA_Matches_All[[#This Row],[noteptsT]]/TBA_Matches_All[[#This Row],[NotePts]],0)</f>
        <v>0.6875</v>
      </c>
      <c r="CW221">
        <f>SUM(IF(TBA_Matches_All[[#This Row],[stageStat]]="On",3,0),IF(TBA_Matches_All[[#This Row],[stageStat]]="Park",1,0),SUMIFS(TBA_Matches_All[[#This Row],[Spotlit]],TBA_Matches_All[[#This Row],[stageStat]],"On"),SUMIFS(TBA_Matches_All[[#This Row],[Harmony]],TBA_Matches_All[[#This Row],[stageStat]],"On"))</f>
        <v>1</v>
      </c>
      <c r="CX221" s="59">
        <f>IFERROR(TBA_Matches_All[[#This Row],[stageptsT]]/TBA_Matches_All[[#This Row],[StagePts]],0)</f>
        <v>0.33333333333333331</v>
      </c>
      <c r="CY221">
        <f>SUM((TBA_Matches_All[[#This Row],[AptsT]]+TBA_Matches_All[[#This Row],[TampT]]+TBA_Matches_All[[#This Row],[TspkrptsC]]+(TBA_Matches_All[[#This Row],[TtrapT]]*5)+TBA_Matches_All[[#This Row],[stageptsT]]))</f>
        <v>23</v>
      </c>
      <c r="CZ221" s="59">
        <f>IFERROR(SUM(TBA_Matches_All[[#This Row],[TotptsC]]/TBA_Matches_All[[#This Row],[Score]]),0)</f>
        <v>0.48936170212765956</v>
      </c>
      <c r="DA22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9.5178571428571423</v>
      </c>
      <c r="DB221" s="74">
        <f>SUMIFS(TBA_Matches_All[AveTeamTNoteDels],TBA_Matches_All[Match_Number],TBA_Matches_All[[#This Row],[Match_Number]],TBA_Matches_All[Alliance],"&lt;&gt;"&amp;TBA_Matches_All[[#This Row],[Alliance]],TBA_Matches_All[Scouted],"&gt;0")</f>
        <v>44.39337121212121</v>
      </c>
      <c r="DC221" s="74">
        <f>(TBA_Matches_All[[#This Row],[TampT]]+TBA_Matches_All[[#This Row],[TspkrptsC]])-TBA_Matches_All[[#This Row],[AveTeamTNoteDels]]</f>
        <v>12.482142857142858</v>
      </c>
      <c r="DD221" s="74">
        <f>SUMIFS(TBA_Matches_All[AveTeamTNoteDels],TBA_Matches_All[Match_Number],TBA_Matches_All[[#This Row],[Match_Number]],TBA_Matches_All[Alliance],"&lt;&gt;"&amp;TBA_Matches_All[[#This Row],[Alliance]])-TBA_Matches_All[[#This Row],[AveOppTNoteDels]]</f>
        <v>0</v>
      </c>
    </row>
    <row r="222" spans="1:108" x14ac:dyDescent="0.3">
      <c r="A222" t="s">
        <v>1042</v>
      </c>
      <c r="B222" t="s">
        <v>489</v>
      </c>
      <c r="C222" t="s">
        <v>1346</v>
      </c>
      <c r="D222">
        <v>37</v>
      </c>
      <c r="E222" t="s">
        <v>1406</v>
      </c>
      <c r="F222" t="s">
        <v>1424</v>
      </c>
      <c r="G222" t="s">
        <v>1409</v>
      </c>
      <c r="H222" t="s">
        <v>1288</v>
      </c>
      <c r="I222" t="b">
        <v>1</v>
      </c>
      <c r="J222">
        <v>86</v>
      </c>
      <c r="K222">
        <v>1</v>
      </c>
      <c r="L222">
        <v>1</v>
      </c>
      <c r="M222">
        <v>10</v>
      </c>
      <c r="N222">
        <v>0</v>
      </c>
      <c r="O222">
        <v>6</v>
      </c>
      <c r="P222">
        <v>30</v>
      </c>
      <c r="Q222">
        <v>34</v>
      </c>
      <c r="R222">
        <v>1</v>
      </c>
      <c r="S222">
        <v>0</v>
      </c>
      <c r="T222">
        <v>20</v>
      </c>
      <c r="U222">
        <v>0</v>
      </c>
      <c r="V222">
        <v>40</v>
      </c>
      <c r="W222">
        <v>20</v>
      </c>
      <c r="X222">
        <v>40</v>
      </c>
      <c r="Y222">
        <v>41</v>
      </c>
      <c r="Z222">
        <v>0</v>
      </c>
      <c r="AA222">
        <v>0</v>
      </c>
      <c r="AB222">
        <v>27</v>
      </c>
      <c r="AC222">
        <v>71</v>
      </c>
      <c r="AD222">
        <v>11</v>
      </c>
      <c r="AE222">
        <f>IFERROR(6/(COUNTIF(Dyno_EndMatch[Match],TBA_Matches_All[[#This Row],[Match_Number]])),0)</f>
        <v>1</v>
      </c>
      <c r="AF222">
        <f>COUNTIFS(Dyno_Data[Team],TBA_Matches_All[[#This Row],[Team]],Dyno_Data[Match],TBA_Matches_All[[#This Row],[Match_Number]],Dyno_Data[RecordType],"EndMatch",Dyno_Data[HPAmp],"Y")</f>
        <v>0</v>
      </c>
      <c r="AG222">
        <f>SUMIFS(Dyno_Data[Mics], Dyno_Data[Team],TBA_Matches_All[[#This Row],[Team]],Dyno_Data[Match],TBA_Matches_All[[#This Row],[Match_Number]],Dyno_Data[RecordType],"EndMatch",Dyno_Data[HPAmp],"Y")</f>
        <v>0</v>
      </c>
      <c r="AH222">
        <f>SUMIFS(Dyno_Data[Leave], Dyno_Data[Team],TBA_Matches_All[[#This Row],[Team]],Dyno_Data[Match],TBA_Matches_All[[#This Row],[Match_Number]],Dyno_Data[RecordType],"EndAuto")</f>
        <v>1</v>
      </c>
      <c r="AI222">
        <f>COUNTIFS(Dyno_Data[Team],TBA_Matches_All[[#This Row],[Team]],Dyno_Data[Match],TBA_Matches_All[[#This Row],[Match_Number]],Dyno_Data[RecordType],"Activities",Dyno_Data[DelDest],"Amp", Dyno_Data[DelMiss],"0", Dyno_Data[Mode],"Auto")</f>
        <v>0</v>
      </c>
      <c r="AJ222">
        <f>COUNTIFS(Dyno_Data[Team],TBA_Matches_All[[#This Row],[Team]],Dyno_Data[Match],TBA_Matches_All[[#This Row],[Match_Number]],Dyno_Data[RecordType],"Activities",Dyno_Data[DelDest],"Spkr", Dyno_Data[DelMiss],"0", Dyno_Data[Mode],"Auto")</f>
        <v>1</v>
      </c>
      <c r="AK222">
        <f>COUNTIFS(Dyno_Data[Team],TBA_Matches_All[[#This Row],[Team]],Dyno_Data[Match],TBA_Matches_All[[#This Row],[Match_Number]],Dyno_Data[RecordType],"Activities",Dyno_Data[DelDest],"Trap", Dyno_Data[DelMiss],"0", Dyno_Data[Mode],"Auto")</f>
        <v>0</v>
      </c>
      <c r="AL222">
        <f>COUNTIFS(Dyno_Data[Team],TBA_Matches_All[[#This Row],[Team]],Dyno_Data[Match],TBA_Matches_All[[#This Row],[Match_Number]],Dyno_Data[RecordType],"Activities",Dyno_Data[DelDest],"Amp", Dyno_Data[DelMiss],"0", Dyno_Data[Mode],"Teleop")</f>
        <v>1</v>
      </c>
      <c r="AM222">
        <f>COUNTIFS(Dyno_Data[Team],TBA_Matches_All[[#This Row],[Team]],Dyno_Data[Match],TBA_Matches_All[[#This Row],[Match_Number]],Dyno_Data[RecordType],"Activities",Dyno_Data[DelDest],"Spkr", Dyno_Data[DelMiss],"0", Dyno_Data[Mode],"Teleop")</f>
        <v>3</v>
      </c>
      <c r="AN222">
        <f>COUNTIFS(Dyno_Data[Team],TBA_Matches_All[[#This Row],[Team]],Dyno_Data[Match],TBA_Matches_All[[#This Row],[Match_Number]],Dyno_Data[RecordType],"Activities",Dyno_Data[DelDest],"Trap", Dyno_Data[DelMiss],"0", Dyno_Data[Mode],"&lt;&gt;Auto")</f>
        <v>0</v>
      </c>
      <c r="AO222">
        <f>SUM(TBA_Matches_All[[#This Row],[AampT]]+TBA_Matches_All[[#This Row],[AspkrT]]+TBA_Matches_All[[#This Row],[AtrapT]]+TBA_Matches_All[[#This Row],[TampT]]+TBA_Matches_All[[#This Row],[TspkrT]]+TBA_Matches_All[[#This Row],[TtrapT]])</f>
        <v>5</v>
      </c>
      <c r="AP222">
        <f>COUNTIFS(Dyno_Data[Team],TBA_Matches_All[[#This Row],[Team]],Dyno_Data[Match],TBA_Matches_All[[#This Row],[Match_Number]],Dyno_Data[RecordType],"Activities",Dyno_Data[DelDest],"Neut", Dyno_Data[DelMiss],"0")</f>
        <v>0</v>
      </c>
      <c r="AQ222">
        <f>COUNTIFS(Dyno_Data[Team],TBA_Matches_All[[#This Row],[Team]],Dyno_Data[Match],TBA_Matches_All[[#This Row],[Match_Number]],Dyno_Data[RecordType],"Activities",Dyno_Data[DelDest],"AllyW", Dyno_Data[DelMiss],"0")</f>
        <v>0</v>
      </c>
      <c r="AR222" t="str">
        <f>_xlfn.XLOOKUP(SUM(MID(TBA_Matches_All[[#This Row],[Team]],4,5),(TBA_Matches_All[[#This Row],[Match_Number]]/100)),Dyno_EndMatch[teammat],Dyno_EndMatch[RobotSta],"_",0,1)</f>
        <v>Podm</v>
      </c>
      <c r="AS222">
        <f>SUMIFS(Dyno_Data[AcqDis], Dyno_Data[Team],TBA_Matches_All[[#This Row],[Team]],Dyno_Data[Match],TBA_Matches_All[[#This Row],[Match_Number]],Dyno_Data[RecordType],"Activities", Dyno_Data[AcqCenter],1,Dyno_Data[Mode],"Auto")</f>
        <v>0</v>
      </c>
      <c r="AT222">
        <f>SUMIFS(Dyno_Data[AcqDis], Dyno_Data[Team],TBA_Matches_All[[#This Row],[Team]],Dyno_Data[Match],TBA_Matches_All[[#This Row],[Match_Number]],Dyno_Data[RecordType],"Activities", Dyno_Data[AcqCenter],2,Dyno_Data[Mode],"Auto")</f>
        <v>0</v>
      </c>
      <c r="AU222">
        <f>SUMIFS(Dyno_Data[AcqDis], Dyno_Data[Team],TBA_Matches_All[[#This Row],[Team]],Dyno_Data[Match],TBA_Matches_All[[#This Row],[Match_Number]],Dyno_Data[RecordType],"Activities", Dyno_Data[AcqCenter],3,Dyno_Data[Mode],"Auto")</f>
        <v>0</v>
      </c>
      <c r="AV222">
        <f>SUMIFS(Dyno_Data[AcqDis], Dyno_Data[Team],TBA_Matches_All[[#This Row],[Team]],Dyno_Data[Match],TBA_Matches_All[[#This Row],[Match_Number]],Dyno_Data[RecordType],"Activities", Dyno_Data[AcqCenter],4,Dyno_Data[Mode],"Auto")</f>
        <v>0</v>
      </c>
      <c r="AW222">
        <f>SUMIFS(Dyno_Data[AcqDis], Dyno_Data[Team],TBA_Matches_All[[#This Row],[Team]],Dyno_Data[Match],TBA_Matches_All[[#This Row],[Match_Number]],Dyno_Data[RecordType],"Activities", Dyno_Data[AcqCenter],5,Dyno_Data[Mode],"Auto")</f>
        <v>0</v>
      </c>
      <c r="AX222">
        <f>SUMIFS(Dyno_Data[DelMiss], Dyno_Data[Team],TBA_Matches_All[[#This Row],[Team]],Dyno_Data[Match],TBA_Matches_All[[#This Row],[Match_Number]],Dyno_Data[RecordType],"Activities", Dyno_Data[DelDest],"Amp")</f>
        <v>0</v>
      </c>
      <c r="AY222" s="60">
        <f>IFERROR(SUM((TBA_Matches_All[[#This Row],[AampT]]+TBA_Matches_All[[#This Row],[TampT]])/(TBA_Matches_All[[#This Row],[AampT]]+TBA_Matches_All[[#This Row],[TampT]]+TBA_Matches_All[[#This Row],[ampM]])),0)</f>
        <v>1</v>
      </c>
      <c r="AZ222">
        <f>SUMIFS(Dyno_Data[DelMiss], Dyno_Data[Team],TBA_Matches_All[[#This Row],[Team]],Dyno_Data[Match],TBA_Matches_All[[#This Row],[Match_Number]],Dyno_Data[RecordType],"Activities", Dyno_Data[DelDest],"Spkr")</f>
        <v>0</v>
      </c>
      <c r="BA222" s="60">
        <f>IFERROR(SUM((TBA_Matches_All[[#This Row],[AspkrT]]+TBA_Matches_All[[#This Row],[TspkrT]])/(TBA_Matches_All[[#This Row],[AspkrT]]+TBA_Matches_All[[#This Row],[TspkrT]]+TBA_Matches_All[[#This Row],[spkrM]])),0)</f>
        <v>1</v>
      </c>
      <c r="BB222">
        <f>SUMIFS(Dyno_Data[DelMiss], Dyno_Data[Team],TBA_Matches_All[[#This Row],[Team]],Dyno_Data[Match],TBA_Matches_All[[#This Row],[Match_Number]],Dyno_Data[RecordType],"Activities", Dyno_Data[DelDest],"Trap")</f>
        <v>0</v>
      </c>
      <c r="BC222" s="60">
        <f>IFERROR((TBA_Matches_All[[#This Row],[AtrapT]]+TBA_Matches_All[[#This Row],[TtrapT]])/(TBA_Matches_All[[#This Row],[AtrapT]]+TBA_Matches_All[[#This Row],[TtrapT]]+TBA_Matches_All[[#This Row],[trapM]]),0)</f>
        <v>0</v>
      </c>
      <c r="BD222">
        <f>COUNTIFS(Dyno_Data[Team],TBA_Matches_All[[#This Row],[Team]],Dyno_Data[Match],TBA_Matches_All[[#This Row],[Match_Number]],Dyno_Data[RecordType],"Activities",Dyno_Data[DelDest],"Neut", Dyno_Data[DelMiss],1)</f>
        <v>0</v>
      </c>
      <c r="BE222" s="60">
        <f>IFERROR(SUM((TBA_Matches_All[[#This Row],[NeutFlrT]])/(TBA_Matches_All[[#This Row],[NeutFlrT]]+TBA_Matches_All[[#This Row],[NZflM]])),0)</f>
        <v>0</v>
      </c>
      <c r="BF222">
        <f>COUNTIFS(Dyno_Data[Team],TBA_Matches_All[[#This Row],[Team]],Dyno_Data[Match],TBA_Matches_All[[#This Row],[Match_Number]],Dyno_Data[RecordType],"Activities",Dyno_Data[DelDest],"AllyW", Dyno_Data[DelMiss],1)</f>
        <v>0</v>
      </c>
      <c r="BG222" s="60">
        <f>IFERROR(SUM((TBA_Matches_All[[#This Row],[AllyWFlrT]])/(TBA_Matches_All[[#This Row],[AllyWFlrT]]+TBA_Matches_All[[#This Row],[AZflM]])),0)</f>
        <v>0</v>
      </c>
      <c r="BH222">
        <f>COUNTIFS(Dyno_Data[Team],TBA_Matches_All[[#This Row],[Team]],Dyno_Data[Match],TBA_Matches_All[[#This Row],[Match_Number]],Dyno_Data[RecordType],"Activities",Dyno_Data[DelOrig],"OppW", Dyno_Data[DelMiss],"0")</f>
        <v>0</v>
      </c>
      <c r="BI222">
        <f>COUNTIFS(Dyno_Data[Team],TBA_Matches_All[[#This Row],[Team]],Dyno_Data[Match],TBA_Matches_All[[#This Row],[Match_Number]],Dyno_Data[RecordType],"Activities",Dyno_Data[DelOrig],"OppW", Dyno_Data[DelMiss],"1")</f>
        <v>0</v>
      </c>
      <c r="BJ222" s="60">
        <f>IFERROR(SUM((TBA_Matches_All[[#This Row],[OZflrT]])/(TBA_Matches_All[[#This Row],[OZflrT]]+TBA_Matches_All[[#This Row],[OZflrM]])),0)</f>
        <v>0</v>
      </c>
      <c r="BK222">
        <f>COUNTIFS(Dyno_Data[Team],TBA_Matches_All[[#This Row],[Team]],Dyno_Data[Match],TBA_Matches_All[[#This Row],[Match_Number]],Dyno_Data[RecordType],"Activities",Dyno_Data[DelOrig],"Neut", Dyno_Data[DelMiss],"0")</f>
        <v>0</v>
      </c>
      <c r="BL222">
        <f>COUNTIFS(Dyno_Data[Team],TBA_Matches_All[[#This Row],[Team]],Dyno_Data[Match],TBA_Matches_All[[#This Row],[Match_Number]],Dyno_Data[RecordType],"Activities",Dyno_Data[DelOrig],"Neut", Dyno_Data[DelMiss],"1")</f>
        <v>0</v>
      </c>
      <c r="BM222" s="60">
        <f>IFERROR(SUM((TBA_Matches_All[[#This Row],[NZflrT]])/(TBA_Matches_All[[#This Row],[NZflrT]]+TBA_Matches_All[[#This Row],[NZflrM]])),0)</f>
        <v>0</v>
      </c>
      <c r="BN222">
        <f>COUNTIFS(Dyno_Data[Team],TBA_Matches_All[[#This Row],[Team]],Dyno_Data[Match],TBA_Matches_All[[#This Row],[Match_Number]],Dyno_Data[RecordType],"Activities",Dyno_Data[DelOrig],"AllyW", Dyno_Data[DelMiss],"0")</f>
        <v>5</v>
      </c>
      <c r="BO222">
        <f>COUNTIFS(Dyno_Data[Team],TBA_Matches_All[[#This Row],[Team]],Dyno_Data[Match],TBA_Matches_All[[#This Row],[Match_Number]],Dyno_Data[RecordType],"Activities",Dyno_Data[DelOrig],"AllyW", Dyno_Data[DelMiss],"1")</f>
        <v>0</v>
      </c>
      <c r="BP222" s="60">
        <f>IFERROR(SUM((TBA_Matches_All[[#This Row],[AZflrT]])/(TBA_Matches_All[[#This Row],[AZflrT]]+TBA_Matches_All[[#This Row],[AZflrM]])),0)</f>
        <v>1</v>
      </c>
      <c r="BQ222">
        <f>COUNTIFS(Dyno_Data[Team],TBA_Matches_All[[#This Row],[Team]],Dyno_Data[Match],TBA_Matches_All[[#This Row],[Match_Number]],Dyno_Data[RecordType],"Activities",Dyno_Data[DelOrig],"SubW", Dyno_Data[DelMiss],"0")</f>
        <v>0</v>
      </c>
      <c r="BR222">
        <f>COUNTIFS(Dyno_Data[Team],TBA_Matches_All[[#This Row],[Team]],Dyno_Data[Match],TBA_Matches_All[[#This Row],[Match_Number]],Dyno_Data[RecordType],"Activities",Dyno_Data[DelOrig],"SubW", Dyno_Data[DelMiss],"1")</f>
        <v>0</v>
      </c>
      <c r="BS222" s="60">
        <f>IFERROR(SUM((TBA_Matches_All[[#This Row],[SubwT]])/(TBA_Matches_All[[#This Row],[SubwT]]+TBA_Matches_All[[#This Row],[SubwM]])),0)</f>
        <v>0</v>
      </c>
      <c r="BT222">
        <f>COUNTIFS(Dyno_Data[Team],TBA_Matches_All[[#This Row],[Team]],Dyno_Data[Match],TBA_Matches_All[[#This Row],[Match_Number]],Dyno_Data[RecordType],"Activities", Dyno_Data[AcqLoc],"OppWing")</f>
        <v>0</v>
      </c>
      <c r="BU222">
        <f>COUNTIFS(Dyno_Data[Team],TBA_Matches_All[[#This Row],[Team]],Dyno_Data[Match],TBA_Matches_All[[#This Row],[Match_Number]],Dyno_Data[RecordType],"Activities", Dyno_Data[AcqLoc],"Neutral")</f>
        <v>0</v>
      </c>
      <c r="BV222">
        <f>COUNTIFS(Dyno_Data[Team],TBA_Matches_All[[#This Row],[Team]],Dyno_Data[Match],TBA_Matches_All[[#This Row],[Match_Number]],Dyno_Data[RecordType],"Activities", Dyno_Data[AcqLoc],"AllyWing")</f>
        <v>0</v>
      </c>
      <c r="BW222">
        <f>COUNTIFS(Dyno_Data[Team],TBA_Matches_All[[#This Row],[Team]],Dyno_Data[Match],TBA_Matches_All[[#This Row],[Match_Number]],Dyno_Data[RecordType],"Activities", Dyno_Data[AcqLoc],"Source")</f>
        <v>0</v>
      </c>
      <c r="BX222">
        <f>SUMIFS(Dyno_Data[AcqDrp], Dyno_Data[Team],TBA_Matches_All[[#This Row],[Team]],Dyno_Data[Match],TBA_Matches_All[[#This Row],[Match_Number]],Dyno_Data[RecordType],"Activities", Dyno_Data[AcqLoc],"Source")</f>
        <v>0</v>
      </c>
      <c r="BY222">
        <f>SUMIFS(Dyno_Data[OZTime], Dyno_Data[Team],TBA_Matches_All[[#This Row],[Team]],Dyno_Data[Match],TBA_Matches_All[[#This Row],[Match_Number]],Dyno_Data[RecordType],"EndMatch")</f>
        <v>35.099648500000001</v>
      </c>
      <c r="BZ222">
        <f>SUMIFS(Dyno_Data[NZTime], Dyno_Data[Team],TBA_Matches_All[[#This Row],[Team]],Dyno_Data[Match],TBA_Matches_All[[#This Row],[Match_Number]],Dyno_Data[RecordType],"EndMatch")</f>
        <v>13.9340163</v>
      </c>
      <c r="CA222">
        <f>SUMIFS(Dyno_Data[AZTime], Dyno_Data[Team],TBA_Matches_All[[#This Row],[Team]],Dyno_Data[Match],TBA_Matches_All[[#This Row],[Match_Number]],Dyno_Data[RecordType],"EndMatch")</f>
        <v>46.176658699999997</v>
      </c>
      <c r="CB222">
        <f>SUMIFS(Dyno_Data[ClimbT], Dyno_Data[Team],TBA_Matches_All[[#This Row],[Team]],Dyno_Data[Match],TBA_Matches_All[[#This Row],[Match_Number]],Dyno_Data[RecordType],"EndMatch")</f>
        <v>27.947180699999997</v>
      </c>
      <c r="CC222" t="str">
        <f>_xlfn.XLOOKUP(SUM(MID(TBA_Matches_All[[#This Row],[Team]],4,5),(TBA_Matches_All[[#This Row],[Match_Number]]/100)),Dyno_EndMatch[teammat],Dyno_EndMatch[StageStat],"_",0,1)</f>
        <v>On</v>
      </c>
      <c r="CD222" t="str">
        <f>_xlfn.XLOOKUP(TBA_Matches_All[[#This Row],[teammat]],Dyno_EndMatch[teammat],Dyno_EndMatch[StageAtt],"_",0,1)</f>
        <v>1</v>
      </c>
      <c r="CE222" t="str">
        <f>_xlfn.XLOOKUP(TBA_Matches_All[[#This Row],[teammat]],Dyno_EndMatch[teammat],Dyno_EndMatch[StageLoc],"_",0,1)</f>
        <v>R</v>
      </c>
      <c r="CF222">
        <f>SUMIFS(Dyno_Data[Harmony], Dyno_Data[Team],TBA_Matches_All[[#This Row],[Team]],Dyno_Data[Match],TBA_Matches_All[[#This Row],[Match_Number]],Dyno_Data[RecordType],"EndMatch", Dyno_Data[StageStat],"On",Dyno_Data[Harmony],"&lt;&gt;9")</f>
        <v>1</v>
      </c>
      <c r="CG222">
        <f>SUMIFS(Dyno_Data[Spotlit], Dyno_Data[Team],TBA_Matches_All[[#This Row],[Team]],Dyno_Data[Match],TBA_Matches_All[[#This Row],[Match_Number]],Dyno_Data[RecordType],"EndMatch", Dyno_Data[StageStat],"On",Dyno_Data[Spotlit],"&lt;&gt;9")</f>
        <v>0</v>
      </c>
      <c r="CH222" t="str">
        <f>_xlfn.XLOOKUP(TBA_Matches_All[[#This Row],[teammat]],Dyno_EndMatch[teammat],Dyno_EndMatch[Strategy],"_",0,1)</f>
        <v>Hybrid</v>
      </c>
      <c r="CI222">
        <f>SUMIFS(Dyno_Data[Defense], Dyno_Data[Team],TBA_Matches_All[[#This Row],[Team]],Dyno_Data[Match],TBA_Matches_All[[#This Row],[Match_Number]],Dyno_Data[RecordType],"EndMatch",Dyno_Data[Defense],"&lt;&gt;9")</f>
        <v>0</v>
      </c>
      <c r="CJ222">
        <f>SUMIFS(Dyno_Data[Avoidance], Dyno_Data[Team],TBA_Matches_All[[#This Row],[Team]],Dyno_Data[Match],TBA_Matches_All[[#This Row],[Match_Number]],Dyno_Data[RecordType],"EndMatch",Dyno_Data[Avoidance],"&lt;&gt;9")</f>
        <v>0</v>
      </c>
      <c r="CK222" s="82">
        <f>COUNTIF($H$2:TBA_Matches_All[[#This Row],[Team]],TBA_Matches_All[[#This Row],[Team]])</f>
        <v>5</v>
      </c>
      <c r="CL222" s="111">
        <f>SUM(MID(TBA_Matches_All[[#This Row],[Team]],4,5)+TBA_Matches_All[[#This Row],[Match_Number]]/100)</f>
        <v>3181.37</v>
      </c>
      <c r="CM222">
        <f>SUM((TBA_Matches_All[[#This Row],[Leave]]*2)+(TBA_Matches_All[[#This Row],[AampT]]*2)+(TBA_Matches_All[[#This Row],[AspkrT]]*5)+(TBA_Matches_All[[#This Row],[AtrapT]]*5))</f>
        <v>7</v>
      </c>
      <c r="CN222" s="59">
        <f>IFERROR(SUM(TBA_Matches_All[[#This Row],[AptsT]]/TBA_Matches_All[[#This Row],[AutoPts]]),0)</f>
        <v>0.20588235294117646</v>
      </c>
      <c r="CO222" s="59">
        <f>IFERROR(SUM(TBA_Matches_All[[#This Row],[AampT]]+TBA_Matches_All[[#This Row],[AspkrT]]+TBA_Matches_All[[#This Row],[AtrapT]]/TBA_Matches_All[[#This Row],[Aamp]]+TBA_Matches_All[[#This Row],[Aspkr]]+TBA_Matches_All[[#This Row],[AtrapT]]),0)</f>
        <v>0</v>
      </c>
      <c r="CP222" s="59">
        <f>IFERROR(SUM(TBA_Matches_All[[#This Row],[TampT]]/TBA_Matches_All[[#This Row],[Tamp]]),0)</f>
        <v>1</v>
      </c>
      <c r="CQ222" s="59">
        <f>IFERROR(SUM(TBA_Matches_All[[#This Row],[TspkrT]]/TBA_Matches_All[[#This Row],[Tspkr]]),0)</f>
        <v>0.15</v>
      </c>
      <c r="CR222">
        <f>SUM(TBA_Matches_All[[#This Row],[TspkrPts]]*TBA_Matches_All[[#This Row],[TspkrP]])</f>
        <v>6</v>
      </c>
      <c r="CS222" s="59">
        <f>IFERROR(SUM(TBA_Matches_All[[#This Row],[TtrapT]]/TBA_Matches_All[[#This Row],[Trap]]),0)</f>
        <v>0</v>
      </c>
      <c r="CT222" s="59">
        <f>IFERROR(SUM(TBA_Matches_All[[#This Row],[TotNotesT]]/TBA_Matches_All[[#This Row],[TotNotes]]),0)</f>
        <v>0.18518518518518517</v>
      </c>
      <c r="CU222" s="66">
        <f>SUM((TBA_Matches_All[[#This Row],[AampT]]*2)+(TBA_Matches_All[[#This Row],[AspkrT]]*5)+(TBA_Matches_All[[#This Row],[AtrapT]]*5)+(TBA_Matches_All[[#This Row],[TampT]]*1)+(TBA_Matches_All[[#This Row],[TspkrptsC]]))</f>
        <v>12</v>
      </c>
      <c r="CV222" s="59">
        <f>IFERROR(TBA_Matches_All[[#This Row],[noteptsT]]/TBA_Matches_All[[#This Row],[NotePts]],0)</f>
        <v>0.16901408450704225</v>
      </c>
      <c r="CW222">
        <f>SUM(IF(TBA_Matches_All[[#This Row],[stageStat]]="On",3,0),IF(TBA_Matches_All[[#This Row],[stageStat]]="Park",1,0),SUMIFS(TBA_Matches_All[[#This Row],[Spotlit]],TBA_Matches_All[[#This Row],[stageStat]],"On"),SUMIFS(TBA_Matches_All[[#This Row],[Harmony]],TBA_Matches_All[[#This Row],[stageStat]],"On"))</f>
        <v>4</v>
      </c>
      <c r="CX222" s="59">
        <f>IFERROR(TBA_Matches_All[[#This Row],[stageptsT]]/TBA_Matches_All[[#This Row],[StagePts]],0)</f>
        <v>0.36363636363636365</v>
      </c>
      <c r="CY222">
        <f>SUM((TBA_Matches_All[[#This Row],[AptsT]]+TBA_Matches_All[[#This Row],[TampT]]+TBA_Matches_All[[#This Row],[TspkrptsC]]+(TBA_Matches_All[[#This Row],[TtrapT]]*5)+TBA_Matches_All[[#This Row],[stageptsT]]))</f>
        <v>18</v>
      </c>
      <c r="CZ222" s="59">
        <f>IFERROR(SUM(TBA_Matches_All[[#This Row],[TotptsC]]/TBA_Matches_All[[#This Row],[Score]]),0)</f>
        <v>0.20930232558139536</v>
      </c>
      <c r="DA22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8.4204545454545467</v>
      </c>
      <c r="DB222" s="74">
        <f>SUMIFS(TBA_Matches_All[AveTeamTNoteDels],TBA_Matches_All[Match_Number],TBA_Matches_All[[#This Row],[Match_Number]],TBA_Matches_All[Alliance],"&lt;&gt;"&amp;TBA_Matches_All[[#This Row],[Alliance]],TBA_Matches_All[Scouted],"&gt;0")</f>
        <v>17.410164835164835</v>
      </c>
      <c r="DC222" s="74">
        <f>(TBA_Matches_All[[#This Row],[TampT]]+TBA_Matches_All[[#This Row],[TspkrptsC]])-TBA_Matches_All[[#This Row],[AveTeamTNoteDels]]</f>
        <v>-1.4204545454545467</v>
      </c>
      <c r="DD222" s="74">
        <f>SUMIFS(TBA_Matches_All[AveTeamTNoteDels],TBA_Matches_All[Match_Number],TBA_Matches_All[[#This Row],[Match_Number]],TBA_Matches_All[Alliance],"&lt;&gt;"&amp;TBA_Matches_All[[#This Row],[Alliance]])-TBA_Matches_All[[#This Row],[AveOppTNoteDels]]</f>
        <v>0</v>
      </c>
    </row>
    <row r="223" spans="1:108" x14ac:dyDescent="0.3">
      <c r="A223" t="s">
        <v>1042</v>
      </c>
      <c r="B223" t="s">
        <v>489</v>
      </c>
      <c r="C223" t="s">
        <v>1346</v>
      </c>
      <c r="D223">
        <v>37</v>
      </c>
      <c r="E223" t="s">
        <v>1420</v>
      </c>
      <c r="F223" t="s">
        <v>1421</v>
      </c>
      <c r="G223" t="s">
        <v>164</v>
      </c>
      <c r="H223" t="s">
        <v>1309</v>
      </c>
      <c r="I223" t="b">
        <v>0</v>
      </c>
      <c r="J223">
        <v>47</v>
      </c>
      <c r="K223">
        <v>0</v>
      </c>
      <c r="L223">
        <v>1</v>
      </c>
      <c r="M223">
        <v>0</v>
      </c>
      <c r="N223">
        <v>0</v>
      </c>
      <c r="O223">
        <v>2</v>
      </c>
      <c r="P223">
        <v>10</v>
      </c>
      <c r="Q223">
        <v>12</v>
      </c>
      <c r="R223">
        <v>0</v>
      </c>
      <c r="S223">
        <v>0</v>
      </c>
      <c r="T223">
        <v>11</v>
      </c>
      <c r="U223">
        <v>0</v>
      </c>
      <c r="V223">
        <v>22</v>
      </c>
      <c r="W223">
        <v>11</v>
      </c>
      <c r="X223">
        <v>22</v>
      </c>
      <c r="Y223">
        <v>22</v>
      </c>
      <c r="Z223">
        <v>0</v>
      </c>
      <c r="AA223">
        <v>0</v>
      </c>
      <c r="AB223">
        <v>13</v>
      </c>
      <c r="AC223">
        <v>32</v>
      </c>
      <c r="AD223">
        <v>3</v>
      </c>
      <c r="AE223">
        <f>IFERROR(6/(COUNTIF(Dyno_EndMatch[Match],TBA_Matches_All[[#This Row],[Match_Number]])),0)</f>
        <v>1</v>
      </c>
      <c r="AF223">
        <f>COUNTIFS(Dyno_Data[Team],TBA_Matches_All[[#This Row],[Team]],Dyno_Data[Match],TBA_Matches_All[[#This Row],[Match_Number]],Dyno_Data[RecordType],"EndMatch",Dyno_Data[HPAmp],"Y")</f>
        <v>1</v>
      </c>
      <c r="AG223">
        <f>SUMIFS(Dyno_Data[Mics], Dyno_Data[Team],TBA_Matches_All[[#This Row],[Team]],Dyno_Data[Match],TBA_Matches_All[[#This Row],[Match_Number]],Dyno_Data[RecordType],"EndMatch",Dyno_Data[HPAmp],"Y")</f>
        <v>0</v>
      </c>
      <c r="AH223">
        <f>SUMIFS(Dyno_Data[Leave], Dyno_Data[Team],TBA_Matches_All[[#This Row],[Team]],Dyno_Data[Match],TBA_Matches_All[[#This Row],[Match_Number]],Dyno_Data[RecordType],"EndAuto")</f>
        <v>1</v>
      </c>
      <c r="AI223">
        <f>COUNTIFS(Dyno_Data[Team],TBA_Matches_All[[#This Row],[Team]],Dyno_Data[Match],TBA_Matches_All[[#This Row],[Match_Number]],Dyno_Data[RecordType],"Activities",Dyno_Data[DelDest],"Amp", Dyno_Data[DelMiss],"0", Dyno_Data[Mode],"Auto")</f>
        <v>0</v>
      </c>
      <c r="AJ223">
        <f>COUNTIFS(Dyno_Data[Team],TBA_Matches_All[[#This Row],[Team]],Dyno_Data[Match],TBA_Matches_All[[#This Row],[Match_Number]],Dyno_Data[RecordType],"Activities",Dyno_Data[DelDest],"Spkr", Dyno_Data[DelMiss],"0", Dyno_Data[Mode],"Auto")</f>
        <v>0</v>
      </c>
      <c r="AK223">
        <f>COUNTIFS(Dyno_Data[Team],TBA_Matches_All[[#This Row],[Team]],Dyno_Data[Match],TBA_Matches_All[[#This Row],[Match_Number]],Dyno_Data[RecordType],"Activities",Dyno_Data[DelDest],"Trap", Dyno_Data[DelMiss],"0", Dyno_Data[Mode],"Auto")</f>
        <v>0</v>
      </c>
      <c r="AL223">
        <f>COUNTIFS(Dyno_Data[Team],TBA_Matches_All[[#This Row],[Team]],Dyno_Data[Match],TBA_Matches_All[[#This Row],[Match_Number]],Dyno_Data[RecordType],"Activities",Dyno_Data[DelDest],"Amp", Dyno_Data[DelMiss],"0", Dyno_Data[Mode],"Teleop")</f>
        <v>0</v>
      </c>
      <c r="AM223">
        <f>COUNTIFS(Dyno_Data[Team],TBA_Matches_All[[#This Row],[Team]],Dyno_Data[Match],TBA_Matches_All[[#This Row],[Match_Number]],Dyno_Data[RecordType],"Activities",Dyno_Data[DelDest],"Spkr", Dyno_Data[DelMiss],"0", Dyno_Data[Mode],"Teleop")</f>
        <v>0</v>
      </c>
      <c r="AN223">
        <f>COUNTIFS(Dyno_Data[Team],TBA_Matches_All[[#This Row],[Team]],Dyno_Data[Match],TBA_Matches_All[[#This Row],[Match_Number]],Dyno_Data[RecordType],"Activities",Dyno_Data[DelDest],"Trap", Dyno_Data[DelMiss],"0", Dyno_Data[Mode],"&lt;&gt;Auto")</f>
        <v>0</v>
      </c>
      <c r="AO223">
        <f>SUM(TBA_Matches_All[[#This Row],[AampT]]+TBA_Matches_All[[#This Row],[AspkrT]]+TBA_Matches_All[[#This Row],[AtrapT]]+TBA_Matches_All[[#This Row],[TampT]]+TBA_Matches_All[[#This Row],[TspkrT]]+TBA_Matches_All[[#This Row],[TtrapT]])</f>
        <v>0</v>
      </c>
      <c r="AP223">
        <f>COUNTIFS(Dyno_Data[Team],TBA_Matches_All[[#This Row],[Team]],Dyno_Data[Match],TBA_Matches_All[[#This Row],[Match_Number]],Dyno_Data[RecordType],"Activities",Dyno_Data[DelDest],"Neut", Dyno_Data[DelMiss],"0")</f>
        <v>0</v>
      </c>
      <c r="AQ223">
        <f>COUNTIFS(Dyno_Data[Team],TBA_Matches_All[[#This Row],[Team]],Dyno_Data[Match],TBA_Matches_All[[#This Row],[Match_Number]],Dyno_Data[RecordType],"Activities",Dyno_Data[DelDest],"AllyW", Dyno_Data[DelMiss],"0")</f>
        <v>1</v>
      </c>
      <c r="AR223" t="str">
        <f>_xlfn.XLOOKUP(SUM(MID(TBA_Matches_All[[#This Row],[Team]],4,5),(TBA_Matches_All[[#This Row],[Match_Number]]/100)),Dyno_EndMatch[teammat],Dyno_EndMatch[RobotSta],"_",0,1)</f>
        <v>Amp</v>
      </c>
      <c r="AS223">
        <f>SUMIFS(Dyno_Data[AcqDis], Dyno_Data[Team],TBA_Matches_All[[#This Row],[Team]],Dyno_Data[Match],TBA_Matches_All[[#This Row],[Match_Number]],Dyno_Data[RecordType],"Activities", Dyno_Data[AcqCenter],1,Dyno_Data[Mode],"Auto")</f>
        <v>0</v>
      </c>
      <c r="AT223">
        <f>SUMIFS(Dyno_Data[AcqDis], Dyno_Data[Team],TBA_Matches_All[[#This Row],[Team]],Dyno_Data[Match],TBA_Matches_All[[#This Row],[Match_Number]],Dyno_Data[RecordType],"Activities", Dyno_Data[AcqCenter],2,Dyno_Data[Mode],"Auto")</f>
        <v>0</v>
      </c>
      <c r="AU223">
        <f>SUMIFS(Dyno_Data[AcqDis], Dyno_Data[Team],TBA_Matches_All[[#This Row],[Team]],Dyno_Data[Match],TBA_Matches_All[[#This Row],[Match_Number]],Dyno_Data[RecordType],"Activities", Dyno_Data[AcqCenter],3,Dyno_Data[Mode],"Auto")</f>
        <v>0</v>
      </c>
      <c r="AV223">
        <f>SUMIFS(Dyno_Data[AcqDis], Dyno_Data[Team],TBA_Matches_All[[#This Row],[Team]],Dyno_Data[Match],TBA_Matches_All[[#This Row],[Match_Number]],Dyno_Data[RecordType],"Activities", Dyno_Data[AcqCenter],4,Dyno_Data[Mode],"Auto")</f>
        <v>0</v>
      </c>
      <c r="AW223">
        <f>SUMIFS(Dyno_Data[AcqDis], Dyno_Data[Team],TBA_Matches_All[[#This Row],[Team]],Dyno_Data[Match],TBA_Matches_All[[#This Row],[Match_Number]],Dyno_Data[RecordType],"Activities", Dyno_Data[AcqCenter],5,Dyno_Data[Mode],"Auto")</f>
        <v>0</v>
      </c>
      <c r="AX223">
        <f>SUMIFS(Dyno_Data[DelMiss], Dyno_Data[Team],TBA_Matches_All[[#This Row],[Team]],Dyno_Data[Match],TBA_Matches_All[[#This Row],[Match_Number]],Dyno_Data[RecordType],"Activities", Dyno_Data[DelDest],"Amp")</f>
        <v>0</v>
      </c>
      <c r="AY223" s="60">
        <f>IFERROR(SUM((TBA_Matches_All[[#This Row],[AampT]]+TBA_Matches_All[[#This Row],[TampT]])/(TBA_Matches_All[[#This Row],[AampT]]+TBA_Matches_All[[#This Row],[TampT]]+TBA_Matches_All[[#This Row],[ampM]])),0)</f>
        <v>0</v>
      </c>
      <c r="AZ223">
        <f>SUMIFS(Dyno_Data[DelMiss], Dyno_Data[Team],TBA_Matches_All[[#This Row],[Team]],Dyno_Data[Match],TBA_Matches_All[[#This Row],[Match_Number]],Dyno_Data[RecordType],"Activities", Dyno_Data[DelDest],"Spkr")</f>
        <v>1</v>
      </c>
      <c r="BA223" s="60">
        <f>IFERROR(SUM((TBA_Matches_All[[#This Row],[AspkrT]]+TBA_Matches_All[[#This Row],[TspkrT]])/(TBA_Matches_All[[#This Row],[AspkrT]]+TBA_Matches_All[[#This Row],[TspkrT]]+TBA_Matches_All[[#This Row],[spkrM]])),0)</f>
        <v>0</v>
      </c>
      <c r="BB223">
        <f>SUMIFS(Dyno_Data[DelMiss], Dyno_Data[Team],TBA_Matches_All[[#This Row],[Team]],Dyno_Data[Match],TBA_Matches_All[[#This Row],[Match_Number]],Dyno_Data[RecordType],"Activities", Dyno_Data[DelDest],"Trap")</f>
        <v>0</v>
      </c>
      <c r="BC223" s="60">
        <f>IFERROR((TBA_Matches_All[[#This Row],[AtrapT]]+TBA_Matches_All[[#This Row],[TtrapT]])/(TBA_Matches_All[[#This Row],[AtrapT]]+TBA_Matches_All[[#This Row],[TtrapT]]+TBA_Matches_All[[#This Row],[trapM]]),0)</f>
        <v>0</v>
      </c>
      <c r="BD223">
        <f>COUNTIFS(Dyno_Data[Team],TBA_Matches_All[[#This Row],[Team]],Dyno_Data[Match],TBA_Matches_All[[#This Row],[Match_Number]],Dyno_Data[RecordType],"Activities",Dyno_Data[DelDest],"Neut", Dyno_Data[DelMiss],1)</f>
        <v>0</v>
      </c>
      <c r="BE223" s="60">
        <f>IFERROR(SUM((TBA_Matches_All[[#This Row],[NeutFlrT]])/(TBA_Matches_All[[#This Row],[NeutFlrT]]+TBA_Matches_All[[#This Row],[NZflM]])),0)</f>
        <v>0</v>
      </c>
      <c r="BF223">
        <f>COUNTIFS(Dyno_Data[Team],TBA_Matches_All[[#This Row],[Team]],Dyno_Data[Match],TBA_Matches_All[[#This Row],[Match_Number]],Dyno_Data[RecordType],"Activities",Dyno_Data[DelDest],"AllyW", Dyno_Data[DelMiss],1)</f>
        <v>0</v>
      </c>
      <c r="BG223" s="60">
        <f>IFERROR(SUM((TBA_Matches_All[[#This Row],[AllyWFlrT]])/(TBA_Matches_All[[#This Row],[AllyWFlrT]]+TBA_Matches_All[[#This Row],[AZflM]])),0)</f>
        <v>1</v>
      </c>
      <c r="BH223">
        <f>COUNTIFS(Dyno_Data[Team],TBA_Matches_All[[#This Row],[Team]],Dyno_Data[Match],TBA_Matches_All[[#This Row],[Match_Number]],Dyno_Data[RecordType],"Activities",Dyno_Data[DelOrig],"OppW", Dyno_Data[DelMiss],"0")</f>
        <v>0</v>
      </c>
      <c r="BI223">
        <f>COUNTIFS(Dyno_Data[Team],TBA_Matches_All[[#This Row],[Team]],Dyno_Data[Match],TBA_Matches_All[[#This Row],[Match_Number]],Dyno_Data[RecordType],"Activities",Dyno_Data[DelOrig],"OppW", Dyno_Data[DelMiss],"1")</f>
        <v>0</v>
      </c>
      <c r="BJ223" s="60">
        <f>IFERROR(SUM((TBA_Matches_All[[#This Row],[OZflrT]])/(TBA_Matches_All[[#This Row],[OZflrT]]+TBA_Matches_All[[#This Row],[OZflrM]])),0)</f>
        <v>0</v>
      </c>
      <c r="BK223">
        <f>COUNTIFS(Dyno_Data[Team],TBA_Matches_All[[#This Row],[Team]],Dyno_Data[Match],TBA_Matches_All[[#This Row],[Match_Number]],Dyno_Data[RecordType],"Activities",Dyno_Data[DelOrig],"Neut", Dyno_Data[DelMiss],"0")</f>
        <v>1</v>
      </c>
      <c r="BL223">
        <f>COUNTIFS(Dyno_Data[Team],TBA_Matches_All[[#This Row],[Team]],Dyno_Data[Match],TBA_Matches_All[[#This Row],[Match_Number]],Dyno_Data[RecordType],"Activities",Dyno_Data[DelOrig],"Neut", Dyno_Data[DelMiss],"1")</f>
        <v>0</v>
      </c>
      <c r="BM223" s="60">
        <f>IFERROR(SUM((TBA_Matches_All[[#This Row],[NZflrT]])/(TBA_Matches_All[[#This Row],[NZflrT]]+TBA_Matches_All[[#This Row],[NZflrM]])),0)</f>
        <v>1</v>
      </c>
      <c r="BN223">
        <f>COUNTIFS(Dyno_Data[Team],TBA_Matches_All[[#This Row],[Team]],Dyno_Data[Match],TBA_Matches_All[[#This Row],[Match_Number]],Dyno_Data[RecordType],"Activities",Dyno_Data[DelOrig],"AllyW", Dyno_Data[DelMiss],"0")</f>
        <v>0</v>
      </c>
      <c r="BO223">
        <f>COUNTIFS(Dyno_Data[Team],TBA_Matches_All[[#This Row],[Team]],Dyno_Data[Match],TBA_Matches_All[[#This Row],[Match_Number]],Dyno_Data[RecordType],"Activities",Dyno_Data[DelOrig],"AllyW", Dyno_Data[DelMiss],"1")</f>
        <v>0</v>
      </c>
      <c r="BP223" s="60">
        <f>IFERROR(SUM((TBA_Matches_All[[#This Row],[AZflrT]])/(TBA_Matches_All[[#This Row],[AZflrT]]+TBA_Matches_All[[#This Row],[AZflrM]])),0)</f>
        <v>0</v>
      </c>
      <c r="BQ223">
        <f>COUNTIFS(Dyno_Data[Team],TBA_Matches_All[[#This Row],[Team]],Dyno_Data[Match],TBA_Matches_All[[#This Row],[Match_Number]],Dyno_Data[RecordType],"Activities",Dyno_Data[DelOrig],"SubW", Dyno_Data[DelMiss],"0")</f>
        <v>0</v>
      </c>
      <c r="BR223">
        <f>COUNTIFS(Dyno_Data[Team],TBA_Matches_All[[#This Row],[Team]],Dyno_Data[Match],TBA_Matches_All[[#This Row],[Match_Number]],Dyno_Data[RecordType],"Activities",Dyno_Data[DelOrig],"SubW", Dyno_Data[DelMiss],"1")</f>
        <v>1</v>
      </c>
      <c r="BS223" s="60">
        <f>IFERROR(SUM((TBA_Matches_All[[#This Row],[SubwT]])/(TBA_Matches_All[[#This Row],[SubwT]]+TBA_Matches_All[[#This Row],[SubwM]])),0)</f>
        <v>0</v>
      </c>
      <c r="BT223">
        <f>COUNTIFS(Dyno_Data[Team],TBA_Matches_All[[#This Row],[Team]],Dyno_Data[Match],TBA_Matches_All[[#This Row],[Match_Number]],Dyno_Data[RecordType],"Activities", Dyno_Data[AcqLoc],"OppWing")</f>
        <v>0</v>
      </c>
      <c r="BU223">
        <f>COUNTIFS(Dyno_Data[Team],TBA_Matches_All[[#This Row],[Team]],Dyno_Data[Match],TBA_Matches_All[[#This Row],[Match_Number]],Dyno_Data[RecordType],"Activities", Dyno_Data[AcqLoc],"Neutral")</f>
        <v>0</v>
      </c>
      <c r="BV223">
        <f>COUNTIFS(Dyno_Data[Team],TBA_Matches_All[[#This Row],[Team]],Dyno_Data[Match],TBA_Matches_All[[#This Row],[Match_Number]],Dyno_Data[RecordType],"Activities", Dyno_Data[AcqLoc],"AllyWing")</f>
        <v>0</v>
      </c>
      <c r="BW223">
        <f>COUNTIFS(Dyno_Data[Team],TBA_Matches_All[[#This Row],[Team]],Dyno_Data[Match],TBA_Matches_All[[#This Row],[Match_Number]],Dyno_Data[RecordType],"Activities", Dyno_Data[AcqLoc],"Source")</f>
        <v>0</v>
      </c>
      <c r="BX223">
        <f>SUMIFS(Dyno_Data[AcqDrp], Dyno_Data[Team],TBA_Matches_All[[#This Row],[Team]],Dyno_Data[Match],TBA_Matches_All[[#This Row],[Match_Number]],Dyno_Data[RecordType],"Activities", Dyno_Data[AcqLoc],"Source")</f>
        <v>0</v>
      </c>
      <c r="BY223">
        <f>SUMIFS(Dyno_Data[OZTime], Dyno_Data[Team],TBA_Matches_All[[#This Row],[Team]],Dyno_Data[Match],TBA_Matches_All[[#This Row],[Match_Number]],Dyno_Data[RecordType],"EndMatch")</f>
        <v>79.474443499999992</v>
      </c>
      <c r="BZ223">
        <f>SUMIFS(Dyno_Data[NZTime], Dyno_Data[Team],TBA_Matches_All[[#This Row],[Team]],Dyno_Data[Match],TBA_Matches_All[[#This Row],[Match_Number]],Dyno_Data[RecordType],"EndMatch")</f>
        <v>54.361267499999997</v>
      </c>
      <c r="CA223">
        <f>SUMIFS(Dyno_Data[AZTime], Dyno_Data[Team],TBA_Matches_All[[#This Row],[Team]],Dyno_Data[Match],TBA_Matches_All[[#This Row],[Match_Number]],Dyno_Data[RecordType],"EndMatch")</f>
        <v>2.6335723</v>
      </c>
      <c r="CB223">
        <f>SUMIFS(Dyno_Data[ClimbT], Dyno_Data[Team],TBA_Matches_All[[#This Row],[Team]],Dyno_Data[Match],TBA_Matches_All[[#This Row],[Match_Number]],Dyno_Data[RecordType],"EndMatch")</f>
        <v>0</v>
      </c>
      <c r="CC223" t="str">
        <f>_xlfn.XLOOKUP(SUM(MID(TBA_Matches_All[[#This Row],[Team]],4,5),(TBA_Matches_All[[#This Row],[Match_Number]]/100)),Dyno_EndMatch[teammat],Dyno_EndMatch[StageStat],"_",0,1)</f>
        <v>Park</v>
      </c>
      <c r="CD223" t="str">
        <f>_xlfn.XLOOKUP(TBA_Matches_All[[#This Row],[teammat]],Dyno_EndMatch[teammat],Dyno_EndMatch[StageAtt],"_",0,1)</f>
        <v>0</v>
      </c>
      <c r="CE223" t="str">
        <f>_xlfn.XLOOKUP(TBA_Matches_All[[#This Row],[teammat]],Dyno_EndMatch[teammat],Dyno_EndMatch[StageLoc],"_",0,1)</f>
        <v>A</v>
      </c>
      <c r="CF223">
        <f>SUMIFS(Dyno_Data[Harmony], Dyno_Data[Team],TBA_Matches_All[[#This Row],[Team]],Dyno_Data[Match],TBA_Matches_All[[#This Row],[Match_Number]],Dyno_Data[RecordType],"EndMatch", Dyno_Data[StageStat],"On",Dyno_Data[Harmony],"&lt;&gt;9")</f>
        <v>0</v>
      </c>
      <c r="CG223">
        <f>SUMIFS(Dyno_Data[Spotlit], Dyno_Data[Team],TBA_Matches_All[[#This Row],[Team]],Dyno_Data[Match],TBA_Matches_All[[#This Row],[Match_Number]],Dyno_Data[RecordType],"EndMatch", Dyno_Data[StageStat],"On",Dyno_Data[Spotlit],"&lt;&gt;9")</f>
        <v>0</v>
      </c>
      <c r="CH223" t="str">
        <f>_xlfn.XLOOKUP(TBA_Matches_All[[#This Row],[teammat]],Dyno_EndMatch[teammat],Dyno_EndMatch[Strategy],"_",0,1)</f>
        <v>Hybrid</v>
      </c>
      <c r="CI223">
        <f>SUMIFS(Dyno_Data[Defense], Dyno_Data[Team],TBA_Matches_All[[#This Row],[Team]],Dyno_Data[Match],TBA_Matches_All[[#This Row],[Match_Number]],Dyno_Data[RecordType],"EndMatch",Dyno_Data[Defense],"&lt;&gt;9")</f>
        <v>1</v>
      </c>
      <c r="CJ223">
        <f>SUMIFS(Dyno_Data[Avoidance], Dyno_Data[Team],TBA_Matches_All[[#This Row],[Team]],Dyno_Data[Match],TBA_Matches_All[[#This Row],[Match_Number]],Dyno_Data[RecordType],"EndMatch",Dyno_Data[Avoidance],"&lt;&gt;9")</f>
        <v>0</v>
      </c>
      <c r="CK223" s="82">
        <f>COUNTIF($H$2:TBA_Matches_All[[#This Row],[Team]],TBA_Matches_All[[#This Row],[Team]])</f>
        <v>5</v>
      </c>
      <c r="CL223" s="111">
        <f>SUM(MID(TBA_Matches_All[[#This Row],[Team]],4,5)+TBA_Matches_All[[#This Row],[Match_Number]]/100)</f>
        <v>3550.37</v>
      </c>
      <c r="CM223">
        <f>SUM((TBA_Matches_All[[#This Row],[Leave]]*2)+(TBA_Matches_All[[#This Row],[AampT]]*2)+(TBA_Matches_All[[#This Row],[AspkrT]]*5)+(TBA_Matches_All[[#This Row],[AtrapT]]*5))</f>
        <v>2</v>
      </c>
      <c r="CN223" s="59">
        <f>IFERROR(SUM(TBA_Matches_All[[#This Row],[AptsT]]/TBA_Matches_All[[#This Row],[AutoPts]]),0)</f>
        <v>0.16666666666666666</v>
      </c>
      <c r="CO223" s="59">
        <f>IFERROR(SUM(TBA_Matches_All[[#This Row],[AampT]]+TBA_Matches_All[[#This Row],[AspkrT]]+TBA_Matches_All[[#This Row],[AtrapT]]/TBA_Matches_All[[#This Row],[Aamp]]+TBA_Matches_All[[#This Row],[Aspkr]]+TBA_Matches_All[[#This Row],[AtrapT]]),0)</f>
        <v>0</v>
      </c>
      <c r="CP223" s="59">
        <f>IFERROR(SUM(TBA_Matches_All[[#This Row],[TampT]]/TBA_Matches_All[[#This Row],[Tamp]]),0)</f>
        <v>0</v>
      </c>
      <c r="CQ223" s="59">
        <f>IFERROR(SUM(TBA_Matches_All[[#This Row],[TspkrT]]/TBA_Matches_All[[#This Row],[Tspkr]]),0)</f>
        <v>0</v>
      </c>
      <c r="CR223">
        <f>SUM(TBA_Matches_All[[#This Row],[TspkrPts]]*TBA_Matches_All[[#This Row],[TspkrP]])</f>
        <v>0</v>
      </c>
      <c r="CS223" s="59">
        <f>IFERROR(SUM(TBA_Matches_All[[#This Row],[TtrapT]]/TBA_Matches_All[[#This Row],[Trap]]),0)</f>
        <v>0</v>
      </c>
      <c r="CT223" s="59">
        <f>IFERROR(SUM(TBA_Matches_All[[#This Row],[TotNotesT]]/TBA_Matches_All[[#This Row],[TotNotes]]),0)</f>
        <v>0</v>
      </c>
      <c r="CU223" s="66">
        <f>SUM((TBA_Matches_All[[#This Row],[AampT]]*2)+(TBA_Matches_All[[#This Row],[AspkrT]]*5)+(TBA_Matches_All[[#This Row],[AtrapT]]*5)+(TBA_Matches_All[[#This Row],[TampT]]*1)+(TBA_Matches_All[[#This Row],[TspkrptsC]]))</f>
        <v>0</v>
      </c>
      <c r="CV223" s="59">
        <f>IFERROR(TBA_Matches_All[[#This Row],[noteptsT]]/TBA_Matches_All[[#This Row],[NotePts]],0)</f>
        <v>0</v>
      </c>
      <c r="CW223">
        <f>SUM(IF(TBA_Matches_All[[#This Row],[stageStat]]="On",3,0),IF(TBA_Matches_All[[#This Row],[stageStat]]="Park",1,0),SUMIFS(TBA_Matches_All[[#This Row],[Spotlit]],TBA_Matches_All[[#This Row],[stageStat]],"On"),SUMIFS(TBA_Matches_All[[#This Row],[Harmony]],TBA_Matches_All[[#This Row],[stageStat]],"On"))</f>
        <v>1</v>
      </c>
      <c r="CX223" s="59">
        <f>IFERROR(TBA_Matches_All[[#This Row],[stageptsT]]/TBA_Matches_All[[#This Row],[StagePts]],0)</f>
        <v>0.33333333333333331</v>
      </c>
      <c r="CY223">
        <f>SUM((TBA_Matches_All[[#This Row],[AptsT]]+TBA_Matches_All[[#This Row],[TampT]]+TBA_Matches_All[[#This Row],[TspkrptsC]]+(TBA_Matches_All[[#This Row],[TtrapT]]*5)+TBA_Matches_All[[#This Row],[stageptsT]]))</f>
        <v>3</v>
      </c>
      <c r="CZ223" s="59">
        <f>IFERROR(SUM(TBA_Matches_All[[#This Row],[TotptsC]]/TBA_Matches_All[[#This Row],[Score]]),0)</f>
        <v>6.3829787234042548E-2</v>
      </c>
      <c r="DA22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6.8923076923076927</v>
      </c>
      <c r="DB223" s="74">
        <f>SUMIFS(TBA_Matches_All[AveTeamTNoteDels],TBA_Matches_All[Match_Number],TBA_Matches_All[[#This Row],[Match_Number]],TBA_Matches_All[Alliance],"&lt;&gt;"&amp;TBA_Matches_All[[#This Row],[Alliance]],TBA_Matches_All[Scouted],"&gt;0")</f>
        <v>44.39337121212121</v>
      </c>
      <c r="DC223" s="74">
        <f>(TBA_Matches_All[[#This Row],[TampT]]+TBA_Matches_All[[#This Row],[TspkrptsC]])-TBA_Matches_All[[#This Row],[AveTeamTNoteDels]]</f>
        <v>-6.8923076923076927</v>
      </c>
      <c r="DD223" s="74">
        <f>SUMIFS(TBA_Matches_All[AveTeamTNoteDels],TBA_Matches_All[Match_Number],TBA_Matches_All[[#This Row],[Match_Number]],TBA_Matches_All[Alliance],"&lt;&gt;"&amp;TBA_Matches_All[[#This Row],[Alliance]])-TBA_Matches_All[[#This Row],[AveOppTNoteDels]]</f>
        <v>0</v>
      </c>
    </row>
    <row r="224" spans="1:108" x14ac:dyDescent="0.3">
      <c r="A224" t="s">
        <v>1042</v>
      </c>
      <c r="B224" t="s">
        <v>489</v>
      </c>
      <c r="C224" t="s">
        <v>1346</v>
      </c>
      <c r="D224">
        <v>37</v>
      </c>
      <c r="E224" t="s">
        <v>1406</v>
      </c>
      <c r="F224" t="s">
        <v>1422</v>
      </c>
      <c r="G224" t="s">
        <v>105</v>
      </c>
      <c r="H224" t="s">
        <v>370</v>
      </c>
      <c r="I224" t="b">
        <v>1</v>
      </c>
      <c r="J224">
        <v>86</v>
      </c>
      <c r="K224">
        <v>1</v>
      </c>
      <c r="L224">
        <v>1</v>
      </c>
      <c r="M224">
        <v>10</v>
      </c>
      <c r="N224">
        <v>0</v>
      </c>
      <c r="O224">
        <v>6</v>
      </c>
      <c r="P224">
        <v>30</v>
      </c>
      <c r="Q224">
        <v>34</v>
      </c>
      <c r="R224">
        <v>1</v>
      </c>
      <c r="S224">
        <v>0</v>
      </c>
      <c r="T224">
        <v>20</v>
      </c>
      <c r="U224">
        <v>0</v>
      </c>
      <c r="V224">
        <v>40</v>
      </c>
      <c r="W224">
        <v>20</v>
      </c>
      <c r="X224">
        <v>40</v>
      </c>
      <c r="Y224">
        <v>41</v>
      </c>
      <c r="Z224">
        <v>0</v>
      </c>
      <c r="AA224">
        <v>0</v>
      </c>
      <c r="AB224">
        <v>27</v>
      </c>
      <c r="AC224">
        <v>71</v>
      </c>
      <c r="AD224">
        <v>11</v>
      </c>
      <c r="AE224">
        <f>IFERROR(6/(COUNTIF(Dyno_EndMatch[Match],TBA_Matches_All[[#This Row],[Match_Number]])),0)</f>
        <v>1</v>
      </c>
      <c r="AF224">
        <f>COUNTIFS(Dyno_Data[Team],TBA_Matches_All[[#This Row],[Team]],Dyno_Data[Match],TBA_Matches_All[[#This Row],[Match_Number]],Dyno_Data[RecordType],"EndMatch",Dyno_Data[HPAmp],"Y")</f>
        <v>1</v>
      </c>
      <c r="AG224">
        <f>SUMIFS(Dyno_Data[Mics], Dyno_Data[Team],TBA_Matches_All[[#This Row],[Team]],Dyno_Data[Match],TBA_Matches_All[[#This Row],[Match_Number]],Dyno_Data[RecordType],"EndMatch",Dyno_Data[HPAmp],"Y")</f>
        <v>0</v>
      </c>
      <c r="AH224">
        <f>SUMIFS(Dyno_Data[Leave], Dyno_Data[Team],TBA_Matches_All[[#This Row],[Team]],Dyno_Data[Match],TBA_Matches_All[[#This Row],[Match_Number]],Dyno_Data[RecordType],"EndAuto")</f>
        <v>0</v>
      </c>
      <c r="AI224">
        <f>COUNTIFS(Dyno_Data[Team],TBA_Matches_All[[#This Row],[Team]],Dyno_Data[Match],TBA_Matches_All[[#This Row],[Match_Number]],Dyno_Data[RecordType],"Activities",Dyno_Data[DelDest],"Amp", Dyno_Data[DelMiss],"0", Dyno_Data[Mode],"Auto")</f>
        <v>0</v>
      </c>
      <c r="AJ224">
        <f>COUNTIFS(Dyno_Data[Team],TBA_Matches_All[[#This Row],[Team]],Dyno_Data[Match],TBA_Matches_All[[#This Row],[Match_Number]],Dyno_Data[RecordType],"Activities",Dyno_Data[DelDest],"Spkr", Dyno_Data[DelMiss],"0", Dyno_Data[Mode],"Auto")</f>
        <v>0</v>
      </c>
      <c r="AK224">
        <f>COUNTIFS(Dyno_Data[Team],TBA_Matches_All[[#This Row],[Team]],Dyno_Data[Match],TBA_Matches_All[[#This Row],[Match_Number]],Dyno_Data[RecordType],"Activities",Dyno_Data[DelDest],"Trap", Dyno_Data[DelMiss],"0", Dyno_Data[Mode],"Auto")</f>
        <v>0</v>
      </c>
      <c r="AL224">
        <f>COUNTIFS(Dyno_Data[Team],TBA_Matches_All[[#This Row],[Team]],Dyno_Data[Match],TBA_Matches_All[[#This Row],[Match_Number]],Dyno_Data[RecordType],"Activities",Dyno_Data[DelDest],"Amp", Dyno_Data[DelMiss],"0", Dyno_Data[Mode],"Teleop")</f>
        <v>0</v>
      </c>
      <c r="AM224">
        <f>COUNTIFS(Dyno_Data[Team],TBA_Matches_All[[#This Row],[Team]],Dyno_Data[Match],TBA_Matches_All[[#This Row],[Match_Number]],Dyno_Data[RecordType],"Activities",Dyno_Data[DelDest],"Spkr", Dyno_Data[DelMiss],"0", Dyno_Data[Mode],"Teleop")</f>
        <v>5</v>
      </c>
      <c r="AN224">
        <f>COUNTIFS(Dyno_Data[Team],TBA_Matches_All[[#This Row],[Team]],Dyno_Data[Match],TBA_Matches_All[[#This Row],[Match_Number]],Dyno_Data[RecordType],"Activities",Dyno_Data[DelDest],"Trap", Dyno_Data[DelMiss],"0", Dyno_Data[Mode],"&lt;&gt;Auto")</f>
        <v>0</v>
      </c>
      <c r="AO224">
        <f>SUM(TBA_Matches_All[[#This Row],[AampT]]+TBA_Matches_All[[#This Row],[AspkrT]]+TBA_Matches_All[[#This Row],[AtrapT]]+TBA_Matches_All[[#This Row],[TampT]]+TBA_Matches_All[[#This Row],[TspkrT]]+TBA_Matches_All[[#This Row],[TtrapT]])</f>
        <v>5</v>
      </c>
      <c r="AP224">
        <f>COUNTIFS(Dyno_Data[Team],TBA_Matches_All[[#This Row],[Team]],Dyno_Data[Match],TBA_Matches_All[[#This Row],[Match_Number]],Dyno_Data[RecordType],"Activities",Dyno_Data[DelDest],"Neut", Dyno_Data[DelMiss],"0")</f>
        <v>0</v>
      </c>
      <c r="AQ224">
        <f>COUNTIFS(Dyno_Data[Team],TBA_Matches_All[[#This Row],[Team]],Dyno_Data[Match],TBA_Matches_All[[#This Row],[Match_Number]],Dyno_Data[RecordType],"Activities",Dyno_Data[DelDest],"AllyW", Dyno_Data[DelMiss],"0")</f>
        <v>0</v>
      </c>
      <c r="AR224" t="str">
        <f>_xlfn.XLOOKUP(SUM(MID(TBA_Matches_All[[#This Row],[Team]],4,5),(TBA_Matches_All[[#This Row],[Match_Number]]/100)),Dyno_EndMatch[teammat],Dyno_EndMatch[RobotSta],"_",0,1)</f>
        <v>Amp</v>
      </c>
      <c r="AS224">
        <f>SUMIFS(Dyno_Data[AcqDis], Dyno_Data[Team],TBA_Matches_All[[#This Row],[Team]],Dyno_Data[Match],TBA_Matches_All[[#This Row],[Match_Number]],Dyno_Data[RecordType],"Activities", Dyno_Data[AcqCenter],1,Dyno_Data[Mode],"Auto")</f>
        <v>0</v>
      </c>
      <c r="AT224">
        <f>SUMIFS(Dyno_Data[AcqDis], Dyno_Data[Team],TBA_Matches_All[[#This Row],[Team]],Dyno_Data[Match],TBA_Matches_All[[#This Row],[Match_Number]],Dyno_Data[RecordType],"Activities", Dyno_Data[AcqCenter],2,Dyno_Data[Mode],"Auto")</f>
        <v>0</v>
      </c>
      <c r="AU224">
        <f>SUMIFS(Dyno_Data[AcqDis], Dyno_Data[Team],TBA_Matches_All[[#This Row],[Team]],Dyno_Data[Match],TBA_Matches_All[[#This Row],[Match_Number]],Dyno_Data[RecordType],"Activities", Dyno_Data[AcqCenter],3,Dyno_Data[Mode],"Auto")</f>
        <v>0</v>
      </c>
      <c r="AV224">
        <f>SUMIFS(Dyno_Data[AcqDis], Dyno_Data[Team],TBA_Matches_All[[#This Row],[Team]],Dyno_Data[Match],TBA_Matches_All[[#This Row],[Match_Number]],Dyno_Data[RecordType],"Activities", Dyno_Data[AcqCenter],4,Dyno_Data[Mode],"Auto")</f>
        <v>0</v>
      </c>
      <c r="AW224">
        <f>SUMIFS(Dyno_Data[AcqDis], Dyno_Data[Team],TBA_Matches_All[[#This Row],[Team]],Dyno_Data[Match],TBA_Matches_All[[#This Row],[Match_Number]],Dyno_Data[RecordType],"Activities", Dyno_Data[AcqCenter],5,Dyno_Data[Mode],"Auto")</f>
        <v>0</v>
      </c>
      <c r="AX224">
        <f>SUMIFS(Dyno_Data[DelMiss], Dyno_Data[Team],TBA_Matches_All[[#This Row],[Team]],Dyno_Data[Match],TBA_Matches_All[[#This Row],[Match_Number]],Dyno_Data[RecordType],"Activities", Dyno_Data[DelDest],"Amp")</f>
        <v>0</v>
      </c>
      <c r="AY224" s="60">
        <f>IFERROR(SUM((TBA_Matches_All[[#This Row],[AampT]]+TBA_Matches_All[[#This Row],[TampT]])/(TBA_Matches_All[[#This Row],[AampT]]+TBA_Matches_All[[#This Row],[TampT]]+TBA_Matches_All[[#This Row],[ampM]])),0)</f>
        <v>0</v>
      </c>
      <c r="AZ224">
        <f>SUMIFS(Dyno_Data[DelMiss], Dyno_Data[Team],TBA_Matches_All[[#This Row],[Team]],Dyno_Data[Match],TBA_Matches_All[[#This Row],[Match_Number]],Dyno_Data[RecordType],"Activities", Dyno_Data[DelDest],"Spkr")</f>
        <v>1</v>
      </c>
      <c r="BA224" s="60">
        <f>IFERROR(SUM((TBA_Matches_All[[#This Row],[AspkrT]]+TBA_Matches_All[[#This Row],[TspkrT]])/(TBA_Matches_All[[#This Row],[AspkrT]]+TBA_Matches_All[[#This Row],[TspkrT]]+TBA_Matches_All[[#This Row],[spkrM]])),0)</f>
        <v>0.83333333333333337</v>
      </c>
      <c r="BB224">
        <f>SUMIFS(Dyno_Data[DelMiss], Dyno_Data[Team],TBA_Matches_All[[#This Row],[Team]],Dyno_Data[Match],TBA_Matches_All[[#This Row],[Match_Number]],Dyno_Data[RecordType],"Activities", Dyno_Data[DelDest],"Trap")</f>
        <v>0</v>
      </c>
      <c r="BC224" s="60">
        <f>IFERROR((TBA_Matches_All[[#This Row],[AtrapT]]+TBA_Matches_All[[#This Row],[TtrapT]])/(TBA_Matches_All[[#This Row],[AtrapT]]+TBA_Matches_All[[#This Row],[TtrapT]]+TBA_Matches_All[[#This Row],[trapM]]),0)</f>
        <v>0</v>
      </c>
      <c r="BD224">
        <f>COUNTIFS(Dyno_Data[Team],TBA_Matches_All[[#This Row],[Team]],Dyno_Data[Match],TBA_Matches_All[[#This Row],[Match_Number]],Dyno_Data[RecordType],"Activities",Dyno_Data[DelDest],"Neut", Dyno_Data[DelMiss],1)</f>
        <v>0</v>
      </c>
      <c r="BE224" s="60">
        <f>IFERROR(SUM((TBA_Matches_All[[#This Row],[NeutFlrT]])/(TBA_Matches_All[[#This Row],[NeutFlrT]]+TBA_Matches_All[[#This Row],[NZflM]])),0)</f>
        <v>0</v>
      </c>
      <c r="BF224">
        <f>COUNTIFS(Dyno_Data[Team],TBA_Matches_All[[#This Row],[Team]],Dyno_Data[Match],TBA_Matches_All[[#This Row],[Match_Number]],Dyno_Data[RecordType],"Activities",Dyno_Data[DelDest],"AllyW", Dyno_Data[DelMiss],1)</f>
        <v>0</v>
      </c>
      <c r="BG224" s="60">
        <f>IFERROR(SUM((TBA_Matches_All[[#This Row],[AllyWFlrT]])/(TBA_Matches_All[[#This Row],[AllyWFlrT]]+TBA_Matches_All[[#This Row],[AZflM]])),0)</f>
        <v>0</v>
      </c>
      <c r="BH224">
        <f>COUNTIFS(Dyno_Data[Team],TBA_Matches_All[[#This Row],[Team]],Dyno_Data[Match],TBA_Matches_All[[#This Row],[Match_Number]],Dyno_Data[RecordType],"Activities",Dyno_Data[DelOrig],"OppW", Dyno_Data[DelMiss],"0")</f>
        <v>0</v>
      </c>
      <c r="BI224">
        <f>COUNTIFS(Dyno_Data[Team],TBA_Matches_All[[#This Row],[Team]],Dyno_Data[Match],TBA_Matches_All[[#This Row],[Match_Number]],Dyno_Data[RecordType],"Activities",Dyno_Data[DelOrig],"OppW", Dyno_Data[DelMiss],"1")</f>
        <v>0</v>
      </c>
      <c r="BJ224" s="60">
        <f>IFERROR(SUM((TBA_Matches_All[[#This Row],[OZflrT]])/(TBA_Matches_All[[#This Row],[OZflrT]]+TBA_Matches_All[[#This Row],[OZflrM]])),0)</f>
        <v>0</v>
      </c>
      <c r="BK224">
        <f>COUNTIFS(Dyno_Data[Team],TBA_Matches_All[[#This Row],[Team]],Dyno_Data[Match],TBA_Matches_All[[#This Row],[Match_Number]],Dyno_Data[RecordType],"Activities",Dyno_Data[DelOrig],"Neut", Dyno_Data[DelMiss],"0")</f>
        <v>0</v>
      </c>
      <c r="BL224">
        <f>COUNTIFS(Dyno_Data[Team],TBA_Matches_All[[#This Row],[Team]],Dyno_Data[Match],TBA_Matches_All[[#This Row],[Match_Number]],Dyno_Data[RecordType],"Activities",Dyno_Data[DelOrig],"Neut", Dyno_Data[DelMiss],"1")</f>
        <v>0</v>
      </c>
      <c r="BM224" s="60">
        <f>IFERROR(SUM((TBA_Matches_All[[#This Row],[NZflrT]])/(TBA_Matches_All[[#This Row],[NZflrT]]+TBA_Matches_All[[#This Row],[NZflrM]])),0)</f>
        <v>0</v>
      </c>
      <c r="BN224">
        <f>COUNTIFS(Dyno_Data[Team],TBA_Matches_All[[#This Row],[Team]],Dyno_Data[Match],TBA_Matches_All[[#This Row],[Match_Number]],Dyno_Data[RecordType],"Activities",Dyno_Data[DelOrig],"AllyW", Dyno_Data[DelMiss],"0")</f>
        <v>5</v>
      </c>
      <c r="BO224">
        <f>COUNTIFS(Dyno_Data[Team],TBA_Matches_All[[#This Row],[Team]],Dyno_Data[Match],TBA_Matches_All[[#This Row],[Match_Number]],Dyno_Data[RecordType],"Activities",Dyno_Data[DelOrig],"AllyW", Dyno_Data[DelMiss],"1")</f>
        <v>1</v>
      </c>
      <c r="BP224" s="60">
        <f>IFERROR(SUM((TBA_Matches_All[[#This Row],[AZflrT]])/(TBA_Matches_All[[#This Row],[AZflrT]]+TBA_Matches_All[[#This Row],[AZflrM]])),0)</f>
        <v>0.83333333333333337</v>
      </c>
      <c r="BQ224">
        <f>COUNTIFS(Dyno_Data[Team],TBA_Matches_All[[#This Row],[Team]],Dyno_Data[Match],TBA_Matches_All[[#This Row],[Match_Number]],Dyno_Data[RecordType],"Activities",Dyno_Data[DelOrig],"SubW", Dyno_Data[DelMiss],"0")</f>
        <v>0</v>
      </c>
      <c r="BR224">
        <f>COUNTIFS(Dyno_Data[Team],TBA_Matches_All[[#This Row],[Team]],Dyno_Data[Match],TBA_Matches_All[[#This Row],[Match_Number]],Dyno_Data[RecordType],"Activities",Dyno_Data[DelOrig],"SubW", Dyno_Data[DelMiss],"1")</f>
        <v>0</v>
      </c>
      <c r="BS224" s="60">
        <f>IFERROR(SUM((TBA_Matches_All[[#This Row],[SubwT]])/(TBA_Matches_All[[#This Row],[SubwT]]+TBA_Matches_All[[#This Row],[SubwM]])),0)</f>
        <v>0</v>
      </c>
      <c r="BT224">
        <f>COUNTIFS(Dyno_Data[Team],TBA_Matches_All[[#This Row],[Team]],Dyno_Data[Match],TBA_Matches_All[[#This Row],[Match_Number]],Dyno_Data[RecordType],"Activities", Dyno_Data[AcqLoc],"OppWing")</f>
        <v>0</v>
      </c>
      <c r="BU224">
        <f>COUNTIFS(Dyno_Data[Team],TBA_Matches_All[[#This Row],[Team]],Dyno_Data[Match],TBA_Matches_All[[#This Row],[Match_Number]],Dyno_Data[RecordType],"Activities", Dyno_Data[AcqLoc],"Neutral")</f>
        <v>0</v>
      </c>
      <c r="BV224">
        <f>COUNTIFS(Dyno_Data[Team],TBA_Matches_All[[#This Row],[Team]],Dyno_Data[Match],TBA_Matches_All[[#This Row],[Match_Number]],Dyno_Data[RecordType],"Activities", Dyno_Data[AcqLoc],"AllyWing")</f>
        <v>0</v>
      </c>
      <c r="BW224">
        <f>COUNTIFS(Dyno_Data[Team],TBA_Matches_All[[#This Row],[Team]],Dyno_Data[Match],TBA_Matches_All[[#This Row],[Match_Number]],Dyno_Data[RecordType],"Activities", Dyno_Data[AcqLoc],"Source")</f>
        <v>0</v>
      </c>
      <c r="BX224">
        <f>SUMIFS(Dyno_Data[AcqDrp], Dyno_Data[Team],TBA_Matches_All[[#This Row],[Team]],Dyno_Data[Match],TBA_Matches_All[[#This Row],[Match_Number]],Dyno_Data[RecordType],"Activities", Dyno_Data[AcqLoc],"Source")</f>
        <v>0</v>
      </c>
      <c r="BY224">
        <f>SUMIFS(Dyno_Data[OZTime], Dyno_Data[Team],TBA_Matches_All[[#This Row],[Team]],Dyno_Data[Match],TBA_Matches_All[[#This Row],[Match_Number]],Dyno_Data[RecordType],"EndMatch")</f>
        <v>46.9162508</v>
      </c>
      <c r="BZ224">
        <f>SUMIFS(Dyno_Data[NZTime], Dyno_Data[Team],TBA_Matches_All[[#This Row],[Team]],Dyno_Data[Match],TBA_Matches_All[[#This Row],[Match_Number]],Dyno_Data[RecordType],"EndMatch")</f>
        <v>24.4259776</v>
      </c>
      <c r="CA224">
        <f>SUMIFS(Dyno_Data[AZTime], Dyno_Data[Team],TBA_Matches_All[[#This Row],[Team]],Dyno_Data[Match],TBA_Matches_All[[#This Row],[Match_Number]],Dyno_Data[RecordType],"EndMatch")</f>
        <v>23.623852599999999</v>
      </c>
      <c r="CB224">
        <f>SUMIFS(Dyno_Data[ClimbT], Dyno_Data[Team],TBA_Matches_All[[#This Row],[Team]],Dyno_Data[Match],TBA_Matches_All[[#This Row],[Match_Number]],Dyno_Data[RecordType],"EndMatch")</f>
        <v>24.869872299999997</v>
      </c>
      <c r="CC224" t="str">
        <f>_xlfn.XLOOKUP(SUM(MID(TBA_Matches_All[[#This Row],[Team]],4,5),(TBA_Matches_All[[#This Row],[Match_Number]]/100)),Dyno_EndMatch[teammat],Dyno_EndMatch[StageStat],"_",0,1)</f>
        <v>On</v>
      </c>
      <c r="CD224" t="str">
        <f>_xlfn.XLOOKUP(TBA_Matches_All[[#This Row],[teammat]],Dyno_EndMatch[teammat],Dyno_EndMatch[StageAtt],"_",0,1)</f>
        <v>1</v>
      </c>
      <c r="CE224" t="str">
        <f>_xlfn.XLOOKUP(TBA_Matches_All[[#This Row],[teammat]],Dyno_EndMatch[teammat],Dyno_EndMatch[StageLoc],"_",0,1)</f>
        <v>R</v>
      </c>
      <c r="CF224">
        <f>SUMIFS(Dyno_Data[Harmony], Dyno_Data[Team],TBA_Matches_All[[#This Row],[Team]],Dyno_Data[Match],TBA_Matches_All[[#This Row],[Match_Number]],Dyno_Data[RecordType],"EndMatch", Dyno_Data[StageStat],"On",Dyno_Data[Harmony],"&lt;&gt;9")</f>
        <v>1</v>
      </c>
      <c r="CG224">
        <f>SUMIFS(Dyno_Data[Spotlit], Dyno_Data[Team],TBA_Matches_All[[#This Row],[Team]],Dyno_Data[Match],TBA_Matches_All[[#This Row],[Match_Number]],Dyno_Data[RecordType],"EndMatch", Dyno_Data[StageStat],"On",Dyno_Data[Spotlit],"&lt;&gt;9")</f>
        <v>0</v>
      </c>
      <c r="CH224" t="str">
        <f>_xlfn.XLOOKUP(TBA_Matches_All[[#This Row],[teammat]],Dyno_EndMatch[teammat],Dyno_EndMatch[Strategy],"_",0,1)</f>
        <v>Hybrid</v>
      </c>
      <c r="CI224">
        <f>SUMIFS(Dyno_Data[Defense], Dyno_Data[Team],TBA_Matches_All[[#This Row],[Team]],Dyno_Data[Match],TBA_Matches_All[[#This Row],[Match_Number]],Dyno_Data[RecordType],"EndMatch",Dyno_Data[Defense],"&lt;&gt;9")</f>
        <v>0</v>
      </c>
      <c r="CJ224">
        <f>SUMIFS(Dyno_Data[Avoidance], Dyno_Data[Team],TBA_Matches_All[[#This Row],[Team]],Dyno_Data[Match],TBA_Matches_All[[#This Row],[Match_Number]],Dyno_Data[RecordType],"EndMatch",Dyno_Data[Avoidance],"&lt;&gt;9")</f>
        <v>0</v>
      </c>
      <c r="CK224" s="82">
        <f>COUNTIF($H$2:TBA_Matches_All[[#This Row],[Team]],TBA_Matches_All[[#This Row],[Team]])</f>
        <v>5</v>
      </c>
      <c r="CL224" s="111">
        <f>SUM(MID(TBA_Matches_All[[#This Row],[Team]],4,5)+TBA_Matches_All[[#This Row],[Match_Number]]/100)</f>
        <v>6911.37</v>
      </c>
      <c r="CM224">
        <f>SUM((TBA_Matches_All[[#This Row],[Leave]]*2)+(TBA_Matches_All[[#This Row],[AampT]]*2)+(TBA_Matches_All[[#This Row],[AspkrT]]*5)+(TBA_Matches_All[[#This Row],[AtrapT]]*5))</f>
        <v>0</v>
      </c>
      <c r="CN224" s="59">
        <f>IFERROR(SUM(TBA_Matches_All[[#This Row],[AptsT]]/TBA_Matches_All[[#This Row],[AutoPts]]),0)</f>
        <v>0</v>
      </c>
      <c r="CO224" s="59">
        <f>IFERROR(SUM(TBA_Matches_All[[#This Row],[AampT]]+TBA_Matches_All[[#This Row],[AspkrT]]+TBA_Matches_All[[#This Row],[AtrapT]]/TBA_Matches_All[[#This Row],[Aamp]]+TBA_Matches_All[[#This Row],[Aspkr]]+TBA_Matches_All[[#This Row],[AtrapT]]),0)</f>
        <v>0</v>
      </c>
      <c r="CP224" s="59">
        <f>IFERROR(SUM(TBA_Matches_All[[#This Row],[TampT]]/TBA_Matches_All[[#This Row],[Tamp]]),0)</f>
        <v>0</v>
      </c>
      <c r="CQ224" s="59">
        <f>IFERROR(SUM(TBA_Matches_All[[#This Row],[TspkrT]]/TBA_Matches_All[[#This Row],[Tspkr]]),0)</f>
        <v>0.25</v>
      </c>
      <c r="CR224">
        <f>SUM(TBA_Matches_All[[#This Row],[TspkrPts]]*TBA_Matches_All[[#This Row],[TspkrP]])</f>
        <v>10</v>
      </c>
      <c r="CS224" s="59">
        <f>IFERROR(SUM(TBA_Matches_All[[#This Row],[TtrapT]]/TBA_Matches_All[[#This Row],[Trap]]),0)</f>
        <v>0</v>
      </c>
      <c r="CT224" s="59">
        <f>IFERROR(SUM(TBA_Matches_All[[#This Row],[TotNotesT]]/TBA_Matches_All[[#This Row],[TotNotes]]),0)</f>
        <v>0.18518518518518517</v>
      </c>
      <c r="CU224" s="66">
        <f>SUM((TBA_Matches_All[[#This Row],[AampT]]*2)+(TBA_Matches_All[[#This Row],[AspkrT]]*5)+(TBA_Matches_All[[#This Row],[AtrapT]]*5)+(TBA_Matches_All[[#This Row],[TampT]]*1)+(TBA_Matches_All[[#This Row],[TspkrptsC]]))</f>
        <v>10</v>
      </c>
      <c r="CV224" s="59">
        <f>IFERROR(TBA_Matches_All[[#This Row],[noteptsT]]/TBA_Matches_All[[#This Row],[NotePts]],0)</f>
        <v>0.14084507042253522</v>
      </c>
      <c r="CW224">
        <f>SUM(IF(TBA_Matches_All[[#This Row],[stageStat]]="On",3,0),IF(TBA_Matches_All[[#This Row],[stageStat]]="Park",1,0),SUMIFS(TBA_Matches_All[[#This Row],[Spotlit]],TBA_Matches_All[[#This Row],[stageStat]],"On"),SUMIFS(TBA_Matches_All[[#This Row],[Harmony]],TBA_Matches_All[[#This Row],[stageStat]],"On"))</f>
        <v>4</v>
      </c>
      <c r="CX224" s="59">
        <f>IFERROR(TBA_Matches_All[[#This Row],[stageptsT]]/TBA_Matches_All[[#This Row],[StagePts]],0)</f>
        <v>0.36363636363636365</v>
      </c>
      <c r="CY224">
        <f>SUM((TBA_Matches_All[[#This Row],[AptsT]]+TBA_Matches_All[[#This Row],[TampT]]+TBA_Matches_All[[#This Row],[TspkrptsC]]+(TBA_Matches_All[[#This Row],[TtrapT]]*5)+TBA_Matches_All[[#This Row],[stageptsT]]))</f>
        <v>14</v>
      </c>
      <c r="CZ224" s="59">
        <f>IFERROR(SUM(TBA_Matches_All[[#This Row],[TotptsC]]/TBA_Matches_All[[#This Row],[Score]]),0)</f>
        <v>0.16279069767441862</v>
      </c>
      <c r="DA22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15.9</v>
      </c>
      <c r="DB224" s="74">
        <f>SUMIFS(TBA_Matches_All[AveTeamTNoteDels],TBA_Matches_All[Match_Number],TBA_Matches_All[[#This Row],[Match_Number]],TBA_Matches_All[Alliance],"&lt;&gt;"&amp;TBA_Matches_All[[#This Row],[Alliance]],TBA_Matches_All[Scouted],"&gt;0")</f>
        <v>17.410164835164835</v>
      </c>
      <c r="DC224" s="74">
        <f>(TBA_Matches_All[[#This Row],[TampT]]+TBA_Matches_All[[#This Row],[TspkrptsC]])-TBA_Matches_All[[#This Row],[AveTeamTNoteDels]]</f>
        <v>-5.9</v>
      </c>
      <c r="DD224" s="74">
        <f>SUMIFS(TBA_Matches_All[AveTeamTNoteDels],TBA_Matches_All[Match_Number],TBA_Matches_All[[#This Row],[Match_Number]],TBA_Matches_All[Alliance],"&lt;&gt;"&amp;TBA_Matches_All[[#This Row],[Alliance]])-TBA_Matches_All[[#This Row],[AveOppTNoteDels]]</f>
        <v>0</v>
      </c>
    </row>
    <row r="225" spans="1:108" x14ac:dyDescent="0.3">
      <c r="A225" t="s">
        <v>1042</v>
      </c>
      <c r="B225" t="s">
        <v>489</v>
      </c>
      <c r="C225" t="s">
        <v>1347</v>
      </c>
      <c r="D225">
        <v>38</v>
      </c>
      <c r="E225" t="s">
        <v>1420</v>
      </c>
      <c r="F225" t="s">
        <v>1425</v>
      </c>
      <c r="G225" t="s">
        <v>105</v>
      </c>
      <c r="H225" t="s">
        <v>363</v>
      </c>
      <c r="I225" t="b">
        <v>1</v>
      </c>
      <c r="J225">
        <v>70</v>
      </c>
      <c r="K225">
        <v>1</v>
      </c>
      <c r="L225">
        <v>0</v>
      </c>
      <c r="M225">
        <v>12</v>
      </c>
      <c r="N225">
        <v>0</v>
      </c>
      <c r="O225">
        <v>4</v>
      </c>
      <c r="P225">
        <v>20</v>
      </c>
      <c r="Q225">
        <v>24</v>
      </c>
      <c r="R225">
        <v>3</v>
      </c>
      <c r="S225">
        <v>2</v>
      </c>
      <c r="T225">
        <v>11</v>
      </c>
      <c r="U225">
        <v>10</v>
      </c>
      <c r="V225">
        <v>22</v>
      </c>
      <c r="W225">
        <v>13</v>
      </c>
      <c r="X225">
        <v>32</v>
      </c>
      <c r="Y225">
        <v>35</v>
      </c>
      <c r="Z225">
        <v>0</v>
      </c>
      <c r="AA225">
        <v>0</v>
      </c>
      <c r="AB225">
        <v>20</v>
      </c>
      <c r="AC225">
        <v>55</v>
      </c>
      <c r="AD225">
        <v>6</v>
      </c>
      <c r="AE225">
        <f>IFERROR(6/(COUNTIF(Dyno_EndMatch[Match],TBA_Matches_All[[#This Row],[Match_Number]])),0)</f>
        <v>1</v>
      </c>
      <c r="AF225">
        <f>COUNTIFS(Dyno_Data[Team],TBA_Matches_All[[#This Row],[Team]],Dyno_Data[Match],TBA_Matches_All[[#This Row],[Match_Number]],Dyno_Data[RecordType],"EndMatch",Dyno_Data[HPAmp],"Y")</f>
        <v>0</v>
      </c>
      <c r="AG225">
        <f>SUMIFS(Dyno_Data[Mics], Dyno_Data[Team],TBA_Matches_All[[#This Row],[Team]],Dyno_Data[Match],TBA_Matches_All[[#This Row],[Match_Number]],Dyno_Data[RecordType],"EndMatch",Dyno_Data[HPAmp],"Y")</f>
        <v>0</v>
      </c>
      <c r="AH225">
        <f>SUMIFS(Dyno_Data[Leave], Dyno_Data[Team],TBA_Matches_All[[#This Row],[Team]],Dyno_Data[Match],TBA_Matches_All[[#This Row],[Match_Number]],Dyno_Data[RecordType],"EndAuto")</f>
        <v>0</v>
      </c>
      <c r="AI225">
        <f>COUNTIFS(Dyno_Data[Team],TBA_Matches_All[[#This Row],[Team]],Dyno_Data[Match],TBA_Matches_All[[#This Row],[Match_Number]],Dyno_Data[RecordType],"Activities",Dyno_Data[DelDest],"Amp", Dyno_Data[DelMiss],"0", Dyno_Data[Mode],"Auto")</f>
        <v>0</v>
      </c>
      <c r="AJ225">
        <f>COUNTIFS(Dyno_Data[Team],TBA_Matches_All[[#This Row],[Team]],Dyno_Data[Match],TBA_Matches_All[[#This Row],[Match_Number]],Dyno_Data[RecordType],"Activities",Dyno_Data[DelDest],"Spkr", Dyno_Data[DelMiss],"0", Dyno_Data[Mode],"Auto")</f>
        <v>0</v>
      </c>
      <c r="AK225">
        <f>COUNTIFS(Dyno_Data[Team],TBA_Matches_All[[#This Row],[Team]],Dyno_Data[Match],TBA_Matches_All[[#This Row],[Match_Number]],Dyno_Data[RecordType],"Activities",Dyno_Data[DelDest],"Trap", Dyno_Data[DelMiss],"0", Dyno_Data[Mode],"Auto")</f>
        <v>0</v>
      </c>
      <c r="AL225">
        <f>COUNTIFS(Dyno_Data[Team],TBA_Matches_All[[#This Row],[Team]],Dyno_Data[Match],TBA_Matches_All[[#This Row],[Match_Number]],Dyno_Data[RecordType],"Activities",Dyno_Data[DelDest],"Amp", Dyno_Data[DelMiss],"0", Dyno_Data[Mode],"Teleop")</f>
        <v>0</v>
      </c>
      <c r="AM225">
        <f>COUNTIFS(Dyno_Data[Team],TBA_Matches_All[[#This Row],[Team]],Dyno_Data[Match],TBA_Matches_All[[#This Row],[Match_Number]],Dyno_Data[RecordType],"Activities",Dyno_Data[DelDest],"Spkr", Dyno_Data[DelMiss],"0", Dyno_Data[Mode],"Teleop")</f>
        <v>9</v>
      </c>
      <c r="AN225">
        <f>COUNTIFS(Dyno_Data[Team],TBA_Matches_All[[#This Row],[Team]],Dyno_Data[Match],TBA_Matches_All[[#This Row],[Match_Number]],Dyno_Data[RecordType],"Activities",Dyno_Data[DelDest],"Trap", Dyno_Data[DelMiss],"0", Dyno_Data[Mode],"&lt;&gt;Auto")</f>
        <v>0</v>
      </c>
      <c r="AO225">
        <f>SUM(TBA_Matches_All[[#This Row],[AampT]]+TBA_Matches_All[[#This Row],[AspkrT]]+TBA_Matches_All[[#This Row],[AtrapT]]+TBA_Matches_All[[#This Row],[TampT]]+TBA_Matches_All[[#This Row],[TspkrT]]+TBA_Matches_All[[#This Row],[TtrapT]])</f>
        <v>9</v>
      </c>
      <c r="AP225">
        <f>COUNTIFS(Dyno_Data[Team],TBA_Matches_All[[#This Row],[Team]],Dyno_Data[Match],TBA_Matches_All[[#This Row],[Match_Number]],Dyno_Data[RecordType],"Activities",Dyno_Data[DelDest],"Neut", Dyno_Data[DelMiss],"0")</f>
        <v>0</v>
      </c>
      <c r="AQ225">
        <f>COUNTIFS(Dyno_Data[Team],TBA_Matches_All[[#This Row],[Team]],Dyno_Data[Match],TBA_Matches_All[[#This Row],[Match_Number]],Dyno_Data[RecordType],"Activities",Dyno_Data[DelDest],"AllyW", Dyno_Data[DelMiss],"0")</f>
        <v>0</v>
      </c>
      <c r="AR225" t="str">
        <f>_xlfn.XLOOKUP(SUM(MID(TBA_Matches_All[[#This Row],[Team]],4,5),(TBA_Matches_All[[#This Row],[Match_Number]]/100)),Dyno_EndMatch[teammat],Dyno_EndMatch[RobotSta],"_",0,1)</f>
        <v>OppS</v>
      </c>
      <c r="AS225">
        <f>SUMIFS(Dyno_Data[AcqDis], Dyno_Data[Team],TBA_Matches_All[[#This Row],[Team]],Dyno_Data[Match],TBA_Matches_All[[#This Row],[Match_Number]],Dyno_Data[RecordType],"Activities", Dyno_Data[AcqCenter],1,Dyno_Data[Mode],"Auto")</f>
        <v>0</v>
      </c>
      <c r="AT225">
        <f>SUMIFS(Dyno_Data[AcqDis], Dyno_Data[Team],TBA_Matches_All[[#This Row],[Team]],Dyno_Data[Match],TBA_Matches_All[[#This Row],[Match_Number]],Dyno_Data[RecordType],"Activities", Dyno_Data[AcqCenter],2,Dyno_Data[Mode],"Auto")</f>
        <v>0</v>
      </c>
      <c r="AU225">
        <f>SUMIFS(Dyno_Data[AcqDis], Dyno_Data[Team],TBA_Matches_All[[#This Row],[Team]],Dyno_Data[Match],TBA_Matches_All[[#This Row],[Match_Number]],Dyno_Data[RecordType],"Activities", Dyno_Data[AcqCenter],3,Dyno_Data[Mode],"Auto")</f>
        <v>0</v>
      </c>
      <c r="AV225">
        <f>SUMIFS(Dyno_Data[AcqDis], Dyno_Data[Team],TBA_Matches_All[[#This Row],[Team]],Dyno_Data[Match],TBA_Matches_All[[#This Row],[Match_Number]],Dyno_Data[RecordType],"Activities", Dyno_Data[AcqCenter],4,Dyno_Data[Mode],"Auto")</f>
        <v>0</v>
      </c>
      <c r="AW225">
        <f>SUMIFS(Dyno_Data[AcqDis], Dyno_Data[Team],TBA_Matches_All[[#This Row],[Team]],Dyno_Data[Match],TBA_Matches_All[[#This Row],[Match_Number]],Dyno_Data[RecordType],"Activities", Dyno_Data[AcqCenter],5,Dyno_Data[Mode],"Auto")</f>
        <v>0</v>
      </c>
      <c r="AX225">
        <f>SUMIFS(Dyno_Data[DelMiss], Dyno_Data[Team],TBA_Matches_All[[#This Row],[Team]],Dyno_Data[Match],TBA_Matches_All[[#This Row],[Match_Number]],Dyno_Data[RecordType],"Activities", Dyno_Data[DelDest],"Amp")</f>
        <v>0</v>
      </c>
      <c r="AY225" s="60">
        <f>IFERROR(SUM((TBA_Matches_All[[#This Row],[AampT]]+TBA_Matches_All[[#This Row],[TampT]])/(TBA_Matches_All[[#This Row],[AampT]]+TBA_Matches_All[[#This Row],[TampT]]+TBA_Matches_All[[#This Row],[ampM]])),0)</f>
        <v>0</v>
      </c>
      <c r="AZ225">
        <f>SUMIFS(Dyno_Data[DelMiss], Dyno_Data[Team],TBA_Matches_All[[#This Row],[Team]],Dyno_Data[Match],TBA_Matches_All[[#This Row],[Match_Number]],Dyno_Data[RecordType],"Activities", Dyno_Data[DelDest],"Spkr")</f>
        <v>1</v>
      </c>
      <c r="BA225" s="60">
        <f>IFERROR(SUM((TBA_Matches_All[[#This Row],[AspkrT]]+TBA_Matches_All[[#This Row],[TspkrT]])/(TBA_Matches_All[[#This Row],[AspkrT]]+TBA_Matches_All[[#This Row],[TspkrT]]+TBA_Matches_All[[#This Row],[spkrM]])),0)</f>
        <v>0.9</v>
      </c>
      <c r="BB225">
        <f>SUMIFS(Dyno_Data[DelMiss], Dyno_Data[Team],TBA_Matches_All[[#This Row],[Team]],Dyno_Data[Match],TBA_Matches_All[[#This Row],[Match_Number]],Dyno_Data[RecordType],"Activities", Dyno_Data[DelDest],"Trap")</f>
        <v>0</v>
      </c>
      <c r="BC225" s="60">
        <f>IFERROR((TBA_Matches_All[[#This Row],[AtrapT]]+TBA_Matches_All[[#This Row],[TtrapT]])/(TBA_Matches_All[[#This Row],[AtrapT]]+TBA_Matches_All[[#This Row],[TtrapT]]+TBA_Matches_All[[#This Row],[trapM]]),0)</f>
        <v>0</v>
      </c>
      <c r="BD225">
        <f>COUNTIFS(Dyno_Data[Team],TBA_Matches_All[[#This Row],[Team]],Dyno_Data[Match],TBA_Matches_All[[#This Row],[Match_Number]],Dyno_Data[RecordType],"Activities",Dyno_Data[DelDest],"Neut", Dyno_Data[DelMiss],1)</f>
        <v>0</v>
      </c>
      <c r="BE225" s="60">
        <f>IFERROR(SUM((TBA_Matches_All[[#This Row],[NeutFlrT]])/(TBA_Matches_All[[#This Row],[NeutFlrT]]+TBA_Matches_All[[#This Row],[NZflM]])),0)</f>
        <v>0</v>
      </c>
      <c r="BF225">
        <f>COUNTIFS(Dyno_Data[Team],TBA_Matches_All[[#This Row],[Team]],Dyno_Data[Match],TBA_Matches_All[[#This Row],[Match_Number]],Dyno_Data[RecordType],"Activities",Dyno_Data[DelDest],"AllyW", Dyno_Data[DelMiss],1)</f>
        <v>0</v>
      </c>
      <c r="BG225" s="60">
        <f>IFERROR(SUM((TBA_Matches_All[[#This Row],[AllyWFlrT]])/(TBA_Matches_All[[#This Row],[AllyWFlrT]]+TBA_Matches_All[[#This Row],[AZflM]])),0)</f>
        <v>0</v>
      </c>
      <c r="BH225">
        <f>COUNTIFS(Dyno_Data[Team],TBA_Matches_All[[#This Row],[Team]],Dyno_Data[Match],TBA_Matches_All[[#This Row],[Match_Number]],Dyno_Data[RecordType],"Activities",Dyno_Data[DelOrig],"OppW", Dyno_Data[DelMiss],"0")</f>
        <v>0</v>
      </c>
      <c r="BI225">
        <f>COUNTIFS(Dyno_Data[Team],TBA_Matches_All[[#This Row],[Team]],Dyno_Data[Match],TBA_Matches_All[[#This Row],[Match_Number]],Dyno_Data[RecordType],"Activities",Dyno_Data[DelOrig],"OppW", Dyno_Data[DelMiss],"1")</f>
        <v>0</v>
      </c>
      <c r="BJ225" s="60">
        <f>IFERROR(SUM((TBA_Matches_All[[#This Row],[OZflrT]])/(TBA_Matches_All[[#This Row],[OZflrT]]+TBA_Matches_All[[#This Row],[OZflrM]])),0)</f>
        <v>0</v>
      </c>
      <c r="BK225">
        <f>COUNTIFS(Dyno_Data[Team],TBA_Matches_All[[#This Row],[Team]],Dyno_Data[Match],TBA_Matches_All[[#This Row],[Match_Number]],Dyno_Data[RecordType],"Activities",Dyno_Data[DelOrig],"Neut", Dyno_Data[DelMiss],"0")</f>
        <v>0</v>
      </c>
      <c r="BL225">
        <f>COUNTIFS(Dyno_Data[Team],TBA_Matches_All[[#This Row],[Team]],Dyno_Data[Match],TBA_Matches_All[[#This Row],[Match_Number]],Dyno_Data[RecordType],"Activities",Dyno_Data[DelOrig],"Neut", Dyno_Data[DelMiss],"1")</f>
        <v>0</v>
      </c>
      <c r="BM225" s="60">
        <f>IFERROR(SUM((TBA_Matches_All[[#This Row],[NZflrT]])/(TBA_Matches_All[[#This Row],[NZflrT]]+TBA_Matches_All[[#This Row],[NZflrM]])),0)</f>
        <v>0</v>
      </c>
      <c r="BN225">
        <f>COUNTIFS(Dyno_Data[Team],TBA_Matches_All[[#This Row],[Team]],Dyno_Data[Match],TBA_Matches_All[[#This Row],[Match_Number]],Dyno_Data[RecordType],"Activities",Dyno_Data[DelOrig],"AllyW", Dyno_Data[DelMiss],"0")</f>
        <v>0</v>
      </c>
      <c r="BO225">
        <f>COUNTIFS(Dyno_Data[Team],TBA_Matches_All[[#This Row],[Team]],Dyno_Data[Match],TBA_Matches_All[[#This Row],[Match_Number]],Dyno_Data[RecordType],"Activities",Dyno_Data[DelOrig],"AllyW", Dyno_Data[DelMiss],"1")</f>
        <v>0</v>
      </c>
      <c r="BP225" s="60">
        <f>IFERROR(SUM((TBA_Matches_All[[#This Row],[AZflrT]])/(TBA_Matches_All[[#This Row],[AZflrT]]+TBA_Matches_All[[#This Row],[AZflrM]])),0)</f>
        <v>0</v>
      </c>
      <c r="BQ225">
        <f>COUNTIFS(Dyno_Data[Team],TBA_Matches_All[[#This Row],[Team]],Dyno_Data[Match],TBA_Matches_All[[#This Row],[Match_Number]],Dyno_Data[RecordType],"Activities",Dyno_Data[DelOrig],"SubW", Dyno_Data[DelMiss],"0")</f>
        <v>9</v>
      </c>
      <c r="BR225">
        <f>COUNTIFS(Dyno_Data[Team],TBA_Matches_All[[#This Row],[Team]],Dyno_Data[Match],TBA_Matches_All[[#This Row],[Match_Number]],Dyno_Data[RecordType],"Activities",Dyno_Data[DelOrig],"SubW", Dyno_Data[DelMiss],"1")</f>
        <v>1</v>
      </c>
      <c r="BS225" s="60">
        <f>IFERROR(SUM((TBA_Matches_All[[#This Row],[SubwT]])/(TBA_Matches_All[[#This Row],[SubwT]]+TBA_Matches_All[[#This Row],[SubwM]])),0)</f>
        <v>0.9</v>
      </c>
      <c r="BT225">
        <f>COUNTIFS(Dyno_Data[Team],TBA_Matches_All[[#This Row],[Team]],Dyno_Data[Match],TBA_Matches_All[[#This Row],[Match_Number]],Dyno_Data[RecordType],"Activities", Dyno_Data[AcqLoc],"OppWing")</f>
        <v>0</v>
      </c>
      <c r="BU225">
        <f>COUNTIFS(Dyno_Data[Team],TBA_Matches_All[[#This Row],[Team]],Dyno_Data[Match],TBA_Matches_All[[#This Row],[Match_Number]],Dyno_Data[RecordType],"Activities", Dyno_Data[AcqLoc],"Neutral")</f>
        <v>0</v>
      </c>
      <c r="BV225">
        <f>COUNTIFS(Dyno_Data[Team],TBA_Matches_All[[#This Row],[Team]],Dyno_Data[Match],TBA_Matches_All[[#This Row],[Match_Number]],Dyno_Data[RecordType],"Activities", Dyno_Data[AcqLoc],"AllyWing")</f>
        <v>0</v>
      </c>
      <c r="BW225">
        <f>COUNTIFS(Dyno_Data[Team],TBA_Matches_All[[#This Row],[Team]],Dyno_Data[Match],TBA_Matches_All[[#This Row],[Match_Number]],Dyno_Data[RecordType],"Activities", Dyno_Data[AcqLoc],"Source")</f>
        <v>0</v>
      </c>
      <c r="BX225">
        <f>SUMIFS(Dyno_Data[AcqDrp], Dyno_Data[Team],TBA_Matches_All[[#This Row],[Team]],Dyno_Data[Match],TBA_Matches_All[[#This Row],[Match_Number]],Dyno_Data[RecordType],"Activities", Dyno_Data[AcqLoc],"Source")</f>
        <v>0</v>
      </c>
      <c r="BY225">
        <f>SUMIFS(Dyno_Data[OZTime], Dyno_Data[Team],TBA_Matches_All[[#This Row],[Team]],Dyno_Data[Match],TBA_Matches_All[[#This Row],[Match_Number]],Dyno_Data[RecordType],"EndMatch")</f>
        <v>34.350684799999996</v>
      </c>
      <c r="BZ225">
        <f>SUMIFS(Dyno_Data[NZTime], Dyno_Data[Team],TBA_Matches_All[[#This Row],[Team]],Dyno_Data[Match],TBA_Matches_All[[#This Row],[Match_Number]],Dyno_Data[RecordType],"EndMatch")</f>
        <v>15.202649099999999</v>
      </c>
      <c r="CA225">
        <f>SUMIFS(Dyno_Data[AZTime], Dyno_Data[Team],TBA_Matches_All[[#This Row],[Team]],Dyno_Data[Match],TBA_Matches_All[[#This Row],[Match_Number]],Dyno_Data[RecordType],"EndMatch")</f>
        <v>65.431536399999999</v>
      </c>
      <c r="CB225">
        <f>SUMIFS(Dyno_Data[ClimbT], Dyno_Data[Team],TBA_Matches_All[[#This Row],[Team]],Dyno_Data[Match],TBA_Matches_All[[#This Row],[Match_Number]],Dyno_Data[RecordType],"EndMatch")</f>
        <v>10.1736209</v>
      </c>
      <c r="CC225" t="str">
        <f>_xlfn.XLOOKUP(SUM(MID(TBA_Matches_All[[#This Row],[Team]],4,5),(TBA_Matches_All[[#This Row],[Match_Number]]/100)),Dyno_EndMatch[teammat],Dyno_EndMatch[StageStat],"_",0,1)</f>
        <v>On</v>
      </c>
      <c r="CD225" t="str">
        <f>_xlfn.XLOOKUP(TBA_Matches_All[[#This Row],[teammat]],Dyno_EndMatch[teammat],Dyno_EndMatch[StageAtt],"_",0,1)</f>
        <v>1</v>
      </c>
      <c r="CE225" t="str">
        <f>_xlfn.XLOOKUP(TBA_Matches_All[[#This Row],[teammat]],Dyno_EndMatch[teammat],Dyno_EndMatch[StageLoc],"_",0,1)</f>
        <v>R</v>
      </c>
      <c r="CF225">
        <f>SUMIFS(Dyno_Data[Harmony], Dyno_Data[Team],TBA_Matches_All[[#This Row],[Team]],Dyno_Data[Match],TBA_Matches_All[[#This Row],[Match_Number]],Dyno_Data[RecordType],"EndMatch", Dyno_Data[StageStat],"On",Dyno_Data[Harmony],"&lt;&gt;9")</f>
        <v>0</v>
      </c>
      <c r="CG225">
        <f>SUMIFS(Dyno_Data[Spotlit], Dyno_Data[Team],TBA_Matches_All[[#This Row],[Team]],Dyno_Data[Match],TBA_Matches_All[[#This Row],[Match_Number]],Dyno_Data[RecordType],"EndMatch", Dyno_Data[StageStat],"On",Dyno_Data[Spotlit],"&lt;&gt;9")</f>
        <v>1</v>
      </c>
      <c r="CH225" t="str">
        <f>_xlfn.XLOOKUP(TBA_Matches_All[[#This Row],[teammat]],Dyno_EndMatch[teammat],Dyno_EndMatch[Strategy],"_",0,1)</f>
        <v>Hybrid</v>
      </c>
      <c r="CI225">
        <f>SUMIFS(Dyno_Data[Defense], Dyno_Data[Team],TBA_Matches_All[[#This Row],[Team]],Dyno_Data[Match],TBA_Matches_All[[#This Row],[Match_Number]],Dyno_Data[RecordType],"EndMatch",Dyno_Data[Defense],"&lt;&gt;9")</f>
        <v>0</v>
      </c>
      <c r="CJ225">
        <f>SUMIFS(Dyno_Data[Avoidance], Dyno_Data[Team],TBA_Matches_All[[#This Row],[Team]],Dyno_Data[Match],TBA_Matches_All[[#This Row],[Match_Number]],Dyno_Data[RecordType],"EndMatch",Dyno_Data[Avoidance],"&lt;&gt;9")</f>
        <v>1</v>
      </c>
      <c r="CK225" s="82">
        <f>COUNTIF($H$2:TBA_Matches_All[[#This Row],[Team]],TBA_Matches_All[[#This Row],[Team]])</f>
        <v>5</v>
      </c>
      <c r="CL225" s="111">
        <f>SUM(MID(TBA_Matches_All[[#This Row],[Team]],4,5)+TBA_Matches_All[[#This Row],[Match_Number]]/100)</f>
        <v>2601.38</v>
      </c>
      <c r="CM225">
        <f>SUM((TBA_Matches_All[[#This Row],[Leave]]*2)+(TBA_Matches_All[[#This Row],[AampT]]*2)+(TBA_Matches_All[[#This Row],[AspkrT]]*5)+(TBA_Matches_All[[#This Row],[AtrapT]]*5))</f>
        <v>0</v>
      </c>
      <c r="CN225" s="59">
        <f>IFERROR(SUM(TBA_Matches_All[[#This Row],[AptsT]]/TBA_Matches_All[[#This Row],[AutoPts]]),0)</f>
        <v>0</v>
      </c>
      <c r="CO225" s="59">
        <f>IFERROR(SUM(TBA_Matches_All[[#This Row],[AampT]]+TBA_Matches_All[[#This Row],[AspkrT]]+TBA_Matches_All[[#This Row],[AtrapT]]/TBA_Matches_All[[#This Row],[Aamp]]+TBA_Matches_All[[#This Row],[Aspkr]]+TBA_Matches_All[[#This Row],[AtrapT]]),0)</f>
        <v>0</v>
      </c>
      <c r="CP225" s="59">
        <f>IFERROR(SUM(TBA_Matches_All[[#This Row],[TampT]]/TBA_Matches_All[[#This Row],[Tamp]]),0)</f>
        <v>0</v>
      </c>
      <c r="CQ225" s="59">
        <f>IFERROR(SUM(TBA_Matches_All[[#This Row],[TspkrT]]/TBA_Matches_All[[#This Row],[Tspkr]]),0)</f>
        <v>0.69230769230769229</v>
      </c>
      <c r="CR225">
        <f>SUM(TBA_Matches_All[[#This Row],[TspkrPts]]*TBA_Matches_All[[#This Row],[TspkrP]])</f>
        <v>22.153846153846153</v>
      </c>
      <c r="CS225" s="59">
        <f>IFERROR(SUM(TBA_Matches_All[[#This Row],[TtrapT]]/TBA_Matches_All[[#This Row],[Trap]]),0)</f>
        <v>0</v>
      </c>
      <c r="CT225" s="59">
        <f>IFERROR(SUM(TBA_Matches_All[[#This Row],[TotNotesT]]/TBA_Matches_All[[#This Row],[TotNotes]]),0)</f>
        <v>0.45</v>
      </c>
      <c r="CU225" s="66">
        <f>SUM((TBA_Matches_All[[#This Row],[AampT]]*2)+(TBA_Matches_All[[#This Row],[AspkrT]]*5)+(TBA_Matches_All[[#This Row],[AtrapT]]*5)+(TBA_Matches_All[[#This Row],[TampT]]*1)+(TBA_Matches_All[[#This Row],[TspkrptsC]]))</f>
        <v>22.153846153846153</v>
      </c>
      <c r="CV225" s="59">
        <f>IFERROR(TBA_Matches_All[[#This Row],[noteptsT]]/TBA_Matches_All[[#This Row],[NotePts]],0)</f>
        <v>0.40279720279720277</v>
      </c>
      <c r="CW225">
        <f>SUM(IF(TBA_Matches_All[[#This Row],[stageStat]]="On",3,0),IF(TBA_Matches_All[[#This Row],[stageStat]]="Park",1,0),SUMIFS(TBA_Matches_All[[#This Row],[Spotlit]],TBA_Matches_All[[#This Row],[stageStat]],"On"),SUMIFS(TBA_Matches_All[[#This Row],[Harmony]],TBA_Matches_All[[#This Row],[stageStat]],"On"))</f>
        <v>4</v>
      </c>
      <c r="CX225" s="59">
        <f>IFERROR(TBA_Matches_All[[#This Row],[stageptsT]]/TBA_Matches_All[[#This Row],[StagePts]],0)</f>
        <v>0.66666666666666663</v>
      </c>
      <c r="CY225">
        <f>SUM((TBA_Matches_All[[#This Row],[AptsT]]+TBA_Matches_All[[#This Row],[TampT]]+TBA_Matches_All[[#This Row],[TspkrptsC]]+(TBA_Matches_All[[#This Row],[TtrapT]]*5)+TBA_Matches_All[[#This Row],[stageptsT]]))</f>
        <v>26.153846153846153</v>
      </c>
      <c r="CZ225" s="59">
        <f>IFERROR(SUM(TBA_Matches_All[[#This Row],[TotptsC]]/TBA_Matches_All[[#This Row],[Score]]),0)</f>
        <v>0.37362637362637363</v>
      </c>
      <c r="DA22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15.608571428571429</v>
      </c>
      <c r="DB225" s="74">
        <f>SUMIFS(TBA_Matches_All[AveTeamTNoteDels],TBA_Matches_All[Match_Number],TBA_Matches_All[[#This Row],[Match_Number]],TBA_Matches_All[Alliance],"&lt;&gt;"&amp;TBA_Matches_All[[#This Row],[Alliance]],TBA_Matches_All[Scouted],"&gt;0")</f>
        <v>31.99750582750583</v>
      </c>
      <c r="DC225" s="74">
        <f>(TBA_Matches_All[[#This Row],[TampT]]+TBA_Matches_All[[#This Row],[TspkrptsC]])-TBA_Matches_All[[#This Row],[AveTeamTNoteDels]]</f>
        <v>6.5452747252747248</v>
      </c>
      <c r="DD225" s="74">
        <f>SUMIFS(TBA_Matches_All[AveTeamTNoteDels],TBA_Matches_All[Match_Number],TBA_Matches_All[[#This Row],[Match_Number]],TBA_Matches_All[Alliance],"&lt;&gt;"&amp;TBA_Matches_All[[#This Row],[Alliance]])-TBA_Matches_All[[#This Row],[AveOppTNoteDels]]</f>
        <v>0</v>
      </c>
    </row>
    <row r="226" spans="1:108" x14ac:dyDescent="0.3">
      <c r="A226" t="s">
        <v>1042</v>
      </c>
      <c r="B226" t="s">
        <v>489</v>
      </c>
      <c r="C226" t="s">
        <v>1347</v>
      </c>
      <c r="D226">
        <v>38</v>
      </c>
      <c r="E226" t="s">
        <v>1406</v>
      </c>
      <c r="F226" t="s">
        <v>1426</v>
      </c>
      <c r="G226" t="s">
        <v>164</v>
      </c>
      <c r="H226" t="s">
        <v>1303</v>
      </c>
      <c r="I226" t="b">
        <v>1</v>
      </c>
      <c r="J226">
        <v>76</v>
      </c>
      <c r="K226">
        <v>1</v>
      </c>
      <c r="L226">
        <v>1</v>
      </c>
      <c r="M226">
        <v>5</v>
      </c>
      <c r="N226">
        <v>0</v>
      </c>
      <c r="O226">
        <v>4</v>
      </c>
      <c r="P226">
        <v>20</v>
      </c>
      <c r="Q226">
        <v>26</v>
      </c>
      <c r="R226">
        <v>3</v>
      </c>
      <c r="S226">
        <v>2</v>
      </c>
      <c r="T226">
        <v>7</v>
      </c>
      <c r="U226">
        <v>10</v>
      </c>
      <c r="V226">
        <v>14</v>
      </c>
      <c r="W226">
        <v>9</v>
      </c>
      <c r="X226">
        <v>24</v>
      </c>
      <c r="Y226">
        <v>27</v>
      </c>
      <c r="Z226">
        <v>5</v>
      </c>
      <c r="AA226">
        <v>1</v>
      </c>
      <c r="AB226">
        <v>16</v>
      </c>
      <c r="AC226">
        <v>47</v>
      </c>
      <c r="AD226">
        <v>11</v>
      </c>
      <c r="AE226">
        <f>IFERROR(6/(COUNTIF(Dyno_EndMatch[Match],TBA_Matches_All[[#This Row],[Match_Number]])),0)</f>
        <v>1</v>
      </c>
      <c r="AF226">
        <f>COUNTIFS(Dyno_Data[Team],TBA_Matches_All[[#This Row],[Team]],Dyno_Data[Match],TBA_Matches_All[[#This Row],[Match_Number]],Dyno_Data[RecordType],"EndMatch",Dyno_Data[HPAmp],"Y")</f>
        <v>1</v>
      </c>
      <c r="AG226">
        <f>SUMIFS(Dyno_Data[Mics], Dyno_Data[Team],TBA_Matches_All[[#This Row],[Team]],Dyno_Data[Match],TBA_Matches_All[[#This Row],[Match_Number]],Dyno_Data[RecordType],"EndMatch",Dyno_Data[HPAmp],"Y")</f>
        <v>0</v>
      </c>
      <c r="AH226">
        <f>SUMIFS(Dyno_Data[Leave], Dyno_Data[Team],TBA_Matches_All[[#This Row],[Team]],Dyno_Data[Match],TBA_Matches_All[[#This Row],[Match_Number]],Dyno_Data[RecordType],"EndAuto")</f>
        <v>1</v>
      </c>
      <c r="AI226">
        <f>COUNTIFS(Dyno_Data[Team],TBA_Matches_All[[#This Row],[Team]],Dyno_Data[Match],TBA_Matches_All[[#This Row],[Match_Number]],Dyno_Data[RecordType],"Activities",Dyno_Data[DelDest],"Amp", Dyno_Data[DelMiss],"0", Dyno_Data[Mode],"Auto")</f>
        <v>0</v>
      </c>
      <c r="AJ226">
        <f>COUNTIFS(Dyno_Data[Team],TBA_Matches_All[[#This Row],[Team]],Dyno_Data[Match],TBA_Matches_All[[#This Row],[Match_Number]],Dyno_Data[RecordType],"Activities",Dyno_Data[DelDest],"Spkr", Dyno_Data[DelMiss],"0", Dyno_Data[Mode],"Auto")</f>
        <v>3</v>
      </c>
      <c r="AK226">
        <f>COUNTIFS(Dyno_Data[Team],TBA_Matches_All[[#This Row],[Team]],Dyno_Data[Match],TBA_Matches_All[[#This Row],[Match_Number]],Dyno_Data[RecordType],"Activities",Dyno_Data[DelDest],"Trap", Dyno_Data[DelMiss],"0", Dyno_Data[Mode],"Auto")</f>
        <v>0</v>
      </c>
      <c r="AL226">
        <f>COUNTIFS(Dyno_Data[Team],TBA_Matches_All[[#This Row],[Team]],Dyno_Data[Match],TBA_Matches_All[[#This Row],[Match_Number]],Dyno_Data[RecordType],"Activities",Dyno_Data[DelDest],"Amp", Dyno_Data[DelMiss],"0", Dyno_Data[Mode],"Teleop")</f>
        <v>0</v>
      </c>
      <c r="AM226">
        <f>COUNTIFS(Dyno_Data[Team],TBA_Matches_All[[#This Row],[Team]],Dyno_Data[Match],TBA_Matches_All[[#This Row],[Match_Number]],Dyno_Data[RecordType],"Activities",Dyno_Data[DelDest],"Spkr", Dyno_Data[DelMiss],"0", Dyno_Data[Mode],"Teleop")</f>
        <v>6</v>
      </c>
      <c r="AN226">
        <f>COUNTIFS(Dyno_Data[Team],TBA_Matches_All[[#This Row],[Team]],Dyno_Data[Match],TBA_Matches_All[[#This Row],[Match_Number]],Dyno_Data[RecordType],"Activities",Dyno_Data[DelDest],"Trap", Dyno_Data[DelMiss],"0", Dyno_Data[Mode],"&lt;&gt;Auto")</f>
        <v>1</v>
      </c>
      <c r="AO226">
        <f>SUM(TBA_Matches_All[[#This Row],[AampT]]+TBA_Matches_All[[#This Row],[AspkrT]]+TBA_Matches_All[[#This Row],[AtrapT]]+TBA_Matches_All[[#This Row],[TampT]]+TBA_Matches_All[[#This Row],[TspkrT]]+TBA_Matches_All[[#This Row],[TtrapT]])</f>
        <v>10</v>
      </c>
      <c r="AP226">
        <f>COUNTIFS(Dyno_Data[Team],TBA_Matches_All[[#This Row],[Team]],Dyno_Data[Match],TBA_Matches_All[[#This Row],[Match_Number]],Dyno_Data[RecordType],"Activities",Dyno_Data[DelDest],"Neut", Dyno_Data[DelMiss],"0")</f>
        <v>0</v>
      </c>
      <c r="AQ226">
        <f>COUNTIFS(Dyno_Data[Team],TBA_Matches_All[[#This Row],[Team]],Dyno_Data[Match],TBA_Matches_All[[#This Row],[Match_Number]],Dyno_Data[RecordType],"Activities",Dyno_Data[DelDest],"AllyW", Dyno_Data[DelMiss],"0")</f>
        <v>0</v>
      </c>
      <c r="AR226" t="str">
        <f>_xlfn.XLOOKUP(SUM(MID(TBA_Matches_All[[#This Row],[Team]],4,5),(TBA_Matches_All[[#This Row],[Match_Number]]/100)),Dyno_EndMatch[teammat],Dyno_EndMatch[RobotSta],"_",0,1)</f>
        <v>Amp</v>
      </c>
      <c r="AS226">
        <f>SUMIFS(Dyno_Data[AcqDis], Dyno_Data[Team],TBA_Matches_All[[#This Row],[Team]],Dyno_Data[Match],TBA_Matches_All[[#This Row],[Match_Number]],Dyno_Data[RecordType],"Activities", Dyno_Data[AcqCenter],1,Dyno_Data[Mode],"Auto")</f>
        <v>0</v>
      </c>
      <c r="AT226">
        <f>SUMIFS(Dyno_Data[AcqDis], Dyno_Data[Team],TBA_Matches_All[[#This Row],[Team]],Dyno_Data[Match],TBA_Matches_All[[#This Row],[Match_Number]],Dyno_Data[RecordType],"Activities", Dyno_Data[AcqCenter],2,Dyno_Data[Mode],"Auto")</f>
        <v>0</v>
      </c>
      <c r="AU226">
        <f>SUMIFS(Dyno_Data[AcqDis], Dyno_Data[Team],TBA_Matches_All[[#This Row],[Team]],Dyno_Data[Match],TBA_Matches_All[[#This Row],[Match_Number]],Dyno_Data[RecordType],"Activities", Dyno_Data[AcqCenter],3,Dyno_Data[Mode],"Auto")</f>
        <v>0</v>
      </c>
      <c r="AV226">
        <f>SUMIFS(Dyno_Data[AcqDis], Dyno_Data[Team],TBA_Matches_All[[#This Row],[Team]],Dyno_Data[Match],TBA_Matches_All[[#This Row],[Match_Number]],Dyno_Data[RecordType],"Activities", Dyno_Data[AcqCenter],4,Dyno_Data[Mode],"Auto")</f>
        <v>1</v>
      </c>
      <c r="AW226">
        <f>SUMIFS(Dyno_Data[AcqDis], Dyno_Data[Team],TBA_Matches_All[[#This Row],[Team]],Dyno_Data[Match],TBA_Matches_All[[#This Row],[Match_Number]],Dyno_Data[RecordType],"Activities", Dyno_Data[AcqCenter],5,Dyno_Data[Mode],"Auto")</f>
        <v>1</v>
      </c>
      <c r="AX226">
        <f>SUMIFS(Dyno_Data[DelMiss], Dyno_Data[Team],TBA_Matches_All[[#This Row],[Team]],Dyno_Data[Match],TBA_Matches_All[[#This Row],[Match_Number]],Dyno_Data[RecordType],"Activities", Dyno_Data[DelDest],"Amp")</f>
        <v>0</v>
      </c>
      <c r="AY226" s="60">
        <f>IFERROR(SUM((TBA_Matches_All[[#This Row],[AampT]]+TBA_Matches_All[[#This Row],[TampT]])/(TBA_Matches_All[[#This Row],[AampT]]+TBA_Matches_All[[#This Row],[TampT]]+TBA_Matches_All[[#This Row],[ampM]])),0)</f>
        <v>0</v>
      </c>
      <c r="AZ226">
        <f>SUMIFS(Dyno_Data[DelMiss], Dyno_Data[Team],TBA_Matches_All[[#This Row],[Team]],Dyno_Data[Match],TBA_Matches_All[[#This Row],[Match_Number]],Dyno_Data[RecordType],"Activities", Dyno_Data[DelDest],"Spkr")</f>
        <v>3</v>
      </c>
      <c r="BA226" s="60">
        <f>IFERROR(SUM((TBA_Matches_All[[#This Row],[AspkrT]]+TBA_Matches_All[[#This Row],[TspkrT]])/(TBA_Matches_All[[#This Row],[AspkrT]]+TBA_Matches_All[[#This Row],[TspkrT]]+TBA_Matches_All[[#This Row],[spkrM]])),0)</f>
        <v>0.75</v>
      </c>
      <c r="BB226">
        <f>SUMIFS(Dyno_Data[DelMiss], Dyno_Data[Team],TBA_Matches_All[[#This Row],[Team]],Dyno_Data[Match],TBA_Matches_All[[#This Row],[Match_Number]],Dyno_Data[RecordType],"Activities", Dyno_Data[DelDest],"Trap")</f>
        <v>0</v>
      </c>
      <c r="BC226" s="60">
        <f>IFERROR((TBA_Matches_All[[#This Row],[AtrapT]]+TBA_Matches_All[[#This Row],[TtrapT]])/(TBA_Matches_All[[#This Row],[AtrapT]]+TBA_Matches_All[[#This Row],[TtrapT]]+TBA_Matches_All[[#This Row],[trapM]]),0)</f>
        <v>1</v>
      </c>
      <c r="BD226">
        <f>COUNTIFS(Dyno_Data[Team],TBA_Matches_All[[#This Row],[Team]],Dyno_Data[Match],TBA_Matches_All[[#This Row],[Match_Number]],Dyno_Data[RecordType],"Activities",Dyno_Data[DelDest],"Neut", Dyno_Data[DelMiss],1)</f>
        <v>0</v>
      </c>
      <c r="BE226" s="60">
        <f>IFERROR(SUM((TBA_Matches_All[[#This Row],[NeutFlrT]])/(TBA_Matches_All[[#This Row],[NeutFlrT]]+TBA_Matches_All[[#This Row],[NZflM]])),0)</f>
        <v>0</v>
      </c>
      <c r="BF226">
        <f>COUNTIFS(Dyno_Data[Team],TBA_Matches_All[[#This Row],[Team]],Dyno_Data[Match],TBA_Matches_All[[#This Row],[Match_Number]],Dyno_Data[RecordType],"Activities",Dyno_Data[DelDest],"AllyW", Dyno_Data[DelMiss],1)</f>
        <v>0</v>
      </c>
      <c r="BG226" s="60">
        <f>IFERROR(SUM((TBA_Matches_All[[#This Row],[AllyWFlrT]])/(TBA_Matches_All[[#This Row],[AllyWFlrT]]+TBA_Matches_All[[#This Row],[AZflM]])),0)</f>
        <v>0</v>
      </c>
      <c r="BH226">
        <f>COUNTIFS(Dyno_Data[Team],TBA_Matches_All[[#This Row],[Team]],Dyno_Data[Match],TBA_Matches_All[[#This Row],[Match_Number]],Dyno_Data[RecordType],"Activities",Dyno_Data[DelOrig],"OppW", Dyno_Data[DelMiss],"0")</f>
        <v>0</v>
      </c>
      <c r="BI226">
        <f>COUNTIFS(Dyno_Data[Team],TBA_Matches_All[[#This Row],[Team]],Dyno_Data[Match],TBA_Matches_All[[#This Row],[Match_Number]],Dyno_Data[RecordType],"Activities",Dyno_Data[DelOrig],"OppW", Dyno_Data[DelMiss],"1")</f>
        <v>0</v>
      </c>
      <c r="BJ226" s="60">
        <f>IFERROR(SUM((TBA_Matches_All[[#This Row],[OZflrT]])/(TBA_Matches_All[[#This Row],[OZflrT]]+TBA_Matches_All[[#This Row],[OZflrM]])),0)</f>
        <v>0</v>
      </c>
      <c r="BK226">
        <f>COUNTIFS(Dyno_Data[Team],TBA_Matches_All[[#This Row],[Team]],Dyno_Data[Match],TBA_Matches_All[[#This Row],[Match_Number]],Dyno_Data[RecordType],"Activities",Dyno_Data[DelOrig],"Neut", Dyno_Data[DelMiss],"0")</f>
        <v>0</v>
      </c>
      <c r="BL226">
        <f>COUNTIFS(Dyno_Data[Team],TBA_Matches_All[[#This Row],[Team]],Dyno_Data[Match],TBA_Matches_All[[#This Row],[Match_Number]],Dyno_Data[RecordType],"Activities",Dyno_Data[DelOrig],"Neut", Dyno_Data[DelMiss],"1")</f>
        <v>0</v>
      </c>
      <c r="BM226" s="60">
        <f>IFERROR(SUM((TBA_Matches_All[[#This Row],[NZflrT]])/(TBA_Matches_All[[#This Row],[NZflrT]]+TBA_Matches_All[[#This Row],[NZflrM]])),0)</f>
        <v>0</v>
      </c>
      <c r="BN226">
        <f>COUNTIFS(Dyno_Data[Team],TBA_Matches_All[[#This Row],[Team]],Dyno_Data[Match],TBA_Matches_All[[#This Row],[Match_Number]],Dyno_Data[RecordType],"Activities",Dyno_Data[DelOrig],"AllyW", Dyno_Data[DelMiss],"0")</f>
        <v>9</v>
      </c>
      <c r="BO226">
        <f>COUNTIFS(Dyno_Data[Team],TBA_Matches_All[[#This Row],[Team]],Dyno_Data[Match],TBA_Matches_All[[#This Row],[Match_Number]],Dyno_Data[RecordType],"Activities",Dyno_Data[DelOrig],"AllyW", Dyno_Data[DelMiss],"1")</f>
        <v>3</v>
      </c>
      <c r="BP226" s="60">
        <f>IFERROR(SUM((TBA_Matches_All[[#This Row],[AZflrT]])/(TBA_Matches_All[[#This Row],[AZflrT]]+TBA_Matches_All[[#This Row],[AZflrM]])),0)</f>
        <v>0.75</v>
      </c>
      <c r="BQ226">
        <f>COUNTIFS(Dyno_Data[Team],TBA_Matches_All[[#This Row],[Team]],Dyno_Data[Match],TBA_Matches_All[[#This Row],[Match_Number]],Dyno_Data[RecordType],"Activities",Dyno_Data[DelOrig],"SubW", Dyno_Data[DelMiss],"0")</f>
        <v>0</v>
      </c>
      <c r="BR226">
        <f>COUNTIFS(Dyno_Data[Team],TBA_Matches_All[[#This Row],[Team]],Dyno_Data[Match],TBA_Matches_All[[#This Row],[Match_Number]],Dyno_Data[RecordType],"Activities",Dyno_Data[DelOrig],"SubW", Dyno_Data[DelMiss],"1")</f>
        <v>0</v>
      </c>
      <c r="BS226" s="60">
        <f>IFERROR(SUM((TBA_Matches_All[[#This Row],[SubwT]])/(TBA_Matches_All[[#This Row],[SubwT]]+TBA_Matches_All[[#This Row],[SubwM]])),0)</f>
        <v>0</v>
      </c>
      <c r="BT226">
        <f>COUNTIFS(Dyno_Data[Team],TBA_Matches_All[[#This Row],[Team]],Dyno_Data[Match],TBA_Matches_All[[#This Row],[Match_Number]],Dyno_Data[RecordType],"Activities", Dyno_Data[AcqLoc],"OppWing")</f>
        <v>0</v>
      </c>
      <c r="BU226">
        <f>COUNTIFS(Dyno_Data[Team],TBA_Matches_All[[#This Row],[Team]],Dyno_Data[Match],TBA_Matches_All[[#This Row],[Match_Number]],Dyno_Data[RecordType],"Activities", Dyno_Data[AcqLoc],"Neutral")</f>
        <v>4</v>
      </c>
      <c r="BV226">
        <f>COUNTIFS(Dyno_Data[Team],TBA_Matches_All[[#This Row],[Team]],Dyno_Data[Match],TBA_Matches_All[[#This Row],[Match_Number]],Dyno_Data[RecordType],"Activities", Dyno_Data[AcqLoc],"AllyWing")</f>
        <v>0</v>
      </c>
      <c r="BW226">
        <f>COUNTIFS(Dyno_Data[Team],TBA_Matches_All[[#This Row],[Team]],Dyno_Data[Match],TBA_Matches_All[[#This Row],[Match_Number]],Dyno_Data[RecordType],"Activities", Dyno_Data[AcqLoc],"Source")</f>
        <v>0</v>
      </c>
      <c r="BX226">
        <f>SUMIFS(Dyno_Data[AcqDrp], Dyno_Data[Team],TBA_Matches_All[[#This Row],[Team]],Dyno_Data[Match],TBA_Matches_All[[#This Row],[Match_Number]],Dyno_Data[RecordType],"Activities", Dyno_Data[AcqLoc],"Source")</f>
        <v>0</v>
      </c>
      <c r="BY226">
        <f>SUMIFS(Dyno_Data[OZTime], Dyno_Data[Team],TBA_Matches_All[[#This Row],[Team]],Dyno_Data[Match],TBA_Matches_All[[#This Row],[Match_Number]],Dyno_Data[RecordType],"EndMatch")</f>
        <v>37.162130900000001</v>
      </c>
      <c r="BZ226">
        <f>SUMIFS(Dyno_Data[NZTime], Dyno_Data[Team],TBA_Matches_All[[#This Row],[Team]],Dyno_Data[Match],TBA_Matches_All[[#This Row],[Match_Number]],Dyno_Data[RecordType],"EndMatch")</f>
        <v>20.634416299999998</v>
      </c>
      <c r="CA226">
        <f>SUMIFS(Dyno_Data[AZTime], Dyno_Data[Team],TBA_Matches_All[[#This Row],[Team]],Dyno_Data[Match],TBA_Matches_All[[#This Row],[Match_Number]],Dyno_Data[RecordType],"EndMatch")</f>
        <v>54.238184199999999</v>
      </c>
      <c r="CB226">
        <f>SUMIFS(Dyno_Data[ClimbT], Dyno_Data[Team],TBA_Matches_All[[#This Row],[Team]],Dyno_Data[Match],TBA_Matches_All[[#This Row],[Match_Number]],Dyno_Data[RecordType],"EndMatch")</f>
        <v>10.9399669</v>
      </c>
      <c r="CC226" t="str">
        <f>_xlfn.XLOOKUP(SUM(MID(TBA_Matches_All[[#This Row],[Team]],4,5),(TBA_Matches_All[[#This Row],[Match_Number]]/100)),Dyno_EndMatch[teammat],Dyno_EndMatch[StageStat],"_",0,1)</f>
        <v>On</v>
      </c>
      <c r="CD226" t="str">
        <f>_xlfn.XLOOKUP(TBA_Matches_All[[#This Row],[teammat]],Dyno_EndMatch[teammat],Dyno_EndMatch[StageAtt],"_",0,1)</f>
        <v>1</v>
      </c>
      <c r="CE226" t="str">
        <f>_xlfn.XLOOKUP(TBA_Matches_All[[#This Row],[teammat]],Dyno_EndMatch[teammat],Dyno_EndMatch[StageLoc],"_",0,1)</f>
        <v>L</v>
      </c>
      <c r="CF226">
        <f>SUMIFS(Dyno_Data[Harmony], Dyno_Data[Team],TBA_Matches_All[[#This Row],[Team]],Dyno_Data[Match],TBA_Matches_All[[#This Row],[Match_Number]],Dyno_Data[RecordType],"EndMatch", Dyno_Data[StageStat],"On",Dyno_Data[Harmony],"&lt;&gt;9")</f>
        <v>0</v>
      </c>
      <c r="CG226">
        <f>SUMIFS(Dyno_Data[Spotlit], Dyno_Data[Team],TBA_Matches_All[[#This Row],[Team]],Dyno_Data[Match],TBA_Matches_All[[#This Row],[Match_Number]],Dyno_Data[RecordType],"EndMatch", Dyno_Data[StageStat],"On",Dyno_Data[Spotlit],"&lt;&gt;9")</f>
        <v>0</v>
      </c>
      <c r="CH226" t="str">
        <f>_xlfn.XLOOKUP(TBA_Matches_All[[#This Row],[teammat]],Dyno_EndMatch[teammat],Dyno_EndMatch[Strategy],"_",0,1)</f>
        <v>Celebity</v>
      </c>
      <c r="CI226">
        <f>SUMIFS(Dyno_Data[Defense], Dyno_Data[Team],TBA_Matches_All[[#This Row],[Team]],Dyno_Data[Match],TBA_Matches_All[[#This Row],[Match_Number]],Dyno_Data[RecordType],"EndMatch",Dyno_Data[Defense],"&lt;&gt;9")</f>
        <v>0</v>
      </c>
      <c r="CJ226">
        <f>SUMIFS(Dyno_Data[Avoidance], Dyno_Data[Team],TBA_Matches_All[[#This Row],[Team]],Dyno_Data[Match],TBA_Matches_All[[#This Row],[Match_Number]],Dyno_Data[RecordType],"EndMatch",Dyno_Data[Avoidance],"&lt;&gt;9")</f>
        <v>0</v>
      </c>
      <c r="CK226" s="82">
        <f>COUNTIF($H$2:TBA_Matches_All[[#This Row],[Team]],TBA_Matches_All[[#This Row],[Team]])</f>
        <v>5</v>
      </c>
      <c r="CL226" s="111">
        <f>SUM(MID(TBA_Matches_All[[#This Row],[Team]],4,5)+TBA_Matches_All[[#This Row],[Match_Number]]/100)</f>
        <v>7605.38</v>
      </c>
      <c r="CM226">
        <f>SUM((TBA_Matches_All[[#This Row],[Leave]]*2)+(TBA_Matches_All[[#This Row],[AampT]]*2)+(TBA_Matches_All[[#This Row],[AspkrT]]*5)+(TBA_Matches_All[[#This Row],[AtrapT]]*5))</f>
        <v>17</v>
      </c>
      <c r="CN226" s="59">
        <f>IFERROR(SUM(TBA_Matches_All[[#This Row],[AptsT]]/TBA_Matches_All[[#This Row],[AutoPts]]),0)</f>
        <v>0.65384615384615385</v>
      </c>
      <c r="CO226" s="59">
        <f>IFERROR(SUM(TBA_Matches_All[[#This Row],[AampT]]+TBA_Matches_All[[#This Row],[AspkrT]]+TBA_Matches_All[[#This Row],[AtrapT]]/TBA_Matches_All[[#This Row],[Aamp]]+TBA_Matches_All[[#This Row],[Aspkr]]+TBA_Matches_All[[#This Row],[AtrapT]]),0)</f>
        <v>0</v>
      </c>
      <c r="CP226" s="59">
        <f>IFERROR(SUM(TBA_Matches_All[[#This Row],[TampT]]/TBA_Matches_All[[#This Row],[Tamp]]),0)</f>
        <v>0</v>
      </c>
      <c r="CQ226" s="59">
        <f>IFERROR(SUM(TBA_Matches_All[[#This Row],[TspkrT]]/TBA_Matches_All[[#This Row],[Tspkr]]),0)</f>
        <v>0.66666666666666663</v>
      </c>
      <c r="CR226">
        <f>SUM(TBA_Matches_All[[#This Row],[TspkrPts]]*TBA_Matches_All[[#This Row],[TspkrP]])</f>
        <v>16</v>
      </c>
      <c r="CS226" s="59">
        <f>IFERROR(SUM(TBA_Matches_All[[#This Row],[TtrapT]]/TBA_Matches_All[[#This Row],[Trap]]),0)</f>
        <v>1</v>
      </c>
      <c r="CT226" s="59">
        <f>IFERROR(SUM(TBA_Matches_All[[#This Row],[TotNotesT]]/TBA_Matches_All[[#This Row],[TotNotes]]),0)</f>
        <v>0.625</v>
      </c>
      <c r="CU226" s="66">
        <f>SUM((TBA_Matches_All[[#This Row],[AampT]]*2)+(TBA_Matches_All[[#This Row],[AspkrT]]*5)+(TBA_Matches_All[[#This Row],[AtrapT]]*5)+(TBA_Matches_All[[#This Row],[TampT]]*1)+(TBA_Matches_All[[#This Row],[TspkrptsC]]))</f>
        <v>31</v>
      </c>
      <c r="CV226" s="59">
        <f>IFERROR(TBA_Matches_All[[#This Row],[noteptsT]]/TBA_Matches_All[[#This Row],[NotePts]],0)</f>
        <v>0.65957446808510634</v>
      </c>
      <c r="CW226">
        <f>SUM(IF(TBA_Matches_All[[#This Row],[stageStat]]="On",3,0),IF(TBA_Matches_All[[#This Row],[stageStat]]="Park",1,0),SUMIFS(TBA_Matches_All[[#This Row],[Spotlit]],TBA_Matches_All[[#This Row],[stageStat]],"On"),SUMIFS(TBA_Matches_All[[#This Row],[Harmony]],TBA_Matches_All[[#This Row],[stageStat]],"On"))</f>
        <v>3</v>
      </c>
      <c r="CX226" s="59">
        <f>IFERROR(TBA_Matches_All[[#This Row],[stageptsT]]/TBA_Matches_All[[#This Row],[StagePts]],0)</f>
        <v>0.27272727272727271</v>
      </c>
      <c r="CY226">
        <f>SUM((TBA_Matches_All[[#This Row],[AptsT]]+TBA_Matches_All[[#This Row],[TampT]]+TBA_Matches_All[[#This Row],[TspkrptsC]]+(TBA_Matches_All[[#This Row],[TtrapT]]*5)+TBA_Matches_All[[#This Row],[stageptsT]]))</f>
        <v>41</v>
      </c>
      <c r="CZ226" s="59">
        <f>IFERROR(SUM(TBA_Matches_All[[#This Row],[TotptsC]]/TBA_Matches_All[[#This Row],[Score]]),0)</f>
        <v>0.53947368421052633</v>
      </c>
      <c r="DA22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10.586666666666666</v>
      </c>
      <c r="DB226" s="74">
        <f>SUMIFS(TBA_Matches_All[AveTeamTNoteDels],TBA_Matches_All[Match_Number],TBA_Matches_All[[#This Row],[Match_Number]],TBA_Matches_All[Alliance],"&lt;&gt;"&amp;TBA_Matches_All[[#This Row],[Alliance]],TBA_Matches_All[Scouted],"&gt;0")</f>
        <v>51.299940476190478</v>
      </c>
      <c r="DC226" s="74">
        <f>(TBA_Matches_All[[#This Row],[TampT]]+TBA_Matches_All[[#This Row],[TspkrptsC]])-TBA_Matches_All[[#This Row],[AveTeamTNoteDels]]</f>
        <v>5.413333333333334</v>
      </c>
      <c r="DD226" s="74">
        <f>SUMIFS(TBA_Matches_All[AveTeamTNoteDels],TBA_Matches_All[Match_Number],TBA_Matches_All[[#This Row],[Match_Number]],TBA_Matches_All[Alliance],"&lt;&gt;"&amp;TBA_Matches_All[[#This Row],[Alliance]])-TBA_Matches_All[[#This Row],[AveOppTNoteDels]]</f>
        <v>0</v>
      </c>
    </row>
    <row r="227" spans="1:108" x14ac:dyDescent="0.3">
      <c r="A227" t="s">
        <v>1042</v>
      </c>
      <c r="B227" t="s">
        <v>489</v>
      </c>
      <c r="C227" t="s">
        <v>1347</v>
      </c>
      <c r="D227">
        <v>38</v>
      </c>
      <c r="E227" t="s">
        <v>1420</v>
      </c>
      <c r="F227" t="s">
        <v>1421</v>
      </c>
      <c r="G227" t="s">
        <v>164</v>
      </c>
      <c r="H227" t="s">
        <v>1277</v>
      </c>
      <c r="I227" t="b">
        <v>1</v>
      </c>
      <c r="J227">
        <v>70</v>
      </c>
      <c r="K227">
        <v>1</v>
      </c>
      <c r="L227">
        <v>0</v>
      </c>
      <c r="M227">
        <v>12</v>
      </c>
      <c r="N227">
        <v>0</v>
      </c>
      <c r="O227">
        <v>4</v>
      </c>
      <c r="P227">
        <v>20</v>
      </c>
      <c r="Q227">
        <v>24</v>
      </c>
      <c r="R227">
        <v>3</v>
      </c>
      <c r="S227">
        <v>2</v>
      </c>
      <c r="T227">
        <v>11</v>
      </c>
      <c r="U227">
        <v>10</v>
      </c>
      <c r="V227">
        <v>22</v>
      </c>
      <c r="W227">
        <v>13</v>
      </c>
      <c r="X227">
        <v>32</v>
      </c>
      <c r="Y227">
        <v>35</v>
      </c>
      <c r="Z227">
        <v>0</v>
      </c>
      <c r="AA227">
        <v>0</v>
      </c>
      <c r="AB227">
        <v>20</v>
      </c>
      <c r="AC227">
        <v>55</v>
      </c>
      <c r="AD227">
        <v>6</v>
      </c>
      <c r="AE227">
        <f>IFERROR(6/(COUNTIF(Dyno_EndMatch[Match],TBA_Matches_All[[#This Row],[Match_Number]])),0)</f>
        <v>1</v>
      </c>
      <c r="AF227">
        <f>COUNTIFS(Dyno_Data[Team],TBA_Matches_All[[#This Row],[Team]],Dyno_Data[Match],TBA_Matches_All[[#This Row],[Match_Number]],Dyno_Data[RecordType],"EndMatch",Dyno_Data[HPAmp],"Y")</f>
        <v>1</v>
      </c>
      <c r="AG227">
        <f>SUMIFS(Dyno_Data[Mics], Dyno_Data[Team],TBA_Matches_All[[#This Row],[Team]],Dyno_Data[Match],TBA_Matches_All[[#This Row],[Match_Number]],Dyno_Data[RecordType],"EndMatch",Dyno_Data[HPAmp],"Y")</f>
        <v>2</v>
      </c>
      <c r="AH227">
        <f>SUMIFS(Dyno_Data[Leave], Dyno_Data[Team],TBA_Matches_All[[#This Row],[Team]],Dyno_Data[Match],TBA_Matches_All[[#This Row],[Match_Number]],Dyno_Data[RecordType],"EndAuto")</f>
        <v>0</v>
      </c>
      <c r="AI227">
        <f>COUNTIFS(Dyno_Data[Team],TBA_Matches_All[[#This Row],[Team]],Dyno_Data[Match],TBA_Matches_All[[#This Row],[Match_Number]],Dyno_Data[RecordType],"Activities",Dyno_Data[DelDest],"Amp", Dyno_Data[DelMiss],"0", Dyno_Data[Mode],"Auto")</f>
        <v>0</v>
      </c>
      <c r="AJ227">
        <f>COUNTIFS(Dyno_Data[Team],TBA_Matches_All[[#This Row],[Team]],Dyno_Data[Match],TBA_Matches_All[[#This Row],[Match_Number]],Dyno_Data[RecordType],"Activities",Dyno_Data[DelDest],"Spkr", Dyno_Data[DelMiss],"0", Dyno_Data[Mode],"Auto")</f>
        <v>0</v>
      </c>
      <c r="AK227">
        <f>COUNTIFS(Dyno_Data[Team],TBA_Matches_All[[#This Row],[Team]],Dyno_Data[Match],TBA_Matches_All[[#This Row],[Match_Number]],Dyno_Data[RecordType],"Activities",Dyno_Data[DelDest],"Trap", Dyno_Data[DelMiss],"0", Dyno_Data[Mode],"Auto")</f>
        <v>0</v>
      </c>
      <c r="AL227">
        <f>COUNTIFS(Dyno_Data[Team],TBA_Matches_All[[#This Row],[Team]],Dyno_Data[Match],TBA_Matches_All[[#This Row],[Match_Number]],Dyno_Data[RecordType],"Activities",Dyno_Data[DelDest],"Amp", Dyno_Data[DelMiss],"0", Dyno_Data[Mode],"Teleop")</f>
        <v>0</v>
      </c>
      <c r="AM227">
        <f>COUNTIFS(Dyno_Data[Team],TBA_Matches_All[[#This Row],[Team]],Dyno_Data[Match],TBA_Matches_All[[#This Row],[Match_Number]],Dyno_Data[RecordType],"Activities",Dyno_Data[DelDest],"Spkr", Dyno_Data[DelMiss],"0", Dyno_Data[Mode],"Teleop")</f>
        <v>0</v>
      </c>
      <c r="AN227">
        <f>COUNTIFS(Dyno_Data[Team],TBA_Matches_All[[#This Row],[Team]],Dyno_Data[Match],TBA_Matches_All[[#This Row],[Match_Number]],Dyno_Data[RecordType],"Activities",Dyno_Data[DelDest],"Trap", Dyno_Data[DelMiss],"0", Dyno_Data[Mode],"&lt;&gt;Auto")</f>
        <v>0</v>
      </c>
      <c r="AO227">
        <f>SUM(TBA_Matches_All[[#This Row],[AampT]]+TBA_Matches_All[[#This Row],[AspkrT]]+TBA_Matches_All[[#This Row],[AtrapT]]+TBA_Matches_All[[#This Row],[TampT]]+TBA_Matches_All[[#This Row],[TspkrT]]+TBA_Matches_All[[#This Row],[TtrapT]])</f>
        <v>0</v>
      </c>
      <c r="AP227">
        <f>COUNTIFS(Dyno_Data[Team],TBA_Matches_All[[#This Row],[Team]],Dyno_Data[Match],TBA_Matches_All[[#This Row],[Match_Number]],Dyno_Data[RecordType],"Activities",Dyno_Data[DelDest],"Neut", Dyno_Data[DelMiss],"0")</f>
        <v>0</v>
      </c>
      <c r="AQ227">
        <f>COUNTIFS(Dyno_Data[Team],TBA_Matches_All[[#This Row],[Team]],Dyno_Data[Match],TBA_Matches_All[[#This Row],[Match_Number]],Dyno_Data[RecordType],"Activities",Dyno_Data[DelDest],"AllyW", Dyno_Data[DelMiss],"0")</f>
        <v>0</v>
      </c>
      <c r="AR227" t="str">
        <f>_xlfn.XLOOKUP(SUM(MID(TBA_Matches_All[[#This Row],[Team]],4,5),(TBA_Matches_All[[#This Row],[Match_Number]]/100)),Dyno_EndMatch[teammat],Dyno_EndMatch[RobotSta],"_",0,1)</f>
        <v>Podm</v>
      </c>
      <c r="AS227">
        <f>SUMIFS(Dyno_Data[AcqDis], Dyno_Data[Team],TBA_Matches_All[[#This Row],[Team]],Dyno_Data[Match],TBA_Matches_All[[#This Row],[Match_Number]],Dyno_Data[RecordType],"Activities", Dyno_Data[AcqCenter],1,Dyno_Data[Mode],"Auto")</f>
        <v>0</v>
      </c>
      <c r="AT227">
        <f>SUMIFS(Dyno_Data[AcqDis], Dyno_Data[Team],TBA_Matches_All[[#This Row],[Team]],Dyno_Data[Match],TBA_Matches_All[[#This Row],[Match_Number]],Dyno_Data[RecordType],"Activities", Dyno_Data[AcqCenter],2,Dyno_Data[Mode],"Auto")</f>
        <v>-1</v>
      </c>
      <c r="AU227">
        <f>SUMIFS(Dyno_Data[AcqDis], Dyno_Data[Team],TBA_Matches_All[[#This Row],[Team]],Dyno_Data[Match],TBA_Matches_All[[#This Row],[Match_Number]],Dyno_Data[RecordType],"Activities", Dyno_Data[AcqCenter],3,Dyno_Data[Mode],"Auto")</f>
        <v>-1</v>
      </c>
      <c r="AV227">
        <f>SUMIFS(Dyno_Data[AcqDis], Dyno_Data[Team],TBA_Matches_All[[#This Row],[Team]],Dyno_Data[Match],TBA_Matches_All[[#This Row],[Match_Number]],Dyno_Data[RecordType],"Activities", Dyno_Data[AcqCenter],4,Dyno_Data[Mode],"Auto")</f>
        <v>0</v>
      </c>
      <c r="AW227">
        <f>SUMIFS(Dyno_Data[AcqDis], Dyno_Data[Team],TBA_Matches_All[[#This Row],[Team]],Dyno_Data[Match],TBA_Matches_All[[#This Row],[Match_Number]],Dyno_Data[RecordType],"Activities", Dyno_Data[AcqCenter],5,Dyno_Data[Mode],"Auto")</f>
        <v>0</v>
      </c>
      <c r="AX227">
        <f>SUMIFS(Dyno_Data[DelMiss], Dyno_Data[Team],TBA_Matches_All[[#This Row],[Team]],Dyno_Data[Match],TBA_Matches_All[[#This Row],[Match_Number]],Dyno_Data[RecordType],"Activities", Dyno_Data[DelDest],"Amp")</f>
        <v>0</v>
      </c>
      <c r="AY227" s="60">
        <f>IFERROR(SUM((TBA_Matches_All[[#This Row],[AampT]]+TBA_Matches_All[[#This Row],[TampT]])/(TBA_Matches_All[[#This Row],[AampT]]+TBA_Matches_All[[#This Row],[TampT]]+TBA_Matches_All[[#This Row],[ampM]])),0)</f>
        <v>0</v>
      </c>
      <c r="AZ227">
        <f>SUMIFS(Dyno_Data[DelMiss], Dyno_Data[Team],TBA_Matches_All[[#This Row],[Team]],Dyno_Data[Match],TBA_Matches_All[[#This Row],[Match_Number]],Dyno_Data[RecordType],"Activities", Dyno_Data[DelDest],"Spkr")</f>
        <v>0</v>
      </c>
      <c r="BA227" s="60">
        <f>IFERROR(SUM((TBA_Matches_All[[#This Row],[AspkrT]]+TBA_Matches_All[[#This Row],[TspkrT]])/(TBA_Matches_All[[#This Row],[AspkrT]]+TBA_Matches_All[[#This Row],[TspkrT]]+TBA_Matches_All[[#This Row],[spkrM]])),0)</f>
        <v>0</v>
      </c>
      <c r="BB227">
        <f>SUMIFS(Dyno_Data[DelMiss], Dyno_Data[Team],TBA_Matches_All[[#This Row],[Team]],Dyno_Data[Match],TBA_Matches_All[[#This Row],[Match_Number]],Dyno_Data[RecordType],"Activities", Dyno_Data[DelDest],"Trap")</f>
        <v>0</v>
      </c>
      <c r="BC227" s="60">
        <f>IFERROR((TBA_Matches_All[[#This Row],[AtrapT]]+TBA_Matches_All[[#This Row],[TtrapT]])/(TBA_Matches_All[[#This Row],[AtrapT]]+TBA_Matches_All[[#This Row],[TtrapT]]+TBA_Matches_All[[#This Row],[trapM]]),0)</f>
        <v>0</v>
      </c>
      <c r="BD227">
        <f>COUNTIFS(Dyno_Data[Team],TBA_Matches_All[[#This Row],[Team]],Dyno_Data[Match],TBA_Matches_All[[#This Row],[Match_Number]],Dyno_Data[RecordType],"Activities",Dyno_Data[DelDest],"Neut", Dyno_Data[DelMiss],1)</f>
        <v>0</v>
      </c>
      <c r="BE227" s="60">
        <f>IFERROR(SUM((TBA_Matches_All[[#This Row],[NeutFlrT]])/(TBA_Matches_All[[#This Row],[NeutFlrT]]+TBA_Matches_All[[#This Row],[NZflM]])),0)</f>
        <v>0</v>
      </c>
      <c r="BF227">
        <f>COUNTIFS(Dyno_Data[Team],TBA_Matches_All[[#This Row],[Team]],Dyno_Data[Match],TBA_Matches_All[[#This Row],[Match_Number]],Dyno_Data[RecordType],"Activities",Dyno_Data[DelDest],"AllyW", Dyno_Data[DelMiss],1)</f>
        <v>0</v>
      </c>
      <c r="BG227" s="60">
        <f>IFERROR(SUM((TBA_Matches_All[[#This Row],[AllyWFlrT]])/(TBA_Matches_All[[#This Row],[AllyWFlrT]]+TBA_Matches_All[[#This Row],[AZflM]])),0)</f>
        <v>0</v>
      </c>
      <c r="BH227">
        <f>COUNTIFS(Dyno_Data[Team],TBA_Matches_All[[#This Row],[Team]],Dyno_Data[Match],TBA_Matches_All[[#This Row],[Match_Number]],Dyno_Data[RecordType],"Activities",Dyno_Data[DelOrig],"OppW", Dyno_Data[DelMiss],"0")</f>
        <v>0</v>
      </c>
      <c r="BI227">
        <f>COUNTIFS(Dyno_Data[Team],TBA_Matches_All[[#This Row],[Team]],Dyno_Data[Match],TBA_Matches_All[[#This Row],[Match_Number]],Dyno_Data[RecordType],"Activities",Dyno_Data[DelOrig],"OppW", Dyno_Data[DelMiss],"1")</f>
        <v>0</v>
      </c>
      <c r="BJ227" s="60">
        <f>IFERROR(SUM((TBA_Matches_All[[#This Row],[OZflrT]])/(TBA_Matches_All[[#This Row],[OZflrT]]+TBA_Matches_All[[#This Row],[OZflrM]])),0)</f>
        <v>0</v>
      </c>
      <c r="BK227">
        <f>COUNTIFS(Dyno_Data[Team],TBA_Matches_All[[#This Row],[Team]],Dyno_Data[Match],TBA_Matches_All[[#This Row],[Match_Number]],Dyno_Data[RecordType],"Activities",Dyno_Data[DelOrig],"Neut", Dyno_Data[DelMiss],"0")</f>
        <v>0</v>
      </c>
      <c r="BL227">
        <f>COUNTIFS(Dyno_Data[Team],TBA_Matches_All[[#This Row],[Team]],Dyno_Data[Match],TBA_Matches_All[[#This Row],[Match_Number]],Dyno_Data[RecordType],"Activities",Dyno_Data[DelOrig],"Neut", Dyno_Data[DelMiss],"1")</f>
        <v>0</v>
      </c>
      <c r="BM227" s="60">
        <f>IFERROR(SUM((TBA_Matches_All[[#This Row],[NZflrT]])/(TBA_Matches_All[[#This Row],[NZflrT]]+TBA_Matches_All[[#This Row],[NZflrM]])),0)</f>
        <v>0</v>
      </c>
      <c r="BN227">
        <f>COUNTIFS(Dyno_Data[Team],TBA_Matches_All[[#This Row],[Team]],Dyno_Data[Match],TBA_Matches_All[[#This Row],[Match_Number]],Dyno_Data[RecordType],"Activities",Dyno_Data[DelOrig],"AllyW", Dyno_Data[DelMiss],"0")</f>
        <v>0</v>
      </c>
      <c r="BO227">
        <f>COUNTIFS(Dyno_Data[Team],TBA_Matches_All[[#This Row],[Team]],Dyno_Data[Match],TBA_Matches_All[[#This Row],[Match_Number]],Dyno_Data[RecordType],"Activities",Dyno_Data[DelOrig],"AllyW", Dyno_Data[DelMiss],"1")</f>
        <v>0</v>
      </c>
      <c r="BP227" s="60">
        <f>IFERROR(SUM((TBA_Matches_All[[#This Row],[AZflrT]])/(TBA_Matches_All[[#This Row],[AZflrT]]+TBA_Matches_All[[#This Row],[AZflrM]])),0)</f>
        <v>0</v>
      </c>
      <c r="BQ227">
        <f>COUNTIFS(Dyno_Data[Team],TBA_Matches_All[[#This Row],[Team]],Dyno_Data[Match],TBA_Matches_All[[#This Row],[Match_Number]],Dyno_Data[RecordType],"Activities",Dyno_Data[DelOrig],"SubW", Dyno_Data[DelMiss],"0")</f>
        <v>0</v>
      </c>
      <c r="BR227">
        <f>COUNTIFS(Dyno_Data[Team],TBA_Matches_All[[#This Row],[Team]],Dyno_Data[Match],TBA_Matches_All[[#This Row],[Match_Number]],Dyno_Data[RecordType],"Activities",Dyno_Data[DelOrig],"SubW", Dyno_Data[DelMiss],"1")</f>
        <v>0</v>
      </c>
      <c r="BS227" s="60">
        <f>IFERROR(SUM((TBA_Matches_All[[#This Row],[SubwT]])/(TBA_Matches_All[[#This Row],[SubwT]]+TBA_Matches_All[[#This Row],[SubwM]])),0)</f>
        <v>0</v>
      </c>
      <c r="BT227">
        <f>COUNTIFS(Dyno_Data[Team],TBA_Matches_All[[#This Row],[Team]],Dyno_Data[Match],TBA_Matches_All[[#This Row],[Match_Number]],Dyno_Data[RecordType],"Activities", Dyno_Data[AcqLoc],"OppWing")</f>
        <v>0</v>
      </c>
      <c r="BU227">
        <f>COUNTIFS(Dyno_Data[Team],TBA_Matches_All[[#This Row],[Team]],Dyno_Data[Match],TBA_Matches_All[[#This Row],[Match_Number]],Dyno_Data[RecordType],"Activities", Dyno_Data[AcqLoc],"Neutral")</f>
        <v>2</v>
      </c>
      <c r="BV227">
        <f>COUNTIFS(Dyno_Data[Team],TBA_Matches_All[[#This Row],[Team]],Dyno_Data[Match],TBA_Matches_All[[#This Row],[Match_Number]],Dyno_Data[RecordType],"Activities", Dyno_Data[AcqLoc],"AllyWing")</f>
        <v>0</v>
      </c>
      <c r="BW227">
        <f>COUNTIFS(Dyno_Data[Team],TBA_Matches_All[[#This Row],[Team]],Dyno_Data[Match],TBA_Matches_All[[#This Row],[Match_Number]],Dyno_Data[RecordType],"Activities", Dyno_Data[AcqLoc],"Source")</f>
        <v>0</v>
      </c>
      <c r="BX227">
        <f>SUMIFS(Dyno_Data[AcqDrp], Dyno_Data[Team],TBA_Matches_All[[#This Row],[Team]],Dyno_Data[Match],TBA_Matches_All[[#This Row],[Match_Number]],Dyno_Data[RecordType],"Activities", Dyno_Data[AcqLoc],"Source")</f>
        <v>0</v>
      </c>
      <c r="BY227">
        <f>SUMIFS(Dyno_Data[OZTime], Dyno_Data[Team],TBA_Matches_All[[#This Row],[Team]],Dyno_Data[Match],TBA_Matches_All[[#This Row],[Match_Number]],Dyno_Data[RecordType],"EndMatch")</f>
        <v>0.74664649999999999</v>
      </c>
      <c r="BZ227">
        <f>SUMIFS(Dyno_Data[NZTime], Dyno_Data[Team],TBA_Matches_All[[#This Row],[Team]],Dyno_Data[Match],TBA_Matches_All[[#This Row],[Match_Number]],Dyno_Data[RecordType],"EndMatch")</f>
        <v>87.57883489999999</v>
      </c>
      <c r="CA227">
        <f>SUMIFS(Dyno_Data[AZTime], Dyno_Data[Team],TBA_Matches_All[[#This Row],[Team]],Dyno_Data[Match],TBA_Matches_All[[#This Row],[Match_Number]],Dyno_Data[RecordType],"EndMatch")</f>
        <v>43.341343799999997</v>
      </c>
      <c r="CB227">
        <f>SUMIFS(Dyno_Data[ClimbT], Dyno_Data[Team],TBA_Matches_All[[#This Row],[Team]],Dyno_Data[Match],TBA_Matches_All[[#This Row],[Match_Number]],Dyno_Data[RecordType],"EndMatch")</f>
        <v>0</v>
      </c>
      <c r="CC227" t="str">
        <f>_xlfn.XLOOKUP(SUM(MID(TBA_Matches_All[[#This Row],[Team]],4,5),(TBA_Matches_All[[#This Row],[Match_Number]]/100)),Dyno_EndMatch[teammat],Dyno_EndMatch[StageStat],"_",0,1)</f>
        <v>Park</v>
      </c>
      <c r="CD227" t="str">
        <f>_xlfn.XLOOKUP(TBA_Matches_All[[#This Row],[teammat]],Dyno_EndMatch[teammat],Dyno_EndMatch[StageAtt],"_",0,1)</f>
        <v>0</v>
      </c>
      <c r="CE227" t="str">
        <f>_xlfn.XLOOKUP(TBA_Matches_All[[#This Row],[teammat]],Dyno_EndMatch[teammat],Dyno_EndMatch[StageLoc],"_",0,1)</f>
        <v>A</v>
      </c>
      <c r="CF227">
        <f>SUMIFS(Dyno_Data[Harmony], Dyno_Data[Team],TBA_Matches_All[[#This Row],[Team]],Dyno_Data[Match],TBA_Matches_All[[#This Row],[Match_Number]],Dyno_Data[RecordType],"EndMatch", Dyno_Data[StageStat],"On",Dyno_Data[Harmony],"&lt;&gt;9")</f>
        <v>0</v>
      </c>
      <c r="CG227">
        <f>SUMIFS(Dyno_Data[Spotlit], Dyno_Data[Team],TBA_Matches_All[[#This Row],[Team]],Dyno_Data[Match],TBA_Matches_All[[#This Row],[Match_Number]],Dyno_Data[RecordType],"EndMatch", Dyno_Data[StageStat],"On",Dyno_Data[Spotlit],"&lt;&gt;9")</f>
        <v>0</v>
      </c>
      <c r="CH227" t="str">
        <f>_xlfn.XLOOKUP(TBA_Matches_All[[#This Row],[teammat]],Dyno_EndMatch[teammat],Dyno_EndMatch[Strategy],"_",0,1)</f>
        <v>Defense</v>
      </c>
      <c r="CI227">
        <f>SUMIFS(Dyno_Data[Defense], Dyno_Data[Team],TBA_Matches_All[[#This Row],[Team]],Dyno_Data[Match],TBA_Matches_All[[#This Row],[Match_Number]],Dyno_Data[RecordType],"EndMatch",Dyno_Data[Defense],"&lt;&gt;9")</f>
        <v>3</v>
      </c>
      <c r="CJ227">
        <f>SUMIFS(Dyno_Data[Avoidance], Dyno_Data[Team],TBA_Matches_All[[#This Row],[Team]],Dyno_Data[Match],TBA_Matches_All[[#This Row],[Match_Number]],Dyno_Data[RecordType],"EndMatch",Dyno_Data[Avoidance],"&lt;&gt;9")</f>
        <v>0</v>
      </c>
      <c r="CK227" s="82">
        <f>COUNTIF($H$2:TBA_Matches_All[[#This Row],[Team]],TBA_Matches_All[[#This Row],[Team]])</f>
        <v>5</v>
      </c>
      <c r="CL227" s="111">
        <f>SUM(MID(TBA_Matches_All[[#This Row],[Team]],4,5)+TBA_Matches_All[[#This Row],[Match_Number]]/100)</f>
        <v>3360.38</v>
      </c>
      <c r="CM227">
        <f>SUM((TBA_Matches_All[[#This Row],[Leave]]*2)+(TBA_Matches_All[[#This Row],[AampT]]*2)+(TBA_Matches_All[[#This Row],[AspkrT]]*5)+(TBA_Matches_All[[#This Row],[AtrapT]]*5))</f>
        <v>0</v>
      </c>
      <c r="CN227" s="59">
        <f>IFERROR(SUM(TBA_Matches_All[[#This Row],[AptsT]]/TBA_Matches_All[[#This Row],[AutoPts]]),0)</f>
        <v>0</v>
      </c>
      <c r="CO227" s="59">
        <f>IFERROR(SUM(TBA_Matches_All[[#This Row],[AampT]]+TBA_Matches_All[[#This Row],[AspkrT]]+TBA_Matches_All[[#This Row],[AtrapT]]/TBA_Matches_All[[#This Row],[Aamp]]+TBA_Matches_All[[#This Row],[Aspkr]]+TBA_Matches_All[[#This Row],[AtrapT]]),0)</f>
        <v>0</v>
      </c>
      <c r="CP227" s="59">
        <f>IFERROR(SUM(TBA_Matches_All[[#This Row],[TampT]]/TBA_Matches_All[[#This Row],[Tamp]]),0)</f>
        <v>0</v>
      </c>
      <c r="CQ227" s="59">
        <f>IFERROR(SUM(TBA_Matches_All[[#This Row],[TspkrT]]/TBA_Matches_All[[#This Row],[Tspkr]]),0)</f>
        <v>0</v>
      </c>
      <c r="CR227">
        <f>SUM(TBA_Matches_All[[#This Row],[TspkrPts]]*TBA_Matches_All[[#This Row],[TspkrP]])</f>
        <v>0</v>
      </c>
      <c r="CS227" s="59">
        <f>IFERROR(SUM(TBA_Matches_All[[#This Row],[TtrapT]]/TBA_Matches_All[[#This Row],[Trap]]),0)</f>
        <v>0</v>
      </c>
      <c r="CT227" s="59">
        <f>IFERROR(SUM(TBA_Matches_All[[#This Row],[TotNotesT]]/TBA_Matches_All[[#This Row],[TotNotes]]),0)</f>
        <v>0</v>
      </c>
      <c r="CU227" s="66">
        <f>SUM((TBA_Matches_All[[#This Row],[AampT]]*2)+(TBA_Matches_All[[#This Row],[AspkrT]]*5)+(TBA_Matches_All[[#This Row],[AtrapT]]*5)+(TBA_Matches_All[[#This Row],[TampT]]*1)+(TBA_Matches_All[[#This Row],[TspkrptsC]]))</f>
        <v>0</v>
      </c>
      <c r="CV227" s="59">
        <f>IFERROR(TBA_Matches_All[[#This Row],[noteptsT]]/TBA_Matches_All[[#This Row],[NotePts]],0)</f>
        <v>0</v>
      </c>
      <c r="CW227">
        <f>SUM(IF(TBA_Matches_All[[#This Row],[stageStat]]="On",3,0),IF(TBA_Matches_All[[#This Row],[stageStat]]="Park",1,0),SUMIFS(TBA_Matches_All[[#This Row],[Spotlit]],TBA_Matches_All[[#This Row],[stageStat]],"On"),SUMIFS(TBA_Matches_All[[#This Row],[Harmony]],TBA_Matches_All[[#This Row],[stageStat]],"On"))</f>
        <v>1</v>
      </c>
      <c r="CX227" s="59">
        <f>IFERROR(TBA_Matches_All[[#This Row],[stageptsT]]/TBA_Matches_All[[#This Row],[StagePts]],0)</f>
        <v>0.16666666666666666</v>
      </c>
      <c r="CY227">
        <f>SUM((TBA_Matches_All[[#This Row],[AptsT]]+TBA_Matches_All[[#This Row],[TampT]]+TBA_Matches_All[[#This Row],[TspkrptsC]]+(TBA_Matches_All[[#This Row],[TtrapT]]*5)+TBA_Matches_All[[#This Row],[stageptsT]]))</f>
        <v>1</v>
      </c>
      <c r="CZ227" s="59">
        <f>IFERROR(SUM(TBA_Matches_All[[#This Row],[TotptsC]]/TBA_Matches_All[[#This Row],[Score]]),0)</f>
        <v>1.4285714285714285E-2</v>
      </c>
      <c r="DA22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13.633333333333333</v>
      </c>
      <c r="DB227" s="74">
        <f>SUMIFS(TBA_Matches_All[AveTeamTNoteDels],TBA_Matches_All[Match_Number],TBA_Matches_All[[#This Row],[Match_Number]],TBA_Matches_All[Alliance],"&lt;&gt;"&amp;TBA_Matches_All[[#This Row],[Alliance]],TBA_Matches_All[Scouted],"&gt;0")</f>
        <v>31.99750582750583</v>
      </c>
      <c r="DC227" s="74">
        <f>(TBA_Matches_All[[#This Row],[TampT]]+TBA_Matches_All[[#This Row],[TspkrptsC]])-TBA_Matches_All[[#This Row],[AveTeamTNoteDels]]</f>
        <v>-13.633333333333333</v>
      </c>
      <c r="DD227" s="74">
        <f>SUMIFS(TBA_Matches_All[AveTeamTNoteDels],TBA_Matches_All[Match_Number],TBA_Matches_All[[#This Row],[Match_Number]],TBA_Matches_All[Alliance],"&lt;&gt;"&amp;TBA_Matches_All[[#This Row],[Alliance]])-TBA_Matches_All[[#This Row],[AveOppTNoteDels]]</f>
        <v>0</v>
      </c>
    </row>
    <row r="228" spans="1:108" x14ac:dyDescent="0.3">
      <c r="A228" t="s">
        <v>1042</v>
      </c>
      <c r="B228" t="s">
        <v>489</v>
      </c>
      <c r="C228" t="s">
        <v>1347</v>
      </c>
      <c r="D228">
        <v>38</v>
      </c>
      <c r="E228" t="s">
        <v>1406</v>
      </c>
      <c r="F228" t="s">
        <v>1422</v>
      </c>
      <c r="G228" t="s">
        <v>105</v>
      </c>
      <c r="H228" t="s">
        <v>1296</v>
      </c>
      <c r="I228" t="b">
        <v>1</v>
      </c>
      <c r="J228">
        <v>76</v>
      </c>
      <c r="K228">
        <v>1</v>
      </c>
      <c r="L228">
        <v>1</v>
      </c>
      <c r="M228">
        <v>5</v>
      </c>
      <c r="N228">
        <v>0</v>
      </c>
      <c r="O228">
        <v>4</v>
      </c>
      <c r="P228">
        <v>20</v>
      </c>
      <c r="Q228">
        <v>26</v>
      </c>
      <c r="R228">
        <v>3</v>
      </c>
      <c r="S228">
        <v>2</v>
      </c>
      <c r="T228">
        <v>7</v>
      </c>
      <c r="U228">
        <v>10</v>
      </c>
      <c r="V228">
        <v>14</v>
      </c>
      <c r="W228">
        <v>9</v>
      </c>
      <c r="X228">
        <v>24</v>
      </c>
      <c r="Y228">
        <v>27</v>
      </c>
      <c r="Z228">
        <v>5</v>
      </c>
      <c r="AA228">
        <v>1</v>
      </c>
      <c r="AB228">
        <v>16</v>
      </c>
      <c r="AC228">
        <v>47</v>
      </c>
      <c r="AD228">
        <v>11</v>
      </c>
      <c r="AE228">
        <f>IFERROR(6/(COUNTIF(Dyno_EndMatch[Match],TBA_Matches_All[[#This Row],[Match_Number]])),0)</f>
        <v>1</v>
      </c>
      <c r="AF228">
        <f>COUNTIFS(Dyno_Data[Team],TBA_Matches_All[[#This Row],[Team]],Dyno_Data[Match],TBA_Matches_All[[#This Row],[Match_Number]],Dyno_Data[RecordType],"EndMatch",Dyno_Data[HPAmp],"Y")</f>
        <v>0</v>
      </c>
      <c r="AG228">
        <f>SUMIFS(Dyno_Data[Mics], Dyno_Data[Team],TBA_Matches_All[[#This Row],[Team]],Dyno_Data[Match],TBA_Matches_All[[#This Row],[Match_Number]],Dyno_Data[RecordType],"EndMatch",Dyno_Data[HPAmp],"Y")</f>
        <v>0</v>
      </c>
      <c r="AH228">
        <f>SUMIFS(Dyno_Data[Leave], Dyno_Data[Team],TBA_Matches_All[[#This Row],[Team]],Dyno_Data[Match],TBA_Matches_All[[#This Row],[Match_Number]],Dyno_Data[RecordType],"EndAuto")</f>
        <v>1</v>
      </c>
      <c r="AI228">
        <f>COUNTIFS(Dyno_Data[Team],TBA_Matches_All[[#This Row],[Team]],Dyno_Data[Match],TBA_Matches_All[[#This Row],[Match_Number]],Dyno_Data[RecordType],"Activities",Dyno_Data[DelDest],"Amp", Dyno_Data[DelMiss],"0", Dyno_Data[Mode],"Auto")</f>
        <v>0</v>
      </c>
      <c r="AJ228">
        <f>COUNTIFS(Dyno_Data[Team],TBA_Matches_All[[#This Row],[Team]],Dyno_Data[Match],TBA_Matches_All[[#This Row],[Match_Number]],Dyno_Data[RecordType],"Activities",Dyno_Data[DelDest],"Spkr", Dyno_Data[DelMiss],"0", Dyno_Data[Mode],"Auto")</f>
        <v>1</v>
      </c>
      <c r="AK228">
        <f>COUNTIFS(Dyno_Data[Team],TBA_Matches_All[[#This Row],[Team]],Dyno_Data[Match],TBA_Matches_All[[#This Row],[Match_Number]],Dyno_Data[RecordType],"Activities",Dyno_Data[DelDest],"Trap", Dyno_Data[DelMiss],"0", Dyno_Data[Mode],"Auto")</f>
        <v>0</v>
      </c>
      <c r="AL228">
        <f>COUNTIFS(Dyno_Data[Team],TBA_Matches_All[[#This Row],[Team]],Dyno_Data[Match],TBA_Matches_All[[#This Row],[Match_Number]],Dyno_Data[RecordType],"Activities",Dyno_Data[DelDest],"Amp", Dyno_Data[DelMiss],"0", Dyno_Data[Mode],"Teleop")</f>
        <v>0</v>
      </c>
      <c r="AM228">
        <f>COUNTIFS(Dyno_Data[Team],TBA_Matches_All[[#This Row],[Team]],Dyno_Data[Match],TBA_Matches_All[[#This Row],[Match_Number]],Dyno_Data[RecordType],"Activities",Dyno_Data[DelDest],"Spkr", Dyno_Data[DelMiss],"0", Dyno_Data[Mode],"Teleop")</f>
        <v>3</v>
      </c>
      <c r="AN228">
        <f>COUNTIFS(Dyno_Data[Team],TBA_Matches_All[[#This Row],[Team]],Dyno_Data[Match],TBA_Matches_All[[#This Row],[Match_Number]],Dyno_Data[RecordType],"Activities",Dyno_Data[DelDest],"Trap", Dyno_Data[DelMiss],"0", Dyno_Data[Mode],"&lt;&gt;Auto")</f>
        <v>0</v>
      </c>
      <c r="AO228">
        <f>SUM(TBA_Matches_All[[#This Row],[AampT]]+TBA_Matches_All[[#This Row],[AspkrT]]+TBA_Matches_All[[#This Row],[AtrapT]]+TBA_Matches_All[[#This Row],[TampT]]+TBA_Matches_All[[#This Row],[TspkrT]]+TBA_Matches_All[[#This Row],[TtrapT]])</f>
        <v>4</v>
      </c>
      <c r="AP228">
        <f>COUNTIFS(Dyno_Data[Team],TBA_Matches_All[[#This Row],[Team]],Dyno_Data[Match],TBA_Matches_All[[#This Row],[Match_Number]],Dyno_Data[RecordType],"Activities",Dyno_Data[DelDest],"Neut", Dyno_Data[DelMiss],"0")</f>
        <v>0</v>
      </c>
      <c r="AQ228">
        <f>COUNTIFS(Dyno_Data[Team],TBA_Matches_All[[#This Row],[Team]],Dyno_Data[Match],TBA_Matches_All[[#This Row],[Match_Number]],Dyno_Data[RecordType],"Activities",Dyno_Data[DelDest],"AllyW", Dyno_Data[DelMiss],"0")</f>
        <v>2</v>
      </c>
      <c r="AR228" t="str">
        <f>_xlfn.XLOOKUP(SUM(MID(TBA_Matches_All[[#This Row],[Team]],4,5),(TBA_Matches_All[[#This Row],[Match_Number]]/100)),Dyno_EndMatch[teammat],Dyno_EndMatch[RobotSta],"_",0,1)</f>
        <v>Podm</v>
      </c>
      <c r="AS228">
        <f>SUMIFS(Dyno_Data[AcqDis], Dyno_Data[Team],TBA_Matches_All[[#This Row],[Team]],Dyno_Data[Match],TBA_Matches_All[[#This Row],[Match_Number]],Dyno_Data[RecordType],"Activities", Dyno_Data[AcqCenter],1,Dyno_Data[Mode],"Auto")</f>
        <v>0</v>
      </c>
      <c r="AT228">
        <f>SUMIFS(Dyno_Data[AcqDis], Dyno_Data[Team],TBA_Matches_All[[#This Row],[Team]],Dyno_Data[Match],TBA_Matches_All[[#This Row],[Match_Number]],Dyno_Data[RecordType],"Activities", Dyno_Data[AcqCenter],2,Dyno_Data[Mode],"Auto")</f>
        <v>0</v>
      </c>
      <c r="AU228">
        <f>SUMIFS(Dyno_Data[AcqDis], Dyno_Data[Team],TBA_Matches_All[[#This Row],[Team]],Dyno_Data[Match],TBA_Matches_All[[#This Row],[Match_Number]],Dyno_Data[RecordType],"Activities", Dyno_Data[AcqCenter],3,Dyno_Data[Mode],"Auto")</f>
        <v>0</v>
      </c>
      <c r="AV228">
        <f>SUMIFS(Dyno_Data[AcqDis], Dyno_Data[Team],TBA_Matches_All[[#This Row],[Team]],Dyno_Data[Match],TBA_Matches_All[[#This Row],[Match_Number]],Dyno_Data[RecordType],"Activities", Dyno_Data[AcqCenter],4,Dyno_Data[Mode],"Auto")</f>
        <v>0</v>
      </c>
      <c r="AW228">
        <f>SUMIFS(Dyno_Data[AcqDis], Dyno_Data[Team],TBA_Matches_All[[#This Row],[Team]],Dyno_Data[Match],TBA_Matches_All[[#This Row],[Match_Number]],Dyno_Data[RecordType],"Activities", Dyno_Data[AcqCenter],5,Dyno_Data[Mode],"Auto")</f>
        <v>0</v>
      </c>
      <c r="AX228">
        <f>SUMIFS(Dyno_Data[DelMiss], Dyno_Data[Team],TBA_Matches_All[[#This Row],[Team]],Dyno_Data[Match],TBA_Matches_All[[#This Row],[Match_Number]],Dyno_Data[RecordType],"Activities", Dyno_Data[DelDest],"Amp")</f>
        <v>0</v>
      </c>
      <c r="AY228" s="60">
        <f>IFERROR(SUM((TBA_Matches_All[[#This Row],[AampT]]+TBA_Matches_All[[#This Row],[TampT]])/(TBA_Matches_All[[#This Row],[AampT]]+TBA_Matches_All[[#This Row],[TampT]]+TBA_Matches_All[[#This Row],[ampM]])),0)</f>
        <v>0</v>
      </c>
      <c r="AZ228">
        <f>SUMIFS(Dyno_Data[DelMiss], Dyno_Data[Team],TBA_Matches_All[[#This Row],[Team]],Dyno_Data[Match],TBA_Matches_All[[#This Row],[Match_Number]],Dyno_Data[RecordType],"Activities", Dyno_Data[DelDest],"Spkr")</f>
        <v>0</v>
      </c>
      <c r="BA228" s="60">
        <f>IFERROR(SUM((TBA_Matches_All[[#This Row],[AspkrT]]+TBA_Matches_All[[#This Row],[TspkrT]])/(TBA_Matches_All[[#This Row],[AspkrT]]+TBA_Matches_All[[#This Row],[TspkrT]]+TBA_Matches_All[[#This Row],[spkrM]])),0)</f>
        <v>1</v>
      </c>
      <c r="BB228">
        <f>SUMIFS(Dyno_Data[DelMiss], Dyno_Data[Team],TBA_Matches_All[[#This Row],[Team]],Dyno_Data[Match],TBA_Matches_All[[#This Row],[Match_Number]],Dyno_Data[RecordType],"Activities", Dyno_Data[DelDest],"Trap")</f>
        <v>0</v>
      </c>
      <c r="BC228" s="60">
        <f>IFERROR((TBA_Matches_All[[#This Row],[AtrapT]]+TBA_Matches_All[[#This Row],[TtrapT]])/(TBA_Matches_All[[#This Row],[AtrapT]]+TBA_Matches_All[[#This Row],[TtrapT]]+TBA_Matches_All[[#This Row],[trapM]]),0)</f>
        <v>0</v>
      </c>
      <c r="BD228">
        <f>COUNTIFS(Dyno_Data[Team],TBA_Matches_All[[#This Row],[Team]],Dyno_Data[Match],TBA_Matches_All[[#This Row],[Match_Number]],Dyno_Data[RecordType],"Activities",Dyno_Data[DelDest],"Neut", Dyno_Data[DelMiss],1)</f>
        <v>0</v>
      </c>
      <c r="BE228" s="60">
        <f>IFERROR(SUM((TBA_Matches_All[[#This Row],[NeutFlrT]])/(TBA_Matches_All[[#This Row],[NeutFlrT]]+TBA_Matches_All[[#This Row],[NZflM]])),0)</f>
        <v>0</v>
      </c>
      <c r="BF228">
        <f>COUNTIFS(Dyno_Data[Team],TBA_Matches_All[[#This Row],[Team]],Dyno_Data[Match],TBA_Matches_All[[#This Row],[Match_Number]],Dyno_Data[RecordType],"Activities",Dyno_Data[DelDest],"AllyW", Dyno_Data[DelMiss],1)</f>
        <v>0</v>
      </c>
      <c r="BG228" s="60">
        <f>IFERROR(SUM((TBA_Matches_All[[#This Row],[AllyWFlrT]])/(TBA_Matches_All[[#This Row],[AllyWFlrT]]+TBA_Matches_All[[#This Row],[AZflM]])),0)</f>
        <v>1</v>
      </c>
      <c r="BH228">
        <f>COUNTIFS(Dyno_Data[Team],TBA_Matches_All[[#This Row],[Team]],Dyno_Data[Match],TBA_Matches_All[[#This Row],[Match_Number]],Dyno_Data[RecordType],"Activities",Dyno_Data[DelOrig],"OppW", Dyno_Data[DelMiss],"0")</f>
        <v>0</v>
      </c>
      <c r="BI228">
        <f>COUNTIFS(Dyno_Data[Team],TBA_Matches_All[[#This Row],[Team]],Dyno_Data[Match],TBA_Matches_All[[#This Row],[Match_Number]],Dyno_Data[RecordType],"Activities",Dyno_Data[DelOrig],"OppW", Dyno_Data[DelMiss],"1")</f>
        <v>0</v>
      </c>
      <c r="BJ228" s="60">
        <f>IFERROR(SUM((TBA_Matches_All[[#This Row],[OZflrT]])/(TBA_Matches_All[[#This Row],[OZflrT]]+TBA_Matches_All[[#This Row],[OZflrM]])),0)</f>
        <v>0</v>
      </c>
      <c r="BK228">
        <f>COUNTIFS(Dyno_Data[Team],TBA_Matches_All[[#This Row],[Team]],Dyno_Data[Match],TBA_Matches_All[[#This Row],[Match_Number]],Dyno_Data[RecordType],"Activities",Dyno_Data[DelOrig],"Neut", Dyno_Data[DelMiss],"0")</f>
        <v>2</v>
      </c>
      <c r="BL228">
        <f>COUNTIFS(Dyno_Data[Team],TBA_Matches_All[[#This Row],[Team]],Dyno_Data[Match],TBA_Matches_All[[#This Row],[Match_Number]],Dyno_Data[RecordType],"Activities",Dyno_Data[DelOrig],"Neut", Dyno_Data[DelMiss],"1")</f>
        <v>0</v>
      </c>
      <c r="BM228" s="60">
        <f>IFERROR(SUM((TBA_Matches_All[[#This Row],[NZflrT]])/(TBA_Matches_All[[#This Row],[NZflrT]]+TBA_Matches_All[[#This Row],[NZflrM]])),0)</f>
        <v>1</v>
      </c>
      <c r="BN228">
        <f>COUNTIFS(Dyno_Data[Team],TBA_Matches_All[[#This Row],[Team]],Dyno_Data[Match],TBA_Matches_All[[#This Row],[Match_Number]],Dyno_Data[RecordType],"Activities",Dyno_Data[DelOrig],"AllyW", Dyno_Data[DelMiss],"0")</f>
        <v>3</v>
      </c>
      <c r="BO228">
        <f>COUNTIFS(Dyno_Data[Team],TBA_Matches_All[[#This Row],[Team]],Dyno_Data[Match],TBA_Matches_All[[#This Row],[Match_Number]],Dyno_Data[RecordType],"Activities",Dyno_Data[DelOrig],"AllyW", Dyno_Data[DelMiss],"1")</f>
        <v>0</v>
      </c>
      <c r="BP228" s="60">
        <f>IFERROR(SUM((TBA_Matches_All[[#This Row],[AZflrT]])/(TBA_Matches_All[[#This Row],[AZflrT]]+TBA_Matches_All[[#This Row],[AZflrM]])),0)</f>
        <v>1</v>
      </c>
      <c r="BQ228">
        <f>COUNTIFS(Dyno_Data[Team],TBA_Matches_All[[#This Row],[Team]],Dyno_Data[Match],TBA_Matches_All[[#This Row],[Match_Number]],Dyno_Data[RecordType],"Activities",Dyno_Data[DelOrig],"SubW", Dyno_Data[DelMiss],"0")</f>
        <v>1</v>
      </c>
      <c r="BR228">
        <f>COUNTIFS(Dyno_Data[Team],TBA_Matches_All[[#This Row],[Team]],Dyno_Data[Match],TBA_Matches_All[[#This Row],[Match_Number]],Dyno_Data[RecordType],"Activities",Dyno_Data[DelOrig],"SubW", Dyno_Data[DelMiss],"1")</f>
        <v>0</v>
      </c>
      <c r="BS228" s="60">
        <f>IFERROR(SUM((TBA_Matches_All[[#This Row],[SubwT]])/(TBA_Matches_All[[#This Row],[SubwT]]+TBA_Matches_All[[#This Row],[SubwM]])),0)</f>
        <v>1</v>
      </c>
      <c r="BT228">
        <f>COUNTIFS(Dyno_Data[Team],TBA_Matches_All[[#This Row],[Team]],Dyno_Data[Match],TBA_Matches_All[[#This Row],[Match_Number]],Dyno_Data[RecordType],"Activities", Dyno_Data[AcqLoc],"OppWing")</f>
        <v>0</v>
      </c>
      <c r="BU228">
        <f>COUNTIFS(Dyno_Data[Team],TBA_Matches_All[[#This Row],[Team]],Dyno_Data[Match],TBA_Matches_All[[#This Row],[Match_Number]],Dyno_Data[RecordType],"Activities", Dyno_Data[AcqLoc],"Neutral")</f>
        <v>0</v>
      </c>
      <c r="BV228">
        <f>COUNTIFS(Dyno_Data[Team],TBA_Matches_All[[#This Row],[Team]],Dyno_Data[Match],TBA_Matches_All[[#This Row],[Match_Number]],Dyno_Data[RecordType],"Activities", Dyno_Data[AcqLoc],"AllyWing")</f>
        <v>0</v>
      </c>
      <c r="BW228">
        <f>COUNTIFS(Dyno_Data[Team],TBA_Matches_All[[#This Row],[Team]],Dyno_Data[Match],TBA_Matches_All[[#This Row],[Match_Number]],Dyno_Data[RecordType],"Activities", Dyno_Data[AcqLoc],"Source")</f>
        <v>0</v>
      </c>
      <c r="BX228">
        <f>SUMIFS(Dyno_Data[AcqDrp], Dyno_Data[Team],TBA_Matches_All[[#This Row],[Team]],Dyno_Data[Match],TBA_Matches_All[[#This Row],[Match_Number]],Dyno_Data[RecordType],"Activities", Dyno_Data[AcqLoc],"Source")</f>
        <v>0</v>
      </c>
      <c r="BY228">
        <f>SUMIFS(Dyno_Data[OZTime], Dyno_Data[Team],TBA_Matches_All[[#This Row],[Team]],Dyno_Data[Match],TBA_Matches_All[[#This Row],[Match_Number]],Dyno_Data[RecordType],"EndMatch")</f>
        <v>42.238226499999996</v>
      </c>
      <c r="BZ228">
        <f>SUMIFS(Dyno_Data[NZTime], Dyno_Data[Team],TBA_Matches_All[[#This Row],[Team]],Dyno_Data[Match],TBA_Matches_All[[#This Row],[Match_Number]],Dyno_Data[RecordType],"EndMatch")</f>
        <v>44.133167100000001</v>
      </c>
      <c r="CA228">
        <f>SUMIFS(Dyno_Data[AZTime], Dyno_Data[Team],TBA_Matches_All[[#This Row],[Team]],Dyno_Data[Match],TBA_Matches_All[[#This Row],[Match_Number]],Dyno_Data[RecordType],"EndMatch")</f>
        <v>41.914444599999996</v>
      </c>
      <c r="CB228">
        <f>SUMIFS(Dyno_Data[ClimbT], Dyno_Data[Team],TBA_Matches_All[[#This Row],[Team]],Dyno_Data[Match],TBA_Matches_All[[#This Row],[Match_Number]],Dyno_Data[RecordType],"EndMatch")</f>
        <v>7.1890413999999998</v>
      </c>
      <c r="CC228" t="str">
        <f>_xlfn.XLOOKUP(SUM(MID(TBA_Matches_All[[#This Row],[Team]],4,5),(TBA_Matches_All[[#This Row],[Match_Number]]/100)),Dyno_EndMatch[teammat],Dyno_EndMatch[StageStat],"_",0,1)</f>
        <v>On</v>
      </c>
      <c r="CD228" t="str">
        <f>_xlfn.XLOOKUP(TBA_Matches_All[[#This Row],[teammat]],Dyno_EndMatch[teammat],Dyno_EndMatch[StageAtt],"_",0,1)</f>
        <v>1</v>
      </c>
      <c r="CE228" t="str">
        <f>_xlfn.XLOOKUP(TBA_Matches_All[[#This Row],[teammat]],Dyno_EndMatch[teammat],Dyno_EndMatch[StageLoc],"_",0,1)</f>
        <v>C</v>
      </c>
      <c r="CF228">
        <f>SUMIFS(Dyno_Data[Harmony], Dyno_Data[Team],TBA_Matches_All[[#This Row],[Team]],Dyno_Data[Match],TBA_Matches_All[[#This Row],[Match_Number]],Dyno_Data[RecordType],"EndMatch", Dyno_Data[StageStat],"On",Dyno_Data[Harmony],"&lt;&gt;9")</f>
        <v>0</v>
      </c>
      <c r="CG228">
        <f>SUMIFS(Dyno_Data[Spotlit], Dyno_Data[Team],TBA_Matches_All[[#This Row],[Team]],Dyno_Data[Match],TBA_Matches_All[[#This Row],[Match_Number]],Dyno_Data[RecordType],"EndMatch", Dyno_Data[StageStat],"On",Dyno_Data[Spotlit],"&lt;&gt;9")</f>
        <v>0</v>
      </c>
      <c r="CH228" t="str">
        <f>_xlfn.XLOOKUP(TBA_Matches_All[[#This Row],[teammat]],Dyno_EndMatch[teammat],Dyno_EndMatch[Strategy],"_",0,1)</f>
        <v>Hybrid</v>
      </c>
      <c r="CI228">
        <f>SUMIFS(Dyno_Data[Defense], Dyno_Data[Team],TBA_Matches_All[[#This Row],[Team]],Dyno_Data[Match],TBA_Matches_All[[#This Row],[Match_Number]],Dyno_Data[RecordType],"EndMatch",Dyno_Data[Defense],"&lt;&gt;9")</f>
        <v>0</v>
      </c>
      <c r="CJ228">
        <f>SUMIFS(Dyno_Data[Avoidance], Dyno_Data[Team],TBA_Matches_All[[#This Row],[Team]],Dyno_Data[Match],TBA_Matches_All[[#This Row],[Match_Number]],Dyno_Data[RecordType],"EndMatch",Dyno_Data[Avoidance],"&lt;&gt;9")</f>
        <v>1</v>
      </c>
      <c r="CK228" s="82">
        <f>COUNTIF($H$2:TBA_Matches_All[[#This Row],[Team]],TBA_Matches_All[[#This Row],[Team]])</f>
        <v>5</v>
      </c>
      <c r="CL228" s="111">
        <f>SUM(MID(TBA_Matches_All[[#This Row],[Team]],4,5)+TBA_Matches_All[[#This Row],[Match_Number]]/100)</f>
        <v>3003.38</v>
      </c>
      <c r="CM228">
        <f>SUM((TBA_Matches_All[[#This Row],[Leave]]*2)+(TBA_Matches_All[[#This Row],[AampT]]*2)+(TBA_Matches_All[[#This Row],[AspkrT]]*5)+(TBA_Matches_All[[#This Row],[AtrapT]]*5))</f>
        <v>7</v>
      </c>
      <c r="CN228" s="59">
        <f>IFERROR(SUM(TBA_Matches_All[[#This Row],[AptsT]]/TBA_Matches_All[[#This Row],[AutoPts]]),0)</f>
        <v>0.26923076923076922</v>
      </c>
      <c r="CO228" s="59">
        <f>IFERROR(SUM(TBA_Matches_All[[#This Row],[AampT]]+TBA_Matches_All[[#This Row],[AspkrT]]+TBA_Matches_All[[#This Row],[AtrapT]]/TBA_Matches_All[[#This Row],[Aamp]]+TBA_Matches_All[[#This Row],[Aspkr]]+TBA_Matches_All[[#This Row],[AtrapT]]),0)</f>
        <v>0</v>
      </c>
      <c r="CP228" s="59">
        <f>IFERROR(SUM(TBA_Matches_All[[#This Row],[TampT]]/TBA_Matches_All[[#This Row],[Tamp]]),0)</f>
        <v>0</v>
      </c>
      <c r="CQ228" s="59">
        <f>IFERROR(SUM(TBA_Matches_All[[#This Row],[TspkrT]]/TBA_Matches_All[[#This Row],[Tspkr]]),0)</f>
        <v>0.33333333333333331</v>
      </c>
      <c r="CR228">
        <f>SUM(TBA_Matches_All[[#This Row],[TspkrPts]]*TBA_Matches_All[[#This Row],[TspkrP]])</f>
        <v>8</v>
      </c>
      <c r="CS228" s="59">
        <f>IFERROR(SUM(TBA_Matches_All[[#This Row],[TtrapT]]/TBA_Matches_All[[#This Row],[Trap]]),0)</f>
        <v>0</v>
      </c>
      <c r="CT228" s="59">
        <f>IFERROR(SUM(TBA_Matches_All[[#This Row],[TotNotesT]]/TBA_Matches_All[[#This Row],[TotNotes]]),0)</f>
        <v>0.25</v>
      </c>
      <c r="CU228" s="66">
        <f>SUM((TBA_Matches_All[[#This Row],[AampT]]*2)+(TBA_Matches_All[[#This Row],[AspkrT]]*5)+(TBA_Matches_All[[#This Row],[AtrapT]]*5)+(TBA_Matches_All[[#This Row],[TampT]]*1)+(TBA_Matches_All[[#This Row],[TspkrptsC]]))</f>
        <v>13</v>
      </c>
      <c r="CV228" s="59">
        <f>IFERROR(TBA_Matches_All[[#This Row],[noteptsT]]/TBA_Matches_All[[#This Row],[NotePts]],0)</f>
        <v>0.27659574468085107</v>
      </c>
      <c r="CW228">
        <f>SUM(IF(TBA_Matches_All[[#This Row],[stageStat]]="On",3,0),IF(TBA_Matches_All[[#This Row],[stageStat]]="Park",1,0),SUMIFS(TBA_Matches_All[[#This Row],[Spotlit]],TBA_Matches_All[[#This Row],[stageStat]],"On"),SUMIFS(TBA_Matches_All[[#This Row],[Harmony]],TBA_Matches_All[[#This Row],[stageStat]],"On"))</f>
        <v>3</v>
      </c>
      <c r="CX228" s="59">
        <f>IFERROR(TBA_Matches_All[[#This Row],[stageptsT]]/TBA_Matches_All[[#This Row],[StagePts]],0)</f>
        <v>0.27272727272727271</v>
      </c>
      <c r="CY228">
        <f>SUM((TBA_Matches_All[[#This Row],[AptsT]]+TBA_Matches_All[[#This Row],[TampT]]+TBA_Matches_All[[#This Row],[TspkrptsC]]+(TBA_Matches_All[[#This Row],[TtrapT]]*5)+TBA_Matches_All[[#This Row],[stageptsT]]))</f>
        <v>18</v>
      </c>
      <c r="CZ228" s="59">
        <f>IFERROR(SUM(TBA_Matches_All[[#This Row],[TotptsC]]/TBA_Matches_All[[#This Row],[Score]]),0)</f>
        <v>0.23684210526315788</v>
      </c>
      <c r="DA22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10.795454545454545</v>
      </c>
      <c r="DB228" s="74">
        <f>SUMIFS(TBA_Matches_All[AveTeamTNoteDels],TBA_Matches_All[Match_Number],TBA_Matches_All[[#This Row],[Match_Number]],TBA_Matches_All[Alliance],"&lt;&gt;"&amp;TBA_Matches_All[[#This Row],[Alliance]],TBA_Matches_All[Scouted],"&gt;0")</f>
        <v>51.299940476190478</v>
      </c>
      <c r="DC228" s="74">
        <f>(TBA_Matches_All[[#This Row],[TampT]]+TBA_Matches_All[[#This Row],[TspkrptsC]])-TBA_Matches_All[[#This Row],[AveTeamTNoteDels]]</f>
        <v>-2.795454545454545</v>
      </c>
      <c r="DD228" s="74">
        <f>SUMIFS(TBA_Matches_All[AveTeamTNoteDels],TBA_Matches_All[Match_Number],TBA_Matches_All[[#This Row],[Match_Number]],TBA_Matches_All[Alliance],"&lt;&gt;"&amp;TBA_Matches_All[[#This Row],[Alliance]])-TBA_Matches_All[[#This Row],[AveOppTNoteDels]]</f>
        <v>0</v>
      </c>
    </row>
    <row r="229" spans="1:108" x14ac:dyDescent="0.3">
      <c r="A229" t="s">
        <v>1042</v>
      </c>
      <c r="B229" t="s">
        <v>489</v>
      </c>
      <c r="C229" t="s">
        <v>1347</v>
      </c>
      <c r="D229">
        <v>38</v>
      </c>
      <c r="E229" t="s">
        <v>1420</v>
      </c>
      <c r="F229" t="s">
        <v>1423</v>
      </c>
      <c r="G229" t="s">
        <v>1409</v>
      </c>
      <c r="H229" t="s">
        <v>1305</v>
      </c>
      <c r="I229" t="b">
        <v>1</v>
      </c>
      <c r="J229">
        <v>70</v>
      </c>
      <c r="K229">
        <v>1</v>
      </c>
      <c r="L229">
        <v>0</v>
      </c>
      <c r="M229">
        <v>12</v>
      </c>
      <c r="N229">
        <v>0</v>
      </c>
      <c r="O229">
        <v>4</v>
      </c>
      <c r="P229">
        <v>20</v>
      </c>
      <c r="Q229">
        <v>24</v>
      </c>
      <c r="R229">
        <v>3</v>
      </c>
      <c r="S229">
        <v>2</v>
      </c>
      <c r="T229">
        <v>11</v>
      </c>
      <c r="U229">
        <v>10</v>
      </c>
      <c r="V229">
        <v>22</v>
      </c>
      <c r="W229">
        <v>13</v>
      </c>
      <c r="X229">
        <v>32</v>
      </c>
      <c r="Y229">
        <v>35</v>
      </c>
      <c r="Z229">
        <v>0</v>
      </c>
      <c r="AA229">
        <v>0</v>
      </c>
      <c r="AB229">
        <v>20</v>
      </c>
      <c r="AC229">
        <v>55</v>
      </c>
      <c r="AD229">
        <v>6</v>
      </c>
      <c r="AE229">
        <f>IFERROR(6/(COUNTIF(Dyno_EndMatch[Match],TBA_Matches_All[[#This Row],[Match_Number]])),0)</f>
        <v>1</v>
      </c>
      <c r="AF229">
        <f>COUNTIFS(Dyno_Data[Team],TBA_Matches_All[[#This Row],[Team]],Dyno_Data[Match],TBA_Matches_All[[#This Row],[Match_Number]],Dyno_Data[RecordType],"EndMatch",Dyno_Data[HPAmp],"Y")</f>
        <v>0</v>
      </c>
      <c r="AG229">
        <f>SUMIFS(Dyno_Data[Mics], Dyno_Data[Team],TBA_Matches_All[[#This Row],[Team]],Dyno_Data[Match],TBA_Matches_All[[#This Row],[Match_Number]],Dyno_Data[RecordType],"EndMatch",Dyno_Data[HPAmp],"Y")</f>
        <v>0</v>
      </c>
      <c r="AH229">
        <f>SUMIFS(Dyno_Data[Leave], Dyno_Data[Team],TBA_Matches_All[[#This Row],[Team]],Dyno_Data[Match],TBA_Matches_All[[#This Row],[Match_Number]],Dyno_Data[RecordType],"EndAuto")</f>
        <v>1</v>
      </c>
      <c r="AI229">
        <f>COUNTIFS(Dyno_Data[Team],TBA_Matches_All[[#This Row],[Team]],Dyno_Data[Match],TBA_Matches_All[[#This Row],[Match_Number]],Dyno_Data[RecordType],"Activities",Dyno_Data[DelDest],"Amp", Dyno_Data[DelMiss],"0", Dyno_Data[Mode],"Auto")</f>
        <v>0</v>
      </c>
      <c r="AJ229">
        <f>COUNTIFS(Dyno_Data[Team],TBA_Matches_All[[#This Row],[Team]],Dyno_Data[Match],TBA_Matches_All[[#This Row],[Match_Number]],Dyno_Data[RecordType],"Activities",Dyno_Data[DelDest],"Spkr", Dyno_Data[DelMiss],"0", Dyno_Data[Mode],"Auto")</f>
        <v>4</v>
      </c>
      <c r="AK229">
        <f>COUNTIFS(Dyno_Data[Team],TBA_Matches_All[[#This Row],[Team]],Dyno_Data[Match],TBA_Matches_All[[#This Row],[Match_Number]],Dyno_Data[RecordType],"Activities",Dyno_Data[DelDest],"Trap", Dyno_Data[DelMiss],"0", Dyno_Data[Mode],"Auto")</f>
        <v>0</v>
      </c>
      <c r="AL229">
        <f>COUNTIFS(Dyno_Data[Team],TBA_Matches_All[[#This Row],[Team]],Dyno_Data[Match],TBA_Matches_All[[#This Row],[Match_Number]],Dyno_Data[RecordType],"Activities",Dyno_Data[DelDest],"Amp", Dyno_Data[DelMiss],"0", Dyno_Data[Mode],"Teleop")</f>
        <v>5</v>
      </c>
      <c r="AM229">
        <f>COUNTIFS(Dyno_Data[Team],TBA_Matches_All[[#This Row],[Team]],Dyno_Data[Match],TBA_Matches_All[[#This Row],[Match_Number]],Dyno_Data[RecordType],"Activities",Dyno_Data[DelDest],"Spkr", Dyno_Data[DelMiss],"0", Dyno_Data[Mode],"Teleop")</f>
        <v>3</v>
      </c>
      <c r="AN229">
        <f>COUNTIFS(Dyno_Data[Team],TBA_Matches_All[[#This Row],[Team]],Dyno_Data[Match],TBA_Matches_All[[#This Row],[Match_Number]],Dyno_Data[RecordType],"Activities",Dyno_Data[DelDest],"Trap", Dyno_Data[DelMiss],"0", Dyno_Data[Mode],"&lt;&gt;Auto")</f>
        <v>0</v>
      </c>
      <c r="AO229">
        <f>SUM(TBA_Matches_All[[#This Row],[AampT]]+TBA_Matches_All[[#This Row],[AspkrT]]+TBA_Matches_All[[#This Row],[AtrapT]]+TBA_Matches_All[[#This Row],[TampT]]+TBA_Matches_All[[#This Row],[TspkrT]]+TBA_Matches_All[[#This Row],[TtrapT]])</f>
        <v>12</v>
      </c>
      <c r="AP229">
        <f>COUNTIFS(Dyno_Data[Team],TBA_Matches_All[[#This Row],[Team]],Dyno_Data[Match],TBA_Matches_All[[#This Row],[Match_Number]],Dyno_Data[RecordType],"Activities",Dyno_Data[DelDest],"Neut", Dyno_Data[DelMiss],"0")</f>
        <v>0</v>
      </c>
      <c r="AQ229">
        <f>COUNTIFS(Dyno_Data[Team],TBA_Matches_All[[#This Row],[Team]],Dyno_Data[Match],TBA_Matches_All[[#This Row],[Match_Number]],Dyno_Data[RecordType],"Activities",Dyno_Data[DelDest],"AllyW", Dyno_Data[DelMiss],"0")</f>
        <v>0</v>
      </c>
      <c r="AR229" t="str">
        <f>_xlfn.XLOOKUP(SUM(MID(TBA_Matches_All[[#This Row],[Team]],4,5),(TBA_Matches_All[[#This Row],[Match_Number]]/100)),Dyno_EndMatch[teammat],Dyno_EndMatch[RobotSta],"_",0,1)</f>
        <v>Amp</v>
      </c>
      <c r="AS229">
        <f>SUMIFS(Dyno_Data[AcqDis], Dyno_Data[Team],TBA_Matches_All[[#This Row],[Team]],Dyno_Data[Match],TBA_Matches_All[[#This Row],[Match_Number]],Dyno_Data[RecordType],"Activities", Dyno_Data[AcqCenter],1,Dyno_Data[Mode],"Auto")</f>
        <v>0</v>
      </c>
      <c r="AT229">
        <f>SUMIFS(Dyno_Data[AcqDis], Dyno_Data[Team],TBA_Matches_All[[#This Row],[Team]],Dyno_Data[Match],TBA_Matches_All[[#This Row],[Match_Number]],Dyno_Data[RecordType],"Activities", Dyno_Data[AcqCenter],2,Dyno_Data[Mode],"Auto")</f>
        <v>0</v>
      </c>
      <c r="AU229">
        <f>SUMIFS(Dyno_Data[AcqDis], Dyno_Data[Team],TBA_Matches_All[[#This Row],[Team]],Dyno_Data[Match],TBA_Matches_All[[#This Row],[Match_Number]],Dyno_Data[RecordType],"Activities", Dyno_Data[AcqCenter],3,Dyno_Data[Mode],"Auto")</f>
        <v>0</v>
      </c>
      <c r="AV229">
        <f>SUMIFS(Dyno_Data[AcqDis], Dyno_Data[Team],TBA_Matches_All[[#This Row],[Team]],Dyno_Data[Match],TBA_Matches_All[[#This Row],[Match_Number]],Dyno_Data[RecordType],"Activities", Dyno_Data[AcqCenter],4,Dyno_Data[Mode],"Auto")</f>
        <v>0</v>
      </c>
      <c r="AW229">
        <f>SUMIFS(Dyno_Data[AcqDis], Dyno_Data[Team],TBA_Matches_All[[#This Row],[Team]],Dyno_Data[Match],TBA_Matches_All[[#This Row],[Match_Number]],Dyno_Data[RecordType],"Activities", Dyno_Data[AcqCenter],5,Dyno_Data[Mode],"Auto")</f>
        <v>1</v>
      </c>
      <c r="AX229">
        <f>SUMIFS(Dyno_Data[DelMiss], Dyno_Data[Team],TBA_Matches_All[[#This Row],[Team]],Dyno_Data[Match],TBA_Matches_All[[#This Row],[Match_Number]],Dyno_Data[RecordType],"Activities", Dyno_Data[DelDest],"Amp")</f>
        <v>1</v>
      </c>
      <c r="AY229" s="60">
        <f>IFERROR(SUM((TBA_Matches_All[[#This Row],[AampT]]+TBA_Matches_All[[#This Row],[TampT]])/(TBA_Matches_All[[#This Row],[AampT]]+TBA_Matches_All[[#This Row],[TampT]]+TBA_Matches_All[[#This Row],[ampM]])),0)</f>
        <v>0.83333333333333337</v>
      </c>
      <c r="AZ229">
        <f>SUMIFS(Dyno_Data[DelMiss], Dyno_Data[Team],TBA_Matches_All[[#This Row],[Team]],Dyno_Data[Match],TBA_Matches_All[[#This Row],[Match_Number]],Dyno_Data[RecordType],"Activities", Dyno_Data[DelDest],"Spkr")</f>
        <v>1</v>
      </c>
      <c r="BA229" s="60">
        <f>IFERROR(SUM((TBA_Matches_All[[#This Row],[AspkrT]]+TBA_Matches_All[[#This Row],[TspkrT]])/(TBA_Matches_All[[#This Row],[AspkrT]]+TBA_Matches_All[[#This Row],[TspkrT]]+TBA_Matches_All[[#This Row],[spkrM]])),0)</f>
        <v>0.875</v>
      </c>
      <c r="BB229">
        <f>SUMIFS(Dyno_Data[DelMiss], Dyno_Data[Team],TBA_Matches_All[[#This Row],[Team]],Dyno_Data[Match],TBA_Matches_All[[#This Row],[Match_Number]],Dyno_Data[RecordType],"Activities", Dyno_Data[DelDest],"Trap")</f>
        <v>0</v>
      </c>
      <c r="BC229" s="60">
        <f>IFERROR((TBA_Matches_All[[#This Row],[AtrapT]]+TBA_Matches_All[[#This Row],[TtrapT]])/(TBA_Matches_All[[#This Row],[AtrapT]]+TBA_Matches_All[[#This Row],[TtrapT]]+TBA_Matches_All[[#This Row],[trapM]]),0)</f>
        <v>0</v>
      </c>
      <c r="BD229">
        <f>COUNTIFS(Dyno_Data[Team],TBA_Matches_All[[#This Row],[Team]],Dyno_Data[Match],TBA_Matches_All[[#This Row],[Match_Number]],Dyno_Data[RecordType],"Activities",Dyno_Data[DelDest],"Neut", Dyno_Data[DelMiss],1)</f>
        <v>0</v>
      </c>
      <c r="BE229" s="60">
        <f>IFERROR(SUM((TBA_Matches_All[[#This Row],[NeutFlrT]])/(TBA_Matches_All[[#This Row],[NeutFlrT]]+TBA_Matches_All[[#This Row],[NZflM]])),0)</f>
        <v>0</v>
      </c>
      <c r="BF229">
        <f>COUNTIFS(Dyno_Data[Team],TBA_Matches_All[[#This Row],[Team]],Dyno_Data[Match],TBA_Matches_All[[#This Row],[Match_Number]],Dyno_Data[RecordType],"Activities",Dyno_Data[DelDest],"AllyW", Dyno_Data[DelMiss],1)</f>
        <v>0</v>
      </c>
      <c r="BG229" s="60">
        <f>IFERROR(SUM((TBA_Matches_All[[#This Row],[AllyWFlrT]])/(TBA_Matches_All[[#This Row],[AllyWFlrT]]+TBA_Matches_All[[#This Row],[AZflM]])),0)</f>
        <v>0</v>
      </c>
      <c r="BH229">
        <f>COUNTIFS(Dyno_Data[Team],TBA_Matches_All[[#This Row],[Team]],Dyno_Data[Match],TBA_Matches_All[[#This Row],[Match_Number]],Dyno_Data[RecordType],"Activities",Dyno_Data[DelOrig],"OppW", Dyno_Data[DelMiss],"0")</f>
        <v>1</v>
      </c>
      <c r="BI229">
        <f>COUNTIFS(Dyno_Data[Team],TBA_Matches_All[[#This Row],[Team]],Dyno_Data[Match],TBA_Matches_All[[#This Row],[Match_Number]],Dyno_Data[RecordType],"Activities",Dyno_Data[DelOrig],"OppW", Dyno_Data[DelMiss],"1")</f>
        <v>0</v>
      </c>
      <c r="BJ229" s="60">
        <f>IFERROR(SUM((TBA_Matches_All[[#This Row],[OZflrT]])/(TBA_Matches_All[[#This Row],[OZflrT]]+TBA_Matches_All[[#This Row],[OZflrM]])),0)</f>
        <v>1</v>
      </c>
      <c r="BK229">
        <f>COUNTIFS(Dyno_Data[Team],TBA_Matches_All[[#This Row],[Team]],Dyno_Data[Match],TBA_Matches_All[[#This Row],[Match_Number]],Dyno_Data[RecordType],"Activities",Dyno_Data[DelOrig],"Neut", Dyno_Data[DelMiss],"0")</f>
        <v>0</v>
      </c>
      <c r="BL229">
        <f>COUNTIFS(Dyno_Data[Team],TBA_Matches_All[[#This Row],[Team]],Dyno_Data[Match],TBA_Matches_All[[#This Row],[Match_Number]],Dyno_Data[RecordType],"Activities",Dyno_Data[DelOrig],"Neut", Dyno_Data[DelMiss],"1")</f>
        <v>0</v>
      </c>
      <c r="BM229" s="60">
        <f>IFERROR(SUM((TBA_Matches_All[[#This Row],[NZflrT]])/(TBA_Matches_All[[#This Row],[NZflrT]]+TBA_Matches_All[[#This Row],[NZflrM]])),0)</f>
        <v>0</v>
      </c>
      <c r="BN229">
        <f>COUNTIFS(Dyno_Data[Team],TBA_Matches_All[[#This Row],[Team]],Dyno_Data[Match],TBA_Matches_All[[#This Row],[Match_Number]],Dyno_Data[RecordType],"Activities",Dyno_Data[DelOrig],"AllyW", Dyno_Data[DelMiss],"0")</f>
        <v>10</v>
      </c>
      <c r="BO229">
        <f>COUNTIFS(Dyno_Data[Team],TBA_Matches_All[[#This Row],[Team]],Dyno_Data[Match],TBA_Matches_All[[#This Row],[Match_Number]],Dyno_Data[RecordType],"Activities",Dyno_Data[DelOrig],"AllyW", Dyno_Data[DelMiss],"1")</f>
        <v>2</v>
      </c>
      <c r="BP229" s="60">
        <f>IFERROR(SUM((TBA_Matches_All[[#This Row],[AZflrT]])/(TBA_Matches_All[[#This Row],[AZflrT]]+TBA_Matches_All[[#This Row],[AZflrM]])),0)</f>
        <v>0.83333333333333337</v>
      </c>
      <c r="BQ229">
        <f>COUNTIFS(Dyno_Data[Team],TBA_Matches_All[[#This Row],[Team]],Dyno_Data[Match],TBA_Matches_All[[#This Row],[Match_Number]],Dyno_Data[RecordType],"Activities",Dyno_Data[DelOrig],"SubW", Dyno_Data[DelMiss],"0")</f>
        <v>1</v>
      </c>
      <c r="BR229">
        <f>COUNTIFS(Dyno_Data[Team],TBA_Matches_All[[#This Row],[Team]],Dyno_Data[Match],TBA_Matches_All[[#This Row],[Match_Number]],Dyno_Data[RecordType],"Activities",Dyno_Data[DelOrig],"SubW", Dyno_Data[DelMiss],"1")</f>
        <v>0</v>
      </c>
      <c r="BS229" s="60">
        <f>IFERROR(SUM((TBA_Matches_All[[#This Row],[SubwT]])/(TBA_Matches_All[[#This Row],[SubwT]]+TBA_Matches_All[[#This Row],[SubwM]])),0)</f>
        <v>1</v>
      </c>
      <c r="BT229">
        <f>COUNTIFS(Dyno_Data[Team],TBA_Matches_All[[#This Row],[Team]],Dyno_Data[Match],TBA_Matches_All[[#This Row],[Match_Number]],Dyno_Data[RecordType],"Activities", Dyno_Data[AcqLoc],"OppWing")</f>
        <v>0</v>
      </c>
      <c r="BU229">
        <f>COUNTIFS(Dyno_Data[Team],TBA_Matches_All[[#This Row],[Team]],Dyno_Data[Match],TBA_Matches_All[[#This Row],[Match_Number]],Dyno_Data[RecordType],"Activities", Dyno_Data[AcqLoc],"Neutral")</f>
        <v>2</v>
      </c>
      <c r="BV229">
        <f>COUNTIFS(Dyno_Data[Team],TBA_Matches_All[[#This Row],[Team]],Dyno_Data[Match],TBA_Matches_All[[#This Row],[Match_Number]],Dyno_Data[RecordType],"Activities", Dyno_Data[AcqLoc],"AllyWing")</f>
        <v>0</v>
      </c>
      <c r="BW229">
        <f>COUNTIFS(Dyno_Data[Team],TBA_Matches_All[[#This Row],[Team]],Dyno_Data[Match],TBA_Matches_All[[#This Row],[Match_Number]],Dyno_Data[RecordType],"Activities", Dyno_Data[AcqLoc],"Source")</f>
        <v>0</v>
      </c>
      <c r="BX229">
        <f>SUMIFS(Dyno_Data[AcqDrp], Dyno_Data[Team],TBA_Matches_All[[#This Row],[Team]],Dyno_Data[Match],TBA_Matches_All[[#This Row],[Match_Number]],Dyno_Data[RecordType],"Activities", Dyno_Data[AcqLoc],"Source")</f>
        <v>0</v>
      </c>
      <c r="BY229">
        <f>SUMIFS(Dyno_Data[OZTime], Dyno_Data[Team],TBA_Matches_All[[#This Row],[Team]],Dyno_Data[Match],TBA_Matches_All[[#This Row],[Match_Number]],Dyno_Data[RecordType],"EndMatch")</f>
        <v>51.352731399999996</v>
      </c>
      <c r="BZ229">
        <f>SUMIFS(Dyno_Data[NZTime], Dyno_Data[Team],TBA_Matches_All[[#This Row],[Team]],Dyno_Data[Match],TBA_Matches_All[[#This Row],[Match_Number]],Dyno_Data[RecordType],"EndMatch")</f>
        <v>26.423335699999999</v>
      </c>
      <c r="CA229">
        <f>SUMIFS(Dyno_Data[AZTime], Dyno_Data[Team],TBA_Matches_All[[#This Row],[Team]],Dyno_Data[Match],TBA_Matches_All[[#This Row],[Match_Number]],Dyno_Data[RecordType],"EndMatch")</f>
        <v>57.391929999999995</v>
      </c>
      <c r="CB229">
        <f>SUMIFS(Dyno_Data[ClimbT], Dyno_Data[Team],TBA_Matches_All[[#This Row],[Team]],Dyno_Data[Match],TBA_Matches_All[[#This Row],[Match_Number]],Dyno_Data[RecordType],"EndMatch")</f>
        <v>0</v>
      </c>
      <c r="CC229" t="str">
        <f>_xlfn.XLOOKUP(SUM(MID(TBA_Matches_All[[#This Row],[Team]],4,5),(TBA_Matches_All[[#This Row],[Match_Number]]/100)),Dyno_EndMatch[teammat],Dyno_EndMatch[StageStat],"_",0,1)</f>
        <v>Park</v>
      </c>
      <c r="CD229" t="str">
        <f>_xlfn.XLOOKUP(TBA_Matches_All[[#This Row],[teammat]],Dyno_EndMatch[teammat],Dyno_EndMatch[StageAtt],"_",0,1)</f>
        <v>0</v>
      </c>
      <c r="CE229" t="str">
        <f>_xlfn.XLOOKUP(TBA_Matches_All[[#This Row],[teammat]],Dyno_EndMatch[teammat],Dyno_EndMatch[StageLoc],"_",0,1)</f>
        <v>A</v>
      </c>
      <c r="CF229">
        <f>SUMIFS(Dyno_Data[Harmony], Dyno_Data[Team],TBA_Matches_All[[#This Row],[Team]],Dyno_Data[Match],TBA_Matches_All[[#This Row],[Match_Number]],Dyno_Data[RecordType],"EndMatch", Dyno_Data[StageStat],"On",Dyno_Data[Harmony],"&lt;&gt;9")</f>
        <v>0</v>
      </c>
      <c r="CG229">
        <f>SUMIFS(Dyno_Data[Spotlit], Dyno_Data[Team],TBA_Matches_All[[#This Row],[Team]],Dyno_Data[Match],TBA_Matches_All[[#This Row],[Match_Number]],Dyno_Data[RecordType],"EndMatch", Dyno_Data[StageStat],"On",Dyno_Data[Spotlit],"&lt;&gt;9")</f>
        <v>0</v>
      </c>
      <c r="CH229" t="str">
        <f>_xlfn.XLOOKUP(TBA_Matches_All[[#This Row],[teammat]],Dyno_EndMatch[teammat],Dyno_EndMatch[Strategy],"_",0,1)</f>
        <v>Hybrid</v>
      </c>
      <c r="CI229">
        <f>SUMIFS(Dyno_Data[Defense], Dyno_Data[Team],TBA_Matches_All[[#This Row],[Team]],Dyno_Data[Match],TBA_Matches_All[[#This Row],[Match_Number]],Dyno_Data[RecordType],"EndMatch",Dyno_Data[Defense],"&lt;&gt;9")</f>
        <v>1</v>
      </c>
      <c r="CJ229">
        <f>SUMIFS(Dyno_Data[Avoidance], Dyno_Data[Team],TBA_Matches_All[[#This Row],[Team]],Dyno_Data[Match],TBA_Matches_All[[#This Row],[Match_Number]],Dyno_Data[RecordType],"EndMatch",Dyno_Data[Avoidance],"&lt;&gt;9")</f>
        <v>0</v>
      </c>
      <c r="CK229" s="82">
        <f>COUNTIF($H$2:TBA_Matches_All[[#This Row],[Team]],TBA_Matches_All[[#This Row],[Team]])</f>
        <v>5</v>
      </c>
      <c r="CL229" s="111">
        <f>SUM(MID(TBA_Matches_All[[#This Row],[Team]],4,5)+TBA_Matches_All[[#This Row],[Match_Number]]/100)</f>
        <v>3173.38</v>
      </c>
      <c r="CM229">
        <f>SUM((TBA_Matches_All[[#This Row],[Leave]]*2)+(TBA_Matches_All[[#This Row],[AampT]]*2)+(TBA_Matches_All[[#This Row],[AspkrT]]*5)+(TBA_Matches_All[[#This Row],[AtrapT]]*5))</f>
        <v>22</v>
      </c>
      <c r="CN229" s="59">
        <f>IFERROR(SUM(TBA_Matches_All[[#This Row],[AptsT]]/TBA_Matches_All[[#This Row],[AutoPts]]),0)</f>
        <v>0.91666666666666663</v>
      </c>
      <c r="CO229" s="59">
        <f>IFERROR(SUM(TBA_Matches_All[[#This Row],[AampT]]+TBA_Matches_All[[#This Row],[AspkrT]]+TBA_Matches_All[[#This Row],[AtrapT]]/TBA_Matches_All[[#This Row],[Aamp]]+TBA_Matches_All[[#This Row],[Aspkr]]+TBA_Matches_All[[#This Row],[AtrapT]]),0)</f>
        <v>0</v>
      </c>
      <c r="CP229" s="59">
        <f>IFERROR(SUM(TBA_Matches_All[[#This Row],[TampT]]/TBA_Matches_All[[#This Row],[Tamp]]),0)</f>
        <v>1.6666666666666667</v>
      </c>
      <c r="CQ229" s="59">
        <f>IFERROR(SUM(TBA_Matches_All[[#This Row],[TspkrT]]/TBA_Matches_All[[#This Row],[Tspkr]]),0)</f>
        <v>0.23076923076923078</v>
      </c>
      <c r="CR229">
        <f>SUM(TBA_Matches_All[[#This Row],[TspkrPts]]*TBA_Matches_All[[#This Row],[TspkrP]])</f>
        <v>7.384615384615385</v>
      </c>
      <c r="CS229" s="59">
        <f>IFERROR(SUM(TBA_Matches_All[[#This Row],[TtrapT]]/TBA_Matches_All[[#This Row],[Trap]]),0)</f>
        <v>0</v>
      </c>
      <c r="CT229" s="59">
        <f>IFERROR(SUM(TBA_Matches_All[[#This Row],[TotNotesT]]/TBA_Matches_All[[#This Row],[TotNotes]]),0)</f>
        <v>0.6</v>
      </c>
      <c r="CU229" s="66">
        <f>SUM((TBA_Matches_All[[#This Row],[AampT]]*2)+(TBA_Matches_All[[#This Row],[AspkrT]]*5)+(TBA_Matches_All[[#This Row],[AtrapT]]*5)+(TBA_Matches_All[[#This Row],[TampT]]*1)+(TBA_Matches_All[[#This Row],[TspkrptsC]]))</f>
        <v>32.384615384615387</v>
      </c>
      <c r="CV229" s="59">
        <f>IFERROR(TBA_Matches_All[[#This Row],[noteptsT]]/TBA_Matches_All[[#This Row],[NotePts]],0)</f>
        <v>0.58881118881118888</v>
      </c>
      <c r="CW229">
        <f>SUM(IF(TBA_Matches_All[[#This Row],[stageStat]]="On",3,0),IF(TBA_Matches_All[[#This Row],[stageStat]]="Park",1,0),SUMIFS(TBA_Matches_All[[#This Row],[Spotlit]],TBA_Matches_All[[#This Row],[stageStat]],"On"),SUMIFS(TBA_Matches_All[[#This Row],[Harmony]],TBA_Matches_All[[#This Row],[stageStat]],"On"))</f>
        <v>1</v>
      </c>
      <c r="CX229" s="59">
        <f>IFERROR(TBA_Matches_All[[#This Row],[stageptsT]]/TBA_Matches_All[[#This Row],[StagePts]],0)</f>
        <v>0.16666666666666666</v>
      </c>
      <c r="CY229">
        <f>SUM((TBA_Matches_All[[#This Row],[AptsT]]+TBA_Matches_All[[#This Row],[TampT]]+TBA_Matches_All[[#This Row],[TspkrptsC]]+(TBA_Matches_All[[#This Row],[TtrapT]]*5)+TBA_Matches_All[[#This Row],[stageptsT]]))</f>
        <v>35.384615384615387</v>
      </c>
      <c r="CZ229" s="59">
        <f>IFERROR(SUM(TBA_Matches_All[[#This Row],[TotptsC]]/TBA_Matches_All[[#This Row],[Score]]),0)</f>
        <v>0.50549450549450547</v>
      </c>
      <c r="DA22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22.058035714285715</v>
      </c>
      <c r="DB229" s="74">
        <f>SUMIFS(TBA_Matches_All[AveTeamTNoteDels],TBA_Matches_All[Match_Number],TBA_Matches_All[[#This Row],[Match_Number]],TBA_Matches_All[Alliance],"&lt;&gt;"&amp;TBA_Matches_All[[#This Row],[Alliance]],TBA_Matches_All[Scouted],"&gt;0")</f>
        <v>31.99750582750583</v>
      </c>
      <c r="DC229" s="74">
        <f>(TBA_Matches_All[[#This Row],[TampT]]+TBA_Matches_All[[#This Row],[TspkrptsC]])-TBA_Matches_All[[#This Row],[AveTeamTNoteDels]]</f>
        <v>-9.6734203296703303</v>
      </c>
      <c r="DD229" s="74">
        <f>SUMIFS(TBA_Matches_All[AveTeamTNoteDels],TBA_Matches_All[Match_Number],TBA_Matches_All[[#This Row],[Match_Number]],TBA_Matches_All[Alliance],"&lt;&gt;"&amp;TBA_Matches_All[[#This Row],[Alliance]])-TBA_Matches_All[[#This Row],[AveOppTNoteDels]]</f>
        <v>0</v>
      </c>
    </row>
    <row r="230" spans="1:108" x14ac:dyDescent="0.3">
      <c r="A230" t="s">
        <v>1042</v>
      </c>
      <c r="B230" t="s">
        <v>489</v>
      </c>
      <c r="C230" t="s">
        <v>1347</v>
      </c>
      <c r="D230">
        <v>38</v>
      </c>
      <c r="E230" t="s">
        <v>1406</v>
      </c>
      <c r="F230" t="s">
        <v>1424</v>
      </c>
      <c r="G230" t="s">
        <v>1409</v>
      </c>
      <c r="H230" t="s">
        <v>1310</v>
      </c>
      <c r="I230" t="b">
        <v>1</v>
      </c>
      <c r="J230">
        <v>76</v>
      </c>
      <c r="K230">
        <v>1</v>
      </c>
      <c r="L230">
        <v>1</v>
      </c>
      <c r="M230">
        <v>5</v>
      </c>
      <c r="N230">
        <v>0</v>
      </c>
      <c r="O230">
        <v>4</v>
      </c>
      <c r="P230">
        <v>20</v>
      </c>
      <c r="Q230">
        <v>26</v>
      </c>
      <c r="R230">
        <v>3</v>
      </c>
      <c r="S230">
        <v>2</v>
      </c>
      <c r="T230">
        <v>7</v>
      </c>
      <c r="U230">
        <v>10</v>
      </c>
      <c r="V230">
        <v>14</v>
      </c>
      <c r="W230">
        <v>9</v>
      </c>
      <c r="X230">
        <v>24</v>
      </c>
      <c r="Y230">
        <v>27</v>
      </c>
      <c r="Z230">
        <v>5</v>
      </c>
      <c r="AA230">
        <v>1</v>
      </c>
      <c r="AB230">
        <v>16</v>
      </c>
      <c r="AC230">
        <v>47</v>
      </c>
      <c r="AD230">
        <v>11</v>
      </c>
      <c r="AE230">
        <f>IFERROR(6/(COUNTIF(Dyno_EndMatch[Match],TBA_Matches_All[[#This Row],[Match_Number]])),0)</f>
        <v>1</v>
      </c>
      <c r="AF230">
        <f>COUNTIFS(Dyno_Data[Team],TBA_Matches_All[[#This Row],[Team]],Dyno_Data[Match],TBA_Matches_All[[#This Row],[Match_Number]],Dyno_Data[RecordType],"EndMatch",Dyno_Data[HPAmp],"Y")</f>
        <v>0</v>
      </c>
      <c r="AG230">
        <f>SUMIFS(Dyno_Data[Mics], Dyno_Data[Team],TBA_Matches_All[[#This Row],[Team]],Dyno_Data[Match],TBA_Matches_All[[#This Row],[Match_Number]],Dyno_Data[RecordType],"EndMatch",Dyno_Data[HPAmp],"Y")</f>
        <v>0</v>
      </c>
      <c r="AH230">
        <f>SUMIFS(Dyno_Data[Leave], Dyno_Data[Team],TBA_Matches_All[[#This Row],[Team]],Dyno_Data[Match],TBA_Matches_All[[#This Row],[Match_Number]],Dyno_Data[RecordType],"EndAuto")</f>
        <v>0</v>
      </c>
      <c r="AI230">
        <f>COUNTIFS(Dyno_Data[Team],TBA_Matches_All[[#This Row],[Team]],Dyno_Data[Match],TBA_Matches_All[[#This Row],[Match_Number]],Dyno_Data[RecordType],"Activities",Dyno_Data[DelDest],"Amp", Dyno_Data[DelMiss],"0", Dyno_Data[Mode],"Auto")</f>
        <v>0</v>
      </c>
      <c r="AJ230">
        <f>COUNTIFS(Dyno_Data[Team],TBA_Matches_All[[#This Row],[Team]],Dyno_Data[Match],TBA_Matches_All[[#This Row],[Match_Number]],Dyno_Data[RecordType],"Activities",Dyno_Data[DelDest],"Spkr", Dyno_Data[DelMiss],"0", Dyno_Data[Mode],"Auto")</f>
        <v>0</v>
      </c>
      <c r="AK230">
        <f>COUNTIFS(Dyno_Data[Team],TBA_Matches_All[[#This Row],[Team]],Dyno_Data[Match],TBA_Matches_All[[#This Row],[Match_Number]],Dyno_Data[RecordType],"Activities",Dyno_Data[DelDest],"Trap", Dyno_Data[DelMiss],"0", Dyno_Data[Mode],"Auto")</f>
        <v>0</v>
      </c>
      <c r="AL230">
        <f>COUNTIFS(Dyno_Data[Team],TBA_Matches_All[[#This Row],[Team]],Dyno_Data[Match],TBA_Matches_All[[#This Row],[Match_Number]],Dyno_Data[RecordType],"Activities",Dyno_Data[DelDest],"Amp", Dyno_Data[DelMiss],"0", Dyno_Data[Mode],"Teleop")</f>
        <v>3</v>
      </c>
      <c r="AM230">
        <f>COUNTIFS(Dyno_Data[Team],TBA_Matches_All[[#This Row],[Team]],Dyno_Data[Match],TBA_Matches_All[[#This Row],[Match_Number]],Dyno_Data[RecordType],"Activities",Dyno_Data[DelDest],"Spkr", Dyno_Data[DelMiss],"0", Dyno_Data[Mode],"Teleop")</f>
        <v>0</v>
      </c>
      <c r="AN230">
        <f>COUNTIFS(Dyno_Data[Team],TBA_Matches_All[[#This Row],[Team]],Dyno_Data[Match],TBA_Matches_All[[#This Row],[Match_Number]],Dyno_Data[RecordType],"Activities",Dyno_Data[DelDest],"Trap", Dyno_Data[DelMiss],"0", Dyno_Data[Mode],"&lt;&gt;Auto")</f>
        <v>0</v>
      </c>
      <c r="AO230">
        <f>SUM(TBA_Matches_All[[#This Row],[AampT]]+TBA_Matches_All[[#This Row],[AspkrT]]+TBA_Matches_All[[#This Row],[AtrapT]]+TBA_Matches_All[[#This Row],[TampT]]+TBA_Matches_All[[#This Row],[TspkrT]]+TBA_Matches_All[[#This Row],[TtrapT]])</f>
        <v>3</v>
      </c>
      <c r="AP230">
        <f>COUNTIFS(Dyno_Data[Team],TBA_Matches_All[[#This Row],[Team]],Dyno_Data[Match],TBA_Matches_All[[#This Row],[Match_Number]],Dyno_Data[RecordType],"Activities",Dyno_Data[DelDest],"Neut", Dyno_Data[DelMiss],"0")</f>
        <v>0</v>
      </c>
      <c r="AQ230">
        <f>COUNTIFS(Dyno_Data[Team],TBA_Matches_All[[#This Row],[Team]],Dyno_Data[Match],TBA_Matches_All[[#This Row],[Match_Number]],Dyno_Data[RecordType],"Activities",Dyno_Data[DelDest],"AllyW", Dyno_Data[DelMiss],"0")</f>
        <v>0</v>
      </c>
      <c r="AR230" t="str">
        <f>_xlfn.XLOOKUP(SUM(MID(TBA_Matches_All[[#This Row],[Team]],4,5),(TBA_Matches_All[[#This Row],[Match_Number]]/100)),Dyno_EndMatch[teammat],Dyno_EndMatch[RobotSta],"_",0,1)</f>
        <v>SubW</v>
      </c>
      <c r="AS230">
        <f>SUMIFS(Dyno_Data[AcqDis], Dyno_Data[Team],TBA_Matches_All[[#This Row],[Team]],Dyno_Data[Match],TBA_Matches_All[[#This Row],[Match_Number]],Dyno_Data[RecordType],"Activities", Dyno_Data[AcqCenter],1,Dyno_Data[Mode],"Auto")</f>
        <v>0</v>
      </c>
      <c r="AT230">
        <f>SUMIFS(Dyno_Data[AcqDis], Dyno_Data[Team],TBA_Matches_All[[#This Row],[Team]],Dyno_Data[Match],TBA_Matches_All[[#This Row],[Match_Number]],Dyno_Data[RecordType],"Activities", Dyno_Data[AcqCenter],2,Dyno_Data[Mode],"Auto")</f>
        <v>0</v>
      </c>
      <c r="AU230">
        <f>SUMIFS(Dyno_Data[AcqDis], Dyno_Data[Team],TBA_Matches_All[[#This Row],[Team]],Dyno_Data[Match],TBA_Matches_All[[#This Row],[Match_Number]],Dyno_Data[RecordType],"Activities", Dyno_Data[AcqCenter],3,Dyno_Data[Mode],"Auto")</f>
        <v>0</v>
      </c>
      <c r="AV230">
        <f>SUMIFS(Dyno_Data[AcqDis], Dyno_Data[Team],TBA_Matches_All[[#This Row],[Team]],Dyno_Data[Match],TBA_Matches_All[[#This Row],[Match_Number]],Dyno_Data[RecordType],"Activities", Dyno_Data[AcqCenter],4,Dyno_Data[Mode],"Auto")</f>
        <v>0</v>
      </c>
      <c r="AW230">
        <f>SUMIFS(Dyno_Data[AcqDis], Dyno_Data[Team],TBA_Matches_All[[#This Row],[Team]],Dyno_Data[Match],TBA_Matches_All[[#This Row],[Match_Number]],Dyno_Data[RecordType],"Activities", Dyno_Data[AcqCenter],5,Dyno_Data[Mode],"Auto")</f>
        <v>0</v>
      </c>
      <c r="AX230">
        <f>SUMIFS(Dyno_Data[DelMiss], Dyno_Data[Team],TBA_Matches_All[[#This Row],[Team]],Dyno_Data[Match],TBA_Matches_All[[#This Row],[Match_Number]],Dyno_Data[RecordType],"Activities", Dyno_Data[DelDest],"Amp")</f>
        <v>2</v>
      </c>
      <c r="AY230" s="60">
        <f>IFERROR(SUM((TBA_Matches_All[[#This Row],[AampT]]+TBA_Matches_All[[#This Row],[TampT]])/(TBA_Matches_All[[#This Row],[AampT]]+TBA_Matches_All[[#This Row],[TampT]]+TBA_Matches_All[[#This Row],[ampM]])),0)</f>
        <v>0.6</v>
      </c>
      <c r="AZ230">
        <f>SUMIFS(Dyno_Data[DelMiss], Dyno_Data[Team],TBA_Matches_All[[#This Row],[Team]],Dyno_Data[Match],TBA_Matches_All[[#This Row],[Match_Number]],Dyno_Data[RecordType],"Activities", Dyno_Data[DelDest],"Spkr")</f>
        <v>1</v>
      </c>
      <c r="BA230" s="60">
        <f>IFERROR(SUM((TBA_Matches_All[[#This Row],[AspkrT]]+TBA_Matches_All[[#This Row],[TspkrT]])/(TBA_Matches_All[[#This Row],[AspkrT]]+TBA_Matches_All[[#This Row],[TspkrT]]+TBA_Matches_All[[#This Row],[spkrM]])),0)</f>
        <v>0</v>
      </c>
      <c r="BB230">
        <f>SUMIFS(Dyno_Data[DelMiss], Dyno_Data[Team],TBA_Matches_All[[#This Row],[Team]],Dyno_Data[Match],TBA_Matches_All[[#This Row],[Match_Number]],Dyno_Data[RecordType],"Activities", Dyno_Data[DelDest],"Trap")</f>
        <v>0</v>
      </c>
      <c r="BC230" s="60">
        <f>IFERROR((TBA_Matches_All[[#This Row],[AtrapT]]+TBA_Matches_All[[#This Row],[TtrapT]])/(TBA_Matches_All[[#This Row],[AtrapT]]+TBA_Matches_All[[#This Row],[TtrapT]]+TBA_Matches_All[[#This Row],[trapM]]),0)</f>
        <v>0</v>
      </c>
      <c r="BD230">
        <f>COUNTIFS(Dyno_Data[Team],TBA_Matches_All[[#This Row],[Team]],Dyno_Data[Match],TBA_Matches_All[[#This Row],[Match_Number]],Dyno_Data[RecordType],"Activities",Dyno_Data[DelDest],"Neut", Dyno_Data[DelMiss],1)</f>
        <v>0</v>
      </c>
      <c r="BE230" s="60">
        <f>IFERROR(SUM((TBA_Matches_All[[#This Row],[NeutFlrT]])/(TBA_Matches_All[[#This Row],[NeutFlrT]]+TBA_Matches_All[[#This Row],[NZflM]])),0)</f>
        <v>0</v>
      </c>
      <c r="BF230">
        <f>COUNTIFS(Dyno_Data[Team],TBA_Matches_All[[#This Row],[Team]],Dyno_Data[Match],TBA_Matches_All[[#This Row],[Match_Number]],Dyno_Data[RecordType],"Activities",Dyno_Data[DelDest],"AllyW", Dyno_Data[DelMiss],1)</f>
        <v>0</v>
      </c>
      <c r="BG230" s="60">
        <f>IFERROR(SUM((TBA_Matches_All[[#This Row],[AllyWFlrT]])/(TBA_Matches_All[[#This Row],[AllyWFlrT]]+TBA_Matches_All[[#This Row],[AZflM]])),0)</f>
        <v>0</v>
      </c>
      <c r="BH230">
        <f>COUNTIFS(Dyno_Data[Team],TBA_Matches_All[[#This Row],[Team]],Dyno_Data[Match],TBA_Matches_All[[#This Row],[Match_Number]],Dyno_Data[RecordType],"Activities",Dyno_Data[DelOrig],"OppW", Dyno_Data[DelMiss],"0")</f>
        <v>0</v>
      </c>
      <c r="BI230">
        <f>COUNTIFS(Dyno_Data[Team],TBA_Matches_All[[#This Row],[Team]],Dyno_Data[Match],TBA_Matches_All[[#This Row],[Match_Number]],Dyno_Data[RecordType],"Activities",Dyno_Data[DelOrig],"OppW", Dyno_Data[DelMiss],"1")</f>
        <v>0</v>
      </c>
      <c r="BJ230" s="60">
        <f>IFERROR(SUM((TBA_Matches_All[[#This Row],[OZflrT]])/(TBA_Matches_All[[#This Row],[OZflrT]]+TBA_Matches_All[[#This Row],[OZflrM]])),0)</f>
        <v>0</v>
      </c>
      <c r="BK230">
        <f>COUNTIFS(Dyno_Data[Team],TBA_Matches_All[[#This Row],[Team]],Dyno_Data[Match],TBA_Matches_All[[#This Row],[Match_Number]],Dyno_Data[RecordType],"Activities",Dyno_Data[DelOrig],"Neut", Dyno_Data[DelMiss],"0")</f>
        <v>0</v>
      </c>
      <c r="BL230">
        <f>COUNTIFS(Dyno_Data[Team],TBA_Matches_All[[#This Row],[Team]],Dyno_Data[Match],TBA_Matches_All[[#This Row],[Match_Number]],Dyno_Data[RecordType],"Activities",Dyno_Data[DelOrig],"Neut", Dyno_Data[DelMiss],"1")</f>
        <v>0</v>
      </c>
      <c r="BM230" s="60">
        <f>IFERROR(SUM((TBA_Matches_All[[#This Row],[NZflrT]])/(TBA_Matches_All[[#This Row],[NZflrT]]+TBA_Matches_All[[#This Row],[NZflrM]])),0)</f>
        <v>0</v>
      </c>
      <c r="BN230">
        <f>COUNTIFS(Dyno_Data[Team],TBA_Matches_All[[#This Row],[Team]],Dyno_Data[Match],TBA_Matches_All[[#This Row],[Match_Number]],Dyno_Data[RecordType],"Activities",Dyno_Data[DelOrig],"AllyW", Dyno_Data[DelMiss],"0")</f>
        <v>3</v>
      </c>
      <c r="BO230">
        <f>COUNTIFS(Dyno_Data[Team],TBA_Matches_All[[#This Row],[Team]],Dyno_Data[Match],TBA_Matches_All[[#This Row],[Match_Number]],Dyno_Data[RecordType],"Activities",Dyno_Data[DelOrig],"AllyW", Dyno_Data[DelMiss],"1")</f>
        <v>2</v>
      </c>
      <c r="BP230" s="60">
        <f>IFERROR(SUM((TBA_Matches_All[[#This Row],[AZflrT]])/(TBA_Matches_All[[#This Row],[AZflrT]]+TBA_Matches_All[[#This Row],[AZflrM]])),0)</f>
        <v>0.6</v>
      </c>
      <c r="BQ230">
        <f>COUNTIFS(Dyno_Data[Team],TBA_Matches_All[[#This Row],[Team]],Dyno_Data[Match],TBA_Matches_All[[#This Row],[Match_Number]],Dyno_Data[RecordType],"Activities",Dyno_Data[DelOrig],"SubW", Dyno_Data[DelMiss],"0")</f>
        <v>0</v>
      </c>
      <c r="BR230">
        <f>COUNTIFS(Dyno_Data[Team],TBA_Matches_All[[#This Row],[Team]],Dyno_Data[Match],TBA_Matches_All[[#This Row],[Match_Number]],Dyno_Data[RecordType],"Activities",Dyno_Data[DelOrig],"SubW", Dyno_Data[DelMiss],"1")</f>
        <v>1</v>
      </c>
      <c r="BS230" s="60">
        <f>IFERROR(SUM((TBA_Matches_All[[#This Row],[SubwT]])/(TBA_Matches_All[[#This Row],[SubwT]]+TBA_Matches_All[[#This Row],[SubwM]])),0)</f>
        <v>0</v>
      </c>
      <c r="BT230">
        <f>COUNTIFS(Dyno_Data[Team],TBA_Matches_All[[#This Row],[Team]],Dyno_Data[Match],TBA_Matches_All[[#This Row],[Match_Number]],Dyno_Data[RecordType],"Activities", Dyno_Data[AcqLoc],"OppWing")</f>
        <v>0</v>
      </c>
      <c r="BU230">
        <f>COUNTIFS(Dyno_Data[Team],TBA_Matches_All[[#This Row],[Team]],Dyno_Data[Match],TBA_Matches_All[[#This Row],[Match_Number]],Dyno_Data[RecordType],"Activities", Dyno_Data[AcqLoc],"Neutral")</f>
        <v>0</v>
      </c>
      <c r="BV230">
        <f>COUNTIFS(Dyno_Data[Team],TBA_Matches_All[[#This Row],[Team]],Dyno_Data[Match],TBA_Matches_All[[#This Row],[Match_Number]],Dyno_Data[RecordType],"Activities", Dyno_Data[AcqLoc],"AllyWing")</f>
        <v>0</v>
      </c>
      <c r="BW230">
        <f>COUNTIFS(Dyno_Data[Team],TBA_Matches_All[[#This Row],[Team]],Dyno_Data[Match],TBA_Matches_All[[#This Row],[Match_Number]],Dyno_Data[RecordType],"Activities", Dyno_Data[AcqLoc],"Source")</f>
        <v>0</v>
      </c>
      <c r="BX230">
        <f>SUMIFS(Dyno_Data[AcqDrp], Dyno_Data[Team],TBA_Matches_All[[#This Row],[Team]],Dyno_Data[Match],TBA_Matches_All[[#This Row],[Match_Number]],Dyno_Data[RecordType],"Activities", Dyno_Data[AcqLoc],"Source")</f>
        <v>0</v>
      </c>
      <c r="BY230">
        <f>SUMIFS(Dyno_Data[OZTime], Dyno_Data[Team],TBA_Matches_All[[#This Row],[Team]],Dyno_Data[Match],TBA_Matches_All[[#This Row],[Match_Number]],Dyno_Data[RecordType],"EndMatch")</f>
        <v>1.5066504999999999</v>
      </c>
      <c r="BZ230">
        <f>SUMIFS(Dyno_Data[NZTime], Dyno_Data[Team],TBA_Matches_All[[#This Row],[Team]],Dyno_Data[Match],TBA_Matches_All[[#This Row],[Match_Number]],Dyno_Data[RecordType],"EndMatch")</f>
        <v>4.3875187999999996</v>
      </c>
      <c r="CA230">
        <f>SUMIFS(Dyno_Data[AZTime], Dyno_Data[Team],TBA_Matches_All[[#This Row],[Team]],Dyno_Data[Match],TBA_Matches_All[[#This Row],[Match_Number]],Dyno_Data[RecordType],"EndMatch")</f>
        <v>129.7781473</v>
      </c>
      <c r="CB230">
        <f>SUMIFS(Dyno_Data[ClimbT], Dyno_Data[Team],TBA_Matches_All[[#This Row],[Team]],Dyno_Data[Match],TBA_Matches_All[[#This Row],[Match_Number]],Dyno_Data[RecordType],"EndMatch")</f>
        <v>0</v>
      </c>
      <c r="CC230" t="str">
        <f>_xlfn.XLOOKUP(SUM(MID(TBA_Matches_All[[#This Row],[Team]],4,5),(TBA_Matches_All[[#This Row],[Match_Number]]/100)),Dyno_EndMatch[teammat],Dyno_EndMatch[StageStat],"_",0,1)</f>
        <v>Else</v>
      </c>
      <c r="CD230" t="str">
        <f>_xlfn.XLOOKUP(TBA_Matches_All[[#This Row],[teammat]],Dyno_EndMatch[teammat],Dyno_EndMatch[StageAtt],"_",0,1)</f>
        <v>0</v>
      </c>
      <c r="CE230" t="str">
        <f>_xlfn.XLOOKUP(TBA_Matches_All[[#This Row],[teammat]],Dyno_EndMatch[teammat],Dyno_EndMatch[StageLoc],"_",0,1)</f>
        <v>A</v>
      </c>
      <c r="CF230">
        <f>SUMIFS(Dyno_Data[Harmony], Dyno_Data[Team],TBA_Matches_All[[#This Row],[Team]],Dyno_Data[Match],TBA_Matches_All[[#This Row],[Match_Number]],Dyno_Data[RecordType],"EndMatch", Dyno_Data[StageStat],"On",Dyno_Data[Harmony],"&lt;&gt;9")</f>
        <v>0</v>
      </c>
      <c r="CG230">
        <f>SUMIFS(Dyno_Data[Spotlit], Dyno_Data[Team],TBA_Matches_All[[#This Row],[Team]],Dyno_Data[Match],TBA_Matches_All[[#This Row],[Match_Number]],Dyno_Data[RecordType],"EndMatch", Dyno_Data[StageStat],"On",Dyno_Data[Spotlit],"&lt;&gt;9")</f>
        <v>0</v>
      </c>
      <c r="CH230" t="str">
        <f>_xlfn.XLOOKUP(TBA_Matches_All[[#This Row],[teammat]],Dyno_EndMatch[teammat],Dyno_EndMatch[Strategy],"_",0,1)</f>
        <v>Shooter</v>
      </c>
      <c r="CI230">
        <f>SUMIFS(Dyno_Data[Defense], Dyno_Data[Team],TBA_Matches_All[[#This Row],[Team]],Dyno_Data[Match],TBA_Matches_All[[#This Row],[Match_Number]],Dyno_Data[RecordType],"EndMatch",Dyno_Data[Defense],"&lt;&gt;9")</f>
        <v>0</v>
      </c>
      <c r="CJ230">
        <f>SUMIFS(Dyno_Data[Avoidance], Dyno_Data[Team],TBA_Matches_All[[#This Row],[Team]],Dyno_Data[Match],TBA_Matches_All[[#This Row],[Match_Number]],Dyno_Data[RecordType],"EndMatch",Dyno_Data[Avoidance],"&lt;&gt;9")</f>
        <v>0</v>
      </c>
      <c r="CK230" s="82">
        <f>COUNTIF($H$2:TBA_Matches_All[[#This Row],[Team]],TBA_Matches_All[[#This Row],[Team]])</f>
        <v>5</v>
      </c>
      <c r="CL230" s="111">
        <f>SUM(MID(TBA_Matches_All[[#This Row],[Team]],4,5)+TBA_Matches_All[[#This Row],[Match_Number]]/100)</f>
        <v>6621.38</v>
      </c>
      <c r="CM230">
        <f>SUM((TBA_Matches_All[[#This Row],[Leave]]*2)+(TBA_Matches_All[[#This Row],[AampT]]*2)+(TBA_Matches_All[[#This Row],[AspkrT]]*5)+(TBA_Matches_All[[#This Row],[AtrapT]]*5))</f>
        <v>0</v>
      </c>
      <c r="CN230" s="59">
        <f>IFERROR(SUM(TBA_Matches_All[[#This Row],[AptsT]]/TBA_Matches_All[[#This Row],[AutoPts]]),0)</f>
        <v>0</v>
      </c>
      <c r="CO230" s="59">
        <f>IFERROR(SUM(TBA_Matches_All[[#This Row],[AampT]]+TBA_Matches_All[[#This Row],[AspkrT]]+TBA_Matches_All[[#This Row],[AtrapT]]/TBA_Matches_All[[#This Row],[Aamp]]+TBA_Matches_All[[#This Row],[Aspkr]]+TBA_Matches_All[[#This Row],[AtrapT]]),0)</f>
        <v>0</v>
      </c>
      <c r="CP230" s="59">
        <f>IFERROR(SUM(TBA_Matches_All[[#This Row],[TampT]]/TBA_Matches_All[[#This Row],[Tamp]]),0)</f>
        <v>1</v>
      </c>
      <c r="CQ230" s="59">
        <f>IFERROR(SUM(TBA_Matches_All[[#This Row],[TspkrT]]/TBA_Matches_All[[#This Row],[Tspkr]]),0)</f>
        <v>0</v>
      </c>
      <c r="CR230">
        <f>SUM(TBA_Matches_All[[#This Row],[TspkrPts]]*TBA_Matches_All[[#This Row],[TspkrP]])</f>
        <v>0</v>
      </c>
      <c r="CS230" s="59">
        <f>IFERROR(SUM(TBA_Matches_All[[#This Row],[TtrapT]]/TBA_Matches_All[[#This Row],[Trap]]),0)</f>
        <v>0</v>
      </c>
      <c r="CT230" s="59">
        <f>IFERROR(SUM(TBA_Matches_All[[#This Row],[TotNotesT]]/TBA_Matches_All[[#This Row],[TotNotes]]),0)</f>
        <v>0.1875</v>
      </c>
      <c r="CU230" s="66">
        <f>SUM((TBA_Matches_All[[#This Row],[AampT]]*2)+(TBA_Matches_All[[#This Row],[AspkrT]]*5)+(TBA_Matches_All[[#This Row],[AtrapT]]*5)+(TBA_Matches_All[[#This Row],[TampT]]*1)+(TBA_Matches_All[[#This Row],[TspkrptsC]]))</f>
        <v>3</v>
      </c>
      <c r="CV230" s="59">
        <f>IFERROR(TBA_Matches_All[[#This Row],[noteptsT]]/TBA_Matches_All[[#This Row],[NotePts]],0)</f>
        <v>6.3829787234042548E-2</v>
      </c>
      <c r="CW230">
        <f>SUM(IF(TBA_Matches_All[[#This Row],[stageStat]]="On",3,0),IF(TBA_Matches_All[[#This Row],[stageStat]]="Park",1,0),SUMIFS(TBA_Matches_All[[#This Row],[Spotlit]],TBA_Matches_All[[#This Row],[stageStat]],"On"),SUMIFS(TBA_Matches_All[[#This Row],[Harmony]],TBA_Matches_All[[#This Row],[stageStat]],"On"))</f>
        <v>0</v>
      </c>
      <c r="CX230" s="59">
        <f>IFERROR(TBA_Matches_All[[#This Row],[stageptsT]]/TBA_Matches_All[[#This Row],[StagePts]],0)</f>
        <v>0</v>
      </c>
      <c r="CY230">
        <f>SUM((TBA_Matches_All[[#This Row],[AptsT]]+TBA_Matches_All[[#This Row],[TampT]]+TBA_Matches_All[[#This Row],[TspkrptsC]]+(TBA_Matches_All[[#This Row],[TtrapT]]*5)+TBA_Matches_All[[#This Row],[stageptsT]]))</f>
        <v>3</v>
      </c>
      <c r="CZ230" s="59">
        <f>IFERROR(SUM(TBA_Matches_All[[#This Row],[TotptsC]]/TBA_Matches_All[[#This Row],[Score]]),0)</f>
        <v>3.9473684210526314E-2</v>
      </c>
      <c r="DA23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10.615384615384617</v>
      </c>
      <c r="DB230" s="74">
        <f>SUMIFS(TBA_Matches_All[AveTeamTNoteDels],TBA_Matches_All[Match_Number],TBA_Matches_All[[#This Row],[Match_Number]],TBA_Matches_All[Alliance],"&lt;&gt;"&amp;TBA_Matches_All[[#This Row],[Alliance]],TBA_Matches_All[Scouted],"&gt;0")</f>
        <v>51.299940476190478</v>
      </c>
      <c r="DC230" s="74">
        <f>(TBA_Matches_All[[#This Row],[TampT]]+TBA_Matches_All[[#This Row],[TspkrptsC]])-TBA_Matches_All[[#This Row],[AveTeamTNoteDels]]</f>
        <v>-7.6153846153846168</v>
      </c>
      <c r="DD230" s="74">
        <f>SUMIFS(TBA_Matches_All[AveTeamTNoteDels],TBA_Matches_All[Match_Number],TBA_Matches_All[[#This Row],[Match_Number]],TBA_Matches_All[Alliance],"&lt;&gt;"&amp;TBA_Matches_All[[#This Row],[Alliance]])-TBA_Matches_All[[#This Row],[AveOppTNoteDels]]</f>
        <v>0</v>
      </c>
    </row>
    <row r="231" spans="1:108" x14ac:dyDescent="0.3">
      <c r="A231" t="s">
        <v>1042</v>
      </c>
      <c r="B231" t="s">
        <v>489</v>
      </c>
      <c r="C231" t="s">
        <v>1348</v>
      </c>
      <c r="D231">
        <v>39</v>
      </c>
      <c r="E231" t="s">
        <v>1420</v>
      </c>
      <c r="F231" t="s">
        <v>1423</v>
      </c>
      <c r="G231" t="s">
        <v>1409</v>
      </c>
      <c r="H231" t="s">
        <v>1312</v>
      </c>
      <c r="I231" t="b">
        <v>0</v>
      </c>
      <c r="J231">
        <v>33</v>
      </c>
      <c r="K231">
        <v>0</v>
      </c>
      <c r="L231">
        <v>0</v>
      </c>
      <c r="M231">
        <v>27</v>
      </c>
      <c r="N231">
        <v>0</v>
      </c>
      <c r="O231">
        <v>3</v>
      </c>
      <c r="P231">
        <v>15</v>
      </c>
      <c r="Q231">
        <v>19</v>
      </c>
      <c r="R231">
        <v>1</v>
      </c>
      <c r="S231">
        <v>0</v>
      </c>
      <c r="T231">
        <v>5</v>
      </c>
      <c r="U231">
        <v>0</v>
      </c>
      <c r="V231">
        <v>10</v>
      </c>
      <c r="W231">
        <v>5</v>
      </c>
      <c r="X231">
        <v>10</v>
      </c>
      <c r="Y231">
        <v>11</v>
      </c>
      <c r="Z231">
        <v>0</v>
      </c>
      <c r="AA231">
        <v>0</v>
      </c>
      <c r="AB231">
        <v>9</v>
      </c>
      <c r="AC231">
        <v>26</v>
      </c>
      <c r="AD231">
        <v>3</v>
      </c>
      <c r="AE231">
        <f>IFERROR(6/(COUNTIF(Dyno_EndMatch[Match],TBA_Matches_All[[#This Row],[Match_Number]])),0)</f>
        <v>1</v>
      </c>
      <c r="AF231">
        <f>COUNTIFS(Dyno_Data[Team],TBA_Matches_All[[#This Row],[Team]],Dyno_Data[Match],TBA_Matches_All[[#This Row],[Match_Number]],Dyno_Data[RecordType],"EndMatch",Dyno_Data[HPAmp],"Y")</f>
        <v>0</v>
      </c>
      <c r="AG231">
        <f>SUMIFS(Dyno_Data[Mics], Dyno_Data[Team],TBA_Matches_All[[#This Row],[Team]],Dyno_Data[Match],TBA_Matches_All[[#This Row],[Match_Number]],Dyno_Data[RecordType],"EndMatch",Dyno_Data[HPAmp],"Y")</f>
        <v>0</v>
      </c>
      <c r="AH231">
        <f>SUMIFS(Dyno_Data[Leave], Dyno_Data[Team],TBA_Matches_All[[#This Row],[Team]],Dyno_Data[Match],TBA_Matches_All[[#This Row],[Match_Number]],Dyno_Data[RecordType],"EndAuto")</f>
        <v>1</v>
      </c>
      <c r="AI231">
        <f>COUNTIFS(Dyno_Data[Team],TBA_Matches_All[[#This Row],[Team]],Dyno_Data[Match],TBA_Matches_All[[#This Row],[Match_Number]],Dyno_Data[RecordType],"Activities",Dyno_Data[DelDest],"Amp", Dyno_Data[DelMiss],"0", Dyno_Data[Mode],"Auto")</f>
        <v>0</v>
      </c>
      <c r="AJ231">
        <f>COUNTIFS(Dyno_Data[Team],TBA_Matches_All[[#This Row],[Team]],Dyno_Data[Match],TBA_Matches_All[[#This Row],[Match_Number]],Dyno_Data[RecordType],"Activities",Dyno_Data[DelDest],"Spkr", Dyno_Data[DelMiss],"0", Dyno_Data[Mode],"Auto")</f>
        <v>3</v>
      </c>
      <c r="AK231">
        <f>COUNTIFS(Dyno_Data[Team],TBA_Matches_All[[#This Row],[Team]],Dyno_Data[Match],TBA_Matches_All[[#This Row],[Match_Number]],Dyno_Data[RecordType],"Activities",Dyno_Data[DelDest],"Trap", Dyno_Data[DelMiss],"0", Dyno_Data[Mode],"Auto")</f>
        <v>0</v>
      </c>
      <c r="AL231">
        <f>COUNTIFS(Dyno_Data[Team],TBA_Matches_All[[#This Row],[Team]],Dyno_Data[Match],TBA_Matches_All[[#This Row],[Match_Number]],Dyno_Data[RecordType],"Activities",Dyno_Data[DelDest],"Amp", Dyno_Data[DelMiss],"0", Dyno_Data[Mode],"Teleop")</f>
        <v>2</v>
      </c>
      <c r="AM231">
        <f>COUNTIFS(Dyno_Data[Team],TBA_Matches_All[[#This Row],[Team]],Dyno_Data[Match],TBA_Matches_All[[#This Row],[Match_Number]],Dyno_Data[RecordType],"Activities",Dyno_Data[DelDest],"Spkr", Dyno_Data[DelMiss],"0", Dyno_Data[Mode],"Teleop")</f>
        <v>8</v>
      </c>
      <c r="AN231">
        <f>COUNTIFS(Dyno_Data[Team],TBA_Matches_All[[#This Row],[Team]],Dyno_Data[Match],TBA_Matches_All[[#This Row],[Match_Number]],Dyno_Data[RecordType],"Activities",Dyno_Data[DelDest],"Trap", Dyno_Data[DelMiss],"0", Dyno_Data[Mode],"&lt;&gt;Auto")</f>
        <v>0</v>
      </c>
      <c r="AO231">
        <f>SUM(TBA_Matches_All[[#This Row],[AampT]]+TBA_Matches_All[[#This Row],[AspkrT]]+TBA_Matches_All[[#This Row],[AtrapT]]+TBA_Matches_All[[#This Row],[TampT]]+TBA_Matches_All[[#This Row],[TspkrT]]+TBA_Matches_All[[#This Row],[TtrapT]])</f>
        <v>13</v>
      </c>
      <c r="AP231">
        <f>COUNTIFS(Dyno_Data[Team],TBA_Matches_All[[#This Row],[Team]],Dyno_Data[Match],TBA_Matches_All[[#This Row],[Match_Number]],Dyno_Data[RecordType],"Activities",Dyno_Data[DelDest],"Neut", Dyno_Data[DelMiss],"0")</f>
        <v>0</v>
      </c>
      <c r="AQ231">
        <f>COUNTIFS(Dyno_Data[Team],TBA_Matches_All[[#This Row],[Team]],Dyno_Data[Match],TBA_Matches_All[[#This Row],[Match_Number]],Dyno_Data[RecordType],"Activities",Dyno_Data[DelDest],"AllyW", Dyno_Data[DelMiss],"0")</f>
        <v>0</v>
      </c>
      <c r="AR231" t="str">
        <f>_xlfn.XLOOKUP(SUM(MID(TBA_Matches_All[[#This Row],[Team]],4,5),(TBA_Matches_All[[#This Row],[Match_Number]]/100)),Dyno_EndMatch[teammat],Dyno_EndMatch[RobotSta],"_",0,1)</f>
        <v>SubW</v>
      </c>
      <c r="AS231">
        <f>SUMIFS(Dyno_Data[AcqDis], Dyno_Data[Team],TBA_Matches_All[[#This Row],[Team]],Dyno_Data[Match],TBA_Matches_All[[#This Row],[Match_Number]],Dyno_Data[RecordType],"Activities", Dyno_Data[AcqCenter],1,Dyno_Data[Mode],"Auto")</f>
        <v>0</v>
      </c>
      <c r="AT231">
        <f>SUMIFS(Dyno_Data[AcqDis], Dyno_Data[Team],TBA_Matches_All[[#This Row],[Team]],Dyno_Data[Match],TBA_Matches_All[[#This Row],[Match_Number]],Dyno_Data[RecordType],"Activities", Dyno_Data[AcqCenter],2,Dyno_Data[Mode],"Auto")</f>
        <v>0</v>
      </c>
      <c r="AU231">
        <f>SUMIFS(Dyno_Data[AcqDis], Dyno_Data[Team],TBA_Matches_All[[#This Row],[Team]],Dyno_Data[Match],TBA_Matches_All[[#This Row],[Match_Number]],Dyno_Data[RecordType],"Activities", Dyno_Data[AcqCenter],3,Dyno_Data[Mode],"Auto")</f>
        <v>1</v>
      </c>
      <c r="AV231">
        <f>SUMIFS(Dyno_Data[AcqDis], Dyno_Data[Team],TBA_Matches_All[[#This Row],[Team]],Dyno_Data[Match],TBA_Matches_All[[#This Row],[Match_Number]],Dyno_Data[RecordType],"Activities", Dyno_Data[AcqCenter],4,Dyno_Data[Mode],"Auto")</f>
        <v>0</v>
      </c>
      <c r="AW231">
        <f>SUMIFS(Dyno_Data[AcqDis], Dyno_Data[Team],TBA_Matches_All[[#This Row],[Team]],Dyno_Data[Match],TBA_Matches_All[[#This Row],[Match_Number]],Dyno_Data[RecordType],"Activities", Dyno_Data[AcqCenter],5,Dyno_Data[Mode],"Auto")</f>
        <v>0</v>
      </c>
      <c r="AX231">
        <f>SUMIFS(Dyno_Data[DelMiss], Dyno_Data[Team],TBA_Matches_All[[#This Row],[Team]],Dyno_Data[Match],TBA_Matches_All[[#This Row],[Match_Number]],Dyno_Data[RecordType],"Activities", Dyno_Data[DelDest],"Amp")</f>
        <v>0</v>
      </c>
      <c r="AY231" s="60">
        <f>IFERROR(SUM((TBA_Matches_All[[#This Row],[AampT]]+TBA_Matches_All[[#This Row],[TampT]])/(TBA_Matches_All[[#This Row],[AampT]]+TBA_Matches_All[[#This Row],[TampT]]+TBA_Matches_All[[#This Row],[ampM]])),0)</f>
        <v>1</v>
      </c>
      <c r="AZ231">
        <f>SUMIFS(Dyno_Data[DelMiss], Dyno_Data[Team],TBA_Matches_All[[#This Row],[Team]],Dyno_Data[Match],TBA_Matches_All[[#This Row],[Match_Number]],Dyno_Data[RecordType],"Activities", Dyno_Data[DelDest],"Spkr")</f>
        <v>0</v>
      </c>
      <c r="BA231" s="60">
        <f>IFERROR(SUM((TBA_Matches_All[[#This Row],[AspkrT]]+TBA_Matches_All[[#This Row],[TspkrT]])/(TBA_Matches_All[[#This Row],[AspkrT]]+TBA_Matches_All[[#This Row],[TspkrT]]+TBA_Matches_All[[#This Row],[spkrM]])),0)</f>
        <v>1</v>
      </c>
      <c r="BB231">
        <f>SUMIFS(Dyno_Data[DelMiss], Dyno_Data[Team],TBA_Matches_All[[#This Row],[Team]],Dyno_Data[Match],TBA_Matches_All[[#This Row],[Match_Number]],Dyno_Data[RecordType],"Activities", Dyno_Data[DelDest],"Trap")</f>
        <v>0</v>
      </c>
      <c r="BC231" s="60">
        <f>IFERROR((TBA_Matches_All[[#This Row],[AtrapT]]+TBA_Matches_All[[#This Row],[TtrapT]])/(TBA_Matches_All[[#This Row],[AtrapT]]+TBA_Matches_All[[#This Row],[TtrapT]]+TBA_Matches_All[[#This Row],[trapM]]),0)</f>
        <v>0</v>
      </c>
      <c r="BD231">
        <f>COUNTIFS(Dyno_Data[Team],TBA_Matches_All[[#This Row],[Team]],Dyno_Data[Match],TBA_Matches_All[[#This Row],[Match_Number]],Dyno_Data[RecordType],"Activities",Dyno_Data[DelDest],"Neut", Dyno_Data[DelMiss],1)</f>
        <v>0</v>
      </c>
      <c r="BE231" s="60">
        <f>IFERROR(SUM((TBA_Matches_All[[#This Row],[NeutFlrT]])/(TBA_Matches_All[[#This Row],[NeutFlrT]]+TBA_Matches_All[[#This Row],[NZflM]])),0)</f>
        <v>0</v>
      </c>
      <c r="BF231">
        <f>COUNTIFS(Dyno_Data[Team],TBA_Matches_All[[#This Row],[Team]],Dyno_Data[Match],TBA_Matches_All[[#This Row],[Match_Number]],Dyno_Data[RecordType],"Activities",Dyno_Data[DelDest],"AllyW", Dyno_Data[DelMiss],1)</f>
        <v>0</v>
      </c>
      <c r="BG231" s="60">
        <f>IFERROR(SUM((TBA_Matches_All[[#This Row],[AllyWFlrT]])/(TBA_Matches_All[[#This Row],[AllyWFlrT]]+TBA_Matches_All[[#This Row],[AZflM]])),0)</f>
        <v>0</v>
      </c>
      <c r="BH231">
        <f>COUNTIFS(Dyno_Data[Team],TBA_Matches_All[[#This Row],[Team]],Dyno_Data[Match],TBA_Matches_All[[#This Row],[Match_Number]],Dyno_Data[RecordType],"Activities",Dyno_Data[DelOrig],"OppW", Dyno_Data[DelMiss],"0")</f>
        <v>0</v>
      </c>
      <c r="BI231">
        <f>COUNTIFS(Dyno_Data[Team],TBA_Matches_All[[#This Row],[Team]],Dyno_Data[Match],TBA_Matches_All[[#This Row],[Match_Number]],Dyno_Data[RecordType],"Activities",Dyno_Data[DelOrig],"OppW", Dyno_Data[DelMiss],"1")</f>
        <v>0</v>
      </c>
      <c r="BJ231" s="60">
        <f>IFERROR(SUM((TBA_Matches_All[[#This Row],[OZflrT]])/(TBA_Matches_All[[#This Row],[OZflrT]]+TBA_Matches_All[[#This Row],[OZflrM]])),0)</f>
        <v>0</v>
      </c>
      <c r="BK231">
        <f>COUNTIFS(Dyno_Data[Team],TBA_Matches_All[[#This Row],[Team]],Dyno_Data[Match],TBA_Matches_All[[#This Row],[Match_Number]],Dyno_Data[RecordType],"Activities",Dyno_Data[DelOrig],"Neut", Dyno_Data[DelMiss],"0")</f>
        <v>0</v>
      </c>
      <c r="BL231">
        <f>COUNTIFS(Dyno_Data[Team],TBA_Matches_All[[#This Row],[Team]],Dyno_Data[Match],TBA_Matches_All[[#This Row],[Match_Number]],Dyno_Data[RecordType],"Activities",Dyno_Data[DelOrig],"Neut", Dyno_Data[DelMiss],"1")</f>
        <v>0</v>
      </c>
      <c r="BM231" s="60">
        <f>IFERROR(SUM((TBA_Matches_All[[#This Row],[NZflrT]])/(TBA_Matches_All[[#This Row],[NZflrT]]+TBA_Matches_All[[#This Row],[NZflrM]])),0)</f>
        <v>0</v>
      </c>
      <c r="BN231">
        <f>COUNTIFS(Dyno_Data[Team],TBA_Matches_All[[#This Row],[Team]],Dyno_Data[Match],TBA_Matches_All[[#This Row],[Match_Number]],Dyno_Data[RecordType],"Activities",Dyno_Data[DelOrig],"AllyW", Dyno_Data[DelMiss],"0")</f>
        <v>10</v>
      </c>
      <c r="BO231">
        <f>COUNTIFS(Dyno_Data[Team],TBA_Matches_All[[#This Row],[Team]],Dyno_Data[Match],TBA_Matches_All[[#This Row],[Match_Number]],Dyno_Data[RecordType],"Activities",Dyno_Data[DelOrig],"AllyW", Dyno_Data[DelMiss],"1")</f>
        <v>0</v>
      </c>
      <c r="BP231" s="60">
        <f>IFERROR(SUM((TBA_Matches_All[[#This Row],[AZflrT]])/(TBA_Matches_All[[#This Row],[AZflrT]]+TBA_Matches_All[[#This Row],[AZflrM]])),0)</f>
        <v>1</v>
      </c>
      <c r="BQ231">
        <f>COUNTIFS(Dyno_Data[Team],TBA_Matches_All[[#This Row],[Team]],Dyno_Data[Match],TBA_Matches_All[[#This Row],[Match_Number]],Dyno_Data[RecordType],"Activities",Dyno_Data[DelOrig],"SubW", Dyno_Data[DelMiss],"0")</f>
        <v>3</v>
      </c>
      <c r="BR231">
        <f>COUNTIFS(Dyno_Data[Team],TBA_Matches_All[[#This Row],[Team]],Dyno_Data[Match],TBA_Matches_All[[#This Row],[Match_Number]],Dyno_Data[RecordType],"Activities",Dyno_Data[DelOrig],"SubW", Dyno_Data[DelMiss],"1")</f>
        <v>0</v>
      </c>
      <c r="BS231" s="60">
        <f>IFERROR(SUM((TBA_Matches_All[[#This Row],[SubwT]])/(TBA_Matches_All[[#This Row],[SubwT]]+TBA_Matches_All[[#This Row],[SubwM]])),0)</f>
        <v>1</v>
      </c>
      <c r="BT231">
        <f>COUNTIFS(Dyno_Data[Team],TBA_Matches_All[[#This Row],[Team]],Dyno_Data[Match],TBA_Matches_All[[#This Row],[Match_Number]],Dyno_Data[RecordType],"Activities", Dyno_Data[AcqLoc],"OppWing")</f>
        <v>0</v>
      </c>
      <c r="BU231">
        <f>COUNTIFS(Dyno_Data[Team],TBA_Matches_All[[#This Row],[Team]],Dyno_Data[Match],TBA_Matches_All[[#This Row],[Match_Number]],Dyno_Data[RecordType],"Activities", Dyno_Data[AcqLoc],"Neutral")</f>
        <v>2</v>
      </c>
      <c r="BV231">
        <f>COUNTIFS(Dyno_Data[Team],TBA_Matches_All[[#This Row],[Team]],Dyno_Data[Match],TBA_Matches_All[[#This Row],[Match_Number]],Dyno_Data[RecordType],"Activities", Dyno_Data[AcqLoc],"AllyWing")</f>
        <v>0</v>
      </c>
      <c r="BW231">
        <f>COUNTIFS(Dyno_Data[Team],TBA_Matches_All[[#This Row],[Team]],Dyno_Data[Match],TBA_Matches_All[[#This Row],[Match_Number]],Dyno_Data[RecordType],"Activities", Dyno_Data[AcqLoc],"Source")</f>
        <v>0</v>
      </c>
      <c r="BX231">
        <f>SUMIFS(Dyno_Data[AcqDrp], Dyno_Data[Team],TBA_Matches_All[[#This Row],[Team]],Dyno_Data[Match],TBA_Matches_All[[#This Row],[Match_Number]],Dyno_Data[RecordType],"Activities", Dyno_Data[AcqLoc],"Source")</f>
        <v>0</v>
      </c>
      <c r="BY231">
        <f>SUMIFS(Dyno_Data[OZTime], Dyno_Data[Team],TBA_Matches_All[[#This Row],[Team]],Dyno_Data[Match],TBA_Matches_All[[#This Row],[Match_Number]],Dyno_Data[RecordType],"EndMatch")</f>
        <v>27.7810621</v>
      </c>
      <c r="BZ231">
        <f>SUMIFS(Dyno_Data[NZTime], Dyno_Data[Team],TBA_Matches_All[[#This Row],[Team]],Dyno_Data[Match],TBA_Matches_All[[#This Row],[Match_Number]],Dyno_Data[RecordType],"EndMatch")</f>
        <v>11.426435399999999</v>
      </c>
      <c r="CA231">
        <f>SUMIFS(Dyno_Data[AZTime], Dyno_Data[Team],TBA_Matches_All[[#This Row],[Team]],Dyno_Data[Match],TBA_Matches_All[[#This Row],[Match_Number]],Dyno_Data[RecordType],"EndMatch")</f>
        <v>85.541756399999997</v>
      </c>
      <c r="CB231">
        <f>SUMIFS(Dyno_Data[ClimbT], Dyno_Data[Team],TBA_Matches_All[[#This Row],[Team]],Dyno_Data[Match],TBA_Matches_All[[#This Row],[Match_Number]],Dyno_Data[RecordType],"EndMatch")</f>
        <v>7.2508806999999997</v>
      </c>
      <c r="CC231" t="str">
        <f>_xlfn.XLOOKUP(SUM(MID(TBA_Matches_All[[#This Row],[Team]],4,5),(TBA_Matches_All[[#This Row],[Match_Number]]/100)),Dyno_EndMatch[teammat],Dyno_EndMatch[StageStat],"_",0,1)</f>
        <v>Park</v>
      </c>
      <c r="CD231" t="str">
        <f>_xlfn.XLOOKUP(TBA_Matches_All[[#This Row],[teammat]],Dyno_EndMatch[teammat],Dyno_EndMatch[StageAtt],"_",0,1)</f>
        <v>-1</v>
      </c>
      <c r="CE231" t="str">
        <f>_xlfn.XLOOKUP(TBA_Matches_All[[#This Row],[teammat]],Dyno_EndMatch[teammat],Dyno_EndMatch[StageLoc],"_",0,1)</f>
        <v>A</v>
      </c>
      <c r="CF231">
        <f>SUMIFS(Dyno_Data[Harmony], Dyno_Data[Team],TBA_Matches_All[[#This Row],[Team]],Dyno_Data[Match],TBA_Matches_All[[#This Row],[Match_Number]],Dyno_Data[RecordType],"EndMatch", Dyno_Data[StageStat],"On",Dyno_Data[Harmony],"&lt;&gt;9")</f>
        <v>0</v>
      </c>
      <c r="CG231">
        <f>SUMIFS(Dyno_Data[Spotlit], Dyno_Data[Team],TBA_Matches_All[[#This Row],[Team]],Dyno_Data[Match],TBA_Matches_All[[#This Row],[Match_Number]],Dyno_Data[RecordType],"EndMatch", Dyno_Data[StageStat],"On",Dyno_Data[Spotlit],"&lt;&gt;9")</f>
        <v>0</v>
      </c>
      <c r="CH231" t="str">
        <f>_xlfn.XLOOKUP(TBA_Matches_All[[#This Row],[teammat]],Dyno_EndMatch[teammat],Dyno_EndMatch[Strategy],"_",0,1)</f>
        <v>Shooter</v>
      </c>
      <c r="CI231">
        <f>SUMIFS(Dyno_Data[Defense], Dyno_Data[Team],TBA_Matches_All[[#This Row],[Team]],Dyno_Data[Match],TBA_Matches_All[[#This Row],[Match_Number]],Dyno_Data[RecordType],"EndMatch",Dyno_Data[Defense],"&lt;&gt;9")</f>
        <v>1</v>
      </c>
      <c r="CJ231">
        <f>SUMIFS(Dyno_Data[Avoidance], Dyno_Data[Team],TBA_Matches_All[[#This Row],[Team]],Dyno_Data[Match],TBA_Matches_All[[#This Row],[Match_Number]],Dyno_Data[RecordType],"EndMatch",Dyno_Data[Avoidance],"&lt;&gt;9")</f>
        <v>0</v>
      </c>
      <c r="CK231" s="82">
        <f>COUNTIF($H$2:TBA_Matches_All[[#This Row],[Team]],TBA_Matches_All[[#This Row],[Team]])</f>
        <v>5</v>
      </c>
      <c r="CL231" s="111">
        <f>SUM(MID(TBA_Matches_All[[#This Row],[Team]],4,5)+TBA_Matches_All[[#This Row],[Match_Number]]/100)</f>
        <v>2053.39</v>
      </c>
      <c r="CM231">
        <f>SUM((TBA_Matches_All[[#This Row],[Leave]]*2)+(TBA_Matches_All[[#This Row],[AampT]]*2)+(TBA_Matches_All[[#This Row],[AspkrT]]*5)+(TBA_Matches_All[[#This Row],[AtrapT]]*5))</f>
        <v>17</v>
      </c>
      <c r="CN231" s="59">
        <f>IFERROR(SUM(TBA_Matches_All[[#This Row],[AptsT]]/TBA_Matches_All[[#This Row],[AutoPts]]),0)</f>
        <v>0.89473684210526316</v>
      </c>
      <c r="CO231" s="59">
        <f>IFERROR(SUM(TBA_Matches_All[[#This Row],[AampT]]+TBA_Matches_All[[#This Row],[AspkrT]]+TBA_Matches_All[[#This Row],[AtrapT]]/TBA_Matches_All[[#This Row],[Aamp]]+TBA_Matches_All[[#This Row],[Aspkr]]+TBA_Matches_All[[#This Row],[AtrapT]]),0)</f>
        <v>0</v>
      </c>
      <c r="CP231" s="59">
        <f>IFERROR(SUM(TBA_Matches_All[[#This Row],[TampT]]/TBA_Matches_All[[#This Row],[Tamp]]),0)</f>
        <v>2</v>
      </c>
      <c r="CQ231" s="59">
        <f>IFERROR(SUM(TBA_Matches_All[[#This Row],[TspkrT]]/TBA_Matches_All[[#This Row],[Tspkr]]),0)</f>
        <v>1.6</v>
      </c>
      <c r="CR231">
        <f>SUM(TBA_Matches_All[[#This Row],[TspkrPts]]*TBA_Matches_All[[#This Row],[TspkrP]])</f>
        <v>16</v>
      </c>
      <c r="CS231" s="59">
        <f>IFERROR(SUM(TBA_Matches_All[[#This Row],[TtrapT]]/TBA_Matches_All[[#This Row],[Trap]]),0)</f>
        <v>0</v>
      </c>
      <c r="CT231" s="59">
        <f>IFERROR(SUM(TBA_Matches_All[[#This Row],[TotNotesT]]/TBA_Matches_All[[#This Row],[TotNotes]]),0)</f>
        <v>1.4444444444444444</v>
      </c>
      <c r="CU231" s="66">
        <f>SUM((TBA_Matches_All[[#This Row],[AampT]]*2)+(TBA_Matches_All[[#This Row],[AspkrT]]*5)+(TBA_Matches_All[[#This Row],[AtrapT]]*5)+(TBA_Matches_All[[#This Row],[TampT]]*1)+(TBA_Matches_All[[#This Row],[TspkrptsC]]))</f>
        <v>33</v>
      </c>
      <c r="CV231" s="59">
        <f>IFERROR(TBA_Matches_All[[#This Row],[noteptsT]]/TBA_Matches_All[[#This Row],[NotePts]],0)</f>
        <v>1.2692307692307692</v>
      </c>
      <c r="CW231">
        <f>SUM(IF(TBA_Matches_All[[#This Row],[stageStat]]="On",3,0),IF(TBA_Matches_All[[#This Row],[stageStat]]="Park",1,0),SUMIFS(TBA_Matches_All[[#This Row],[Spotlit]],TBA_Matches_All[[#This Row],[stageStat]],"On"),SUMIFS(TBA_Matches_All[[#This Row],[Harmony]],TBA_Matches_All[[#This Row],[stageStat]],"On"))</f>
        <v>1</v>
      </c>
      <c r="CX231" s="59">
        <f>IFERROR(TBA_Matches_All[[#This Row],[stageptsT]]/TBA_Matches_All[[#This Row],[StagePts]],0)</f>
        <v>0.33333333333333331</v>
      </c>
      <c r="CY231">
        <f>SUM((TBA_Matches_All[[#This Row],[AptsT]]+TBA_Matches_All[[#This Row],[TampT]]+TBA_Matches_All[[#This Row],[TspkrptsC]]+(TBA_Matches_All[[#This Row],[TtrapT]]*5)+TBA_Matches_All[[#This Row],[stageptsT]]))</f>
        <v>36</v>
      </c>
      <c r="CZ231" s="59">
        <f>IFERROR(SUM(TBA_Matches_All[[#This Row],[TotptsC]]/TBA_Matches_All[[#This Row],[Score]]),0)</f>
        <v>1.0909090909090908</v>
      </c>
      <c r="DA23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8.7333333333333343</v>
      </c>
      <c r="DB231" s="74">
        <f>SUMIFS(TBA_Matches_All[AveTeamTNoteDels],TBA_Matches_All[Match_Number],TBA_Matches_All[[#This Row],[Match_Number]],TBA_Matches_All[Alliance],"&lt;&gt;"&amp;TBA_Matches_All[[#This Row],[Alliance]],TBA_Matches_All[Scouted],"&gt;0")</f>
        <v>24.198095238095242</v>
      </c>
      <c r="DC231" s="74">
        <f>(TBA_Matches_All[[#This Row],[TampT]]+TBA_Matches_All[[#This Row],[TspkrptsC]])-TBA_Matches_All[[#This Row],[AveTeamTNoteDels]]</f>
        <v>9.2666666666666657</v>
      </c>
      <c r="DD231" s="74">
        <f>SUMIFS(TBA_Matches_All[AveTeamTNoteDels],TBA_Matches_All[Match_Number],TBA_Matches_All[[#This Row],[Match_Number]],TBA_Matches_All[Alliance],"&lt;&gt;"&amp;TBA_Matches_All[[#This Row],[Alliance]])-TBA_Matches_All[[#This Row],[AveOppTNoteDels]]</f>
        <v>0</v>
      </c>
    </row>
    <row r="232" spans="1:108" x14ac:dyDescent="0.3">
      <c r="A232" t="s">
        <v>1042</v>
      </c>
      <c r="B232" t="s">
        <v>489</v>
      </c>
      <c r="C232" t="s">
        <v>1348</v>
      </c>
      <c r="D232">
        <v>39</v>
      </c>
      <c r="E232" t="s">
        <v>1406</v>
      </c>
      <c r="F232" t="s">
        <v>1424</v>
      </c>
      <c r="G232" t="s">
        <v>1409</v>
      </c>
      <c r="H232" t="s">
        <v>1282</v>
      </c>
      <c r="I232" t="b">
        <v>0</v>
      </c>
      <c r="J232">
        <v>58</v>
      </c>
      <c r="K232">
        <v>0</v>
      </c>
      <c r="L232">
        <v>0</v>
      </c>
      <c r="M232">
        <v>0</v>
      </c>
      <c r="N232">
        <v>0</v>
      </c>
      <c r="O232">
        <v>1</v>
      </c>
      <c r="P232">
        <v>5</v>
      </c>
      <c r="Q232">
        <v>9</v>
      </c>
      <c r="R232">
        <v>0</v>
      </c>
      <c r="S232">
        <v>0</v>
      </c>
      <c r="T232">
        <v>9</v>
      </c>
      <c r="U232">
        <v>0</v>
      </c>
      <c r="V232">
        <v>18</v>
      </c>
      <c r="W232">
        <v>9</v>
      </c>
      <c r="X232">
        <v>18</v>
      </c>
      <c r="Y232">
        <v>18</v>
      </c>
      <c r="Z232">
        <v>0</v>
      </c>
      <c r="AA232">
        <v>0</v>
      </c>
      <c r="AB232">
        <v>10</v>
      </c>
      <c r="AC232">
        <v>23</v>
      </c>
      <c r="AD232">
        <v>4</v>
      </c>
      <c r="AE232">
        <f>IFERROR(6/(COUNTIF(Dyno_EndMatch[Match],TBA_Matches_All[[#This Row],[Match_Number]])),0)</f>
        <v>1</v>
      </c>
      <c r="AF232">
        <f>COUNTIFS(Dyno_Data[Team],TBA_Matches_All[[#This Row],[Team]],Dyno_Data[Match],TBA_Matches_All[[#This Row],[Match_Number]],Dyno_Data[RecordType],"EndMatch",Dyno_Data[HPAmp],"Y")</f>
        <v>1</v>
      </c>
      <c r="AG232">
        <f>SUMIFS(Dyno_Data[Mics], Dyno_Data[Team],TBA_Matches_All[[#This Row],[Team]],Dyno_Data[Match],TBA_Matches_All[[#This Row],[Match_Number]],Dyno_Data[RecordType],"EndMatch",Dyno_Data[HPAmp],"Y")</f>
        <v>1</v>
      </c>
      <c r="AH232">
        <f>SUMIFS(Dyno_Data[Leave], Dyno_Data[Team],TBA_Matches_All[[#This Row],[Team]],Dyno_Data[Match],TBA_Matches_All[[#This Row],[Match_Number]],Dyno_Data[RecordType],"EndAuto")</f>
        <v>1</v>
      </c>
      <c r="AI232">
        <f>COUNTIFS(Dyno_Data[Team],TBA_Matches_All[[#This Row],[Team]],Dyno_Data[Match],TBA_Matches_All[[#This Row],[Match_Number]],Dyno_Data[RecordType],"Activities",Dyno_Data[DelDest],"Amp", Dyno_Data[DelMiss],"0", Dyno_Data[Mode],"Auto")</f>
        <v>0</v>
      </c>
      <c r="AJ232">
        <f>COUNTIFS(Dyno_Data[Team],TBA_Matches_All[[#This Row],[Team]],Dyno_Data[Match],TBA_Matches_All[[#This Row],[Match_Number]],Dyno_Data[RecordType],"Activities",Dyno_Data[DelDest],"Spkr", Dyno_Data[DelMiss],"0", Dyno_Data[Mode],"Auto")</f>
        <v>0</v>
      </c>
      <c r="AK232">
        <f>COUNTIFS(Dyno_Data[Team],TBA_Matches_All[[#This Row],[Team]],Dyno_Data[Match],TBA_Matches_All[[#This Row],[Match_Number]],Dyno_Data[RecordType],"Activities",Dyno_Data[DelDest],"Trap", Dyno_Data[DelMiss],"0", Dyno_Data[Mode],"Auto")</f>
        <v>0</v>
      </c>
      <c r="AL232">
        <f>COUNTIFS(Dyno_Data[Team],TBA_Matches_All[[#This Row],[Team]],Dyno_Data[Match],TBA_Matches_All[[#This Row],[Match_Number]],Dyno_Data[RecordType],"Activities",Dyno_Data[DelDest],"Amp", Dyno_Data[DelMiss],"0", Dyno_Data[Mode],"Teleop")</f>
        <v>0</v>
      </c>
      <c r="AM232">
        <f>COUNTIFS(Dyno_Data[Team],TBA_Matches_All[[#This Row],[Team]],Dyno_Data[Match],TBA_Matches_All[[#This Row],[Match_Number]],Dyno_Data[RecordType],"Activities",Dyno_Data[DelDest],"Spkr", Dyno_Data[DelMiss],"0", Dyno_Data[Mode],"Teleop")</f>
        <v>0</v>
      </c>
      <c r="AN232">
        <f>COUNTIFS(Dyno_Data[Team],TBA_Matches_All[[#This Row],[Team]],Dyno_Data[Match],TBA_Matches_All[[#This Row],[Match_Number]],Dyno_Data[RecordType],"Activities",Dyno_Data[DelDest],"Trap", Dyno_Data[DelMiss],"0", Dyno_Data[Mode],"&lt;&gt;Auto")</f>
        <v>0</v>
      </c>
      <c r="AO232">
        <f>SUM(TBA_Matches_All[[#This Row],[AampT]]+TBA_Matches_All[[#This Row],[AspkrT]]+TBA_Matches_All[[#This Row],[AtrapT]]+TBA_Matches_All[[#This Row],[TampT]]+TBA_Matches_All[[#This Row],[TspkrT]]+TBA_Matches_All[[#This Row],[TtrapT]])</f>
        <v>0</v>
      </c>
      <c r="AP232">
        <f>COUNTIFS(Dyno_Data[Team],TBA_Matches_All[[#This Row],[Team]],Dyno_Data[Match],TBA_Matches_All[[#This Row],[Match_Number]],Dyno_Data[RecordType],"Activities",Dyno_Data[DelDest],"Neut", Dyno_Data[DelMiss],"0")</f>
        <v>0</v>
      </c>
      <c r="AQ232">
        <f>COUNTIFS(Dyno_Data[Team],TBA_Matches_All[[#This Row],[Team]],Dyno_Data[Match],TBA_Matches_All[[#This Row],[Match_Number]],Dyno_Data[RecordType],"Activities",Dyno_Data[DelDest],"AllyW", Dyno_Data[DelMiss],"0")</f>
        <v>0</v>
      </c>
      <c r="AR232" t="str">
        <f>_xlfn.XLOOKUP(SUM(MID(TBA_Matches_All[[#This Row],[Team]],4,5),(TBA_Matches_All[[#This Row],[Match_Number]]/100)),Dyno_EndMatch[teammat],Dyno_EndMatch[RobotSta],"_",0,1)</f>
        <v>Podm</v>
      </c>
      <c r="AS232">
        <f>SUMIFS(Dyno_Data[AcqDis], Dyno_Data[Team],TBA_Matches_All[[#This Row],[Team]],Dyno_Data[Match],TBA_Matches_All[[#This Row],[Match_Number]],Dyno_Data[RecordType],"Activities", Dyno_Data[AcqCenter],1,Dyno_Data[Mode],"Auto")</f>
        <v>0</v>
      </c>
      <c r="AT232">
        <f>SUMIFS(Dyno_Data[AcqDis], Dyno_Data[Team],TBA_Matches_All[[#This Row],[Team]],Dyno_Data[Match],TBA_Matches_All[[#This Row],[Match_Number]],Dyno_Data[RecordType],"Activities", Dyno_Data[AcqCenter],2,Dyno_Data[Mode],"Auto")</f>
        <v>0</v>
      </c>
      <c r="AU232">
        <f>SUMIFS(Dyno_Data[AcqDis], Dyno_Data[Team],TBA_Matches_All[[#This Row],[Team]],Dyno_Data[Match],TBA_Matches_All[[#This Row],[Match_Number]],Dyno_Data[RecordType],"Activities", Dyno_Data[AcqCenter],3,Dyno_Data[Mode],"Auto")</f>
        <v>0</v>
      </c>
      <c r="AV232">
        <f>SUMIFS(Dyno_Data[AcqDis], Dyno_Data[Team],TBA_Matches_All[[#This Row],[Team]],Dyno_Data[Match],TBA_Matches_All[[#This Row],[Match_Number]],Dyno_Data[RecordType],"Activities", Dyno_Data[AcqCenter],4,Dyno_Data[Mode],"Auto")</f>
        <v>0</v>
      </c>
      <c r="AW232">
        <f>SUMIFS(Dyno_Data[AcqDis], Dyno_Data[Team],TBA_Matches_All[[#This Row],[Team]],Dyno_Data[Match],TBA_Matches_All[[#This Row],[Match_Number]],Dyno_Data[RecordType],"Activities", Dyno_Data[AcqCenter],5,Dyno_Data[Mode],"Auto")</f>
        <v>0</v>
      </c>
      <c r="AX232">
        <f>SUMIFS(Dyno_Data[DelMiss], Dyno_Data[Team],TBA_Matches_All[[#This Row],[Team]],Dyno_Data[Match],TBA_Matches_All[[#This Row],[Match_Number]],Dyno_Data[RecordType],"Activities", Dyno_Data[DelDest],"Amp")</f>
        <v>0</v>
      </c>
      <c r="AY232" s="60">
        <f>IFERROR(SUM((TBA_Matches_All[[#This Row],[AampT]]+TBA_Matches_All[[#This Row],[TampT]])/(TBA_Matches_All[[#This Row],[AampT]]+TBA_Matches_All[[#This Row],[TampT]]+TBA_Matches_All[[#This Row],[ampM]])),0)</f>
        <v>0</v>
      </c>
      <c r="AZ232">
        <f>SUMIFS(Dyno_Data[DelMiss], Dyno_Data[Team],TBA_Matches_All[[#This Row],[Team]],Dyno_Data[Match],TBA_Matches_All[[#This Row],[Match_Number]],Dyno_Data[RecordType],"Activities", Dyno_Data[DelDest],"Spkr")</f>
        <v>1</v>
      </c>
      <c r="BA232" s="60">
        <f>IFERROR(SUM((TBA_Matches_All[[#This Row],[AspkrT]]+TBA_Matches_All[[#This Row],[TspkrT]])/(TBA_Matches_All[[#This Row],[AspkrT]]+TBA_Matches_All[[#This Row],[TspkrT]]+TBA_Matches_All[[#This Row],[spkrM]])),0)</f>
        <v>0</v>
      </c>
      <c r="BB232">
        <f>SUMIFS(Dyno_Data[DelMiss], Dyno_Data[Team],TBA_Matches_All[[#This Row],[Team]],Dyno_Data[Match],TBA_Matches_All[[#This Row],[Match_Number]],Dyno_Data[RecordType],"Activities", Dyno_Data[DelDest],"Trap")</f>
        <v>0</v>
      </c>
      <c r="BC232" s="60">
        <f>IFERROR((TBA_Matches_All[[#This Row],[AtrapT]]+TBA_Matches_All[[#This Row],[TtrapT]])/(TBA_Matches_All[[#This Row],[AtrapT]]+TBA_Matches_All[[#This Row],[TtrapT]]+TBA_Matches_All[[#This Row],[trapM]]),0)</f>
        <v>0</v>
      </c>
      <c r="BD232">
        <f>COUNTIFS(Dyno_Data[Team],TBA_Matches_All[[#This Row],[Team]],Dyno_Data[Match],TBA_Matches_All[[#This Row],[Match_Number]],Dyno_Data[RecordType],"Activities",Dyno_Data[DelDest],"Neut", Dyno_Data[DelMiss],1)</f>
        <v>0</v>
      </c>
      <c r="BE232" s="60">
        <f>IFERROR(SUM((TBA_Matches_All[[#This Row],[NeutFlrT]])/(TBA_Matches_All[[#This Row],[NeutFlrT]]+TBA_Matches_All[[#This Row],[NZflM]])),0)</f>
        <v>0</v>
      </c>
      <c r="BF232">
        <f>COUNTIFS(Dyno_Data[Team],TBA_Matches_All[[#This Row],[Team]],Dyno_Data[Match],TBA_Matches_All[[#This Row],[Match_Number]],Dyno_Data[RecordType],"Activities",Dyno_Data[DelDest],"AllyW", Dyno_Data[DelMiss],1)</f>
        <v>0</v>
      </c>
      <c r="BG232" s="60">
        <f>IFERROR(SUM((TBA_Matches_All[[#This Row],[AllyWFlrT]])/(TBA_Matches_All[[#This Row],[AllyWFlrT]]+TBA_Matches_All[[#This Row],[AZflM]])),0)</f>
        <v>0</v>
      </c>
      <c r="BH232">
        <f>COUNTIFS(Dyno_Data[Team],TBA_Matches_All[[#This Row],[Team]],Dyno_Data[Match],TBA_Matches_All[[#This Row],[Match_Number]],Dyno_Data[RecordType],"Activities",Dyno_Data[DelOrig],"OppW", Dyno_Data[DelMiss],"0")</f>
        <v>0</v>
      </c>
      <c r="BI232">
        <f>COUNTIFS(Dyno_Data[Team],TBA_Matches_All[[#This Row],[Team]],Dyno_Data[Match],TBA_Matches_All[[#This Row],[Match_Number]],Dyno_Data[RecordType],"Activities",Dyno_Data[DelOrig],"OppW", Dyno_Data[DelMiss],"1")</f>
        <v>0</v>
      </c>
      <c r="BJ232" s="60">
        <f>IFERROR(SUM((TBA_Matches_All[[#This Row],[OZflrT]])/(TBA_Matches_All[[#This Row],[OZflrT]]+TBA_Matches_All[[#This Row],[OZflrM]])),0)</f>
        <v>0</v>
      </c>
      <c r="BK232">
        <f>COUNTIFS(Dyno_Data[Team],TBA_Matches_All[[#This Row],[Team]],Dyno_Data[Match],TBA_Matches_All[[#This Row],[Match_Number]],Dyno_Data[RecordType],"Activities",Dyno_Data[DelOrig],"Neut", Dyno_Data[DelMiss],"0")</f>
        <v>0</v>
      </c>
      <c r="BL232">
        <f>COUNTIFS(Dyno_Data[Team],TBA_Matches_All[[#This Row],[Team]],Dyno_Data[Match],TBA_Matches_All[[#This Row],[Match_Number]],Dyno_Data[RecordType],"Activities",Dyno_Data[DelOrig],"Neut", Dyno_Data[DelMiss],"1")</f>
        <v>0</v>
      </c>
      <c r="BM232" s="60">
        <f>IFERROR(SUM((TBA_Matches_All[[#This Row],[NZflrT]])/(TBA_Matches_All[[#This Row],[NZflrT]]+TBA_Matches_All[[#This Row],[NZflrM]])),0)</f>
        <v>0</v>
      </c>
      <c r="BN232">
        <f>COUNTIFS(Dyno_Data[Team],TBA_Matches_All[[#This Row],[Team]],Dyno_Data[Match],TBA_Matches_All[[#This Row],[Match_Number]],Dyno_Data[RecordType],"Activities",Dyno_Data[DelOrig],"AllyW", Dyno_Data[DelMiss],"0")</f>
        <v>0</v>
      </c>
      <c r="BO232">
        <f>COUNTIFS(Dyno_Data[Team],TBA_Matches_All[[#This Row],[Team]],Dyno_Data[Match],TBA_Matches_All[[#This Row],[Match_Number]],Dyno_Data[RecordType],"Activities",Dyno_Data[DelOrig],"AllyW", Dyno_Data[DelMiss],"1")</f>
        <v>1</v>
      </c>
      <c r="BP232" s="60">
        <f>IFERROR(SUM((TBA_Matches_All[[#This Row],[AZflrT]])/(TBA_Matches_All[[#This Row],[AZflrT]]+TBA_Matches_All[[#This Row],[AZflrM]])),0)</f>
        <v>0</v>
      </c>
      <c r="BQ232">
        <f>COUNTIFS(Dyno_Data[Team],TBA_Matches_All[[#This Row],[Team]],Dyno_Data[Match],TBA_Matches_All[[#This Row],[Match_Number]],Dyno_Data[RecordType],"Activities",Dyno_Data[DelOrig],"SubW", Dyno_Data[DelMiss],"0")</f>
        <v>0</v>
      </c>
      <c r="BR232">
        <f>COUNTIFS(Dyno_Data[Team],TBA_Matches_All[[#This Row],[Team]],Dyno_Data[Match],TBA_Matches_All[[#This Row],[Match_Number]],Dyno_Data[RecordType],"Activities",Dyno_Data[DelOrig],"SubW", Dyno_Data[DelMiss],"1")</f>
        <v>0</v>
      </c>
      <c r="BS232" s="60">
        <f>IFERROR(SUM((TBA_Matches_All[[#This Row],[SubwT]])/(TBA_Matches_All[[#This Row],[SubwT]]+TBA_Matches_All[[#This Row],[SubwM]])),0)</f>
        <v>0</v>
      </c>
      <c r="BT232">
        <f>COUNTIFS(Dyno_Data[Team],TBA_Matches_All[[#This Row],[Team]],Dyno_Data[Match],TBA_Matches_All[[#This Row],[Match_Number]],Dyno_Data[RecordType],"Activities", Dyno_Data[AcqLoc],"OppWing")</f>
        <v>0</v>
      </c>
      <c r="BU232">
        <f>COUNTIFS(Dyno_Data[Team],TBA_Matches_All[[#This Row],[Team]],Dyno_Data[Match],TBA_Matches_All[[#This Row],[Match_Number]],Dyno_Data[RecordType],"Activities", Dyno_Data[AcqLoc],"Neutral")</f>
        <v>0</v>
      </c>
      <c r="BV232">
        <f>COUNTIFS(Dyno_Data[Team],TBA_Matches_All[[#This Row],[Team]],Dyno_Data[Match],TBA_Matches_All[[#This Row],[Match_Number]],Dyno_Data[RecordType],"Activities", Dyno_Data[AcqLoc],"AllyWing")</f>
        <v>0</v>
      </c>
      <c r="BW232">
        <f>COUNTIFS(Dyno_Data[Team],TBA_Matches_All[[#This Row],[Team]],Dyno_Data[Match],TBA_Matches_All[[#This Row],[Match_Number]],Dyno_Data[RecordType],"Activities", Dyno_Data[AcqLoc],"Source")</f>
        <v>0</v>
      </c>
      <c r="BX232">
        <f>SUMIFS(Dyno_Data[AcqDrp], Dyno_Data[Team],TBA_Matches_All[[#This Row],[Team]],Dyno_Data[Match],TBA_Matches_All[[#This Row],[Match_Number]],Dyno_Data[RecordType],"Activities", Dyno_Data[AcqLoc],"Source")</f>
        <v>0</v>
      </c>
      <c r="BY232">
        <f>SUMIFS(Dyno_Data[OZTime], Dyno_Data[Team],TBA_Matches_All[[#This Row],[Team]],Dyno_Data[Match],TBA_Matches_All[[#This Row],[Match_Number]],Dyno_Data[RecordType],"EndMatch")</f>
        <v>0</v>
      </c>
      <c r="BZ232">
        <f>SUMIFS(Dyno_Data[NZTime], Dyno_Data[Team],TBA_Matches_All[[#This Row],[Team]],Dyno_Data[Match],TBA_Matches_All[[#This Row],[Match_Number]],Dyno_Data[RecordType],"EndMatch")</f>
        <v>39.6624123</v>
      </c>
      <c r="CA232">
        <f>SUMIFS(Dyno_Data[AZTime], Dyno_Data[Team],TBA_Matches_All[[#This Row],[Team]],Dyno_Data[Match],TBA_Matches_All[[#This Row],[Match_Number]],Dyno_Data[RecordType],"EndMatch")</f>
        <v>75.314975899999993</v>
      </c>
      <c r="CB232">
        <f>SUMIFS(Dyno_Data[ClimbT], Dyno_Data[Team],TBA_Matches_All[[#This Row],[Team]],Dyno_Data[Match],TBA_Matches_All[[#This Row],[Match_Number]],Dyno_Data[RecordType],"EndMatch")</f>
        <v>19.830712299999998</v>
      </c>
      <c r="CC232" t="str">
        <f>_xlfn.XLOOKUP(SUM(MID(TBA_Matches_All[[#This Row],[Team]],4,5),(TBA_Matches_All[[#This Row],[Match_Number]]/100)),Dyno_EndMatch[teammat],Dyno_EndMatch[StageStat],"_",0,1)</f>
        <v>Park</v>
      </c>
      <c r="CD232" t="str">
        <f>_xlfn.XLOOKUP(TBA_Matches_All[[#This Row],[teammat]],Dyno_EndMatch[teammat],Dyno_EndMatch[StageAtt],"_",0,1)</f>
        <v>-1</v>
      </c>
      <c r="CE232" t="str">
        <f>_xlfn.XLOOKUP(TBA_Matches_All[[#This Row],[teammat]],Dyno_EndMatch[teammat],Dyno_EndMatch[StageLoc],"_",0,1)</f>
        <v>A</v>
      </c>
      <c r="CF232">
        <f>SUMIFS(Dyno_Data[Harmony], Dyno_Data[Team],TBA_Matches_All[[#This Row],[Team]],Dyno_Data[Match],TBA_Matches_All[[#This Row],[Match_Number]],Dyno_Data[RecordType],"EndMatch", Dyno_Data[StageStat],"On",Dyno_Data[Harmony],"&lt;&gt;9")</f>
        <v>0</v>
      </c>
      <c r="CG232">
        <f>SUMIFS(Dyno_Data[Spotlit], Dyno_Data[Team],TBA_Matches_All[[#This Row],[Team]],Dyno_Data[Match],TBA_Matches_All[[#This Row],[Match_Number]],Dyno_Data[RecordType],"EndMatch", Dyno_Data[StageStat],"On",Dyno_Data[Spotlit],"&lt;&gt;9")</f>
        <v>0</v>
      </c>
      <c r="CH232" t="str">
        <f>_xlfn.XLOOKUP(TBA_Matches_All[[#This Row],[teammat]],Dyno_EndMatch[teammat],Dyno_EndMatch[Strategy],"_",0,1)</f>
        <v>Celebity</v>
      </c>
      <c r="CI232">
        <f>SUMIFS(Dyno_Data[Defense], Dyno_Data[Team],TBA_Matches_All[[#This Row],[Team]],Dyno_Data[Match],TBA_Matches_All[[#This Row],[Match_Number]],Dyno_Data[RecordType],"EndMatch",Dyno_Data[Defense],"&lt;&gt;9")</f>
        <v>0</v>
      </c>
      <c r="CJ232">
        <f>SUMIFS(Dyno_Data[Avoidance], Dyno_Data[Team],TBA_Matches_All[[#This Row],[Team]],Dyno_Data[Match],TBA_Matches_All[[#This Row],[Match_Number]],Dyno_Data[RecordType],"EndMatch",Dyno_Data[Avoidance],"&lt;&gt;9")</f>
        <v>3</v>
      </c>
      <c r="CK232" s="82">
        <f>COUNTIF($H$2:TBA_Matches_All[[#This Row],[Team]],TBA_Matches_All[[#This Row],[Team]])</f>
        <v>5</v>
      </c>
      <c r="CL232" s="111">
        <f>SUM(MID(TBA_Matches_All[[#This Row],[Team]],4,5)+TBA_Matches_All[[#This Row],[Match_Number]]/100)</f>
        <v>333.39</v>
      </c>
      <c r="CM232">
        <f>SUM((TBA_Matches_All[[#This Row],[Leave]]*2)+(TBA_Matches_All[[#This Row],[AampT]]*2)+(TBA_Matches_All[[#This Row],[AspkrT]]*5)+(TBA_Matches_All[[#This Row],[AtrapT]]*5))</f>
        <v>2</v>
      </c>
      <c r="CN232" s="59">
        <f>IFERROR(SUM(TBA_Matches_All[[#This Row],[AptsT]]/TBA_Matches_All[[#This Row],[AutoPts]]),0)</f>
        <v>0.22222222222222221</v>
      </c>
      <c r="CO232" s="59">
        <f>IFERROR(SUM(TBA_Matches_All[[#This Row],[AampT]]+TBA_Matches_All[[#This Row],[AspkrT]]+TBA_Matches_All[[#This Row],[AtrapT]]/TBA_Matches_All[[#This Row],[Aamp]]+TBA_Matches_All[[#This Row],[Aspkr]]+TBA_Matches_All[[#This Row],[AtrapT]]),0)</f>
        <v>0</v>
      </c>
      <c r="CP232" s="59">
        <f>IFERROR(SUM(TBA_Matches_All[[#This Row],[TampT]]/TBA_Matches_All[[#This Row],[Tamp]]),0)</f>
        <v>0</v>
      </c>
      <c r="CQ232" s="59">
        <f>IFERROR(SUM(TBA_Matches_All[[#This Row],[TspkrT]]/TBA_Matches_All[[#This Row],[Tspkr]]),0)</f>
        <v>0</v>
      </c>
      <c r="CR232">
        <f>SUM(TBA_Matches_All[[#This Row],[TspkrPts]]*TBA_Matches_All[[#This Row],[TspkrP]])</f>
        <v>0</v>
      </c>
      <c r="CS232" s="59">
        <f>IFERROR(SUM(TBA_Matches_All[[#This Row],[TtrapT]]/TBA_Matches_All[[#This Row],[Trap]]),0)</f>
        <v>0</v>
      </c>
      <c r="CT232" s="59">
        <f>IFERROR(SUM(TBA_Matches_All[[#This Row],[TotNotesT]]/TBA_Matches_All[[#This Row],[TotNotes]]),0)</f>
        <v>0</v>
      </c>
      <c r="CU232" s="66">
        <f>SUM((TBA_Matches_All[[#This Row],[AampT]]*2)+(TBA_Matches_All[[#This Row],[AspkrT]]*5)+(TBA_Matches_All[[#This Row],[AtrapT]]*5)+(TBA_Matches_All[[#This Row],[TampT]]*1)+(TBA_Matches_All[[#This Row],[TspkrptsC]]))</f>
        <v>0</v>
      </c>
      <c r="CV232" s="59">
        <f>IFERROR(TBA_Matches_All[[#This Row],[noteptsT]]/TBA_Matches_All[[#This Row],[NotePts]],0)</f>
        <v>0</v>
      </c>
      <c r="CW232">
        <f>SUM(IF(TBA_Matches_All[[#This Row],[stageStat]]="On",3,0),IF(TBA_Matches_All[[#This Row],[stageStat]]="Park",1,0),SUMIFS(TBA_Matches_All[[#This Row],[Spotlit]],TBA_Matches_All[[#This Row],[stageStat]],"On"),SUMIFS(TBA_Matches_All[[#This Row],[Harmony]],TBA_Matches_All[[#This Row],[stageStat]],"On"))</f>
        <v>1</v>
      </c>
      <c r="CX232" s="59">
        <f>IFERROR(TBA_Matches_All[[#This Row],[stageptsT]]/TBA_Matches_All[[#This Row],[StagePts]],0)</f>
        <v>0.25</v>
      </c>
      <c r="CY232">
        <f>SUM((TBA_Matches_All[[#This Row],[AptsT]]+TBA_Matches_All[[#This Row],[TampT]]+TBA_Matches_All[[#This Row],[TspkrptsC]]+(TBA_Matches_All[[#This Row],[TtrapT]]*5)+TBA_Matches_All[[#This Row],[stageptsT]]))</f>
        <v>3</v>
      </c>
      <c r="CZ232" s="59">
        <f>IFERROR(SUM(TBA_Matches_All[[#This Row],[TotptsC]]/TBA_Matches_All[[#This Row],[Score]]),0)</f>
        <v>5.1724137931034482E-2</v>
      </c>
      <c r="DA23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6.2666666666666675</v>
      </c>
      <c r="DB232" s="74">
        <f>SUMIFS(TBA_Matches_All[AveTeamTNoteDels],TBA_Matches_All[Match_Number],TBA_Matches_All[[#This Row],[Match_Number]],TBA_Matches_All[Alliance],"&lt;&gt;"&amp;TBA_Matches_All[[#This Row],[Alliance]],TBA_Matches_All[Scouted],"&gt;0")</f>
        <v>8.7333333333333343</v>
      </c>
      <c r="DC232" s="74">
        <f>(TBA_Matches_All[[#This Row],[TampT]]+TBA_Matches_All[[#This Row],[TspkrptsC]])-TBA_Matches_All[[#This Row],[AveTeamTNoteDels]]</f>
        <v>-6.2666666666666675</v>
      </c>
      <c r="DD232" s="74">
        <f>SUMIFS(TBA_Matches_All[AveTeamTNoteDels],TBA_Matches_All[Match_Number],TBA_Matches_All[[#This Row],[Match_Number]],TBA_Matches_All[Alliance],"&lt;&gt;"&amp;TBA_Matches_All[[#This Row],[Alliance]])-TBA_Matches_All[[#This Row],[AveOppTNoteDels]]</f>
        <v>0</v>
      </c>
    </row>
    <row r="233" spans="1:108" x14ac:dyDescent="0.3">
      <c r="A233" t="s">
        <v>1042</v>
      </c>
      <c r="B233" t="s">
        <v>489</v>
      </c>
      <c r="C233" t="s">
        <v>1348</v>
      </c>
      <c r="D233">
        <v>39</v>
      </c>
      <c r="E233" t="s">
        <v>1420</v>
      </c>
      <c r="F233" t="s">
        <v>1421</v>
      </c>
      <c r="G233" t="s">
        <v>164</v>
      </c>
      <c r="H233" t="s">
        <v>369</v>
      </c>
      <c r="I233" t="b">
        <v>0</v>
      </c>
      <c r="J233">
        <v>33</v>
      </c>
      <c r="K233">
        <v>0</v>
      </c>
      <c r="L233">
        <v>0</v>
      </c>
      <c r="M233">
        <v>27</v>
      </c>
      <c r="N233">
        <v>0</v>
      </c>
      <c r="O233">
        <v>3</v>
      </c>
      <c r="P233">
        <v>15</v>
      </c>
      <c r="Q233">
        <v>19</v>
      </c>
      <c r="R233">
        <v>1</v>
      </c>
      <c r="S233">
        <v>0</v>
      </c>
      <c r="T233">
        <v>5</v>
      </c>
      <c r="U233">
        <v>0</v>
      </c>
      <c r="V233">
        <v>10</v>
      </c>
      <c r="W233">
        <v>5</v>
      </c>
      <c r="X233">
        <v>10</v>
      </c>
      <c r="Y233">
        <v>11</v>
      </c>
      <c r="Z233">
        <v>0</v>
      </c>
      <c r="AA233">
        <v>0</v>
      </c>
      <c r="AB233">
        <v>9</v>
      </c>
      <c r="AC233">
        <v>26</v>
      </c>
      <c r="AD233">
        <v>3</v>
      </c>
      <c r="AE233">
        <f>IFERROR(6/(COUNTIF(Dyno_EndMatch[Match],TBA_Matches_All[[#This Row],[Match_Number]])),0)</f>
        <v>1</v>
      </c>
      <c r="AF233">
        <f>COUNTIFS(Dyno_Data[Team],TBA_Matches_All[[#This Row],[Team]],Dyno_Data[Match],TBA_Matches_All[[#This Row],[Match_Number]],Dyno_Data[RecordType],"EndMatch",Dyno_Data[HPAmp],"Y")</f>
        <v>0</v>
      </c>
      <c r="AG233">
        <f>SUMIFS(Dyno_Data[Mics], Dyno_Data[Team],TBA_Matches_All[[#This Row],[Team]],Dyno_Data[Match],TBA_Matches_All[[#This Row],[Match_Number]],Dyno_Data[RecordType],"EndMatch",Dyno_Data[HPAmp],"Y")</f>
        <v>0</v>
      </c>
      <c r="AH233">
        <f>SUMIFS(Dyno_Data[Leave], Dyno_Data[Team],TBA_Matches_All[[#This Row],[Team]],Dyno_Data[Match],TBA_Matches_All[[#This Row],[Match_Number]],Dyno_Data[RecordType],"EndAuto")</f>
        <v>1</v>
      </c>
      <c r="AI233">
        <f>COUNTIFS(Dyno_Data[Team],TBA_Matches_All[[#This Row],[Team]],Dyno_Data[Match],TBA_Matches_All[[#This Row],[Match_Number]],Dyno_Data[RecordType],"Activities",Dyno_Data[DelDest],"Amp", Dyno_Data[DelMiss],"0", Dyno_Data[Mode],"Auto")</f>
        <v>0</v>
      </c>
      <c r="AJ233">
        <f>COUNTIFS(Dyno_Data[Team],TBA_Matches_All[[#This Row],[Team]],Dyno_Data[Match],TBA_Matches_All[[#This Row],[Match_Number]],Dyno_Data[RecordType],"Activities",Dyno_Data[DelDest],"Spkr", Dyno_Data[DelMiss],"0", Dyno_Data[Mode],"Auto")</f>
        <v>0</v>
      </c>
      <c r="AK233">
        <f>COUNTIFS(Dyno_Data[Team],TBA_Matches_All[[#This Row],[Team]],Dyno_Data[Match],TBA_Matches_All[[#This Row],[Match_Number]],Dyno_Data[RecordType],"Activities",Dyno_Data[DelDest],"Trap", Dyno_Data[DelMiss],"0", Dyno_Data[Mode],"Auto")</f>
        <v>0</v>
      </c>
      <c r="AL233">
        <f>COUNTIFS(Dyno_Data[Team],TBA_Matches_All[[#This Row],[Team]],Dyno_Data[Match],TBA_Matches_All[[#This Row],[Match_Number]],Dyno_Data[RecordType],"Activities",Dyno_Data[DelDest],"Amp", Dyno_Data[DelMiss],"0", Dyno_Data[Mode],"Teleop")</f>
        <v>0</v>
      </c>
      <c r="AM233">
        <f>COUNTIFS(Dyno_Data[Team],TBA_Matches_All[[#This Row],[Team]],Dyno_Data[Match],TBA_Matches_All[[#This Row],[Match_Number]],Dyno_Data[RecordType],"Activities",Dyno_Data[DelDest],"Spkr", Dyno_Data[DelMiss],"0", Dyno_Data[Mode],"Teleop")</f>
        <v>0</v>
      </c>
      <c r="AN233">
        <f>COUNTIFS(Dyno_Data[Team],TBA_Matches_All[[#This Row],[Team]],Dyno_Data[Match],TBA_Matches_All[[#This Row],[Match_Number]],Dyno_Data[RecordType],"Activities",Dyno_Data[DelDest],"Trap", Dyno_Data[DelMiss],"0", Dyno_Data[Mode],"&lt;&gt;Auto")</f>
        <v>0</v>
      </c>
      <c r="AO233">
        <f>SUM(TBA_Matches_All[[#This Row],[AampT]]+TBA_Matches_All[[#This Row],[AspkrT]]+TBA_Matches_All[[#This Row],[AtrapT]]+TBA_Matches_All[[#This Row],[TampT]]+TBA_Matches_All[[#This Row],[TspkrT]]+TBA_Matches_All[[#This Row],[TtrapT]])</f>
        <v>0</v>
      </c>
      <c r="AP233">
        <f>COUNTIFS(Dyno_Data[Team],TBA_Matches_All[[#This Row],[Team]],Dyno_Data[Match],TBA_Matches_All[[#This Row],[Match_Number]],Dyno_Data[RecordType],"Activities",Dyno_Data[DelDest],"Neut", Dyno_Data[DelMiss],"0")</f>
        <v>0</v>
      </c>
      <c r="AQ233">
        <f>COUNTIFS(Dyno_Data[Team],TBA_Matches_All[[#This Row],[Team]],Dyno_Data[Match],TBA_Matches_All[[#This Row],[Match_Number]],Dyno_Data[RecordType],"Activities",Dyno_Data[DelDest],"AllyW", Dyno_Data[DelMiss],"0")</f>
        <v>0</v>
      </c>
      <c r="AR233" t="str">
        <f>_xlfn.XLOOKUP(SUM(MID(TBA_Matches_All[[#This Row],[Team]],4,5),(TBA_Matches_All[[#This Row],[Match_Number]]/100)),Dyno_EndMatch[teammat],Dyno_EndMatch[RobotSta],"_",0,1)</f>
        <v>OppS</v>
      </c>
      <c r="AS233">
        <f>SUMIFS(Dyno_Data[AcqDis], Dyno_Data[Team],TBA_Matches_All[[#This Row],[Team]],Dyno_Data[Match],TBA_Matches_All[[#This Row],[Match_Number]],Dyno_Data[RecordType],"Activities", Dyno_Data[AcqCenter],1,Dyno_Data[Mode],"Auto")</f>
        <v>0</v>
      </c>
      <c r="AT233">
        <f>SUMIFS(Dyno_Data[AcqDis], Dyno_Data[Team],TBA_Matches_All[[#This Row],[Team]],Dyno_Data[Match],TBA_Matches_All[[#This Row],[Match_Number]],Dyno_Data[RecordType],"Activities", Dyno_Data[AcqCenter],2,Dyno_Data[Mode],"Auto")</f>
        <v>0</v>
      </c>
      <c r="AU233">
        <f>SUMIFS(Dyno_Data[AcqDis], Dyno_Data[Team],TBA_Matches_All[[#This Row],[Team]],Dyno_Data[Match],TBA_Matches_All[[#This Row],[Match_Number]],Dyno_Data[RecordType],"Activities", Dyno_Data[AcqCenter],3,Dyno_Data[Mode],"Auto")</f>
        <v>0</v>
      </c>
      <c r="AV233">
        <f>SUMIFS(Dyno_Data[AcqDis], Dyno_Data[Team],TBA_Matches_All[[#This Row],[Team]],Dyno_Data[Match],TBA_Matches_All[[#This Row],[Match_Number]],Dyno_Data[RecordType],"Activities", Dyno_Data[AcqCenter],4,Dyno_Data[Mode],"Auto")</f>
        <v>0</v>
      </c>
      <c r="AW233">
        <f>SUMIFS(Dyno_Data[AcqDis], Dyno_Data[Team],TBA_Matches_All[[#This Row],[Team]],Dyno_Data[Match],TBA_Matches_All[[#This Row],[Match_Number]],Dyno_Data[RecordType],"Activities", Dyno_Data[AcqCenter],5,Dyno_Data[Mode],"Auto")</f>
        <v>0</v>
      </c>
      <c r="AX233">
        <f>SUMIFS(Dyno_Data[DelMiss], Dyno_Data[Team],TBA_Matches_All[[#This Row],[Team]],Dyno_Data[Match],TBA_Matches_All[[#This Row],[Match_Number]],Dyno_Data[RecordType],"Activities", Dyno_Data[DelDest],"Amp")</f>
        <v>0</v>
      </c>
      <c r="AY233" s="60">
        <f>IFERROR(SUM((TBA_Matches_All[[#This Row],[AampT]]+TBA_Matches_All[[#This Row],[TampT]])/(TBA_Matches_All[[#This Row],[AampT]]+TBA_Matches_All[[#This Row],[TampT]]+TBA_Matches_All[[#This Row],[ampM]])),0)</f>
        <v>0</v>
      </c>
      <c r="AZ233">
        <f>SUMIFS(Dyno_Data[DelMiss], Dyno_Data[Team],TBA_Matches_All[[#This Row],[Team]],Dyno_Data[Match],TBA_Matches_All[[#This Row],[Match_Number]],Dyno_Data[RecordType],"Activities", Dyno_Data[DelDest],"Spkr")</f>
        <v>0</v>
      </c>
      <c r="BA233" s="60">
        <f>IFERROR(SUM((TBA_Matches_All[[#This Row],[AspkrT]]+TBA_Matches_All[[#This Row],[TspkrT]])/(TBA_Matches_All[[#This Row],[AspkrT]]+TBA_Matches_All[[#This Row],[TspkrT]]+TBA_Matches_All[[#This Row],[spkrM]])),0)</f>
        <v>0</v>
      </c>
      <c r="BB233">
        <f>SUMIFS(Dyno_Data[DelMiss], Dyno_Data[Team],TBA_Matches_All[[#This Row],[Team]],Dyno_Data[Match],TBA_Matches_All[[#This Row],[Match_Number]],Dyno_Data[RecordType],"Activities", Dyno_Data[DelDest],"Trap")</f>
        <v>0</v>
      </c>
      <c r="BC233" s="60">
        <f>IFERROR((TBA_Matches_All[[#This Row],[AtrapT]]+TBA_Matches_All[[#This Row],[TtrapT]])/(TBA_Matches_All[[#This Row],[AtrapT]]+TBA_Matches_All[[#This Row],[TtrapT]]+TBA_Matches_All[[#This Row],[trapM]]),0)</f>
        <v>0</v>
      </c>
      <c r="BD233">
        <f>COUNTIFS(Dyno_Data[Team],TBA_Matches_All[[#This Row],[Team]],Dyno_Data[Match],TBA_Matches_All[[#This Row],[Match_Number]],Dyno_Data[RecordType],"Activities",Dyno_Data[DelDest],"Neut", Dyno_Data[DelMiss],1)</f>
        <v>0</v>
      </c>
      <c r="BE233" s="60">
        <f>IFERROR(SUM((TBA_Matches_All[[#This Row],[NeutFlrT]])/(TBA_Matches_All[[#This Row],[NeutFlrT]]+TBA_Matches_All[[#This Row],[NZflM]])),0)</f>
        <v>0</v>
      </c>
      <c r="BF233">
        <f>COUNTIFS(Dyno_Data[Team],TBA_Matches_All[[#This Row],[Team]],Dyno_Data[Match],TBA_Matches_All[[#This Row],[Match_Number]],Dyno_Data[RecordType],"Activities",Dyno_Data[DelDest],"AllyW", Dyno_Data[DelMiss],1)</f>
        <v>0</v>
      </c>
      <c r="BG233" s="60">
        <f>IFERROR(SUM((TBA_Matches_All[[#This Row],[AllyWFlrT]])/(TBA_Matches_All[[#This Row],[AllyWFlrT]]+TBA_Matches_All[[#This Row],[AZflM]])),0)</f>
        <v>0</v>
      </c>
      <c r="BH233">
        <f>COUNTIFS(Dyno_Data[Team],TBA_Matches_All[[#This Row],[Team]],Dyno_Data[Match],TBA_Matches_All[[#This Row],[Match_Number]],Dyno_Data[RecordType],"Activities",Dyno_Data[DelOrig],"OppW", Dyno_Data[DelMiss],"0")</f>
        <v>0</v>
      </c>
      <c r="BI233">
        <f>COUNTIFS(Dyno_Data[Team],TBA_Matches_All[[#This Row],[Team]],Dyno_Data[Match],TBA_Matches_All[[#This Row],[Match_Number]],Dyno_Data[RecordType],"Activities",Dyno_Data[DelOrig],"OppW", Dyno_Data[DelMiss],"1")</f>
        <v>0</v>
      </c>
      <c r="BJ233" s="60">
        <f>IFERROR(SUM((TBA_Matches_All[[#This Row],[OZflrT]])/(TBA_Matches_All[[#This Row],[OZflrT]]+TBA_Matches_All[[#This Row],[OZflrM]])),0)</f>
        <v>0</v>
      </c>
      <c r="BK233">
        <f>COUNTIFS(Dyno_Data[Team],TBA_Matches_All[[#This Row],[Team]],Dyno_Data[Match],TBA_Matches_All[[#This Row],[Match_Number]],Dyno_Data[RecordType],"Activities",Dyno_Data[DelOrig],"Neut", Dyno_Data[DelMiss],"0")</f>
        <v>0</v>
      </c>
      <c r="BL233">
        <f>COUNTIFS(Dyno_Data[Team],TBA_Matches_All[[#This Row],[Team]],Dyno_Data[Match],TBA_Matches_All[[#This Row],[Match_Number]],Dyno_Data[RecordType],"Activities",Dyno_Data[DelOrig],"Neut", Dyno_Data[DelMiss],"1")</f>
        <v>0</v>
      </c>
      <c r="BM233" s="60">
        <f>IFERROR(SUM((TBA_Matches_All[[#This Row],[NZflrT]])/(TBA_Matches_All[[#This Row],[NZflrT]]+TBA_Matches_All[[#This Row],[NZflrM]])),0)</f>
        <v>0</v>
      </c>
      <c r="BN233">
        <f>COUNTIFS(Dyno_Data[Team],TBA_Matches_All[[#This Row],[Team]],Dyno_Data[Match],TBA_Matches_All[[#This Row],[Match_Number]],Dyno_Data[RecordType],"Activities",Dyno_Data[DelOrig],"AllyW", Dyno_Data[DelMiss],"0")</f>
        <v>0</v>
      </c>
      <c r="BO233">
        <f>COUNTIFS(Dyno_Data[Team],TBA_Matches_All[[#This Row],[Team]],Dyno_Data[Match],TBA_Matches_All[[#This Row],[Match_Number]],Dyno_Data[RecordType],"Activities",Dyno_Data[DelOrig],"AllyW", Dyno_Data[DelMiss],"1")</f>
        <v>0</v>
      </c>
      <c r="BP233" s="60">
        <f>IFERROR(SUM((TBA_Matches_All[[#This Row],[AZflrT]])/(TBA_Matches_All[[#This Row],[AZflrT]]+TBA_Matches_All[[#This Row],[AZflrM]])),0)</f>
        <v>0</v>
      </c>
      <c r="BQ233">
        <f>COUNTIFS(Dyno_Data[Team],TBA_Matches_All[[#This Row],[Team]],Dyno_Data[Match],TBA_Matches_All[[#This Row],[Match_Number]],Dyno_Data[RecordType],"Activities",Dyno_Data[DelOrig],"SubW", Dyno_Data[DelMiss],"0")</f>
        <v>0</v>
      </c>
      <c r="BR233">
        <f>COUNTIFS(Dyno_Data[Team],TBA_Matches_All[[#This Row],[Team]],Dyno_Data[Match],TBA_Matches_All[[#This Row],[Match_Number]],Dyno_Data[RecordType],"Activities",Dyno_Data[DelOrig],"SubW", Dyno_Data[DelMiss],"1")</f>
        <v>0</v>
      </c>
      <c r="BS233" s="60">
        <f>IFERROR(SUM((TBA_Matches_All[[#This Row],[SubwT]])/(TBA_Matches_All[[#This Row],[SubwT]]+TBA_Matches_All[[#This Row],[SubwM]])),0)</f>
        <v>0</v>
      </c>
      <c r="BT233">
        <f>COUNTIFS(Dyno_Data[Team],TBA_Matches_All[[#This Row],[Team]],Dyno_Data[Match],TBA_Matches_All[[#This Row],[Match_Number]],Dyno_Data[RecordType],"Activities", Dyno_Data[AcqLoc],"OppWing")</f>
        <v>0</v>
      </c>
      <c r="BU233">
        <f>COUNTIFS(Dyno_Data[Team],TBA_Matches_All[[#This Row],[Team]],Dyno_Data[Match],TBA_Matches_All[[#This Row],[Match_Number]],Dyno_Data[RecordType],"Activities", Dyno_Data[AcqLoc],"Neutral")</f>
        <v>0</v>
      </c>
      <c r="BV233">
        <f>COUNTIFS(Dyno_Data[Team],TBA_Matches_All[[#This Row],[Team]],Dyno_Data[Match],TBA_Matches_All[[#This Row],[Match_Number]],Dyno_Data[RecordType],"Activities", Dyno_Data[AcqLoc],"AllyWing")</f>
        <v>0</v>
      </c>
      <c r="BW233">
        <f>COUNTIFS(Dyno_Data[Team],TBA_Matches_All[[#This Row],[Team]],Dyno_Data[Match],TBA_Matches_All[[#This Row],[Match_Number]],Dyno_Data[RecordType],"Activities", Dyno_Data[AcqLoc],"Source")</f>
        <v>0</v>
      </c>
      <c r="BX233">
        <f>SUMIFS(Dyno_Data[AcqDrp], Dyno_Data[Team],TBA_Matches_All[[#This Row],[Team]],Dyno_Data[Match],TBA_Matches_All[[#This Row],[Match_Number]],Dyno_Data[RecordType],"Activities", Dyno_Data[AcqLoc],"Source")</f>
        <v>0</v>
      </c>
      <c r="BY233">
        <f>SUMIFS(Dyno_Data[OZTime], Dyno_Data[Team],TBA_Matches_All[[#This Row],[Team]],Dyno_Data[Match],TBA_Matches_All[[#This Row],[Match_Number]],Dyno_Data[RecordType],"EndMatch")</f>
        <v>131.0921664</v>
      </c>
      <c r="BZ233">
        <f>SUMIFS(Dyno_Data[NZTime], Dyno_Data[Team],TBA_Matches_All[[#This Row],[Team]],Dyno_Data[Match],TBA_Matches_All[[#This Row],[Match_Number]],Dyno_Data[RecordType],"EndMatch")</f>
        <v>0.68098969999999992</v>
      </c>
      <c r="CA233">
        <f>SUMIFS(Dyno_Data[AZTime], Dyno_Data[Team],TBA_Matches_All[[#This Row],[Team]],Dyno_Data[Match],TBA_Matches_All[[#This Row],[Match_Number]],Dyno_Data[RecordType],"EndMatch")</f>
        <v>10.2819287</v>
      </c>
      <c r="CB233">
        <f>SUMIFS(Dyno_Data[ClimbT], Dyno_Data[Team],TBA_Matches_All[[#This Row],[Team]],Dyno_Data[Match],TBA_Matches_All[[#This Row],[Match_Number]],Dyno_Data[RecordType],"EndMatch")</f>
        <v>0</v>
      </c>
      <c r="CC233" t="str">
        <f>_xlfn.XLOOKUP(SUM(MID(TBA_Matches_All[[#This Row],[Team]],4,5),(TBA_Matches_All[[#This Row],[Match_Number]]/100)),Dyno_EndMatch[teammat],Dyno_EndMatch[StageStat],"_",0,1)</f>
        <v>Park</v>
      </c>
      <c r="CD233" t="str">
        <f>_xlfn.XLOOKUP(TBA_Matches_All[[#This Row],[teammat]],Dyno_EndMatch[teammat],Dyno_EndMatch[StageAtt],"_",0,1)</f>
        <v>0</v>
      </c>
      <c r="CE233" t="str">
        <f>_xlfn.XLOOKUP(TBA_Matches_All[[#This Row],[teammat]],Dyno_EndMatch[teammat],Dyno_EndMatch[StageLoc],"_",0,1)</f>
        <v>A</v>
      </c>
      <c r="CF233">
        <f>SUMIFS(Dyno_Data[Harmony], Dyno_Data[Team],TBA_Matches_All[[#This Row],[Team]],Dyno_Data[Match],TBA_Matches_All[[#This Row],[Match_Number]],Dyno_Data[RecordType],"EndMatch", Dyno_Data[StageStat],"On",Dyno_Data[Harmony],"&lt;&gt;9")</f>
        <v>0</v>
      </c>
      <c r="CG233">
        <f>SUMIFS(Dyno_Data[Spotlit], Dyno_Data[Team],TBA_Matches_All[[#This Row],[Team]],Dyno_Data[Match],TBA_Matches_All[[#This Row],[Match_Number]],Dyno_Data[RecordType],"EndMatch", Dyno_Data[StageStat],"On",Dyno_Data[Spotlit],"&lt;&gt;9")</f>
        <v>0</v>
      </c>
      <c r="CH233" t="str">
        <f>_xlfn.XLOOKUP(TBA_Matches_All[[#This Row],[teammat]],Dyno_EndMatch[teammat],Dyno_EndMatch[Strategy],"_",0,1)</f>
        <v>Defense</v>
      </c>
      <c r="CI233">
        <f>SUMIFS(Dyno_Data[Defense], Dyno_Data[Team],TBA_Matches_All[[#This Row],[Team]],Dyno_Data[Match],TBA_Matches_All[[#This Row],[Match_Number]],Dyno_Data[RecordType],"EndMatch",Dyno_Data[Defense],"&lt;&gt;9")</f>
        <v>3</v>
      </c>
      <c r="CJ233">
        <f>SUMIFS(Dyno_Data[Avoidance], Dyno_Data[Team],TBA_Matches_All[[#This Row],[Team]],Dyno_Data[Match],TBA_Matches_All[[#This Row],[Match_Number]],Dyno_Data[RecordType],"EndMatch",Dyno_Data[Avoidance],"&lt;&gt;9")</f>
        <v>0</v>
      </c>
      <c r="CK233" s="82">
        <f>COUNTIF($H$2:TBA_Matches_All[[#This Row],[Team]],TBA_Matches_All[[#This Row],[Team]])</f>
        <v>5</v>
      </c>
      <c r="CL233" s="111">
        <f>SUM(MID(TBA_Matches_All[[#This Row],[Team]],4,5)+TBA_Matches_All[[#This Row],[Match_Number]]/100)</f>
        <v>6463.39</v>
      </c>
      <c r="CM233">
        <f>SUM((TBA_Matches_All[[#This Row],[Leave]]*2)+(TBA_Matches_All[[#This Row],[AampT]]*2)+(TBA_Matches_All[[#This Row],[AspkrT]]*5)+(TBA_Matches_All[[#This Row],[AtrapT]]*5))</f>
        <v>2</v>
      </c>
      <c r="CN233" s="59">
        <f>IFERROR(SUM(TBA_Matches_All[[#This Row],[AptsT]]/TBA_Matches_All[[#This Row],[AutoPts]]),0)</f>
        <v>0.10526315789473684</v>
      </c>
      <c r="CO233" s="59">
        <f>IFERROR(SUM(TBA_Matches_All[[#This Row],[AampT]]+TBA_Matches_All[[#This Row],[AspkrT]]+TBA_Matches_All[[#This Row],[AtrapT]]/TBA_Matches_All[[#This Row],[Aamp]]+TBA_Matches_All[[#This Row],[Aspkr]]+TBA_Matches_All[[#This Row],[AtrapT]]),0)</f>
        <v>0</v>
      </c>
      <c r="CP233" s="59">
        <f>IFERROR(SUM(TBA_Matches_All[[#This Row],[TampT]]/TBA_Matches_All[[#This Row],[Tamp]]),0)</f>
        <v>0</v>
      </c>
      <c r="CQ233" s="59">
        <f>IFERROR(SUM(TBA_Matches_All[[#This Row],[TspkrT]]/TBA_Matches_All[[#This Row],[Tspkr]]),0)</f>
        <v>0</v>
      </c>
      <c r="CR233">
        <f>SUM(TBA_Matches_All[[#This Row],[TspkrPts]]*TBA_Matches_All[[#This Row],[TspkrP]])</f>
        <v>0</v>
      </c>
      <c r="CS233" s="59">
        <f>IFERROR(SUM(TBA_Matches_All[[#This Row],[TtrapT]]/TBA_Matches_All[[#This Row],[Trap]]),0)</f>
        <v>0</v>
      </c>
      <c r="CT233" s="59">
        <f>IFERROR(SUM(TBA_Matches_All[[#This Row],[TotNotesT]]/TBA_Matches_All[[#This Row],[TotNotes]]),0)</f>
        <v>0</v>
      </c>
      <c r="CU233" s="66">
        <f>SUM((TBA_Matches_All[[#This Row],[AampT]]*2)+(TBA_Matches_All[[#This Row],[AspkrT]]*5)+(TBA_Matches_All[[#This Row],[AtrapT]]*5)+(TBA_Matches_All[[#This Row],[TampT]]*1)+(TBA_Matches_All[[#This Row],[TspkrptsC]]))</f>
        <v>0</v>
      </c>
      <c r="CV233" s="59">
        <f>IFERROR(TBA_Matches_All[[#This Row],[noteptsT]]/TBA_Matches_All[[#This Row],[NotePts]],0)</f>
        <v>0</v>
      </c>
      <c r="CW233">
        <f>SUM(IF(TBA_Matches_All[[#This Row],[stageStat]]="On",3,0),IF(TBA_Matches_All[[#This Row],[stageStat]]="Park",1,0),SUMIFS(TBA_Matches_All[[#This Row],[Spotlit]],TBA_Matches_All[[#This Row],[stageStat]],"On"),SUMIFS(TBA_Matches_All[[#This Row],[Harmony]],TBA_Matches_All[[#This Row],[stageStat]],"On"))</f>
        <v>1</v>
      </c>
      <c r="CX233" s="59">
        <f>IFERROR(TBA_Matches_All[[#This Row],[stageptsT]]/TBA_Matches_All[[#This Row],[StagePts]],0)</f>
        <v>0.33333333333333331</v>
      </c>
      <c r="CY233">
        <f>SUM((TBA_Matches_All[[#This Row],[AptsT]]+TBA_Matches_All[[#This Row],[TampT]]+TBA_Matches_All[[#This Row],[TspkrptsC]]+(TBA_Matches_All[[#This Row],[TtrapT]]*5)+TBA_Matches_All[[#This Row],[stageptsT]]))</f>
        <v>3</v>
      </c>
      <c r="CZ233" s="59">
        <f>IFERROR(SUM(TBA_Matches_All[[#This Row],[TotptsC]]/TBA_Matches_All[[#This Row],[Score]]),0)</f>
        <v>9.0909090909090912E-2</v>
      </c>
      <c r="DA23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33" s="74">
        <f>SUMIFS(TBA_Matches_All[AveTeamTNoteDels],TBA_Matches_All[Match_Number],TBA_Matches_All[[#This Row],[Match_Number]],TBA_Matches_All[Alliance],"&lt;&gt;"&amp;TBA_Matches_All[[#This Row],[Alliance]],TBA_Matches_All[Scouted],"&gt;0")</f>
        <v>24.198095238095242</v>
      </c>
      <c r="DC233" s="74">
        <f>(TBA_Matches_All[[#This Row],[TampT]]+TBA_Matches_All[[#This Row],[TspkrptsC]])-TBA_Matches_All[[#This Row],[AveTeamTNoteDels]]</f>
        <v>0</v>
      </c>
      <c r="DD233" s="74">
        <f>SUMIFS(TBA_Matches_All[AveTeamTNoteDels],TBA_Matches_All[Match_Number],TBA_Matches_All[[#This Row],[Match_Number]],TBA_Matches_All[Alliance],"&lt;&gt;"&amp;TBA_Matches_All[[#This Row],[Alliance]])-TBA_Matches_All[[#This Row],[AveOppTNoteDels]]</f>
        <v>0</v>
      </c>
    </row>
    <row r="234" spans="1:108" x14ac:dyDescent="0.3">
      <c r="A234" t="s">
        <v>1042</v>
      </c>
      <c r="B234" t="s">
        <v>489</v>
      </c>
      <c r="C234" t="s">
        <v>1348</v>
      </c>
      <c r="D234">
        <v>39</v>
      </c>
      <c r="E234" t="s">
        <v>1406</v>
      </c>
      <c r="F234" t="s">
        <v>1422</v>
      </c>
      <c r="G234" t="s">
        <v>105</v>
      </c>
      <c r="H234" t="s">
        <v>1300</v>
      </c>
      <c r="I234" t="b">
        <v>0</v>
      </c>
      <c r="J234">
        <v>58</v>
      </c>
      <c r="K234">
        <v>0</v>
      </c>
      <c r="L234">
        <v>0</v>
      </c>
      <c r="M234">
        <v>0</v>
      </c>
      <c r="N234">
        <v>0</v>
      </c>
      <c r="O234">
        <v>1</v>
      </c>
      <c r="P234">
        <v>5</v>
      </c>
      <c r="Q234">
        <v>9</v>
      </c>
      <c r="R234">
        <v>0</v>
      </c>
      <c r="S234">
        <v>0</v>
      </c>
      <c r="T234">
        <v>9</v>
      </c>
      <c r="U234">
        <v>0</v>
      </c>
      <c r="V234">
        <v>18</v>
      </c>
      <c r="W234">
        <v>9</v>
      </c>
      <c r="X234">
        <v>18</v>
      </c>
      <c r="Y234">
        <v>18</v>
      </c>
      <c r="Z234">
        <v>0</v>
      </c>
      <c r="AA234">
        <v>0</v>
      </c>
      <c r="AB234">
        <v>10</v>
      </c>
      <c r="AC234">
        <v>23</v>
      </c>
      <c r="AD234">
        <v>4</v>
      </c>
      <c r="AE234">
        <f>IFERROR(6/(COUNTIF(Dyno_EndMatch[Match],TBA_Matches_All[[#This Row],[Match_Number]])),0)</f>
        <v>1</v>
      </c>
      <c r="AF234">
        <f>COUNTIFS(Dyno_Data[Team],TBA_Matches_All[[#This Row],[Team]],Dyno_Data[Match],TBA_Matches_All[[#This Row],[Match_Number]],Dyno_Data[RecordType],"EndMatch",Dyno_Data[HPAmp],"Y")</f>
        <v>0</v>
      </c>
      <c r="AG234">
        <f>SUMIFS(Dyno_Data[Mics], Dyno_Data[Team],TBA_Matches_All[[#This Row],[Team]],Dyno_Data[Match],TBA_Matches_All[[#This Row],[Match_Number]],Dyno_Data[RecordType],"EndMatch",Dyno_Data[HPAmp],"Y")</f>
        <v>0</v>
      </c>
      <c r="AH234">
        <f>SUMIFS(Dyno_Data[Leave], Dyno_Data[Team],TBA_Matches_All[[#This Row],[Team]],Dyno_Data[Match],TBA_Matches_All[[#This Row],[Match_Number]],Dyno_Data[RecordType],"EndAuto")</f>
        <v>1</v>
      </c>
      <c r="AI234">
        <f>COUNTIFS(Dyno_Data[Team],TBA_Matches_All[[#This Row],[Team]],Dyno_Data[Match],TBA_Matches_All[[#This Row],[Match_Number]],Dyno_Data[RecordType],"Activities",Dyno_Data[DelDest],"Amp", Dyno_Data[DelMiss],"0", Dyno_Data[Mode],"Auto")</f>
        <v>0</v>
      </c>
      <c r="AJ234">
        <f>COUNTIFS(Dyno_Data[Team],TBA_Matches_All[[#This Row],[Team]],Dyno_Data[Match],TBA_Matches_All[[#This Row],[Match_Number]],Dyno_Data[RecordType],"Activities",Dyno_Data[DelDest],"Spkr", Dyno_Data[DelMiss],"0", Dyno_Data[Mode],"Auto")</f>
        <v>3</v>
      </c>
      <c r="AK234">
        <f>COUNTIFS(Dyno_Data[Team],TBA_Matches_All[[#This Row],[Team]],Dyno_Data[Match],TBA_Matches_All[[#This Row],[Match_Number]],Dyno_Data[RecordType],"Activities",Dyno_Data[DelDest],"Trap", Dyno_Data[DelMiss],"0", Dyno_Data[Mode],"Auto")</f>
        <v>0</v>
      </c>
      <c r="AL234">
        <f>COUNTIFS(Dyno_Data[Team],TBA_Matches_All[[#This Row],[Team]],Dyno_Data[Match],TBA_Matches_All[[#This Row],[Match_Number]],Dyno_Data[RecordType],"Activities",Dyno_Data[DelDest],"Amp", Dyno_Data[DelMiss],"0", Dyno_Data[Mode],"Teleop")</f>
        <v>1</v>
      </c>
      <c r="AM234">
        <f>COUNTIFS(Dyno_Data[Team],TBA_Matches_All[[#This Row],[Team]],Dyno_Data[Match],TBA_Matches_All[[#This Row],[Match_Number]],Dyno_Data[RecordType],"Activities",Dyno_Data[DelDest],"Spkr", Dyno_Data[DelMiss],"0", Dyno_Data[Mode],"Teleop")</f>
        <v>4</v>
      </c>
      <c r="AN234">
        <f>COUNTIFS(Dyno_Data[Team],TBA_Matches_All[[#This Row],[Team]],Dyno_Data[Match],TBA_Matches_All[[#This Row],[Match_Number]],Dyno_Data[RecordType],"Activities",Dyno_Data[DelDest],"Trap", Dyno_Data[DelMiss],"0", Dyno_Data[Mode],"&lt;&gt;Auto")</f>
        <v>0</v>
      </c>
      <c r="AO234">
        <f>SUM(TBA_Matches_All[[#This Row],[AampT]]+TBA_Matches_All[[#This Row],[AspkrT]]+TBA_Matches_All[[#This Row],[AtrapT]]+TBA_Matches_All[[#This Row],[TampT]]+TBA_Matches_All[[#This Row],[TspkrT]]+TBA_Matches_All[[#This Row],[TtrapT]])</f>
        <v>8</v>
      </c>
      <c r="AP234">
        <f>COUNTIFS(Dyno_Data[Team],TBA_Matches_All[[#This Row],[Team]],Dyno_Data[Match],TBA_Matches_All[[#This Row],[Match_Number]],Dyno_Data[RecordType],"Activities",Dyno_Data[DelDest],"Neut", Dyno_Data[DelMiss],"0")</f>
        <v>0</v>
      </c>
      <c r="AQ234">
        <f>COUNTIFS(Dyno_Data[Team],TBA_Matches_All[[#This Row],[Team]],Dyno_Data[Match],TBA_Matches_All[[#This Row],[Match_Number]],Dyno_Data[RecordType],"Activities",Dyno_Data[DelDest],"AllyW", Dyno_Data[DelMiss],"0")</f>
        <v>0</v>
      </c>
      <c r="AR234" t="str">
        <f>_xlfn.XLOOKUP(SUM(MID(TBA_Matches_All[[#This Row],[Team]],4,5),(TBA_Matches_All[[#This Row],[Match_Number]]/100)),Dyno_EndMatch[teammat],Dyno_EndMatch[RobotSta],"_",0,1)</f>
        <v>SubW</v>
      </c>
      <c r="AS234">
        <f>SUMIFS(Dyno_Data[AcqDis], Dyno_Data[Team],TBA_Matches_All[[#This Row],[Team]],Dyno_Data[Match],TBA_Matches_All[[#This Row],[Match_Number]],Dyno_Data[RecordType],"Activities", Dyno_Data[AcqCenter],1,Dyno_Data[Mode],"Auto")</f>
        <v>0</v>
      </c>
      <c r="AT234">
        <f>SUMIFS(Dyno_Data[AcqDis], Dyno_Data[Team],TBA_Matches_All[[#This Row],[Team]],Dyno_Data[Match],TBA_Matches_All[[#This Row],[Match_Number]],Dyno_Data[RecordType],"Activities", Dyno_Data[AcqCenter],2,Dyno_Data[Mode],"Auto")</f>
        <v>0</v>
      </c>
      <c r="AU234">
        <f>SUMIFS(Dyno_Data[AcqDis], Dyno_Data[Team],TBA_Matches_All[[#This Row],[Team]],Dyno_Data[Match],TBA_Matches_All[[#This Row],[Match_Number]],Dyno_Data[RecordType],"Activities", Dyno_Data[AcqCenter],3,Dyno_Data[Mode],"Auto")</f>
        <v>0</v>
      </c>
      <c r="AV234">
        <f>SUMIFS(Dyno_Data[AcqDis], Dyno_Data[Team],TBA_Matches_All[[#This Row],[Team]],Dyno_Data[Match],TBA_Matches_All[[#This Row],[Match_Number]],Dyno_Data[RecordType],"Activities", Dyno_Data[AcqCenter],4,Dyno_Data[Mode],"Auto")</f>
        <v>0</v>
      </c>
      <c r="AW234">
        <f>SUMIFS(Dyno_Data[AcqDis], Dyno_Data[Team],TBA_Matches_All[[#This Row],[Team]],Dyno_Data[Match],TBA_Matches_All[[#This Row],[Match_Number]],Dyno_Data[RecordType],"Activities", Dyno_Data[AcqCenter],5,Dyno_Data[Mode],"Auto")</f>
        <v>0</v>
      </c>
      <c r="AX234">
        <f>SUMIFS(Dyno_Data[DelMiss], Dyno_Data[Team],TBA_Matches_All[[#This Row],[Team]],Dyno_Data[Match],TBA_Matches_All[[#This Row],[Match_Number]],Dyno_Data[RecordType],"Activities", Dyno_Data[DelDest],"Amp")</f>
        <v>0</v>
      </c>
      <c r="AY234" s="60">
        <f>IFERROR(SUM((TBA_Matches_All[[#This Row],[AampT]]+TBA_Matches_All[[#This Row],[TampT]])/(TBA_Matches_All[[#This Row],[AampT]]+TBA_Matches_All[[#This Row],[TampT]]+TBA_Matches_All[[#This Row],[ampM]])),0)</f>
        <v>1</v>
      </c>
      <c r="AZ234">
        <f>SUMIFS(Dyno_Data[DelMiss], Dyno_Data[Team],TBA_Matches_All[[#This Row],[Team]],Dyno_Data[Match],TBA_Matches_All[[#This Row],[Match_Number]],Dyno_Data[RecordType],"Activities", Dyno_Data[DelDest],"Spkr")</f>
        <v>6</v>
      </c>
      <c r="BA234" s="60">
        <f>IFERROR(SUM((TBA_Matches_All[[#This Row],[AspkrT]]+TBA_Matches_All[[#This Row],[TspkrT]])/(TBA_Matches_All[[#This Row],[AspkrT]]+TBA_Matches_All[[#This Row],[TspkrT]]+TBA_Matches_All[[#This Row],[spkrM]])),0)</f>
        <v>0.53846153846153844</v>
      </c>
      <c r="BB234">
        <f>SUMIFS(Dyno_Data[DelMiss], Dyno_Data[Team],TBA_Matches_All[[#This Row],[Team]],Dyno_Data[Match],TBA_Matches_All[[#This Row],[Match_Number]],Dyno_Data[RecordType],"Activities", Dyno_Data[DelDest],"Trap")</f>
        <v>0</v>
      </c>
      <c r="BC234" s="60">
        <f>IFERROR((TBA_Matches_All[[#This Row],[AtrapT]]+TBA_Matches_All[[#This Row],[TtrapT]])/(TBA_Matches_All[[#This Row],[AtrapT]]+TBA_Matches_All[[#This Row],[TtrapT]]+TBA_Matches_All[[#This Row],[trapM]]),0)</f>
        <v>0</v>
      </c>
      <c r="BD234">
        <f>COUNTIFS(Dyno_Data[Team],TBA_Matches_All[[#This Row],[Team]],Dyno_Data[Match],TBA_Matches_All[[#This Row],[Match_Number]],Dyno_Data[RecordType],"Activities",Dyno_Data[DelDest],"Neut", Dyno_Data[DelMiss],1)</f>
        <v>0</v>
      </c>
      <c r="BE234" s="60">
        <f>IFERROR(SUM((TBA_Matches_All[[#This Row],[NeutFlrT]])/(TBA_Matches_All[[#This Row],[NeutFlrT]]+TBA_Matches_All[[#This Row],[NZflM]])),0)</f>
        <v>0</v>
      </c>
      <c r="BF234">
        <f>COUNTIFS(Dyno_Data[Team],TBA_Matches_All[[#This Row],[Team]],Dyno_Data[Match],TBA_Matches_All[[#This Row],[Match_Number]],Dyno_Data[RecordType],"Activities",Dyno_Data[DelDest],"AllyW", Dyno_Data[DelMiss],1)</f>
        <v>0</v>
      </c>
      <c r="BG234" s="60">
        <f>IFERROR(SUM((TBA_Matches_All[[#This Row],[AllyWFlrT]])/(TBA_Matches_All[[#This Row],[AllyWFlrT]]+TBA_Matches_All[[#This Row],[AZflM]])),0)</f>
        <v>0</v>
      </c>
      <c r="BH234">
        <f>COUNTIFS(Dyno_Data[Team],TBA_Matches_All[[#This Row],[Team]],Dyno_Data[Match],TBA_Matches_All[[#This Row],[Match_Number]],Dyno_Data[RecordType],"Activities",Dyno_Data[DelOrig],"OppW", Dyno_Data[DelMiss],"0")</f>
        <v>0</v>
      </c>
      <c r="BI234">
        <f>COUNTIFS(Dyno_Data[Team],TBA_Matches_All[[#This Row],[Team]],Dyno_Data[Match],TBA_Matches_All[[#This Row],[Match_Number]],Dyno_Data[RecordType],"Activities",Dyno_Data[DelOrig],"OppW", Dyno_Data[DelMiss],"1")</f>
        <v>0</v>
      </c>
      <c r="BJ234" s="60">
        <f>IFERROR(SUM((TBA_Matches_All[[#This Row],[OZflrT]])/(TBA_Matches_All[[#This Row],[OZflrT]]+TBA_Matches_All[[#This Row],[OZflrM]])),0)</f>
        <v>0</v>
      </c>
      <c r="BK234">
        <f>COUNTIFS(Dyno_Data[Team],TBA_Matches_All[[#This Row],[Team]],Dyno_Data[Match],TBA_Matches_All[[#This Row],[Match_Number]],Dyno_Data[RecordType],"Activities",Dyno_Data[DelOrig],"Neut", Dyno_Data[DelMiss],"0")</f>
        <v>0</v>
      </c>
      <c r="BL234">
        <f>COUNTIFS(Dyno_Data[Team],TBA_Matches_All[[#This Row],[Team]],Dyno_Data[Match],TBA_Matches_All[[#This Row],[Match_Number]],Dyno_Data[RecordType],"Activities",Dyno_Data[DelOrig],"Neut", Dyno_Data[DelMiss],"1")</f>
        <v>0</v>
      </c>
      <c r="BM234" s="60">
        <f>IFERROR(SUM((TBA_Matches_All[[#This Row],[NZflrT]])/(TBA_Matches_All[[#This Row],[NZflrT]]+TBA_Matches_All[[#This Row],[NZflrM]])),0)</f>
        <v>0</v>
      </c>
      <c r="BN234">
        <f>COUNTIFS(Dyno_Data[Team],TBA_Matches_All[[#This Row],[Team]],Dyno_Data[Match],TBA_Matches_All[[#This Row],[Match_Number]],Dyno_Data[RecordType],"Activities",Dyno_Data[DelOrig],"AllyW", Dyno_Data[DelMiss],"0")</f>
        <v>5</v>
      </c>
      <c r="BO234">
        <f>COUNTIFS(Dyno_Data[Team],TBA_Matches_All[[#This Row],[Team]],Dyno_Data[Match],TBA_Matches_All[[#This Row],[Match_Number]],Dyno_Data[RecordType],"Activities",Dyno_Data[DelOrig],"AllyW", Dyno_Data[DelMiss],"1")</f>
        <v>6</v>
      </c>
      <c r="BP234" s="60">
        <f>IFERROR(SUM((TBA_Matches_All[[#This Row],[AZflrT]])/(TBA_Matches_All[[#This Row],[AZflrT]]+TBA_Matches_All[[#This Row],[AZflrM]])),0)</f>
        <v>0.45454545454545453</v>
      </c>
      <c r="BQ234">
        <f>COUNTIFS(Dyno_Data[Team],TBA_Matches_All[[#This Row],[Team]],Dyno_Data[Match],TBA_Matches_All[[#This Row],[Match_Number]],Dyno_Data[RecordType],"Activities",Dyno_Data[DelOrig],"SubW", Dyno_Data[DelMiss],"0")</f>
        <v>3</v>
      </c>
      <c r="BR234">
        <f>COUNTIFS(Dyno_Data[Team],TBA_Matches_All[[#This Row],[Team]],Dyno_Data[Match],TBA_Matches_All[[#This Row],[Match_Number]],Dyno_Data[RecordType],"Activities",Dyno_Data[DelOrig],"SubW", Dyno_Data[DelMiss],"1")</f>
        <v>0</v>
      </c>
      <c r="BS234" s="60">
        <f>IFERROR(SUM((TBA_Matches_All[[#This Row],[SubwT]])/(TBA_Matches_All[[#This Row],[SubwT]]+TBA_Matches_All[[#This Row],[SubwM]])),0)</f>
        <v>1</v>
      </c>
      <c r="BT234">
        <f>COUNTIFS(Dyno_Data[Team],TBA_Matches_All[[#This Row],[Team]],Dyno_Data[Match],TBA_Matches_All[[#This Row],[Match_Number]],Dyno_Data[RecordType],"Activities", Dyno_Data[AcqLoc],"OppWing")</f>
        <v>0</v>
      </c>
      <c r="BU234">
        <f>COUNTIFS(Dyno_Data[Team],TBA_Matches_All[[#This Row],[Team]],Dyno_Data[Match],TBA_Matches_All[[#This Row],[Match_Number]],Dyno_Data[RecordType],"Activities", Dyno_Data[AcqLoc],"Neutral")</f>
        <v>0</v>
      </c>
      <c r="BV234">
        <f>COUNTIFS(Dyno_Data[Team],TBA_Matches_All[[#This Row],[Team]],Dyno_Data[Match],TBA_Matches_All[[#This Row],[Match_Number]],Dyno_Data[RecordType],"Activities", Dyno_Data[AcqLoc],"AllyWing")</f>
        <v>0</v>
      </c>
      <c r="BW234">
        <f>COUNTIFS(Dyno_Data[Team],TBA_Matches_All[[#This Row],[Team]],Dyno_Data[Match],TBA_Matches_All[[#This Row],[Match_Number]],Dyno_Data[RecordType],"Activities", Dyno_Data[AcqLoc],"Source")</f>
        <v>0</v>
      </c>
      <c r="BX234">
        <f>SUMIFS(Dyno_Data[AcqDrp], Dyno_Data[Team],TBA_Matches_All[[#This Row],[Team]],Dyno_Data[Match],TBA_Matches_All[[#This Row],[Match_Number]],Dyno_Data[RecordType],"Activities", Dyno_Data[AcqLoc],"Source")</f>
        <v>0</v>
      </c>
      <c r="BY234">
        <f>SUMIFS(Dyno_Data[OZTime], Dyno_Data[Team],TBA_Matches_All[[#This Row],[Team]],Dyno_Data[Match],TBA_Matches_All[[#This Row],[Match_Number]],Dyno_Data[RecordType],"EndMatch")</f>
        <v>23.091938799999998</v>
      </c>
      <c r="BZ234">
        <f>SUMIFS(Dyno_Data[NZTime], Dyno_Data[Team],TBA_Matches_All[[#This Row],[Team]],Dyno_Data[Match],TBA_Matches_All[[#This Row],[Match_Number]],Dyno_Data[RecordType],"EndMatch")</f>
        <v>13.602472899999999</v>
      </c>
      <c r="CA234">
        <f>SUMIFS(Dyno_Data[AZTime], Dyno_Data[Team],TBA_Matches_All[[#This Row],[Team]],Dyno_Data[Match],TBA_Matches_All[[#This Row],[Match_Number]],Dyno_Data[RecordType],"EndMatch")</f>
        <v>98.362343899999999</v>
      </c>
      <c r="CB234">
        <f>SUMIFS(Dyno_Data[ClimbT], Dyno_Data[Team],TBA_Matches_All[[#This Row],[Team]],Dyno_Data[Match],TBA_Matches_All[[#This Row],[Match_Number]],Dyno_Data[RecordType],"EndMatch")</f>
        <v>0</v>
      </c>
      <c r="CC234" t="str">
        <f>_xlfn.XLOOKUP(SUM(MID(TBA_Matches_All[[#This Row],[Team]],4,5),(TBA_Matches_All[[#This Row],[Match_Number]]/100)),Dyno_EndMatch[teammat],Dyno_EndMatch[StageStat],"_",0,1)</f>
        <v>Else</v>
      </c>
      <c r="CD234" t="str">
        <f>_xlfn.XLOOKUP(TBA_Matches_All[[#This Row],[teammat]],Dyno_EndMatch[teammat],Dyno_EndMatch[StageAtt],"_",0,1)</f>
        <v>0</v>
      </c>
      <c r="CE234" t="str">
        <f>_xlfn.XLOOKUP(TBA_Matches_All[[#This Row],[teammat]],Dyno_EndMatch[teammat],Dyno_EndMatch[StageLoc],"_",0,1)</f>
        <v>A</v>
      </c>
      <c r="CF234">
        <f>SUMIFS(Dyno_Data[Harmony], Dyno_Data[Team],TBA_Matches_All[[#This Row],[Team]],Dyno_Data[Match],TBA_Matches_All[[#This Row],[Match_Number]],Dyno_Data[RecordType],"EndMatch", Dyno_Data[StageStat],"On",Dyno_Data[Harmony],"&lt;&gt;9")</f>
        <v>0</v>
      </c>
      <c r="CG234">
        <f>SUMIFS(Dyno_Data[Spotlit], Dyno_Data[Team],TBA_Matches_All[[#This Row],[Team]],Dyno_Data[Match],TBA_Matches_All[[#This Row],[Match_Number]],Dyno_Data[RecordType],"EndMatch", Dyno_Data[StageStat],"On",Dyno_Data[Spotlit],"&lt;&gt;9")</f>
        <v>0</v>
      </c>
      <c r="CH234" t="str">
        <f>_xlfn.XLOOKUP(TBA_Matches_All[[#This Row],[teammat]],Dyno_EndMatch[teammat],Dyno_EndMatch[Strategy],"_",0,1)</f>
        <v>Hybrid</v>
      </c>
      <c r="CI234">
        <f>SUMIFS(Dyno_Data[Defense], Dyno_Data[Team],TBA_Matches_All[[#This Row],[Team]],Dyno_Data[Match],TBA_Matches_All[[#This Row],[Match_Number]],Dyno_Data[RecordType],"EndMatch",Dyno_Data[Defense],"&lt;&gt;9")</f>
        <v>0</v>
      </c>
      <c r="CJ234">
        <f>SUMIFS(Dyno_Data[Avoidance], Dyno_Data[Team],TBA_Matches_All[[#This Row],[Team]],Dyno_Data[Match],TBA_Matches_All[[#This Row],[Match_Number]],Dyno_Data[RecordType],"EndMatch",Dyno_Data[Avoidance],"&lt;&gt;9")</f>
        <v>2</v>
      </c>
      <c r="CK234" s="82">
        <f>COUNTIF($H$2:TBA_Matches_All[[#This Row],[Team]],TBA_Matches_All[[#This Row],[Team]])</f>
        <v>5</v>
      </c>
      <c r="CL234" s="111">
        <f>SUM(MID(TBA_Matches_All[[#This Row],[Team]],4,5)+TBA_Matches_All[[#This Row],[Match_Number]]/100)</f>
        <v>3044.39</v>
      </c>
      <c r="CM234">
        <f>SUM((TBA_Matches_All[[#This Row],[Leave]]*2)+(TBA_Matches_All[[#This Row],[AampT]]*2)+(TBA_Matches_All[[#This Row],[AspkrT]]*5)+(TBA_Matches_All[[#This Row],[AtrapT]]*5))</f>
        <v>17</v>
      </c>
      <c r="CN234" s="59">
        <f>IFERROR(SUM(TBA_Matches_All[[#This Row],[AptsT]]/TBA_Matches_All[[#This Row],[AutoPts]]),0)</f>
        <v>1.8888888888888888</v>
      </c>
      <c r="CO234" s="59">
        <f>IFERROR(SUM(TBA_Matches_All[[#This Row],[AampT]]+TBA_Matches_All[[#This Row],[AspkrT]]+TBA_Matches_All[[#This Row],[AtrapT]]/TBA_Matches_All[[#This Row],[Aamp]]+TBA_Matches_All[[#This Row],[Aspkr]]+TBA_Matches_All[[#This Row],[AtrapT]]),0)</f>
        <v>0</v>
      </c>
      <c r="CP234" s="59">
        <f>IFERROR(SUM(TBA_Matches_All[[#This Row],[TampT]]/TBA_Matches_All[[#This Row],[Tamp]]),0)</f>
        <v>0</v>
      </c>
      <c r="CQ234" s="59">
        <f>IFERROR(SUM(TBA_Matches_All[[#This Row],[TspkrT]]/TBA_Matches_All[[#This Row],[Tspkr]]),0)</f>
        <v>0.44444444444444442</v>
      </c>
      <c r="CR234">
        <f>SUM(TBA_Matches_All[[#This Row],[TspkrPts]]*TBA_Matches_All[[#This Row],[TspkrP]])</f>
        <v>8</v>
      </c>
      <c r="CS234" s="59">
        <f>IFERROR(SUM(TBA_Matches_All[[#This Row],[TtrapT]]/TBA_Matches_All[[#This Row],[Trap]]),0)</f>
        <v>0</v>
      </c>
      <c r="CT234" s="59">
        <f>IFERROR(SUM(TBA_Matches_All[[#This Row],[TotNotesT]]/TBA_Matches_All[[#This Row],[TotNotes]]),0)</f>
        <v>0.8</v>
      </c>
      <c r="CU234" s="66">
        <f>SUM((TBA_Matches_All[[#This Row],[AampT]]*2)+(TBA_Matches_All[[#This Row],[AspkrT]]*5)+(TBA_Matches_All[[#This Row],[AtrapT]]*5)+(TBA_Matches_All[[#This Row],[TampT]]*1)+(TBA_Matches_All[[#This Row],[TspkrptsC]]))</f>
        <v>24</v>
      </c>
      <c r="CV234" s="59">
        <f>IFERROR(TBA_Matches_All[[#This Row],[noteptsT]]/TBA_Matches_All[[#This Row],[NotePts]],0)</f>
        <v>1.0434782608695652</v>
      </c>
      <c r="CW234">
        <f>SUM(IF(TBA_Matches_All[[#This Row],[stageStat]]="On",3,0),IF(TBA_Matches_All[[#This Row],[stageStat]]="Park",1,0),SUMIFS(TBA_Matches_All[[#This Row],[Spotlit]],TBA_Matches_All[[#This Row],[stageStat]],"On"),SUMIFS(TBA_Matches_All[[#This Row],[Harmony]],TBA_Matches_All[[#This Row],[stageStat]],"On"))</f>
        <v>0</v>
      </c>
      <c r="CX234" s="59">
        <f>IFERROR(TBA_Matches_All[[#This Row],[stageptsT]]/TBA_Matches_All[[#This Row],[StagePts]],0)</f>
        <v>0</v>
      </c>
      <c r="CY234">
        <f>SUM((TBA_Matches_All[[#This Row],[AptsT]]+TBA_Matches_All[[#This Row],[TampT]]+TBA_Matches_All[[#This Row],[TspkrptsC]]+(TBA_Matches_All[[#This Row],[TtrapT]]*5)+TBA_Matches_All[[#This Row],[stageptsT]]))</f>
        <v>26</v>
      </c>
      <c r="CZ234" s="59">
        <f>IFERROR(SUM(TBA_Matches_All[[#This Row],[TotptsC]]/TBA_Matches_All[[#This Row],[Score]]),0)</f>
        <v>0.44827586206896552</v>
      </c>
      <c r="DA23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13.971428571428572</v>
      </c>
      <c r="DB234" s="74">
        <f>SUMIFS(TBA_Matches_All[AveTeamTNoteDels],TBA_Matches_All[Match_Number],TBA_Matches_All[[#This Row],[Match_Number]],TBA_Matches_All[Alliance],"&lt;&gt;"&amp;TBA_Matches_All[[#This Row],[Alliance]],TBA_Matches_All[Scouted],"&gt;0")</f>
        <v>8.7333333333333343</v>
      </c>
      <c r="DC234" s="74">
        <f>(TBA_Matches_All[[#This Row],[TampT]]+TBA_Matches_All[[#This Row],[TspkrptsC]])-TBA_Matches_All[[#This Row],[AveTeamTNoteDels]]</f>
        <v>-4.9714285714285715</v>
      </c>
      <c r="DD234" s="74">
        <f>SUMIFS(TBA_Matches_All[AveTeamTNoteDels],TBA_Matches_All[Match_Number],TBA_Matches_All[[#This Row],[Match_Number]],TBA_Matches_All[Alliance],"&lt;&gt;"&amp;TBA_Matches_All[[#This Row],[Alliance]])-TBA_Matches_All[[#This Row],[AveOppTNoteDels]]</f>
        <v>0</v>
      </c>
    </row>
    <row r="235" spans="1:108" x14ac:dyDescent="0.3">
      <c r="A235" t="s">
        <v>1042</v>
      </c>
      <c r="B235" t="s">
        <v>489</v>
      </c>
      <c r="C235" t="s">
        <v>1348</v>
      </c>
      <c r="D235">
        <v>39</v>
      </c>
      <c r="E235" t="s">
        <v>1420</v>
      </c>
      <c r="F235" t="s">
        <v>1425</v>
      </c>
      <c r="G235" t="s">
        <v>105</v>
      </c>
      <c r="H235" t="s">
        <v>1276</v>
      </c>
      <c r="I235" t="b">
        <v>0</v>
      </c>
      <c r="J235">
        <v>33</v>
      </c>
      <c r="K235">
        <v>0</v>
      </c>
      <c r="L235">
        <v>0</v>
      </c>
      <c r="M235">
        <v>27</v>
      </c>
      <c r="N235">
        <v>0</v>
      </c>
      <c r="O235">
        <v>3</v>
      </c>
      <c r="P235">
        <v>15</v>
      </c>
      <c r="Q235">
        <v>19</v>
      </c>
      <c r="R235">
        <v>1</v>
      </c>
      <c r="S235">
        <v>0</v>
      </c>
      <c r="T235">
        <v>5</v>
      </c>
      <c r="U235">
        <v>0</v>
      </c>
      <c r="V235">
        <v>10</v>
      </c>
      <c r="W235">
        <v>5</v>
      </c>
      <c r="X235">
        <v>10</v>
      </c>
      <c r="Y235">
        <v>11</v>
      </c>
      <c r="Z235">
        <v>0</v>
      </c>
      <c r="AA235">
        <v>0</v>
      </c>
      <c r="AB235">
        <v>9</v>
      </c>
      <c r="AC235">
        <v>26</v>
      </c>
      <c r="AD235">
        <v>3</v>
      </c>
      <c r="AE235">
        <f>IFERROR(6/(COUNTIF(Dyno_EndMatch[Match],TBA_Matches_All[[#This Row],[Match_Number]])),0)</f>
        <v>1</v>
      </c>
      <c r="AF235">
        <f>COUNTIFS(Dyno_Data[Team],TBA_Matches_All[[#This Row],[Team]],Dyno_Data[Match],TBA_Matches_All[[#This Row],[Match_Number]],Dyno_Data[RecordType],"EndMatch",Dyno_Data[HPAmp],"Y")</f>
        <v>1</v>
      </c>
      <c r="AG235">
        <f>SUMIFS(Dyno_Data[Mics], Dyno_Data[Team],TBA_Matches_All[[#This Row],[Team]],Dyno_Data[Match],TBA_Matches_All[[#This Row],[Match_Number]],Dyno_Data[RecordType],"EndMatch",Dyno_Data[HPAmp],"Y")</f>
        <v>0</v>
      </c>
      <c r="AH235">
        <f>SUMIFS(Dyno_Data[Leave], Dyno_Data[Team],TBA_Matches_All[[#This Row],[Team]],Dyno_Data[Match],TBA_Matches_All[[#This Row],[Match_Number]],Dyno_Data[RecordType],"EndAuto")</f>
        <v>1</v>
      </c>
      <c r="AI235">
        <f>COUNTIFS(Dyno_Data[Team],TBA_Matches_All[[#This Row],[Team]],Dyno_Data[Match],TBA_Matches_All[[#This Row],[Match_Number]],Dyno_Data[RecordType],"Activities",Dyno_Data[DelDest],"Amp", Dyno_Data[DelMiss],"0", Dyno_Data[Mode],"Auto")</f>
        <v>0</v>
      </c>
      <c r="AJ235">
        <f>COUNTIFS(Dyno_Data[Team],TBA_Matches_All[[#This Row],[Team]],Dyno_Data[Match],TBA_Matches_All[[#This Row],[Match_Number]],Dyno_Data[RecordType],"Activities",Dyno_Data[DelDest],"Spkr", Dyno_Data[DelMiss],"0", Dyno_Data[Mode],"Auto")</f>
        <v>0</v>
      </c>
      <c r="AK235">
        <f>COUNTIFS(Dyno_Data[Team],TBA_Matches_All[[#This Row],[Team]],Dyno_Data[Match],TBA_Matches_All[[#This Row],[Match_Number]],Dyno_Data[RecordType],"Activities",Dyno_Data[DelDest],"Trap", Dyno_Data[DelMiss],"0", Dyno_Data[Mode],"Auto")</f>
        <v>0</v>
      </c>
      <c r="AL235">
        <f>COUNTIFS(Dyno_Data[Team],TBA_Matches_All[[#This Row],[Team]],Dyno_Data[Match],TBA_Matches_All[[#This Row],[Match_Number]],Dyno_Data[RecordType],"Activities",Dyno_Data[DelDest],"Amp", Dyno_Data[DelMiss],"0", Dyno_Data[Mode],"Teleop")</f>
        <v>0</v>
      </c>
      <c r="AM235">
        <f>COUNTIFS(Dyno_Data[Team],TBA_Matches_All[[#This Row],[Team]],Dyno_Data[Match],TBA_Matches_All[[#This Row],[Match_Number]],Dyno_Data[RecordType],"Activities",Dyno_Data[DelDest],"Spkr", Dyno_Data[DelMiss],"0", Dyno_Data[Mode],"Teleop")</f>
        <v>0</v>
      </c>
      <c r="AN235">
        <f>COUNTIFS(Dyno_Data[Team],TBA_Matches_All[[#This Row],[Team]],Dyno_Data[Match],TBA_Matches_All[[#This Row],[Match_Number]],Dyno_Data[RecordType],"Activities",Dyno_Data[DelDest],"Trap", Dyno_Data[DelMiss],"0", Dyno_Data[Mode],"&lt;&gt;Auto")</f>
        <v>0</v>
      </c>
      <c r="AO235">
        <f>SUM(TBA_Matches_All[[#This Row],[AampT]]+TBA_Matches_All[[#This Row],[AspkrT]]+TBA_Matches_All[[#This Row],[AtrapT]]+TBA_Matches_All[[#This Row],[TampT]]+TBA_Matches_All[[#This Row],[TspkrT]]+TBA_Matches_All[[#This Row],[TtrapT]])</f>
        <v>0</v>
      </c>
      <c r="AP235">
        <f>COUNTIFS(Dyno_Data[Team],TBA_Matches_All[[#This Row],[Team]],Dyno_Data[Match],TBA_Matches_All[[#This Row],[Match_Number]],Dyno_Data[RecordType],"Activities",Dyno_Data[DelDest],"Neut", Dyno_Data[DelMiss],"0")</f>
        <v>0</v>
      </c>
      <c r="AQ235">
        <f>COUNTIFS(Dyno_Data[Team],TBA_Matches_All[[#This Row],[Team]],Dyno_Data[Match],TBA_Matches_All[[#This Row],[Match_Number]],Dyno_Data[RecordType],"Activities",Dyno_Data[DelDest],"AllyW", Dyno_Data[DelMiss],"0")</f>
        <v>0</v>
      </c>
      <c r="AR235" t="str">
        <f>_xlfn.XLOOKUP(SUM(MID(TBA_Matches_All[[#This Row],[Team]],4,5),(TBA_Matches_All[[#This Row],[Match_Number]]/100)),Dyno_EndMatch[teammat],Dyno_EndMatch[RobotSta],"_",0,1)</f>
        <v>OppS</v>
      </c>
      <c r="AS235">
        <f>SUMIFS(Dyno_Data[AcqDis], Dyno_Data[Team],TBA_Matches_All[[#This Row],[Team]],Dyno_Data[Match],TBA_Matches_All[[#This Row],[Match_Number]],Dyno_Data[RecordType],"Activities", Dyno_Data[AcqCenter],1,Dyno_Data[Mode],"Auto")</f>
        <v>0</v>
      </c>
      <c r="AT235">
        <f>SUMIFS(Dyno_Data[AcqDis], Dyno_Data[Team],TBA_Matches_All[[#This Row],[Team]],Dyno_Data[Match],TBA_Matches_All[[#This Row],[Match_Number]],Dyno_Data[RecordType],"Activities", Dyno_Data[AcqCenter],2,Dyno_Data[Mode],"Auto")</f>
        <v>0</v>
      </c>
      <c r="AU235">
        <f>SUMIFS(Dyno_Data[AcqDis], Dyno_Data[Team],TBA_Matches_All[[#This Row],[Team]],Dyno_Data[Match],TBA_Matches_All[[#This Row],[Match_Number]],Dyno_Data[RecordType],"Activities", Dyno_Data[AcqCenter],3,Dyno_Data[Mode],"Auto")</f>
        <v>0</v>
      </c>
      <c r="AV235">
        <f>SUMIFS(Dyno_Data[AcqDis], Dyno_Data[Team],TBA_Matches_All[[#This Row],[Team]],Dyno_Data[Match],TBA_Matches_All[[#This Row],[Match_Number]],Dyno_Data[RecordType],"Activities", Dyno_Data[AcqCenter],4,Dyno_Data[Mode],"Auto")</f>
        <v>0</v>
      </c>
      <c r="AW235">
        <f>SUMIFS(Dyno_Data[AcqDis], Dyno_Data[Team],TBA_Matches_All[[#This Row],[Team]],Dyno_Data[Match],TBA_Matches_All[[#This Row],[Match_Number]],Dyno_Data[RecordType],"Activities", Dyno_Data[AcqCenter],5,Dyno_Data[Mode],"Auto")</f>
        <v>0</v>
      </c>
      <c r="AX235">
        <f>SUMIFS(Dyno_Data[DelMiss], Dyno_Data[Team],TBA_Matches_All[[#This Row],[Team]],Dyno_Data[Match],TBA_Matches_All[[#This Row],[Match_Number]],Dyno_Data[RecordType],"Activities", Dyno_Data[DelDest],"Amp")</f>
        <v>0</v>
      </c>
      <c r="AY235" s="60">
        <f>IFERROR(SUM((TBA_Matches_All[[#This Row],[AampT]]+TBA_Matches_All[[#This Row],[TampT]])/(TBA_Matches_All[[#This Row],[AampT]]+TBA_Matches_All[[#This Row],[TampT]]+TBA_Matches_All[[#This Row],[ampM]])),0)</f>
        <v>0</v>
      </c>
      <c r="AZ235">
        <f>SUMIFS(Dyno_Data[DelMiss], Dyno_Data[Team],TBA_Matches_All[[#This Row],[Team]],Dyno_Data[Match],TBA_Matches_All[[#This Row],[Match_Number]],Dyno_Data[RecordType],"Activities", Dyno_Data[DelDest],"Spkr")</f>
        <v>0</v>
      </c>
      <c r="BA235" s="60">
        <f>IFERROR(SUM((TBA_Matches_All[[#This Row],[AspkrT]]+TBA_Matches_All[[#This Row],[TspkrT]])/(TBA_Matches_All[[#This Row],[AspkrT]]+TBA_Matches_All[[#This Row],[TspkrT]]+TBA_Matches_All[[#This Row],[spkrM]])),0)</f>
        <v>0</v>
      </c>
      <c r="BB235">
        <f>SUMIFS(Dyno_Data[DelMiss], Dyno_Data[Team],TBA_Matches_All[[#This Row],[Team]],Dyno_Data[Match],TBA_Matches_All[[#This Row],[Match_Number]],Dyno_Data[RecordType],"Activities", Dyno_Data[DelDest],"Trap")</f>
        <v>0</v>
      </c>
      <c r="BC235" s="60">
        <f>IFERROR((TBA_Matches_All[[#This Row],[AtrapT]]+TBA_Matches_All[[#This Row],[TtrapT]])/(TBA_Matches_All[[#This Row],[AtrapT]]+TBA_Matches_All[[#This Row],[TtrapT]]+TBA_Matches_All[[#This Row],[trapM]]),0)</f>
        <v>0</v>
      </c>
      <c r="BD235">
        <f>COUNTIFS(Dyno_Data[Team],TBA_Matches_All[[#This Row],[Team]],Dyno_Data[Match],TBA_Matches_All[[#This Row],[Match_Number]],Dyno_Data[RecordType],"Activities",Dyno_Data[DelDest],"Neut", Dyno_Data[DelMiss],1)</f>
        <v>0</v>
      </c>
      <c r="BE235" s="60">
        <f>IFERROR(SUM((TBA_Matches_All[[#This Row],[NeutFlrT]])/(TBA_Matches_All[[#This Row],[NeutFlrT]]+TBA_Matches_All[[#This Row],[NZflM]])),0)</f>
        <v>0</v>
      </c>
      <c r="BF235">
        <f>COUNTIFS(Dyno_Data[Team],TBA_Matches_All[[#This Row],[Team]],Dyno_Data[Match],TBA_Matches_All[[#This Row],[Match_Number]],Dyno_Data[RecordType],"Activities",Dyno_Data[DelDest],"AllyW", Dyno_Data[DelMiss],1)</f>
        <v>0</v>
      </c>
      <c r="BG235" s="60">
        <f>IFERROR(SUM((TBA_Matches_All[[#This Row],[AllyWFlrT]])/(TBA_Matches_All[[#This Row],[AllyWFlrT]]+TBA_Matches_All[[#This Row],[AZflM]])),0)</f>
        <v>0</v>
      </c>
      <c r="BH235">
        <f>COUNTIFS(Dyno_Data[Team],TBA_Matches_All[[#This Row],[Team]],Dyno_Data[Match],TBA_Matches_All[[#This Row],[Match_Number]],Dyno_Data[RecordType],"Activities",Dyno_Data[DelOrig],"OppW", Dyno_Data[DelMiss],"0")</f>
        <v>0</v>
      </c>
      <c r="BI235">
        <f>COUNTIFS(Dyno_Data[Team],TBA_Matches_All[[#This Row],[Team]],Dyno_Data[Match],TBA_Matches_All[[#This Row],[Match_Number]],Dyno_Data[RecordType],"Activities",Dyno_Data[DelOrig],"OppW", Dyno_Data[DelMiss],"1")</f>
        <v>0</v>
      </c>
      <c r="BJ235" s="60">
        <f>IFERROR(SUM((TBA_Matches_All[[#This Row],[OZflrT]])/(TBA_Matches_All[[#This Row],[OZflrT]]+TBA_Matches_All[[#This Row],[OZflrM]])),0)</f>
        <v>0</v>
      </c>
      <c r="BK235">
        <f>COUNTIFS(Dyno_Data[Team],TBA_Matches_All[[#This Row],[Team]],Dyno_Data[Match],TBA_Matches_All[[#This Row],[Match_Number]],Dyno_Data[RecordType],"Activities",Dyno_Data[DelOrig],"Neut", Dyno_Data[DelMiss],"0")</f>
        <v>0</v>
      </c>
      <c r="BL235">
        <f>COUNTIFS(Dyno_Data[Team],TBA_Matches_All[[#This Row],[Team]],Dyno_Data[Match],TBA_Matches_All[[#This Row],[Match_Number]],Dyno_Data[RecordType],"Activities",Dyno_Data[DelOrig],"Neut", Dyno_Data[DelMiss],"1")</f>
        <v>0</v>
      </c>
      <c r="BM235" s="60">
        <f>IFERROR(SUM((TBA_Matches_All[[#This Row],[NZflrT]])/(TBA_Matches_All[[#This Row],[NZflrT]]+TBA_Matches_All[[#This Row],[NZflrM]])),0)</f>
        <v>0</v>
      </c>
      <c r="BN235">
        <f>COUNTIFS(Dyno_Data[Team],TBA_Matches_All[[#This Row],[Team]],Dyno_Data[Match],TBA_Matches_All[[#This Row],[Match_Number]],Dyno_Data[RecordType],"Activities",Dyno_Data[DelOrig],"AllyW", Dyno_Data[DelMiss],"0")</f>
        <v>0</v>
      </c>
      <c r="BO235">
        <f>COUNTIFS(Dyno_Data[Team],TBA_Matches_All[[#This Row],[Team]],Dyno_Data[Match],TBA_Matches_All[[#This Row],[Match_Number]],Dyno_Data[RecordType],"Activities",Dyno_Data[DelOrig],"AllyW", Dyno_Data[DelMiss],"1")</f>
        <v>0</v>
      </c>
      <c r="BP235" s="60">
        <f>IFERROR(SUM((TBA_Matches_All[[#This Row],[AZflrT]])/(TBA_Matches_All[[#This Row],[AZflrT]]+TBA_Matches_All[[#This Row],[AZflrM]])),0)</f>
        <v>0</v>
      </c>
      <c r="BQ235">
        <f>COUNTIFS(Dyno_Data[Team],TBA_Matches_All[[#This Row],[Team]],Dyno_Data[Match],TBA_Matches_All[[#This Row],[Match_Number]],Dyno_Data[RecordType],"Activities",Dyno_Data[DelOrig],"SubW", Dyno_Data[DelMiss],"0")</f>
        <v>0</v>
      </c>
      <c r="BR235">
        <f>COUNTIFS(Dyno_Data[Team],TBA_Matches_All[[#This Row],[Team]],Dyno_Data[Match],TBA_Matches_All[[#This Row],[Match_Number]],Dyno_Data[RecordType],"Activities",Dyno_Data[DelOrig],"SubW", Dyno_Data[DelMiss],"1")</f>
        <v>0</v>
      </c>
      <c r="BS235" s="60">
        <f>IFERROR(SUM((TBA_Matches_All[[#This Row],[SubwT]])/(TBA_Matches_All[[#This Row],[SubwT]]+TBA_Matches_All[[#This Row],[SubwM]])),0)</f>
        <v>0</v>
      </c>
      <c r="BT235">
        <f>COUNTIFS(Dyno_Data[Team],TBA_Matches_All[[#This Row],[Team]],Dyno_Data[Match],TBA_Matches_All[[#This Row],[Match_Number]],Dyno_Data[RecordType],"Activities", Dyno_Data[AcqLoc],"OppWing")</f>
        <v>0</v>
      </c>
      <c r="BU235">
        <f>COUNTIFS(Dyno_Data[Team],TBA_Matches_All[[#This Row],[Team]],Dyno_Data[Match],TBA_Matches_All[[#This Row],[Match_Number]],Dyno_Data[RecordType],"Activities", Dyno_Data[AcqLoc],"Neutral")</f>
        <v>0</v>
      </c>
      <c r="BV235">
        <f>COUNTIFS(Dyno_Data[Team],TBA_Matches_All[[#This Row],[Team]],Dyno_Data[Match],TBA_Matches_All[[#This Row],[Match_Number]],Dyno_Data[RecordType],"Activities", Dyno_Data[AcqLoc],"AllyWing")</f>
        <v>0</v>
      </c>
      <c r="BW235">
        <f>COUNTIFS(Dyno_Data[Team],TBA_Matches_All[[#This Row],[Team]],Dyno_Data[Match],TBA_Matches_All[[#This Row],[Match_Number]],Dyno_Data[RecordType],"Activities", Dyno_Data[AcqLoc],"Source")</f>
        <v>0</v>
      </c>
      <c r="BX235">
        <f>SUMIFS(Dyno_Data[AcqDrp], Dyno_Data[Team],TBA_Matches_All[[#This Row],[Team]],Dyno_Data[Match],TBA_Matches_All[[#This Row],[Match_Number]],Dyno_Data[RecordType],"Activities", Dyno_Data[AcqLoc],"Source")</f>
        <v>0</v>
      </c>
      <c r="BY235">
        <f>SUMIFS(Dyno_Data[OZTime], Dyno_Data[Team],TBA_Matches_All[[#This Row],[Team]],Dyno_Data[Match],TBA_Matches_All[[#This Row],[Match_Number]],Dyno_Data[RecordType],"EndMatch")</f>
        <v>0</v>
      </c>
      <c r="BZ235">
        <f>SUMIFS(Dyno_Data[NZTime], Dyno_Data[Team],TBA_Matches_All[[#This Row],[Team]],Dyno_Data[Match],TBA_Matches_All[[#This Row],[Match_Number]],Dyno_Data[RecordType],"EndMatch")</f>
        <v>24.074059699999999</v>
      </c>
      <c r="CA235">
        <f>SUMIFS(Dyno_Data[AZTime], Dyno_Data[Team],TBA_Matches_All[[#This Row],[Team]],Dyno_Data[Match],TBA_Matches_All[[#This Row],[Match_Number]],Dyno_Data[RecordType],"EndMatch")</f>
        <v>112.04329559999999</v>
      </c>
      <c r="CB235">
        <f>SUMIFS(Dyno_Data[ClimbT], Dyno_Data[Team],TBA_Matches_All[[#This Row],[Team]],Dyno_Data[Match],TBA_Matches_All[[#This Row],[Match_Number]],Dyno_Data[RecordType],"EndMatch")</f>
        <v>0</v>
      </c>
      <c r="CC235" t="str">
        <f>_xlfn.XLOOKUP(SUM(MID(TBA_Matches_All[[#This Row],[Team]],4,5),(TBA_Matches_All[[#This Row],[Match_Number]]/100)),Dyno_EndMatch[teammat],Dyno_EndMatch[StageStat],"_",0,1)</f>
        <v>Park</v>
      </c>
      <c r="CD235" t="str">
        <f>_xlfn.XLOOKUP(TBA_Matches_All[[#This Row],[teammat]],Dyno_EndMatch[teammat],Dyno_EndMatch[StageAtt],"_",0,1)</f>
        <v>0</v>
      </c>
      <c r="CE235" t="str">
        <f>_xlfn.XLOOKUP(TBA_Matches_All[[#This Row],[teammat]],Dyno_EndMatch[teammat],Dyno_EndMatch[StageLoc],"_",0,1)</f>
        <v>A</v>
      </c>
      <c r="CF235">
        <f>SUMIFS(Dyno_Data[Harmony], Dyno_Data[Team],TBA_Matches_All[[#This Row],[Team]],Dyno_Data[Match],TBA_Matches_All[[#This Row],[Match_Number]],Dyno_Data[RecordType],"EndMatch", Dyno_Data[StageStat],"On",Dyno_Data[Harmony],"&lt;&gt;9")</f>
        <v>0</v>
      </c>
      <c r="CG235">
        <f>SUMIFS(Dyno_Data[Spotlit], Dyno_Data[Team],TBA_Matches_All[[#This Row],[Team]],Dyno_Data[Match],TBA_Matches_All[[#This Row],[Match_Number]],Dyno_Data[RecordType],"EndMatch", Dyno_Data[StageStat],"On",Dyno_Data[Spotlit],"&lt;&gt;9")</f>
        <v>0</v>
      </c>
      <c r="CH235" t="str">
        <f>_xlfn.XLOOKUP(TBA_Matches_All[[#This Row],[teammat]],Dyno_EndMatch[teammat],Dyno_EndMatch[Strategy],"_",0,1)</f>
        <v>None</v>
      </c>
      <c r="CI235">
        <f>SUMIFS(Dyno_Data[Defense], Dyno_Data[Team],TBA_Matches_All[[#This Row],[Team]],Dyno_Data[Match],TBA_Matches_All[[#This Row],[Match_Number]],Dyno_Data[RecordType],"EndMatch",Dyno_Data[Defense],"&lt;&gt;9")</f>
        <v>0</v>
      </c>
      <c r="CJ235">
        <f>SUMIFS(Dyno_Data[Avoidance], Dyno_Data[Team],TBA_Matches_All[[#This Row],[Team]],Dyno_Data[Match],TBA_Matches_All[[#This Row],[Match_Number]],Dyno_Data[RecordType],"EndMatch",Dyno_Data[Avoidance],"&lt;&gt;9")</f>
        <v>0</v>
      </c>
      <c r="CK235" s="82">
        <f>COUNTIF($H$2:TBA_Matches_All[[#This Row],[Team]],TBA_Matches_All[[#This Row],[Team]])</f>
        <v>5</v>
      </c>
      <c r="CL235" s="111">
        <f>SUM(MID(TBA_Matches_All[[#This Row],[Team]],4,5)+TBA_Matches_All[[#This Row],[Match_Number]]/100)</f>
        <v>229.39</v>
      </c>
      <c r="CM235">
        <f>SUM((TBA_Matches_All[[#This Row],[Leave]]*2)+(TBA_Matches_All[[#This Row],[AampT]]*2)+(TBA_Matches_All[[#This Row],[AspkrT]]*5)+(TBA_Matches_All[[#This Row],[AtrapT]]*5))</f>
        <v>2</v>
      </c>
      <c r="CN235" s="59">
        <f>IFERROR(SUM(TBA_Matches_All[[#This Row],[AptsT]]/TBA_Matches_All[[#This Row],[AutoPts]]),0)</f>
        <v>0.10526315789473684</v>
      </c>
      <c r="CO235" s="59">
        <f>IFERROR(SUM(TBA_Matches_All[[#This Row],[AampT]]+TBA_Matches_All[[#This Row],[AspkrT]]+TBA_Matches_All[[#This Row],[AtrapT]]/TBA_Matches_All[[#This Row],[Aamp]]+TBA_Matches_All[[#This Row],[Aspkr]]+TBA_Matches_All[[#This Row],[AtrapT]]),0)</f>
        <v>0</v>
      </c>
      <c r="CP235" s="59">
        <f>IFERROR(SUM(TBA_Matches_All[[#This Row],[TampT]]/TBA_Matches_All[[#This Row],[Tamp]]),0)</f>
        <v>0</v>
      </c>
      <c r="CQ235" s="59">
        <f>IFERROR(SUM(TBA_Matches_All[[#This Row],[TspkrT]]/TBA_Matches_All[[#This Row],[Tspkr]]),0)</f>
        <v>0</v>
      </c>
      <c r="CR235">
        <f>SUM(TBA_Matches_All[[#This Row],[TspkrPts]]*TBA_Matches_All[[#This Row],[TspkrP]])</f>
        <v>0</v>
      </c>
      <c r="CS235" s="59">
        <f>IFERROR(SUM(TBA_Matches_All[[#This Row],[TtrapT]]/TBA_Matches_All[[#This Row],[Trap]]),0)</f>
        <v>0</v>
      </c>
      <c r="CT235" s="59">
        <f>IFERROR(SUM(TBA_Matches_All[[#This Row],[TotNotesT]]/TBA_Matches_All[[#This Row],[TotNotes]]),0)</f>
        <v>0</v>
      </c>
      <c r="CU235" s="66">
        <f>SUM((TBA_Matches_All[[#This Row],[AampT]]*2)+(TBA_Matches_All[[#This Row],[AspkrT]]*5)+(TBA_Matches_All[[#This Row],[AtrapT]]*5)+(TBA_Matches_All[[#This Row],[TampT]]*1)+(TBA_Matches_All[[#This Row],[TspkrptsC]]))</f>
        <v>0</v>
      </c>
      <c r="CV235" s="59">
        <f>IFERROR(TBA_Matches_All[[#This Row],[noteptsT]]/TBA_Matches_All[[#This Row],[NotePts]],0)</f>
        <v>0</v>
      </c>
      <c r="CW235">
        <f>SUM(IF(TBA_Matches_All[[#This Row],[stageStat]]="On",3,0),IF(TBA_Matches_All[[#This Row],[stageStat]]="Park",1,0),SUMIFS(TBA_Matches_All[[#This Row],[Spotlit]],TBA_Matches_All[[#This Row],[stageStat]],"On"),SUMIFS(TBA_Matches_All[[#This Row],[Harmony]],TBA_Matches_All[[#This Row],[stageStat]],"On"))</f>
        <v>1</v>
      </c>
      <c r="CX235" s="59">
        <f>IFERROR(TBA_Matches_All[[#This Row],[stageptsT]]/TBA_Matches_All[[#This Row],[StagePts]],0)</f>
        <v>0.33333333333333331</v>
      </c>
      <c r="CY235">
        <f>SUM((TBA_Matches_All[[#This Row],[AptsT]]+TBA_Matches_All[[#This Row],[TampT]]+TBA_Matches_All[[#This Row],[TspkrptsC]]+(TBA_Matches_All[[#This Row],[TtrapT]]*5)+TBA_Matches_All[[#This Row],[stageptsT]]))</f>
        <v>3</v>
      </c>
      <c r="CZ235" s="59">
        <f>IFERROR(SUM(TBA_Matches_All[[#This Row],[TotptsC]]/TBA_Matches_All[[#This Row],[Score]]),0)</f>
        <v>9.0909090909090912E-2</v>
      </c>
      <c r="DA23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35" s="74">
        <f>SUMIFS(TBA_Matches_All[AveTeamTNoteDels],TBA_Matches_All[Match_Number],TBA_Matches_All[[#This Row],[Match_Number]],TBA_Matches_All[Alliance],"&lt;&gt;"&amp;TBA_Matches_All[[#This Row],[Alliance]],TBA_Matches_All[Scouted],"&gt;0")</f>
        <v>24.198095238095242</v>
      </c>
      <c r="DC235" s="74">
        <f>(TBA_Matches_All[[#This Row],[TampT]]+TBA_Matches_All[[#This Row],[TspkrptsC]])-TBA_Matches_All[[#This Row],[AveTeamTNoteDels]]</f>
        <v>0</v>
      </c>
      <c r="DD235" s="74">
        <f>SUMIFS(TBA_Matches_All[AveTeamTNoteDels],TBA_Matches_All[Match_Number],TBA_Matches_All[[#This Row],[Match_Number]],TBA_Matches_All[Alliance],"&lt;&gt;"&amp;TBA_Matches_All[[#This Row],[Alliance]])-TBA_Matches_All[[#This Row],[AveOppTNoteDels]]</f>
        <v>0</v>
      </c>
    </row>
    <row r="236" spans="1:108" x14ac:dyDescent="0.3">
      <c r="A236" t="s">
        <v>1042</v>
      </c>
      <c r="B236" t="s">
        <v>489</v>
      </c>
      <c r="C236" t="s">
        <v>1348</v>
      </c>
      <c r="D236">
        <v>39</v>
      </c>
      <c r="E236" t="s">
        <v>1406</v>
      </c>
      <c r="F236" t="s">
        <v>1426</v>
      </c>
      <c r="G236" t="s">
        <v>164</v>
      </c>
      <c r="H236" t="s">
        <v>368</v>
      </c>
      <c r="I236" t="b">
        <v>0</v>
      </c>
      <c r="J236">
        <v>58</v>
      </c>
      <c r="K236">
        <v>0</v>
      </c>
      <c r="L236">
        <v>0</v>
      </c>
      <c r="M236">
        <v>0</v>
      </c>
      <c r="N236">
        <v>0</v>
      </c>
      <c r="O236">
        <v>1</v>
      </c>
      <c r="P236">
        <v>5</v>
      </c>
      <c r="Q236">
        <v>9</v>
      </c>
      <c r="R236">
        <v>0</v>
      </c>
      <c r="S236">
        <v>0</v>
      </c>
      <c r="T236">
        <v>9</v>
      </c>
      <c r="U236">
        <v>0</v>
      </c>
      <c r="V236">
        <v>18</v>
      </c>
      <c r="W236">
        <v>9</v>
      </c>
      <c r="X236">
        <v>18</v>
      </c>
      <c r="Y236">
        <v>18</v>
      </c>
      <c r="Z236">
        <v>0</v>
      </c>
      <c r="AA236">
        <v>0</v>
      </c>
      <c r="AB236">
        <v>10</v>
      </c>
      <c r="AC236">
        <v>23</v>
      </c>
      <c r="AD236">
        <v>4</v>
      </c>
      <c r="AE236">
        <f>IFERROR(6/(COUNTIF(Dyno_EndMatch[Match],TBA_Matches_All[[#This Row],[Match_Number]])),0)</f>
        <v>1</v>
      </c>
      <c r="AF236">
        <f>COUNTIFS(Dyno_Data[Team],TBA_Matches_All[[#This Row],[Team]],Dyno_Data[Match],TBA_Matches_All[[#This Row],[Match_Number]],Dyno_Data[RecordType],"EndMatch",Dyno_Data[HPAmp],"Y")</f>
        <v>0</v>
      </c>
      <c r="AG236">
        <f>SUMIFS(Dyno_Data[Mics], Dyno_Data[Team],TBA_Matches_All[[#This Row],[Team]],Dyno_Data[Match],TBA_Matches_All[[#This Row],[Match_Number]],Dyno_Data[RecordType],"EndMatch",Dyno_Data[HPAmp],"Y")</f>
        <v>0</v>
      </c>
      <c r="AH236">
        <f>SUMIFS(Dyno_Data[Leave], Dyno_Data[Team],TBA_Matches_All[[#This Row],[Team]],Dyno_Data[Match],TBA_Matches_All[[#This Row],[Match_Number]],Dyno_Data[RecordType],"EndAuto")</f>
        <v>1</v>
      </c>
      <c r="AI236">
        <f>COUNTIFS(Dyno_Data[Team],TBA_Matches_All[[#This Row],[Team]],Dyno_Data[Match],TBA_Matches_All[[#This Row],[Match_Number]],Dyno_Data[RecordType],"Activities",Dyno_Data[DelDest],"Amp", Dyno_Data[DelMiss],"0", Dyno_Data[Mode],"Auto")</f>
        <v>0</v>
      </c>
      <c r="AJ236">
        <f>COUNTIFS(Dyno_Data[Team],TBA_Matches_All[[#This Row],[Team]],Dyno_Data[Match],TBA_Matches_All[[#This Row],[Match_Number]],Dyno_Data[RecordType],"Activities",Dyno_Data[DelDest],"Spkr", Dyno_Data[DelMiss],"0", Dyno_Data[Mode],"Auto")</f>
        <v>2</v>
      </c>
      <c r="AK236">
        <f>COUNTIFS(Dyno_Data[Team],TBA_Matches_All[[#This Row],[Team]],Dyno_Data[Match],TBA_Matches_All[[#This Row],[Match_Number]],Dyno_Data[RecordType],"Activities",Dyno_Data[DelDest],"Trap", Dyno_Data[DelMiss],"0", Dyno_Data[Mode],"Auto")</f>
        <v>0</v>
      </c>
      <c r="AL236">
        <f>COUNTIFS(Dyno_Data[Team],TBA_Matches_All[[#This Row],[Team]],Dyno_Data[Match],TBA_Matches_All[[#This Row],[Match_Number]],Dyno_Data[RecordType],"Activities",Dyno_Data[DelDest],"Amp", Dyno_Data[DelMiss],"0", Dyno_Data[Mode],"Teleop")</f>
        <v>0</v>
      </c>
      <c r="AM236">
        <f>COUNTIFS(Dyno_Data[Team],TBA_Matches_All[[#This Row],[Team]],Dyno_Data[Match],TBA_Matches_All[[#This Row],[Match_Number]],Dyno_Data[RecordType],"Activities",Dyno_Data[DelDest],"Spkr", Dyno_Data[DelMiss],"0", Dyno_Data[Mode],"Teleop")</f>
        <v>3</v>
      </c>
      <c r="AN236">
        <f>COUNTIFS(Dyno_Data[Team],TBA_Matches_All[[#This Row],[Team]],Dyno_Data[Match],TBA_Matches_All[[#This Row],[Match_Number]],Dyno_Data[RecordType],"Activities",Dyno_Data[DelDest],"Trap", Dyno_Data[DelMiss],"0", Dyno_Data[Mode],"&lt;&gt;Auto")</f>
        <v>0</v>
      </c>
      <c r="AO236">
        <f>SUM(TBA_Matches_All[[#This Row],[AampT]]+TBA_Matches_All[[#This Row],[AspkrT]]+TBA_Matches_All[[#This Row],[AtrapT]]+TBA_Matches_All[[#This Row],[TampT]]+TBA_Matches_All[[#This Row],[TspkrT]]+TBA_Matches_All[[#This Row],[TtrapT]])</f>
        <v>5</v>
      </c>
      <c r="AP236">
        <f>COUNTIFS(Dyno_Data[Team],TBA_Matches_All[[#This Row],[Team]],Dyno_Data[Match],TBA_Matches_All[[#This Row],[Match_Number]],Dyno_Data[RecordType],"Activities",Dyno_Data[DelDest],"Neut", Dyno_Data[DelMiss],"0")</f>
        <v>0</v>
      </c>
      <c r="AQ236">
        <f>COUNTIFS(Dyno_Data[Team],TBA_Matches_All[[#This Row],[Team]],Dyno_Data[Match],TBA_Matches_All[[#This Row],[Match_Number]],Dyno_Data[RecordType],"Activities",Dyno_Data[DelDest],"AllyW", Dyno_Data[DelMiss],"0")</f>
        <v>0</v>
      </c>
      <c r="AR236" t="str">
        <f>_xlfn.XLOOKUP(SUM(MID(TBA_Matches_All[[#This Row],[Team]],4,5),(TBA_Matches_All[[#This Row],[Match_Number]]/100)),Dyno_EndMatch[teammat],Dyno_EndMatch[RobotSta],"_",0,1)</f>
        <v>Amp</v>
      </c>
      <c r="AS236">
        <f>SUMIFS(Dyno_Data[AcqDis], Dyno_Data[Team],TBA_Matches_All[[#This Row],[Team]],Dyno_Data[Match],TBA_Matches_All[[#This Row],[Match_Number]],Dyno_Data[RecordType],"Activities", Dyno_Data[AcqCenter],1,Dyno_Data[Mode],"Auto")</f>
        <v>0</v>
      </c>
      <c r="AT236">
        <f>SUMIFS(Dyno_Data[AcqDis], Dyno_Data[Team],TBA_Matches_All[[#This Row],[Team]],Dyno_Data[Match],TBA_Matches_All[[#This Row],[Match_Number]],Dyno_Data[RecordType],"Activities", Dyno_Data[AcqCenter],2,Dyno_Data[Mode],"Auto")</f>
        <v>0</v>
      </c>
      <c r="AU236">
        <f>SUMIFS(Dyno_Data[AcqDis], Dyno_Data[Team],TBA_Matches_All[[#This Row],[Team]],Dyno_Data[Match],TBA_Matches_All[[#This Row],[Match_Number]],Dyno_Data[RecordType],"Activities", Dyno_Data[AcqCenter],3,Dyno_Data[Mode],"Auto")</f>
        <v>0</v>
      </c>
      <c r="AV236">
        <f>SUMIFS(Dyno_Data[AcqDis], Dyno_Data[Team],TBA_Matches_All[[#This Row],[Team]],Dyno_Data[Match],TBA_Matches_All[[#This Row],[Match_Number]],Dyno_Data[RecordType],"Activities", Dyno_Data[AcqCenter],4,Dyno_Data[Mode],"Auto")</f>
        <v>0</v>
      </c>
      <c r="AW236">
        <f>SUMIFS(Dyno_Data[AcqDis], Dyno_Data[Team],TBA_Matches_All[[#This Row],[Team]],Dyno_Data[Match],TBA_Matches_All[[#This Row],[Match_Number]],Dyno_Data[RecordType],"Activities", Dyno_Data[AcqCenter],5,Dyno_Data[Mode],"Auto")</f>
        <v>0</v>
      </c>
      <c r="AX236">
        <f>SUMIFS(Dyno_Data[DelMiss], Dyno_Data[Team],TBA_Matches_All[[#This Row],[Team]],Dyno_Data[Match],TBA_Matches_All[[#This Row],[Match_Number]],Dyno_Data[RecordType],"Activities", Dyno_Data[DelDest],"Amp")</f>
        <v>0</v>
      </c>
      <c r="AY236" s="60">
        <f>IFERROR(SUM((TBA_Matches_All[[#This Row],[AampT]]+TBA_Matches_All[[#This Row],[TampT]])/(TBA_Matches_All[[#This Row],[AampT]]+TBA_Matches_All[[#This Row],[TampT]]+TBA_Matches_All[[#This Row],[ampM]])),0)</f>
        <v>0</v>
      </c>
      <c r="AZ236">
        <f>SUMIFS(Dyno_Data[DelMiss], Dyno_Data[Team],TBA_Matches_All[[#This Row],[Team]],Dyno_Data[Match],TBA_Matches_All[[#This Row],[Match_Number]],Dyno_Data[RecordType],"Activities", Dyno_Data[DelDest],"Spkr")</f>
        <v>2</v>
      </c>
      <c r="BA236" s="60">
        <f>IFERROR(SUM((TBA_Matches_All[[#This Row],[AspkrT]]+TBA_Matches_All[[#This Row],[TspkrT]])/(TBA_Matches_All[[#This Row],[AspkrT]]+TBA_Matches_All[[#This Row],[TspkrT]]+TBA_Matches_All[[#This Row],[spkrM]])),0)</f>
        <v>0.7142857142857143</v>
      </c>
      <c r="BB236">
        <f>SUMIFS(Dyno_Data[DelMiss], Dyno_Data[Team],TBA_Matches_All[[#This Row],[Team]],Dyno_Data[Match],TBA_Matches_All[[#This Row],[Match_Number]],Dyno_Data[RecordType],"Activities", Dyno_Data[DelDest],"Trap")</f>
        <v>0</v>
      </c>
      <c r="BC236" s="60">
        <f>IFERROR((TBA_Matches_All[[#This Row],[AtrapT]]+TBA_Matches_All[[#This Row],[TtrapT]])/(TBA_Matches_All[[#This Row],[AtrapT]]+TBA_Matches_All[[#This Row],[TtrapT]]+TBA_Matches_All[[#This Row],[trapM]]),0)</f>
        <v>0</v>
      </c>
      <c r="BD236">
        <f>COUNTIFS(Dyno_Data[Team],TBA_Matches_All[[#This Row],[Team]],Dyno_Data[Match],TBA_Matches_All[[#This Row],[Match_Number]],Dyno_Data[RecordType],"Activities",Dyno_Data[DelDest],"Neut", Dyno_Data[DelMiss],1)</f>
        <v>0</v>
      </c>
      <c r="BE236" s="60">
        <f>IFERROR(SUM((TBA_Matches_All[[#This Row],[NeutFlrT]])/(TBA_Matches_All[[#This Row],[NeutFlrT]]+TBA_Matches_All[[#This Row],[NZflM]])),0)</f>
        <v>0</v>
      </c>
      <c r="BF236">
        <f>COUNTIFS(Dyno_Data[Team],TBA_Matches_All[[#This Row],[Team]],Dyno_Data[Match],TBA_Matches_All[[#This Row],[Match_Number]],Dyno_Data[RecordType],"Activities",Dyno_Data[DelDest],"AllyW", Dyno_Data[DelMiss],1)</f>
        <v>0</v>
      </c>
      <c r="BG236" s="60">
        <f>IFERROR(SUM((TBA_Matches_All[[#This Row],[AllyWFlrT]])/(TBA_Matches_All[[#This Row],[AllyWFlrT]]+TBA_Matches_All[[#This Row],[AZflM]])),0)</f>
        <v>0</v>
      </c>
      <c r="BH236">
        <f>COUNTIFS(Dyno_Data[Team],TBA_Matches_All[[#This Row],[Team]],Dyno_Data[Match],TBA_Matches_All[[#This Row],[Match_Number]],Dyno_Data[RecordType],"Activities",Dyno_Data[DelOrig],"OppW", Dyno_Data[DelMiss],"0")</f>
        <v>0</v>
      </c>
      <c r="BI236">
        <f>COUNTIFS(Dyno_Data[Team],TBA_Matches_All[[#This Row],[Team]],Dyno_Data[Match],TBA_Matches_All[[#This Row],[Match_Number]],Dyno_Data[RecordType],"Activities",Dyno_Data[DelOrig],"OppW", Dyno_Data[DelMiss],"1")</f>
        <v>0</v>
      </c>
      <c r="BJ236" s="60">
        <f>IFERROR(SUM((TBA_Matches_All[[#This Row],[OZflrT]])/(TBA_Matches_All[[#This Row],[OZflrT]]+TBA_Matches_All[[#This Row],[OZflrM]])),0)</f>
        <v>0</v>
      </c>
      <c r="BK236">
        <f>COUNTIFS(Dyno_Data[Team],TBA_Matches_All[[#This Row],[Team]],Dyno_Data[Match],TBA_Matches_All[[#This Row],[Match_Number]],Dyno_Data[RecordType],"Activities",Dyno_Data[DelOrig],"Neut", Dyno_Data[DelMiss],"0")</f>
        <v>0</v>
      </c>
      <c r="BL236">
        <f>COUNTIFS(Dyno_Data[Team],TBA_Matches_All[[#This Row],[Team]],Dyno_Data[Match],TBA_Matches_All[[#This Row],[Match_Number]],Dyno_Data[RecordType],"Activities",Dyno_Data[DelOrig],"Neut", Dyno_Data[DelMiss],"1")</f>
        <v>0</v>
      </c>
      <c r="BM236" s="60">
        <f>IFERROR(SUM((TBA_Matches_All[[#This Row],[NZflrT]])/(TBA_Matches_All[[#This Row],[NZflrT]]+TBA_Matches_All[[#This Row],[NZflrM]])),0)</f>
        <v>0</v>
      </c>
      <c r="BN236">
        <f>COUNTIFS(Dyno_Data[Team],TBA_Matches_All[[#This Row],[Team]],Dyno_Data[Match],TBA_Matches_All[[#This Row],[Match_Number]],Dyno_Data[RecordType],"Activities",Dyno_Data[DelOrig],"AllyW", Dyno_Data[DelMiss],"0")</f>
        <v>2</v>
      </c>
      <c r="BO236">
        <f>COUNTIFS(Dyno_Data[Team],TBA_Matches_All[[#This Row],[Team]],Dyno_Data[Match],TBA_Matches_All[[#This Row],[Match_Number]],Dyno_Data[RecordType],"Activities",Dyno_Data[DelOrig],"AllyW", Dyno_Data[DelMiss],"1")</f>
        <v>1</v>
      </c>
      <c r="BP236" s="60">
        <f>IFERROR(SUM((TBA_Matches_All[[#This Row],[AZflrT]])/(TBA_Matches_All[[#This Row],[AZflrT]]+TBA_Matches_All[[#This Row],[AZflrM]])),0)</f>
        <v>0.66666666666666663</v>
      </c>
      <c r="BQ236">
        <f>COUNTIFS(Dyno_Data[Team],TBA_Matches_All[[#This Row],[Team]],Dyno_Data[Match],TBA_Matches_All[[#This Row],[Match_Number]],Dyno_Data[RecordType],"Activities",Dyno_Data[DelOrig],"SubW", Dyno_Data[DelMiss],"0")</f>
        <v>3</v>
      </c>
      <c r="BR236">
        <f>COUNTIFS(Dyno_Data[Team],TBA_Matches_All[[#This Row],[Team]],Dyno_Data[Match],TBA_Matches_All[[#This Row],[Match_Number]],Dyno_Data[RecordType],"Activities",Dyno_Data[DelOrig],"SubW", Dyno_Data[DelMiss],"1")</f>
        <v>1</v>
      </c>
      <c r="BS236" s="60">
        <f>IFERROR(SUM((TBA_Matches_All[[#This Row],[SubwT]])/(TBA_Matches_All[[#This Row],[SubwT]]+TBA_Matches_All[[#This Row],[SubwM]])),0)</f>
        <v>0.75</v>
      </c>
      <c r="BT236">
        <f>COUNTIFS(Dyno_Data[Team],TBA_Matches_All[[#This Row],[Team]],Dyno_Data[Match],TBA_Matches_All[[#This Row],[Match_Number]],Dyno_Data[RecordType],"Activities", Dyno_Data[AcqLoc],"OppWing")</f>
        <v>0</v>
      </c>
      <c r="BU236">
        <f>COUNTIFS(Dyno_Data[Team],TBA_Matches_All[[#This Row],[Team]],Dyno_Data[Match],TBA_Matches_All[[#This Row],[Match_Number]],Dyno_Data[RecordType],"Activities", Dyno_Data[AcqLoc],"Neutral")</f>
        <v>0</v>
      </c>
      <c r="BV236">
        <f>COUNTIFS(Dyno_Data[Team],TBA_Matches_All[[#This Row],[Team]],Dyno_Data[Match],TBA_Matches_All[[#This Row],[Match_Number]],Dyno_Data[RecordType],"Activities", Dyno_Data[AcqLoc],"AllyWing")</f>
        <v>0</v>
      </c>
      <c r="BW236">
        <f>COUNTIFS(Dyno_Data[Team],TBA_Matches_All[[#This Row],[Team]],Dyno_Data[Match],TBA_Matches_All[[#This Row],[Match_Number]],Dyno_Data[RecordType],"Activities", Dyno_Data[AcqLoc],"Source")</f>
        <v>0</v>
      </c>
      <c r="BX236">
        <f>SUMIFS(Dyno_Data[AcqDrp], Dyno_Data[Team],TBA_Matches_All[[#This Row],[Team]],Dyno_Data[Match],TBA_Matches_All[[#This Row],[Match_Number]],Dyno_Data[RecordType],"Activities", Dyno_Data[AcqLoc],"Source")</f>
        <v>0</v>
      </c>
      <c r="BY236">
        <f>SUMIFS(Dyno_Data[OZTime], Dyno_Data[Team],TBA_Matches_All[[#This Row],[Team]],Dyno_Data[Match],TBA_Matches_All[[#This Row],[Match_Number]],Dyno_Data[RecordType],"EndMatch")</f>
        <v>0</v>
      </c>
      <c r="BZ236">
        <f>SUMIFS(Dyno_Data[NZTime], Dyno_Data[Team],TBA_Matches_All[[#This Row],[Team]],Dyno_Data[Match],TBA_Matches_All[[#This Row],[Match_Number]],Dyno_Data[RecordType],"EndMatch")</f>
        <v>10.997423099999999</v>
      </c>
      <c r="CA236">
        <f>SUMIFS(Dyno_Data[AZTime], Dyno_Data[Team],TBA_Matches_All[[#This Row],[Team]],Dyno_Data[Match],TBA_Matches_All[[#This Row],[Match_Number]],Dyno_Data[RecordType],"EndMatch")</f>
        <v>102.8609489</v>
      </c>
      <c r="CB236">
        <f>SUMIFS(Dyno_Data[ClimbT], Dyno_Data[Team],TBA_Matches_All[[#This Row],[Team]],Dyno_Data[Match],TBA_Matches_All[[#This Row],[Match_Number]],Dyno_Data[RecordType],"EndMatch")</f>
        <v>17.456511599999999</v>
      </c>
      <c r="CC236" t="str">
        <f>_xlfn.XLOOKUP(SUM(MID(TBA_Matches_All[[#This Row],[Team]],4,5),(TBA_Matches_All[[#This Row],[Match_Number]]/100)),Dyno_EndMatch[teammat],Dyno_EndMatch[StageStat],"_",0,1)</f>
        <v>On</v>
      </c>
      <c r="CD236" t="str">
        <f>_xlfn.XLOOKUP(TBA_Matches_All[[#This Row],[teammat]],Dyno_EndMatch[teammat],Dyno_EndMatch[StageAtt],"_",0,1)</f>
        <v>1</v>
      </c>
      <c r="CE236" t="str">
        <f>_xlfn.XLOOKUP(TBA_Matches_All[[#This Row],[teammat]],Dyno_EndMatch[teammat],Dyno_EndMatch[StageLoc],"_",0,1)</f>
        <v>C</v>
      </c>
      <c r="CF236">
        <f>SUMIFS(Dyno_Data[Harmony], Dyno_Data[Team],TBA_Matches_All[[#This Row],[Team]],Dyno_Data[Match],TBA_Matches_All[[#This Row],[Match_Number]],Dyno_Data[RecordType],"EndMatch", Dyno_Data[StageStat],"On",Dyno_Data[Harmony],"&lt;&gt;9")</f>
        <v>0</v>
      </c>
      <c r="CG236">
        <f>SUMIFS(Dyno_Data[Spotlit], Dyno_Data[Team],TBA_Matches_All[[#This Row],[Team]],Dyno_Data[Match],TBA_Matches_All[[#This Row],[Match_Number]],Dyno_Data[RecordType],"EndMatch", Dyno_Data[StageStat],"On",Dyno_Data[Spotlit],"&lt;&gt;9")</f>
        <v>0</v>
      </c>
      <c r="CH236" t="str">
        <f>_xlfn.XLOOKUP(TBA_Matches_All[[#This Row],[teammat]],Dyno_EndMatch[teammat],Dyno_EndMatch[Strategy],"_",0,1)</f>
        <v>Hybrid</v>
      </c>
      <c r="CI236">
        <f>SUMIFS(Dyno_Data[Defense], Dyno_Data[Team],TBA_Matches_All[[#This Row],[Team]],Dyno_Data[Match],TBA_Matches_All[[#This Row],[Match_Number]],Dyno_Data[RecordType],"EndMatch",Dyno_Data[Defense],"&lt;&gt;9")</f>
        <v>0</v>
      </c>
      <c r="CJ236">
        <f>SUMIFS(Dyno_Data[Avoidance], Dyno_Data[Team],TBA_Matches_All[[#This Row],[Team]],Dyno_Data[Match],TBA_Matches_All[[#This Row],[Match_Number]],Dyno_Data[RecordType],"EndMatch",Dyno_Data[Avoidance],"&lt;&gt;9")</f>
        <v>3</v>
      </c>
      <c r="CK236" s="82">
        <f>COUNTIF($H$2:TBA_Matches_All[[#This Row],[Team]],TBA_Matches_All[[#This Row],[Team]])</f>
        <v>5</v>
      </c>
      <c r="CL236" s="111">
        <f>SUM(MID(TBA_Matches_All[[#This Row],[Team]],4,5)+TBA_Matches_All[[#This Row],[Match_Number]]/100)</f>
        <v>6401.39</v>
      </c>
      <c r="CM236">
        <f>SUM((TBA_Matches_All[[#This Row],[Leave]]*2)+(TBA_Matches_All[[#This Row],[AampT]]*2)+(TBA_Matches_All[[#This Row],[AspkrT]]*5)+(TBA_Matches_All[[#This Row],[AtrapT]]*5))</f>
        <v>12</v>
      </c>
      <c r="CN236" s="59">
        <f>IFERROR(SUM(TBA_Matches_All[[#This Row],[AptsT]]/TBA_Matches_All[[#This Row],[AutoPts]]),0)</f>
        <v>1.3333333333333333</v>
      </c>
      <c r="CO236" s="59">
        <f>IFERROR(SUM(TBA_Matches_All[[#This Row],[AampT]]+TBA_Matches_All[[#This Row],[AspkrT]]+TBA_Matches_All[[#This Row],[AtrapT]]/TBA_Matches_All[[#This Row],[Aamp]]+TBA_Matches_All[[#This Row],[Aspkr]]+TBA_Matches_All[[#This Row],[AtrapT]]),0)</f>
        <v>0</v>
      </c>
      <c r="CP236" s="59">
        <f>IFERROR(SUM(TBA_Matches_All[[#This Row],[TampT]]/TBA_Matches_All[[#This Row],[Tamp]]),0)</f>
        <v>0</v>
      </c>
      <c r="CQ236" s="59">
        <f>IFERROR(SUM(TBA_Matches_All[[#This Row],[TspkrT]]/TBA_Matches_All[[#This Row],[Tspkr]]),0)</f>
        <v>0.33333333333333331</v>
      </c>
      <c r="CR236">
        <f>SUM(TBA_Matches_All[[#This Row],[TspkrPts]]*TBA_Matches_All[[#This Row],[TspkrP]])</f>
        <v>6</v>
      </c>
      <c r="CS236" s="59">
        <f>IFERROR(SUM(TBA_Matches_All[[#This Row],[TtrapT]]/TBA_Matches_All[[#This Row],[Trap]]),0)</f>
        <v>0</v>
      </c>
      <c r="CT236" s="59">
        <f>IFERROR(SUM(TBA_Matches_All[[#This Row],[TotNotesT]]/TBA_Matches_All[[#This Row],[TotNotes]]),0)</f>
        <v>0.5</v>
      </c>
      <c r="CU236" s="66">
        <f>SUM((TBA_Matches_All[[#This Row],[AampT]]*2)+(TBA_Matches_All[[#This Row],[AspkrT]]*5)+(TBA_Matches_All[[#This Row],[AtrapT]]*5)+(TBA_Matches_All[[#This Row],[TampT]]*1)+(TBA_Matches_All[[#This Row],[TspkrptsC]]))</f>
        <v>16</v>
      </c>
      <c r="CV236" s="59">
        <f>IFERROR(TBA_Matches_All[[#This Row],[noteptsT]]/TBA_Matches_All[[#This Row],[NotePts]],0)</f>
        <v>0.69565217391304346</v>
      </c>
      <c r="CW236">
        <f>SUM(IF(TBA_Matches_All[[#This Row],[stageStat]]="On",3,0),IF(TBA_Matches_All[[#This Row],[stageStat]]="Park",1,0),SUMIFS(TBA_Matches_All[[#This Row],[Spotlit]],TBA_Matches_All[[#This Row],[stageStat]],"On"),SUMIFS(TBA_Matches_All[[#This Row],[Harmony]],TBA_Matches_All[[#This Row],[stageStat]],"On"))</f>
        <v>3</v>
      </c>
      <c r="CX236" s="59">
        <f>IFERROR(TBA_Matches_All[[#This Row],[stageptsT]]/TBA_Matches_All[[#This Row],[StagePts]],0)</f>
        <v>0.75</v>
      </c>
      <c r="CY236">
        <f>SUM((TBA_Matches_All[[#This Row],[AptsT]]+TBA_Matches_All[[#This Row],[TampT]]+TBA_Matches_All[[#This Row],[TspkrptsC]]+(TBA_Matches_All[[#This Row],[TtrapT]]*5)+TBA_Matches_All[[#This Row],[stageptsT]]))</f>
        <v>21</v>
      </c>
      <c r="CZ236" s="59">
        <f>IFERROR(SUM(TBA_Matches_All[[#This Row],[TotptsC]]/TBA_Matches_All[[#This Row],[Score]]),0)</f>
        <v>0.36206896551724138</v>
      </c>
      <c r="DA23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3.96</v>
      </c>
      <c r="DB236" s="74">
        <f>SUMIFS(TBA_Matches_All[AveTeamTNoteDels],TBA_Matches_All[Match_Number],TBA_Matches_All[[#This Row],[Match_Number]],TBA_Matches_All[Alliance],"&lt;&gt;"&amp;TBA_Matches_All[[#This Row],[Alliance]],TBA_Matches_All[Scouted],"&gt;0")</f>
        <v>8.7333333333333343</v>
      </c>
      <c r="DC236" s="74">
        <f>(TBA_Matches_All[[#This Row],[TampT]]+TBA_Matches_All[[#This Row],[TspkrptsC]])-TBA_Matches_All[[#This Row],[AveTeamTNoteDels]]</f>
        <v>2.04</v>
      </c>
      <c r="DD236" s="74">
        <f>SUMIFS(TBA_Matches_All[AveTeamTNoteDels],TBA_Matches_All[Match_Number],TBA_Matches_All[[#This Row],[Match_Number]],TBA_Matches_All[Alliance],"&lt;&gt;"&amp;TBA_Matches_All[[#This Row],[Alliance]])-TBA_Matches_All[[#This Row],[AveOppTNoteDels]]</f>
        <v>0</v>
      </c>
    </row>
    <row r="237" spans="1:108" x14ac:dyDescent="0.3">
      <c r="A237" t="s">
        <v>1042</v>
      </c>
      <c r="B237" t="s">
        <v>489</v>
      </c>
      <c r="C237" t="s">
        <v>1349</v>
      </c>
      <c r="D237">
        <v>40</v>
      </c>
      <c r="E237" t="s">
        <v>1420</v>
      </c>
      <c r="F237" t="s">
        <v>1421</v>
      </c>
      <c r="G237" t="s">
        <v>164</v>
      </c>
      <c r="H237" t="s">
        <v>373</v>
      </c>
      <c r="I237" t="b">
        <v>1</v>
      </c>
      <c r="J237">
        <v>45</v>
      </c>
      <c r="K237">
        <v>0</v>
      </c>
      <c r="L237">
        <v>0</v>
      </c>
      <c r="M237">
        <v>10</v>
      </c>
      <c r="N237">
        <v>0</v>
      </c>
      <c r="O237">
        <v>3</v>
      </c>
      <c r="P237">
        <v>15</v>
      </c>
      <c r="Q237">
        <v>21</v>
      </c>
      <c r="R237">
        <v>5</v>
      </c>
      <c r="S237">
        <v>1</v>
      </c>
      <c r="T237">
        <v>1</v>
      </c>
      <c r="U237">
        <v>5</v>
      </c>
      <c r="V237">
        <v>2</v>
      </c>
      <c r="W237">
        <v>2</v>
      </c>
      <c r="X237">
        <v>7</v>
      </c>
      <c r="Y237">
        <v>12</v>
      </c>
      <c r="Z237">
        <v>0</v>
      </c>
      <c r="AA237">
        <v>0</v>
      </c>
      <c r="AB237">
        <v>10</v>
      </c>
      <c r="AC237">
        <v>27</v>
      </c>
      <c r="AD237">
        <v>7</v>
      </c>
      <c r="AE237">
        <f>IFERROR(6/(COUNTIF(Dyno_EndMatch[Match],TBA_Matches_All[[#This Row],[Match_Number]])),0)</f>
        <v>1</v>
      </c>
      <c r="AF237">
        <f>COUNTIFS(Dyno_Data[Team],TBA_Matches_All[[#This Row],[Team]],Dyno_Data[Match],TBA_Matches_All[[#This Row],[Match_Number]],Dyno_Data[RecordType],"EndMatch",Dyno_Data[HPAmp],"Y")</f>
        <v>0</v>
      </c>
      <c r="AG237">
        <f>SUMIFS(Dyno_Data[Mics], Dyno_Data[Team],TBA_Matches_All[[#This Row],[Team]],Dyno_Data[Match],TBA_Matches_All[[#This Row],[Match_Number]],Dyno_Data[RecordType],"EndMatch",Dyno_Data[HPAmp],"Y")</f>
        <v>0</v>
      </c>
      <c r="AH237">
        <f>SUMIFS(Dyno_Data[Leave], Dyno_Data[Team],TBA_Matches_All[[#This Row],[Team]],Dyno_Data[Match],TBA_Matches_All[[#This Row],[Match_Number]],Dyno_Data[RecordType],"EndAuto")</f>
        <v>1</v>
      </c>
      <c r="AI237">
        <f>COUNTIFS(Dyno_Data[Team],TBA_Matches_All[[#This Row],[Team]],Dyno_Data[Match],TBA_Matches_All[[#This Row],[Match_Number]],Dyno_Data[RecordType],"Activities",Dyno_Data[DelDest],"Amp", Dyno_Data[DelMiss],"0", Dyno_Data[Mode],"Auto")</f>
        <v>0</v>
      </c>
      <c r="AJ237">
        <f>COUNTIFS(Dyno_Data[Team],TBA_Matches_All[[#This Row],[Team]],Dyno_Data[Match],TBA_Matches_All[[#This Row],[Match_Number]],Dyno_Data[RecordType],"Activities",Dyno_Data[DelDest],"Spkr", Dyno_Data[DelMiss],"0", Dyno_Data[Mode],"Auto")</f>
        <v>0</v>
      </c>
      <c r="AK237">
        <f>COUNTIFS(Dyno_Data[Team],TBA_Matches_All[[#This Row],[Team]],Dyno_Data[Match],TBA_Matches_All[[#This Row],[Match_Number]],Dyno_Data[RecordType],"Activities",Dyno_Data[DelDest],"Trap", Dyno_Data[DelMiss],"0", Dyno_Data[Mode],"Auto")</f>
        <v>0</v>
      </c>
      <c r="AL237">
        <f>COUNTIFS(Dyno_Data[Team],TBA_Matches_All[[#This Row],[Team]],Dyno_Data[Match],TBA_Matches_All[[#This Row],[Match_Number]],Dyno_Data[RecordType],"Activities",Dyno_Data[DelDest],"Amp", Dyno_Data[DelMiss],"0", Dyno_Data[Mode],"Teleop")</f>
        <v>0</v>
      </c>
      <c r="AM237">
        <f>COUNTIFS(Dyno_Data[Team],TBA_Matches_All[[#This Row],[Team]],Dyno_Data[Match],TBA_Matches_All[[#This Row],[Match_Number]],Dyno_Data[RecordType],"Activities",Dyno_Data[DelDest],"Spkr", Dyno_Data[DelMiss],"0", Dyno_Data[Mode],"Teleop")</f>
        <v>0</v>
      </c>
      <c r="AN237">
        <f>COUNTIFS(Dyno_Data[Team],TBA_Matches_All[[#This Row],[Team]],Dyno_Data[Match],TBA_Matches_All[[#This Row],[Match_Number]],Dyno_Data[RecordType],"Activities",Dyno_Data[DelDest],"Trap", Dyno_Data[DelMiss],"0", Dyno_Data[Mode],"&lt;&gt;Auto")</f>
        <v>0</v>
      </c>
      <c r="AO237">
        <f>SUM(TBA_Matches_All[[#This Row],[AampT]]+TBA_Matches_All[[#This Row],[AspkrT]]+TBA_Matches_All[[#This Row],[AtrapT]]+TBA_Matches_All[[#This Row],[TampT]]+TBA_Matches_All[[#This Row],[TspkrT]]+TBA_Matches_All[[#This Row],[TtrapT]])</f>
        <v>0</v>
      </c>
      <c r="AP237">
        <f>COUNTIFS(Dyno_Data[Team],TBA_Matches_All[[#This Row],[Team]],Dyno_Data[Match],TBA_Matches_All[[#This Row],[Match_Number]],Dyno_Data[RecordType],"Activities",Dyno_Data[DelDest],"Neut", Dyno_Data[DelMiss],"0")</f>
        <v>0</v>
      </c>
      <c r="AQ237">
        <f>COUNTIFS(Dyno_Data[Team],TBA_Matches_All[[#This Row],[Team]],Dyno_Data[Match],TBA_Matches_All[[#This Row],[Match_Number]],Dyno_Data[RecordType],"Activities",Dyno_Data[DelDest],"AllyW", Dyno_Data[DelMiss],"0")</f>
        <v>0</v>
      </c>
      <c r="AR237" t="str">
        <f>_xlfn.XLOOKUP(SUM(MID(TBA_Matches_All[[#This Row],[Team]],4,5),(TBA_Matches_All[[#This Row],[Match_Number]]/100)),Dyno_EndMatch[teammat],Dyno_EndMatch[RobotSta],"_",0,1)</f>
        <v>Podm</v>
      </c>
      <c r="AS237">
        <f>SUMIFS(Dyno_Data[AcqDis], Dyno_Data[Team],TBA_Matches_All[[#This Row],[Team]],Dyno_Data[Match],TBA_Matches_All[[#This Row],[Match_Number]],Dyno_Data[RecordType],"Activities", Dyno_Data[AcqCenter],1,Dyno_Data[Mode],"Auto")</f>
        <v>0</v>
      </c>
      <c r="AT237">
        <f>SUMIFS(Dyno_Data[AcqDis], Dyno_Data[Team],TBA_Matches_All[[#This Row],[Team]],Dyno_Data[Match],TBA_Matches_All[[#This Row],[Match_Number]],Dyno_Data[RecordType],"Activities", Dyno_Data[AcqCenter],2,Dyno_Data[Mode],"Auto")</f>
        <v>0</v>
      </c>
      <c r="AU237">
        <f>SUMIFS(Dyno_Data[AcqDis], Dyno_Data[Team],TBA_Matches_All[[#This Row],[Team]],Dyno_Data[Match],TBA_Matches_All[[#This Row],[Match_Number]],Dyno_Data[RecordType],"Activities", Dyno_Data[AcqCenter],3,Dyno_Data[Mode],"Auto")</f>
        <v>0</v>
      </c>
      <c r="AV237">
        <f>SUMIFS(Dyno_Data[AcqDis], Dyno_Data[Team],TBA_Matches_All[[#This Row],[Team]],Dyno_Data[Match],TBA_Matches_All[[#This Row],[Match_Number]],Dyno_Data[RecordType],"Activities", Dyno_Data[AcqCenter],4,Dyno_Data[Mode],"Auto")</f>
        <v>0</v>
      </c>
      <c r="AW237">
        <f>SUMIFS(Dyno_Data[AcqDis], Dyno_Data[Team],TBA_Matches_All[[#This Row],[Team]],Dyno_Data[Match],TBA_Matches_All[[#This Row],[Match_Number]],Dyno_Data[RecordType],"Activities", Dyno_Data[AcqCenter],5,Dyno_Data[Mode],"Auto")</f>
        <v>0</v>
      </c>
      <c r="AX237">
        <f>SUMIFS(Dyno_Data[DelMiss], Dyno_Data[Team],TBA_Matches_All[[#This Row],[Team]],Dyno_Data[Match],TBA_Matches_All[[#This Row],[Match_Number]],Dyno_Data[RecordType],"Activities", Dyno_Data[DelDest],"Amp")</f>
        <v>0</v>
      </c>
      <c r="AY237" s="60">
        <f>IFERROR(SUM((TBA_Matches_All[[#This Row],[AampT]]+TBA_Matches_All[[#This Row],[TampT]])/(TBA_Matches_All[[#This Row],[AampT]]+TBA_Matches_All[[#This Row],[TampT]]+TBA_Matches_All[[#This Row],[ampM]])),0)</f>
        <v>0</v>
      </c>
      <c r="AZ237">
        <f>SUMIFS(Dyno_Data[DelMiss], Dyno_Data[Team],TBA_Matches_All[[#This Row],[Team]],Dyno_Data[Match],TBA_Matches_All[[#This Row],[Match_Number]],Dyno_Data[RecordType],"Activities", Dyno_Data[DelDest],"Spkr")</f>
        <v>0</v>
      </c>
      <c r="BA237" s="60">
        <f>IFERROR(SUM((TBA_Matches_All[[#This Row],[AspkrT]]+TBA_Matches_All[[#This Row],[TspkrT]])/(TBA_Matches_All[[#This Row],[AspkrT]]+TBA_Matches_All[[#This Row],[TspkrT]]+TBA_Matches_All[[#This Row],[spkrM]])),0)</f>
        <v>0</v>
      </c>
      <c r="BB237">
        <f>SUMIFS(Dyno_Data[DelMiss], Dyno_Data[Team],TBA_Matches_All[[#This Row],[Team]],Dyno_Data[Match],TBA_Matches_All[[#This Row],[Match_Number]],Dyno_Data[RecordType],"Activities", Dyno_Data[DelDest],"Trap")</f>
        <v>0</v>
      </c>
      <c r="BC237" s="60">
        <f>IFERROR((TBA_Matches_All[[#This Row],[AtrapT]]+TBA_Matches_All[[#This Row],[TtrapT]])/(TBA_Matches_All[[#This Row],[AtrapT]]+TBA_Matches_All[[#This Row],[TtrapT]]+TBA_Matches_All[[#This Row],[trapM]]),0)</f>
        <v>0</v>
      </c>
      <c r="BD237">
        <f>COUNTIFS(Dyno_Data[Team],TBA_Matches_All[[#This Row],[Team]],Dyno_Data[Match],TBA_Matches_All[[#This Row],[Match_Number]],Dyno_Data[RecordType],"Activities",Dyno_Data[DelDest],"Neut", Dyno_Data[DelMiss],1)</f>
        <v>0</v>
      </c>
      <c r="BE237" s="60">
        <f>IFERROR(SUM((TBA_Matches_All[[#This Row],[NeutFlrT]])/(TBA_Matches_All[[#This Row],[NeutFlrT]]+TBA_Matches_All[[#This Row],[NZflM]])),0)</f>
        <v>0</v>
      </c>
      <c r="BF237">
        <f>COUNTIFS(Dyno_Data[Team],TBA_Matches_All[[#This Row],[Team]],Dyno_Data[Match],TBA_Matches_All[[#This Row],[Match_Number]],Dyno_Data[RecordType],"Activities",Dyno_Data[DelDest],"AllyW", Dyno_Data[DelMiss],1)</f>
        <v>0</v>
      </c>
      <c r="BG237" s="60">
        <f>IFERROR(SUM((TBA_Matches_All[[#This Row],[AllyWFlrT]])/(TBA_Matches_All[[#This Row],[AllyWFlrT]]+TBA_Matches_All[[#This Row],[AZflM]])),0)</f>
        <v>0</v>
      </c>
      <c r="BH237">
        <f>COUNTIFS(Dyno_Data[Team],TBA_Matches_All[[#This Row],[Team]],Dyno_Data[Match],TBA_Matches_All[[#This Row],[Match_Number]],Dyno_Data[RecordType],"Activities",Dyno_Data[DelOrig],"OppW", Dyno_Data[DelMiss],"0")</f>
        <v>0</v>
      </c>
      <c r="BI237">
        <f>COUNTIFS(Dyno_Data[Team],TBA_Matches_All[[#This Row],[Team]],Dyno_Data[Match],TBA_Matches_All[[#This Row],[Match_Number]],Dyno_Data[RecordType],"Activities",Dyno_Data[DelOrig],"OppW", Dyno_Data[DelMiss],"1")</f>
        <v>0</v>
      </c>
      <c r="BJ237" s="60">
        <f>IFERROR(SUM((TBA_Matches_All[[#This Row],[OZflrT]])/(TBA_Matches_All[[#This Row],[OZflrT]]+TBA_Matches_All[[#This Row],[OZflrM]])),0)</f>
        <v>0</v>
      </c>
      <c r="BK237">
        <f>COUNTIFS(Dyno_Data[Team],TBA_Matches_All[[#This Row],[Team]],Dyno_Data[Match],TBA_Matches_All[[#This Row],[Match_Number]],Dyno_Data[RecordType],"Activities",Dyno_Data[DelOrig],"Neut", Dyno_Data[DelMiss],"0")</f>
        <v>0</v>
      </c>
      <c r="BL237">
        <f>COUNTIFS(Dyno_Data[Team],TBA_Matches_All[[#This Row],[Team]],Dyno_Data[Match],TBA_Matches_All[[#This Row],[Match_Number]],Dyno_Data[RecordType],"Activities",Dyno_Data[DelOrig],"Neut", Dyno_Data[DelMiss],"1")</f>
        <v>0</v>
      </c>
      <c r="BM237" s="60">
        <f>IFERROR(SUM((TBA_Matches_All[[#This Row],[NZflrT]])/(TBA_Matches_All[[#This Row],[NZflrT]]+TBA_Matches_All[[#This Row],[NZflrM]])),0)</f>
        <v>0</v>
      </c>
      <c r="BN237">
        <f>COUNTIFS(Dyno_Data[Team],TBA_Matches_All[[#This Row],[Team]],Dyno_Data[Match],TBA_Matches_All[[#This Row],[Match_Number]],Dyno_Data[RecordType],"Activities",Dyno_Data[DelOrig],"AllyW", Dyno_Data[DelMiss],"0")</f>
        <v>0</v>
      </c>
      <c r="BO237">
        <f>COUNTIFS(Dyno_Data[Team],TBA_Matches_All[[#This Row],[Team]],Dyno_Data[Match],TBA_Matches_All[[#This Row],[Match_Number]],Dyno_Data[RecordType],"Activities",Dyno_Data[DelOrig],"AllyW", Dyno_Data[DelMiss],"1")</f>
        <v>0</v>
      </c>
      <c r="BP237" s="60">
        <f>IFERROR(SUM((TBA_Matches_All[[#This Row],[AZflrT]])/(TBA_Matches_All[[#This Row],[AZflrT]]+TBA_Matches_All[[#This Row],[AZflrM]])),0)</f>
        <v>0</v>
      </c>
      <c r="BQ237">
        <f>COUNTIFS(Dyno_Data[Team],TBA_Matches_All[[#This Row],[Team]],Dyno_Data[Match],TBA_Matches_All[[#This Row],[Match_Number]],Dyno_Data[RecordType],"Activities",Dyno_Data[DelOrig],"SubW", Dyno_Data[DelMiss],"0")</f>
        <v>0</v>
      </c>
      <c r="BR237">
        <f>COUNTIFS(Dyno_Data[Team],TBA_Matches_All[[#This Row],[Team]],Dyno_Data[Match],TBA_Matches_All[[#This Row],[Match_Number]],Dyno_Data[RecordType],"Activities",Dyno_Data[DelOrig],"SubW", Dyno_Data[DelMiss],"1")</f>
        <v>0</v>
      </c>
      <c r="BS237" s="60">
        <f>IFERROR(SUM((TBA_Matches_All[[#This Row],[SubwT]])/(TBA_Matches_All[[#This Row],[SubwT]]+TBA_Matches_All[[#This Row],[SubwM]])),0)</f>
        <v>0</v>
      </c>
      <c r="BT237">
        <f>COUNTIFS(Dyno_Data[Team],TBA_Matches_All[[#This Row],[Team]],Dyno_Data[Match],TBA_Matches_All[[#This Row],[Match_Number]],Dyno_Data[RecordType],"Activities", Dyno_Data[AcqLoc],"OppWing")</f>
        <v>0</v>
      </c>
      <c r="BU237">
        <f>COUNTIFS(Dyno_Data[Team],TBA_Matches_All[[#This Row],[Team]],Dyno_Data[Match],TBA_Matches_All[[#This Row],[Match_Number]],Dyno_Data[RecordType],"Activities", Dyno_Data[AcqLoc],"Neutral")</f>
        <v>0</v>
      </c>
      <c r="BV237">
        <f>COUNTIFS(Dyno_Data[Team],TBA_Matches_All[[#This Row],[Team]],Dyno_Data[Match],TBA_Matches_All[[#This Row],[Match_Number]],Dyno_Data[RecordType],"Activities", Dyno_Data[AcqLoc],"AllyWing")</f>
        <v>0</v>
      </c>
      <c r="BW237">
        <f>COUNTIFS(Dyno_Data[Team],TBA_Matches_All[[#This Row],[Team]],Dyno_Data[Match],TBA_Matches_All[[#This Row],[Match_Number]],Dyno_Data[RecordType],"Activities", Dyno_Data[AcqLoc],"Source")</f>
        <v>0</v>
      </c>
      <c r="BX237">
        <f>SUMIFS(Dyno_Data[AcqDrp], Dyno_Data[Team],TBA_Matches_All[[#This Row],[Team]],Dyno_Data[Match],TBA_Matches_All[[#This Row],[Match_Number]],Dyno_Data[RecordType],"Activities", Dyno_Data[AcqLoc],"Source")</f>
        <v>0</v>
      </c>
      <c r="BY237">
        <f>SUMIFS(Dyno_Data[OZTime], Dyno_Data[Team],TBA_Matches_All[[#This Row],[Team]],Dyno_Data[Match],TBA_Matches_All[[#This Row],[Match_Number]],Dyno_Data[RecordType],"EndMatch")</f>
        <v>9.379912899999999</v>
      </c>
      <c r="BZ237">
        <f>SUMIFS(Dyno_Data[NZTime], Dyno_Data[Team],TBA_Matches_All[[#This Row],[Team]],Dyno_Data[Match],TBA_Matches_All[[#This Row],[Match_Number]],Dyno_Data[RecordType],"EndMatch")</f>
        <v>12.0086415</v>
      </c>
      <c r="CA237">
        <f>SUMIFS(Dyno_Data[AZTime], Dyno_Data[Team],TBA_Matches_All[[#This Row],[Team]],Dyno_Data[Match],TBA_Matches_All[[#This Row],[Match_Number]],Dyno_Data[RecordType],"EndMatch")</f>
        <v>91.94477599999999</v>
      </c>
      <c r="CB237">
        <f>SUMIFS(Dyno_Data[ClimbT], Dyno_Data[Team],TBA_Matches_All[[#This Row],[Team]],Dyno_Data[Match],TBA_Matches_All[[#This Row],[Match_Number]],Dyno_Data[RecordType],"EndMatch")</f>
        <v>23.448446399999998</v>
      </c>
      <c r="CC237" t="str">
        <f>_xlfn.XLOOKUP(SUM(MID(TBA_Matches_All[[#This Row],[Team]],4,5),(TBA_Matches_All[[#This Row],[Match_Number]]/100)),Dyno_EndMatch[teammat],Dyno_EndMatch[StageStat],"_",0,1)</f>
        <v>Park</v>
      </c>
      <c r="CD237" t="str">
        <f>_xlfn.XLOOKUP(TBA_Matches_All[[#This Row],[teammat]],Dyno_EndMatch[teammat],Dyno_EndMatch[StageAtt],"_",0,1)</f>
        <v>-1</v>
      </c>
      <c r="CE237" t="str">
        <f>_xlfn.XLOOKUP(TBA_Matches_All[[#This Row],[teammat]],Dyno_EndMatch[teammat],Dyno_EndMatch[StageLoc],"_",0,1)</f>
        <v>A</v>
      </c>
      <c r="CF237">
        <f>SUMIFS(Dyno_Data[Harmony], Dyno_Data[Team],TBA_Matches_All[[#This Row],[Team]],Dyno_Data[Match],TBA_Matches_All[[#This Row],[Match_Number]],Dyno_Data[RecordType],"EndMatch", Dyno_Data[StageStat],"On",Dyno_Data[Harmony],"&lt;&gt;9")</f>
        <v>0</v>
      </c>
      <c r="CG237">
        <f>SUMIFS(Dyno_Data[Spotlit], Dyno_Data[Team],TBA_Matches_All[[#This Row],[Team]],Dyno_Data[Match],TBA_Matches_All[[#This Row],[Match_Number]],Dyno_Data[RecordType],"EndMatch", Dyno_Data[StageStat],"On",Dyno_Data[Spotlit],"&lt;&gt;9")</f>
        <v>0</v>
      </c>
      <c r="CH237" t="str">
        <f>_xlfn.XLOOKUP(TBA_Matches_All[[#This Row],[teammat]],Dyno_EndMatch[teammat],Dyno_EndMatch[Strategy],"_",0,1)</f>
        <v>Defense</v>
      </c>
      <c r="CI237">
        <f>SUMIFS(Dyno_Data[Defense], Dyno_Data[Team],TBA_Matches_All[[#This Row],[Team]],Dyno_Data[Match],TBA_Matches_All[[#This Row],[Match_Number]],Dyno_Data[RecordType],"EndMatch",Dyno_Data[Defense],"&lt;&gt;9")</f>
        <v>3</v>
      </c>
      <c r="CJ237">
        <f>SUMIFS(Dyno_Data[Avoidance], Dyno_Data[Team],TBA_Matches_All[[#This Row],[Team]],Dyno_Data[Match],TBA_Matches_All[[#This Row],[Match_Number]],Dyno_Data[RecordType],"EndMatch",Dyno_Data[Avoidance],"&lt;&gt;9")</f>
        <v>0</v>
      </c>
      <c r="CK237" s="82">
        <f>COUNTIF($H$2:TBA_Matches_All[[#This Row],[Team]],TBA_Matches_All[[#This Row],[Team]])</f>
        <v>5</v>
      </c>
      <c r="CL237" s="111">
        <f>SUM(MID(TBA_Matches_All[[#This Row],[Team]],4,5)+TBA_Matches_All[[#This Row],[Match_Number]]/100)</f>
        <v>7718.4</v>
      </c>
      <c r="CM237">
        <f>SUM((TBA_Matches_All[[#This Row],[Leave]]*2)+(TBA_Matches_All[[#This Row],[AampT]]*2)+(TBA_Matches_All[[#This Row],[AspkrT]]*5)+(TBA_Matches_All[[#This Row],[AtrapT]]*5))</f>
        <v>2</v>
      </c>
      <c r="CN237" s="59">
        <f>IFERROR(SUM(TBA_Matches_All[[#This Row],[AptsT]]/TBA_Matches_All[[#This Row],[AutoPts]]),0)</f>
        <v>9.5238095238095233E-2</v>
      </c>
      <c r="CO237" s="59">
        <f>IFERROR(SUM(TBA_Matches_All[[#This Row],[AampT]]+TBA_Matches_All[[#This Row],[AspkrT]]+TBA_Matches_All[[#This Row],[AtrapT]]/TBA_Matches_All[[#This Row],[Aamp]]+TBA_Matches_All[[#This Row],[Aspkr]]+TBA_Matches_All[[#This Row],[AtrapT]]),0)</f>
        <v>0</v>
      </c>
      <c r="CP237" s="59">
        <f>IFERROR(SUM(TBA_Matches_All[[#This Row],[TampT]]/TBA_Matches_All[[#This Row],[Tamp]]),0)</f>
        <v>0</v>
      </c>
      <c r="CQ237" s="59">
        <f>IFERROR(SUM(TBA_Matches_All[[#This Row],[TspkrT]]/TBA_Matches_All[[#This Row],[Tspkr]]),0)</f>
        <v>0</v>
      </c>
      <c r="CR237">
        <f>SUM(TBA_Matches_All[[#This Row],[TspkrPts]]*TBA_Matches_All[[#This Row],[TspkrP]])</f>
        <v>0</v>
      </c>
      <c r="CS237" s="59">
        <f>IFERROR(SUM(TBA_Matches_All[[#This Row],[TtrapT]]/TBA_Matches_All[[#This Row],[Trap]]),0)</f>
        <v>0</v>
      </c>
      <c r="CT237" s="59">
        <f>IFERROR(SUM(TBA_Matches_All[[#This Row],[TotNotesT]]/TBA_Matches_All[[#This Row],[TotNotes]]),0)</f>
        <v>0</v>
      </c>
      <c r="CU237" s="66">
        <f>SUM((TBA_Matches_All[[#This Row],[AampT]]*2)+(TBA_Matches_All[[#This Row],[AspkrT]]*5)+(TBA_Matches_All[[#This Row],[AtrapT]]*5)+(TBA_Matches_All[[#This Row],[TampT]]*1)+(TBA_Matches_All[[#This Row],[TspkrptsC]]))</f>
        <v>0</v>
      </c>
      <c r="CV237" s="59">
        <f>IFERROR(TBA_Matches_All[[#This Row],[noteptsT]]/TBA_Matches_All[[#This Row],[NotePts]],0)</f>
        <v>0</v>
      </c>
      <c r="CW237">
        <f>SUM(IF(TBA_Matches_All[[#This Row],[stageStat]]="On",3,0),IF(TBA_Matches_All[[#This Row],[stageStat]]="Park",1,0),SUMIFS(TBA_Matches_All[[#This Row],[Spotlit]],TBA_Matches_All[[#This Row],[stageStat]],"On"),SUMIFS(TBA_Matches_All[[#This Row],[Harmony]],TBA_Matches_All[[#This Row],[stageStat]],"On"))</f>
        <v>1</v>
      </c>
      <c r="CX237" s="59">
        <f>IFERROR(TBA_Matches_All[[#This Row],[stageptsT]]/TBA_Matches_All[[#This Row],[StagePts]],0)</f>
        <v>0.14285714285714285</v>
      </c>
      <c r="CY237">
        <f>SUM((TBA_Matches_All[[#This Row],[AptsT]]+TBA_Matches_All[[#This Row],[TampT]]+TBA_Matches_All[[#This Row],[TspkrptsC]]+(TBA_Matches_All[[#This Row],[TtrapT]]*5)+TBA_Matches_All[[#This Row],[stageptsT]]))</f>
        <v>3</v>
      </c>
      <c r="CZ237" s="59">
        <f>IFERROR(SUM(TBA_Matches_All[[#This Row],[TotptsC]]/TBA_Matches_All[[#This Row],[Score]]),0)</f>
        <v>6.6666666666666666E-2</v>
      </c>
      <c r="DA23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37" s="74">
        <f>SUMIFS(TBA_Matches_All[AveTeamTNoteDels],TBA_Matches_All[Match_Number],TBA_Matches_All[[#This Row],[Match_Number]],TBA_Matches_All[Alliance],"&lt;&gt;"&amp;TBA_Matches_All[[#This Row],[Alliance]],TBA_Matches_All[Scouted],"&gt;0")</f>
        <v>17.331428571428571</v>
      </c>
      <c r="DC237" s="74">
        <f>(TBA_Matches_All[[#This Row],[TampT]]+TBA_Matches_All[[#This Row],[TspkrptsC]])-TBA_Matches_All[[#This Row],[AveTeamTNoteDels]]</f>
        <v>0</v>
      </c>
      <c r="DD237" s="74">
        <f>SUMIFS(TBA_Matches_All[AveTeamTNoteDels],TBA_Matches_All[Match_Number],TBA_Matches_All[[#This Row],[Match_Number]],TBA_Matches_All[Alliance],"&lt;&gt;"&amp;TBA_Matches_All[[#This Row],[Alliance]])-TBA_Matches_All[[#This Row],[AveOppTNoteDels]]</f>
        <v>0</v>
      </c>
    </row>
    <row r="238" spans="1:108" x14ac:dyDescent="0.3">
      <c r="A238" t="s">
        <v>1042</v>
      </c>
      <c r="B238" t="s">
        <v>489</v>
      </c>
      <c r="C238" t="s">
        <v>1349</v>
      </c>
      <c r="D238">
        <v>40</v>
      </c>
      <c r="E238" t="s">
        <v>1406</v>
      </c>
      <c r="F238" t="s">
        <v>1422</v>
      </c>
      <c r="G238" t="s">
        <v>105</v>
      </c>
      <c r="H238" t="s">
        <v>1301</v>
      </c>
      <c r="I238" t="b">
        <v>1</v>
      </c>
      <c r="J238">
        <v>70</v>
      </c>
      <c r="K238">
        <v>1</v>
      </c>
      <c r="L238">
        <v>0</v>
      </c>
      <c r="M238">
        <v>5</v>
      </c>
      <c r="N238">
        <v>0</v>
      </c>
      <c r="O238">
        <v>5</v>
      </c>
      <c r="P238">
        <v>25</v>
      </c>
      <c r="Q238">
        <v>29</v>
      </c>
      <c r="R238">
        <v>3</v>
      </c>
      <c r="S238">
        <v>1</v>
      </c>
      <c r="T238">
        <v>7</v>
      </c>
      <c r="U238">
        <v>5</v>
      </c>
      <c r="V238">
        <v>14</v>
      </c>
      <c r="W238">
        <v>8</v>
      </c>
      <c r="X238">
        <v>19</v>
      </c>
      <c r="Y238">
        <v>22</v>
      </c>
      <c r="Z238">
        <v>0</v>
      </c>
      <c r="AA238">
        <v>0</v>
      </c>
      <c r="AB238">
        <v>16</v>
      </c>
      <c r="AC238">
        <v>47</v>
      </c>
      <c r="AD238">
        <v>9</v>
      </c>
      <c r="AE238">
        <f>IFERROR(6/(COUNTIF(Dyno_EndMatch[Match],TBA_Matches_All[[#This Row],[Match_Number]])),0)</f>
        <v>1</v>
      </c>
      <c r="AF238">
        <f>COUNTIFS(Dyno_Data[Team],TBA_Matches_All[[#This Row],[Team]],Dyno_Data[Match],TBA_Matches_All[[#This Row],[Match_Number]],Dyno_Data[RecordType],"EndMatch",Dyno_Data[HPAmp],"Y")</f>
        <v>1</v>
      </c>
      <c r="AG238">
        <f>SUMIFS(Dyno_Data[Mics], Dyno_Data[Team],TBA_Matches_All[[#This Row],[Team]],Dyno_Data[Match],TBA_Matches_All[[#This Row],[Match_Number]],Dyno_Data[RecordType],"EndMatch",Dyno_Data[HPAmp],"Y")</f>
        <v>0</v>
      </c>
      <c r="AH238">
        <f>SUMIFS(Dyno_Data[Leave], Dyno_Data[Team],TBA_Matches_All[[#This Row],[Team]],Dyno_Data[Match],TBA_Matches_All[[#This Row],[Match_Number]],Dyno_Data[RecordType],"EndAuto")</f>
        <v>0</v>
      </c>
      <c r="AI238">
        <f>COUNTIFS(Dyno_Data[Team],TBA_Matches_All[[#This Row],[Team]],Dyno_Data[Match],TBA_Matches_All[[#This Row],[Match_Number]],Dyno_Data[RecordType],"Activities",Dyno_Data[DelDest],"Amp", Dyno_Data[DelMiss],"0", Dyno_Data[Mode],"Auto")</f>
        <v>0</v>
      </c>
      <c r="AJ238">
        <f>COUNTIFS(Dyno_Data[Team],TBA_Matches_All[[#This Row],[Team]],Dyno_Data[Match],TBA_Matches_All[[#This Row],[Match_Number]],Dyno_Data[RecordType],"Activities",Dyno_Data[DelDest],"Spkr", Dyno_Data[DelMiss],"0", Dyno_Data[Mode],"Auto")</f>
        <v>0</v>
      </c>
      <c r="AK238">
        <f>COUNTIFS(Dyno_Data[Team],TBA_Matches_All[[#This Row],[Team]],Dyno_Data[Match],TBA_Matches_All[[#This Row],[Match_Number]],Dyno_Data[RecordType],"Activities",Dyno_Data[DelDest],"Trap", Dyno_Data[DelMiss],"0", Dyno_Data[Mode],"Auto")</f>
        <v>0</v>
      </c>
      <c r="AL238">
        <f>COUNTIFS(Dyno_Data[Team],TBA_Matches_All[[#This Row],[Team]],Dyno_Data[Match],TBA_Matches_All[[#This Row],[Match_Number]],Dyno_Data[RecordType],"Activities",Dyno_Data[DelDest],"Amp", Dyno_Data[DelMiss],"0", Dyno_Data[Mode],"Teleop")</f>
        <v>0</v>
      </c>
      <c r="AM238">
        <f>COUNTIFS(Dyno_Data[Team],TBA_Matches_All[[#This Row],[Team]],Dyno_Data[Match],TBA_Matches_All[[#This Row],[Match_Number]],Dyno_Data[RecordType],"Activities",Dyno_Data[DelDest],"Spkr", Dyno_Data[DelMiss],"0", Dyno_Data[Mode],"Teleop")</f>
        <v>0</v>
      </c>
      <c r="AN238">
        <f>COUNTIFS(Dyno_Data[Team],TBA_Matches_All[[#This Row],[Team]],Dyno_Data[Match],TBA_Matches_All[[#This Row],[Match_Number]],Dyno_Data[RecordType],"Activities",Dyno_Data[DelDest],"Trap", Dyno_Data[DelMiss],"0", Dyno_Data[Mode],"&lt;&gt;Auto")</f>
        <v>0</v>
      </c>
      <c r="AO238">
        <f>SUM(TBA_Matches_All[[#This Row],[AampT]]+TBA_Matches_All[[#This Row],[AspkrT]]+TBA_Matches_All[[#This Row],[AtrapT]]+TBA_Matches_All[[#This Row],[TampT]]+TBA_Matches_All[[#This Row],[TspkrT]]+TBA_Matches_All[[#This Row],[TtrapT]])</f>
        <v>0</v>
      </c>
      <c r="AP238">
        <f>COUNTIFS(Dyno_Data[Team],TBA_Matches_All[[#This Row],[Team]],Dyno_Data[Match],TBA_Matches_All[[#This Row],[Match_Number]],Dyno_Data[RecordType],"Activities",Dyno_Data[DelDest],"Neut", Dyno_Data[DelMiss],"0")</f>
        <v>0</v>
      </c>
      <c r="AQ238">
        <f>COUNTIFS(Dyno_Data[Team],TBA_Matches_All[[#This Row],[Team]],Dyno_Data[Match],TBA_Matches_All[[#This Row],[Match_Number]],Dyno_Data[RecordType],"Activities",Dyno_Data[DelDest],"AllyW", Dyno_Data[DelMiss],"0")</f>
        <v>2</v>
      </c>
      <c r="AR238" t="str">
        <f>_xlfn.XLOOKUP(SUM(MID(TBA_Matches_All[[#This Row],[Team]],4,5),(TBA_Matches_All[[#This Row],[Match_Number]]/100)),Dyno_EndMatch[teammat],Dyno_EndMatch[RobotSta],"_",0,1)</f>
        <v>Amp</v>
      </c>
      <c r="AS238">
        <f>SUMIFS(Dyno_Data[AcqDis], Dyno_Data[Team],TBA_Matches_All[[#This Row],[Team]],Dyno_Data[Match],TBA_Matches_All[[#This Row],[Match_Number]],Dyno_Data[RecordType],"Activities", Dyno_Data[AcqCenter],1,Dyno_Data[Mode],"Auto")</f>
        <v>0</v>
      </c>
      <c r="AT238">
        <f>SUMIFS(Dyno_Data[AcqDis], Dyno_Data[Team],TBA_Matches_All[[#This Row],[Team]],Dyno_Data[Match],TBA_Matches_All[[#This Row],[Match_Number]],Dyno_Data[RecordType],"Activities", Dyno_Data[AcqCenter],2,Dyno_Data[Mode],"Auto")</f>
        <v>0</v>
      </c>
      <c r="AU238">
        <f>SUMIFS(Dyno_Data[AcqDis], Dyno_Data[Team],TBA_Matches_All[[#This Row],[Team]],Dyno_Data[Match],TBA_Matches_All[[#This Row],[Match_Number]],Dyno_Data[RecordType],"Activities", Dyno_Data[AcqCenter],3,Dyno_Data[Mode],"Auto")</f>
        <v>0</v>
      </c>
      <c r="AV238">
        <f>SUMIFS(Dyno_Data[AcqDis], Dyno_Data[Team],TBA_Matches_All[[#This Row],[Team]],Dyno_Data[Match],TBA_Matches_All[[#This Row],[Match_Number]],Dyno_Data[RecordType],"Activities", Dyno_Data[AcqCenter],4,Dyno_Data[Mode],"Auto")</f>
        <v>0</v>
      </c>
      <c r="AW238">
        <f>SUMIFS(Dyno_Data[AcqDis], Dyno_Data[Team],TBA_Matches_All[[#This Row],[Team]],Dyno_Data[Match],TBA_Matches_All[[#This Row],[Match_Number]],Dyno_Data[RecordType],"Activities", Dyno_Data[AcqCenter],5,Dyno_Data[Mode],"Auto")</f>
        <v>0</v>
      </c>
      <c r="AX238">
        <f>SUMIFS(Dyno_Data[DelMiss], Dyno_Data[Team],TBA_Matches_All[[#This Row],[Team]],Dyno_Data[Match],TBA_Matches_All[[#This Row],[Match_Number]],Dyno_Data[RecordType],"Activities", Dyno_Data[DelDest],"Amp")</f>
        <v>0</v>
      </c>
      <c r="AY238" s="60">
        <f>IFERROR(SUM((TBA_Matches_All[[#This Row],[AampT]]+TBA_Matches_All[[#This Row],[TampT]])/(TBA_Matches_All[[#This Row],[AampT]]+TBA_Matches_All[[#This Row],[TampT]]+TBA_Matches_All[[#This Row],[ampM]])),0)</f>
        <v>0</v>
      </c>
      <c r="AZ238">
        <f>SUMIFS(Dyno_Data[DelMiss], Dyno_Data[Team],TBA_Matches_All[[#This Row],[Team]],Dyno_Data[Match],TBA_Matches_All[[#This Row],[Match_Number]],Dyno_Data[RecordType],"Activities", Dyno_Data[DelDest],"Spkr")</f>
        <v>0</v>
      </c>
      <c r="BA238" s="60">
        <f>IFERROR(SUM((TBA_Matches_All[[#This Row],[AspkrT]]+TBA_Matches_All[[#This Row],[TspkrT]])/(TBA_Matches_All[[#This Row],[AspkrT]]+TBA_Matches_All[[#This Row],[TspkrT]]+TBA_Matches_All[[#This Row],[spkrM]])),0)</f>
        <v>0</v>
      </c>
      <c r="BB238">
        <f>SUMIFS(Dyno_Data[DelMiss], Dyno_Data[Team],TBA_Matches_All[[#This Row],[Team]],Dyno_Data[Match],TBA_Matches_All[[#This Row],[Match_Number]],Dyno_Data[RecordType],"Activities", Dyno_Data[DelDest],"Trap")</f>
        <v>0</v>
      </c>
      <c r="BC238" s="60">
        <f>IFERROR((TBA_Matches_All[[#This Row],[AtrapT]]+TBA_Matches_All[[#This Row],[TtrapT]])/(TBA_Matches_All[[#This Row],[AtrapT]]+TBA_Matches_All[[#This Row],[TtrapT]]+TBA_Matches_All[[#This Row],[trapM]]),0)</f>
        <v>0</v>
      </c>
      <c r="BD238">
        <f>COUNTIFS(Dyno_Data[Team],TBA_Matches_All[[#This Row],[Team]],Dyno_Data[Match],TBA_Matches_All[[#This Row],[Match_Number]],Dyno_Data[RecordType],"Activities",Dyno_Data[DelDest],"Neut", Dyno_Data[DelMiss],1)</f>
        <v>0</v>
      </c>
      <c r="BE238" s="60">
        <f>IFERROR(SUM((TBA_Matches_All[[#This Row],[NeutFlrT]])/(TBA_Matches_All[[#This Row],[NeutFlrT]]+TBA_Matches_All[[#This Row],[NZflM]])),0)</f>
        <v>0</v>
      </c>
      <c r="BF238">
        <f>COUNTIFS(Dyno_Data[Team],TBA_Matches_All[[#This Row],[Team]],Dyno_Data[Match],TBA_Matches_All[[#This Row],[Match_Number]],Dyno_Data[RecordType],"Activities",Dyno_Data[DelDest],"AllyW", Dyno_Data[DelMiss],1)</f>
        <v>0</v>
      </c>
      <c r="BG238" s="60">
        <f>IFERROR(SUM((TBA_Matches_All[[#This Row],[AllyWFlrT]])/(TBA_Matches_All[[#This Row],[AllyWFlrT]]+TBA_Matches_All[[#This Row],[AZflM]])),0)</f>
        <v>1</v>
      </c>
      <c r="BH238">
        <f>COUNTIFS(Dyno_Data[Team],TBA_Matches_All[[#This Row],[Team]],Dyno_Data[Match],TBA_Matches_All[[#This Row],[Match_Number]],Dyno_Data[RecordType],"Activities",Dyno_Data[DelOrig],"OppW", Dyno_Data[DelMiss],"0")</f>
        <v>0</v>
      </c>
      <c r="BI238">
        <f>COUNTIFS(Dyno_Data[Team],TBA_Matches_All[[#This Row],[Team]],Dyno_Data[Match],TBA_Matches_All[[#This Row],[Match_Number]],Dyno_Data[RecordType],"Activities",Dyno_Data[DelOrig],"OppW", Dyno_Data[DelMiss],"1")</f>
        <v>0</v>
      </c>
      <c r="BJ238" s="60">
        <f>IFERROR(SUM((TBA_Matches_All[[#This Row],[OZflrT]])/(TBA_Matches_All[[#This Row],[OZflrT]]+TBA_Matches_All[[#This Row],[OZflrM]])),0)</f>
        <v>0</v>
      </c>
      <c r="BK238">
        <f>COUNTIFS(Dyno_Data[Team],TBA_Matches_All[[#This Row],[Team]],Dyno_Data[Match],TBA_Matches_All[[#This Row],[Match_Number]],Dyno_Data[RecordType],"Activities",Dyno_Data[DelOrig],"Neut", Dyno_Data[DelMiss],"0")</f>
        <v>0</v>
      </c>
      <c r="BL238">
        <f>COUNTIFS(Dyno_Data[Team],TBA_Matches_All[[#This Row],[Team]],Dyno_Data[Match],TBA_Matches_All[[#This Row],[Match_Number]],Dyno_Data[RecordType],"Activities",Dyno_Data[DelOrig],"Neut", Dyno_Data[DelMiss],"1")</f>
        <v>0</v>
      </c>
      <c r="BM238" s="60">
        <f>IFERROR(SUM((TBA_Matches_All[[#This Row],[NZflrT]])/(TBA_Matches_All[[#This Row],[NZflrT]]+TBA_Matches_All[[#This Row],[NZflrM]])),0)</f>
        <v>0</v>
      </c>
      <c r="BN238">
        <f>COUNTIFS(Dyno_Data[Team],TBA_Matches_All[[#This Row],[Team]],Dyno_Data[Match],TBA_Matches_All[[#This Row],[Match_Number]],Dyno_Data[RecordType],"Activities",Dyno_Data[DelOrig],"AllyW", Dyno_Data[DelMiss],"0")</f>
        <v>2</v>
      </c>
      <c r="BO238">
        <f>COUNTIFS(Dyno_Data[Team],TBA_Matches_All[[#This Row],[Team]],Dyno_Data[Match],TBA_Matches_All[[#This Row],[Match_Number]],Dyno_Data[RecordType],"Activities",Dyno_Data[DelOrig],"AllyW", Dyno_Data[DelMiss],"1")</f>
        <v>0</v>
      </c>
      <c r="BP238" s="60">
        <f>IFERROR(SUM((TBA_Matches_All[[#This Row],[AZflrT]])/(TBA_Matches_All[[#This Row],[AZflrT]]+TBA_Matches_All[[#This Row],[AZflrM]])),0)</f>
        <v>1</v>
      </c>
      <c r="BQ238">
        <f>COUNTIFS(Dyno_Data[Team],TBA_Matches_All[[#This Row],[Team]],Dyno_Data[Match],TBA_Matches_All[[#This Row],[Match_Number]],Dyno_Data[RecordType],"Activities",Dyno_Data[DelOrig],"SubW", Dyno_Data[DelMiss],"0")</f>
        <v>0</v>
      </c>
      <c r="BR238">
        <f>COUNTIFS(Dyno_Data[Team],TBA_Matches_All[[#This Row],[Team]],Dyno_Data[Match],TBA_Matches_All[[#This Row],[Match_Number]],Dyno_Data[RecordType],"Activities",Dyno_Data[DelOrig],"SubW", Dyno_Data[DelMiss],"1")</f>
        <v>0</v>
      </c>
      <c r="BS238" s="60">
        <f>IFERROR(SUM((TBA_Matches_All[[#This Row],[SubwT]])/(TBA_Matches_All[[#This Row],[SubwT]]+TBA_Matches_All[[#This Row],[SubwM]])),0)</f>
        <v>0</v>
      </c>
      <c r="BT238">
        <f>COUNTIFS(Dyno_Data[Team],TBA_Matches_All[[#This Row],[Team]],Dyno_Data[Match],TBA_Matches_All[[#This Row],[Match_Number]],Dyno_Data[RecordType],"Activities", Dyno_Data[AcqLoc],"OppWing")</f>
        <v>0</v>
      </c>
      <c r="BU238">
        <f>COUNTIFS(Dyno_Data[Team],TBA_Matches_All[[#This Row],[Team]],Dyno_Data[Match],TBA_Matches_All[[#This Row],[Match_Number]],Dyno_Data[RecordType],"Activities", Dyno_Data[AcqLoc],"Neutral")</f>
        <v>0</v>
      </c>
      <c r="BV238">
        <f>COUNTIFS(Dyno_Data[Team],TBA_Matches_All[[#This Row],[Team]],Dyno_Data[Match],TBA_Matches_All[[#This Row],[Match_Number]],Dyno_Data[RecordType],"Activities", Dyno_Data[AcqLoc],"AllyWing")</f>
        <v>0</v>
      </c>
      <c r="BW238">
        <f>COUNTIFS(Dyno_Data[Team],TBA_Matches_All[[#This Row],[Team]],Dyno_Data[Match],TBA_Matches_All[[#This Row],[Match_Number]],Dyno_Data[RecordType],"Activities", Dyno_Data[AcqLoc],"Source")</f>
        <v>0</v>
      </c>
      <c r="BX238">
        <f>SUMIFS(Dyno_Data[AcqDrp], Dyno_Data[Team],TBA_Matches_All[[#This Row],[Team]],Dyno_Data[Match],TBA_Matches_All[[#This Row],[Match_Number]],Dyno_Data[RecordType],"Activities", Dyno_Data[AcqLoc],"Source")</f>
        <v>0</v>
      </c>
      <c r="BY238">
        <f>SUMIFS(Dyno_Data[OZTime], Dyno_Data[Team],TBA_Matches_All[[#This Row],[Team]],Dyno_Data[Match],TBA_Matches_All[[#This Row],[Match_Number]],Dyno_Data[RecordType],"EndMatch")</f>
        <v>64.848339600000003</v>
      </c>
      <c r="BZ238">
        <f>SUMIFS(Dyno_Data[NZTime], Dyno_Data[Team],TBA_Matches_All[[#This Row],[Team]],Dyno_Data[Match],TBA_Matches_All[[#This Row],[Match_Number]],Dyno_Data[RecordType],"EndMatch")</f>
        <v>26.623411699999998</v>
      </c>
      <c r="CA238">
        <f>SUMIFS(Dyno_Data[AZTime], Dyno_Data[Team],TBA_Matches_All[[#This Row],[Team]],Dyno_Data[Match],TBA_Matches_All[[#This Row],[Match_Number]],Dyno_Data[RecordType],"EndMatch")</f>
        <v>44.009544599999998</v>
      </c>
      <c r="CB238">
        <f>SUMIFS(Dyno_Data[ClimbT], Dyno_Data[Team],TBA_Matches_All[[#This Row],[Team]],Dyno_Data[Match],TBA_Matches_All[[#This Row],[Match_Number]],Dyno_Data[RecordType],"EndMatch")</f>
        <v>0</v>
      </c>
      <c r="CC238" t="str">
        <f>_xlfn.XLOOKUP(SUM(MID(TBA_Matches_All[[#This Row],[Team]],4,5),(TBA_Matches_All[[#This Row],[Match_Number]]/100)),Dyno_EndMatch[teammat],Dyno_EndMatch[StageStat],"_",0,1)</f>
        <v>Park</v>
      </c>
      <c r="CD238" t="str">
        <f>_xlfn.XLOOKUP(TBA_Matches_All[[#This Row],[teammat]],Dyno_EndMatch[teammat],Dyno_EndMatch[StageAtt],"_",0,1)</f>
        <v>0</v>
      </c>
      <c r="CE238" t="str">
        <f>_xlfn.XLOOKUP(TBA_Matches_All[[#This Row],[teammat]],Dyno_EndMatch[teammat],Dyno_EndMatch[StageLoc],"_",0,1)</f>
        <v>A</v>
      </c>
      <c r="CF238">
        <f>SUMIFS(Dyno_Data[Harmony], Dyno_Data[Team],TBA_Matches_All[[#This Row],[Team]],Dyno_Data[Match],TBA_Matches_All[[#This Row],[Match_Number]],Dyno_Data[RecordType],"EndMatch", Dyno_Data[StageStat],"On",Dyno_Data[Harmony],"&lt;&gt;9")</f>
        <v>0</v>
      </c>
      <c r="CG238">
        <f>SUMIFS(Dyno_Data[Spotlit], Dyno_Data[Team],TBA_Matches_All[[#This Row],[Team]],Dyno_Data[Match],TBA_Matches_All[[#This Row],[Match_Number]],Dyno_Data[RecordType],"EndMatch", Dyno_Data[StageStat],"On",Dyno_Data[Spotlit],"&lt;&gt;9")</f>
        <v>0</v>
      </c>
      <c r="CH238" t="str">
        <f>_xlfn.XLOOKUP(TBA_Matches_All[[#This Row],[teammat]],Dyno_EndMatch[teammat],Dyno_EndMatch[Strategy],"_",0,1)</f>
        <v>Hybrid</v>
      </c>
      <c r="CI238">
        <f>SUMIFS(Dyno_Data[Defense], Dyno_Data[Team],TBA_Matches_All[[#This Row],[Team]],Dyno_Data[Match],TBA_Matches_All[[#This Row],[Match_Number]],Dyno_Data[RecordType],"EndMatch",Dyno_Data[Defense],"&lt;&gt;9")</f>
        <v>2</v>
      </c>
      <c r="CJ238">
        <f>SUMIFS(Dyno_Data[Avoidance], Dyno_Data[Team],TBA_Matches_All[[#This Row],[Team]],Dyno_Data[Match],TBA_Matches_All[[#This Row],[Match_Number]],Dyno_Data[RecordType],"EndMatch",Dyno_Data[Avoidance],"&lt;&gt;9")</f>
        <v>0</v>
      </c>
      <c r="CK238" s="82">
        <f>COUNTIF($H$2:TBA_Matches_All[[#This Row],[Team]],TBA_Matches_All[[#This Row],[Team]])</f>
        <v>5</v>
      </c>
      <c r="CL238" s="111">
        <f>SUM(MID(TBA_Matches_All[[#This Row],[Team]],4,5)+TBA_Matches_All[[#This Row],[Match_Number]]/100)</f>
        <v>7031.4</v>
      </c>
      <c r="CM238">
        <f>SUM((TBA_Matches_All[[#This Row],[Leave]]*2)+(TBA_Matches_All[[#This Row],[AampT]]*2)+(TBA_Matches_All[[#This Row],[AspkrT]]*5)+(TBA_Matches_All[[#This Row],[AtrapT]]*5))</f>
        <v>0</v>
      </c>
      <c r="CN238" s="59">
        <f>IFERROR(SUM(TBA_Matches_All[[#This Row],[AptsT]]/TBA_Matches_All[[#This Row],[AutoPts]]),0)</f>
        <v>0</v>
      </c>
      <c r="CO238" s="59">
        <f>IFERROR(SUM(TBA_Matches_All[[#This Row],[AampT]]+TBA_Matches_All[[#This Row],[AspkrT]]+TBA_Matches_All[[#This Row],[AtrapT]]/TBA_Matches_All[[#This Row],[Aamp]]+TBA_Matches_All[[#This Row],[Aspkr]]+TBA_Matches_All[[#This Row],[AtrapT]]),0)</f>
        <v>0</v>
      </c>
      <c r="CP238" s="59">
        <f>IFERROR(SUM(TBA_Matches_All[[#This Row],[TampT]]/TBA_Matches_All[[#This Row],[Tamp]]),0)</f>
        <v>0</v>
      </c>
      <c r="CQ238" s="59">
        <f>IFERROR(SUM(TBA_Matches_All[[#This Row],[TspkrT]]/TBA_Matches_All[[#This Row],[Tspkr]]),0)</f>
        <v>0</v>
      </c>
      <c r="CR238">
        <f>SUM(TBA_Matches_All[[#This Row],[TspkrPts]]*TBA_Matches_All[[#This Row],[TspkrP]])</f>
        <v>0</v>
      </c>
      <c r="CS238" s="59">
        <f>IFERROR(SUM(TBA_Matches_All[[#This Row],[TtrapT]]/TBA_Matches_All[[#This Row],[Trap]]),0)</f>
        <v>0</v>
      </c>
      <c r="CT238" s="59">
        <f>IFERROR(SUM(TBA_Matches_All[[#This Row],[TotNotesT]]/TBA_Matches_All[[#This Row],[TotNotes]]),0)</f>
        <v>0</v>
      </c>
      <c r="CU238" s="66">
        <f>SUM((TBA_Matches_All[[#This Row],[AampT]]*2)+(TBA_Matches_All[[#This Row],[AspkrT]]*5)+(TBA_Matches_All[[#This Row],[AtrapT]]*5)+(TBA_Matches_All[[#This Row],[TampT]]*1)+(TBA_Matches_All[[#This Row],[TspkrptsC]]))</f>
        <v>0</v>
      </c>
      <c r="CV238" s="59">
        <f>IFERROR(TBA_Matches_All[[#This Row],[noteptsT]]/TBA_Matches_All[[#This Row],[NotePts]],0)</f>
        <v>0</v>
      </c>
      <c r="CW238">
        <f>SUM(IF(TBA_Matches_All[[#This Row],[stageStat]]="On",3,0),IF(TBA_Matches_All[[#This Row],[stageStat]]="Park",1,0),SUMIFS(TBA_Matches_All[[#This Row],[Spotlit]],TBA_Matches_All[[#This Row],[stageStat]],"On"),SUMIFS(TBA_Matches_All[[#This Row],[Harmony]],TBA_Matches_All[[#This Row],[stageStat]],"On"))</f>
        <v>1</v>
      </c>
      <c r="CX238" s="59">
        <f>IFERROR(TBA_Matches_All[[#This Row],[stageptsT]]/TBA_Matches_All[[#This Row],[StagePts]],0)</f>
        <v>0.1111111111111111</v>
      </c>
      <c r="CY238">
        <f>SUM((TBA_Matches_All[[#This Row],[AptsT]]+TBA_Matches_All[[#This Row],[TampT]]+TBA_Matches_All[[#This Row],[TspkrptsC]]+(TBA_Matches_All[[#This Row],[TtrapT]]*5)+TBA_Matches_All[[#This Row],[stageptsT]]))</f>
        <v>1</v>
      </c>
      <c r="CZ238" s="59">
        <f>IFERROR(SUM(TBA_Matches_All[[#This Row],[TotptsC]]/TBA_Matches_All[[#This Row],[Score]]),0)</f>
        <v>1.4285714285714285E-2</v>
      </c>
      <c r="DA23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38" s="74">
        <f>SUMIFS(TBA_Matches_All[AveTeamTNoteDels],TBA_Matches_All[Match_Number],TBA_Matches_All[[#This Row],[Match_Number]],TBA_Matches_All[Alliance],"&lt;&gt;"&amp;TBA_Matches_All[[#This Row],[Alliance]],TBA_Matches_All[Scouted],"&gt;0")</f>
        <v>15.6625</v>
      </c>
      <c r="DC238" s="74">
        <f>(TBA_Matches_All[[#This Row],[TampT]]+TBA_Matches_All[[#This Row],[TspkrptsC]])-TBA_Matches_All[[#This Row],[AveTeamTNoteDels]]</f>
        <v>0</v>
      </c>
      <c r="DD238" s="74">
        <f>SUMIFS(TBA_Matches_All[AveTeamTNoteDels],TBA_Matches_All[Match_Number],TBA_Matches_All[[#This Row],[Match_Number]],TBA_Matches_All[Alliance],"&lt;&gt;"&amp;TBA_Matches_All[[#This Row],[Alliance]])-TBA_Matches_All[[#This Row],[AveOppTNoteDels]]</f>
        <v>0</v>
      </c>
    </row>
    <row r="239" spans="1:108" x14ac:dyDescent="0.3">
      <c r="A239" t="s">
        <v>1042</v>
      </c>
      <c r="B239" t="s">
        <v>489</v>
      </c>
      <c r="C239" t="s">
        <v>1349</v>
      </c>
      <c r="D239">
        <v>40</v>
      </c>
      <c r="E239" t="s">
        <v>1420</v>
      </c>
      <c r="F239" t="s">
        <v>1423</v>
      </c>
      <c r="G239" t="s">
        <v>1409</v>
      </c>
      <c r="H239" t="s">
        <v>1283</v>
      </c>
      <c r="I239" t="b">
        <v>1</v>
      </c>
      <c r="J239">
        <v>45</v>
      </c>
      <c r="K239">
        <v>0</v>
      </c>
      <c r="L239">
        <v>0</v>
      </c>
      <c r="M239">
        <v>10</v>
      </c>
      <c r="N239">
        <v>0</v>
      </c>
      <c r="O239">
        <v>3</v>
      </c>
      <c r="P239">
        <v>15</v>
      </c>
      <c r="Q239">
        <v>21</v>
      </c>
      <c r="R239">
        <v>5</v>
      </c>
      <c r="S239">
        <v>1</v>
      </c>
      <c r="T239">
        <v>1</v>
      </c>
      <c r="U239">
        <v>5</v>
      </c>
      <c r="V239">
        <v>2</v>
      </c>
      <c r="W239">
        <v>2</v>
      </c>
      <c r="X239">
        <v>7</v>
      </c>
      <c r="Y239">
        <v>12</v>
      </c>
      <c r="Z239">
        <v>0</v>
      </c>
      <c r="AA239">
        <v>0</v>
      </c>
      <c r="AB239">
        <v>10</v>
      </c>
      <c r="AC239">
        <v>27</v>
      </c>
      <c r="AD239">
        <v>7</v>
      </c>
      <c r="AE239">
        <f>IFERROR(6/(COUNTIF(Dyno_EndMatch[Match],TBA_Matches_All[[#This Row],[Match_Number]])),0)</f>
        <v>1</v>
      </c>
      <c r="AF239">
        <f>COUNTIFS(Dyno_Data[Team],TBA_Matches_All[[#This Row],[Team]],Dyno_Data[Match],TBA_Matches_All[[#This Row],[Match_Number]],Dyno_Data[RecordType],"EndMatch",Dyno_Data[HPAmp],"Y")</f>
        <v>0</v>
      </c>
      <c r="AG239">
        <f>SUMIFS(Dyno_Data[Mics], Dyno_Data[Team],TBA_Matches_All[[#This Row],[Team]],Dyno_Data[Match],TBA_Matches_All[[#This Row],[Match_Number]],Dyno_Data[RecordType],"EndMatch",Dyno_Data[HPAmp],"Y")</f>
        <v>0</v>
      </c>
      <c r="AH239">
        <f>SUMIFS(Dyno_Data[Leave], Dyno_Data[Team],TBA_Matches_All[[#This Row],[Team]],Dyno_Data[Match],TBA_Matches_All[[#This Row],[Match_Number]],Dyno_Data[RecordType],"EndAuto")</f>
        <v>1</v>
      </c>
      <c r="AI239">
        <f>COUNTIFS(Dyno_Data[Team],TBA_Matches_All[[#This Row],[Team]],Dyno_Data[Match],TBA_Matches_All[[#This Row],[Match_Number]],Dyno_Data[RecordType],"Activities",Dyno_Data[DelDest],"Amp", Dyno_Data[DelMiss],"0", Dyno_Data[Mode],"Auto")</f>
        <v>0</v>
      </c>
      <c r="AJ239">
        <f>COUNTIFS(Dyno_Data[Team],TBA_Matches_All[[#This Row],[Team]],Dyno_Data[Match],TBA_Matches_All[[#This Row],[Match_Number]],Dyno_Data[RecordType],"Activities",Dyno_Data[DelDest],"Spkr", Dyno_Data[DelMiss],"0", Dyno_Data[Mode],"Auto")</f>
        <v>1</v>
      </c>
      <c r="AK239">
        <f>COUNTIFS(Dyno_Data[Team],TBA_Matches_All[[#This Row],[Team]],Dyno_Data[Match],TBA_Matches_All[[#This Row],[Match_Number]],Dyno_Data[RecordType],"Activities",Dyno_Data[DelDest],"Trap", Dyno_Data[DelMiss],"0", Dyno_Data[Mode],"Auto")</f>
        <v>0</v>
      </c>
      <c r="AL239">
        <f>COUNTIFS(Dyno_Data[Team],TBA_Matches_All[[#This Row],[Team]],Dyno_Data[Match],TBA_Matches_All[[#This Row],[Match_Number]],Dyno_Data[RecordType],"Activities",Dyno_Data[DelDest],"Amp", Dyno_Data[DelMiss],"0", Dyno_Data[Mode],"Teleop")</f>
        <v>0</v>
      </c>
      <c r="AM239">
        <f>COUNTIFS(Dyno_Data[Team],TBA_Matches_All[[#This Row],[Team]],Dyno_Data[Match],TBA_Matches_All[[#This Row],[Match_Number]],Dyno_Data[RecordType],"Activities",Dyno_Data[DelDest],"Spkr", Dyno_Data[DelMiss],"0", Dyno_Data[Mode],"Teleop")</f>
        <v>0</v>
      </c>
      <c r="AN239">
        <f>COUNTIFS(Dyno_Data[Team],TBA_Matches_All[[#This Row],[Team]],Dyno_Data[Match],TBA_Matches_All[[#This Row],[Match_Number]],Dyno_Data[RecordType],"Activities",Dyno_Data[DelDest],"Trap", Dyno_Data[DelMiss],"0", Dyno_Data[Mode],"&lt;&gt;Auto")</f>
        <v>0</v>
      </c>
      <c r="AO239">
        <f>SUM(TBA_Matches_All[[#This Row],[AampT]]+TBA_Matches_All[[#This Row],[AspkrT]]+TBA_Matches_All[[#This Row],[AtrapT]]+TBA_Matches_All[[#This Row],[TampT]]+TBA_Matches_All[[#This Row],[TspkrT]]+TBA_Matches_All[[#This Row],[TtrapT]])</f>
        <v>1</v>
      </c>
      <c r="AP239">
        <f>COUNTIFS(Dyno_Data[Team],TBA_Matches_All[[#This Row],[Team]],Dyno_Data[Match],TBA_Matches_All[[#This Row],[Match_Number]],Dyno_Data[RecordType],"Activities",Dyno_Data[DelDest],"Neut", Dyno_Data[DelMiss],"0")</f>
        <v>0</v>
      </c>
      <c r="AQ239">
        <f>COUNTIFS(Dyno_Data[Team],TBA_Matches_All[[#This Row],[Team]],Dyno_Data[Match],TBA_Matches_All[[#This Row],[Match_Number]],Dyno_Data[RecordType],"Activities",Dyno_Data[DelDest],"AllyW", Dyno_Data[DelMiss],"0")</f>
        <v>0</v>
      </c>
      <c r="AR239" t="str">
        <f>_xlfn.XLOOKUP(SUM(MID(TBA_Matches_All[[#This Row],[Team]],4,5),(TBA_Matches_All[[#This Row],[Match_Number]]/100)),Dyno_EndMatch[teammat],Dyno_EndMatch[RobotSta],"_",0,1)</f>
        <v>Amp</v>
      </c>
      <c r="AS239">
        <f>SUMIFS(Dyno_Data[AcqDis], Dyno_Data[Team],TBA_Matches_All[[#This Row],[Team]],Dyno_Data[Match],TBA_Matches_All[[#This Row],[Match_Number]],Dyno_Data[RecordType],"Activities", Dyno_Data[AcqCenter],1,Dyno_Data[Mode],"Auto")</f>
        <v>0</v>
      </c>
      <c r="AT239">
        <f>SUMIFS(Dyno_Data[AcqDis], Dyno_Data[Team],TBA_Matches_All[[#This Row],[Team]],Dyno_Data[Match],TBA_Matches_All[[#This Row],[Match_Number]],Dyno_Data[RecordType],"Activities", Dyno_Data[AcqCenter],2,Dyno_Data[Mode],"Auto")</f>
        <v>0</v>
      </c>
      <c r="AU239">
        <f>SUMIFS(Dyno_Data[AcqDis], Dyno_Data[Team],TBA_Matches_All[[#This Row],[Team]],Dyno_Data[Match],TBA_Matches_All[[#This Row],[Match_Number]],Dyno_Data[RecordType],"Activities", Dyno_Data[AcqCenter],3,Dyno_Data[Mode],"Auto")</f>
        <v>0</v>
      </c>
      <c r="AV239">
        <f>SUMIFS(Dyno_Data[AcqDis], Dyno_Data[Team],TBA_Matches_All[[#This Row],[Team]],Dyno_Data[Match],TBA_Matches_All[[#This Row],[Match_Number]],Dyno_Data[RecordType],"Activities", Dyno_Data[AcqCenter],4,Dyno_Data[Mode],"Auto")</f>
        <v>0</v>
      </c>
      <c r="AW239">
        <f>SUMIFS(Dyno_Data[AcqDis], Dyno_Data[Team],TBA_Matches_All[[#This Row],[Team]],Dyno_Data[Match],TBA_Matches_All[[#This Row],[Match_Number]],Dyno_Data[RecordType],"Activities", Dyno_Data[AcqCenter],5,Dyno_Data[Mode],"Auto")</f>
        <v>0</v>
      </c>
      <c r="AX239">
        <f>SUMIFS(Dyno_Data[DelMiss], Dyno_Data[Team],TBA_Matches_All[[#This Row],[Team]],Dyno_Data[Match],TBA_Matches_All[[#This Row],[Match_Number]],Dyno_Data[RecordType],"Activities", Dyno_Data[DelDest],"Amp")</f>
        <v>0</v>
      </c>
      <c r="AY239" s="60">
        <f>IFERROR(SUM((TBA_Matches_All[[#This Row],[AampT]]+TBA_Matches_All[[#This Row],[TampT]])/(TBA_Matches_All[[#This Row],[AampT]]+TBA_Matches_All[[#This Row],[TampT]]+TBA_Matches_All[[#This Row],[ampM]])),0)</f>
        <v>0</v>
      </c>
      <c r="AZ239">
        <f>SUMIFS(Dyno_Data[DelMiss], Dyno_Data[Team],TBA_Matches_All[[#This Row],[Team]],Dyno_Data[Match],TBA_Matches_All[[#This Row],[Match_Number]],Dyno_Data[RecordType],"Activities", Dyno_Data[DelDest],"Spkr")</f>
        <v>0</v>
      </c>
      <c r="BA239" s="60">
        <f>IFERROR(SUM((TBA_Matches_All[[#This Row],[AspkrT]]+TBA_Matches_All[[#This Row],[TspkrT]])/(TBA_Matches_All[[#This Row],[AspkrT]]+TBA_Matches_All[[#This Row],[TspkrT]]+TBA_Matches_All[[#This Row],[spkrM]])),0)</f>
        <v>1</v>
      </c>
      <c r="BB239">
        <f>SUMIFS(Dyno_Data[DelMiss], Dyno_Data[Team],TBA_Matches_All[[#This Row],[Team]],Dyno_Data[Match],TBA_Matches_All[[#This Row],[Match_Number]],Dyno_Data[RecordType],"Activities", Dyno_Data[DelDest],"Trap")</f>
        <v>0</v>
      </c>
      <c r="BC239" s="60">
        <f>IFERROR((TBA_Matches_All[[#This Row],[AtrapT]]+TBA_Matches_All[[#This Row],[TtrapT]])/(TBA_Matches_All[[#This Row],[AtrapT]]+TBA_Matches_All[[#This Row],[TtrapT]]+TBA_Matches_All[[#This Row],[trapM]]),0)</f>
        <v>0</v>
      </c>
      <c r="BD239">
        <f>COUNTIFS(Dyno_Data[Team],TBA_Matches_All[[#This Row],[Team]],Dyno_Data[Match],TBA_Matches_All[[#This Row],[Match_Number]],Dyno_Data[RecordType],"Activities",Dyno_Data[DelDest],"Neut", Dyno_Data[DelMiss],1)</f>
        <v>0</v>
      </c>
      <c r="BE239" s="60">
        <f>IFERROR(SUM((TBA_Matches_All[[#This Row],[NeutFlrT]])/(TBA_Matches_All[[#This Row],[NeutFlrT]]+TBA_Matches_All[[#This Row],[NZflM]])),0)</f>
        <v>0</v>
      </c>
      <c r="BF239">
        <f>COUNTIFS(Dyno_Data[Team],TBA_Matches_All[[#This Row],[Team]],Dyno_Data[Match],TBA_Matches_All[[#This Row],[Match_Number]],Dyno_Data[RecordType],"Activities",Dyno_Data[DelDest],"AllyW", Dyno_Data[DelMiss],1)</f>
        <v>0</v>
      </c>
      <c r="BG239" s="60">
        <f>IFERROR(SUM((TBA_Matches_All[[#This Row],[AllyWFlrT]])/(TBA_Matches_All[[#This Row],[AllyWFlrT]]+TBA_Matches_All[[#This Row],[AZflM]])),0)</f>
        <v>0</v>
      </c>
      <c r="BH239">
        <f>COUNTIFS(Dyno_Data[Team],TBA_Matches_All[[#This Row],[Team]],Dyno_Data[Match],TBA_Matches_All[[#This Row],[Match_Number]],Dyno_Data[RecordType],"Activities",Dyno_Data[DelOrig],"OppW", Dyno_Data[DelMiss],"0")</f>
        <v>0</v>
      </c>
      <c r="BI239">
        <f>COUNTIFS(Dyno_Data[Team],TBA_Matches_All[[#This Row],[Team]],Dyno_Data[Match],TBA_Matches_All[[#This Row],[Match_Number]],Dyno_Data[RecordType],"Activities",Dyno_Data[DelOrig],"OppW", Dyno_Data[DelMiss],"1")</f>
        <v>0</v>
      </c>
      <c r="BJ239" s="60">
        <f>IFERROR(SUM((TBA_Matches_All[[#This Row],[OZflrT]])/(TBA_Matches_All[[#This Row],[OZflrT]]+TBA_Matches_All[[#This Row],[OZflrM]])),0)</f>
        <v>0</v>
      </c>
      <c r="BK239">
        <f>COUNTIFS(Dyno_Data[Team],TBA_Matches_All[[#This Row],[Team]],Dyno_Data[Match],TBA_Matches_All[[#This Row],[Match_Number]],Dyno_Data[RecordType],"Activities",Dyno_Data[DelOrig],"Neut", Dyno_Data[DelMiss],"0")</f>
        <v>0</v>
      </c>
      <c r="BL239">
        <f>COUNTIFS(Dyno_Data[Team],TBA_Matches_All[[#This Row],[Team]],Dyno_Data[Match],TBA_Matches_All[[#This Row],[Match_Number]],Dyno_Data[RecordType],"Activities",Dyno_Data[DelOrig],"Neut", Dyno_Data[DelMiss],"1")</f>
        <v>0</v>
      </c>
      <c r="BM239" s="60">
        <f>IFERROR(SUM((TBA_Matches_All[[#This Row],[NZflrT]])/(TBA_Matches_All[[#This Row],[NZflrT]]+TBA_Matches_All[[#This Row],[NZflrM]])),0)</f>
        <v>0</v>
      </c>
      <c r="BN239">
        <f>COUNTIFS(Dyno_Data[Team],TBA_Matches_All[[#This Row],[Team]],Dyno_Data[Match],TBA_Matches_All[[#This Row],[Match_Number]],Dyno_Data[RecordType],"Activities",Dyno_Data[DelOrig],"AllyW", Dyno_Data[DelMiss],"0")</f>
        <v>0</v>
      </c>
      <c r="BO239">
        <f>COUNTIFS(Dyno_Data[Team],TBA_Matches_All[[#This Row],[Team]],Dyno_Data[Match],TBA_Matches_All[[#This Row],[Match_Number]],Dyno_Data[RecordType],"Activities",Dyno_Data[DelOrig],"AllyW", Dyno_Data[DelMiss],"1")</f>
        <v>0</v>
      </c>
      <c r="BP239" s="60">
        <f>IFERROR(SUM((TBA_Matches_All[[#This Row],[AZflrT]])/(TBA_Matches_All[[#This Row],[AZflrT]]+TBA_Matches_All[[#This Row],[AZflrM]])),0)</f>
        <v>0</v>
      </c>
      <c r="BQ239">
        <f>COUNTIFS(Dyno_Data[Team],TBA_Matches_All[[#This Row],[Team]],Dyno_Data[Match],TBA_Matches_All[[#This Row],[Match_Number]],Dyno_Data[RecordType],"Activities",Dyno_Data[DelOrig],"SubW", Dyno_Data[DelMiss],"0")</f>
        <v>1</v>
      </c>
      <c r="BR239">
        <f>COUNTIFS(Dyno_Data[Team],TBA_Matches_All[[#This Row],[Team]],Dyno_Data[Match],TBA_Matches_All[[#This Row],[Match_Number]],Dyno_Data[RecordType],"Activities",Dyno_Data[DelOrig],"SubW", Dyno_Data[DelMiss],"1")</f>
        <v>0</v>
      </c>
      <c r="BS239" s="60">
        <f>IFERROR(SUM((TBA_Matches_All[[#This Row],[SubwT]])/(TBA_Matches_All[[#This Row],[SubwT]]+TBA_Matches_All[[#This Row],[SubwM]])),0)</f>
        <v>1</v>
      </c>
      <c r="BT239">
        <f>COUNTIFS(Dyno_Data[Team],TBA_Matches_All[[#This Row],[Team]],Dyno_Data[Match],TBA_Matches_All[[#This Row],[Match_Number]],Dyno_Data[RecordType],"Activities", Dyno_Data[AcqLoc],"OppWing")</f>
        <v>0</v>
      </c>
      <c r="BU239">
        <f>COUNTIFS(Dyno_Data[Team],TBA_Matches_All[[#This Row],[Team]],Dyno_Data[Match],TBA_Matches_All[[#This Row],[Match_Number]],Dyno_Data[RecordType],"Activities", Dyno_Data[AcqLoc],"Neutral")</f>
        <v>0</v>
      </c>
      <c r="BV239">
        <f>COUNTIFS(Dyno_Data[Team],TBA_Matches_All[[#This Row],[Team]],Dyno_Data[Match],TBA_Matches_All[[#This Row],[Match_Number]],Dyno_Data[RecordType],"Activities", Dyno_Data[AcqLoc],"AllyWing")</f>
        <v>0</v>
      </c>
      <c r="BW239">
        <f>COUNTIFS(Dyno_Data[Team],TBA_Matches_All[[#This Row],[Team]],Dyno_Data[Match],TBA_Matches_All[[#This Row],[Match_Number]],Dyno_Data[RecordType],"Activities", Dyno_Data[AcqLoc],"Source")</f>
        <v>0</v>
      </c>
      <c r="BX239">
        <f>SUMIFS(Dyno_Data[AcqDrp], Dyno_Data[Team],TBA_Matches_All[[#This Row],[Team]],Dyno_Data[Match],TBA_Matches_All[[#This Row],[Match_Number]],Dyno_Data[RecordType],"Activities", Dyno_Data[AcqLoc],"Source")</f>
        <v>0</v>
      </c>
      <c r="BY239">
        <f>SUMIFS(Dyno_Data[OZTime], Dyno_Data[Team],TBA_Matches_All[[#This Row],[Team]],Dyno_Data[Match],TBA_Matches_All[[#This Row],[Match_Number]],Dyno_Data[RecordType],"EndMatch")</f>
        <v>0</v>
      </c>
      <c r="BZ239">
        <f>SUMIFS(Dyno_Data[NZTime], Dyno_Data[Team],TBA_Matches_All[[#This Row],[Team]],Dyno_Data[Match],TBA_Matches_All[[#This Row],[Match_Number]],Dyno_Data[RecordType],"EndMatch")</f>
        <v>9.344798299999999</v>
      </c>
      <c r="CA239">
        <f>SUMIFS(Dyno_Data[AZTime], Dyno_Data[Team],TBA_Matches_All[[#This Row],[Team]],Dyno_Data[Match],TBA_Matches_All[[#This Row],[Match_Number]],Dyno_Data[RecordType],"EndMatch")</f>
        <v>108.5590256</v>
      </c>
      <c r="CB239">
        <f>SUMIFS(Dyno_Data[ClimbT], Dyno_Data[Team],TBA_Matches_All[[#This Row],[Team]],Dyno_Data[Match],TBA_Matches_All[[#This Row],[Match_Number]],Dyno_Data[RecordType],"EndMatch")</f>
        <v>6.6370519999999997</v>
      </c>
      <c r="CC239" t="str">
        <f>_xlfn.XLOOKUP(SUM(MID(TBA_Matches_All[[#This Row],[Team]],4,5),(TBA_Matches_All[[#This Row],[Match_Number]]/100)),Dyno_EndMatch[teammat],Dyno_EndMatch[StageStat],"_",0,1)</f>
        <v>On</v>
      </c>
      <c r="CD239" t="str">
        <f>_xlfn.XLOOKUP(TBA_Matches_All[[#This Row],[teammat]],Dyno_EndMatch[teammat],Dyno_EndMatch[StageAtt],"_",0,1)</f>
        <v>1</v>
      </c>
      <c r="CE239" t="str">
        <f>_xlfn.XLOOKUP(TBA_Matches_All[[#This Row],[teammat]],Dyno_EndMatch[teammat],Dyno_EndMatch[StageLoc],"_",0,1)</f>
        <v>R</v>
      </c>
      <c r="CF239">
        <f>SUMIFS(Dyno_Data[Harmony], Dyno_Data[Team],TBA_Matches_All[[#This Row],[Team]],Dyno_Data[Match],TBA_Matches_All[[#This Row],[Match_Number]],Dyno_Data[RecordType],"EndMatch", Dyno_Data[StageStat],"On",Dyno_Data[Harmony],"&lt;&gt;9")</f>
        <v>0</v>
      </c>
      <c r="CG239">
        <f>SUMIFS(Dyno_Data[Spotlit], Dyno_Data[Team],TBA_Matches_All[[#This Row],[Team]],Dyno_Data[Match],TBA_Matches_All[[#This Row],[Match_Number]],Dyno_Data[RecordType],"EndMatch", Dyno_Data[StageStat],"On",Dyno_Data[Spotlit],"&lt;&gt;9")</f>
        <v>0</v>
      </c>
      <c r="CH239" t="str">
        <f>_xlfn.XLOOKUP(TBA_Matches_All[[#This Row],[teammat]],Dyno_EndMatch[teammat],Dyno_EndMatch[Strategy],"_",0,1)</f>
        <v>Defense</v>
      </c>
      <c r="CI239">
        <f>SUMIFS(Dyno_Data[Defense], Dyno_Data[Team],TBA_Matches_All[[#This Row],[Team]],Dyno_Data[Match],TBA_Matches_All[[#This Row],[Match_Number]],Dyno_Data[RecordType],"EndMatch",Dyno_Data[Defense],"&lt;&gt;9")</f>
        <v>3</v>
      </c>
      <c r="CJ239">
        <f>SUMIFS(Dyno_Data[Avoidance], Dyno_Data[Team],TBA_Matches_All[[#This Row],[Team]],Dyno_Data[Match],TBA_Matches_All[[#This Row],[Match_Number]],Dyno_Data[RecordType],"EndMatch",Dyno_Data[Avoidance],"&lt;&gt;9")</f>
        <v>0</v>
      </c>
      <c r="CK239" s="82">
        <f>COUNTIF($H$2:TBA_Matches_All[[#This Row],[Team]],TBA_Matches_All[[#This Row],[Team]])</f>
        <v>5</v>
      </c>
      <c r="CL239" s="111">
        <f>SUM(MID(TBA_Matches_All[[#This Row],[Team]],4,5)+TBA_Matches_All[[#This Row],[Match_Number]]/100)</f>
        <v>1601.4</v>
      </c>
      <c r="CM239">
        <f>SUM((TBA_Matches_All[[#This Row],[Leave]]*2)+(TBA_Matches_All[[#This Row],[AampT]]*2)+(TBA_Matches_All[[#This Row],[AspkrT]]*5)+(TBA_Matches_All[[#This Row],[AtrapT]]*5))</f>
        <v>7</v>
      </c>
      <c r="CN239" s="59">
        <f>IFERROR(SUM(TBA_Matches_All[[#This Row],[AptsT]]/TBA_Matches_All[[#This Row],[AutoPts]]),0)</f>
        <v>0.33333333333333331</v>
      </c>
      <c r="CO239" s="59">
        <f>IFERROR(SUM(TBA_Matches_All[[#This Row],[AampT]]+TBA_Matches_All[[#This Row],[AspkrT]]+TBA_Matches_All[[#This Row],[AtrapT]]/TBA_Matches_All[[#This Row],[Aamp]]+TBA_Matches_All[[#This Row],[Aspkr]]+TBA_Matches_All[[#This Row],[AtrapT]]),0)</f>
        <v>0</v>
      </c>
      <c r="CP239" s="59">
        <f>IFERROR(SUM(TBA_Matches_All[[#This Row],[TampT]]/TBA_Matches_All[[#This Row],[Tamp]]),0)</f>
        <v>0</v>
      </c>
      <c r="CQ239" s="59">
        <f>IFERROR(SUM(TBA_Matches_All[[#This Row],[TspkrT]]/TBA_Matches_All[[#This Row],[Tspkr]]),0)</f>
        <v>0</v>
      </c>
      <c r="CR239">
        <f>SUM(TBA_Matches_All[[#This Row],[TspkrPts]]*TBA_Matches_All[[#This Row],[TspkrP]])</f>
        <v>0</v>
      </c>
      <c r="CS239" s="59">
        <f>IFERROR(SUM(TBA_Matches_All[[#This Row],[TtrapT]]/TBA_Matches_All[[#This Row],[Trap]]),0)</f>
        <v>0</v>
      </c>
      <c r="CT239" s="59">
        <f>IFERROR(SUM(TBA_Matches_All[[#This Row],[TotNotesT]]/TBA_Matches_All[[#This Row],[TotNotes]]),0)</f>
        <v>0.1</v>
      </c>
      <c r="CU239" s="66">
        <f>SUM((TBA_Matches_All[[#This Row],[AampT]]*2)+(TBA_Matches_All[[#This Row],[AspkrT]]*5)+(TBA_Matches_All[[#This Row],[AtrapT]]*5)+(TBA_Matches_All[[#This Row],[TampT]]*1)+(TBA_Matches_All[[#This Row],[TspkrptsC]]))</f>
        <v>5</v>
      </c>
      <c r="CV239" s="59">
        <f>IFERROR(TBA_Matches_All[[#This Row],[noteptsT]]/TBA_Matches_All[[#This Row],[NotePts]],0)</f>
        <v>0.18518518518518517</v>
      </c>
      <c r="CW239">
        <f>SUM(IF(TBA_Matches_All[[#This Row],[stageStat]]="On",3,0),IF(TBA_Matches_All[[#This Row],[stageStat]]="Park",1,0),SUMIFS(TBA_Matches_All[[#This Row],[Spotlit]],TBA_Matches_All[[#This Row],[stageStat]],"On"),SUMIFS(TBA_Matches_All[[#This Row],[Harmony]],TBA_Matches_All[[#This Row],[stageStat]],"On"))</f>
        <v>3</v>
      </c>
      <c r="CX239" s="59">
        <f>IFERROR(TBA_Matches_All[[#This Row],[stageptsT]]/TBA_Matches_All[[#This Row],[StagePts]],0)</f>
        <v>0.42857142857142855</v>
      </c>
      <c r="CY239">
        <f>SUM((TBA_Matches_All[[#This Row],[AptsT]]+TBA_Matches_All[[#This Row],[TampT]]+TBA_Matches_All[[#This Row],[TspkrptsC]]+(TBA_Matches_All[[#This Row],[TtrapT]]*5)+TBA_Matches_All[[#This Row],[stageptsT]]))</f>
        <v>10</v>
      </c>
      <c r="CZ239" s="59">
        <f>IFERROR(SUM(TBA_Matches_All[[#This Row],[TotptsC]]/TBA_Matches_All[[#This Row],[Score]]),0)</f>
        <v>0.22222222222222221</v>
      </c>
      <c r="DA23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0.6</v>
      </c>
      <c r="DB239" s="74">
        <f>SUMIFS(TBA_Matches_All[AveTeamTNoteDels],TBA_Matches_All[Match_Number],TBA_Matches_All[[#This Row],[Match_Number]],TBA_Matches_All[Alliance],"&lt;&gt;"&amp;TBA_Matches_All[[#This Row],[Alliance]],TBA_Matches_All[Scouted],"&gt;0")</f>
        <v>17.331428571428571</v>
      </c>
      <c r="DC239" s="74">
        <f>(TBA_Matches_All[[#This Row],[TampT]]+TBA_Matches_All[[#This Row],[TspkrptsC]])-TBA_Matches_All[[#This Row],[AveTeamTNoteDels]]</f>
        <v>-0.6</v>
      </c>
      <c r="DD239" s="74">
        <f>SUMIFS(TBA_Matches_All[AveTeamTNoteDels],TBA_Matches_All[Match_Number],TBA_Matches_All[[#This Row],[Match_Number]],TBA_Matches_All[Alliance],"&lt;&gt;"&amp;TBA_Matches_All[[#This Row],[Alliance]])-TBA_Matches_All[[#This Row],[AveOppTNoteDels]]</f>
        <v>0</v>
      </c>
    </row>
    <row r="240" spans="1:108" x14ac:dyDescent="0.3">
      <c r="A240" t="s">
        <v>1042</v>
      </c>
      <c r="B240" t="s">
        <v>489</v>
      </c>
      <c r="C240" t="s">
        <v>1349</v>
      </c>
      <c r="D240">
        <v>40</v>
      </c>
      <c r="E240" t="s">
        <v>1406</v>
      </c>
      <c r="F240" t="s">
        <v>1424</v>
      </c>
      <c r="G240" t="s">
        <v>1409</v>
      </c>
      <c r="H240" t="s">
        <v>364</v>
      </c>
      <c r="I240" t="b">
        <v>1</v>
      </c>
      <c r="J240">
        <v>70</v>
      </c>
      <c r="K240">
        <v>1</v>
      </c>
      <c r="L240">
        <v>0</v>
      </c>
      <c r="M240">
        <v>5</v>
      </c>
      <c r="N240">
        <v>0</v>
      </c>
      <c r="O240">
        <v>5</v>
      </c>
      <c r="P240">
        <v>25</v>
      </c>
      <c r="Q240">
        <v>29</v>
      </c>
      <c r="R240">
        <v>3</v>
      </c>
      <c r="S240">
        <v>1</v>
      </c>
      <c r="T240">
        <v>7</v>
      </c>
      <c r="U240">
        <v>5</v>
      </c>
      <c r="V240">
        <v>14</v>
      </c>
      <c r="W240">
        <v>8</v>
      </c>
      <c r="X240">
        <v>19</v>
      </c>
      <c r="Y240">
        <v>22</v>
      </c>
      <c r="Z240">
        <v>0</v>
      </c>
      <c r="AA240">
        <v>0</v>
      </c>
      <c r="AB240">
        <v>16</v>
      </c>
      <c r="AC240">
        <v>47</v>
      </c>
      <c r="AD240">
        <v>9</v>
      </c>
      <c r="AE240">
        <f>IFERROR(6/(COUNTIF(Dyno_EndMatch[Match],TBA_Matches_All[[#This Row],[Match_Number]])),0)</f>
        <v>1</v>
      </c>
      <c r="AF240">
        <f>COUNTIFS(Dyno_Data[Team],TBA_Matches_All[[#This Row],[Team]],Dyno_Data[Match],TBA_Matches_All[[#This Row],[Match_Number]],Dyno_Data[RecordType],"EndMatch",Dyno_Data[HPAmp],"Y")</f>
        <v>0</v>
      </c>
      <c r="AG240">
        <f>SUMIFS(Dyno_Data[Mics], Dyno_Data[Team],TBA_Matches_All[[#This Row],[Team]],Dyno_Data[Match],TBA_Matches_All[[#This Row],[Match_Number]],Dyno_Data[RecordType],"EndMatch",Dyno_Data[HPAmp],"Y")</f>
        <v>0</v>
      </c>
      <c r="AH240">
        <f>SUMIFS(Dyno_Data[Leave], Dyno_Data[Team],TBA_Matches_All[[#This Row],[Team]],Dyno_Data[Match],TBA_Matches_All[[#This Row],[Match_Number]],Dyno_Data[RecordType],"EndAuto")</f>
        <v>1</v>
      </c>
      <c r="AI240">
        <f>COUNTIFS(Dyno_Data[Team],TBA_Matches_All[[#This Row],[Team]],Dyno_Data[Match],TBA_Matches_All[[#This Row],[Match_Number]],Dyno_Data[RecordType],"Activities",Dyno_Data[DelDest],"Amp", Dyno_Data[DelMiss],"0", Dyno_Data[Mode],"Auto")</f>
        <v>0</v>
      </c>
      <c r="AJ240">
        <f>COUNTIFS(Dyno_Data[Team],TBA_Matches_All[[#This Row],[Team]],Dyno_Data[Match],TBA_Matches_All[[#This Row],[Match_Number]],Dyno_Data[RecordType],"Activities",Dyno_Data[DelDest],"Spkr", Dyno_Data[DelMiss],"0", Dyno_Data[Mode],"Auto")</f>
        <v>1</v>
      </c>
      <c r="AK240">
        <f>COUNTIFS(Dyno_Data[Team],TBA_Matches_All[[#This Row],[Team]],Dyno_Data[Match],TBA_Matches_All[[#This Row],[Match_Number]],Dyno_Data[RecordType],"Activities",Dyno_Data[DelDest],"Trap", Dyno_Data[DelMiss],"0", Dyno_Data[Mode],"Auto")</f>
        <v>0</v>
      </c>
      <c r="AL240">
        <f>COUNTIFS(Dyno_Data[Team],TBA_Matches_All[[#This Row],[Team]],Dyno_Data[Match],TBA_Matches_All[[#This Row],[Match_Number]],Dyno_Data[RecordType],"Activities",Dyno_Data[DelDest],"Amp", Dyno_Data[DelMiss],"0", Dyno_Data[Mode],"Teleop")</f>
        <v>0</v>
      </c>
      <c r="AM240">
        <f>COUNTIFS(Dyno_Data[Team],TBA_Matches_All[[#This Row],[Team]],Dyno_Data[Match],TBA_Matches_All[[#This Row],[Match_Number]],Dyno_Data[RecordType],"Activities",Dyno_Data[DelDest],"Spkr", Dyno_Data[DelMiss],"0", Dyno_Data[Mode],"Teleop")</f>
        <v>8</v>
      </c>
      <c r="AN240">
        <f>COUNTIFS(Dyno_Data[Team],TBA_Matches_All[[#This Row],[Team]],Dyno_Data[Match],TBA_Matches_All[[#This Row],[Match_Number]],Dyno_Data[RecordType],"Activities",Dyno_Data[DelDest],"Trap", Dyno_Data[DelMiss],"0", Dyno_Data[Mode],"&lt;&gt;Auto")</f>
        <v>0</v>
      </c>
      <c r="AO240">
        <f>SUM(TBA_Matches_All[[#This Row],[AampT]]+TBA_Matches_All[[#This Row],[AspkrT]]+TBA_Matches_All[[#This Row],[AtrapT]]+TBA_Matches_All[[#This Row],[TampT]]+TBA_Matches_All[[#This Row],[TspkrT]]+TBA_Matches_All[[#This Row],[TtrapT]])</f>
        <v>9</v>
      </c>
      <c r="AP240">
        <f>COUNTIFS(Dyno_Data[Team],TBA_Matches_All[[#This Row],[Team]],Dyno_Data[Match],TBA_Matches_All[[#This Row],[Match_Number]],Dyno_Data[RecordType],"Activities",Dyno_Data[DelDest],"Neut", Dyno_Data[DelMiss],"0")</f>
        <v>0</v>
      </c>
      <c r="AQ240">
        <f>COUNTIFS(Dyno_Data[Team],TBA_Matches_All[[#This Row],[Team]],Dyno_Data[Match],TBA_Matches_All[[#This Row],[Match_Number]],Dyno_Data[RecordType],"Activities",Dyno_Data[DelDest],"AllyW", Dyno_Data[DelMiss],"0")</f>
        <v>0</v>
      </c>
      <c r="AR240" t="str">
        <f>_xlfn.XLOOKUP(SUM(MID(TBA_Matches_All[[#This Row],[Team]],4,5),(TBA_Matches_All[[#This Row],[Match_Number]]/100)),Dyno_EndMatch[teammat],Dyno_EndMatch[RobotSta],"_",0,1)</f>
        <v>Podm</v>
      </c>
      <c r="AS240">
        <f>SUMIFS(Dyno_Data[AcqDis], Dyno_Data[Team],TBA_Matches_All[[#This Row],[Team]],Dyno_Data[Match],TBA_Matches_All[[#This Row],[Match_Number]],Dyno_Data[RecordType],"Activities", Dyno_Data[AcqCenter],1,Dyno_Data[Mode],"Auto")</f>
        <v>0</v>
      </c>
      <c r="AT240">
        <f>SUMIFS(Dyno_Data[AcqDis], Dyno_Data[Team],TBA_Matches_All[[#This Row],[Team]],Dyno_Data[Match],TBA_Matches_All[[#This Row],[Match_Number]],Dyno_Data[RecordType],"Activities", Dyno_Data[AcqCenter],2,Dyno_Data[Mode],"Auto")</f>
        <v>1</v>
      </c>
      <c r="AU240">
        <f>SUMIFS(Dyno_Data[AcqDis], Dyno_Data[Team],TBA_Matches_All[[#This Row],[Team]],Dyno_Data[Match],TBA_Matches_All[[#This Row],[Match_Number]],Dyno_Data[RecordType],"Activities", Dyno_Data[AcqCenter],3,Dyno_Data[Mode],"Auto")</f>
        <v>0</v>
      </c>
      <c r="AV240">
        <f>SUMIFS(Dyno_Data[AcqDis], Dyno_Data[Team],TBA_Matches_All[[#This Row],[Team]],Dyno_Data[Match],TBA_Matches_All[[#This Row],[Match_Number]],Dyno_Data[RecordType],"Activities", Dyno_Data[AcqCenter],4,Dyno_Data[Mode],"Auto")</f>
        <v>0</v>
      </c>
      <c r="AW240">
        <f>SUMIFS(Dyno_Data[AcqDis], Dyno_Data[Team],TBA_Matches_All[[#This Row],[Team]],Dyno_Data[Match],TBA_Matches_All[[#This Row],[Match_Number]],Dyno_Data[RecordType],"Activities", Dyno_Data[AcqCenter],5,Dyno_Data[Mode],"Auto")</f>
        <v>0</v>
      </c>
      <c r="AX240">
        <f>SUMIFS(Dyno_Data[DelMiss], Dyno_Data[Team],TBA_Matches_All[[#This Row],[Team]],Dyno_Data[Match],TBA_Matches_All[[#This Row],[Match_Number]],Dyno_Data[RecordType],"Activities", Dyno_Data[DelDest],"Amp")</f>
        <v>0</v>
      </c>
      <c r="AY240" s="60">
        <f>IFERROR(SUM((TBA_Matches_All[[#This Row],[AampT]]+TBA_Matches_All[[#This Row],[TampT]])/(TBA_Matches_All[[#This Row],[AampT]]+TBA_Matches_All[[#This Row],[TampT]]+TBA_Matches_All[[#This Row],[ampM]])),0)</f>
        <v>0</v>
      </c>
      <c r="AZ240">
        <f>SUMIFS(Dyno_Data[DelMiss], Dyno_Data[Team],TBA_Matches_All[[#This Row],[Team]],Dyno_Data[Match],TBA_Matches_All[[#This Row],[Match_Number]],Dyno_Data[RecordType],"Activities", Dyno_Data[DelDest],"Spkr")</f>
        <v>0</v>
      </c>
      <c r="BA240" s="60">
        <f>IFERROR(SUM((TBA_Matches_All[[#This Row],[AspkrT]]+TBA_Matches_All[[#This Row],[TspkrT]])/(TBA_Matches_All[[#This Row],[AspkrT]]+TBA_Matches_All[[#This Row],[TspkrT]]+TBA_Matches_All[[#This Row],[spkrM]])),0)</f>
        <v>1</v>
      </c>
      <c r="BB240">
        <f>SUMIFS(Dyno_Data[DelMiss], Dyno_Data[Team],TBA_Matches_All[[#This Row],[Team]],Dyno_Data[Match],TBA_Matches_All[[#This Row],[Match_Number]],Dyno_Data[RecordType],"Activities", Dyno_Data[DelDest],"Trap")</f>
        <v>0</v>
      </c>
      <c r="BC240" s="60">
        <f>IFERROR((TBA_Matches_All[[#This Row],[AtrapT]]+TBA_Matches_All[[#This Row],[TtrapT]])/(TBA_Matches_All[[#This Row],[AtrapT]]+TBA_Matches_All[[#This Row],[TtrapT]]+TBA_Matches_All[[#This Row],[trapM]]),0)</f>
        <v>0</v>
      </c>
      <c r="BD240">
        <f>COUNTIFS(Dyno_Data[Team],TBA_Matches_All[[#This Row],[Team]],Dyno_Data[Match],TBA_Matches_All[[#This Row],[Match_Number]],Dyno_Data[RecordType],"Activities",Dyno_Data[DelDest],"Neut", Dyno_Data[DelMiss],1)</f>
        <v>0</v>
      </c>
      <c r="BE240" s="60">
        <f>IFERROR(SUM((TBA_Matches_All[[#This Row],[NeutFlrT]])/(TBA_Matches_All[[#This Row],[NeutFlrT]]+TBA_Matches_All[[#This Row],[NZflM]])),0)</f>
        <v>0</v>
      </c>
      <c r="BF240">
        <f>COUNTIFS(Dyno_Data[Team],TBA_Matches_All[[#This Row],[Team]],Dyno_Data[Match],TBA_Matches_All[[#This Row],[Match_Number]],Dyno_Data[RecordType],"Activities",Dyno_Data[DelDest],"AllyW", Dyno_Data[DelMiss],1)</f>
        <v>0</v>
      </c>
      <c r="BG240" s="60">
        <f>IFERROR(SUM((TBA_Matches_All[[#This Row],[AllyWFlrT]])/(TBA_Matches_All[[#This Row],[AllyWFlrT]]+TBA_Matches_All[[#This Row],[AZflM]])),0)</f>
        <v>0</v>
      </c>
      <c r="BH240">
        <f>COUNTIFS(Dyno_Data[Team],TBA_Matches_All[[#This Row],[Team]],Dyno_Data[Match],TBA_Matches_All[[#This Row],[Match_Number]],Dyno_Data[RecordType],"Activities",Dyno_Data[DelOrig],"OppW", Dyno_Data[DelMiss],"0")</f>
        <v>0</v>
      </c>
      <c r="BI240">
        <f>COUNTIFS(Dyno_Data[Team],TBA_Matches_All[[#This Row],[Team]],Dyno_Data[Match],TBA_Matches_All[[#This Row],[Match_Number]],Dyno_Data[RecordType],"Activities",Dyno_Data[DelOrig],"OppW", Dyno_Data[DelMiss],"1")</f>
        <v>0</v>
      </c>
      <c r="BJ240" s="60">
        <f>IFERROR(SUM((TBA_Matches_All[[#This Row],[OZflrT]])/(TBA_Matches_All[[#This Row],[OZflrT]]+TBA_Matches_All[[#This Row],[OZflrM]])),0)</f>
        <v>0</v>
      </c>
      <c r="BK240">
        <f>COUNTIFS(Dyno_Data[Team],TBA_Matches_All[[#This Row],[Team]],Dyno_Data[Match],TBA_Matches_All[[#This Row],[Match_Number]],Dyno_Data[RecordType],"Activities",Dyno_Data[DelOrig],"Neut", Dyno_Data[DelMiss],"0")</f>
        <v>0</v>
      </c>
      <c r="BL240">
        <f>COUNTIFS(Dyno_Data[Team],TBA_Matches_All[[#This Row],[Team]],Dyno_Data[Match],TBA_Matches_All[[#This Row],[Match_Number]],Dyno_Data[RecordType],"Activities",Dyno_Data[DelOrig],"Neut", Dyno_Data[DelMiss],"1")</f>
        <v>0</v>
      </c>
      <c r="BM240" s="60">
        <f>IFERROR(SUM((TBA_Matches_All[[#This Row],[NZflrT]])/(TBA_Matches_All[[#This Row],[NZflrT]]+TBA_Matches_All[[#This Row],[NZflrM]])),0)</f>
        <v>0</v>
      </c>
      <c r="BN240">
        <f>COUNTIFS(Dyno_Data[Team],TBA_Matches_All[[#This Row],[Team]],Dyno_Data[Match],TBA_Matches_All[[#This Row],[Match_Number]],Dyno_Data[RecordType],"Activities",Dyno_Data[DelOrig],"AllyW", Dyno_Data[DelMiss],"0")</f>
        <v>9</v>
      </c>
      <c r="BO240">
        <f>COUNTIFS(Dyno_Data[Team],TBA_Matches_All[[#This Row],[Team]],Dyno_Data[Match],TBA_Matches_All[[#This Row],[Match_Number]],Dyno_Data[RecordType],"Activities",Dyno_Data[DelOrig],"AllyW", Dyno_Data[DelMiss],"1")</f>
        <v>0</v>
      </c>
      <c r="BP240" s="60">
        <f>IFERROR(SUM((TBA_Matches_All[[#This Row],[AZflrT]])/(TBA_Matches_All[[#This Row],[AZflrT]]+TBA_Matches_All[[#This Row],[AZflrM]])),0)</f>
        <v>1</v>
      </c>
      <c r="BQ240">
        <f>COUNTIFS(Dyno_Data[Team],TBA_Matches_All[[#This Row],[Team]],Dyno_Data[Match],TBA_Matches_All[[#This Row],[Match_Number]],Dyno_Data[RecordType],"Activities",Dyno_Data[DelOrig],"SubW", Dyno_Data[DelMiss],"0")</f>
        <v>0</v>
      </c>
      <c r="BR240">
        <f>COUNTIFS(Dyno_Data[Team],TBA_Matches_All[[#This Row],[Team]],Dyno_Data[Match],TBA_Matches_All[[#This Row],[Match_Number]],Dyno_Data[RecordType],"Activities",Dyno_Data[DelOrig],"SubW", Dyno_Data[DelMiss],"1")</f>
        <v>0</v>
      </c>
      <c r="BS240" s="60">
        <f>IFERROR(SUM((TBA_Matches_All[[#This Row],[SubwT]])/(TBA_Matches_All[[#This Row],[SubwT]]+TBA_Matches_All[[#This Row],[SubwM]])),0)</f>
        <v>0</v>
      </c>
      <c r="BT240">
        <f>COUNTIFS(Dyno_Data[Team],TBA_Matches_All[[#This Row],[Team]],Dyno_Data[Match],TBA_Matches_All[[#This Row],[Match_Number]],Dyno_Data[RecordType],"Activities", Dyno_Data[AcqLoc],"OppWing")</f>
        <v>0</v>
      </c>
      <c r="BU240">
        <f>COUNTIFS(Dyno_Data[Team],TBA_Matches_All[[#This Row],[Team]],Dyno_Data[Match],TBA_Matches_All[[#This Row],[Match_Number]],Dyno_Data[RecordType],"Activities", Dyno_Data[AcqLoc],"Neutral")</f>
        <v>2</v>
      </c>
      <c r="BV240">
        <f>COUNTIFS(Dyno_Data[Team],TBA_Matches_All[[#This Row],[Team]],Dyno_Data[Match],TBA_Matches_All[[#This Row],[Match_Number]],Dyno_Data[RecordType],"Activities", Dyno_Data[AcqLoc],"AllyWing")</f>
        <v>0</v>
      </c>
      <c r="BW240">
        <f>COUNTIFS(Dyno_Data[Team],TBA_Matches_All[[#This Row],[Team]],Dyno_Data[Match],TBA_Matches_All[[#This Row],[Match_Number]],Dyno_Data[RecordType],"Activities", Dyno_Data[AcqLoc],"Source")</f>
        <v>0</v>
      </c>
      <c r="BX240">
        <f>SUMIFS(Dyno_Data[AcqDrp], Dyno_Data[Team],TBA_Matches_All[[#This Row],[Team]],Dyno_Data[Match],TBA_Matches_All[[#This Row],[Match_Number]],Dyno_Data[RecordType],"Activities", Dyno_Data[AcqLoc],"Source")</f>
        <v>0</v>
      </c>
      <c r="BY240">
        <f>SUMIFS(Dyno_Data[OZTime], Dyno_Data[Team],TBA_Matches_All[[#This Row],[Team]],Dyno_Data[Match],TBA_Matches_All[[#This Row],[Match_Number]],Dyno_Data[RecordType],"EndMatch")</f>
        <v>42.510476399999995</v>
      </c>
      <c r="BZ240">
        <f>SUMIFS(Dyno_Data[NZTime], Dyno_Data[Team],TBA_Matches_All[[#This Row],[Team]],Dyno_Data[Match],TBA_Matches_All[[#This Row],[Match_Number]],Dyno_Data[RecordType],"EndMatch")</f>
        <v>21.520826799999998</v>
      </c>
      <c r="CA240">
        <f>SUMIFS(Dyno_Data[AZTime], Dyno_Data[Team],TBA_Matches_All[[#This Row],[Team]],Dyno_Data[Match],TBA_Matches_All[[#This Row],[Match_Number]],Dyno_Data[RecordType],"EndMatch")</f>
        <v>56.320834099999999</v>
      </c>
      <c r="CB240">
        <f>SUMIFS(Dyno_Data[ClimbT], Dyno_Data[Team],TBA_Matches_All[[#This Row],[Team]],Dyno_Data[Match],TBA_Matches_All[[#This Row],[Match_Number]],Dyno_Data[RecordType],"EndMatch")</f>
        <v>14.3118655</v>
      </c>
      <c r="CC240" t="str">
        <f>_xlfn.XLOOKUP(SUM(MID(TBA_Matches_All[[#This Row],[Team]],4,5),(TBA_Matches_All[[#This Row],[Match_Number]]/100)),Dyno_EndMatch[teammat],Dyno_EndMatch[StageStat],"_",0,1)</f>
        <v>On</v>
      </c>
      <c r="CD240" t="str">
        <f>_xlfn.XLOOKUP(TBA_Matches_All[[#This Row],[teammat]],Dyno_EndMatch[teammat],Dyno_EndMatch[StageAtt],"_",0,1)</f>
        <v>1</v>
      </c>
      <c r="CE240" t="str">
        <f>_xlfn.XLOOKUP(TBA_Matches_All[[#This Row],[teammat]],Dyno_EndMatch[teammat],Dyno_EndMatch[StageLoc],"_",0,1)</f>
        <v>L</v>
      </c>
      <c r="CF240">
        <f>SUMIFS(Dyno_Data[Harmony], Dyno_Data[Team],TBA_Matches_All[[#This Row],[Team]],Dyno_Data[Match],TBA_Matches_All[[#This Row],[Match_Number]],Dyno_Data[RecordType],"EndMatch", Dyno_Data[StageStat],"On",Dyno_Data[Harmony],"&lt;&gt;9")</f>
        <v>1</v>
      </c>
      <c r="CG240">
        <f>SUMIFS(Dyno_Data[Spotlit], Dyno_Data[Team],TBA_Matches_All[[#This Row],[Team]],Dyno_Data[Match],TBA_Matches_All[[#This Row],[Match_Number]],Dyno_Data[RecordType],"EndMatch", Dyno_Data[StageStat],"On",Dyno_Data[Spotlit],"&lt;&gt;9")</f>
        <v>0</v>
      </c>
      <c r="CH240" t="str">
        <f>_xlfn.XLOOKUP(TBA_Matches_All[[#This Row],[teammat]],Dyno_EndMatch[teammat],Dyno_EndMatch[Strategy],"_",0,1)</f>
        <v>Hybrid</v>
      </c>
      <c r="CI240">
        <f>SUMIFS(Dyno_Data[Defense], Dyno_Data[Team],TBA_Matches_All[[#This Row],[Team]],Dyno_Data[Match],TBA_Matches_All[[#This Row],[Match_Number]],Dyno_Data[RecordType],"EndMatch",Dyno_Data[Defense],"&lt;&gt;9")</f>
        <v>0</v>
      </c>
      <c r="CJ240">
        <f>SUMIFS(Dyno_Data[Avoidance], Dyno_Data[Team],TBA_Matches_All[[#This Row],[Team]],Dyno_Data[Match],TBA_Matches_All[[#This Row],[Match_Number]],Dyno_Data[RecordType],"EndMatch",Dyno_Data[Avoidance],"&lt;&gt;9")</f>
        <v>0</v>
      </c>
      <c r="CK240" s="82">
        <f>COUNTIF($H$2:TBA_Matches_All[[#This Row],[Team]],TBA_Matches_All[[#This Row],[Team]])</f>
        <v>5</v>
      </c>
      <c r="CL240" s="111">
        <f>SUM(MID(TBA_Matches_All[[#This Row],[Team]],4,5)+TBA_Matches_All[[#This Row],[Match_Number]]/100)</f>
        <v>2791.4</v>
      </c>
      <c r="CM240">
        <f>SUM((TBA_Matches_All[[#This Row],[Leave]]*2)+(TBA_Matches_All[[#This Row],[AampT]]*2)+(TBA_Matches_All[[#This Row],[AspkrT]]*5)+(TBA_Matches_All[[#This Row],[AtrapT]]*5))</f>
        <v>7</v>
      </c>
      <c r="CN240" s="59">
        <f>IFERROR(SUM(TBA_Matches_All[[#This Row],[AptsT]]/TBA_Matches_All[[#This Row],[AutoPts]]),0)</f>
        <v>0.2413793103448276</v>
      </c>
      <c r="CO240" s="59">
        <f>IFERROR(SUM(TBA_Matches_All[[#This Row],[AampT]]+TBA_Matches_All[[#This Row],[AspkrT]]+TBA_Matches_All[[#This Row],[AtrapT]]/TBA_Matches_All[[#This Row],[Aamp]]+TBA_Matches_All[[#This Row],[Aspkr]]+TBA_Matches_All[[#This Row],[AtrapT]]),0)</f>
        <v>0</v>
      </c>
      <c r="CP240" s="59">
        <f>IFERROR(SUM(TBA_Matches_All[[#This Row],[TampT]]/TBA_Matches_All[[#This Row],[Tamp]]),0)</f>
        <v>0</v>
      </c>
      <c r="CQ240" s="59">
        <f>IFERROR(SUM(TBA_Matches_All[[#This Row],[TspkrT]]/TBA_Matches_All[[#This Row],[Tspkr]]),0)</f>
        <v>1</v>
      </c>
      <c r="CR240">
        <f>SUM(TBA_Matches_All[[#This Row],[TspkrPts]]*TBA_Matches_All[[#This Row],[TspkrP]])</f>
        <v>19</v>
      </c>
      <c r="CS240" s="59">
        <f>IFERROR(SUM(TBA_Matches_All[[#This Row],[TtrapT]]/TBA_Matches_All[[#This Row],[Trap]]),0)</f>
        <v>0</v>
      </c>
      <c r="CT240" s="59">
        <f>IFERROR(SUM(TBA_Matches_All[[#This Row],[TotNotesT]]/TBA_Matches_All[[#This Row],[TotNotes]]),0)</f>
        <v>0.5625</v>
      </c>
      <c r="CU240" s="66">
        <f>SUM((TBA_Matches_All[[#This Row],[AampT]]*2)+(TBA_Matches_All[[#This Row],[AspkrT]]*5)+(TBA_Matches_All[[#This Row],[AtrapT]]*5)+(TBA_Matches_All[[#This Row],[TampT]]*1)+(TBA_Matches_All[[#This Row],[TspkrptsC]]))</f>
        <v>24</v>
      </c>
      <c r="CV240" s="59">
        <f>IFERROR(TBA_Matches_All[[#This Row],[noteptsT]]/TBA_Matches_All[[#This Row],[NotePts]],0)</f>
        <v>0.51063829787234039</v>
      </c>
      <c r="CW240">
        <f>SUM(IF(TBA_Matches_All[[#This Row],[stageStat]]="On",3,0),IF(TBA_Matches_All[[#This Row],[stageStat]]="Park",1,0),SUMIFS(TBA_Matches_All[[#This Row],[Spotlit]],TBA_Matches_All[[#This Row],[stageStat]],"On"),SUMIFS(TBA_Matches_All[[#This Row],[Harmony]],TBA_Matches_All[[#This Row],[stageStat]],"On"))</f>
        <v>4</v>
      </c>
      <c r="CX240" s="59">
        <f>IFERROR(TBA_Matches_All[[#This Row],[stageptsT]]/TBA_Matches_All[[#This Row],[StagePts]],0)</f>
        <v>0.44444444444444442</v>
      </c>
      <c r="CY240">
        <f>SUM((TBA_Matches_All[[#This Row],[AptsT]]+TBA_Matches_All[[#This Row],[TampT]]+TBA_Matches_All[[#This Row],[TspkrptsC]]+(TBA_Matches_All[[#This Row],[TtrapT]]*5)+TBA_Matches_All[[#This Row],[stageptsT]]))</f>
        <v>30</v>
      </c>
      <c r="CZ240" s="59">
        <f>IFERROR(SUM(TBA_Matches_All[[#This Row],[TotptsC]]/TBA_Matches_All[[#This Row],[Score]]),0)</f>
        <v>0.42857142857142855</v>
      </c>
      <c r="DA24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7.76</v>
      </c>
      <c r="DB240" s="74">
        <f>SUMIFS(TBA_Matches_All[AveTeamTNoteDels],TBA_Matches_All[Match_Number],TBA_Matches_All[[#This Row],[Match_Number]],TBA_Matches_All[Alliance],"&lt;&gt;"&amp;TBA_Matches_All[[#This Row],[Alliance]],TBA_Matches_All[Scouted],"&gt;0")</f>
        <v>15.6625</v>
      </c>
      <c r="DC240" s="74">
        <f>(TBA_Matches_All[[#This Row],[TampT]]+TBA_Matches_All[[#This Row],[TspkrptsC]])-TBA_Matches_All[[#This Row],[AveTeamTNoteDels]]</f>
        <v>11.24</v>
      </c>
      <c r="DD240" s="74">
        <f>SUMIFS(TBA_Matches_All[AveTeamTNoteDels],TBA_Matches_All[Match_Number],TBA_Matches_All[[#This Row],[Match_Number]],TBA_Matches_All[Alliance],"&lt;&gt;"&amp;TBA_Matches_All[[#This Row],[Alliance]])-TBA_Matches_All[[#This Row],[AveOppTNoteDels]]</f>
        <v>0</v>
      </c>
    </row>
    <row r="241" spans="1:108" x14ac:dyDescent="0.3">
      <c r="A241" t="s">
        <v>1042</v>
      </c>
      <c r="B241" t="s">
        <v>489</v>
      </c>
      <c r="C241" t="s">
        <v>1349</v>
      </c>
      <c r="D241">
        <v>40</v>
      </c>
      <c r="E241" t="s">
        <v>1420</v>
      </c>
      <c r="F241" t="s">
        <v>1425</v>
      </c>
      <c r="G241" t="s">
        <v>105</v>
      </c>
      <c r="H241" t="s">
        <v>360</v>
      </c>
      <c r="I241" t="b">
        <v>1</v>
      </c>
      <c r="J241">
        <v>45</v>
      </c>
      <c r="K241">
        <v>0</v>
      </c>
      <c r="L241">
        <v>0</v>
      </c>
      <c r="M241">
        <v>10</v>
      </c>
      <c r="N241">
        <v>0</v>
      </c>
      <c r="O241">
        <v>3</v>
      </c>
      <c r="P241">
        <v>15</v>
      </c>
      <c r="Q241">
        <v>21</v>
      </c>
      <c r="R241">
        <v>5</v>
      </c>
      <c r="S241">
        <v>1</v>
      </c>
      <c r="T241">
        <v>1</v>
      </c>
      <c r="U241">
        <v>5</v>
      </c>
      <c r="V241">
        <v>2</v>
      </c>
      <c r="W241">
        <v>2</v>
      </c>
      <c r="X241">
        <v>7</v>
      </c>
      <c r="Y241">
        <v>12</v>
      </c>
      <c r="Z241">
        <v>0</v>
      </c>
      <c r="AA241">
        <v>0</v>
      </c>
      <c r="AB241">
        <v>10</v>
      </c>
      <c r="AC241">
        <v>27</v>
      </c>
      <c r="AD241">
        <v>7</v>
      </c>
      <c r="AE241">
        <f>IFERROR(6/(COUNTIF(Dyno_EndMatch[Match],TBA_Matches_All[[#This Row],[Match_Number]])),0)</f>
        <v>1</v>
      </c>
      <c r="AF241">
        <f>COUNTIFS(Dyno_Data[Team],TBA_Matches_All[[#This Row],[Team]],Dyno_Data[Match],TBA_Matches_All[[#This Row],[Match_Number]],Dyno_Data[RecordType],"EndMatch",Dyno_Data[HPAmp],"Y")</f>
        <v>1</v>
      </c>
      <c r="AG241">
        <f>SUMIFS(Dyno_Data[Mics], Dyno_Data[Team],TBA_Matches_All[[#This Row],[Team]],Dyno_Data[Match],TBA_Matches_All[[#This Row],[Match_Number]],Dyno_Data[RecordType],"EndMatch",Dyno_Data[HPAmp],"Y")</f>
        <v>0</v>
      </c>
      <c r="AH241">
        <f>SUMIFS(Dyno_Data[Leave], Dyno_Data[Team],TBA_Matches_All[[#This Row],[Team]],Dyno_Data[Match],TBA_Matches_All[[#This Row],[Match_Number]],Dyno_Data[RecordType],"EndAuto")</f>
        <v>1</v>
      </c>
      <c r="AI241">
        <f>COUNTIFS(Dyno_Data[Team],TBA_Matches_All[[#This Row],[Team]],Dyno_Data[Match],TBA_Matches_All[[#This Row],[Match_Number]],Dyno_Data[RecordType],"Activities",Dyno_Data[DelDest],"Amp", Dyno_Data[DelMiss],"0", Dyno_Data[Mode],"Auto")</f>
        <v>0</v>
      </c>
      <c r="AJ241">
        <f>COUNTIFS(Dyno_Data[Team],TBA_Matches_All[[#This Row],[Team]],Dyno_Data[Match],TBA_Matches_All[[#This Row],[Match_Number]],Dyno_Data[RecordType],"Activities",Dyno_Data[DelDest],"Spkr", Dyno_Data[DelMiss],"0", Dyno_Data[Mode],"Auto")</f>
        <v>3</v>
      </c>
      <c r="AK241">
        <f>COUNTIFS(Dyno_Data[Team],TBA_Matches_All[[#This Row],[Team]],Dyno_Data[Match],TBA_Matches_All[[#This Row],[Match_Number]],Dyno_Data[RecordType],"Activities",Dyno_Data[DelDest],"Trap", Dyno_Data[DelMiss],"0", Dyno_Data[Mode],"Auto")</f>
        <v>0</v>
      </c>
      <c r="AL241">
        <f>COUNTIFS(Dyno_Data[Team],TBA_Matches_All[[#This Row],[Team]],Dyno_Data[Match],TBA_Matches_All[[#This Row],[Match_Number]],Dyno_Data[RecordType],"Activities",Dyno_Data[DelDest],"Amp", Dyno_Data[DelMiss],"0", Dyno_Data[Mode],"Teleop")</f>
        <v>6</v>
      </c>
      <c r="AM241">
        <f>COUNTIFS(Dyno_Data[Team],TBA_Matches_All[[#This Row],[Team]],Dyno_Data[Match],TBA_Matches_All[[#This Row],[Match_Number]],Dyno_Data[RecordType],"Activities",Dyno_Data[DelDest],"Spkr", Dyno_Data[DelMiss],"0", Dyno_Data[Mode],"Teleop")</f>
        <v>2</v>
      </c>
      <c r="AN241">
        <f>COUNTIFS(Dyno_Data[Team],TBA_Matches_All[[#This Row],[Team]],Dyno_Data[Match],TBA_Matches_All[[#This Row],[Match_Number]],Dyno_Data[RecordType],"Activities",Dyno_Data[DelDest],"Trap", Dyno_Data[DelMiss],"0", Dyno_Data[Mode],"&lt;&gt;Auto")</f>
        <v>0</v>
      </c>
      <c r="AO241">
        <f>SUM(TBA_Matches_All[[#This Row],[AampT]]+TBA_Matches_All[[#This Row],[AspkrT]]+TBA_Matches_All[[#This Row],[AtrapT]]+TBA_Matches_All[[#This Row],[TampT]]+TBA_Matches_All[[#This Row],[TspkrT]]+TBA_Matches_All[[#This Row],[TtrapT]])</f>
        <v>11</v>
      </c>
      <c r="AP241">
        <f>COUNTIFS(Dyno_Data[Team],TBA_Matches_All[[#This Row],[Team]],Dyno_Data[Match],TBA_Matches_All[[#This Row],[Match_Number]],Dyno_Data[RecordType],"Activities",Dyno_Data[DelDest],"Neut", Dyno_Data[DelMiss],"0")</f>
        <v>0</v>
      </c>
      <c r="AQ241">
        <f>COUNTIFS(Dyno_Data[Team],TBA_Matches_All[[#This Row],[Team]],Dyno_Data[Match],TBA_Matches_All[[#This Row],[Match_Number]],Dyno_Data[RecordType],"Activities",Dyno_Data[DelDest],"AllyW", Dyno_Data[DelMiss],"0")</f>
        <v>4</v>
      </c>
      <c r="AR241" t="str">
        <f>_xlfn.XLOOKUP(SUM(MID(TBA_Matches_All[[#This Row],[Team]],4,5),(TBA_Matches_All[[#This Row],[Match_Number]]/100)),Dyno_EndMatch[teammat],Dyno_EndMatch[RobotSta],"_",0,1)</f>
        <v>SubW</v>
      </c>
      <c r="AS241">
        <f>SUMIFS(Dyno_Data[AcqDis], Dyno_Data[Team],TBA_Matches_All[[#This Row],[Team]],Dyno_Data[Match],TBA_Matches_All[[#This Row],[Match_Number]],Dyno_Data[RecordType],"Activities", Dyno_Data[AcqCenter],1,Dyno_Data[Mode],"Auto")</f>
        <v>0</v>
      </c>
      <c r="AT241">
        <f>SUMIFS(Dyno_Data[AcqDis], Dyno_Data[Team],TBA_Matches_All[[#This Row],[Team]],Dyno_Data[Match],TBA_Matches_All[[#This Row],[Match_Number]],Dyno_Data[RecordType],"Activities", Dyno_Data[AcqCenter],2,Dyno_Data[Mode],"Auto")</f>
        <v>0</v>
      </c>
      <c r="AU241">
        <f>SUMIFS(Dyno_Data[AcqDis], Dyno_Data[Team],TBA_Matches_All[[#This Row],[Team]],Dyno_Data[Match],TBA_Matches_All[[#This Row],[Match_Number]],Dyno_Data[RecordType],"Activities", Dyno_Data[AcqCenter],3,Dyno_Data[Mode],"Auto")</f>
        <v>0</v>
      </c>
      <c r="AV241">
        <f>SUMIFS(Dyno_Data[AcqDis], Dyno_Data[Team],TBA_Matches_All[[#This Row],[Team]],Dyno_Data[Match],TBA_Matches_All[[#This Row],[Match_Number]],Dyno_Data[RecordType],"Activities", Dyno_Data[AcqCenter],4,Dyno_Data[Mode],"Auto")</f>
        <v>0</v>
      </c>
      <c r="AW241">
        <f>SUMIFS(Dyno_Data[AcqDis], Dyno_Data[Team],TBA_Matches_All[[#This Row],[Team]],Dyno_Data[Match],TBA_Matches_All[[#This Row],[Match_Number]],Dyno_Data[RecordType],"Activities", Dyno_Data[AcqCenter],5,Dyno_Data[Mode],"Auto")</f>
        <v>0</v>
      </c>
      <c r="AX241">
        <f>SUMIFS(Dyno_Data[DelMiss], Dyno_Data[Team],TBA_Matches_All[[#This Row],[Team]],Dyno_Data[Match],TBA_Matches_All[[#This Row],[Match_Number]],Dyno_Data[RecordType],"Activities", Dyno_Data[DelDest],"Amp")</f>
        <v>0</v>
      </c>
      <c r="AY241" s="60">
        <f>IFERROR(SUM((TBA_Matches_All[[#This Row],[AampT]]+TBA_Matches_All[[#This Row],[TampT]])/(TBA_Matches_All[[#This Row],[AampT]]+TBA_Matches_All[[#This Row],[TampT]]+TBA_Matches_All[[#This Row],[ampM]])),0)</f>
        <v>1</v>
      </c>
      <c r="AZ241">
        <f>SUMIFS(Dyno_Data[DelMiss], Dyno_Data[Team],TBA_Matches_All[[#This Row],[Team]],Dyno_Data[Match],TBA_Matches_All[[#This Row],[Match_Number]],Dyno_Data[RecordType],"Activities", Dyno_Data[DelDest],"Spkr")</f>
        <v>6</v>
      </c>
      <c r="BA241" s="60">
        <f>IFERROR(SUM((TBA_Matches_All[[#This Row],[AspkrT]]+TBA_Matches_All[[#This Row],[TspkrT]])/(TBA_Matches_All[[#This Row],[AspkrT]]+TBA_Matches_All[[#This Row],[TspkrT]]+TBA_Matches_All[[#This Row],[spkrM]])),0)</f>
        <v>0.45454545454545453</v>
      </c>
      <c r="BB241">
        <f>SUMIFS(Dyno_Data[DelMiss], Dyno_Data[Team],TBA_Matches_All[[#This Row],[Team]],Dyno_Data[Match],TBA_Matches_All[[#This Row],[Match_Number]],Dyno_Data[RecordType],"Activities", Dyno_Data[DelDest],"Trap")</f>
        <v>0</v>
      </c>
      <c r="BC241" s="60">
        <f>IFERROR((TBA_Matches_All[[#This Row],[AtrapT]]+TBA_Matches_All[[#This Row],[TtrapT]])/(TBA_Matches_All[[#This Row],[AtrapT]]+TBA_Matches_All[[#This Row],[TtrapT]]+TBA_Matches_All[[#This Row],[trapM]]),0)</f>
        <v>0</v>
      </c>
      <c r="BD241">
        <f>COUNTIFS(Dyno_Data[Team],TBA_Matches_All[[#This Row],[Team]],Dyno_Data[Match],TBA_Matches_All[[#This Row],[Match_Number]],Dyno_Data[RecordType],"Activities",Dyno_Data[DelDest],"Neut", Dyno_Data[DelMiss],1)</f>
        <v>0</v>
      </c>
      <c r="BE241" s="60">
        <f>IFERROR(SUM((TBA_Matches_All[[#This Row],[NeutFlrT]])/(TBA_Matches_All[[#This Row],[NeutFlrT]]+TBA_Matches_All[[#This Row],[NZflM]])),0)</f>
        <v>0</v>
      </c>
      <c r="BF241">
        <f>COUNTIFS(Dyno_Data[Team],TBA_Matches_All[[#This Row],[Team]],Dyno_Data[Match],TBA_Matches_All[[#This Row],[Match_Number]],Dyno_Data[RecordType],"Activities",Dyno_Data[DelDest],"AllyW", Dyno_Data[DelMiss],1)</f>
        <v>0</v>
      </c>
      <c r="BG241" s="60">
        <f>IFERROR(SUM((TBA_Matches_All[[#This Row],[AllyWFlrT]])/(TBA_Matches_All[[#This Row],[AllyWFlrT]]+TBA_Matches_All[[#This Row],[AZflM]])),0)</f>
        <v>1</v>
      </c>
      <c r="BH241">
        <f>COUNTIFS(Dyno_Data[Team],TBA_Matches_All[[#This Row],[Team]],Dyno_Data[Match],TBA_Matches_All[[#This Row],[Match_Number]],Dyno_Data[RecordType],"Activities",Dyno_Data[DelOrig],"OppW", Dyno_Data[DelMiss],"0")</f>
        <v>0</v>
      </c>
      <c r="BI241">
        <f>COUNTIFS(Dyno_Data[Team],TBA_Matches_All[[#This Row],[Team]],Dyno_Data[Match],TBA_Matches_All[[#This Row],[Match_Number]],Dyno_Data[RecordType],"Activities",Dyno_Data[DelOrig],"OppW", Dyno_Data[DelMiss],"1")</f>
        <v>0</v>
      </c>
      <c r="BJ241" s="60">
        <f>IFERROR(SUM((TBA_Matches_All[[#This Row],[OZflrT]])/(TBA_Matches_All[[#This Row],[OZflrT]]+TBA_Matches_All[[#This Row],[OZflrM]])),0)</f>
        <v>0</v>
      </c>
      <c r="BK241">
        <f>COUNTIFS(Dyno_Data[Team],TBA_Matches_All[[#This Row],[Team]],Dyno_Data[Match],TBA_Matches_All[[#This Row],[Match_Number]],Dyno_Data[RecordType],"Activities",Dyno_Data[DelOrig],"Neut", Dyno_Data[DelMiss],"0")</f>
        <v>4</v>
      </c>
      <c r="BL241">
        <f>COUNTIFS(Dyno_Data[Team],TBA_Matches_All[[#This Row],[Team]],Dyno_Data[Match],TBA_Matches_All[[#This Row],[Match_Number]],Dyno_Data[RecordType],"Activities",Dyno_Data[DelOrig],"Neut", Dyno_Data[DelMiss],"1")</f>
        <v>0</v>
      </c>
      <c r="BM241" s="60">
        <f>IFERROR(SUM((TBA_Matches_All[[#This Row],[NZflrT]])/(TBA_Matches_All[[#This Row],[NZflrT]]+TBA_Matches_All[[#This Row],[NZflrM]])),0)</f>
        <v>1</v>
      </c>
      <c r="BN241">
        <f>COUNTIFS(Dyno_Data[Team],TBA_Matches_All[[#This Row],[Team]],Dyno_Data[Match],TBA_Matches_All[[#This Row],[Match_Number]],Dyno_Data[RecordType],"Activities",Dyno_Data[DelOrig],"AllyW", Dyno_Data[DelMiss],"0")</f>
        <v>6</v>
      </c>
      <c r="BO241">
        <f>COUNTIFS(Dyno_Data[Team],TBA_Matches_All[[#This Row],[Team]],Dyno_Data[Match],TBA_Matches_All[[#This Row],[Match_Number]],Dyno_Data[RecordType],"Activities",Dyno_Data[DelOrig],"AllyW", Dyno_Data[DelMiss],"1")</f>
        <v>4</v>
      </c>
      <c r="BP241" s="60">
        <f>IFERROR(SUM((TBA_Matches_All[[#This Row],[AZflrT]])/(TBA_Matches_All[[#This Row],[AZflrT]]+TBA_Matches_All[[#This Row],[AZflrM]])),0)</f>
        <v>0.6</v>
      </c>
      <c r="BQ241">
        <f>COUNTIFS(Dyno_Data[Team],TBA_Matches_All[[#This Row],[Team]],Dyno_Data[Match],TBA_Matches_All[[#This Row],[Match_Number]],Dyno_Data[RecordType],"Activities",Dyno_Data[DelOrig],"SubW", Dyno_Data[DelMiss],"0")</f>
        <v>5</v>
      </c>
      <c r="BR241">
        <f>COUNTIFS(Dyno_Data[Team],TBA_Matches_All[[#This Row],[Team]],Dyno_Data[Match],TBA_Matches_All[[#This Row],[Match_Number]],Dyno_Data[RecordType],"Activities",Dyno_Data[DelOrig],"SubW", Dyno_Data[DelMiss],"1")</f>
        <v>2</v>
      </c>
      <c r="BS241" s="60">
        <f>IFERROR(SUM((TBA_Matches_All[[#This Row],[SubwT]])/(TBA_Matches_All[[#This Row],[SubwT]]+TBA_Matches_All[[#This Row],[SubwM]])),0)</f>
        <v>0.7142857142857143</v>
      </c>
      <c r="BT241">
        <f>COUNTIFS(Dyno_Data[Team],TBA_Matches_All[[#This Row],[Team]],Dyno_Data[Match],TBA_Matches_All[[#This Row],[Match_Number]],Dyno_Data[RecordType],"Activities", Dyno_Data[AcqLoc],"OppWing")</f>
        <v>0</v>
      </c>
      <c r="BU241">
        <f>COUNTIFS(Dyno_Data[Team],TBA_Matches_All[[#This Row],[Team]],Dyno_Data[Match],TBA_Matches_All[[#This Row],[Match_Number]],Dyno_Data[RecordType],"Activities", Dyno_Data[AcqLoc],"Neutral")</f>
        <v>0</v>
      </c>
      <c r="BV241">
        <f>COUNTIFS(Dyno_Data[Team],TBA_Matches_All[[#This Row],[Team]],Dyno_Data[Match],TBA_Matches_All[[#This Row],[Match_Number]],Dyno_Data[RecordType],"Activities", Dyno_Data[AcqLoc],"AllyWing")</f>
        <v>0</v>
      </c>
      <c r="BW241">
        <f>COUNTIFS(Dyno_Data[Team],TBA_Matches_All[[#This Row],[Team]],Dyno_Data[Match],TBA_Matches_All[[#This Row],[Match_Number]],Dyno_Data[RecordType],"Activities", Dyno_Data[AcqLoc],"Source")</f>
        <v>0</v>
      </c>
      <c r="BX241">
        <f>SUMIFS(Dyno_Data[AcqDrp], Dyno_Data[Team],TBA_Matches_All[[#This Row],[Team]],Dyno_Data[Match],TBA_Matches_All[[#This Row],[Match_Number]],Dyno_Data[RecordType],"Activities", Dyno_Data[AcqLoc],"Source")</f>
        <v>0</v>
      </c>
      <c r="BY241">
        <f>SUMIFS(Dyno_Data[OZTime], Dyno_Data[Team],TBA_Matches_All[[#This Row],[Team]],Dyno_Data[Match],TBA_Matches_All[[#This Row],[Match_Number]],Dyno_Data[RecordType],"EndMatch")</f>
        <v>14.0686237</v>
      </c>
      <c r="BZ241">
        <f>SUMIFS(Dyno_Data[NZTime], Dyno_Data[Team],TBA_Matches_All[[#This Row],[Team]],Dyno_Data[Match],TBA_Matches_All[[#This Row],[Match_Number]],Dyno_Data[RecordType],"EndMatch")</f>
        <v>16.794408199999999</v>
      </c>
      <c r="CA241">
        <f>SUMIFS(Dyno_Data[AZTime], Dyno_Data[Team],TBA_Matches_All[[#This Row],[Team]],Dyno_Data[Match],TBA_Matches_All[[#This Row],[Match_Number]],Dyno_Data[RecordType],"EndMatch")</f>
        <v>85.280786599999999</v>
      </c>
      <c r="CB241">
        <f>SUMIFS(Dyno_Data[ClimbT], Dyno_Data[Team],TBA_Matches_All[[#This Row],[Team]],Dyno_Data[Match],TBA_Matches_All[[#This Row],[Match_Number]],Dyno_Data[RecordType],"EndMatch")</f>
        <v>15.9010251</v>
      </c>
      <c r="CC241" t="str">
        <f>_xlfn.XLOOKUP(SUM(MID(TBA_Matches_All[[#This Row],[Team]],4,5),(TBA_Matches_All[[#This Row],[Match_Number]]/100)),Dyno_EndMatch[teammat],Dyno_EndMatch[StageStat],"_",0,1)</f>
        <v>On</v>
      </c>
      <c r="CD241" t="str">
        <f>_xlfn.XLOOKUP(TBA_Matches_All[[#This Row],[teammat]],Dyno_EndMatch[teammat],Dyno_EndMatch[StageAtt],"_",0,1)</f>
        <v>1</v>
      </c>
      <c r="CE241" t="str">
        <f>_xlfn.XLOOKUP(TBA_Matches_All[[#This Row],[teammat]],Dyno_EndMatch[teammat],Dyno_EndMatch[StageLoc],"_",0,1)</f>
        <v>L</v>
      </c>
      <c r="CF241">
        <f>SUMIFS(Dyno_Data[Harmony], Dyno_Data[Team],TBA_Matches_All[[#This Row],[Team]],Dyno_Data[Match],TBA_Matches_All[[#This Row],[Match_Number]],Dyno_Data[RecordType],"EndMatch", Dyno_Data[StageStat],"On",Dyno_Data[Harmony],"&lt;&gt;9")</f>
        <v>0</v>
      </c>
      <c r="CG241">
        <f>SUMIFS(Dyno_Data[Spotlit], Dyno_Data[Team],TBA_Matches_All[[#This Row],[Team]],Dyno_Data[Match],TBA_Matches_All[[#This Row],[Match_Number]],Dyno_Data[RecordType],"EndMatch", Dyno_Data[StageStat],"On",Dyno_Data[Spotlit],"&lt;&gt;9")</f>
        <v>0</v>
      </c>
      <c r="CH241" t="str">
        <f>_xlfn.XLOOKUP(TBA_Matches_All[[#This Row],[teammat]],Dyno_EndMatch[teammat],Dyno_EndMatch[Strategy],"_",0,1)</f>
        <v>Hybrid</v>
      </c>
      <c r="CI241">
        <f>SUMIFS(Dyno_Data[Defense], Dyno_Data[Team],TBA_Matches_All[[#This Row],[Team]],Dyno_Data[Match],TBA_Matches_All[[#This Row],[Match_Number]],Dyno_Data[RecordType],"EndMatch",Dyno_Data[Defense],"&lt;&gt;9")</f>
        <v>0</v>
      </c>
      <c r="CJ241">
        <f>SUMIFS(Dyno_Data[Avoidance], Dyno_Data[Team],TBA_Matches_All[[#This Row],[Team]],Dyno_Data[Match],TBA_Matches_All[[#This Row],[Match_Number]],Dyno_Data[RecordType],"EndMatch",Dyno_Data[Avoidance],"&lt;&gt;9")</f>
        <v>0</v>
      </c>
      <c r="CK241" s="82">
        <f>COUNTIF($H$2:TBA_Matches_All[[#This Row],[Team]],TBA_Matches_All[[#This Row],[Team]])</f>
        <v>5</v>
      </c>
      <c r="CL241" s="111">
        <f>SUM(MID(TBA_Matches_All[[#This Row],[Team]],4,5)+TBA_Matches_All[[#This Row],[Match_Number]]/100)</f>
        <v>1796.4</v>
      </c>
      <c r="CM241">
        <f>SUM((TBA_Matches_All[[#This Row],[Leave]]*2)+(TBA_Matches_All[[#This Row],[AampT]]*2)+(TBA_Matches_All[[#This Row],[AspkrT]]*5)+(TBA_Matches_All[[#This Row],[AtrapT]]*5))</f>
        <v>17</v>
      </c>
      <c r="CN241" s="59">
        <f>IFERROR(SUM(TBA_Matches_All[[#This Row],[AptsT]]/TBA_Matches_All[[#This Row],[AutoPts]]),0)</f>
        <v>0.80952380952380953</v>
      </c>
      <c r="CO241" s="59">
        <f>IFERROR(SUM(TBA_Matches_All[[#This Row],[AampT]]+TBA_Matches_All[[#This Row],[AspkrT]]+TBA_Matches_All[[#This Row],[AtrapT]]/TBA_Matches_All[[#This Row],[Aamp]]+TBA_Matches_All[[#This Row],[Aspkr]]+TBA_Matches_All[[#This Row],[AtrapT]]),0)</f>
        <v>0</v>
      </c>
      <c r="CP241" s="59">
        <f>IFERROR(SUM(TBA_Matches_All[[#This Row],[TampT]]/TBA_Matches_All[[#This Row],[Tamp]]),0)</f>
        <v>1.2</v>
      </c>
      <c r="CQ241" s="59">
        <f>IFERROR(SUM(TBA_Matches_All[[#This Row],[TspkrT]]/TBA_Matches_All[[#This Row],[Tspkr]]),0)</f>
        <v>1</v>
      </c>
      <c r="CR241">
        <f>SUM(TBA_Matches_All[[#This Row],[TspkrPts]]*TBA_Matches_All[[#This Row],[TspkrP]])</f>
        <v>7</v>
      </c>
      <c r="CS241" s="59">
        <f>IFERROR(SUM(TBA_Matches_All[[#This Row],[TtrapT]]/TBA_Matches_All[[#This Row],[Trap]]),0)</f>
        <v>0</v>
      </c>
      <c r="CT241" s="59">
        <f>IFERROR(SUM(TBA_Matches_All[[#This Row],[TotNotesT]]/TBA_Matches_All[[#This Row],[TotNotes]]),0)</f>
        <v>1.1000000000000001</v>
      </c>
      <c r="CU241" s="66">
        <f>SUM((TBA_Matches_All[[#This Row],[AampT]]*2)+(TBA_Matches_All[[#This Row],[AspkrT]]*5)+(TBA_Matches_All[[#This Row],[AtrapT]]*5)+(TBA_Matches_All[[#This Row],[TampT]]*1)+(TBA_Matches_All[[#This Row],[TspkrptsC]]))</f>
        <v>28</v>
      </c>
      <c r="CV241" s="59">
        <f>IFERROR(TBA_Matches_All[[#This Row],[noteptsT]]/TBA_Matches_All[[#This Row],[NotePts]],0)</f>
        <v>1.037037037037037</v>
      </c>
      <c r="CW241">
        <f>SUM(IF(TBA_Matches_All[[#This Row],[stageStat]]="On",3,0),IF(TBA_Matches_All[[#This Row],[stageStat]]="Park",1,0),SUMIFS(TBA_Matches_All[[#This Row],[Spotlit]],TBA_Matches_All[[#This Row],[stageStat]],"On"),SUMIFS(TBA_Matches_All[[#This Row],[Harmony]],TBA_Matches_All[[#This Row],[stageStat]],"On"))</f>
        <v>3</v>
      </c>
      <c r="CX241" s="59">
        <f>IFERROR(TBA_Matches_All[[#This Row],[stageptsT]]/TBA_Matches_All[[#This Row],[StagePts]],0)</f>
        <v>0.42857142857142855</v>
      </c>
      <c r="CY241">
        <f>SUM((TBA_Matches_All[[#This Row],[AptsT]]+TBA_Matches_All[[#This Row],[TampT]]+TBA_Matches_All[[#This Row],[TspkrptsC]]+(TBA_Matches_All[[#This Row],[TtrapT]]*5)+TBA_Matches_All[[#This Row],[stageptsT]]))</f>
        <v>33</v>
      </c>
      <c r="CZ241" s="59">
        <f>IFERROR(SUM(TBA_Matches_All[[#This Row],[TotptsC]]/TBA_Matches_All[[#This Row],[Score]]),0)</f>
        <v>0.73333333333333328</v>
      </c>
      <c r="DA24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15.0625</v>
      </c>
      <c r="DB241" s="74">
        <f>SUMIFS(TBA_Matches_All[AveTeamTNoteDels],TBA_Matches_All[Match_Number],TBA_Matches_All[[#This Row],[Match_Number]],TBA_Matches_All[Alliance],"&lt;&gt;"&amp;TBA_Matches_All[[#This Row],[Alliance]],TBA_Matches_All[Scouted],"&gt;0")</f>
        <v>17.331428571428571</v>
      </c>
      <c r="DC241" s="74">
        <f>(TBA_Matches_All[[#This Row],[TampT]]+TBA_Matches_All[[#This Row],[TspkrptsC]])-TBA_Matches_All[[#This Row],[AveTeamTNoteDels]]</f>
        <v>-2.0625</v>
      </c>
      <c r="DD241" s="74">
        <f>SUMIFS(TBA_Matches_All[AveTeamTNoteDels],TBA_Matches_All[Match_Number],TBA_Matches_All[[#This Row],[Match_Number]],TBA_Matches_All[Alliance],"&lt;&gt;"&amp;TBA_Matches_All[[#This Row],[Alliance]])-TBA_Matches_All[[#This Row],[AveOppTNoteDels]]</f>
        <v>0</v>
      </c>
    </row>
    <row r="242" spans="1:108" x14ac:dyDescent="0.3">
      <c r="A242" t="s">
        <v>1042</v>
      </c>
      <c r="B242" t="s">
        <v>489</v>
      </c>
      <c r="C242" t="s">
        <v>1349</v>
      </c>
      <c r="D242">
        <v>40</v>
      </c>
      <c r="E242" t="s">
        <v>1406</v>
      </c>
      <c r="F242" t="s">
        <v>1426</v>
      </c>
      <c r="G242" t="s">
        <v>164</v>
      </c>
      <c r="H242" t="s">
        <v>372</v>
      </c>
      <c r="I242" t="b">
        <v>1</v>
      </c>
      <c r="J242">
        <v>70</v>
      </c>
      <c r="K242">
        <v>1</v>
      </c>
      <c r="L242">
        <v>0</v>
      </c>
      <c r="M242">
        <v>5</v>
      </c>
      <c r="N242">
        <v>0</v>
      </c>
      <c r="O242">
        <v>5</v>
      </c>
      <c r="P242">
        <v>25</v>
      </c>
      <c r="Q242">
        <v>29</v>
      </c>
      <c r="R242">
        <v>3</v>
      </c>
      <c r="S242">
        <v>1</v>
      </c>
      <c r="T242">
        <v>7</v>
      </c>
      <c r="U242">
        <v>5</v>
      </c>
      <c r="V242">
        <v>14</v>
      </c>
      <c r="W242">
        <v>8</v>
      </c>
      <c r="X242">
        <v>19</v>
      </c>
      <c r="Y242">
        <v>22</v>
      </c>
      <c r="Z242">
        <v>0</v>
      </c>
      <c r="AA242">
        <v>0</v>
      </c>
      <c r="AB242">
        <v>16</v>
      </c>
      <c r="AC242">
        <v>47</v>
      </c>
      <c r="AD242">
        <v>9</v>
      </c>
      <c r="AE242">
        <f>IFERROR(6/(COUNTIF(Dyno_EndMatch[Match],TBA_Matches_All[[#This Row],[Match_Number]])),0)</f>
        <v>1</v>
      </c>
      <c r="AF242">
        <f>COUNTIFS(Dyno_Data[Team],TBA_Matches_All[[#This Row],[Team]],Dyno_Data[Match],TBA_Matches_All[[#This Row],[Match_Number]],Dyno_Data[RecordType],"EndMatch",Dyno_Data[HPAmp],"Y")</f>
        <v>0</v>
      </c>
      <c r="AG242">
        <f>SUMIFS(Dyno_Data[Mics], Dyno_Data[Team],TBA_Matches_All[[#This Row],[Team]],Dyno_Data[Match],TBA_Matches_All[[#This Row],[Match_Number]],Dyno_Data[RecordType],"EndMatch",Dyno_Data[HPAmp],"Y")</f>
        <v>0</v>
      </c>
      <c r="AH242">
        <f>SUMIFS(Dyno_Data[Leave], Dyno_Data[Team],TBA_Matches_All[[#This Row],[Team]],Dyno_Data[Match],TBA_Matches_All[[#This Row],[Match_Number]],Dyno_Data[RecordType],"EndAuto")</f>
        <v>1</v>
      </c>
      <c r="AI242">
        <f>COUNTIFS(Dyno_Data[Team],TBA_Matches_All[[#This Row],[Team]],Dyno_Data[Match],TBA_Matches_All[[#This Row],[Match_Number]],Dyno_Data[RecordType],"Activities",Dyno_Data[DelDest],"Amp", Dyno_Data[DelMiss],"0", Dyno_Data[Mode],"Auto")</f>
        <v>1</v>
      </c>
      <c r="AJ242">
        <f>COUNTIFS(Dyno_Data[Team],TBA_Matches_All[[#This Row],[Team]],Dyno_Data[Match],TBA_Matches_All[[#This Row],[Match_Number]],Dyno_Data[RecordType],"Activities",Dyno_Data[DelDest],"Spkr", Dyno_Data[DelMiss],"0", Dyno_Data[Mode],"Auto")</f>
        <v>2</v>
      </c>
      <c r="AK242">
        <f>COUNTIFS(Dyno_Data[Team],TBA_Matches_All[[#This Row],[Team]],Dyno_Data[Match],TBA_Matches_All[[#This Row],[Match_Number]],Dyno_Data[RecordType],"Activities",Dyno_Data[DelDest],"Trap", Dyno_Data[DelMiss],"0", Dyno_Data[Mode],"Auto")</f>
        <v>0</v>
      </c>
      <c r="AL242">
        <f>COUNTIFS(Dyno_Data[Team],TBA_Matches_All[[#This Row],[Team]],Dyno_Data[Match],TBA_Matches_All[[#This Row],[Match_Number]],Dyno_Data[RecordType],"Activities",Dyno_Data[DelDest],"Amp", Dyno_Data[DelMiss],"0", Dyno_Data[Mode],"Teleop")</f>
        <v>3</v>
      </c>
      <c r="AM242">
        <f>COUNTIFS(Dyno_Data[Team],TBA_Matches_All[[#This Row],[Team]],Dyno_Data[Match],TBA_Matches_All[[#This Row],[Match_Number]],Dyno_Data[RecordType],"Activities",Dyno_Data[DelDest],"Spkr", Dyno_Data[DelMiss],"0", Dyno_Data[Mode],"Teleop")</f>
        <v>2</v>
      </c>
      <c r="AN242">
        <f>COUNTIFS(Dyno_Data[Team],TBA_Matches_All[[#This Row],[Team]],Dyno_Data[Match],TBA_Matches_All[[#This Row],[Match_Number]],Dyno_Data[RecordType],"Activities",Dyno_Data[DelDest],"Trap", Dyno_Data[DelMiss],"0", Dyno_Data[Mode],"&lt;&gt;Auto")</f>
        <v>1</v>
      </c>
      <c r="AO242">
        <f>SUM(TBA_Matches_All[[#This Row],[AampT]]+TBA_Matches_All[[#This Row],[AspkrT]]+TBA_Matches_All[[#This Row],[AtrapT]]+TBA_Matches_All[[#This Row],[TampT]]+TBA_Matches_All[[#This Row],[TspkrT]]+TBA_Matches_All[[#This Row],[TtrapT]])</f>
        <v>9</v>
      </c>
      <c r="AP242">
        <f>COUNTIFS(Dyno_Data[Team],TBA_Matches_All[[#This Row],[Team]],Dyno_Data[Match],TBA_Matches_All[[#This Row],[Match_Number]],Dyno_Data[RecordType],"Activities",Dyno_Data[DelDest],"Neut", Dyno_Data[DelMiss],"0")</f>
        <v>0</v>
      </c>
      <c r="AQ242">
        <f>COUNTIFS(Dyno_Data[Team],TBA_Matches_All[[#This Row],[Team]],Dyno_Data[Match],TBA_Matches_All[[#This Row],[Match_Number]],Dyno_Data[RecordType],"Activities",Dyno_Data[DelDest],"AllyW", Dyno_Data[DelMiss],"0")</f>
        <v>0</v>
      </c>
      <c r="AR242" t="str">
        <f>_xlfn.XLOOKUP(SUM(MID(TBA_Matches_All[[#This Row],[Team]],4,5),(TBA_Matches_All[[#This Row],[Match_Number]]/100)),Dyno_EndMatch[teammat],Dyno_EndMatch[RobotSta],"_",0,1)</f>
        <v>SubW</v>
      </c>
      <c r="AS242">
        <f>SUMIFS(Dyno_Data[AcqDis], Dyno_Data[Team],TBA_Matches_All[[#This Row],[Team]],Dyno_Data[Match],TBA_Matches_All[[#This Row],[Match_Number]],Dyno_Data[RecordType],"Activities", Dyno_Data[AcqCenter],1,Dyno_Data[Mode],"Auto")</f>
        <v>0</v>
      </c>
      <c r="AT242">
        <f>SUMIFS(Dyno_Data[AcqDis], Dyno_Data[Team],TBA_Matches_All[[#This Row],[Team]],Dyno_Data[Match],TBA_Matches_All[[#This Row],[Match_Number]],Dyno_Data[RecordType],"Activities", Dyno_Data[AcqCenter],2,Dyno_Data[Mode],"Auto")</f>
        <v>0</v>
      </c>
      <c r="AU242">
        <f>SUMIFS(Dyno_Data[AcqDis], Dyno_Data[Team],TBA_Matches_All[[#This Row],[Team]],Dyno_Data[Match],TBA_Matches_All[[#This Row],[Match_Number]],Dyno_Data[RecordType],"Activities", Dyno_Data[AcqCenter],3,Dyno_Data[Mode],"Auto")</f>
        <v>0</v>
      </c>
      <c r="AV242">
        <f>SUMIFS(Dyno_Data[AcqDis], Dyno_Data[Team],TBA_Matches_All[[#This Row],[Team]],Dyno_Data[Match],TBA_Matches_All[[#This Row],[Match_Number]],Dyno_Data[RecordType],"Activities", Dyno_Data[AcqCenter],4,Dyno_Data[Mode],"Auto")</f>
        <v>0</v>
      </c>
      <c r="AW242">
        <f>SUMIFS(Dyno_Data[AcqDis], Dyno_Data[Team],TBA_Matches_All[[#This Row],[Team]],Dyno_Data[Match],TBA_Matches_All[[#This Row],[Match_Number]],Dyno_Data[RecordType],"Activities", Dyno_Data[AcqCenter],5,Dyno_Data[Mode],"Auto")</f>
        <v>0</v>
      </c>
      <c r="AX242">
        <f>SUMIFS(Dyno_Data[DelMiss], Dyno_Data[Team],TBA_Matches_All[[#This Row],[Team]],Dyno_Data[Match],TBA_Matches_All[[#This Row],[Match_Number]],Dyno_Data[RecordType],"Activities", Dyno_Data[DelDest],"Amp")</f>
        <v>0</v>
      </c>
      <c r="AY242" s="60">
        <f>IFERROR(SUM((TBA_Matches_All[[#This Row],[AampT]]+TBA_Matches_All[[#This Row],[TampT]])/(TBA_Matches_All[[#This Row],[AampT]]+TBA_Matches_All[[#This Row],[TampT]]+TBA_Matches_All[[#This Row],[ampM]])),0)</f>
        <v>1</v>
      </c>
      <c r="AZ242">
        <f>SUMIFS(Dyno_Data[DelMiss], Dyno_Data[Team],TBA_Matches_All[[#This Row],[Team]],Dyno_Data[Match],TBA_Matches_All[[#This Row],[Match_Number]],Dyno_Data[RecordType],"Activities", Dyno_Data[DelDest],"Spkr")</f>
        <v>0</v>
      </c>
      <c r="BA242" s="60">
        <f>IFERROR(SUM((TBA_Matches_All[[#This Row],[AspkrT]]+TBA_Matches_All[[#This Row],[TspkrT]])/(TBA_Matches_All[[#This Row],[AspkrT]]+TBA_Matches_All[[#This Row],[TspkrT]]+TBA_Matches_All[[#This Row],[spkrM]])),0)</f>
        <v>1</v>
      </c>
      <c r="BB242">
        <f>SUMIFS(Dyno_Data[DelMiss], Dyno_Data[Team],TBA_Matches_All[[#This Row],[Team]],Dyno_Data[Match],TBA_Matches_All[[#This Row],[Match_Number]],Dyno_Data[RecordType],"Activities", Dyno_Data[DelDest],"Trap")</f>
        <v>0</v>
      </c>
      <c r="BC242" s="60">
        <f>IFERROR((TBA_Matches_All[[#This Row],[AtrapT]]+TBA_Matches_All[[#This Row],[TtrapT]])/(TBA_Matches_All[[#This Row],[AtrapT]]+TBA_Matches_All[[#This Row],[TtrapT]]+TBA_Matches_All[[#This Row],[trapM]]),0)</f>
        <v>1</v>
      </c>
      <c r="BD242">
        <f>COUNTIFS(Dyno_Data[Team],TBA_Matches_All[[#This Row],[Team]],Dyno_Data[Match],TBA_Matches_All[[#This Row],[Match_Number]],Dyno_Data[RecordType],"Activities",Dyno_Data[DelDest],"Neut", Dyno_Data[DelMiss],1)</f>
        <v>0</v>
      </c>
      <c r="BE242" s="60">
        <f>IFERROR(SUM((TBA_Matches_All[[#This Row],[NeutFlrT]])/(TBA_Matches_All[[#This Row],[NeutFlrT]]+TBA_Matches_All[[#This Row],[NZflM]])),0)</f>
        <v>0</v>
      </c>
      <c r="BF242">
        <f>COUNTIFS(Dyno_Data[Team],TBA_Matches_All[[#This Row],[Team]],Dyno_Data[Match],TBA_Matches_All[[#This Row],[Match_Number]],Dyno_Data[RecordType],"Activities",Dyno_Data[DelDest],"AllyW", Dyno_Data[DelMiss],1)</f>
        <v>0</v>
      </c>
      <c r="BG242" s="60">
        <f>IFERROR(SUM((TBA_Matches_All[[#This Row],[AllyWFlrT]])/(TBA_Matches_All[[#This Row],[AllyWFlrT]]+TBA_Matches_All[[#This Row],[AZflM]])),0)</f>
        <v>0</v>
      </c>
      <c r="BH242">
        <f>COUNTIFS(Dyno_Data[Team],TBA_Matches_All[[#This Row],[Team]],Dyno_Data[Match],TBA_Matches_All[[#This Row],[Match_Number]],Dyno_Data[RecordType],"Activities",Dyno_Data[DelOrig],"OppW", Dyno_Data[DelMiss],"0")</f>
        <v>0</v>
      </c>
      <c r="BI242">
        <f>COUNTIFS(Dyno_Data[Team],TBA_Matches_All[[#This Row],[Team]],Dyno_Data[Match],TBA_Matches_All[[#This Row],[Match_Number]],Dyno_Data[RecordType],"Activities",Dyno_Data[DelOrig],"OppW", Dyno_Data[DelMiss],"1")</f>
        <v>0</v>
      </c>
      <c r="BJ242" s="60">
        <f>IFERROR(SUM((TBA_Matches_All[[#This Row],[OZflrT]])/(TBA_Matches_All[[#This Row],[OZflrT]]+TBA_Matches_All[[#This Row],[OZflrM]])),0)</f>
        <v>0</v>
      </c>
      <c r="BK242">
        <f>COUNTIFS(Dyno_Data[Team],TBA_Matches_All[[#This Row],[Team]],Dyno_Data[Match],TBA_Matches_All[[#This Row],[Match_Number]],Dyno_Data[RecordType],"Activities",Dyno_Data[DelOrig],"Neut", Dyno_Data[DelMiss],"0")</f>
        <v>0</v>
      </c>
      <c r="BL242">
        <f>COUNTIFS(Dyno_Data[Team],TBA_Matches_All[[#This Row],[Team]],Dyno_Data[Match],TBA_Matches_All[[#This Row],[Match_Number]],Dyno_Data[RecordType],"Activities",Dyno_Data[DelOrig],"Neut", Dyno_Data[DelMiss],"1")</f>
        <v>0</v>
      </c>
      <c r="BM242" s="60">
        <f>IFERROR(SUM((TBA_Matches_All[[#This Row],[NZflrT]])/(TBA_Matches_All[[#This Row],[NZflrT]]+TBA_Matches_All[[#This Row],[NZflrM]])),0)</f>
        <v>0</v>
      </c>
      <c r="BN242">
        <f>COUNTIFS(Dyno_Data[Team],TBA_Matches_All[[#This Row],[Team]],Dyno_Data[Match],TBA_Matches_All[[#This Row],[Match_Number]],Dyno_Data[RecordType],"Activities",Dyno_Data[DelOrig],"AllyW", Dyno_Data[DelMiss],"0")</f>
        <v>3</v>
      </c>
      <c r="BO242">
        <f>COUNTIFS(Dyno_Data[Team],TBA_Matches_All[[#This Row],[Team]],Dyno_Data[Match],TBA_Matches_All[[#This Row],[Match_Number]],Dyno_Data[RecordType],"Activities",Dyno_Data[DelOrig],"AllyW", Dyno_Data[DelMiss],"1")</f>
        <v>0</v>
      </c>
      <c r="BP242" s="60">
        <f>IFERROR(SUM((TBA_Matches_All[[#This Row],[AZflrT]])/(TBA_Matches_All[[#This Row],[AZflrT]]+TBA_Matches_All[[#This Row],[AZflrM]])),0)</f>
        <v>1</v>
      </c>
      <c r="BQ242">
        <f>COUNTIFS(Dyno_Data[Team],TBA_Matches_All[[#This Row],[Team]],Dyno_Data[Match],TBA_Matches_All[[#This Row],[Match_Number]],Dyno_Data[RecordType],"Activities",Dyno_Data[DelOrig],"SubW", Dyno_Data[DelMiss],"0")</f>
        <v>5</v>
      </c>
      <c r="BR242">
        <f>COUNTIFS(Dyno_Data[Team],TBA_Matches_All[[#This Row],[Team]],Dyno_Data[Match],TBA_Matches_All[[#This Row],[Match_Number]],Dyno_Data[RecordType],"Activities",Dyno_Data[DelOrig],"SubW", Dyno_Data[DelMiss],"1")</f>
        <v>0</v>
      </c>
      <c r="BS242" s="60">
        <f>IFERROR(SUM((TBA_Matches_All[[#This Row],[SubwT]])/(TBA_Matches_All[[#This Row],[SubwT]]+TBA_Matches_All[[#This Row],[SubwM]])),0)</f>
        <v>1</v>
      </c>
      <c r="BT242">
        <f>COUNTIFS(Dyno_Data[Team],TBA_Matches_All[[#This Row],[Team]],Dyno_Data[Match],TBA_Matches_All[[#This Row],[Match_Number]],Dyno_Data[RecordType],"Activities", Dyno_Data[AcqLoc],"OppWing")</f>
        <v>0</v>
      </c>
      <c r="BU242">
        <f>COUNTIFS(Dyno_Data[Team],TBA_Matches_All[[#This Row],[Team]],Dyno_Data[Match],TBA_Matches_All[[#This Row],[Match_Number]],Dyno_Data[RecordType],"Activities", Dyno_Data[AcqLoc],"Neutral")</f>
        <v>0</v>
      </c>
      <c r="BV242">
        <f>COUNTIFS(Dyno_Data[Team],TBA_Matches_All[[#This Row],[Team]],Dyno_Data[Match],TBA_Matches_All[[#This Row],[Match_Number]],Dyno_Data[RecordType],"Activities", Dyno_Data[AcqLoc],"AllyWing")</f>
        <v>0</v>
      </c>
      <c r="BW242">
        <f>COUNTIFS(Dyno_Data[Team],TBA_Matches_All[[#This Row],[Team]],Dyno_Data[Match],TBA_Matches_All[[#This Row],[Match_Number]],Dyno_Data[RecordType],"Activities", Dyno_Data[AcqLoc],"Source")</f>
        <v>0</v>
      </c>
      <c r="BX242">
        <f>SUMIFS(Dyno_Data[AcqDrp], Dyno_Data[Team],TBA_Matches_All[[#This Row],[Team]],Dyno_Data[Match],TBA_Matches_All[[#This Row],[Match_Number]],Dyno_Data[RecordType],"Activities", Dyno_Data[AcqLoc],"Source")</f>
        <v>0</v>
      </c>
      <c r="BY242">
        <f>SUMIFS(Dyno_Data[OZTime], Dyno_Data[Team],TBA_Matches_All[[#This Row],[Team]],Dyno_Data[Match],TBA_Matches_All[[#This Row],[Match_Number]],Dyno_Data[RecordType],"EndMatch")</f>
        <v>33.2772474</v>
      </c>
      <c r="BZ242">
        <f>SUMIFS(Dyno_Data[NZTime], Dyno_Data[Team],TBA_Matches_All[[#This Row],[Team]],Dyno_Data[Match],TBA_Matches_All[[#This Row],[Match_Number]],Dyno_Data[RecordType],"EndMatch")</f>
        <v>22.392253499999999</v>
      </c>
      <c r="CA242">
        <f>SUMIFS(Dyno_Data[AZTime], Dyno_Data[Team],TBA_Matches_All[[#This Row],[Team]],Dyno_Data[Match],TBA_Matches_All[[#This Row],[Match_Number]],Dyno_Data[RecordType],"EndMatch")</f>
        <v>71.055488600000004</v>
      </c>
      <c r="CB242">
        <f>SUMIFS(Dyno_Data[ClimbT], Dyno_Data[Team],TBA_Matches_All[[#This Row],[Team]],Dyno_Data[Match],TBA_Matches_All[[#This Row],[Match_Number]],Dyno_Data[RecordType],"EndMatch")</f>
        <v>4.3211389000000002</v>
      </c>
      <c r="CC242" t="str">
        <f>_xlfn.XLOOKUP(SUM(MID(TBA_Matches_All[[#This Row],[Team]],4,5),(TBA_Matches_All[[#This Row],[Match_Number]]/100)),Dyno_EndMatch[teammat],Dyno_EndMatch[StageStat],"_",0,1)</f>
        <v>On</v>
      </c>
      <c r="CD242" t="str">
        <f>_xlfn.XLOOKUP(TBA_Matches_All[[#This Row],[teammat]],Dyno_EndMatch[teammat],Dyno_EndMatch[StageAtt],"_",0,1)</f>
        <v>1</v>
      </c>
      <c r="CE242" t="str">
        <f>_xlfn.XLOOKUP(TBA_Matches_All[[#This Row],[teammat]],Dyno_EndMatch[teammat],Dyno_EndMatch[StageLoc],"_",0,1)</f>
        <v>L</v>
      </c>
      <c r="CF242">
        <f>SUMIFS(Dyno_Data[Harmony], Dyno_Data[Team],TBA_Matches_All[[#This Row],[Team]],Dyno_Data[Match],TBA_Matches_All[[#This Row],[Match_Number]],Dyno_Data[RecordType],"EndMatch", Dyno_Data[StageStat],"On",Dyno_Data[Harmony],"&lt;&gt;9")</f>
        <v>1</v>
      </c>
      <c r="CG242">
        <f>SUMIFS(Dyno_Data[Spotlit], Dyno_Data[Team],TBA_Matches_All[[#This Row],[Team]],Dyno_Data[Match],TBA_Matches_All[[#This Row],[Match_Number]],Dyno_Data[RecordType],"EndMatch", Dyno_Data[StageStat],"On",Dyno_Data[Spotlit],"&lt;&gt;9")</f>
        <v>0</v>
      </c>
      <c r="CH242" t="str">
        <f>_xlfn.XLOOKUP(TBA_Matches_All[[#This Row],[teammat]],Dyno_EndMatch[teammat],Dyno_EndMatch[Strategy],"_",0,1)</f>
        <v>Hybrid</v>
      </c>
      <c r="CI242">
        <f>SUMIFS(Dyno_Data[Defense], Dyno_Data[Team],TBA_Matches_All[[#This Row],[Team]],Dyno_Data[Match],TBA_Matches_All[[#This Row],[Match_Number]],Dyno_Data[RecordType],"EndMatch",Dyno_Data[Defense],"&lt;&gt;9")</f>
        <v>0</v>
      </c>
      <c r="CJ242">
        <f>SUMIFS(Dyno_Data[Avoidance], Dyno_Data[Team],TBA_Matches_All[[#This Row],[Team]],Dyno_Data[Match],TBA_Matches_All[[#This Row],[Match_Number]],Dyno_Data[RecordType],"EndMatch",Dyno_Data[Avoidance],"&lt;&gt;9")</f>
        <v>1</v>
      </c>
      <c r="CK242" s="82">
        <f>COUNTIF($H$2:TBA_Matches_All[[#This Row],[Team]],TBA_Matches_All[[#This Row],[Team]])</f>
        <v>5</v>
      </c>
      <c r="CL242" s="111">
        <f>SUM(MID(TBA_Matches_All[[#This Row],[Team]],4,5)+TBA_Matches_All[[#This Row],[Match_Number]]/100)</f>
        <v>7504.4</v>
      </c>
      <c r="CM242">
        <f>SUM((TBA_Matches_All[[#This Row],[Leave]]*2)+(TBA_Matches_All[[#This Row],[AampT]]*2)+(TBA_Matches_All[[#This Row],[AspkrT]]*5)+(TBA_Matches_All[[#This Row],[AtrapT]]*5))</f>
        <v>14</v>
      </c>
      <c r="CN242" s="59">
        <f>IFERROR(SUM(TBA_Matches_All[[#This Row],[AptsT]]/TBA_Matches_All[[#This Row],[AutoPts]]),0)</f>
        <v>0.48275862068965519</v>
      </c>
      <c r="CO242" s="59">
        <f>IFERROR(SUM(TBA_Matches_All[[#This Row],[AampT]]+TBA_Matches_All[[#This Row],[AspkrT]]+TBA_Matches_All[[#This Row],[AtrapT]]/TBA_Matches_All[[#This Row],[Aamp]]+TBA_Matches_All[[#This Row],[Aspkr]]+TBA_Matches_All[[#This Row],[AtrapT]]),0)</f>
        <v>0</v>
      </c>
      <c r="CP242" s="59">
        <f>IFERROR(SUM(TBA_Matches_All[[#This Row],[TampT]]/TBA_Matches_All[[#This Row],[Tamp]]),0)</f>
        <v>1</v>
      </c>
      <c r="CQ242" s="59">
        <f>IFERROR(SUM(TBA_Matches_All[[#This Row],[TspkrT]]/TBA_Matches_All[[#This Row],[Tspkr]]),0)</f>
        <v>0.25</v>
      </c>
      <c r="CR242">
        <f>SUM(TBA_Matches_All[[#This Row],[TspkrPts]]*TBA_Matches_All[[#This Row],[TspkrP]])</f>
        <v>4.75</v>
      </c>
      <c r="CS242" s="59">
        <f>IFERROR(SUM(TBA_Matches_All[[#This Row],[TtrapT]]/TBA_Matches_All[[#This Row],[Trap]]),0)</f>
        <v>0</v>
      </c>
      <c r="CT242" s="59">
        <f>IFERROR(SUM(TBA_Matches_All[[#This Row],[TotNotesT]]/TBA_Matches_All[[#This Row],[TotNotes]]),0)</f>
        <v>0.5625</v>
      </c>
      <c r="CU242" s="66">
        <f>SUM((TBA_Matches_All[[#This Row],[AampT]]*2)+(TBA_Matches_All[[#This Row],[AspkrT]]*5)+(TBA_Matches_All[[#This Row],[AtrapT]]*5)+(TBA_Matches_All[[#This Row],[TampT]]*1)+(TBA_Matches_All[[#This Row],[TspkrptsC]]))</f>
        <v>19.75</v>
      </c>
      <c r="CV242" s="59">
        <f>IFERROR(TBA_Matches_All[[#This Row],[noteptsT]]/TBA_Matches_All[[#This Row],[NotePts]],0)</f>
        <v>0.42021276595744683</v>
      </c>
      <c r="CW242">
        <f>SUM(IF(TBA_Matches_All[[#This Row],[stageStat]]="On",3,0),IF(TBA_Matches_All[[#This Row],[stageStat]]="Park",1,0),SUMIFS(TBA_Matches_All[[#This Row],[Spotlit]],TBA_Matches_All[[#This Row],[stageStat]],"On"),SUMIFS(TBA_Matches_All[[#This Row],[Harmony]],TBA_Matches_All[[#This Row],[stageStat]],"On"))</f>
        <v>4</v>
      </c>
      <c r="CX242" s="59">
        <f>IFERROR(TBA_Matches_All[[#This Row],[stageptsT]]/TBA_Matches_All[[#This Row],[StagePts]],0)</f>
        <v>0.44444444444444442</v>
      </c>
      <c r="CY242">
        <f>SUM((TBA_Matches_All[[#This Row],[AptsT]]+TBA_Matches_All[[#This Row],[TampT]]+TBA_Matches_All[[#This Row],[TspkrptsC]]+(TBA_Matches_All[[#This Row],[TtrapT]]*5)+TBA_Matches_All[[#This Row],[stageptsT]]))</f>
        <v>30.75</v>
      </c>
      <c r="CZ242" s="59">
        <f>IFERROR(SUM(TBA_Matches_All[[#This Row],[TotptsC]]/TBA_Matches_All[[#This Row],[Score]]),0)</f>
        <v>0.43928571428571428</v>
      </c>
      <c r="DA24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9.5714285714285712</v>
      </c>
      <c r="DB242" s="74">
        <f>SUMIFS(TBA_Matches_All[AveTeamTNoteDels],TBA_Matches_All[Match_Number],TBA_Matches_All[[#This Row],[Match_Number]],TBA_Matches_All[Alliance],"&lt;&gt;"&amp;TBA_Matches_All[[#This Row],[Alliance]],TBA_Matches_All[Scouted],"&gt;0")</f>
        <v>15.6625</v>
      </c>
      <c r="DC242" s="74">
        <f>(TBA_Matches_All[[#This Row],[TampT]]+TBA_Matches_All[[#This Row],[TspkrptsC]])-TBA_Matches_All[[#This Row],[AveTeamTNoteDels]]</f>
        <v>-1.8214285714285712</v>
      </c>
      <c r="DD242" s="74">
        <f>SUMIFS(TBA_Matches_All[AveTeamTNoteDels],TBA_Matches_All[Match_Number],TBA_Matches_All[[#This Row],[Match_Number]],TBA_Matches_All[Alliance],"&lt;&gt;"&amp;TBA_Matches_All[[#This Row],[Alliance]])-TBA_Matches_All[[#This Row],[AveOppTNoteDels]]</f>
        <v>0</v>
      </c>
    </row>
    <row r="243" spans="1:108" x14ac:dyDescent="0.3">
      <c r="A243" t="s">
        <v>1042</v>
      </c>
      <c r="B243" t="s">
        <v>489</v>
      </c>
      <c r="C243" t="s">
        <v>1350</v>
      </c>
      <c r="D243">
        <v>41</v>
      </c>
      <c r="E243" t="s">
        <v>1420</v>
      </c>
      <c r="F243" t="s">
        <v>1421</v>
      </c>
      <c r="G243" t="s">
        <v>164</v>
      </c>
      <c r="H243" t="s">
        <v>1314</v>
      </c>
      <c r="I243" t="b">
        <v>1</v>
      </c>
      <c r="J243">
        <v>85</v>
      </c>
      <c r="K243">
        <v>1</v>
      </c>
      <c r="L243">
        <v>1</v>
      </c>
      <c r="M243">
        <v>9</v>
      </c>
      <c r="N243">
        <v>0</v>
      </c>
      <c r="O243">
        <v>6</v>
      </c>
      <c r="P243">
        <v>30</v>
      </c>
      <c r="Q243">
        <v>36</v>
      </c>
      <c r="R243">
        <v>3</v>
      </c>
      <c r="S243">
        <v>1</v>
      </c>
      <c r="T243">
        <v>14</v>
      </c>
      <c r="U243">
        <v>5</v>
      </c>
      <c r="V243">
        <v>28</v>
      </c>
      <c r="W243">
        <v>15</v>
      </c>
      <c r="X243">
        <v>33</v>
      </c>
      <c r="Y243">
        <v>36</v>
      </c>
      <c r="Z243">
        <v>0</v>
      </c>
      <c r="AA243">
        <v>0</v>
      </c>
      <c r="AB243">
        <v>24</v>
      </c>
      <c r="AC243">
        <v>66</v>
      </c>
      <c r="AD243">
        <v>11</v>
      </c>
      <c r="AE243">
        <f>IFERROR(6/(COUNTIF(Dyno_EndMatch[Match],TBA_Matches_All[[#This Row],[Match_Number]])),0)</f>
        <v>1</v>
      </c>
      <c r="AF243">
        <f>COUNTIFS(Dyno_Data[Team],TBA_Matches_All[[#This Row],[Team]],Dyno_Data[Match],TBA_Matches_All[[#This Row],[Match_Number]],Dyno_Data[RecordType],"EndMatch",Dyno_Data[HPAmp],"Y")</f>
        <v>0</v>
      </c>
      <c r="AG243">
        <f>SUMIFS(Dyno_Data[Mics], Dyno_Data[Team],TBA_Matches_All[[#This Row],[Team]],Dyno_Data[Match],TBA_Matches_All[[#This Row],[Match_Number]],Dyno_Data[RecordType],"EndMatch",Dyno_Data[HPAmp],"Y")</f>
        <v>0</v>
      </c>
      <c r="AH243">
        <f>SUMIFS(Dyno_Data[Leave], Dyno_Data[Team],TBA_Matches_All[[#This Row],[Team]],Dyno_Data[Match],TBA_Matches_All[[#This Row],[Match_Number]],Dyno_Data[RecordType],"EndAuto")</f>
        <v>1</v>
      </c>
      <c r="AI243">
        <f>COUNTIFS(Dyno_Data[Team],TBA_Matches_All[[#This Row],[Team]],Dyno_Data[Match],TBA_Matches_All[[#This Row],[Match_Number]],Dyno_Data[RecordType],"Activities",Dyno_Data[DelDest],"Amp", Dyno_Data[DelMiss],"0", Dyno_Data[Mode],"Auto")</f>
        <v>0</v>
      </c>
      <c r="AJ243">
        <f>COUNTIFS(Dyno_Data[Team],TBA_Matches_All[[#This Row],[Team]],Dyno_Data[Match],TBA_Matches_All[[#This Row],[Match_Number]],Dyno_Data[RecordType],"Activities",Dyno_Data[DelDest],"Spkr", Dyno_Data[DelMiss],"0", Dyno_Data[Mode],"Auto")</f>
        <v>3</v>
      </c>
      <c r="AK243">
        <f>COUNTIFS(Dyno_Data[Team],TBA_Matches_All[[#This Row],[Team]],Dyno_Data[Match],TBA_Matches_All[[#This Row],[Match_Number]],Dyno_Data[RecordType],"Activities",Dyno_Data[DelDest],"Trap", Dyno_Data[DelMiss],"0", Dyno_Data[Mode],"Auto")</f>
        <v>0</v>
      </c>
      <c r="AL243">
        <f>COUNTIFS(Dyno_Data[Team],TBA_Matches_All[[#This Row],[Team]],Dyno_Data[Match],TBA_Matches_All[[#This Row],[Match_Number]],Dyno_Data[RecordType],"Activities",Dyno_Data[DelDest],"Amp", Dyno_Data[DelMiss],"0", Dyno_Data[Mode],"Teleop")</f>
        <v>0</v>
      </c>
      <c r="AM243">
        <f>COUNTIFS(Dyno_Data[Team],TBA_Matches_All[[#This Row],[Team]],Dyno_Data[Match],TBA_Matches_All[[#This Row],[Match_Number]],Dyno_Data[RecordType],"Activities",Dyno_Data[DelDest],"Spkr", Dyno_Data[DelMiss],"0", Dyno_Data[Mode],"Teleop")</f>
        <v>9</v>
      </c>
      <c r="AN243">
        <f>COUNTIFS(Dyno_Data[Team],TBA_Matches_All[[#This Row],[Team]],Dyno_Data[Match],TBA_Matches_All[[#This Row],[Match_Number]],Dyno_Data[RecordType],"Activities",Dyno_Data[DelDest],"Trap", Dyno_Data[DelMiss],"0", Dyno_Data[Mode],"&lt;&gt;Auto")</f>
        <v>0</v>
      </c>
      <c r="AO243">
        <f>SUM(TBA_Matches_All[[#This Row],[AampT]]+TBA_Matches_All[[#This Row],[AspkrT]]+TBA_Matches_All[[#This Row],[AtrapT]]+TBA_Matches_All[[#This Row],[TampT]]+TBA_Matches_All[[#This Row],[TspkrT]]+TBA_Matches_All[[#This Row],[TtrapT]])</f>
        <v>12</v>
      </c>
      <c r="AP243">
        <f>COUNTIFS(Dyno_Data[Team],TBA_Matches_All[[#This Row],[Team]],Dyno_Data[Match],TBA_Matches_All[[#This Row],[Match_Number]],Dyno_Data[RecordType],"Activities",Dyno_Data[DelDest],"Neut", Dyno_Data[DelMiss],"0")</f>
        <v>0</v>
      </c>
      <c r="AQ243">
        <f>COUNTIFS(Dyno_Data[Team],TBA_Matches_All[[#This Row],[Team]],Dyno_Data[Match],TBA_Matches_All[[#This Row],[Match_Number]],Dyno_Data[RecordType],"Activities",Dyno_Data[DelDest],"AllyW", Dyno_Data[DelMiss],"0")</f>
        <v>0</v>
      </c>
      <c r="AR243" t="str">
        <f>_xlfn.XLOOKUP(SUM(MID(TBA_Matches_All[[#This Row],[Team]],4,5),(TBA_Matches_All[[#This Row],[Match_Number]]/100)),Dyno_EndMatch[teammat],Dyno_EndMatch[RobotSta],"_",0,1)</f>
        <v>Amp</v>
      </c>
      <c r="AS243">
        <f>SUMIFS(Dyno_Data[AcqDis], Dyno_Data[Team],TBA_Matches_All[[#This Row],[Team]],Dyno_Data[Match],TBA_Matches_All[[#This Row],[Match_Number]],Dyno_Data[RecordType],"Activities", Dyno_Data[AcqCenter],1,Dyno_Data[Mode],"Auto")</f>
        <v>0</v>
      </c>
      <c r="AT243">
        <f>SUMIFS(Dyno_Data[AcqDis], Dyno_Data[Team],TBA_Matches_All[[#This Row],[Team]],Dyno_Data[Match],TBA_Matches_All[[#This Row],[Match_Number]],Dyno_Data[RecordType],"Activities", Dyno_Data[AcqCenter],2,Dyno_Data[Mode],"Auto")</f>
        <v>0</v>
      </c>
      <c r="AU243">
        <f>SUMIFS(Dyno_Data[AcqDis], Dyno_Data[Team],TBA_Matches_All[[#This Row],[Team]],Dyno_Data[Match],TBA_Matches_All[[#This Row],[Match_Number]],Dyno_Data[RecordType],"Activities", Dyno_Data[AcqCenter],3,Dyno_Data[Mode],"Auto")</f>
        <v>0</v>
      </c>
      <c r="AV243">
        <f>SUMIFS(Dyno_Data[AcqDis], Dyno_Data[Team],TBA_Matches_All[[#This Row],[Team]],Dyno_Data[Match],TBA_Matches_All[[#This Row],[Match_Number]],Dyno_Data[RecordType],"Activities", Dyno_Data[AcqCenter],4,Dyno_Data[Mode],"Auto")</f>
        <v>0</v>
      </c>
      <c r="AW243">
        <f>SUMIFS(Dyno_Data[AcqDis], Dyno_Data[Team],TBA_Matches_All[[#This Row],[Team]],Dyno_Data[Match],TBA_Matches_All[[#This Row],[Match_Number]],Dyno_Data[RecordType],"Activities", Dyno_Data[AcqCenter],5,Dyno_Data[Mode],"Auto")</f>
        <v>1</v>
      </c>
      <c r="AX243">
        <f>SUMIFS(Dyno_Data[DelMiss], Dyno_Data[Team],TBA_Matches_All[[#This Row],[Team]],Dyno_Data[Match],TBA_Matches_All[[#This Row],[Match_Number]],Dyno_Data[RecordType],"Activities", Dyno_Data[DelDest],"Amp")</f>
        <v>0</v>
      </c>
      <c r="AY243" s="60">
        <f>IFERROR(SUM((TBA_Matches_All[[#This Row],[AampT]]+TBA_Matches_All[[#This Row],[TampT]])/(TBA_Matches_All[[#This Row],[AampT]]+TBA_Matches_All[[#This Row],[TampT]]+TBA_Matches_All[[#This Row],[ampM]])),0)</f>
        <v>0</v>
      </c>
      <c r="AZ243">
        <f>SUMIFS(Dyno_Data[DelMiss], Dyno_Data[Team],TBA_Matches_All[[#This Row],[Team]],Dyno_Data[Match],TBA_Matches_All[[#This Row],[Match_Number]],Dyno_Data[RecordType],"Activities", Dyno_Data[DelDest],"Spkr")</f>
        <v>0</v>
      </c>
      <c r="BA243" s="60">
        <f>IFERROR(SUM((TBA_Matches_All[[#This Row],[AspkrT]]+TBA_Matches_All[[#This Row],[TspkrT]])/(TBA_Matches_All[[#This Row],[AspkrT]]+TBA_Matches_All[[#This Row],[TspkrT]]+TBA_Matches_All[[#This Row],[spkrM]])),0)</f>
        <v>1</v>
      </c>
      <c r="BB243">
        <f>SUMIFS(Dyno_Data[DelMiss], Dyno_Data[Team],TBA_Matches_All[[#This Row],[Team]],Dyno_Data[Match],TBA_Matches_All[[#This Row],[Match_Number]],Dyno_Data[RecordType],"Activities", Dyno_Data[DelDest],"Trap")</f>
        <v>0</v>
      </c>
      <c r="BC243" s="60">
        <f>IFERROR((TBA_Matches_All[[#This Row],[AtrapT]]+TBA_Matches_All[[#This Row],[TtrapT]])/(TBA_Matches_All[[#This Row],[AtrapT]]+TBA_Matches_All[[#This Row],[TtrapT]]+TBA_Matches_All[[#This Row],[trapM]]),0)</f>
        <v>0</v>
      </c>
      <c r="BD243">
        <f>COUNTIFS(Dyno_Data[Team],TBA_Matches_All[[#This Row],[Team]],Dyno_Data[Match],TBA_Matches_All[[#This Row],[Match_Number]],Dyno_Data[RecordType],"Activities",Dyno_Data[DelDest],"Neut", Dyno_Data[DelMiss],1)</f>
        <v>0</v>
      </c>
      <c r="BE243" s="60">
        <f>IFERROR(SUM((TBA_Matches_All[[#This Row],[NeutFlrT]])/(TBA_Matches_All[[#This Row],[NeutFlrT]]+TBA_Matches_All[[#This Row],[NZflM]])),0)</f>
        <v>0</v>
      </c>
      <c r="BF243">
        <f>COUNTIFS(Dyno_Data[Team],TBA_Matches_All[[#This Row],[Team]],Dyno_Data[Match],TBA_Matches_All[[#This Row],[Match_Number]],Dyno_Data[RecordType],"Activities",Dyno_Data[DelDest],"AllyW", Dyno_Data[DelMiss],1)</f>
        <v>0</v>
      </c>
      <c r="BG243" s="60">
        <f>IFERROR(SUM((TBA_Matches_All[[#This Row],[AllyWFlrT]])/(TBA_Matches_All[[#This Row],[AllyWFlrT]]+TBA_Matches_All[[#This Row],[AZflM]])),0)</f>
        <v>0</v>
      </c>
      <c r="BH243">
        <f>COUNTIFS(Dyno_Data[Team],TBA_Matches_All[[#This Row],[Team]],Dyno_Data[Match],TBA_Matches_All[[#This Row],[Match_Number]],Dyno_Data[RecordType],"Activities",Dyno_Data[DelOrig],"OppW", Dyno_Data[DelMiss],"0")</f>
        <v>0</v>
      </c>
      <c r="BI243">
        <f>COUNTIFS(Dyno_Data[Team],TBA_Matches_All[[#This Row],[Team]],Dyno_Data[Match],TBA_Matches_All[[#This Row],[Match_Number]],Dyno_Data[RecordType],"Activities",Dyno_Data[DelOrig],"OppW", Dyno_Data[DelMiss],"1")</f>
        <v>0</v>
      </c>
      <c r="BJ243" s="60">
        <f>IFERROR(SUM((TBA_Matches_All[[#This Row],[OZflrT]])/(TBA_Matches_All[[#This Row],[OZflrT]]+TBA_Matches_All[[#This Row],[OZflrM]])),0)</f>
        <v>0</v>
      </c>
      <c r="BK243">
        <f>COUNTIFS(Dyno_Data[Team],TBA_Matches_All[[#This Row],[Team]],Dyno_Data[Match],TBA_Matches_All[[#This Row],[Match_Number]],Dyno_Data[RecordType],"Activities",Dyno_Data[DelOrig],"Neut", Dyno_Data[DelMiss],"0")</f>
        <v>0</v>
      </c>
      <c r="BL243">
        <f>COUNTIFS(Dyno_Data[Team],TBA_Matches_All[[#This Row],[Team]],Dyno_Data[Match],TBA_Matches_All[[#This Row],[Match_Number]],Dyno_Data[RecordType],"Activities",Dyno_Data[DelOrig],"Neut", Dyno_Data[DelMiss],"1")</f>
        <v>0</v>
      </c>
      <c r="BM243" s="60">
        <f>IFERROR(SUM((TBA_Matches_All[[#This Row],[NZflrT]])/(TBA_Matches_All[[#This Row],[NZflrT]]+TBA_Matches_All[[#This Row],[NZflrM]])),0)</f>
        <v>0</v>
      </c>
      <c r="BN243">
        <f>COUNTIFS(Dyno_Data[Team],TBA_Matches_All[[#This Row],[Team]],Dyno_Data[Match],TBA_Matches_All[[#This Row],[Match_Number]],Dyno_Data[RecordType],"Activities",Dyno_Data[DelOrig],"AllyW", Dyno_Data[DelMiss],"0")</f>
        <v>12</v>
      </c>
      <c r="BO243">
        <f>COUNTIFS(Dyno_Data[Team],TBA_Matches_All[[#This Row],[Team]],Dyno_Data[Match],TBA_Matches_All[[#This Row],[Match_Number]],Dyno_Data[RecordType],"Activities",Dyno_Data[DelOrig],"AllyW", Dyno_Data[DelMiss],"1")</f>
        <v>0</v>
      </c>
      <c r="BP243" s="60">
        <f>IFERROR(SUM((TBA_Matches_All[[#This Row],[AZflrT]])/(TBA_Matches_All[[#This Row],[AZflrT]]+TBA_Matches_All[[#This Row],[AZflrM]])),0)</f>
        <v>1</v>
      </c>
      <c r="BQ243">
        <f>COUNTIFS(Dyno_Data[Team],TBA_Matches_All[[#This Row],[Team]],Dyno_Data[Match],TBA_Matches_All[[#This Row],[Match_Number]],Dyno_Data[RecordType],"Activities",Dyno_Data[DelOrig],"SubW", Dyno_Data[DelMiss],"0")</f>
        <v>0</v>
      </c>
      <c r="BR243">
        <f>COUNTIFS(Dyno_Data[Team],TBA_Matches_All[[#This Row],[Team]],Dyno_Data[Match],TBA_Matches_All[[#This Row],[Match_Number]],Dyno_Data[RecordType],"Activities",Dyno_Data[DelOrig],"SubW", Dyno_Data[DelMiss],"1")</f>
        <v>0</v>
      </c>
      <c r="BS243" s="60">
        <f>IFERROR(SUM((TBA_Matches_All[[#This Row],[SubwT]])/(TBA_Matches_All[[#This Row],[SubwT]]+TBA_Matches_All[[#This Row],[SubwM]])),0)</f>
        <v>0</v>
      </c>
      <c r="BT243">
        <f>COUNTIFS(Dyno_Data[Team],TBA_Matches_All[[#This Row],[Team]],Dyno_Data[Match],TBA_Matches_All[[#This Row],[Match_Number]],Dyno_Data[RecordType],"Activities", Dyno_Data[AcqLoc],"OppWing")</f>
        <v>0</v>
      </c>
      <c r="BU243">
        <f>COUNTIFS(Dyno_Data[Team],TBA_Matches_All[[#This Row],[Team]],Dyno_Data[Match],TBA_Matches_All[[#This Row],[Match_Number]],Dyno_Data[RecordType],"Activities", Dyno_Data[AcqLoc],"Neutral")</f>
        <v>2</v>
      </c>
      <c r="BV243">
        <f>COUNTIFS(Dyno_Data[Team],TBA_Matches_All[[#This Row],[Team]],Dyno_Data[Match],TBA_Matches_All[[#This Row],[Match_Number]],Dyno_Data[RecordType],"Activities", Dyno_Data[AcqLoc],"AllyWing")</f>
        <v>0</v>
      </c>
      <c r="BW243">
        <f>COUNTIFS(Dyno_Data[Team],TBA_Matches_All[[#This Row],[Team]],Dyno_Data[Match],TBA_Matches_All[[#This Row],[Match_Number]],Dyno_Data[RecordType],"Activities", Dyno_Data[AcqLoc],"Source")</f>
        <v>0</v>
      </c>
      <c r="BX243">
        <f>SUMIFS(Dyno_Data[AcqDrp], Dyno_Data[Team],TBA_Matches_All[[#This Row],[Team]],Dyno_Data[Match],TBA_Matches_All[[#This Row],[Match_Number]],Dyno_Data[RecordType],"Activities", Dyno_Data[AcqLoc],"Source")</f>
        <v>0</v>
      </c>
      <c r="BY243">
        <f>SUMIFS(Dyno_Data[OZTime], Dyno_Data[Team],TBA_Matches_All[[#This Row],[Team]],Dyno_Data[Match],TBA_Matches_All[[#This Row],[Match_Number]],Dyno_Data[RecordType],"EndMatch")</f>
        <v>34.116684100000001</v>
      </c>
      <c r="BZ243">
        <f>SUMIFS(Dyno_Data[NZTime], Dyno_Data[Team],TBA_Matches_All[[#This Row],[Team]],Dyno_Data[Match],TBA_Matches_All[[#This Row],[Match_Number]],Dyno_Data[RecordType],"EndMatch")</f>
        <v>19.707434299999999</v>
      </c>
      <c r="CA243">
        <f>SUMIFS(Dyno_Data[AZTime], Dyno_Data[Team],TBA_Matches_All[[#This Row],[Team]],Dyno_Data[Match],TBA_Matches_All[[#This Row],[Match_Number]],Dyno_Data[RecordType],"EndMatch")</f>
        <v>57.468087099999998</v>
      </c>
      <c r="CB243">
        <f>SUMIFS(Dyno_Data[ClimbT], Dyno_Data[Team],TBA_Matches_All[[#This Row],[Team]],Dyno_Data[Match],TBA_Matches_All[[#This Row],[Match_Number]],Dyno_Data[RecordType],"EndMatch")</f>
        <v>15.869890499999999</v>
      </c>
      <c r="CC243" t="str">
        <f>_xlfn.XLOOKUP(SUM(MID(TBA_Matches_All[[#This Row],[Team]],4,5),(TBA_Matches_All[[#This Row],[Match_Number]]/100)),Dyno_EndMatch[teammat],Dyno_EndMatch[StageStat],"_",0,1)</f>
        <v>On</v>
      </c>
      <c r="CD243" t="str">
        <f>_xlfn.XLOOKUP(TBA_Matches_All[[#This Row],[teammat]],Dyno_EndMatch[teammat],Dyno_EndMatch[StageAtt],"_",0,1)</f>
        <v>1</v>
      </c>
      <c r="CE243" t="str">
        <f>_xlfn.XLOOKUP(TBA_Matches_All[[#This Row],[teammat]],Dyno_EndMatch[teammat],Dyno_EndMatch[StageLoc],"_",0,1)</f>
        <v>L</v>
      </c>
      <c r="CF243">
        <f>SUMIFS(Dyno_Data[Harmony], Dyno_Data[Team],TBA_Matches_All[[#This Row],[Team]],Dyno_Data[Match],TBA_Matches_All[[#This Row],[Match_Number]],Dyno_Data[RecordType],"EndMatch", Dyno_Data[StageStat],"On",Dyno_Data[Harmony],"&lt;&gt;9")</f>
        <v>1</v>
      </c>
      <c r="CG243">
        <f>SUMIFS(Dyno_Data[Spotlit], Dyno_Data[Team],TBA_Matches_All[[#This Row],[Team]],Dyno_Data[Match],TBA_Matches_All[[#This Row],[Match_Number]],Dyno_Data[RecordType],"EndMatch", Dyno_Data[StageStat],"On",Dyno_Data[Spotlit],"&lt;&gt;9")</f>
        <v>1</v>
      </c>
      <c r="CH243" t="str">
        <f>_xlfn.XLOOKUP(TBA_Matches_All[[#This Row],[teammat]],Dyno_EndMatch[teammat],Dyno_EndMatch[Strategy],"_",0,1)</f>
        <v>Hybrid</v>
      </c>
      <c r="CI243">
        <f>SUMIFS(Dyno_Data[Defense], Dyno_Data[Team],TBA_Matches_All[[#This Row],[Team]],Dyno_Data[Match],TBA_Matches_All[[#This Row],[Match_Number]],Dyno_Data[RecordType],"EndMatch",Dyno_Data[Defense],"&lt;&gt;9")</f>
        <v>0</v>
      </c>
      <c r="CJ243">
        <f>SUMIFS(Dyno_Data[Avoidance], Dyno_Data[Team],TBA_Matches_All[[#This Row],[Team]],Dyno_Data[Match],TBA_Matches_All[[#This Row],[Match_Number]],Dyno_Data[RecordType],"EndMatch",Dyno_Data[Avoidance],"&lt;&gt;9")</f>
        <v>0</v>
      </c>
      <c r="CK243" s="82">
        <f>COUNTIF($H$2:TBA_Matches_All[[#This Row],[Team]],TBA_Matches_All[[#This Row],[Team]])</f>
        <v>5</v>
      </c>
      <c r="CL243" s="111">
        <f>SUM(MID(TBA_Matches_All[[#This Row],[Team]],4,5)+TBA_Matches_All[[#This Row],[Match_Number]]/100)</f>
        <v>3419.41</v>
      </c>
      <c r="CM243">
        <f>SUM((TBA_Matches_All[[#This Row],[Leave]]*2)+(TBA_Matches_All[[#This Row],[AampT]]*2)+(TBA_Matches_All[[#This Row],[AspkrT]]*5)+(TBA_Matches_All[[#This Row],[AtrapT]]*5))</f>
        <v>17</v>
      </c>
      <c r="CN243" s="59">
        <f>IFERROR(SUM(TBA_Matches_All[[#This Row],[AptsT]]/TBA_Matches_All[[#This Row],[AutoPts]]),0)</f>
        <v>0.47222222222222221</v>
      </c>
      <c r="CO243" s="59">
        <f>IFERROR(SUM(TBA_Matches_All[[#This Row],[AampT]]+TBA_Matches_All[[#This Row],[AspkrT]]+TBA_Matches_All[[#This Row],[AtrapT]]/TBA_Matches_All[[#This Row],[Aamp]]+TBA_Matches_All[[#This Row],[Aspkr]]+TBA_Matches_All[[#This Row],[AtrapT]]),0)</f>
        <v>0</v>
      </c>
      <c r="CP243" s="59">
        <f>IFERROR(SUM(TBA_Matches_All[[#This Row],[TampT]]/TBA_Matches_All[[#This Row],[Tamp]]),0)</f>
        <v>0</v>
      </c>
      <c r="CQ243" s="59">
        <f>IFERROR(SUM(TBA_Matches_All[[#This Row],[TspkrT]]/TBA_Matches_All[[#This Row],[Tspkr]]),0)</f>
        <v>0.6</v>
      </c>
      <c r="CR243">
        <f>SUM(TBA_Matches_All[[#This Row],[TspkrPts]]*TBA_Matches_All[[#This Row],[TspkrP]])</f>
        <v>19.8</v>
      </c>
      <c r="CS243" s="59">
        <f>IFERROR(SUM(TBA_Matches_All[[#This Row],[TtrapT]]/TBA_Matches_All[[#This Row],[Trap]]),0)</f>
        <v>0</v>
      </c>
      <c r="CT243" s="59">
        <f>IFERROR(SUM(TBA_Matches_All[[#This Row],[TotNotesT]]/TBA_Matches_All[[#This Row],[TotNotes]]),0)</f>
        <v>0.5</v>
      </c>
      <c r="CU243" s="66">
        <f>SUM((TBA_Matches_All[[#This Row],[AampT]]*2)+(TBA_Matches_All[[#This Row],[AspkrT]]*5)+(TBA_Matches_All[[#This Row],[AtrapT]]*5)+(TBA_Matches_All[[#This Row],[TampT]]*1)+(TBA_Matches_All[[#This Row],[TspkrptsC]]))</f>
        <v>34.799999999999997</v>
      </c>
      <c r="CV243" s="59">
        <f>IFERROR(TBA_Matches_All[[#This Row],[noteptsT]]/TBA_Matches_All[[#This Row],[NotePts]],0)</f>
        <v>0.52727272727272723</v>
      </c>
      <c r="CW243">
        <f>SUM(IF(TBA_Matches_All[[#This Row],[stageStat]]="On",3,0),IF(TBA_Matches_All[[#This Row],[stageStat]]="Park",1,0),SUMIFS(TBA_Matches_All[[#This Row],[Spotlit]],TBA_Matches_All[[#This Row],[stageStat]],"On"),SUMIFS(TBA_Matches_All[[#This Row],[Harmony]],TBA_Matches_All[[#This Row],[stageStat]],"On"))</f>
        <v>5</v>
      </c>
      <c r="CX243" s="59">
        <f>IFERROR(TBA_Matches_All[[#This Row],[stageptsT]]/TBA_Matches_All[[#This Row],[StagePts]],0)</f>
        <v>0.45454545454545453</v>
      </c>
      <c r="CY243">
        <f>SUM((TBA_Matches_All[[#This Row],[AptsT]]+TBA_Matches_All[[#This Row],[TampT]]+TBA_Matches_All[[#This Row],[TspkrptsC]]+(TBA_Matches_All[[#This Row],[TtrapT]]*5)+TBA_Matches_All[[#This Row],[stageptsT]]))</f>
        <v>41.8</v>
      </c>
      <c r="CZ243" s="59">
        <f>IFERROR(SUM(TBA_Matches_All[[#This Row],[TotptsC]]/TBA_Matches_All[[#This Row],[Score]]),0)</f>
        <v>0.49176470588235288</v>
      </c>
      <c r="DA24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13.930681818181819</v>
      </c>
      <c r="DB243" s="74">
        <f>SUMIFS(TBA_Matches_All[AveTeamTNoteDels],TBA_Matches_All[Match_Number],TBA_Matches_All[[#This Row],[Match_Number]],TBA_Matches_All[Alliance],"&lt;&gt;"&amp;TBA_Matches_All[[#This Row],[Alliance]],TBA_Matches_All[Scouted],"&gt;0")</f>
        <v>36.245021645021644</v>
      </c>
      <c r="DC243" s="74">
        <f>(TBA_Matches_All[[#This Row],[TampT]]+TBA_Matches_All[[#This Row],[TspkrptsC]])-TBA_Matches_All[[#This Row],[AveTeamTNoteDels]]</f>
        <v>5.8693181818181817</v>
      </c>
      <c r="DD243" s="74">
        <f>SUMIFS(TBA_Matches_All[AveTeamTNoteDels],TBA_Matches_All[Match_Number],TBA_Matches_All[[#This Row],[Match_Number]],TBA_Matches_All[Alliance],"&lt;&gt;"&amp;TBA_Matches_All[[#This Row],[Alliance]])-TBA_Matches_All[[#This Row],[AveOppTNoteDels]]</f>
        <v>0</v>
      </c>
    </row>
    <row r="244" spans="1:108" x14ac:dyDescent="0.3">
      <c r="A244" t="s">
        <v>1042</v>
      </c>
      <c r="B244" t="s">
        <v>489</v>
      </c>
      <c r="C244" t="s">
        <v>1350</v>
      </c>
      <c r="D244">
        <v>41</v>
      </c>
      <c r="E244" t="s">
        <v>1406</v>
      </c>
      <c r="F244" t="s">
        <v>1422</v>
      </c>
      <c r="G244" t="s">
        <v>105</v>
      </c>
      <c r="H244" t="s">
        <v>1295</v>
      </c>
      <c r="I244" t="b">
        <v>1</v>
      </c>
      <c r="J244">
        <v>74</v>
      </c>
      <c r="K244">
        <v>1</v>
      </c>
      <c r="L244">
        <v>0</v>
      </c>
      <c r="M244">
        <v>2</v>
      </c>
      <c r="N244">
        <v>0</v>
      </c>
      <c r="O244">
        <v>4</v>
      </c>
      <c r="P244">
        <v>20</v>
      </c>
      <c r="Q244">
        <v>26</v>
      </c>
      <c r="R244">
        <v>6</v>
      </c>
      <c r="S244">
        <v>4</v>
      </c>
      <c r="T244">
        <v>5</v>
      </c>
      <c r="U244">
        <v>20</v>
      </c>
      <c r="V244">
        <v>10</v>
      </c>
      <c r="W244">
        <v>9</v>
      </c>
      <c r="X244">
        <v>30</v>
      </c>
      <c r="Y244">
        <v>36</v>
      </c>
      <c r="Z244">
        <v>0</v>
      </c>
      <c r="AA244">
        <v>0</v>
      </c>
      <c r="AB244">
        <v>19</v>
      </c>
      <c r="AC244">
        <v>56</v>
      </c>
      <c r="AD244">
        <v>3</v>
      </c>
      <c r="AE244">
        <f>IFERROR(6/(COUNTIF(Dyno_EndMatch[Match],TBA_Matches_All[[#This Row],[Match_Number]])),0)</f>
        <v>1</v>
      </c>
      <c r="AF244">
        <f>COUNTIFS(Dyno_Data[Team],TBA_Matches_All[[#This Row],[Team]],Dyno_Data[Match],TBA_Matches_All[[#This Row],[Match_Number]],Dyno_Data[RecordType],"EndMatch",Dyno_Data[HPAmp],"Y")</f>
        <v>0</v>
      </c>
      <c r="AG244">
        <f>SUMIFS(Dyno_Data[Mics], Dyno_Data[Team],TBA_Matches_All[[#This Row],[Team]],Dyno_Data[Match],TBA_Matches_All[[#This Row],[Match_Number]],Dyno_Data[RecordType],"EndMatch",Dyno_Data[HPAmp],"Y")</f>
        <v>0</v>
      </c>
      <c r="AH244">
        <f>SUMIFS(Dyno_Data[Leave], Dyno_Data[Team],TBA_Matches_All[[#This Row],[Team]],Dyno_Data[Match],TBA_Matches_All[[#This Row],[Match_Number]],Dyno_Data[RecordType],"EndAuto")</f>
        <v>1</v>
      </c>
      <c r="AI244">
        <f>COUNTIFS(Dyno_Data[Team],TBA_Matches_All[[#This Row],[Team]],Dyno_Data[Match],TBA_Matches_All[[#This Row],[Match_Number]],Dyno_Data[RecordType],"Activities",Dyno_Data[DelDest],"Amp", Dyno_Data[DelMiss],"0", Dyno_Data[Mode],"Auto")</f>
        <v>0</v>
      </c>
      <c r="AJ244">
        <f>COUNTIFS(Dyno_Data[Team],TBA_Matches_All[[#This Row],[Team]],Dyno_Data[Match],TBA_Matches_All[[#This Row],[Match_Number]],Dyno_Data[RecordType],"Activities",Dyno_Data[DelDest],"Spkr", Dyno_Data[DelMiss],"0", Dyno_Data[Mode],"Auto")</f>
        <v>2</v>
      </c>
      <c r="AK244">
        <f>COUNTIFS(Dyno_Data[Team],TBA_Matches_All[[#This Row],[Team]],Dyno_Data[Match],TBA_Matches_All[[#This Row],[Match_Number]],Dyno_Data[RecordType],"Activities",Dyno_Data[DelDest],"Trap", Dyno_Data[DelMiss],"0", Dyno_Data[Mode],"Auto")</f>
        <v>0</v>
      </c>
      <c r="AL244">
        <f>COUNTIFS(Dyno_Data[Team],TBA_Matches_All[[#This Row],[Team]],Dyno_Data[Match],TBA_Matches_All[[#This Row],[Match_Number]],Dyno_Data[RecordType],"Activities",Dyno_Data[DelDest],"Amp", Dyno_Data[DelMiss],"0", Dyno_Data[Mode],"Teleop")</f>
        <v>6</v>
      </c>
      <c r="AM244">
        <f>COUNTIFS(Dyno_Data[Team],TBA_Matches_All[[#This Row],[Team]],Dyno_Data[Match],TBA_Matches_All[[#This Row],[Match_Number]],Dyno_Data[RecordType],"Activities",Dyno_Data[DelDest],"Spkr", Dyno_Data[DelMiss],"0", Dyno_Data[Mode],"Teleop")</f>
        <v>2</v>
      </c>
      <c r="AN244">
        <f>COUNTIFS(Dyno_Data[Team],TBA_Matches_All[[#This Row],[Team]],Dyno_Data[Match],TBA_Matches_All[[#This Row],[Match_Number]],Dyno_Data[RecordType],"Activities",Dyno_Data[DelDest],"Trap", Dyno_Data[DelMiss],"0", Dyno_Data[Mode],"&lt;&gt;Auto")</f>
        <v>0</v>
      </c>
      <c r="AO244">
        <f>SUM(TBA_Matches_All[[#This Row],[AampT]]+TBA_Matches_All[[#This Row],[AspkrT]]+TBA_Matches_All[[#This Row],[AtrapT]]+TBA_Matches_All[[#This Row],[TampT]]+TBA_Matches_All[[#This Row],[TspkrT]]+TBA_Matches_All[[#This Row],[TtrapT]])</f>
        <v>10</v>
      </c>
      <c r="AP244">
        <f>COUNTIFS(Dyno_Data[Team],TBA_Matches_All[[#This Row],[Team]],Dyno_Data[Match],TBA_Matches_All[[#This Row],[Match_Number]],Dyno_Data[RecordType],"Activities",Dyno_Data[DelDest],"Neut", Dyno_Data[DelMiss],"0")</f>
        <v>0</v>
      </c>
      <c r="AQ244">
        <f>COUNTIFS(Dyno_Data[Team],TBA_Matches_All[[#This Row],[Team]],Dyno_Data[Match],TBA_Matches_All[[#This Row],[Match_Number]],Dyno_Data[RecordType],"Activities",Dyno_Data[DelDest],"AllyW", Dyno_Data[DelMiss],"0")</f>
        <v>0</v>
      </c>
      <c r="AR244" t="str">
        <f>_xlfn.XLOOKUP(SUM(MID(TBA_Matches_All[[#This Row],[Team]],4,5),(TBA_Matches_All[[#This Row],[Match_Number]]/100)),Dyno_EndMatch[teammat],Dyno_EndMatch[RobotSta],"_",0,1)</f>
        <v>Podm</v>
      </c>
      <c r="AS244">
        <f>SUMIFS(Dyno_Data[AcqDis], Dyno_Data[Team],TBA_Matches_All[[#This Row],[Team]],Dyno_Data[Match],TBA_Matches_All[[#This Row],[Match_Number]],Dyno_Data[RecordType],"Activities", Dyno_Data[AcqCenter],1,Dyno_Data[Mode],"Auto")</f>
        <v>0</v>
      </c>
      <c r="AT244">
        <f>SUMIFS(Dyno_Data[AcqDis], Dyno_Data[Team],TBA_Matches_All[[#This Row],[Team]],Dyno_Data[Match],TBA_Matches_All[[#This Row],[Match_Number]],Dyno_Data[RecordType],"Activities", Dyno_Data[AcqCenter],2,Dyno_Data[Mode],"Auto")</f>
        <v>1</v>
      </c>
      <c r="AU244">
        <f>SUMIFS(Dyno_Data[AcqDis], Dyno_Data[Team],TBA_Matches_All[[#This Row],[Team]],Dyno_Data[Match],TBA_Matches_All[[#This Row],[Match_Number]],Dyno_Data[RecordType],"Activities", Dyno_Data[AcqCenter],3,Dyno_Data[Mode],"Auto")</f>
        <v>-1</v>
      </c>
      <c r="AV244">
        <f>SUMIFS(Dyno_Data[AcqDis], Dyno_Data[Team],TBA_Matches_All[[#This Row],[Team]],Dyno_Data[Match],TBA_Matches_All[[#This Row],[Match_Number]],Dyno_Data[RecordType],"Activities", Dyno_Data[AcqCenter],4,Dyno_Data[Mode],"Auto")</f>
        <v>0</v>
      </c>
      <c r="AW244">
        <f>SUMIFS(Dyno_Data[AcqDis], Dyno_Data[Team],TBA_Matches_All[[#This Row],[Team]],Dyno_Data[Match],TBA_Matches_All[[#This Row],[Match_Number]],Dyno_Data[RecordType],"Activities", Dyno_Data[AcqCenter],5,Dyno_Data[Mode],"Auto")</f>
        <v>0</v>
      </c>
      <c r="AX244">
        <f>SUMIFS(Dyno_Data[DelMiss], Dyno_Data[Team],TBA_Matches_All[[#This Row],[Team]],Dyno_Data[Match],TBA_Matches_All[[#This Row],[Match_Number]],Dyno_Data[RecordType],"Activities", Dyno_Data[DelDest],"Amp")</f>
        <v>0</v>
      </c>
      <c r="AY244" s="60">
        <f>IFERROR(SUM((TBA_Matches_All[[#This Row],[AampT]]+TBA_Matches_All[[#This Row],[TampT]])/(TBA_Matches_All[[#This Row],[AampT]]+TBA_Matches_All[[#This Row],[TampT]]+TBA_Matches_All[[#This Row],[ampM]])),0)</f>
        <v>1</v>
      </c>
      <c r="AZ244">
        <f>SUMIFS(Dyno_Data[DelMiss], Dyno_Data[Team],TBA_Matches_All[[#This Row],[Team]],Dyno_Data[Match],TBA_Matches_All[[#This Row],[Match_Number]],Dyno_Data[RecordType],"Activities", Dyno_Data[DelDest],"Spkr")</f>
        <v>1</v>
      </c>
      <c r="BA244" s="60">
        <f>IFERROR(SUM((TBA_Matches_All[[#This Row],[AspkrT]]+TBA_Matches_All[[#This Row],[TspkrT]])/(TBA_Matches_All[[#This Row],[AspkrT]]+TBA_Matches_All[[#This Row],[TspkrT]]+TBA_Matches_All[[#This Row],[spkrM]])),0)</f>
        <v>0.8</v>
      </c>
      <c r="BB244">
        <f>SUMIFS(Dyno_Data[DelMiss], Dyno_Data[Team],TBA_Matches_All[[#This Row],[Team]],Dyno_Data[Match],TBA_Matches_All[[#This Row],[Match_Number]],Dyno_Data[RecordType],"Activities", Dyno_Data[DelDest],"Trap")</f>
        <v>0</v>
      </c>
      <c r="BC244" s="60">
        <f>IFERROR((TBA_Matches_All[[#This Row],[AtrapT]]+TBA_Matches_All[[#This Row],[TtrapT]])/(TBA_Matches_All[[#This Row],[AtrapT]]+TBA_Matches_All[[#This Row],[TtrapT]]+TBA_Matches_All[[#This Row],[trapM]]),0)</f>
        <v>0</v>
      </c>
      <c r="BD244">
        <f>COUNTIFS(Dyno_Data[Team],TBA_Matches_All[[#This Row],[Team]],Dyno_Data[Match],TBA_Matches_All[[#This Row],[Match_Number]],Dyno_Data[RecordType],"Activities",Dyno_Data[DelDest],"Neut", Dyno_Data[DelMiss],1)</f>
        <v>0</v>
      </c>
      <c r="BE244" s="60">
        <f>IFERROR(SUM((TBA_Matches_All[[#This Row],[NeutFlrT]])/(TBA_Matches_All[[#This Row],[NeutFlrT]]+TBA_Matches_All[[#This Row],[NZflM]])),0)</f>
        <v>0</v>
      </c>
      <c r="BF244">
        <f>COUNTIFS(Dyno_Data[Team],TBA_Matches_All[[#This Row],[Team]],Dyno_Data[Match],TBA_Matches_All[[#This Row],[Match_Number]],Dyno_Data[RecordType],"Activities",Dyno_Data[DelDest],"AllyW", Dyno_Data[DelMiss],1)</f>
        <v>0</v>
      </c>
      <c r="BG244" s="60">
        <f>IFERROR(SUM((TBA_Matches_All[[#This Row],[AllyWFlrT]])/(TBA_Matches_All[[#This Row],[AllyWFlrT]]+TBA_Matches_All[[#This Row],[AZflM]])),0)</f>
        <v>0</v>
      </c>
      <c r="BH244">
        <f>COUNTIFS(Dyno_Data[Team],TBA_Matches_All[[#This Row],[Team]],Dyno_Data[Match],TBA_Matches_All[[#This Row],[Match_Number]],Dyno_Data[RecordType],"Activities",Dyno_Data[DelOrig],"OppW", Dyno_Data[DelMiss],"0")</f>
        <v>0</v>
      </c>
      <c r="BI244">
        <f>COUNTIFS(Dyno_Data[Team],TBA_Matches_All[[#This Row],[Team]],Dyno_Data[Match],TBA_Matches_All[[#This Row],[Match_Number]],Dyno_Data[RecordType],"Activities",Dyno_Data[DelOrig],"OppW", Dyno_Data[DelMiss],"1")</f>
        <v>0</v>
      </c>
      <c r="BJ244" s="60">
        <f>IFERROR(SUM((TBA_Matches_All[[#This Row],[OZflrT]])/(TBA_Matches_All[[#This Row],[OZflrT]]+TBA_Matches_All[[#This Row],[OZflrM]])),0)</f>
        <v>0</v>
      </c>
      <c r="BK244">
        <f>COUNTIFS(Dyno_Data[Team],TBA_Matches_All[[#This Row],[Team]],Dyno_Data[Match],TBA_Matches_All[[#This Row],[Match_Number]],Dyno_Data[RecordType],"Activities",Dyno_Data[DelOrig],"Neut", Dyno_Data[DelMiss],"0")</f>
        <v>0</v>
      </c>
      <c r="BL244">
        <f>COUNTIFS(Dyno_Data[Team],TBA_Matches_All[[#This Row],[Team]],Dyno_Data[Match],TBA_Matches_All[[#This Row],[Match_Number]],Dyno_Data[RecordType],"Activities",Dyno_Data[DelOrig],"Neut", Dyno_Data[DelMiss],"1")</f>
        <v>0</v>
      </c>
      <c r="BM244" s="60">
        <f>IFERROR(SUM((TBA_Matches_All[[#This Row],[NZflrT]])/(TBA_Matches_All[[#This Row],[NZflrT]]+TBA_Matches_All[[#This Row],[NZflrM]])),0)</f>
        <v>0</v>
      </c>
      <c r="BN244">
        <f>COUNTIFS(Dyno_Data[Team],TBA_Matches_All[[#This Row],[Team]],Dyno_Data[Match],TBA_Matches_All[[#This Row],[Match_Number]],Dyno_Data[RecordType],"Activities",Dyno_Data[DelOrig],"AllyW", Dyno_Data[DelMiss],"0")</f>
        <v>9</v>
      </c>
      <c r="BO244">
        <f>COUNTIFS(Dyno_Data[Team],TBA_Matches_All[[#This Row],[Team]],Dyno_Data[Match],TBA_Matches_All[[#This Row],[Match_Number]],Dyno_Data[RecordType],"Activities",Dyno_Data[DelOrig],"AllyW", Dyno_Data[DelMiss],"1")</f>
        <v>0</v>
      </c>
      <c r="BP244" s="60">
        <f>IFERROR(SUM((TBA_Matches_All[[#This Row],[AZflrT]])/(TBA_Matches_All[[#This Row],[AZflrT]]+TBA_Matches_All[[#This Row],[AZflrM]])),0)</f>
        <v>1</v>
      </c>
      <c r="BQ244">
        <f>COUNTIFS(Dyno_Data[Team],TBA_Matches_All[[#This Row],[Team]],Dyno_Data[Match],TBA_Matches_All[[#This Row],[Match_Number]],Dyno_Data[RecordType],"Activities",Dyno_Data[DelOrig],"SubW", Dyno_Data[DelMiss],"0")</f>
        <v>1</v>
      </c>
      <c r="BR244">
        <f>COUNTIFS(Dyno_Data[Team],TBA_Matches_All[[#This Row],[Team]],Dyno_Data[Match],TBA_Matches_All[[#This Row],[Match_Number]],Dyno_Data[RecordType],"Activities",Dyno_Data[DelOrig],"SubW", Dyno_Data[DelMiss],"1")</f>
        <v>1</v>
      </c>
      <c r="BS244" s="60">
        <f>IFERROR(SUM((TBA_Matches_All[[#This Row],[SubwT]])/(TBA_Matches_All[[#This Row],[SubwT]]+TBA_Matches_All[[#This Row],[SubwM]])),0)</f>
        <v>0.5</v>
      </c>
      <c r="BT244">
        <f>COUNTIFS(Dyno_Data[Team],TBA_Matches_All[[#This Row],[Team]],Dyno_Data[Match],TBA_Matches_All[[#This Row],[Match_Number]],Dyno_Data[RecordType],"Activities", Dyno_Data[AcqLoc],"OppWing")</f>
        <v>0</v>
      </c>
      <c r="BU244">
        <f>COUNTIFS(Dyno_Data[Team],TBA_Matches_All[[#This Row],[Team]],Dyno_Data[Match],TBA_Matches_All[[#This Row],[Match_Number]],Dyno_Data[RecordType],"Activities", Dyno_Data[AcqLoc],"Neutral")</f>
        <v>3</v>
      </c>
      <c r="BV244">
        <f>COUNTIFS(Dyno_Data[Team],TBA_Matches_All[[#This Row],[Team]],Dyno_Data[Match],TBA_Matches_All[[#This Row],[Match_Number]],Dyno_Data[RecordType],"Activities", Dyno_Data[AcqLoc],"AllyWing")</f>
        <v>0</v>
      </c>
      <c r="BW244">
        <f>COUNTIFS(Dyno_Data[Team],TBA_Matches_All[[#This Row],[Team]],Dyno_Data[Match],TBA_Matches_All[[#This Row],[Match_Number]],Dyno_Data[RecordType],"Activities", Dyno_Data[AcqLoc],"Source")</f>
        <v>0</v>
      </c>
      <c r="BX244">
        <f>SUMIFS(Dyno_Data[AcqDrp], Dyno_Data[Team],TBA_Matches_All[[#This Row],[Team]],Dyno_Data[Match],TBA_Matches_All[[#This Row],[Match_Number]],Dyno_Data[RecordType],"Activities", Dyno_Data[AcqLoc],"Source")</f>
        <v>0</v>
      </c>
      <c r="BY244">
        <f>SUMIFS(Dyno_Data[OZTime], Dyno_Data[Team],TBA_Matches_All[[#This Row],[Team]],Dyno_Data[Match],TBA_Matches_All[[#This Row],[Match_Number]],Dyno_Data[RecordType],"EndMatch")</f>
        <v>37.163894299999995</v>
      </c>
      <c r="BZ244">
        <f>SUMIFS(Dyno_Data[NZTime], Dyno_Data[Team],TBA_Matches_All[[#This Row],[Team]],Dyno_Data[Match],TBA_Matches_All[[#This Row],[Match_Number]],Dyno_Data[RecordType],"EndMatch")</f>
        <v>18.206879199999999</v>
      </c>
      <c r="CA244">
        <f>SUMIFS(Dyno_Data[AZTime], Dyno_Data[Team],TBA_Matches_All[[#This Row],[Team]],Dyno_Data[Match],TBA_Matches_All[[#This Row],[Match_Number]],Dyno_Data[RecordType],"EndMatch")</f>
        <v>71.460311300000001</v>
      </c>
      <c r="CB244">
        <f>SUMIFS(Dyno_Data[ClimbT], Dyno_Data[Team],TBA_Matches_All[[#This Row],[Team]],Dyno_Data[Match],TBA_Matches_All[[#This Row],[Match_Number]],Dyno_Data[RecordType],"EndMatch")</f>
        <v>0</v>
      </c>
      <c r="CC244" t="str">
        <f>_xlfn.XLOOKUP(SUM(MID(TBA_Matches_All[[#This Row],[Team]],4,5),(TBA_Matches_All[[#This Row],[Match_Number]]/100)),Dyno_EndMatch[teammat],Dyno_EndMatch[StageStat],"_",0,1)</f>
        <v>Park</v>
      </c>
      <c r="CD244" t="str">
        <f>_xlfn.XLOOKUP(TBA_Matches_All[[#This Row],[teammat]],Dyno_EndMatch[teammat],Dyno_EndMatch[StageAtt],"_",0,1)</f>
        <v>0</v>
      </c>
      <c r="CE244" t="str">
        <f>_xlfn.XLOOKUP(TBA_Matches_All[[#This Row],[teammat]],Dyno_EndMatch[teammat],Dyno_EndMatch[StageLoc],"_",0,1)</f>
        <v>A</v>
      </c>
      <c r="CF244">
        <f>SUMIFS(Dyno_Data[Harmony], Dyno_Data[Team],TBA_Matches_All[[#This Row],[Team]],Dyno_Data[Match],TBA_Matches_All[[#This Row],[Match_Number]],Dyno_Data[RecordType],"EndMatch", Dyno_Data[StageStat],"On",Dyno_Data[Harmony],"&lt;&gt;9")</f>
        <v>0</v>
      </c>
      <c r="CG244">
        <f>SUMIFS(Dyno_Data[Spotlit], Dyno_Data[Team],TBA_Matches_All[[#This Row],[Team]],Dyno_Data[Match],TBA_Matches_All[[#This Row],[Match_Number]],Dyno_Data[RecordType],"EndMatch", Dyno_Data[StageStat],"On",Dyno_Data[Spotlit],"&lt;&gt;9")</f>
        <v>0</v>
      </c>
      <c r="CH244" t="str">
        <f>_xlfn.XLOOKUP(TBA_Matches_All[[#This Row],[teammat]],Dyno_EndMatch[teammat],Dyno_EndMatch[Strategy],"_",0,1)</f>
        <v>Hybrid</v>
      </c>
      <c r="CI244">
        <f>SUMIFS(Dyno_Data[Defense], Dyno_Data[Team],TBA_Matches_All[[#This Row],[Team]],Dyno_Data[Match],TBA_Matches_All[[#This Row],[Match_Number]],Dyno_Data[RecordType],"EndMatch",Dyno_Data[Defense],"&lt;&gt;9")</f>
        <v>0</v>
      </c>
      <c r="CJ244">
        <f>SUMIFS(Dyno_Data[Avoidance], Dyno_Data[Team],TBA_Matches_All[[#This Row],[Team]],Dyno_Data[Match],TBA_Matches_All[[#This Row],[Match_Number]],Dyno_Data[RecordType],"EndMatch",Dyno_Data[Avoidance],"&lt;&gt;9")</f>
        <v>0</v>
      </c>
      <c r="CK244" s="82">
        <f>COUNTIF($H$2:TBA_Matches_All[[#This Row],[Team]],TBA_Matches_All[[#This Row],[Team]])</f>
        <v>5</v>
      </c>
      <c r="CL244" s="111">
        <f>SUM(MID(TBA_Matches_All[[#This Row],[Team]],4,5)+TBA_Matches_All[[#This Row],[Match_Number]]/100)</f>
        <v>6300.41</v>
      </c>
      <c r="CM244">
        <f>SUM((TBA_Matches_All[[#This Row],[Leave]]*2)+(TBA_Matches_All[[#This Row],[AampT]]*2)+(TBA_Matches_All[[#This Row],[AspkrT]]*5)+(TBA_Matches_All[[#This Row],[AtrapT]]*5))</f>
        <v>12</v>
      </c>
      <c r="CN244" s="59">
        <f>IFERROR(SUM(TBA_Matches_All[[#This Row],[AptsT]]/TBA_Matches_All[[#This Row],[AutoPts]]),0)</f>
        <v>0.46153846153846156</v>
      </c>
      <c r="CO244" s="59">
        <f>IFERROR(SUM(TBA_Matches_All[[#This Row],[AampT]]+TBA_Matches_All[[#This Row],[AspkrT]]+TBA_Matches_All[[#This Row],[AtrapT]]/TBA_Matches_All[[#This Row],[Aamp]]+TBA_Matches_All[[#This Row],[Aspkr]]+TBA_Matches_All[[#This Row],[AtrapT]]),0)</f>
        <v>0</v>
      </c>
      <c r="CP244" s="59">
        <f>IFERROR(SUM(TBA_Matches_All[[#This Row],[TampT]]/TBA_Matches_All[[#This Row],[Tamp]]),0)</f>
        <v>1</v>
      </c>
      <c r="CQ244" s="59">
        <f>IFERROR(SUM(TBA_Matches_All[[#This Row],[TspkrT]]/TBA_Matches_All[[#This Row],[Tspkr]]),0)</f>
        <v>0.22222222222222221</v>
      </c>
      <c r="CR244">
        <f>SUM(TBA_Matches_All[[#This Row],[TspkrPts]]*TBA_Matches_All[[#This Row],[TspkrP]])</f>
        <v>6.6666666666666661</v>
      </c>
      <c r="CS244" s="59">
        <f>IFERROR(SUM(TBA_Matches_All[[#This Row],[TtrapT]]/TBA_Matches_All[[#This Row],[Trap]]),0)</f>
        <v>0</v>
      </c>
      <c r="CT244" s="59">
        <f>IFERROR(SUM(TBA_Matches_All[[#This Row],[TotNotesT]]/TBA_Matches_All[[#This Row],[TotNotes]]),0)</f>
        <v>0.52631578947368418</v>
      </c>
      <c r="CU244" s="66">
        <f>SUM((TBA_Matches_All[[#This Row],[AampT]]*2)+(TBA_Matches_All[[#This Row],[AspkrT]]*5)+(TBA_Matches_All[[#This Row],[AtrapT]]*5)+(TBA_Matches_All[[#This Row],[TampT]]*1)+(TBA_Matches_All[[#This Row],[TspkrptsC]]))</f>
        <v>22.666666666666664</v>
      </c>
      <c r="CV244" s="59">
        <f>IFERROR(TBA_Matches_All[[#This Row],[noteptsT]]/TBA_Matches_All[[#This Row],[NotePts]],0)</f>
        <v>0.40476190476190471</v>
      </c>
      <c r="CW244">
        <f>SUM(IF(TBA_Matches_All[[#This Row],[stageStat]]="On",3,0),IF(TBA_Matches_All[[#This Row],[stageStat]]="Park",1,0),SUMIFS(TBA_Matches_All[[#This Row],[Spotlit]],TBA_Matches_All[[#This Row],[stageStat]],"On"),SUMIFS(TBA_Matches_All[[#This Row],[Harmony]],TBA_Matches_All[[#This Row],[stageStat]],"On"))</f>
        <v>1</v>
      </c>
      <c r="CX244" s="59">
        <f>IFERROR(TBA_Matches_All[[#This Row],[stageptsT]]/TBA_Matches_All[[#This Row],[StagePts]],0)</f>
        <v>0.33333333333333331</v>
      </c>
      <c r="CY244">
        <f>SUM((TBA_Matches_All[[#This Row],[AptsT]]+TBA_Matches_All[[#This Row],[TampT]]+TBA_Matches_All[[#This Row],[TspkrptsC]]+(TBA_Matches_All[[#This Row],[TtrapT]]*5)+TBA_Matches_All[[#This Row],[stageptsT]]))</f>
        <v>25.666666666666664</v>
      </c>
      <c r="CZ244" s="59">
        <f>IFERROR(SUM(TBA_Matches_All[[#This Row],[TotptsC]]/TBA_Matches_All[[#This Row],[Score]]),0)</f>
        <v>0.3468468468468468</v>
      </c>
      <c r="DA24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17.731688311688313</v>
      </c>
      <c r="DB244" s="74">
        <f>SUMIFS(TBA_Matches_All[AveTeamTNoteDels],TBA_Matches_All[Match_Number],TBA_Matches_All[[#This Row],[Match_Number]],TBA_Matches_All[Alliance],"&lt;&gt;"&amp;TBA_Matches_All[[#This Row],[Alliance]],TBA_Matches_All[Scouted],"&gt;0")</f>
        <v>32.061890609390609</v>
      </c>
      <c r="DC244" s="74">
        <f>(TBA_Matches_All[[#This Row],[TampT]]+TBA_Matches_All[[#This Row],[TspkrptsC]])-TBA_Matches_All[[#This Row],[AveTeamTNoteDels]]</f>
        <v>-5.0650216450216465</v>
      </c>
      <c r="DD244" s="74">
        <f>SUMIFS(TBA_Matches_All[AveTeamTNoteDels],TBA_Matches_All[Match_Number],TBA_Matches_All[[#This Row],[Match_Number]],TBA_Matches_All[Alliance],"&lt;&gt;"&amp;TBA_Matches_All[[#This Row],[Alliance]])-TBA_Matches_All[[#This Row],[AveOppTNoteDels]]</f>
        <v>0</v>
      </c>
    </row>
    <row r="245" spans="1:108" x14ac:dyDescent="0.3">
      <c r="A245" t="s">
        <v>1042</v>
      </c>
      <c r="B245" t="s">
        <v>489</v>
      </c>
      <c r="C245" t="s">
        <v>1350</v>
      </c>
      <c r="D245">
        <v>41</v>
      </c>
      <c r="E245" t="s">
        <v>1420</v>
      </c>
      <c r="F245" t="s">
        <v>1423</v>
      </c>
      <c r="G245" t="s">
        <v>1409</v>
      </c>
      <c r="H245" t="s">
        <v>1284</v>
      </c>
      <c r="I245" t="b">
        <v>1</v>
      </c>
      <c r="J245">
        <v>85</v>
      </c>
      <c r="K245">
        <v>1</v>
      </c>
      <c r="L245">
        <v>1</v>
      </c>
      <c r="M245">
        <v>9</v>
      </c>
      <c r="N245">
        <v>0</v>
      </c>
      <c r="O245">
        <v>6</v>
      </c>
      <c r="P245">
        <v>30</v>
      </c>
      <c r="Q245">
        <v>36</v>
      </c>
      <c r="R245">
        <v>3</v>
      </c>
      <c r="S245">
        <v>1</v>
      </c>
      <c r="T245">
        <v>14</v>
      </c>
      <c r="U245">
        <v>5</v>
      </c>
      <c r="V245">
        <v>28</v>
      </c>
      <c r="W245">
        <v>15</v>
      </c>
      <c r="X245">
        <v>33</v>
      </c>
      <c r="Y245">
        <v>36</v>
      </c>
      <c r="Z245">
        <v>0</v>
      </c>
      <c r="AA245">
        <v>0</v>
      </c>
      <c r="AB245">
        <v>24</v>
      </c>
      <c r="AC245">
        <v>66</v>
      </c>
      <c r="AD245">
        <v>11</v>
      </c>
      <c r="AE245">
        <f>IFERROR(6/(COUNTIF(Dyno_EndMatch[Match],TBA_Matches_All[[#This Row],[Match_Number]])),0)</f>
        <v>1</v>
      </c>
      <c r="AF245">
        <f>COUNTIFS(Dyno_Data[Team],TBA_Matches_All[[#This Row],[Team]],Dyno_Data[Match],TBA_Matches_All[[#This Row],[Match_Number]],Dyno_Data[RecordType],"EndMatch",Dyno_Data[HPAmp],"Y")</f>
        <v>0</v>
      </c>
      <c r="AG245">
        <f>SUMIFS(Dyno_Data[Mics], Dyno_Data[Team],TBA_Matches_All[[#This Row],[Team]],Dyno_Data[Match],TBA_Matches_All[[#This Row],[Match_Number]],Dyno_Data[RecordType],"EndMatch",Dyno_Data[HPAmp],"Y")</f>
        <v>0</v>
      </c>
      <c r="AH245">
        <f>SUMIFS(Dyno_Data[Leave], Dyno_Data[Team],TBA_Matches_All[[#This Row],[Team]],Dyno_Data[Match],TBA_Matches_All[[#This Row],[Match_Number]],Dyno_Data[RecordType],"EndAuto")</f>
        <v>1</v>
      </c>
      <c r="AI245">
        <f>COUNTIFS(Dyno_Data[Team],TBA_Matches_All[[#This Row],[Team]],Dyno_Data[Match],TBA_Matches_All[[#This Row],[Match_Number]],Dyno_Data[RecordType],"Activities",Dyno_Data[DelDest],"Amp", Dyno_Data[DelMiss],"0", Dyno_Data[Mode],"Auto")</f>
        <v>0</v>
      </c>
      <c r="AJ245">
        <f>COUNTIFS(Dyno_Data[Team],TBA_Matches_All[[#This Row],[Team]],Dyno_Data[Match],TBA_Matches_All[[#This Row],[Match_Number]],Dyno_Data[RecordType],"Activities",Dyno_Data[DelDest],"Spkr", Dyno_Data[DelMiss],"0", Dyno_Data[Mode],"Auto")</f>
        <v>1</v>
      </c>
      <c r="AK245">
        <f>COUNTIFS(Dyno_Data[Team],TBA_Matches_All[[#This Row],[Team]],Dyno_Data[Match],TBA_Matches_All[[#This Row],[Match_Number]],Dyno_Data[RecordType],"Activities",Dyno_Data[DelDest],"Trap", Dyno_Data[DelMiss],"0", Dyno_Data[Mode],"Auto")</f>
        <v>0</v>
      </c>
      <c r="AL245">
        <f>COUNTIFS(Dyno_Data[Team],TBA_Matches_All[[#This Row],[Team]],Dyno_Data[Match],TBA_Matches_All[[#This Row],[Match_Number]],Dyno_Data[RecordType],"Activities",Dyno_Data[DelDest],"Amp", Dyno_Data[DelMiss],"0", Dyno_Data[Mode],"Teleop")</f>
        <v>0</v>
      </c>
      <c r="AM245">
        <f>COUNTIFS(Dyno_Data[Team],TBA_Matches_All[[#This Row],[Team]],Dyno_Data[Match],TBA_Matches_All[[#This Row],[Match_Number]],Dyno_Data[RecordType],"Activities",Dyno_Data[DelDest],"Spkr", Dyno_Data[DelMiss],"0", Dyno_Data[Mode],"Teleop")</f>
        <v>4</v>
      </c>
      <c r="AN245">
        <f>COUNTIFS(Dyno_Data[Team],TBA_Matches_All[[#This Row],[Team]],Dyno_Data[Match],TBA_Matches_All[[#This Row],[Match_Number]],Dyno_Data[RecordType],"Activities",Dyno_Data[DelDest],"Trap", Dyno_Data[DelMiss],"0", Dyno_Data[Mode],"&lt;&gt;Auto")</f>
        <v>0</v>
      </c>
      <c r="AO245">
        <f>SUM(TBA_Matches_All[[#This Row],[AampT]]+TBA_Matches_All[[#This Row],[AspkrT]]+TBA_Matches_All[[#This Row],[AtrapT]]+TBA_Matches_All[[#This Row],[TampT]]+TBA_Matches_All[[#This Row],[TspkrT]]+TBA_Matches_All[[#This Row],[TtrapT]])</f>
        <v>5</v>
      </c>
      <c r="AP245">
        <f>COUNTIFS(Dyno_Data[Team],TBA_Matches_All[[#This Row],[Team]],Dyno_Data[Match],TBA_Matches_All[[#This Row],[Match_Number]],Dyno_Data[RecordType],"Activities",Dyno_Data[DelDest],"Neut", Dyno_Data[DelMiss],"0")</f>
        <v>0</v>
      </c>
      <c r="AQ245">
        <f>COUNTIFS(Dyno_Data[Team],TBA_Matches_All[[#This Row],[Team]],Dyno_Data[Match],TBA_Matches_All[[#This Row],[Match_Number]],Dyno_Data[RecordType],"Activities",Dyno_Data[DelDest],"AllyW", Dyno_Data[DelMiss],"0")</f>
        <v>0</v>
      </c>
      <c r="AR245" t="str">
        <f>_xlfn.XLOOKUP(SUM(MID(TBA_Matches_All[[#This Row],[Team]],4,5),(TBA_Matches_All[[#This Row],[Match_Number]]/100)),Dyno_EndMatch[teammat],Dyno_EndMatch[RobotSta],"_",0,1)</f>
        <v>Podm</v>
      </c>
      <c r="AS245">
        <f>SUMIFS(Dyno_Data[AcqDis], Dyno_Data[Team],TBA_Matches_All[[#This Row],[Team]],Dyno_Data[Match],TBA_Matches_All[[#This Row],[Match_Number]],Dyno_Data[RecordType],"Activities", Dyno_Data[AcqCenter],1,Dyno_Data[Mode],"Auto")</f>
        <v>0</v>
      </c>
      <c r="AT245">
        <f>SUMIFS(Dyno_Data[AcqDis], Dyno_Data[Team],TBA_Matches_All[[#This Row],[Team]],Dyno_Data[Match],TBA_Matches_All[[#This Row],[Match_Number]],Dyno_Data[RecordType],"Activities", Dyno_Data[AcqCenter],2,Dyno_Data[Mode],"Auto")</f>
        <v>0</v>
      </c>
      <c r="AU245">
        <f>SUMIFS(Dyno_Data[AcqDis], Dyno_Data[Team],TBA_Matches_All[[#This Row],[Team]],Dyno_Data[Match],TBA_Matches_All[[#This Row],[Match_Number]],Dyno_Data[RecordType],"Activities", Dyno_Data[AcqCenter],3,Dyno_Data[Mode],"Auto")</f>
        <v>0</v>
      </c>
      <c r="AV245">
        <f>SUMIFS(Dyno_Data[AcqDis], Dyno_Data[Team],TBA_Matches_All[[#This Row],[Team]],Dyno_Data[Match],TBA_Matches_All[[#This Row],[Match_Number]],Dyno_Data[RecordType],"Activities", Dyno_Data[AcqCenter],4,Dyno_Data[Mode],"Auto")</f>
        <v>0</v>
      </c>
      <c r="AW245">
        <f>SUMIFS(Dyno_Data[AcqDis], Dyno_Data[Team],TBA_Matches_All[[#This Row],[Team]],Dyno_Data[Match],TBA_Matches_All[[#This Row],[Match_Number]],Dyno_Data[RecordType],"Activities", Dyno_Data[AcqCenter],5,Dyno_Data[Mode],"Auto")</f>
        <v>0</v>
      </c>
      <c r="AX245">
        <f>SUMIFS(Dyno_Data[DelMiss], Dyno_Data[Team],TBA_Matches_All[[#This Row],[Team]],Dyno_Data[Match],TBA_Matches_All[[#This Row],[Match_Number]],Dyno_Data[RecordType],"Activities", Dyno_Data[DelDest],"Amp")</f>
        <v>0</v>
      </c>
      <c r="AY245" s="60">
        <f>IFERROR(SUM((TBA_Matches_All[[#This Row],[AampT]]+TBA_Matches_All[[#This Row],[TampT]])/(TBA_Matches_All[[#This Row],[AampT]]+TBA_Matches_All[[#This Row],[TampT]]+TBA_Matches_All[[#This Row],[ampM]])),0)</f>
        <v>0</v>
      </c>
      <c r="AZ245">
        <f>SUMIFS(Dyno_Data[DelMiss], Dyno_Data[Team],TBA_Matches_All[[#This Row],[Team]],Dyno_Data[Match],TBA_Matches_All[[#This Row],[Match_Number]],Dyno_Data[RecordType],"Activities", Dyno_Data[DelDest],"Spkr")</f>
        <v>0</v>
      </c>
      <c r="BA245" s="60">
        <f>IFERROR(SUM((TBA_Matches_All[[#This Row],[AspkrT]]+TBA_Matches_All[[#This Row],[TspkrT]])/(TBA_Matches_All[[#This Row],[AspkrT]]+TBA_Matches_All[[#This Row],[TspkrT]]+TBA_Matches_All[[#This Row],[spkrM]])),0)</f>
        <v>1</v>
      </c>
      <c r="BB245">
        <f>SUMIFS(Dyno_Data[DelMiss], Dyno_Data[Team],TBA_Matches_All[[#This Row],[Team]],Dyno_Data[Match],TBA_Matches_All[[#This Row],[Match_Number]],Dyno_Data[RecordType],"Activities", Dyno_Data[DelDest],"Trap")</f>
        <v>0</v>
      </c>
      <c r="BC245" s="60">
        <f>IFERROR((TBA_Matches_All[[#This Row],[AtrapT]]+TBA_Matches_All[[#This Row],[TtrapT]])/(TBA_Matches_All[[#This Row],[AtrapT]]+TBA_Matches_All[[#This Row],[TtrapT]]+TBA_Matches_All[[#This Row],[trapM]]),0)</f>
        <v>0</v>
      </c>
      <c r="BD245">
        <f>COUNTIFS(Dyno_Data[Team],TBA_Matches_All[[#This Row],[Team]],Dyno_Data[Match],TBA_Matches_All[[#This Row],[Match_Number]],Dyno_Data[RecordType],"Activities",Dyno_Data[DelDest],"Neut", Dyno_Data[DelMiss],1)</f>
        <v>0</v>
      </c>
      <c r="BE245" s="60">
        <f>IFERROR(SUM((TBA_Matches_All[[#This Row],[NeutFlrT]])/(TBA_Matches_All[[#This Row],[NeutFlrT]]+TBA_Matches_All[[#This Row],[NZflM]])),0)</f>
        <v>0</v>
      </c>
      <c r="BF245">
        <f>COUNTIFS(Dyno_Data[Team],TBA_Matches_All[[#This Row],[Team]],Dyno_Data[Match],TBA_Matches_All[[#This Row],[Match_Number]],Dyno_Data[RecordType],"Activities",Dyno_Data[DelDest],"AllyW", Dyno_Data[DelMiss],1)</f>
        <v>0</v>
      </c>
      <c r="BG245" s="60">
        <f>IFERROR(SUM((TBA_Matches_All[[#This Row],[AllyWFlrT]])/(TBA_Matches_All[[#This Row],[AllyWFlrT]]+TBA_Matches_All[[#This Row],[AZflM]])),0)</f>
        <v>0</v>
      </c>
      <c r="BH245">
        <f>COUNTIFS(Dyno_Data[Team],TBA_Matches_All[[#This Row],[Team]],Dyno_Data[Match],TBA_Matches_All[[#This Row],[Match_Number]],Dyno_Data[RecordType],"Activities",Dyno_Data[DelOrig],"OppW", Dyno_Data[DelMiss],"0")</f>
        <v>0</v>
      </c>
      <c r="BI245">
        <f>COUNTIFS(Dyno_Data[Team],TBA_Matches_All[[#This Row],[Team]],Dyno_Data[Match],TBA_Matches_All[[#This Row],[Match_Number]],Dyno_Data[RecordType],"Activities",Dyno_Data[DelOrig],"OppW", Dyno_Data[DelMiss],"1")</f>
        <v>0</v>
      </c>
      <c r="BJ245" s="60">
        <f>IFERROR(SUM((TBA_Matches_All[[#This Row],[OZflrT]])/(TBA_Matches_All[[#This Row],[OZflrT]]+TBA_Matches_All[[#This Row],[OZflrM]])),0)</f>
        <v>0</v>
      </c>
      <c r="BK245">
        <f>COUNTIFS(Dyno_Data[Team],TBA_Matches_All[[#This Row],[Team]],Dyno_Data[Match],TBA_Matches_All[[#This Row],[Match_Number]],Dyno_Data[RecordType],"Activities",Dyno_Data[DelOrig],"Neut", Dyno_Data[DelMiss],"0")</f>
        <v>0</v>
      </c>
      <c r="BL245">
        <f>COUNTIFS(Dyno_Data[Team],TBA_Matches_All[[#This Row],[Team]],Dyno_Data[Match],TBA_Matches_All[[#This Row],[Match_Number]],Dyno_Data[RecordType],"Activities",Dyno_Data[DelOrig],"Neut", Dyno_Data[DelMiss],"1")</f>
        <v>0</v>
      </c>
      <c r="BM245" s="60">
        <f>IFERROR(SUM((TBA_Matches_All[[#This Row],[NZflrT]])/(TBA_Matches_All[[#This Row],[NZflrT]]+TBA_Matches_All[[#This Row],[NZflrM]])),0)</f>
        <v>0</v>
      </c>
      <c r="BN245">
        <f>COUNTIFS(Dyno_Data[Team],TBA_Matches_All[[#This Row],[Team]],Dyno_Data[Match],TBA_Matches_All[[#This Row],[Match_Number]],Dyno_Data[RecordType],"Activities",Dyno_Data[DelOrig],"AllyW", Dyno_Data[DelMiss],"0")</f>
        <v>4</v>
      </c>
      <c r="BO245">
        <f>COUNTIFS(Dyno_Data[Team],TBA_Matches_All[[#This Row],[Team]],Dyno_Data[Match],TBA_Matches_All[[#This Row],[Match_Number]],Dyno_Data[RecordType],"Activities",Dyno_Data[DelOrig],"AllyW", Dyno_Data[DelMiss],"1")</f>
        <v>0</v>
      </c>
      <c r="BP245" s="60">
        <f>IFERROR(SUM((TBA_Matches_All[[#This Row],[AZflrT]])/(TBA_Matches_All[[#This Row],[AZflrT]]+TBA_Matches_All[[#This Row],[AZflrM]])),0)</f>
        <v>1</v>
      </c>
      <c r="BQ245">
        <f>COUNTIFS(Dyno_Data[Team],TBA_Matches_All[[#This Row],[Team]],Dyno_Data[Match],TBA_Matches_All[[#This Row],[Match_Number]],Dyno_Data[RecordType],"Activities",Dyno_Data[DelOrig],"SubW", Dyno_Data[DelMiss],"0")</f>
        <v>1</v>
      </c>
      <c r="BR245">
        <f>COUNTIFS(Dyno_Data[Team],TBA_Matches_All[[#This Row],[Team]],Dyno_Data[Match],TBA_Matches_All[[#This Row],[Match_Number]],Dyno_Data[RecordType],"Activities",Dyno_Data[DelOrig],"SubW", Dyno_Data[DelMiss],"1")</f>
        <v>0</v>
      </c>
      <c r="BS245" s="60">
        <f>IFERROR(SUM((TBA_Matches_All[[#This Row],[SubwT]])/(TBA_Matches_All[[#This Row],[SubwT]]+TBA_Matches_All[[#This Row],[SubwM]])),0)</f>
        <v>1</v>
      </c>
      <c r="BT245">
        <f>COUNTIFS(Dyno_Data[Team],TBA_Matches_All[[#This Row],[Team]],Dyno_Data[Match],TBA_Matches_All[[#This Row],[Match_Number]],Dyno_Data[RecordType],"Activities", Dyno_Data[AcqLoc],"OppWing")</f>
        <v>0</v>
      </c>
      <c r="BU245">
        <f>COUNTIFS(Dyno_Data[Team],TBA_Matches_All[[#This Row],[Team]],Dyno_Data[Match],TBA_Matches_All[[#This Row],[Match_Number]],Dyno_Data[RecordType],"Activities", Dyno_Data[AcqLoc],"Neutral")</f>
        <v>0</v>
      </c>
      <c r="BV245">
        <f>COUNTIFS(Dyno_Data[Team],TBA_Matches_All[[#This Row],[Team]],Dyno_Data[Match],TBA_Matches_All[[#This Row],[Match_Number]],Dyno_Data[RecordType],"Activities", Dyno_Data[AcqLoc],"AllyWing")</f>
        <v>0</v>
      </c>
      <c r="BW245">
        <f>COUNTIFS(Dyno_Data[Team],TBA_Matches_All[[#This Row],[Team]],Dyno_Data[Match],TBA_Matches_All[[#This Row],[Match_Number]],Dyno_Data[RecordType],"Activities", Dyno_Data[AcqLoc],"Source")</f>
        <v>0</v>
      </c>
      <c r="BX245">
        <f>SUMIFS(Dyno_Data[AcqDrp], Dyno_Data[Team],TBA_Matches_All[[#This Row],[Team]],Dyno_Data[Match],TBA_Matches_All[[#This Row],[Match_Number]],Dyno_Data[RecordType],"Activities", Dyno_Data[AcqLoc],"Source")</f>
        <v>0</v>
      </c>
      <c r="BY245">
        <f>SUMIFS(Dyno_Data[OZTime], Dyno_Data[Team],TBA_Matches_All[[#This Row],[Team]],Dyno_Data[Match],TBA_Matches_All[[#This Row],[Match_Number]],Dyno_Data[RecordType],"EndMatch")</f>
        <v>33.268647099999995</v>
      </c>
      <c r="BZ245">
        <f>SUMIFS(Dyno_Data[NZTime], Dyno_Data[Team],TBA_Matches_All[[#This Row],[Team]],Dyno_Data[Match],TBA_Matches_All[[#This Row],[Match_Number]],Dyno_Data[RecordType],"EndMatch")</f>
        <v>24.0217481</v>
      </c>
      <c r="CA245">
        <f>SUMIFS(Dyno_Data[AZTime], Dyno_Data[Team],TBA_Matches_All[[#This Row],[Team]],Dyno_Data[Match],TBA_Matches_All[[#This Row],[Match_Number]],Dyno_Data[RecordType],"EndMatch")</f>
        <v>76.400568800000002</v>
      </c>
      <c r="CB245">
        <f>SUMIFS(Dyno_Data[ClimbT], Dyno_Data[Team],TBA_Matches_All[[#This Row],[Team]],Dyno_Data[Match],TBA_Matches_All[[#This Row],[Match_Number]],Dyno_Data[RecordType],"EndMatch")</f>
        <v>0</v>
      </c>
      <c r="CC245" t="str">
        <f>_xlfn.XLOOKUP(SUM(MID(TBA_Matches_All[[#This Row],[Team]],4,5),(TBA_Matches_All[[#This Row],[Match_Number]]/100)),Dyno_EndMatch[teammat],Dyno_EndMatch[StageStat],"_",0,1)</f>
        <v>Park</v>
      </c>
      <c r="CD245" t="str">
        <f>_xlfn.XLOOKUP(TBA_Matches_All[[#This Row],[teammat]],Dyno_EndMatch[teammat],Dyno_EndMatch[StageAtt],"_",0,1)</f>
        <v>0</v>
      </c>
      <c r="CE245" t="str">
        <f>_xlfn.XLOOKUP(TBA_Matches_All[[#This Row],[teammat]],Dyno_EndMatch[teammat],Dyno_EndMatch[StageLoc],"_",0,1)</f>
        <v>A</v>
      </c>
      <c r="CF245">
        <f>SUMIFS(Dyno_Data[Harmony], Dyno_Data[Team],TBA_Matches_All[[#This Row],[Team]],Dyno_Data[Match],TBA_Matches_All[[#This Row],[Match_Number]],Dyno_Data[RecordType],"EndMatch", Dyno_Data[StageStat],"On",Dyno_Data[Harmony],"&lt;&gt;9")</f>
        <v>0</v>
      </c>
      <c r="CG245">
        <f>SUMIFS(Dyno_Data[Spotlit], Dyno_Data[Team],TBA_Matches_All[[#This Row],[Team]],Dyno_Data[Match],TBA_Matches_All[[#This Row],[Match_Number]],Dyno_Data[RecordType],"EndMatch", Dyno_Data[StageStat],"On",Dyno_Data[Spotlit],"&lt;&gt;9")</f>
        <v>0</v>
      </c>
      <c r="CH245" t="str">
        <f>_xlfn.XLOOKUP(TBA_Matches_All[[#This Row],[teammat]],Dyno_EndMatch[teammat],Dyno_EndMatch[Strategy],"_",0,1)</f>
        <v>Hybrid</v>
      </c>
      <c r="CI245">
        <f>SUMIFS(Dyno_Data[Defense], Dyno_Data[Team],TBA_Matches_All[[#This Row],[Team]],Dyno_Data[Match],TBA_Matches_All[[#This Row],[Match_Number]],Dyno_Data[RecordType],"EndMatch",Dyno_Data[Defense],"&lt;&gt;9")</f>
        <v>0</v>
      </c>
      <c r="CJ245">
        <f>SUMIFS(Dyno_Data[Avoidance], Dyno_Data[Team],TBA_Matches_All[[#This Row],[Team]],Dyno_Data[Match],TBA_Matches_All[[#This Row],[Match_Number]],Dyno_Data[RecordType],"EndMatch",Dyno_Data[Avoidance],"&lt;&gt;9")</f>
        <v>0</v>
      </c>
      <c r="CK245" s="82">
        <f>COUNTIF($H$2:TBA_Matches_All[[#This Row],[Team]],TBA_Matches_All[[#This Row],[Team]])</f>
        <v>5</v>
      </c>
      <c r="CL245" s="111">
        <f>SUM(MID(TBA_Matches_All[[#This Row],[Team]],4,5)+TBA_Matches_All[[#This Row],[Match_Number]]/100)</f>
        <v>5590.41</v>
      </c>
      <c r="CM245">
        <f>SUM((TBA_Matches_All[[#This Row],[Leave]]*2)+(TBA_Matches_All[[#This Row],[AampT]]*2)+(TBA_Matches_All[[#This Row],[AspkrT]]*5)+(TBA_Matches_All[[#This Row],[AtrapT]]*5))</f>
        <v>7</v>
      </c>
      <c r="CN245" s="59">
        <f>IFERROR(SUM(TBA_Matches_All[[#This Row],[AptsT]]/TBA_Matches_All[[#This Row],[AutoPts]]),0)</f>
        <v>0.19444444444444445</v>
      </c>
      <c r="CO245" s="59">
        <f>IFERROR(SUM(TBA_Matches_All[[#This Row],[AampT]]+TBA_Matches_All[[#This Row],[AspkrT]]+TBA_Matches_All[[#This Row],[AtrapT]]/TBA_Matches_All[[#This Row],[Aamp]]+TBA_Matches_All[[#This Row],[Aspkr]]+TBA_Matches_All[[#This Row],[AtrapT]]),0)</f>
        <v>0</v>
      </c>
      <c r="CP245" s="59">
        <f>IFERROR(SUM(TBA_Matches_All[[#This Row],[TampT]]/TBA_Matches_All[[#This Row],[Tamp]]),0)</f>
        <v>0</v>
      </c>
      <c r="CQ245" s="59">
        <f>IFERROR(SUM(TBA_Matches_All[[#This Row],[TspkrT]]/TBA_Matches_All[[#This Row],[Tspkr]]),0)</f>
        <v>0.26666666666666666</v>
      </c>
      <c r="CR245">
        <f>SUM(TBA_Matches_All[[#This Row],[TspkrPts]]*TBA_Matches_All[[#This Row],[TspkrP]])</f>
        <v>8.8000000000000007</v>
      </c>
      <c r="CS245" s="59">
        <f>IFERROR(SUM(TBA_Matches_All[[#This Row],[TtrapT]]/TBA_Matches_All[[#This Row],[Trap]]),0)</f>
        <v>0</v>
      </c>
      <c r="CT245" s="59">
        <f>IFERROR(SUM(TBA_Matches_All[[#This Row],[TotNotesT]]/TBA_Matches_All[[#This Row],[TotNotes]]),0)</f>
        <v>0.20833333333333334</v>
      </c>
      <c r="CU245" s="66">
        <f>SUM((TBA_Matches_All[[#This Row],[AampT]]*2)+(TBA_Matches_All[[#This Row],[AspkrT]]*5)+(TBA_Matches_All[[#This Row],[AtrapT]]*5)+(TBA_Matches_All[[#This Row],[TampT]]*1)+(TBA_Matches_All[[#This Row],[TspkrptsC]]))</f>
        <v>13.8</v>
      </c>
      <c r="CV245" s="59">
        <f>IFERROR(TBA_Matches_All[[#This Row],[noteptsT]]/TBA_Matches_All[[#This Row],[NotePts]],0)</f>
        <v>0.20909090909090911</v>
      </c>
      <c r="CW245">
        <f>SUM(IF(TBA_Matches_All[[#This Row],[stageStat]]="On",3,0),IF(TBA_Matches_All[[#This Row],[stageStat]]="Park",1,0),SUMIFS(TBA_Matches_All[[#This Row],[Spotlit]],TBA_Matches_All[[#This Row],[stageStat]],"On"),SUMIFS(TBA_Matches_All[[#This Row],[Harmony]],TBA_Matches_All[[#This Row],[stageStat]],"On"))</f>
        <v>1</v>
      </c>
      <c r="CX245" s="59">
        <f>IFERROR(TBA_Matches_All[[#This Row],[stageptsT]]/TBA_Matches_All[[#This Row],[StagePts]],0)</f>
        <v>9.0909090909090912E-2</v>
      </c>
      <c r="CY245">
        <f>SUM((TBA_Matches_All[[#This Row],[AptsT]]+TBA_Matches_All[[#This Row],[TampT]]+TBA_Matches_All[[#This Row],[TspkrptsC]]+(TBA_Matches_All[[#This Row],[TtrapT]]*5)+TBA_Matches_All[[#This Row],[stageptsT]]))</f>
        <v>16.8</v>
      </c>
      <c r="CZ245" s="59">
        <f>IFERROR(SUM(TBA_Matches_All[[#This Row],[TotptsC]]/TBA_Matches_All[[#This Row],[Score]]),0)</f>
        <v>0.19764705882352943</v>
      </c>
      <c r="DA24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5.5542857142857134</v>
      </c>
      <c r="DB245" s="74">
        <f>SUMIFS(TBA_Matches_All[AveTeamTNoteDels],TBA_Matches_All[Match_Number],TBA_Matches_All[[#This Row],[Match_Number]],TBA_Matches_All[Alliance],"&lt;&gt;"&amp;TBA_Matches_All[[#This Row],[Alliance]],TBA_Matches_All[Scouted],"&gt;0")</f>
        <v>36.245021645021644</v>
      </c>
      <c r="DC245" s="74">
        <f>(TBA_Matches_All[[#This Row],[TampT]]+TBA_Matches_All[[#This Row],[TspkrptsC]])-TBA_Matches_All[[#This Row],[AveTeamTNoteDels]]</f>
        <v>3.2457142857142873</v>
      </c>
      <c r="DD245" s="74">
        <f>SUMIFS(TBA_Matches_All[AveTeamTNoteDels],TBA_Matches_All[Match_Number],TBA_Matches_All[[#This Row],[Match_Number]],TBA_Matches_All[Alliance],"&lt;&gt;"&amp;TBA_Matches_All[[#This Row],[Alliance]])-TBA_Matches_All[[#This Row],[AveOppTNoteDels]]</f>
        <v>0</v>
      </c>
    </row>
    <row r="246" spans="1:108" x14ac:dyDescent="0.3">
      <c r="A246" t="s">
        <v>1042</v>
      </c>
      <c r="B246" t="s">
        <v>489</v>
      </c>
      <c r="C246" t="s">
        <v>1350</v>
      </c>
      <c r="D246">
        <v>41</v>
      </c>
      <c r="E246" t="s">
        <v>1406</v>
      </c>
      <c r="F246" t="s">
        <v>1424</v>
      </c>
      <c r="G246" t="s">
        <v>1409</v>
      </c>
      <c r="H246" t="s">
        <v>1315</v>
      </c>
      <c r="I246" t="b">
        <v>1</v>
      </c>
      <c r="J246">
        <v>74</v>
      </c>
      <c r="K246">
        <v>1</v>
      </c>
      <c r="L246">
        <v>0</v>
      </c>
      <c r="M246">
        <v>2</v>
      </c>
      <c r="N246">
        <v>0</v>
      </c>
      <c r="O246">
        <v>4</v>
      </c>
      <c r="P246">
        <v>20</v>
      </c>
      <c r="Q246">
        <v>26</v>
      </c>
      <c r="R246">
        <v>6</v>
      </c>
      <c r="S246">
        <v>4</v>
      </c>
      <c r="T246">
        <v>5</v>
      </c>
      <c r="U246">
        <v>20</v>
      </c>
      <c r="V246">
        <v>10</v>
      </c>
      <c r="W246">
        <v>9</v>
      </c>
      <c r="X246">
        <v>30</v>
      </c>
      <c r="Y246">
        <v>36</v>
      </c>
      <c r="Z246">
        <v>0</v>
      </c>
      <c r="AA246">
        <v>0</v>
      </c>
      <c r="AB246">
        <v>19</v>
      </c>
      <c r="AC246">
        <v>56</v>
      </c>
      <c r="AD246">
        <v>3</v>
      </c>
      <c r="AE246">
        <f>IFERROR(6/(COUNTIF(Dyno_EndMatch[Match],TBA_Matches_All[[#This Row],[Match_Number]])),0)</f>
        <v>1</v>
      </c>
      <c r="AF246">
        <f>COUNTIFS(Dyno_Data[Team],TBA_Matches_All[[#This Row],[Team]],Dyno_Data[Match],TBA_Matches_All[[#This Row],[Match_Number]],Dyno_Data[RecordType],"EndMatch",Dyno_Data[HPAmp],"Y")</f>
        <v>0</v>
      </c>
      <c r="AG246">
        <f>SUMIFS(Dyno_Data[Mics], Dyno_Data[Team],TBA_Matches_All[[#This Row],[Team]],Dyno_Data[Match],TBA_Matches_All[[#This Row],[Match_Number]],Dyno_Data[RecordType],"EndMatch",Dyno_Data[HPAmp],"Y")</f>
        <v>0</v>
      </c>
      <c r="AH246">
        <f>SUMIFS(Dyno_Data[Leave], Dyno_Data[Team],TBA_Matches_All[[#This Row],[Team]],Dyno_Data[Match],TBA_Matches_All[[#This Row],[Match_Number]],Dyno_Data[RecordType],"EndAuto")</f>
        <v>1</v>
      </c>
      <c r="AI246">
        <f>COUNTIFS(Dyno_Data[Team],TBA_Matches_All[[#This Row],[Team]],Dyno_Data[Match],TBA_Matches_All[[#This Row],[Match_Number]],Dyno_Data[RecordType],"Activities",Dyno_Data[DelDest],"Amp", Dyno_Data[DelMiss],"0", Dyno_Data[Mode],"Auto")</f>
        <v>0</v>
      </c>
      <c r="AJ246">
        <f>COUNTIFS(Dyno_Data[Team],TBA_Matches_All[[#This Row],[Team]],Dyno_Data[Match],TBA_Matches_All[[#This Row],[Match_Number]],Dyno_Data[RecordType],"Activities",Dyno_Data[DelDest],"Spkr", Dyno_Data[DelMiss],"0", Dyno_Data[Mode],"Auto")</f>
        <v>2</v>
      </c>
      <c r="AK246">
        <f>COUNTIFS(Dyno_Data[Team],TBA_Matches_All[[#This Row],[Team]],Dyno_Data[Match],TBA_Matches_All[[#This Row],[Match_Number]],Dyno_Data[RecordType],"Activities",Dyno_Data[DelDest],"Trap", Dyno_Data[DelMiss],"0", Dyno_Data[Mode],"Auto")</f>
        <v>0</v>
      </c>
      <c r="AL246">
        <f>COUNTIFS(Dyno_Data[Team],TBA_Matches_All[[#This Row],[Team]],Dyno_Data[Match],TBA_Matches_All[[#This Row],[Match_Number]],Dyno_Data[RecordType],"Activities",Dyno_Data[DelDest],"Amp", Dyno_Data[DelMiss],"0", Dyno_Data[Mode],"Teleop")</f>
        <v>0</v>
      </c>
      <c r="AM246">
        <f>COUNTIFS(Dyno_Data[Team],TBA_Matches_All[[#This Row],[Team]],Dyno_Data[Match],TBA_Matches_All[[#This Row],[Match_Number]],Dyno_Data[RecordType],"Activities",Dyno_Data[DelDest],"Spkr", Dyno_Data[DelMiss],"0", Dyno_Data[Mode],"Teleop")</f>
        <v>2</v>
      </c>
      <c r="AN246">
        <f>COUNTIFS(Dyno_Data[Team],TBA_Matches_All[[#This Row],[Team]],Dyno_Data[Match],TBA_Matches_All[[#This Row],[Match_Number]],Dyno_Data[RecordType],"Activities",Dyno_Data[DelDest],"Trap", Dyno_Data[DelMiss],"0", Dyno_Data[Mode],"&lt;&gt;Auto")</f>
        <v>0</v>
      </c>
      <c r="AO246">
        <f>SUM(TBA_Matches_All[[#This Row],[AampT]]+TBA_Matches_All[[#This Row],[AspkrT]]+TBA_Matches_All[[#This Row],[AtrapT]]+TBA_Matches_All[[#This Row],[TampT]]+TBA_Matches_All[[#This Row],[TspkrT]]+TBA_Matches_All[[#This Row],[TtrapT]])</f>
        <v>4</v>
      </c>
      <c r="AP246">
        <f>COUNTIFS(Dyno_Data[Team],TBA_Matches_All[[#This Row],[Team]],Dyno_Data[Match],TBA_Matches_All[[#This Row],[Match_Number]],Dyno_Data[RecordType],"Activities",Dyno_Data[DelDest],"Neut", Dyno_Data[DelMiss],"0")</f>
        <v>0</v>
      </c>
      <c r="AQ246">
        <f>COUNTIFS(Dyno_Data[Team],TBA_Matches_All[[#This Row],[Team]],Dyno_Data[Match],TBA_Matches_All[[#This Row],[Match_Number]],Dyno_Data[RecordType],"Activities",Dyno_Data[DelDest],"AllyW", Dyno_Data[DelMiss],"0")</f>
        <v>6</v>
      </c>
      <c r="AR246" t="str">
        <f>_xlfn.XLOOKUP(SUM(MID(TBA_Matches_All[[#This Row],[Team]],4,5),(TBA_Matches_All[[#This Row],[Match_Number]]/100)),Dyno_EndMatch[teammat],Dyno_EndMatch[RobotSta],"_",0,1)</f>
        <v>Amp</v>
      </c>
      <c r="AS246">
        <f>SUMIFS(Dyno_Data[AcqDis], Dyno_Data[Team],TBA_Matches_All[[#This Row],[Team]],Dyno_Data[Match],TBA_Matches_All[[#This Row],[Match_Number]],Dyno_Data[RecordType],"Activities", Dyno_Data[AcqCenter],1,Dyno_Data[Mode],"Auto")</f>
        <v>0</v>
      </c>
      <c r="AT246">
        <f>SUMIFS(Dyno_Data[AcqDis], Dyno_Data[Team],TBA_Matches_All[[#This Row],[Team]],Dyno_Data[Match],TBA_Matches_All[[#This Row],[Match_Number]],Dyno_Data[RecordType],"Activities", Dyno_Data[AcqCenter],2,Dyno_Data[Mode],"Auto")</f>
        <v>0</v>
      </c>
      <c r="AU246">
        <f>SUMIFS(Dyno_Data[AcqDis], Dyno_Data[Team],TBA_Matches_All[[#This Row],[Team]],Dyno_Data[Match],TBA_Matches_All[[#This Row],[Match_Number]],Dyno_Data[RecordType],"Activities", Dyno_Data[AcqCenter],3,Dyno_Data[Mode],"Auto")</f>
        <v>0</v>
      </c>
      <c r="AV246">
        <f>SUMIFS(Dyno_Data[AcqDis], Dyno_Data[Team],TBA_Matches_All[[#This Row],[Team]],Dyno_Data[Match],TBA_Matches_All[[#This Row],[Match_Number]],Dyno_Data[RecordType],"Activities", Dyno_Data[AcqCenter],4,Dyno_Data[Mode],"Auto")</f>
        <v>0</v>
      </c>
      <c r="AW246">
        <f>SUMIFS(Dyno_Data[AcqDis], Dyno_Data[Team],TBA_Matches_All[[#This Row],[Team]],Dyno_Data[Match],TBA_Matches_All[[#This Row],[Match_Number]],Dyno_Data[RecordType],"Activities", Dyno_Data[AcqCenter],5,Dyno_Data[Mode],"Auto")</f>
        <v>0</v>
      </c>
      <c r="AX246">
        <f>SUMIFS(Dyno_Data[DelMiss], Dyno_Data[Team],TBA_Matches_All[[#This Row],[Team]],Dyno_Data[Match],TBA_Matches_All[[#This Row],[Match_Number]],Dyno_Data[RecordType],"Activities", Dyno_Data[DelDest],"Amp")</f>
        <v>0</v>
      </c>
      <c r="AY246" s="60">
        <f>IFERROR(SUM((TBA_Matches_All[[#This Row],[AampT]]+TBA_Matches_All[[#This Row],[TampT]])/(TBA_Matches_All[[#This Row],[AampT]]+TBA_Matches_All[[#This Row],[TampT]]+TBA_Matches_All[[#This Row],[ampM]])),0)</f>
        <v>0</v>
      </c>
      <c r="AZ246">
        <f>SUMIFS(Dyno_Data[DelMiss], Dyno_Data[Team],TBA_Matches_All[[#This Row],[Team]],Dyno_Data[Match],TBA_Matches_All[[#This Row],[Match_Number]],Dyno_Data[RecordType],"Activities", Dyno_Data[DelDest],"Spkr")</f>
        <v>1</v>
      </c>
      <c r="BA246" s="60">
        <f>IFERROR(SUM((TBA_Matches_All[[#This Row],[AspkrT]]+TBA_Matches_All[[#This Row],[TspkrT]])/(TBA_Matches_All[[#This Row],[AspkrT]]+TBA_Matches_All[[#This Row],[TspkrT]]+TBA_Matches_All[[#This Row],[spkrM]])),0)</f>
        <v>0.8</v>
      </c>
      <c r="BB246">
        <f>SUMIFS(Dyno_Data[DelMiss], Dyno_Data[Team],TBA_Matches_All[[#This Row],[Team]],Dyno_Data[Match],TBA_Matches_All[[#This Row],[Match_Number]],Dyno_Data[RecordType],"Activities", Dyno_Data[DelDest],"Trap")</f>
        <v>0</v>
      </c>
      <c r="BC246" s="60">
        <f>IFERROR((TBA_Matches_All[[#This Row],[AtrapT]]+TBA_Matches_All[[#This Row],[TtrapT]])/(TBA_Matches_All[[#This Row],[AtrapT]]+TBA_Matches_All[[#This Row],[TtrapT]]+TBA_Matches_All[[#This Row],[trapM]]),0)</f>
        <v>0</v>
      </c>
      <c r="BD246">
        <f>COUNTIFS(Dyno_Data[Team],TBA_Matches_All[[#This Row],[Team]],Dyno_Data[Match],TBA_Matches_All[[#This Row],[Match_Number]],Dyno_Data[RecordType],"Activities",Dyno_Data[DelDest],"Neut", Dyno_Data[DelMiss],1)</f>
        <v>0</v>
      </c>
      <c r="BE246" s="60">
        <f>IFERROR(SUM((TBA_Matches_All[[#This Row],[NeutFlrT]])/(TBA_Matches_All[[#This Row],[NeutFlrT]]+TBA_Matches_All[[#This Row],[NZflM]])),0)</f>
        <v>0</v>
      </c>
      <c r="BF246">
        <f>COUNTIFS(Dyno_Data[Team],TBA_Matches_All[[#This Row],[Team]],Dyno_Data[Match],TBA_Matches_All[[#This Row],[Match_Number]],Dyno_Data[RecordType],"Activities",Dyno_Data[DelDest],"AllyW", Dyno_Data[DelMiss],1)</f>
        <v>0</v>
      </c>
      <c r="BG246" s="60">
        <f>IFERROR(SUM((TBA_Matches_All[[#This Row],[AllyWFlrT]])/(TBA_Matches_All[[#This Row],[AllyWFlrT]]+TBA_Matches_All[[#This Row],[AZflM]])),0)</f>
        <v>1</v>
      </c>
      <c r="BH246">
        <f>COUNTIFS(Dyno_Data[Team],TBA_Matches_All[[#This Row],[Team]],Dyno_Data[Match],TBA_Matches_All[[#This Row],[Match_Number]],Dyno_Data[RecordType],"Activities",Dyno_Data[DelOrig],"OppW", Dyno_Data[DelMiss],"0")</f>
        <v>0</v>
      </c>
      <c r="BI246">
        <f>COUNTIFS(Dyno_Data[Team],TBA_Matches_All[[#This Row],[Team]],Dyno_Data[Match],TBA_Matches_All[[#This Row],[Match_Number]],Dyno_Data[RecordType],"Activities",Dyno_Data[DelOrig],"OppW", Dyno_Data[DelMiss],"1")</f>
        <v>0</v>
      </c>
      <c r="BJ246" s="60">
        <f>IFERROR(SUM((TBA_Matches_All[[#This Row],[OZflrT]])/(TBA_Matches_All[[#This Row],[OZflrT]]+TBA_Matches_All[[#This Row],[OZflrM]])),0)</f>
        <v>0</v>
      </c>
      <c r="BK246">
        <f>COUNTIFS(Dyno_Data[Team],TBA_Matches_All[[#This Row],[Team]],Dyno_Data[Match],TBA_Matches_All[[#This Row],[Match_Number]],Dyno_Data[RecordType],"Activities",Dyno_Data[DelOrig],"Neut", Dyno_Data[DelMiss],"0")</f>
        <v>5</v>
      </c>
      <c r="BL246">
        <f>COUNTIFS(Dyno_Data[Team],TBA_Matches_All[[#This Row],[Team]],Dyno_Data[Match],TBA_Matches_All[[#This Row],[Match_Number]],Dyno_Data[RecordType],"Activities",Dyno_Data[DelOrig],"Neut", Dyno_Data[DelMiss],"1")</f>
        <v>1</v>
      </c>
      <c r="BM246" s="60">
        <f>IFERROR(SUM((TBA_Matches_All[[#This Row],[NZflrT]])/(TBA_Matches_All[[#This Row],[NZflrT]]+TBA_Matches_All[[#This Row],[NZflrM]])),0)</f>
        <v>0.83333333333333337</v>
      </c>
      <c r="BN246">
        <f>COUNTIFS(Dyno_Data[Team],TBA_Matches_All[[#This Row],[Team]],Dyno_Data[Match],TBA_Matches_All[[#This Row],[Match_Number]],Dyno_Data[RecordType],"Activities",Dyno_Data[DelOrig],"AllyW", Dyno_Data[DelMiss],"0")</f>
        <v>3</v>
      </c>
      <c r="BO246">
        <f>COUNTIFS(Dyno_Data[Team],TBA_Matches_All[[#This Row],[Team]],Dyno_Data[Match],TBA_Matches_All[[#This Row],[Match_Number]],Dyno_Data[RecordType],"Activities",Dyno_Data[DelOrig],"AllyW", Dyno_Data[DelMiss],"1")</f>
        <v>0</v>
      </c>
      <c r="BP246" s="60">
        <f>IFERROR(SUM((TBA_Matches_All[[#This Row],[AZflrT]])/(TBA_Matches_All[[#This Row],[AZflrT]]+TBA_Matches_All[[#This Row],[AZflrM]])),0)</f>
        <v>1</v>
      </c>
      <c r="BQ246">
        <f>COUNTIFS(Dyno_Data[Team],TBA_Matches_All[[#This Row],[Team]],Dyno_Data[Match],TBA_Matches_All[[#This Row],[Match_Number]],Dyno_Data[RecordType],"Activities",Dyno_Data[DelOrig],"SubW", Dyno_Data[DelMiss],"0")</f>
        <v>2</v>
      </c>
      <c r="BR246">
        <f>COUNTIFS(Dyno_Data[Team],TBA_Matches_All[[#This Row],[Team]],Dyno_Data[Match],TBA_Matches_All[[#This Row],[Match_Number]],Dyno_Data[RecordType],"Activities",Dyno_Data[DelOrig],"SubW", Dyno_Data[DelMiss],"1")</f>
        <v>0</v>
      </c>
      <c r="BS246" s="60">
        <f>IFERROR(SUM((TBA_Matches_All[[#This Row],[SubwT]])/(TBA_Matches_All[[#This Row],[SubwT]]+TBA_Matches_All[[#This Row],[SubwM]])),0)</f>
        <v>1</v>
      </c>
      <c r="BT246">
        <f>COUNTIFS(Dyno_Data[Team],TBA_Matches_All[[#This Row],[Team]],Dyno_Data[Match],TBA_Matches_All[[#This Row],[Match_Number]],Dyno_Data[RecordType],"Activities", Dyno_Data[AcqLoc],"OppWing")</f>
        <v>0</v>
      </c>
      <c r="BU246">
        <f>COUNTIFS(Dyno_Data[Team],TBA_Matches_All[[#This Row],[Team]],Dyno_Data[Match],TBA_Matches_All[[#This Row],[Match_Number]],Dyno_Data[RecordType],"Activities", Dyno_Data[AcqLoc],"Neutral")</f>
        <v>0</v>
      </c>
      <c r="BV246">
        <f>COUNTIFS(Dyno_Data[Team],TBA_Matches_All[[#This Row],[Team]],Dyno_Data[Match],TBA_Matches_All[[#This Row],[Match_Number]],Dyno_Data[RecordType],"Activities", Dyno_Data[AcqLoc],"AllyWing")</f>
        <v>0</v>
      </c>
      <c r="BW246">
        <f>COUNTIFS(Dyno_Data[Team],TBA_Matches_All[[#This Row],[Team]],Dyno_Data[Match],TBA_Matches_All[[#This Row],[Match_Number]],Dyno_Data[RecordType],"Activities", Dyno_Data[AcqLoc],"Source")</f>
        <v>0</v>
      </c>
      <c r="BX246">
        <f>SUMIFS(Dyno_Data[AcqDrp], Dyno_Data[Team],TBA_Matches_All[[#This Row],[Team]],Dyno_Data[Match],TBA_Matches_All[[#This Row],[Match_Number]],Dyno_Data[RecordType],"Activities", Dyno_Data[AcqLoc],"Source")</f>
        <v>0</v>
      </c>
      <c r="BY246">
        <f>SUMIFS(Dyno_Data[OZTime], Dyno_Data[Team],TBA_Matches_All[[#This Row],[Team]],Dyno_Data[Match],TBA_Matches_All[[#This Row],[Match_Number]],Dyno_Data[RecordType],"EndMatch")</f>
        <v>24.739870799999998</v>
      </c>
      <c r="BZ246">
        <f>SUMIFS(Dyno_Data[NZTime], Dyno_Data[Team],TBA_Matches_All[[#This Row],[Team]],Dyno_Data[Match],TBA_Matches_All[[#This Row],[Match_Number]],Dyno_Data[RecordType],"EndMatch")</f>
        <v>72.947005300000001</v>
      </c>
      <c r="CA246">
        <f>SUMIFS(Dyno_Data[AZTime], Dyno_Data[Team],TBA_Matches_All[[#This Row],[Team]],Dyno_Data[Match],TBA_Matches_All[[#This Row],[Match_Number]],Dyno_Data[RecordType],"EndMatch")</f>
        <v>28.5574941</v>
      </c>
      <c r="CB246">
        <f>SUMIFS(Dyno_Data[ClimbT], Dyno_Data[Team],TBA_Matches_All[[#This Row],[Team]],Dyno_Data[Match],TBA_Matches_All[[#This Row],[Match_Number]],Dyno_Data[RecordType],"EndMatch")</f>
        <v>12.060832</v>
      </c>
      <c r="CC246" t="str">
        <f>_xlfn.XLOOKUP(SUM(MID(TBA_Matches_All[[#This Row],[Team]],4,5),(TBA_Matches_All[[#This Row],[Match_Number]]/100)),Dyno_EndMatch[teammat],Dyno_EndMatch[StageStat],"_",0,1)</f>
        <v>Park</v>
      </c>
      <c r="CD246" t="str">
        <f>_xlfn.XLOOKUP(TBA_Matches_All[[#This Row],[teammat]],Dyno_EndMatch[teammat],Dyno_EndMatch[StageAtt],"_",0,1)</f>
        <v>-1</v>
      </c>
      <c r="CE246" t="str">
        <f>_xlfn.XLOOKUP(TBA_Matches_All[[#This Row],[teammat]],Dyno_EndMatch[teammat],Dyno_EndMatch[StageLoc],"_",0,1)</f>
        <v>A</v>
      </c>
      <c r="CF246">
        <f>SUMIFS(Dyno_Data[Harmony], Dyno_Data[Team],TBA_Matches_All[[#This Row],[Team]],Dyno_Data[Match],TBA_Matches_All[[#This Row],[Match_Number]],Dyno_Data[RecordType],"EndMatch", Dyno_Data[StageStat],"On",Dyno_Data[Harmony],"&lt;&gt;9")</f>
        <v>0</v>
      </c>
      <c r="CG246">
        <f>SUMIFS(Dyno_Data[Spotlit], Dyno_Data[Team],TBA_Matches_All[[#This Row],[Team]],Dyno_Data[Match],TBA_Matches_All[[#This Row],[Match_Number]],Dyno_Data[RecordType],"EndMatch", Dyno_Data[StageStat],"On",Dyno_Data[Spotlit],"&lt;&gt;9")</f>
        <v>0</v>
      </c>
      <c r="CH246" t="str">
        <f>_xlfn.XLOOKUP(TBA_Matches_All[[#This Row],[teammat]],Dyno_EndMatch[teammat],Dyno_EndMatch[Strategy],"_",0,1)</f>
        <v>Mover</v>
      </c>
      <c r="CI246">
        <f>SUMIFS(Dyno_Data[Defense], Dyno_Data[Team],TBA_Matches_All[[#This Row],[Team]],Dyno_Data[Match],TBA_Matches_All[[#This Row],[Match_Number]],Dyno_Data[RecordType],"EndMatch",Dyno_Data[Defense],"&lt;&gt;9")</f>
        <v>0</v>
      </c>
      <c r="CJ246">
        <f>SUMIFS(Dyno_Data[Avoidance], Dyno_Data[Team],TBA_Matches_All[[#This Row],[Team]],Dyno_Data[Match],TBA_Matches_All[[#This Row],[Match_Number]],Dyno_Data[RecordType],"EndMatch",Dyno_Data[Avoidance],"&lt;&gt;9")</f>
        <v>0</v>
      </c>
      <c r="CK246" s="82">
        <f>COUNTIF($H$2:TBA_Matches_All[[#This Row],[Team]],TBA_Matches_All[[#This Row],[Team]])</f>
        <v>5</v>
      </c>
      <c r="CL246" s="111">
        <f>SUM(MID(TBA_Matches_All[[#This Row],[Team]],4,5)+TBA_Matches_All[[#This Row],[Match_Number]]/100)</f>
        <v>1511.41</v>
      </c>
      <c r="CM246">
        <f>SUM((TBA_Matches_All[[#This Row],[Leave]]*2)+(TBA_Matches_All[[#This Row],[AampT]]*2)+(TBA_Matches_All[[#This Row],[AspkrT]]*5)+(TBA_Matches_All[[#This Row],[AtrapT]]*5))</f>
        <v>12</v>
      </c>
      <c r="CN246" s="59">
        <f>IFERROR(SUM(TBA_Matches_All[[#This Row],[AptsT]]/TBA_Matches_All[[#This Row],[AutoPts]]),0)</f>
        <v>0.46153846153846156</v>
      </c>
      <c r="CO246" s="59">
        <f>IFERROR(SUM(TBA_Matches_All[[#This Row],[AampT]]+TBA_Matches_All[[#This Row],[AspkrT]]+TBA_Matches_All[[#This Row],[AtrapT]]/TBA_Matches_All[[#This Row],[Aamp]]+TBA_Matches_All[[#This Row],[Aspkr]]+TBA_Matches_All[[#This Row],[AtrapT]]),0)</f>
        <v>0</v>
      </c>
      <c r="CP246" s="59">
        <f>IFERROR(SUM(TBA_Matches_All[[#This Row],[TampT]]/TBA_Matches_All[[#This Row],[Tamp]]),0)</f>
        <v>0</v>
      </c>
      <c r="CQ246" s="59">
        <f>IFERROR(SUM(TBA_Matches_All[[#This Row],[TspkrT]]/TBA_Matches_All[[#This Row],[Tspkr]]),0)</f>
        <v>0.22222222222222221</v>
      </c>
      <c r="CR246">
        <f>SUM(TBA_Matches_All[[#This Row],[TspkrPts]]*TBA_Matches_All[[#This Row],[TspkrP]])</f>
        <v>6.6666666666666661</v>
      </c>
      <c r="CS246" s="59">
        <f>IFERROR(SUM(TBA_Matches_All[[#This Row],[TtrapT]]/TBA_Matches_All[[#This Row],[Trap]]),0)</f>
        <v>0</v>
      </c>
      <c r="CT246" s="59">
        <f>IFERROR(SUM(TBA_Matches_All[[#This Row],[TotNotesT]]/TBA_Matches_All[[#This Row],[TotNotes]]),0)</f>
        <v>0.21052631578947367</v>
      </c>
      <c r="CU246" s="66">
        <f>SUM((TBA_Matches_All[[#This Row],[AampT]]*2)+(TBA_Matches_All[[#This Row],[AspkrT]]*5)+(TBA_Matches_All[[#This Row],[AtrapT]]*5)+(TBA_Matches_All[[#This Row],[TampT]]*1)+(TBA_Matches_All[[#This Row],[TspkrptsC]]))</f>
        <v>16.666666666666664</v>
      </c>
      <c r="CV246" s="59">
        <f>IFERROR(TBA_Matches_All[[#This Row],[noteptsT]]/TBA_Matches_All[[#This Row],[NotePts]],0)</f>
        <v>0.29761904761904756</v>
      </c>
      <c r="CW246">
        <f>SUM(IF(TBA_Matches_All[[#This Row],[stageStat]]="On",3,0),IF(TBA_Matches_All[[#This Row],[stageStat]]="Park",1,0),SUMIFS(TBA_Matches_All[[#This Row],[Spotlit]],TBA_Matches_All[[#This Row],[stageStat]],"On"),SUMIFS(TBA_Matches_All[[#This Row],[Harmony]],TBA_Matches_All[[#This Row],[stageStat]],"On"))</f>
        <v>1</v>
      </c>
      <c r="CX246" s="59">
        <f>IFERROR(TBA_Matches_All[[#This Row],[stageptsT]]/TBA_Matches_All[[#This Row],[StagePts]],0)</f>
        <v>0.33333333333333331</v>
      </c>
      <c r="CY246">
        <f>SUM((TBA_Matches_All[[#This Row],[AptsT]]+TBA_Matches_All[[#This Row],[TampT]]+TBA_Matches_All[[#This Row],[TspkrptsC]]+(TBA_Matches_All[[#This Row],[TtrapT]]*5)+TBA_Matches_All[[#This Row],[stageptsT]]))</f>
        <v>19.666666666666664</v>
      </c>
      <c r="CZ246" s="59">
        <f>IFERROR(SUM(TBA_Matches_All[[#This Row],[TotptsC]]/TBA_Matches_All[[#This Row],[Score]]),0)</f>
        <v>0.26576576576576572</v>
      </c>
      <c r="DA24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11.399999999999999</v>
      </c>
      <c r="DB246" s="74">
        <f>SUMIFS(TBA_Matches_All[AveTeamTNoteDels],TBA_Matches_All[Match_Number],TBA_Matches_All[[#This Row],[Match_Number]],TBA_Matches_All[Alliance],"&lt;&gt;"&amp;TBA_Matches_All[[#This Row],[Alliance]],TBA_Matches_All[Scouted],"&gt;0")</f>
        <v>32.061890609390609</v>
      </c>
      <c r="DC246" s="74">
        <f>(TBA_Matches_All[[#This Row],[TampT]]+TBA_Matches_All[[#This Row],[TspkrptsC]])-TBA_Matches_All[[#This Row],[AveTeamTNoteDels]]</f>
        <v>-4.7333333333333325</v>
      </c>
      <c r="DD246" s="74">
        <f>SUMIFS(TBA_Matches_All[AveTeamTNoteDels],TBA_Matches_All[Match_Number],TBA_Matches_All[[#This Row],[Match_Number]],TBA_Matches_All[Alliance],"&lt;&gt;"&amp;TBA_Matches_All[[#This Row],[Alliance]])-TBA_Matches_All[[#This Row],[AveOppTNoteDels]]</f>
        <v>0</v>
      </c>
    </row>
    <row r="247" spans="1:108" x14ac:dyDescent="0.3">
      <c r="A247" t="s">
        <v>1042</v>
      </c>
      <c r="B247" t="s">
        <v>489</v>
      </c>
      <c r="C247" t="s">
        <v>1350</v>
      </c>
      <c r="D247">
        <v>41</v>
      </c>
      <c r="E247" t="s">
        <v>1420</v>
      </c>
      <c r="F247" t="s">
        <v>1425</v>
      </c>
      <c r="G247" t="s">
        <v>105</v>
      </c>
      <c r="H247" t="s">
        <v>365</v>
      </c>
      <c r="I247" t="b">
        <v>1</v>
      </c>
      <c r="J247">
        <v>85</v>
      </c>
      <c r="K247">
        <v>1</v>
      </c>
      <c r="L247">
        <v>1</v>
      </c>
      <c r="M247">
        <v>9</v>
      </c>
      <c r="N247">
        <v>0</v>
      </c>
      <c r="O247">
        <v>6</v>
      </c>
      <c r="P247">
        <v>30</v>
      </c>
      <c r="Q247">
        <v>36</v>
      </c>
      <c r="R247">
        <v>3</v>
      </c>
      <c r="S247">
        <v>1</v>
      </c>
      <c r="T247">
        <v>14</v>
      </c>
      <c r="U247">
        <v>5</v>
      </c>
      <c r="V247">
        <v>28</v>
      </c>
      <c r="W247">
        <v>15</v>
      </c>
      <c r="X247">
        <v>33</v>
      </c>
      <c r="Y247">
        <v>36</v>
      </c>
      <c r="Z247">
        <v>0</v>
      </c>
      <c r="AA247">
        <v>0</v>
      </c>
      <c r="AB247">
        <v>24</v>
      </c>
      <c r="AC247">
        <v>66</v>
      </c>
      <c r="AD247">
        <v>11</v>
      </c>
      <c r="AE247">
        <f>IFERROR(6/(COUNTIF(Dyno_EndMatch[Match],TBA_Matches_All[[#This Row],[Match_Number]])),0)</f>
        <v>1</v>
      </c>
      <c r="AF247">
        <f>COUNTIFS(Dyno_Data[Team],TBA_Matches_All[[#This Row],[Team]],Dyno_Data[Match],TBA_Matches_All[[#This Row],[Match_Number]],Dyno_Data[RecordType],"EndMatch",Dyno_Data[HPAmp],"Y")</f>
        <v>1</v>
      </c>
      <c r="AG247">
        <f>SUMIFS(Dyno_Data[Mics], Dyno_Data[Team],TBA_Matches_All[[#This Row],[Team]],Dyno_Data[Match],TBA_Matches_All[[#This Row],[Match_Number]],Dyno_Data[RecordType],"EndMatch",Dyno_Data[HPAmp],"Y")</f>
        <v>1</v>
      </c>
      <c r="AH247">
        <f>SUMIFS(Dyno_Data[Leave], Dyno_Data[Team],TBA_Matches_All[[#This Row],[Team]],Dyno_Data[Match],TBA_Matches_All[[#This Row],[Match_Number]],Dyno_Data[RecordType],"EndAuto")</f>
        <v>1</v>
      </c>
      <c r="AI247">
        <f>COUNTIFS(Dyno_Data[Team],TBA_Matches_All[[#This Row],[Team]],Dyno_Data[Match],TBA_Matches_All[[#This Row],[Match_Number]],Dyno_Data[RecordType],"Activities",Dyno_Data[DelDest],"Amp", Dyno_Data[DelMiss],"0", Dyno_Data[Mode],"Auto")</f>
        <v>0</v>
      </c>
      <c r="AJ247">
        <f>COUNTIFS(Dyno_Data[Team],TBA_Matches_All[[#This Row],[Team]],Dyno_Data[Match],TBA_Matches_All[[#This Row],[Match_Number]],Dyno_Data[RecordType],"Activities",Dyno_Data[DelDest],"Spkr", Dyno_Data[DelMiss],"0", Dyno_Data[Mode],"Auto")</f>
        <v>3</v>
      </c>
      <c r="AK247">
        <f>COUNTIFS(Dyno_Data[Team],TBA_Matches_All[[#This Row],[Team]],Dyno_Data[Match],TBA_Matches_All[[#This Row],[Match_Number]],Dyno_Data[RecordType],"Activities",Dyno_Data[DelDest],"Trap", Dyno_Data[DelMiss],"0", Dyno_Data[Mode],"Auto")</f>
        <v>0</v>
      </c>
      <c r="AL247">
        <f>COUNTIFS(Dyno_Data[Team],TBA_Matches_All[[#This Row],[Team]],Dyno_Data[Match],TBA_Matches_All[[#This Row],[Match_Number]],Dyno_Data[RecordType],"Activities",Dyno_Data[DelDest],"Amp", Dyno_Data[DelMiss],"0", Dyno_Data[Mode],"Teleop")</f>
        <v>3</v>
      </c>
      <c r="AM247">
        <f>COUNTIFS(Dyno_Data[Team],TBA_Matches_All[[#This Row],[Team]],Dyno_Data[Match],TBA_Matches_All[[#This Row],[Match_Number]],Dyno_Data[RecordType],"Activities",Dyno_Data[DelDest],"Spkr", Dyno_Data[DelMiss],"0", Dyno_Data[Mode],"Teleop")</f>
        <v>2</v>
      </c>
      <c r="AN247">
        <f>COUNTIFS(Dyno_Data[Team],TBA_Matches_All[[#This Row],[Team]],Dyno_Data[Match],TBA_Matches_All[[#This Row],[Match_Number]],Dyno_Data[RecordType],"Activities",Dyno_Data[DelDest],"Trap", Dyno_Data[DelMiss],"0", Dyno_Data[Mode],"&lt;&gt;Auto")</f>
        <v>0</v>
      </c>
      <c r="AO247">
        <f>SUM(TBA_Matches_All[[#This Row],[AampT]]+TBA_Matches_All[[#This Row],[AspkrT]]+TBA_Matches_All[[#This Row],[AtrapT]]+TBA_Matches_All[[#This Row],[TampT]]+TBA_Matches_All[[#This Row],[TspkrT]]+TBA_Matches_All[[#This Row],[TtrapT]])</f>
        <v>8</v>
      </c>
      <c r="AP247">
        <f>COUNTIFS(Dyno_Data[Team],TBA_Matches_All[[#This Row],[Team]],Dyno_Data[Match],TBA_Matches_All[[#This Row],[Match_Number]],Dyno_Data[RecordType],"Activities",Dyno_Data[DelDest],"Neut", Dyno_Data[DelMiss],"0")</f>
        <v>0</v>
      </c>
      <c r="AQ247">
        <f>COUNTIFS(Dyno_Data[Team],TBA_Matches_All[[#This Row],[Team]],Dyno_Data[Match],TBA_Matches_All[[#This Row],[Match_Number]],Dyno_Data[RecordType],"Activities",Dyno_Data[DelDest],"AllyW", Dyno_Data[DelMiss],"0")</f>
        <v>0</v>
      </c>
      <c r="AR247" t="str">
        <f>_xlfn.XLOOKUP(SUM(MID(TBA_Matches_All[[#This Row],[Team]],4,5),(TBA_Matches_All[[#This Row],[Match_Number]]/100)),Dyno_EndMatch[teammat],Dyno_EndMatch[RobotSta],"_",0,1)</f>
        <v>SubW</v>
      </c>
      <c r="AS247">
        <f>SUMIFS(Dyno_Data[AcqDis], Dyno_Data[Team],TBA_Matches_All[[#This Row],[Team]],Dyno_Data[Match],TBA_Matches_All[[#This Row],[Match_Number]],Dyno_Data[RecordType],"Activities", Dyno_Data[AcqCenter],1,Dyno_Data[Mode],"Auto")</f>
        <v>0</v>
      </c>
      <c r="AT247">
        <f>SUMIFS(Dyno_Data[AcqDis], Dyno_Data[Team],TBA_Matches_All[[#This Row],[Team]],Dyno_Data[Match],TBA_Matches_All[[#This Row],[Match_Number]],Dyno_Data[RecordType],"Activities", Dyno_Data[AcqCenter],2,Dyno_Data[Mode],"Auto")</f>
        <v>0</v>
      </c>
      <c r="AU247">
        <f>SUMIFS(Dyno_Data[AcqDis], Dyno_Data[Team],TBA_Matches_All[[#This Row],[Team]],Dyno_Data[Match],TBA_Matches_All[[#This Row],[Match_Number]],Dyno_Data[RecordType],"Activities", Dyno_Data[AcqCenter],3,Dyno_Data[Mode],"Auto")</f>
        <v>0</v>
      </c>
      <c r="AV247">
        <f>SUMIFS(Dyno_Data[AcqDis], Dyno_Data[Team],TBA_Matches_All[[#This Row],[Team]],Dyno_Data[Match],TBA_Matches_All[[#This Row],[Match_Number]],Dyno_Data[RecordType],"Activities", Dyno_Data[AcqCenter],4,Dyno_Data[Mode],"Auto")</f>
        <v>0</v>
      </c>
      <c r="AW247">
        <f>SUMIFS(Dyno_Data[AcqDis], Dyno_Data[Team],TBA_Matches_All[[#This Row],[Team]],Dyno_Data[Match],TBA_Matches_All[[#This Row],[Match_Number]],Dyno_Data[RecordType],"Activities", Dyno_Data[AcqCenter],5,Dyno_Data[Mode],"Auto")</f>
        <v>0</v>
      </c>
      <c r="AX247">
        <f>SUMIFS(Dyno_Data[DelMiss], Dyno_Data[Team],TBA_Matches_All[[#This Row],[Team]],Dyno_Data[Match],TBA_Matches_All[[#This Row],[Match_Number]],Dyno_Data[RecordType],"Activities", Dyno_Data[DelDest],"Amp")</f>
        <v>0</v>
      </c>
      <c r="AY247" s="60">
        <f>IFERROR(SUM((TBA_Matches_All[[#This Row],[AampT]]+TBA_Matches_All[[#This Row],[TampT]])/(TBA_Matches_All[[#This Row],[AampT]]+TBA_Matches_All[[#This Row],[TampT]]+TBA_Matches_All[[#This Row],[ampM]])),0)</f>
        <v>1</v>
      </c>
      <c r="AZ247">
        <f>SUMIFS(Dyno_Data[DelMiss], Dyno_Data[Team],TBA_Matches_All[[#This Row],[Team]],Dyno_Data[Match],TBA_Matches_All[[#This Row],[Match_Number]],Dyno_Data[RecordType],"Activities", Dyno_Data[DelDest],"Spkr")</f>
        <v>1</v>
      </c>
      <c r="BA247" s="60">
        <f>IFERROR(SUM((TBA_Matches_All[[#This Row],[AspkrT]]+TBA_Matches_All[[#This Row],[TspkrT]])/(TBA_Matches_All[[#This Row],[AspkrT]]+TBA_Matches_All[[#This Row],[TspkrT]]+TBA_Matches_All[[#This Row],[spkrM]])),0)</f>
        <v>0.83333333333333337</v>
      </c>
      <c r="BB247">
        <f>SUMIFS(Dyno_Data[DelMiss], Dyno_Data[Team],TBA_Matches_All[[#This Row],[Team]],Dyno_Data[Match],TBA_Matches_All[[#This Row],[Match_Number]],Dyno_Data[RecordType],"Activities", Dyno_Data[DelDest],"Trap")</f>
        <v>0</v>
      </c>
      <c r="BC247" s="60">
        <f>IFERROR((TBA_Matches_All[[#This Row],[AtrapT]]+TBA_Matches_All[[#This Row],[TtrapT]])/(TBA_Matches_All[[#This Row],[AtrapT]]+TBA_Matches_All[[#This Row],[TtrapT]]+TBA_Matches_All[[#This Row],[trapM]]),0)</f>
        <v>0</v>
      </c>
      <c r="BD247">
        <f>COUNTIFS(Dyno_Data[Team],TBA_Matches_All[[#This Row],[Team]],Dyno_Data[Match],TBA_Matches_All[[#This Row],[Match_Number]],Dyno_Data[RecordType],"Activities",Dyno_Data[DelDest],"Neut", Dyno_Data[DelMiss],1)</f>
        <v>0</v>
      </c>
      <c r="BE247" s="60">
        <f>IFERROR(SUM((TBA_Matches_All[[#This Row],[NeutFlrT]])/(TBA_Matches_All[[#This Row],[NeutFlrT]]+TBA_Matches_All[[#This Row],[NZflM]])),0)</f>
        <v>0</v>
      </c>
      <c r="BF247">
        <f>COUNTIFS(Dyno_Data[Team],TBA_Matches_All[[#This Row],[Team]],Dyno_Data[Match],TBA_Matches_All[[#This Row],[Match_Number]],Dyno_Data[RecordType],"Activities",Dyno_Data[DelDest],"AllyW", Dyno_Data[DelMiss],1)</f>
        <v>0</v>
      </c>
      <c r="BG247" s="60">
        <f>IFERROR(SUM((TBA_Matches_All[[#This Row],[AllyWFlrT]])/(TBA_Matches_All[[#This Row],[AllyWFlrT]]+TBA_Matches_All[[#This Row],[AZflM]])),0)</f>
        <v>0</v>
      </c>
      <c r="BH247">
        <f>COUNTIFS(Dyno_Data[Team],TBA_Matches_All[[#This Row],[Team]],Dyno_Data[Match],TBA_Matches_All[[#This Row],[Match_Number]],Dyno_Data[RecordType],"Activities",Dyno_Data[DelOrig],"OppW", Dyno_Data[DelMiss],"0")</f>
        <v>0</v>
      </c>
      <c r="BI247">
        <f>COUNTIFS(Dyno_Data[Team],TBA_Matches_All[[#This Row],[Team]],Dyno_Data[Match],TBA_Matches_All[[#This Row],[Match_Number]],Dyno_Data[RecordType],"Activities",Dyno_Data[DelOrig],"OppW", Dyno_Data[DelMiss],"1")</f>
        <v>0</v>
      </c>
      <c r="BJ247" s="60">
        <f>IFERROR(SUM((TBA_Matches_All[[#This Row],[OZflrT]])/(TBA_Matches_All[[#This Row],[OZflrT]]+TBA_Matches_All[[#This Row],[OZflrM]])),0)</f>
        <v>0</v>
      </c>
      <c r="BK247">
        <f>COUNTIFS(Dyno_Data[Team],TBA_Matches_All[[#This Row],[Team]],Dyno_Data[Match],TBA_Matches_All[[#This Row],[Match_Number]],Dyno_Data[RecordType],"Activities",Dyno_Data[DelOrig],"Neut", Dyno_Data[DelMiss],"0")</f>
        <v>0</v>
      </c>
      <c r="BL247">
        <f>COUNTIFS(Dyno_Data[Team],TBA_Matches_All[[#This Row],[Team]],Dyno_Data[Match],TBA_Matches_All[[#This Row],[Match_Number]],Dyno_Data[RecordType],"Activities",Dyno_Data[DelOrig],"Neut", Dyno_Data[DelMiss],"1")</f>
        <v>0</v>
      </c>
      <c r="BM247" s="60">
        <f>IFERROR(SUM((TBA_Matches_All[[#This Row],[NZflrT]])/(TBA_Matches_All[[#This Row],[NZflrT]]+TBA_Matches_All[[#This Row],[NZflrM]])),0)</f>
        <v>0</v>
      </c>
      <c r="BN247">
        <f>COUNTIFS(Dyno_Data[Team],TBA_Matches_All[[#This Row],[Team]],Dyno_Data[Match],TBA_Matches_All[[#This Row],[Match_Number]],Dyno_Data[RecordType],"Activities",Dyno_Data[DelOrig],"AllyW", Dyno_Data[DelMiss],"0")</f>
        <v>3</v>
      </c>
      <c r="BO247">
        <f>COUNTIFS(Dyno_Data[Team],TBA_Matches_All[[#This Row],[Team]],Dyno_Data[Match],TBA_Matches_All[[#This Row],[Match_Number]],Dyno_Data[RecordType],"Activities",Dyno_Data[DelOrig],"AllyW", Dyno_Data[DelMiss],"1")</f>
        <v>1</v>
      </c>
      <c r="BP247" s="60">
        <f>IFERROR(SUM((TBA_Matches_All[[#This Row],[AZflrT]])/(TBA_Matches_All[[#This Row],[AZflrT]]+TBA_Matches_All[[#This Row],[AZflrM]])),0)</f>
        <v>0.75</v>
      </c>
      <c r="BQ247">
        <f>COUNTIFS(Dyno_Data[Team],TBA_Matches_All[[#This Row],[Team]],Dyno_Data[Match],TBA_Matches_All[[#This Row],[Match_Number]],Dyno_Data[RecordType],"Activities",Dyno_Data[DelOrig],"SubW", Dyno_Data[DelMiss],"0")</f>
        <v>5</v>
      </c>
      <c r="BR247">
        <f>COUNTIFS(Dyno_Data[Team],TBA_Matches_All[[#This Row],[Team]],Dyno_Data[Match],TBA_Matches_All[[#This Row],[Match_Number]],Dyno_Data[RecordType],"Activities",Dyno_Data[DelOrig],"SubW", Dyno_Data[DelMiss],"1")</f>
        <v>0</v>
      </c>
      <c r="BS247" s="60">
        <f>IFERROR(SUM((TBA_Matches_All[[#This Row],[SubwT]])/(TBA_Matches_All[[#This Row],[SubwT]]+TBA_Matches_All[[#This Row],[SubwM]])),0)</f>
        <v>1</v>
      </c>
      <c r="BT247">
        <f>COUNTIFS(Dyno_Data[Team],TBA_Matches_All[[#This Row],[Team]],Dyno_Data[Match],TBA_Matches_All[[#This Row],[Match_Number]],Dyno_Data[RecordType],"Activities", Dyno_Data[AcqLoc],"OppWing")</f>
        <v>0</v>
      </c>
      <c r="BU247">
        <f>COUNTIFS(Dyno_Data[Team],TBA_Matches_All[[#This Row],[Team]],Dyno_Data[Match],TBA_Matches_All[[#This Row],[Match_Number]],Dyno_Data[RecordType],"Activities", Dyno_Data[AcqLoc],"Neutral")</f>
        <v>0</v>
      </c>
      <c r="BV247">
        <f>COUNTIFS(Dyno_Data[Team],TBA_Matches_All[[#This Row],[Team]],Dyno_Data[Match],TBA_Matches_All[[#This Row],[Match_Number]],Dyno_Data[RecordType],"Activities", Dyno_Data[AcqLoc],"AllyWing")</f>
        <v>0</v>
      </c>
      <c r="BW247">
        <f>COUNTIFS(Dyno_Data[Team],TBA_Matches_All[[#This Row],[Team]],Dyno_Data[Match],TBA_Matches_All[[#This Row],[Match_Number]],Dyno_Data[RecordType],"Activities", Dyno_Data[AcqLoc],"Source")</f>
        <v>0</v>
      </c>
      <c r="BX247">
        <f>SUMIFS(Dyno_Data[AcqDrp], Dyno_Data[Team],TBA_Matches_All[[#This Row],[Team]],Dyno_Data[Match],TBA_Matches_All[[#This Row],[Match_Number]],Dyno_Data[RecordType],"Activities", Dyno_Data[AcqLoc],"Source")</f>
        <v>0</v>
      </c>
      <c r="BY247">
        <f>SUMIFS(Dyno_Data[OZTime], Dyno_Data[Team],TBA_Matches_All[[#This Row],[Team]],Dyno_Data[Match],TBA_Matches_All[[#This Row],[Match_Number]],Dyno_Data[RecordType],"EndMatch")</f>
        <v>32.902048600000001</v>
      </c>
      <c r="BZ247">
        <f>SUMIFS(Dyno_Data[NZTime], Dyno_Data[Team],TBA_Matches_All[[#This Row],[Team]],Dyno_Data[Match],TBA_Matches_All[[#This Row],[Match_Number]],Dyno_Data[RecordType],"EndMatch")</f>
        <v>13.845925699999999</v>
      </c>
      <c r="CA247">
        <f>SUMIFS(Dyno_Data[AZTime], Dyno_Data[Team],TBA_Matches_All[[#This Row],[Team]],Dyno_Data[Match],TBA_Matches_All[[#This Row],[Match_Number]],Dyno_Data[RecordType],"EndMatch")</f>
        <v>64.504290299999994</v>
      </c>
      <c r="CB247">
        <f>SUMIFS(Dyno_Data[ClimbT], Dyno_Data[Team],TBA_Matches_All[[#This Row],[Team]],Dyno_Data[Match],TBA_Matches_All[[#This Row],[Match_Number]],Dyno_Data[RecordType],"EndMatch")</f>
        <v>13.1788346</v>
      </c>
      <c r="CC247" t="str">
        <f>_xlfn.XLOOKUP(SUM(MID(TBA_Matches_All[[#This Row],[Team]],4,5),(TBA_Matches_All[[#This Row],[Match_Number]]/100)),Dyno_EndMatch[teammat],Dyno_EndMatch[StageStat],"_",0,1)</f>
        <v>On</v>
      </c>
      <c r="CD247" t="str">
        <f>_xlfn.XLOOKUP(TBA_Matches_All[[#This Row],[teammat]],Dyno_EndMatch[teammat],Dyno_EndMatch[StageAtt],"_",0,1)</f>
        <v>1</v>
      </c>
      <c r="CE247" t="str">
        <f>_xlfn.XLOOKUP(TBA_Matches_All[[#This Row],[teammat]],Dyno_EndMatch[teammat],Dyno_EndMatch[StageLoc],"_",0,1)</f>
        <v>L</v>
      </c>
      <c r="CF247">
        <f>SUMIFS(Dyno_Data[Harmony], Dyno_Data[Team],TBA_Matches_All[[#This Row],[Team]],Dyno_Data[Match],TBA_Matches_All[[#This Row],[Match_Number]],Dyno_Data[RecordType],"EndMatch", Dyno_Data[StageStat],"On",Dyno_Data[Harmony],"&lt;&gt;9")</f>
        <v>1</v>
      </c>
      <c r="CG247">
        <f>SUMIFS(Dyno_Data[Spotlit], Dyno_Data[Team],TBA_Matches_All[[#This Row],[Team]],Dyno_Data[Match],TBA_Matches_All[[#This Row],[Match_Number]],Dyno_Data[RecordType],"EndMatch", Dyno_Data[StageStat],"On",Dyno_Data[Spotlit],"&lt;&gt;9")</f>
        <v>1</v>
      </c>
      <c r="CH247" t="str">
        <f>_xlfn.XLOOKUP(TBA_Matches_All[[#This Row],[teammat]],Dyno_EndMatch[teammat],Dyno_EndMatch[Strategy],"_",0,1)</f>
        <v>Hybrid</v>
      </c>
      <c r="CI247">
        <f>SUMIFS(Dyno_Data[Defense], Dyno_Data[Team],TBA_Matches_All[[#This Row],[Team]],Dyno_Data[Match],TBA_Matches_All[[#This Row],[Match_Number]],Dyno_Data[RecordType],"EndMatch",Dyno_Data[Defense],"&lt;&gt;9")</f>
        <v>0</v>
      </c>
      <c r="CJ247">
        <f>SUMIFS(Dyno_Data[Avoidance], Dyno_Data[Team],TBA_Matches_All[[#This Row],[Team]],Dyno_Data[Match],TBA_Matches_All[[#This Row],[Match_Number]],Dyno_Data[RecordType],"EndMatch",Dyno_Data[Avoidance],"&lt;&gt;9")</f>
        <v>0</v>
      </c>
      <c r="CK247" s="82">
        <f>COUNTIF($H$2:TBA_Matches_All[[#This Row],[Team]],TBA_Matches_All[[#This Row],[Team]])</f>
        <v>5</v>
      </c>
      <c r="CL247" s="111">
        <f>SUM(MID(TBA_Matches_All[[#This Row],[Team]],4,5)+TBA_Matches_All[[#This Row],[Match_Number]]/100)</f>
        <v>3171.41</v>
      </c>
      <c r="CM247">
        <f>SUM((TBA_Matches_All[[#This Row],[Leave]]*2)+(TBA_Matches_All[[#This Row],[AampT]]*2)+(TBA_Matches_All[[#This Row],[AspkrT]]*5)+(TBA_Matches_All[[#This Row],[AtrapT]]*5))</f>
        <v>17</v>
      </c>
      <c r="CN247" s="59">
        <f>IFERROR(SUM(TBA_Matches_All[[#This Row],[AptsT]]/TBA_Matches_All[[#This Row],[AutoPts]]),0)</f>
        <v>0.47222222222222221</v>
      </c>
      <c r="CO247" s="59">
        <f>IFERROR(SUM(TBA_Matches_All[[#This Row],[AampT]]+TBA_Matches_All[[#This Row],[AspkrT]]+TBA_Matches_All[[#This Row],[AtrapT]]/TBA_Matches_All[[#This Row],[Aamp]]+TBA_Matches_All[[#This Row],[Aspkr]]+TBA_Matches_All[[#This Row],[AtrapT]]),0)</f>
        <v>0</v>
      </c>
      <c r="CP247" s="59">
        <f>IFERROR(SUM(TBA_Matches_All[[#This Row],[TampT]]/TBA_Matches_All[[#This Row],[Tamp]]),0)</f>
        <v>1</v>
      </c>
      <c r="CQ247" s="59">
        <f>IFERROR(SUM(TBA_Matches_All[[#This Row],[TspkrT]]/TBA_Matches_All[[#This Row],[Tspkr]]),0)</f>
        <v>0.13333333333333333</v>
      </c>
      <c r="CR247">
        <f>SUM(TBA_Matches_All[[#This Row],[TspkrPts]]*TBA_Matches_All[[#This Row],[TspkrP]])</f>
        <v>4.4000000000000004</v>
      </c>
      <c r="CS247" s="59">
        <f>IFERROR(SUM(TBA_Matches_All[[#This Row],[TtrapT]]/TBA_Matches_All[[#This Row],[Trap]]),0)</f>
        <v>0</v>
      </c>
      <c r="CT247" s="59">
        <f>IFERROR(SUM(TBA_Matches_All[[#This Row],[TotNotesT]]/TBA_Matches_All[[#This Row],[TotNotes]]),0)</f>
        <v>0.33333333333333331</v>
      </c>
      <c r="CU247" s="66">
        <f>SUM((TBA_Matches_All[[#This Row],[AampT]]*2)+(TBA_Matches_All[[#This Row],[AspkrT]]*5)+(TBA_Matches_All[[#This Row],[AtrapT]]*5)+(TBA_Matches_All[[#This Row],[TampT]]*1)+(TBA_Matches_All[[#This Row],[TspkrptsC]]))</f>
        <v>22.4</v>
      </c>
      <c r="CV247" s="59">
        <f>IFERROR(TBA_Matches_All[[#This Row],[noteptsT]]/TBA_Matches_All[[#This Row],[NotePts]],0)</f>
        <v>0.33939393939393936</v>
      </c>
      <c r="CW247">
        <f>SUM(IF(TBA_Matches_All[[#This Row],[stageStat]]="On",3,0),IF(TBA_Matches_All[[#This Row],[stageStat]]="Park",1,0),SUMIFS(TBA_Matches_All[[#This Row],[Spotlit]],TBA_Matches_All[[#This Row],[stageStat]],"On"),SUMIFS(TBA_Matches_All[[#This Row],[Harmony]],TBA_Matches_All[[#This Row],[stageStat]],"On"))</f>
        <v>5</v>
      </c>
      <c r="CX247" s="59">
        <f>IFERROR(TBA_Matches_All[[#This Row],[stageptsT]]/TBA_Matches_All[[#This Row],[StagePts]],0)</f>
        <v>0.45454545454545453</v>
      </c>
      <c r="CY247">
        <f>SUM((TBA_Matches_All[[#This Row],[AptsT]]+TBA_Matches_All[[#This Row],[TampT]]+TBA_Matches_All[[#This Row],[TspkrptsC]]+(TBA_Matches_All[[#This Row],[TtrapT]]*5)+TBA_Matches_All[[#This Row],[stageptsT]]))</f>
        <v>29.4</v>
      </c>
      <c r="CZ247" s="59">
        <f>IFERROR(SUM(TBA_Matches_All[[#This Row],[TotptsC]]/TBA_Matches_All[[#This Row],[Score]]),0)</f>
        <v>0.34588235294117647</v>
      </c>
      <c r="DA24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12.576923076923078</v>
      </c>
      <c r="DB247" s="74">
        <f>SUMIFS(TBA_Matches_All[AveTeamTNoteDels],TBA_Matches_All[Match_Number],TBA_Matches_All[[#This Row],[Match_Number]],TBA_Matches_All[Alliance],"&lt;&gt;"&amp;TBA_Matches_All[[#This Row],[Alliance]],TBA_Matches_All[Scouted],"&gt;0")</f>
        <v>36.245021645021644</v>
      </c>
      <c r="DC247" s="74">
        <f>(TBA_Matches_All[[#This Row],[TampT]]+TBA_Matches_All[[#This Row],[TspkrptsC]])-TBA_Matches_All[[#This Row],[AveTeamTNoteDels]]</f>
        <v>-5.1769230769230781</v>
      </c>
      <c r="DD247" s="74">
        <f>SUMIFS(TBA_Matches_All[AveTeamTNoteDels],TBA_Matches_All[Match_Number],TBA_Matches_All[[#This Row],[Match_Number]],TBA_Matches_All[Alliance],"&lt;&gt;"&amp;TBA_Matches_All[[#This Row],[Alliance]])-TBA_Matches_All[[#This Row],[AveOppTNoteDels]]</f>
        <v>0</v>
      </c>
    </row>
    <row r="248" spans="1:108" x14ac:dyDescent="0.3">
      <c r="A248" t="s">
        <v>1042</v>
      </c>
      <c r="B248" t="s">
        <v>489</v>
      </c>
      <c r="C248" t="s">
        <v>1350</v>
      </c>
      <c r="D248">
        <v>41</v>
      </c>
      <c r="E248" t="s">
        <v>1406</v>
      </c>
      <c r="F248" t="s">
        <v>1426</v>
      </c>
      <c r="G248" t="s">
        <v>164</v>
      </c>
      <c r="H248" t="s">
        <v>367</v>
      </c>
      <c r="I248" t="b">
        <v>1</v>
      </c>
      <c r="J248">
        <v>74</v>
      </c>
      <c r="K248">
        <v>1</v>
      </c>
      <c r="L248">
        <v>0</v>
      </c>
      <c r="M248">
        <v>2</v>
      </c>
      <c r="N248">
        <v>0</v>
      </c>
      <c r="O248">
        <v>4</v>
      </c>
      <c r="P248">
        <v>20</v>
      </c>
      <c r="Q248">
        <v>26</v>
      </c>
      <c r="R248">
        <v>6</v>
      </c>
      <c r="S248">
        <v>4</v>
      </c>
      <c r="T248">
        <v>5</v>
      </c>
      <c r="U248">
        <v>20</v>
      </c>
      <c r="V248">
        <v>10</v>
      </c>
      <c r="W248">
        <v>9</v>
      </c>
      <c r="X248">
        <v>30</v>
      </c>
      <c r="Y248">
        <v>36</v>
      </c>
      <c r="Z248">
        <v>0</v>
      </c>
      <c r="AA248">
        <v>0</v>
      </c>
      <c r="AB248">
        <v>19</v>
      </c>
      <c r="AC248">
        <v>56</v>
      </c>
      <c r="AD248">
        <v>3</v>
      </c>
      <c r="AE248">
        <f>IFERROR(6/(COUNTIF(Dyno_EndMatch[Match],TBA_Matches_All[[#This Row],[Match_Number]])),0)</f>
        <v>1</v>
      </c>
      <c r="AF248">
        <f>COUNTIFS(Dyno_Data[Team],TBA_Matches_All[[#This Row],[Team]],Dyno_Data[Match],TBA_Matches_All[[#This Row],[Match_Number]],Dyno_Data[RecordType],"EndMatch",Dyno_Data[HPAmp],"Y")</f>
        <v>1</v>
      </c>
      <c r="AG248">
        <f>SUMIFS(Dyno_Data[Mics], Dyno_Data[Team],TBA_Matches_All[[#This Row],[Team]],Dyno_Data[Match],TBA_Matches_All[[#This Row],[Match_Number]],Dyno_Data[RecordType],"EndMatch",Dyno_Data[HPAmp],"Y")</f>
        <v>0</v>
      </c>
      <c r="AH248">
        <f>SUMIFS(Dyno_Data[Leave], Dyno_Data[Team],TBA_Matches_All[[#This Row],[Team]],Dyno_Data[Match],TBA_Matches_All[[#This Row],[Match_Number]],Dyno_Data[RecordType],"EndAuto")</f>
        <v>1</v>
      </c>
      <c r="AI248">
        <f>COUNTIFS(Dyno_Data[Team],TBA_Matches_All[[#This Row],[Team]],Dyno_Data[Match],TBA_Matches_All[[#This Row],[Match_Number]],Dyno_Data[RecordType],"Activities",Dyno_Data[DelDest],"Amp", Dyno_Data[DelMiss],"0", Dyno_Data[Mode],"Auto")</f>
        <v>0</v>
      </c>
      <c r="AJ248">
        <f>COUNTIFS(Dyno_Data[Team],TBA_Matches_All[[#This Row],[Team]],Dyno_Data[Match],TBA_Matches_All[[#This Row],[Match_Number]],Dyno_Data[RecordType],"Activities",Dyno_Data[DelDest],"Spkr", Dyno_Data[DelMiss],"0", Dyno_Data[Mode],"Auto")</f>
        <v>1</v>
      </c>
      <c r="AK248">
        <f>COUNTIFS(Dyno_Data[Team],TBA_Matches_All[[#This Row],[Team]],Dyno_Data[Match],TBA_Matches_All[[#This Row],[Match_Number]],Dyno_Data[RecordType],"Activities",Dyno_Data[DelDest],"Trap", Dyno_Data[DelMiss],"0", Dyno_Data[Mode],"Auto")</f>
        <v>0</v>
      </c>
      <c r="AL248">
        <f>COUNTIFS(Dyno_Data[Team],TBA_Matches_All[[#This Row],[Team]],Dyno_Data[Match],TBA_Matches_All[[#This Row],[Match_Number]],Dyno_Data[RecordType],"Activities",Dyno_Data[DelDest],"Amp", Dyno_Data[DelMiss],"0", Dyno_Data[Mode],"Teleop")</f>
        <v>0</v>
      </c>
      <c r="AM248">
        <f>COUNTIFS(Dyno_Data[Team],TBA_Matches_All[[#This Row],[Team]],Dyno_Data[Match],TBA_Matches_All[[#This Row],[Match_Number]],Dyno_Data[RecordType],"Activities",Dyno_Data[DelDest],"Spkr", Dyno_Data[DelMiss],"0", Dyno_Data[Mode],"Teleop")</f>
        <v>5</v>
      </c>
      <c r="AN248">
        <f>COUNTIFS(Dyno_Data[Team],TBA_Matches_All[[#This Row],[Team]],Dyno_Data[Match],TBA_Matches_All[[#This Row],[Match_Number]],Dyno_Data[RecordType],"Activities",Dyno_Data[DelDest],"Trap", Dyno_Data[DelMiss],"0", Dyno_Data[Mode],"&lt;&gt;Auto")</f>
        <v>0</v>
      </c>
      <c r="AO248">
        <f>SUM(TBA_Matches_All[[#This Row],[AampT]]+TBA_Matches_All[[#This Row],[AspkrT]]+TBA_Matches_All[[#This Row],[AtrapT]]+TBA_Matches_All[[#This Row],[TampT]]+TBA_Matches_All[[#This Row],[TspkrT]]+TBA_Matches_All[[#This Row],[TtrapT]])</f>
        <v>6</v>
      </c>
      <c r="AP248">
        <f>COUNTIFS(Dyno_Data[Team],TBA_Matches_All[[#This Row],[Team]],Dyno_Data[Match],TBA_Matches_All[[#This Row],[Match_Number]],Dyno_Data[RecordType],"Activities",Dyno_Data[DelDest],"Neut", Dyno_Data[DelMiss],"0")</f>
        <v>0</v>
      </c>
      <c r="AQ248">
        <f>COUNTIFS(Dyno_Data[Team],TBA_Matches_All[[#This Row],[Team]],Dyno_Data[Match],TBA_Matches_All[[#This Row],[Match_Number]],Dyno_Data[RecordType],"Activities",Dyno_Data[DelDest],"AllyW", Dyno_Data[DelMiss],"0")</f>
        <v>0</v>
      </c>
      <c r="AR248" t="str">
        <f>_xlfn.XLOOKUP(SUM(MID(TBA_Matches_All[[#This Row],[Team]],4,5),(TBA_Matches_All[[#This Row],[Match_Number]]/100)),Dyno_EndMatch[teammat],Dyno_EndMatch[RobotSta],"_",0,1)</f>
        <v>SubW</v>
      </c>
      <c r="AS248">
        <f>SUMIFS(Dyno_Data[AcqDis], Dyno_Data[Team],TBA_Matches_All[[#This Row],[Team]],Dyno_Data[Match],TBA_Matches_All[[#This Row],[Match_Number]],Dyno_Data[RecordType],"Activities", Dyno_Data[AcqCenter],1,Dyno_Data[Mode],"Auto")</f>
        <v>0</v>
      </c>
      <c r="AT248">
        <f>SUMIFS(Dyno_Data[AcqDis], Dyno_Data[Team],TBA_Matches_All[[#This Row],[Team]],Dyno_Data[Match],TBA_Matches_All[[#This Row],[Match_Number]],Dyno_Data[RecordType],"Activities", Dyno_Data[AcqCenter],2,Dyno_Data[Mode],"Auto")</f>
        <v>0</v>
      </c>
      <c r="AU248">
        <f>SUMIFS(Dyno_Data[AcqDis], Dyno_Data[Team],TBA_Matches_All[[#This Row],[Team]],Dyno_Data[Match],TBA_Matches_All[[#This Row],[Match_Number]],Dyno_Data[RecordType],"Activities", Dyno_Data[AcqCenter],3,Dyno_Data[Mode],"Auto")</f>
        <v>0</v>
      </c>
      <c r="AV248">
        <f>SUMIFS(Dyno_Data[AcqDis], Dyno_Data[Team],TBA_Matches_All[[#This Row],[Team]],Dyno_Data[Match],TBA_Matches_All[[#This Row],[Match_Number]],Dyno_Data[RecordType],"Activities", Dyno_Data[AcqCenter],4,Dyno_Data[Mode],"Auto")</f>
        <v>0</v>
      </c>
      <c r="AW248">
        <f>SUMIFS(Dyno_Data[AcqDis], Dyno_Data[Team],TBA_Matches_All[[#This Row],[Team]],Dyno_Data[Match],TBA_Matches_All[[#This Row],[Match_Number]],Dyno_Data[RecordType],"Activities", Dyno_Data[AcqCenter],5,Dyno_Data[Mode],"Auto")</f>
        <v>0</v>
      </c>
      <c r="AX248">
        <f>SUMIFS(Dyno_Data[DelMiss], Dyno_Data[Team],TBA_Matches_All[[#This Row],[Team]],Dyno_Data[Match],TBA_Matches_All[[#This Row],[Match_Number]],Dyno_Data[RecordType],"Activities", Dyno_Data[DelDest],"Amp")</f>
        <v>0</v>
      </c>
      <c r="AY248" s="60">
        <f>IFERROR(SUM((TBA_Matches_All[[#This Row],[AampT]]+TBA_Matches_All[[#This Row],[TampT]])/(TBA_Matches_All[[#This Row],[AampT]]+TBA_Matches_All[[#This Row],[TampT]]+TBA_Matches_All[[#This Row],[ampM]])),0)</f>
        <v>0</v>
      </c>
      <c r="AZ248">
        <f>SUMIFS(Dyno_Data[DelMiss], Dyno_Data[Team],TBA_Matches_All[[#This Row],[Team]],Dyno_Data[Match],TBA_Matches_All[[#This Row],[Match_Number]],Dyno_Data[RecordType],"Activities", Dyno_Data[DelDest],"Spkr")</f>
        <v>3</v>
      </c>
      <c r="BA248" s="60">
        <f>IFERROR(SUM((TBA_Matches_All[[#This Row],[AspkrT]]+TBA_Matches_All[[#This Row],[TspkrT]])/(TBA_Matches_All[[#This Row],[AspkrT]]+TBA_Matches_All[[#This Row],[TspkrT]]+TBA_Matches_All[[#This Row],[spkrM]])),0)</f>
        <v>0.66666666666666663</v>
      </c>
      <c r="BB248">
        <f>SUMIFS(Dyno_Data[DelMiss], Dyno_Data[Team],TBA_Matches_All[[#This Row],[Team]],Dyno_Data[Match],TBA_Matches_All[[#This Row],[Match_Number]],Dyno_Data[RecordType],"Activities", Dyno_Data[DelDest],"Trap")</f>
        <v>0</v>
      </c>
      <c r="BC248" s="60">
        <f>IFERROR((TBA_Matches_All[[#This Row],[AtrapT]]+TBA_Matches_All[[#This Row],[TtrapT]])/(TBA_Matches_All[[#This Row],[AtrapT]]+TBA_Matches_All[[#This Row],[TtrapT]]+TBA_Matches_All[[#This Row],[trapM]]),0)</f>
        <v>0</v>
      </c>
      <c r="BD248">
        <f>COUNTIFS(Dyno_Data[Team],TBA_Matches_All[[#This Row],[Team]],Dyno_Data[Match],TBA_Matches_All[[#This Row],[Match_Number]],Dyno_Data[RecordType],"Activities",Dyno_Data[DelDest],"Neut", Dyno_Data[DelMiss],1)</f>
        <v>0</v>
      </c>
      <c r="BE248" s="60">
        <f>IFERROR(SUM((TBA_Matches_All[[#This Row],[NeutFlrT]])/(TBA_Matches_All[[#This Row],[NeutFlrT]]+TBA_Matches_All[[#This Row],[NZflM]])),0)</f>
        <v>0</v>
      </c>
      <c r="BF248">
        <f>COUNTIFS(Dyno_Data[Team],TBA_Matches_All[[#This Row],[Team]],Dyno_Data[Match],TBA_Matches_All[[#This Row],[Match_Number]],Dyno_Data[RecordType],"Activities",Dyno_Data[DelDest],"AllyW", Dyno_Data[DelMiss],1)</f>
        <v>0</v>
      </c>
      <c r="BG248" s="60">
        <f>IFERROR(SUM((TBA_Matches_All[[#This Row],[AllyWFlrT]])/(TBA_Matches_All[[#This Row],[AllyWFlrT]]+TBA_Matches_All[[#This Row],[AZflM]])),0)</f>
        <v>0</v>
      </c>
      <c r="BH248">
        <f>COUNTIFS(Dyno_Data[Team],TBA_Matches_All[[#This Row],[Team]],Dyno_Data[Match],TBA_Matches_All[[#This Row],[Match_Number]],Dyno_Data[RecordType],"Activities",Dyno_Data[DelOrig],"OppW", Dyno_Data[DelMiss],"0")</f>
        <v>0</v>
      </c>
      <c r="BI248">
        <f>COUNTIFS(Dyno_Data[Team],TBA_Matches_All[[#This Row],[Team]],Dyno_Data[Match],TBA_Matches_All[[#This Row],[Match_Number]],Dyno_Data[RecordType],"Activities",Dyno_Data[DelOrig],"OppW", Dyno_Data[DelMiss],"1")</f>
        <v>0</v>
      </c>
      <c r="BJ248" s="60">
        <f>IFERROR(SUM((TBA_Matches_All[[#This Row],[OZflrT]])/(TBA_Matches_All[[#This Row],[OZflrT]]+TBA_Matches_All[[#This Row],[OZflrM]])),0)</f>
        <v>0</v>
      </c>
      <c r="BK248">
        <f>COUNTIFS(Dyno_Data[Team],TBA_Matches_All[[#This Row],[Team]],Dyno_Data[Match],TBA_Matches_All[[#This Row],[Match_Number]],Dyno_Data[RecordType],"Activities",Dyno_Data[DelOrig],"Neut", Dyno_Data[DelMiss],"0")</f>
        <v>0</v>
      </c>
      <c r="BL248">
        <f>COUNTIFS(Dyno_Data[Team],TBA_Matches_All[[#This Row],[Team]],Dyno_Data[Match],TBA_Matches_All[[#This Row],[Match_Number]],Dyno_Data[RecordType],"Activities",Dyno_Data[DelOrig],"Neut", Dyno_Data[DelMiss],"1")</f>
        <v>0</v>
      </c>
      <c r="BM248" s="60">
        <f>IFERROR(SUM((TBA_Matches_All[[#This Row],[NZflrT]])/(TBA_Matches_All[[#This Row],[NZflrT]]+TBA_Matches_All[[#This Row],[NZflrM]])),0)</f>
        <v>0</v>
      </c>
      <c r="BN248">
        <f>COUNTIFS(Dyno_Data[Team],TBA_Matches_All[[#This Row],[Team]],Dyno_Data[Match],TBA_Matches_All[[#This Row],[Match_Number]],Dyno_Data[RecordType],"Activities",Dyno_Data[DelOrig],"AllyW", Dyno_Data[DelMiss],"0")</f>
        <v>0</v>
      </c>
      <c r="BO248">
        <f>COUNTIFS(Dyno_Data[Team],TBA_Matches_All[[#This Row],[Team]],Dyno_Data[Match],TBA_Matches_All[[#This Row],[Match_Number]],Dyno_Data[RecordType],"Activities",Dyno_Data[DelOrig],"AllyW", Dyno_Data[DelMiss],"1")</f>
        <v>0</v>
      </c>
      <c r="BP248" s="60">
        <f>IFERROR(SUM((TBA_Matches_All[[#This Row],[AZflrT]])/(TBA_Matches_All[[#This Row],[AZflrT]]+TBA_Matches_All[[#This Row],[AZflrM]])),0)</f>
        <v>0</v>
      </c>
      <c r="BQ248">
        <f>COUNTIFS(Dyno_Data[Team],TBA_Matches_All[[#This Row],[Team]],Dyno_Data[Match],TBA_Matches_All[[#This Row],[Match_Number]],Dyno_Data[RecordType],"Activities",Dyno_Data[DelOrig],"SubW", Dyno_Data[DelMiss],"0")</f>
        <v>6</v>
      </c>
      <c r="BR248">
        <f>COUNTIFS(Dyno_Data[Team],TBA_Matches_All[[#This Row],[Team]],Dyno_Data[Match],TBA_Matches_All[[#This Row],[Match_Number]],Dyno_Data[RecordType],"Activities",Dyno_Data[DelOrig],"SubW", Dyno_Data[DelMiss],"1")</f>
        <v>3</v>
      </c>
      <c r="BS248" s="60">
        <f>IFERROR(SUM((TBA_Matches_All[[#This Row],[SubwT]])/(TBA_Matches_All[[#This Row],[SubwT]]+TBA_Matches_All[[#This Row],[SubwM]])),0)</f>
        <v>0.66666666666666663</v>
      </c>
      <c r="BT248">
        <f>COUNTIFS(Dyno_Data[Team],TBA_Matches_All[[#This Row],[Team]],Dyno_Data[Match],TBA_Matches_All[[#This Row],[Match_Number]],Dyno_Data[RecordType],"Activities", Dyno_Data[AcqLoc],"OppWing")</f>
        <v>0</v>
      </c>
      <c r="BU248">
        <f>COUNTIFS(Dyno_Data[Team],TBA_Matches_All[[#This Row],[Team]],Dyno_Data[Match],TBA_Matches_All[[#This Row],[Match_Number]],Dyno_Data[RecordType],"Activities", Dyno_Data[AcqLoc],"Neutral")</f>
        <v>0</v>
      </c>
      <c r="BV248">
        <f>COUNTIFS(Dyno_Data[Team],TBA_Matches_All[[#This Row],[Team]],Dyno_Data[Match],TBA_Matches_All[[#This Row],[Match_Number]],Dyno_Data[RecordType],"Activities", Dyno_Data[AcqLoc],"AllyWing")</f>
        <v>0</v>
      </c>
      <c r="BW248">
        <f>COUNTIFS(Dyno_Data[Team],TBA_Matches_All[[#This Row],[Team]],Dyno_Data[Match],TBA_Matches_All[[#This Row],[Match_Number]],Dyno_Data[RecordType],"Activities", Dyno_Data[AcqLoc],"Source")</f>
        <v>0</v>
      </c>
      <c r="BX248">
        <f>SUMIFS(Dyno_Data[AcqDrp], Dyno_Data[Team],TBA_Matches_All[[#This Row],[Team]],Dyno_Data[Match],TBA_Matches_All[[#This Row],[Match_Number]],Dyno_Data[RecordType],"Activities", Dyno_Data[AcqLoc],"Source")</f>
        <v>0</v>
      </c>
      <c r="BY248">
        <f>SUMIFS(Dyno_Data[OZTime], Dyno_Data[Team],TBA_Matches_All[[#This Row],[Team]],Dyno_Data[Match],TBA_Matches_All[[#This Row],[Match_Number]],Dyno_Data[RecordType],"EndMatch")</f>
        <v>25.402569999999997</v>
      </c>
      <c r="BZ248">
        <f>SUMIFS(Dyno_Data[NZTime], Dyno_Data[Team],TBA_Matches_All[[#This Row],[Team]],Dyno_Data[Match],TBA_Matches_All[[#This Row],[Match_Number]],Dyno_Data[RecordType],"EndMatch")</f>
        <v>11.654507199999999</v>
      </c>
      <c r="CA248">
        <f>SUMIFS(Dyno_Data[AZTime], Dyno_Data[Team],TBA_Matches_All[[#This Row],[Team]],Dyno_Data[Match],TBA_Matches_All[[#This Row],[Match_Number]],Dyno_Data[RecordType],"EndMatch")</f>
        <v>86.385257600000003</v>
      </c>
      <c r="CB248">
        <f>SUMIFS(Dyno_Data[ClimbT], Dyno_Data[Team],TBA_Matches_All[[#This Row],[Team]],Dyno_Data[Match],TBA_Matches_All[[#This Row],[Match_Number]],Dyno_Data[RecordType],"EndMatch")</f>
        <v>1.6282983</v>
      </c>
      <c r="CC248" t="str">
        <f>_xlfn.XLOOKUP(SUM(MID(TBA_Matches_All[[#This Row],[Team]],4,5),(TBA_Matches_All[[#This Row],[Match_Number]]/100)),Dyno_EndMatch[teammat],Dyno_EndMatch[StageStat],"_",0,1)</f>
        <v>On</v>
      </c>
      <c r="CD248" t="str">
        <f>_xlfn.XLOOKUP(TBA_Matches_All[[#This Row],[teammat]],Dyno_EndMatch[teammat],Dyno_EndMatch[StageAtt],"_",0,1)</f>
        <v>1</v>
      </c>
      <c r="CE248" t="str">
        <f>_xlfn.XLOOKUP(TBA_Matches_All[[#This Row],[teammat]],Dyno_EndMatch[teammat],Dyno_EndMatch[StageLoc],"_",0,1)</f>
        <v>L</v>
      </c>
      <c r="CF248">
        <f>SUMIFS(Dyno_Data[Harmony], Dyno_Data[Team],TBA_Matches_All[[#This Row],[Team]],Dyno_Data[Match],TBA_Matches_All[[#This Row],[Match_Number]],Dyno_Data[RecordType],"EndMatch", Dyno_Data[StageStat],"On",Dyno_Data[Harmony],"&lt;&gt;9")</f>
        <v>0</v>
      </c>
      <c r="CG248">
        <f>SUMIFS(Dyno_Data[Spotlit], Dyno_Data[Team],TBA_Matches_All[[#This Row],[Team]],Dyno_Data[Match],TBA_Matches_All[[#This Row],[Match_Number]],Dyno_Data[RecordType],"EndMatch", Dyno_Data[StageStat],"On",Dyno_Data[Spotlit],"&lt;&gt;9")</f>
        <v>0</v>
      </c>
      <c r="CH248" t="str">
        <f>_xlfn.XLOOKUP(TBA_Matches_All[[#This Row],[teammat]],Dyno_EndMatch[teammat],Dyno_EndMatch[Strategy],"_",0,1)</f>
        <v>Hybrid</v>
      </c>
      <c r="CI248">
        <f>SUMIFS(Dyno_Data[Defense], Dyno_Data[Team],TBA_Matches_All[[#This Row],[Team]],Dyno_Data[Match],TBA_Matches_All[[#This Row],[Match_Number]],Dyno_Data[RecordType],"EndMatch",Dyno_Data[Defense],"&lt;&gt;9")</f>
        <v>0</v>
      </c>
      <c r="CJ248">
        <f>SUMIFS(Dyno_Data[Avoidance], Dyno_Data[Team],TBA_Matches_All[[#This Row],[Team]],Dyno_Data[Match],TBA_Matches_All[[#This Row],[Match_Number]],Dyno_Data[RecordType],"EndMatch",Dyno_Data[Avoidance],"&lt;&gt;9")</f>
        <v>1</v>
      </c>
      <c r="CK248" s="82">
        <f>COUNTIF($H$2:TBA_Matches_All[[#This Row],[Team]],TBA_Matches_All[[#This Row],[Team]])</f>
        <v>5</v>
      </c>
      <c r="CL248" s="111">
        <f>SUM(MID(TBA_Matches_All[[#This Row],[Team]],4,5)+TBA_Matches_All[[#This Row],[Match_Number]]/100)</f>
        <v>5016.41</v>
      </c>
      <c r="CM248">
        <f>SUM((TBA_Matches_All[[#This Row],[Leave]]*2)+(TBA_Matches_All[[#This Row],[AampT]]*2)+(TBA_Matches_All[[#This Row],[AspkrT]]*5)+(TBA_Matches_All[[#This Row],[AtrapT]]*5))</f>
        <v>7</v>
      </c>
      <c r="CN248" s="59">
        <f>IFERROR(SUM(TBA_Matches_All[[#This Row],[AptsT]]/TBA_Matches_All[[#This Row],[AutoPts]]),0)</f>
        <v>0.26923076923076922</v>
      </c>
      <c r="CO248" s="59">
        <f>IFERROR(SUM(TBA_Matches_All[[#This Row],[AampT]]+TBA_Matches_All[[#This Row],[AspkrT]]+TBA_Matches_All[[#This Row],[AtrapT]]/TBA_Matches_All[[#This Row],[Aamp]]+TBA_Matches_All[[#This Row],[Aspkr]]+TBA_Matches_All[[#This Row],[AtrapT]]),0)</f>
        <v>0</v>
      </c>
      <c r="CP248" s="59">
        <f>IFERROR(SUM(TBA_Matches_All[[#This Row],[TampT]]/TBA_Matches_All[[#This Row],[Tamp]]),0)</f>
        <v>0</v>
      </c>
      <c r="CQ248" s="59">
        <f>IFERROR(SUM(TBA_Matches_All[[#This Row],[TspkrT]]/TBA_Matches_All[[#This Row],[Tspkr]]),0)</f>
        <v>0.55555555555555558</v>
      </c>
      <c r="CR248">
        <f>SUM(TBA_Matches_All[[#This Row],[TspkrPts]]*TBA_Matches_All[[#This Row],[TspkrP]])</f>
        <v>16.666666666666668</v>
      </c>
      <c r="CS248" s="59">
        <f>IFERROR(SUM(TBA_Matches_All[[#This Row],[TtrapT]]/TBA_Matches_All[[#This Row],[Trap]]),0)</f>
        <v>0</v>
      </c>
      <c r="CT248" s="59">
        <f>IFERROR(SUM(TBA_Matches_All[[#This Row],[TotNotesT]]/TBA_Matches_All[[#This Row],[TotNotes]]),0)</f>
        <v>0.31578947368421051</v>
      </c>
      <c r="CU248" s="66">
        <f>SUM((TBA_Matches_All[[#This Row],[AampT]]*2)+(TBA_Matches_All[[#This Row],[AspkrT]]*5)+(TBA_Matches_All[[#This Row],[AtrapT]]*5)+(TBA_Matches_All[[#This Row],[TampT]]*1)+(TBA_Matches_All[[#This Row],[TspkrptsC]]))</f>
        <v>21.666666666666668</v>
      </c>
      <c r="CV248" s="59">
        <f>IFERROR(TBA_Matches_All[[#This Row],[noteptsT]]/TBA_Matches_All[[#This Row],[NotePts]],0)</f>
        <v>0.38690476190476192</v>
      </c>
      <c r="CW248">
        <f>SUM(IF(TBA_Matches_All[[#This Row],[stageStat]]="On",3,0),IF(TBA_Matches_All[[#This Row],[stageStat]]="Park",1,0),SUMIFS(TBA_Matches_All[[#This Row],[Spotlit]],TBA_Matches_All[[#This Row],[stageStat]],"On"),SUMIFS(TBA_Matches_All[[#This Row],[Harmony]],TBA_Matches_All[[#This Row],[stageStat]],"On"))</f>
        <v>3</v>
      </c>
      <c r="CX248" s="59">
        <f>IFERROR(TBA_Matches_All[[#This Row],[stageptsT]]/TBA_Matches_All[[#This Row],[StagePts]],0)</f>
        <v>1</v>
      </c>
      <c r="CY248">
        <f>SUM((TBA_Matches_All[[#This Row],[AptsT]]+TBA_Matches_All[[#This Row],[TampT]]+TBA_Matches_All[[#This Row],[TspkrptsC]]+(TBA_Matches_All[[#This Row],[TtrapT]]*5)+TBA_Matches_All[[#This Row],[stageptsT]]))</f>
        <v>26.666666666666668</v>
      </c>
      <c r="CZ248" s="59">
        <f>IFERROR(SUM(TBA_Matches_All[[#This Row],[TotptsC]]/TBA_Matches_All[[#This Row],[Score]]),0)</f>
        <v>0.3603603603603604</v>
      </c>
      <c r="DA24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7.1133333333333333</v>
      </c>
      <c r="DB248" s="74">
        <f>SUMIFS(TBA_Matches_All[AveTeamTNoteDels],TBA_Matches_All[Match_Number],TBA_Matches_All[[#This Row],[Match_Number]],TBA_Matches_All[Alliance],"&lt;&gt;"&amp;TBA_Matches_All[[#This Row],[Alliance]],TBA_Matches_All[Scouted],"&gt;0")</f>
        <v>32.061890609390609</v>
      </c>
      <c r="DC248" s="74">
        <f>(TBA_Matches_All[[#This Row],[TampT]]+TBA_Matches_All[[#This Row],[TspkrptsC]])-TBA_Matches_All[[#This Row],[AveTeamTNoteDels]]</f>
        <v>9.5533333333333346</v>
      </c>
      <c r="DD248" s="74">
        <f>SUMIFS(TBA_Matches_All[AveTeamTNoteDels],TBA_Matches_All[Match_Number],TBA_Matches_All[[#This Row],[Match_Number]],TBA_Matches_All[Alliance],"&lt;&gt;"&amp;TBA_Matches_All[[#This Row],[Alliance]])-TBA_Matches_All[[#This Row],[AveOppTNoteDels]]</f>
        <v>0</v>
      </c>
    </row>
    <row r="249" spans="1:108" x14ac:dyDescent="0.3">
      <c r="A249" t="s">
        <v>1042</v>
      </c>
      <c r="B249" t="s">
        <v>489</v>
      </c>
      <c r="C249" t="s">
        <v>1351</v>
      </c>
      <c r="D249">
        <v>42</v>
      </c>
      <c r="E249" t="s">
        <v>1420</v>
      </c>
      <c r="F249" t="s">
        <v>1421</v>
      </c>
      <c r="G249" t="s">
        <v>164</v>
      </c>
      <c r="H249" t="s">
        <v>1292</v>
      </c>
      <c r="I249" t="b">
        <v>0</v>
      </c>
      <c r="J249">
        <v>38</v>
      </c>
      <c r="K249">
        <v>0</v>
      </c>
      <c r="L249">
        <v>0</v>
      </c>
      <c r="M249">
        <v>2</v>
      </c>
      <c r="N249">
        <v>0</v>
      </c>
      <c r="O249">
        <v>1</v>
      </c>
      <c r="P249">
        <v>5</v>
      </c>
      <c r="Q249">
        <v>9</v>
      </c>
      <c r="R249">
        <v>3</v>
      </c>
      <c r="S249">
        <v>1</v>
      </c>
      <c r="T249">
        <v>4</v>
      </c>
      <c r="U249">
        <v>5</v>
      </c>
      <c r="V249">
        <v>8</v>
      </c>
      <c r="W249">
        <v>5</v>
      </c>
      <c r="X249">
        <v>13</v>
      </c>
      <c r="Y249">
        <v>16</v>
      </c>
      <c r="Z249">
        <v>0</v>
      </c>
      <c r="AA249">
        <v>0</v>
      </c>
      <c r="AB249">
        <v>9</v>
      </c>
      <c r="AC249">
        <v>21</v>
      </c>
      <c r="AD249">
        <v>3</v>
      </c>
      <c r="AE249">
        <f>IFERROR(6/(COUNTIF(Dyno_EndMatch[Match],TBA_Matches_All[[#This Row],[Match_Number]])),0)</f>
        <v>1</v>
      </c>
      <c r="AF249">
        <f>COUNTIFS(Dyno_Data[Team],TBA_Matches_All[[#This Row],[Team]],Dyno_Data[Match],TBA_Matches_All[[#This Row],[Match_Number]],Dyno_Data[RecordType],"EndMatch",Dyno_Data[HPAmp],"Y")</f>
        <v>0</v>
      </c>
      <c r="AG249">
        <f>SUMIFS(Dyno_Data[Mics], Dyno_Data[Team],TBA_Matches_All[[#This Row],[Team]],Dyno_Data[Match],TBA_Matches_All[[#This Row],[Match_Number]],Dyno_Data[RecordType],"EndMatch",Dyno_Data[HPAmp],"Y")</f>
        <v>0</v>
      </c>
      <c r="AH249">
        <f>SUMIFS(Dyno_Data[Leave], Dyno_Data[Team],TBA_Matches_All[[#This Row],[Team]],Dyno_Data[Match],TBA_Matches_All[[#This Row],[Match_Number]],Dyno_Data[RecordType],"EndAuto")</f>
        <v>0</v>
      </c>
      <c r="AI249">
        <f>COUNTIFS(Dyno_Data[Team],TBA_Matches_All[[#This Row],[Team]],Dyno_Data[Match],TBA_Matches_All[[#This Row],[Match_Number]],Dyno_Data[RecordType],"Activities",Dyno_Data[DelDest],"Amp", Dyno_Data[DelMiss],"0", Dyno_Data[Mode],"Auto")</f>
        <v>0</v>
      </c>
      <c r="AJ249">
        <f>COUNTIFS(Dyno_Data[Team],TBA_Matches_All[[#This Row],[Team]],Dyno_Data[Match],TBA_Matches_All[[#This Row],[Match_Number]],Dyno_Data[RecordType],"Activities",Dyno_Data[DelDest],"Spkr", Dyno_Data[DelMiss],"0", Dyno_Data[Mode],"Auto")</f>
        <v>0</v>
      </c>
      <c r="AK249">
        <f>COUNTIFS(Dyno_Data[Team],TBA_Matches_All[[#This Row],[Team]],Dyno_Data[Match],TBA_Matches_All[[#This Row],[Match_Number]],Dyno_Data[RecordType],"Activities",Dyno_Data[DelDest],"Trap", Dyno_Data[DelMiss],"0", Dyno_Data[Mode],"Auto")</f>
        <v>0</v>
      </c>
      <c r="AL249">
        <f>COUNTIFS(Dyno_Data[Team],TBA_Matches_All[[#This Row],[Team]],Dyno_Data[Match],TBA_Matches_All[[#This Row],[Match_Number]],Dyno_Data[RecordType],"Activities",Dyno_Data[DelDest],"Amp", Dyno_Data[DelMiss],"0", Dyno_Data[Mode],"Teleop")</f>
        <v>0</v>
      </c>
      <c r="AM249">
        <f>COUNTIFS(Dyno_Data[Team],TBA_Matches_All[[#This Row],[Team]],Dyno_Data[Match],TBA_Matches_All[[#This Row],[Match_Number]],Dyno_Data[RecordType],"Activities",Dyno_Data[DelDest],"Spkr", Dyno_Data[DelMiss],"0", Dyno_Data[Mode],"Teleop")</f>
        <v>0</v>
      </c>
      <c r="AN249">
        <f>COUNTIFS(Dyno_Data[Team],TBA_Matches_All[[#This Row],[Team]],Dyno_Data[Match],TBA_Matches_All[[#This Row],[Match_Number]],Dyno_Data[RecordType],"Activities",Dyno_Data[DelDest],"Trap", Dyno_Data[DelMiss],"0", Dyno_Data[Mode],"&lt;&gt;Auto")</f>
        <v>0</v>
      </c>
      <c r="AO249">
        <f>SUM(TBA_Matches_All[[#This Row],[AampT]]+TBA_Matches_All[[#This Row],[AspkrT]]+TBA_Matches_All[[#This Row],[AtrapT]]+TBA_Matches_All[[#This Row],[TampT]]+TBA_Matches_All[[#This Row],[TspkrT]]+TBA_Matches_All[[#This Row],[TtrapT]])</f>
        <v>0</v>
      </c>
      <c r="AP249">
        <f>COUNTIFS(Dyno_Data[Team],TBA_Matches_All[[#This Row],[Team]],Dyno_Data[Match],TBA_Matches_All[[#This Row],[Match_Number]],Dyno_Data[RecordType],"Activities",Dyno_Data[DelDest],"Neut", Dyno_Data[DelMiss],"0")</f>
        <v>0</v>
      </c>
      <c r="AQ249">
        <f>COUNTIFS(Dyno_Data[Team],TBA_Matches_All[[#This Row],[Team]],Dyno_Data[Match],TBA_Matches_All[[#This Row],[Match_Number]],Dyno_Data[RecordType],"Activities",Dyno_Data[DelDest],"AllyW", Dyno_Data[DelMiss],"0")</f>
        <v>0</v>
      </c>
      <c r="AR249" t="str">
        <f>_xlfn.XLOOKUP(SUM(MID(TBA_Matches_All[[#This Row],[Team]],4,5),(TBA_Matches_All[[#This Row],[Match_Number]]/100)),Dyno_EndMatch[teammat],Dyno_EndMatch[RobotSta],"_",0,1)</f>
        <v>Podm</v>
      </c>
      <c r="AS249">
        <f>SUMIFS(Dyno_Data[AcqDis], Dyno_Data[Team],TBA_Matches_All[[#This Row],[Team]],Dyno_Data[Match],TBA_Matches_All[[#This Row],[Match_Number]],Dyno_Data[RecordType],"Activities", Dyno_Data[AcqCenter],1,Dyno_Data[Mode],"Auto")</f>
        <v>0</v>
      </c>
      <c r="AT249">
        <f>SUMIFS(Dyno_Data[AcqDis], Dyno_Data[Team],TBA_Matches_All[[#This Row],[Team]],Dyno_Data[Match],TBA_Matches_All[[#This Row],[Match_Number]],Dyno_Data[RecordType],"Activities", Dyno_Data[AcqCenter],2,Dyno_Data[Mode],"Auto")</f>
        <v>0</v>
      </c>
      <c r="AU249">
        <f>SUMIFS(Dyno_Data[AcqDis], Dyno_Data[Team],TBA_Matches_All[[#This Row],[Team]],Dyno_Data[Match],TBA_Matches_All[[#This Row],[Match_Number]],Dyno_Data[RecordType],"Activities", Dyno_Data[AcqCenter],3,Dyno_Data[Mode],"Auto")</f>
        <v>0</v>
      </c>
      <c r="AV249">
        <f>SUMIFS(Dyno_Data[AcqDis], Dyno_Data[Team],TBA_Matches_All[[#This Row],[Team]],Dyno_Data[Match],TBA_Matches_All[[#This Row],[Match_Number]],Dyno_Data[RecordType],"Activities", Dyno_Data[AcqCenter],4,Dyno_Data[Mode],"Auto")</f>
        <v>0</v>
      </c>
      <c r="AW249">
        <f>SUMIFS(Dyno_Data[AcqDis], Dyno_Data[Team],TBA_Matches_All[[#This Row],[Team]],Dyno_Data[Match],TBA_Matches_All[[#This Row],[Match_Number]],Dyno_Data[RecordType],"Activities", Dyno_Data[AcqCenter],5,Dyno_Data[Mode],"Auto")</f>
        <v>0</v>
      </c>
      <c r="AX249">
        <f>SUMIFS(Dyno_Data[DelMiss], Dyno_Data[Team],TBA_Matches_All[[#This Row],[Team]],Dyno_Data[Match],TBA_Matches_All[[#This Row],[Match_Number]],Dyno_Data[RecordType],"Activities", Dyno_Data[DelDest],"Amp")</f>
        <v>0</v>
      </c>
      <c r="AY249" s="60">
        <f>IFERROR(SUM((TBA_Matches_All[[#This Row],[AampT]]+TBA_Matches_All[[#This Row],[TampT]])/(TBA_Matches_All[[#This Row],[AampT]]+TBA_Matches_All[[#This Row],[TampT]]+TBA_Matches_All[[#This Row],[ampM]])),0)</f>
        <v>0</v>
      </c>
      <c r="AZ249">
        <f>SUMIFS(Dyno_Data[DelMiss], Dyno_Data[Team],TBA_Matches_All[[#This Row],[Team]],Dyno_Data[Match],TBA_Matches_All[[#This Row],[Match_Number]],Dyno_Data[RecordType],"Activities", Dyno_Data[DelDest],"Spkr")</f>
        <v>1</v>
      </c>
      <c r="BA249" s="60">
        <f>IFERROR(SUM((TBA_Matches_All[[#This Row],[AspkrT]]+TBA_Matches_All[[#This Row],[TspkrT]])/(TBA_Matches_All[[#This Row],[AspkrT]]+TBA_Matches_All[[#This Row],[TspkrT]]+TBA_Matches_All[[#This Row],[spkrM]])),0)</f>
        <v>0</v>
      </c>
      <c r="BB249">
        <f>SUMIFS(Dyno_Data[DelMiss], Dyno_Data[Team],TBA_Matches_All[[#This Row],[Team]],Dyno_Data[Match],TBA_Matches_All[[#This Row],[Match_Number]],Dyno_Data[RecordType],"Activities", Dyno_Data[DelDest],"Trap")</f>
        <v>0</v>
      </c>
      <c r="BC249" s="60">
        <f>IFERROR((TBA_Matches_All[[#This Row],[AtrapT]]+TBA_Matches_All[[#This Row],[TtrapT]])/(TBA_Matches_All[[#This Row],[AtrapT]]+TBA_Matches_All[[#This Row],[TtrapT]]+TBA_Matches_All[[#This Row],[trapM]]),0)</f>
        <v>0</v>
      </c>
      <c r="BD249">
        <f>COUNTIFS(Dyno_Data[Team],TBA_Matches_All[[#This Row],[Team]],Dyno_Data[Match],TBA_Matches_All[[#This Row],[Match_Number]],Dyno_Data[RecordType],"Activities",Dyno_Data[DelDest],"Neut", Dyno_Data[DelMiss],1)</f>
        <v>0</v>
      </c>
      <c r="BE249" s="60">
        <f>IFERROR(SUM((TBA_Matches_All[[#This Row],[NeutFlrT]])/(TBA_Matches_All[[#This Row],[NeutFlrT]]+TBA_Matches_All[[#This Row],[NZflM]])),0)</f>
        <v>0</v>
      </c>
      <c r="BF249">
        <f>COUNTIFS(Dyno_Data[Team],TBA_Matches_All[[#This Row],[Team]],Dyno_Data[Match],TBA_Matches_All[[#This Row],[Match_Number]],Dyno_Data[RecordType],"Activities",Dyno_Data[DelDest],"AllyW", Dyno_Data[DelMiss],1)</f>
        <v>0</v>
      </c>
      <c r="BG249" s="60">
        <f>IFERROR(SUM((TBA_Matches_All[[#This Row],[AllyWFlrT]])/(TBA_Matches_All[[#This Row],[AllyWFlrT]]+TBA_Matches_All[[#This Row],[AZflM]])),0)</f>
        <v>0</v>
      </c>
      <c r="BH249">
        <f>COUNTIFS(Dyno_Data[Team],TBA_Matches_All[[#This Row],[Team]],Dyno_Data[Match],TBA_Matches_All[[#This Row],[Match_Number]],Dyno_Data[RecordType],"Activities",Dyno_Data[DelOrig],"OppW", Dyno_Data[DelMiss],"0")</f>
        <v>0</v>
      </c>
      <c r="BI249">
        <f>COUNTIFS(Dyno_Data[Team],TBA_Matches_All[[#This Row],[Team]],Dyno_Data[Match],TBA_Matches_All[[#This Row],[Match_Number]],Dyno_Data[RecordType],"Activities",Dyno_Data[DelOrig],"OppW", Dyno_Data[DelMiss],"1")</f>
        <v>0</v>
      </c>
      <c r="BJ249" s="60">
        <f>IFERROR(SUM((TBA_Matches_All[[#This Row],[OZflrT]])/(TBA_Matches_All[[#This Row],[OZflrT]]+TBA_Matches_All[[#This Row],[OZflrM]])),0)</f>
        <v>0</v>
      </c>
      <c r="BK249">
        <f>COUNTIFS(Dyno_Data[Team],TBA_Matches_All[[#This Row],[Team]],Dyno_Data[Match],TBA_Matches_All[[#This Row],[Match_Number]],Dyno_Data[RecordType],"Activities",Dyno_Data[DelOrig],"Neut", Dyno_Data[DelMiss],"0")</f>
        <v>0</v>
      </c>
      <c r="BL249">
        <f>COUNTIFS(Dyno_Data[Team],TBA_Matches_All[[#This Row],[Team]],Dyno_Data[Match],TBA_Matches_All[[#This Row],[Match_Number]],Dyno_Data[RecordType],"Activities",Dyno_Data[DelOrig],"Neut", Dyno_Data[DelMiss],"1")</f>
        <v>0</v>
      </c>
      <c r="BM249" s="60">
        <f>IFERROR(SUM((TBA_Matches_All[[#This Row],[NZflrT]])/(TBA_Matches_All[[#This Row],[NZflrT]]+TBA_Matches_All[[#This Row],[NZflrM]])),0)</f>
        <v>0</v>
      </c>
      <c r="BN249">
        <f>COUNTIFS(Dyno_Data[Team],TBA_Matches_All[[#This Row],[Team]],Dyno_Data[Match],TBA_Matches_All[[#This Row],[Match_Number]],Dyno_Data[RecordType],"Activities",Dyno_Data[DelOrig],"AllyW", Dyno_Data[DelMiss],"0")</f>
        <v>0</v>
      </c>
      <c r="BO249">
        <f>COUNTIFS(Dyno_Data[Team],TBA_Matches_All[[#This Row],[Team]],Dyno_Data[Match],TBA_Matches_All[[#This Row],[Match_Number]],Dyno_Data[RecordType],"Activities",Dyno_Data[DelOrig],"AllyW", Dyno_Data[DelMiss],"1")</f>
        <v>0</v>
      </c>
      <c r="BP249" s="60">
        <f>IFERROR(SUM((TBA_Matches_All[[#This Row],[AZflrT]])/(TBA_Matches_All[[#This Row],[AZflrT]]+TBA_Matches_All[[#This Row],[AZflrM]])),0)</f>
        <v>0</v>
      </c>
      <c r="BQ249">
        <f>COUNTIFS(Dyno_Data[Team],TBA_Matches_All[[#This Row],[Team]],Dyno_Data[Match],TBA_Matches_All[[#This Row],[Match_Number]],Dyno_Data[RecordType],"Activities",Dyno_Data[DelOrig],"SubW", Dyno_Data[DelMiss],"0")</f>
        <v>0</v>
      </c>
      <c r="BR249">
        <f>COUNTIFS(Dyno_Data[Team],TBA_Matches_All[[#This Row],[Team]],Dyno_Data[Match],TBA_Matches_All[[#This Row],[Match_Number]],Dyno_Data[RecordType],"Activities",Dyno_Data[DelOrig],"SubW", Dyno_Data[DelMiss],"1")</f>
        <v>1</v>
      </c>
      <c r="BS249" s="60">
        <f>IFERROR(SUM((TBA_Matches_All[[#This Row],[SubwT]])/(TBA_Matches_All[[#This Row],[SubwT]]+TBA_Matches_All[[#This Row],[SubwM]])),0)</f>
        <v>0</v>
      </c>
      <c r="BT249">
        <f>COUNTIFS(Dyno_Data[Team],TBA_Matches_All[[#This Row],[Team]],Dyno_Data[Match],TBA_Matches_All[[#This Row],[Match_Number]],Dyno_Data[RecordType],"Activities", Dyno_Data[AcqLoc],"OppWing")</f>
        <v>0</v>
      </c>
      <c r="BU249">
        <f>COUNTIFS(Dyno_Data[Team],TBA_Matches_All[[#This Row],[Team]],Dyno_Data[Match],TBA_Matches_All[[#This Row],[Match_Number]],Dyno_Data[RecordType],"Activities", Dyno_Data[AcqLoc],"Neutral")</f>
        <v>0</v>
      </c>
      <c r="BV249">
        <f>COUNTIFS(Dyno_Data[Team],TBA_Matches_All[[#This Row],[Team]],Dyno_Data[Match],TBA_Matches_All[[#This Row],[Match_Number]],Dyno_Data[RecordType],"Activities", Dyno_Data[AcqLoc],"AllyWing")</f>
        <v>0</v>
      </c>
      <c r="BW249">
        <f>COUNTIFS(Dyno_Data[Team],TBA_Matches_All[[#This Row],[Team]],Dyno_Data[Match],TBA_Matches_All[[#This Row],[Match_Number]],Dyno_Data[RecordType],"Activities", Dyno_Data[AcqLoc],"Source")</f>
        <v>0</v>
      </c>
      <c r="BX249">
        <f>SUMIFS(Dyno_Data[AcqDrp], Dyno_Data[Team],TBA_Matches_All[[#This Row],[Team]],Dyno_Data[Match],TBA_Matches_All[[#This Row],[Match_Number]],Dyno_Data[RecordType],"Activities", Dyno_Data[AcqLoc],"Source")</f>
        <v>0</v>
      </c>
      <c r="BY249">
        <f>SUMIFS(Dyno_Data[OZTime], Dyno_Data[Team],TBA_Matches_All[[#This Row],[Team]],Dyno_Data[Match],TBA_Matches_All[[#This Row],[Match_Number]],Dyno_Data[RecordType],"EndMatch")</f>
        <v>0.3778261</v>
      </c>
      <c r="BZ249">
        <f>SUMIFS(Dyno_Data[NZTime], Dyno_Data[Team],TBA_Matches_All[[#This Row],[Team]],Dyno_Data[Match],TBA_Matches_All[[#This Row],[Match_Number]],Dyno_Data[RecordType],"EndMatch")</f>
        <v>105.58822149999999</v>
      </c>
      <c r="CA249">
        <f>SUMIFS(Dyno_Data[AZTime], Dyno_Data[Team],TBA_Matches_All[[#This Row],[Team]],Dyno_Data[Match],TBA_Matches_All[[#This Row],[Match_Number]],Dyno_Data[RecordType],"EndMatch")</f>
        <v>27.662361299999997</v>
      </c>
      <c r="CB249">
        <f>SUMIFS(Dyno_Data[ClimbT], Dyno_Data[Team],TBA_Matches_All[[#This Row],[Team]],Dyno_Data[Match],TBA_Matches_All[[#This Row],[Match_Number]],Dyno_Data[RecordType],"EndMatch")</f>
        <v>0</v>
      </c>
      <c r="CC249" t="str">
        <f>_xlfn.XLOOKUP(SUM(MID(TBA_Matches_All[[#This Row],[Team]],4,5),(TBA_Matches_All[[#This Row],[Match_Number]]/100)),Dyno_EndMatch[teammat],Dyno_EndMatch[StageStat],"_",0,1)</f>
        <v>Park</v>
      </c>
      <c r="CD249" t="str">
        <f>_xlfn.XLOOKUP(TBA_Matches_All[[#This Row],[teammat]],Dyno_EndMatch[teammat],Dyno_EndMatch[StageAtt],"_",0,1)</f>
        <v>0</v>
      </c>
      <c r="CE249" t="str">
        <f>_xlfn.XLOOKUP(TBA_Matches_All[[#This Row],[teammat]],Dyno_EndMatch[teammat],Dyno_EndMatch[StageLoc],"_",0,1)</f>
        <v>A</v>
      </c>
      <c r="CF249">
        <f>SUMIFS(Dyno_Data[Harmony], Dyno_Data[Team],TBA_Matches_All[[#This Row],[Team]],Dyno_Data[Match],TBA_Matches_All[[#This Row],[Match_Number]],Dyno_Data[RecordType],"EndMatch", Dyno_Data[StageStat],"On",Dyno_Data[Harmony],"&lt;&gt;9")</f>
        <v>0</v>
      </c>
      <c r="CG249">
        <f>SUMIFS(Dyno_Data[Spotlit], Dyno_Data[Team],TBA_Matches_All[[#This Row],[Team]],Dyno_Data[Match],TBA_Matches_All[[#This Row],[Match_Number]],Dyno_Data[RecordType],"EndMatch", Dyno_Data[StageStat],"On",Dyno_Data[Spotlit],"&lt;&gt;9")</f>
        <v>0</v>
      </c>
      <c r="CH249" t="str">
        <f>_xlfn.XLOOKUP(TBA_Matches_All[[#This Row],[teammat]],Dyno_EndMatch[teammat],Dyno_EndMatch[Strategy],"_",0,1)</f>
        <v>Defense</v>
      </c>
      <c r="CI249">
        <f>SUMIFS(Dyno_Data[Defense], Dyno_Data[Team],TBA_Matches_All[[#This Row],[Team]],Dyno_Data[Match],TBA_Matches_All[[#This Row],[Match_Number]],Dyno_Data[RecordType],"EndMatch",Dyno_Data[Defense],"&lt;&gt;9")</f>
        <v>3</v>
      </c>
      <c r="CJ249">
        <f>SUMIFS(Dyno_Data[Avoidance], Dyno_Data[Team],TBA_Matches_All[[#This Row],[Team]],Dyno_Data[Match],TBA_Matches_All[[#This Row],[Match_Number]],Dyno_Data[RecordType],"EndMatch",Dyno_Data[Avoidance],"&lt;&gt;9")</f>
        <v>0</v>
      </c>
      <c r="CK249" s="82">
        <f>COUNTIF($H$2:TBA_Matches_All[[#This Row],[Team]],TBA_Matches_All[[#This Row],[Team]])</f>
        <v>5</v>
      </c>
      <c r="CL249" s="111">
        <f>SUM(MID(TBA_Matches_All[[#This Row],[Team]],4,5)+TBA_Matches_All[[#This Row],[Match_Number]]/100)</f>
        <v>7030.42</v>
      </c>
      <c r="CM249">
        <f>SUM((TBA_Matches_All[[#This Row],[Leave]]*2)+(TBA_Matches_All[[#This Row],[AampT]]*2)+(TBA_Matches_All[[#This Row],[AspkrT]]*5)+(TBA_Matches_All[[#This Row],[AtrapT]]*5))</f>
        <v>0</v>
      </c>
      <c r="CN249" s="59">
        <f>IFERROR(SUM(TBA_Matches_All[[#This Row],[AptsT]]/TBA_Matches_All[[#This Row],[AutoPts]]),0)</f>
        <v>0</v>
      </c>
      <c r="CO249" s="59">
        <f>IFERROR(SUM(TBA_Matches_All[[#This Row],[AampT]]+TBA_Matches_All[[#This Row],[AspkrT]]+TBA_Matches_All[[#This Row],[AtrapT]]/TBA_Matches_All[[#This Row],[Aamp]]+TBA_Matches_All[[#This Row],[Aspkr]]+TBA_Matches_All[[#This Row],[AtrapT]]),0)</f>
        <v>0</v>
      </c>
      <c r="CP249" s="59">
        <f>IFERROR(SUM(TBA_Matches_All[[#This Row],[TampT]]/TBA_Matches_All[[#This Row],[Tamp]]),0)</f>
        <v>0</v>
      </c>
      <c r="CQ249" s="59">
        <f>IFERROR(SUM(TBA_Matches_All[[#This Row],[TspkrT]]/TBA_Matches_All[[#This Row],[Tspkr]]),0)</f>
        <v>0</v>
      </c>
      <c r="CR249">
        <f>SUM(TBA_Matches_All[[#This Row],[TspkrPts]]*TBA_Matches_All[[#This Row],[TspkrP]])</f>
        <v>0</v>
      </c>
      <c r="CS249" s="59">
        <f>IFERROR(SUM(TBA_Matches_All[[#This Row],[TtrapT]]/TBA_Matches_All[[#This Row],[Trap]]),0)</f>
        <v>0</v>
      </c>
      <c r="CT249" s="59">
        <f>IFERROR(SUM(TBA_Matches_All[[#This Row],[TotNotesT]]/TBA_Matches_All[[#This Row],[TotNotes]]),0)</f>
        <v>0</v>
      </c>
      <c r="CU249" s="66">
        <f>SUM((TBA_Matches_All[[#This Row],[AampT]]*2)+(TBA_Matches_All[[#This Row],[AspkrT]]*5)+(TBA_Matches_All[[#This Row],[AtrapT]]*5)+(TBA_Matches_All[[#This Row],[TampT]]*1)+(TBA_Matches_All[[#This Row],[TspkrptsC]]))</f>
        <v>0</v>
      </c>
      <c r="CV249" s="59">
        <f>IFERROR(TBA_Matches_All[[#This Row],[noteptsT]]/TBA_Matches_All[[#This Row],[NotePts]],0)</f>
        <v>0</v>
      </c>
      <c r="CW249">
        <f>SUM(IF(TBA_Matches_All[[#This Row],[stageStat]]="On",3,0),IF(TBA_Matches_All[[#This Row],[stageStat]]="Park",1,0),SUMIFS(TBA_Matches_All[[#This Row],[Spotlit]],TBA_Matches_All[[#This Row],[stageStat]],"On"),SUMIFS(TBA_Matches_All[[#This Row],[Harmony]],TBA_Matches_All[[#This Row],[stageStat]],"On"))</f>
        <v>1</v>
      </c>
      <c r="CX249" s="59">
        <f>IFERROR(TBA_Matches_All[[#This Row],[stageptsT]]/TBA_Matches_All[[#This Row],[StagePts]],0)</f>
        <v>0.33333333333333331</v>
      </c>
      <c r="CY249">
        <f>SUM((TBA_Matches_All[[#This Row],[AptsT]]+TBA_Matches_All[[#This Row],[TampT]]+TBA_Matches_All[[#This Row],[TspkrptsC]]+(TBA_Matches_All[[#This Row],[TtrapT]]*5)+TBA_Matches_All[[#This Row],[stageptsT]]))</f>
        <v>1</v>
      </c>
      <c r="CZ249" s="59">
        <f>IFERROR(SUM(TBA_Matches_All[[#This Row],[TotptsC]]/TBA_Matches_All[[#This Row],[Score]]),0)</f>
        <v>2.6315789473684209E-2</v>
      </c>
      <c r="DA24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49" s="74">
        <f>SUMIFS(TBA_Matches_All[AveTeamTNoteDels],TBA_Matches_All[Match_Number],TBA_Matches_All[[#This Row],[Match_Number]],TBA_Matches_All[Alliance],"&lt;&gt;"&amp;TBA_Matches_All[[#This Row],[Alliance]],TBA_Matches_All[Scouted],"&gt;0")</f>
        <v>17.426223776223775</v>
      </c>
      <c r="DC249" s="74">
        <f>(TBA_Matches_All[[#This Row],[TampT]]+TBA_Matches_All[[#This Row],[TspkrptsC]])-TBA_Matches_All[[#This Row],[AveTeamTNoteDels]]</f>
        <v>0</v>
      </c>
      <c r="DD249" s="74">
        <f>SUMIFS(TBA_Matches_All[AveTeamTNoteDels],TBA_Matches_All[Match_Number],TBA_Matches_All[[#This Row],[Match_Number]],TBA_Matches_All[Alliance],"&lt;&gt;"&amp;TBA_Matches_All[[#This Row],[Alliance]])-TBA_Matches_All[[#This Row],[AveOppTNoteDels]]</f>
        <v>0</v>
      </c>
    </row>
    <row r="250" spans="1:108" x14ac:dyDescent="0.3">
      <c r="A250" t="s">
        <v>1042</v>
      </c>
      <c r="B250" t="s">
        <v>489</v>
      </c>
      <c r="C250" t="s">
        <v>1351</v>
      </c>
      <c r="D250">
        <v>42</v>
      </c>
      <c r="E250" t="s">
        <v>1406</v>
      </c>
      <c r="F250" t="s">
        <v>1422</v>
      </c>
      <c r="G250" t="s">
        <v>105</v>
      </c>
      <c r="H250" t="s">
        <v>1294</v>
      </c>
      <c r="I250" t="b">
        <v>0</v>
      </c>
      <c r="J250">
        <v>30</v>
      </c>
      <c r="K250">
        <v>0</v>
      </c>
      <c r="L250">
        <v>0</v>
      </c>
      <c r="M250">
        <v>10</v>
      </c>
      <c r="N250">
        <v>0</v>
      </c>
      <c r="O250">
        <v>2</v>
      </c>
      <c r="P250">
        <v>10</v>
      </c>
      <c r="Q250">
        <v>12</v>
      </c>
      <c r="R250">
        <v>0</v>
      </c>
      <c r="S250">
        <v>0</v>
      </c>
      <c r="T250">
        <v>6</v>
      </c>
      <c r="U250">
        <v>0</v>
      </c>
      <c r="V250">
        <v>12</v>
      </c>
      <c r="W250">
        <v>6</v>
      </c>
      <c r="X250">
        <v>12</v>
      </c>
      <c r="Y250">
        <v>12</v>
      </c>
      <c r="Z250">
        <v>0</v>
      </c>
      <c r="AA250">
        <v>0</v>
      </c>
      <c r="AB250">
        <v>8</v>
      </c>
      <c r="AC250">
        <v>22</v>
      </c>
      <c r="AD250">
        <v>4</v>
      </c>
      <c r="AE250">
        <f>IFERROR(6/(COUNTIF(Dyno_EndMatch[Match],TBA_Matches_All[[#This Row],[Match_Number]])),0)</f>
        <v>1</v>
      </c>
      <c r="AF250">
        <f>COUNTIFS(Dyno_Data[Team],TBA_Matches_All[[#This Row],[Team]],Dyno_Data[Match],TBA_Matches_All[[#This Row],[Match_Number]],Dyno_Data[RecordType],"EndMatch",Dyno_Data[HPAmp],"Y")</f>
        <v>0</v>
      </c>
      <c r="AG250">
        <f>SUMIFS(Dyno_Data[Mics], Dyno_Data[Team],TBA_Matches_All[[#This Row],[Team]],Dyno_Data[Match],TBA_Matches_All[[#This Row],[Match_Number]],Dyno_Data[RecordType],"EndMatch",Dyno_Data[HPAmp],"Y")</f>
        <v>0</v>
      </c>
      <c r="AH250">
        <f>SUMIFS(Dyno_Data[Leave], Dyno_Data[Team],TBA_Matches_All[[#This Row],[Team]],Dyno_Data[Match],TBA_Matches_All[[#This Row],[Match_Number]],Dyno_Data[RecordType],"EndAuto")</f>
        <v>1</v>
      </c>
      <c r="AI250">
        <f>COUNTIFS(Dyno_Data[Team],TBA_Matches_All[[#This Row],[Team]],Dyno_Data[Match],TBA_Matches_All[[#This Row],[Match_Number]],Dyno_Data[RecordType],"Activities",Dyno_Data[DelDest],"Amp", Dyno_Data[DelMiss],"0", Dyno_Data[Mode],"Auto")</f>
        <v>0</v>
      </c>
      <c r="AJ250">
        <f>COUNTIFS(Dyno_Data[Team],TBA_Matches_All[[#This Row],[Team]],Dyno_Data[Match],TBA_Matches_All[[#This Row],[Match_Number]],Dyno_Data[RecordType],"Activities",Dyno_Data[DelDest],"Spkr", Dyno_Data[DelMiss],"0", Dyno_Data[Mode],"Auto")</f>
        <v>0</v>
      </c>
      <c r="AK250">
        <f>COUNTIFS(Dyno_Data[Team],TBA_Matches_All[[#This Row],[Team]],Dyno_Data[Match],TBA_Matches_All[[#This Row],[Match_Number]],Dyno_Data[RecordType],"Activities",Dyno_Data[DelDest],"Trap", Dyno_Data[DelMiss],"0", Dyno_Data[Mode],"Auto")</f>
        <v>0</v>
      </c>
      <c r="AL250">
        <f>COUNTIFS(Dyno_Data[Team],TBA_Matches_All[[#This Row],[Team]],Dyno_Data[Match],TBA_Matches_All[[#This Row],[Match_Number]],Dyno_Data[RecordType],"Activities",Dyno_Data[DelDest],"Amp", Dyno_Data[DelMiss],"0", Dyno_Data[Mode],"Teleop")</f>
        <v>0</v>
      </c>
      <c r="AM250">
        <f>COUNTIFS(Dyno_Data[Team],TBA_Matches_All[[#This Row],[Team]],Dyno_Data[Match],TBA_Matches_All[[#This Row],[Match_Number]],Dyno_Data[RecordType],"Activities",Dyno_Data[DelDest],"Spkr", Dyno_Data[DelMiss],"0", Dyno_Data[Mode],"Teleop")</f>
        <v>6</v>
      </c>
      <c r="AN250">
        <f>COUNTIFS(Dyno_Data[Team],TBA_Matches_All[[#This Row],[Team]],Dyno_Data[Match],TBA_Matches_All[[#This Row],[Match_Number]],Dyno_Data[RecordType],"Activities",Dyno_Data[DelDest],"Trap", Dyno_Data[DelMiss],"0", Dyno_Data[Mode],"&lt;&gt;Auto")</f>
        <v>0</v>
      </c>
      <c r="AO250">
        <f>SUM(TBA_Matches_All[[#This Row],[AampT]]+TBA_Matches_All[[#This Row],[AspkrT]]+TBA_Matches_All[[#This Row],[AtrapT]]+TBA_Matches_All[[#This Row],[TampT]]+TBA_Matches_All[[#This Row],[TspkrT]]+TBA_Matches_All[[#This Row],[TtrapT]])</f>
        <v>6</v>
      </c>
      <c r="AP250">
        <f>COUNTIFS(Dyno_Data[Team],TBA_Matches_All[[#This Row],[Team]],Dyno_Data[Match],TBA_Matches_All[[#This Row],[Match_Number]],Dyno_Data[RecordType],"Activities",Dyno_Data[DelDest],"Neut", Dyno_Data[DelMiss],"0")</f>
        <v>0</v>
      </c>
      <c r="AQ250">
        <f>COUNTIFS(Dyno_Data[Team],TBA_Matches_All[[#This Row],[Team]],Dyno_Data[Match],TBA_Matches_All[[#This Row],[Match_Number]],Dyno_Data[RecordType],"Activities",Dyno_Data[DelDest],"AllyW", Dyno_Data[DelMiss],"0")</f>
        <v>0</v>
      </c>
      <c r="AR250" t="str">
        <f>_xlfn.XLOOKUP(SUM(MID(TBA_Matches_All[[#This Row],[Team]],4,5),(TBA_Matches_All[[#This Row],[Match_Number]]/100)),Dyno_EndMatch[teammat],Dyno_EndMatch[RobotSta],"_",0,1)</f>
        <v>Amp</v>
      </c>
      <c r="AS250">
        <f>SUMIFS(Dyno_Data[AcqDis], Dyno_Data[Team],TBA_Matches_All[[#This Row],[Team]],Dyno_Data[Match],TBA_Matches_All[[#This Row],[Match_Number]],Dyno_Data[RecordType],"Activities", Dyno_Data[AcqCenter],1,Dyno_Data[Mode],"Auto")</f>
        <v>0</v>
      </c>
      <c r="AT250">
        <f>SUMIFS(Dyno_Data[AcqDis], Dyno_Data[Team],TBA_Matches_All[[#This Row],[Team]],Dyno_Data[Match],TBA_Matches_All[[#This Row],[Match_Number]],Dyno_Data[RecordType],"Activities", Dyno_Data[AcqCenter],2,Dyno_Data[Mode],"Auto")</f>
        <v>0</v>
      </c>
      <c r="AU250">
        <f>SUMIFS(Dyno_Data[AcqDis], Dyno_Data[Team],TBA_Matches_All[[#This Row],[Team]],Dyno_Data[Match],TBA_Matches_All[[#This Row],[Match_Number]],Dyno_Data[RecordType],"Activities", Dyno_Data[AcqCenter],3,Dyno_Data[Mode],"Auto")</f>
        <v>0</v>
      </c>
      <c r="AV250">
        <f>SUMIFS(Dyno_Data[AcqDis], Dyno_Data[Team],TBA_Matches_All[[#This Row],[Team]],Dyno_Data[Match],TBA_Matches_All[[#This Row],[Match_Number]],Dyno_Data[RecordType],"Activities", Dyno_Data[AcqCenter],4,Dyno_Data[Mode],"Auto")</f>
        <v>0</v>
      </c>
      <c r="AW250">
        <f>SUMIFS(Dyno_Data[AcqDis], Dyno_Data[Team],TBA_Matches_All[[#This Row],[Team]],Dyno_Data[Match],TBA_Matches_All[[#This Row],[Match_Number]],Dyno_Data[RecordType],"Activities", Dyno_Data[AcqCenter],5,Dyno_Data[Mode],"Auto")</f>
        <v>0</v>
      </c>
      <c r="AX250">
        <f>SUMIFS(Dyno_Data[DelMiss], Dyno_Data[Team],TBA_Matches_All[[#This Row],[Team]],Dyno_Data[Match],TBA_Matches_All[[#This Row],[Match_Number]],Dyno_Data[RecordType],"Activities", Dyno_Data[DelDest],"Amp")</f>
        <v>0</v>
      </c>
      <c r="AY250" s="60">
        <f>IFERROR(SUM((TBA_Matches_All[[#This Row],[AampT]]+TBA_Matches_All[[#This Row],[TampT]])/(TBA_Matches_All[[#This Row],[AampT]]+TBA_Matches_All[[#This Row],[TampT]]+TBA_Matches_All[[#This Row],[ampM]])),0)</f>
        <v>0</v>
      </c>
      <c r="AZ250">
        <f>SUMIFS(Dyno_Data[DelMiss], Dyno_Data[Team],TBA_Matches_All[[#This Row],[Team]],Dyno_Data[Match],TBA_Matches_All[[#This Row],[Match_Number]],Dyno_Data[RecordType],"Activities", Dyno_Data[DelDest],"Spkr")</f>
        <v>1</v>
      </c>
      <c r="BA250" s="60">
        <f>IFERROR(SUM((TBA_Matches_All[[#This Row],[AspkrT]]+TBA_Matches_All[[#This Row],[TspkrT]])/(TBA_Matches_All[[#This Row],[AspkrT]]+TBA_Matches_All[[#This Row],[TspkrT]]+TBA_Matches_All[[#This Row],[spkrM]])),0)</f>
        <v>0.8571428571428571</v>
      </c>
      <c r="BB250">
        <f>SUMIFS(Dyno_Data[DelMiss], Dyno_Data[Team],TBA_Matches_All[[#This Row],[Team]],Dyno_Data[Match],TBA_Matches_All[[#This Row],[Match_Number]],Dyno_Data[RecordType],"Activities", Dyno_Data[DelDest],"Trap")</f>
        <v>0</v>
      </c>
      <c r="BC250" s="60">
        <f>IFERROR((TBA_Matches_All[[#This Row],[AtrapT]]+TBA_Matches_All[[#This Row],[TtrapT]])/(TBA_Matches_All[[#This Row],[AtrapT]]+TBA_Matches_All[[#This Row],[TtrapT]]+TBA_Matches_All[[#This Row],[trapM]]),0)</f>
        <v>0</v>
      </c>
      <c r="BD250">
        <f>COUNTIFS(Dyno_Data[Team],TBA_Matches_All[[#This Row],[Team]],Dyno_Data[Match],TBA_Matches_All[[#This Row],[Match_Number]],Dyno_Data[RecordType],"Activities",Dyno_Data[DelDest],"Neut", Dyno_Data[DelMiss],1)</f>
        <v>0</v>
      </c>
      <c r="BE250" s="60">
        <f>IFERROR(SUM((TBA_Matches_All[[#This Row],[NeutFlrT]])/(TBA_Matches_All[[#This Row],[NeutFlrT]]+TBA_Matches_All[[#This Row],[NZflM]])),0)</f>
        <v>0</v>
      </c>
      <c r="BF250">
        <f>COUNTIFS(Dyno_Data[Team],TBA_Matches_All[[#This Row],[Team]],Dyno_Data[Match],TBA_Matches_All[[#This Row],[Match_Number]],Dyno_Data[RecordType],"Activities",Dyno_Data[DelDest],"AllyW", Dyno_Data[DelMiss],1)</f>
        <v>0</v>
      </c>
      <c r="BG250" s="60">
        <f>IFERROR(SUM((TBA_Matches_All[[#This Row],[AllyWFlrT]])/(TBA_Matches_All[[#This Row],[AllyWFlrT]]+TBA_Matches_All[[#This Row],[AZflM]])),0)</f>
        <v>0</v>
      </c>
      <c r="BH250">
        <f>COUNTIFS(Dyno_Data[Team],TBA_Matches_All[[#This Row],[Team]],Dyno_Data[Match],TBA_Matches_All[[#This Row],[Match_Number]],Dyno_Data[RecordType],"Activities",Dyno_Data[DelOrig],"OppW", Dyno_Data[DelMiss],"0")</f>
        <v>0</v>
      </c>
      <c r="BI250">
        <f>COUNTIFS(Dyno_Data[Team],TBA_Matches_All[[#This Row],[Team]],Dyno_Data[Match],TBA_Matches_All[[#This Row],[Match_Number]],Dyno_Data[RecordType],"Activities",Dyno_Data[DelOrig],"OppW", Dyno_Data[DelMiss],"1")</f>
        <v>0</v>
      </c>
      <c r="BJ250" s="60">
        <f>IFERROR(SUM((TBA_Matches_All[[#This Row],[OZflrT]])/(TBA_Matches_All[[#This Row],[OZflrT]]+TBA_Matches_All[[#This Row],[OZflrM]])),0)</f>
        <v>0</v>
      </c>
      <c r="BK250">
        <f>COUNTIFS(Dyno_Data[Team],TBA_Matches_All[[#This Row],[Team]],Dyno_Data[Match],TBA_Matches_All[[#This Row],[Match_Number]],Dyno_Data[RecordType],"Activities",Dyno_Data[DelOrig],"Neut", Dyno_Data[DelMiss],"0")</f>
        <v>0</v>
      </c>
      <c r="BL250">
        <f>COUNTIFS(Dyno_Data[Team],TBA_Matches_All[[#This Row],[Team]],Dyno_Data[Match],TBA_Matches_All[[#This Row],[Match_Number]],Dyno_Data[RecordType],"Activities",Dyno_Data[DelOrig],"Neut", Dyno_Data[DelMiss],"1")</f>
        <v>0</v>
      </c>
      <c r="BM250" s="60">
        <f>IFERROR(SUM((TBA_Matches_All[[#This Row],[NZflrT]])/(TBA_Matches_All[[#This Row],[NZflrT]]+TBA_Matches_All[[#This Row],[NZflrM]])),0)</f>
        <v>0</v>
      </c>
      <c r="BN250">
        <f>COUNTIFS(Dyno_Data[Team],TBA_Matches_All[[#This Row],[Team]],Dyno_Data[Match],TBA_Matches_All[[#This Row],[Match_Number]],Dyno_Data[RecordType],"Activities",Dyno_Data[DelOrig],"AllyW", Dyno_Data[DelMiss],"0")</f>
        <v>0</v>
      </c>
      <c r="BO250">
        <f>COUNTIFS(Dyno_Data[Team],TBA_Matches_All[[#This Row],[Team]],Dyno_Data[Match],TBA_Matches_All[[#This Row],[Match_Number]],Dyno_Data[RecordType],"Activities",Dyno_Data[DelOrig],"AllyW", Dyno_Data[DelMiss],"1")</f>
        <v>0</v>
      </c>
      <c r="BP250" s="60">
        <f>IFERROR(SUM((TBA_Matches_All[[#This Row],[AZflrT]])/(TBA_Matches_All[[#This Row],[AZflrT]]+TBA_Matches_All[[#This Row],[AZflrM]])),0)</f>
        <v>0</v>
      </c>
      <c r="BQ250">
        <f>COUNTIFS(Dyno_Data[Team],TBA_Matches_All[[#This Row],[Team]],Dyno_Data[Match],TBA_Matches_All[[#This Row],[Match_Number]],Dyno_Data[RecordType],"Activities",Dyno_Data[DelOrig],"SubW", Dyno_Data[DelMiss],"0")</f>
        <v>6</v>
      </c>
      <c r="BR250">
        <f>COUNTIFS(Dyno_Data[Team],TBA_Matches_All[[#This Row],[Team]],Dyno_Data[Match],TBA_Matches_All[[#This Row],[Match_Number]],Dyno_Data[RecordType],"Activities",Dyno_Data[DelOrig],"SubW", Dyno_Data[DelMiss],"1")</f>
        <v>1</v>
      </c>
      <c r="BS250" s="60">
        <f>IFERROR(SUM((TBA_Matches_All[[#This Row],[SubwT]])/(TBA_Matches_All[[#This Row],[SubwT]]+TBA_Matches_All[[#This Row],[SubwM]])),0)</f>
        <v>0.8571428571428571</v>
      </c>
      <c r="BT250">
        <f>COUNTIFS(Dyno_Data[Team],TBA_Matches_All[[#This Row],[Team]],Dyno_Data[Match],TBA_Matches_All[[#This Row],[Match_Number]],Dyno_Data[RecordType],"Activities", Dyno_Data[AcqLoc],"OppWing")</f>
        <v>0</v>
      </c>
      <c r="BU250">
        <f>COUNTIFS(Dyno_Data[Team],TBA_Matches_All[[#This Row],[Team]],Dyno_Data[Match],TBA_Matches_All[[#This Row],[Match_Number]],Dyno_Data[RecordType],"Activities", Dyno_Data[AcqLoc],"Neutral")</f>
        <v>0</v>
      </c>
      <c r="BV250">
        <f>COUNTIFS(Dyno_Data[Team],TBA_Matches_All[[#This Row],[Team]],Dyno_Data[Match],TBA_Matches_All[[#This Row],[Match_Number]],Dyno_Data[RecordType],"Activities", Dyno_Data[AcqLoc],"AllyWing")</f>
        <v>0</v>
      </c>
      <c r="BW250">
        <f>COUNTIFS(Dyno_Data[Team],TBA_Matches_All[[#This Row],[Team]],Dyno_Data[Match],TBA_Matches_All[[#This Row],[Match_Number]],Dyno_Data[RecordType],"Activities", Dyno_Data[AcqLoc],"Source")</f>
        <v>0</v>
      </c>
      <c r="BX250">
        <f>SUMIFS(Dyno_Data[AcqDrp], Dyno_Data[Team],TBA_Matches_All[[#This Row],[Team]],Dyno_Data[Match],TBA_Matches_All[[#This Row],[Match_Number]],Dyno_Data[RecordType],"Activities", Dyno_Data[AcqLoc],"Source")</f>
        <v>0</v>
      </c>
      <c r="BY250">
        <f>SUMIFS(Dyno_Data[OZTime], Dyno_Data[Team],TBA_Matches_All[[#This Row],[Team]],Dyno_Data[Match],TBA_Matches_All[[#This Row],[Match_Number]],Dyno_Data[RecordType],"EndMatch")</f>
        <v>10.608098399999999</v>
      </c>
      <c r="BZ250">
        <f>SUMIFS(Dyno_Data[NZTime], Dyno_Data[Team],TBA_Matches_All[[#This Row],[Team]],Dyno_Data[Match],TBA_Matches_All[[#This Row],[Match_Number]],Dyno_Data[RecordType],"EndMatch")</f>
        <v>23.518185199999998</v>
      </c>
      <c r="CA250">
        <f>SUMIFS(Dyno_Data[AZTime], Dyno_Data[Team],TBA_Matches_All[[#This Row],[Team]],Dyno_Data[Match],TBA_Matches_All[[#This Row],[Match_Number]],Dyno_Data[RecordType],"EndMatch")</f>
        <v>97.677280499999995</v>
      </c>
      <c r="CB250">
        <f>SUMIFS(Dyno_Data[ClimbT], Dyno_Data[Team],TBA_Matches_All[[#This Row],[Team]],Dyno_Data[Match],TBA_Matches_All[[#This Row],[Match_Number]],Dyno_Data[RecordType],"EndMatch")</f>
        <v>0</v>
      </c>
      <c r="CC250" t="str">
        <f>_xlfn.XLOOKUP(SUM(MID(TBA_Matches_All[[#This Row],[Team]],4,5),(TBA_Matches_All[[#This Row],[Match_Number]]/100)),Dyno_EndMatch[teammat],Dyno_EndMatch[StageStat],"_",0,1)</f>
        <v>Park</v>
      </c>
      <c r="CD250" t="str">
        <f>_xlfn.XLOOKUP(TBA_Matches_All[[#This Row],[teammat]],Dyno_EndMatch[teammat],Dyno_EndMatch[StageAtt],"_",0,1)</f>
        <v>0</v>
      </c>
      <c r="CE250" t="str">
        <f>_xlfn.XLOOKUP(TBA_Matches_All[[#This Row],[teammat]],Dyno_EndMatch[teammat],Dyno_EndMatch[StageLoc],"_",0,1)</f>
        <v>A</v>
      </c>
      <c r="CF250">
        <f>SUMIFS(Dyno_Data[Harmony], Dyno_Data[Team],TBA_Matches_All[[#This Row],[Team]],Dyno_Data[Match],TBA_Matches_All[[#This Row],[Match_Number]],Dyno_Data[RecordType],"EndMatch", Dyno_Data[StageStat],"On",Dyno_Data[Harmony],"&lt;&gt;9")</f>
        <v>0</v>
      </c>
      <c r="CG250">
        <f>SUMIFS(Dyno_Data[Spotlit], Dyno_Data[Team],TBA_Matches_All[[#This Row],[Team]],Dyno_Data[Match],TBA_Matches_All[[#This Row],[Match_Number]],Dyno_Data[RecordType],"EndMatch", Dyno_Data[StageStat],"On",Dyno_Data[Spotlit],"&lt;&gt;9")</f>
        <v>0</v>
      </c>
      <c r="CH250" t="str">
        <f>_xlfn.XLOOKUP(TBA_Matches_All[[#This Row],[teammat]],Dyno_EndMatch[teammat],Dyno_EndMatch[Strategy],"_",0,1)</f>
        <v>Hybrid</v>
      </c>
      <c r="CI250">
        <f>SUMIFS(Dyno_Data[Defense], Dyno_Data[Team],TBA_Matches_All[[#This Row],[Team]],Dyno_Data[Match],TBA_Matches_All[[#This Row],[Match_Number]],Dyno_Data[RecordType],"EndMatch",Dyno_Data[Defense],"&lt;&gt;9")</f>
        <v>0</v>
      </c>
      <c r="CJ250">
        <f>SUMIFS(Dyno_Data[Avoidance], Dyno_Data[Team],TBA_Matches_All[[#This Row],[Team]],Dyno_Data[Match],TBA_Matches_All[[#This Row],[Match_Number]],Dyno_Data[RecordType],"EndMatch",Dyno_Data[Avoidance],"&lt;&gt;9")</f>
        <v>1</v>
      </c>
      <c r="CK250" s="82">
        <f>COUNTIF($H$2:TBA_Matches_All[[#This Row],[Team]],TBA_Matches_All[[#This Row],[Team]])</f>
        <v>5</v>
      </c>
      <c r="CL250" s="111">
        <f>SUM(MID(TBA_Matches_All[[#This Row],[Team]],4,5)+TBA_Matches_All[[#This Row],[Match_Number]]/100)</f>
        <v>9076.42</v>
      </c>
      <c r="CM250">
        <f>SUM((TBA_Matches_All[[#This Row],[Leave]]*2)+(TBA_Matches_All[[#This Row],[AampT]]*2)+(TBA_Matches_All[[#This Row],[AspkrT]]*5)+(TBA_Matches_All[[#This Row],[AtrapT]]*5))</f>
        <v>2</v>
      </c>
      <c r="CN250" s="59">
        <f>IFERROR(SUM(TBA_Matches_All[[#This Row],[AptsT]]/TBA_Matches_All[[#This Row],[AutoPts]]),0)</f>
        <v>0.16666666666666666</v>
      </c>
      <c r="CO250" s="59">
        <f>IFERROR(SUM(TBA_Matches_All[[#This Row],[AampT]]+TBA_Matches_All[[#This Row],[AspkrT]]+TBA_Matches_All[[#This Row],[AtrapT]]/TBA_Matches_All[[#This Row],[Aamp]]+TBA_Matches_All[[#This Row],[Aspkr]]+TBA_Matches_All[[#This Row],[AtrapT]]),0)</f>
        <v>0</v>
      </c>
      <c r="CP250" s="59">
        <f>IFERROR(SUM(TBA_Matches_All[[#This Row],[TampT]]/TBA_Matches_All[[#This Row],[Tamp]]),0)</f>
        <v>0</v>
      </c>
      <c r="CQ250" s="59">
        <f>IFERROR(SUM(TBA_Matches_All[[#This Row],[TspkrT]]/TBA_Matches_All[[#This Row],[Tspkr]]),0)</f>
        <v>1</v>
      </c>
      <c r="CR250">
        <f>SUM(TBA_Matches_All[[#This Row],[TspkrPts]]*TBA_Matches_All[[#This Row],[TspkrP]])</f>
        <v>12</v>
      </c>
      <c r="CS250" s="59">
        <f>IFERROR(SUM(TBA_Matches_All[[#This Row],[TtrapT]]/TBA_Matches_All[[#This Row],[Trap]]),0)</f>
        <v>0</v>
      </c>
      <c r="CT250" s="59">
        <f>IFERROR(SUM(TBA_Matches_All[[#This Row],[TotNotesT]]/TBA_Matches_All[[#This Row],[TotNotes]]),0)</f>
        <v>0.75</v>
      </c>
      <c r="CU250" s="66">
        <f>SUM((TBA_Matches_All[[#This Row],[AampT]]*2)+(TBA_Matches_All[[#This Row],[AspkrT]]*5)+(TBA_Matches_All[[#This Row],[AtrapT]]*5)+(TBA_Matches_All[[#This Row],[TampT]]*1)+(TBA_Matches_All[[#This Row],[TspkrptsC]]))</f>
        <v>12</v>
      </c>
      <c r="CV250" s="59">
        <f>IFERROR(TBA_Matches_All[[#This Row],[noteptsT]]/TBA_Matches_All[[#This Row],[NotePts]],0)</f>
        <v>0.54545454545454541</v>
      </c>
      <c r="CW250">
        <f>SUM(IF(TBA_Matches_All[[#This Row],[stageStat]]="On",3,0),IF(TBA_Matches_All[[#This Row],[stageStat]]="Park",1,0),SUMIFS(TBA_Matches_All[[#This Row],[Spotlit]],TBA_Matches_All[[#This Row],[stageStat]],"On"),SUMIFS(TBA_Matches_All[[#This Row],[Harmony]],TBA_Matches_All[[#This Row],[stageStat]],"On"))</f>
        <v>1</v>
      </c>
      <c r="CX250" s="59">
        <f>IFERROR(TBA_Matches_All[[#This Row],[stageptsT]]/TBA_Matches_All[[#This Row],[StagePts]],0)</f>
        <v>0.25</v>
      </c>
      <c r="CY250">
        <f>SUM((TBA_Matches_All[[#This Row],[AptsT]]+TBA_Matches_All[[#This Row],[TampT]]+TBA_Matches_All[[#This Row],[TspkrptsC]]+(TBA_Matches_All[[#This Row],[TtrapT]]*5)+TBA_Matches_All[[#This Row],[stageptsT]]))</f>
        <v>15</v>
      </c>
      <c r="CZ250" s="59">
        <f>IFERROR(SUM(TBA_Matches_All[[#This Row],[TotptsC]]/TBA_Matches_All[[#This Row],[Score]]),0)</f>
        <v>0.5</v>
      </c>
      <c r="DA25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3.13986013986014</v>
      </c>
      <c r="DB250" s="74">
        <f>SUMIFS(TBA_Matches_All[AveTeamTNoteDels],TBA_Matches_All[Match_Number],TBA_Matches_All[[#This Row],[Match_Number]],TBA_Matches_All[Alliance],"&lt;&gt;"&amp;TBA_Matches_All[[#This Row],[Alliance]],TBA_Matches_All[Scouted],"&gt;0")</f>
        <v>7.5522727272727277</v>
      </c>
      <c r="DC250" s="74">
        <f>(TBA_Matches_All[[#This Row],[TampT]]+TBA_Matches_All[[#This Row],[TspkrptsC]])-TBA_Matches_All[[#This Row],[AveTeamTNoteDels]]</f>
        <v>8.86013986013986</v>
      </c>
      <c r="DD250" s="74">
        <f>SUMIFS(TBA_Matches_All[AveTeamTNoteDels],TBA_Matches_All[Match_Number],TBA_Matches_All[[#This Row],[Match_Number]],TBA_Matches_All[Alliance],"&lt;&gt;"&amp;TBA_Matches_All[[#This Row],[Alliance]])-TBA_Matches_All[[#This Row],[AveOppTNoteDels]]</f>
        <v>0</v>
      </c>
    </row>
    <row r="251" spans="1:108" x14ac:dyDescent="0.3">
      <c r="A251" t="s">
        <v>1042</v>
      </c>
      <c r="B251" t="s">
        <v>489</v>
      </c>
      <c r="C251" t="s">
        <v>1351</v>
      </c>
      <c r="D251">
        <v>42</v>
      </c>
      <c r="E251" t="s">
        <v>1420</v>
      </c>
      <c r="F251" t="s">
        <v>1423</v>
      </c>
      <c r="G251" t="s">
        <v>1409</v>
      </c>
      <c r="H251" t="s">
        <v>1302</v>
      </c>
      <c r="I251" t="b">
        <v>0</v>
      </c>
      <c r="J251">
        <v>38</v>
      </c>
      <c r="K251">
        <v>0</v>
      </c>
      <c r="L251">
        <v>0</v>
      </c>
      <c r="M251">
        <v>2</v>
      </c>
      <c r="N251">
        <v>0</v>
      </c>
      <c r="O251">
        <v>1</v>
      </c>
      <c r="P251">
        <v>5</v>
      </c>
      <c r="Q251">
        <v>9</v>
      </c>
      <c r="R251">
        <v>3</v>
      </c>
      <c r="S251">
        <v>1</v>
      </c>
      <c r="T251">
        <v>4</v>
      </c>
      <c r="U251">
        <v>5</v>
      </c>
      <c r="V251">
        <v>8</v>
      </c>
      <c r="W251">
        <v>5</v>
      </c>
      <c r="X251">
        <v>13</v>
      </c>
      <c r="Y251">
        <v>16</v>
      </c>
      <c r="Z251">
        <v>0</v>
      </c>
      <c r="AA251">
        <v>0</v>
      </c>
      <c r="AB251">
        <v>9</v>
      </c>
      <c r="AC251">
        <v>21</v>
      </c>
      <c r="AD251">
        <v>3</v>
      </c>
      <c r="AE251">
        <f>IFERROR(6/(COUNTIF(Dyno_EndMatch[Match],TBA_Matches_All[[#This Row],[Match_Number]])),0)</f>
        <v>1</v>
      </c>
      <c r="AF251">
        <f>COUNTIFS(Dyno_Data[Team],TBA_Matches_All[[#This Row],[Team]],Dyno_Data[Match],TBA_Matches_All[[#This Row],[Match_Number]],Dyno_Data[RecordType],"EndMatch",Dyno_Data[HPAmp],"Y")</f>
        <v>0</v>
      </c>
      <c r="AG251">
        <f>SUMIFS(Dyno_Data[Mics], Dyno_Data[Team],TBA_Matches_All[[#This Row],[Team]],Dyno_Data[Match],TBA_Matches_All[[#This Row],[Match_Number]],Dyno_Data[RecordType],"EndMatch",Dyno_Data[HPAmp],"Y")</f>
        <v>0</v>
      </c>
      <c r="AH251">
        <f>SUMIFS(Dyno_Data[Leave], Dyno_Data[Team],TBA_Matches_All[[#This Row],[Team]],Dyno_Data[Match],TBA_Matches_All[[#This Row],[Match_Number]],Dyno_Data[RecordType],"EndAuto")</f>
        <v>1</v>
      </c>
      <c r="AI251">
        <f>COUNTIFS(Dyno_Data[Team],TBA_Matches_All[[#This Row],[Team]],Dyno_Data[Match],TBA_Matches_All[[#This Row],[Match_Number]],Dyno_Data[RecordType],"Activities",Dyno_Data[DelDest],"Amp", Dyno_Data[DelMiss],"0", Dyno_Data[Mode],"Auto")</f>
        <v>0</v>
      </c>
      <c r="AJ251">
        <f>COUNTIFS(Dyno_Data[Team],TBA_Matches_All[[#This Row],[Team]],Dyno_Data[Match],TBA_Matches_All[[#This Row],[Match_Number]],Dyno_Data[RecordType],"Activities",Dyno_Data[DelDest],"Spkr", Dyno_Data[DelMiss],"0", Dyno_Data[Mode],"Auto")</f>
        <v>0</v>
      </c>
      <c r="AK251">
        <f>COUNTIFS(Dyno_Data[Team],TBA_Matches_All[[#This Row],[Team]],Dyno_Data[Match],TBA_Matches_All[[#This Row],[Match_Number]],Dyno_Data[RecordType],"Activities",Dyno_Data[DelDest],"Trap", Dyno_Data[DelMiss],"0", Dyno_Data[Mode],"Auto")</f>
        <v>0</v>
      </c>
      <c r="AL251">
        <f>COUNTIFS(Dyno_Data[Team],TBA_Matches_All[[#This Row],[Team]],Dyno_Data[Match],TBA_Matches_All[[#This Row],[Match_Number]],Dyno_Data[RecordType],"Activities",Dyno_Data[DelDest],"Amp", Dyno_Data[DelMiss],"0", Dyno_Data[Mode],"Teleop")</f>
        <v>0</v>
      </c>
      <c r="AM251">
        <f>COUNTIFS(Dyno_Data[Team],TBA_Matches_All[[#This Row],[Team]],Dyno_Data[Match],TBA_Matches_All[[#This Row],[Match_Number]],Dyno_Data[RecordType],"Activities",Dyno_Data[DelDest],"Spkr", Dyno_Data[DelMiss],"0", Dyno_Data[Mode],"Teleop")</f>
        <v>2</v>
      </c>
      <c r="AN251">
        <f>COUNTIFS(Dyno_Data[Team],TBA_Matches_All[[#This Row],[Team]],Dyno_Data[Match],TBA_Matches_All[[#This Row],[Match_Number]],Dyno_Data[RecordType],"Activities",Dyno_Data[DelDest],"Trap", Dyno_Data[DelMiss],"0", Dyno_Data[Mode],"&lt;&gt;Auto")</f>
        <v>0</v>
      </c>
      <c r="AO251">
        <f>SUM(TBA_Matches_All[[#This Row],[AampT]]+TBA_Matches_All[[#This Row],[AspkrT]]+TBA_Matches_All[[#This Row],[AtrapT]]+TBA_Matches_All[[#This Row],[TampT]]+TBA_Matches_All[[#This Row],[TspkrT]]+TBA_Matches_All[[#This Row],[TtrapT]])</f>
        <v>2</v>
      </c>
      <c r="AP251">
        <f>COUNTIFS(Dyno_Data[Team],TBA_Matches_All[[#This Row],[Team]],Dyno_Data[Match],TBA_Matches_All[[#This Row],[Match_Number]],Dyno_Data[RecordType],"Activities",Dyno_Data[DelDest],"Neut", Dyno_Data[DelMiss],"0")</f>
        <v>0</v>
      </c>
      <c r="AQ251">
        <f>COUNTIFS(Dyno_Data[Team],TBA_Matches_All[[#This Row],[Team]],Dyno_Data[Match],TBA_Matches_All[[#This Row],[Match_Number]],Dyno_Data[RecordType],"Activities",Dyno_Data[DelDest],"AllyW", Dyno_Data[DelMiss],"0")</f>
        <v>0</v>
      </c>
      <c r="AR251" t="str">
        <f>_xlfn.XLOOKUP(SUM(MID(TBA_Matches_All[[#This Row],[Team]],4,5),(TBA_Matches_All[[#This Row],[Match_Number]]/100)),Dyno_EndMatch[teammat],Dyno_EndMatch[RobotSta],"_",0,1)</f>
        <v>OppS</v>
      </c>
      <c r="AS251">
        <f>SUMIFS(Dyno_Data[AcqDis], Dyno_Data[Team],TBA_Matches_All[[#This Row],[Team]],Dyno_Data[Match],TBA_Matches_All[[#This Row],[Match_Number]],Dyno_Data[RecordType],"Activities", Dyno_Data[AcqCenter],1,Dyno_Data[Mode],"Auto")</f>
        <v>0</v>
      </c>
      <c r="AT251">
        <f>SUMIFS(Dyno_Data[AcqDis], Dyno_Data[Team],TBA_Matches_All[[#This Row],[Team]],Dyno_Data[Match],TBA_Matches_All[[#This Row],[Match_Number]],Dyno_Data[RecordType],"Activities", Dyno_Data[AcqCenter],2,Dyno_Data[Mode],"Auto")</f>
        <v>0</v>
      </c>
      <c r="AU251">
        <f>SUMIFS(Dyno_Data[AcqDis], Dyno_Data[Team],TBA_Matches_All[[#This Row],[Team]],Dyno_Data[Match],TBA_Matches_All[[#This Row],[Match_Number]],Dyno_Data[RecordType],"Activities", Dyno_Data[AcqCenter],3,Dyno_Data[Mode],"Auto")</f>
        <v>0</v>
      </c>
      <c r="AV251">
        <f>SUMIFS(Dyno_Data[AcqDis], Dyno_Data[Team],TBA_Matches_All[[#This Row],[Team]],Dyno_Data[Match],TBA_Matches_All[[#This Row],[Match_Number]],Dyno_Data[RecordType],"Activities", Dyno_Data[AcqCenter],4,Dyno_Data[Mode],"Auto")</f>
        <v>0</v>
      </c>
      <c r="AW251">
        <f>SUMIFS(Dyno_Data[AcqDis], Dyno_Data[Team],TBA_Matches_All[[#This Row],[Team]],Dyno_Data[Match],TBA_Matches_All[[#This Row],[Match_Number]],Dyno_Data[RecordType],"Activities", Dyno_Data[AcqCenter],5,Dyno_Data[Mode],"Auto")</f>
        <v>0</v>
      </c>
      <c r="AX251">
        <f>SUMIFS(Dyno_Data[DelMiss], Dyno_Data[Team],TBA_Matches_All[[#This Row],[Team]],Dyno_Data[Match],TBA_Matches_All[[#This Row],[Match_Number]],Dyno_Data[RecordType],"Activities", Dyno_Data[DelDest],"Amp")</f>
        <v>0</v>
      </c>
      <c r="AY251" s="60">
        <f>IFERROR(SUM((TBA_Matches_All[[#This Row],[AampT]]+TBA_Matches_All[[#This Row],[TampT]])/(TBA_Matches_All[[#This Row],[AampT]]+TBA_Matches_All[[#This Row],[TampT]]+TBA_Matches_All[[#This Row],[ampM]])),0)</f>
        <v>0</v>
      </c>
      <c r="AZ251">
        <f>SUMIFS(Dyno_Data[DelMiss], Dyno_Data[Team],TBA_Matches_All[[#This Row],[Team]],Dyno_Data[Match],TBA_Matches_All[[#This Row],[Match_Number]],Dyno_Data[RecordType],"Activities", Dyno_Data[DelDest],"Spkr")</f>
        <v>0</v>
      </c>
      <c r="BA251" s="60">
        <f>IFERROR(SUM((TBA_Matches_All[[#This Row],[AspkrT]]+TBA_Matches_All[[#This Row],[TspkrT]])/(TBA_Matches_All[[#This Row],[AspkrT]]+TBA_Matches_All[[#This Row],[TspkrT]]+TBA_Matches_All[[#This Row],[spkrM]])),0)</f>
        <v>1</v>
      </c>
      <c r="BB251">
        <f>SUMIFS(Dyno_Data[DelMiss], Dyno_Data[Team],TBA_Matches_All[[#This Row],[Team]],Dyno_Data[Match],TBA_Matches_All[[#This Row],[Match_Number]],Dyno_Data[RecordType],"Activities", Dyno_Data[DelDest],"Trap")</f>
        <v>0</v>
      </c>
      <c r="BC251" s="60">
        <f>IFERROR((TBA_Matches_All[[#This Row],[AtrapT]]+TBA_Matches_All[[#This Row],[TtrapT]])/(TBA_Matches_All[[#This Row],[AtrapT]]+TBA_Matches_All[[#This Row],[TtrapT]]+TBA_Matches_All[[#This Row],[trapM]]),0)</f>
        <v>0</v>
      </c>
      <c r="BD251">
        <f>COUNTIFS(Dyno_Data[Team],TBA_Matches_All[[#This Row],[Team]],Dyno_Data[Match],TBA_Matches_All[[#This Row],[Match_Number]],Dyno_Data[RecordType],"Activities",Dyno_Data[DelDest],"Neut", Dyno_Data[DelMiss],1)</f>
        <v>0</v>
      </c>
      <c r="BE251" s="60">
        <f>IFERROR(SUM((TBA_Matches_All[[#This Row],[NeutFlrT]])/(TBA_Matches_All[[#This Row],[NeutFlrT]]+TBA_Matches_All[[#This Row],[NZflM]])),0)</f>
        <v>0</v>
      </c>
      <c r="BF251">
        <f>COUNTIFS(Dyno_Data[Team],TBA_Matches_All[[#This Row],[Team]],Dyno_Data[Match],TBA_Matches_All[[#This Row],[Match_Number]],Dyno_Data[RecordType],"Activities",Dyno_Data[DelDest],"AllyW", Dyno_Data[DelMiss],1)</f>
        <v>0</v>
      </c>
      <c r="BG251" s="60">
        <f>IFERROR(SUM((TBA_Matches_All[[#This Row],[AllyWFlrT]])/(TBA_Matches_All[[#This Row],[AllyWFlrT]]+TBA_Matches_All[[#This Row],[AZflM]])),0)</f>
        <v>0</v>
      </c>
      <c r="BH251">
        <f>COUNTIFS(Dyno_Data[Team],TBA_Matches_All[[#This Row],[Team]],Dyno_Data[Match],TBA_Matches_All[[#This Row],[Match_Number]],Dyno_Data[RecordType],"Activities",Dyno_Data[DelOrig],"OppW", Dyno_Data[DelMiss],"0")</f>
        <v>0</v>
      </c>
      <c r="BI251">
        <f>COUNTIFS(Dyno_Data[Team],TBA_Matches_All[[#This Row],[Team]],Dyno_Data[Match],TBA_Matches_All[[#This Row],[Match_Number]],Dyno_Data[RecordType],"Activities",Dyno_Data[DelOrig],"OppW", Dyno_Data[DelMiss],"1")</f>
        <v>0</v>
      </c>
      <c r="BJ251" s="60">
        <f>IFERROR(SUM((TBA_Matches_All[[#This Row],[OZflrT]])/(TBA_Matches_All[[#This Row],[OZflrT]]+TBA_Matches_All[[#This Row],[OZflrM]])),0)</f>
        <v>0</v>
      </c>
      <c r="BK251">
        <f>COUNTIFS(Dyno_Data[Team],TBA_Matches_All[[#This Row],[Team]],Dyno_Data[Match],TBA_Matches_All[[#This Row],[Match_Number]],Dyno_Data[RecordType],"Activities",Dyno_Data[DelOrig],"Neut", Dyno_Data[DelMiss],"0")</f>
        <v>0</v>
      </c>
      <c r="BL251">
        <f>COUNTIFS(Dyno_Data[Team],TBA_Matches_All[[#This Row],[Team]],Dyno_Data[Match],TBA_Matches_All[[#This Row],[Match_Number]],Dyno_Data[RecordType],"Activities",Dyno_Data[DelOrig],"Neut", Dyno_Data[DelMiss],"1")</f>
        <v>0</v>
      </c>
      <c r="BM251" s="60">
        <f>IFERROR(SUM((TBA_Matches_All[[#This Row],[NZflrT]])/(TBA_Matches_All[[#This Row],[NZflrT]]+TBA_Matches_All[[#This Row],[NZflrM]])),0)</f>
        <v>0</v>
      </c>
      <c r="BN251">
        <f>COUNTIFS(Dyno_Data[Team],TBA_Matches_All[[#This Row],[Team]],Dyno_Data[Match],TBA_Matches_All[[#This Row],[Match_Number]],Dyno_Data[RecordType],"Activities",Dyno_Data[DelOrig],"AllyW", Dyno_Data[DelMiss],"0")</f>
        <v>2</v>
      </c>
      <c r="BO251">
        <f>COUNTIFS(Dyno_Data[Team],TBA_Matches_All[[#This Row],[Team]],Dyno_Data[Match],TBA_Matches_All[[#This Row],[Match_Number]],Dyno_Data[RecordType],"Activities",Dyno_Data[DelOrig],"AllyW", Dyno_Data[DelMiss],"1")</f>
        <v>0</v>
      </c>
      <c r="BP251" s="60">
        <f>IFERROR(SUM((TBA_Matches_All[[#This Row],[AZflrT]])/(TBA_Matches_All[[#This Row],[AZflrT]]+TBA_Matches_All[[#This Row],[AZflrM]])),0)</f>
        <v>1</v>
      </c>
      <c r="BQ251">
        <f>COUNTIFS(Dyno_Data[Team],TBA_Matches_All[[#This Row],[Team]],Dyno_Data[Match],TBA_Matches_All[[#This Row],[Match_Number]],Dyno_Data[RecordType],"Activities",Dyno_Data[DelOrig],"SubW", Dyno_Data[DelMiss],"0")</f>
        <v>0</v>
      </c>
      <c r="BR251">
        <f>COUNTIFS(Dyno_Data[Team],TBA_Matches_All[[#This Row],[Team]],Dyno_Data[Match],TBA_Matches_All[[#This Row],[Match_Number]],Dyno_Data[RecordType],"Activities",Dyno_Data[DelOrig],"SubW", Dyno_Data[DelMiss],"1")</f>
        <v>0</v>
      </c>
      <c r="BS251" s="60">
        <f>IFERROR(SUM((TBA_Matches_All[[#This Row],[SubwT]])/(TBA_Matches_All[[#This Row],[SubwT]]+TBA_Matches_All[[#This Row],[SubwM]])),0)</f>
        <v>0</v>
      </c>
      <c r="BT251">
        <f>COUNTIFS(Dyno_Data[Team],TBA_Matches_All[[#This Row],[Team]],Dyno_Data[Match],TBA_Matches_All[[#This Row],[Match_Number]],Dyno_Data[RecordType],"Activities", Dyno_Data[AcqLoc],"OppWing")</f>
        <v>0</v>
      </c>
      <c r="BU251">
        <f>COUNTIFS(Dyno_Data[Team],TBA_Matches_All[[#This Row],[Team]],Dyno_Data[Match],TBA_Matches_All[[#This Row],[Match_Number]],Dyno_Data[RecordType],"Activities", Dyno_Data[AcqLoc],"Neutral")</f>
        <v>0</v>
      </c>
      <c r="BV251">
        <f>COUNTIFS(Dyno_Data[Team],TBA_Matches_All[[#This Row],[Team]],Dyno_Data[Match],TBA_Matches_All[[#This Row],[Match_Number]],Dyno_Data[RecordType],"Activities", Dyno_Data[AcqLoc],"AllyWing")</f>
        <v>0</v>
      </c>
      <c r="BW251">
        <f>COUNTIFS(Dyno_Data[Team],TBA_Matches_All[[#This Row],[Team]],Dyno_Data[Match],TBA_Matches_All[[#This Row],[Match_Number]],Dyno_Data[RecordType],"Activities", Dyno_Data[AcqLoc],"Source")</f>
        <v>0</v>
      </c>
      <c r="BX251">
        <f>SUMIFS(Dyno_Data[AcqDrp], Dyno_Data[Team],TBA_Matches_All[[#This Row],[Team]],Dyno_Data[Match],TBA_Matches_All[[#This Row],[Match_Number]],Dyno_Data[RecordType],"Activities", Dyno_Data[AcqLoc],"Source")</f>
        <v>0</v>
      </c>
      <c r="BY251">
        <f>SUMIFS(Dyno_Data[OZTime], Dyno_Data[Team],TBA_Matches_All[[#This Row],[Team]],Dyno_Data[Match],TBA_Matches_All[[#This Row],[Match_Number]],Dyno_Data[RecordType],"EndMatch")</f>
        <v>39.751121399999995</v>
      </c>
      <c r="BZ251">
        <f>SUMIFS(Dyno_Data[NZTime], Dyno_Data[Team],TBA_Matches_All[[#This Row],[Team]],Dyno_Data[Match],TBA_Matches_All[[#This Row],[Match_Number]],Dyno_Data[RecordType],"EndMatch")</f>
        <v>25.200758199999999</v>
      </c>
      <c r="CA251">
        <f>SUMIFS(Dyno_Data[AZTime], Dyno_Data[Team],TBA_Matches_All[[#This Row],[Team]],Dyno_Data[Match],TBA_Matches_All[[#This Row],[Match_Number]],Dyno_Data[RecordType],"EndMatch")</f>
        <v>69.879162899999997</v>
      </c>
      <c r="CB251">
        <f>SUMIFS(Dyno_Data[ClimbT], Dyno_Data[Team],TBA_Matches_All[[#This Row],[Team]],Dyno_Data[Match],TBA_Matches_All[[#This Row],[Match_Number]],Dyno_Data[RecordType],"EndMatch")</f>
        <v>5.3163337999999998</v>
      </c>
      <c r="CC251" t="str">
        <f>_xlfn.XLOOKUP(SUM(MID(TBA_Matches_All[[#This Row],[Team]],4,5),(TBA_Matches_All[[#This Row],[Match_Number]]/100)),Dyno_EndMatch[teammat],Dyno_EndMatch[StageStat],"_",0,1)</f>
        <v>Park</v>
      </c>
      <c r="CD251" t="str">
        <f>_xlfn.XLOOKUP(TBA_Matches_All[[#This Row],[teammat]],Dyno_EndMatch[teammat],Dyno_EndMatch[StageAtt],"_",0,1)</f>
        <v>-1</v>
      </c>
      <c r="CE251" t="str">
        <f>_xlfn.XLOOKUP(TBA_Matches_All[[#This Row],[teammat]],Dyno_EndMatch[teammat],Dyno_EndMatch[StageLoc],"_",0,1)</f>
        <v>A</v>
      </c>
      <c r="CF251">
        <f>SUMIFS(Dyno_Data[Harmony], Dyno_Data[Team],TBA_Matches_All[[#This Row],[Team]],Dyno_Data[Match],TBA_Matches_All[[#This Row],[Match_Number]],Dyno_Data[RecordType],"EndMatch", Dyno_Data[StageStat],"On",Dyno_Data[Harmony],"&lt;&gt;9")</f>
        <v>0</v>
      </c>
      <c r="CG251">
        <f>SUMIFS(Dyno_Data[Spotlit], Dyno_Data[Team],TBA_Matches_All[[#This Row],[Team]],Dyno_Data[Match],TBA_Matches_All[[#This Row],[Match_Number]],Dyno_Data[RecordType],"EndMatch", Dyno_Data[StageStat],"On",Dyno_Data[Spotlit],"&lt;&gt;9")</f>
        <v>0</v>
      </c>
      <c r="CH251" t="str">
        <f>_xlfn.XLOOKUP(TBA_Matches_All[[#This Row],[teammat]],Dyno_EndMatch[teammat],Dyno_EndMatch[Strategy],"_",0,1)</f>
        <v>Hybrid</v>
      </c>
      <c r="CI251">
        <f>SUMIFS(Dyno_Data[Defense], Dyno_Data[Team],TBA_Matches_All[[#This Row],[Team]],Dyno_Data[Match],TBA_Matches_All[[#This Row],[Match_Number]],Dyno_Data[RecordType],"EndMatch",Dyno_Data[Defense],"&lt;&gt;9")</f>
        <v>0</v>
      </c>
      <c r="CJ251">
        <f>SUMIFS(Dyno_Data[Avoidance], Dyno_Data[Team],TBA_Matches_All[[#This Row],[Team]],Dyno_Data[Match],TBA_Matches_All[[#This Row],[Match_Number]],Dyno_Data[RecordType],"EndMatch",Dyno_Data[Avoidance],"&lt;&gt;9")</f>
        <v>0</v>
      </c>
      <c r="CK251" s="82">
        <f>COUNTIF($H$2:TBA_Matches_All[[#This Row],[Team]],TBA_Matches_All[[#This Row],[Team]])</f>
        <v>5</v>
      </c>
      <c r="CL251" s="111">
        <f>SUM(MID(TBA_Matches_All[[#This Row],[Team]],4,5)+TBA_Matches_All[[#This Row],[Match_Number]]/100)</f>
        <v>2095.42</v>
      </c>
      <c r="CM251">
        <f>SUM((TBA_Matches_All[[#This Row],[Leave]]*2)+(TBA_Matches_All[[#This Row],[AampT]]*2)+(TBA_Matches_All[[#This Row],[AspkrT]]*5)+(TBA_Matches_All[[#This Row],[AtrapT]]*5))</f>
        <v>2</v>
      </c>
      <c r="CN251" s="59">
        <f>IFERROR(SUM(TBA_Matches_All[[#This Row],[AptsT]]/TBA_Matches_All[[#This Row],[AutoPts]]),0)</f>
        <v>0.22222222222222221</v>
      </c>
      <c r="CO251" s="59">
        <f>IFERROR(SUM(TBA_Matches_All[[#This Row],[AampT]]+TBA_Matches_All[[#This Row],[AspkrT]]+TBA_Matches_All[[#This Row],[AtrapT]]/TBA_Matches_All[[#This Row],[Aamp]]+TBA_Matches_All[[#This Row],[Aspkr]]+TBA_Matches_All[[#This Row],[AtrapT]]),0)</f>
        <v>0</v>
      </c>
      <c r="CP251" s="59">
        <f>IFERROR(SUM(TBA_Matches_All[[#This Row],[TampT]]/TBA_Matches_All[[#This Row],[Tamp]]),0)</f>
        <v>0</v>
      </c>
      <c r="CQ251" s="59">
        <f>IFERROR(SUM(TBA_Matches_All[[#This Row],[TspkrT]]/TBA_Matches_All[[#This Row],[Tspkr]]),0)</f>
        <v>0.4</v>
      </c>
      <c r="CR251">
        <f>SUM(TBA_Matches_All[[#This Row],[TspkrPts]]*TBA_Matches_All[[#This Row],[TspkrP]])</f>
        <v>5.2</v>
      </c>
      <c r="CS251" s="59">
        <f>IFERROR(SUM(TBA_Matches_All[[#This Row],[TtrapT]]/TBA_Matches_All[[#This Row],[Trap]]),0)</f>
        <v>0</v>
      </c>
      <c r="CT251" s="59">
        <f>IFERROR(SUM(TBA_Matches_All[[#This Row],[TotNotesT]]/TBA_Matches_All[[#This Row],[TotNotes]]),0)</f>
        <v>0.22222222222222221</v>
      </c>
      <c r="CU251" s="66">
        <f>SUM((TBA_Matches_All[[#This Row],[AampT]]*2)+(TBA_Matches_All[[#This Row],[AspkrT]]*5)+(TBA_Matches_All[[#This Row],[AtrapT]]*5)+(TBA_Matches_All[[#This Row],[TampT]]*1)+(TBA_Matches_All[[#This Row],[TspkrptsC]]))</f>
        <v>5.2</v>
      </c>
      <c r="CV251" s="59">
        <f>IFERROR(TBA_Matches_All[[#This Row],[noteptsT]]/TBA_Matches_All[[#This Row],[NotePts]],0)</f>
        <v>0.24761904761904763</v>
      </c>
      <c r="CW251">
        <f>SUM(IF(TBA_Matches_All[[#This Row],[stageStat]]="On",3,0),IF(TBA_Matches_All[[#This Row],[stageStat]]="Park",1,0),SUMIFS(TBA_Matches_All[[#This Row],[Spotlit]],TBA_Matches_All[[#This Row],[stageStat]],"On"),SUMIFS(TBA_Matches_All[[#This Row],[Harmony]],TBA_Matches_All[[#This Row],[stageStat]],"On"))</f>
        <v>1</v>
      </c>
      <c r="CX251" s="59">
        <f>IFERROR(TBA_Matches_All[[#This Row],[stageptsT]]/TBA_Matches_All[[#This Row],[StagePts]],0)</f>
        <v>0.33333333333333331</v>
      </c>
      <c r="CY251">
        <f>SUM((TBA_Matches_All[[#This Row],[AptsT]]+TBA_Matches_All[[#This Row],[TampT]]+TBA_Matches_All[[#This Row],[TspkrptsC]]+(TBA_Matches_All[[#This Row],[TtrapT]]*5)+TBA_Matches_All[[#This Row],[stageptsT]]))</f>
        <v>8.1999999999999993</v>
      </c>
      <c r="CZ251" s="59">
        <f>IFERROR(SUM(TBA_Matches_All[[#This Row],[TotptsC]]/TBA_Matches_All[[#This Row],[Score]]),0)</f>
        <v>0.2157894736842105</v>
      </c>
      <c r="DA25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4.9522727272727272</v>
      </c>
      <c r="DB251" s="74">
        <f>SUMIFS(TBA_Matches_All[AveTeamTNoteDels],TBA_Matches_All[Match_Number],TBA_Matches_All[[#This Row],[Match_Number]],TBA_Matches_All[Alliance],"&lt;&gt;"&amp;TBA_Matches_All[[#This Row],[Alliance]],TBA_Matches_All[Scouted],"&gt;0")</f>
        <v>17.426223776223775</v>
      </c>
      <c r="DC251" s="74">
        <f>(TBA_Matches_All[[#This Row],[TampT]]+TBA_Matches_All[[#This Row],[TspkrptsC]])-TBA_Matches_All[[#This Row],[AveTeamTNoteDels]]</f>
        <v>0.24772727272727302</v>
      </c>
      <c r="DD251" s="74">
        <f>SUMIFS(TBA_Matches_All[AveTeamTNoteDels],TBA_Matches_All[Match_Number],TBA_Matches_All[[#This Row],[Match_Number]],TBA_Matches_All[Alliance],"&lt;&gt;"&amp;TBA_Matches_All[[#This Row],[Alliance]])-TBA_Matches_All[[#This Row],[AveOppTNoteDels]]</f>
        <v>0</v>
      </c>
    </row>
    <row r="252" spans="1:108" x14ac:dyDescent="0.3">
      <c r="A252" t="s">
        <v>1042</v>
      </c>
      <c r="B252" t="s">
        <v>489</v>
      </c>
      <c r="C252" t="s">
        <v>1351</v>
      </c>
      <c r="D252">
        <v>42</v>
      </c>
      <c r="E252" t="s">
        <v>1406</v>
      </c>
      <c r="F252" t="s">
        <v>1424</v>
      </c>
      <c r="G252" t="s">
        <v>1409</v>
      </c>
      <c r="H252" t="s">
        <v>1306</v>
      </c>
      <c r="I252" t="b">
        <v>0</v>
      </c>
      <c r="J252">
        <v>30</v>
      </c>
      <c r="K252">
        <v>0</v>
      </c>
      <c r="L252">
        <v>0</v>
      </c>
      <c r="M252">
        <v>10</v>
      </c>
      <c r="N252">
        <v>0</v>
      </c>
      <c r="O252">
        <v>2</v>
      </c>
      <c r="P252">
        <v>10</v>
      </c>
      <c r="Q252">
        <v>12</v>
      </c>
      <c r="R252">
        <v>0</v>
      </c>
      <c r="S252">
        <v>0</v>
      </c>
      <c r="T252">
        <v>6</v>
      </c>
      <c r="U252">
        <v>0</v>
      </c>
      <c r="V252">
        <v>12</v>
      </c>
      <c r="W252">
        <v>6</v>
      </c>
      <c r="X252">
        <v>12</v>
      </c>
      <c r="Y252">
        <v>12</v>
      </c>
      <c r="Z252">
        <v>0</v>
      </c>
      <c r="AA252">
        <v>0</v>
      </c>
      <c r="AB252">
        <v>8</v>
      </c>
      <c r="AC252">
        <v>22</v>
      </c>
      <c r="AD252">
        <v>4</v>
      </c>
      <c r="AE252">
        <f>IFERROR(6/(COUNTIF(Dyno_EndMatch[Match],TBA_Matches_All[[#This Row],[Match_Number]])),0)</f>
        <v>1</v>
      </c>
      <c r="AF252">
        <f>COUNTIFS(Dyno_Data[Team],TBA_Matches_All[[#This Row],[Team]],Dyno_Data[Match],TBA_Matches_All[[#This Row],[Match_Number]],Dyno_Data[RecordType],"EndMatch",Dyno_Data[HPAmp],"Y")</f>
        <v>0</v>
      </c>
      <c r="AG252">
        <f>SUMIFS(Dyno_Data[Mics], Dyno_Data[Team],TBA_Matches_All[[#This Row],[Team]],Dyno_Data[Match],TBA_Matches_All[[#This Row],[Match_Number]],Dyno_Data[RecordType],"EndMatch",Dyno_Data[HPAmp],"Y")</f>
        <v>0</v>
      </c>
      <c r="AH252">
        <f>SUMIFS(Dyno_Data[Leave], Dyno_Data[Team],TBA_Matches_All[[#This Row],[Team]],Dyno_Data[Match],TBA_Matches_All[[#This Row],[Match_Number]],Dyno_Data[RecordType],"EndAuto")</f>
        <v>0</v>
      </c>
      <c r="AI252">
        <f>COUNTIFS(Dyno_Data[Team],TBA_Matches_All[[#This Row],[Team]],Dyno_Data[Match],TBA_Matches_All[[#This Row],[Match_Number]],Dyno_Data[RecordType],"Activities",Dyno_Data[DelDest],"Amp", Dyno_Data[DelMiss],"0", Dyno_Data[Mode],"Auto")</f>
        <v>0</v>
      </c>
      <c r="AJ252">
        <f>COUNTIFS(Dyno_Data[Team],TBA_Matches_All[[#This Row],[Team]],Dyno_Data[Match],TBA_Matches_All[[#This Row],[Match_Number]],Dyno_Data[RecordType],"Activities",Dyno_Data[DelDest],"Spkr", Dyno_Data[DelMiss],"0", Dyno_Data[Mode],"Auto")</f>
        <v>0</v>
      </c>
      <c r="AK252">
        <f>COUNTIFS(Dyno_Data[Team],TBA_Matches_All[[#This Row],[Team]],Dyno_Data[Match],TBA_Matches_All[[#This Row],[Match_Number]],Dyno_Data[RecordType],"Activities",Dyno_Data[DelDest],"Trap", Dyno_Data[DelMiss],"0", Dyno_Data[Mode],"Auto")</f>
        <v>0</v>
      </c>
      <c r="AL252">
        <f>COUNTIFS(Dyno_Data[Team],TBA_Matches_All[[#This Row],[Team]],Dyno_Data[Match],TBA_Matches_All[[#This Row],[Match_Number]],Dyno_Data[RecordType],"Activities",Dyno_Data[DelDest],"Amp", Dyno_Data[DelMiss],"0", Dyno_Data[Mode],"Teleop")</f>
        <v>0</v>
      </c>
      <c r="AM252">
        <f>COUNTIFS(Dyno_Data[Team],TBA_Matches_All[[#This Row],[Team]],Dyno_Data[Match],TBA_Matches_All[[#This Row],[Match_Number]],Dyno_Data[RecordType],"Activities",Dyno_Data[DelDest],"Spkr", Dyno_Data[DelMiss],"0", Dyno_Data[Mode],"Teleop")</f>
        <v>0</v>
      </c>
      <c r="AN252">
        <f>COUNTIFS(Dyno_Data[Team],TBA_Matches_All[[#This Row],[Team]],Dyno_Data[Match],TBA_Matches_All[[#This Row],[Match_Number]],Dyno_Data[RecordType],"Activities",Dyno_Data[DelDest],"Trap", Dyno_Data[DelMiss],"0", Dyno_Data[Mode],"&lt;&gt;Auto")</f>
        <v>0</v>
      </c>
      <c r="AO252">
        <f>SUM(TBA_Matches_All[[#This Row],[AampT]]+TBA_Matches_All[[#This Row],[AspkrT]]+TBA_Matches_All[[#This Row],[AtrapT]]+TBA_Matches_All[[#This Row],[TampT]]+TBA_Matches_All[[#This Row],[TspkrT]]+TBA_Matches_All[[#This Row],[TtrapT]])</f>
        <v>0</v>
      </c>
      <c r="AP252">
        <f>COUNTIFS(Dyno_Data[Team],TBA_Matches_All[[#This Row],[Team]],Dyno_Data[Match],TBA_Matches_All[[#This Row],[Match_Number]],Dyno_Data[RecordType],"Activities",Dyno_Data[DelDest],"Neut", Dyno_Data[DelMiss],"0")</f>
        <v>0</v>
      </c>
      <c r="AQ252">
        <f>COUNTIFS(Dyno_Data[Team],TBA_Matches_All[[#This Row],[Team]],Dyno_Data[Match],TBA_Matches_All[[#This Row],[Match_Number]],Dyno_Data[RecordType],"Activities",Dyno_Data[DelDest],"AllyW", Dyno_Data[DelMiss],"0")</f>
        <v>0</v>
      </c>
      <c r="AR252" t="str">
        <f>_xlfn.XLOOKUP(SUM(MID(TBA_Matches_All[[#This Row],[Team]],4,5),(TBA_Matches_All[[#This Row],[Match_Number]]/100)),Dyno_EndMatch[teammat],Dyno_EndMatch[RobotSta],"_",0,1)</f>
        <v>OppS</v>
      </c>
      <c r="AS252">
        <f>SUMIFS(Dyno_Data[AcqDis], Dyno_Data[Team],TBA_Matches_All[[#This Row],[Team]],Dyno_Data[Match],TBA_Matches_All[[#This Row],[Match_Number]],Dyno_Data[RecordType],"Activities", Dyno_Data[AcqCenter],1,Dyno_Data[Mode],"Auto")</f>
        <v>0</v>
      </c>
      <c r="AT252">
        <f>SUMIFS(Dyno_Data[AcqDis], Dyno_Data[Team],TBA_Matches_All[[#This Row],[Team]],Dyno_Data[Match],TBA_Matches_All[[#This Row],[Match_Number]],Dyno_Data[RecordType],"Activities", Dyno_Data[AcqCenter],2,Dyno_Data[Mode],"Auto")</f>
        <v>0</v>
      </c>
      <c r="AU252">
        <f>SUMIFS(Dyno_Data[AcqDis], Dyno_Data[Team],TBA_Matches_All[[#This Row],[Team]],Dyno_Data[Match],TBA_Matches_All[[#This Row],[Match_Number]],Dyno_Data[RecordType],"Activities", Dyno_Data[AcqCenter],3,Dyno_Data[Mode],"Auto")</f>
        <v>0</v>
      </c>
      <c r="AV252">
        <f>SUMIFS(Dyno_Data[AcqDis], Dyno_Data[Team],TBA_Matches_All[[#This Row],[Team]],Dyno_Data[Match],TBA_Matches_All[[#This Row],[Match_Number]],Dyno_Data[RecordType],"Activities", Dyno_Data[AcqCenter],4,Dyno_Data[Mode],"Auto")</f>
        <v>0</v>
      </c>
      <c r="AW252">
        <f>SUMIFS(Dyno_Data[AcqDis], Dyno_Data[Team],TBA_Matches_All[[#This Row],[Team]],Dyno_Data[Match],TBA_Matches_All[[#This Row],[Match_Number]],Dyno_Data[RecordType],"Activities", Dyno_Data[AcqCenter],5,Dyno_Data[Mode],"Auto")</f>
        <v>0</v>
      </c>
      <c r="AX252">
        <f>SUMIFS(Dyno_Data[DelMiss], Dyno_Data[Team],TBA_Matches_All[[#This Row],[Team]],Dyno_Data[Match],TBA_Matches_All[[#This Row],[Match_Number]],Dyno_Data[RecordType],"Activities", Dyno_Data[DelDest],"Amp")</f>
        <v>0</v>
      </c>
      <c r="AY252" s="60">
        <f>IFERROR(SUM((TBA_Matches_All[[#This Row],[AampT]]+TBA_Matches_All[[#This Row],[TampT]])/(TBA_Matches_All[[#This Row],[AampT]]+TBA_Matches_All[[#This Row],[TampT]]+TBA_Matches_All[[#This Row],[ampM]])),0)</f>
        <v>0</v>
      </c>
      <c r="AZ252">
        <f>SUMIFS(Dyno_Data[DelMiss], Dyno_Data[Team],TBA_Matches_All[[#This Row],[Team]],Dyno_Data[Match],TBA_Matches_All[[#This Row],[Match_Number]],Dyno_Data[RecordType],"Activities", Dyno_Data[DelDest],"Spkr")</f>
        <v>0</v>
      </c>
      <c r="BA252" s="60">
        <f>IFERROR(SUM((TBA_Matches_All[[#This Row],[AspkrT]]+TBA_Matches_All[[#This Row],[TspkrT]])/(TBA_Matches_All[[#This Row],[AspkrT]]+TBA_Matches_All[[#This Row],[TspkrT]]+TBA_Matches_All[[#This Row],[spkrM]])),0)</f>
        <v>0</v>
      </c>
      <c r="BB252">
        <f>SUMIFS(Dyno_Data[DelMiss], Dyno_Data[Team],TBA_Matches_All[[#This Row],[Team]],Dyno_Data[Match],TBA_Matches_All[[#This Row],[Match_Number]],Dyno_Data[RecordType],"Activities", Dyno_Data[DelDest],"Trap")</f>
        <v>0</v>
      </c>
      <c r="BC252" s="60">
        <f>IFERROR((TBA_Matches_All[[#This Row],[AtrapT]]+TBA_Matches_All[[#This Row],[TtrapT]])/(TBA_Matches_All[[#This Row],[AtrapT]]+TBA_Matches_All[[#This Row],[TtrapT]]+TBA_Matches_All[[#This Row],[trapM]]),0)</f>
        <v>0</v>
      </c>
      <c r="BD252">
        <f>COUNTIFS(Dyno_Data[Team],TBA_Matches_All[[#This Row],[Team]],Dyno_Data[Match],TBA_Matches_All[[#This Row],[Match_Number]],Dyno_Data[RecordType],"Activities",Dyno_Data[DelDest],"Neut", Dyno_Data[DelMiss],1)</f>
        <v>0</v>
      </c>
      <c r="BE252" s="60">
        <f>IFERROR(SUM((TBA_Matches_All[[#This Row],[NeutFlrT]])/(TBA_Matches_All[[#This Row],[NeutFlrT]]+TBA_Matches_All[[#This Row],[NZflM]])),0)</f>
        <v>0</v>
      </c>
      <c r="BF252">
        <f>COUNTIFS(Dyno_Data[Team],TBA_Matches_All[[#This Row],[Team]],Dyno_Data[Match],TBA_Matches_All[[#This Row],[Match_Number]],Dyno_Data[RecordType],"Activities",Dyno_Data[DelDest],"AllyW", Dyno_Data[DelMiss],1)</f>
        <v>0</v>
      </c>
      <c r="BG252" s="60">
        <f>IFERROR(SUM((TBA_Matches_All[[#This Row],[AllyWFlrT]])/(TBA_Matches_All[[#This Row],[AllyWFlrT]]+TBA_Matches_All[[#This Row],[AZflM]])),0)</f>
        <v>0</v>
      </c>
      <c r="BH252">
        <f>COUNTIFS(Dyno_Data[Team],TBA_Matches_All[[#This Row],[Team]],Dyno_Data[Match],TBA_Matches_All[[#This Row],[Match_Number]],Dyno_Data[RecordType],"Activities",Dyno_Data[DelOrig],"OppW", Dyno_Data[DelMiss],"0")</f>
        <v>0</v>
      </c>
      <c r="BI252">
        <f>COUNTIFS(Dyno_Data[Team],TBA_Matches_All[[#This Row],[Team]],Dyno_Data[Match],TBA_Matches_All[[#This Row],[Match_Number]],Dyno_Data[RecordType],"Activities",Dyno_Data[DelOrig],"OppW", Dyno_Data[DelMiss],"1")</f>
        <v>0</v>
      </c>
      <c r="BJ252" s="60">
        <f>IFERROR(SUM((TBA_Matches_All[[#This Row],[OZflrT]])/(TBA_Matches_All[[#This Row],[OZflrT]]+TBA_Matches_All[[#This Row],[OZflrM]])),0)</f>
        <v>0</v>
      </c>
      <c r="BK252">
        <f>COUNTIFS(Dyno_Data[Team],TBA_Matches_All[[#This Row],[Team]],Dyno_Data[Match],TBA_Matches_All[[#This Row],[Match_Number]],Dyno_Data[RecordType],"Activities",Dyno_Data[DelOrig],"Neut", Dyno_Data[DelMiss],"0")</f>
        <v>0</v>
      </c>
      <c r="BL252">
        <f>COUNTIFS(Dyno_Data[Team],TBA_Matches_All[[#This Row],[Team]],Dyno_Data[Match],TBA_Matches_All[[#This Row],[Match_Number]],Dyno_Data[RecordType],"Activities",Dyno_Data[DelOrig],"Neut", Dyno_Data[DelMiss],"1")</f>
        <v>0</v>
      </c>
      <c r="BM252" s="60">
        <f>IFERROR(SUM((TBA_Matches_All[[#This Row],[NZflrT]])/(TBA_Matches_All[[#This Row],[NZflrT]]+TBA_Matches_All[[#This Row],[NZflrM]])),0)</f>
        <v>0</v>
      </c>
      <c r="BN252">
        <f>COUNTIFS(Dyno_Data[Team],TBA_Matches_All[[#This Row],[Team]],Dyno_Data[Match],TBA_Matches_All[[#This Row],[Match_Number]],Dyno_Data[RecordType],"Activities",Dyno_Data[DelOrig],"AllyW", Dyno_Data[DelMiss],"0")</f>
        <v>0</v>
      </c>
      <c r="BO252">
        <f>COUNTIFS(Dyno_Data[Team],TBA_Matches_All[[#This Row],[Team]],Dyno_Data[Match],TBA_Matches_All[[#This Row],[Match_Number]],Dyno_Data[RecordType],"Activities",Dyno_Data[DelOrig],"AllyW", Dyno_Data[DelMiss],"1")</f>
        <v>0</v>
      </c>
      <c r="BP252" s="60">
        <f>IFERROR(SUM((TBA_Matches_All[[#This Row],[AZflrT]])/(TBA_Matches_All[[#This Row],[AZflrT]]+TBA_Matches_All[[#This Row],[AZflrM]])),0)</f>
        <v>0</v>
      </c>
      <c r="BQ252">
        <f>COUNTIFS(Dyno_Data[Team],TBA_Matches_All[[#This Row],[Team]],Dyno_Data[Match],TBA_Matches_All[[#This Row],[Match_Number]],Dyno_Data[RecordType],"Activities",Dyno_Data[DelOrig],"SubW", Dyno_Data[DelMiss],"0")</f>
        <v>0</v>
      </c>
      <c r="BR252">
        <f>COUNTIFS(Dyno_Data[Team],TBA_Matches_All[[#This Row],[Team]],Dyno_Data[Match],TBA_Matches_All[[#This Row],[Match_Number]],Dyno_Data[RecordType],"Activities",Dyno_Data[DelOrig],"SubW", Dyno_Data[DelMiss],"1")</f>
        <v>0</v>
      </c>
      <c r="BS252" s="60">
        <f>IFERROR(SUM((TBA_Matches_All[[#This Row],[SubwT]])/(TBA_Matches_All[[#This Row],[SubwT]]+TBA_Matches_All[[#This Row],[SubwM]])),0)</f>
        <v>0</v>
      </c>
      <c r="BT252">
        <f>COUNTIFS(Dyno_Data[Team],TBA_Matches_All[[#This Row],[Team]],Dyno_Data[Match],TBA_Matches_All[[#This Row],[Match_Number]],Dyno_Data[RecordType],"Activities", Dyno_Data[AcqLoc],"OppWing")</f>
        <v>0</v>
      </c>
      <c r="BU252">
        <f>COUNTIFS(Dyno_Data[Team],TBA_Matches_All[[#This Row],[Team]],Dyno_Data[Match],TBA_Matches_All[[#This Row],[Match_Number]],Dyno_Data[RecordType],"Activities", Dyno_Data[AcqLoc],"Neutral")</f>
        <v>0</v>
      </c>
      <c r="BV252">
        <f>COUNTIFS(Dyno_Data[Team],TBA_Matches_All[[#This Row],[Team]],Dyno_Data[Match],TBA_Matches_All[[#This Row],[Match_Number]],Dyno_Data[RecordType],"Activities", Dyno_Data[AcqLoc],"AllyWing")</f>
        <v>0</v>
      </c>
      <c r="BW252">
        <f>COUNTIFS(Dyno_Data[Team],TBA_Matches_All[[#This Row],[Team]],Dyno_Data[Match],TBA_Matches_All[[#This Row],[Match_Number]],Dyno_Data[RecordType],"Activities", Dyno_Data[AcqLoc],"Source")</f>
        <v>0</v>
      </c>
      <c r="BX252">
        <f>SUMIFS(Dyno_Data[AcqDrp], Dyno_Data[Team],TBA_Matches_All[[#This Row],[Team]],Dyno_Data[Match],TBA_Matches_All[[#This Row],[Match_Number]],Dyno_Data[RecordType],"Activities", Dyno_Data[AcqLoc],"Source")</f>
        <v>0</v>
      </c>
      <c r="BY252">
        <f>SUMIFS(Dyno_Data[OZTime], Dyno_Data[Team],TBA_Matches_All[[#This Row],[Team]],Dyno_Data[Match],TBA_Matches_All[[#This Row],[Match_Number]],Dyno_Data[RecordType],"EndMatch")</f>
        <v>0</v>
      </c>
      <c r="BZ252">
        <f>SUMIFS(Dyno_Data[NZTime], Dyno_Data[Team],TBA_Matches_All[[#This Row],[Team]],Dyno_Data[Match],TBA_Matches_All[[#This Row],[Match_Number]],Dyno_Data[RecordType],"EndMatch")</f>
        <v>0</v>
      </c>
      <c r="CA252">
        <f>SUMIFS(Dyno_Data[AZTime], Dyno_Data[Team],TBA_Matches_All[[#This Row],[Team]],Dyno_Data[Match],TBA_Matches_All[[#This Row],[Match_Number]],Dyno_Data[RecordType],"EndMatch")</f>
        <v>135.2196031</v>
      </c>
      <c r="CB252">
        <f>SUMIFS(Dyno_Data[ClimbT], Dyno_Data[Team],TBA_Matches_All[[#This Row],[Team]],Dyno_Data[Match],TBA_Matches_All[[#This Row],[Match_Number]],Dyno_Data[RecordType],"EndMatch")</f>
        <v>0</v>
      </c>
      <c r="CC252" t="str">
        <f>_xlfn.XLOOKUP(SUM(MID(TBA_Matches_All[[#This Row],[Team]],4,5),(TBA_Matches_All[[#This Row],[Match_Number]]/100)),Dyno_EndMatch[teammat],Dyno_EndMatch[StageStat],"_",0,1)</f>
        <v>Else</v>
      </c>
      <c r="CD252" t="str">
        <f>_xlfn.XLOOKUP(TBA_Matches_All[[#This Row],[teammat]],Dyno_EndMatch[teammat],Dyno_EndMatch[StageAtt],"_",0,1)</f>
        <v>0</v>
      </c>
      <c r="CE252" t="str">
        <f>_xlfn.XLOOKUP(TBA_Matches_All[[#This Row],[teammat]],Dyno_EndMatch[teammat],Dyno_EndMatch[StageLoc],"_",0,1)</f>
        <v>A</v>
      </c>
      <c r="CF252">
        <f>SUMIFS(Dyno_Data[Harmony], Dyno_Data[Team],TBA_Matches_All[[#This Row],[Team]],Dyno_Data[Match],TBA_Matches_All[[#This Row],[Match_Number]],Dyno_Data[RecordType],"EndMatch", Dyno_Data[StageStat],"On",Dyno_Data[Harmony],"&lt;&gt;9")</f>
        <v>0</v>
      </c>
      <c r="CG252">
        <f>SUMIFS(Dyno_Data[Spotlit], Dyno_Data[Team],TBA_Matches_All[[#This Row],[Team]],Dyno_Data[Match],TBA_Matches_All[[#This Row],[Match_Number]],Dyno_Data[RecordType],"EndMatch", Dyno_Data[StageStat],"On",Dyno_Data[Spotlit],"&lt;&gt;9")</f>
        <v>0</v>
      </c>
      <c r="CH252" t="str">
        <f>_xlfn.XLOOKUP(TBA_Matches_All[[#This Row],[teammat]],Dyno_EndMatch[teammat],Dyno_EndMatch[Strategy],"_",0,1)</f>
        <v>None</v>
      </c>
      <c r="CI252">
        <f>SUMIFS(Dyno_Data[Defense], Dyno_Data[Team],TBA_Matches_All[[#This Row],[Team]],Dyno_Data[Match],TBA_Matches_All[[#This Row],[Match_Number]],Dyno_Data[RecordType],"EndMatch",Dyno_Data[Defense],"&lt;&gt;9")</f>
        <v>0</v>
      </c>
      <c r="CJ252">
        <f>SUMIFS(Dyno_Data[Avoidance], Dyno_Data[Team],TBA_Matches_All[[#This Row],[Team]],Dyno_Data[Match],TBA_Matches_All[[#This Row],[Match_Number]],Dyno_Data[RecordType],"EndMatch",Dyno_Data[Avoidance],"&lt;&gt;9")</f>
        <v>0</v>
      </c>
      <c r="CK252" s="82">
        <f>COUNTIF($H$2:TBA_Matches_All[[#This Row],[Team]],TBA_Matches_All[[#This Row],[Team]])</f>
        <v>5</v>
      </c>
      <c r="CL252" s="111">
        <f>SUM(MID(TBA_Matches_All[[#This Row],[Team]],4,5)+TBA_Matches_All[[#This Row],[Match_Number]]/100)</f>
        <v>3986.42</v>
      </c>
      <c r="CM252">
        <f>SUM((TBA_Matches_All[[#This Row],[Leave]]*2)+(TBA_Matches_All[[#This Row],[AampT]]*2)+(TBA_Matches_All[[#This Row],[AspkrT]]*5)+(TBA_Matches_All[[#This Row],[AtrapT]]*5))</f>
        <v>0</v>
      </c>
      <c r="CN252" s="59">
        <f>IFERROR(SUM(TBA_Matches_All[[#This Row],[AptsT]]/TBA_Matches_All[[#This Row],[AutoPts]]),0)</f>
        <v>0</v>
      </c>
      <c r="CO252" s="59">
        <f>IFERROR(SUM(TBA_Matches_All[[#This Row],[AampT]]+TBA_Matches_All[[#This Row],[AspkrT]]+TBA_Matches_All[[#This Row],[AtrapT]]/TBA_Matches_All[[#This Row],[Aamp]]+TBA_Matches_All[[#This Row],[Aspkr]]+TBA_Matches_All[[#This Row],[AtrapT]]),0)</f>
        <v>0</v>
      </c>
      <c r="CP252" s="59">
        <f>IFERROR(SUM(TBA_Matches_All[[#This Row],[TampT]]/TBA_Matches_All[[#This Row],[Tamp]]),0)</f>
        <v>0</v>
      </c>
      <c r="CQ252" s="59">
        <f>IFERROR(SUM(TBA_Matches_All[[#This Row],[TspkrT]]/TBA_Matches_All[[#This Row],[Tspkr]]),0)</f>
        <v>0</v>
      </c>
      <c r="CR252">
        <f>SUM(TBA_Matches_All[[#This Row],[TspkrPts]]*TBA_Matches_All[[#This Row],[TspkrP]])</f>
        <v>0</v>
      </c>
      <c r="CS252" s="59">
        <f>IFERROR(SUM(TBA_Matches_All[[#This Row],[TtrapT]]/TBA_Matches_All[[#This Row],[Trap]]),0)</f>
        <v>0</v>
      </c>
      <c r="CT252" s="59">
        <f>IFERROR(SUM(TBA_Matches_All[[#This Row],[TotNotesT]]/TBA_Matches_All[[#This Row],[TotNotes]]),0)</f>
        <v>0</v>
      </c>
      <c r="CU252" s="66">
        <f>SUM((TBA_Matches_All[[#This Row],[AampT]]*2)+(TBA_Matches_All[[#This Row],[AspkrT]]*5)+(TBA_Matches_All[[#This Row],[AtrapT]]*5)+(TBA_Matches_All[[#This Row],[TampT]]*1)+(TBA_Matches_All[[#This Row],[TspkrptsC]]))</f>
        <v>0</v>
      </c>
      <c r="CV252" s="59">
        <f>IFERROR(TBA_Matches_All[[#This Row],[noteptsT]]/TBA_Matches_All[[#This Row],[NotePts]],0)</f>
        <v>0</v>
      </c>
      <c r="CW252">
        <f>SUM(IF(TBA_Matches_All[[#This Row],[stageStat]]="On",3,0),IF(TBA_Matches_All[[#This Row],[stageStat]]="Park",1,0),SUMIFS(TBA_Matches_All[[#This Row],[Spotlit]],TBA_Matches_All[[#This Row],[stageStat]],"On"),SUMIFS(TBA_Matches_All[[#This Row],[Harmony]],TBA_Matches_All[[#This Row],[stageStat]],"On"))</f>
        <v>0</v>
      </c>
      <c r="CX252" s="59">
        <f>IFERROR(TBA_Matches_All[[#This Row],[stageptsT]]/TBA_Matches_All[[#This Row],[StagePts]],0)</f>
        <v>0</v>
      </c>
      <c r="CY252">
        <f>SUM((TBA_Matches_All[[#This Row],[AptsT]]+TBA_Matches_All[[#This Row],[TampT]]+TBA_Matches_All[[#This Row],[TspkrptsC]]+(TBA_Matches_All[[#This Row],[TtrapT]]*5)+TBA_Matches_All[[#This Row],[stageptsT]]))</f>
        <v>0</v>
      </c>
      <c r="CZ252" s="59">
        <f>IFERROR(SUM(TBA_Matches_All[[#This Row],[TotptsC]]/TBA_Matches_All[[#This Row],[Score]]),0)</f>
        <v>0</v>
      </c>
      <c r="DA25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9.2363636363636363</v>
      </c>
      <c r="DB252" s="74">
        <f>SUMIFS(TBA_Matches_All[AveTeamTNoteDels],TBA_Matches_All[Match_Number],TBA_Matches_All[[#This Row],[Match_Number]],TBA_Matches_All[Alliance],"&lt;&gt;"&amp;TBA_Matches_All[[#This Row],[Alliance]],TBA_Matches_All[Scouted],"&gt;0")</f>
        <v>7.5522727272727277</v>
      </c>
      <c r="DC252" s="74">
        <f>(TBA_Matches_All[[#This Row],[TampT]]+TBA_Matches_All[[#This Row],[TspkrptsC]])-TBA_Matches_All[[#This Row],[AveTeamTNoteDels]]</f>
        <v>-9.2363636363636363</v>
      </c>
      <c r="DD252" s="74">
        <f>SUMIFS(TBA_Matches_All[AveTeamTNoteDels],TBA_Matches_All[Match_Number],TBA_Matches_All[[#This Row],[Match_Number]],TBA_Matches_All[Alliance],"&lt;&gt;"&amp;TBA_Matches_All[[#This Row],[Alliance]])-TBA_Matches_All[[#This Row],[AveOppTNoteDels]]</f>
        <v>0</v>
      </c>
    </row>
    <row r="253" spans="1:108" x14ac:dyDescent="0.3">
      <c r="A253" t="s">
        <v>1042</v>
      </c>
      <c r="B253" t="s">
        <v>489</v>
      </c>
      <c r="C253" t="s">
        <v>1351</v>
      </c>
      <c r="D253">
        <v>42</v>
      </c>
      <c r="E253" t="s">
        <v>1420</v>
      </c>
      <c r="F253" t="s">
        <v>1425</v>
      </c>
      <c r="G253" t="s">
        <v>105</v>
      </c>
      <c r="H253" t="s">
        <v>1285</v>
      </c>
      <c r="I253" t="b">
        <v>0</v>
      </c>
      <c r="J253">
        <v>38</v>
      </c>
      <c r="K253">
        <v>0</v>
      </c>
      <c r="L253">
        <v>0</v>
      </c>
      <c r="M253">
        <v>2</v>
      </c>
      <c r="N253">
        <v>0</v>
      </c>
      <c r="O253">
        <v>1</v>
      </c>
      <c r="P253">
        <v>5</v>
      </c>
      <c r="Q253">
        <v>9</v>
      </c>
      <c r="R253">
        <v>3</v>
      </c>
      <c r="S253">
        <v>1</v>
      </c>
      <c r="T253">
        <v>4</v>
      </c>
      <c r="U253">
        <v>5</v>
      </c>
      <c r="V253">
        <v>8</v>
      </c>
      <c r="W253">
        <v>5</v>
      </c>
      <c r="X253">
        <v>13</v>
      </c>
      <c r="Y253">
        <v>16</v>
      </c>
      <c r="Z253">
        <v>0</v>
      </c>
      <c r="AA253">
        <v>0</v>
      </c>
      <c r="AB253">
        <v>9</v>
      </c>
      <c r="AC253">
        <v>21</v>
      </c>
      <c r="AD253">
        <v>3</v>
      </c>
      <c r="AE253">
        <f>IFERROR(6/(COUNTIF(Dyno_EndMatch[Match],TBA_Matches_All[[#This Row],[Match_Number]])),0)</f>
        <v>1</v>
      </c>
      <c r="AF253">
        <f>COUNTIFS(Dyno_Data[Team],TBA_Matches_All[[#This Row],[Team]],Dyno_Data[Match],TBA_Matches_All[[#This Row],[Match_Number]],Dyno_Data[RecordType],"EndMatch",Dyno_Data[HPAmp],"Y")</f>
        <v>1</v>
      </c>
      <c r="AG253">
        <f>SUMIFS(Dyno_Data[Mics], Dyno_Data[Team],TBA_Matches_All[[#This Row],[Team]],Dyno_Data[Match],TBA_Matches_All[[#This Row],[Match_Number]],Dyno_Data[RecordType],"EndMatch",Dyno_Data[HPAmp],"Y")</f>
        <v>0</v>
      </c>
      <c r="AH253">
        <f>SUMIFS(Dyno_Data[Leave], Dyno_Data[Team],TBA_Matches_All[[#This Row],[Team]],Dyno_Data[Match],TBA_Matches_All[[#This Row],[Match_Number]],Dyno_Data[RecordType],"EndAuto")</f>
        <v>1</v>
      </c>
      <c r="AI253">
        <f>COUNTIFS(Dyno_Data[Team],TBA_Matches_All[[#This Row],[Team]],Dyno_Data[Match],TBA_Matches_All[[#This Row],[Match_Number]],Dyno_Data[RecordType],"Activities",Dyno_Data[DelDest],"Amp", Dyno_Data[DelMiss],"0", Dyno_Data[Mode],"Auto")</f>
        <v>0</v>
      </c>
      <c r="AJ253">
        <f>COUNTIFS(Dyno_Data[Team],TBA_Matches_All[[#This Row],[Team]],Dyno_Data[Match],TBA_Matches_All[[#This Row],[Match_Number]],Dyno_Data[RecordType],"Activities",Dyno_Data[DelDest],"Spkr", Dyno_Data[DelMiss],"0", Dyno_Data[Mode],"Auto")</f>
        <v>1</v>
      </c>
      <c r="AK253">
        <f>COUNTIFS(Dyno_Data[Team],TBA_Matches_All[[#This Row],[Team]],Dyno_Data[Match],TBA_Matches_All[[#This Row],[Match_Number]],Dyno_Data[RecordType],"Activities",Dyno_Data[DelDest],"Trap", Dyno_Data[DelMiss],"0", Dyno_Data[Mode],"Auto")</f>
        <v>0</v>
      </c>
      <c r="AL253">
        <f>COUNTIFS(Dyno_Data[Team],TBA_Matches_All[[#This Row],[Team]],Dyno_Data[Match],TBA_Matches_All[[#This Row],[Match_Number]],Dyno_Data[RecordType],"Activities",Dyno_Data[DelDest],"Amp", Dyno_Data[DelMiss],"0", Dyno_Data[Mode],"Teleop")</f>
        <v>3</v>
      </c>
      <c r="AM253">
        <f>COUNTIFS(Dyno_Data[Team],TBA_Matches_All[[#This Row],[Team]],Dyno_Data[Match],TBA_Matches_All[[#This Row],[Match_Number]],Dyno_Data[RecordType],"Activities",Dyno_Data[DelDest],"Spkr", Dyno_Data[DelMiss],"0", Dyno_Data[Mode],"Teleop")</f>
        <v>2</v>
      </c>
      <c r="AN253">
        <f>COUNTIFS(Dyno_Data[Team],TBA_Matches_All[[#This Row],[Team]],Dyno_Data[Match],TBA_Matches_All[[#This Row],[Match_Number]],Dyno_Data[RecordType],"Activities",Dyno_Data[DelDest],"Trap", Dyno_Data[DelMiss],"0", Dyno_Data[Mode],"&lt;&gt;Auto")</f>
        <v>0</v>
      </c>
      <c r="AO253">
        <f>SUM(TBA_Matches_All[[#This Row],[AampT]]+TBA_Matches_All[[#This Row],[AspkrT]]+TBA_Matches_All[[#This Row],[AtrapT]]+TBA_Matches_All[[#This Row],[TampT]]+TBA_Matches_All[[#This Row],[TspkrT]]+TBA_Matches_All[[#This Row],[TtrapT]])</f>
        <v>6</v>
      </c>
      <c r="AP253">
        <f>COUNTIFS(Dyno_Data[Team],TBA_Matches_All[[#This Row],[Team]],Dyno_Data[Match],TBA_Matches_All[[#This Row],[Match_Number]],Dyno_Data[RecordType],"Activities",Dyno_Data[DelDest],"Neut", Dyno_Data[DelMiss],"0")</f>
        <v>0</v>
      </c>
      <c r="AQ253">
        <f>COUNTIFS(Dyno_Data[Team],TBA_Matches_All[[#This Row],[Team]],Dyno_Data[Match],TBA_Matches_All[[#This Row],[Match_Number]],Dyno_Data[RecordType],"Activities",Dyno_Data[DelDest],"AllyW", Dyno_Data[DelMiss],"0")</f>
        <v>0</v>
      </c>
      <c r="AR253" t="str">
        <f>_xlfn.XLOOKUP(SUM(MID(TBA_Matches_All[[#This Row],[Team]],4,5),(TBA_Matches_All[[#This Row],[Match_Number]]/100)),Dyno_EndMatch[teammat],Dyno_EndMatch[RobotSta],"_",0,1)</f>
        <v>SubW</v>
      </c>
      <c r="AS253">
        <f>SUMIFS(Dyno_Data[AcqDis], Dyno_Data[Team],TBA_Matches_All[[#This Row],[Team]],Dyno_Data[Match],TBA_Matches_All[[#This Row],[Match_Number]],Dyno_Data[RecordType],"Activities", Dyno_Data[AcqCenter],1,Dyno_Data[Mode],"Auto")</f>
        <v>0</v>
      </c>
      <c r="AT253">
        <f>SUMIFS(Dyno_Data[AcqDis], Dyno_Data[Team],TBA_Matches_All[[#This Row],[Team]],Dyno_Data[Match],TBA_Matches_All[[#This Row],[Match_Number]],Dyno_Data[RecordType],"Activities", Dyno_Data[AcqCenter],2,Dyno_Data[Mode],"Auto")</f>
        <v>0</v>
      </c>
      <c r="AU253">
        <f>SUMIFS(Dyno_Data[AcqDis], Dyno_Data[Team],TBA_Matches_All[[#This Row],[Team]],Dyno_Data[Match],TBA_Matches_All[[#This Row],[Match_Number]],Dyno_Data[RecordType],"Activities", Dyno_Data[AcqCenter],3,Dyno_Data[Mode],"Auto")</f>
        <v>0</v>
      </c>
      <c r="AV253">
        <f>SUMIFS(Dyno_Data[AcqDis], Dyno_Data[Team],TBA_Matches_All[[#This Row],[Team]],Dyno_Data[Match],TBA_Matches_All[[#This Row],[Match_Number]],Dyno_Data[RecordType],"Activities", Dyno_Data[AcqCenter],4,Dyno_Data[Mode],"Auto")</f>
        <v>0</v>
      </c>
      <c r="AW253">
        <f>SUMIFS(Dyno_Data[AcqDis], Dyno_Data[Team],TBA_Matches_All[[#This Row],[Team]],Dyno_Data[Match],TBA_Matches_All[[#This Row],[Match_Number]],Dyno_Data[RecordType],"Activities", Dyno_Data[AcqCenter],5,Dyno_Data[Mode],"Auto")</f>
        <v>0</v>
      </c>
      <c r="AX253">
        <f>SUMIFS(Dyno_Data[DelMiss], Dyno_Data[Team],TBA_Matches_All[[#This Row],[Team]],Dyno_Data[Match],TBA_Matches_All[[#This Row],[Match_Number]],Dyno_Data[RecordType],"Activities", Dyno_Data[DelDest],"Amp")</f>
        <v>0</v>
      </c>
      <c r="AY253" s="60">
        <f>IFERROR(SUM((TBA_Matches_All[[#This Row],[AampT]]+TBA_Matches_All[[#This Row],[TampT]])/(TBA_Matches_All[[#This Row],[AampT]]+TBA_Matches_All[[#This Row],[TampT]]+TBA_Matches_All[[#This Row],[ampM]])),0)</f>
        <v>1</v>
      </c>
      <c r="AZ253">
        <f>SUMIFS(Dyno_Data[DelMiss], Dyno_Data[Team],TBA_Matches_All[[#This Row],[Team]],Dyno_Data[Match],TBA_Matches_All[[#This Row],[Match_Number]],Dyno_Data[RecordType],"Activities", Dyno_Data[DelDest],"Spkr")</f>
        <v>2</v>
      </c>
      <c r="BA253" s="60">
        <f>IFERROR(SUM((TBA_Matches_All[[#This Row],[AspkrT]]+TBA_Matches_All[[#This Row],[TspkrT]])/(TBA_Matches_All[[#This Row],[AspkrT]]+TBA_Matches_All[[#This Row],[TspkrT]]+TBA_Matches_All[[#This Row],[spkrM]])),0)</f>
        <v>0.6</v>
      </c>
      <c r="BB253">
        <f>SUMIFS(Dyno_Data[DelMiss], Dyno_Data[Team],TBA_Matches_All[[#This Row],[Team]],Dyno_Data[Match],TBA_Matches_All[[#This Row],[Match_Number]],Dyno_Data[RecordType],"Activities", Dyno_Data[DelDest],"Trap")</f>
        <v>0</v>
      </c>
      <c r="BC253" s="60">
        <f>IFERROR((TBA_Matches_All[[#This Row],[AtrapT]]+TBA_Matches_All[[#This Row],[TtrapT]])/(TBA_Matches_All[[#This Row],[AtrapT]]+TBA_Matches_All[[#This Row],[TtrapT]]+TBA_Matches_All[[#This Row],[trapM]]),0)</f>
        <v>0</v>
      </c>
      <c r="BD253">
        <f>COUNTIFS(Dyno_Data[Team],TBA_Matches_All[[#This Row],[Team]],Dyno_Data[Match],TBA_Matches_All[[#This Row],[Match_Number]],Dyno_Data[RecordType],"Activities",Dyno_Data[DelDest],"Neut", Dyno_Data[DelMiss],1)</f>
        <v>0</v>
      </c>
      <c r="BE253" s="60">
        <f>IFERROR(SUM((TBA_Matches_All[[#This Row],[NeutFlrT]])/(TBA_Matches_All[[#This Row],[NeutFlrT]]+TBA_Matches_All[[#This Row],[NZflM]])),0)</f>
        <v>0</v>
      </c>
      <c r="BF253">
        <f>COUNTIFS(Dyno_Data[Team],TBA_Matches_All[[#This Row],[Team]],Dyno_Data[Match],TBA_Matches_All[[#This Row],[Match_Number]],Dyno_Data[RecordType],"Activities",Dyno_Data[DelDest],"AllyW", Dyno_Data[DelMiss],1)</f>
        <v>0</v>
      </c>
      <c r="BG253" s="60">
        <f>IFERROR(SUM((TBA_Matches_All[[#This Row],[AllyWFlrT]])/(TBA_Matches_All[[#This Row],[AllyWFlrT]]+TBA_Matches_All[[#This Row],[AZflM]])),0)</f>
        <v>0</v>
      </c>
      <c r="BH253">
        <f>COUNTIFS(Dyno_Data[Team],TBA_Matches_All[[#This Row],[Team]],Dyno_Data[Match],TBA_Matches_All[[#This Row],[Match_Number]],Dyno_Data[RecordType],"Activities",Dyno_Data[DelOrig],"OppW", Dyno_Data[DelMiss],"0")</f>
        <v>0</v>
      </c>
      <c r="BI253">
        <f>COUNTIFS(Dyno_Data[Team],TBA_Matches_All[[#This Row],[Team]],Dyno_Data[Match],TBA_Matches_All[[#This Row],[Match_Number]],Dyno_Data[RecordType],"Activities",Dyno_Data[DelOrig],"OppW", Dyno_Data[DelMiss],"1")</f>
        <v>0</v>
      </c>
      <c r="BJ253" s="60">
        <f>IFERROR(SUM((TBA_Matches_All[[#This Row],[OZflrT]])/(TBA_Matches_All[[#This Row],[OZflrT]]+TBA_Matches_All[[#This Row],[OZflrM]])),0)</f>
        <v>0</v>
      </c>
      <c r="BK253">
        <f>COUNTIFS(Dyno_Data[Team],TBA_Matches_All[[#This Row],[Team]],Dyno_Data[Match],TBA_Matches_All[[#This Row],[Match_Number]],Dyno_Data[RecordType],"Activities",Dyno_Data[DelOrig],"Neut", Dyno_Data[DelMiss],"0")</f>
        <v>0</v>
      </c>
      <c r="BL253">
        <f>COUNTIFS(Dyno_Data[Team],TBA_Matches_All[[#This Row],[Team]],Dyno_Data[Match],TBA_Matches_All[[#This Row],[Match_Number]],Dyno_Data[RecordType],"Activities",Dyno_Data[DelOrig],"Neut", Dyno_Data[DelMiss],"1")</f>
        <v>0</v>
      </c>
      <c r="BM253" s="60">
        <f>IFERROR(SUM((TBA_Matches_All[[#This Row],[NZflrT]])/(TBA_Matches_All[[#This Row],[NZflrT]]+TBA_Matches_All[[#This Row],[NZflrM]])),0)</f>
        <v>0</v>
      </c>
      <c r="BN253">
        <f>COUNTIFS(Dyno_Data[Team],TBA_Matches_All[[#This Row],[Team]],Dyno_Data[Match],TBA_Matches_All[[#This Row],[Match_Number]],Dyno_Data[RecordType],"Activities",Dyno_Data[DelOrig],"AllyW", Dyno_Data[DelMiss],"0")</f>
        <v>4</v>
      </c>
      <c r="BO253">
        <f>COUNTIFS(Dyno_Data[Team],TBA_Matches_All[[#This Row],[Team]],Dyno_Data[Match],TBA_Matches_All[[#This Row],[Match_Number]],Dyno_Data[RecordType],"Activities",Dyno_Data[DelOrig],"AllyW", Dyno_Data[DelMiss],"1")</f>
        <v>1</v>
      </c>
      <c r="BP253" s="60">
        <f>IFERROR(SUM((TBA_Matches_All[[#This Row],[AZflrT]])/(TBA_Matches_All[[#This Row],[AZflrT]]+TBA_Matches_All[[#This Row],[AZflrM]])),0)</f>
        <v>0.8</v>
      </c>
      <c r="BQ253">
        <f>COUNTIFS(Dyno_Data[Team],TBA_Matches_All[[#This Row],[Team]],Dyno_Data[Match],TBA_Matches_All[[#This Row],[Match_Number]],Dyno_Data[RecordType],"Activities",Dyno_Data[DelOrig],"SubW", Dyno_Data[DelMiss],"0")</f>
        <v>2</v>
      </c>
      <c r="BR253">
        <f>COUNTIFS(Dyno_Data[Team],TBA_Matches_All[[#This Row],[Team]],Dyno_Data[Match],TBA_Matches_All[[#This Row],[Match_Number]],Dyno_Data[RecordType],"Activities",Dyno_Data[DelOrig],"SubW", Dyno_Data[DelMiss],"1")</f>
        <v>1</v>
      </c>
      <c r="BS253" s="60">
        <f>IFERROR(SUM((TBA_Matches_All[[#This Row],[SubwT]])/(TBA_Matches_All[[#This Row],[SubwT]]+TBA_Matches_All[[#This Row],[SubwM]])),0)</f>
        <v>0.66666666666666663</v>
      </c>
      <c r="BT253">
        <f>COUNTIFS(Dyno_Data[Team],TBA_Matches_All[[#This Row],[Team]],Dyno_Data[Match],TBA_Matches_All[[#This Row],[Match_Number]],Dyno_Data[RecordType],"Activities", Dyno_Data[AcqLoc],"OppWing")</f>
        <v>0</v>
      </c>
      <c r="BU253">
        <f>COUNTIFS(Dyno_Data[Team],TBA_Matches_All[[#This Row],[Team]],Dyno_Data[Match],TBA_Matches_All[[#This Row],[Match_Number]],Dyno_Data[RecordType],"Activities", Dyno_Data[AcqLoc],"Neutral")</f>
        <v>0</v>
      </c>
      <c r="BV253">
        <f>COUNTIFS(Dyno_Data[Team],TBA_Matches_All[[#This Row],[Team]],Dyno_Data[Match],TBA_Matches_All[[#This Row],[Match_Number]],Dyno_Data[RecordType],"Activities", Dyno_Data[AcqLoc],"AllyWing")</f>
        <v>0</v>
      </c>
      <c r="BW253">
        <f>COUNTIFS(Dyno_Data[Team],TBA_Matches_All[[#This Row],[Team]],Dyno_Data[Match],TBA_Matches_All[[#This Row],[Match_Number]],Dyno_Data[RecordType],"Activities", Dyno_Data[AcqLoc],"Source")</f>
        <v>0</v>
      </c>
      <c r="BX253">
        <f>SUMIFS(Dyno_Data[AcqDrp], Dyno_Data[Team],TBA_Matches_All[[#This Row],[Team]],Dyno_Data[Match],TBA_Matches_All[[#This Row],[Match_Number]],Dyno_Data[RecordType],"Activities", Dyno_Data[AcqLoc],"Source")</f>
        <v>0</v>
      </c>
      <c r="BY253">
        <f>SUMIFS(Dyno_Data[OZTime], Dyno_Data[Team],TBA_Matches_All[[#This Row],[Team]],Dyno_Data[Match],TBA_Matches_All[[#This Row],[Match_Number]],Dyno_Data[RecordType],"EndMatch")</f>
        <v>17.848417999999999</v>
      </c>
      <c r="BZ253">
        <f>SUMIFS(Dyno_Data[NZTime], Dyno_Data[Team],TBA_Matches_All[[#This Row],[Team]],Dyno_Data[Match],TBA_Matches_All[[#This Row],[Match_Number]],Dyno_Data[RecordType],"EndMatch")</f>
        <v>12.4399003</v>
      </c>
      <c r="CA253">
        <f>SUMIFS(Dyno_Data[AZTime], Dyno_Data[Team],TBA_Matches_All[[#This Row],[Team]],Dyno_Data[Match],TBA_Matches_All[[#This Row],[Match_Number]],Dyno_Data[RecordType],"EndMatch")</f>
        <v>92.042836699999995</v>
      </c>
      <c r="CB253">
        <f>SUMIFS(Dyno_Data[ClimbT], Dyno_Data[Team],TBA_Matches_All[[#This Row],[Team]],Dyno_Data[Match],TBA_Matches_All[[#This Row],[Match_Number]],Dyno_Data[RecordType],"EndMatch")</f>
        <v>12.277265999999999</v>
      </c>
      <c r="CC253" t="str">
        <f>_xlfn.XLOOKUP(SUM(MID(TBA_Matches_All[[#This Row],[Team]],4,5),(TBA_Matches_All[[#This Row],[Match_Number]]/100)),Dyno_EndMatch[teammat],Dyno_EndMatch[StageStat],"_",0,1)</f>
        <v>Park</v>
      </c>
      <c r="CD253" t="str">
        <f>_xlfn.XLOOKUP(TBA_Matches_All[[#This Row],[teammat]],Dyno_EndMatch[teammat],Dyno_EndMatch[StageAtt],"_",0,1)</f>
        <v>-1</v>
      </c>
      <c r="CE253" t="str">
        <f>_xlfn.XLOOKUP(TBA_Matches_All[[#This Row],[teammat]],Dyno_EndMatch[teammat],Dyno_EndMatch[StageLoc],"_",0,1)</f>
        <v>A</v>
      </c>
      <c r="CF253">
        <f>SUMIFS(Dyno_Data[Harmony], Dyno_Data[Team],TBA_Matches_All[[#This Row],[Team]],Dyno_Data[Match],TBA_Matches_All[[#This Row],[Match_Number]],Dyno_Data[RecordType],"EndMatch", Dyno_Data[StageStat],"On",Dyno_Data[Harmony],"&lt;&gt;9")</f>
        <v>0</v>
      </c>
      <c r="CG253">
        <f>SUMIFS(Dyno_Data[Spotlit], Dyno_Data[Team],TBA_Matches_All[[#This Row],[Team]],Dyno_Data[Match],TBA_Matches_All[[#This Row],[Match_Number]],Dyno_Data[RecordType],"EndMatch", Dyno_Data[StageStat],"On",Dyno_Data[Spotlit],"&lt;&gt;9")</f>
        <v>0</v>
      </c>
      <c r="CH253" t="str">
        <f>_xlfn.XLOOKUP(TBA_Matches_All[[#This Row],[teammat]],Dyno_EndMatch[teammat],Dyno_EndMatch[Strategy],"_",0,1)</f>
        <v>Hybrid</v>
      </c>
      <c r="CI253">
        <f>SUMIFS(Dyno_Data[Defense], Dyno_Data[Team],TBA_Matches_All[[#This Row],[Team]],Dyno_Data[Match],TBA_Matches_All[[#This Row],[Match_Number]],Dyno_Data[RecordType],"EndMatch",Dyno_Data[Defense],"&lt;&gt;9")</f>
        <v>0</v>
      </c>
      <c r="CJ253">
        <f>SUMIFS(Dyno_Data[Avoidance], Dyno_Data[Team],TBA_Matches_All[[#This Row],[Team]],Dyno_Data[Match],TBA_Matches_All[[#This Row],[Match_Number]],Dyno_Data[RecordType],"EndMatch",Dyno_Data[Avoidance],"&lt;&gt;9")</f>
        <v>0</v>
      </c>
      <c r="CK253" s="82">
        <f>COUNTIF($H$2:TBA_Matches_All[[#This Row],[Team]],TBA_Matches_All[[#This Row],[Team]])</f>
        <v>5</v>
      </c>
      <c r="CL253" s="111">
        <f>SUM(MID(TBA_Matches_All[[#This Row],[Team]],4,5)+TBA_Matches_All[[#This Row],[Match_Number]]/100)</f>
        <v>5993.42</v>
      </c>
      <c r="CM253">
        <f>SUM((TBA_Matches_All[[#This Row],[Leave]]*2)+(TBA_Matches_All[[#This Row],[AampT]]*2)+(TBA_Matches_All[[#This Row],[AspkrT]]*5)+(TBA_Matches_All[[#This Row],[AtrapT]]*5))</f>
        <v>7</v>
      </c>
      <c r="CN253" s="59">
        <f>IFERROR(SUM(TBA_Matches_All[[#This Row],[AptsT]]/TBA_Matches_All[[#This Row],[AutoPts]]),0)</f>
        <v>0.77777777777777779</v>
      </c>
      <c r="CO253" s="59">
        <f>IFERROR(SUM(TBA_Matches_All[[#This Row],[AampT]]+TBA_Matches_All[[#This Row],[AspkrT]]+TBA_Matches_All[[#This Row],[AtrapT]]/TBA_Matches_All[[#This Row],[Aamp]]+TBA_Matches_All[[#This Row],[Aspkr]]+TBA_Matches_All[[#This Row],[AtrapT]]),0)</f>
        <v>0</v>
      </c>
      <c r="CP253" s="59">
        <f>IFERROR(SUM(TBA_Matches_All[[#This Row],[TampT]]/TBA_Matches_All[[#This Row],[Tamp]]),0)</f>
        <v>1</v>
      </c>
      <c r="CQ253" s="59">
        <f>IFERROR(SUM(TBA_Matches_All[[#This Row],[TspkrT]]/TBA_Matches_All[[#This Row],[Tspkr]]),0)</f>
        <v>0.4</v>
      </c>
      <c r="CR253">
        <f>SUM(TBA_Matches_All[[#This Row],[TspkrPts]]*TBA_Matches_All[[#This Row],[TspkrP]])</f>
        <v>5.2</v>
      </c>
      <c r="CS253" s="59">
        <f>IFERROR(SUM(TBA_Matches_All[[#This Row],[TtrapT]]/TBA_Matches_All[[#This Row],[Trap]]),0)</f>
        <v>0</v>
      </c>
      <c r="CT253" s="59">
        <f>IFERROR(SUM(TBA_Matches_All[[#This Row],[TotNotesT]]/TBA_Matches_All[[#This Row],[TotNotes]]),0)</f>
        <v>0.66666666666666663</v>
      </c>
      <c r="CU253" s="66">
        <f>SUM((TBA_Matches_All[[#This Row],[AampT]]*2)+(TBA_Matches_All[[#This Row],[AspkrT]]*5)+(TBA_Matches_All[[#This Row],[AtrapT]]*5)+(TBA_Matches_All[[#This Row],[TampT]]*1)+(TBA_Matches_All[[#This Row],[TspkrptsC]]))</f>
        <v>13.2</v>
      </c>
      <c r="CV253" s="59">
        <f>IFERROR(TBA_Matches_All[[#This Row],[noteptsT]]/TBA_Matches_All[[#This Row],[NotePts]],0)</f>
        <v>0.62857142857142856</v>
      </c>
      <c r="CW253">
        <f>SUM(IF(TBA_Matches_All[[#This Row],[stageStat]]="On",3,0),IF(TBA_Matches_All[[#This Row],[stageStat]]="Park",1,0),SUMIFS(TBA_Matches_All[[#This Row],[Spotlit]],TBA_Matches_All[[#This Row],[stageStat]],"On"),SUMIFS(TBA_Matches_All[[#This Row],[Harmony]],TBA_Matches_All[[#This Row],[stageStat]],"On"))</f>
        <v>1</v>
      </c>
      <c r="CX253" s="59">
        <f>IFERROR(TBA_Matches_All[[#This Row],[stageptsT]]/TBA_Matches_All[[#This Row],[StagePts]],0)</f>
        <v>0.33333333333333331</v>
      </c>
      <c r="CY253">
        <f>SUM((TBA_Matches_All[[#This Row],[AptsT]]+TBA_Matches_All[[#This Row],[TampT]]+TBA_Matches_All[[#This Row],[TspkrptsC]]+(TBA_Matches_All[[#This Row],[TtrapT]]*5)+TBA_Matches_All[[#This Row],[stageptsT]]))</f>
        <v>16.2</v>
      </c>
      <c r="CZ253" s="59">
        <f>IFERROR(SUM(TBA_Matches_All[[#This Row],[TotptsC]]/TBA_Matches_All[[#This Row],[Score]]),0)</f>
        <v>0.4263157894736842</v>
      </c>
      <c r="DA25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2.6</v>
      </c>
      <c r="DB253" s="74">
        <f>SUMIFS(TBA_Matches_All[AveTeamTNoteDels],TBA_Matches_All[Match_Number],TBA_Matches_All[[#This Row],[Match_Number]],TBA_Matches_All[Alliance],"&lt;&gt;"&amp;TBA_Matches_All[[#This Row],[Alliance]],TBA_Matches_All[Scouted],"&gt;0")</f>
        <v>17.426223776223775</v>
      </c>
      <c r="DC253" s="74">
        <f>(TBA_Matches_All[[#This Row],[TampT]]+TBA_Matches_All[[#This Row],[TspkrptsC]])-TBA_Matches_All[[#This Row],[AveTeamTNoteDels]]</f>
        <v>5.6</v>
      </c>
      <c r="DD253" s="74">
        <f>SUMIFS(TBA_Matches_All[AveTeamTNoteDels],TBA_Matches_All[Match_Number],TBA_Matches_All[[#This Row],[Match_Number]],TBA_Matches_All[Alliance],"&lt;&gt;"&amp;TBA_Matches_All[[#This Row],[Alliance]])-TBA_Matches_All[[#This Row],[AveOppTNoteDels]]</f>
        <v>0</v>
      </c>
    </row>
    <row r="254" spans="1:108" x14ac:dyDescent="0.3">
      <c r="A254" t="s">
        <v>1042</v>
      </c>
      <c r="B254" t="s">
        <v>489</v>
      </c>
      <c r="C254" t="s">
        <v>1351</v>
      </c>
      <c r="D254">
        <v>42</v>
      </c>
      <c r="E254" t="s">
        <v>1406</v>
      </c>
      <c r="F254" t="s">
        <v>1426</v>
      </c>
      <c r="G254" t="s">
        <v>164</v>
      </c>
      <c r="H254" t="s">
        <v>1278</v>
      </c>
      <c r="I254" t="b">
        <v>0</v>
      </c>
      <c r="J254">
        <v>30</v>
      </c>
      <c r="K254">
        <v>0</v>
      </c>
      <c r="L254">
        <v>0</v>
      </c>
      <c r="M254">
        <v>10</v>
      </c>
      <c r="N254">
        <v>0</v>
      </c>
      <c r="O254">
        <v>2</v>
      </c>
      <c r="P254">
        <v>10</v>
      </c>
      <c r="Q254">
        <v>12</v>
      </c>
      <c r="R254">
        <v>0</v>
      </c>
      <c r="S254">
        <v>0</v>
      </c>
      <c r="T254">
        <v>6</v>
      </c>
      <c r="U254">
        <v>0</v>
      </c>
      <c r="V254">
        <v>12</v>
      </c>
      <c r="W254">
        <v>6</v>
      </c>
      <c r="X254">
        <v>12</v>
      </c>
      <c r="Y254">
        <v>12</v>
      </c>
      <c r="Z254">
        <v>0</v>
      </c>
      <c r="AA254">
        <v>0</v>
      </c>
      <c r="AB254">
        <v>8</v>
      </c>
      <c r="AC254">
        <v>22</v>
      </c>
      <c r="AD254">
        <v>4</v>
      </c>
      <c r="AE254">
        <f>IFERROR(6/(COUNTIF(Dyno_EndMatch[Match],TBA_Matches_All[[#This Row],[Match_Number]])),0)</f>
        <v>1</v>
      </c>
      <c r="AF254">
        <f>COUNTIFS(Dyno_Data[Team],TBA_Matches_All[[#This Row],[Team]],Dyno_Data[Match],TBA_Matches_All[[#This Row],[Match_Number]],Dyno_Data[RecordType],"EndMatch",Dyno_Data[HPAmp],"Y")</f>
        <v>1</v>
      </c>
      <c r="AG254">
        <f>SUMIFS(Dyno_Data[Mics], Dyno_Data[Team],TBA_Matches_All[[#This Row],[Team]],Dyno_Data[Match],TBA_Matches_All[[#This Row],[Match_Number]],Dyno_Data[RecordType],"EndMatch",Dyno_Data[HPAmp],"Y")</f>
        <v>0</v>
      </c>
      <c r="AH254">
        <f>SUMIFS(Dyno_Data[Leave], Dyno_Data[Team],TBA_Matches_All[[#This Row],[Team]],Dyno_Data[Match],TBA_Matches_All[[#This Row],[Match_Number]],Dyno_Data[RecordType],"EndAuto")</f>
        <v>1</v>
      </c>
      <c r="AI254">
        <f>COUNTIFS(Dyno_Data[Team],TBA_Matches_All[[#This Row],[Team]],Dyno_Data[Match],TBA_Matches_All[[#This Row],[Match_Number]],Dyno_Data[RecordType],"Activities",Dyno_Data[DelDest],"Amp", Dyno_Data[DelMiss],"0", Dyno_Data[Mode],"Auto")</f>
        <v>0</v>
      </c>
      <c r="AJ254">
        <f>COUNTIFS(Dyno_Data[Team],TBA_Matches_All[[#This Row],[Team]],Dyno_Data[Match],TBA_Matches_All[[#This Row],[Match_Number]],Dyno_Data[RecordType],"Activities",Dyno_Data[DelDest],"Spkr", Dyno_Data[DelMiss],"0", Dyno_Data[Mode],"Auto")</f>
        <v>2</v>
      </c>
      <c r="AK254">
        <f>COUNTIFS(Dyno_Data[Team],TBA_Matches_All[[#This Row],[Team]],Dyno_Data[Match],TBA_Matches_All[[#This Row],[Match_Number]],Dyno_Data[RecordType],"Activities",Dyno_Data[DelDest],"Trap", Dyno_Data[DelMiss],"0", Dyno_Data[Mode],"Auto")</f>
        <v>0</v>
      </c>
      <c r="AL254">
        <f>COUNTIFS(Dyno_Data[Team],TBA_Matches_All[[#This Row],[Team]],Dyno_Data[Match],TBA_Matches_All[[#This Row],[Match_Number]],Dyno_Data[RecordType],"Activities",Dyno_Data[DelDest],"Amp", Dyno_Data[DelMiss],"0", Dyno_Data[Mode],"Teleop")</f>
        <v>0</v>
      </c>
      <c r="AM254">
        <f>COUNTIFS(Dyno_Data[Team],TBA_Matches_All[[#This Row],[Team]],Dyno_Data[Match],TBA_Matches_All[[#This Row],[Match_Number]],Dyno_Data[RecordType],"Activities",Dyno_Data[DelDest],"Spkr", Dyno_Data[DelMiss],"0", Dyno_Data[Mode],"Teleop")</f>
        <v>0</v>
      </c>
      <c r="AN254">
        <f>COUNTIFS(Dyno_Data[Team],TBA_Matches_All[[#This Row],[Team]],Dyno_Data[Match],TBA_Matches_All[[#This Row],[Match_Number]],Dyno_Data[RecordType],"Activities",Dyno_Data[DelDest],"Trap", Dyno_Data[DelMiss],"0", Dyno_Data[Mode],"&lt;&gt;Auto")</f>
        <v>0</v>
      </c>
      <c r="AO254">
        <f>SUM(TBA_Matches_All[[#This Row],[AampT]]+TBA_Matches_All[[#This Row],[AspkrT]]+TBA_Matches_All[[#This Row],[AtrapT]]+TBA_Matches_All[[#This Row],[TampT]]+TBA_Matches_All[[#This Row],[TspkrT]]+TBA_Matches_All[[#This Row],[TtrapT]])</f>
        <v>2</v>
      </c>
      <c r="AP254">
        <f>COUNTIFS(Dyno_Data[Team],TBA_Matches_All[[#This Row],[Team]],Dyno_Data[Match],TBA_Matches_All[[#This Row],[Match_Number]],Dyno_Data[RecordType],"Activities",Dyno_Data[DelDest],"Neut", Dyno_Data[DelMiss],"0")</f>
        <v>0</v>
      </c>
      <c r="AQ254">
        <f>COUNTIFS(Dyno_Data[Team],TBA_Matches_All[[#This Row],[Team]],Dyno_Data[Match],TBA_Matches_All[[#This Row],[Match_Number]],Dyno_Data[RecordType],"Activities",Dyno_Data[DelDest],"AllyW", Dyno_Data[DelMiss],"0")</f>
        <v>0</v>
      </c>
      <c r="AR254" t="str">
        <f>_xlfn.XLOOKUP(SUM(MID(TBA_Matches_All[[#This Row],[Team]],4,5),(TBA_Matches_All[[#This Row],[Match_Number]]/100)),Dyno_EndMatch[teammat],Dyno_EndMatch[RobotSta],"_",0,1)</f>
        <v>SubW</v>
      </c>
      <c r="AS254">
        <f>SUMIFS(Dyno_Data[AcqDis], Dyno_Data[Team],TBA_Matches_All[[#This Row],[Team]],Dyno_Data[Match],TBA_Matches_All[[#This Row],[Match_Number]],Dyno_Data[RecordType],"Activities", Dyno_Data[AcqCenter],1,Dyno_Data[Mode],"Auto")</f>
        <v>0</v>
      </c>
      <c r="AT254">
        <f>SUMIFS(Dyno_Data[AcqDis], Dyno_Data[Team],TBA_Matches_All[[#This Row],[Team]],Dyno_Data[Match],TBA_Matches_All[[#This Row],[Match_Number]],Dyno_Data[RecordType],"Activities", Dyno_Data[AcqCenter],2,Dyno_Data[Mode],"Auto")</f>
        <v>0</v>
      </c>
      <c r="AU254">
        <f>SUMIFS(Dyno_Data[AcqDis], Dyno_Data[Team],TBA_Matches_All[[#This Row],[Team]],Dyno_Data[Match],TBA_Matches_All[[#This Row],[Match_Number]],Dyno_Data[RecordType],"Activities", Dyno_Data[AcqCenter],3,Dyno_Data[Mode],"Auto")</f>
        <v>0</v>
      </c>
      <c r="AV254">
        <f>SUMIFS(Dyno_Data[AcqDis], Dyno_Data[Team],TBA_Matches_All[[#This Row],[Team]],Dyno_Data[Match],TBA_Matches_All[[#This Row],[Match_Number]],Dyno_Data[RecordType],"Activities", Dyno_Data[AcqCenter],4,Dyno_Data[Mode],"Auto")</f>
        <v>0</v>
      </c>
      <c r="AW254">
        <f>SUMIFS(Dyno_Data[AcqDis], Dyno_Data[Team],TBA_Matches_All[[#This Row],[Team]],Dyno_Data[Match],TBA_Matches_All[[#This Row],[Match_Number]],Dyno_Data[RecordType],"Activities", Dyno_Data[AcqCenter],5,Dyno_Data[Mode],"Auto")</f>
        <v>0</v>
      </c>
      <c r="AX254">
        <f>SUMIFS(Dyno_Data[DelMiss], Dyno_Data[Team],TBA_Matches_All[[#This Row],[Team]],Dyno_Data[Match],TBA_Matches_All[[#This Row],[Match_Number]],Dyno_Data[RecordType],"Activities", Dyno_Data[DelDest],"Amp")</f>
        <v>1</v>
      </c>
      <c r="AY254" s="60">
        <f>IFERROR(SUM((TBA_Matches_All[[#This Row],[AampT]]+TBA_Matches_All[[#This Row],[TampT]])/(TBA_Matches_All[[#This Row],[AampT]]+TBA_Matches_All[[#This Row],[TampT]]+TBA_Matches_All[[#This Row],[ampM]])),0)</f>
        <v>0</v>
      </c>
      <c r="AZ254">
        <f>SUMIFS(Dyno_Data[DelMiss], Dyno_Data[Team],TBA_Matches_All[[#This Row],[Team]],Dyno_Data[Match],TBA_Matches_All[[#This Row],[Match_Number]],Dyno_Data[RecordType],"Activities", Dyno_Data[DelDest],"Spkr")</f>
        <v>1</v>
      </c>
      <c r="BA254" s="60">
        <f>IFERROR(SUM((TBA_Matches_All[[#This Row],[AspkrT]]+TBA_Matches_All[[#This Row],[TspkrT]])/(TBA_Matches_All[[#This Row],[AspkrT]]+TBA_Matches_All[[#This Row],[TspkrT]]+TBA_Matches_All[[#This Row],[spkrM]])),0)</f>
        <v>0.66666666666666663</v>
      </c>
      <c r="BB254">
        <f>SUMIFS(Dyno_Data[DelMiss], Dyno_Data[Team],TBA_Matches_All[[#This Row],[Team]],Dyno_Data[Match],TBA_Matches_All[[#This Row],[Match_Number]],Dyno_Data[RecordType],"Activities", Dyno_Data[DelDest],"Trap")</f>
        <v>0</v>
      </c>
      <c r="BC254" s="60">
        <f>IFERROR((TBA_Matches_All[[#This Row],[AtrapT]]+TBA_Matches_All[[#This Row],[TtrapT]])/(TBA_Matches_All[[#This Row],[AtrapT]]+TBA_Matches_All[[#This Row],[TtrapT]]+TBA_Matches_All[[#This Row],[trapM]]),0)</f>
        <v>0</v>
      </c>
      <c r="BD254">
        <f>COUNTIFS(Dyno_Data[Team],TBA_Matches_All[[#This Row],[Team]],Dyno_Data[Match],TBA_Matches_All[[#This Row],[Match_Number]],Dyno_Data[RecordType],"Activities",Dyno_Data[DelDest],"Neut", Dyno_Data[DelMiss],1)</f>
        <v>0</v>
      </c>
      <c r="BE254" s="60">
        <f>IFERROR(SUM((TBA_Matches_All[[#This Row],[NeutFlrT]])/(TBA_Matches_All[[#This Row],[NeutFlrT]]+TBA_Matches_All[[#This Row],[NZflM]])),0)</f>
        <v>0</v>
      </c>
      <c r="BF254">
        <f>COUNTIFS(Dyno_Data[Team],TBA_Matches_All[[#This Row],[Team]],Dyno_Data[Match],TBA_Matches_All[[#This Row],[Match_Number]],Dyno_Data[RecordType],"Activities",Dyno_Data[DelDest],"AllyW", Dyno_Data[DelMiss],1)</f>
        <v>0</v>
      </c>
      <c r="BG254" s="60">
        <f>IFERROR(SUM((TBA_Matches_All[[#This Row],[AllyWFlrT]])/(TBA_Matches_All[[#This Row],[AllyWFlrT]]+TBA_Matches_All[[#This Row],[AZflM]])),0)</f>
        <v>0</v>
      </c>
      <c r="BH254">
        <f>COUNTIFS(Dyno_Data[Team],TBA_Matches_All[[#This Row],[Team]],Dyno_Data[Match],TBA_Matches_All[[#This Row],[Match_Number]],Dyno_Data[RecordType],"Activities",Dyno_Data[DelOrig],"OppW", Dyno_Data[DelMiss],"0")</f>
        <v>0</v>
      </c>
      <c r="BI254">
        <f>COUNTIFS(Dyno_Data[Team],TBA_Matches_All[[#This Row],[Team]],Dyno_Data[Match],TBA_Matches_All[[#This Row],[Match_Number]],Dyno_Data[RecordType],"Activities",Dyno_Data[DelOrig],"OppW", Dyno_Data[DelMiss],"1")</f>
        <v>0</v>
      </c>
      <c r="BJ254" s="60">
        <f>IFERROR(SUM((TBA_Matches_All[[#This Row],[OZflrT]])/(TBA_Matches_All[[#This Row],[OZflrT]]+TBA_Matches_All[[#This Row],[OZflrM]])),0)</f>
        <v>0</v>
      </c>
      <c r="BK254">
        <f>COUNTIFS(Dyno_Data[Team],TBA_Matches_All[[#This Row],[Team]],Dyno_Data[Match],TBA_Matches_All[[#This Row],[Match_Number]],Dyno_Data[RecordType],"Activities",Dyno_Data[DelOrig],"Neut", Dyno_Data[DelMiss],"0")</f>
        <v>0</v>
      </c>
      <c r="BL254">
        <f>COUNTIFS(Dyno_Data[Team],TBA_Matches_All[[#This Row],[Team]],Dyno_Data[Match],TBA_Matches_All[[#This Row],[Match_Number]],Dyno_Data[RecordType],"Activities",Dyno_Data[DelOrig],"Neut", Dyno_Data[DelMiss],"1")</f>
        <v>0</v>
      </c>
      <c r="BM254" s="60">
        <f>IFERROR(SUM((TBA_Matches_All[[#This Row],[NZflrT]])/(TBA_Matches_All[[#This Row],[NZflrT]]+TBA_Matches_All[[#This Row],[NZflrM]])),0)</f>
        <v>0</v>
      </c>
      <c r="BN254">
        <f>COUNTIFS(Dyno_Data[Team],TBA_Matches_All[[#This Row],[Team]],Dyno_Data[Match],TBA_Matches_All[[#This Row],[Match_Number]],Dyno_Data[RecordType],"Activities",Dyno_Data[DelOrig],"AllyW", Dyno_Data[DelMiss],"0")</f>
        <v>0</v>
      </c>
      <c r="BO254">
        <f>COUNTIFS(Dyno_Data[Team],TBA_Matches_All[[#This Row],[Team]],Dyno_Data[Match],TBA_Matches_All[[#This Row],[Match_Number]],Dyno_Data[RecordType],"Activities",Dyno_Data[DelOrig],"AllyW", Dyno_Data[DelMiss],"1")</f>
        <v>1</v>
      </c>
      <c r="BP254" s="60">
        <f>IFERROR(SUM((TBA_Matches_All[[#This Row],[AZflrT]])/(TBA_Matches_All[[#This Row],[AZflrT]]+TBA_Matches_All[[#This Row],[AZflrM]])),0)</f>
        <v>0</v>
      </c>
      <c r="BQ254">
        <f>COUNTIFS(Dyno_Data[Team],TBA_Matches_All[[#This Row],[Team]],Dyno_Data[Match],TBA_Matches_All[[#This Row],[Match_Number]],Dyno_Data[RecordType],"Activities",Dyno_Data[DelOrig],"SubW", Dyno_Data[DelMiss],"0")</f>
        <v>2</v>
      </c>
      <c r="BR254">
        <f>COUNTIFS(Dyno_Data[Team],TBA_Matches_All[[#This Row],[Team]],Dyno_Data[Match],TBA_Matches_All[[#This Row],[Match_Number]],Dyno_Data[RecordType],"Activities",Dyno_Data[DelOrig],"SubW", Dyno_Data[DelMiss],"1")</f>
        <v>1</v>
      </c>
      <c r="BS254" s="60">
        <f>IFERROR(SUM((TBA_Matches_All[[#This Row],[SubwT]])/(TBA_Matches_All[[#This Row],[SubwT]]+TBA_Matches_All[[#This Row],[SubwM]])),0)</f>
        <v>0.66666666666666663</v>
      </c>
      <c r="BT254">
        <f>COUNTIFS(Dyno_Data[Team],TBA_Matches_All[[#This Row],[Team]],Dyno_Data[Match],TBA_Matches_All[[#This Row],[Match_Number]],Dyno_Data[RecordType],"Activities", Dyno_Data[AcqLoc],"OppWing")</f>
        <v>0</v>
      </c>
      <c r="BU254">
        <f>COUNTIFS(Dyno_Data[Team],TBA_Matches_All[[#This Row],[Team]],Dyno_Data[Match],TBA_Matches_All[[#This Row],[Match_Number]],Dyno_Data[RecordType],"Activities", Dyno_Data[AcqLoc],"Neutral")</f>
        <v>0</v>
      </c>
      <c r="BV254">
        <f>COUNTIFS(Dyno_Data[Team],TBA_Matches_All[[#This Row],[Team]],Dyno_Data[Match],TBA_Matches_All[[#This Row],[Match_Number]],Dyno_Data[RecordType],"Activities", Dyno_Data[AcqLoc],"AllyWing")</f>
        <v>0</v>
      </c>
      <c r="BW254">
        <f>COUNTIFS(Dyno_Data[Team],TBA_Matches_All[[#This Row],[Team]],Dyno_Data[Match],TBA_Matches_All[[#This Row],[Match_Number]],Dyno_Data[RecordType],"Activities", Dyno_Data[AcqLoc],"Source")</f>
        <v>0</v>
      </c>
      <c r="BX254">
        <f>SUMIFS(Dyno_Data[AcqDrp], Dyno_Data[Team],TBA_Matches_All[[#This Row],[Team]],Dyno_Data[Match],TBA_Matches_All[[#This Row],[Match_Number]],Dyno_Data[RecordType],"Activities", Dyno_Data[AcqLoc],"Source")</f>
        <v>0</v>
      </c>
      <c r="BY254">
        <f>SUMIFS(Dyno_Data[OZTime], Dyno_Data[Team],TBA_Matches_All[[#This Row],[Team]],Dyno_Data[Match],TBA_Matches_All[[#This Row],[Match_Number]],Dyno_Data[RecordType],"EndMatch")</f>
        <v>0</v>
      </c>
      <c r="BZ254">
        <f>SUMIFS(Dyno_Data[NZTime], Dyno_Data[Team],TBA_Matches_All[[#This Row],[Team]],Dyno_Data[Match],TBA_Matches_All[[#This Row],[Match_Number]],Dyno_Data[RecordType],"EndMatch")</f>
        <v>23.109821999999998</v>
      </c>
      <c r="CA254">
        <f>SUMIFS(Dyno_Data[AZTime], Dyno_Data[Team],TBA_Matches_All[[#This Row],[Team]],Dyno_Data[Match],TBA_Matches_All[[#This Row],[Match_Number]],Dyno_Data[RecordType],"EndMatch")</f>
        <v>97.468392100000003</v>
      </c>
      <c r="CB254">
        <f>SUMIFS(Dyno_Data[ClimbT], Dyno_Data[Team],TBA_Matches_All[[#This Row],[Team]],Dyno_Data[Match],TBA_Matches_All[[#This Row],[Match_Number]],Dyno_Data[RecordType],"EndMatch")</f>
        <v>13.401881699999999</v>
      </c>
      <c r="CC254" t="str">
        <f>_xlfn.XLOOKUP(SUM(MID(TBA_Matches_All[[#This Row],[Team]],4,5),(TBA_Matches_All[[#This Row],[Match_Number]]/100)),Dyno_EndMatch[teammat],Dyno_EndMatch[StageStat],"_",0,1)</f>
        <v>On</v>
      </c>
      <c r="CD254" t="str">
        <f>_xlfn.XLOOKUP(TBA_Matches_All[[#This Row],[teammat]],Dyno_EndMatch[teammat],Dyno_EndMatch[StageAtt],"_",0,1)</f>
        <v>1</v>
      </c>
      <c r="CE254" t="str">
        <f>_xlfn.XLOOKUP(TBA_Matches_All[[#This Row],[teammat]],Dyno_EndMatch[teammat],Dyno_EndMatch[StageLoc],"_",0,1)</f>
        <v>L</v>
      </c>
      <c r="CF254">
        <f>SUMIFS(Dyno_Data[Harmony], Dyno_Data[Team],TBA_Matches_All[[#This Row],[Team]],Dyno_Data[Match],TBA_Matches_All[[#This Row],[Match_Number]],Dyno_Data[RecordType],"EndMatch", Dyno_Data[StageStat],"On",Dyno_Data[Harmony],"&lt;&gt;9")</f>
        <v>0</v>
      </c>
      <c r="CG254">
        <f>SUMIFS(Dyno_Data[Spotlit], Dyno_Data[Team],TBA_Matches_All[[#This Row],[Team]],Dyno_Data[Match],TBA_Matches_All[[#This Row],[Match_Number]],Dyno_Data[RecordType],"EndMatch", Dyno_Data[StageStat],"On",Dyno_Data[Spotlit],"&lt;&gt;9")</f>
        <v>0</v>
      </c>
      <c r="CH254" t="str">
        <f>_xlfn.XLOOKUP(TBA_Matches_All[[#This Row],[teammat]],Dyno_EndMatch[teammat],Dyno_EndMatch[Strategy],"_",0,1)</f>
        <v>Defense</v>
      </c>
      <c r="CI254">
        <f>SUMIFS(Dyno_Data[Defense], Dyno_Data[Team],TBA_Matches_All[[#This Row],[Team]],Dyno_Data[Match],TBA_Matches_All[[#This Row],[Match_Number]],Dyno_Data[RecordType],"EndMatch",Dyno_Data[Defense],"&lt;&gt;9")</f>
        <v>3</v>
      </c>
      <c r="CJ254">
        <f>SUMIFS(Dyno_Data[Avoidance], Dyno_Data[Team],TBA_Matches_All[[#This Row],[Team]],Dyno_Data[Match],TBA_Matches_All[[#This Row],[Match_Number]],Dyno_Data[RecordType],"EndMatch",Dyno_Data[Avoidance],"&lt;&gt;9")</f>
        <v>0</v>
      </c>
      <c r="CK254" s="82">
        <f>COUNTIF($H$2:TBA_Matches_All[[#This Row],[Team]],TBA_Matches_All[[#This Row],[Team]])</f>
        <v>5</v>
      </c>
      <c r="CL254" s="111">
        <f>SUM(MID(TBA_Matches_All[[#This Row],[Team]],4,5)+TBA_Matches_All[[#This Row],[Match_Number]]/100)</f>
        <v>3951.42</v>
      </c>
      <c r="CM254">
        <f>SUM((TBA_Matches_All[[#This Row],[Leave]]*2)+(TBA_Matches_All[[#This Row],[AampT]]*2)+(TBA_Matches_All[[#This Row],[AspkrT]]*5)+(TBA_Matches_All[[#This Row],[AtrapT]]*5))</f>
        <v>12</v>
      </c>
      <c r="CN254" s="59">
        <f>IFERROR(SUM(TBA_Matches_All[[#This Row],[AptsT]]/TBA_Matches_All[[#This Row],[AutoPts]]),0)</f>
        <v>1</v>
      </c>
      <c r="CO254" s="59">
        <f>IFERROR(SUM(TBA_Matches_All[[#This Row],[AampT]]+TBA_Matches_All[[#This Row],[AspkrT]]+TBA_Matches_All[[#This Row],[AtrapT]]/TBA_Matches_All[[#This Row],[Aamp]]+TBA_Matches_All[[#This Row],[Aspkr]]+TBA_Matches_All[[#This Row],[AtrapT]]),0)</f>
        <v>0</v>
      </c>
      <c r="CP254" s="59">
        <f>IFERROR(SUM(TBA_Matches_All[[#This Row],[TampT]]/TBA_Matches_All[[#This Row],[Tamp]]),0)</f>
        <v>0</v>
      </c>
      <c r="CQ254" s="59">
        <f>IFERROR(SUM(TBA_Matches_All[[#This Row],[TspkrT]]/TBA_Matches_All[[#This Row],[Tspkr]]),0)</f>
        <v>0</v>
      </c>
      <c r="CR254">
        <f>SUM(TBA_Matches_All[[#This Row],[TspkrPts]]*TBA_Matches_All[[#This Row],[TspkrP]])</f>
        <v>0</v>
      </c>
      <c r="CS254" s="59">
        <f>IFERROR(SUM(TBA_Matches_All[[#This Row],[TtrapT]]/TBA_Matches_All[[#This Row],[Trap]]),0)</f>
        <v>0</v>
      </c>
      <c r="CT254" s="59">
        <f>IFERROR(SUM(TBA_Matches_All[[#This Row],[TotNotesT]]/TBA_Matches_All[[#This Row],[TotNotes]]),0)</f>
        <v>0.25</v>
      </c>
      <c r="CU254" s="66">
        <f>SUM((TBA_Matches_All[[#This Row],[AampT]]*2)+(TBA_Matches_All[[#This Row],[AspkrT]]*5)+(TBA_Matches_All[[#This Row],[AtrapT]]*5)+(TBA_Matches_All[[#This Row],[TampT]]*1)+(TBA_Matches_All[[#This Row],[TspkrptsC]]))</f>
        <v>10</v>
      </c>
      <c r="CV254" s="59">
        <f>IFERROR(TBA_Matches_All[[#This Row],[noteptsT]]/TBA_Matches_All[[#This Row],[NotePts]],0)</f>
        <v>0.45454545454545453</v>
      </c>
      <c r="CW254">
        <f>SUM(IF(TBA_Matches_All[[#This Row],[stageStat]]="On",3,0),IF(TBA_Matches_All[[#This Row],[stageStat]]="Park",1,0),SUMIFS(TBA_Matches_All[[#This Row],[Spotlit]],TBA_Matches_All[[#This Row],[stageStat]],"On"),SUMIFS(TBA_Matches_All[[#This Row],[Harmony]],TBA_Matches_All[[#This Row],[stageStat]],"On"))</f>
        <v>3</v>
      </c>
      <c r="CX254" s="59">
        <f>IFERROR(TBA_Matches_All[[#This Row],[stageptsT]]/TBA_Matches_All[[#This Row],[StagePts]],0)</f>
        <v>0.75</v>
      </c>
      <c r="CY254">
        <f>SUM((TBA_Matches_All[[#This Row],[AptsT]]+TBA_Matches_All[[#This Row],[TampT]]+TBA_Matches_All[[#This Row],[TspkrptsC]]+(TBA_Matches_All[[#This Row],[TtrapT]]*5)+TBA_Matches_All[[#This Row],[stageptsT]]))</f>
        <v>15</v>
      </c>
      <c r="CZ254" s="59">
        <f>IFERROR(SUM(TBA_Matches_All[[#This Row],[TotptsC]]/TBA_Matches_All[[#This Row],[Score]]),0)</f>
        <v>0.5</v>
      </c>
      <c r="DA25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5.05</v>
      </c>
      <c r="DB254" s="74">
        <f>SUMIFS(TBA_Matches_All[AveTeamTNoteDels],TBA_Matches_All[Match_Number],TBA_Matches_All[[#This Row],[Match_Number]],TBA_Matches_All[Alliance],"&lt;&gt;"&amp;TBA_Matches_All[[#This Row],[Alliance]],TBA_Matches_All[Scouted],"&gt;0")</f>
        <v>7.5522727272727277</v>
      </c>
      <c r="DC254" s="74">
        <f>(TBA_Matches_All[[#This Row],[TampT]]+TBA_Matches_All[[#This Row],[TspkrptsC]])-TBA_Matches_All[[#This Row],[AveTeamTNoteDels]]</f>
        <v>-5.05</v>
      </c>
      <c r="DD254" s="74">
        <f>SUMIFS(TBA_Matches_All[AveTeamTNoteDels],TBA_Matches_All[Match_Number],TBA_Matches_All[[#This Row],[Match_Number]],TBA_Matches_All[Alliance],"&lt;&gt;"&amp;TBA_Matches_All[[#This Row],[Alliance]])-TBA_Matches_All[[#This Row],[AveOppTNoteDels]]</f>
        <v>0</v>
      </c>
    </row>
    <row r="255" spans="1:108" x14ac:dyDescent="0.3">
      <c r="A255" t="s">
        <v>1042</v>
      </c>
      <c r="B255" t="s">
        <v>489</v>
      </c>
      <c r="C255" t="s">
        <v>1352</v>
      </c>
      <c r="D255">
        <v>43</v>
      </c>
      <c r="E255" t="s">
        <v>1420</v>
      </c>
      <c r="F255" t="s">
        <v>1421</v>
      </c>
      <c r="G255" t="s">
        <v>164</v>
      </c>
      <c r="H255" t="s">
        <v>366</v>
      </c>
      <c r="I255" t="b">
        <v>1</v>
      </c>
      <c r="J255">
        <v>63</v>
      </c>
      <c r="K255">
        <v>1</v>
      </c>
      <c r="L255">
        <v>0</v>
      </c>
      <c r="M255">
        <v>12</v>
      </c>
      <c r="N255">
        <v>0</v>
      </c>
      <c r="O255">
        <v>2</v>
      </c>
      <c r="P255">
        <v>10</v>
      </c>
      <c r="Q255">
        <v>14</v>
      </c>
      <c r="R255">
        <v>1</v>
      </c>
      <c r="S255">
        <v>0</v>
      </c>
      <c r="T255">
        <v>17</v>
      </c>
      <c r="U255">
        <v>0</v>
      </c>
      <c r="V255">
        <v>34</v>
      </c>
      <c r="W255">
        <v>17</v>
      </c>
      <c r="X255">
        <v>34</v>
      </c>
      <c r="Y255">
        <v>35</v>
      </c>
      <c r="Z255">
        <v>0</v>
      </c>
      <c r="AA255">
        <v>0</v>
      </c>
      <c r="AB255">
        <v>20</v>
      </c>
      <c r="AC255">
        <v>45</v>
      </c>
      <c r="AD255">
        <v>9</v>
      </c>
      <c r="AE255">
        <f>IFERROR(6/(COUNTIF(Dyno_EndMatch[Match],TBA_Matches_All[[#This Row],[Match_Number]])),0)</f>
        <v>1</v>
      </c>
      <c r="AF255">
        <f>COUNTIFS(Dyno_Data[Team],TBA_Matches_All[[#This Row],[Team]],Dyno_Data[Match],TBA_Matches_All[[#This Row],[Match_Number]],Dyno_Data[RecordType],"EndMatch",Dyno_Data[HPAmp],"Y")</f>
        <v>0</v>
      </c>
      <c r="AG255">
        <f>SUMIFS(Dyno_Data[Mics], Dyno_Data[Team],TBA_Matches_All[[#This Row],[Team]],Dyno_Data[Match],TBA_Matches_All[[#This Row],[Match_Number]],Dyno_Data[RecordType],"EndMatch",Dyno_Data[HPAmp],"Y")</f>
        <v>0</v>
      </c>
      <c r="AH255">
        <f>SUMIFS(Dyno_Data[Leave], Dyno_Data[Team],TBA_Matches_All[[#This Row],[Team]],Dyno_Data[Match],TBA_Matches_All[[#This Row],[Match_Number]],Dyno_Data[RecordType],"EndAuto")</f>
        <v>0</v>
      </c>
      <c r="AI255">
        <f>COUNTIFS(Dyno_Data[Team],TBA_Matches_All[[#This Row],[Team]],Dyno_Data[Match],TBA_Matches_All[[#This Row],[Match_Number]],Dyno_Data[RecordType],"Activities",Dyno_Data[DelDest],"Amp", Dyno_Data[DelMiss],"0", Dyno_Data[Mode],"Auto")</f>
        <v>0</v>
      </c>
      <c r="AJ255">
        <f>COUNTIFS(Dyno_Data[Team],TBA_Matches_All[[#This Row],[Team]],Dyno_Data[Match],TBA_Matches_All[[#This Row],[Match_Number]],Dyno_Data[RecordType],"Activities",Dyno_Data[DelDest],"Spkr", Dyno_Data[DelMiss],"0", Dyno_Data[Mode],"Auto")</f>
        <v>0</v>
      </c>
      <c r="AK255">
        <f>COUNTIFS(Dyno_Data[Team],TBA_Matches_All[[#This Row],[Team]],Dyno_Data[Match],TBA_Matches_All[[#This Row],[Match_Number]],Dyno_Data[RecordType],"Activities",Dyno_Data[DelDest],"Trap", Dyno_Data[DelMiss],"0", Dyno_Data[Mode],"Auto")</f>
        <v>0</v>
      </c>
      <c r="AL255">
        <f>COUNTIFS(Dyno_Data[Team],TBA_Matches_All[[#This Row],[Team]],Dyno_Data[Match],TBA_Matches_All[[#This Row],[Match_Number]],Dyno_Data[RecordType],"Activities",Dyno_Data[DelDest],"Amp", Dyno_Data[DelMiss],"0", Dyno_Data[Mode],"Teleop")</f>
        <v>0</v>
      </c>
      <c r="AM255">
        <f>COUNTIFS(Dyno_Data[Team],TBA_Matches_All[[#This Row],[Team]],Dyno_Data[Match],TBA_Matches_All[[#This Row],[Match_Number]],Dyno_Data[RecordType],"Activities",Dyno_Data[DelDest],"Spkr", Dyno_Data[DelMiss],"0", Dyno_Data[Mode],"Teleop")</f>
        <v>9</v>
      </c>
      <c r="AN255">
        <f>COUNTIFS(Dyno_Data[Team],TBA_Matches_All[[#This Row],[Team]],Dyno_Data[Match],TBA_Matches_All[[#This Row],[Match_Number]],Dyno_Data[RecordType],"Activities",Dyno_Data[DelDest],"Trap", Dyno_Data[DelMiss],"0", Dyno_Data[Mode],"&lt;&gt;Auto")</f>
        <v>0</v>
      </c>
      <c r="AO255">
        <f>SUM(TBA_Matches_All[[#This Row],[AampT]]+TBA_Matches_All[[#This Row],[AspkrT]]+TBA_Matches_All[[#This Row],[AtrapT]]+TBA_Matches_All[[#This Row],[TampT]]+TBA_Matches_All[[#This Row],[TspkrT]]+TBA_Matches_All[[#This Row],[TtrapT]])</f>
        <v>9</v>
      </c>
      <c r="AP255">
        <f>COUNTIFS(Dyno_Data[Team],TBA_Matches_All[[#This Row],[Team]],Dyno_Data[Match],TBA_Matches_All[[#This Row],[Match_Number]],Dyno_Data[RecordType],"Activities",Dyno_Data[DelDest],"Neut", Dyno_Data[DelMiss],"0")</f>
        <v>0</v>
      </c>
      <c r="AQ255">
        <f>COUNTIFS(Dyno_Data[Team],TBA_Matches_All[[#This Row],[Team]],Dyno_Data[Match],TBA_Matches_All[[#This Row],[Match_Number]],Dyno_Data[RecordType],"Activities",Dyno_Data[DelDest],"AllyW", Dyno_Data[DelMiss],"0")</f>
        <v>0</v>
      </c>
      <c r="AR255" t="str">
        <f>_xlfn.XLOOKUP(SUM(MID(TBA_Matches_All[[#This Row],[Team]],4,5),(TBA_Matches_All[[#This Row],[Match_Number]]/100)),Dyno_EndMatch[teammat],Dyno_EndMatch[RobotSta],"_",0,1)</f>
        <v>Amp</v>
      </c>
      <c r="AS255">
        <f>SUMIFS(Dyno_Data[AcqDis], Dyno_Data[Team],TBA_Matches_All[[#This Row],[Team]],Dyno_Data[Match],TBA_Matches_All[[#This Row],[Match_Number]],Dyno_Data[RecordType],"Activities", Dyno_Data[AcqCenter],1,Dyno_Data[Mode],"Auto")</f>
        <v>0</v>
      </c>
      <c r="AT255">
        <f>SUMIFS(Dyno_Data[AcqDis], Dyno_Data[Team],TBA_Matches_All[[#This Row],[Team]],Dyno_Data[Match],TBA_Matches_All[[#This Row],[Match_Number]],Dyno_Data[RecordType],"Activities", Dyno_Data[AcqCenter],2,Dyno_Data[Mode],"Auto")</f>
        <v>0</v>
      </c>
      <c r="AU255">
        <f>SUMIFS(Dyno_Data[AcqDis], Dyno_Data[Team],TBA_Matches_All[[#This Row],[Team]],Dyno_Data[Match],TBA_Matches_All[[#This Row],[Match_Number]],Dyno_Data[RecordType],"Activities", Dyno_Data[AcqCenter],3,Dyno_Data[Mode],"Auto")</f>
        <v>0</v>
      </c>
      <c r="AV255">
        <f>SUMIFS(Dyno_Data[AcqDis], Dyno_Data[Team],TBA_Matches_All[[#This Row],[Team]],Dyno_Data[Match],TBA_Matches_All[[#This Row],[Match_Number]],Dyno_Data[RecordType],"Activities", Dyno_Data[AcqCenter],4,Dyno_Data[Mode],"Auto")</f>
        <v>0</v>
      </c>
      <c r="AW255">
        <f>SUMIFS(Dyno_Data[AcqDis], Dyno_Data[Team],TBA_Matches_All[[#This Row],[Team]],Dyno_Data[Match],TBA_Matches_All[[#This Row],[Match_Number]],Dyno_Data[RecordType],"Activities", Dyno_Data[AcqCenter],5,Dyno_Data[Mode],"Auto")</f>
        <v>0</v>
      </c>
      <c r="AX255">
        <f>SUMIFS(Dyno_Data[DelMiss], Dyno_Data[Team],TBA_Matches_All[[#This Row],[Team]],Dyno_Data[Match],TBA_Matches_All[[#This Row],[Match_Number]],Dyno_Data[RecordType],"Activities", Dyno_Data[DelDest],"Amp")</f>
        <v>0</v>
      </c>
      <c r="AY255" s="60">
        <f>IFERROR(SUM((TBA_Matches_All[[#This Row],[AampT]]+TBA_Matches_All[[#This Row],[TampT]])/(TBA_Matches_All[[#This Row],[AampT]]+TBA_Matches_All[[#This Row],[TampT]]+TBA_Matches_All[[#This Row],[ampM]])),0)</f>
        <v>0</v>
      </c>
      <c r="AZ255">
        <f>SUMIFS(Dyno_Data[DelMiss], Dyno_Data[Team],TBA_Matches_All[[#This Row],[Team]],Dyno_Data[Match],TBA_Matches_All[[#This Row],[Match_Number]],Dyno_Data[RecordType],"Activities", Dyno_Data[DelDest],"Spkr")</f>
        <v>2</v>
      </c>
      <c r="BA255" s="60">
        <f>IFERROR(SUM((TBA_Matches_All[[#This Row],[AspkrT]]+TBA_Matches_All[[#This Row],[TspkrT]])/(TBA_Matches_All[[#This Row],[AspkrT]]+TBA_Matches_All[[#This Row],[TspkrT]]+TBA_Matches_All[[#This Row],[spkrM]])),0)</f>
        <v>0.81818181818181823</v>
      </c>
      <c r="BB255">
        <f>SUMIFS(Dyno_Data[DelMiss], Dyno_Data[Team],TBA_Matches_All[[#This Row],[Team]],Dyno_Data[Match],TBA_Matches_All[[#This Row],[Match_Number]],Dyno_Data[RecordType],"Activities", Dyno_Data[DelDest],"Trap")</f>
        <v>0</v>
      </c>
      <c r="BC255" s="60">
        <f>IFERROR((TBA_Matches_All[[#This Row],[AtrapT]]+TBA_Matches_All[[#This Row],[TtrapT]])/(TBA_Matches_All[[#This Row],[AtrapT]]+TBA_Matches_All[[#This Row],[TtrapT]]+TBA_Matches_All[[#This Row],[trapM]]),0)</f>
        <v>0</v>
      </c>
      <c r="BD255">
        <f>COUNTIFS(Dyno_Data[Team],TBA_Matches_All[[#This Row],[Team]],Dyno_Data[Match],TBA_Matches_All[[#This Row],[Match_Number]],Dyno_Data[RecordType],"Activities",Dyno_Data[DelDest],"Neut", Dyno_Data[DelMiss],1)</f>
        <v>0</v>
      </c>
      <c r="BE255" s="60">
        <f>IFERROR(SUM((TBA_Matches_All[[#This Row],[NeutFlrT]])/(TBA_Matches_All[[#This Row],[NeutFlrT]]+TBA_Matches_All[[#This Row],[NZflM]])),0)</f>
        <v>0</v>
      </c>
      <c r="BF255">
        <f>COUNTIFS(Dyno_Data[Team],TBA_Matches_All[[#This Row],[Team]],Dyno_Data[Match],TBA_Matches_All[[#This Row],[Match_Number]],Dyno_Data[RecordType],"Activities",Dyno_Data[DelDest],"AllyW", Dyno_Data[DelMiss],1)</f>
        <v>0</v>
      </c>
      <c r="BG255" s="60">
        <f>IFERROR(SUM((TBA_Matches_All[[#This Row],[AllyWFlrT]])/(TBA_Matches_All[[#This Row],[AllyWFlrT]]+TBA_Matches_All[[#This Row],[AZflM]])),0)</f>
        <v>0</v>
      </c>
      <c r="BH255">
        <f>COUNTIFS(Dyno_Data[Team],TBA_Matches_All[[#This Row],[Team]],Dyno_Data[Match],TBA_Matches_All[[#This Row],[Match_Number]],Dyno_Data[RecordType],"Activities",Dyno_Data[DelOrig],"OppW", Dyno_Data[DelMiss],"0")</f>
        <v>0</v>
      </c>
      <c r="BI255">
        <f>COUNTIFS(Dyno_Data[Team],TBA_Matches_All[[#This Row],[Team]],Dyno_Data[Match],TBA_Matches_All[[#This Row],[Match_Number]],Dyno_Data[RecordType],"Activities",Dyno_Data[DelOrig],"OppW", Dyno_Data[DelMiss],"1")</f>
        <v>0</v>
      </c>
      <c r="BJ255" s="60">
        <f>IFERROR(SUM((TBA_Matches_All[[#This Row],[OZflrT]])/(TBA_Matches_All[[#This Row],[OZflrT]]+TBA_Matches_All[[#This Row],[OZflrM]])),0)</f>
        <v>0</v>
      </c>
      <c r="BK255">
        <f>COUNTIFS(Dyno_Data[Team],TBA_Matches_All[[#This Row],[Team]],Dyno_Data[Match],TBA_Matches_All[[#This Row],[Match_Number]],Dyno_Data[RecordType],"Activities",Dyno_Data[DelOrig],"Neut", Dyno_Data[DelMiss],"0")</f>
        <v>0</v>
      </c>
      <c r="BL255">
        <f>COUNTIFS(Dyno_Data[Team],TBA_Matches_All[[#This Row],[Team]],Dyno_Data[Match],TBA_Matches_All[[#This Row],[Match_Number]],Dyno_Data[RecordType],"Activities",Dyno_Data[DelOrig],"Neut", Dyno_Data[DelMiss],"1")</f>
        <v>0</v>
      </c>
      <c r="BM255" s="60">
        <f>IFERROR(SUM((TBA_Matches_All[[#This Row],[NZflrT]])/(TBA_Matches_All[[#This Row],[NZflrT]]+TBA_Matches_All[[#This Row],[NZflrM]])),0)</f>
        <v>0</v>
      </c>
      <c r="BN255">
        <f>COUNTIFS(Dyno_Data[Team],TBA_Matches_All[[#This Row],[Team]],Dyno_Data[Match],TBA_Matches_All[[#This Row],[Match_Number]],Dyno_Data[RecordType],"Activities",Dyno_Data[DelOrig],"AllyW", Dyno_Data[DelMiss],"0")</f>
        <v>9</v>
      </c>
      <c r="BO255">
        <f>COUNTIFS(Dyno_Data[Team],TBA_Matches_All[[#This Row],[Team]],Dyno_Data[Match],TBA_Matches_All[[#This Row],[Match_Number]],Dyno_Data[RecordType],"Activities",Dyno_Data[DelOrig],"AllyW", Dyno_Data[DelMiss],"1")</f>
        <v>1</v>
      </c>
      <c r="BP255" s="60">
        <f>IFERROR(SUM((TBA_Matches_All[[#This Row],[AZflrT]])/(TBA_Matches_All[[#This Row],[AZflrT]]+TBA_Matches_All[[#This Row],[AZflrM]])),0)</f>
        <v>0.9</v>
      </c>
      <c r="BQ255">
        <f>COUNTIFS(Dyno_Data[Team],TBA_Matches_All[[#This Row],[Team]],Dyno_Data[Match],TBA_Matches_All[[#This Row],[Match_Number]],Dyno_Data[RecordType],"Activities",Dyno_Data[DelOrig],"SubW", Dyno_Data[DelMiss],"0")</f>
        <v>0</v>
      </c>
      <c r="BR255">
        <f>COUNTIFS(Dyno_Data[Team],TBA_Matches_All[[#This Row],[Team]],Dyno_Data[Match],TBA_Matches_All[[#This Row],[Match_Number]],Dyno_Data[RecordType],"Activities",Dyno_Data[DelOrig],"SubW", Dyno_Data[DelMiss],"1")</f>
        <v>1</v>
      </c>
      <c r="BS255" s="60">
        <f>IFERROR(SUM((TBA_Matches_All[[#This Row],[SubwT]])/(TBA_Matches_All[[#This Row],[SubwT]]+TBA_Matches_All[[#This Row],[SubwM]])),0)</f>
        <v>0</v>
      </c>
      <c r="BT255">
        <f>COUNTIFS(Dyno_Data[Team],TBA_Matches_All[[#This Row],[Team]],Dyno_Data[Match],TBA_Matches_All[[#This Row],[Match_Number]],Dyno_Data[RecordType],"Activities", Dyno_Data[AcqLoc],"OppWing")</f>
        <v>0</v>
      </c>
      <c r="BU255">
        <f>COUNTIFS(Dyno_Data[Team],TBA_Matches_All[[#This Row],[Team]],Dyno_Data[Match],TBA_Matches_All[[#This Row],[Match_Number]],Dyno_Data[RecordType],"Activities", Dyno_Data[AcqLoc],"Neutral")</f>
        <v>0</v>
      </c>
      <c r="BV255">
        <f>COUNTIFS(Dyno_Data[Team],TBA_Matches_All[[#This Row],[Team]],Dyno_Data[Match],TBA_Matches_All[[#This Row],[Match_Number]],Dyno_Data[RecordType],"Activities", Dyno_Data[AcqLoc],"AllyWing")</f>
        <v>0</v>
      </c>
      <c r="BW255">
        <f>COUNTIFS(Dyno_Data[Team],TBA_Matches_All[[#This Row],[Team]],Dyno_Data[Match],TBA_Matches_All[[#This Row],[Match_Number]],Dyno_Data[RecordType],"Activities", Dyno_Data[AcqLoc],"Source")</f>
        <v>0</v>
      </c>
      <c r="BX255">
        <f>SUMIFS(Dyno_Data[AcqDrp], Dyno_Data[Team],TBA_Matches_All[[#This Row],[Team]],Dyno_Data[Match],TBA_Matches_All[[#This Row],[Match_Number]],Dyno_Data[RecordType],"Activities", Dyno_Data[AcqLoc],"Source")</f>
        <v>0</v>
      </c>
      <c r="BY255">
        <f>SUMIFS(Dyno_Data[OZTime], Dyno_Data[Team],TBA_Matches_All[[#This Row],[Team]],Dyno_Data[Match],TBA_Matches_All[[#This Row],[Match_Number]],Dyno_Data[RecordType],"EndMatch")</f>
        <v>45.375033099999996</v>
      </c>
      <c r="BZ255">
        <f>SUMIFS(Dyno_Data[NZTime], Dyno_Data[Team],TBA_Matches_All[[#This Row],[Team]],Dyno_Data[Match],TBA_Matches_All[[#This Row],[Match_Number]],Dyno_Data[RecordType],"EndMatch")</f>
        <v>20.644632599999998</v>
      </c>
      <c r="CA255">
        <f>SUMIFS(Dyno_Data[AZTime], Dyno_Data[Team],TBA_Matches_All[[#This Row],[Team]],Dyno_Data[Match],TBA_Matches_All[[#This Row],[Match_Number]],Dyno_Data[RecordType],"EndMatch")</f>
        <v>74.059543599999998</v>
      </c>
      <c r="CB255">
        <f>SUMIFS(Dyno_Data[ClimbT], Dyno_Data[Team],TBA_Matches_All[[#This Row],[Team]],Dyno_Data[Match],TBA_Matches_All[[#This Row],[Match_Number]],Dyno_Data[RecordType],"EndMatch")</f>
        <v>0</v>
      </c>
      <c r="CC255" t="str">
        <f>_xlfn.XLOOKUP(SUM(MID(TBA_Matches_All[[#This Row],[Team]],4,5),(TBA_Matches_All[[#This Row],[Match_Number]]/100)),Dyno_EndMatch[teammat],Dyno_EndMatch[StageStat],"_",0,1)</f>
        <v>Park</v>
      </c>
      <c r="CD255" t="str">
        <f>_xlfn.XLOOKUP(TBA_Matches_All[[#This Row],[teammat]],Dyno_EndMatch[teammat],Dyno_EndMatch[StageAtt],"_",0,1)</f>
        <v>0</v>
      </c>
      <c r="CE255" t="str">
        <f>_xlfn.XLOOKUP(TBA_Matches_All[[#This Row],[teammat]],Dyno_EndMatch[teammat],Dyno_EndMatch[StageLoc],"_",0,1)</f>
        <v>A</v>
      </c>
      <c r="CF255">
        <f>SUMIFS(Dyno_Data[Harmony], Dyno_Data[Team],TBA_Matches_All[[#This Row],[Team]],Dyno_Data[Match],TBA_Matches_All[[#This Row],[Match_Number]],Dyno_Data[RecordType],"EndMatch", Dyno_Data[StageStat],"On",Dyno_Data[Harmony],"&lt;&gt;9")</f>
        <v>0</v>
      </c>
      <c r="CG255">
        <f>SUMIFS(Dyno_Data[Spotlit], Dyno_Data[Team],TBA_Matches_All[[#This Row],[Team]],Dyno_Data[Match],TBA_Matches_All[[#This Row],[Match_Number]],Dyno_Data[RecordType],"EndMatch", Dyno_Data[StageStat],"On",Dyno_Data[Spotlit],"&lt;&gt;9")</f>
        <v>0</v>
      </c>
      <c r="CH255" t="str">
        <f>_xlfn.XLOOKUP(TBA_Matches_All[[#This Row],[teammat]],Dyno_EndMatch[teammat],Dyno_EndMatch[Strategy],"_",0,1)</f>
        <v>Hybrid</v>
      </c>
      <c r="CI255">
        <f>SUMIFS(Dyno_Data[Defense], Dyno_Data[Team],TBA_Matches_All[[#This Row],[Team]],Dyno_Data[Match],TBA_Matches_All[[#This Row],[Match_Number]],Dyno_Data[RecordType],"EndMatch",Dyno_Data[Defense],"&lt;&gt;9")</f>
        <v>0</v>
      </c>
      <c r="CJ255">
        <f>SUMIFS(Dyno_Data[Avoidance], Dyno_Data[Team],TBA_Matches_All[[#This Row],[Team]],Dyno_Data[Match],TBA_Matches_All[[#This Row],[Match_Number]],Dyno_Data[RecordType],"EndMatch",Dyno_Data[Avoidance],"&lt;&gt;9")</f>
        <v>0</v>
      </c>
      <c r="CK255" s="82">
        <f>COUNTIF($H$2:TBA_Matches_All[[#This Row],[Team]],TBA_Matches_All[[#This Row],[Team]])</f>
        <v>6</v>
      </c>
      <c r="CL255" s="111">
        <f>SUM(MID(TBA_Matches_All[[#This Row],[Team]],4,5)+TBA_Matches_All[[#This Row],[Match_Number]]/100)</f>
        <v>4122.43</v>
      </c>
      <c r="CM255">
        <f>SUM((TBA_Matches_All[[#This Row],[Leave]]*2)+(TBA_Matches_All[[#This Row],[AampT]]*2)+(TBA_Matches_All[[#This Row],[AspkrT]]*5)+(TBA_Matches_All[[#This Row],[AtrapT]]*5))</f>
        <v>0</v>
      </c>
      <c r="CN255" s="59">
        <f>IFERROR(SUM(TBA_Matches_All[[#This Row],[AptsT]]/TBA_Matches_All[[#This Row],[AutoPts]]),0)</f>
        <v>0</v>
      </c>
      <c r="CO255" s="59">
        <f>IFERROR(SUM(TBA_Matches_All[[#This Row],[AampT]]+TBA_Matches_All[[#This Row],[AspkrT]]+TBA_Matches_All[[#This Row],[AtrapT]]/TBA_Matches_All[[#This Row],[Aamp]]+TBA_Matches_All[[#This Row],[Aspkr]]+TBA_Matches_All[[#This Row],[AtrapT]]),0)</f>
        <v>0</v>
      </c>
      <c r="CP255" s="59">
        <f>IFERROR(SUM(TBA_Matches_All[[#This Row],[TampT]]/TBA_Matches_All[[#This Row],[Tamp]]),0)</f>
        <v>0</v>
      </c>
      <c r="CQ255" s="59">
        <f>IFERROR(SUM(TBA_Matches_All[[#This Row],[TspkrT]]/TBA_Matches_All[[#This Row],[Tspkr]]),0)</f>
        <v>0.52941176470588236</v>
      </c>
      <c r="CR255">
        <f>SUM(TBA_Matches_All[[#This Row],[TspkrPts]]*TBA_Matches_All[[#This Row],[TspkrP]])</f>
        <v>18</v>
      </c>
      <c r="CS255" s="59">
        <f>IFERROR(SUM(TBA_Matches_All[[#This Row],[TtrapT]]/TBA_Matches_All[[#This Row],[Trap]]),0)</f>
        <v>0</v>
      </c>
      <c r="CT255" s="59">
        <f>IFERROR(SUM(TBA_Matches_All[[#This Row],[TotNotesT]]/TBA_Matches_All[[#This Row],[TotNotes]]),0)</f>
        <v>0.45</v>
      </c>
      <c r="CU255" s="66">
        <f>SUM((TBA_Matches_All[[#This Row],[AampT]]*2)+(TBA_Matches_All[[#This Row],[AspkrT]]*5)+(TBA_Matches_All[[#This Row],[AtrapT]]*5)+(TBA_Matches_All[[#This Row],[TampT]]*1)+(TBA_Matches_All[[#This Row],[TspkrptsC]]))</f>
        <v>18</v>
      </c>
      <c r="CV255" s="59">
        <f>IFERROR(TBA_Matches_All[[#This Row],[noteptsT]]/TBA_Matches_All[[#This Row],[NotePts]],0)</f>
        <v>0.4</v>
      </c>
      <c r="CW255">
        <f>SUM(IF(TBA_Matches_All[[#This Row],[stageStat]]="On",3,0),IF(TBA_Matches_All[[#This Row],[stageStat]]="Park",1,0),SUMIFS(TBA_Matches_All[[#This Row],[Spotlit]],TBA_Matches_All[[#This Row],[stageStat]],"On"),SUMIFS(TBA_Matches_All[[#This Row],[Harmony]],TBA_Matches_All[[#This Row],[stageStat]],"On"))</f>
        <v>1</v>
      </c>
      <c r="CX255" s="59">
        <f>IFERROR(TBA_Matches_All[[#This Row],[stageptsT]]/TBA_Matches_All[[#This Row],[StagePts]],0)</f>
        <v>0.1111111111111111</v>
      </c>
      <c r="CY255">
        <f>SUM((TBA_Matches_All[[#This Row],[AptsT]]+TBA_Matches_All[[#This Row],[TampT]]+TBA_Matches_All[[#This Row],[TspkrptsC]]+(TBA_Matches_All[[#This Row],[TtrapT]]*5)+TBA_Matches_All[[#This Row],[stageptsT]]))</f>
        <v>19</v>
      </c>
      <c r="CZ255" s="59">
        <f>IFERROR(SUM(TBA_Matches_All[[#This Row],[TotptsC]]/TBA_Matches_All[[#This Row],[Score]]),0)</f>
        <v>0.30158730158730157</v>
      </c>
      <c r="DA25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10.184523809523808</v>
      </c>
      <c r="DB255" s="74">
        <f>SUMIFS(TBA_Matches_All[AveTeamTNoteDels],TBA_Matches_All[Match_Number],TBA_Matches_All[[#This Row],[Match_Number]],TBA_Matches_All[Alliance],"&lt;&gt;"&amp;TBA_Matches_All[[#This Row],[Alliance]],TBA_Matches_All[Scouted],"&gt;0")</f>
        <v>16.639340659340661</v>
      </c>
      <c r="DC255" s="74">
        <f>(TBA_Matches_All[[#This Row],[TampT]]+TBA_Matches_All[[#This Row],[TspkrptsC]])-TBA_Matches_All[[#This Row],[AveTeamTNoteDels]]</f>
        <v>7.8154761904761916</v>
      </c>
      <c r="DD255" s="74">
        <f>SUMIFS(TBA_Matches_All[AveTeamTNoteDels],TBA_Matches_All[Match_Number],TBA_Matches_All[[#This Row],[Match_Number]],TBA_Matches_All[Alliance],"&lt;&gt;"&amp;TBA_Matches_All[[#This Row],[Alliance]])-TBA_Matches_All[[#This Row],[AveOppTNoteDels]]</f>
        <v>0</v>
      </c>
    </row>
    <row r="256" spans="1:108" x14ac:dyDescent="0.3">
      <c r="A256" t="s">
        <v>1042</v>
      </c>
      <c r="B256" t="s">
        <v>489</v>
      </c>
      <c r="C256" t="s">
        <v>1352</v>
      </c>
      <c r="D256">
        <v>43</v>
      </c>
      <c r="E256" t="s">
        <v>1406</v>
      </c>
      <c r="F256" t="s">
        <v>1422</v>
      </c>
      <c r="G256" t="s">
        <v>105</v>
      </c>
      <c r="H256" t="s">
        <v>371</v>
      </c>
      <c r="I256" t="b">
        <v>0</v>
      </c>
      <c r="J256">
        <v>53</v>
      </c>
      <c r="K256">
        <v>0</v>
      </c>
      <c r="L256">
        <v>1</v>
      </c>
      <c r="M256">
        <v>5</v>
      </c>
      <c r="N256">
        <v>0</v>
      </c>
      <c r="O256">
        <v>2</v>
      </c>
      <c r="P256">
        <v>10</v>
      </c>
      <c r="Q256">
        <v>14</v>
      </c>
      <c r="R256">
        <v>0</v>
      </c>
      <c r="S256">
        <v>0</v>
      </c>
      <c r="T256">
        <v>12</v>
      </c>
      <c r="U256">
        <v>0</v>
      </c>
      <c r="V256">
        <v>24</v>
      </c>
      <c r="W256">
        <v>12</v>
      </c>
      <c r="X256">
        <v>24</v>
      </c>
      <c r="Y256">
        <v>24</v>
      </c>
      <c r="Z256">
        <v>0</v>
      </c>
      <c r="AA256">
        <v>0</v>
      </c>
      <c r="AB256">
        <v>14</v>
      </c>
      <c r="AC256">
        <v>34</v>
      </c>
      <c r="AD256">
        <v>3</v>
      </c>
      <c r="AE256">
        <f>IFERROR(6/(COUNTIF(Dyno_EndMatch[Match],TBA_Matches_All[[#This Row],[Match_Number]])),0)</f>
        <v>1</v>
      </c>
      <c r="AF256">
        <f>COUNTIFS(Dyno_Data[Team],TBA_Matches_All[[#This Row],[Team]],Dyno_Data[Match],TBA_Matches_All[[#This Row],[Match_Number]],Dyno_Data[RecordType],"EndMatch",Dyno_Data[HPAmp],"Y")</f>
        <v>0</v>
      </c>
      <c r="AG256">
        <f>SUMIFS(Dyno_Data[Mics], Dyno_Data[Team],TBA_Matches_All[[#This Row],[Team]],Dyno_Data[Match],TBA_Matches_All[[#This Row],[Match_Number]],Dyno_Data[RecordType],"EndMatch",Dyno_Data[HPAmp],"Y")</f>
        <v>0</v>
      </c>
      <c r="AH256">
        <f>SUMIFS(Dyno_Data[Leave], Dyno_Data[Team],TBA_Matches_All[[#This Row],[Team]],Dyno_Data[Match],TBA_Matches_All[[#This Row],[Match_Number]],Dyno_Data[RecordType],"EndAuto")</f>
        <v>0</v>
      </c>
      <c r="AI256">
        <f>COUNTIFS(Dyno_Data[Team],TBA_Matches_All[[#This Row],[Team]],Dyno_Data[Match],TBA_Matches_All[[#This Row],[Match_Number]],Dyno_Data[RecordType],"Activities",Dyno_Data[DelDest],"Amp", Dyno_Data[DelMiss],"0", Dyno_Data[Mode],"Auto")</f>
        <v>0</v>
      </c>
      <c r="AJ256">
        <f>COUNTIFS(Dyno_Data[Team],TBA_Matches_All[[#This Row],[Team]],Dyno_Data[Match],TBA_Matches_All[[#This Row],[Match_Number]],Dyno_Data[RecordType],"Activities",Dyno_Data[DelDest],"Spkr", Dyno_Data[DelMiss],"0", Dyno_Data[Mode],"Auto")</f>
        <v>0</v>
      </c>
      <c r="AK256">
        <f>COUNTIFS(Dyno_Data[Team],TBA_Matches_All[[#This Row],[Team]],Dyno_Data[Match],TBA_Matches_All[[#This Row],[Match_Number]],Dyno_Data[RecordType],"Activities",Dyno_Data[DelDest],"Trap", Dyno_Data[DelMiss],"0", Dyno_Data[Mode],"Auto")</f>
        <v>0</v>
      </c>
      <c r="AL256">
        <f>COUNTIFS(Dyno_Data[Team],TBA_Matches_All[[#This Row],[Team]],Dyno_Data[Match],TBA_Matches_All[[#This Row],[Match_Number]],Dyno_Data[RecordType],"Activities",Dyno_Data[DelDest],"Amp", Dyno_Data[DelMiss],"0", Dyno_Data[Mode],"Teleop")</f>
        <v>0</v>
      </c>
      <c r="AM256">
        <f>COUNTIFS(Dyno_Data[Team],TBA_Matches_All[[#This Row],[Team]],Dyno_Data[Match],TBA_Matches_All[[#This Row],[Match_Number]],Dyno_Data[RecordType],"Activities",Dyno_Data[DelDest],"Spkr", Dyno_Data[DelMiss],"0", Dyno_Data[Mode],"Teleop")</f>
        <v>0</v>
      </c>
      <c r="AN256">
        <f>COUNTIFS(Dyno_Data[Team],TBA_Matches_All[[#This Row],[Team]],Dyno_Data[Match],TBA_Matches_All[[#This Row],[Match_Number]],Dyno_Data[RecordType],"Activities",Dyno_Data[DelDest],"Trap", Dyno_Data[DelMiss],"0", Dyno_Data[Mode],"&lt;&gt;Auto")</f>
        <v>0</v>
      </c>
      <c r="AO256">
        <f>SUM(TBA_Matches_All[[#This Row],[AampT]]+TBA_Matches_All[[#This Row],[AspkrT]]+TBA_Matches_All[[#This Row],[AtrapT]]+TBA_Matches_All[[#This Row],[TampT]]+TBA_Matches_All[[#This Row],[TspkrT]]+TBA_Matches_All[[#This Row],[TtrapT]])</f>
        <v>0</v>
      </c>
      <c r="AP256">
        <f>COUNTIFS(Dyno_Data[Team],TBA_Matches_All[[#This Row],[Team]],Dyno_Data[Match],TBA_Matches_All[[#This Row],[Match_Number]],Dyno_Data[RecordType],"Activities",Dyno_Data[DelDest],"Neut", Dyno_Data[DelMiss],"0")</f>
        <v>0</v>
      </c>
      <c r="AQ256">
        <f>COUNTIFS(Dyno_Data[Team],TBA_Matches_All[[#This Row],[Team]],Dyno_Data[Match],TBA_Matches_All[[#This Row],[Match_Number]],Dyno_Data[RecordType],"Activities",Dyno_Data[DelDest],"AllyW", Dyno_Data[DelMiss],"0")</f>
        <v>0</v>
      </c>
      <c r="AR256" t="str">
        <f>_xlfn.XLOOKUP(SUM(MID(TBA_Matches_All[[#This Row],[Team]],4,5),(TBA_Matches_All[[#This Row],[Match_Number]]/100)),Dyno_EndMatch[teammat],Dyno_EndMatch[RobotSta],"_",0,1)</f>
        <v>OppS</v>
      </c>
      <c r="AS256">
        <f>SUMIFS(Dyno_Data[AcqDis], Dyno_Data[Team],TBA_Matches_All[[#This Row],[Team]],Dyno_Data[Match],TBA_Matches_All[[#This Row],[Match_Number]],Dyno_Data[RecordType],"Activities", Dyno_Data[AcqCenter],1,Dyno_Data[Mode],"Auto")</f>
        <v>0</v>
      </c>
      <c r="AT256">
        <f>SUMIFS(Dyno_Data[AcqDis], Dyno_Data[Team],TBA_Matches_All[[#This Row],[Team]],Dyno_Data[Match],TBA_Matches_All[[#This Row],[Match_Number]],Dyno_Data[RecordType],"Activities", Dyno_Data[AcqCenter],2,Dyno_Data[Mode],"Auto")</f>
        <v>0</v>
      </c>
      <c r="AU256">
        <f>SUMIFS(Dyno_Data[AcqDis], Dyno_Data[Team],TBA_Matches_All[[#This Row],[Team]],Dyno_Data[Match],TBA_Matches_All[[#This Row],[Match_Number]],Dyno_Data[RecordType],"Activities", Dyno_Data[AcqCenter],3,Dyno_Data[Mode],"Auto")</f>
        <v>0</v>
      </c>
      <c r="AV256">
        <f>SUMIFS(Dyno_Data[AcqDis], Dyno_Data[Team],TBA_Matches_All[[#This Row],[Team]],Dyno_Data[Match],TBA_Matches_All[[#This Row],[Match_Number]],Dyno_Data[RecordType],"Activities", Dyno_Data[AcqCenter],4,Dyno_Data[Mode],"Auto")</f>
        <v>0</v>
      </c>
      <c r="AW256">
        <f>SUMIFS(Dyno_Data[AcqDis], Dyno_Data[Team],TBA_Matches_All[[#This Row],[Team]],Dyno_Data[Match],TBA_Matches_All[[#This Row],[Match_Number]],Dyno_Data[RecordType],"Activities", Dyno_Data[AcqCenter],5,Dyno_Data[Mode],"Auto")</f>
        <v>0</v>
      </c>
      <c r="AX256">
        <f>SUMIFS(Dyno_Data[DelMiss], Dyno_Data[Team],TBA_Matches_All[[#This Row],[Team]],Dyno_Data[Match],TBA_Matches_All[[#This Row],[Match_Number]],Dyno_Data[RecordType],"Activities", Dyno_Data[DelDest],"Amp")</f>
        <v>0</v>
      </c>
      <c r="AY256" s="60">
        <f>IFERROR(SUM((TBA_Matches_All[[#This Row],[AampT]]+TBA_Matches_All[[#This Row],[TampT]])/(TBA_Matches_All[[#This Row],[AampT]]+TBA_Matches_All[[#This Row],[TampT]]+TBA_Matches_All[[#This Row],[ampM]])),0)</f>
        <v>0</v>
      </c>
      <c r="AZ256">
        <f>SUMIFS(Dyno_Data[DelMiss], Dyno_Data[Team],TBA_Matches_All[[#This Row],[Team]],Dyno_Data[Match],TBA_Matches_All[[#This Row],[Match_Number]],Dyno_Data[RecordType],"Activities", Dyno_Data[DelDest],"Spkr")</f>
        <v>0</v>
      </c>
      <c r="BA256" s="60">
        <f>IFERROR(SUM((TBA_Matches_All[[#This Row],[AspkrT]]+TBA_Matches_All[[#This Row],[TspkrT]])/(TBA_Matches_All[[#This Row],[AspkrT]]+TBA_Matches_All[[#This Row],[TspkrT]]+TBA_Matches_All[[#This Row],[spkrM]])),0)</f>
        <v>0</v>
      </c>
      <c r="BB256">
        <f>SUMIFS(Dyno_Data[DelMiss], Dyno_Data[Team],TBA_Matches_All[[#This Row],[Team]],Dyno_Data[Match],TBA_Matches_All[[#This Row],[Match_Number]],Dyno_Data[RecordType],"Activities", Dyno_Data[DelDest],"Trap")</f>
        <v>0</v>
      </c>
      <c r="BC256" s="60">
        <f>IFERROR((TBA_Matches_All[[#This Row],[AtrapT]]+TBA_Matches_All[[#This Row],[TtrapT]])/(TBA_Matches_All[[#This Row],[AtrapT]]+TBA_Matches_All[[#This Row],[TtrapT]]+TBA_Matches_All[[#This Row],[trapM]]),0)</f>
        <v>0</v>
      </c>
      <c r="BD256">
        <f>COUNTIFS(Dyno_Data[Team],TBA_Matches_All[[#This Row],[Team]],Dyno_Data[Match],TBA_Matches_All[[#This Row],[Match_Number]],Dyno_Data[RecordType],"Activities",Dyno_Data[DelDest],"Neut", Dyno_Data[DelMiss],1)</f>
        <v>0</v>
      </c>
      <c r="BE256" s="60">
        <f>IFERROR(SUM((TBA_Matches_All[[#This Row],[NeutFlrT]])/(TBA_Matches_All[[#This Row],[NeutFlrT]]+TBA_Matches_All[[#This Row],[NZflM]])),0)</f>
        <v>0</v>
      </c>
      <c r="BF256">
        <f>COUNTIFS(Dyno_Data[Team],TBA_Matches_All[[#This Row],[Team]],Dyno_Data[Match],TBA_Matches_All[[#This Row],[Match_Number]],Dyno_Data[RecordType],"Activities",Dyno_Data[DelDest],"AllyW", Dyno_Data[DelMiss],1)</f>
        <v>1</v>
      </c>
      <c r="BG256" s="60">
        <f>IFERROR(SUM((TBA_Matches_All[[#This Row],[AllyWFlrT]])/(TBA_Matches_All[[#This Row],[AllyWFlrT]]+TBA_Matches_All[[#This Row],[AZflM]])),0)</f>
        <v>0</v>
      </c>
      <c r="BH256">
        <f>COUNTIFS(Dyno_Data[Team],TBA_Matches_All[[#This Row],[Team]],Dyno_Data[Match],TBA_Matches_All[[#This Row],[Match_Number]],Dyno_Data[RecordType],"Activities",Dyno_Data[DelOrig],"OppW", Dyno_Data[DelMiss],"0")</f>
        <v>0</v>
      </c>
      <c r="BI256">
        <f>COUNTIFS(Dyno_Data[Team],TBA_Matches_All[[#This Row],[Team]],Dyno_Data[Match],TBA_Matches_All[[#This Row],[Match_Number]],Dyno_Data[RecordType],"Activities",Dyno_Data[DelOrig],"OppW", Dyno_Data[DelMiss],"1")</f>
        <v>0</v>
      </c>
      <c r="BJ256" s="60">
        <f>IFERROR(SUM((TBA_Matches_All[[#This Row],[OZflrT]])/(TBA_Matches_All[[#This Row],[OZflrT]]+TBA_Matches_All[[#This Row],[OZflrM]])),0)</f>
        <v>0</v>
      </c>
      <c r="BK256">
        <f>COUNTIFS(Dyno_Data[Team],TBA_Matches_All[[#This Row],[Team]],Dyno_Data[Match],TBA_Matches_All[[#This Row],[Match_Number]],Dyno_Data[RecordType],"Activities",Dyno_Data[DelOrig],"Neut", Dyno_Data[DelMiss],"0")</f>
        <v>0</v>
      </c>
      <c r="BL256">
        <f>COUNTIFS(Dyno_Data[Team],TBA_Matches_All[[#This Row],[Team]],Dyno_Data[Match],TBA_Matches_All[[#This Row],[Match_Number]],Dyno_Data[RecordType],"Activities",Dyno_Data[DelOrig],"Neut", Dyno_Data[DelMiss],"1")</f>
        <v>0</v>
      </c>
      <c r="BM256" s="60">
        <f>IFERROR(SUM((TBA_Matches_All[[#This Row],[NZflrT]])/(TBA_Matches_All[[#This Row],[NZflrT]]+TBA_Matches_All[[#This Row],[NZflrM]])),0)</f>
        <v>0</v>
      </c>
      <c r="BN256">
        <f>COUNTIFS(Dyno_Data[Team],TBA_Matches_All[[#This Row],[Team]],Dyno_Data[Match],TBA_Matches_All[[#This Row],[Match_Number]],Dyno_Data[RecordType],"Activities",Dyno_Data[DelOrig],"AllyW", Dyno_Data[DelMiss],"0")</f>
        <v>0</v>
      </c>
      <c r="BO256">
        <f>COUNTIFS(Dyno_Data[Team],TBA_Matches_All[[#This Row],[Team]],Dyno_Data[Match],TBA_Matches_All[[#This Row],[Match_Number]],Dyno_Data[RecordType],"Activities",Dyno_Data[DelOrig],"AllyW", Dyno_Data[DelMiss],"1")</f>
        <v>1</v>
      </c>
      <c r="BP256" s="60">
        <f>IFERROR(SUM((TBA_Matches_All[[#This Row],[AZflrT]])/(TBA_Matches_All[[#This Row],[AZflrT]]+TBA_Matches_All[[#This Row],[AZflrM]])),0)</f>
        <v>0</v>
      </c>
      <c r="BQ256">
        <f>COUNTIFS(Dyno_Data[Team],TBA_Matches_All[[#This Row],[Team]],Dyno_Data[Match],TBA_Matches_All[[#This Row],[Match_Number]],Dyno_Data[RecordType],"Activities",Dyno_Data[DelOrig],"SubW", Dyno_Data[DelMiss],"0")</f>
        <v>0</v>
      </c>
      <c r="BR256">
        <f>COUNTIFS(Dyno_Data[Team],TBA_Matches_All[[#This Row],[Team]],Dyno_Data[Match],TBA_Matches_All[[#This Row],[Match_Number]],Dyno_Data[RecordType],"Activities",Dyno_Data[DelOrig],"SubW", Dyno_Data[DelMiss],"1")</f>
        <v>0</v>
      </c>
      <c r="BS256" s="60">
        <f>IFERROR(SUM((TBA_Matches_All[[#This Row],[SubwT]])/(TBA_Matches_All[[#This Row],[SubwT]]+TBA_Matches_All[[#This Row],[SubwM]])),0)</f>
        <v>0</v>
      </c>
      <c r="BT256">
        <f>COUNTIFS(Dyno_Data[Team],TBA_Matches_All[[#This Row],[Team]],Dyno_Data[Match],TBA_Matches_All[[#This Row],[Match_Number]],Dyno_Data[RecordType],"Activities", Dyno_Data[AcqLoc],"OppWing")</f>
        <v>0</v>
      </c>
      <c r="BU256">
        <f>COUNTIFS(Dyno_Data[Team],TBA_Matches_All[[#This Row],[Team]],Dyno_Data[Match],TBA_Matches_All[[#This Row],[Match_Number]],Dyno_Data[RecordType],"Activities", Dyno_Data[AcqLoc],"Neutral")</f>
        <v>0</v>
      </c>
      <c r="BV256">
        <f>COUNTIFS(Dyno_Data[Team],TBA_Matches_All[[#This Row],[Team]],Dyno_Data[Match],TBA_Matches_All[[#This Row],[Match_Number]],Dyno_Data[RecordType],"Activities", Dyno_Data[AcqLoc],"AllyWing")</f>
        <v>0</v>
      </c>
      <c r="BW256">
        <f>COUNTIFS(Dyno_Data[Team],TBA_Matches_All[[#This Row],[Team]],Dyno_Data[Match],TBA_Matches_All[[#This Row],[Match_Number]],Dyno_Data[RecordType],"Activities", Dyno_Data[AcqLoc],"Source")</f>
        <v>0</v>
      </c>
      <c r="BX256">
        <f>SUMIFS(Dyno_Data[AcqDrp], Dyno_Data[Team],TBA_Matches_All[[#This Row],[Team]],Dyno_Data[Match],TBA_Matches_All[[#This Row],[Match_Number]],Dyno_Data[RecordType],"Activities", Dyno_Data[AcqLoc],"Source")</f>
        <v>0</v>
      </c>
      <c r="BY256">
        <f>SUMIFS(Dyno_Data[OZTime], Dyno_Data[Team],TBA_Matches_All[[#This Row],[Team]],Dyno_Data[Match],TBA_Matches_All[[#This Row],[Match_Number]],Dyno_Data[RecordType],"EndMatch")</f>
        <v>0</v>
      </c>
      <c r="BZ256">
        <f>SUMIFS(Dyno_Data[NZTime], Dyno_Data[Team],TBA_Matches_All[[#This Row],[Team]],Dyno_Data[Match],TBA_Matches_All[[#This Row],[Match_Number]],Dyno_Data[RecordType],"EndMatch")</f>
        <v>31.424327299999998</v>
      </c>
      <c r="CA256">
        <f>SUMIFS(Dyno_Data[AZTime], Dyno_Data[Team],TBA_Matches_All[[#This Row],[Team]],Dyno_Data[Match],TBA_Matches_All[[#This Row],[Match_Number]],Dyno_Data[RecordType],"EndMatch")</f>
        <v>101.81566599999999</v>
      </c>
      <c r="CB256">
        <f>SUMIFS(Dyno_Data[ClimbT], Dyno_Data[Team],TBA_Matches_All[[#This Row],[Team]],Dyno_Data[Match],TBA_Matches_All[[#This Row],[Match_Number]],Dyno_Data[RecordType],"EndMatch")</f>
        <v>0</v>
      </c>
      <c r="CC256" t="str">
        <f>_xlfn.XLOOKUP(SUM(MID(TBA_Matches_All[[#This Row],[Team]],4,5),(TBA_Matches_All[[#This Row],[Match_Number]]/100)),Dyno_EndMatch[teammat],Dyno_EndMatch[StageStat],"_",0,1)</f>
        <v>Park</v>
      </c>
      <c r="CD256" t="str">
        <f>_xlfn.XLOOKUP(TBA_Matches_All[[#This Row],[teammat]],Dyno_EndMatch[teammat],Dyno_EndMatch[StageAtt],"_",0,1)</f>
        <v>0</v>
      </c>
      <c r="CE256" t="str">
        <f>_xlfn.XLOOKUP(TBA_Matches_All[[#This Row],[teammat]],Dyno_EndMatch[teammat],Dyno_EndMatch[StageLoc],"_",0,1)</f>
        <v>A</v>
      </c>
      <c r="CF256">
        <f>SUMIFS(Dyno_Data[Harmony], Dyno_Data[Team],TBA_Matches_All[[#This Row],[Team]],Dyno_Data[Match],TBA_Matches_All[[#This Row],[Match_Number]],Dyno_Data[RecordType],"EndMatch", Dyno_Data[StageStat],"On",Dyno_Data[Harmony],"&lt;&gt;9")</f>
        <v>0</v>
      </c>
      <c r="CG256">
        <f>SUMIFS(Dyno_Data[Spotlit], Dyno_Data[Team],TBA_Matches_All[[#This Row],[Team]],Dyno_Data[Match],TBA_Matches_All[[#This Row],[Match_Number]],Dyno_Data[RecordType],"EndMatch", Dyno_Data[StageStat],"On",Dyno_Data[Spotlit],"&lt;&gt;9")</f>
        <v>0</v>
      </c>
      <c r="CH256" t="str">
        <f>_xlfn.XLOOKUP(TBA_Matches_All[[#This Row],[teammat]],Dyno_EndMatch[teammat],Dyno_EndMatch[Strategy],"_",0,1)</f>
        <v>Defense</v>
      </c>
      <c r="CI256">
        <f>SUMIFS(Dyno_Data[Defense], Dyno_Data[Team],TBA_Matches_All[[#This Row],[Team]],Dyno_Data[Match],TBA_Matches_All[[#This Row],[Match_Number]],Dyno_Data[RecordType],"EndMatch",Dyno_Data[Defense],"&lt;&gt;9")</f>
        <v>1</v>
      </c>
      <c r="CJ256">
        <f>SUMIFS(Dyno_Data[Avoidance], Dyno_Data[Team],TBA_Matches_All[[#This Row],[Team]],Dyno_Data[Match],TBA_Matches_All[[#This Row],[Match_Number]],Dyno_Data[RecordType],"EndMatch",Dyno_Data[Avoidance],"&lt;&gt;9")</f>
        <v>2</v>
      </c>
      <c r="CK256" s="82">
        <f>COUNTIF($H$2:TBA_Matches_All[[#This Row],[Team]],TBA_Matches_All[[#This Row],[Team]])</f>
        <v>6</v>
      </c>
      <c r="CL256" s="111">
        <f>SUM(MID(TBA_Matches_All[[#This Row],[Team]],4,5)+TBA_Matches_All[[#This Row],[Match_Number]]/100)</f>
        <v>6969.43</v>
      </c>
      <c r="CM256">
        <f>SUM((TBA_Matches_All[[#This Row],[Leave]]*2)+(TBA_Matches_All[[#This Row],[AampT]]*2)+(TBA_Matches_All[[#This Row],[AspkrT]]*5)+(TBA_Matches_All[[#This Row],[AtrapT]]*5))</f>
        <v>0</v>
      </c>
      <c r="CN256" s="59">
        <f>IFERROR(SUM(TBA_Matches_All[[#This Row],[AptsT]]/TBA_Matches_All[[#This Row],[AutoPts]]),0)</f>
        <v>0</v>
      </c>
      <c r="CO256" s="59">
        <f>IFERROR(SUM(TBA_Matches_All[[#This Row],[AampT]]+TBA_Matches_All[[#This Row],[AspkrT]]+TBA_Matches_All[[#This Row],[AtrapT]]/TBA_Matches_All[[#This Row],[Aamp]]+TBA_Matches_All[[#This Row],[Aspkr]]+TBA_Matches_All[[#This Row],[AtrapT]]),0)</f>
        <v>0</v>
      </c>
      <c r="CP256" s="59">
        <f>IFERROR(SUM(TBA_Matches_All[[#This Row],[TampT]]/TBA_Matches_All[[#This Row],[Tamp]]),0)</f>
        <v>0</v>
      </c>
      <c r="CQ256" s="59">
        <f>IFERROR(SUM(TBA_Matches_All[[#This Row],[TspkrT]]/TBA_Matches_All[[#This Row],[Tspkr]]),0)</f>
        <v>0</v>
      </c>
      <c r="CR256">
        <f>SUM(TBA_Matches_All[[#This Row],[TspkrPts]]*TBA_Matches_All[[#This Row],[TspkrP]])</f>
        <v>0</v>
      </c>
      <c r="CS256" s="59">
        <f>IFERROR(SUM(TBA_Matches_All[[#This Row],[TtrapT]]/TBA_Matches_All[[#This Row],[Trap]]),0)</f>
        <v>0</v>
      </c>
      <c r="CT256" s="59">
        <f>IFERROR(SUM(TBA_Matches_All[[#This Row],[TotNotesT]]/TBA_Matches_All[[#This Row],[TotNotes]]),0)</f>
        <v>0</v>
      </c>
      <c r="CU256" s="66">
        <f>SUM((TBA_Matches_All[[#This Row],[AampT]]*2)+(TBA_Matches_All[[#This Row],[AspkrT]]*5)+(TBA_Matches_All[[#This Row],[AtrapT]]*5)+(TBA_Matches_All[[#This Row],[TampT]]*1)+(TBA_Matches_All[[#This Row],[TspkrptsC]]))</f>
        <v>0</v>
      </c>
      <c r="CV256" s="59">
        <f>IFERROR(TBA_Matches_All[[#This Row],[noteptsT]]/TBA_Matches_All[[#This Row],[NotePts]],0)</f>
        <v>0</v>
      </c>
      <c r="CW256">
        <f>SUM(IF(TBA_Matches_All[[#This Row],[stageStat]]="On",3,0),IF(TBA_Matches_All[[#This Row],[stageStat]]="Park",1,0),SUMIFS(TBA_Matches_All[[#This Row],[Spotlit]],TBA_Matches_All[[#This Row],[stageStat]],"On"),SUMIFS(TBA_Matches_All[[#This Row],[Harmony]],TBA_Matches_All[[#This Row],[stageStat]],"On"))</f>
        <v>1</v>
      </c>
      <c r="CX256" s="59">
        <f>IFERROR(TBA_Matches_All[[#This Row],[stageptsT]]/TBA_Matches_All[[#This Row],[StagePts]],0)</f>
        <v>0.33333333333333331</v>
      </c>
      <c r="CY256">
        <f>SUM((TBA_Matches_All[[#This Row],[AptsT]]+TBA_Matches_All[[#This Row],[TampT]]+TBA_Matches_All[[#This Row],[TspkrptsC]]+(TBA_Matches_All[[#This Row],[TtrapT]]*5)+TBA_Matches_All[[#This Row],[stageptsT]]))</f>
        <v>1</v>
      </c>
      <c r="CZ256" s="59">
        <f>IFERROR(SUM(TBA_Matches_All[[#This Row],[TotptsC]]/TBA_Matches_All[[#This Row],[Score]]),0)</f>
        <v>1.8867924528301886E-2</v>
      </c>
      <c r="DA25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256" s="74">
        <f>SUMIFS(TBA_Matches_All[AveTeamTNoteDels],TBA_Matches_All[Match_Number],TBA_Matches_All[[#This Row],[Match_Number]],TBA_Matches_All[Alliance],"&lt;&gt;"&amp;TBA_Matches_All[[#This Row],[Alliance]],TBA_Matches_All[Scouted],"&gt;0")</f>
        <v>42.784034299034303</v>
      </c>
      <c r="DC256" s="74">
        <f>(TBA_Matches_All[[#This Row],[TampT]]+TBA_Matches_All[[#This Row],[TspkrptsC]])-TBA_Matches_All[[#This Row],[AveTeamTNoteDels]]</f>
        <v>-1</v>
      </c>
      <c r="DD256" s="74">
        <f>SUMIFS(TBA_Matches_All[AveTeamTNoteDels],TBA_Matches_All[Match_Number],TBA_Matches_All[[#This Row],[Match_Number]],TBA_Matches_All[Alliance],"&lt;&gt;"&amp;TBA_Matches_All[[#This Row],[Alliance]])-TBA_Matches_All[[#This Row],[AveOppTNoteDels]]</f>
        <v>0</v>
      </c>
    </row>
    <row r="257" spans="1:108" x14ac:dyDescent="0.3">
      <c r="A257" t="s">
        <v>1042</v>
      </c>
      <c r="B257" t="s">
        <v>489</v>
      </c>
      <c r="C257" t="s">
        <v>1352</v>
      </c>
      <c r="D257">
        <v>43</v>
      </c>
      <c r="E257" t="s">
        <v>1420</v>
      </c>
      <c r="F257" t="s">
        <v>1423</v>
      </c>
      <c r="G257" t="s">
        <v>1409</v>
      </c>
      <c r="H257" t="s">
        <v>1280</v>
      </c>
      <c r="I257" t="b">
        <v>1</v>
      </c>
      <c r="J257">
        <v>63</v>
      </c>
      <c r="K257">
        <v>1</v>
      </c>
      <c r="L257">
        <v>0</v>
      </c>
      <c r="M257">
        <v>12</v>
      </c>
      <c r="N257">
        <v>0</v>
      </c>
      <c r="O257">
        <v>2</v>
      </c>
      <c r="P257">
        <v>10</v>
      </c>
      <c r="Q257">
        <v>14</v>
      </c>
      <c r="R257">
        <v>1</v>
      </c>
      <c r="S257">
        <v>0</v>
      </c>
      <c r="T257">
        <v>17</v>
      </c>
      <c r="U257">
        <v>0</v>
      </c>
      <c r="V257">
        <v>34</v>
      </c>
      <c r="W257">
        <v>17</v>
      </c>
      <c r="X257">
        <v>34</v>
      </c>
      <c r="Y257">
        <v>35</v>
      </c>
      <c r="Z257">
        <v>0</v>
      </c>
      <c r="AA257">
        <v>0</v>
      </c>
      <c r="AB257">
        <v>20</v>
      </c>
      <c r="AC257">
        <v>45</v>
      </c>
      <c r="AD257">
        <v>9</v>
      </c>
      <c r="AE257">
        <f>IFERROR(6/(COUNTIF(Dyno_EndMatch[Match],TBA_Matches_All[[#This Row],[Match_Number]])),0)</f>
        <v>1</v>
      </c>
      <c r="AF257">
        <f>COUNTIFS(Dyno_Data[Team],TBA_Matches_All[[#This Row],[Team]],Dyno_Data[Match],TBA_Matches_All[[#This Row],[Match_Number]],Dyno_Data[RecordType],"EndMatch",Dyno_Data[HPAmp],"Y")</f>
        <v>0</v>
      </c>
      <c r="AG257">
        <f>SUMIFS(Dyno_Data[Mics], Dyno_Data[Team],TBA_Matches_All[[#This Row],[Team]],Dyno_Data[Match],TBA_Matches_All[[#This Row],[Match_Number]],Dyno_Data[RecordType],"EndMatch",Dyno_Data[HPAmp],"Y")</f>
        <v>0</v>
      </c>
      <c r="AH257">
        <f>SUMIFS(Dyno_Data[Leave], Dyno_Data[Team],TBA_Matches_All[[#This Row],[Team]],Dyno_Data[Match],TBA_Matches_All[[#This Row],[Match_Number]],Dyno_Data[RecordType],"EndAuto")</f>
        <v>1</v>
      </c>
      <c r="AI257">
        <f>COUNTIFS(Dyno_Data[Team],TBA_Matches_All[[#This Row],[Team]],Dyno_Data[Match],TBA_Matches_All[[#This Row],[Match_Number]],Dyno_Data[RecordType],"Activities",Dyno_Data[DelDest],"Amp", Dyno_Data[DelMiss],"0", Dyno_Data[Mode],"Auto")</f>
        <v>0</v>
      </c>
      <c r="AJ257">
        <f>COUNTIFS(Dyno_Data[Team],TBA_Matches_All[[#This Row],[Team]],Dyno_Data[Match],TBA_Matches_All[[#This Row],[Match_Number]],Dyno_Data[RecordType],"Activities",Dyno_Data[DelDest],"Spkr", Dyno_Data[DelMiss],"0", Dyno_Data[Mode],"Auto")</f>
        <v>0</v>
      </c>
      <c r="AK257">
        <f>COUNTIFS(Dyno_Data[Team],TBA_Matches_All[[#This Row],[Team]],Dyno_Data[Match],TBA_Matches_All[[#This Row],[Match_Number]],Dyno_Data[RecordType],"Activities",Dyno_Data[DelDest],"Trap", Dyno_Data[DelMiss],"0", Dyno_Data[Mode],"Auto")</f>
        <v>0</v>
      </c>
      <c r="AL257">
        <f>COUNTIFS(Dyno_Data[Team],TBA_Matches_All[[#This Row],[Team]],Dyno_Data[Match],TBA_Matches_All[[#This Row],[Match_Number]],Dyno_Data[RecordType],"Activities",Dyno_Data[DelDest],"Amp", Dyno_Data[DelMiss],"0", Dyno_Data[Mode],"Teleop")</f>
        <v>0</v>
      </c>
      <c r="AM257">
        <f>COUNTIFS(Dyno_Data[Team],TBA_Matches_All[[#This Row],[Team]],Dyno_Data[Match],TBA_Matches_All[[#This Row],[Match_Number]],Dyno_Data[RecordType],"Activities",Dyno_Data[DelDest],"Spkr", Dyno_Data[DelMiss],"0", Dyno_Data[Mode],"Teleop")</f>
        <v>0</v>
      </c>
      <c r="AN257">
        <f>COUNTIFS(Dyno_Data[Team],TBA_Matches_All[[#This Row],[Team]],Dyno_Data[Match],TBA_Matches_All[[#This Row],[Match_Number]],Dyno_Data[RecordType],"Activities",Dyno_Data[DelDest],"Trap", Dyno_Data[DelMiss],"0", Dyno_Data[Mode],"&lt;&gt;Auto")</f>
        <v>0</v>
      </c>
      <c r="AO257">
        <f>SUM(TBA_Matches_All[[#This Row],[AampT]]+TBA_Matches_All[[#This Row],[AspkrT]]+TBA_Matches_All[[#This Row],[AtrapT]]+TBA_Matches_All[[#This Row],[TampT]]+TBA_Matches_All[[#This Row],[TspkrT]]+TBA_Matches_All[[#This Row],[TtrapT]])</f>
        <v>0</v>
      </c>
      <c r="AP257">
        <f>COUNTIFS(Dyno_Data[Team],TBA_Matches_All[[#This Row],[Team]],Dyno_Data[Match],TBA_Matches_All[[#This Row],[Match_Number]],Dyno_Data[RecordType],"Activities",Dyno_Data[DelDest],"Neut", Dyno_Data[DelMiss],"0")</f>
        <v>0</v>
      </c>
      <c r="AQ257">
        <f>COUNTIFS(Dyno_Data[Team],TBA_Matches_All[[#This Row],[Team]],Dyno_Data[Match],TBA_Matches_All[[#This Row],[Match_Number]],Dyno_Data[RecordType],"Activities",Dyno_Data[DelDest],"AllyW", Dyno_Data[DelMiss],"0")</f>
        <v>0</v>
      </c>
      <c r="AR257" t="str">
        <f>_xlfn.XLOOKUP(SUM(MID(TBA_Matches_All[[#This Row],[Team]],4,5),(TBA_Matches_All[[#This Row],[Match_Number]]/100)),Dyno_EndMatch[teammat],Dyno_EndMatch[RobotSta],"_",0,1)</f>
        <v>OppS</v>
      </c>
      <c r="AS257">
        <f>SUMIFS(Dyno_Data[AcqDis], Dyno_Data[Team],TBA_Matches_All[[#This Row],[Team]],Dyno_Data[Match],TBA_Matches_All[[#This Row],[Match_Number]],Dyno_Data[RecordType],"Activities", Dyno_Data[AcqCenter],1,Dyno_Data[Mode],"Auto")</f>
        <v>0</v>
      </c>
      <c r="AT257">
        <f>SUMIFS(Dyno_Data[AcqDis], Dyno_Data[Team],TBA_Matches_All[[#This Row],[Team]],Dyno_Data[Match],TBA_Matches_All[[#This Row],[Match_Number]],Dyno_Data[RecordType],"Activities", Dyno_Data[AcqCenter],2,Dyno_Data[Mode],"Auto")</f>
        <v>0</v>
      </c>
      <c r="AU257">
        <f>SUMIFS(Dyno_Data[AcqDis], Dyno_Data[Team],TBA_Matches_All[[#This Row],[Team]],Dyno_Data[Match],TBA_Matches_All[[#This Row],[Match_Number]],Dyno_Data[RecordType],"Activities", Dyno_Data[AcqCenter],3,Dyno_Data[Mode],"Auto")</f>
        <v>0</v>
      </c>
      <c r="AV257">
        <f>SUMIFS(Dyno_Data[AcqDis], Dyno_Data[Team],TBA_Matches_All[[#This Row],[Team]],Dyno_Data[Match],TBA_Matches_All[[#This Row],[Match_Number]],Dyno_Data[RecordType],"Activities", Dyno_Data[AcqCenter],4,Dyno_Data[Mode],"Auto")</f>
        <v>0</v>
      </c>
      <c r="AW257">
        <f>SUMIFS(Dyno_Data[AcqDis], Dyno_Data[Team],TBA_Matches_All[[#This Row],[Team]],Dyno_Data[Match],TBA_Matches_All[[#This Row],[Match_Number]],Dyno_Data[RecordType],"Activities", Dyno_Data[AcqCenter],5,Dyno_Data[Mode],"Auto")</f>
        <v>0</v>
      </c>
      <c r="AX257">
        <f>SUMIFS(Dyno_Data[DelMiss], Dyno_Data[Team],TBA_Matches_All[[#This Row],[Team]],Dyno_Data[Match],TBA_Matches_All[[#This Row],[Match_Number]],Dyno_Data[RecordType],"Activities", Dyno_Data[DelDest],"Amp")</f>
        <v>0</v>
      </c>
      <c r="AY257" s="60">
        <f>IFERROR(SUM((TBA_Matches_All[[#This Row],[AampT]]+TBA_Matches_All[[#This Row],[TampT]])/(TBA_Matches_All[[#This Row],[AampT]]+TBA_Matches_All[[#This Row],[TampT]]+TBA_Matches_All[[#This Row],[ampM]])),0)</f>
        <v>0</v>
      </c>
      <c r="AZ257">
        <f>SUMIFS(Dyno_Data[DelMiss], Dyno_Data[Team],TBA_Matches_All[[#This Row],[Team]],Dyno_Data[Match],TBA_Matches_All[[#This Row],[Match_Number]],Dyno_Data[RecordType],"Activities", Dyno_Data[DelDest],"Spkr")</f>
        <v>1</v>
      </c>
      <c r="BA257" s="60">
        <f>IFERROR(SUM((TBA_Matches_All[[#This Row],[AspkrT]]+TBA_Matches_All[[#This Row],[TspkrT]])/(TBA_Matches_All[[#This Row],[AspkrT]]+TBA_Matches_All[[#This Row],[TspkrT]]+TBA_Matches_All[[#This Row],[spkrM]])),0)</f>
        <v>0</v>
      </c>
      <c r="BB257">
        <f>SUMIFS(Dyno_Data[DelMiss], Dyno_Data[Team],TBA_Matches_All[[#This Row],[Team]],Dyno_Data[Match],TBA_Matches_All[[#This Row],[Match_Number]],Dyno_Data[RecordType],"Activities", Dyno_Data[DelDest],"Trap")</f>
        <v>0</v>
      </c>
      <c r="BC257" s="60">
        <f>IFERROR((TBA_Matches_All[[#This Row],[AtrapT]]+TBA_Matches_All[[#This Row],[TtrapT]])/(TBA_Matches_All[[#This Row],[AtrapT]]+TBA_Matches_All[[#This Row],[TtrapT]]+TBA_Matches_All[[#This Row],[trapM]]),0)</f>
        <v>0</v>
      </c>
      <c r="BD257">
        <f>COUNTIFS(Dyno_Data[Team],TBA_Matches_All[[#This Row],[Team]],Dyno_Data[Match],TBA_Matches_All[[#This Row],[Match_Number]],Dyno_Data[RecordType],"Activities",Dyno_Data[DelDest],"Neut", Dyno_Data[DelMiss],1)</f>
        <v>0</v>
      </c>
      <c r="BE257" s="60">
        <f>IFERROR(SUM((TBA_Matches_All[[#This Row],[NeutFlrT]])/(TBA_Matches_All[[#This Row],[NeutFlrT]]+TBA_Matches_All[[#This Row],[NZflM]])),0)</f>
        <v>0</v>
      </c>
      <c r="BF257">
        <f>COUNTIFS(Dyno_Data[Team],TBA_Matches_All[[#This Row],[Team]],Dyno_Data[Match],TBA_Matches_All[[#This Row],[Match_Number]],Dyno_Data[RecordType],"Activities",Dyno_Data[DelDest],"AllyW", Dyno_Data[DelMiss],1)</f>
        <v>0</v>
      </c>
      <c r="BG257" s="60">
        <f>IFERROR(SUM((TBA_Matches_All[[#This Row],[AllyWFlrT]])/(TBA_Matches_All[[#This Row],[AllyWFlrT]]+TBA_Matches_All[[#This Row],[AZflM]])),0)</f>
        <v>0</v>
      </c>
      <c r="BH257">
        <f>COUNTIFS(Dyno_Data[Team],TBA_Matches_All[[#This Row],[Team]],Dyno_Data[Match],TBA_Matches_All[[#This Row],[Match_Number]],Dyno_Data[RecordType],"Activities",Dyno_Data[DelOrig],"OppW", Dyno_Data[DelMiss],"0")</f>
        <v>0</v>
      </c>
      <c r="BI257">
        <f>COUNTIFS(Dyno_Data[Team],TBA_Matches_All[[#This Row],[Team]],Dyno_Data[Match],TBA_Matches_All[[#This Row],[Match_Number]],Dyno_Data[RecordType],"Activities",Dyno_Data[DelOrig],"OppW", Dyno_Data[DelMiss],"1")</f>
        <v>0</v>
      </c>
      <c r="BJ257" s="60">
        <f>IFERROR(SUM((TBA_Matches_All[[#This Row],[OZflrT]])/(TBA_Matches_All[[#This Row],[OZflrT]]+TBA_Matches_All[[#This Row],[OZflrM]])),0)</f>
        <v>0</v>
      </c>
      <c r="BK257">
        <f>COUNTIFS(Dyno_Data[Team],TBA_Matches_All[[#This Row],[Team]],Dyno_Data[Match],TBA_Matches_All[[#This Row],[Match_Number]],Dyno_Data[RecordType],"Activities",Dyno_Data[DelOrig],"Neut", Dyno_Data[DelMiss],"0")</f>
        <v>0</v>
      </c>
      <c r="BL257">
        <f>COUNTIFS(Dyno_Data[Team],TBA_Matches_All[[#This Row],[Team]],Dyno_Data[Match],TBA_Matches_All[[#This Row],[Match_Number]],Dyno_Data[RecordType],"Activities",Dyno_Data[DelOrig],"Neut", Dyno_Data[DelMiss],"1")</f>
        <v>0</v>
      </c>
      <c r="BM257" s="60">
        <f>IFERROR(SUM((TBA_Matches_All[[#This Row],[NZflrT]])/(TBA_Matches_All[[#This Row],[NZflrT]]+TBA_Matches_All[[#This Row],[NZflrM]])),0)</f>
        <v>0</v>
      </c>
      <c r="BN257">
        <f>COUNTIFS(Dyno_Data[Team],TBA_Matches_All[[#This Row],[Team]],Dyno_Data[Match],TBA_Matches_All[[#This Row],[Match_Number]],Dyno_Data[RecordType],"Activities",Dyno_Data[DelOrig],"AllyW", Dyno_Data[DelMiss],"0")</f>
        <v>0</v>
      </c>
      <c r="BO257">
        <f>COUNTIFS(Dyno_Data[Team],TBA_Matches_All[[#This Row],[Team]],Dyno_Data[Match],TBA_Matches_All[[#This Row],[Match_Number]],Dyno_Data[RecordType],"Activities",Dyno_Data[DelOrig],"AllyW", Dyno_Data[DelMiss],"1")</f>
        <v>1</v>
      </c>
      <c r="BP257" s="60">
        <f>IFERROR(SUM((TBA_Matches_All[[#This Row],[AZflrT]])/(TBA_Matches_All[[#This Row],[AZflrT]]+TBA_Matches_All[[#This Row],[AZflrM]])),0)</f>
        <v>0</v>
      </c>
      <c r="BQ257">
        <f>COUNTIFS(Dyno_Data[Team],TBA_Matches_All[[#This Row],[Team]],Dyno_Data[Match],TBA_Matches_All[[#This Row],[Match_Number]],Dyno_Data[RecordType],"Activities",Dyno_Data[DelOrig],"SubW", Dyno_Data[DelMiss],"0")</f>
        <v>0</v>
      </c>
      <c r="BR257">
        <f>COUNTIFS(Dyno_Data[Team],TBA_Matches_All[[#This Row],[Team]],Dyno_Data[Match],TBA_Matches_All[[#This Row],[Match_Number]],Dyno_Data[RecordType],"Activities",Dyno_Data[DelOrig],"SubW", Dyno_Data[DelMiss],"1")</f>
        <v>0</v>
      </c>
      <c r="BS257" s="60">
        <f>IFERROR(SUM((TBA_Matches_All[[#This Row],[SubwT]])/(TBA_Matches_All[[#This Row],[SubwT]]+TBA_Matches_All[[#This Row],[SubwM]])),0)</f>
        <v>0</v>
      </c>
      <c r="BT257">
        <f>COUNTIFS(Dyno_Data[Team],TBA_Matches_All[[#This Row],[Team]],Dyno_Data[Match],TBA_Matches_All[[#This Row],[Match_Number]],Dyno_Data[RecordType],"Activities", Dyno_Data[AcqLoc],"OppWing")</f>
        <v>0</v>
      </c>
      <c r="BU257">
        <f>COUNTIFS(Dyno_Data[Team],TBA_Matches_All[[#This Row],[Team]],Dyno_Data[Match],TBA_Matches_All[[#This Row],[Match_Number]],Dyno_Data[RecordType],"Activities", Dyno_Data[AcqLoc],"Neutral")</f>
        <v>0</v>
      </c>
      <c r="BV257">
        <f>COUNTIFS(Dyno_Data[Team],TBA_Matches_All[[#This Row],[Team]],Dyno_Data[Match],TBA_Matches_All[[#This Row],[Match_Number]],Dyno_Data[RecordType],"Activities", Dyno_Data[AcqLoc],"AllyWing")</f>
        <v>0</v>
      </c>
      <c r="BW257">
        <f>COUNTIFS(Dyno_Data[Team],TBA_Matches_All[[#This Row],[Team]],Dyno_Data[Match],TBA_Matches_All[[#This Row],[Match_Number]],Dyno_Data[RecordType],"Activities", Dyno_Data[AcqLoc],"Source")</f>
        <v>0</v>
      </c>
      <c r="BX257">
        <f>SUMIFS(Dyno_Data[AcqDrp], Dyno_Data[Team],TBA_Matches_All[[#This Row],[Team]],Dyno_Data[Match],TBA_Matches_All[[#This Row],[Match_Number]],Dyno_Data[RecordType],"Activities", Dyno_Data[AcqLoc],"Source")</f>
        <v>0</v>
      </c>
      <c r="BY257">
        <f>SUMIFS(Dyno_Data[OZTime], Dyno_Data[Team],TBA_Matches_All[[#This Row],[Team]],Dyno_Data[Match],TBA_Matches_All[[#This Row],[Match_Number]],Dyno_Data[RecordType],"EndMatch")</f>
        <v>14.1201846</v>
      </c>
      <c r="BZ257">
        <f>SUMIFS(Dyno_Data[NZTime], Dyno_Data[Team],TBA_Matches_All[[#This Row],[Team]],Dyno_Data[Match],TBA_Matches_All[[#This Row],[Match_Number]],Dyno_Data[RecordType],"EndMatch")</f>
        <v>58.882417199999999</v>
      </c>
      <c r="CA257">
        <f>SUMIFS(Dyno_Data[AZTime], Dyno_Data[Team],TBA_Matches_All[[#This Row],[Team]],Dyno_Data[Match],TBA_Matches_All[[#This Row],[Match_Number]],Dyno_Data[RecordType],"EndMatch")</f>
        <v>43.583001599999996</v>
      </c>
      <c r="CB257">
        <f>SUMIFS(Dyno_Data[ClimbT], Dyno_Data[Team],TBA_Matches_All[[#This Row],[Team]],Dyno_Data[Match],TBA_Matches_All[[#This Row],[Match_Number]],Dyno_Data[RecordType],"EndMatch")</f>
        <v>8.4375879000000005</v>
      </c>
      <c r="CC257" t="str">
        <f>_xlfn.XLOOKUP(SUM(MID(TBA_Matches_All[[#This Row],[Team]],4,5),(TBA_Matches_All[[#This Row],[Match_Number]]/100)),Dyno_EndMatch[teammat],Dyno_EndMatch[StageStat],"_",0,1)</f>
        <v>On</v>
      </c>
      <c r="CD257" t="str">
        <f>_xlfn.XLOOKUP(TBA_Matches_All[[#This Row],[teammat]],Dyno_EndMatch[teammat],Dyno_EndMatch[StageAtt],"_",0,1)</f>
        <v>1</v>
      </c>
      <c r="CE257" t="str">
        <f>_xlfn.XLOOKUP(TBA_Matches_All[[#This Row],[teammat]],Dyno_EndMatch[teammat],Dyno_EndMatch[StageLoc],"_",0,1)</f>
        <v>L</v>
      </c>
      <c r="CF257">
        <f>SUMIFS(Dyno_Data[Harmony], Dyno_Data[Team],TBA_Matches_All[[#This Row],[Team]],Dyno_Data[Match],TBA_Matches_All[[#This Row],[Match_Number]],Dyno_Data[RecordType],"EndMatch", Dyno_Data[StageStat],"On",Dyno_Data[Harmony],"&lt;&gt;9")</f>
        <v>1</v>
      </c>
      <c r="CG257">
        <f>SUMIFS(Dyno_Data[Spotlit], Dyno_Data[Team],TBA_Matches_All[[#This Row],[Team]],Dyno_Data[Match],TBA_Matches_All[[#This Row],[Match_Number]],Dyno_Data[RecordType],"EndMatch", Dyno_Data[StageStat],"On",Dyno_Data[Spotlit],"&lt;&gt;9")</f>
        <v>0</v>
      </c>
      <c r="CH257" t="str">
        <f>_xlfn.XLOOKUP(TBA_Matches_All[[#This Row],[teammat]],Dyno_EndMatch[teammat],Dyno_EndMatch[Strategy],"_",0,1)</f>
        <v>Defense</v>
      </c>
      <c r="CI257">
        <f>SUMIFS(Dyno_Data[Defense], Dyno_Data[Team],TBA_Matches_All[[#This Row],[Team]],Dyno_Data[Match],TBA_Matches_All[[#This Row],[Match_Number]],Dyno_Data[RecordType],"EndMatch",Dyno_Data[Defense],"&lt;&gt;9")</f>
        <v>3</v>
      </c>
      <c r="CJ257">
        <f>SUMIFS(Dyno_Data[Avoidance], Dyno_Data[Team],TBA_Matches_All[[#This Row],[Team]],Dyno_Data[Match],TBA_Matches_All[[#This Row],[Match_Number]],Dyno_Data[RecordType],"EndMatch",Dyno_Data[Avoidance],"&lt;&gt;9")</f>
        <v>0</v>
      </c>
      <c r="CK257" s="82">
        <f>COUNTIF($H$2:TBA_Matches_All[[#This Row],[Team]],TBA_Matches_All[[#This Row],[Team]])</f>
        <v>5</v>
      </c>
      <c r="CL257" s="111">
        <f>SUM(MID(TBA_Matches_All[[#This Row],[Team]],4,5)+TBA_Matches_All[[#This Row],[Match_Number]]/100)</f>
        <v>1559.43</v>
      </c>
      <c r="CM257">
        <f>SUM((TBA_Matches_All[[#This Row],[Leave]]*2)+(TBA_Matches_All[[#This Row],[AampT]]*2)+(TBA_Matches_All[[#This Row],[AspkrT]]*5)+(TBA_Matches_All[[#This Row],[AtrapT]]*5))</f>
        <v>2</v>
      </c>
      <c r="CN257" s="59">
        <f>IFERROR(SUM(TBA_Matches_All[[#This Row],[AptsT]]/TBA_Matches_All[[#This Row],[AutoPts]]),0)</f>
        <v>0.14285714285714285</v>
      </c>
      <c r="CO257" s="59">
        <f>IFERROR(SUM(TBA_Matches_All[[#This Row],[AampT]]+TBA_Matches_All[[#This Row],[AspkrT]]+TBA_Matches_All[[#This Row],[AtrapT]]/TBA_Matches_All[[#This Row],[Aamp]]+TBA_Matches_All[[#This Row],[Aspkr]]+TBA_Matches_All[[#This Row],[AtrapT]]),0)</f>
        <v>0</v>
      </c>
      <c r="CP257" s="59">
        <f>IFERROR(SUM(TBA_Matches_All[[#This Row],[TampT]]/TBA_Matches_All[[#This Row],[Tamp]]),0)</f>
        <v>0</v>
      </c>
      <c r="CQ257" s="59">
        <f>IFERROR(SUM(TBA_Matches_All[[#This Row],[TspkrT]]/TBA_Matches_All[[#This Row],[Tspkr]]),0)</f>
        <v>0</v>
      </c>
      <c r="CR257">
        <f>SUM(TBA_Matches_All[[#This Row],[TspkrPts]]*TBA_Matches_All[[#This Row],[TspkrP]])</f>
        <v>0</v>
      </c>
      <c r="CS257" s="59">
        <f>IFERROR(SUM(TBA_Matches_All[[#This Row],[TtrapT]]/TBA_Matches_All[[#This Row],[Trap]]),0)</f>
        <v>0</v>
      </c>
      <c r="CT257" s="59">
        <f>IFERROR(SUM(TBA_Matches_All[[#This Row],[TotNotesT]]/TBA_Matches_All[[#This Row],[TotNotes]]),0)</f>
        <v>0</v>
      </c>
      <c r="CU257" s="66">
        <f>SUM((TBA_Matches_All[[#This Row],[AampT]]*2)+(TBA_Matches_All[[#This Row],[AspkrT]]*5)+(TBA_Matches_All[[#This Row],[AtrapT]]*5)+(TBA_Matches_All[[#This Row],[TampT]]*1)+(TBA_Matches_All[[#This Row],[TspkrptsC]]))</f>
        <v>0</v>
      </c>
      <c r="CV257" s="59">
        <f>IFERROR(TBA_Matches_All[[#This Row],[noteptsT]]/TBA_Matches_All[[#This Row],[NotePts]],0)</f>
        <v>0</v>
      </c>
      <c r="CW257">
        <f>SUM(IF(TBA_Matches_All[[#This Row],[stageStat]]="On",3,0),IF(TBA_Matches_All[[#This Row],[stageStat]]="Park",1,0),SUMIFS(TBA_Matches_All[[#This Row],[Spotlit]],TBA_Matches_All[[#This Row],[stageStat]],"On"),SUMIFS(TBA_Matches_All[[#This Row],[Harmony]],TBA_Matches_All[[#This Row],[stageStat]],"On"))</f>
        <v>4</v>
      </c>
      <c r="CX257" s="59">
        <f>IFERROR(TBA_Matches_All[[#This Row],[stageptsT]]/TBA_Matches_All[[#This Row],[StagePts]],0)</f>
        <v>0.44444444444444442</v>
      </c>
      <c r="CY257">
        <f>SUM((TBA_Matches_All[[#This Row],[AptsT]]+TBA_Matches_All[[#This Row],[TampT]]+TBA_Matches_All[[#This Row],[TspkrptsC]]+(TBA_Matches_All[[#This Row],[TtrapT]]*5)+TBA_Matches_All[[#This Row],[stageptsT]]))</f>
        <v>6</v>
      </c>
      <c r="CZ257" s="59">
        <f>IFERROR(SUM(TBA_Matches_All[[#This Row],[TotptsC]]/TBA_Matches_All[[#This Row],[Score]]),0)</f>
        <v>9.5238095238095233E-2</v>
      </c>
      <c r="DA25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11.11</v>
      </c>
      <c r="DB257" s="74">
        <f>SUMIFS(TBA_Matches_All[AveTeamTNoteDels],TBA_Matches_All[Match_Number],TBA_Matches_All[[#This Row],[Match_Number]],TBA_Matches_All[Alliance],"&lt;&gt;"&amp;TBA_Matches_All[[#This Row],[Alliance]],TBA_Matches_All[Scouted],"&gt;0")</f>
        <v>16.639340659340661</v>
      </c>
      <c r="DC257" s="74">
        <f>(TBA_Matches_All[[#This Row],[TampT]]+TBA_Matches_All[[#This Row],[TspkrptsC]])-TBA_Matches_All[[#This Row],[AveTeamTNoteDels]]</f>
        <v>-11.11</v>
      </c>
      <c r="DD257" s="74">
        <f>SUMIFS(TBA_Matches_All[AveTeamTNoteDels],TBA_Matches_All[Match_Number],TBA_Matches_All[[#This Row],[Match_Number]],TBA_Matches_All[Alliance],"&lt;&gt;"&amp;TBA_Matches_All[[#This Row],[Alliance]])-TBA_Matches_All[[#This Row],[AveOppTNoteDels]]</f>
        <v>0</v>
      </c>
    </row>
    <row r="258" spans="1:108" x14ac:dyDescent="0.3">
      <c r="A258" t="s">
        <v>1042</v>
      </c>
      <c r="B258" t="s">
        <v>489</v>
      </c>
      <c r="C258" t="s">
        <v>1352</v>
      </c>
      <c r="D258">
        <v>43</v>
      </c>
      <c r="E258" t="s">
        <v>1406</v>
      </c>
      <c r="F258" t="s">
        <v>1424</v>
      </c>
      <c r="G258" t="s">
        <v>1409</v>
      </c>
      <c r="H258" t="s">
        <v>363</v>
      </c>
      <c r="I258" t="b">
        <v>0</v>
      </c>
      <c r="J258">
        <v>53</v>
      </c>
      <c r="K258">
        <v>0</v>
      </c>
      <c r="L258">
        <v>1</v>
      </c>
      <c r="M258">
        <v>5</v>
      </c>
      <c r="N258">
        <v>0</v>
      </c>
      <c r="O258">
        <v>2</v>
      </c>
      <c r="P258">
        <v>10</v>
      </c>
      <c r="Q258">
        <v>14</v>
      </c>
      <c r="R258">
        <v>0</v>
      </c>
      <c r="S258">
        <v>0</v>
      </c>
      <c r="T258">
        <v>12</v>
      </c>
      <c r="U258">
        <v>0</v>
      </c>
      <c r="V258">
        <v>24</v>
      </c>
      <c r="W258">
        <v>12</v>
      </c>
      <c r="X258">
        <v>24</v>
      </c>
      <c r="Y258">
        <v>24</v>
      </c>
      <c r="Z258">
        <v>0</v>
      </c>
      <c r="AA258">
        <v>0</v>
      </c>
      <c r="AB258">
        <v>14</v>
      </c>
      <c r="AC258">
        <v>34</v>
      </c>
      <c r="AD258">
        <v>3</v>
      </c>
      <c r="AE258">
        <f>IFERROR(6/(COUNTIF(Dyno_EndMatch[Match],TBA_Matches_All[[#This Row],[Match_Number]])),0)</f>
        <v>1</v>
      </c>
      <c r="AF258">
        <f>COUNTIFS(Dyno_Data[Team],TBA_Matches_All[[#This Row],[Team]],Dyno_Data[Match],TBA_Matches_All[[#This Row],[Match_Number]],Dyno_Data[RecordType],"EndMatch",Dyno_Data[HPAmp],"Y")</f>
        <v>1</v>
      </c>
      <c r="AG258">
        <f>SUMIFS(Dyno_Data[Mics], Dyno_Data[Team],TBA_Matches_All[[#This Row],[Team]],Dyno_Data[Match],TBA_Matches_All[[#This Row],[Match_Number]],Dyno_Data[RecordType],"EndMatch",Dyno_Data[HPAmp],"Y")</f>
        <v>0</v>
      </c>
      <c r="AH258">
        <f>SUMIFS(Dyno_Data[Leave], Dyno_Data[Team],TBA_Matches_All[[#This Row],[Team]],Dyno_Data[Match],TBA_Matches_All[[#This Row],[Match_Number]],Dyno_Data[RecordType],"EndAuto")</f>
        <v>1</v>
      </c>
      <c r="AI258">
        <f>COUNTIFS(Dyno_Data[Team],TBA_Matches_All[[#This Row],[Team]],Dyno_Data[Match],TBA_Matches_All[[#This Row],[Match_Number]],Dyno_Data[RecordType],"Activities",Dyno_Data[DelDest],"Amp", Dyno_Data[DelMiss],"0", Dyno_Data[Mode],"Auto")</f>
        <v>0</v>
      </c>
      <c r="AJ258">
        <f>COUNTIFS(Dyno_Data[Team],TBA_Matches_All[[#This Row],[Team]],Dyno_Data[Match],TBA_Matches_All[[#This Row],[Match_Number]],Dyno_Data[RecordType],"Activities",Dyno_Data[DelDest],"Spkr", Dyno_Data[DelMiss],"0", Dyno_Data[Mode],"Auto")</f>
        <v>2</v>
      </c>
      <c r="AK258">
        <f>COUNTIFS(Dyno_Data[Team],TBA_Matches_All[[#This Row],[Team]],Dyno_Data[Match],TBA_Matches_All[[#This Row],[Match_Number]],Dyno_Data[RecordType],"Activities",Dyno_Data[DelDest],"Trap", Dyno_Data[DelMiss],"0", Dyno_Data[Mode],"Auto")</f>
        <v>0</v>
      </c>
      <c r="AL258">
        <f>COUNTIFS(Dyno_Data[Team],TBA_Matches_All[[#This Row],[Team]],Dyno_Data[Match],TBA_Matches_All[[#This Row],[Match_Number]],Dyno_Data[RecordType],"Activities",Dyno_Data[DelDest],"Amp", Dyno_Data[DelMiss],"0", Dyno_Data[Mode],"Teleop")</f>
        <v>0</v>
      </c>
      <c r="AM258">
        <f>COUNTIFS(Dyno_Data[Team],TBA_Matches_All[[#This Row],[Team]],Dyno_Data[Match],TBA_Matches_All[[#This Row],[Match_Number]],Dyno_Data[RecordType],"Activities",Dyno_Data[DelDest],"Spkr", Dyno_Data[DelMiss],"0", Dyno_Data[Mode],"Teleop")</f>
        <v>12</v>
      </c>
      <c r="AN258">
        <f>COUNTIFS(Dyno_Data[Team],TBA_Matches_All[[#This Row],[Team]],Dyno_Data[Match],TBA_Matches_All[[#This Row],[Match_Number]],Dyno_Data[RecordType],"Activities",Dyno_Data[DelDest],"Trap", Dyno_Data[DelMiss],"0", Dyno_Data[Mode],"&lt;&gt;Auto")</f>
        <v>0</v>
      </c>
      <c r="AO258">
        <f>SUM(TBA_Matches_All[[#This Row],[AampT]]+TBA_Matches_All[[#This Row],[AspkrT]]+TBA_Matches_All[[#This Row],[AtrapT]]+TBA_Matches_All[[#This Row],[TampT]]+TBA_Matches_All[[#This Row],[TspkrT]]+TBA_Matches_All[[#This Row],[TtrapT]])</f>
        <v>14</v>
      </c>
      <c r="AP258">
        <f>COUNTIFS(Dyno_Data[Team],TBA_Matches_All[[#This Row],[Team]],Dyno_Data[Match],TBA_Matches_All[[#This Row],[Match_Number]],Dyno_Data[RecordType],"Activities",Dyno_Data[DelDest],"Neut", Dyno_Data[DelMiss],"0")</f>
        <v>0</v>
      </c>
      <c r="AQ258">
        <f>COUNTIFS(Dyno_Data[Team],TBA_Matches_All[[#This Row],[Team]],Dyno_Data[Match],TBA_Matches_All[[#This Row],[Match_Number]],Dyno_Data[RecordType],"Activities",Dyno_Data[DelDest],"AllyW", Dyno_Data[DelMiss],"0")</f>
        <v>0</v>
      </c>
      <c r="AR258" t="str">
        <f>_xlfn.XLOOKUP(SUM(MID(TBA_Matches_All[[#This Row],[Team]],4,5),(TBA_Matches_All[[#This Row],[Match_Number]]/100)),Dyno_EndMatch[teammat],Dyno_EndMatch[RobotSta],"_",0,1)</f>
        <v>SubW</v>
      </c>
      <c r="AS258">
        <f>SUMIFS(Dyno_Data[AcqDis], Dyno_Data[Team],TBA_Matches_All[[#This Row],[Team]],Dyno_Data[Match],TBA_Matches_All[[#This Row],[Match_Number]],Dyno_Data[RecordType],"Activities", Dyno_Data[AcqCenter],1,Dyno_Data[Mode],"Auto")</f>
        <v>0</v>
      </c>
      <c r="AT258">
        <f>SUMIFS(Dyno_Data[AcqDis], Dyno_Data[Team],TBA_Matches_All[[#This Row],[Team]],Dyno_Data[Match],TBA_Matches_All[[#This Row],[Match_Number]],Dyno_Data[RecordType],"Activities", Dyno_Data[AcqCenter],2,Dyno_Data[Mode],"Auto")</f>
        <v>0</v>
      </c>
      <c r="AU258">
        <f>SUMIFS(Dyno_Data[AcqDis], Dyno_Data[Team],TBA_Matches_All[[#This Row],[Team]],Dyno_Data[Match],TBA_Matches_All[[#This Row],[Match_Number]],Dyno_Data[RecordType],"Activities", Dyno_Data[AcqCenter],3,Dyno_Data[Mode],"Auto")</f>
        <v>0</v>
      </c>
      <c r="AV258">
        <f>SUMIFS(Dyno_Data[AcqDis], Dyno_Data[Team],TBA_Matches_All[[#This Row],[Team]],Dyno_Data[Match],TBA_Matches_All[[#This Row],[Match_Number]],Dyno_Data[RecordType],"Activities", Dyno_Data[AcqCenter],4,Dyno_Data[Mode],"Auto")</f>
        <v>0</v>
      </c>
      <c r="AW258">
        <f>SUMIFS(Dyno_Data[AcqDis], Dyno_Data[Team],TBA_Matches_All[[#This Row],[Team]],Dyno_Data[Match],TBA_Matches_All[[#This Row],[Match_Number]],Dyno_Data[RecordType],"Activities", Dyno_Data[AcqCenter],5,Dyno_Data[Mode],"Auto")</f>
        <v>0</v>
      </c>
      <c r="AX258">
        <f>SUMIFS(Dyno_Data[DelMiss], Dyno_Data[Team],TBA_Matches_All[[#This Row],[Team]],Dyno_Data[Match],TBA_Matches_All[[#This Row],[Match_Number]],Dyno_Data[RecordType],"Activities", Dyno_Data[DelDest],"Amp")</f>
        <v>0</v>
      </c>
      <c r="AY258" s="60">
        <f>IFERROR(SUM((TBA_Matches_All[[#This Row],[AampT]]+TBA_Matches_All[[#This Row],[TampT]])/(TBA_Matches_All[[#This Row],[AampT]]+TBA_Matches_All[[#This Row],[TampT]]+TBA_Matches_All[[#This Row],[ampM]])),0)</f>
        <v>0</v>
      </c>
      <c r="AZ258">
        <f>SUMIFS(Dyno_Data[DelMiss], Dyno_Data[Team],TBA_Matches_All[[#This Row],[Team]],Dyno_Data[Match],TBA_Matches_All[[#This Row],[Match_Number]],Dyno_Data[RecordType],"Activities", Dyno_Data[DelDest],"Spkr")</f>
        <v>2</v>
      </c>
      <c r="BA258" s="60">
        <f>IFERROR(SUM((TBA_Matches_All[[#This Row],[AspkrT]]+TBA_Matches_All[[#This Row],[TspkrT]])/(TBA_Matches_All[[#This Row],[AspkrT]]+TBA_Matches_All[[#This Row],[TspkrT]]+TBA_Matches_All[[#This Row],[spkrM]])),0)</f>
        <v>0.875</v>
      </c>
      <c r="BB258">
        <f>SUMIFS(Dyno_Data[DelMiss], Dyno_Data[Team],TBA_Matches_All[[#This Row],[Team]],Dyno_Data[Match],TBA_Matches_All[[#This Row],[Match_Number]],Dyno_Data[RecordType],"Activities", Dyno_Data[DelDest],"Trap")</f>
        <v>0</v>
      </c>
      <c r="BC258" s="60">
        <f>IFERROR((TBA_Matches_All[[#This Row],[AtrapT]]+TBA_Matches_All[[#This Row],[TtrapT]])/(TBA_Matches_All[[#This Row],[AtrapT]]+TBA_Matches_All[[#This Row],[TtrapT]]+TBA_Matches_All[[#This Row],[trapM]]),0)</f>
        <v>0</v>
      </c>
      <c r="BD258">
        <f>COUNTIFS(Dyno_Data[Team],TBA_Matches_All[[#This Row],[Team]],Dyno_Data[Match],TBA_Matches_All[[#This Row],[Match_Number]],Dyno_Data[RecordType],"Activities",Dyno_Data[DelDest],"Neut", Dyno_Data[DelMiss],1)</f>
        <v>0</v>
      </c>
      <c r="BE258" s="60">
        <f>IFERROR(SUM((TBA_Matches_All[[#This Row],[NeutFlrT]])/(TBA_Matches_All[[#This Row],[NeutFlrT]]+TBA_Matches_All[[#This Row],[NZflM]])),0)</f>
        <v>0</v>
      </c>
      <c r="BF258">
        <f>COUNTIFS(Dyno_Data[Team],TBA_Matches_All[[#This Row],[Team]],Dyno_Data[Match],TBA_Matches_All[[#This Row],[Match_Number]],Dyno_Data[RecordType],"Activities",Dyno_Data[DelDest],"AllyW", Dyno_Data[DelMiss],1)</f>
        <v>0</v>
      </c>
      <c r="BG258" s="60">
        <f>IFERROR(SUM((TBA_Matches_All[[#This Row],[AllyWFlrT]])/(TBA_Matches_All[[#This Row],[AllyWFlrT]]+TBA_Matches_All[[#This Row],[AZflM]])),0)</f>
        <v>0</v>
      </c>
      <c r="BH258">
        <f>COUNTIFS(Dyno_Data[Team],TBA_Matches_All[[#This Row],[Team]],Dyno_Data[Match],TBA_Matches_All[[#This Row],[Match_Number]],Dyno_Data[RecordType],"Activities",Dyno_Data[DelOrig],"OppW", Dyno_Data[DelMiss],"0")</f>
        <v>0</v>
      </c>
      <c r="BI258">
        <f>COUNTIFS(Dyno_Data[Team],TBA_Matches_All[[#This Row],[Team]],Dyno_Data[Match],TBA_Matches_All[[#This Row],[Match_Number]],Dyno_Data[RecordType],"Activities",Dyno_Data[DelOrig],"OppW", Dyno_Data[DelMiss],"1")</f>
        <v>0</v>
      </c>
      <c r="BJ258" s="60">
        <f>IFERROR(SUM((TBA_Matches_All[[#This Row],[OZflrT]])/(TBA_Matches_All[[#This Row],[OZflrT]]+TBA_Matches_All[[#This Row],[OZflrM]])),0)</f>
        <v>0</v>
      </c>
      <c r="BK258">
        <f>COUNTIFS(Dyno_Data[Team],TBA_Matches_All[[#This Row],[Team]],Dyno_Data[Match],TBA_Matches_All[[#This Row],[Match_Number]],Dyno_Data[RecordType],"Activities",Dyno_Data[DelOrig],"Neut", Dyno_Data[DelMiss],"0")</f>
        <v>0</v>
      </c>
      <c r="BL258">
        <f>COUNTIFS(Dyno_Data[Team],TBA_Matches_All[[#This Row],[Team]],Dyno_Data[Match],TBA_Matches_All[[#This Row],[Match_Number]],Dyno_Data[RecordType],"Activities",Dyno_Data[DelOrig],"Neut", Dyno_Data[DelMiss],"1")</f>
        <v>0</v>
      </c>
      <c r="BM258" s="60">
        <f>IFERROR(SUM((TBA_Matches_All[[#This Row],[NZflrT]])/(TBA_Matches_All[[#This Row],[NZflrT]]+TBA_Matches_All[[#This Row],[NZflrM]])),0)</f>
        <v>0</v>
      </c>
      <c r="BN258">
        <f>COUNTIFS(Dyno_Data[Team],TBA_Matches_All[[#This Row],[Team]],Dyno_Data[Match],TBA_Matches_All[[#This Row],[Match_Number]],Dyno_Data[RecordType],"Activities",Dyno_Data[DelOrig],"AllyW", Dyno_Data[DelMiss],"0")</f>
        <v>0</v>
      </c>
      <c r="BO258">
        <f>COUNTIFS(Dyno_Data[Team],TBA_Matches_All[[#This Row],[Team]],Dyno_Data[Match],TBA_Matches_All[[#This Row],[Match_Number]],Dyno_Data[RecordType],"Activities",Dyno_Data[DelOrig],"AllyW", Dyno_Data[DelMiss],"1")</f>
        <v>0</v>
      </c>
      <c r="BP258" s="60">
        <f>IFERROR(SUM((TBA_Matches_All[[#This Row],[AZflrT]])/(TBA_Matches_All[[#This Row],[AZflrT]]+TBA_Matches_All[[#This Row],[AZflrM]])),0)</f>
        <v>0</v>
      </c>
      <c r="BQ258">
        <f>COUNTIFS(Dyno_Data[Team],TBA_Matches_All[[#This Row],[Team]],Dyno_Data[Match],TBA_Matches_All[[#This Row],[Match_Number]],Dyno_Data[RecordType],"Activities",Dyno_Data[DelOrig],"SubW", Dyno_Data[DelMiss],"0")</f>
        <v>14</v>
      </c>
      <c r="BR258">
        <f>COUNTIFS(Dyno_Data[Team],TBA_Matches_All[[#This Row],[Team]],Dyno_Data[Match],TBA_Matches_All[[#This Row],[Match_Number]],Dyno_Data[RecordType],"Activities",Dyno_Data[DelOrig],"SubW", Dyno_Data[DelMiss],"1")</f>
        <v>2</v>
      </c>
      <c r="BS258" s="60">
        <f>IFERROR(SUM((TBA_Matches_All[[#This Row],[SubwT]])/(TBA_Matches_All[[#This Row],[SubwT]]+TBA_Matches_All[[#This Row],[SubwM]])),0)</f>
        <v>0.875</v>
      </c>
      <c r="BT258">
        <f>COUNTIFS(Dyno_Data[Team],TBA_Matches_All[[#This Row],[Team]],Dyno_Data[Match],TBA_Matches_All[[#This Row],[Match_Number]],Dyno_Data[RecordType],"Activities", Dyno_Data[AcqLoc],"OppWing")</f>
        <v>0</v>
      </c>
      <c r="BU258">
        <f>COUNTIFS(Dyno_Data[Team],TBA_Matches_All[[#This Row],[Team]],Dyno_Data[Match],TBA_Matches_All[[#This Row],[Match_Number]],Dyno_Data[RecordType],"Activities", Dyno_Data[AcqLoc],"Neutral")</f>
        <v>0</v>
      </c>
      <c r="BV258">
        <f>COUNTIFS(Dyno_Data[Team],TBA_Matches_All[[#This Row],[Team]],Dyno_Data[Match],TBA_Matches_All[[#This Row],[Match_Number]],Dyno_Data[RecordType],"Activities", Dyno_Data[AcqLoc],"AllyWing")</f>
        <v>0</v>
      </c>
      <c r="BW258">
        <f>COUNTIFS(Dyno_Data[Team],TBA_Matches_All[[#This Row],[Team]],Dyno_Data[Match],TBA_Matches_All[[#This Row],[Match_Number]],Dyno_Data[RecordType],"Activities", Dyno_Data[AcqLoc],"Source")</f>
        <v>0</v>
      </c>
      <c r="BX258">
        <f>SUMIFS(Dyno_Data[AcqDrp], Dyno_Data[Team],TBA_Matches_All[[#This Row],[Team]],Dyno_Data[Match],TBA_Matches_All[[#This Row],[Match_Number]],Dyno_Data[RecordType],"Activities", Dyno_Data[AcqLoc],"Source")</f>
        <v>0</v>
      </c>
      <c r="BY258">
        <f>SUMIFS(Dyno_Data[OZTime], Dyno_Data[Team],TBA_Matches_All[[#This Row],[Team]],Dyno_Data[Match],TBA_Matches_All[[#This Row],[Match_Number]],Dyno_Data[RecordType],"EndMatch")</f>
        <v>40.416118399999995</v>
      </c>
      <c r="BZ258">
        <f>SUMIFS(Dyno_Data[NZTime], Dyno_Data[Team],TBA_Matches_All[[#This Row],[Team]],Dyno_Data[Match],TBA_Matches_All[[#This Row],[Match_Number]],Dyno_Data[RecordType],"EndMatch")</f>
        <v>37.210791</v>
      </c>
      <c r="CA258">
        <f>SUMIFS(Dyno_Data[AZTime], Dyno_Data[Team],TBA_Matches_All[[#This Row],[Team]],Dyno_Data[Match],TBA_Matches_All[[#This Row],[Match_Number]],Dyno_Data[RecordType],"EndMatch")</f>
        <v>55.8114542</v>
      </c>
      <c r="CB258">
        <f>SUMIFS(Dyno_Data[ClimbT], Dyno_Data[Team],TBA_Matches_All[[#This Row],[Team]],Dyno_Data[Match],TBA_Matches_All[[#This Row],[Match_Number]],Dyno_Data[RecordType],"EndMatch")</f>
        <v>1.7473841999999999</v>
      </c>
      <c r="CC258" t="str">
        <f>_xlfn.XLOOKUP(SUM(MID(TBA_Matches_All[[#This Row],[Team]],4,5),(TBA_Matches_All[[#This Row],[Match_Number]]/100)),Dyno_EndMatch[teammat],Dyno_EndMatch[StageStat],"_",0,1)</f>
        <v>Park</v>
      </c>
      <c r="CD258" t="str">
        <f>_xlfn.XLOOKUP(TBA_Matches_All[[#This Row],[teammat]],Dyno_EndMatch[teammat],Dyno_EndMatch[StageAtt],"_",0,1)</f>
        <v>-1</v>
      </c>
      <c r="CE258" t="str">
        <f>_xlfn.XLOOKUP(TBA_Matches_All[[#This Row],[teammat]],Dyno_EndMatch[teammat],Dyno_EndMatch[StageLoc],"_",0,1)</f>
        <v>A</v>
      </c>
      <c r="CF258">
        <f>SUMIFS(Dyno_Data[Harmony], Dyno_Data[Team],TBA_Matches_All[[#This Row],[Team]],Dyno_Data[Match],TBA_Matches_All[[#This Row],[Match_Number]],Dyno_Data[RecordType],"EndMatch", Dyno_Data[StageStat],"On",Dyno_Data[Harmony],"&lt;&gt;9")</f>
        <v>0</v>
      </c>
      <c r="CG258">
        <f>SUMIFS(Dyno_Data[Spotlit], Dyno_Data[Team],TBA_Matches_All[[#This Row],[Team]],Dyno_Data[Match],TBA_Matches_All[[#This Row],[Match_Number]],Dyno_Data[RecordType],"EndMatch", Dyno_Data[StageStat],"On",Dyno_Data[Spotlit],"&lt;&gt;9")</f>
        <v>0</v>
      </c>
      <c r="CH258" t="str">
        <f>_xlfn.XLOOKUP(TBA_Matches_All[[#This Row],[teammat]],Dyno_EndMatch[teammat],Dyno_EndMatch[Strategy],"_",0,1)</f>
        <v>Hybrid</v>
      </c>
      <c r="CI258">
        <f>SUMIFS(Dyno_Data[Defense], Dyno_Data[Team],TBA_Matches_All[[#This Row],[Team]],Dyno_Data[Match],TBA_Matches_All[[#This Row],[Match_Number]],Dyno_Data[RecordType],"EndMatch",Dyno_Data[Defense],"&lt;&gt;9")</f>
        <v>0</v>
      </c>
      <c r="CJ258">
        <f>SUMIFS(Dyno_Data[Avoidance], Dyno_Data[Team],TBA_Matches_All[[#This Row],[Team]],Dyno_Data[Match],TBA_Matches_All[[#This Row],[Match_Number]],Dyno_Data[RecordType],"EndMatch",Dyno_Data[Avoidance],"&lt;&gt;9")</f>
        <v>0</v>
      </c>
      <c r="CK258" s="82">
        <f>COUNTIF($H$2:TBA_Matches_All[[#This Row],[Team]],TBA_Matches_All[[#This Row],[Team]])</f>
        <v>6</v>
      </c>
      <c r="CL258" s="111">
        <f>SUM(MID(TBA_Matches_All[[#This Row],[Team]],4,5)+TBA_Matches_All[[#This Row],[Match_Number]]/100)</f>
        <v>2601.4299999999998</v>
      </c>
      <c r="CM258">
        <f>SUM((TBA_Matches_All[[#This Row],[Leave]]*2)+(TBA_Matches_All[[#This Row],[AampT]]*2)+(TBA_Matches_All[[#This Row],[AspkrT]]*5)+(TBA_Matches_All[[#This Row],[AtrapT]]*5))</f>
        <v>12</v>
      </c>
      <c r="CN258" s="59">
        <f>IFERROR(SUM(TBA_Matches_All[[#This Row],[AptsT]]/TBA_Matches_All[[#This Row],[AutoPts]]),0)</f>
        <v>0.8571428571428571</v>
      </c>
      <c r="CO258" s="59">
        <f>IFERROR(SUM(TBA_Matches_All[[#This Row],[AampT]]+TBA_Matches_All[[#This Row],[AspkrT]]+TBA_Matches_All[[#This Row],[AtrapT]]/TBA_Matches_All[[#This Row],[Aamp]]+TBA_Matches_All[[#This Row],[Aspkr]]+TBA_Matches_All[[#This Row],[AtrapT]]),0)</f>
        <v>0</v>
      </c>
      <c r="CP258" s="59">
        <f>IFERROR(SUM(TBA_Matches_All[[#This Row],[TampT]]/TBA_Matches_All[[#This Row],[Tamp]]),0)</f>
        <v>0</v>
      </c>
      <c r="CQ258" s="59">
        <f>IFERROR(SUM(TBA_Matches_All[[#This Row],[TspkrT]]/TBA_Matches_All[[#This Row],[Tspkr]]),0)</f>
        <v>1</v>
      </c>
      <c r="CR258">
        <f>SUM(TBA_Matches_All[[#This Row],[TspkrPts]]*TBA_Matches_All[[#This Row],[TspkrP]])</f>
        <v>24</v>
      </c>
      <c r="CS258" s="59">
        <f>IFERROR(SUM(TBA_Matches_All[[#This Row],[TtrapT]]/TBA_Matches_All[[#This Row],[Trap]]),0)</f>
        <v>0</v>
      </c>
      <c r="CT258" s="59">
        <f>IFERROR(SUM(TBA_Matches_All[[#This Row],[TotNotesT]]/TBA_Matches_All[[#This Row],[TotNotes]]),0)</f>
        <v>1</v>
      </c>
      <c r="CU258" s="66">
        <f>SUM((TBA_Matches_All[[#This Row],[AampT]]*2)+(TBA_Matches_All[[#This Row],[AspkrT]]*5)+(TBA_Matches_All[[#This Row],[AtrapT]]*5)+(TBA_Matches_All[[#This Row],[TampT]]*1)+(TBA_Matches_All[[#This Row],[TspkrptsC]]))</f>
        <v>34</v>
      </c>
      <c r="CV258" s="59">
        <f>IFERROR(TBA_Matches_All[[#This Row],[noteptsT]]/TBA_Matches_All[[#This Row],[NotePts]],0)</f>
        <v>1</v>
      </c>
      <c r="CW258">
        <f>SUM(IF(TBA_Matches_All[[#This Row],[stageStat]]="On",3,0),IF(TBA_Matches_All[[#This Row],[stageStat]]="Park",1,0),SUMIFS(TBA_Matches_All[[#This Row],[Spotlit]],TBA_Matches_All[[#This Row],[stageStat]],"On"),SUMIFS(TBA_Matches_All[[#This Row],[Harmony]],TBA_Matches_All[[#This Row],[stageStat]],"On"))</f>
        <v>1</v>
      </c>
      <c r="CX258" s="59">
        <f>IFERROR(TBA_Matches_All[[#This Row],[stageptsT]]/TBA_Matches_All[[#This Row],[StagePts]],0)</f>
        <v>0.33333333333333331</v>
      </c>
      <c r="CY258">
        <f>SUM((TBA_Matches_All[[#This Row],[AptsT]]+TBA_Matches_All[[#This Row],[TampT]]+TBA_Matches_All[[#This Row],[TspkrptsC]]+(TBA_Matches_All[[#This Row],[TtrapT]]*5)+TBA_Matches_All[[#This Row],[stageptsT]]))</f>
        <v>37</v>
      </c>
      <c r="CZ258" s="59">
        <f>IFERROR(SUM(TBA_Matches_All[[#This Row],[TotptsC]]/TBA_Matches_All[[#This Row],[Score]]),0)</f>
        <v>0.69811320754716977</v>
      </c>
      <c r="DA25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15.239340659340661</v>
      </c>
      <c r="DB258" s="74">
        <f>SUMIFS(TBA_Matches_All[AveTeamTNoteDels],TBA_Matches_All[Match_Number],TBA_Matches_All[[#This Row],[Match_Number]],TBA_Matches_All[Alliance],"&lt;&gt;"&amp;TBA_Matches_All[[#This Row],[Alliance]],TBA_Matches_All[Scouted],"&gt;0")</f>
        <v>42.784034299034303</v>
      </c>
      <c r="DC258" s="74">
        <f>(TBA_Matches_All[[#This Row],[TampT]]+TBA_Matches_All[[#This Row],[TspkrptsC]])-TBA_Matches_All[[#This Row],[AveTeamTNoteDels]]</f>
        <v>8.7606593406593394</v>
      </c>
      <c r="DD258" s="74">
        <f>SUMIFS(TBA_Matches_All[AveTeamTNoteDels],TBA_Matches_All[Match_Number],TBA_Matches_All[[#This Row],[Match_Number]],TBA_Matches_All[Alliance],"&lt;&gt;"&amp;TBA_Matches_All[[#This Row],[Alliance]])-TBA_Matches_All[[#This Row],[AveOppTNoteDels]]</f>
        <v>0</v>
      </c>
    </row>
    <row r="259" spans="1:108" x14ac:dyDescent="0.3">
      <c r="A259" t="s">
        <v>1042</v>
      </c>
      <c r="B259" t="s">
        <v>489</v>
      </c>
      <c r="C259" t="s">
        <v>1352</v>
      </c>
      <c r="D259">
        <v>43</v>
      </c>
      <c r="E259" t="s">
        <v>1420</v>
      </c>
      <c r="F259" t="s">
        <v>1425</v>
      </c>
      <c r="G259" t="s">
        <v>105</v>
      </c>
      <c r="H259" t="s">
        <v>1308</v>
      </c>
      <c r="I259" t="b">
        <v>1</v>
      </c>
      <c r="J259">
        <v>63</v>
      </c>
      <c r="K259">
        <v>1</v>
      </c>
      <c r="L259">
        <v>0</v>
      </c>
      <c r="M259">
        <v>12</v>
      </c>
      <c r="N259">
        <v>0</v>
      </c>
      <c r="O259">
        <v>2</v>
      </c>
      <c r="P259">
        <v>10</v>
      </c>
      <c r="Q259">
        <v>14</v>
      </c>
      <c r="R259">
        <v>1</v>
      </c>
      <c r="S259">
        <v>0</v>
      </c>
      <c r="T259">
        <v>17</v>
      </c>
      <c r="U259">
        <v>0</v>
      </c>
      <c r="V259">
        <v>34</v>
      </c>
      <c r="W259">
        <v>17</v>
      </c>
      <c r="X259">
        <v>34</v>
      </c>
      <c r="Y259">
        <v>35</v>
      </c>
      <c r="Z259">
        <v>0</v>
      </c>
      <c r="AA259">
        <v>0</v>
      </c>
      <c r="AB259">
        <v>20</v>
      </c>
      <c r="AC259">
        <v>45</v>
      </c>
      <c r="AD259">
        <v>9</v>
      </c>
      <c r="AE259">
        <f>IFERROR(6/(COUNTIF(Dyno_EndMatch[Match],TBA_Matches_All[[#This Row],[Match_Number]])),0)</f>
        <v>1</v>
      </c>
      <c r="AF259">
        <f>COUNTIFS(Dyno_Data[Team],TBA_Matches_All[[#This Row],[Team]],Dyno_Data[Match],TBA_Matches_All[[#This Row],[Match_Number]],Dyno_Data[RecordType],"EndMatch",Dyno_Data[HPAmp],"Y")</f>
        <v>1</v>
      </c>
      <c r="AG259">
        <f>SUMIFS(Dyno_Data[Mics], Dyno_Data[Team],TBA_Matches_All[[#This Row],[Team]],Dyno_Data[Match],TBA_Matches_All[[#This Row],[Match_Number]],Dyno_Data[RecordType],"EndMatch",Dyno_Data[HPAmp],"Y")</f>
        <v>0</v>
      </c>
      <c r="AH259">
        <f>SUMIFS(Dyno_Data[Leave], Dyno_Data[Team],TBA_Matches_All[[#This Row],[Team]],Dyno_Data[Match],TBA_Matches_All[[#This Row],[Match_Number]],Dyno_Data[RecordType],"EndAuto")</f>
        <v>1</v>
      </c>
      <c r="AI259">
        <f>COUNTIFS(Dyno_Data[Team],TBA_Matches_All[[#This Row],[Team]],Dyno_Data[Match],TBA_Matches_All[[#This Row],[Match_Number]],Dyno_Data[RecordType],"Activities",Dyno_Data[DelDest],"Amp", Dyno_Data[DelMiss],"0", Dyno_Data[Mode],"Auto")</f>
        <v>0</v>
      </c>
      <c r="AJ259">
        <f>COUNTIFS(Dyno_Data[Team],TBA_Matches_All[[#This Row],[Team]],Dyno_Data[Match],TBA_Matches_All[[#This Row],[Match_Number]],Dyno_Data[RecordType],"Activities",Dyno_Data[DelDest],"Spkr", Dyno_Data[DelMiss],"0", Dyno_Data[Mode],"Auto")</f>
        <v>2</v>
      </c>
      <c r="AK259">
        <f>COUNTIFS(Dyno_Data[Team],TBA_Matches_All[[#This Row],[Team]],Dyno_Data[Match],TBA_Matches_All[[#This Row],[Match_Number]],Dyno_Data[RecordType],"Activities",Dyno_Data[DelDest],"Trap", Dyno_Data[DelMiss],"0", Dyno_Data[Mode],"Auto")</f>
        <v>0</v>
      </c>
      <c r="AL259">
        <f>COUNTIFS(Dyno_Data[Team],TBA_Matches_All[[#This Row],[Team]],Dyno_Data[Match],TBA_Matches_All[[#This Row],[Match_Number]],Dyno_Data[RecordType],"Activities",Dyno_Data[DelDest],"Amp", Dyno_Data[DelMiss],"0", Dyno_Data[Mode],"Teleop")</f>
        <v>1</v>
      </c>
      <c r="AM259">
        <f>COUNTIFS(Dyno_Data[Team],TBA_Matches_All[[#This Row],[Team]],Dyno_Data[Match],TBA_Matches_All[[#This Row],[Match_Number]],Dyno_Data[RecordType],"Activities",Dyno_Data[DelDest],"Spkr", Dyno_Data[DelMiss],"0", Dyno_Data[Mode],"Teleop")</f>
        <v>8</v>
      </c>
      <c r="AN259">
        <f>COUNTIFS(Dyno_Data[Team],TBA_Matches_All[[#This Row],[Team]],Dyno_Data[Match],TBA_Matches_All[[#This Row],[Match_Number]],Dyno_Data[RecordType],"Activities",Dyno_Data[DelDest],"Trap", Dyno_Data[DelMiss],"0", Dyno_Data[Mode],"&lt;&gt;Auto")</f>
        <v>0</v>
      </c>
      <c r="AO259">
        <f>SUM(TBA_Matches_All[[#This Row],[AampT]]+TBA_Matches_All[[#This Row],[AspkrT]]+TBA_Matches_All[[#This Row],[AtrapT]]+TBA_Matches_All[[#This Row],[TampT]]+TBA_Matches_All[[#This Row],[TspkrT]]+TBA_Matches_All[[#This Row],[TtrapT]])</f>
        <v>11</v>
      </c>
      <c r="AP259">
        <f>COUNTIFS(Dyno_Data[Team],TBA_Matches_All[[#This Row],[Team]],Dyno_Data[Match],TBA_Matches_All[[#This Row],[Match_Number]],Dyno_Data[RecordType],"Activities",Dyno_Data[DelDest],"Neut", Dyno_Data[DelMiss],"0")</f>
        <v>0</v>
      </c>
      <c r="AQ259">
        <f>COUNTIFS(Dyno_Data[Team],TBA_Matches_All[[#This Row],[Team]],Dyno_Data[Match],TBA_Matches_All[[#This Row],[Match_Number]],Dyno_Data[RecordType],"Activities",Dyno_Data[DelDest],"AllyW", Dyno_Data[DelMiss],"0")</f>
        <v>0</v>
      </c>
      <c r="AR259" t="str">
        <f>_xlfn.XLOOKUP(SUM(MID(TBA_Matches_All[[#This Row],[Team]],4,5),(TBA_Matches_All[[#This Row],[Match_Number]]/100)),Dyno_EndMatch[teammat],Dyno_EndMatch[RobotSta],"_",0,1)</f>
        <v>Podm</v>
      </c>
      <c r="AS259">
        <f>SUMIFS(Dyno_Data[AcqDis], Dyno_Data[Team],TBA_Matches_All[[#This Row],[Team]],Dyno_Data[Match],TBA_Matches_All[[#This Row],[Match_Number]],Dyno_Data[RecordType],"Activities", Dyno_Data[AcqCenter],1,Dyno_Data[Mode],"Auto")</f>
        <v>0</v>
      </c>
      <c r="AT259">
        <f>SUMIFS(Dyno_Data[AcqDis], Dyno_Data[Team],TBA_Matches_All[[#This Row],[Team]],Dyno_Data[Match],TBA_Matches_All[[#This Row],[Match_Number]],Dyno_Data[RecordType],"Activities", Dyno_Data[AcqCenter],2,Dyno_Data[Mode],"Auto")</f>
        <v>0</v>
      </c>
      <c r="AU259">
        <f>SUMIFS(Dyno_Data[AcqDis], Dyno_Data[Team],TBA_Matches_All[[#This Row],[Team]],Dyno_Data[Match],TBA_Matches_All[[#This Row],[Match_Number]],Dyno_Data[RecordType],"Activities", Dyno_Data[AcqCenter],3,Dyno_Data[Mode],"Auto")</f>
        <v>0</v>
      </c>
      <c r="AV259">
        <f>SUMIFS(Dyno_Data[AcqDis], Dyno_Data[Team],TBA_Matches_All[[#This Row],[Team]],Dyno_Data[Match],TBA_Matches_All[[#This Row],[Match_Number]],Dyno_Data[RecordType],"Activities", Dyno_Data[AcqCenter],4,Dyno_Data[Mode],"Auto")</f>
        <v>0</v>
      </c>
      <c r="AW259">
        <f>SUMIFS(Dyno_Data[AcqDis], Dyno_Data[Team],TBA_Matches_All[[#This Row],[Team]],Dyno_Data[Match],TBA_Matches_All[[#This Row],[Match_Number]],Dyno_Data[RecordType],"Activities", Dyno_Data[AcqCenter],5,Dyno_Data[Mode],"Auto")</f>
        <v>0</v>
      </c>
      <c r="AX259">
        <f>SUMIFS(Dyno_Data[DelMiss], Dyno_Data[Team],TBA_Matches_All[[#This Row],[Team]],Dyno_Data[Match],TBA_Matches_All[[#This Row],[Match_Number]],Dyno_Data[RecordType],"Activities", Dyno_Data[DelDest],"Amp")</f>
        <v>0</v>
      </c>
      <c r="AY259" s="60">
        <f>IFERROR(SUM((TBA_Matches_All[[#This Row],[AampT]]+TBA_Matches_All[[#This Row],[TampT]])/(TBA_Matches_All[[#This Row],[AampT]]+TBA_Matches_All[[#This Row],[TampT]]+TBA_Matches_All[[#This Row],[ampM]])),0)</f>
        <v>1</v>
      </c>
      <c r="AZ259">
        <f>SUMIFS(Dyno_Data[DelMiss], Dyno_Data[Team],TBA_Matches_All[[#This Row],[Team]],Dyno_Data[Match],TBA_Matches_All[[#This Row],[Match_Number]],Dyno_Data[RecordType],"Activities", Dyno_Data[DelDest],"Spkr")</f>
        <v>0</v>
      </c>
      <c r="BA259" s="60">
        <f>IFERROR(SUM((TBA_Matches_All[[#This Row],[AspkrT]]+TBA_Matches_All[[#This Row],[TspkrT]])/(TBA_Matches_All[[#This Row],[AspkrT]]+TBA_Matches_All[[#This Row],[TspkrT]]+TBA_Matches_All[[#This Row],[spkrM]])),0)</f>
        <v>1</v>
      </c>
      <c r="BB259">
        <f>SUMIFS(Dyno_Data[DelMiss], Dyno_Data[Team],TBA_Matches_All[[#This Row],[Team]],Dyno_Data[Match],TBA_Matches_All[[#This Row],[Match_Number]],Dyno_Data[RecordType],"Activities", Dyno_Data[DelDest],"Trap")</f>
        <v>0</v>
      </c>
      <c r="BC259" s="60">
        <f>IFERROR((TBA_Matches_All[[#This Row],[AtrapT]]+TBA_Matches_All[[#This Row],[TtrapT]])/(TBA_Matches_All[[#This Row],[AtrapT]]+TBA_Matches_All[[#This Row],[TtrapT]]+TBA_Matches_All[[#This Row],[trapM]]),0)</f>
        <v>0</v>
      </c>
      <c r="BD259">
        <f>COUNTIFS(Dyno_Data[Team],TBA_Matches_All[[#This Row],[Team]],Dyno_Data[Match],TBA_Matches_All[[#This Row],[Match_Number]],Dyno_Data[RecordType],"Activities",Dyno_Data[DelDest],"Neut", Dyno_Data[DelMiss],1)</f>
        <v>0</v>
      </c>
      <c r="BE259" s="60">
        <f>IFERROR(SUM((TBA_Matches_All[[#This Row],[NeutFlrT]])/(TBA_Matches_All[[#This Row],[NeutFlrT]]+TBA_Matches_All[[#This Row],[NZflM]])),0)</f>
        <v>0</v>
      </c>
      <c r="BF259">
        <f>COUNTIFS(Dyno_Data[Team],TBA_Matches_All[[#This Row],[Team]],Dyno_Data[Match],TBA_Matches_All[[#This Row],[Match_Number]],Dyno_Data[RecordType],"Activities",Dyno_Data[DelDest],"AllyW", Dyno_Data[DelMiss],1)</f>
        <v>0</v>
      </c>
      <c r="BG259" s="60">
        <f>IFERROR(SUM((TBA_Matches_All[[#This Row],[AllyWFlrT]])/(TBA_Matches_All[[#This Row],[AllyWFlrT]]+TBA_Matches_All[[#This Row],[AZflM]])),0)</f>
        <v>0</v>
      </c>
      <c r="BH259">
        <f>COUNTIFS(Dyno_Data[Team],TBA_Matches_All[[#This Row],[Team]],Dyno_Data[Match],TBA_Matches_All[[#This Row],[Match_Number]],Dyno_Data[RecordType],"Activities",Dyno_Data[DelOrig],"OppW", Dyno_Data[DelMiss],"0")</f>
        <v>0</v>
      </c>
      <c r="BI259">
        <f>COUNTIFS(Dyno_Data[Team],TBA_Matches_All[[#This Row],[Team]],Dyno_Data[Match],TBA_Matches_All[[#This Row],[Match_Number]],Dyno_Data[RecordType],"Activities",Dyno_Data[DelOrig],"OppW", Dyno_Data[DelMiss],"1")</f>
        <v>0</v>
      </c>
      <c r="BJ259" s="60">
        <f>IFERROR(SUM((TBA_Matches_All[[#This Row],[OZflrT]])/(TBA_Matches_All[[#This Row],[OZflrT]]+TBA_Matches_All[[#This Row],[OZflrM]])),0)</f>
        <v>0</v>
      </c>
      <c r="BK259">
        <f>COUNTIFS(Dyno_Data[Team],TBA_Matches_All[[#This Row],[Team]],Dyno_Data[Match],TBA_Matches_All[[#This Row],[Match_Number]],Dyno_Data[RecordType],"Activities",Dyno_Data[DelOrig],"Neut", Dyno_Data[DelMiss],"0")</f>
        <v>0</v>
      </c>
      <c r="BL259">
        <f>COUNTIFS(Dyno_Data[Team],TBA_Matches_All[[#This Row],[Team]],Dyno_Data[Match],TBA_Matches_All[[#This Row],[Match_Number]],Dyno_Data[RecordType],"Activities",Dyno_Data[DelOrig],"Neut", Dyno_Data[DelMiss],"1")</f>
        <v>0</v>
      </c>
      <c r="BM259" s="60">
        <f>IFERROR(SUM((TBA_Matches_All[[#This Row],[NZflrT]])/(TBA_Matches_All[[#This Row],[NZflrT]]+TBA_Matches_All[[#This Row],[NZflrM]])),0)</f>
        <v>0</v>
      </c>
      <c r="BN259">
        <f>COUNTIFS(Dyno_Data[Team],TBA_Matches_All[[#This Row],[Team]],Dyno_Data[Match],TBA_Matches_All[[#This Row],[Match_Number]],Dyno_Data[RecordType],"Activities",Dyno_Data[DelOrig],"AllyW", Dyno_Data[DelMiss],"0")</f>
        <v>6</v>
      </c>
      <c r="BO259">
        <f>COUNTIFS(Dyno_Data[Team],TBA_Matches_All[[#This Row],[Team]],Dyno_Data[Match],TBA_Matches_All[[#This Row],[Match_Number]],Dyno_Data[RecordType],"Activities",Dyno_Data[DelOrig],"AllyW", Dyno_Data[DelMiss],"1")</f>
        <v>0</v>
      </c>
      <c r="BP259" s="60">
        <f>IFERROR(SUM((TBA_Matches_All[[#This Row],[AZflrT]])/(TBA_Matches_All[[#This Row],[AZflrT]]+TBA_Matches_All[[#This Row],[AZflrM]])),0)</f>
        <v>1</v>
      </c>
      <c r="BQ259">
        <f>COUNTIFS(Dyno_Data[Team],TBA_Matches_All[[#This Row],[Team]],Dyno_Data[Match],TBA_Matches_All[[#This Row],[Match_Number]],Dyno_Data[RecordType],"Activities",Dyno_Data[DelOrig],"SubW", Dyno_Data[DelMiss],"0")</f>
        <v>5</v>
      </c>
      <c r="BR259">
        <f>COUNTIFS(Dyno_Data[Team],TBA_Matches_All[[#This Row],[Team]],Dyno_Data[Match],TBA_Matches_All[[#This Row],[Match_Number]],Dyno_Data[RecordType],"Activities",Dyno_Data[DelOrig],"SubW", Dyno_Data[DelMiss],"1")</f>
        <v>0</v>
      </c>
      <c r="BS259" s="60">
        <f>IFERROR(SUM((TBA_Matches_All[[#This Row],[SubwT]])/(TBA_Matches_All[[#This Row],[SubwT]]+TBA_Matches_All[[#This Row],[SubwM]])),0)</f>
        <v>1</v>
      </c>
      <c r="BT259">
        <f>COUNTIFS(Dyno_Data[Team],TBA_Matches_All[[#This Row],[Team]],Dyno_Data[Match],TBA_Matches_All[[#This Row],[Match_Number]],Dyno_Data[RecordType],"Activities", Dyno_Data[AcqLoc],"OppWing")</f>
        <v>0</v>
      </c>
      <c r="BU259">
        <f>COUNTIFS(Dyno_Data[Team],TBA_Matches_All[[#This Row],[Team]],Dyno_Data[Match],TBA_Matches_All[[#This Row],[Match_Number]],Dyno_Data[RecordType],"Activities", Dyno_Data[AcqLoc],"Neutral")</f>
        <v>0</v>
      </c>
      <c r="BV259">
        <f>COUNTIFS(Dyno_Data[Team],TBA_Matches_All[[#This Row],[Team]],Dyno_Data[Match],TBA_Matches_All[[#This Row],[Match_Number]],Dyno_Data[RecordType],"Activities", Dyno_Data[AcqLoc],"AllyWing")</f>
        <v>0</v>
      </c>
      <c r="BW259">
        <f>COUNTIFS(Dyno_Data[Team],TBA_Matches_All[[#This Row],[Team]],Dyno_Data[Match],TBA_Matches_All[[#This Row],[Match_Number]],Dyno_Data[RecordType],"Activities", Dyno_Data[AcqLoc],"Source")</f>
        <v>0</v>
      </c>
      <c r="BX259">
        <f>SUMIFS(Dyno_Data[AcqDrp], Dyno_Data[Team],TBA_Matches_All[[#This Row],[Team]],Dyno_Data[Match],TBA_Matches_All[[#This Row],[Match_Number]],Dyno_Data[RecordType],"Activities", Dyno_Data[AcqLoc],"Source")</f>
        <v>0</v>
      </c>
      <c r="BY259">
        <f>SUMIFS(Dyno_Data[OZTime], Dyno_Data[Team],TBA_Matches_All[[#This Row],[Team]],Dyno_Data[Match],TBA_Matches_All[[#This Row],[Match_Number]],Dyno_Data[RecordType],"EndMatch")</f>
        <v>53.726227199999997</v>
      </c>
      <c r="BZ259">
        <f>SUMIFS(Dyno_Data[NZTime], Dyno_Data[Team],TBA_Matches_All[[#This Row],[Team]],Dyno_Data[Match],TBA_Matches_All[[#This Row],[Match_Number]],Dyno_Data[RecordType],"EndMatch")</f>
        <v>19.061931299999998</v>
      </c>
      <c r="CA259">
        <f>SUMIFS(Dyno_Data[AZTime], Dyno_Data[Team],TBA_Matches_All[[#This Row],[Team]],Dyno_Data[Match],TBA_Matches_All[[#This Row],[Match_Number]],Dyno_Data[RecordType],"EndMatch")</f>
        <v>52.378467399999998</v>
      </c>
      <c r="CB259">
        <f>SUMIFS(Dyno_Data[ClimbT], Dyno_Data[Team],TBA_Matches_All[[#This Row],[Team]],Dyno_Data[Match],TBA_Matches_All[[#This Row],[Match_Number]],Dyno_Data[RecordType],"EndMatch")</f>
        <v>5.3785224999999999</v>
      </c>
      <c r="CC259" t="str">
        <f>_xlfn.XLOOKUP(SUM(MID(TBA_Matches_All[[#This Row],[Team]],4,5),(TBA_Matches_All[[#This Row],[Match_Number]]/100)),Dyno_EndMatch[teammat],Dyno_EndMatch[StageStat],"_",0,1)</f>
        <v>On</v>
      </c>
      <c r="CD259" t="str">
        <f>_xlfn.XLOOKUP(TBA_Matches_All[[#This Row],[teammat]],Dyno_EndMatch[teammat],Dyno_EndMatch[StageAtt],"_",0,1)</f>
        <v>1</v>
      </c>
      <c r="CE259" t="str">
        <f>_xlfn.XLOOKUP(TBA_Matches_All[[#This Row],[teammat]],Dyno_EndMatch[teammat],Dyno_EndMatch[StageLoc],"_",0,1)</f>
        <v>L</v>
      </c>
      <c r="CF259">
        <f>SUMIFS(Dyno_Data[Harmony], Dyno_Data[Team],TBA_Matches_All[[#This Row],[Team]],Dyno_Data[Match],TBA_Matches_All[[#This Row],[Match_Number]],Dyno_Data[RecordType],"EndMatch", Dyno_Data[StageStat],"On",Dyno_Data[Harmony],"&lt;&gt;9")</f>
        <v>1</v>
      </c>
      <c r="CG259">
        <f>SUMIFS(Dyno_Data[Spotlit], Dyno_Data[Team],TBA_Matches_All[[#This Row],[Team]],Dyno_Data[Match],TBA_Matches_All[[#This Row],[Match_Number]],Dyno_Data[RecordType],"EndMatch", Dyno_Data[StageStat],"On",Dyno_Data[Spotlit],"&lt;&gt;9")</f>
        <v>0</v>
      </c>
      <c r="CH259" t="str">
        <f>_xlfn.XLOOKUP(TBA_Matches_All[[#This Row],[teammat]],Dyno_EndMatch[teammat],Dyno_EndMatch[Strategy],"_",0,1)</f>
        <v>Hybrid</v>
      </c>
      <c r="CI259">
        <f>SUMIFS(Dyno_Data[Defense], Dyno_Data[Team],TBA_Matches_All[[#This Row],[Team]],Dyno_Data[Match],TBA_Matches_All[[#This Row],[Match_Number]],Dyno_Data[RecordType],"EndMatch",Dyno_Data[Defense],"&lt;&gt;9")</f>
        <v>0</v>
      </c>
      <c r="CJ259">
        <f>SUMIFS(Dyno_Data[Avoidance], Dyno_Data[Team],TBA_Matches_All[[#This Row],[Team]],Dyno_Data[Match],TBA_Matches_All[[#This Row],[Match_Number]],Dyno_Data[RecordType],"EndMatch",Dyno_Data[Avoidance],"&lt;&gt;9")</f>
        <v>1</v>
      </c>
      <c r="CK259" s="82">
        <f>COUNTIF($H$2:TBA_Matches_All[[#This Row],[Team]],TBA_Matches_All[[#This Row],[Team]])</f>
        <v>5</v>
      </c>
      <c r="CL259" s="111">
        <f>SUM(MID(TBA_Matches_All[[#This Row],[Team]],4,5)+TBA_Matches_All[[#This Row],[Match_Number]]/100)</f>
        <v>3799.43</v>
      </c>
      <c r="CM259">
        <f>SUM((TBA_Matches_All[[#This Row],[Leave]]*2)+(TBA_Matches_All[[#This Row],[AampT]]*2)+(TBA_Matches_All[[#This Row],[AspkrT]]*5)+(TBA_Matches_All[[#This Row],[AtrapT]]*5))</f>
        <v>12</v>
      </c>
      <c r="CN259" s="59">
        <f>IFERROR(SUM(TBA_Matches_All[[#This Row],[AptsT]]/TBA_Matches_All[[#This Row],[AutoPts]]),0)</f>
        <v>0.8571428571428571</v>
      </c>
      <c r="CO259" s="59">
        <f>IFERROR(SUM(TBA_Matches_All[[#This Row],[AampT]]+TBA_Matches_All[[#This Row],[AspkrT]]+TBA_Matches_All[[#This Row],[AtrapT]]/TBA_Matches_All[[#This Row],[Aamp]]+TBA_Matches_All[[#This Row],[Aspkr]]+TBA_Matches_All[[#This Row],[AtrapT]]),0)</f>
        <v>0</v>
      </c>
      <c r="CP259" s="59">
        <f>IFERROR(SUM(TBA_Matches_All[[#This Row],[TampT]]/TBA_Matches_All[[#This Row],[Tamp]]),0)</f>
        <v>1</v>
      </c>
      <c r="CQ259" s="59">
        <f>IFERROR(SUM(TBA_Matches_All[[#This Row],[TspkrT]]/TBA_Matches_All[[#This Row],[Tspkr]]),0)</f>
        <v>0.47058823529411764</v>
      </c>
      <c r="CR259">
        <f>SUM(TBA_Matches_All[[#This Row],[TspkrPts]]*TBA_Matches_All[[#This Row],[TspkrP]])</f>
        <v>16</v>
      </c>
      <c r="CS259" s="59">
        <f>IFERROR(SUM(TBA_Matches_All[[#This Row],[TtrapT]]/TBA_Matches_All[[#This Row],[Trap]]),0)</f>
        <v>0</v>
      </c>
      <c r="CT259" s="59">
        <f>IFERROR(SUM(TBA_Matches_All[[#This Row],[TotNotesT]]/TBA_Matches_All[[#This Row],[TotNotes]]),0)</f>
        <v>0.55000000000000004</v>
      </c>
      <c r="CU259" s="66">
        <f>SUM((TBA_Matches_All[[#This Row],[AampT]]*2)+(TBA_Matches_All[[#This Row],[AspkrT]]*5)+(TBA_Matches_All[[#This Row],[AtrapT]]*5)+(TBA_Matches_All[[#This Row],[TampT]]*1)+(TBA_Matches_All[[#This Row],[TspkrptsC]]))</f>
        <v>27</v>
      </c>
      <c r="CV259" s="59">
        <f>IFERROR(TBA_Matches_All[[#This Row],[noteptsT]]/TBA_Matches_All[[#This Row],[NotePts]],0)</f>
        <v>0.6</v>
      </c>
      <c r="CW259">
        <f>SUM(IF(TBA_Matches_All[[#This Row],[stageStat]]="On",3,0),IF(TBA_Matches_All[[#This Row],[stageStat]]="Park",1,0),SUMIFS(TBA_Matches_All[[#This Row],[Spotlit]],TBA_Matches_All[[#This Row],[stageStat]],"On"),SUMIFS(TBA_Matches_All[[#This Row],[Harmony]],TBA_Matches_All[[#This Row],[stageStat]],"On"))</f>
        <v>4</v>
      </c>
      <c r="CX259" s="59">
        <f>IFERROR(TBA_Matches_All[[#This Row],[stageptsT]]/TBA_Matches_All[[#This Row],[StagePts]],0)</f>
        <v>0.44444444444444442</v>
      </c>
      <c r="CY259">
        <f>SUM((TBA_Matches_All[[#This Row],[AptsT]]+TBA_Matches_All[[#This Row],[TampT]]+TBA_Matches_All[[#This Row],[TspkrptsC]]+(TBA_Matches_All[[#This Row],[TtrapT]]*5)+TBA_Matches_All[[#This Row],[stageptsT]]))</f>
        <v>33</v>
      </c>
      <c r="CZ259" s="59">
        <f>IFERROR(SUM(TBA_Matches_All[[#This Row],[TotptsC]]/TBA_Matches_All[[#This Row],[Score]]),0)</f>
        <v>0.52380952380952384</v>
      </c>
      <c r="DA25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21.48951048951049</v>
      </c>
      <c r="DB259" s="74">
        <f>SUMIFS(TBA_Matches_All[AveTeamTNoteDels],TBA_Matches_All[Match_Number],TBA_Matches_All[[#This Row],[Match_Number]],TBA_Matches_All[Alliance],"&lt;&gt;"&amp;TBA_Matches_All[[#This Row],[Alliance]],TBA_Matches_All[Scouted],"&gt;0")</f>
        <v>16.639340659340661</v>
      </c>
      <c r="DC259" s="74">
        <f>(TBA_Matches_All[[#This Row],[TampT]]+TBA_Matches_All[[#This Row],[TspkrptsC]])-TBA_Matches_All[[#This Row],[AveTeamTNoteDels]]</f>
        <v>-4.48951048951049</v>
      </c>
      <c r="DD259" s="74">
        <f>SUMIFS(TBA_Matches_All[AveTeamTNoteDels],TBA_Matches_All[Match_Number],TBA_Matches_All[[#This Row],[Match_Number]],TBA_Matches_All[Alliance],"&lt;&gt;"&amp;TBA_Matches_All[[#This Row],[Alliance]])-TBA_Matches_All[[#This Row],[AveOppTNoteDels]]</f>
        <v>0</v>
      </c>
    </row>
    <row r="260" spans="1:108" x14ac:dyDescent="0.3">
      <c r="A260" t="s">
        <v>1042</v>
      </c>
      <c r="B260" t="s">
        <v>489</v>
      </c>
      <c r="C260" t="s">
        <v>1352</v>
      </c>
      <c r="D260">
        <v>43</v>
      </c>
      <c r="E260" t="s">
        <v>1406</v>
      </c>
      <c r="F260" t="s">
        <v>1426</v>
      </c>
      <c r="G260" t="s">
        <v>164</v>
      </c>
      <c r="H260" t="s">
        <v>1289</v>
      </c>
      <c r="I260" t="b">
        <v>0</v>
      </c>
      <c r="J260">
        <v>53</v>
      </c>
      <c r="K260">
        <v>0</v>
      </c>
      <c r="L260">
        <v>1</v>
      </c>
      <c r="M260">
        <v>5</v>
      </c>
      <c r="N260">
        <v>0</v>
      </c>
      <c r="O260">
        <v>2</v>
      </c>
      <c r="P260">
        <v>10</v>
      </c>
      <c r="Q260">
        <v>14</v>
      </c>
      <c r="R260">
        <v>0</v>
      </c>
      <c r="S260">
        <v>0</v>
      </c>
      <c r="T260">
        <v>12</v>
      </c>
      <c r="U260">
        <v>0</v>
      </c>
      <c r="V260">
        <v>24</v>
      </c>
      <c r="W260">
        <v>12</v>
      </c>
      <c r="X260">
        <v>24</v>
      </c>
      <c r="Y260">
        <v>24</v>
      </c>
      <c r="Z260">
        <v>0</v>
      </c>
      <c r="AA260">
        <v>0</v>
      </c>
      <c r="AB260">
        <v>14</v>
      </c>
      <c r="AC260">
        <v>34</v>
      </c>
      <c r="AD260">
        <v>3</v>
      </c>
      <c r="AE260">
        <f>IFERROR(6/(COUNTIF(Dyno_EndMatch[Match],TBA_Matches_All[[#This Row],[Match_Number]])),0)</f>
        <v>1</v>
      </c>
      <c r="AF260">
        <f>COUNTIFS(Dyno_Data[Team],TBA_Matches_All[[#This Row],[Team]],Dyno_Data[Match],TBA_Matches_All[[#This Row],[Match_Number]],Dyno_Data[RecordType],"EndMatch",Dyno_Data[HPAmp],"Y")</f>
        <v>0</v>
      </c>
      <c r="AG260">
        <f>SUMIFS(Dyno_Data[Mics], Dyno_Data[Team],TBA_Matches_All[[#This Row],[Team]],Dyno_Data[Match],TBA_Matches_All[[#This Row],[Match_Number]],Dyno_Data[RecordType],"EndMatch",Dyno_Data[HPAmp],"Y")</f>
        <v>0</v>
      </c>
      <c r="AH260">
        <f>SUMIFS(Dyno_Data[Leave], Dyno_Data[Team],TBA_Matches_All[[#This Row],[Team]],Dyno_Data[Match],TBA_Matches_All[[#This Row],[Match_Number]],Dyno_Data[RecordType],"EndAuto")</f>
        <v>1</v>
      </c>
      <c r="AI260">
        <f>COUNTIFS(Dyno_Data[Team],TBA_Matches_All[[#This Row],[Team]],Dyno_Data[Match],TBA_Matches_All[[#This Row],[Match_Number]],Dyno_Data[RecordType],"Activities",Dyno_Data[DelDest],"Amp", Dyno_Data[DelMiss],"0", Dyno_Data[Mode],"Auto")</f>
        <v>0</v>
      </c>
      <c r="AJ260">
        <f>COUNTIFS(Dyno_Data[Team],TBA_Matches_All[[#This Row],[Team]],Dyno_Data[Match],TBA_Matches_All[[#This Row],[Match_Number]],Dyno_Data[RecordType],"Activities",Dyno_Data[DelDest],"Spkr", Dyno_Data[DelMiss],"0", Dyno_Data[Mode],"Auto")</f>
        <v>0</v>
      </c>
      <c r="AK260">
        <f>COUNTIFS(Dyno_Data[Team],TBA_Matches_All[[#This Row],[Team]],Dyno_Data[Match],TBA_Matches_All[[#This Row],[Match_Number]],Dyno_Data[RecordType],"Activities",Dyno_Data[DelDest],"Trap", Dyno_Data[DelMiss],"0", Dyno_Data[Mode],"Auto")</f>
        <v>0</v>
      </c>
      <c r="AL260">
        <f>COUNTIFS(Dyno_Data[Team],TBA_Matches_All[[#This Row],[Team]],Dyno_Data[Match],TBA_Matches_All[[#This Row],[Match_Number]],Dyno_Data[RecordType],"Activities",Dyno_Data[DelDest],"Amp", Dyno_Data[DelMiss],"0", Dyno_Data[Mode],"Teleop")</f>
        <v>0</v>
      </c>
      <c r="AM260">
        <f>COUNTIFS(Dyno_Data[Team],TBA_Matches_All[[#This Row],[Team]],Dyno_Data[Match],TBA_Matches_All[[#This Row],[Match_Number]],Dyno_Data[RecordType],"Activities",Dyno_Data[DelDest],"Spkr", Dyno_Data[DelMiss],"0", Dyno_Data[Mode],"Teleop")</f>
        <v>0</v>
      </c>
      <c r="AN260">
        <f>COUNTIFS(Dyno_Data[Team],TBA_Matches_All[[#This Row],[Team]],Dyno_Data[Match],TBA_Matches_All[[#This Row],[Match_Number]],Dyno_Data[RecordType],"Activities",Dyno_Data[DelDest],"Trap", Dyno_Data[DelMiss],"0", Dyno_Data[Mode],"&lt;&gt;Auto")</f>
        <v>0</v>
      </c>
      <c r="AO260">
        <f>SUM(TBA_Matches_All[[#This Row],[AampT]]+TBA_Matches_All[[#This Row],[AspkrT]]+TBA_Matches_All[[#This Row],[AtrapT]]+TBA_Matches_All[[#This Row],[TampT]]+TBA_Matches_All[[#This Row],[TspkrT]]+TBA_Matches_All[[#This Row],[TtrapT]])</f>
        <v>0</v>
      </c>
      <c r="AP260">
        <f>COUNTIFS(Dyno_Data[Team],TBA_Matches_All[[#This Row],[Team]],Dyno_Data[Match],TBA_Matches_All[[#This Row],[Match_Number]],Dyno_Data[RecordType],"Activities",Dyno_Data[DelDest],"Neut", Dyno_Data[DelMiss],"0")</f>
        <v>0</v>
      </c>
      <c r="AQ260">
        <f>COUNTIFS(Dyno_Data[Team],TBA_Matches_All[[#This Row],[Team]],Dyno_Data[Match],TBA_Matches_All[[#This Row],[Match_Number]],Dyno_Data[RecordType],"Activities",Dyno_Data[DelDest],"AllyW", Dyno_Data[DelMiss],"0")</f>
        <v>0</v>
      </c>
      <c r="AR260" t="str">
        <f>_xlfn.XLOOKUP(SUM(MID(TBA_Matches_All[[#This Row],[Team]],4,5),(TBA_Matches_All[[#This Row],[Match_Number]]/100)),Dyno_EndMatch[teammat],Dyno_EndMatch[RobotSta],"_",0,1)</f>
        <v>OppS</v>
      </c>
      <c r="AS260">
        <f>SUMIFS(Dyno_Data[AcqDis], Dyno_Data[Team],TBA_Matches_All[[#This Row],[Team]],Dyno_Data[Match],TBA_Matches_All[[#This Row],[Match_Number]],Dyno_Data[RecordType],"Activities", Dyno_Data[AcqCenter],1,Dyno_Data[Mode],"Auto")</f>
        <v>0</v>
      </c>
      <c r="AT260">
        <f>SUMIFS(Dyno_Data[AcqDis], Dyno_Data[Team],TBA_Matches_All[[#This Row],[Team]],Dyno_Data[Match],TBA_Matches_All[[#This Row],[Match_Number]],Dyno_Data[RecordType],"Activities", Dyno_Data[AcqCenter],2,Dyno_Data[Mode],"Auto")</f>
        <v>0</v>
      </c>
      <c r="AU260">
        <f>SUMIFS(Dyno_Data[AcqDis], Dyno_Data[Team],TBA_Matches_All[[#This Row],[Team]],Dyno_Data[Match],TBA_Matches_All[[#This Row],[Match_Number]],Dyno_Data[RecordType],"Activities", Dyno_Data[AcqCenter],3,Dyno_Data[Mode],"Auto")</f>
        <v>0</v>
      </c>
      <c r="AV260">
        <f>SUMIFS(Dyno_Data[AcqDis], Dyno_Data[Team],TBA_Matches_All[[#This Row],[Team]],Dyno_Data[Match],TBA_Matches_All[[#This Row],[Match_Number]],Dyno_Data[RecordType],"Activities", Dyno_Data[AcqCenter],4,Dyno_Data[Mode],"Auto")</f>
        <v>0</v>
      </c>
      <c r="AW260">
        <f>SUMIFS(Dyno_Data[AcqDis], Dyno_Data[Team],TBA_Matches_All[[#This Row],[Team]],Dyno_Data[Match],TBA_Matches_All[[#This Row],[Match_Number]],Dyno_Data[RecordType],"Activities", Dyno_Data[AcqCenter],5,Dyno_Data[Mode],"Auto")</f>
        <v>0</v>
      </c>
      <c r="AX260">
        <f>SUMIFS(Dyno_Data[DelMiss], Dyno_Data[Team],TBA_Matches_All[[#This Row],[Team]],Dyno_Data[Match],TBA_Matches_All[[#This Row],[Match_Number]],Dyno_Data[RecordType],"Activities", Dyno_Data[DelDest],"Amp")</f>
        <v>0</v>
      </c>
      <c r="AY260" s="60">
        <f>IFERROR(SUM((TBA_Matches_All[[#This Row],[AampT]]+TBA_Matches_All[[#This Row],[TampT]])/(TBA_Matches_All[[#This Row],[AampT]]+TBA_Matches_All[[#This Row],[TampT]]+TBA_Matches_All[[#This Row],[ampM]])),0)</f>
        <v>0</v>
      </c>
      <c r="AZ260">
        <f>SUMIFS(Dyno_Data[DelMiss], Dyno_Data[Team],TBA_Matches_All[[#This Row],[Team]],Dyno_Data[Match],TBA_Matches_All[[#This Row],[Match_Number]],Dyno_Data[RecordType],"Activities", Dyno_Data[DelDest],"Spkr")</f>
        <v>0</v>
      </c>
      <c r="BA260" s="60">
        <f>IFERROR(SUM((TBA_Matches_All[[#This Row],[AspkrT]]+TBA_Matches_All[[#This Row],[TspkrT]])/(TBA_Matches_All[[#This Row],[AspkrT]]+TBA_Matches_All[[#This Row],[TspkrT]]+TBA_Matches_All[[#This Row],[spkrM]])),0)</f>
        <v>0</v>
      </c>
      <c r="BB260">
        <f>SUMIFS(Dyno_Data[DelMiss], Dyno_Data[Team],TBA_Matches_All[[#This Row],[Team]],Dyno_Data[Match],TBA_Matches_All[[#This Row],[Match_Number]],Dyno_Data[RecordType],"Activities", Dyno_Data[DelDest],"Trap")</f>
        <v>0</v>
      </c>
      <c r="BC260" s="60">
        <f>IFERROR((TBA_Matches_All[[#This Row],[AtrapT]]+TBA_Matches_All[[#This Row],[TtrapT]])/(TBA_Matches_All[[#This Row],[AtrapT]]+TBA_Matches_All[[#This Row],[TtrapT]]+TBA_Matches_All[[#This Row],[trapM]]),0)</f>
        <v>0</v>
      </c>
      <c r="BD260">
        <f>COUNTIFS(Dyno_Data[Team],TBA_Matches_All[[#This Row],[Team]],Dyno_Data[Match],TBA_Matches_All[[#This Row],[Match_Number]],Dyno_Data[RecordType],"Activities",Dyno_Data[DelDest],"Neut", Dyno_Data[DelMiss],1)</f>
        <v>0</v>
      </c>
      <c r="BE260" s="60">
        <f>IFERROR(SUM((TBA_Matches_All[[#This Row],[NeutFlrT]])/(TBA_Matches_All[[#This Row],[NeutFlrT]]+TBA_Matches_All[[#This Row],[NZflM]])),0)</f>
        <v>0</v>
      </c>
      <c r="BF260">
        <f>COUNTIFS(Dyno_Data[Team],TBA_Matches_All[[#This Row],[Team]],Dyno_Data[Match],TBA_Matches_All[[#This Row],[Match_Number]],Dyno_Data[RecordType],"Activities",Dyno_Data[DelDest],"AllyW", Dyno_Data[DelMiss],1)</f>
        <v>0</v>
      </c>
      <c r="BG260" s="60">
        <f>IFERROR(SUM((TBA_Matches_All[[#This Row],[AllyWFlrT]])/(TBA_Matches_All[[#This Row],[AllyWFlrT]]+TBA_Matches_All[[#This Row],[AZflM]])),0)</f>
        <v>0</v>
      </c>
      <c r="BH260">
        <f>COUNTIFS(Dyno_Data[Team],TBA_Matches_All[[#This Row],[Team]],Dyno_Data[Match],TBA_Matches_All[[#This Row],[Match_Number]],Dyno_Data[RecordType],"Activities",Dyno_Data[DelOrig],"OppW", Dyno_Data[DelMiss],"0")</f>
        <v>0</v>
      </c>
      <c r="BI260">
        <f>COUNTIFS(Dyno_Data[Team],TBA_Matches_All[[#This Row],[Team]],Dyno_Data[Match],TBA_Matches_All[[#This Row],[Match_Number]],Dyno_Data[RecordType],"Activities",Dyno_Data[DelOrig],"OppW", Dyno_Data[DelMiss],"1")</f>
        <v>0</v>
      </c>
      <c r="BJ260" s="60">
        <f>IFERROR(SUM((TBA_Matches_All[[#This Row],[OZflrT]])/(TBA_Matches_All[[#This Row],[OZflrT]]+TBA_Matches_All[[#This Row],[OZflrM]])),0)</f>
        <v>0</v>
      </c>
      <c r="BK260">
        <f>COUNTIFS(Dyno_Data[Team],TBA_Matches_All[[#This Row],[Team]],Dyno_Data[Match],TBA_Matches_All[[#This Row],[Match_Number]],Dyno_Data[RecordType],"Activities",Dyno_Data[DelOrig],"Neut", Dyno_Data[DelMiss],"0")</f>
        <v>0</v>
      </c>
      <c r="BL260">
        <f>COUNTIFS(Dyno_Data[Team],TBA_Matches_All[[#This Row],[Team]],Dyno_Data[Match],TBA_Matches_All[[#This Row],[Match_Number]],Dyno_Data[RecordType],"Activities",Dyno_Data[DelOrig],"Neut", Dyno_Data[DelMiss],"1")</f>
        <v>0</v>
      </c>
      <c r="BM260" s="60">
        <f>IFERROR(SUM((TBA_Matches_All[[#This Row],[NZflrT]])/(TBA_Matches_All[[#This Row],[NZflrT]]+TBA_Matches_All[[#This Row],[NZflrM]])),0)</f>
        <v>0</v>
      </c>
      <c r="BN260">
        <f>COUNTIFS(Dyno_Data[Team],TBA_Matches_All[[#This Row],[Team]],Dyno_Data[Match],TBA_Matches_All[[#This Row],[Match_Number]],Dyno_Data[RecordType],"Activities",Dyno_Data[DelOrig],"AllyW", Dyno_Data[DelMiss],"0")</f>
        <v>0</v>
      </c>
      <c r="BO260">
        <f>COUNTIFS(Dyno_Data[Team],TBA_Matches_All[[#This Row],[Team]],Dyno_Data[Match],TBA_Matches_All[[#This Row],[Match_Number]],Dyno_Data[RecordType],"Activities",Dyno_Data[DelOrig],"AllyW", Dyno_Data[DelMiss],"1")</f>
        <v>0</v>
      </c>
      <c r="BP260" s="60">
        <f>IFERROR(SUM((TBA_Matches_All[[#This Row],[AZflrT]])/(TBA_Matches_All[[#This Row],[AZflrT]]+TBA_Matches_All[[#This Row],[AZflrM]])),0)</f>
        <v>0</v>
      </c>
      <c r="BQ260">
        <f>COUNTIFS(Dyno_Data[Team],TBA_Matches_All[[#This Row],[Team]],Dyno_Data[Match],TBA_Matches_All[[#This Row],[Match_Number]],Dyno_Data[RecordType],"Activities",Dyno_Data[DelOrig],"SubW", Dyno_Data[DelMiss],"0")</f>
        <v>0</v>
      </c>
      <c r="BR260">
        <f>COUNTIFS(Dyno_Data[Team],TBA_Matches_All[[#This Row],[Team]],Dyno_Data[Match],TBA_Matches_All[[#This Row],[Match_Number]],Dyno_Data[RecordType],"Activities",Dyno_Data[DelOrig],"SubW", Dyno_Data[DelMiss],"1")</f>
        <v>0</v>
      </c>
      <c r="BS260" s="60">
        <f>IFERROR(SUM((TBA_Matches_All[[#This Row],[SubwT]])/(TBA_Matches_All[[#This Row],[SubwT]]+TBA_Matches_All[[#This Row],[SubwM]])),0)</f>
        <v>0</v>
      </c>
      <c r="BT260">
        <f>COUNTIFS(Dyno_Data[Team],TBA_Matches_All[[#This Row],[Team]],Dyno_Data[Match],TBA_Matches_All[[#This Row],[Match_Number]],Dyno_Data[RecordType],"Activities", Dyno_Data[AcqLoc],"OppWing")</f>
        <v>0</v>
      </c>
      <c r="BU260">
        <f>COUNTIFS(Dyno_Data[Team],TBA_Matches_All[[#This Row],[Team]],Dyno_Data[Match],TBA_Matches_All[[#This Row],[Match_Number]],Dyno_Data[RecordType],"Activities", Dyno_Data[AcqLoc],"Neutral")</f>
        <v>0</v>
      </c>
      <c r="BV260">
        <f>COUNTIFS(Dyno_Data[Team],TBA_Matches_All[[#This Row],[Team]],Dyno_Data[Match],TBA_Matches_All[[#This Row],[Match_Number]],Dyno_Data[RecordType],"Activities", Dyno_Data[AcqLoc],"AllyWing")</f>
        <v>0</v>
      </c>
      <c r="BW260">
        <f>COUNTIFS(Dyno_Data[Team],TBA_Matches_All[[#This Row],[Team]],Dyno_Data[Match],TBA_Matches_All[[#This Row],[Match_Number]],Dyno_Data[RecordType],"Activities", Dyno_Data[AcqLoc],"Source")</f>
        <v>0</v>
      </c>
      <c r="BX260">
        <f>SUMIFS(Dyno_Data[AcqDrp], Dyno_Data[Team],TBA_Matches_All[[#This Row],[Team]],Dyno_Data[Match],TBA_Matches_All[[#This Row],[Match_Number]],Dyno_Data[RecordType],"Activities", Dyno_Data[AcqLoc],"Source")</f>
        <v>0</v>
      </c>
      <c r="BY260">
        <f>SUMIFS(Dyno_Data[OZTime], Dyno_Data[Team],TBA_Matches_All[[#This Row],[Team]],Dyno_Data[Match],TBA_Matches_All[[#This Row],[Match_Number]],Dyno_Data[RecordType],"EndMatch")</f>
        <v>0</v>
      </c>
      <c r="BZ260">
        <f>SUMIFS(Dyno_Data[NZTime], Dyno_Data[Team],TBA_Matches_All[[#This Row],[Team]],Dyno_Data[Match],TBA_Matches_All[[#This Row],[Match_Number]],Dyno_Data[RecordType],"EndMatch")</f>
        <v>0</v>
      </c>
      <c r="CA260">
        <f>SUMIFS(Dyno_Data[AZTime], Dyno_Data[Team],TBA_Matches_All[[#This Row],[Team]],Dyno_Data[Match],TBA_Matches_All[[#This Row],[Match_Number]],Dyno_Data[RecordType],"EndMatch")</f>
        <v>133.63077239999998</v>
      </c>
      <c r="CB260">
        <f>SUMIFS(Dyno_Data[ClimbT], Dyno_Data[Team],TBA_Matches_All[[#This Row],[Team]],Dyno_Data[Match],TBA_Matches_All[[#This Row],[Match_Number]],Dyno_Data[RecordType],"EndMatch")</f>
        <v>0</v>
      </c>
      <c r="CC260" t="str">
        <f>_xlfn.XLOOKUP(SUM(MID(TBA_Matches_All[[#This Row],[Team]],4,5),(TBA_Matches_All[[#This Row],[Match_Number]]/100)),Dyno_EndMatch[teammat],Dyno_EndMatch[StageStat],"_",0,1)</f>
        <v>Park</v>
      </c>
      <c r="CD260" t="str">
        <f>_xlfn.XLOOKUP(TBA_Matches_All[[#This Row],[teammat]],Dyno_EndMatch[teammat],Dyno_EndMatch[StageAtt],"_",0,1)</f>
        <v>0</v>
      </c>
      <c r="CE260" t="str">
        <f>_xlfn.XLOOKUP(TBA_Matches_All[[#This Row],[teammat]],Dyno_EndMatch[teammat],Dyno_EndMatch[StageLoc],"_",0,1)</f>
        <v>A</v>
      </c>
      <c r="CF260">
        <f>SUMIFS(Dyno_Data[Harmony], Dyno_Data[Team],TBA_Matches_All[[#This Row],[Team]],Dyno_Data[Match],TBA_Matches_All[[#This Row],[Match_Number]],Dyno_Data[RecordType],"EndMatch", Dyno_Data[StageStat],"On",Dyno_Data[Harmony],"&lt;&gt;9")</f>
        <v>0</v>
      </c>
      <c r="CG260">
        <f>SUMIFS(Dyno_Data[Spotlit], Dyno_Data[Team],TBA_Matches_All[[#This Row],[Team]],Dyno_Data[Match],TBA_Matches_All[[#This Row],[Match_Number]],Dyno_Data[RecordType],"EndMatch", Dyno_Data[StageStat],"On",Dyno_Data[Spotlit],"&lt;&gt;9")</f>
        <v>0</v>
      </c>
      <c r="CH260" t="str">
        <f>_xlfn.XLOOKUP(TBA_Matches_All[[#This Row],[teammat]],Dyno_EndMatch[teammat],Dyno_EndMatch[Strategy],"_",0,1)</f>
        <v>None</v>
      </c>
      <c r="CI260">
        <f>SUMIFS(Dyno_Data[Defense], Dyno_Data[Team],TBA_Matches_All[[#This Row],[Team]],Dyno_Data[Match],TBA_Matches_All[[#This Row],[Match_Number]],Dyno_Data[RecordType],"EndMatch",Dyno_Data[Defense],"&lt;&gt;9")</f>
        <v>0</v>
      </c>
      <c r="CJ260">
        <f>SUMIFS(Dyno_Data[Avoidance], Dyno_Data[Team],TBA_Matches_All[[#This Row],[Team]],Dyno_Data[Match],TBA_Matches_All[[#This Row],[Match_Number]],Dyno_Data[RecordType],"EndMatch",Dyno_Data[Avoidance],"&lt;&gt;9")</f>
        <v>0</v>
      </c>
      <c r="CK260" s="82">
        <f>COUNTIF($H$2:TBA_Matches_All[[#This Row],[Team]],TBA_Matches_All[[#This Row],[Team]])</f>
        <v>5</v>
      </c>
      <c r="CL260" s="111">
        <f>SUM(MID(TBA_Matches_All[[#This Row],[Team]],4,5)+TBA_Matches_All[[#This Row],[Match_Number]]/100)</f>
        <v>6648.43</v>
      </c>
      <c r="CM260">
        <f>SUM((TBA_Matches_All[[#This Row],[Leave]]*2)+(TBA_Matches_All[[#This Row],[AampT]]*2)+(TBA_Matches_All[[#This Row],[AspkrT]]*5)+(TBA_Matches_All[[#This Row],[AtrapT]]*5))</f>
        <v>2</v>
      </c>
      <c r="CN260" s="59">
        <f>IFERROR(SUM(TBA_Matches_All[[#This Row],[AptsT]]/TBA_Matches_All[[#This Row],[AutoPts]]),0)</f>
        <v>0.14285714285714285</v>
      </c>
      <c r="CO260" s="59">
        <f>IFERROR(SUM(TBA_Matches_All[[#This Row],[AampT]]+TBA_Matches_All[[#This Row],[AspkrT]]+TBA_Matches_All[[#This Row],[AtrapT]]/TBA_Matches_All[[#This Row],[Aamp]]+TBA_Matches_All[[#This Row],[Aspkr]]+TBA_Matches_All[[#This Row],[AtrapT]]),0)</f>
        <v>0</v>
      </c>
      <c r="CP260" s="59">
        <f>IFERROR(SUM(TBA_Matches_All[[#This Row],[TampT]]/TBA_Matches_All[[#This Row],[Tamp]]),0)</f>
        <v>0</v>
      </c>
      <c r="CQ260" s="59">
        <f>IFERROR(SUM(TBA_Matches_All[[#This Row],[TspkrT]]/TBA_Matches_All[[#This Row],[Tspkr]]),0)</f>
        <v>0</v>
      </c>
      <c r="CR260">
        <f>SUM(TBA_Matches_All[[#This Row],[TspkrPts]]*TBA_Matches_All[[#This Row],[TspkrP]])</f>
        <v>0</v>
      </c>
      <c r="CS260" s="59">
        <f>IFERROR(SUM(TBA_Matches_All[[#This Row],[TtrapT]]/TBA_Matches_All[[#This Row],[Trap]]),0)</f>
        <v>0</v>
      </c>
      <c r="CT260" s="59">
        <f>IFERROR(SUM(TBA_Matches_All[[#This Row],[TotNotesT]]/TBA_Matches_All[[#This Row],[TotNotes]]),0)</f>
        <v>0</v>
      </c>
      <c r="CU260" s="66">
        <f>SUM((TBA_Matches_All[[#This Row],[AampT]]*2)+(TBA_Matches_All[[#This Row],[AspkrT]]*5)+(TBA_Matches_All[[#This Row],[AtrapT]]*5)+(TBA_Matches_All[[#This Row],[TampT]]*1)+(TBA_Matches_All[[#This Row],[TspkrptsC]]))</f>
        <v>0</v>
      </c>
      <c r="CV260" s="59">
        <f>IFERROR(TBA_Matches_All[[#This Row],[noteptsT]]/TBA_Matches_All[[#This Row],[NotePts]],0)</f>
        <v>0</v>
      </c>
      <c r="CW260">
        <f>SUM(IF(TBA_Matches_All[[#This Row],[stageStat]]="On",3,0),IF(TBA_Matches_All[[#This Row],[stageStat]]="Park",1,0),SUMIFS(TBA_Matches_All[[#This Row],[Spotlit]],TBA_Matches_All[[#This Row],[stageStat]],"On"),SUMIFS(TBA_Matches_All[[#This Row],[Harmony]],TBA_Matches_All[[#This Row],[stageStat]],"On"))</f>
        <v>1</v>
      </c>
      <c r="CX260" s="59">
        <f>IFERROR(TBA_Matches_All[[#This Row],[stageptsT]]/TBA_Matches_All[[#This Row],[StagePts]],0)</f>
        <v>0.33333333333333331</v>
      </c>
      <c r="CY260">
        <f>SUM((TBA_Matches_All[[#This Row],[AptsT]]+TBA_Matches_All[[#This Row],[TampT]]+TBA_Matches_All[[#This Row],[TspkrptsC]]+(TBA_Matches_All[[#This Row],[TtrapT]]*5)+TBA_Matches_All[[#This Row],[stageptsT]]))</f>
        <v>3</v>
      </c>
      <c r="CZ260" s="59">
        <f>IFERROR(SUM(TBA_Matches_All[[#This Row],[TotptsC]]/TBA_Matches_All[[#This Row],[Score]]),0)</f>
        <v>5.6603773584905662E-2</v>
      </c>
      <c r="DA26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0.4</v>
      </c>
      <c r="DB260" s="74">
        <f>SUMIFS(TBA_Matches_All[AveTeamTNoteDels],TBA_Matches_All[Match_Number],TBA_Matches_All[[#This Row],[Match_Number]],TBA_Matches_All[Alliance],"&lt;&gt;"&amp;TBA_Matches_All[[#This Row],[Alliance]],TBA_Matches_All[Scouted],"&gt;0")</f>
        <v>42.784034299034303</v>
      </c>
      <c r="DC260" s="74">
        <f>(TBA_Matches_All[[#This Row],[TampT]]+TBA_Matches_All[[#This Row],[TspkrptsC]])-TBA_Matches_All[[#This Row],[AveTeamTNoteDels]]</f>
        <v>-0.4</v>
      </c>
      <c r="DD260" s="74">
        <f>SUMIFS(TBA_Matches_All[AveTeamTNoteDels],TBA_Matches_All[Match_Number],TBA_Matches_All[[#This Row],[Match_Number]],TBA_Matches_All[Alliance],"&lt;&gt;"&amp;TBA_Matches_All[[#This Row],[Alliance]])-TBA_Matches_All[[#This Row],[AveOppTNoteDels]]</f>
        <v>0</v>
      </c>
    </row>
    <row r="261" spans="1:108" x14ac:dyDescent="0.3">
      <c r="A261" t="s">
        <v>1042</v>
      </c>
      <c r="B261" t="s">
        <v>489</v>
      </c>
      <c r="C261" t="s">
        <v>1353</v>
      </c>
      <c r="D261">
        <v>44</v>
      </c>
      <c r="E261" t="s">
        <v>1420</v>
      </c>
      <c r="F261" t="s">
        <v>1423</v>
      </c>
      <c r="G261" t="s">
        <v>1409</v>
      </c>
      <c r="H261" t="s">
        <v>1291</v>
      </c>
      <c r="I261" t="b">
        <v>0</v>
      </c>
      <c r="J261">
        <v>56</v>
      </c>
      <c r="K261">
        <v>0</v>
      </c>
      <c r="L261">
        <v>0</v>
      </c>
      <c r="M261">
        <v>8</v>
      </c>
      <c r="N261">
        <v>0</v>
      </c>
      <c r="O261">
        <v>3</v>
      </c>
      <c r="P261">
        <v>15</v>
      </c>
      <c r="Q261">
        <v>19</v>
      </c>
      <c r="R261">
        <v>1</v>
      </c>
      <c r="S261">
        <v>0</v>
      </c>
      <c r="T261">
        <v>11</v>
      </c>
      <c r="U261">
        <v>0</v>
      </c>
      <c r="V261">
        <v>22</v>
      </c>
      <c r="W261">
        <v>11</v>
      </c>
      <c r="X261">
        <v>22</v>
      </c>
      <c r="Y261">
        <v>23</v>
      </c>
      <c r="Z261">
        <v>0</v>
      </c>
      <c r="AA261">
        <v>0</v>
      </c>
      <c r="AB261">
        <v>15</v>
      </c>
      <c r="AC261">
        <v>38</v>
      </c>
      <c r="AD261">
        <v>7</v>
      </c>
      <c r="AE261">
        <f>IFERROR(6/(COUNTIF(Dyno_EndMatch[Match],TBA_Matches_All[[#This Row],[Match_Number]])),0)</f>
        <v>1</v>
      </c>
      <c r="AF261">
        <f>COUNTIFS(Dyno_Data[Team],TBA_Matches_All[[#This Row],[Team]],Dyno_Data[Match],TBA_Matches_All[[#This Row],[Match_Number]],Dyno_Data[RecordType],"EndMatch",Dyno_Data[HPAmp],"Y")</f>
        <v>0</v>
      </c>
      <c r="AG261">
        <f>SUMIFS(Dyno_Data[Mics], Dyno_Data[Team],TBA_Matches_All[[#This Row],[Team]],Dyno_Data[Match],TBA_Matches_All[[#This Row],[Match_Number]],Dyno_Data[RecordType],"EndMatch",Dyno_Data[HPAmp],"Y")</f>
        <v>0</v>
      </c>
      <c r="AH261">
        <f>SUMIFS(Dyno_Data[Leave], Dyno_Data[Team],TBA_Matches_All[[#This Row],[Team]],Dyno_Data[Match],TBA_Matches_All[[#This Row],[Match_Number]],Dyno_Data[RecordType],"EndAuto")</f>
        <v>1</v>
      </c>
      <c r="AI261">
        <f>COUNTIFS(Dyno_Data[Team],TBA_Matches_All[[#This Row],[Team]],Dyno_Data[Match],TBA_Matches_All[[#This Row],[Match_Number]],Dyno_Data[RecordType],"Activities",Dyno_Data[DelDest],"Amp", Dyno_Data[DelMiss],"0", Dyno_Data[Mode],"Auto")</f>
        <v>0</v>
      </c>
      <c r="AJ261">
        <f>COUNTIFS(Dyno_Data[Team],TBA_Matches_All[[#This Row],[Team]],Dyno_Data[Match],TBA_Matches_All[[#This Row],[Match_Number]],Dyno_Data[RecordType],"Activities",Dyno_Data[DelDest],"Spkr", Dyno_Data[DelMiss],"0", Dyno_Data[Mode],"Auto")</f>
        <v>2</v>
      </c>
      <c r="AK261">
        <f>COUNTIFS(Dyno_Data[Team],TBA_Matches_All[[#This Row],[Team]],Dyno_Data[Match],TBA_Matches_All[[#This Row],[Match_Number]],Dyno_Data[RecordType],"Activities",Dyno_Data[DelDest],"Trap", Dyno_Data[DelMiss],"0", Dyno_Data[Mode],"Auto")</f>
        <v>0</v>
      </c>
      <c r="AL261">
        <f>COUNTIFS(Dyno_Data[Team],TBA_Matches_All[[#This Row],[Team]],Dyno_Data[Match],TBA_Matches_All[[#This Row],[Match_Number]],Dyno_Data[RecordType],"Activities",Dyno_Data[DelDest],"Amp", Dyno_Data[DelMiss],"0", Dyno_Data[Mode],"Teleop")</f>
        <v>1</v>
      </c>
      <c r="AM261">
        <f>COUNTIFS(Dyno_Data[Team],TBA_Matches_All[[#This Row],[Team]],Dyno_Data[Match],TBA_Matches_All[[#This Row],[Match_Number]],Dyno_Data[RecordType],"Activities",Dyno_Data[DelDest],"Spkr", Dyno_Data[DelMiss],"0", Dyno_Data[Mode],"Teleop")</f>
        <v>4</v>
      </c>
      <c r="AN261">
        <f>COUNTIFS(Dyno_Data[Team],TBA_Matches_All[[#This Row],[Team]],Dyno_Data[Match],TBA_Matches_All[[#This Row],[Match_Number]],Dyno_Data[RecordType],"Activities",Dyno_Data[DelDest],"Trap", Dyno_Data[DelMiss],"0", Dyno_Data[Mode],"&lt;&gt;Auto")</f>
        <v>0</v>
      </c>
      <c r="AO261">
        <f>SUM(TBA_Matches_All[[#This Row],[AampT]]+TBA_Matches_All[[#This Row],[AspkrT]]+TBA_Matches_All[[#This Row],[AtrapT]]+TBA_Matches_All[[#This Row],[TampT]]+TBA_Matches_All[[#This Row],[TspkrT]]+TBA_Matches_All[[#This Row],[TtrapT]])</f>
        <v>7</v>
      </c>
      <c r="AP261">
        <f>COUNTIFS(Dyno_Data[Team],TBA_Matches_All[[#This Row],[Team]],Dyno_Data[Match],TBA_Matches_All[[#This Row],[Match_Number]],Dyno_Data[RecordType],"Activities",Dyno_Data[DelDest],"Neut", Dyno_Data[DelMiss],"0")</f>
        <v>0</v>
      </c>
      <c r="AQ261">
        <f>COUNTIFS(Dyno_Data[Team],TBA_Matches_All[[#This Row],[Team]],Dyno_Data[Match],TBA_Matches_All[[#This Row],[Match_Number]],Dyno_Data[RecordType],"Activities",Dyno_Data[DelDest],"AllyW", Dyno_Data[DelMiss],"0")</f>
        <v>0</v>
      </c>
      <c r="AR261" t="str">
        <f>_xlfn.XLOOKUP(SUM(MID(TBA_Matches_All[[#This Row],[Team]],4,5),(TBA_Matches_All[[#This Row],[Match_Number]]/100)),Dyno_EndMatch[teammat],Dyno_EndMatch[RobotSta],"_",0,1)</f>
        <v>SubW</v>
      </c>
      <c r="AS261">
        <f>SUMIFS(Dyno_Data[AcqDis], Dyno_Data[Team],TBA_Matches_All[[#This Row],[Team]],Dyno_Data[Match],TBA_Matches_All[[#This Row],[Match_Number]],Dyno_Data[RecordType],"Activities", Dyno_Data[AcqCenter],1,Dyno_Data[Mode],"Auto")</f>
        <v>0</v>
      </c>
      <c r="AT261">
        <f>SUMIFS(Dyno_Data[AcqDis], Dyno_Data[Team],TBA_Matches_All[[#This Row],[Team]],Dyno_Data[Match],TBA_Matches_All[[#This Row],[Match_Number]],Dyno_Data[RecordType],"Activities", Dyno_Data[AcqCenter],2,Dyno_Data[Mode],"Auto")</f>
        <v>0</v>
      </c>
      <c r="AU261">
        <f>SUMIFS(Dyno_Data[AcqDis], Dyno_Data[Team],TBA_Matches_All[[#This Row],[Team]],Dyno_Data[Match],TBA_Matches_All[[#This Row],[Match_Number]],Dyno_Data[RecordType],"Activities", Dyno_Data[AcqCenter],3,Dyno_Data[Mode],"Auto")</f>
        <v>0</v>
      </c>
      <c r="AV261">
        <f>SUMIFS(Dyno_Data[AcqDis], Dyno_Data[Team],TBA_Matches_All[[#This Row],[Team]],Dyno_Data[Match],TBA_Matches_All[[#This Row],[Match_Number]],Dyno_Data[RecordType],"Activities", Dyno_Data[AcqCenter],4,Dyno_Data[Mode],"Auto")</f>
        <v>0</v>
      </c>
      <c r="AW261">
        <f>SUMIFS(Dyno_Data[AcqDis], Dyno_Data[Team],TBA_Matches_All[[#This Row],[Team]],Dyno_Data[Match],TBA_Matches_All[[#This Row],[Match_Number]],Dyno_Data[RecordType],"Activities", Dyno_Data[AcqCenter],5,Dyno_Data[Mode],"Auto")</f>
        <v>0</v>
      </c>
      <c r="AX261">
        <f>SUMIFS(Dyno_Data[DelMiss], Dyno_Data[Team],TBA_Matches_All[[#This Row],[Team]],Dyno_Data[Match],TBA_Matches_All[[#This Row],[Match_Number]],Dyno_Data[RecordType],"Activities", Dyno_Data[DelDest],"Amp")</f>
        <v>0</v>
      </c>
      <c r="AY261" s="60">
        <f>IFERROR(SUM((TBA_Matches_All[[#This Row],[AampT]]+TBA_Matches_All[[#This Row],[TampT]])/(TBA_Matches_All[[#This Row],[AampT]]+TBA_Matches_All[[#This Row],[TampT]]+TBA_Matches_All[[#This Row],[ampM]])),0)</f>
        <v>1</v>
      </c>
      <c r="AZ261">
        <f>SUMIFS(Dyno_Data[DelMiss], Dyno_Data[Team],TBA_Matches_All[[#This Row],[Team]],Dyno_Data[Match],TBA_Matches_All[[#This Row],[Match_Number]],Dyno_Data[RecordType],"Activities", Dyno_Data[DelDest],"Spkr")</f>
        <v>1</v>
      </c>
      <c r="BA261" s="60">
        <f>IFERROR(SUM((TBA_Matches_All[[#This Row],[AspkrT]]+TBA_Matches_All[[#This Row],[TspkrT]])/(TBA_Matches_All[[#This Row],[AspkrT]]+TBA_Matches_All[[#This Row],[TspkrT]]+TBA_Matches_All[[#This Row],[spkrM]])),0)</f>
        <v>0.8571428571428571</v>
      </c>
      <c r="BB261">
        <f>SUMIFS(Dyno_Data[DelMiss], Dyno_Data[Team],TBA_Matches_All[[#This Row],[Team]],Dyno_Data[Match],TBA_Matches_All[[#This Row],[Match_Number]],Dyno_Data[RecordType],"Activities", Dyno_Data[DelDest],"Trap")</f>
        <v>0</v>
      </c>
      <c r="BC261" s="60">
        <f>IFERROR((TBA_Matches_All[[#This Row],[AtrapT]]+TBA_Matches_All[[#This Row],[TtrapT]])/(TBA_Matches_All[[#This Row],[AtrapT]]+TBA_Matches_All[[#This Row],[TtrapT]]+TBA_Matches_All[[#This Row],[trapM]]),0)</f>
        <v>0</v>
      </c>
      <c r="BD261">
        <f>COUNTIFS(Dyno_Data[Team],TBA_Matches_All[[#This Row],[Team]],Dyno_Data[Match],TBA_Matches_All[[#This Row],[Match_Number]],Dyno_Data[RecordType],"Activities",Dyno_Data[DelDest],"Neut", Dyno_Data[DelMiss],1)</f>
        <v>0</v>
      </c>
      <c r="BE261" s="60">
        <f>IFERROR(SUM((TBA_Matches_All[[#This Row],[NeutFlrT]])/(TBA_Matches_All[[#This Row],[NeutFlrT]]+TBA_Matches_All[[#This Row],[NZflM]])),0)</f>
        <v>0</v>
      </c>
      <c r="BF261">
        <f>COUNTIFS(Dyno_Data[Team],TBA_Matches_All[[#This Row],[Team]],Dyno_Data[Match],TBA_Matches_All[[#This Row],[Match_Number]],Dyno_Data[RecordType],"Activities",Dyno_Data[DelDest],"AllyW", Dyno_Data[DelMiss],1)</f>
        <v>0</v>
      </c>
      <c r="BG261" s="60">
        <f>IFERROR(SUM((TBA_Matches_All[[#This Row],[AllyWFlrT]])/(TBA_Matches_All[[#This Row],[AllyWFlrT]]+TBA_Matches_All[[#This Row],[AZflM]])),0)</f>
        <v>0</v>
      </c>
      <c r="BH261">
        <f>COUNTIFS(Dyno_Data[Team],TBA_Matches_All[[#This Row],[Team]],Dyno_Data[Match],TBA_Matches_All[[#This Row],[Match_Number]],Dyno_Data[RecordType],"Activities",Dyno_Data[DelOrig],"OppW", Dyno_Data[DelMiss],"0")</f>
        <v>0</v>
      </c>
      <c r="BI261">
        <f>COUNTIFS(Dyno_Data[Team],TBA_Matches_All[[#This Row],[Team]],Dyno_Data[Match],TBA_Matches_All[[#This Row],[Match_Number]],Dyno_Data[RecordType],"Activities",Dyno_Data[DelOrig],"OppW", Dyno_Data[DelMiss],"1")</f>
        <v>1</v>
      </c>
      <c r="BJ261" s="60">
        <f>IFERROR(SUM((TBA_Matches_All[[#This Row],[OZflrT]])/(TBA_Matches_All[[#This Row],[OZflrT]]+TBA_Matches_All[[#This Row],[OZflrM]])),0)</f>
        <v>0</v>
      </c>
      <c r="BK261">
        <f>COUNTIFS(Dyno_Data[Team],TBA_Matches_All[[#This Row],[Team]],Dyno_Data[Match],TBA_Matches_All[[#This Row],[Match_Number]],Dyno_Data[RecordType],"Activities",Dyno_Data[DelOrig],"Neut", Dyno_Data[DelMiss],"0")</f>
        <v>0</v>
      </c>
      <c r="BL261">
        <f>COUNTIFS(Dyno_Data[Team],TBA_Matches_All[[#This Row],[Team]],Dyno_Data[Match],TBA_Matches_All[[#This Row],[Match_Number]],Dyno_Data[RecordType],"Activities",Dyno_Data[DelOrig],"Neut", Dyno_Data[DelMiss],"1")</f>
        <v>0</v>
      </c>
      <c r="BM261" s="60">
        <f>IFERROR(SUM((TBA_Matches_All[[#This Row],[NZflrT]])/(TBA_Matches_All[[#This Row],[NZflrT]]+TBA_Matches_All[[#This Row],[NZflrM]])),0)</f>
        <v>0</v>
      </c>
      <c r="BN261">
        <f>COUNTIFS(Dyno_Data[Team],TBA_Matches_All[[#This Row],[Team]],Dyno_Data[Match],TBA_Matches_All[[#This Row],[Match_Number]],Dyno_Data[RecordType],"Activities",Dyno_Data[DelOrig],"AllyW", Dyno_Data[DelMiss],"0")</f>
        <v>5</v>
      </c>
      <c r="BO261">
        <f>COUNTIFS(Dyno_Data[Team],TBA_Matches_All[[#This Row],[Team]],Dyno_Data[Match],TBA_Matches_All[[#This Row],[Match_Number]],Dyno_Data[RecordType],"Activities",Dyno_Data[DelOrig],"AllyW", Dyno_Data[DelMiss],"1")</f>
        <v>0</v>
      </c>
      <c r="BP261" s="60">
        <f>IFERROR(SUM((TBA_Matches_All[[#This Row],[AZflrT]])/(TBA_Matches_All[[#This Row],[AZflrT]]+TBA_Matches_All[[#This Row],[AZflrM]])),0)</f>
        <v>1</v>
      </c>
      <c r="BQ261">
        <f>COUNTIFS(Dyno_Data[Team],TBA_Matches_All[[#This Row],[Team]],Dyno_Data[Match],TBA_Matches_All[[#This Row],[Match_Number]],Dyno_Data[RecordType],"Activities",Dyno_Data[DelOrig],"SubW", Dyno_Data[DelMiss],"0")</f>
        <v>2</v>
      </c>
      <c r="BR261">
        <f>COUNTIFS(Dyno_Data[Team],TBA_Matches_All[[#This Row],[Team]],Dyno_Data[Match],TBA_Matches_All[[#This Row],[Match_Number]],Dyno_Data[RecordType],"Activities",Dyno_Data[DelOrig],"SubW", Dyno_Data[DelMiss],"1")</f>
        <v>0</v>
      </c>
      <c r="BS261" s="60">
        <f>IFERROR(SUM((TBA_Matches_All[[#This Row],[SubwT]])/(TBA_Matches_All[[#This Row],[SubwT]]+TBA_Matches_All[[#This Row],[SubwM]])),0)</f>
        <v>1</v>
      </c>
      <c r="BT261">
        <f>COUNTIFS(Dyno_Data[Team],TBA_Matches_All[[#This Row],[Team]],Dyno_Data[Match],TBA_Matches_All[[#This Row],[Match_Number]],Dyno_Data[RecordType],"Activities", Dyno_Data[AcqLoc],"OppWing")</f>
        <v>0</v>
      </c>
      <c r="BU261">
        <f>COUNTIFS(Dyno_Data[Team],TBA_Matches_All[[#This Row],[Team]],Dyno_Data[Match],TBA_Matches_All[[#This Row],[Match_Number]],Dyno_Data[RecordType],"Activities", Dyno_Data[AcqLoc],"Neutral")</f>
        <v>0</v>
      </c>
      <c r="BV261">
        <f>COUNTIFS(Dyno_Data[Team],TBA_Matches_All[[#This Row],[Team]],Dyno_Data[Match],TBA_Matches_All[[#This Row],[Match_Number]],Dyno_Data[RecordType],"Activities", Dyno_Data[AcqLoc],"AllyWing")</f>
        <v>0</v>
      </c>
      <c r="BW261">
        <f>COUNTIFS(Dyno_Data[Team],TBA_Matches_All[[#This Row],[Team]],Dyno_Data[Match],TBA_Matches_All[[#This Row],[Match_Number]],Dyno_Data[RecordType],"Activities", Dyno_Data[AcqLoc],"Source")</f>
        <v>0</v>
      </c>
      <c r="BX261">
        <f>SUMIFS(Dyno_Data[AcqDrp], Dyno_Data[Team],TBA_Matches_All[[#This Row],[Team]],Dyno_Data[Match],TBA_Matches_All[[#This Row],[Match_Number]],Dyno_Data[RecordType],"Activities", Dyno_Data[AcqLoc],"Source")</f>
        <v>0</v>
      </c>
      <c r="BY261">
        <f>SUMIFS(Dyno_Data[OZTime], Dyno_Data[Team],TBA_Matches_All[[#This Row],[Team]],Dyno_Data[Match],TBA_Matches_All[[#This Row],[Match_Number]],Dyno_Data[RecordType],"EndMatch")</f>
        <v>42.172568399999996</v>
      </c>
      <c r="BZ261">
        <f>SUMIFS(Dyno_Data[NZTime], Dyno_Data[Team],TBA_Matches_All[[#This Row],[Team]],Dyno_Data[Match],TBA_Matches_All[[#This Row],[Match_Number]],Dyno_Data[RecordType],"EndMatch")</f>
        <v>38.598635899999998</v>
      </c>
      <c r="CA261">
        <f>SUMIFS(Dyno_Data[AZTime], Dyno_Data[Team],TBA_Matches_All[[#This Row],[Team]],Dyno_Data[Match],TBA_Matches_All[[#This Row],[Match_Number]],Dyno_Data[RecordType],"EndMatch")</f>
        <v>53.867238099999994</v>
      </c>
      <c r="CB261">
        <f>SUMIFS(Dyno_Data[ClimbT], Dyno_Data[Team],TBA_Matches_All[[#This Row],[Team]],Dyno_Data[Match],TBA_Matches_All[[#This Row],[Match_Number]],Dyno_Data[RecordType],"EndMatch")</f>
        <v>0</v>
      </c>
      <c r="CC261" t="str">
        <f>_xlfn.XLOOKUP(SUM(MID(TBA_Matches_All[[#This Row],[Team]],4,5),(TBA_Matches_All[[#This Row],[Match_Number]]/100)),Dyno_EndMatch[teammat],Dyno_EndMatch[StageStat],"_",0,1)</f>
        <v>Park</v>
      </c>
      <c r="CD261" t="str">
        <f>_xlfn.XLOOKUP(TBA_Matches_All[[#This Row],[teammat]],Dyno_EndMatch[teammat],Dyno_EndMatch[StageAtt],"_",0,1)</f>
        <v>0</v>
      </c>
      <c r="CE261" t="str">
        <f>_xlfn.XLOOKUP(TBA_Matches_All[[#This Row],[teammat]],Dyno_EndMatch[teammat],Dyno_EndMatch[StageLoc],"_",0,1)</f>
        <v>A</v>
      </c>
      <c r="CF261">
        <f>SUMIFS(Dyno_Data[Harmony], Dyno_Data[Team],TBA_Matches_All[[#This Row],[Team]],Dyno_Data[Match],TBA_Matches_All[[#This Row],[Match_Number]],Dyno_Data[RecordType],"EndMatch", Dyno_Data[StageStat],"On",Dyno_Data[Harmony],"&lt;&gt;9")</f>
        <v>0</v>
      </c>
      <c r="CG261">
        <f>SUMIFS(Dyno_Data[Spotlit], Dyno_Data[Team],TBA_Matches_All[[#This Row],[Team]],Dyno_Data[Match],TBA_Matches_All[[#This Row],[Match_Number]],Dyno_Data[RecordType],"EndMatch", Dyno_Data[StageStat],"On",Dyno_Data[Spotlit],"&lt;&gt;9")</f>
        <v>0</v>
      </c>
      <c r="CH261" t="str">
        <f>_xlfn.XLOOKUP(TBA_Matches_All[[#This Row],[teammat]],Dyno_EndMatch[teammat],Dyno_EndMatch[Strategy],"_",0,1)</f>
        <v>Hybrid</v>
      </c>
      <c r="CI261">
        <f>SUMIFS(Dyno_Data[Defense], Dyno_Data[Team],TBA_Matches_All[[#This Row],[Team]],Dyno_Data[Match],TBA_Matches_All[[#This Row],[Match_Number]],Dyno_Data[RecordType],"EndMatch",Dyno_Data[Defense],"&lt;&gt;9")</f>
        <v>0</v>
      </c>
      <c r="CJ261">
        <f>SUMIFS(Dyno_Data[Avoidance], Dyno_Data[Team],TBA_Matches_All[[#This Row],[Team]],Dyno_Data[Match],TBA_Matches_All[[#This Row],[Match_Number]],Dyno_Data[RecordType],"EndMatch",Dyno_Data[Avoidance],"&lt;&gt;9")</f>
        <v>0</v>
      </c>
      <c r="CK261" s="82">
        <f>COUNTIF($H$2:TBA_Matches_All[[#This Row],[Team]],TBA_Matches_All[[#This Row],[Team]])</f>
        <v>6</v>
      </c>
      <c r="CL261" s="111">
        <f>SUM(MID(TBA_Matches_All[[#This Row],[Team]],4,5)+TBA_Matches_All[[#This Row],[Match_Number]]/100)</f>
        <v>1493.44</v>
      </c>
      <c r="CM261">
        <f>SUM((TBA_Matches_All[[#This Row],[Leave]]*2)+(TBA_Matches_All[[#This Row],[AampT]]*2)+(TBA_Matches_All[[#This Row],[AspkrT]]*5)+(TBA_Matches_All[[#This Row],[AtrapT]]*5))</f>
        <v>12</v>
      </c>
      <c r="CN261" s="59">
        <f>IFERROR(SUM(TBA_Matches_All[[#This Row],[AptsT]]/TBA_Matches_All[[#This Row],[AutoPts]]),0)</f>
        <v>0.63157894736842102</v>
      </c>
      <c r="CO261" s="59">
        <f>IFERROR(SUM(TBA_Matches_All[[#This Row],[AampT]]+TBA_Matches_All[[#This Row],[AspkrT]]+TBA_Matches_All[[#This Row],[AtrapT]]/TBA_Matches_All[[#This Row],[Aamp]]+TBA_Matches_All[[#This Row],[Aspkr]]+TBA_Matches_All[[#This Row],[AtrapT]]),0)</f>
        <v>0</v>
      </c>
      <c r="CP261" s="59">
        <f>IFERROR(SUM(TBA_Matches_All[[#This Row],[TampT]]/TBA_Matches_All[[#This Row],[Tamp]]),0)</f>
        <v>1</v>
      </c>
      <c r="CQ261" s="59">
        <f>IFERROR(SUM(TBA_Matches_All[[#This Row],[TspkrT]]/TBA_Matches_All[[#This Row],[Tspkr]]),0)</f>
        <v>0.36363636363636365</v>
      </c>
      <c r="CR261">
        <f>SUM(TBA_Matches_All[[#This Row],[TspkrPts]]*TBA_Matches_All[[#This Row],[TspkrP]])</f>
        <v>8</v>
      </c>
      <c r="CS261" s="59">
        <f>IFERROR(SUM(TBA_Matches_All[[#This Row],[TtrapT]]/TBA_Matches_All[[#This Row],[Trap]]),0)</f>
        <v>0</v>
      </c>
      <c r="CT261" s="59">
        <f>IFERROR(SUM(TBA_Matches_All[[#This Row],[TotNotesT]]/TBA_Matches_All[[#This Row],[TotNotes]]),0)</f>
        <v>0.46666666666666667</v>
      </c>
      <c r="CU261" s="66">
        <f>SUM((TBA_Matches_All[[#This Row],[AampT]]*2)+(TBA_Matches_All[[#This Row],[AspkrT]]*5)+(TBA_Matches_All[[#This Row],[AtrapT]]*5)+(TBA_Matches_All[[#This Row],[TampT]]*1)+(TBA_Matches_All[[#This Row],[TspkrptsC]]))</f>
        <v>19</v>
      </c>
      <c r="CV261" s="59">
        <f>IFERROR(TBA_Matches_All[[#This Row],[noteptsT]]/TBA_Matches_All[[#This Row],[NotePts]],0)</f>
        <v>0.5</v>
      </c>
      <c r="CW261">
        <f>SUM(IF(TBA_Matches_All[[#This Row],[stageStat]]="On",3,0),IF(TBA_Matches_All[[#This Row],[stageStat]]="Park",1,0),SUMIFS(TBA_Matches_All[[#This Row],[Spotlit]],TBA_Matches_All[[#This Row],[stageStat]],"On"),SUMIFS(TBA_Matches_All[[#This Row],[Harmony]],TBA_Matches_All[[#This Row],[stageStat]],"On"))</f>
        <v>1</v>
      </c>
      <c r="CX261" s="59">
        <f>IFERROR(TBA_Matches_All[[#This Row],[stageptsT]]/TBA_Matches_All[[#This Row],[StagePts]],0)</f>
        <v>0.14285714285714285</v>
      </c>
      <c r="CY261">
        <f>SUM((TBA_Matches_All[[#This Row],[AptsT]]+TBA_Matches_All[[#This Row],[TampT]]+TBA_Matches_All[[#This Row],[TspkrptsC]]+(TBA_Matches_All[[#This Row],[TtrapT]]*5)+TBA_Matches_All[[#This Row],[stageptsT]]))</f>
        <v>22</v>
      </c>
      <c r="CZ261" s="59">
        <f>IFERROR(SUM(TBA_Matches_All[[#This Row],[TotptsC]]/TBA_Matches_All[[#This Row],[Score]]),0)</f>
        <v>0.39285714285714285</v>
      </c>
      <c r="DA26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12.954761904761906</v>
      </c>
      <c r="DB261" s="74">
        <f>SUMIFS(TBA_Matches_All[AveTeamTNoteDels],TBA_Matches_All[Match_Number],TBA_Matches_All[[#This Row],[Match_Number]],TBA_Matches_All[Alliance],"&lt;&gt;"&amp;TBA_Matches_All[[#This Row],[Alliance]],TBA_Matches_All[Scouted],"&gt;0")</f>
        <v>46.185606060606062</v>
      </c>
      <c r="DC261" s="74">
        <f>(TBA_Matches_All[[#This Row],[TampT]]+TBA_Matches_All[[#This Row],[TspkrptsC]])-TBA_Matches_All[[#This Row],[AveTeamTNoteDels]]</f>
        <v>-3.9547619047619058</v>
      </c>
      <c r="DD261" s="74">
        <f>SUMIFS(TBA_Matches_All[AveTeamTNoteDels],TBA_Matches_All[Match_Number],TBA_Matches_All[[#This Row],[Match_Number]],TBA_Matches_All[Alliance],"&lt;&gt;"&amp;TBA_Matches_All[[#This Row],[Alliance]])-TBA_Matches_All[[#This Row],[AveOppTNoteDels]]</f>
        <v>0</v>
      </c>
    </row>
    <row r="262" spans="1:108" x14ac:dyDescent="0.3">
      <c r="A262" t="s">
        <v>1042</v>
      </c>
      <c r="B262" t="s">
        <v>489</v>
      </c>
      <c r="C262" t="s">
        <v>1353</v>
      </c>
      <c r="D262">
        <v>44</v>
      </c>
      <c r="E262" t="s">
        <v>1406</v>
      </c>
      <c r="F262" t="s">
        <v>1424</v>
      </c>
      <c r="G262" t="s">
        <v>1409</v>
      </c>
      <c r="H262" t="s">
        <v>1298</v>
      </c>
      <c r="I262" t="b">
        <v>0</v>
      </c>
      <c r="J262">
        <v>92</v>
      </c>
      <c r="K262">
        <v>1</v>
      </c>
      <c r="L262">
        <v>1</v>
      </c>
      <c r="M262">
        <v>7</v>
      </c>
      <c r="N262">
        <v>0</v>
      </c>
      <c r="O262">
        <v>5</v>
      </c>
      <c r="P262">
        <v>25</v>
      </c>
      <c r="Q262">
        <v>29</v>
      </c>
      <c r="R262">
        <v>3</v>
      </c>
      <c r="S262">
        <v>3</v>
      </c>
      <c r="T262">
        <v>13</v>
      </c>
      <c r="U262">
        <v>15</v>
      </c>
      <c r="V262">
        <v>26</v>
      </c>
      <c r="W262">
        <v>16</v>
      </c>
      <c r="X262">
        <v>41</v>
      </c>
      <c r="Y262">
        <v>44</v>
      </c>
      <c r="Z262">
        <v>0</v>
      </c>
      <c r="AA262">
        <v>0</v>
      </c>
      <c r="AB262">
        <v>24</v>
      </c>
      <c r="AC262">
        <v>69</v>
      </c>
      <c r="AD262">
        <v>11</v>
      </c>
      <c r="AE262">
        <f>IFERROR(6/(COUNTIF(Dyno_EndMatch[Match],TBA_Matches_All[[#This Row],[Match_Number]])),0)</f>
        <v>1</v>
      </c>
      <c r="AF262">
        <f>COUNTIFS(Dyno_Data[Team],TBA_Matches_All[[#This Row],[Team]],Dyno_Data[Match],TBA_Matches_All[[#This Row],[Match_Number]],Dyno_Data[RecordType],"EndMatch",Dyno_Data[HPAmp],"Y")</f>
        <v>0</v>
      </c>
      <c r="AG262">
        <f>SUMIFS(Dyno_Data[Mics], Dyno_Data[Team],TBA_Matches_All[[#This Row],[Team]],Dyno_Data[Match],TBA_Matches_All[[#This Row],[Match_Number]],Dyno_Data[RecordType],"EndMatch",Dyno_Data[HPAmp],"Y")</f>
        <v>0</v>
      </c>
      <c r="AH262">
        <f>SUMIFS(Dyno_Data[Leave], Dyno_Data[Team],TBA_Matches_All[[#This Row],[Team]],Dyno_Data[Match],TBA_Matches_All[[#This Row],[Match_Number]],Dyno_Data[RecordType],"EndAuto")</f>
        <v>0</v>
      </c>
      <c r="AI262">
        <f>COUNTIFS(Dyno_Data[Team],TBA_Matches_All[[#This Row],[Team]],Dyno_Data[Match],TBA_Matches_All[[#This Row],[Match_Number]],Dyno_Data[RecordType],"Activities",Dyno_Data[DelDest],"Amp", Dyno_Data[DelMiss],"0", Dyno_Data[Mode],"Auto")</f>
        <v>0</v>
      </c>
      <c r="AJ262">
        <f>COUNTIFS(Dyno_Data[Team],TBA_Matches_All[[#This Row],[Team]],Dyno_Data[Match],TBA_Matches_All[[#This Row],[Match_Number]],Dyno_Data[RecordType],"Activities",Dyno_Data[DelDest],"Spkr", Dyno_Data[DelMiss],"0", Dyno_Data[Mode],"Auto")</f>
        <v>1</v>
      </c>
      <c r="AK262">
        <f>COUNTIFS(Dyno_Data[Team],TBA_Matches_All[[#This Row],[Team]],Dyno_Data[Match],TBA_Matches_All[[#This Row],[Match_Number]],Dyno_Data[RecordType],"Activities",Dyno_Data[DelDest],"Trap", Dyno_Data[DelMiss],"0", Dyno_Data[Mode],"Auto")</f>
        <v>0</v>
      </c>
      <c r="AL262">
        <f>COUNTIFS(Dyno_Data[Team],TBA_Matches_All[[#This Row],[Team]],Dyno_Data[Match],TBA_Matches_All[[#This Row],[Match_Number]],Dyno_Data[RecordType],"Activities",Dyno_Data[DelDest],"Amp", Dyno_Data[DelMiss],"0", Dyno_Data[Mode],"Teleop")</f>
        <v>0</v>
      </c>
      <c r="AM262">
        <f>COUNTIFS(Dyno_Data[Team],TBA_Matches_All[[#This Row],[Team]],Dyno_Data[Match],TBA_Matches_All[[#This Row],[Match_Number]],Dyno_Data[RecordType],"Activities",Dyno_Data[DelDest],"Spkr", Dyno_Data[DelMiss],"0", Dyno_Data[Mode],"Teleop")</f>
        <v>5</v>
      </c>
      <c r="AN262">
        <f>COUNTIFS(Dyno_Data[Team],TBA_Matches_All[[#This Row],[Team]],Dyno_Data[Match],TBA_Matches_All[[#This Row],[Match_Number]],Dyno_Data[RecordType],"Activities",Dyno_Data[DelDest],"Trap", Dyno_Data[DelMiss],"0", Dyno_Data[Mode],"&lt;&gt;Auto")</f>
        <v>0</v>
      </c>
      <c r="AO262">
        <f>SUM(TBA_Matches_All[[#This Row],[AampT]]+TBA_Matches_All[[#This Row],[AspkrT]]+TBA_Matches_All[[#This Row],[AtrapT]]+TBA_Matches_All[[#This Row],[TampT]]+TBA_Matches_All[[#This Row],[TspkrT]]+TBA_Matches_All[[#This Row],[TtrapT]])</f>
        <v>6</v>
      </c>
      <c r="AP262">
        <f>COUNTIFS(Dyno_Data[Team],TBA_Matches_All[[#This Row],[Team]],Dyno_Data[Match],TBA_Matches_All[[#This Row],[Match_Number]],Dyno_Data[RecordType],"Activities",Dyno_Data[DelDest],"Neut", Dyno_Data[DelMiss],"0")</f>
        <v>0</v>
      </c>
      <c r="AQ262">
        <f>COUNTIFS(Dyno_Data[Team],TBA_Matches_All[[#This Row],[Team]],Dyno_Data[Match],TBA_Matches_All[[#This Row],[Match_Number]],Dyno_Data[RecordType],"Activities",Dyno_Data[DelDest],"AllyW", Dyno_Data[DelMiss],"0")</f>
        <v>0</v>
      </c>
      <c r="AR262" t="str">
        <f>_xlfn.XLOOKUP(SUM(MID(TBA_Matches_All[[#This Row],[Team]],4,5),(TBA_Matches_All[[#This Row],[Match_Number]]/100)),Dyno_EndMatch[teammat],Dyno_EndMatch[RobotSta],"_",0,1)</f>
        <v>Amp</v>
      </c>
      <c r="AS262">
        <f>SUMIFS(Dyno_Data[AcqDis], Dyno_Data[Team],TBA_Matches_All[[#This Row],[Team]],Dyno_Data[Match],TBA_Matches_All[[#This Row],[Match_Number]],Dyno_Data[RecordType],"Activities", Dyno_Data[AcqCenter],1,Dyno_Data[Mode],"Auto")</f>
        <v>0</v>
      </c>
      <c r="AT262">
        <f>SUMIFS(Dyno_Data[AcqDis], Dyno_Data[Team],TBA_Matches_All[[#This Row],[Team]],Dyno_Data[Match],TBA_Matches_All[[#This Row],[Match_Number]],Dyno_Data[RecordType],"Activities", Dyno_Data[AcqCenter],2,Dyno_Data[Mode],"Auto")</f>
        <v>0</v>
      </c>
      <c r="AU262">
        <f>SUMIFS(Dyno_Data[AcqDis], Dyno_Data[Team],TBA_Matches_All[[#This Row],[Team]],Dyno_Data[Match],TBA_Matches_All[[#This Row],[Match_Number]],Dyno_Data[RecordType],"Activities", Dyno_Data[AcqCenter],3,Dyno_Data[Mode],"Auto")</f>
        <v>0</v>
      </c>
      <c r="AV262">
        <f>SUMIFS(Dyno_Data[AcqDis], Dyno_Data[Team],TBA_Matches_All[[#This Row],[Team]],Dyno_Data[Match],TBA_Matches_All[[#This Row],[Match_Number]],Dyno_Data[RecordType],"Activities", Dyno_Data[AcqCenter],4,Dyno_Data[Mode],"Auto")</f>
        <v>0</v>
      </c>
      <c r="AW262">
        <f>SUMIFS(Dyno_Data[AcqDis], Dyno_Data[Team],TBA_Matches_All[[#This Row],[Team]],Dyno_Data[Match],TBA_Matches_All[[#This Row],[Match_Number]],Dyno_Data[RecordType],"Activities", Dyno_Data[AcqCenter],5,Dyno_Data[Mode],"Auto")</f>
        <v>0</v>
      </c>
      <c r="AX262">
        <f>SUMIFS(Dyno_Data[DelMiss], Dyno_Data[Team],TBA_Matches_All[[#This Row],[Team]],Dyno_Data[Match],TBA_Matches_All[[#This Row],[Match_Number]],Dyno_Data[RecordType],"Activities", Dyno_Data[DelDest],"Amp")</f>
        <v>0</v>
      </c>
      <c r="AY262" s="60">
        <f>IFERROR(SUM((TBA_Matches_All[[#This Row],[AampT]]+TBA_Matches_All[[#This Row],[TampT]])/(TBA_Matches_All[[#This Row],[AampT]]+TBA_Matches_All[[#This Row],[TampT]]+TBA_Matches_All[[#This Row],[ampM]])),0)</f>
        <v>0</v>
      </c>
      <c r="AZ262">
        <f>SUMIFS(Dyno_Data[DelMiss], Dyno_Data[Team],TBA_Matches_All[[#This Row],[Team]],Dyno_Data[Match],TBA_Matches_All[[#This Row],[Match_Number]],Dyno_Data[RecordType],"Activities", Dyno_Data[DelDest],"Spkr")</f>
        <v>0</v>
      </c>
      <c r="BA262" s="60">
        <f>IFERROR(SUM((TBA_Matches_All[[#This Row],[AspkrT]]+TBA_Matches_All[[#This Row],[TspkrT]])/(TBA_Matches_All[[#This Row],[AspkrT]]+TBA_Matches_All[[#This Row],[TspkrT]]+TBA_Matches_All[[#This Row],[spkrM]])),0)</f>
        <v>1</v>
      </c>
      <c r="BB262">
        <f>SUMIFS(Dyno_Data[DelMiss], Dyno_Data[Team],TBA_Matches_All[[#This Row],[Team]],Dyno_Data[Match],TBA_Matches_All[[#This Row],[Match_Number]],Dyno_Data[RecordType],"Activities", Dyno_Data[DelDest],"Trap")</f>
        <v>0</v>
      </c>
      <c r="BC262" s="60">
        <f>IFERROR((TBA_Matches_All[[#This Row],[AtrapT]]+TBA_Matches_All[[#This Row],[TtrapT]])/(TBA_Matches_All[[#This Row],[AtrapT]]+TBA_Matches_All[[#This Row],[TtrapT]]+TBA_Matches_All[[#This Row],[trapM]]),0)</f>
        <v>0</v>
      </c>
      <c r="BD262">
        <f>COUNTIFS(Dyno_Data[Team],TBA_Matches_All[[#This Row],[Team]],Dyno_Data[Match],TBA_Matches_All[[#This Row],[Match_Number]],Dyno_Data[RecordType],"Activities",Dyno_Data[DelDest],"Neut", Dyno_Data[DelMiss],1)</f>
        <v>0</v>
      </c>
      <c r="BE262" s="60">
        <f>IFERROR(SUM((TBA_Matches_All[[#This Row],[NeutFlrT]])/(TBA_Matches_All[[#This Row],[NeutFlrT]]+TBA_Matches_All[[#This Row],[NZflM]])),0)</f>
        <v>0</v>
      </c>
      <c r="BF262">
        <f>COUNTIFS(Dyno_Data[Team],TBA_Matches_All[[#This Row],[Team]],Dyno_Data[Match],TBA_Matches_All[[#This Row],[Match_Number]],Dyno_Data[RecordType],"Activities",Dyno_Data[DelDest],"AllyW", Dyno_Data[DelMiss],1)</f>
        <v>0</v>
      </c>
      <c r="BG262" s="60">
        <f>IFERROR(SUM((TBA_Matches_All[[#This Row],[AllyWFlrT]])/(TBA_Matches_All[[#This Row],[AllyWFlrT]]+TBA_Matches_All[[#This Row],[AZflM]])),0)</f>
        <v>0</v>
      </c>
      <c r="BH262">
        <f>COUNTIFS(Dyno_Data[Team],TBA_Matches_All[[#This Row],[Team]],Dyno_Data[Match],TBA_Matches_All[[#This Row],[Match_Number]],Dyno_Data[RecordType],"Activities",Dyno_Data[DelOrig],"OppW", Dyno_Data[DelMiss],"0")</f>
        <v>0</v>
      </c>
      <c r="BI262">
        <f>COUNTIFS(Dyno_Data[Team],TBA_Matches_All[[#This Row],[Team]],Dyno_Data[Match],TBA_Matches_All[[#This Row],[Match_Number]],Dyno_Data[RecordType],"Activities",Dyno_Data[DelOrig],"OppW", Dyno_Data[DelMiss],"1")</f>
        <v>0</v>
      </c>
      <c r="BJ262" s="60">
        <f>IFERROR(SUM((TBA_Matches_All[[#This Row],[OZflrT]])/(TBA_Matches_All[[#This Row],[OZflrT]]+TBA_Matches_All[[#This Row],[OZflrM]])),0)</f>
        <v>0</v>
      </c>
      <c r="BK262">
        <f>COUNTIFS(Dyno_Data[Team],TBA_Matches_All[[#This Row],[Team]],Dyno_Data[Match],TBA_Matches_All[[#This Row],[Match_Number]],Dyno_Data[RecordType],"Activities",Dyno_Data[DelOrig],"Neut", Dyno_Data[DelMiss],"0")</f>
        <v>0</v>
      </c>
      <c r="BL262">
        <f>COUNTIFS(Dyno_Data[Team],TBA_Matches_All[[#This Row],[Team]],Dyno_Data[Match],TBA_Matches_All[[#This Row],[Match_Number]],Dyno_Data[RecordType],"Activities",Dyno_Data[DelOrig],"Neut", Dyno_Data[DelMiss],"1")</f>
        <v>0</v>
      </c>
      <c r="BM262" s="60">
        <f>IFERROR(SUM((TBA_Matches_All[[#This Row],[NZflrT]])/(TBA_Matches_All[[#This Row],[NZflrT]]+TBA_Matches_All[[#This Row],[NZflrM]])),0)</f>
        <v>0</v>
      </c>
      <c r="BN262">
        <f>COUNTIFS(Dyno_Data[Team],TBA_Matches_All[[#This Row],[Team]],Dyno_Data[Match],TBA_Matches_All[[#This Row],[Match_Number]],Dyno_Data[RecordType],"Activities",Dyno_Data[DelOrig],"AllyW", Dyno_Data[DelMiss],"0")</f>
        <v>1</v>
      </c>
      <c r="BO262">
        <f>COUNTIFS(Dyno_Data[Team],TBA_Matches_All[[#This Row],[Team]],Dyno_Data[Match],TBA_Matches_All[[#This Row],[Match_Number]],Dyno_Data[RecordType],"Activities",Dyno_Data[DelOrig],"AllyW", Dyno_Data[DelMiss],"1")</f>
        <v>0</v>
      </c>
      <c r="BP262" s="60">
        <f>IFERROR(SUM((TBA_Matches_All[[#This Row],[AZflrT]])/(TBA_Matches_All[[#This Row],[AZflrT]]+TBA_Matches_All[[#This Row],[AZflrM]])),0)</f>
        <v>1</v>
      </c>
      <c r="BQ262">
        <f>COUNTIFS(Dyno_Data[Team],TBA_Matches_All[[#This Row],[Team]],Dyno_Data[Match],TBA_Matches_All[[#This Row],[Match_Number]],Dyno_Data[RecordType],"Activities",Dyno_Data[DelOrig],"SubW", Dyno_Data[DelMiss],"0")</f>
        <v>5</v>
      </c>
      <c r="BR262">
        <f>COUNTIFS(Dyno_Data[Team],TBA_Matches_All[[#This Row],[Team]],Dyno_Data[Match],TBA_Matches_All[[#This Row],[Match_Number]],Dyno_Data[RecordType],"Activities",Dyno_Data[DelOrig],"SubW", Dyno_Data[DelMiss],"1")</f>
        <v>0</v>
      </c>
      <c r="BS262" s="60">
        <f>IFERROR(SUM((TBA_Matches_All[[#This Row],[SubwT]])/(TBA_Matches_All[[#This Row],[SubwT]]+TBA_Matches_All[[#This Row],[SubwM]])),0)</f>
        <v>1</v>
      </c>
      <c r="BT262">
        <f>COUNTIFS(Dyno_Data[Team],TBA_Matches_All[[#This Row],[Team]],Dyno_Data[Match],TBA_Matches_All[[#This Row],[Match_Number]],Dyno_Data[RecordType],"Activities", Dyno_Data[AcqLoc],"OppWing")</f>
        <v>0</v>
      </c>
      <c r="BU262">
        <f>COUNTIFS(Dyno_Data[Team],TBA_Matches_All[[#This Row],[Team]],Dyno_Data[Match],TBA_Matches_All[[#This Row],[Match_Number]],Dyno_Data[RecordType],"Activities", Dyno_Data[AcqLoc],"Neutral")</f>
        <v>0</v>
      </c>
      <c r="BV262">
        <f>COUNTIFS(Dyno_Data[Team],TBA_Matches_All[[#This Row],[Team]],Dyno_Data[Match],TBA_Matches_All[[#This Row],[Match_Number]],Dyno_Data[RecordType],"Activities", Dyno_Data[AcqLoc],"AllyWing")</f>
        <v>0</v>
      </c>
      <c r="BW262">
        <f>COUNTIFS(Dyno_Data[Team],TBA_Matches_All[[#This Row],[Team]],Dyno_Data[Match],TBA_Matches_All[[#This Row],[Match_Number]],Dyno_Data[RecordType],"Activities", Dyno_Data[AcqLoc],"Source")</f>
        <v>0</v>
      </c>
      <c r="BX262">
        <f>SUMIFS(Dyno_Data[AcqDrp], Dyno_Data[Team],TBA_Matches_All[[#This Row],[Team]],Dyno_Data[Match],TBA_Matches_All[[#This Row],[Match_Number]],Dyno_Data[RecordType],"Activities", Dyno_Data[AcqLoc],"Source")</f>
        <v>0</v>
      </c>
      <c r="BY262">
        <f>SUMIFS(Dyno_Data[OZTime], Dyno_Data[Team],TBA_Matches_All[[#This Row],[Team]],Dyno_Data[Match],TBA_Matches_All[[#This Row],[Match_Number]],Dyno_Data[RecordType],"EndMatch")</f>
        <v>47.035472499999997</v>
      </c>
      <c r="BZ262">
        <f>SUMIFS(Dyno_Data[NZTime], Dyno_Data[Team],TBA_Matches_All[[#This Row],[Team]],Dyno_Data[Match],TBA_Matches_All[[#This Row],[Match_Number]],Dyno_Data[RecordType],"EndMatch")</f>
        <v>21.366734699999999</v>
      </c>
      <c r="CA262">
        <f>SUMIFS(Dyno_Data[AZTime], Dyno_Data[Team],TBA_Matches_All[[#This Row],[Team]],Dyno_Data[Match],TBA_Matches_All[[#This Row],[Match_Number]],Dyno_Data[RecordType],"EndMatch")</f>
        <v>47.918423499999996</v>
      </c>
      <c r="CB262">
        <f>SUMIFS(Dyno_Data[ClimbT], Dyno_Data[Team],TBA_Matches_All[[#This Row],[Team]],Dyno_Data[Match],TBA_Matches_All[[#This Row],[Match_Number]],Dyno_Data[RecordType],"EndMatch")</f>
        <v>18.371306699999998</v>
      </c>
      <c r="CC262" t="str">
        <f>_xlfn.XLOOKUP(SUM(MID(TBA_Matches_All[[#This Row],[Team]],4,5),(TBA_Matches_All[[#This Row],[Match_Number]]/100)),Dyno_EndMatch[teammat],Dyno_EndMatch[StageStat],"_",0,1)</f>
        <v>Park</v>
      </c>
      <c r="CD262" t="str">
        <f>_xlfn.XLOOKUP(TBA_Matches_All[[#This Row],[teammat]],Dyno_EndMatch[teammat],Dyno_EndMatch[StageAtt],"_",0,1)</f>
        <v>-1</v>
      </c>
      <c r="CE262" t="str">
        <f>_xlfn.XLOOKUP(TBA_Matches_All[[#This Row],[teammat]],Dyno_EndMatch[teammat],Dyno_EndMatch[StageLoc],"_",0,1)</f>
        <v>A</v>
      </c>
      <c r="CF262">
        <f>SUMIFS(Dyno_Data[Harmony], Dyno_Data[Team],TBA_Matches_All[[#This Row],[Team]],Dyno_Data[Match],TBA_Matches_All[[#This Row],[Match_Number]],Dyno_Data[RecordType],"EndMatch", Dyno_Data[StageStat],"On",Dyno_Data[Harmony],"&lt;&gt;9")</f>
        <v>0</v>
      </c>
      <c r="CG262">
        <f>SUMIFS(Dyno_Data[Spotlit], Dyno_Data[Team],TBA_Matches_All[[#This Row],[Team]],Dyno_Data[Match],TBA_Matches_All[[#This Row],[Match_Number]],Dyno_Data[RecordType],"EndMatch", Dyno_Data[StageStat],"On",Dyno_Data[Spotlit],"&lt;&gt;9")</f>
        <v>0</v>
      </c>
      <c r="CH262" t="str">
        <f>_xlfn.XLOOKUP(TBA_Matches_All[[#This Row],[teammat]],Dyno_EndMatch[teammat],Dyno_EndMatch[Strategy],"_",0,1)</f>
        <v>Hybrid</v>
      </c>
      <c r="CI262">
        <f>SUMIFS(Dyno_Data[Defense], Dyno_Data[Team],TBA_Matches_All[[#This Row],[Team]],Dyno_Data[Match],TBA_Matches_All[[#This Row],[Match_Number]],Dyno_Data[RecordType],"EndMatch",Dyno_Data[Defense],"&lt;&gt;9")</f>
        <v>0</v>
      </c>
      <c r="CJ262">
        <f>SUMIFS(Dyno_Data[Avoidance], Dyno_Data[Team],TBA_Matches_All[[#This Row],[Team]],Dyno_Data[Match],TBA_Matches_All[[#This Row],[Match_Number]],Dyno_Data[RecordType],"EndMatch",Dyno_Data[Avoidance],"&lt;&gt;9")</f>
        <v>0</v>
      </c>
      <c r="CK262" s="82">
        <f>COUNTIF($H$2:TBA_Matches_All[[#This Row],[Team]],TBA_Matches_All[[#This Row],[Team]])</f>
        <v>6</v>
      </c>
      <c r="CL262" s="111">
        <f>SUM(MID(TBA_Matches_All[[#This Row],[Team]],4,5)+TBA_Matches_All[[#This Row],[Match_Number]]/100)</f>
        <v>9624.44</v>
      </c>
      <c r="CM262">
        <f>SUM((TBA_Matches_All[[#This Row],[Leave]]*2)+(TBA_Matches_All[[#This Row],[AampT]]*2)+(TBA_Matches_All[[#This Row],[AspkrT]]*5)+(TBA_Matches_All[[#This Row],[AtrapT]]*5))</f>
        <v>5</v>
      </c>
      <c r="CN262" s="59">
        <f>IFERROR(SUM(TBA_Matches_All[[#This Row],[AptsT]]/TBA_Matches_All[[#This Row],[AutoPts]]),0)</f>
        <v>0.17241379310344829</v>
      </c>
      <c r="CO262" s="59">
        <f>IFERROR(SUM(TBA_Matches_All[[#This Row],[AampT]]+TBA_Matches_All[[#This Row],[AspkrT]]+TBA_Matches_All[[#This Row],[AtrapT]]/TBA_Matches_All[[#This Row],[Aamp]]+TBA_Matches_All[[#This Row],[Aspkr]]+TBA_Matches_All[[#This Row],[AtrapT]]),0)</f>
        <v>0</v>
      </c>
      <c r="CP262" s="59">
        <f>IFERROR(SUM(TBA_Matches_All[[#This Row],[TampT]]/TBA_Matches_All[[#This Row],[Tamp]]),0)</f>
        <v>0</v>
      </c>
      <c r="CQ262" s="59">
        <f>IFERROR(SUM(TBA_Matches_All[[#This Row],[TspkrT]]/TBA_Matches_All[[#This Row],[Tspkr]]),0)</f>
        <v>0.3125</v>
      </c>
      <c r="CR262">
        <f>SUM(TBA_Matches_All[[#This Row],[TspkrPts]]*TBA_Matches_All[[#This Row],[TspkrP]])</f>
        <v>12.8125</v>
      </c>
      <c r="CS262" s="59">
        <f>IFERROR(SUM(TBA_Matches_All[[#This Row],[TtrapT]]/TBA_Matches_All[[#This Row],[Trap]]),0)</f>
        <v>0</v>
      </c>
      <c r="CT262" s="59">
        <f>IFERROR(SUM(TBA_Matches_All[[#This Row],[TotNotesT]]/TBA_Matches_All[[#This Row],[TotNotes]]),0)</f>
        <v>0.25</v>
      </c>
      <c r="CU262" s="66">
        <f>SUM((TBA_Matches_All[[#This Row],[AampT]]*2)+(TBA_Matches_All[[#This Row],[AspkrT]]*5)+(TBA_Matches_All[[#This Row],[AtrapT]]*5)+(TBA_Matches_All[[#This Row],[TampT]]*1)+(TBA_Matches_All[[#This Row],[TspkrptsC]]))</f>
        <v>17.8125</v>
      </c>
      <c r="CV262" s="59">
        <f>IFERROR(TBA_Matches_All[[#This Row],[noteptsT]]/TBA_Matches_All[[#This Row],[NotePts]],0)</f>
        <v>0.25815217391304346</v>
      </c>
      <c r="CW262">
        <f>SUM(IF(TBA_Matches_All[[#This Row],[stageStat]]="On",3,0),IF(TBA_Matches_All[[#This Row],[stageStat]]="Park",1,0),SUMIFS(TBA_Matches_All[[#This Row],[Spotlit]],TBA_Matches_All[[#This Row],[stageStat]],"On"),SUMIFS(TBA_Matches_All[[#This Row],[Harmony]],TBA_Matches_All[[#This Row],[stageStat]],"On"))</f>
        <v>1</v>
      </c>
      <c r="CX262" s="59">
        <f>IFERROR(TBA_Matches_All[[#This Row],[stageptsT]]/TBA_Matches_All[[#This Row],[StagePts]],0)</f>
        <v>9.0909090909090912E-2</v>
      </c>
      <c r="CY262">
        <f>SUM((TBA_Matches_All[[#This Row],[AptsT]]+TBA_Matches_All[[#This Row],[TampT]]+TBA_Matches_All[[#This Row],[TspkrptsC]]+(TBA_Matches_All[[#This Row],[TtrapT]]*5)+TBA_Matches_All[[#This Row],[stageptsT]]))</f>
        <v>18.8125</v>
      </c>
      <c r="CZ262" s="59">
        <f>IFERROR(SUM(TBA_Matches_All[[#This Row],[TotptsC]]/TBA_Matches_All[[#This Row],[Score]]),0)</f>
        <v>0.20448369565217392</v>
      </c>
      <c r="DA26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10.5</v>
      </c>
      <c r="DB262" s="74">
        <f>SUMIFS(TBA_Matches_All[AveTeamTNoteDels],TBA_Matches_All[Match_Number],TBA_Matches_All[[#This Row],[Match_Number]],TBA_Matches_All[Alliance],"&lt;&gt;"&amp;TBA_Matches_All[[#This Row],[Alliance]],TBA_Matches_All[Scouted],"&gt;0")</f>
        <v>32.998717948717953</v>
      </c>
      <c r="DC262" s="74">
        <f>(TBA_Matches_All[[#This Row],[TampT]]+TBA_Matches_All[[#This Row],[TspkrptsC]])-TBA_Matches_All[[#This Row],[AveTeamTNoteDels]]</f>
        <v>2.3125</v>
      </c>
      <c r="DD262" s="74">
        <f>SUMIFS(TBA_Matches_All[AveTeamTNoteDels],TBA_Matches_All[Match_Number],TBA_Matches_All[[#This Row],[Match_Number]],TBA_Matches_All[Alliance],"&lt;&gt;"&amp;TBA_Matches_All[[#This Row],[Alliance]])-TBA_Matches_All[[#This Row],[AveOppTNoteDels]]</f>
        <v>0</v>
      </c>
    </row>
    <row r="263" spans="1:108" x14ac:dyDescent="0.3">
      <c r="A263" t="s">
        <v>1042</v>
      </c>
      <c r="B263" t="s">
        <v>489</v>
      </c>
      <c r="C263" t="s">
        <v>1353</v>
      </c>
      <c r="D263">
        <v>44</v>
      </c>
      <c r="E263" t="s">
        <v>1420</v>
      </c>
      <c r="F263" t="s">
        <v>1425</v>
      </c>
      <c r="G263" t="s">
        <v>105</v>
      </c>
      <c r="H263" t="s">
        <v>1317</v>
      </c>
      <c r="I263" t="b">
        <v>0</v>
      </c>
      <c r="J263">
        <v>56</v>
      </c>
      <c r="K263">
        <v>0</v>
      </c>
      <c r="L263">
        <v>0</v>
      </c>
      <c r="M263">
        <v>8</v>
      </c>
      <c r="N263">
        <v>0</v>
      </c>
      <c r="O263">
        <v>3</v>
      </c>
      <c r="P263">
        <v>15</v>
      </c>
      <c r="Q263">
        <v>19</v>
      </c>
      <c r="R263">
        <v>1</v>
      </c>
      <c r="S263">
        <v>0</v>
      </c>
      <c r="T263">
        <v>11</v>
      </c>
      <c r="U263">
        <v>0</v>
      </c>
      <c r="V263">
        <v>22</v>
      </c>
      <c r="W263">
        <v>11</v>
      </c>
      <c r="X263">
        <v>22</v>
      </c>
      <c r="Y263">
        <v>23</v>
      </c>
      <c r="Z263">
        <v>0</v>
      </c>
      <c r="AA263">
        <v>0</v>
      </c>
      <c r="AB263">
        <v>15</v>
      </c>
      <c r="AC263">
        <v>38</v>
      </c>
      <c r="AD263">
        <v>7</v>
      </c>
      <c r="AE263">
        <f>IFERROR(6/(COUNTIF(Dyno_EndMatch[Match],TBA_Matches_All[[#This Row],[Match_Number]])),0)</f>
        <v>1</v>
      </c>
      <c r="AF263">
        <f>COUNTIFS(Dyno_Data[Team],TBA_Matches_All[[#This Row],[Team]],Dyno_Data[Match],TBA_Matches_All[[#This Row],[Match_Number]],Dyno_Data[RecordType],"EndMatch",Dyno_Data[HPAmp],"Y")</f>
        <v>1</v>
      </c>
      <c r="AG263">
        <f>SUMIFS(Dyno_Data[Mics], Dyno_Data[Team],TBA_Matches_All[[#This Row],[Team]],Dyno_Data[Match],TBA_Matches_All[[#This Row],[Match_Number]],Dyno_Data[RecordType],"EndMatch",Dyno_Data[HPAmp],"Y")</f>
        <v>0</v>
      </c>
      <c r="AH263">
        <f>SUMIFS(Dyno_Data[Leave], Dyno_Data[Team],TBA_Matches_All[[#This Row],[Team]],Dyno_Data[Match],TBA_Matches_All[[#This Row],[Match_Number]],Dyno_Data[RecordType],"EndAuto")</f>
        <v>0</v>
      </c>
      <c r="AI263">
        <f>COUNTIFS(Dyno_Data[Team],TBA_Matches_All[[#This Row],[Team]],Dyno_Data[Match],TBA_Matches_All[[#This Row],[Match_Number]],Dyno_Data[RecordType],"Activities",Dyno_Data[DelDest],"Amp", Dyno_Data[DelMiss],"0", Dyno_Data[Mode],"Auto")</f>
        <v>0</v>
      </c>
      <c r="AJ263">
        <f>COUNTIFS(Dyno_Data[Team],TBA_Matches_All[[#This Row],[Team]],Dyno_Data[Match],TBA_Matches_All[[#This Row],[Match_Number]],Dyno_Data[RecordType],"Activities",Dyno_Data[DelDest],"Spkr", Dyno_Data[DelMiss],"0", Dyno_Data[Mode],"Auto")</f>
        <v>1</v>
      </c>
      <c r="AK263">
        <f>COUNTIFS(Dyno_Data[Team],TBA_Matches_All[[#This Row],[Team]],Dyno_Data[Match],TBA_Matches_All[[#This Row],[Match_Number]],Dyno_Data[RecordType],"Activities",Dyno_Data[DelDest],"Trap", Dyno_Data[DelMiss],"0", Dyno_Data[Mode],"Auto")</f>
        <v>0</v>
      </c>
      <c r="AL263">
        <f>COUNTIFS(Dyno_Data[Team],TBA_Matches_All[[#This Row],[Team]],Dyno_Data[Match],TBA_Matches_All[[#This Row],[Match_Number]],Dyno_Data[RecordType],"Activities",Dyno_Data[DelDest],"Amp", Dyno_Data[DelMiss],"0", Dyno_Data[Mode],"Teleop")</f>
        <v>0</v>
      </c>
      <c r="AM263">
        <f>COUNTIFS(Dyno_Data[Team],TBA_Matches_All[[#This Row],[Team]],Dyno_Data[Match],TBA_Matches_All[[#This Row],[Match_Number]],Dyno_Data[RecordType],"Activities",Dyno_Data[DelDest],"Spkr", Dyno_Data[DelMiss],"0", Dyno_Data[Mode],"Teleop")</f>
        <v>3</v>
      </c>
      <c r="AN263">
        <f>COUNTIFS(Dyno_Data[Team],TBA_Matches_All[[#This Row],[Team]],Dyno_Data[Match],TBA_Matches_All[[#This Row],[Match_Number]],Dyno_Data[RecordType],"Activities",Dyno_Data[DelDest],"Trap", Dyno_Data[DelMiss],"0", Dyno_Data[Mode],"&lt;&gt;Auto")</f>
        <v>0</v>
      </c>
      <c r="AO263">
        <f>SUM(TBA_Matches_All[[#This Row],[AampT]]+TBA_Matches_All[[#This Row],[AspkrT]]+TBA_Matches_All[[#This Row],[AtrapT]]+TBA_Matches_All[[#This Row],[TampT]]+TBA_Matches_All[[#This Row],[TspkrT]]+TBA_Matches_All[[#This Row],[TtrapT]])</f>
        <v>4</v>
      </c>
      <c r="AP263">
        <f>COUNTIFS(Dyno_Data[Team],TBA_Matches_All[[#This Row],[Team]],Dyno_Data[Match],TBA_Matches_All[[#This Row],[Match_Number]],Dyno_Data[RecordType],"Activities",Dyno_Data[DelDest],"Neut", Dyno_Data[DelMiss],"0")</f>
        <v>0</v>
      </c>
      <c r="AQ263">
        <f>COUNTIFS(Dyno_Data[Team],TBA_Matches_All[[#This Row],[Team]],Dyno_Data[Match],TBA_Matches_All[[#This Row],[Match_Number]],Dyno_Data[RecordType],"Activities",Dyno_Data[DelDest],"AllyW", Dyno_Data[DelMiss],"0")</f>
        <v>0</v>
      </c>
      <c r="AR263" t="str">
        <f>_xlfn.XLOOKUP(SUM(MID(TBA_Matches_All[[#This Row],[Team]],4,5),(TBA_Matches_All[[#This Row],[Match_Number]]/100)),Dyno_EndMatch[teammat],Dyno_EndMatch[RobotSta],"_",0,1)</f>
        <v>OppS</v>
      </c>
      <c r="AS263">
        <f>SUMIFS(Dyno_Data[AcqDis], Dyno_Data[Team],TBA_Matches_All[[#This Row],[Team]],Dyno_Data[Match],TBA_Matches_All[[#This Row],[Match_Number]],Dyno_Data[RecordType],"Activities", Dyno_Data[AcqCenter],1,Dyno_Data[Mode],"Auto")</f>
        <v>1</v>
      </c>
      <c r="AT263">
        <f>SUMIFS(Dyno_Data[AcqDis], Dyno_Data[Team],TBA_Matches_All[[#This Row],[Team]],Dyno_Data[Match],TBA_Matches_All[[#This Row],[Match_Number]],Dyno_Data[RecordType],"Activities", Dyno_Data[AcqCenter],2,Dyno_Data[Mode],"Auto")</f>
        <v>0</v>
      </c>
      <c r="AU263">
        <f>SUMIFS(Dyno_Data[AcqDis], Dyno_Data[Team],TBA_Matches_All[[#This Row],[Team]],Dyno_Data[Match],TBA_Matches_All[[#This Row],[Match_Number]],Dyno_Data[RecordType],"Activities", Dyno_Data[AcqCenter],3,Dyno_Data[Mode],"Auto")</f>
        <v>0</v>
      </c>
      <c r="AV263">
        <f>SUMIFS(Dyno_Data[AcqDis], Dyno_Data[Team],TBA_Matches_All[[#This Row],[Team]],Dyno_Data[Match],TBA_Matches_All[[#This Row],[Match_Number]],Dyno_Data[RecordType],"Activities", Dyno_Data[AcqCenter],4,Dyno_Data[Mode],"Auto")</f>
        <v>0</v>
      </c>
      <c r="AW263">
        <f>SUMIFS(Dyno_Data[AcqDis], Dyno_Data[Team],TBA_Matches_All[[#This Row],[Team]],Dyno_Data[Match],TBA_Matches_All[[#This Row],[Match_Number]],Dyno_Data[RecordType],"Activities", Dyno_Data[AcqCenter],5,Dyno_Data[Mode],"Auto")</f>
        <v>0</v>
      </c>
      <c r="AX263">
        <f>SUMIFS(Dyno_Data[DelMiss], Dyno_Data[Team],TBA_Matches_All[[#This Row],[Team]],Dyno_Data[Match],TBA_Matches_All[[#This Row],[Match_Number]],Dyno_Data[RecordType],"Activities", Dyno_Data[DelDest],"Amp")</f>
        <v>0</v>
      </c>
      <c r="AY263" s="60">
        <f>IFERROR(SUM((TBA_Matches_All[[#This Row],[AampT]]+TBA_Matches_All[[#This Row],[TampT]])/(TBA_Matches_All[[#This Row],[AampT]]+TBA_Matches_All[[#This Row],[TampT]]+TBA_Matches_All[[#This Row],[ampM]])),0)</f>
        <v>0</v>
      </c>
      <c r="AZ263">
        <f>SUMIFS(Dyno_Data[DelMiss], Dyno_Data[Team],TBA_Matches_All[[#This Row],[Team]],Dyno_Data[Match],TBA_Matches_All[[#This Row],[Match_Number]],Dyno_Data[RecordType],"Activities", Dyno_Data[DelDest],"Spkr")</f>
        <v>3</v>
      </c>
      <c r="BA263" s="60">
        <f>IFERROR(SUM((TBA_Matches_All[[#This Row],[AspkrT]]+TBA_Matches_All[[#This Row],[TspkrT]])/(TBA_Matches_All[[#This Row],[AspkrT]]+TBA_Matches_All[[#This Row],[TspkrT]]+TBA_Matches_All[[#This Row],[spkrM]])),0)</f>
        <v>0.5714285714285714</v>
      </c>
      <c r="BB263">
        <f>SUMIFS(Dyno_Data[DelMiss], Dyno_Data[Team],TBA_Matches_All[[#This Row],[Team]],Dyno_Data[Match],TBA_Matches_All[[#This Row],[Match_Number]],Dyno_Data[RecordType],"Activities", Dyno_Data[DelDest],"Trap")</f>
        <v>0</v>
      </c>
      <c r="BC263" s="60">
        <f>IFERROR((TBA_Matches_All[[#This Row],[AtrapT]]+TBA_Matches_All[[#This Row],[TtrapT]])/(TBA_Matches_All[[#This Row],[AtrapT]]+TBA_Matches_All[[#This Row],[TtrapT]]+TBA_Matches_All[[#This Row],[trapM]]),0)</f>
        <v>0</v>
      </c>
      <c r="BD263">
        <f>COUNTIFS(Dyno_Data[Team],TBA_Matches_All[[#This Row],[Team]],Dyno_Data[Match],TBA_Matches_All[[#This Row],[Match_Number]],Dyno_Data[RecordType],"Activities",Dyno_Data[DelDest],"Neut", Dyno_Data[DelMiss],1)</f>
        <v>0</v>
      </c>
      <c r="BE263" s="60">
        <f>IFERROR(SUM((TBA_Matches_All[[#This Row],[NeutFlrT]])/(TBA_Matches_All[[#This Row],[NeutFlrT]]+TBA_Matches_All[[#This Row],[NZflM]])),0)</f>
        <v>0</v>
      </c>
      <c r="BF263">
        <f>COUNTIFS(Dyno_Data[Team],TBA_Matches_All[[#This Row],[Team]],Dyno_Data[Match],TBA_Matches_All[[#This Row],[Match_Number]],Dyno_Data[RecordType],"Activities",Dyno_Data[DelDest],"AllyW", Dyno_Data[DelMiss],1)</f>
        <v>0</v>
      </c>
      <c r="BG263" s="60">
        <f>IFERROR(SUM((TBA_Matches_All[[#This Row],[AllyWFlrT]])/(TBA_Matches_All[[#This Row],[AllyWFlrT]]+TBA_Matches_All[[#This Row],[AZflM]])),0)</f>
        <v>0</v>
      </c>
      <c r="BH263">
        <f>COUNTIFS(Dyno_Data[Team],TBA_Matches_All[[#This Row],[Team]],Dyno_Data[Match],TBA_Matches_All[[#This Row],[Match_Number]],Dyno_Data[RecordType],"Activities",Dyno_Data[DelOrig],"OppW", Dyno_Data[DelMiss],"0")</f>
        <v>0</v>
      </c>
      <c r="BI263">
        <f>COUNTIFS(Dyno_Data[Team],TBA_Matches_All[[#This Row],[Team]],Dyno_Data[Match],TBA_Matches_All[[#This Row],[Match_Number]],Dyno_Data[RecordType],"Activities",Dyno_Data[DelOrig],"OppW", Dyno_Data[DelMiss],"1")</f>
        <v>0</v>
      </c>
      <c r="BJ263" s="60">
        <f>IFERROR(SUM((TBA_Matches_All[[#This Row],[OZflrT]])/(TBA_Matches_All[[#This Row],[OZflrT]]+TBA_Matches_All[[#This Row],[OZflrM]])),0)</f>
        <v>0</v>
      </c>
      <c r="BK263">
        <f>COUNTIFS(Dyno_Data[Team],TBA_Matches_All[[#This Row],[Team]],Dyno_Data[Match],TBA_Matches_All[[#This Row],[Match_Number]],Dyno_Data[RecordType],"Activities",Dyno_Data[DelOrig],"Neut", Dyno_Data[DelMiss],"0")</f>
        <v>0</v>
      </c>
      <c r="BL263">
        <f>COUNTIFS(Dyno_Data[Team],TBA_Matches_All[[#This Row],[Team]],Dyno_Data[Match],TBA_Matches_All[[#This Row],[Match_Number]],Dyno_Data[RecordType],"Activities",Dyno_Data[DelOrig],"Neut", Dyno_Data[DelMiss],"1")</f>
        <v>0</v>
      </c>
      <c r="BM263" s="60">
        <f>IFERROR(SUM((TBA_Matches_All[[#This Row],[NZflrT]])/(TBA_Matches_All[[#This Row],[NZflrT]]+TBA_Matches_All[[#This Row],[NZflrM]])),0)</f>
        <v>0</v>
      </c>
      <c r="BN263">
        <f>COUNTIFS(Dyno_Data[Team],TBA_Matches_All[[#This Row],[Team]],Dyno_Data[Match],TBA_Matches_All[[#This Row],[Match_Number]],Dyno_Data[RecordType],"Activities",Dyno_Data[DelOrig],"AllyW", Dyno_Data[DelMiss],"0")</f>
        <v>3</v>
      </c>
      <c r="BO263">
        <f>COUNTIFS(Dyno_Data[Team],TBA_Matches_All[[#This Row],[Team]],Dyno_Data[Match],TBA_Matches_All[[#This Row],[Match_Number]],Dyno_Data[RecordType],"Activities",Dyno_Data[DelOrig],"AllyW", Dyno_Data[DelMiss],"1")</f>
        <v>2</v>
      </c>
      <c r="BP263" s="60">
        <f>IFERROR(SUM((TBA_Matches_All[[#This Row],[AZflrT]])/(TBA_Matches_All[[#This Row],[AZflrT]]+TBA_Matches_All[[#This Row],[AZflrM]])),0)</f>
        <v>0.6</v>
      </c>
      <c r="BQ263">
        <f>COUNTIFS(Dyno_Data[Team],TBA_Matches_All[[#This Row],[Team]],Dyno_Data[Match],TBA_Matches_All[[#This Row],[Match_Number]],Dyno_Data[RecordType],"Activities",Dyno_Data[DelOrig],"SubW", Dyno_Data[DelMiss],"0")</f>
        <v>1</v>
      </c>
      <c r="BR263">
        <f>COUNTIFS(Dyno_Data[Team],TBA_Matches_All[[#This Row],[Team]],Dyno_Data[Match],TBA_Matches_All[[#This Row],[Match_Number]],Dyno_Data[RecordType],"Activities",Dyno_Data[DelOrig],"SubW", Dyno_Data[DelMiss],"1")</f>
        <v>1</v>
      </c>
      <c r="BS263" s="60">
        <f>IFERROR(SUM((TBA_Matches_All[[#This Row],[SubwT]])/(TBA_Matches_All[[#This Row],[SubwT]]+TBA_Matches_All[[#This Row],[SubwM]])),0)</f>
        <v>0.5</v>
      </c>
      <c r="BT263">
        <f>COUNTIFS(Dyno_Data[Team],TBA_Matches_All[[#This Row],[Team]],Dyno_Data[Match],TBA_Matches_All[[#This Row],[Match_Number]],Dyno_Data[RecordType],"Activities", Dyno_Data[AcqLoc],"OppWing")</f>
        <v>0</v>
      </c>
      <c r="BU263">
        <f>COUNTIFS(Dyno_Data[Team],TBA_Matches_All[[#This Row],[Team]],Dyno_Data[Match],TBA_Matches_All[[#This Row],[Match_Number]],Dyno_Data[RecordType],"Activities", Dyno_Data[AcqLoc],"Neutral")</f>
        <v>2</v>
      </c>
      <c r="BV263">
        <f>COUNTIFS(Dyno_Data[Team],TBA_Matches_All[[#This Row],[Team]],Dyno_Data[Match],TBA_Matches_All[[#This Row],[Match_Number]],Dyno_Data[RecordType],"Activities", Dyno_Data[AcqLoc],"AllyWing")</f>
        <v>0</v>
      </c>
      <c r="BW263">
        <f>COUNTIFS(Dyno_Data[Team],TBA_Matches_All[[#This Row],[Team]],Dyno_Data[Match],TBA_Matches_All[[#This Row],[Match_Number]],Dyno_Data[RecordType],"Activities", Dyno_Data[AcqLoc],"Source")</f>
        <v>0</v>
      </c>
      <c r="BX263">
        <f>SUMIFS(Dyno_Data[AcqDrp], Dyno_Data[Team],TBA_Matches_All[[#This Row],[Team]],Dyno_Data[Match],TBA_Matches_All[[#This Row],[Match_Number]],Dyno_Data[RecordType],"Activities", Dyno_Data[AcqLoc],"Source")</f>
        <v>0</v>
      </c>
      <c r="BY263">
        <f>SUMIFS(Dyno_Data[OZTime], Dyno_Data[Team],TBA_Matches_All[[#This Row],[Team]],Dyno_Data[Match],TBA_Matches_All[[#This Row],[Match_Number]],Dyno_Data[RecordType],"EndMatch")</f>
        <v>28.0161017</v>
      </c>
      <c r="BZ263">
        <f>SUMIFS(Dyno_Data[NZTime], Dyno_Data[Team],TBA_Matches_All[[#This Row],[Team]],Dyno_Data[Match],TBA_Matches_All[[#This Row],[Match_Number]],Dyno_Data[RecordType],"EndMatch")</f>
        <v>17.022559999999999</v>
      </c>
      <c r="CA263">
        <f>SUMIFS(Dyno_Data[AZTime], Dyno_Data[Team],TBA_Matches_All[[#This Row],[Team]],Dyno_Data[Match],TBA_Matches_All[[#This Row],[Match_Number]],Dyno_Data[RecordType],"EndMatch")</f>
        <v>76.296391499999999</v>
      </c>
      <c r="CB263">
        <f>SUMIFS(Dyno_Data[ClimbT], Dyno_Data[Team],TBA_Matches_All[[#This Row],[Team]],Dyno_Data[Match],TBA_Matches_All[[#This Row],[Match_Number]],Dyno_Data[RecordType],"EndMatch")</f>
        <v>2.6243626999999998</v>
      </c>
      <c r="CC263" t="str">
        <f>_xlfn.XLOOKUP(SUM(MID(TBA_Matches_All[[#This Row],[Team]],4,5),(TBA_Matches_All[[#This Row],[Match_Number]]/100)),Dyno_EndMatch[teammat],Dyno_EndMatch[StageStat],"_",0,1)</f>
        <v>On</v>
      </c>
      <c r="CD263" t="str">
        <f>_xlfn.XLOOKUP(TBA_Matches_All[[#This Row],[teammat]],Dyno_EndMatch[teammat],Dyno_EndMatch[StageAtt],"_",0,1)</f>
        <v>1</v>
      </c>
      <c r="CE263" t="str">
        <f>_xlfn.XLOOKUP(TBA_Matches_All[[#This Row],[teammat]],Dyno_EndMatch[teammat],Dyno_EndMatch[StageLoc],"_",0,1)</f>
        <v>L</v>
      </c>
      <c r="CF263">
        <f>SUMIFS(Dyno_Data[Harmony], Dyno_Data[Team],TBA_Matches_All[[#This Row],[Team]],Dyno_Data[Match],TBA_Matches_All[[#This Row],[Match_Number]],Dyno_Data[RecordType],"EndMatch", Dyno_Data[StageStat],"On",Dyno_Data[Harmony],"&lt;&gt;9")</f>
        <v>0</v>
      </c>
      <c r="CG263">
        <f>SUMIFS(Dyno_Data[Spotlit], Dyno_Data[Team],TBA_Matches_All[[#This Row],[Team]],Dyno_Data[Match],TBA_Matches_All[[#This Row],[Match_Number]],Dyno_Data[RecordType],"EndMatch", Dyno_Data[StageStat],"On",Dyno_Data[Spotlit],"&lt;&gt;9")</f>
        <v>0</v>
      </c>
      <c r="CH263" t="str">
        <f>_xlfn.XLOOKUP(TBA_Matches_All[[#This Row],[teammat]],Dyno_EndMatch[teammat],Dyno_EndMatch[Strategy],"_",0,1)</f>
        <v>Hybrid</v>
      </c>
      <c r="CI263">
        <f>SUMIFS(Dyno_Data[Defense], Dyno_Data[Team],TBA_Matches_All[[#This Row],[Team]],Dyno_Data[Match],TBA_Matches_All[[#This Row],[Match_Number]],Dyno_Data[RecordType],"EndMatch",Dyno_Data[Defense],"&lt;&gt;9")</f>
        <v>0</v>
      </c>
      <c r="CJ263">
        <f>SUMIFS(Dyno_Data[Avoidance], Dyno_Data[Team],TBA_Matches_All[[#This Row],[Team]],Dyno_Data[Match],TBA_Matches_All[[#This Row],[Match_Number]],Dyno_Data[RecordType],"EndMatch",Dyno_Data[Avoidance],"&lt;&gt;9")</f>
        <v>1</v>
      </c>
      <c r="CK263" s="82">
        <f>COUNTIF($H$2:TBA_Matches_All[[#This Row],[Team]],TBA_Matches_All[[#This Row],[Team]])</f>
        <v>6</v>
      </c>
      <c r="CL263" s="111">
        <f>SUM(MID(TBA_Matches_All[[#This Row],[Team]],4,5)+TBA_Matches_All[[#This Row],[Match_Number]]/100)</f>
        <v>296.44</v>
      </c>
      <c r="CM263">
        <f>SUM((TBA_Matches_All[[#This Row],[Leave]]*2)+(TBA_Matches_All[[#This Row],[AampT]]*2)+(TBA_Matches_All[[#This Row],[AspkrT]]*5)+(TBA_Matches_All[[#This Row],[AtrapT]]*5))</f>
        <v>5</v>
      </c>
      <c r="CN263" s="59">
        <f>IFERROR(SUM(TBA_Matches_All[[#This Row],[AptsT]]/TBA_Matches_All[[#This Row],[AutoPts]]),0)</f>
        <v>0.26315789473684209</v>
      </c>
      <c r="CO263" s="59">
        <f>IFERROR(SUM(TBA_Matches_All[[#This Row],[AampT]]+TBA_Matches_All[[#This Row],[AspkrT]]+TBA_Matches_All[[#This Row],[AtrapT]]/TBA_Matches_All[[#This Row],[Aamp]]+TBA_Matches_All[[#This Row],[Aspkr]]+TBA_Matches_All[[#This Row],[AtrapT]]),0)</f>
        <v>0</v>
      </c>
      <c r="CP263" s="59">
        <f>IFERROR(SUM(TBA_Matches_All[[#This Row],[TampT]]/TBA_Matches_All[[#This Row],[Tamp]]),0)</f>
        <v>0</v>
      </c>
      <c r="CQ263" s="59">
        <f>IFERROR(SUM(TBA_Matches_All[[#This Row],[TspkrT]]/TBA_Matches_All[[#This Row],[Tspkr]]),0)</f>
        <v>0.27272727272727271</v>
      </c>
      <c r="CR263">
        <f>SUM(TBA_Matches_All[[#This Row],[TspkrPts]]*TBA_Matches_All[[#This Row],[TspkrP]])</f>
        <v>6</v>
      </c>
      <c r="CS263" s="59">
        <f>IFERROR(SUM(TBA_Matches_All[[#This Row],[TtrapT]]/TBA_Matches_All[[#This Row],[Trap]]),0)</f>
        <v>0</v>
      </c>
      <c r="CT263" s="59">
        <f>IFERROR(SUM(TBA_Matches_All[[#This Row],[TotNotesT]]/TBA_Matches_All[[#This Row],[TotNotes]]),0)</f>
        <v>0.26666666666666666</v>
      </c>
      <c r="CU263" s="66">
        <f>SUM((TBA_Matches_All[[#This Row],[AampT]]*2)+(TBA_Matches_All[[#This Row],[AspkrT]]*5)+(TBA_Matches_All[[#This Row],[AtrapT]]*5)+(TBA_Matches_All[[#This Row],[TampT]]*1)+(TBA_Matches_All[[#This Row],[TspkrptsC]]))</f>
        <v>11</v>
      </c>
      <c r="CV263" s="59">
        <f>IFERROR(TBA_Matches_All[[#This Row],[noteptsT]]/TBA_Matches_All[[#This Row],[NotePts]],0)</f>
        <v>0.28947368421052633</v>
      </c>
      <c r="CW263">
        <f>SUM(IF(TBA_Matches_All[[#This Row],[stageStat]]="On",3,0),IF(TBA_Matches_All[[#This Row],[stageStat]]="Park",1,0),SUMIFS(TBA_Matches_All[[#This Row],[Spotlit]],TBA_Matches_All[[#This Row],[stageStat]],"On"),SUMIFS(TBA_Matches_All[[#This Row],[Harmony]],TBA_Matches_All[[#This Row],[stageStat]],"On"))</f>
        <v>3</v>
      </c>
      <c r="CX263" s="59">
        <f>IFERROR(TBA_Matches_All[[#This Row],[stageptsT]]/TBA_Matches_All[[#This Row],[StagePts]],0)</f>
        <v>0.42857142857142855</v>
      </c>
      <c r="CY263">
        <f>SUM((TBA_Matches_All[[#This Row],[AptsT]]+TBA_Matches_All[[#This Row],[TampT]]+TBA_Matches_All[[#This Row],[TspkrptsC]]+(TBA_Matches_All[[#This Row],[TtrapT]]*5)+TBA_Matches_All[[#This Row],[stageptsT]]))</f>
        <v>14</v>
      </c>
      <c r="CZ263" s="59">
        <f>IFERROR(SUM(TBA_Matches_All[[#This Row],[TotptsC]]/TBA_Matches_All[[#This Row],[Score]]),0)</f>
        <v>0.25</v>
      </c>
      <c r="DA26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9.6285714285714281</v>
      </c>
      <c r="DB263" s="74">
        <f>SUMIFS(TBA_Matches_All[AveTeamTNoteDels],TBA_Matches_All[Match_Number],TBA_Matches_All[[#This Row],[Match_Number]],TBA_Matches_All[Alliance],"&lt;&gt;"&amp;TBA_Matches_All[[#This Row],[Alliance]],TBA_Matches_All[Scouted],"&gt;0")</f>
        <v>46.185606060606062</v>
      </c>
      <c r="DC263" s="74">
        <f>(TBA_Matches_All[[#This Row],[TampT]]+TBA_Matches_All[[#This Row],[TspkrptsC]])-TBA_Matches_All[[#This Row],[AveTeamTNoteDels]]</f>
        <v>-3.6285714285714281</v>
      </c>
      <c r="DD263" s="74">
        <f>SUMIFS(TBA_Matches_All[AveTeamTNoteDels],TBA_Matches_All[Match_Number],TBA_Matches_All[[#This Row],[Match_Number]],TBA_Matches_All[Alliance],"&lt;&gt;"&amp;TBA_Matches_All[[#This Row],[Alliance]])-TBA_Matches_All[[#This Row],[AveOppTNoteDels]]</f>
        <v>0</v>
      </c>
    </row>
    <row r="264" spans="1:108" x14ac:dyDescent="0.3">
      <c r="A264" t="s">
        <v>1042</v>
      </c>
      <c r="B264" t="s">
        <v>489</v>
      </c>
      <c r="C264" t="s">
        <v>1353</v>
      </c>
      <c r="D264">
        <v>44</v>
      </c>
      <c r="E264" t="s">
        <v>1406</v>
      </c>
      <c r="F264" t="s">
        <v>1426</v>
      </c>
      <c r="G264" t="s">
        <v>164</v>
      </c>
      <c r="H264" t="s">
        <v>1286</v>
      </c>
      <c r="I264" t="b">
        <v>0</v>
      </c>
      <c r="J264">
        <v>92</v>
      </c>
      <c r="K264">
        <v>1</v>
      </c>
      <c r="L264">
        <v>1</v>
      </c>
      <c r="M264">
        <v>7</v>
      </c>
      <c r="N264">
        <v>0</v>
      </c>
      <c r="O264">
        <v>5</v>
      </c>
      <c r="P264">
        <v>25</v>
      </c>
      <c r="Q264">
        <v>29</v>
      </c>
      <c r="R264">
        <v>3</v>
      </c>
      <c r="S264">
        <v>3</v>
      </c>
      <c r="T264">
        <v>13</v>
      </c>
      <c r="U264">
        <v>15</v>
      </c>
      <c r="V264">
        <v>26</v>
      </c>
      <c r="W264">
        <v>16</v>
      </c>
      <c r="X264">
        <v>41</v>
      </c>
      <c r="Y264">
        <v>44</v>
      </c>
      <c r="Z264">
        <v>0</v>
      </c>
      <c r="AA264">
        <v>0</v>
      </c>
      <c r="AB264">
        <v>24</v>
      </c>
      <c r="AC264">
        <v>69</v>
      </c>
      <c r="AD264">
        <v>11</v>
      </c>
      <c r="AE264">
        <f>IFERROR(6/(COUNTIF(Dyno_EndMatch[Match],TBA_Matches_All[[#This Row],[Match_Number]])),0)</f>
        <v>1</v>
      </c>
      <c r="AF264">
        <f>COUNTIFS(Dyno_Data[Team],TBA_Matches_All[[#This Row],[Team]],Dyno_Data[Match],TBA_Matches_All[[#This Row],[Match_Number]],Dyno_Data[RecordType],"EndMatch",Dyno_Data[HPAmp],"Y")</f>
        <v>0</v>
      </c>
      <c r="AG264">
        <f>SUMIFS(Dyno_Data[Mics], Dyno_Data[Team],TBA_Matches_All[[#This Row],[Team]],Dyno_Data[Match],TBA_Matches_All[[#This Row],[Match_Number]],Dyno_Data[RecordType],"EndMatch",Dyno_Data[HPAmp],"Y")</f>
        <v>0</v>
      </c>
      <c r="AH264">
        <f>SUMIFS(Dyno_Data[Leave], Dyno_Data[Team],TBA_Matches_All[[#This Row],[Team]],Dyno_Data[Match],TBA_Matches_All[[#This Row],[Match_Number]],Dyno_Data[RecordType],"EndAuto")</f>
        <v>1</v>
      </c>
      <c r="AI264">
        <f>COUNTIFS(Dyno_Data[Team],TBA_Matches_All[[#This Row],[Team]],Dyno_Data[Match],TBA_Matches_All[[#This Row],[Match_Number]],Dyno_Data[RecordType],"Activities",Dyno_Data[DelDest],"Amp", Dyno_Data[DelMiss],"0", Dyno_Data[Mode],"Auto")</f>
        <v>0</v>
      </c>
      <c r="AJ264">
        <f>COUNTIFS(Dyno_Data[Team],TBA_Matches_All[[#This Row],[Team]],Dyno_Data[Match],TBA_Matches_All[[#This Row],[Match_Number]],Dyno_Data[RecordType],"Activities",Dyno_Data[DelDest],"Spkr", Dyno_Data[DelMiss],"0", Dyno_Data[Mode],"Auto")</f>
        <v>2</v>
      </c>
      <c r="AK264">
        <f>COUNTIFS(Dyno_Data[Team],TBA_Matches_All[[#This Row],[Team]],Dyno_Data[Match],TBA_Matches_All[[#This Row],[Match_Number]],Dyno_Data[RecordType],"Activities",Dyno_Data[DelDest],"Trap", Dyno_Data[DelMiss],"0", Dyno_Data[Mode],"Auto")</f>
        <v>0</v>
      </c>
      <c r="AL264">
        <f>COUNTIFS(Dyno_Data[Team],TBA_Matches_All[[#This Row],[Team]],Dyno_Data[Match],TBA_Matches_All[[#This Row],[Match_Number]],Dyno_Data[RecordType],"Activities",Dyno_Data[DelDest],"Amp", Dyno_Data[DelMiss],"0", Dyno_Data[Mode],"Teleop")</f>
        <v>1</v>
      </c>
      <c r="AM264">
        <f>COUNTIFS(Dyno_Data[Team],TBA_Matches_All[[#This Row],[Team]],Dyno_Data[Match],TBA_Matches_All[[#This Row],[Match_Number]],Dyno_Data[RecordType],"Activities",Dyno_Data[DelDest],"Spkr", Dyno_Data[DelMiss],"0", Dyno_Data[Mode],"Teleop")</f>
        <v>9</v>
      </c>
      <c r="AN264">
        <f>COUNTIFS(Dyno_Data[Team],TBA_Matches_All[[#This Row],[Team]],Dyno_Data[Match],TBA_Matches_All[[#This Row],[Match_Number]],Dyno_Data[RecordType],"Activities",Dyno_Data[DelDest],"Trap", Dyno_Data[DelMiss],"0", Dyno_Data[Mode],"&lt;&gt;Auto")</f>
        <v>0</v>
      </c>
      <c r="AO264">
        <f>SUM(TBA_Matches_All[[#This Row],[AampT]]+TBA_Matches_All[[#This Row],[AspkrT]]+TBA_Matches_All[[#This Row],[AtrapT]]+TBA_Matches_All[[#This Row],[TampT]]+TBA_Matches_All[[#This Row],[TspkrT]]+TBA_Matches_All[[#This Row],[TtrapT]])</f>
        <v>12</v>
      </c>
      <c r="AP264">
        <f>COUNTIFS(Dyno_Data[Team],TBA_Matches_All[[#This Row],[Team]],Dyno_Data[Match],TBA_Matches_All[[#This Row],[Match_Number]],Dyno_Data[RecordType],"Activities",Dyno_Data[DelDest],"Neut", Dyno_Data[DelMiss],"0")</f>
        <v>0</v>
      </c>
      <c r="AQ264">
        <f>COUNTIFS(Dyno_Data[Team],TBA_Matches_All[[#This Row],[Team]],Dyno_Data[Match],TBA_Matches_All[[#This Row],[Match_Number]],Dyno_Data[RecordType],"Activities",Dyno_Data[DelDest],"AllyW", Dyno_Data[DelMiss],"0")</f>
        <v>0</v>
      </c>
      <c r="AR264" t="str">
        <f>_xlfn.XLOOKUP(SUM(MID(TBA_Matches_All[[#This Row],[Team]],4,5),(TBA_Matches_All[[#This Row],[Match_Number]]/100)),Dyno_EndMatch[teammat],Dyno_EndMatch[RobotSta],"_",0,1)</f>
        <v>SubW</v>
      </c>
      <c r="AS264">
        <f>SUMIFS(Dyno_Data[AcqDis], Dyno_Data[Team],TBA_Matches_All[[#This Row],[Team]],Dyno_Data[Match],TBA_Matches_All[[#This Row],[Match_Number]],Dyno_Data[RecordType],"Activities", Dyno_Data[AcqCenter],1,Dyno_Data[Mode],"Auto")</f>
        <v>0</v>
      </c>
      <c r="AT264">
        <f>SUMIFS(Dyno_Data[AcqDis], Dyno_Data[Team],TBA_Matches_All[[#This Row],[Team]],Dyno_Data[Match],TBA_Matches_All[[#This Row],[Match_Number]],Dyno_Data[RecordType],"Activities", Dyno_Data[AcqCenter],2,Dyno_Data[Mode],"Auto")</f>
        <v>0</v>
      </c>
      <c r="AU264">
        <f>SUMIFS(Dyno_Data[AcqDis], Dyno_Data[Team],TBA_Matches_All[[#This Row],[Team]],Dyno_Data[Match],TBA_Matches_All[[#This Row],[Match_Number]],Dyno_Data[RecordType],"Activities", Dyno_Data[AcqCenter],3,Dyno_Data[Mode],"Auto")</f>
        <v>0</v>
      </c>
      <c r="AV264">
        <f>SUMIFS(Dyno_Data[AcqDis], Dyno_Data[Team],TBA_Matches_All[[#This Row],[Team]],Dyno_Data[Match],TBA_Matches_All[[#This Row],[Match_Number]],Dyno_Data[RecordType],"Activities", Dyno_Data[AcqCenter],4,Dyno_Data[Mode],"Auto")</f>
        <v>1</v>
      </c>
      <c r="AW264">
        <f>SUMIFS(Dyno_Data[AcqDis], Dyno_Data[Team],TBA_Matches_All[[#This Row],[Team]],Dyno_Data[Match],TBA_Matches_All[[#This Row],[Match_Number]],Dyno_Data[RecordType],"Activities", Dyno_Data[AcqCenter],5,Dyno_Data[Mode],"Auto")</f>
        <v>1</v>
      </c>
      <c r="AX264">
        <f>SUMIFS(Dyno_Data[DelMiss], Dyno_Data[Team],TBA_Matches_All[[#This Row],[Team]],Dyno_Data[Match],TBA_Matches_All[[#This Row],[Match_Number]],Dyno_Data[RecordType],"Activities", Dyno_Data[DelDest],"Amp")</f>
        <v>0</v>
      </c>
      <c r="AY264" s="60">
        <f>IFERROR(SUM((TBA_Matches_All[[#This Row],[AampT]]+TBA_Matches_All[[#This Row],[TampT]])/(TBA_Matches_All[[#This Row],[AampT]]+TBA_Matches_All[[#This Row],[TampT]]+TBA_Matches_All[[#This Row],[ampM]])),0)</f>
        <v>1</v>
      </c>
      <c r="AZ264">
        <f>SUMIFS(Dyno_Data[DelMiss], Dyno_Data[Team],TBA_Matches_All[[#This Row],[Team]],Dyno_Data[Match],TBA_Matches_All[[#This Row],[Match_Number]],Dyno_Data[RecordType],"Activities", Dyno_Data[DelDest],"Spkr")</f>
        <v>0</v>
      </c>
      <c r="BA264" s="60">
        <f>IFERROR(SUM((TBA_Matches_All[[#This Row],[AspkrT]]+TBA_Matches_All[[#This Row],[TspkrT]])/(TBA_Matches_All[[#This Row],[AspkrT]]+TBA_Matches_All[[#This Row],[TspkrT]]+TBA_Matches_All[[#This Row],[spkrM]])),0)</f>
        <v>1</v>
      </c>
      <c r="BB264">
        <f>SUMIFS(Dyno_Data[DelMiss], Dyno_Data[Team],TBA_Matches_All[[#This Row],[Team]],Dyno_Data[Match],TBA_Matches_All[[#This Row],[Match_Number]],Dyno_Data[RecordType],"Activities", Dyno_Data[DelDest],"Trap")</f>
        <v>0</v>
      </c>
      <c r="BC264" s="60">
        <f>IFERROR((TBA_Matches_All[[#This Row],[AtrapT]]+TBA_Matches_All[[#This Row],[TtrapT]])/(TBA_Matches_All[[#This Row],[AtrapT]]+TBA_Matches_All[[#This Row],[TtrapT]]+TBA_Matches_All[[#This Row],[trapM]]),0)</f>
        <v>0</v>
      </c>
      <c r="BD264">
        <f>COUNTIFS(Dyno_Data[Team],TBA_Matches_All[[#This Row],[Team]],Dyno_Data[Match],TBA_Matches_All[[#This Row],[Match_Number]],Dyno_Data[RecordType],"Activities",Dyno_Data[DelDest],"Neut", Dyno_Data[DelMiss],1)</f>
        <v>0</v>
      </c>
      <c r="BE264" s="60">
        <f>IFERROR(SUM((TBA_Matches_All[[#This Row],[NeutFlrT]])/(TBA_Matches_All[[#This Row],[NeutFlrT]]+TBA_Matches_All[[#This Row],[NZflM]])),0)</f>
        <v>0</v>
      </c>
      <c r="BF264">
        <f>COUNTIFS(Dyno_Data[Team],TBA_Matches_All[[#This Row],[Team]],Dyno_Data[Match],TBA_Matches_All[[#This Row],[Match_Number]],Dyno_Data[RecordType],"Activities",Dyno_Data[DelDest],"AllyW", Dyno_Data[DelMiss],1)</f>
        <v>0</v>
      </c>
      <c r="BG264" s="60">
        <f>IFERROR(SUM((TBA_Matches_All[[#This Row],[AllyWFlrT]])/(TBA_Matches_All[[#This Row],[AllyWFlrT]]+TBA_Matches_All[[#This Row],[AZflM]])),0)</f>
        <v>0</v>
      </c>
      <c r="BH264">
        <f>COUNTIFS(Dyno_Data[Team],TBA_Matches_All[[#This Row],[Team]],Dyno_Data[Match],TBA_Matches_All[[#This Row],[Match_Number]],Dyno_Data[RecordType],"Activities",Dyno_Data[DelOrig],"OppW", Dyno_Data[DelMiss],"0")</f>
        <v>0</v>
      </c>
      <c r="BI264">
        <f>COUNTIFS(Dyno_Data[Team],TBA_Matches_All[[#This Row],[Team]],Dyno_Data[Match],TBA_Matches_All[[#This Row],[Match_Number]],Dyno_Data[RecordType],"Activities",Dyno_Data[DelOrig],"OppW", Dyno_Data[DelMiss],"1")</f>
        <v>0</v>
      </c>
      <c r="BJ264" s="60">
        <f>IFERROR(SUM((TBA_Matches_All[[#This Row],[OZflrT]])/(TBA_Matches_All[[#This Row],[OZflrT]]+TBA_Matches_All[[#This Row],[OZflrM]])),0)</f>
        <v>0</v>
      </c>
      <c r="BK264">
        <f>COUNTIFS(Dyno_Data[Team],TBA_Matches_All[[#This Row],[Team]],Dyno_Data[Match],TBA_Matches_All[[#This Row],[Match_Number]],Dyno_Data[RecordType],"Activities",Dyno_Data[DelOrig],"Neut", Dyno_Data[DelMiss],"0")</f>
        <v>0</v>
      </c>
      <c r="BL264">
        <f>COUNTIFS(Dyno_Data[Team],TBA_Matches_All[[#This Row],[Team]],Dyno_Data[Match],TBA_Matches_All[[#This Row],[Match_Number]],Dyno_Data[RecordType],"Activities",Dyno_Data[DelOrig],"Neut", Dyno_Data[DelMiss],"1")</f>
        <v>0</v>
      </c>
      <c r="BM264" s="60">
        <f>IFERROR(SUM((TBA_Matches_All[[#This Row],[NZflrT]])/(TBA_Matches_All[[#This Row],[NZflrT]]+TBA_Matches_All[[#This Row],[NZflrM]])),0)</f>
        <v>0</v>
      </c>
      <c r="BN264">
        <f>COUNTIFS(Dyno_Data[Team],TBA_Matches_All[[#This Row],[Team]],Dyno_Data[Match],TBA_Matches_All[[#This Row],[Match_Number]],Dyno_Data[RecordType],"Activities",Dyno_Data[DelOrig],"AllyW", Dyno_Data[DelMiss],"0")</f>
        <v>10</v>
      </c>
      <c r="BO264">
        <f>COUNTIFS(Dyno_Data[Team],TBA_Matches_All[[#This Row],[Team]],Dyno_Data[Match],TBA_Matches_All[[#This Row],[Match_Number]],Dyno_Data[RecordType],"Activities",Dyno_Data[DelOrig],"AllyW", Dyno_Data[DelMiss],"1")</f>
        <v>0</v>
      </c>
      <c r="BP264" s="60">
        <f>IFERROR(SUM((TBA_Matches_All[[#This Row],[AZflrT]])/(TBA_Matches_All[[#This Row],[AZflrT]]+TBA_Matches_All[[#This Row],[AZflrM]])),0)</f>
        <v>1</v>
      </c>
      <c r="BQ264">
        <f>COUNTIFS(Dyno_Data[Team],TBA_Matches_All[[#This Row],[Team]],Dyno_Data[Match],TBA_Matches_All[[#This Row],[Match_Number]],Dyno_Data[RecordType],"Activities",Dyno_Data[DelOrig],"SubW", Dyno_Data[DelMiss],"0")</f>
        <v>2</v>
      </c>
      <c r="BR264">
        <f>COUNTIFS(Dyno_Data[Team],TBA_Matches_All[[#This Row],[Team]],Dyno_Data[Match],TBA_Matches_All[[#This Row],[Match_Number]],Dyno_Data[RecordType],"Activities",Dyno_Data[DelOrig],"SubW", Dyno_Data[DelMiss],"1")</f>
        <v>0</v>
      </c>
      <c r="BS264" s="60">
        <f>IFERROR(SUM((TBA_Matches_All[[#This Row],[SubwT]])/(TBA_Matches_All[[#This Row],[SubwT]]+TBA_Matches_All[[#This Row],[SubwM]])),0)</f>
        <v>1</v>
      </c>
      <c r="BT264">
        <f>COUNTIFS(Dyno_Data[Team],TBA_Matches_All[[#This Row],[Team]],Dyno_Data[Match],TBA_Matches_All[[#This Row],[Match_Number]],Dyno_Data[RecordType],"Activities", Dyno_Data[AcqLoc],"OppWing")</f>
        <v>0</v>
      </c>
      <c r="BU264">
        <f>COUNTIFS(Dyno_Data[Team],TBA_Matches_All[[#This Row],[Team]],Dyno_Data[Match],TBA_Matches_All[[#This Row],[Match_Number]],Dyno_Data[RecordType],"Activities", Dyno_Data[AcqLoc],"Neutral")</f>
        <v>3</v>
      </c>
      <c r="BV264">
        <f>COUNTIFS(Dyno_Data[Team],TBA_Matches_All[[#This Row],[Team]],Dyno_Data[Match],TBA_Matches_All[[#This Row],[Match_Number]],Dyno_Data[RecordType],"Activities", Dyno_Data[AcqLoc],"AllyWing")</f>
        <v>0</v>
      </c>
      <c r="BW264">
        <f>COUNTIFS(Dyno_Data[Team],TBA_Matches_All[[#This Row],[Team]],Dyno_Data[Match],TBA_Matches_All[[#This Row],[Match_Number]],Dyno_Data[RecordType],"Activities", Dyno_Data[AcqLoc],"Source")</f>
        <v>0</v>
      </c>
      <c r="BX264">
        <f>SUMIFS(Dyno_Data[AcqDrp], Dyno_Data[Team],TBA_Matches_All[[#This Row],[Team]],Dyno_Data[Match],TBA_Matches_All[[#This Row],[Match_Number]],Dyno_Data[RecordType],"Activities", Dyno_Data[AcqLoc],"Source")</f>
        <v>0</v>
      </c>
      <c r="BY264">
        <f>SUMIFS(Dyno_Data[OZTime], Dyno_Data[Team],TBA_Matches_All[[#This Row],[Team]],Dyno_Data[Match],TBA_Matches_All[[#This Row],[Match_Number]],Dyno_Data[RecordType],"EndMatch")</f>
        <v>40.933058699999997</v>
      </c>
      <c r="BZ264">
        <f>SUMIFS(Dyno_Data[NZTime], Dyno_Data[Team],TBA_Matches_All[[#This Row],[Team]],Dyno_Data[Match],TBA_Matches_All[[#This Row],[Match_Number]],Dyno_Data[RecordType],"EndMatch")</f>
        <v>25.879414000000001</v>
      </c>
      <c r="CA264">
        <f>SUMIFS(Dyno_Data[AZTime], Dyno_Data[Team],TBA_Matches_All[[#This Row],[Team]],Dyno_Data[Match],TBA_Matches_All[[#This Row],[Match_Number]],Dyno_Data[RecordType],"EndMatch")</f>
        <v>45.639090099999997</v>
      </c>
      <c r="CB264">
        <f>SUMIFS(Dyno_Data[ClimbT], Dyno_Data[Team],TBA_Matches_All[[#This Row],[Team]],Dyno_Data[Match],TBA_Matches_All[[#This Row],[Match_Number]],Dyno_Data[RecordType],"EndMatch")</f>
        <v>12.8681491</v>
      </c>
      <c r="CC264" t="str">
        <f>_xlfn.XLOOKUP(SUM(MID(TBA_Matches_All[[#This Row],[Team]],4,5),(TBA_Matches_All[[#This Row],[Match_Number]]/100)),Dyno_EndMatch[teammat],Dyno_EndMatch[StageStat],"_",0,1)</f>
        <v>On</v>
      </c>
      <c r="CD264" t="str">
        <f>_xlfn.XLOOKUP(TBA_Matches_All[[#This Row],[teammat]],Dyno_EndMatch[teammat],Dyno_EndMatch[StageAtt],"_",0,1)</f>
        <v>1</v>
      </c>
      <c r="CE264" t="str">
        <f>_xlfn.XLOOKUP(TBA_Matches_All[[#This Row],[teammat]],Dyno_EndMatch[teammat],Dyno_EndMatch[StageLoc],"_",0,1)</f>
        <v>R</v>
      </c>
      <c r="CF264">
        <f>SUMIFS(Dyno_Data[Harmony], Dyno_Data[Team],TBA_Matches_All[[#This Row],[Team]],Dyno_Data[Match],TBA_Matches_All[[#This Row],[Match_Number]],Dyno_Data[RecordType],"EndMatch", Dyno_Data[StageStat],"On",Dyno_Data[Harmony],"&lt;&gt;9")</f>
        <v>0</v>
      </c>
      <c r="CG264">
        <f>SUMIFS(Dyno_Data[Spotlit], Dyno_Data[Team],TBA_Matches_All[[#This Row],[Team]],Dyno_Data[Match],TBA_Matches_All[[#This Row],[Match_Number]],Dyno_Data[RecordType],"EndMatch", Dyno_Data[StageStat],"On",Dyno_Data[Spotlit],"&lt;&gt;9")</f>
        <v>1</v>
      </c>
      <c r="CH264" t="str">
        <f>_xlfn.XLOOKUP(TBA_Matches_All[[#This Row],[teammat]],Dyno_EndMatch[teammat],Dyno_EndMatch[Strategy],"_",0,1)</f>
        <v>Hybrid</v>
      </c>
      <c r="CI264">
        <f>SUMIFS(Dyno_Data[Defense], Dyno_Data[Team],TBA_Matches_All[[#This Row],[Team]],Dyno_Data[Match],TBA_Matches_All[[#This Row],[Match_Number]],Dyno_Data[RecordType],"EndMatch",Dyno_Data[Defense],"&lt;&gt;9")</f>
        <v>0</v>
      </c>
      <c r="CJ264">
        <f>SUMIFS(Dyno_Data[Avoidance], Dyno_Data[Team],TBA_Matches_All[[#This Row],[Team]],Dyno_Data[Match],TBA_Matches_All[[#This Row],[Match_Number]],Dyno_Data[RecordType],"EndMatch",Dyno_Data[Avoidance],"&lt;&gt;9")</f>
        <v>0</v>
      </c>
      <c r="CK264" s="82">
        <f>COUNTIF($H$2:TBA_Matches_All[[#This Row],[Team]],TBA_Matches_All[[#This Row],[Team]])</f>
        <v>6</v>
      </c>
      <c r="CL264" s="111">
        <f>SUM(MID(TBA_Matches_All[[#This Row],[Team]],4,5)+TBA_Matches_All[[#This Row],[Match_Number]]/100)</f>
        <v>1591.44</v>
      </c>
      <c r="CM264">
        <f>SUM((TBA_Matches_All[[#This Row],[Leave]]*2)+(TBA_Matches_All[[#This Row],[AampT]]*2)+(TBA_Matches_All[[#This Row],[AspkrT]]*5)+(TBA_Matches_All[[#This Row],[AtrapT]]*5))</f>
        <v>12</v>
      </c>
      <c r="CN264" s="59">
        <f>IFERROR(SUM(TBA_Matches_All[[#This Row],[AptsT]]/TBA_Matches_All[[#This Row],[AutoPts]]),0)</f>
        <v>0.41379310344827586</v>
      </c>
      <c r="CO264" s="59">
        <f>IFERROR(SUM(TBA_Matches_All[[#This Row],[AampT]]+TBA_Matches_All[[#This Row],[AspkrT]]+TBA_Matches_All[[#This Row],[AtrapT]]/TBA_Matches_All[[#This Row],[Aamp]]+TBA_Matches_All[[#This Row],[Aspkr]]+TBA_Matches_All[[#This Row],[AtrapT]]),0)</f>
        <v>0</v>
      </c>
      <c r="CP264" s="59">
        <f>IFERROR(SUM(TBA_Matches_All[[#This Row],[TampT]]/TBA_Matches_All[[#This Row],[Tamp]]),0)</f>
        <v>0.33333333333333331</v>
      </c>
      <c r="CQ264" s="59">
        <f>IFERROR(SUM(TBA_Matches_All[[#This Row],[TspkrT]]/TBA_Matches_All[[#This Row],[Tspkr]]),0)</f>
        <v>0.5625</v>
      </c>
      <c r="CR264">
        <f>SUM(TBA_Matches_All[[#This Row],[TspkrPts]]*TBA_Matches_All[[#This Row],[TspkrP]])</f>
        <v>23.0625</v>
      </c>
      <c r="CS264" s="59">
        <f>IFERROR(SUM(TBA_Matches_All[[#This Row],[TtrapT]]/TBA_Matches_All[[#This Row],[Trap]]),0)</f>
        <v>0</v>
      </c>
      <c r="CT264" s="59">
        <f>IFERROR(SUM(TBA_Matches_All[[#This Row],[TotNotesT]]/TBA_Matches_All[[#This Row],[TotNotes]]),0)</f>
        <v>0.5</v>
      </c>
      <c r="CU264" s="66">
        <f>SUM((TBA_Matches_All[[#This Row],[AampT]]*2)+(TBA_Matches_All[[#This Row],[AspkrT]]*5)+(TBA_Matches_All[[#This Row],[AtrapT]]*5)+(TBA_Matches_All[[#This Row],[TampT]]*1)+(TBA_Matches_All[[#This Row],[TspkrptsC]]))</f>
        <v>34.0625</v>
      </c>
      <c r="CV264" s="59">
        <f>IFERROR(TBA_Matches_All[[#This Row],[noteptsT]]/TBA_Matches_All[[#This Row],[NotePts]],0)</f>
        <v>0.4936594202898551</v>
      </c>
      <c r="CW264">
        <f>SUM(IF(TBA_Matches_All[[#This Row],[stageStat]]="On",3,0),IF(TBA_Matches_All[[#This Row],[stageStat]]="Park",1,0),SUMIFS(TBA_Matches_All[[#This Row],[Spotlit]],TBA_Matches_All[[#This Row],[stageStat]],"On"),SUMIFS(TBA_Matches_All[[#This Row],[Harmony]],TBA_Matches_All[[#This Row],[stageStat]],"On"))</f>
        <v>4</v>
      </c>
      <c r="CX264" s="59">
        <f>IFERROR(TBA_Matches_All[[#This Row],[stageptsT]]/TBA_Matches_All[[#This Row],[StagePts]],0)</f>
        <v>0.36363636363636365</v>
      </c>
      <c r="CY264">
        <f>SUM((TBA_Matches_All[[#This Row],[AptsT]]+TBA_Matches_All[[#This Row],[TampT]]+TBA_Matches_All[[#This Row],[TspkrptsC]]+(TBA_Matches_All[[#This Row],[TtrapT]]*5)+TBA_Matches_All[[#This Row],[stageptsT]]))</f>
        <v>40.0625</v>
      </c>
      <c r="CZ264" s="59">
        <f>IFERROR(SUM(TBA_Matches_All[[#This Row],[TotptsC]]/TBA_Matches_All[[#This Row],[Score]]),0)</f>
        <v>0.43546195652173914</v>
      </c>
      <c r="DA26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20.0625</v>
      </c>
      <c r="DB264" s="74">
        <f>SUMIFS(TBA_Matches_All[AveTeamTNoteDels],TBA_Matches_All[Match_Number],TBA_Matches_All[[#This Row],[Match_Number]],TBA_Matches_All[Alliance],"&lt;&gt;"&amp;TBA_Matches_All[[#This Row],[Alliance]],TBA_Matches_All[Scouted],"&gt;0")</f>
        <v>32.998717948717953</v>
      </c>
      <c r="DC264" s="74">
        <f>(TBA_Matches_All[[#This Row],[TampT]]+TBA_Matches_All[[#This Row],[TspkrptsC]])-TBA_Matches_All[[#This Row],[AveTeamTNoteDels]]</f>
        <v>4</v>
      </c>
      <c r="DD264" s="74">
        <f>SUMIFS(TBA_Matches_All[AveTeamTNoteDels],TBA_Matches_All[Match_Number],TBA_Matches_All[[#This Row],[Match_Number]],TBA_Matches_All[Alliance],"&lt;&gt;"&amp;TBA_Matches_All[[#This Row],[Alliance]])-TBA_Matches_All[[#This Row],[AveOppTNoteDels]]</f>
        <v>0</v>
      </c>
    </row>
    <row r="265" spans="1:108" x14ac:dyDescent="0.3">
      <c r="A265" t="s">
        <v>1042</v>
      </c>
      <c r="B265" t="s">
        <v>489</v>
      </c>
      <c r="C265" t="s">
        <v>1353</v>
      </c>
      <c r="D265">
        <v>44</v>
      </c>
      <c r="E265" t="s">
        <v>1420</v>
      </c>
      <c r="F265" t="s">
        <v>1421</v>
      </c>
      <c r="G265" t="s">
        <v>164</v>
      </c>
      <c r="H265" t="s">
        <v>1310</v>
      </c>
      <c r="I265" t="b">
        <v>0</v>
      </c>
      <c r="J265">
        <v>56</v>
      </c>
      <c r="K265">
        <v>0</v>
      </c>
      <c r="L265">
        <v>0</v>
      </c>
      <c r="M265">
        <v>8</v>
      </c>
      <c r="N265">
        <v>0</v>
      </c>
      <c r="O265">
        <v>3</v>
      </c>
      <c r="P265">
        <v>15</v>
      </c>
      <c r="Q265">
        <v>19</v>
      </c>
      <c r="R265">
        <v>1</v>
      </c>
      <c r="S265">
        <v>0</v>
      </c>
      <c r="T265">
        <v>11</v>
      </c>
      <c r="U265">
        <v>0</v>
      </c>
      <c r="V265">
        <v>22</v>
      </c>
      <c r="W265">
        <v>11</v>
      </c>
      <c r="X265">
        <v>22</v>
      </c>
      <c r="Y265">
        <v>23</v>
      </c>
      <c r="Z265">
        <v>0</v>
      </c>
      <c r="AA265">
        <v>0</v>
      </c>
      <c r="AB265">
        <v>15</v>
      </c>
      <c r="AC265">
        <v>38</v>
      </c>
      <c r="AD265">
        <v>7</v>
      </c>
      <c r="AE265">
        <f>IFERROR(6/(COUNTIF(Dyno_EndMatch[Match],TBA_Matches_All[[#This Row],[Match_Number]])),0)</f>
        <v>1</v>
      </c>
      <c r="AF265">
        <f>COUNTIFS(Dyno_Data[Team],TBA_Matches_All[[#This Row],[Team]],Dyno_Data[Match],TBA_Matches_All[[#This Row],[Match_Number]],Dyno_Data[RecordType],"EndMatch",Dyno_Data[HPAmp],"Y")</f>
        <v>0</v>
      </c>
      <c r="AG265">
        <f>SUMIFS(Dyno_Data[Mics], Dyno_Data[Team],TBA_Matches_All[[#This Row],[Team]],Dyno_Data[Match],TBA_Matches_All[[#This Row],[Match_Number]],Dyno_Data[RecordType],"EndMatch",Dyno_Data[HPAmp],"Y")</f>
        <v>0</v>
      </c>
      <c r="AH265">
        <f>SUMIFS(Dyno_Data[Leave], Dyno_Data[Team],TBA_Matches_All[[#This Row],[Team]],Dyno_Data[Match],TBA_Matches_All[[#This Row],[Match_Number]],Dyno_Data[RecordType],"EndAuto")</f>
        <v>0</v>
      </c>
      <c r="AI265">
        <f>COUNTIFS(Dyno_Data[Team],TBA_Matches_All[[#This Row],[Team]],Dyno_Data[Match],TBA_Matches_All[[#This Row],[Match_Number]],Dyno_Data[RecordType],"Activities",Dyno_Data[DelDest],"Amp", Dyno_Data[DelMiss],"0", Dyno_Data[Mode],"Auto")</f>
        <v>0</v>
      </c>
      <c r="AJ265">
        <f>COUNTIFS(Dyno_Data[Team],TBA_Matches_All[[#This Row],[Team]],Dyno_Data[Match],TBA_Matches_All[[#This Row],[Match_Number]],Dyno_Data[RecordType],"Activities",Dyno_Data[DelDest],"Spkr", Dyno_Data[DelMiss],"0", Dyno_Data[Mode],"Auto")</f>
        <v>0</v>
      </c>
      <c r="AK265">
        <f>COUNTIFS(Dyno_Data[Team],TBA_Matches_All[[#This Row],[Team]],Dyno_Data[Match],TBA_Matches_All[[#This Row],[Match_Number]],Dyno_Data[RecordType],"Activities",Dyno_Data[DelDest],"Trap", Dyno_Data[DelMiss],"0", Dyno_Data[Mode],"Auto")</f>
        <v>0</v>
      </c>
      <c r="AL265">
        <f>COUNTIFS(Dyno_Data[Team],TBA_Matches_All[[#This Row],[Team]],Dyno_Data[Match],TBA_Matches_All[[#This Row],[Match_Number]],Dyno_Data[RecordType],"Activities",Dyno_Data[DelDest],"Amp", Dyno_Data[DelMiss],"0", Dyno_Data[Mode],"Teleop")</f>
        <v>0</v>
      </c>
      <c r="AM265">
        <f>COUNTIFS(Dyno_Data[Team],TBA_Matches_All[[#This Row],[Team]],Dyno_Data[Match],TBA_Matches_All[[#This Row],[Match_Number]],Dyno_Data[RecordType],"Activities",Dyno_Data[DelDest],"Spkr", Dyno_Data[DelMiss],"0", Dyno_Data[Mode],"Teleop")</f>
        <v>2</v>
      </c>
      <c r="AN265">
        <f>COUNTIFS(Dyno_Data[Team],TBA_Matches_All[[#This Row],[Team]],Dyno_Data[Match],TBA_Matches_All[[#This Row],[Match_Number]],Dyno_Data[RecordType],"Activities",Dyno_Data[DelDest],"Trap", Dyno_Data[DelMiss],"0", Dyno_Data[Mode],"&lt;&gt;Auto")</f>
        <v>0</v>
      </c>
      <c r="AO265">
        <f>SUM(TBA_Matches_All[[#This Row],[AampT]]+TBA_Matches_All[[#This Row],[AspkrT]]+TBA_Matches_All[[#This Row],[AtrapT]]+TBA_Matches_All[[#This Row],[TampT]]+TBA_Matches_All[[#This Row],[TspkrT]]+TBA_Matches_All[[#This Row],[TtrapT]])</f>
        <v>2</v>
      </c>
      <c r="AP265">
        <f>COUNTIFS(Dyno_Data[Team],TBA_Matches_All[[#This Row],[Team]],Dyno_Data[Match],TBA_Matches_All[[#This Row],[Match_Number]],Dyno_Data[RecordType],"Activities",Dyno_Data[DelDest],"Neut", Dyno_Data[DelMiss],"0")</f>
        <v>0</v>
      </c>
      <c r="AQ265">
        <f>COUNTIFS(Dyno_Data[Team],TBA_Matches_All[[#This Row],[Team]],Dyno_Data[Match],TBA_Matches_All[[#This Row],[Match_Number]],Dyno_Data[RecordType],"Activities",Dyno_Data[DelDest],"AllyW", Dyno_Data[DelMiss],"0")</f>
        <v>0</v>
      </c>
      <c r="AR265" t="str">
        <f>_xlfn.XLOOKUP(SUM(MID(TBA_Matches_All[[#This Row],[Team]],4,5),(TBA_Matches_All[[#This Row],[Match_Number]]/100)),Dyno_EndMatch[teammat],Dyno_EndMatch[RobotSta],"_",0,1)</f>
        <v>Amp</v>
      </c>
      <c r="AS265">
        <f>SUMIFS(Dyno_Data[AcqDis], Dyno_Data[Team],TBA_Matches_All[[#This Row],[Team]],Dyno_Data[Match],TBA_Matches_All[[#This Row],[Match_Number]],Dyno_Data[RecordType],"Activities", Dyno_Data[AcqCenter],1,Dyno_Data[Mode],"Auto")</f>
        <v>0</v>
      </c>
      <c r="AT265">
        <f>SUMIFS(Dyno_Data[AcqDis], Dyno_Data[Team],TBA_Matches_All[[#This Row],[Team]],Dyno_Data[Match],TBA_Matches_All[[#This Row],[Match_Number]],Dyno_Data[RecordType],"Activities", Dyno_Data[AcqCenter],2,Dyno_Data[Mode],"Auto")</f>
        <v>0</v>
      </c>
      <c r="AU265">
        <f>SUMIFS(Dyno_Data[AcqDis], Dyno_Data[Team],TBA_Matches_All[[#This Row],[Team]],Dyno_Data[Match],TBA_Matches_All[[#This Row],[Match_Number]],Dyno_Data[RecordType],"Activities", Dyno_Data[AcqCenter],3,Dyno_Data[Mode],"Auto")</f>
        <v>0</v>
      </c>
      <c r="AV265">
        <f>SUMIFS(Dyno_Data[AcqDis], Dyno_Data[Team],TBA_Matches_All[[#This Row],[Team]],Dyno_Data[Match],TBA_Matches_All[[#This Row],[Match_Number]],Dyno_Data[RecordType],"Activities", Dyno_Data[AcqCenter],4,Dyno_Data[Mode],"Auto")</f>
        <v>0</v>
      </c>
      <c r="AW265">
        <f>SUMIFS(Dyno_Data[AcqDis], Dyno_Data[Team],TBA_Matches_All[[#This Row],[Team]],Dyno_Data[Match],TBA_Matches_All[[#This Row],[Match_Number]],Dyno_Data[RecordType],"Activities", Dyno_Data[AcqCenter],5,Dyno_Data[Mode],"Auto")</f>
        <v>0</v>
      </c>
      <c r="AX265">
        <f>SUMIFS(Dyno_Data[DelMiss], Dyno_Data[Team],TBA_Matches_All[[#This Row],[Team]],Dyno_Data[Match],TBA_Matches_All[[#This Row],[Match_Number]],Dyno_Data[RecordType],"Activities", Dyno_Data[DelDest],"Amp")</f>
        <v>0</v>
      </c>
      <c r="AY265" s="60">
        <f>IFERROR(SUM((TBA_Matches_All[[#This Row],[AampT]]+TBA_Matches_All[[#This Row],[TampT]])/(TBA_Matches_All[[#This Row],[AampT]]+TBA_Matches_All[[#This Row],[TampT]]+TBA_Matches_All[[#This Row],[ampM]])),0)</f>
        <v>0</v>
      </c>
      <c r="AZ265">
        <f>SUMIFS(Dyno_Data[DelMiss], Dyno_Data[Team],TBA_Matches_All[[#This Row],[Team]],Dyno_Data[Match],TBA_Matches_All[[#This Row],[Match_Number]],Dyno_Data[RecordType],"Activities", Dyno_Data[DelDest],"Spkr")</f>
        <v>2</v>
      </c>
      <c r="BA265" s="60">
        <f>IFERROR(SUM((TBA_Matches_All[[#This Row],[AspkrT]]+TBA_Matches_All[[#This Row],[TspkrT]])/(TBA_Matches_All[[#This Row],[AspkrT]]+TBA_Matches_All[[#This Row],[TspkrT]]+TBA_Matches_All[[#This Row],[spkrM]])),0)</f>
        <v>0.5</v>
      </c>
      <c r="BB265">
        <f>SUMIFS(Dyno_Data[DelMiss], Dyno_Data[Team],TBA_Matches_All[[#This Row],[Team]],Dyno_Data[Match],TBA_Matches_All[[#This Row],[Match_Number]],Dyno_Data[RecordType],"Activities", Dyno_Data[DelDest],"Trap")</f>
        <v>0</v>
      </c>
      <c r="BC265" s="60">
        <f>IFERROR((TBA_Matches_All[[#This Row],[AtrapT]]+TBA_Matches_All[[#This Row],[TtrapT]])/(TBA_Matches_All[[#This Row],[AtrapT]]+TBA_Matches_All[[#This Row],[TtrapT]]+TBA_Matches_All[[#This Row],[trapM]]),0)</f>
        <v>0</v>
      </c>
      <c r="BD265">
        <f>COUNTIFS(Dyno_Data[Team],TBA_Matches_All[[#This Row],[Team]],Dyno_Data[Match],TBA_Matches_All[[#This Row],[Match_Number]],Dyno_Data[RecordType],"Activities",Dyno_Data[DelDest],"Neut", Dyno_Data[DelMiss],1)</f>
        <v>0</v>
      </c>
      <c r="BE265" s="60">
        <f>IFERROR(SUM((TBA_Matches_All[[#This Row],[NeutFlrT]])/(TBA_Matches_All[[#This Row],[NeutFlrT]]+TBA_Matches_All[[#This Row],[NZflM]])),0)</f>
        <v>0</v>
      </c>
      <c r="BF265">
        <f>COUNTIFS(Dyno_Data[Team],TBA_Matches_All[[#This Row],[Team]],Dyno_Data[Match],TBA_Matches_All[[#This Row],[Match_Number]],Dyno_Data[RecordType],"Activities",Dyno_Data[DelDest],"AllyW", Dyno_Data[DelMiss],1)</f>
        <v>0</v>
      </c>
      <c r="BG265" s="60">
        <f>IFERROR(SUM((TBA_Matches_All[[#This Row],[AllyWFlrT]])/(TBA_Matches_All[[#This Row],[AllyWFlrT]]+TBA_Matches_All[[#This Row],[AZflM]])),0)</f>
        <v>0</v>
      </c>
      <c r="BH265">
        <f>COUNTIFS(Dyno_Data[Team],TBA_Matches_All[[#This Row],[Team]],Dyno_Data[Match],TBA_Matches_All[[#This Row],[Match_Number]],Dyno_Data[RecordType],"Activities",Dyno_Data[DelOrig],"OppW", Dyno_Data[DelMiss],"0")</f>
        <v>0</v>
      </c>
      <c r="BI265">
        <f>COUNTIFS(Dyno_Data[Team],TBA_Matches_All[[#This Row],[Team]],Dyno_Data[Match],TBA_Matches_All[[#This Row],[Match_Number]],Dyno_Data[RecordType],"Activities",Dyno_Data[DelOrig],"OppW", Dyno_Data[DelMiss],"1")</f>
        <v>0</v>
      </c>
      <c r="BJ265" s="60">
        <f>IFERROR(SUM((TBA_Matches_All[[#This Row],[OZflrT]])/(TBA_Matches_All[[#This Row],[OZflrT]]+TBA_Matches_All[[#This Row],[OZflrM]])),0)</f>
        <v>0</v>
      </c>
      <c r="BK265">
        <f>COUNTIFS(Dyno_Data[Team],TBA_Matches_All[[#This Row],[Team]],Dyno_Data[Match],TBA_Matches_All[[#This Row],[Match_Number]],Dyno_Data[RecordType],"Activities",Dyno_Data[DelOrig],"Neut", Dyno_Data[DelMiss],"0")</f>
        <v>1</v>
      </c>
      <c r="BL265">
        <f>COUNTIFS(Dyno_Data[Team],TBA_Matches_All[[#This Row],[Team]],Dyno_Data[Match],TBA_Matches_All[[#This Row],[Match_Number]],Dyno_Data[RecordType],"Activities",Dyno_Data[DelOrig],"Neut", Dyno_Data[DelMiss],"1")</f>
        <v>0</v>
      </c>
      <c r="BM265" s="60">
        <f>IFERROR(SUM((TBA_Matches_All[[#This Row],[NZflrT]])/(TBA_Matches_All[[#This Row],[NZflrT]]+TBA_Matches_All[[#This Row],[NZflrM]])),0)</f>
        <v>1</v>
      </c>
      <c r="BN265">
        <f>COUNTIFS(Dyno_Data[Team],TBA_Matches_All[[#This Row],[Team]],Dyno_Data[Match],TBA_Matches_All[[#This Row],[Match_Number]],Dyno_Data[RecordType],"Activities",Dyno_Data[DelOrig],"AllyW", Dyno_Data[DelMiss],"0")</f>
        <v>1</v>
      </c>
      <c r="BO265">
        <f>COUNTIFS(Dyno_Data[Team],TBA_Matches_All[[#This Row],[Team]],Dyno_Data[Match],TBA_Matches_All[[#This Row],[Match_Number]],Dyno_Data[RecordType],"Activities",Dyno_Data[DelOrig],"AllyW", Dyno_Data[DelMiss],"1")</f>
        <v>2</v>
      </c>
      <c r="BP265" s="60">
        <f>IFERROR(SUM((TBA_Matches_All[[#This Row],[AZflrT]])/(TBA_Matches_All[[#This Row],[AZflrT]]+TBA_Matches_All[[#This Row],[AZflrM]])),0)</f>
        <v>0.33333333333333331</v>
      </c>
      <c r="BQ265">
        <f>COUNTIFS(Dyno_Data[Team],TBA_Matches_All[[#This Row],[Team]],Dyno_Data[Match],TBA_Matches_All[[#This Row],[Match_Number]],Dyno_Data[RecordType],"Activities",Dyno_Data[DelOrig],"SubW", Dyno_Data[DelMiss],"0")</f>
        <v>0</v>
      </c>
      <c r="BR265">
        <f>COUNTIFS(Dyno_Data[Team],TBA_Matches_All[[#This Row],[Team]],Dyno_Data[Match],TBA_Matches_All[[#This Row],[Match_Number]],Dyno_Data[RecordType],"Activities",Dyno_Data[DelOrig],"SubW", Dyno_Data[DelMiss],"1")</f>
        <v>0</v>
      </c>
      <c r="BS265" s="60">
        <f>IFERROR(SUM((TBA_Matches_All[[#This Row],[SubwT]])/(TBA_Matches_All[[#This Row],[SubwT]]+TBA_Matches_All[[#This Row],[SubwM]])),0)</f>
        <v>0</v>
      </c>
      <c r="BT265">
        <f>COUNTIFS(Dyno_Data[Team],TBA_Matches_All[[#This Row],[Team]],Dyno_Data[Match],TBA_Matches_All[[#This Row],[Match_Number]],Dyno_Data[RecordType],"Activities", Dyno_Data[AcqLoc],"OppWing")</f>
        <v>0</v>
      </c>
      <c r="BU265">
        <f>COUNTIFS(Dyno_Data[Team],TBA_Matches_All[[#This Row],[Team]],Dyno_Data[Match],TBA_Matches_All[[#This Row],[Match_Number]],Dyno_Data[RecordType],"Activities", Dyno_Data[AcqLoc],"Neutral")</f>
        <v>0</v>
      </c>
      <c r="BV265">
        <f>COUNTIFS(Dyno_Data[Team],TBA_Matches_All[[#This Row],[Team]],Dyno_Data[Match],TBA_Matches_All[[#This Row],[Match_Number]],Dyno_Data[RecordType],"Activities", Dyno_Data[AcqLoc],"AllyWing")</f>
        <v>0</v>
      </c>
      <c r="BW265">
        <f>COUNTIFS(Dyno_Data[Team],TBA_Matches_All[[#This Row],[Team]],Dyno_Data[Match],TBA_Matches_All[[#This Row],[Match_Number]],Dyno_Data[RecordType],"Activities", Dyno_Data[AcqLoc],"Source")</f>
        <v>0</v>
      </c>
      <c r="BX265">
        <f>SUMIFS(Dyno_Data[AcqDrp], Dyno_Data[Team],TBA_Matches_All[[#This Row],[Team]],Dyno_Data[Match],TBA_Matches_All[[#This Row],[Match_Number]],Dyno_Data[RecordType],"Activities", Dyno_Data[AcqLoc],"Source")</f>
        <v>0</v>
      </c>
      <c r="BY265">
        <f>SUMIFS(Dyno_Data[OZTime], Dyno_Data[Team],TBA_Matches_All[[#This Row],[Team]],Dyno_Data[Match],TBA_Matches_All[[#This Row],[Match_Number]],Dyno_Data[RecordType],"EndMatch")</f>
        <v>12.813912199999999</v>
      </c>
      <c r="BZ265">
        <f>SUMIFS(Dyno_Data[NZTime], Dyno_Data[Team],TBA_Matches_All[[#This Row],[Team]],Dyno_Data[Match],TBA_Matches_All[[#This Row],[Match_Number]],Dyno_Data[RecordType],"EndMatch")</f>
        <v>20.5004028</v>
      </c>
      <c r="CA265">
        <f>SUMIFS(Dyno_Data[AZTime], Dyno_Data[Team],TBA_Matches_All[[#This Row],[Team]],Dyno_Data[Match],TBA_Matches_All[[#This Row],[Match_Number]],Dyno_Data[RecordType],"EndMatch")</f>
        <v>90.310836600000002</v>
      </c>
      <c r="CB265">
        <f>SUMIFS(Dyno_Data[ClimbT], Dyno_Data[Team],TBA_Matches_All[[#This Row],[Team]],Dyno_Data[Match],TBA_Matches_All[[#This Row],[Match_Number]],Dyno_Data[RecordType],"EndMatch")</f>
        <v>4.1227995000000002</v>
      </c>
      <c r="CC265" t="str">
        <f>_xlfn.XLOOKUP(SUM(MID(TBA_Matches_All[[#This Row],[Team]],4,5),(TBA_Matches_All[[#This Row],[Match_Number]]/100)),Dyno_EndMatch[teammat],Dyno_EndMatch[StageStat],"_",0,1)</f>
        <v>On</v>
      </c>
      <c r="CD265" t="str">
        <f>_xlfn.XLOOKUP(TBA_Matches_All[[#This Row],[teammat]],Dyno_EndMatch[teammat],Dyno_EndMatch[StageAtt],"_",0,1)</f>
        <v>1</v>
      </c>
      <c r="CE265" t="str">
        <f>_xlfn.XLOOKUP(TBA_Matches_All[[#This Row],[teammat]],Dyno_EndMatch[teammat],Dyno_EndMatch[StageLoc],"_",0,1)</f>
        <v>R</v>
      </c>
      <c r="CF265">
        <f>SUMIFS(Dyno_Data[Harmony], Dyno_Data[Team],TBA_Matches_All[[#This Row],[Team]],Dyno_Data[Match],TBA_Matches_All[[#This Row],[Match_Number]],Dyno_Data[RecordType],"EndMatch", Dyno_Data[StageStat],"On",Dyno_Data[Harmony],"&lt;&gt;9")</f>
        <v>0</v>
      </c>
      <c r="CG265">
        <f>SUMIFS(Dyno_Data[Spotlit], Dyno_Data[Team],TBA_Matches_All[[#This Row],[Team]],Dyno_Data[Match],TBA_Matches_All[[#This Row],[Match_Number]],Dyno_Data[RecordType],"EndMatch", Dyno_Data[StageStat],"On",Dyno_Data[Spotlit],"&lt;&gt;9")</f>
        <v>0</v>
      </c>
      <c r="CH265" t="str">
        <f>_xlfn.XLOOKUP(TBA_Matches_All[[#This Row],[teammat]],Dyno_EndMatch[teammat],Dyno_EndMatch[Strategy],"_",0,1)</f>
        <v>Hybrid</v>
      </c>
      <c r="CI265">
        <f>SUMIFS(Dyno_Data[Defense], Dyno_Data[Team],TBA_Matches_All[[#This Row],[Team]],Dyno_Data[Match],TBA_Matches_All[[#This Row],[Match_Number]],Dyno_Data[RecordType],"EndMatch",Dyno_Data[Defense],"&lt;&gt;9")</f>
        <v>0</v>
      </c>
      <c r="CJ265">
        <f>SUMIFS(Dyno_Data[Avoidance], Dyno_Data[Team],TBA_Matches_All[[#This Row],[Team]],Dyno_Data[Match],TBA_Matches_All[[#This Row],[Match_Number]],Dyno_Data[RecordType],"EndMatch",Dyno_Data[Avoidance],"&lt;&gt;9")</f>
        <v>0</v>
      </c>
      <c r="CK265" s="82">
        <f>COUNTIF($H$2:TBA_Matches_All[[#This Row],[Team]],TBA_Matches_All[[#This Row],[Team]])</f>
        <v>6</v>
      </c>
      <c r="CL265" s="111">
        <f>SUM(MID(TBA_Matches_All[[#This Row],[Team]],4,5)+TBA_Matches_All[[#This Row],[Match_Number]]/100)</f>
        <v>6621.44</v>
      </c>
      <c r="CM265">
        <f>SUM((TBA_Matches_All[[#This Row],[Leave]]*2)+(TBA_Matches_All[[#This Row],[AampT]]*2)+(TBA_Matches_All[[#This Row],[AspkrT]]*5)+(TBA_Matches_All[[#This Row],[AtrapT]]*5))</f>
        <v>0</v>
      </c>
      <c r="CN265" s="59">
        <f>IFERROR(SUM(TBA_Matches_All[[#This Row],[AptsT]]/TBA_Matches_All[[#This Row],[AutoPts]]),0)</f>
        <v>0</v>
      </c>
      <c r="CO265" s="59">
        <f>IFERROR(SUM(TBA_Matches_All[[#This Row],[AampT]]+TBA_Matches_All[[#This Row],[AspkrT]]+TBA_Matches_All[[#This Row],[AtrapT]]/TBA_Matches_All[[#This Row],[Aamp]]+TBA_Matches_All[[#This Row],[Aspkr]]+TBA_Matches_All[[#This Row],[AtrapT]]),0)</f>
        <v>0</v>
      </c>
      <c r="CP265" s="59">
        <f>IFERROR(SUM(TBA_Matches_All[[#This Row],[TampT]]/TBA_Matches_All[[#This Row],[Tamp]]),0)</f>
        <v>0</v>
      </c>
      <c r="CQ265" s="59">
        <f>IFERROR(SUM(TBA_Matches_All[[#This Row],[TspkrT]]/TBA_Matches_All[[#This Row],[Tspkr]]),0)</f>
        <v>0.18181818181818182</v>
      </c>
      <c r="CR265">
        <f>SUM(TBA_Matches_All[[#This Row],[TspkrPts]]*TBA_Matches_All[[#This Row],[TspkrP]])</f>
        <v>4</v>
      </c>
      <c r="CS265" s="59">
        <f>IFERROR(SUM(TBA_Matches_All[[#This Row],[TtrapT]]/TBA_Matches_All[[#This Row],[Trap]]),0)</f>
        <v>0</v>
      </c>
      <c r="CT265" s="59">
        <f>IFERROR(SUM(TBA_Matches_All[[#This Row],[TotNotesT]]/TBA_Matches_All[[#This Row],[TotNotes]]),0)</f>
        <v>0.13333333333333333</v>
      </c>
      <c r="CU265" s="66">
        <f>SUM((TBA_Matches_All[[#This Row],[AampT]]*2)+(TBA_Matches_All[[#This Row],[AspkrT]]*5)+(TBA_Matches_All[[#This Row],[AtrapT]]*5)+(TBA_Matches_All[[#This Row],[TampT]]*1)+(TBA_Matches_All[[#This Row],[TspkrptsC]]))</f>
        <v>4</v>
      </c>
      <c r="CV265" s="59">
        <f>IFERROR(TBA_Matches_All[[#This Row],[noteptsT]]/TBA_Matches_All[[#This Row],[NotePts]],0)</f>
        <v>0.10526315789473684</v>
      </c>
      <c r="CW265">
        <f>SUM(IF(TBA_Matches_All[[#This Row],[stageStat]]="On",3,0),IF(TBA_Matches_All[[#This Row],[stageStat]]="Park",1,0),SUMIFS(TBA_Matches_All[[#This Row],[Spotlit]],TBA_Matches_All[[#This Row],[stageStat]],"On"),SUMIFS(TBA_Matches_All[[#This Row],[Harmony]],TBA_Matches_All[[#This Row],[stageStat]],"On"))</f>
        <v>3</v>
      </c>
      <c r="CX265" s="59">
        <f>IFERROR(TBA_Matches_All[[#This Row],[stageptsT]]/TBA_Matches_All[[#This Row],[StagePts]],0)</f>
        <v>0.42857142857142855</v>
      </c>
      <c r="CY265">
        <f>SUM((TBA_Matches_All[[#This Row],[AptsT]]+TBA_Matches_All[[#This Row],[TampT]]+TBA_Matches_All[[#This Row],[TspkrptsC]]+(TBA_Matches_All[[#This Row],[TtrapT]]*5)+TBA_Matches_All[[#This Row],[stageptsT]]))</f>
        <v>7</v>
      </c>
      <c r="CZ265" s="59">
        <f>IFERROR(SUM(TBA_Matches_All[[#This Row],[TotptsC]]/TBA_Matches_All[[#This Row],[Score]]),0)</f>
        <v>0.125</v>
      </c>
      <c r="DA26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10.415384615384616</v>
      </c>
      <c r="DB265" s="74">
        <f>SUMIFS(TBA_Matches_All[AveTeamTNoteDels],TBA_Matches_All[Match_Number],TBA_Matches_All[[#This Row],[Match_Number]],TBA_Matches_All[Alliance],"&lt;&gt;"&amp;TBA_Matches_All[[#This Row],[Alliance]],TBA_Matches_All[Scouted],"&gt;0")</f>
        <v>46.185606060606062</v>
      </c>
      <c r="DC265" s="74">
        <f>(TBA_Matches_All[[#This Row],[TampT]]+TBA_Matches_All[[#This Row],[TspkrptsC]])-TBA_Matches_All[[#This Row],[AveTeamTNoteDels]]</f>
        <v>-6.4153846153846157</v>
      </c>
      <c r="DD265" s="74">
        <f>SUMIFS(TBA_Matches_All[AveTeamTNoteDels],TBA_Matches_All[Match_Number],TBA_Matches_All[[#This Row],[Match_Number]],TBA_Matches_All[Alliance],"&lt;&gt;"&amp;TBA_Matches_All[[#This Row],[Alliance]])-TBA_Matches_All[[#This Row],[AveOppTNoteDels]]</f>
        <v>0</v>
      </c>
    </row>
    <row r="266" spans="1:108" x14ac:dyDescent="0.3">
      <c r="A266" t="s">
        <v>1042</v>
      </c>
      <c r="B266" t="s">
        <v>489</v>
      </c>
      <c r="C266" t="s">
        <v>1353</v>
      </c>
      <c r="D266">
        <v>44</v>
      </c>
      <c r="E266" t="s">
        <v>1406</v>
      </c>
      <c r="F266" t="s">
        <v>1422</v>
      </c>
      <c r="G266" t="s">
        <v>105</v>
      </c>
      <c r="H266" t="s">
        <v>361</v>
      </c>
      <c r="I266" t="b">
        <v>0</v>
      </c>
      <c r="J266">
        <v>92</v>
      </c>
      <c r="K266">
        <v>1</v>
      </c>
      <c r="L266">
        <v>1</v>
      </c>
      <c r="M266">
        <v>7</v>
      </c>
      <c r="N266">
        <v>0</v>
      </c>
      <c r="O266">
        <v>5</v>
      </c>
      <c r="P266">
        <v>25</v>
      </c>
      <c r="Q266">
        <v>29</v>
      </c>
      <c r="R266">
        <v>3</v>
      </c>
      <c r="S266">
        <v>3</v>
      </c>
      <c r="T266">
        <v>13</v>
      </c>
      <c r="U266">
        <v>15</v>
      </c>
      <c r="V266">
        <v>26</v>
      </c>
      <c r="W266">
        <v>16</v>
      </c>
      <c r="X266">
        <v>41</v>
      </c>
      <c r="Y266">
        <v>44</v>
      </c>
      <c r="Z266">
        <v>0</v>
      </c>
      <c r="AA266">
        <v>0</v>
      </c>
      <c r="AB266">
        <v>24</v>
      </c>
      <c r="AC266">
        <v>69</v>
      </c>
      <c r="AD266">
        <v>11</v>
      </c>
      <c r="AE266">
        <f>IFERROR(6/(COUNTIF(Dyno_EndMatch[Match],TBA_Matches_All[[#This Row],[Match_Number]])),0)</f>
        <v>1</v>
      </c>
      <c r="AF266">
        <f>COUNTIFS(Dyno_Data[Team],TBA_Matches_All[[#This Row],[Team]],Dyno_Data[Match],TBA_Matches_All[[#This Row],[Match_Number]],Dyno_Data[RecordType],"EndMatch",Dyno_Data[HPAmp],"Y")</f>
        <v>1</v>
      </c>
      <c r="AG266">
        <f>SUMIFS(Dyno_Data[Mics], Dyno_Data[Team],TBA_Matches_All[[#This Row],[Team]],Dyno_Data[Match],TBA_Matches_All[[#This Row],[Match_Number]],Dyno_Data[RecordType],"EndMatch",Dyno_Data[HPAmp],"Y")</f>
        <v>1</v>
      </c>
      <c r="AH266">
        <f>SUMIFS(Dyno_Data[Leave], Dyno_Data[Team],TBA_Matches_All[[#This Row],[Team]],Dyno_Data[Match],TBA_Matches_All[[#This Row],[Match_Number]],Dyno_Data[RecordType],"EndAuto")</f>
        <v>1</v>
      </c>
      <c r="AI266">
        <f>COUNTIFS(Dyno_Data[Team],TBA_Matches_All[[#This Row],[Team]],Dyno_Data[Match],TBA_Matches_All[[#This Row],[Match_Number]],Dyno_Data[RecordType],"Activities",Dyno_Data[DelDest],"Amp", Dyno_Data[DelMiss],"0", Dyno_Data[Mode],"Auto")</f>
        <v>0</v>
      </c>
      <c r="AJ266">
        <f>COUNTIFS(Dyno_Data[Team],TBA_Matches_All[[#This Row],[Team]],Dyno_Data[Match],TBA_Matches_All[[#This Row],[Match_Number]],Dyno_Data[RecordType],"Activities",Dyno_Data[DelDest],"Spkr", Dyno_Data[DelMiss],"0", Dyno_Data[Mode],"Auto")</f>
        <v>1</v>
      </c>
      <c r="AK266">
        <f>COUNTIFS(Dyno_Data[Team],TBA_Matches_All[[#This Row],[Team]],Dyno_Data[Match],TBA_Matches_All[[#This Row],[Match_Number]],Dyno_Data[RecordType],"Activities",Dyno_Data[DelDest],"Trap", Dyno_Data[DelMiss],"0", Dyno_Data[Mode],"Auto")</f>
        <v>0</v>
      </c>
      <c r="AL266">
        <f>COUNTIFS(Dyno_Data[Team],TBA_Matches_All[[#This Row],[Team]],Dyno_Data[Match],TBA_Matches_All[[#This Row],[Match_Number]],Dyno_Data[RecordType],"Activities",Dyno_Data[DelDest],"Amp", Dyno_Data[DelMiss],"0", Dyno_Data[Mode],"Teleop")</f>
        <v>2</v>
      </c>
      <c r="AM266">
        <f>COUNTIFS(Dyno_Data[Team],TBA_Matches_All[[#This Row],[Team]],Dyno_Data[Match],TBA_Matches_All[[#This Row],[Match_Number]],Dyno_Data[RecordType],"Activities",Dyno_Data[DelDest],"Spkr", Dyno_Data[DelMiss],"0", Dyno_Data[Mode],"Teleop")</f>
        <v>3</v>
      </c>
      <c r="AN266">
        <f>COUNTIFS(Dyno_Data[Team],TBA_Matches_All[[#This Row],[Team]],Dyno_Data[Match],TBA_Matches_All[[#This Row],[Match_Number]],Dyno_Data[RecordType],"Activities",Dyno_Data[DelDest],"Trap", Dyno_Data[DelMiss],"0", Dyno_Data[Mode],"&lt;&gt;Auto")</f>
        <v>0</v>
      </c>
      <c r="AO266">
        <f>SUM(TBA_Matches_All[[#This Row],[AampT]]+TBA_Matches_All[[#This Row],[AspkrT]]+TBA_Matches_All[[#This Row],[AtrapT]]+TBA_Matches_All[[#This Row],[TampT]]+TBA_Matches_All[[#This Row],[TspkrT]]+TBA_Matches_All[[#This Row],[TtrapT]])</f>
        <v>6</v>
      </c>
      <c r="AP266">
        <f>COUNTIFS(Dyno_Data[Team],TBA_Matches_All[[#This Row],[Team]],Dyno_Data[Match],TBA_Matches_All[[#This Row],[Match_Number]],Dyno_Data[RecordType],"Activities",Dyno_Data[DelDest],"Neut", Dyno_Data[DelMiss],"0")</f>
        <v>0</v>
      </c>
      <c r="AQ266">
        <f>COUNTIFS(Dyno_Data[Team],TBA_Matches_All[[#This Row],[Team]],Dyno_Data[Match],TBA_Matches_All[[#This Row],[Match_Number]],Dyno_Data[RecordType],"Activities",Dyno_Data[DelDest],"AllyW", Dyno_Data[DelMiss],"0")</f>
        <v>0</v>
      </c>
      <c r="AR266" t="str">
        <f>_xlfn.XLOOKUP(SUM(MID(TBA_Matches_All[[#This Row],[Team]],4,5),(TBA_Matches_All[[#This Row],[Match_Number]]/100)),Dyno_EndMatch[teammat],Dyno_EndMatch[RobotSta],"_",0,1)</f>
        <v>OppS</v>
      </c>
      <c r="AS266">
        <f>SUMIFS(Dyno_Data[AcqDis], Dyno_Data[Team],TBA_Matches_All[[#This Row],[Team]],Dyno_Data[Match],TBA_Matches_All[[#This Row],[Match_Number]],Dyno_Data[RecordType],"Activities", Dyno_Data[AcqCenter],1,Dyno_Data[Mode],"Auto")</f>
        <v>0</v>
      </c>
      <c r="AT266">
        <f>SUMIFS(Dyno_Data[AcqDis], Dyno_Data[Team],TBA_Matches_All[[#This Row],[Team]],Dyno_Data[Match],TBA_Matches_All[[#This Row],[Match_Number]],Dyno_Data[RecordType],"Activities", Dyno_Data[AcqCenter],2,Dyno_Data[Mode],"Auto")</f>
        <v>-1</v>
      </c>
      <c r="AU266">
        <f>SUMIFS(Dyno_Data[AcqDis], Dyno_Data[Team],TBA_Matches_All[[#This Row],[Team]],Dyno_Data[Match],TBA_Matches_All[[#This Row],[Match_Number]],Dyno_Data[RecordType],"Activities", Dyno_Data[AcqCenter],3,Dyno_Data[Mode],"Auto")</f>
        <v>0</v>
      </c>
      <c r="AV266">
        <f>SUMIFS(Dyno_Data[AcqDis], Dyno_Data[Team],TBA_Matches_All[[#This Row],[Team]],Dyno_Data[Match],TBA_Matches_All[[#This Row],[Match_Number]],Dyno_Data[RecordType],"Activities", Dyno_Data[AcqCenter],4,Dyno_Data[Mode],"Auto")</f>
        <v>0</v>
      </c>
      <c r="AW266">
        <f>SUMIFS(Dyno_Data[AcqDis], Dyno_Data[Team],TBA_Matches_All[[#This Row],[Team]],Dyno_Data[Match],TBA_Matches_All[[#This Row],[Match_Number]],Dyno_Data[RecordType],"Activities", Dyno_Data[AcqCenter],5,Dyno_Data[Mode],"Auto")</f>
        <v>0</v>
      </c>
      <c r="AX266">
        <f>SUMIFS(Dyno_Data[DelMiss], Dyno_Data[Team],TBA_Matches_All[[#This Row],[Team]],Dyno_Data[Match],TBA_Matches_All[[#This Row],[Match_Number]],Dyno_Data[RecordType],"Activities", Dyno_Data[DelDest],"Amp")</f>
        <v>0</v>
      </c>
      <c r="AY266" s="60">
        <f>IFERROR(SUM((TBA_Matches_All[[#This Row],[AampT]]+TBA_Matches_All[[#This Row],[TampT]])/(TBA_Matches_All[[#This Row],[AampT]]+TBA_Matches_All[[#This Row],[TampT]]+TBA_Matches_All[[#This Row],[ampM]])),0)</f>
        <v>1</v>
      </c>
      <c r="AZ266">
        <f>SUMIFS(Dyno_Data[DelMiss], Dyno_Data[Team],TBA_Matches_All[[#This Row],[Team]],Dyno_Data[Match],TBA_Matches_All[[#This Row],[Match_Number]],Dyno_Data[RecordType],"Activities", Dyno_Data[DelDest],"Spkr")</f>
        <v>0</v>
      </c>
      <c r="BA266" s="60">
        <f>IFERROR(SUM((TBA_Matches_All[[#This Row],[AspkrT]]+TBA_Matches_All[[#This Row],[TspkrT]])/(TBA_Matches_All[[#This Row],[AspkrT]]+TBA_Matches_All[[#This Row],[TspkrT]]+TBA_Matches_All[[#This Row],[spkrM]])),0)</f>
        <v>1</v>
      </c>
      <c r="BB266">
        <f>SUMIFS(Dyno_Data[DelMiss], Dyno_Data[Team],TBA_Matches_All[[#This Row],[Team]],Dyno_Data[Match],TBA_Matches_All[[#This Row],[Match_Number]],Dyno_Data[RecordType],"Activities", Dyno_Data[DelDest],"Trap")</f>
        <v>0</v>
      </c>
      <c r="BC266" s="60">
        <f>IFERROR((TBA_Matches_All[[#This Row],[AtrapT]]+TBA_Matches_All[[#This Row],[TtrapT]])/(TBA_Matches_All[[#This Row],[AtrapT]]+TBA_Matches_All[[#This Row],[TtrapT]]+TBA_Matches_All[[#This Row],[trapM]]),0)</f>
        <v>0</v>
      </c>
      <c r="BD266">
        <f>COUNTIFS(Dyno_Data[Team],TBA_Matches_All[[#This Row],[Team]],Dyno_Data[Match],TBA_Matches_All[[#This Row],[Match_Number]],Dyno_Data[RecordType],"Activities",Dyno_Data[DelDest],"Neut", Dyno_Data[DelMiss],1)</f>
        <v>0</v>
      </c>
      <c r="BE266" s="60">
        <f>IFERROR(SUM((TBA_Matches_All[[#This Row],[NeutFlrT]])/(TBA_Matches_All[[#This Row],[NeutFlrT]]+TBA_Matches_All[[#This Row],[NZflM]])),0)</f>
        <v>0</v>
      </c>
      <c r="BF266">
        <f>COUNTIFS(Dyno_Data[Team],TBA_Matches_All[[#This Row],[Team]],Dyno_Data[Match],TBA_Matches_All[[#This Row],[Match_Number]],Dyno_Data[RecordType],"Activities",Dyno_Data[DelDest],"AllyW", Dyno_Data[DelMiss],1)</f>
        <v>0</v>
      </c>
      <c r="BG266" s="60">
        <f>IFERROR(SUM((TBA_Matches_All[[#This Row],[AllyWFlrT]])/(TBA_Matches_All[[#This Row],[AllyWFlrT]]+TBA_Matches_All[[#This Row],[AZflM]])),0)</f>
        <v>0</v>
      </c>
      <c r="BH266">
        <f>COUNTIFS(Dyno_Data[Team],TBA_Matches_All[[#This Row],[Team]],Dyno_Data[Match],TBA_Matches_All[[#This Row],[Match_Number]],Dyno_Data[RecordType],"Activities",Dyno_Data[DelOrig],"OppW", Dyno_Data[DelMiss],"0")</f>
        <v>0</v>
      </c>
      <c r="BI266">
        <f>COUNTIFS(Dyno_Data[Team],TBA_Matches_All[[#This Row],[Team]],Dyno_Data[Match],TBA_Matches_All[[#This Row],[Match_Number]],Dyno_Data[RecordType],"Activities",Dyno_Data[DelOrig],"OppW", Dyno_Data[DelMiss],"1")</f>
        <v>0</v>
      </c>
      <c r="BJ266" s="60">
        <f>IFERROR(SUM((TBA_Matches_All[[#This Row],[OZflrT]])/(TBA_Matches_All[[#This Row],[OZflrT]]+TBA_Matches_All[[#This Row],[OZflrM]])),0)</f>
        <v>0</v>
      </c>
      <c r="BK266">
        <f>COUNTIFS(Dyno_Data[Team],TBA_Matches_All[[#This Row],[Team]],Dyno_Data[Match],TBA_Matches_All[[#This Row],[Match_Number]],Dyno_Data[RecordType],"Activities",Dyno_Data[DelOrig],"Neut", Dyno_Data[DelMiss],"0")</f>
        <v>0</v>
      </c>
      <c r="BL266">
        <f>COUNTIFS(Dyno_Data[Team],TBA_Matches_All[[#This Row],[Team]],Dyno_Data[Match],TBA_Matches_All[[#This Row],[Match_Number]],Dyno_Data[RecordType],"Activities",Dyno_Data[DelOrig],"Neut", Dyno_Data[DelMiss],"1")</f>
        <v>0</v>
      </c>
      <c r="BM266" s="60">
        <f>IFERROR(SUM((TBA_Matches_All[[#This Row],[NZflrT]])/(TBA_Matches_All[[#This Row],[NZflrT]]+TBA_Matches_All[[#This Row],[NZflrM]])),0)</f>
        <v>0</v>
      </c>
      <c r="BN266">
        <f>COUNTIFS(Dyno_Data[Team],TBA_Matches_All[[#This Row],[Team]],Dyno_Data[Match],TBA_Matches_All[[#This Row],[Match_Number]],Dyno_Data[RecordType],"Activities",Dyno_Data[DelOrig],"AllyW", Dyno_Data[DelMiss],"0")</f>
        <v>4</v>
      </c>
      <c r="BO266">
        <f>COUNTIFS(Dyno_Data[Team],TBA_Matches_All[[#This Row],[Team]],Dyno_Data[Match],TBA_Matches_All[[#This Row],[Match_Number]],Dyno_Data[RecordType],"Activities",Dyno_Data[DelOrig],"AllyW", Dyno_Data[DelMiss],"1")</f>
        <v>0</v>
      </c>
      <c r="BP266" s="60">
        <f>IFERROR(SUM((TBA_Matches_All[[#This Row],[AZflrT]])/(TBA_Matches_All[[#This Row],[AZflrT]]+TBA_Matches_All[[#This Row],[AZflrM]])),0)</f>
        <v>1</v>
      </c>
      <c r="BQ266">
        <f>COUNTIFS(Dyno_Data[Team],TBA_Matches_All[[#This Row],[Team]],Dyno_Data[Match],TBA_Matches_All[[#This Row],[Match_Number]],Dyno_Data[RecordType],"Activities",Dyno_Data[DelOrig],"SubW", Dyno_Data[DelMiss],"0")</f>
        <v>2</v>
      </c>
      <c r="BR266">
        <f>COUNTIFS(Dyno_Data[Team],TBA_Matches_All[[#This Row],[Team]],Dyno_Data[Match],TBA_Matches_All[[#This Row],[Match_Number]],Dyno_Data[RecordType],"Activities",Dyno_Data[DelOrig],"SubW", Dyno_Data[DelMiss],"1")</f>
        <v>0</v>
      </c>
      <c r="BS266" s="60">
        <f>IFERROR(SUM((TBA_Matches_All[[#This Row],[SubwT]])/(TBA_Matches_All[[#This Row],[SubwT]]+TBA_Matches_All[[#This Row],[SubwM]])),0)</f>
        <v>1</v>
      </c>
      <c r="BT266">
        <f>COUNTIFS(Dyno_Data[Team],TBA_Matches_All[[#This Row],[Team]],Dyno_Data[Match],TBA_Matches_All[[#This Row],[Match_Number]],Dyno_Data[RecordType],"Activities", Dyno_Data[AcqLoc],"OppWing")</f>
        <v>0</v>
      </c>
      <c r="BU266">
        <f>COUNTIFS(Dyno_Data[Team],TBA_Matches_All[[#This Row],[Team]],Dyno_Data[Match],TBA_Matches_All[[#This Row],[Match_Number]],Dyno_Data[RecordType],"Activities", Dyno_Data[AcqLoc],"Neutral")</f>
        <v>1</v>
      </c>
      <c r="BV266">
        <f>COUNTIFS(Dyno_Data[Team],TBA_Matches_All[[#This Row],[Team]],Dyno_Data[Match],TBA_Matches_All[[#This Row],[Match_Number]],Dyno_Data[RecordType],"Activities", Dyno_Data[AcqLoc],"AllyWing")</f>
        <v>0</v>
      </c>
      <c r="BW266">
        <f>COUNTIFS(Dyno_Data[Team],TBA_Matches_All[[#This Row],[Team]],Dyno_Data[Match],TBA_Matches_All[[#This Row],[Match_Number]],Dyno_Data[RecordType],"Activities", Dyno_Data[AcqLoc],"Source")</f>
        <v>0</v>
      </c>
      <c r="BX266">
        <f>SUMIFS(Dyno_Data[AcqDrp], Dyno_Data[Team],TBA_Matches_All[[#This Row],[Team]],Dyno_Data[Match],TBA_Matches_All[[#This Row],[Match_Number]],Dyno_Data[RecordType],"Activities", Dyno_Data[AcqLoc],"Source")</f>
        <v>0</v>
      </c>
      <c r="BY266">
        <f>SUMIFS(Dyno_Data[OZTime], Dyno_Data[Team],TBA_Matches_All[[#This Row],[Team]],Dyno_Data[Match],TBA_Matches_All[[#This Row],[Match_Number]],Dyno_Data[RecordType],"EndMatch")</f>
        <v>46.122160199999996</v>
      </c>
      <c r="BZ266">
        <f>SUMIFS(Dyno_Data[NZTime], Dyno_Data[Team],TBA_Matches_All[[#This Row],[Team]],Dyno_Data[Match],TBA_Matches_All[[#This Row],[Match_Number]],Dyno_Data[RecordType],"EndMatch")</f>
        <v>13.6626008</v>
      </c>
      <c r="CA266">
        <f>SUMIFS(Dyno_Data[AZTime], Dyno_Data[Team],TBA_Matches_All[[#This Row],[Team]],Dyno_Data[Match],TBA_Matches_All[[#This Row],[Match_Number]],Dyno_Data[RecordType],"EndMatch")</f>
        <v>43.225869599999996</v>
      </c>
      <c r="CB266">
        <f>SUMIFS(Dyno_Data[ClimbT], Dyno_Data[Team],TBA_Matches_All[[#This Row],[Team]],Dyno_Data[Match],TBA_Matches_All[[#This Row],[Match_Number]],Dyno_Data[RecordType],"EndMatch")</f>
        <v>7.8254381999999998</v>
      </c>
      <c r="CC266" t="str">
        <f>_xlfn.XLOOKUP(SUM(MID(TBA_Matches_All[[#This Row],[Team]],4,5),(TBA_Matches_All[[#This Row],[Match_Number]]/100)),Dyno_EndMatch[teammat],Dyno_EndMatch[StageStat],"_",0,1)</f>
        <v>On</v>
      </c>
      <c r="CD266" t="str">
        <f>_xlfn.XLOOKUP(TBA_Matches_All[[#This Row],[teammat]],Dyno_EndMatch[teammat],Dyno_EndMatch[StageAtt],"_",0,1)</f>
        <v>1</v>
      </c>
      <c r="CE266" t="str">
        <f>_xlfn.XLOOKUP(TBA_Matches_All[[#This Row],[teammat]],Dyno_EndMatch[teammat],Dyno_EndMatch[StageLoc],"_",0,1)</f>
        <v>R</v>
      </c>
      <c r="CF266">
        <f>SUMIFS(Dyno_Data[Harmony], Dyno_Data[Team],TBA_Matches_All[[#This Row],[Team]],Dyno_Data[Match],TBA_Matches_All[[#This Row],[Match_Number]],Dyno_Data[RecordType],"EndMatch", Dyno_Data[StageStat],"On",Dyno_Data[Harmony],"&lt;&gt;9")</f>
        <v>1</v>
      </c>
      <c r="CG266">
        <f>SUMIFS(Dyno_Data[Spotlit], Dyno_Data[Team],TBA_Matches_All[[#This Row],[Team]],Dyno_Data[Match],TBA_Matches_All[[#This Row],[Match_Number]],Dyno_Data[RecordType],"EndMatch", Dyno_Data[StageStat],"On",Dyno_Data[Spotlit],"&lt;&gt;9")</f>
        <v>1</v>
      </c>
      <c r="CH266" t="str">
        <f>_xlfn.XLOOKUP(TBA_Matches_All[[#This Row],[teammat]],Dyno_EndMatch[teammat],Dyno_EndMatch[Strategy],"_",0,1)</f>
        <v>Hybrid</v>
      </c>
      <c r="CI266">
        <f>SUMIFS(Dyno_Data[Defense], Dyno_Data[Team],TBA_Matches_All[[#This Row],[Team]],Dyno_Data[Match],TBA_Matches_All[[#This Row],[Match_Number]],Dyno_Data[RecordType],"EndMatch",Dyno_Data[Defense],"&lt;&gt;9")</f>
        <v>0</v>
      </c>
      <c r="CJ266">
        <f>SUMIFS(Dyno_Data[Avoidance], Dyno_Data[Team],TBA_Matches_All[[#This Row],[Team]],Dyno_Data[Match],TBA_Matches_All[[#This Row],[Match_Number]],Dyno_Data[RecordType],"EndMatch",Dyno_Data[Avoidance],"&lt;&gt;9")</f>
        <v>0</v>
      </c>
      <c r="CK266" s="82">
        <f>COUNTIF($H$2:TBA_Matches_All[[#This Row],[Team]],TBA_Matches_All[[#This Row],[Team]])</f>
        <v>6</v>
      </c>
      <c r="CL266" s="111">
        <f>SUM(MID(TBA_Matches_All[[#This Row],[Team]],4,5)+TBA_Matches_All[[#This Row],[Match_Number]]/100)</f>
        <v>20.440000000000001</v>
      </c>
      <c r="CM266">
        <f>SUM((TBA_Matches_All[[#This Row],[Leave]]*2)+(TBA_Matches_All[[#This Row],[AampT]]*2)+(TBA_Matches_All[[#This Row],[AspkrT]]*5)+(TBA_Matches_All[[#This Row],[AtrapT]]*5))</f>
        <v>7</v>
      </c>
      <c r="CN266" s="59">
        <f>IFERROR(SUM(TBA_Matches_All[[#This Row],[AptsT]]/TBA_Matches_All[[#This Row],[AutoPts]]),0)</f>
        <v>0.2413793103448276</v>
      </c>
      <c r="CO266" s="59">
        <f>IFERROR(SUM(TBA_Matches_All[[#This Row],[AampT]]+TBA_Matches_All[[#This Row],[AspkrT]]+TBA_Matches_All[[#This Row],[AtrapT]]/TBA_Matches_All[[#This Row],[Aamp]]+TBA_Matches_All[[#This Row],[Aspkr]]+TBA_Matches_All[[#This Row],[AtrapT]]),0)</f>
        <v>0</v>
      </c>
      <c r="CP266" s="59">
        <f>IFERROR(SUM(TBA_Matches_All[[#This Row],[TampT]]/TBA_Matches_All[[#This Row],[Tamp]]),0)</f>
        <v>0.66666666666666663</v>
      </c>
      <c r="CQ266" s="59">
        <f>IFERROR(SUM(TBA_Matches_All[[#This Row],[TspkrT]]/TBA_Matches_All[[#This Row],[Tspkr]]),0)</f>
        <v>0.1875</v>
      </c>
      <c r="CR266">
        <f>SUM(TBA_Matches_All[[#This Row],[TspkrPts]]*TBA_Matches_All[[#This Row],[TspkrP]])</f>
        <v>7.6875</v>
      </c>
      <c r="CS266" s="59">
        <f>IFERROR(SUM(TBA_Matches_All[[#This Row],[TtrapT]]/TBA_Matches_All[[#This Row],[Trap]]),0)</f>
        <v>0</v>
      </c>
      <c r="CT266" s="59">
        <f>IFERROR(SUM(TBA_Matches_All[[#This Row],[TotNotesT]]/TBA_Matches_All[[#This Row],[TotNotes]]),0)</f>
        <v>0.25</v>
      </c>
      <c r="CU266" s="66">
        <f>SUM((TBA_Matches_All[[#This Row],[AampT]]*2)+(TBA_Matches_All[[#This Row],[AspkrT]]*5)+(TBA_Matches_All[[#This Row],[AtrapT]]*5)+(TBA_Matches_All[[#This Row],[TampT]]*1)+(TBA_Matches_All[[#This Row],[TspkrptsC]]))</f>
        <v>14.6875</v>
      </c>
      <c r="CV266" s="59">
        <f>IFERROR(TBA_Matches_All[[#This Row],[noteptsT]]/TBA_Matches_All[[#This Row],[NotePts]],0)</f>
        <v>0.21286231884057971</v>
      </c>
      <c r="CW266">
        <f>SUM(IF(TBA_Matches_All[[#This Row],[stageStat]]="On",3,0),IF(TBA_Matches_All[[#This Row],[stageStat]]="Park",1,0),SUMIFS(TBA_Matches_All[[#This Row],[Spotlit]],TBA_Matches_All[[#This Row],[stageStat]],"On"),SUMIFS(TBA_Matches_All[[#This Row],[Harmony]],TBA_Matches_All[[#This Row],[stageStat]],"On"))</f>
        <v>5</v>
      </c>
      <c r="CX266" s="59">
        <f>IFERROR(TBA_Matches_All[[#This Row],[stageptsT]]/TBA_Matches_All[[#This Row],[StagePts]],0)</f>
        <v>0.45454545454545453</v>
      </c>
      <c r="CY266">
        <f>SUM((TBA_Matches_All[[#This Row],[AptsT]]+TBA_Matches_All[[#This Row],[TampT]]+TBA_Matches_All[[#This Row],[TspkrptsC]]+(TBA_Matches_All[[#This Row],[TtrapT]]*5)+TBA_Matches_All[[#This Row],[stageptsT]]))</f>
        <v>21.6875</v>
      </c>
      <c r="CZ266" s="59">
        <f>IFERROR(SUM(TBA_Matches_All[[#This Row],[TotptsC]]/TBA_Matches_All[[#This Row],[Score]]),0)</f>
        <v>0.23573369565217392</v>
      </c>
      <c r="DA26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15.623106060606059</v>
      </c>
      <c r="DB266" s="74">
        <f>SUMIFS(TBA_Matches_All[AveTeamTNoteDels],TBA_Matches_All[Match_Number],TBA_Matches_All[[#This Row],[Match_Number]],TBA_Matches_All[Alliance],"&lt;&gt;"&amp;TBA_Matches_All[[#This Row],[Alliance]],TBA_Matches_All[Scouted],"&gt;0")</f>
        <v>32.998717948717953</v>
      </c>
      <c r="DC266" s="74">
        <f>(TBA_Matches_All[[#This Row],[TampT]]+TBA_Matches_All[[#This Row],[TspkrptsC]])-TBA_Matches_All[[#This Row],[AveTeamTNoteDels]]</f>
        <v>-5.9356060606060588</v>
      </c>
      <c r="DD266" s="74">
        <f>SUMIFS(TBA_Matches_All[AveTeamTNoteDels],TBA_Matches_All[Match_Number],TBA_Matches_All[[#This Row],[Match_Number]],TBA_Matches_All[Alliance],"&lt;&gt;"&amp;TBA_Matches_All[[#This Row],[Alliance]])-TBA_Matches_All[[#This Row],[AveOppTNoteDels]]</f>
        <v>0</v>
      </c>
    </row>
    <row r="267" spans="1:108" x14ac:dyDescent="0.3">
      <c r="A267" t="s">
        <v>1042</v>
      </c>
      <c r="B267" t="s">
        <v>489</v>
      </c>
      <c r="C267" t="s">
        <v>1354</v>
      </c>
      <c r="D267">
        <v>45</v>
      </c>
      <c r="E267" t="s">
        <v>1420</v>
      </c>
      <c r="F267" t="s">
        <v>1423</v>
      </c>
      <c r="G267" t="s">
        <v>1409</v>
      </c>
      <c r="H267" t="s">
        <v>1297</v>
      </c>
      <c r="I267" t="b">
        <v>1</v>
      </c>
      <c r="J267">
        <v>50</v>
      </c>
      <c r="K267">
        <v>1</v>
      </c>
      <c r="L267">
        <v>0</v>
      </c>
      <c r="M267">
        <v>4</v>
      </c>
      <c r="N267">
        <v>0</v>
      </c>
      <c r="O267">
        <v>1</v>
      </c>
      <c r="P267">
        <v>5</v>
      </c>
      <c r="Q267">
        <v>5</v>
      </c>
      <c r="R267">
        <v>6</v>
      </c>
      <c r="S267">
        <v>2</v>
      </c>
      <c r="T267">
        <v>8</v>
      </c>
      <c r="U267">
        <v>10</v>
      </c>
      <c r="V267">
        <v>16</v>
      </c>
      <c r="W267">
        <v>10</v>
      </c>
      <c r="X267">
        <v>26</v>
      </c>
      <c r="Y267">
        <v>32</v>
      </c>
      <c r="Z267">
        <v>0</v>
      </c>
      <c r="AA267">
        <v>0</v>
      </c>
      <c r="AB267">
        <v>17</v>
      </c>
      <c r="AC267">
        <v>37</v>
      </c>
      <c r="AD267">
        <v>6</v>
      </c>
      <c r="AE267">
        <f>IFERROR(6/(COUNTIF(Dyno_EndMatch[Match],TBA_Matches_All[[#This Row],[Match_Number]])),0)</f>
        <v>1</v>
      </c>
      <c r="AF267">
        <f>COUNTIFS(Dyno_Data[Team],TBA_Matches_All[[#This Row],[Team]],Dyno_Data[Match],TBA_Matches_All[[#This Row],[Match_Number]],Dyno_Data[RecordType],"EndMatch",Dyno_Data[HPAmp],"Y")</f>
        <v>0</v>
      </c>
      <c r="AG267">
        <f>SUMIFS(Dyno_Data[Mics], Dyno_Data[Team],TBA_Matches_All[[#This Row],[Team]],Dyno_Data[Match],TBA_Matches_All[[#This Row],[Match_Number]],Dyno_Data[RecordType],"EndMatch",Dyno_Data[HPAmp],"Y")</f>
        <v>0</v>
      </c>
      <c r="AH267">
        <f>SUMIFS(Dyno_Data[Leave], Dyno_Data[Team],TBA_Matches_All[[#This Row],[Team]],Dyno_Data[Match],TBA_Matches_All[[#This Row],[Match_Number]],Dyno_Data[RecordType],"EndAuto")</f>
        <v>0</v>
      </c>
      <c r="AI267">
        <f>COUNTIFS(Dyno_Data[Team],TBA_Matches_All[[#This Row],[Team]],Dyno_Data[Match],TBA_Matches_All[[#This Row],[Match_Number]],Dyno_Data[RecordType],"Activities",Dyno_Data[DelDest],"Amp", Dyno_Data[DelMiss],"0", Dyno_Data[Mode],"Auto")</f>
        <v>0</v>
      </c>
      <c r="AJ267">
        <f>COUNTIFS(Dyno_Data[Team],TBA_Matches_All[[#This Row],[Team]],Dyno_Data[Match],TBA_Matches_All[[#This Row],[Match_Number]],Dyno_Data[RecordType],"Activities",Dyno_Data[DelDest],"Spkr", Dyno_Data[DelMiss],"0", Dyno_Data[Mode],"Auto")</f>
        <v>0</v>
      </c>
      <c r="AK267">
        <f>COUNTIFS(Dyno_Data[Team],TBA_Matches_All[[#This Row],[Team]],Dyno_Data[Match],TBA_Matches_All[[#This Row],[Match_Number]],Dyno_Data[RecordType],"Activities",Dyno_Data[DelDest],"Trap", Dyno_Data[DelMiss],"0", Dyno_Data[Mode],"Auto")</f>
        <v>0</v>
      </c>
      <c r="AL267">
        <f>COUNTIFS(Dyno_Data[Team],TBA_Matches_All[[#This Row],[Team]],Dyno_Data[Match],TBA_Matches_All[[#This Row],[Match_Number]],Dyno_Data[RecordType],"Activities",Dyno_Data[DelDest],"Amp", Dyno_Data[DelMiss],"0", Dyno_Data[Mode],"Teleop")</f>
        <v>6</v>
      </c>
      <c r="AM267">
        <f>COUNTIFS(Dyno_Data[Team],TBA_Matches_All[[#This Row],[Team]],Dyno_Data[Match],TBA_Matches_All[[#This Row],[Match_Number]],Dyno_Data[RecordType],"Activities",Dyno_Data[DelDest],"Spkr", Dyno_Data[DelMiss],"0", Dyno_Data[Mode],"Teleop")</f>
        <v>0</v>
      </c>
      <c r="AN267">
        <f>COUNTIFS(Dyno_Data[Team],TBA_Matches_All[[#This Row],[Team]],Dyno_Data[Match],TBA_Matches_All[[#This Row],[Match_Number]],Dyno_Data[RecordType],"Activities",Dyno_Data[DelDest],"Trap", Dyno_Data[DelMiss],"0", Dyno_Data[Mode],"&lt;&gt;Auto")</f>
        <v>0</v>
      </c>
      <c r="AO267">
        <f>SUM(TBA_Matches_All[[#This Row],[AampT]]+TBA_Matches_All[[#This Row],[AspkrT]]+TBA_Matches_All[[#This Row],[AtrapT]]+TBA_Matches_All[[#This Row],[TampT]]+TBA_Matches_All[[#This Row],[TspkrT]]+TBA_Matches_All[[#This Row],[TtrapT]])</f>
        <v>6</v>
      </c>
      <c r="AP267">
        <f>COUNTIFS(Dyno_Data[Team],TBA_Matches_All[[#This Row],[Team]],Dyno_Data[Match],TBA_Matches_All[[#This Row],[Match_Number]],Dyno_Data[RecordType],"Activities",Dyno_Data[DelDest],"Neut", Dyno_Data[DelMiss],"0")</f>
        <v>0</v>
      </c>
      <c r="AQ267">
        <f>COUNTIFS(Dyno_Data[Team],TBA_Matches_All[[#This Row],[Team]],Dyno_Data[Match],TBA_Matches_All[[#This Row],[Match_Number]],Dyno_Data[RecordType],"Activities",Dyno_Data[DelDest],"AllyW", Dyno_Data[DelMiss],"0")</f>
        <v>0</v>
      </c>
      <c r="AR267" t="str">
        <f>_xlfn.XLOOKUP(SUM(MID(TBA_Matches_All[[#This Row],[Team]],4,5),(TBA_Matches_All[[#This Row],[Match_Number]]/100)),Dyno_EndMatch[teammat],Dyno_EndMatch[RobotSta],"_",0,1)</f>
        <v>Amp</v>
      </c>
      <c r="AS267">
        <f>SUMIFS(Dyno_Data[AcqDis], Dyno_Data[Team],TBA_Matches_All[[#This Row],[Team]],Dyno_Data[Match],TBA_Matches_All[[#This Row],[Match_Number]],Dyno_Data[RecordType],"Activities", Dyno_Data[AcqCenter],1,Dyno_Data[Mode],"Auto")</f>
        <v>0</v>
      </c>
      <c r="AT267">
        <f>SUMIFS(Dyno_Data[AcqDis], Dyno_Data[Team],TBA_Matches_All[[#This Row],[Team]],Dyno_Data[Match],TBA_Matches_All[[#This Row],[Match_Number]],Dyno_Data[RecordType],"Activities", Dyno_Data[AcqCenter],2,Dyno_Data[Mode],"Auto")</f>
        <v>0</v>
      </c>
      <c r="AU267">
        <f>SUMIFS(Dyno_Data[AcqDis], Dyno_Data[Team],TBA_Matches_All[[#This Row],[Team]],Dyno_Data[Match],TBA_Matches_All[[#This Row],[Match_Number]],Dyno_Data[RecordType],"Activities", Dyno_Data[AcqCenter],3,Dyno_Data[Mode],"Auto")</f>
        <v>0</v>
      </c>
      <c r="AV267">
        <f>SUMIFS(Dyno_Data[AcqDis], Dyno_Data[Team],TBA_Matches_All[[#This Row],[Team]],Dyno_Data[Match],TBA_Matches_All[[#This Row],[Match_Number]],Dyno_Data[RecordType],"Activities", Dyno_Data[AcqCenter],4,Dyno_Data[Mode],"Auto")</f>
        <v>0</v>
      </c>
      <c r="AW267">
        <f>SUMIFS(Dyno_Data[AcqDis], Dyno_Data[Team],TBA_Matches_All[[#This Row],[Team]],Dyno_Data[Match],TBA_Matches_All[[#This Row],[Match_Number]],Dyno_Data[RecordType],"Activities", Dyno_Data[AcqCenter],5,Dyno_Data[Mode],"Auto")</f>
        <v>0</v>
      </c>
      <c r="AX267">
        <f>SUMIFS(Dyno_Data[DelMiss], Dyno_Data[Team],TBA_Matches_All[[#This Row],[Team]],Dyno_Data[Match],TBA_Matches_All[[#This Row],[Match_Number]],Dyno_Data[RecordType],"Activities", Dyno_Data[DelDest],"Amp")</f>
        <v>0</v>
      </c>
      <c r="AY267" s="60">
        <f>IFERROR(SUM((TBA_Matches_All[[#This Row],[AampT]]+TBA_Matches_All[[#This Row],[TampT]])/(TBA_Matches_All[[#This Row],[AampT]]+TBA_Matches_All[[#This Row],[TampT]]+TBA_Matches_All[[#This Row],[ampM]])),0)</f>
        <v>1</v>
      </c>
      <c r="AZ267">
        <f>SUMIFS(Dyno_Data[DelMiss], Dyno_Data[Team],TBA_Matches_All[[#This Row],[Team]],Dyno_Data[Match],TBA_Matches_All[[#This Row],[Match_Number]],Dyno_Data[RecordType],"Activities", Dyno_Data[DelDest],"Spkr")</f>
        <v>0</v>
      </c>
      <c r="BA267" s="60">
        <f>IFERROR(SUM((TBA_Matches_All[[#This Row],[AspkrT]]+TBA_Matches_All[[#This Row],[TspkrT]])/(TBA_Matches_All[[#This Row],[AspkrT]]+TBA_Matches_All[[#This Row],[TspkrT]]+TBA_Matches_All[[#This Row],[spkrM]])),0)</f>
        <v>0</v>
      </c>
      <c r="BB267">
        <f>SUMIFS(Dyno_Data[DelMiss], Dyno_Data[Team],TBA_Matches_All[[#This Row],[Team]],Dyno_Data[Match],TBA_Matches_All[[#This Row],[Match_Number]],Dyno_Data[RecordType],"Activities", Dyno_Data[DelDest],"Trap")</f>
        <v>0</v>
      </c>
      <c r="BC267" s="60">
        <f>IFERROR((TBA_Matches_All[[#This Row],[AtrapT]]+TBA_Matches_All[[#This Row],[TtrapT]])/(TBA_Matches_All[[#This Row],[AtrapT]]+TBA_Matches_All[[#This Row],[TtrapT]]+TBA_Matches_All[[#This Row],[trapM]]),0)</f>
        <v>0</v>
      </c>
      <c r="BD267">
        <f>COUNTIFS(Dyno_Data[Team],TBA_Matches_All[[#This Row],[Team]],Dyno_Data[Match],TBA_Matches_All[[#This Row],[Match_Number]],Dyno_Data[RecordType],"Activities",Dyno_Data[DelDest],"Neut", Dyno_Data[DelMiss],1)</f>
        <v>0</v>
      </c>
      <c r="BE267" s="60">
        <f>IFERROR(SUM((TBA_Matches_All[[#This Row],[NeutFlrT]])/(TBA_Matches_All[[#This Row],[NeutFlrT]]+TBA_Matches_All[[#This Row],[NZflM]])),0)</f>
        <v>0</v>
      </c>
      <c r="BF267">
        <f>COUNTIFS(Dyno_Data[Team],TBA_Matches_All[[#This Row],[Team]],Dyno_Data[Match],TBA_Matches_All[[#This Row],[Match_Number]],Dyno_Data[RecordType],"Activities",Dyno_Data[DelDest],"AllyW", Dyno_Data[DelMiss],1)</f>
        <v>0</v>
      </c>
      <c r="BG267" s="60">
        <f>IFERROR(SUM((TBA_Matches_All[[#This Row],[AllyWFlrT]])/(TBA_Matches_All[[#This Row],[AllyWFlrT]]+TBA_Matches_All[[#This Row],[AZflM]])),0)</f>
        <v>0</v>
      </c>
      <c r="BH267">
        <f>COUNTIFS(Dyno_Data[Team],TBA_Matches_All[[#This Row],[Team]],Dyno_Data[Match],TBA_Matches_All[[#This Row],[Match_Number]],Dyno_Data[RecordType],"Activities",Dyno_Data[DelOrig],"OppW", Dyno_Data[DelMiss],"0")</f>
        <v>0</v>
      </c>
      <c r="BI267">
        <f>COUNTIFS(Dyno_Data[Team],TBA_Matches_All[[#This Row],[Team]],Dyno_Data[Match],TBA_Matches_All[[#This Row],[Match_Number]],Dyno_Data[RecordType],"Activities",Dyno_Data[DelOrig],"OppW", Dyno_Data[DelMiss],"1")</f>
        <v>0</v>
      </c>
      <c r="BJ267" s="60">
        <f>IFERROR(SUM((TBA_Matches_All[[#This Row],[OZflrT]])/(TBA_Matches_All[[#This Row],[OZflrT]]+TBA_Matches_All[[#This Row],[OZflrM]])),0)</f>
        <v>0</v>
      </c>
      <c r="BK267">
        <f>COUNTIFS(Dyno_Data[Team],TBA_Matches_All[[#This Row],[Team]],Dyno_Data[Match],TBA_Matches_All[[#This Row],[Match_Number]],Dyno_Data[RecordType],"Activities",Dyno_Data[DelOrig],"Neut", Dyno_Data[DelMiss],"0")</f>
        <v>1</v>
      </c>
      <c r="BL267">
        <f>COUNTIFS(Dyno_Data[Team],TBA_Matches_All[[#This Row],[Team]],Dyno_Data[Match],TBA_Matches_All[[#This Row],[Match_Number]],Dyno_Data[RecordType],"Activities",Dyno_Data[DelOrig],"Neut", Dyno_Data[DelMiss],"1")</f>
        <v>0</v>
      </c>
      <c r="BM267" s="60">
        <f>IFERROR(SUM((TBA_Matches_All[[#This Row],[NZflrT]])/(TBA_Matches_All[[#This Row],[NZflrT]]+TBA_Matches_All[[#This Row],[NZflrM]])),0)</f>
        <v>1</v>
      </c>
      <c r="BN267">
        <f>COUNTIFS(Dyno_Data[Team],TBA_Matches_All[[#This Row],[Team]],Dyno_Data[Match],TBA_Matches_All[[#This Row],[Match_Number]],Dyno_Data[RecordType],"Activities",Dyno_Data[DelOrig],"AllyW", Dyno_Data[DelMiss],"0")</f>
        <v>5</v>
      </c>
      <c r="BO267">
        <f>COUNTIFS(Dyno_Data[Team],TBA_Matches_All[[#This Row],[Team]],Dyno_Data[Match],TBA_Matches_All[[#This Row],[Match_Number]],Dyno_Data[RecordType],"Activities",Dyno_Data[DelOrig],"AllyW", Dyno_Data[DelMiss],"1")</f>
        <v>0</v>
      </c>
      <c r="BP267" s="60">
        <f>IFERROR(SUM((TBA_Matches_All[[#This Row],[AZflrT]])/(TBA_Matches_All[[#This Row],[AZflrT]]+TBA_Matches_All[[#This Row],[AZflrM]])),0)</f>
        <v>1</v>
      </c>
      <c r="BQ267">
        <f>COUNTIFS(Dyno_Data[Team],TBA_Matches_All[[#This Row],[Team]],Dyno_Data[Match],TBA_Matches_All[[#This Row],[Match_Number]],Dyno_Data[RecordType],"Activities",Dyno_Data[DelOrig],"SubW", Dyno_Data[DelMiss],"0")</f>
        <v>0</v>
      </c>
      <c r="BR267">
        <f>COUNTIFS(Dyno_Data[Team],TBA_Matches_All[[#This Row],[Team]],Dyno_Data[Match],TBA_Matches_All[[#This Row],[Match_Number]],Dyno_Data[RecordType],"Activities",Dyno_Data[DelOrig],"SubW", Dyno_Data[DelMiss],"1")</f>
        <v>0</v>
      </c>
      <c r="BS267" s="60">
        <f>IFERROR(SUM((TBA_Matches_All[[#This Row],[SubwT]])/(TBA_Matches_All[[#This Row],[SubwT]]+TBA_Matches_All[[#This Row],[SubwM]])),0)</f>
        <v>0</v>
      </c>
      <c r="BT267">
        <f>COUNTIFS(Dyno_Data[Team],TBA_Matches_All[[#This Row],[Team]],Dyno_Data[Match],TBA_Matches_All[[#This Row],[Match_Number]],Dyno_Data[RecordType],"Activities", Dyno_Data[AcqLoc],"OppWing")</f>
        <v>0</v>
      </c>
      <c r="BU267">
        <f>COUNTIFS(Dyno_Data[Team],TBA_Matches_All[[#This Row],[Team]],Dyno_Data[Match],TBA_Matches_All[[#This Row],[Match_Number]],Dyno_Data[RecordType],"Activities", Dyno_Data[AcqLoc],"Neutral")</f>
        <v>0</v>
      </c>
      <c r="BV267">
        <f>COUNTIFS(Dyno_Data[Team],TBA_Matches_All[[#This Row],[Team]],Dyno_Data[Match],TBA_Matches_All[[#This Row],[Match_Number]],Dyno_Data[RecordType],"Activities", Dyno_Data[AcqLoc],"AllyWing")</f>
        <v>0</v>
      </c>
      <c r="BW267">
        <f>COUNTIFS(Dyno_Data[Team],TBA_Matches_All[[#This Row],[Team]],Dyno_Data[Match],TBA_Matches_All[[#This Row],[Match_Number]],Dyno_Data[RecordType],"Activities", Dyno_Data[AcqLoc],"Source")</f>
        <v>0</v>
      </c>
      <c r="BX267">
        <f>SUMIFS(Dyno_Data[AcqDrp], Dyno_Data[Team],TBA_Matches_All[[#This Row],[Team]],Dyno_Data[Match],TBA_Matches_All[[#This Row],[Match_Number]],Dyno_Data[RecordType],"Activities", Dyno_Data[AcqLoc],"Source")</f>
        <v>0</v>
      </c>
      <c r="BY267">
        <f>SUMIFS(Dyno_Data[OZTime], Dyno_Data[Team],TBA_Matches_All[[#This Row],[Team]],Dyno_Data[Match],TBA_Matches_All[[#This Row],[Match_Number]],Dyno_Data[RecordType],"EndMatch")</f>
        <v>26.334818899999998</v>
      </c>
      <c r="BZ267">
        <f>SUMIFS(Dyno_Data[NZTime], Dyno_Data[Team],TBA_Matches_All[[#This Row],[Team]],Dyno_Data[Match],TBA_Matches_All[[#This Row],[Match_Number]],Dyno_Data[RecordType],"EndMatch")</f>
        <v>38.980634899999998</v>
      </c>
      <c r="CA267">
        <f>SUMIFS(Dyno_Data[AZTime], Dyno_Data[Team],TBA_Matches_All[[#This Row],[Team]],Dyno_Data[Match],TBA_Matches_All[[#This Row],[Match_Number]],Dyno_Data[RecordType],"EndMatch")</f>
        <v>70.476810999999998</v>
      </c>
      <c r="CB267">
        <f>SUMIFS(Dyno_Data[ClimbT], Dyno_Data[Team],TBA_Matches_All[[#This Row],[Team]],Dyno_Data[Match],TBA_Matches_All[[#This Row],[Match_Number]],Dyno_Data[RecordType],"EndMatch")</f>
        <v>0</v>
      </c>
      <c r="CC267" t="str">
        <f>_xlfn.XLOOKUP(SUM(MID(TBA_Matches_All[[#This Row],[Team]],4,5),(TBA_Matches_All[[#This Row],[Match_Number]]/100)),Dyno_EndMatch[teammat],Dyno_EndMatch[StageStat],"_",0,1)</f>
        <v>Park</v>
      </c>
      <c r="CD267" t="str">
        <f>_xlfn.XLOOKUP(TBA_Matches_All[[#This Row],[teammat]],Dyno_EndMatch[teammat],Dyno_EndMatch[StageAtt],"_",0,1)</f>
        <v>0</v>
      </c>
      <c r="CE267" t="str">
        <f>_xlfn.XLOOKUP(TBA_Matches_All[[#This Row],[teammat]],Dyno_EndMatch[teammat],Dyno_EndMatch[StageLoc],"_",0,1)</f>
        <v>A</v>
      </c>
      <c r="CF267">
        <f>SUMIFS(Dyno_Data[Harmony], Dyno_Data[Team],TBA_Matches_All[[#This Row],[Team]],Dyno_Data[Match],TBA_Matches_All[[#This Row],[Match_Number]],Dyno_Data[RecordType],"EndMatch", Dyno_Data[StageStat],"On",Dyno_Data[Harmony],"&lt;&gt;9")</f>
        <v>0</v>
      </c>
      <c r="CG267">
        <f>SUMIFS(Dyno_Data[Spotlit], Dyno_Data[Team],TBA_Matches_All[[#This Row],[Team]],Dyno_Data[Match],TBA_Matches_All[[#This Row],[Match_Number]],Dyno_Data[RecordType],"EndMatch", Dyno_Data[StageStat],"On",Dyno_Data[Spotlit],"&lt;&gt;9")</f>
        <v>0</v>
      </c>
      <c r="CH267" t="str">
        <f>_xlfn.XLOOKUP(TBA_Matches_All[[#This Row],[teammat]],Dyno_EndMatch[teammat],Dyno_EndMatch[Strategy],"_",0,1)</f>
        <v>Hybrid</v>
      </c>
      <c r="CI267">
        <f>SUMIFS(Dyno_Data[Defense], Dyno_Data[Team],TBA_Matches_All[[#This Row],[Team]],Dyno_Data[Match],TBA_Matches_All[[#This Row],[Match_Number]],Dyno_Data[RecordType],"EndMatch",Dyno_Data[Defense],"&lt;&gt;9")</f>
        <v>0</v>
      </c>
      <c r="CJ267">
        <f>SUMIFS(Dyno_Data[Avoidance], Dyno_Data[Team],TBA_Matches_All[[#This Row],[Team]],Dyno_Data[Match],TBA_Matches_All[[#This Row],[Match_Number]],Dyno_Data[RecordType],"EndMatch",Dyno_Data[Avoidance],"&lt;&gt;9")</f>
        <v>0</v>
      </c>
      <c r="CK267" s="82">
        <f>COUNTIF($H$2:TBA_Matches_All[[#This Row],[Team]],TBA_Matches_All[[#This Row],[Team]])</f>
        <v>6</v>
      </c>
      <c r="CL267" s="111">
        <f>SUM(MID(TBA_Matches_All[[#This Row],[Team]],4,5)+TBA_Matches_All[[#This Row],[Match_Number]]/100)</f>
        <v>9750.4500000000007</v>
      </c>
      <c r="CM267">
        <f>SUM((TBA_Matches_All[[#This Row],[Leave]]*2)+(TBA_Matches_All[[#This Row],[AampT]]*2)+(TBA_Matches_All[[#This Row],[AspkrT]]*5)+(TBA_Matches_All[[#This Row],[AtrapT]]*5))</f>
        <v>0</v>
      </c>
      <c r="CN267" s="59">
        <f>IFERROR(SUM(TBA_Matches_All[[#This Row],[AptsT]]/TBA_Matches_All[[#This Row],[AutoPts]]),0)</f>
        <v>0</v>
      </c>
      <c r="CO267" s="59">
        <f>IFERROR(SUM(TBA_Matches_All[[#This Row],[AampT]]+TBA_Matches_All[[#This Row],[AspkrT]]+TBA_Matches_All[[#This Row],[AtrapT]]/TBA_Matches_All[[#This Row],[Aamp]]+TBA_Matches_All[[#This Row],[Aspkr]]+TBA_Matches_All[[#This Row],[AtrapT]]),0)</f>
        <v>0</v>
      </c>
      <c r="CP267" s="59">
        <f>IFERROR(SUM(TBA_Matches_All[[#This Row],[TampT]]/TBA_Matches_All[[#This Row],[Tamp]]),0)</f>
        <v>1</v>
      </c>
      <c r="CQ267" s="59">
        <f>IFERROR(SUM(TBA_Matches_All[[#This Row],[TspkrT]]/TBA_Matches_All[[#This Row],[Tspkr]]),0)</f>
        <v>0</v>
      </c>
      <c r="CR267">
        <f>SUM(TBA_Matches_All[[#This Row],[TspkrPts]]*TBA_Matches_All[[#This Row],[TspkrP]])</f>
        <v>0</v>
      </c>
      <c r="CS267" s="59">
        <f>IFERROR(SUM(TBA_Matches_All[[#This Row],[TtrapT]]/TBA_Matches_All[[#This Row],[Trap]]),0)</f>
        <v>0</v>
      </c>
      <c r="CT267" s="59">
        <f>IFERROR(SUM(TBA_Matches_All[[#This Row],[TotNotesT]]/TBA_Matches_All[[#This Row],[TotNotes]]),0)</f>
        <v>0.35294117647058826</v>
      </c>
      <c r="CU267" s="66">
        <f>SUM((TBA_Matches_All[[#This Row],[AampT]]*2)+(TBA_Matches_All[[#This Row],[AspkrT]]*5)+(TBA_Matches_All[[#This Row],[AtrapT]]*5)+(TBA_Matches_All[[#This Row],[TampT]]*1)+(TBA_Matches_All[[#This Row],[TspkrptsC]]))</f>
        <v>6</v>
      </c>
      <c r="CV267" s="59">
        <f>IFERROR(TBA_Matches_All[[#This Row],[noteptsT]]/TBA_Matches_All[[#This Row],[NotePts]],0)</f>
        <v>0.16216216216216217</v>
      </c>
      <c r="CW267">
        <f>SUM(IF(TBA_Matches_All[[#This Row],[stageStat]]="On",3,0),IF(TBA_Matches_All[[#This Row],[stageStat]]="Park",1,0),SUMIFS(TBA_Matches_All[[#This Row],[Spotlit]],TBA_Matches_All[[#This Row],[stageStat]],"On"),SUMIFS(TBA_Matches_All[[#This Row],[Harmony]],TBA_Matches_All[[#This Row],[stageStat]],"On"))</f>
        <v>1</v>
      </c>
      <c r="CX267" s="59">
        <f>IFERROR(TBA_Matches_All[[#This Row],[stageptsT]]/TBA_Matches_All[[#This Row],[StagePts]],0)</f>
        <v>0.16666666666666666</v>
      </c>
      <c r="CY267">
        <f>SUM((TBA_Matches_All[[#This Row],[AptsT]]+TBA_Matches_All[[#This Row],[TampT]]+TBA_Matches_All[[#This Row],[TspkrptsC]]+(TBA_Matches_All[[#This Row],[TtrapT]]*5)+TBA_Matches_All[[#This Row],[stageptsT]]))</f>
        <v>7</v>
      </c>
      <c r="CZ267" s="59">
        <f>IFERROR(SUM(TBA_Matches_All[[#This Row],[TotptsC]]/TBA_Matches_All[[#This Row],[Score]]),0)</f>
        <v>0.14000000000000001</v>
      </c>
      <c r="DA26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4.2</v>
      </c>
      <c r="DB267" s="74">
        <f>SUMIFS(TBA_Matches_All[AveTeamTNoteDels],TBA_Matches_All[Match_Number],TBA_Matches_All[[#This Row],[Match_Number]],TBA_Matches_All[Alliance],"&lt;&gt;"&amp;TBA_Matches_All[[#This Row],[Alliance]],TBA_Matches_All[Scouted],"&gt;0")</f>
        <v>11.233333333333334</v>
      </c>
      <c r="DC267" s="74">
        <f>(TBA_Matches_All[[#This Row],[TampT]]+TBA_Matches_All[[#This Row],[TspkrptsC]])-TBA_Matches_All[[#This Row],[AveTeamTNoteDels]]</f>
        <v>1.7999999999999998</v>
      </c>
      <c r="DD267" s="74">
        <f>SUMIFS(TBA_Matches_All[AveTeamTNoteDels],TBA_Matches_All[Match_Number],TBA_Matches_All[[#This Row],[Match_Number]],TBA_Matches_All[Alliance],"&lt;&gt;"&amp;TBA_Matches_All[[#This Row],[Alliance]])-TBA_Matches_All[[#This Row],[AveOppTNoteDels]]</f>
        <v>0</v>
      </c>
    </row>
    <row r="268" spans="1:108" x14ac:dyDescent="0.3">
      <c r="A268" t="s">
        <v>1042</v>
      </c>
      <c r="B268" t="s">
        <v>489</v>
      </c>
      <c r="C268" t="s">
        <v>1354</v>
      </c>
      <c r="D268">
        <v>45</v>
      </c>
      <c r="E268" t="s">
        <v>1406</v>
      </c>
      <c r="F268" t="s">
        <v>1424</v>
      </c>
      <c r="G268" t="s">
        <v>1409</v>
      </c>
      <c r="H268" t="s">
        <v>1277</v>
      </c>
      <c r="I268" t="b">
        <v>1</v>
      </c>
      <c r="J268">
        <v>52</v>
      </c>
      <c r="K268">
        <v>0</v>
      </c>
      <c r="L268">
        <v>0</v>
      </c>
      <c r="M268">
        <v>7</v>
      </c>
      <c r="N268">
        <v>0</v>
      </c>
      <c r="O268">
        <v>4</v>
      </c>
      <c r="P268">
        <v>20</v>
      </c>
      <c r="Q268">
        <v>26</v>
      </c>
      <c r="R268">
        <v>5</v>
      </c>
      <c r="S268">
        <v>2</v>
      </c>
      <c r="T268">
        <v>2</v>
      </c>
      <c r="U268">
        <v>10</v>
      </c>
      <c r="V268">
        <v>4</v>
      </c>
      <c r="W268">
        <v>4</v>
      </c>
      <c r="X268">
        <v>14</v>
      </c>
      <c r="Y268">
        <v>19</v>
      </c>
      <c r="Z268">
        <v>0</v>
      </c>
      <c r="AA268">
        <v>0</v>
      </c>
      <c r="AB268">
        <v>13</v>
      </c>
      <c r="AC268">
        <v>39</v>
      </c>
      <c r="AD268">
        <v>3</v>
      </c>
      <c r="AE268">
        <f>IFERROR(6/(COUNTIF(Dyno_EndMatch[Match],TBA_Matches_All[[#This Row],[Match_Number]])),0)</f>
        <v>1</v>
      </c>
      <c r="AF268">
        <f>COUNTIFS(Dyno_Data[Team],TBA_Matches_All[[#This Row],[Team]],Dyno_Data[Match],TBA_Matches_All[[#This Row],[Match_Number]],Dyno_Data[RecordType],"EndMatch",Dyno_Data[HPAmp],"Y")</f>
        <v>1</v>
      </c>
      <c r="AG268">
        <f>SUMIFS(Dyno_Data[Mics], Dyno_Data[Team],TBA_Matches_All[[#This Row],[Team]],Dyno_Data[Match],TBA_Matches_All[[#This Row],[Match_Number]],Dyno_Data[RecordType],"EndMatch",Dyno_Data[HPAmp],"Y")</f>
        <v>0</v>
      </c>
      <c r="AH268">
        <f>SUMIFS(Dyno_Data[Leave], Dyno_Data[Team],TBA_Matches_All[[#This Row],[Team]],Dyno_Data[Match],TBA_Matches_All[[#This Row],[Match_Number]],Dyno_Data[RecordType],"EndAuto")</f>
        <v>1</v>
      </c>
      <c r="AI268">
        <f>COUNTIFS(Dyno_Data[Team],TBA_Matches_All[[#This Row],[Team]],Dyno_Data[Match],TBA_Matches_All[[#This Row],[Match_Number]],Dyno_Data[RecordType],"Activities",Dyno_Data[DelDest],"Amp", Dyno_Data[DelMiss],"0", Dyno_Data[Mode],"Auto")</f>
        <v>0</v>
      </c>
      <c r="AJ268">
        <f>COUNTIFS(Dyno_Data[Team],TBA_Matches_All[[#This Row],[Team]],Dyno_Data[Match],TBA_Matches_All[[#This Row],[Match_Number]],Dyno_Data[RecordType],"Activities",Dyno_Data[DelDest],"Spkr", Dyno_Data[DelMiss],"0", Dyno_Data[Mode],"Auto")</f>
        <v>4</v>
      </c>
      <c r="AK268">
        <f>COUNTIFS(Dyno_Data[Team],TBA_Matches_All[[#This Row],[Team]],Dyno_Data[Match],TBA_Matches_All[[#This Row],[Match_Number]],Dyno_Data[RecordType],"Activities",Dyno_Data[DelDest],"Trap", Dyno_Data[DelMiss],"0", Dyno_Data[Mode],"Auto")</f>
        <v>0</v>
      </c>
      <c r="AL268">
        <f>COUNTIFS(Dyno_Data[Team],TBA_Matches_All[[#This Row],[Team]],Dyno_Data[Match],TBA_Matches_All[[#This Row],[Match_Number]],Dyno_Data[RecordType],"Activities",Dyno_Data[DelDest],"Amp", Dyno_Data[DelMiss],"0", Dyno_Data[Mode],"Teleop")</f>
        <v>2</v>
      </c>
      <c r="AM268">
        <f>COUNTIFS(Dyno_Data[Team],TBA_Matches_All[[#This Row],[Team]],Dyno_Data[Match],TBA_Matches_All[[#This Row],[Match_Number]],Dyno_Data[RecordType],"Activities",Dyno_Data[DelDest],"Spkr", Dyno_Data[DelMiss],"0", Dyno_Data[Mode],"Teleop")</f>
        <v>4</v>
      </c>
      <c r="AN268">
        <f>COUNTIFS(Dyno_Data[Team],TBA_Matches_All[[#This Row],[Team]],Dyno_Data[Match],TBA_Matches_All[[#This Row],[Match_Number]],Dyno_Data[RecordType],"Activities",Dyno_Data[DelDest],"Trap", Dyno_Data[DelMiss],"0", Dyno_Data[Mode],"&lt;&gt;Auto")</f>
        <v>0</v>
      </c>
      <c r="AO268">
        <f>SUM(TBA_Matches_All[[#This Row],[AampT]]+TBA_Matches_All[[#This Row],[AspkrT]]+TBA_Matches_All[[#This Row],[AtrapT]]+TBA_Matches_All[[#This Row],[TampT]]+TBA_Matches_All[[#This Row],[TspkrT]]+TBA_Matches_All[[#This Row],[TtrapT]])</f>
        <v>10</v>
      </c>
      <c r="AP268">
        <f>COUNTIFS(Dyno_Data[Team],TBA_Matches_All[[#This Row],[Team]],Dyno_Data[Match],TBA_Matches_All[[#This Row],[Match_Number]],Dyno_Data[RecordType],"Activities",Dyno_Data[DelDest],"Neut", Dyno_Data[DelMiss],"0")</f>
        <v>0</v>
      </c>
      <c r="AQ268">
        <f>COUNTIFS(Dyno_Data[Team],TBA_Matches_All[[#This Row],[Team]],Dyno_Data[Match],TBA_Matches_All[[#This Row],[Match_Number]],Dyno_Data[RecordType],"Activities",Dyno_Data[DelDest],"AllyW", Dyno_Data[DelMiss],"0")</f>
        <v>0</v>
      </c>
      <c r="AR268" t="str">
        <f>_xlfn.XLOOKUP(SUM(MID(TBA_Matches_All[[#This Row],[Team]],4,5),(TBA_Matches_All[[#This Row],[Match_Number]]/100)),Dyno_EndMatch[teammat],Dyno_EndMatch[RobotSta],"_",0,1)</f>
        <v>SubW</v>
      </c>
      <c r="AS268">
        <f>SUMIFS(Dyno_Data[AcqDis], Dyno_Data[Team],TBA_Matches_All[[#This Row],[Team]],Dyno_Data[Match],TBA_Matches_All[[#This Row],[Match_Number]],Dyno_Data[RecordType],"Activities", Dyno_Data[AcqCenter],1,Dyno_Data[Mode],"Auto")</f>
        <v>0</v>
      </c>
      <c r="AT268">
        <f>SUMIFS(Dyno_Data[AcqDis], Dyno_Data[Team],TBA_Matches_All[[#This Row],[Team]],Dyno_Data[Match],TBA_Matches_All[[#This Row],[Match_Number]],Dyno_Data[RecordType],"Activities", Dyno_Data[AcqCenter],2,Dyno_Data[Mode],"Auto")</f>
        <v>0</v>
      </c>
      <c r="AU268">
        <f>SUMIFS(Dyno_Data[AcqDis], Dyno_Data[Team],TBA_Matches_All[[#This Row],[Team]],Dyno_Data[Match],TBA_Matches_All[[#This Row],[Match_Number]],Dyno_Data[RecordType],"Activities", Dyno_Data[AcqCenter],3,Dyno_Data[Mode],"Auto")</f>
        <v>0</v>
      </c>
      <c r="AV268">
        <f>SUMIFS(Dyno_Data[AcqDis], Dyno_Data[Team],TBA_Matches_All[[#This Row],[Team]],Dyno_Data[Match],TBA_Matches_All[[#This Row],[Match_Number]],Dyno_Data[RecordType],"Activities", Dyno_Data[AcqCenter],4,Dyno_Data[Mode],"Auto")</f>
        <v>0</v>
      </c>
      <c r="AW268">
        <f>SUMIFS(Dyno_Data[AcqDis], Dyno_Data[Team],TBA_Matches_All[[#This Row],[Team]],Dyno_Data[Match],TBA_Matches_All[[#This Row],[Match_Number]],Dyno_Data[RecordType],"Activities", Dyno_Data[AcqCenter],5,Dyno_Data[Mode],"Auto")</f>
        <v>0</v>
      </c>
      <c r="AX268">
        <f>SUMIFS(Dyno_Data[DelMiss], Dyno_Data[Team],TBA_Matches_All[[#This Row],[Team]],Dyno_Data[Match],TBA_Matches_All[[#This Row],[Match_Number]],Dyno_Data[RecordType],"Activities", Dyno_Data[DelDest],"Amp")</f>
        <v>1</v>
      </c>
      <c r="AY268" s="60">
        <f>IFERROR(SUM((TBA_Matches_All[[#This Row],[AampT]]+TBA_Matches_All[[#This Row],[TampT]])/(TBA_Matches_All[[#This Row],[AampT]]+TBA_Matches_All[[#This Row],[TampT]]+TBA_Matches_All[[#This Row],[ampM]])),0)</f>
        <v>0.66666666666666663</v>
      </c>
      <c r="AZ268">
        <f>SUMIFS(Dyno_Data[DelMiss], Dyno_Data[Team],TBA_Matches_All[[#This Row],[Team]],Dyno_Data[Match],TBA_Matches_All[[#This Row],[Match_Number]],Dyno_Data[RecordType],"Activities", Dyno_Data[DelDest],"Spkr")</f>
        <v>0</v>
      </c>
      <c r="BA268" s="60">
        <f>IFERROR(SUM((TBA_Matches_All[[#This Row],[AspkrT]]+TBA_Matches_All[[#This Row],[TspkrT]])/(TBA_Matches_All[[#This Row],[AspkrT]]+TBA_Matches_All[[#This Row],[TspkrT]]+TBA_Matches_All[[#This Row],[spkrM]])),0)</f>
        <v>1</v>
      </c>
      <c r="BB268">
        <f>SUMIFS(Dyno_Data[DelMiss], Dyno_Data[Team],TBA_Matches_All[[#This Row],[Team]],Dyno_Data[Match],TBA_Matches_All[[#This Row],[Match_Number]],Dyno_Data[RecordType],"Activities", Dyno_Data[DelDest],"Trap")</f>
        <v>0</v>
      </c>
      <c r="BC268" s="60">
        <f>IFERROR((TBA_Matches_All[[#This Row],[AtrapT]]+TBA_Matches_All[[#This Row],[TtrapT]])/(TBA_Matches_All[[#This Row],[AtrapT]]+TBA_Matches_All[[#This Row],[TtrapT]]+TBA_Matches_All[[#This Row],[trapM]]),0)</f>
        <v>0</v>
      </c>
      <c r="BD268">
        <f>COUNTIFS(Dyno_Data[Team],TBA_Matches_All[[#This Row],[Team]],Dyno_Data[Match],TBA_Matches_All[[#This Row],[Match_Number]],Dyno_Data[RecordType],"Activities",Dyno_Data[DelDest],"Neut", Dyno_Data[DelMiss],1)</f>
        <v>0</v>
      </c>
      <c r="BE268" s="60">
        <f>IFERROR(SUM((TBA_Matches_All[[#This Row],[NeutFlrT]])/(TBA_Matches_All[[#This Row],[NeutFlrT]]+TBA_Matches_All[[#This Row],[NZflM]])),0)</f>
        <v>0</v>
      </c>
      <c r="BF268">
        <f>COUNTIFS(Dyno_Data[Team],TBA_Matches_All[[#This Row],[Team]],Dyno_Data[Match],TBA_Matches_All[[#This Row],[Match_Number]],Dyno_Data[RecordType],"Activities",Dyno_Data[DelDest],"AllyW", Dyno_Data[DelMiss],1)</f>
        <v>0</v>
      </c>
      <c r="BG268" s="60">
        <f>IFERROR(SUM((TBA_Matches_All[[#This Row],[AllyWFlrT]])/(TBA_Matches_All[[#This Row],[AllyWFlrT]]+TBA_Matches_All[[#This Row],[AZflM]])),0)</f>
        <v>0</v>
      </c>
      <c r="BH268">
        <f>COUNTIFS(Dyno_Data[Team],TBA_Matches_All[[#This Row],[Team]],Dyno_Data[Match],TBA_Matches_All[[#This Row],[Match_Number]],Dyno_Data[RecordType],"Activities",Dyno_Data[DelOrig],"OppW", Dyno_Data[DelMiss],"0")</f>
        <v>0</v>
      </c>
      <c r="BI268">
        <f>COUNTIFS(Dyno_Data[Team],TBA_Matches_All[[#This Row],[Team]],Dyno_Data[Match],TBA_Matches_All[[#This Row],[Match_Number]],Dyno_Data[RecordType],"Activities",Dyno_Data[DelOrig],"OppW", Dyno_Data[DelMiss],"1")</f>
        <v>0</v>
      </c>
      <c r="BJ268" s="60">
        <f>IFERROR(SUM((TBA_Matches_All[[#This Row],[OZflrT]])/(TBA_Matches_All[[#This Row],[OZflrT]]+TBA_Matches_All[[#This Row],[OZflrM]])),0)</f>
        <v>0</v>
      </c>
      <c r="BK268">
        <f>COUNTIFS(Dyno_Data[Team],TBA_Matches_All[[#This Row],[Team]],Dyno_Data[Match],TBA_Matches_All[[#This Row],[Match_Number]],Dyno_Data[RecordType],"Activities",Dyno_Data[DelOrig],"Neut", Dyno_Data[DelMiss],"0")</f>
        <v>2</v>
      </c>
      <c r="BL268">
        <f>COUNTIFS(Dyno_Data[Team],TBA_Matches_All[[#This Row],[Team]],Dyno_Data[Match],TBA_Matches_All[[#This Row],[Match_Number]],Dyno_Data[RecordType],"Activities",Dyno_Data[DelOrig],"Neut", Dyno_Data[DelMiss],"1")</f>
        <v>1</v>
      </c>
      <c r="BM268" s="60">
        <f>IFERROR(SUM((TBA_Matches_All[[#This Row],[NZflrT]])/(TBA_Matches_All[[#This Row],[NZflrT]]+TBA_Matches_All[[#This Row],[NZflrM]])),0)</f>
        <v>0.66666666666666663</v>
      </c>
      <c r="BN268">
        <f>COUNTIFS(Dyno_Data[Team],TBA_Matches_All[[#This Row],[Team]],Dyno_Data[Match],TBA_Matches_All[[#This Row],[Match_Number]],Dyno_Data[RecordType],"Activities",Dyno_Data[DelOrig],"AllyW", Dyno_Data[DelMiss],"0")</f>
        <v>4</v>
      </c>
      <c r="BO268">
        <f>COUNTIFS(Dyno_Data[Team],TBA_Matches_All[[#This Row],[Team]],Dyno_Data[Match],TBA_Matches_All[[#This Row],[Match_Number]],Dyno_Data[RecordType],"Activities",Dyno_Data[DelOrig],"AllyW", Dyno_Data[DelMiss],"1")</f>
        <v>0</v>
      </c>
      <c r="BP268" s="60">
        <f>IFERROR(SUM((TBA_Matches_All[[#This Row],[AZflrT]])/(TBA_Matches_All[[#This Row],[AZflrT]]+TBA_Matches_All[[#This Row],[AZflrM]])),0)</f>
        <v>1</v>
      </c>
      <c r="BQ268">
        <f>COUNTIFS(Dyno_Data[Team],TBA_Matches_All[[#This Row],[Team]],Dyno_Data[Match],TBA_Matches_All[[#This Row],[Match_Number]],Dyno_Data[RecordType],"Activities",Dyno_Data[DelOrig],"SubW", Dyno_Data[DelMiss],"0")</f>
        <v>4</v>
      </c>
      <c r="BR268">
        <f>COUNTIFS(Dyno_Data[Team],TBA_Matches_All[[#This Row],[Team]],Dyno_Data[Match],TBA_Matches_All[[#This Row],[Match_Number]],Dyno_Data[RecordType],"Activities",Dyno_Data[DelOrig],"SubW", Dyno_Data[DelMiss],"1")</f>
        <v>0</v>
      </c>
      <c r="BS268" s="60">
        <f>IFERROR(SUM((TBA_Matches_All[[#This Row],[SubwT]])/(TBA_Matches_All[[#This Row],[SubwT]]+TBA_Matches_All[[#This Row],[SubwM]])),0)</f>
        <v>1</v>
      </c>
      <c r="BT268">
        <f>COUNTIFS(Dyno_Data[Team],TBA_Matches_All[[#This Row],[Team]],Dyno_Data[Match],TBA_Matches_All[[#This Row],[Match_Number]],Dyno_Data[RecordType],"Activities", Dyno_Data[AcqLoc],"OppWing")</f>
        <v>0</v>
      </c>
      <c r="BU268">
        <f>COUNTIFS(Dyno_Data[Team],TBA_Matches_All[[#This Row],[Team]],Dyno_Data[Match],TBA_Matches_All[[#This Row],[Match_Number]],Dyno_Data[RecordType],"Activities", Dyno_Data[AcqLoc],"Neutral")</f>
        <v>0</v>
      </c>
      <c r="BV268">
        <f>COUNTIFS(Dyno_Data[Team],TBA_Matches_All[[#This Row],[Team]],Dyno_Data[Match],TBA_Matches_All[[#This Row],[Match_Number]],Dyno_Data[RecordType],"Activities", Dyno_Data[AcqLoc],"AllyWing")</f>
        <v>0</v>
      </c>
      <c r="BW268">
        <f>COUNTIFS(Dyno_Data[Team],TBA_Matches_All[[#This Row],[Team]],Dyno_Data[Match],TBA_Matches_All[[#This Row],[Match_Number]],Dyno_Data[RecordType],"Activities", Dyno_Data[AcqLoc],"Source")</f>
        <v>0</v>
      </c>
      <c r="BX268">
        <f>SUMIFS(Dyno_Data[AcqDrp], Dyno_Data[Team],TBA_Matches_All[[#This Row],[Team]],Dyno_Data[Match],TBA_Matches_All[[#This Row],[Match_Number]],Dyno_Data[RecordType],"Activities", Dyno_Data[AcqLoc],"Source")</f>
        <v>0</v>
      </c>
      <c r="BY268">
        <f>SUMIFS(Dyno_Data[OZTime], Dyno_Data[Team],TBA_Matches_All[[#This Row],[Team]],Dyno_Data[Match],TBA_Matches_All[[#This Row],[Match_Number]],Dyno_Data[RecordType],"EndMatch")</f>
        <v>28.430243099999998</v>
      </c>
      <c r="BZ268">
        <f>SUMIFS(Dyno_Data[NZTime], Dyno_Data[Team],TBA_Matches_All[[#This Row],[Team]],Dyno_Data[Match],TBA_Matches_All[[#This Row],[Match_Number]],Dyno_Data[RecordType],"EndMatch")</f>
        <v>42.647309700000001</v>
      </c>
      <c r="CA268">
        <f>SUMIFS(Dyno_Data[AZTime], Dyno_Data[Team],TBA_Matches_All[[#This Row],[Team]],Dyno_Data[Match],TBA_Matches_All[[#This Row],[Match_Number]],Dyno_Data[RecordType],"EndMatch")</f>
        <v>45.405940999999999</v>
      </c>
      <c r="CB268">
        <f>SUMIFS(Dyno_Data[ClimbT], Dyno_Data[Team],TBA_Matches_All[[#This Row],[Team]],Dyno_Data[Match],TBA_Matches_All[[#This Row],[Match_Number]],Dyno_Data[RecordType],"EndMatch")</f>
        <v>15.066203399999999</v>
      </c>
      <c r="CC268" t="str">
        <f>_xlfn.XLOOKUP(SUM(MID(TBA_Matches_All[[#This Row],[Team]],4,5),(TBA_Matches_All[[#This Row],[Match_Number]]/100)),Dyno_EndMatch[teammat],Dyno_EndMatch[StageStat],"_",0,1)</f>
        <v>Park</v>
      </c>
      <c r="CD268" t="str">
        <f>_xlfn.XLOOKUP(TBA_Matches_All[[#This Row],[teammat]],Dyno_EndMatch[teammat],Dyno_EndMatch[StageAtt],"_",0,1)</f>
        <v>-1</v>
      </c>
      <c r="CE268" t="str">
        <f>_xlfn.XLOOKUP(TBA_Matches_All[[#This Row],[teammat]],Dyno_EndMatch[teammat],Dyno_EndMatch[StageLoc],"_",0,1)</f>
        <v>A</v>
      </c>
      <c r="CF268">
        <f>SUMIFS(Dyno_Data[Harmony], Dyno_Data[Team],TBA_Matches_All[[#This Row],[Team]],Dyno_Data[Match],TBA_Matches_All[[#This Row],[Match_Number]],Dyno_Data[RecordType],"EndMatch", Dyno_Data[StageStat],"On",Dyno_Data[Harmony],"&lt;&gt;9")</f>
        <v>0</v>
      </c>
      <c r="CG268">
        <f>SUMIFS(Dyno_Data[Spotlit], Dyno_Data[Team],TBA_Matches_All[[#This Row],[Team]],Dyno_Data[Match],TBA_Matches_All[[#This Row],[Match_Number]],Dyno_Data[RecordType],"EndMatch", Dyno_Data[StageStat],"On",Dyno_Data[Spotlit],"&lt;&gt;9")</f>
        <v>0</v>
      </c>
      <c r="CH268" t="str">
        <f>_xlfn.XLOOKUP(TBA_Matches_All[[#This Row],[teammat]],Dyno_EndMatch[teammat],Dyno_EndMatch[Strategy],"_",0,1)</f>
        <v>Hybrid</v>
      </c>
      <c r="CI268">
        <f>SUMIFS(Dyno_Data[Defense], Dyno_Data[Team],TBA_Matches_All[[#This Row],[Team]],Dyno_Data[Match],TBA_Matches_All[[#This Row],[Match_Number]],Dyno_Data[RecordType],"EndMatch",Dyno_Data[Defense],"&lt;&gt;9")</f>
        <v>0</v>
      </c>
      <c r="CJ268">
        <f>SUMIFS(Dyno_Data[Avoidance], Dyno_Data[Team],TBA_Matches_All[[#This Row],[Team]],Dyno_Data[Match],TBA_Matches_All[[#This Row],[Match_Number]],Dyno_Data[RecordType],"EndMatch",Dyno_Data[Avoidance],"&lt;&gt;9")</f>
        <v>1</v>
      </c>
      <c r="CK268" s="82">
        <f>COUNTIF($H$2:TBA_Matches_All[[#This Row],[Team]],TBA_Matches_All[[#This Row],[Team]])</f>
        <v>6</v>
      </c>
      <c r="CL268" s="111">
        <f>SUM(MID(TBA_Matches_All[[#This Row],[Team]],4,5)+TBA_Matches_All[[#This Row],[Match_Number]]/100)</f>
        <v>3360.45</v>
      </c>
      <c r="CM268">
        <f>SUM((TBA_Matches_All[[#This Row],[Leave]]*2)+(TBA_Matches_All[[#This Row],[AampT]]*2)+(TBA_Matches_All[[#This Row],[AspkrT]]*5)+(TBA_Matches_All[[#This Row],[AtrapT]]*5))</f>
        <v>22</v>
      </c>
      <c r="CN268" s="59">
        <f>IFERROR(SUM(TBA_Matches_All[[#This Row],[AptsT]]/TBA_Matches_All[[#This Row],[AutoPts]]),0)</f>
        <v>0.84615384615384615</v>
      </c>
      <c r="CO268" s="59">
        <f>IFERROR(SUM(TBA_Matches_All[[#This Row],[AampT]]+TBA_Matches_All[[#This Row],[AspkrT]]+TBA_Matches_All[[#This Row],[AtrapT]]/TBA_Matches_All[[#This Row],[Aamp]]+TBA_Matches_All[[#This Row],[Aspkr]]+TBA_Matches_All[[#This Row],[AtrapT]]),0)</f>
        <v>0</v>
      </c>
      <c r="CP268" s="59">
        <f>IFERROR(SUM(TBA_Matches_All[[#This Row],[TampT]]/TBA_Matches_All[[#This Row],[Tamp]]),0)</f>
        <v>0.4</v>
      </c>
      <c r="CQ268" s="59">
        <f>IFERROR(SUM(TBA_Matches_All[[#This Row],[TspkrT]]/TBA_Matches_All[[#This Row],[Tspkr]]),0)</f>
        <v>1</v>
      </c>
      <c r="CR268">
        <f>SUM(TBA_Matches_All[[#This Row],[TspkrPts]]*TBA_Matches_All[[#This Row],[TspkrP]])</f>
        <v>14</v>
      </c>
      <c r="CS268" s="59">
        <f>IFERROR(SUM(TBA_Matches_All[[#This Row],[TtrapT]]/TBA_Matches_All[[#This Row],[Trap]]),0)</f>
        <v>0</v>
      </c>
      <c r="CT268" s="59">
        <f>IFERROR(SUM(TBA_Matches_All[[#This Row],[TotNotesT]]/TBA_Matches_All[[#This Row],[TotNotes]]),0)</f>
        <v>0.76923076923076927</v>
      </c>
      <c r="CU268" s="66">
        <f>SUM((TBA_Matches_All[[#This Row],[AampT]]*2)+(TBA_Matches_All[[#This Row],[AspkrT]]*5)+(TBA_Matches_All[[#This Row],[AtrapT]]*5)+(TBA_Matches_All[[#This Row],[TampT]]*1)+(TBA_Matches_All[[#This Row],[TspkrptsC]]))</f>
        <v>36</v>
      </c>
      <c r="CV268" s="59">
        <f>IFERROR(TBA_Matches_All[[#This Row],[noteptsT]]/TBA_Matches_All[[#This Row],[NotePts]],0)</f>
        <v>0.92307692307692313</v>
      </c>
      <c r="CW268">
        <f>SUM(IF(TBA_Matches_All[[#This Row],[stageStat]]="On",3,0),IF(TBA_Matches_All[[#This Row],[stageStat]]="Park",1,0),SUMIFS(TBA_Matches_All[[#This Row],[Spotlit]],TBA_Matches_All[[#This Row],[stageStat]],"On"),SUMIFS(TBA_Matches_All[[#This Row],[Harmony]],TBA_Matches_All[[#This Row],[stageStat]],"On"))</f>
        <v>1</v>
      </c>
      <c r="CX268" s="59">
        <f>IFERROR(TBA_Matches_All[[#This Row],[stageptsT]]/TBA_Matches_All[[#This Row],[StagePts]],0)</f>
        <v>0.33333333333333331</v>
      </c>
      <c r="CY268">
        <f>SUM((TBA_Matches_All[[#This Row],[AptsT]]+TBA_Matches_All[[#This Row],[TampT]]+TBA_Matches_All[[#This Row],[TspkrptsC]]+(TBA_Matches_All[[#This Row],[TtrapT]]*5)+TBA_Matches_All[[#This Row],[stageptsT]]))</f>
        <v>39</v>
      </c>
      <c r="CZ268" s="59">
        <f>IFERROR(SUM(TBA_Matches_All[[#This Row],[TotptsC]]/TBA_Matches_All[[#This Row],[Score]]),0)</f>
        <v>0.75</v>
      </c>
      <c r="DA26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10.433333333333334</v>
      </c>
      <c r="DB268" s="74">
        <f>SUMIFS(TBA_Matches_All[AveTeamTNoteDels],TBA_Matches_All[Match_Number],TBA_Matches_All[[#This Row],[Match_Number]],TBA_Matches_All[Alliance],"&lt;&gt;"&amp;TBA_Matches_All[[#This Row],[Alliance]],TBA_Matches_All[Scouted],"&gt;0")</f>
        <v>16.899999999999999</v>
      </c>
      <c r="DC268" s="74">
        <f>(TBA_Matches_All[[#This Row],[TampT]]+TBA_Matches_All[[#This Row],[TspkrptsC]])-TBA_Matches_All[[#This Row],[AveTeamTNoteDels]]</f>
        <v>5.5666666666666664</v>
      </c>
      <c r="DD268" s="74">
        <f>SUMIFS(TBA_Matches_All[AveTeamTNoteDels],TBA_Matches_All[Match_Number],TBA_Matches_All[[#This Row],[Match_Number]],TBA_Matches_All[Alliance],"&lt;&gt;"&amp;TBA_Matches_All[[#This Row],[Alliance]])-TBA_Matches_All[[#This Row],[AveOppTNoteDels]]</f>
        <v>0</v>
      </c>
    </row>
    <row r="269" spans="1:108" x14ac:dyDescent="0.3">
      <c r="A269" t="s">
        <v>1042</v>
      </c>
      <c r="B269" t="s">
        <v>489</v>
      </c>
      <c r="C269" t="s">
        <v>1354</v>
      </c>
      <c r="D269">
        <v>45</v>
      </c>
      <c r="E269" t="s">
        <v>1420</v>
      </c>
      <c r="F269" t="s">
        <v>1421</v>
      </c>
      <c r="G269" t="s">
        <v>164</v>
      </c>
      <c r="H269" t="s">
        <v>370</v>
      </c>
      <c r="I269" t="b">
        <v>1</v>
      </c>
      <c r="J269">
        <v>50</v>
      </c>
      <c r="K269">
        <v>1</v>
      </c>
      <c r="L269">
        <v>0</v>
      </c>
      <c r="M269">
        <v>4</v>
      </c>
      <c r="N269">
        <v>0</v>
      </c>
      <c r="O269">
        <v>1</v>
      </c>
      <c r="P269">
        <v>5</v>
      </c>
      <c r="Q269">
        <v>5</v>
      </c>
      <c r="R269">
        <v>6</v>
      </c>
      <c r="S269">
        <v>2</v>
      </c>
      <c r="T269">
        <v>8</v>
      </c>
      <c r="U269">
        <v>10</v>
      </c>
      <c r="V269">
        <v>16</v>
      </c>
      <c r="W269">
        <v>10</v>
      </c>
      <c r="X269">
        <v>26</v>
      </c>
      <c r="Y269">
        <v>32</v>
      </c>
      <c r="Z269">
        <v>0</v>
      </c>
      <c r="AA269">
        <v>0</v>
      </c>
      <c r="AB269">
        <v>17</v>
      </c>
      <c r="AC269">
        <v>37</v>
      </c>
      <c r="AD269">
        <v>6</v>
      </c>
      <c r="AE269">
        <f>IFERROR(6/(COUNTIF(Dyno_EndMatch[Match],TBA_Matches_All[[#This Row],[Match_Number]])),0)</f>
        <v>1</v>
      </c>
      <c r="AF269">
        <f>COUNTIFS(Dyno_Data[Team],TBA_Matches_All[[#This Row],[Team]],Dyno_Data[Match],TBA_Matches_All[[#This Row],[Match_Number]],Dyno_Data[RecordType],"EndMatch",Dyno_Data[HPAmp],"Y")</f>
        <v>1</v>
      </c>
      <c r="AG269">
        <f>SUMIFS(Dyno_Data[Mics], Dyno_Data[Team],TBA_Matches_All[[#This Row],[Team]],Dyno_Data[Match],TBA_Matches_All[[#This Row],[Match_Number]],Dyno_Data[RecordType],"EndMatch",Dyno_Data[HPAmp],"Y")</f>
        <v>1</v>
      </c>
      <c r="AH269">
        <f>SUMIFS(Dyno_Data[Leave], Dyno_Data[Team],TBA_Matches_All[[#This Row],[Team]],Dyno_Data[Match],TBA_Matches_All[[#This Row],[Match_Number]],Dyno_Data[RecordType],"EndAuto")</f>
        <v>0</v>
      </c>
      <c r="AI269">
        <f>COUNTIFS(Dyno_Data[Team],TBA_Matches_All[[#This Row],[Team]],Dyno_Data[Match],TBA_Matches_All[[#This Row],[Match_Number]],Dyno_Data[RecordType],"Activities",Dyno_Data[DelDest],"Amp", Dyno_Data[DelMiss],"0", Dyno_Data[Mode],"Auto")</f>
        <v>0</v>
      </c>
      <c r="AJ269">
        <f>COUNTIFS(Dyno_Data[Team],TBA_Matches_All[[#This Row],[Team]],Dyno_Data[Match],TBA_Matches_All[[#This Row],[Match_Number]],Dyno_Data[RecordType],"Activities",Dyno_Data[DelDest],"Spkr", Dyno_Data[DelMiss],"0", Dyno_Data[Mode],"Auto")</f>
        <v>1</v>
      </c>
      <c r="AK269">
        <f>COUNTIFS(Dyno_Data[Team],TBA_Matches_All[[#This Row],[Team]],Dyno_Data[Match],TBA_Matches_All[[#This Row],[Match_Number]],Dyno_Data[RecordType],"Activities",Dyno_Data[DelDest],"Trap", Dyno_Data[DelMiss],"0", Dyno_Data[Mode],"Auto")</f>
        <v>0</v>
      </c>
      <c r="AL269">
        <f>COUNTIFS(Dyno_Data[Team],TBA_Matches_All[[#This Row],[Team]],Dyno_Data[Match],TBA_Matches_All[[#This Row],[Match_Number]],Dyno_Data[RecordType],"Activities",Dyno_Data[DelDest],"Amp", Dyno_Data[DelMiss],"0", Dyno_Data[Mode],"Teleop")</f>
        <v>0</v>
      </c>
      <c r="AM269">
        <f>COUNTIFS(Dyno_Data[Team],TBA_Matches_All[[#This Row],[Team]],Dyno_Data[Match],TBA_Matches_All[[#This Row],[Match_Number]],Dyno_Data[RecordType],"Activities",Dyno_Data[DelDest],"Spkr", Dyno_Data[DelMiss],"0", Dyno_Data[Mode],"Teleop")</f>
        <v>10</v>
      </c>
      <c r="AN269">
        <f>COUNTIFS(Dyno_Data[Team],TBA_Matches_All[[#This Row],[Team]],Dyno_Data[Match],TBA_Matches_All[[#This Row],[Match_Number]],Dyno_Data[RecordType],"Activities",Dyno_Data[DelDest],"Trap", Dyno_Data[DelMiss],"0", Dyno_Data[Mode],"&lt;&gt;Auto")</f>
        <v>0</v>
      </c>
      <c r="AO269">
        <f>SUM(TBA_Matches_All[[#This Row],[AampT]]+TBA_Matches_All[[#This Row],[AspkrT]]+TBA_Matches_All[[#This Row],[AtrapT]]+TBA_Matches_All[[#This Row],[TampT]]+TBA_Matches_All[[#This Row],[TspkrT]]+TBA_Matches_All[[#This Row],[TtrapT]])</f>
        <v>11</v>
      </c>
      <c r="AP269">
        <f>COUNTIFS(Dyno_Data[Team],TBA_Matches_All[[#This Row],[Team]],Dyno_Data[Match],TBA_Matches_All[[#This Row],[Match_Number]],Dyno_Data[RecordType],"Activities",Dyno_Data[DelDest],"Neut", Dyno_Data[DelMiss],"0")</f>
        <v>0</v>
      </c>
      <c r="AQ269">
        <f>COUNTIFS(Dyno_Data[Team],TBA_Matches_All[[#This Row],[Team]],Dyno_Data[Match],TBA_Matches_All[[#This Row],[Match_Number]],Dyno_Data[RecordType],"Activities",Dyno_Data[DelDest],"AllyW", Dyno_Data[DelMiss],"0")</f>
        <v>0</v>
      </c>
      <c r="AR269" t="str">
        <f>_xlfn.XLOOKUP(SUM(MID(TBA_Matches_All[[#This Row],[Team]],4,5),(TBA_Matches_All[[#This Row],[Match_Number]]/100)),Dyno_EndMatch[teammat],Dyno_EndMatch[RobotSta],"_",0,1)</f>
        <v>SubW</v>
      </c>
      <c r="AS269">
        <f>SUMIFS(Dyno_Data[AcqDis], Dyno_Data[Team],TBA_Matches_All[[#This Row],[Team]],Dyno_Data[Match],TBA_Matches_All[[#This Row],[Match_Number]],Dyno_Data[RecordType],"Activities", Dyno_Data[AcqCenter],1,Dyno_Data[Mode],"Auto")</f>
        <v>0</v>
      </c>
      <c r="AT269">
        <f>SUMIFS(Dyno_Data[AcqDis], Dyno_Data[Team],TBA_Matches_All[[#This Row],[Team]],Dyno_Data[Match],TBA_Matches_All[[#This Row],[Match_Number]],Dyno_Data[RecordType],"Activities", Dyno_Data[AcqCenter],2,Dyno_Data[Mode],"Auto")</f>
        <v>0</v>
      </c>
      <c r="AU269">
        <f>SUMIFS(Dyno_Data[AcqDis], Dyno_Data[Team],TBA_Matches_All[[#This Row],[Team]],Dyno_Data[Match],TBA_Matches_All[[#This Row],[Match_Number]],Dyno_Data[RecordType],"Activities", Dyno_Data[AcqCenter],3,Dyno_Data[Mode],"Auto")</f>
        <v>0</v>
      </c>
      <c r="AV269">
        <f>SUMIFS(Dyno_Data[AcqDis], Dyno_Data[Team],TBA_Matches_All[[#This Row],[Team]],Dyno_Data[Match],TBA_Matches_All[[#This Row],[Match_Number]],Dyno_Data[RecordType],"Activities", Dyno_Data[AcqCenter],4,Dyno_Data[Mode],"Auto")</f>
        <v>0</v>
      </c>
      <c r="AW269">
        <f>SUMIFS(Dyno_Data[AcqDis], Dyno_Data[Team],TBA_Matches_All[[#This Row],[Team]],Dyno_Data[Match],TBA_Matches_All[[#This Row],[Match_Number]],Dyno_Data[RecordType],"Activities", Dyno_Data[AcqCenter],5,Dyno_Data[Mode],"Auto")</f>
        <v>0</v>
      </c>
      <c r="AX269">
        <f>SUMIFS(Dyno_Data[DelMiss], Dyno_Data[Team],TBA_Matches_All[[#This Row],[Team]],Dyno_Data[Match],TBA_Matches_All[[#This Row],[Match_Number]],Dyno_Data[RecordType],"Activities", Dyno_Data[DelDest],"Amp")</f>
        <v>0</v>
      </c>
      <c r="AY269" s="60">
        <f>IFERROR(SUM((TBA_Matches_All[[#This Row],[AampT]]+TBA_Matches_All[[#This Row],[TampT]])/(TBA_Matches_All[[#This Row],[AampT]]+TBA_Matches_All[[#This Row],[TampT]]+TBA_Matches_All[[#This Row],[ampM]])),0)</f>
        <v>0</v>
      </c>
      <c r="AZ269">
        <f>SUMIFS(Dyno_Data[DelMiss], Dyno_Data[Team],TBA_Matches_All[[#This Row],[Team]],Dyno_Data[Match],TBA_Matches_All[[#This Row],[Match_Number]],Dyno_Data[RecordType],"Activities", Dyno_Data[DelDest],"Spkr")</f>
        <v>0</v>
      </c>
      <c r="BA269" s="60">
        <f>IFERROR(SUM((TBA_Matches_All[[#This Row],[AspkrT]]+TBA_Matches_All[[#This Row],[TspkrT]])/(TBA_Matches_All[[#This Row],[AspkrT]]+TBA_Matches_All[[#This Row],[TspkrT]]+TBA_Matches_All[[#This Row],[spkrM]])),0)</f>
        <v>1</v>
      </c>
      <c r="BB269">
        <f>SUMIFS(Dyno_Data[DelMiss], Dyno_Data[Team],TBA_Matches_All[[#This Row],[Team]],Dyno_Data[Match],TBA_Matches_All[[#This Row],[Match_Number]],Dyno_Data[RecordType],"Activities", Dyno_Data[DelDest],"Trap")</f>
        <v>0</v>
      </c>
      <c r="BC269" s="60">
        <f>IFERROR((TBA_Matches_All[[#This Row],[AtrapT]]+TBA_Matches_All[[#This Row],[TtrapT]])/(TBA_Matches_All[[#This Row],[AtrapT]]+TBA_Matches_All[[#This Row],[TtrapT]]+TBA_Matches_All[[#This Row],[trapM]]),0)</f>
        <v>0</v>
      </c>
      <c r="BD269">
        <f>COUNTIFS(Dyno_Data[Team],TBA_Matches_All[[#This Row],[Team]],Dyno_Data[Match],TBA_Matches_All[[#This Row],[Match_Number]],Dyno_Data[RecordType],"Activities",Dyno_Data[DelDest],"Neut", Dyno_Data[DelMiss],1)</f>
        <v>0</v>
      </c>
      <c r="BE269" s="60">
        <f>IFERROR(SUM((TBA_Matches_All[[#This Row],[NeutFlrT]])/(TBA_Matches_All[[#This Row],[NeutFlrT]]+TBA_Matches_All[[#This Row],[NZflM]])),0)</f>
        <v>0</v>
      </c>
      <c r="BF269">
        <f>COUNTIFS(Dyno_Data[Team],TBA_Matches_All[[#This Row],[Team]],Dyno_Data[Match],TBA_Matches_All[[#This Row],[Match_Number]],Dyno_Data[RecordType],"Activities",Dyno_Data[DelDest],"AllyW", Dyno_Data[DelMiss],1)</f>
        <v>0</v>
      </c>
      <c r="BG269" s="60">
        <f>IFERROR(SUM((TBA_Matches_All[[#This Row],[AllyWFlrT]])/(TBA_Matches_All[[#This Row],[AllyWFlrT]]+TBA_Matches_All[[#This Row],[AZflM]])),0)</f>
        <v>0</v>
      </c>
      <c r="BH269">
        <f>COUNTIFS(Dyno_Data[Team],TBA_Matches_All[[#This Row],[Team]],Dyno_Data[Match],TBA_Matches_All[[#This Row],[Match_Number]],Dyno_Data[RecordType],"Activities",Dyno_Data[DelOrig],"OppW", Dyno_Data[DelMiss],"0")</f>
        <v>0</v>
      </c>
      <c r="BI269">
        <f>COUNTIFS(Dyno_Data[Team],TBA_Matches_All[[#This Row],[Team]],Dyno_Data[Match],TBA_Matches_All[[#This Row],[Match_Number]],Dyno_Data[RecordType],"Activities",Dyno_Data[DelOrig],"OppW", Dyno_Data[DelMiss],"1")</f>
        <v>0</v>
      </c>
      <c r="BJ269" s="60">
        <f>IFERROR(SUM((TBA_Matches_All[[#This Row],[OZflrT]])/(TBA_Matches_All[[#This Row],[OZflrT]]+TBA_Matches_All[[#This Row],[OZflrM]])),0)</f>
        <v>0</v>
      </c>
      <c r="BK269">
        <f>COUNTIFS(Dyno_Data[Team],TBA_Matches_All[[#This Row],[Team]],Dyno_Data[Match],TBA_Matches_All[[#This Row],[Match_Number]],Dyno_Data[RecordType],"Activities",Dyno_Data[DelOrig],"Neut", Dyno_Data[DelMiss],"0")</f>
        <v>0</v>
      </c>
      <c r="BL269">
        <f>COUNTIFS(Dyno_Data[Team],TBA_Matches_All[[#This Row],[Team]],Dyno_Data[Match],TBA_Matches_All[[#This Row],[Match_Number]],Dyno_Data[RecordType],"Activities",Dyno_Data[DelOrig],"Neut", Dyno_Data[DelMiss],"1")</f>
        <v>0</v>
      </c>
      <c r="BM269" s="60">
        <f>IFERROR(SUM((TBA_Matches_All[[#This Row],[NZflrT]])/(TBA_Matches_All[[#This Row],[NZflrT]]+TBA_Matches_All[[#This Row],[NZflrM]])),0)</f>
        <v>0</v>
      </c>
      <c r="BN269">
        <f>COUNTIFS(Dyno_Data[Team],TBA_Matches_All[[#This Row],[Team]],Dyno_Data[Match],TBA_Matches_All[[#This Row],[Match_Number]],Dyno_Data[RecordType],"Activities",Dyno_Data[DelOrig],"AllyW", Dyno_Data[DelMiss],"0")</f>
        <v>10</v>
      </c>
      <c r="BO269">
        <f>COUNTIFS(Dyno_Data[Team],TBA_Matches_All[[#This Row],[Team]],Dyno_Data[Match],TBA_Matches_All[[#This Row],[Match_Number]],Dyno_Data[RecordType],"Activities",Dyno_Data[DelOrig],"AllyW", Dyno_Data[DelMiss],"1")</f>
        <v>0</v>
      </c>
      <c r="BP269" s="60">
        <f>IFERROR(SUM((TBA_Matches_All[[#This Row],[AZflrT]])/(TBA_Matches_All[[#This Row],[AZflrT]]+TBA_Matches_All[[#This Row],[AZflrM]])),0)</f>
        <v>1</v>
      </c>
      <c r="BQ269">
        <f>COUNTIFS(Dyno_Data[Team],TBA_Matches_All[[#This Row],[Team]],Dyno_Data[Match],TBA_Matches_All[[#This Row],[Match_Number]],Dyno_Data[RecordType],"Activities",Dyno_Data[DelOrig],"SubW", Dyno_Data[DelMiss],"0")</f>
        <v>1</v>
      </c>
      <c r="BR269">
        <f>COUNTIFS(Dyno_Data[Team],TBA_Matches_All[[#This Row],[Team]],Dyno_Data[Match],TBA_Matches_All[[#This Row],[Match_Number]],Dyno_Data[RecordType],"Activities",Dyno_Data[DelOrig],"SubW", Dyno_Data[DelMiss],"1")</f>
        <v>0</v>
      </c>
      <c r="BS269" s="60">
        <f>IFERROR(SUM((TBA_Matches_All[[#This Row],[SubwT]])/(TBA_Matches_All[[#This Row],[SubwT]]+TBA_Matches_All[[#This Row],[SubwM]])),0)</f>
        <v>1</v>
      </c>
      <c r="BT269">
        <f>COUNTIFS(Dyno_Data[Team],TBA_Matches_All[[#This Row],[Team]],Dyno_Data[Match],TBA_Matches_All[[#This Row],[Match_Number]],Dyno_Data[RecordType],"Activities", Dyno_Data[AcqLoc],"OppWing")</f>
        <v>0</v>
      </c>
      <c r="BU269">
        <f>COUNTIFS(Dyno_Data[Team],TBA_Matches_All[[#This Row],[Team]],Dyno_Data[Match],TBA_Matches_All[[#This Row],[Match_Number]],Dyno_Data[RecordType],"Activities", Dyno_Data[AcqLoc],"Neutral")</f>
        <v>0</v>
      </c>
      <c r="BV269">
        <f>COUNTIFS(Dyno_Data[Team],TBA_Matches_All[[#This Row],[Team]],Dyno_Data[Match],TBA_Matches_All[[#This Row],[Match_Number]],Dyno_Data[RecordType],"Activities", Dyno_Data[AcqLoc],"AllyWing")</f>
        <v>0</v>
      </c>
      <c r="BW269">
        <f>COUNTIFS(Dyno_Data[Team],TBA_Matches_All[[#This Row],[Team]],Dyno_Data[Match],TBA_Matches_All[[#This Row],[Match_Number]],Dyno_Data[RecordType],"Activities", Dyno_Data[AcqLoc],"Source")</f>
        <v>0</v>
      </c>
      <c r="BX269">
        <f>SUMIFS(Dyno_Data[AcqDrp], Dyno_Data[Team],TBA_Matches_All[[#This Row],[Team]],Dyno_Data[Match],TBA_Matches_All[[#This Row],[Match_Number]],Dyno_Data[RecordType],"Activities", Dyno_Data[AcqLoc],"Source")</f>
        <v>0</v>
      </c>
      <c r="BY269">
        <f>SUMIFS(Dyno_Data[OZTime], Dyno_Data[Team],TBA_Matches_All[[#This Row],[Team]],Dyno_Data[Match],TBA_Matches_All[[#This Row],[Match_Number]],Dyno_Data[RecordType],"EndMatch")</f>
        <v>38.6422241</v>
      </c>
      <c r="BZ269">
        <f>SUMIFS(Dyno_Data[NZTime], Dyno_Data[Team],TBA_Matches_All[[#This Row],[Team]],Dyno_Data[Match],TBA_Matches_All[[#This Row],[Match_Number]],Dyno_Data[RecordType],"EndMatch")</f>
        <v>28.3716173</v>
      </c>
      <c r="CA269">
        <f>SUMIFS(Dyno_Data[AZTime], Dyno_Data[Team],TBA_Matches_All[[#This Row],[Team]],Dyno_Data[Match],TBA_Matches_All[[#This Row],[Match_Number]],Dyno_Data[RecordType],"EndMatch")</f>
        <v>49.159084999999997</v>
      </c>
      <c r="CB269">
        <f>SUMIFS(Dyno_Data[ClimbT], Dyno_Data[Team],TBA_Matches_All[[#This Row],[Team]],Dyno_Data[Match],TBA_Matches_All[[#This Row],[Match_Number]],Dyno_Data[RecordType],"EndMatch")</f>
        <v>6.8156764000000001</v>
      </c>
      <c r="CC269" t="str">
        <f>_xlfn.XLOOKUP(SUM(MID(TBA_Matches_All[[#This Row],[Team]],4,5),(TBA_Matches_All[[#This Row],[Match_Number]]/100)),Dyno_EndMatch[teammat],Dyno_EndMatch[StageStat],"_",0,1)</f>
        <v>On</v>
      </c>
      <c r="CD269" t="str">
        <f>_xlfn.XLOOKUP(TBA_Matches_All[[#This Row],[teammat]],Dyno_EndMatch[teammat],Dyno_EndMatch[StageAtt],"_",0,1)</f>
        <v>1</v>
      </c>
      <c r="CE269" t="str">
        <f>_xlfn.XLOOKUP(TBA_Matches_All[[#This Row],[teammat]],Dyno_EndMatch[teammat],Dyno_EndMatch[StageLoc],"_",0,1)</f>
        <v>L</v>
      </c>
      <c r="CF269">
        <f>SUMIFS(Dyno_Data[Harmony], Dyno_Data[Team],TBA_Matches_All[[#This Row],[Team]],Dyno_Data[Match],TBA_Matches_All[[#This Row],[Match_Number]],Dyno_Data[RecordType],"EndMatch", Dyno_Data[StageStat],"On",Dyno_Data[Harmony],"&lt;&gt;9")</f>
        <v>0</v>
      </c>
      <c r="CG269">
        <f>SUMIFS(Dyno_Data[Spotlit], Dyno_Data[Team],TBA_Matches_All[[#This Row],[Team]],Dyno_Data[Match],TBA_Matches_All[[#This Row],[Match_Number]],Dyno_Data[RecordType],"EndMatch", Dyno_Data[StageStat],"On",Dyno_Data[Spotlit],"&lt;&gt;9")</f>
        <v>1</v>
      </c>
      <c r="CH269" t="str">
        <f>_xlfn.XLOOKUP(TBA_Matches_All[[#This Row],[teammat]],Dyno_EndMatch[teammat],Dyno_EndMatch[Strategy],"_",0,1)</f>
        <v>Hybrid</v>
      </c>
      <c r="CI269">
        <f>SUMIFS(Dyno_Data[Defense], Dyno_Data[Team],TBA_Matches_All[[#This Row],[Team]],Dyno_Data[Match],TBA_Matches_All[[#This Row],[Match_Number]],Dyno_Data[RecordType],"EndMatch",Dyno_Data[Defense],"&lt;&gt;9")</f>
        <v>0</v>
      </c>
      <c r="CJ269">
        <f>SUMIFS(Dyno_Data[Avoidance], Dyno_Data[Team],TBA_Matches_All[[#This Row],[Team]],Dyno_Data[Match],TBA_Matches_All[[#This Row],[Match_Number]],Dyno_Data[RecordType],"EndMatch",Dyno_Data[Avoidance],"&lt;&gt;9")</f>
        <v>1</v>
      </c>
      <c r="CK269" s="82">
        <f>COUNTIF($H$2:TBA_Matches_All[[#This Row],[Team]],TBA_Matches_All[[#This Row],[Team]])</f>
        <v>6</v>
      </c>
      <c r="CL269" s="111">
        <f>SUM(MID(TBA_Matches_All[[#This Row],[Team]],4,5)+TBA_Matches_All[[#This Row],[Match_Number]]/100)</f>
        <v>6911.45</v>
      </c>
      <c r="CM269">
        <f>SUM((TBA_Matches_All[[#This Row],[Leave]]*2)+(TBA_Matches_All[[#This Row],[AampT]]*2)+(TBA_Matches_All[[#This Row],[AspkrT]]*5)+(TBA_Matches_All[[#This Row],[AtrapT]]*5))</f>
        <v>5</v>
      </c>
      <c r="CN269" s="59">
        <f>IFERROR(SUM(TBA_Matches_All[[#This Row],[AptsT]]/TBA_Matches_All[[#This Row],[AutoPts]]),0)</f>
        <v>1</v>
      </c>
      <c r="CO269" s="59">
        <f>IFERROR(SUM(TBA_Matches_All[[#This Row],[AampT]]+TBA_Matches_All[[#This Row],[AspkrT]]+TBA_Matches_All[[#This Row],[AtrapT]]/TBA_Matches_All[[#This Row],[Aamp]]+TBA_Matches_All[[#This Row],[Aspkr]]+TBA_Matches_All[[#This Row],[AtrapT]]),0)</f>
        <v>0</v>
      </c>
      <c r="CP269" s="59">
        <f>IFERROR(SUM(TBA_Matches_All[[#This Row],[TampT]]/TBA_Matches_All[[#This Row],[Tamp]]),0)</f>
        <v>0</v>
      </c>
      <c r="CQ269" s="59">
        <f>IFERROR(SUM(TBA_Matches_All[[#This Row],[TspkrT]]/TBA_Matches_All[[#This Row],[Tspkr]]),0)</f>
        <v>1</v>
      </c>
      <c r="CR269">
        <f>SUM(TBA_Matches_All[[#This Row],[TspkrPts]]*TBA_Matches_All[[#This Row],[TspkrP]])</f>
        <v>26</v>
      </c>
      <c r="CS269" s="59">
        <f>IFERROR(SUM(TBA_Matches_All[[#This Row],[TtrapT]]/TBA_Matches_All[[#This Row],[Trap]]),0)</f>
        <v>0</v>
      </c>
      <c r="CT269" s="59">
        <f>IFERROR(SUM(TBA_Matches_All[[#This Row],[TotNotesT]]/TBA_Matches_All[[#This Row],[TotNotes]]),0)</f>
        <v>0.6470588235294118</v>
      </c>
      <c r="CU269" s="66">
        <f>SUM((TBA_Matches_All[[#This Row],[AampT]]*2)+(TBA_Matches_All[[#This Row],[AspkrT]]*5)+(TBA_Matches_All[[#This Row],[AtrapT]]*5)+(TBA_Matches_All[[#This Row],[TampT]]*1)+(TBA_Matches_All[[#This Row],[TspkrptsC]]))</f>
        <v>31</v>
      </c>
      <c r="CV269" s="59">
        <f>IFERROR(TBA_Matches_All[[#This Row],[noteptsT]]/TBA_Matches_All[[#This Row],[NotePts]],0)</f>
        <v>0.83783783783783783</v>
      </c>
      <c r="CW269">
        <f>SUM(IF(TBA_Matches_All[[#This Row],[stageStat]]="On",3,0),IF(TBA_Matches_All[[#This Row],[stageStat]]="Park",1,0),SUMIFS(TBA_Matches_All[[#This Row],[Spotlit]],TBA_Matches_All[[#This Row],[stageStat]],"On"),SUMIFS(TBA_Matches_All[[#This Row],[Harmony]],TBA_Matches_All[[#This Row],[stageStat]],"On"))</f>
        <v>4</v>
      </c>
      <c r="CX269" s="59">
        <f>IFERROR(TBA_Matches_All[[#This Row],[stageptsT]]/TBA_Matches_All[[#This Row],[StagePts]],0)</f>
        <v>0.66666666666666663</v>
      </c>
      <c r="CY269">
        <f>SUM((TBA_Matches_All[[#This Row],[AptsT]]+TBA_Matches_All[[#This Row],[TampT]]+TBA_Matches_All[[#This Row],[TspkrptsC]]+(TBA_Matches_All[[#This Row],[TtrapT]]*5)+TBA_Matches_All[[#This Row],[stageptsT]]))</f>
        <v>35</v>
      </c>
      <c r="CZ269" s="59">
        <f>IFERROR(SUM(TBA_Matches_All[[#This Row],[TotptsC]]/TBA_Matches_All[[#This Row],[Score]]),0)</f>
        <v>0.7</v>
      </c>
      <c r="DA26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12.7</v>
      </c>
      <c r="DB269" s="74">
        <f>SUMIFS(TBA_Matches_All[AveTeamTNoteDels],TBA_Matches_All[Match_Number],TBA_Matches_All[[#This Row],[Match_Number]],TBA_Matches_All[Alliance],"&lt;&gt;"&amp;TBA_Matches_All[[#This Row],[Alliance]],TBA_Matches_All[Scouted],"&gt;0")</f>
        <v>11.233333333333334</v>
      </c>
      <c r="DC269" s="74">
        <f>(TBA_Matches_All[[#This Row],[TampT]]+TBA_Matches_All[[#This Row],[TspkrptsC]])-TBA_Matches_All[[#This Row],[AveTeamTNoteDels]]</f>
        <v>13.3</v>
      </c>
      <c r="DD269" s="74">
        <f>SUMIFS(TBA_Matches_All[AveTeamTNoteDels],TBA_Matches_All[Match_Number],TBA_Matches_All[[#This Row],[Match_Number]],TBA_Matches_All[Alliance],"&lt;&gt;"&amp;TBA_Matches_All[[#This Row],[Alliance]])-TBA_Matches_All[[#This Row],[AveOppTNoteDels]]</f>
        <v>0</v>
      </c>
    </row>
    <row r="270" spans="1:108" x14ac:dyDescent="0.3">
      <c r="A270" t="s">
        <v>1042</v>
      </c>
      <c r="B270" t="s">
        <v>489</v>
      </c>
      <c r="C270" t="s">
        <v>1354</v>
      </c>
      <c r="D270">
        <v>45</v>
      </c>
      <c r="E270" t="s">
        <v>1406</v>
      </c>
      <c r="F270" t="s">
        <v>1422</v>
      </c>
      <c r="G270" t="s">
        <v>105</v>
      </c>
      <c r="H270" t="s">
        <v>1311</v>
      </c>
      <c r="I270" t="b">
        <v>1</v>
      </c>
      <c r="J270">
        <v>52</v>
      </c>
      <c r="K270">
        <v>0</v>
      </c>
      <c r="L270">
        <v>0</v>
      </c>
      <c r="M270">
        <v>7</v>
      </c>
      <c r="N270">
        <v>0</v>
      </c>
      <c r="O270">
        <v>4</v>
      </c>
      <c r="P270">
        <v>20</v>
      </c>
      <c r="Q270">
        <v>26</v>
      </c>
      <c r="R270">
        <v>5</v>
      </c>
      <c r="S270">
        <v>2</v>
      </c>
      <c r="T270">
        <v>2</v>
      </c>
      <c r="U270">
        <v>10</v>
      </c>
      <c r="V270">
        <v>4</v>
      </c>
      <c r="W270">
        <v>4</v>
      </c>
      <c r="X270">
        <v>14</v>
      </c>
      <c r="Y270">
        <v>19</v>
      </c>
      <c r="Z270">
        <v>0</v>
      </c>
      <c r="AA270">
        <v>0</v>
      </c>
      <c r="AB270">
        <v>13</v>
      </c>
      <c r="AC270">
        <v>39</v>
      </c>
      <c r="AD270">
        <v>3</v>
      </c>
      <c r="AE270">
        <f>IFERROR(6/(COUNTIF(Dyno_EndMatch[Match],TBA_Matches_All[[#This Row],[Match_Number]])),0)</f>
        <v>1</v>
      </c>
      <c r="AF270">
        <f>COUNTIFS(Dyno_Data[Team],TBA_Matches_All[[#This Row],[Team]],Dyno_Data[Match],TBA_Matches_All[[#This Row],[Match_Number]],Dyno_Data[RecordType],"EndMatch",Dyno_Data[HPAmp],"Y")</f>
        <v>0</v>
      </c>
      <c r="AG270">
        <f>SUMIFS(Dyno_Data[Mics], Dyno_Data[Team],TBA_Matches_All[[#This Row],[Team]],Dyno_Data[Match],TBA_Matches_All[[#This Row],[Match_Number]],Dyno_Data[RecordType],"EndMatch",Dyno_Data[HPAmp],"Y")</f>
        <v>0</v>
      </c>
      <c r="AH270">
        <f>SUMIFS(Dyno_Data[Leave], Dyno_Data[Team],TBA_Matches_All[[#This Row],[Team]],Dyno_Data[Match],TBA_Matches_All[[#This Row],[Match_Number]],Dyno_Data[RecordType],"EndAuto")</f>
        <v>1</v>
      </c>
      <c r="AI270">
        <f>COUNTIFS(Dyno_Data[Team],TBA_Matches_All[[#This Row],[Team]],Dyno_Data[Match],TBA_Matches_All[[#This Row],[Match_Number]],Dyno_Data[RecordType],"Activities",Dyno_Data[DelDest],"Amp", Dyno_Data[DelMiss],"0", Dyno_Data[Mode],"Auto")</f>
        <v>0</v>
      </c>
      <c r="AJ270">
        <f>COUNTIFS(Dyno_Data[Team],TBA_Matches_All[[#This Row],[Team]],Dyno_Data[Match],TBA_Matches_All[[#This Row],[Match_Number]],Dyno_Data[RecordType],"Activities",Dyno_Data[DelDest],"Spkr", Dyno_Data[DelMiss],"0", Dyno_Data[Mode],"Auto")</f>
        <v>0</v>
      </c>
      <c r="AK270">
        <f>COUNTIFS(Dyno_Data[Team],TBA_Matches_All[[#This Row],[Team]],Dyno_Data[Match],TBA_Matches_All[[#This Row],[Match_Number]],Dyno_Data[RecordType],"Activities",Dyno_Data[DelDest],"Trap", Dyno_Data[DelMiss],"0", Dyno_Data[Mode],"Auto")</f>
        <v>0</v>
      </c>
      <c r="AL270">
        <f>COUNTIFS(Dyno_Data[Team],TBA_Matches_All[[#This Row],[Team]],Dyno_Data[Match],TBA_Matches_All[[#This Row],[Match_Number]],Dyno_Data[RecordType],"Activities",Dyno_Data[DelDest],"Amp", Dyno_Data[DelMiss],"0", Dyno_Data[Mode],"Teleop")</f>
        <v>3</v>
      </c>
      <c r="AM270">
        <f>COUNTIFS(Dyno_Data[Team],TBA_Matches_All[[#This Row],[Team]],Dyno_Data[Match],TBA_Matches_All[[#This Row],[Match_Number]],Dyno_Data[RecordType],"Activities",Dyno_Data[DelDest],"Spkr", Dyno_Data[DelMiss],"0", Dyno_Data[Mode],"Teleop")</f>
        <v>0</v>
      </c>
      <c r="AN270">
        <f>COUNTIFS(Dyno_Data[Team],TBA_Matches_All[[#This Row],[Team]],Dyno_Data[Match],TBA_Matches_All[[#This Row],[Match_Number]],Dyno_Data[RecordType],"Activities",Dyno_Data[DelDest],"Trap", Dyno_Data[DelMiss],"0", Dyno_Data[Mode],"&lt;&gt;Auto")</f>
        <v>0</v>
      </c>
      <c r="AO270">
        <f>SUM(TBA_Matches_All[[#This Row],[AampT]]+TBA_Matches_All[[#This Row],[AspkrT]]+TBA_Matches_All[[#This Row],[AtrapT]]+TBA_Matches_All[[#This Row],[TampT]]+TBA_Matches_All[[#This Row],[TspkrT]]+TBA_Matches_All[[#This Row],[TtrapT]])</f>
        <v>3</v>
      </c>
      <c r="AP270">
        <f>COUNTIFS(Dyno_Data[Team],TBA_Matches_All[[#This Row],[Team]],Dyno_Data[Match],TBA_Matches_All[[#This Row],[Match_Number]],Dyno_Data[RecordType],"Activities",Dyno_Data[DelDest],"Neut", Dyno_Data[DelMiss],"0")</f>
        <v>0</v>
      </c>
      <c r="AQ270">
        <f>COUNTIFS(Dyno_Data[Team],TBA_Matches_All[[#This Row],[Team]],Dyno_Data[Match],TBA_Matches_All[[#This Row],[Match_Number]],Dyno_Data[RecordType],"Activities",Dyno_Data[DelDest],"AllyW", Dyno_Data[DelMiss],"0")</f>
        <v>0</v>
      </c>
      <c r="AR270" t="str">
        <f>_xlfn.XLOOKUP(SUM(MID(TBA_Matches_All[[#This Row],[Team]],4,5),(TBA_Matches_All[[#This Row],[Match_Number]]/100)),Dyno_EndMatch[teammat],Dyno_EndMatch[RobotSta],"_",0,1)</f>
        <v>OppS</v>
      </c>
      <c r="AS270">
        <f>SUMIFS(Dyno_Data[AcqDis], Dyno_Data[Team],TBA_Matches_All[[#This Row],[Team]],Dyno_Data[Match],TBA_Matches_All[[#This Row],[Match_Number]],Dyno_Data[RecordType],"Activities", Dyno_Data[AcqCenter],1,Dyno_Data[Mode],"Auto")</f>
        <v>0</v>
      </c>
      <c r="AT270">
        <f>SUMIFS(Dyno_Data[AcqDis], Dyno_Data[Team],TBA_Matches_All[[#This Row],[Team]],Dyno_Data[Match],TBA_Matches_All[[#This Row],[Match_Number]],Dyno_Data[RecordType],"Activities", Dyno_Data[AcqCenter],2,Dyno_Data[Mode],"Auto")</f>
        <v>0</v>
      </c>
      <c r="AU270">
        <f>SUMIFS(Dyno_Data[AcqDis], Dyno_Data[Team],TBA_Matches_All[[#This Row],[Team]],Dyno_Data[Match],TBA_Matches_All[[#This Row],[Match_Number]],Dyno_Data[RecordType],"Activities", Dyno_Data[AcqCenter],3,Dyno_Data[Mode],"Auto")</f>
        <v>0</v>
      </c>
      <c r="AV270">
        <f>SUMIFS(Dyno_Data[AcqDis], Dyno_Data[Team],TBA_Matches_All[[#This Row],[Team]],Dyno_Data[Match],TBA_Matches_All[[#This Row],[Match_Number]],Dyno_Data[RecordType],"Activities", Dyno_Data[AcqCenter],4,Dyno_Data[Mode],"Auto")</f>
        <v>0</v>
      </c>
      <c r="AW270">
        <f>SUMIFS(Dyno_Data[AcqDis], Dyno_Data[Team],TBA_Matches_All[[#This Row],[Team]],Dyno_Data[Match],TBA_Matches_All[[#This Row],[Match_Number]],Dyno_Data[RecordType],"Activities", Dyno_Data[AcqCenter],5,Dyno_Data[Mode],"Auto")</f>
        <v>0</v>
      </c>
      <c r="AX270">
        <f>SUMIFS(Dyno_Data[DelMiss], Dyno_Data[Team],TBA_Matches_All[[#This Row],[Team]],Dyno_Data[Match],TBA_Matches_All[[#This Row],[Match_Number]],Dyno_Data[RecordType],"Activities", Dyno_Data[DelDest],"Amp")</f>
        <v>0</v>
      </c>
      <c r="AY270" s="60">
        <f>IFERROR(SUM((TBA_Matches_All[[#This Row],[AampT]]+TBA_Matches_All[[#This Row],[TampT]])/(TBA_Matches_All[[#This Row],[AampT]]+TBA_Matches_All[[#This Row],[TampT]]+TBA_Matches_All[[#This Row],[ampM]])),0)</f>
        <v>1</v>
      </c>
      <c r="AZ270">
        <f>SUMIFS(Dyno_Data[DelMiss], Dyno_Data[Team],TBA_Matches_All[[#This Row],[Team]],Dyno_Data[Match],TBA_Matches_All[[#This Row],[Match_Number]],Dyno_Data[RecordType],"Activities", Dyno_Data[DelDest],"Spkr")</f>
        <v>0</v>
      </c>
      <c r="BA270" s="60">
        <f>IFERROR(SUM((TBA_Matches_All[[#This Row],[AspkrT]]+TBA_Matches_All[[#This Row],[TspkrT]])/(TBA_Matches_All[[#This Row],[AspkrT]]+TBA_Matches_All[[#This Row],[TspkrT]]+TBA_Matches_All[[#This Row],[spkrM]])),0)</f>
        <v>0</v>
      </c>
      <c r="BB270">
        <f>SUMIFS(Dyno_Data[DelMiss], Dyno_Data[Team],TBA_Matches_All[[#This Row],[Team]],Dyno_Data[Match],TBA_Matches_All[[#This Row],[Match_Number]],Dyno_Data[RecordType],"Activities", Dyno_Data[DelDest],"Trap")</f>
        <v>0</v>
      </c>
      <c r="BC270" s="60">
        <f>IFERROR((TBA_Matches_All[[#This Row],[AtrapT]]+TBA_Matches_All[[#This Row],[TtrapT]])/(TBA_Matches_All[[#This Row],[AtrapT]]+TBA_Matches_All[[#This Row],[TtrapT]]+TBA_Matches_All[[#This Row],[trapM]]),0)</f>
        <v>0</v>
      </c>
      <c r="BD270">
        <f>COUNTIFS(Dyno_Data[Team],TBA_Matches_All[[#This Row],[Team]],Dyno_Data[Match],TBA_Matches_All[[#This Row],[Match_Number]],Dyno_Data[RecordType],"Activities",Dyno_Data[DelDest],"Neut", Dyno_Data[DelMiss],1)</f>
        <v>0</v>
      </c>
      <c r="BE270" s="60">
        <f>IFERROR(SUM((TBA_Matches_All[[#This Row],[NeutFlrT]])/(TBA_Matches_All[[#This Row],[NeutFlrT]]+TBA_Matches_All[[#This Row],[NZflM]])),0)</f>
        <v>0</v>
      </c>
      <c r="BF270">
        <f>COUNTIFS(Dyno_Data[Team],TBA_Matches_All[[#This Row],[Team]],Dyno_Data[Match],TBA_Matches_All[[#This Row],[Match_Number]],Dyno_Data[RecordType],"Activities",Dyno_Data[DelDest],"AllyW", Dyno_Data[DelMiss],1)</f>
        <v>0</v>
      </c>
      <c r="BG270" s="60">
        <f>IFERROR(SUM((TBA_Matches_All[[#This Row],[AllyWFlrT]])/(TBA_Matches_All[[#This Row],[AllyWFlrT]]+TBA_Matches_All[[#This Row],[AZflM]])),0)</f>
        <v>0</v>
      </c>
      <c r="BH270">
        <f>COUNTIFS(Dyno_Data[Team],TBA_Matches_All[[#This Row],[Team]],Dyno_Data[Match],TBA_Matches_All[[#This Row],[Match_Number]],Dyno_Data[RecordType],"Activities",Dyno_Data[DelOrig],"OppW", Dyno_Data[DelMiss],"0")</f>
        <v>0</v>
      </c>
      <c r="BI270">
        <f>COUNTIFS(Dyno_Data[Team],TBA_Matches_All[[#This Row],[Team]],Dyno_Data[Match],TBA_Matches_All[[#This Row],[Match_Number]],Dyno_Data[RecordType],"Activities",Dyno_Data[DelOrig],"OppW", Dyno_Data[DelMiss],"1")</f>
        <v>0</v>
      </c>
      <c r="BJ270" s="60">
        <f>IFERROR(SUM((TBA_Matches_All[[#This Row],[OZflrT]])/(TBA_Matches_All[[#This Row],[OZflrT]]+TBA_Matches_All[[#This Row],[OZflrM]])),0)</f>
        <v>0</v>
      </c>
      <c r="BK270">
        <f>COUNTIFS(Dyno_Data[Team],TBA_Matches_All[[#This Row],[Team]],Dyno_Data[Match],TBA_Matches_All[[#This Row],[Match_Number]],Dyno_Data[RecordType],"Activities",Dyno_Data[DelOrig],"Neut", Dyno_Data[DelMiss],"0")</f>
        <v>0</v>
      </c>
      <c r="BL270">
        <f>COUNTIFS(Dyno_Data[Team],TBA_Matches_All[[#This Row],[Team]],Dyno_Data[Match],TBA_Matches_All[[#This Row],[Match_Number]],Dyno_Data[RecordType],"Activities",Dyno_Data[DelOrig],"Neut", Dyno_Data[DelMiss],"1")</f>
        <v>0</v>
      </c>
      <c r="BM270" s="60">
        <f>IFERROR(SUM((TBA_Matches_All[[#This Row],[NZflrT]])/(TBA_Matches_All[[#This Row],[NZflrT]]+TBA_Matches_All[[#This Row],[NZflrM]])),0)</f>
        <v>0</v>
      </c>
      <c r="BN270">
        <f>COUNTIFS(Dyno_Data[Team],TBA_Matches_All[[#This Row],[Team]],Dyno_Data[Match],TBA_Matches_All[[#This Row],[Match_Number]],Dyno_Data[RecordType],"Activities",Dyno_Data[DelOrig],"AllyW", Dyno_Data[DelMiss],"0")</f>
        <v>3</v>
      </c>
      <c r="BO270">
        <f>COUNTIFS(Dyno_Data[Team],TBA_Matches_All[[#This Row],[Team]],Dyno_Data[Match],TBA_Matches_All[[#This Row],[Match_Number]],Dyno_Data[RecordType],"Activities",Dyno_Data[DelOrig],"AllyW", Dyno_Data[DelMiss],"1")</f>
        <v>0</v>
      </c>
      <c r="BP270" s="60">
        <f>IFERROR(SUM((TBA_Matches_All[[#This Row],[AZflrT]])/(TBA_Matches_All[[#This Row],[AZflrT]]+TBA_Matches_All[[#This Row],[AZflrM]])),0)</f>
        <v>1</v>
      </c>
      <c r="BQ270">
        <f>COUNTIFS(Dyno_Data[Team],TBA_Matches_All[[#This Row],[Team]],Dyno_Data[Match],TBA_Matches_All[[#This Row],[Match_Number]],Dyno_Data[RecordType],"Activities",Dyno_Data[DelOrig],"SubW", Dyno_Data[DelMiss],"0")</f>
        <v>0</v>
      </c>
      <c r="BR270">
        <f>COUNTIFS(Dyno_Data[Team],TBA_Matches_All[[#This Row],[Team]],Dyno_Data[Match],TBA_Matches_All[[#This Row],[Match_Number]],Dyno_Data[RecordType],"Activities",Dyno_Data[DelOrig],"SubW", Dyno_Data[DelMiss],"1")</f>
        <v>0</v>
      </c>
      <c r="BS270" s="60">
        <f>IFERROR(SUM((TBA_Matches_All[[#This Row],[SubwT]])/(TBA_Matches_All[[#This Row],[SubwT]]+TBA_Matches_All[[#This Row],[SubwM]])),0)</f>
        <v>0</v>
      </c>
      <c r="BT270">
        <f>COUNTIFS(Dyno_Data[Team],TBA_Matches_All[[#This Row],[Team]],Dyno_Data[Match],TBA_Matches_All[[#This Row],[Match_Number]],Dyno_Data[RecordType],"Activities", Dyno_Data[AcqLoc],"OppWing")</f>
        <v>0</v>
      </c>
      <c r="BU270">
        <f>COUNTIFS(Dyno_Data[Team],TBA_Matches_All[[#This Row],[Team]],Dyno_Data[Match],TBA_Matches_All[[#This Row],[Match_Number]],Dyno_Data[RecordType],"Activities", Dyno_Data[AcqLoc],"Neutral")</f>
        <v>0</v>
      </c>
      <c r="BV270">
        <f>COUNTIFS(Dyno_Data[Team],TBA_Matches_All[[#This Row],[Team]],Dyno_Data[Match],TBA_Matches_All[[#This Row],[Match_Number]],Dyno_Data[RecordType],"Activities", Dyno_Data[AcqLoc],"AllyWing")</f>
        <v>0</v>
      </c>
      <c r="BW270">
        <f>COUNTIFS(Dyno_Data[Team],TBA_Matches_All[[#This Row],[Team]],Dyno_Data[Match],TBA_Matches_All[[#This Row],[Match_Number]],Dyno_Data[RecordType],"Activities", Dyno_Data[AcqLoc],"Source")</f>
        <v>0</v>
      </c>
      <c r="BX270">
        <f>SUMIFS(Dyno_Data[AcqDrp], Dyno_Data[Team],TBA_Matches_All[[#This Row],[Team]],Dyno_Data[Match],TBA_Matches_All[[#This Row],[Match_Number]],Dyno_Data[RecordType],"Activities", Dyno_Data[AcqLoc],"Source")</f>
        <v>0</v>
      </c>
      <c r="BY270">
        <f>SUMIFS(Dyno_Data[OZTime], Dyno_Data[Team],TBA_Matches_All[[#This Row],[Team]],Dyno_Data[Match],TBA_Matches_All[[#This Row],[Match_Number]],Dyno_Data[RecordType],"EndMatch")</f>
        <v>46.479986400000001</v>
      </c>
      <c r="BZ270">
        <f>SUMIFS(Dyno_Data[NZTime], Dyno_Data[Team],TBA_Matches_All[[#This Row],[Team]],Dyno_Data[Match],TBA_Matches_All[[#This Row],[Match_Number]],Dyno_Data[RecordType],"EndMatch")</f>
        <v>28.8414222</v>
      </c>
      <c r="CA270">
        <f>SUMIFS(Dyno_Data[AZTime], Dyno_Data[Team],TBA_Matches_All[[#This Row],[Team]],Dyno_Data[Match],TBA_Matches_All[[#This Row],[Match_Number]],Dyno_Data[RecordType],"EndMatch")</f>
        <v>53.989968499999996</v>
      </c>
      <c r="CB270">
        <f>SUMIFS(Dyno_Data[ClimbT], Dyno_Data[Team],TBA_Matches_All[[#This Row],[Team]],Dyno_Data[Match],TBA_Matches_All[[#This Row],[Match_Number]],Dyno_Data[RecordType],"EndMatch")</f>
        <v>5.8005512000000001</v>
      </c>
      <c r="CC270" t="str">
        <f>_xlfn.XLOOKUP(SUM(MID(TBA_Matches_All[[#This Row],[Team]],4,5),(TBA_Matches_All[[#This Row],[Match_Number]]/100)),Dyno_EndMatch[teammat],Dyno_EndMatch[StageStat],"_",0,1)</f>
        <v>Park</v>
      </c>
      <c r="CD270" t="str">
        <f>_xlfn.XLOOKUP(TBA_Matches_All[[#This Row],[teammat]],Dyno_EndMatch[teammat],Dyno_EndMatch[StageAtt],"_",0,1)</f>
        <v>-1</v>
      </c>
      <c r="CE270" t="str">
        <f>_xlfn.XLOOKUP(TBA_Matches_All[[#This Row],[teammat]],Dyno_EndMatch[teammat],Dyno_EndMatch[StageLoc],"_",0,1)</f>
        <v>A</v>
      </c>
      <c r="CF270">
        <f>SUMIFS(Dyno_Data[Harmony], Dyno_Data[Team],TBA_Matches_All[[#This Row],[Team]],Dyno_Data[Match],TBA_Matches_All[[#This Row],[Match_Number]],Dyno_Data[RecordType],"EndMatch", Dyno_Data[StageStat],"On",Dyno_Data[Harmony],"&lt;&gt;9")</f>
        <v>0</v>
      </c>
      <c r="CG270">
        <f>SUMIFS(Dyno_Data[Spotlit], Dyno_Data[Team],TBA_Matches_All[[#This Row],[Team]],Dyno_Data[Match],TBA_Matches_All[[#This Row],[Match_Number]],Dyno_Data[RecordType],"EndMatch", Dyno_Data[StageStat],"On",Dyno_Data[Spotlit],"&lt;&gt;9")</f>
        <v>0</v>
      </c>
      <c r="CH270" t="str">
        <f>_xlfn.XLOOKUP(TBA_Matches_All[[#This Row],[teammat]],Dyno_EndMatch[teammat],Dyno_EndMatch[Strategy],"_",0,1)</f>
        <v>Hybrid</v>
      </c>
      <c r="CI270">
        <f>SUMIFS(Dyno_Data[Defense], Dyno_Data[Team],TBA_Matches_All[[#This Row],[Team]],Dyno_Data[Match],TBA_Matches_All[[#This Row],[Match_Number]],Dyno_Data[RecordType],"EndMatch",Dyno_Data[Defense],"&lt;&gt;9")</f>
        <v>0</v>
      </c>
      <c r="CJ270">
        <f>SUMIFS(Dyno_Data[Avoidance], Dyno_Data[Team],TBA_Matches_All[[#This Row],[Team]],Dyno_Data[Match],TBA_Matches_All[[#This Row],[Match_Number]],Dyno_Data[RecordType],"EndMatch",Dyno_Data[Avoidance],"&lt;&gt;9")</f>
        <v>1</v>
      </c>
      <c r="CK270" s="82">
        <f>COUNTIF($H$2:TBA_Matches_All[[#This Row],[Team]],TBA_Matches_All[[#This Row],[Team]])</f>
        <v>6</v>
      </c>
      <c r="CL270" s="111">
        <f>SUM(MID(TBA_Matches_All[[#This Row],[Team]],4,5)+TBA_Matches_All[[#This Row],[Match_Number]]/100)</f>
        <v>2234.4499999999998</v>
      </c>
      <c r="CM270">
        <f>SUM((TBA_Matches_All[[#This Row],[Leave]]*2)+(TBA_Matches_All[[#This Row],[AampT]]*2)+(TBA_Matches_All[[#This Row],[AspkrT]]*5)+(TBA_Matches_All[[#This Row],[AtrapT]]*5))</f>
        <v>2</v>
      </c>
      <c r="CN270" s="59">
        <f>IFERROR(SUM(TBA_Matches_All[[#This Row],[AptsT]]/TBA_Matches_All[[#This Row],[AutoPts]]),0)</f>
        <v>7.6923076923076927E-2</v>
      </c>
      <c r="CO270" s="59">
        <f>IFERROR(SUM(TBA_Matches_All[[#This Row],[AampT]]+TBA_Matches_All[[#This Row],[AspkrT]]+TBA_Matches_All[[#This Row],[AtrapT]]/TBA_Matches_All[[#This Row],[Aamp]]+TBA_Matches_All[[#This Row],[Aspkr]]+TBA_Matches_All[[#This Row],[AtrapT]]),0)</f>
        <v>0</v>
      </c>
      <c r="CP270" s="59">
        <f>IFERROR(SUM(TBA_Matches_All[[#This Row],[TampT]]/TBA_Matches_All[[#This Row],[Tamp]]),0)</f>
        <v>0.6</v>
      </c>
      <c r="CQ270" s="59">
        <f>IFERROR(SUM(TBA_Matches_All[[#This Row],[TspkrT]]/TBA_Matches_All[[#This Row],[Tspkr]]),0)</f>
        <v>0</v>
      </c>
      <c r="CR270">
        <f>SUM(TBA_Matches_All[[#This Row],[TspkrPts]]*TBA_Matches_All[[#This Row],[TspkrP]])</f>
        <v>0</v>
      </c>
      <c r="CS270" s="59">
        <f>IFERROR(SUM(TBA_Matches_All[[#This Row],[TtrapT]]/TBA_Matches_All[[#This Row],[Trap]]),0)</f>
        <v>0</v>
      </c>
      <c r="CT270" s="59">
        <f>IFERROR(SUM(TBA_Matches_All[[#This Row],[TotNotesT]]/TBA_Matches_All[[#This Row],[TotNotes]]),0)</f>
        <v>0.23076923076923078</v>
      </c>
      <c r="CU270" s="66">
        <f>SUM((TBA_Matches_All[[#This Row],[AampT]]*2)+(TBA_Matches_All[[#This Row],[AspkrT]]*5)+(TBA_Matches_All[[#This Row],[AtrapT]]*5)+(TBA_Matches_All[[#This Row],[TampT]]*1)+(TBA_Matches_All[[#This Row],[TspkrptsC]]))</f>
        <v>3</v>
      </c>
      <c r="CV270" s="59">
        <f>IFERROR(TBA_Matches_All[[#This Row],[noteptsT]]/TBA_Matches_All[[#This Row],[NotePts]],0)</f>
        <v>7.6923076923076927E-2</v>
      </c>
      <c r="CW270">
        <f>SUM(IF(TBA_Matches_All[[#This Row],[stageStat]]="On",3,0),IF(TBA_Matches_All[[#This Row],[stageStat]]="Park",1,0),SUMIFS(TBA_Matches_All[[#This Row],[Spotlit]],TBA_Matches_All[[#This Row],[stageStat]],"On"),SUMIFS(TBA_Matches_All[[#This Row],[Harmony]],TBA_Matches_All[[#This Row],[stageStat]],"On"))</f>
        <v>1</v>
      </c>
      <c r="CX270" s="59">
        <f>IFERROR(TBA_Matches_All[[#This Row],[stageptsT]]/TBA_Matches_All[[#This Row],[StagePts]],0)</f>
        <v>0.33333333333333331</v>
      </c>
      <c r="CY270">
        <f>SUM((TBA_Matches_All[[#This Row],[AptsT]]+TBA_Matches_All[[#This Row],[TampT]]+TBA_Matches_All[[#This Row],[TspkrptsC]]+(TBA_Matches_All[[#This Row],[TtrapT]]*5)+TBA_Matches_All[[#This Row],[stageptsT]]))</f>
        <v>6</v>
      </c>
      <c r="CZ270" s="59">
        <f>IFERROR(SUM(TBA_Matches_All[[#This Row],[TotptsC]]/TBA_Matches_All[[#This Row],[Score]]),0)</f>
        <v>0.11538461538461539</v>
      </c>
      <c r="DA27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0.8</v>
      </c>
      <c r="DB270" s="74">
        <f>SUMIFS(TBA_Matches_All[AveTeamTNoteDels],TBA_Matches_All[Match_Number],TBA_Matches_All[[#This Row],[Match_Number]],TBA_Matches_All[Alliance],"&lt;&gt;"&amp;TBA_Matches_All[[#This Row],[Alliance]],TBA_Matches_All[Scouted],"&gt;0")</f>
        <v>16.899999999999999</v>
      </c>
      <c r="DC270" s="74">
        <f>(TBA_Matches_All[[#This Row],[TampT]]+TBA_Matches_All[[#This Row],[TspkrptsC]])-TBA_Matches_All[[#This Row],[AveTeamTNoteDels]]</f>
        <v>2.2000000000000002</v>
      </c>
      <c r="DD270" s="74">
        <f>SUMIFS(TBA_Matches_All[AveTeamTNoteDels],TBA_Matches_All[Match_Number],TBA_Matches_All[[#This Row],[Match_Number]],TBA_Matches_All[Alliance],"&lt;&gt;"&amp;TBA_Matches_All[[#This Row],[Alliance]])-TBA_Matches_All[[#This Row],[AveOppTNoteDels]]</f>
        <v>0</v>
      </c>
    </row>
    <row r="271" spans="1:108" x14ac:dyDescent="0.3">
      <c r="A271" t="s">
        <v>1042</v>
      </c>
      <c r="B271" t="s">
        <v>489</v>
      </c>
      <c r="C271" t="s">
        <v>1354</v>
      </c>
      <c r="D271">
        <v>45</v>
      </c>
      <c r="E271" t="s">
        <v>1420</v>
      </c>
      <c r="F271" t="s">
        <v>1425</v>
      </c>
      <c r="G271" t="s">
        <v>105</v>
      </c>
      <c r="H271" t="s">
        <v>1276</v>
      </c>
      <c r="I271" t="b">
        <v>1</v>
      </c>
      <c r="J271">
        <v>50</v>
      </c>
      <c r="K271">
        <v>1</v>
      </c>
      <c r="L271">
        <v>0</v>
      </c>
      <c r="M271">
        <v>4</v>
      </c>
      <c r="N271">
        <v>0</v>
      </c>
      <c r="O271">
        <v>1</v>
      </c>
      <c r="P271">
        <v>5</v>
      </c>
      <c r="Q271">
        <v>5</v>
      </c>
      <c r="R271">
        <v>6</v>
      </c>
      <c r="S271">
        <v>2</v>
      </c>
      <c r="T271">
        <v>8</v>
      </c>
      <c r="U271">
        <v>10</v>
      </c>
      <c r="V271">
        <v>16</v>
      </c>
      <c r="W271">
        <v>10</v>
      </c>
      <c r="X271">
        <v>26</v>
      </c>
      <c r="Y271">
        <v>32</v>
      </c>
      <c r="Z271">
        <v>0</v>
      </c>
      <c r="AA271">
        <v>0</v>
      </c>
      <c r="AB271">
        <v>17</v>
      </c>
      <c r="AC271">
        <v>37</v>
      </c>
      <c r="AD271">
        <v>6</v>
      </c>
      <c r="AE271">
        <f>IFERROR(6/(COUNTIF(Dyno_EndMatch[Match],TBA_Matches_All[[#This Row],[Match_Number]])),0)</f>
        <v>1</v>
      </c>
      <c r="AF271">
        <f>COUNTIFS(Dyno_Data[Team],TBA_Matches_All[[#This Row],[Team]],Dyno_Data[Match],TBA_Matches_All[[#This Row],[Match_Number]],Dyno_Data[RecordType],"EndMatch",Dyno_Data[HPAmp],"Y")</f>
        <v>0</v>
      </c>
      <c r="AG271">
        <f>SUMIFS(Dyno_Data[Mics], Dyno_Data[Team],TBA_Matches_All[[#This Row],[Team]],Dyno_Data[Match],TBA_Matches_All[[#This Row],[Match_Number]],Dyno_Data[RecordType],"EndMatch",Dyno_Data[HPAmp],"Y")</f>
        <v>0</v>
      </c>
      <c r="AH271">
        <f>SUMIFS(Dyno_Data[Leave], Dyno_Data[Team],TBA_Matches_All[[#This Row],[Team]],Dyno_Data[Match],TBA_Matches_All[[#This Row],[Match_Number]],Dyno_Data[RecordType],"EndAuto")</f>
        <v>1</v>
      </c>
      <c r="AI271">
        <f>COUNTIFS(Dyno_Data[Team],TBA_Matches_All[[#This Row],[Team]],Dyno_Data[Match],TBA_Matches_All[[#This Row],[Match_Number]],Dyno_Data[RecordType],"Activities",Dyno_Data[DelDest],"Amp", Dyno_Data[DelMiss],"0", Dyno_Data[Mode],"Auto")</f>
        <v>0</v>
      </c>
      <c r="AJ271">
        <f>COUNTIFS(Dyno_Data[Team],TBA_Matches_All[[#This Row],[Team]],Dyno_Data[Match],TBA_Matches_All[[#This Row],[Match_Number]],Dyno_Data[RecordType],"Activities",Dyno_Data[DelDest],"Spkr", Dyno_Data[DelMiss],"0", Dyno_Data[Mode],"Auto")</f>
        <v>0</v>
      </c>
      <c r="AK271">
        <f>COUNTIFS(Dyno_Data[Team],TBA_Matches_All[[#This Row],[Team]],Dyno_Data[Match],TBA_Matches_All[[#This Row],[Match_Number]],Dyno_Data[RecordType],"Activities",Dyno_Data[DelDest],"Trap", Dyno_Data[DelMiss],"0", Dyno_Data[Mode],"Auto")</f>
        <v>0</v>
      </c>
      <c r="AL271">
        <f>COUNTIFS(Dyno_Data[Team],TBA_Matches_All[[#This Row],[Team]],Dyno_Data[Match],TBA_Matches_All[[#This Row],[Match_Number]],Dyno_Data[RecordType],"Activities",Dyno_Data[DelDest],"Amp", Dyno_Data[DelMiss],"0", Dyno_Data[Mode],"Teleop")</f>
        <v>0</v>
      </c>
      <c r="AM271">
        <f>COUNTIFS(Dyno_Data[Team],TBA_Matches_All[[#This Row],[Team]],Dyno_Data[Match],TBA_Matches_All[[#This Row],[Match_Number]],Dyno_Data[RecordType],"Activities",Dyno_Data[DelDest],"Spkr", Dyno_Data[DelMiss],"0", Dyno_Data[Mode],"Teleop")</f>
        <v>0</v>
      </c>
      <c r="AN271">
        <f>COUNTIFS(Dyno_Data[Team],TBA_Matches_All[[#This Row],[Team]],Dyno_Data[Match],TBA_Matches_All[[#This Row],[Match_Number]],Dyno_Data[RecordType],"Activities",Dyno_Data[DelDest],"Trap", Dyno_Data[DelMiss],"0", Dyno_Data[Mode],"&lt;&gt;Auto")</f>
        <v>0</v>
      </c>
      <c r="AO271">
        <f>SUM(TBA_Matches_All[[#This Row],[AampT]]+TBA_Matches_All[[#This Row],[AspkrT]]+TBA_Matches_All[[#This Row],[AtrapT]]+TBA_Matches_All[[#This Row],[TampT]]+TBA_Matches_All[[#This Row],[TspkrT]]+TBA_Matches_All[[#This Row],[TtrapT]])</f>
        <v>0</v>
      </c>
      <c r="AP271">
        <f>COUNTIFS(Dyno_Data[Team],TBA_Matches_All[[#This Row],[Team]],Dyno_Data[Match],TBA_Matches_All[[#This Row],[Match_Number]],Dyno_Data[RecordType],"Activities",Dyno_Data[DelDest],"Neut", Dyno_Data[DelMiss],"0")</f>
        <v>0</v>
      </c>
      <c r="AQ271">
        <f>COUNTIFS(Dyno_Data[Team],TBA_Matches_All[[#This Row],[Team]],Dyno_Data[Match],TBA_Matches_All[[#This Row],[Match_Number]],Dyno_Data[RecordType],"Activities",Dyno_Data[DelDest],"AllyW", Dyno_Data[DelMiss],"0")</f>
        <v>0</v>
      </c>
      <c r="AR271" t="str">
        <f>_xlfn.XLOOKUP(SUM(MID(TBA_Matches_All[[#This Row],[Team]],4,5),(TBA_Matches_All[[#This Row],[Match_Number]]/100)),Dyno_EndMatch[teammat],Dyno_EndMatch[RobotSta],"_",0,1)</f>
        <v>OppS</v>
      </c>
      <c r="AS271">
        <f>SUMIFS(Dyno_Data[AcqDis], Dyno_Data[Team],TBA_Matches_All[[#This Row],[Team]],Dyno_Data[Match],TBA_Matches_All[[#This Row],[Match_Number]],Dyno_Data[RecordType],"Activities", Dyno_Data[AcqCenter],1,Dyno_Data[Mode],"Auto")</f>
        <v>0</v>
      </c>
      <c r="AT271">
        <f>SUMIFS(Dyno_Data[AcqDis], Dyno_Data[Team],TBA_Matches_All[[#This Row],[Team]],Dyno_Data[Match],TBA_Matches_All[[#This Row],[Match_Number]],Dyno_Data[RecordType],"Activities", Dyno_Data[AcqCenter],2,Dyno_Data[Mode],"Auto")</f>
        <v>0</v>
      </c>
      <c r="AU271">
        <f>SUMIFS(Dyno_Data[AcqDis], Dyno_Data[Team],TBA_Matches_All[[#This Row],[Team]],Dyno_Data[Match],TBA_Matches_All[[#This Row],[Match_Number]],Dyno_Data[RecordType],"Activities", Dyno_Data[AcqCenter],3,Dyno_Data[Mode],"Auto")</f>
        <v>0</v>
      </c>
      <c r="AV271">
        <f>SUMIFS(Dyno_Data[AcqDis], Dyno_Data[Team],TBA_Matches_All[[#This Row],[Team]],Dyno_Data[Match],TBA_Matches_All[[#This Row],[Match_Number]],Dyno_Data[RecordType],"Activities", Dyno_Data[AcqCenter],4,Dyno_Data[Mode],"Auto")</f>
        <v>0</v>
      </c>
      <c r="AW271">
        <f>SUMIFS(Dyno_Data[AcqDis], Dyno_Data[Team],TBA_Matches_All[[#This Row],[Team]],Dyno_Data[Match],TBA_Matches_All[[#This Row],[Match_Number]],Dyno_Data[RecordType],"Activities", Dyno_Data[AcqCenter],5,Dyno_Data[Mode],"Auto")</f>
        <v>0</v>
      </c>
      <c r="AX271">
        <f>SUMIFS(Dyno_Data[DelMiss], Dyno_Data[Team],TBA_Matches_All[[#This Row],[Team]],Dyno_Data[Match],TBA_Matches_All[[#This Row],[Match_Number]],Dyno_Data[RecordType],"Activities", Dyno_Data[DelDest],"Amp")</f>
        <v>0</v>
      </c>
      <c r="AY271" s="60">
        <f>IFERROR(SUM((TBA_Matches_All[[#This Row],[AampT]]+TBA_Matches_All[[#This Row],[TampT]])/(TBA_Matches_All[[#This Row],[AampT]]+TBA_Matches_All[[#This Row],[TampT]]+TBA_Matches_All[[#This Row],[ampM]])),0)</f>
        <v>0</v>
      </c>
      <c r="AZ271">
        <f>SUMIFS(Dyno_Data[DelMiss], Dyno_Data[Team],TBA_Matches_All[[#This Row],[Team]],Dyno_Data[Match],TBA_Matches_All[[#This Row],[Match_Number]],Dyno_Data[RecordType],"Activities", Dyno_Data[DelDest],"Spkr")</f>
        <v>1</v>
      </c>
      <c r="BA271" s="60">
        <f>IFERROR(SUM((TBA_Matches_All[[#This Row],[AspkrT]]+TBA_Matches_All[[#This Row],[TspkrT]])/(TBA_Matches_All[[#This Row],[AspkrT]]+TBA_Matches_All[[#This Row],[TspkrT]]+TBA_Matches_All[[#This Row],[spkrM]])),0)</f>
        <v>0</v>
      </c>
      <c r="BB271">
        <f>SUMIFS(Dyno_Data[DelMiss], Dyno_Data[Team],TBA_Matches_All[[#This Row],[Team]],Dyno_Data[Match],TBA_Matches_All[[#This Row],[Match_Number]],Dyno_Data[RecordType],"Activities", Dyno_Data[DelDest],"Trap")</f>
        <v>0</v>
      </c>
      <c r="BC271" s="60">
        <f>IFERROR((TBA_Matches_All[[#This Row],[AtrapT]]+TBA_Matches_All[[#This Row],[TtrapT]])/(TBA_Matches_All[[#This Row],[AtrapT]]+TBA_Matches_All[[#This Row],[TtrapT]]+TBA_Matches_All[[#This Row],[trapM]]),0)</f>
        <v>0</v>
      </c>
      <c r="BD271">
        <f>COUNTIFS(Dyno_Data[Team],TBA_Matches_All[[#This Row],[Team]],Dyno_Data[Match],TBA_Matches_All[[#This Row],[Match_Number]],Dyno_Data[RecordType],"Activities",Dyno_Data[DelDest],"Neut", Dyno_Data[DelMiss],1)</f>
        <v>0</v>
      </c>
      <c r="BE271" s="60">
        <f>IFERROR(SUM((TBA_Matches_All[[#This Row],[NeutFlrT]])/(TBA_Matches_All[[#This Row],[NeutFlrT]]+TBA_Matches_All[[#This Row],[NZflM]])),0)</f>
        <v>0</v>
      </c>
      <c r="BF271">
        <f>COUNTIFS(Dyno_Data[Team],TBA_Matches_All[[#This Row],[Team]],Dyno_Data[Match],TBA_Matches_All[[#This Row],[Match_Number]],Dyno_Data[RecordType],"Activities",Dyno_Data[DelDest],"AllyW", Dyno_Data[DelMiss],1)</f>
        <v>0</v>
      </c>
      <c r="BG271" s="60">
        <f>IFERROR(SUM((TBA_Matches_All[[#This Row],[AllyWFlrT]])/(TBA_Matches_All[[#This Row],[AllyWFlrT]]+TBA_Matches_All[[#This Row],[AZflM]])),0)</f>
        <v>0</v>
      </c>
      <c r="BH271">
        <f>COUNTIFS(Dyno_Data[Team],TBA_Matches_All[[#This Row],[Team]],Dyno_Data[Match],TBA_Matches_All[[#This Row],[Match_Number]],Dyno_Data[RecordType],"Activities",Dyno_Data[DelOrig],"OppW", Dyno_Data[DelMiss],"0")</f>
        <v>0</v>
      </c>
      <c r="BI271">
        <f>COUNTIFS(Dyno_Data[Team],TBA_Matches_All[[#This Row],[Team]],Dyno_Data[Match],TBA_Matches_All[[#This Row],[Match_Number]],Dyno_Data[RecordType],"Activities",Dyno_Data[DelOrig],"OppW", Dyno_Data[DelMiss],"1")</f>
        <v>0</v>
      </c>
      <c r="BJ271" s="60">
        <f>IFERROR(SUM((TBA_Matches_All[[#This Row],[OZflrT]])/(TBA_Matches_All[[#This Row],[OZflrT]]+TBA_Matches_All[[#This Row],[OZflrM]])),0)</f>
        <v>0</v>
      </c>
      <c r="BK271">
        <f>COUNTIFS(Dyno_Data[Team],TBA_Matches_All[[#This Row],[Team]],Dyno_Data[Match],TBA_Matches_All[[#This Row],[Match_Number]],Dyno_Data[RecordType],"Activities",Dyno_Data[DelOrig],"Neut", Dyno_Data[DelMiss],"0")</f>
        <v>0</v>
      </c>
      <c r="BL271">
        <f>COUNTIFS(Dyno_Data[Team],TBA_Matches_All[[#This Row],[Team]],Dyno_Data[Match],TBA_Matches_All[[#This Row],[Match_Number]],Dyno_Data[RecordType],"Activities",Dyno_Data[DelOrig],"Neut", Dyno_Data[DelMiss],"1")</f>
        <v>0</v>
      </c>
      <c r="BM271" s="60">
        <f>IFERROR(SUM((TBA_Matches_All[[#This Row],[NZflrT]])/(TBA_Matches_All[[#This Row],[NZflrT]]+TBA_Matches_All[[#This Row],[NZflrM]])),0)</f>
        <v>0</v>
      </c>
      <c r="BN271">
        <f>COUNTIFS(Dyno_Data[Team],TBA_Matches_All[[#This Row],[Team]],Dyno_Data[Match],TBA_Matches_All[[#This Row],[Match_Number]],Dyno_Data[RecordType],"Activities",Dyno_Data[DelOrig],"AllyW", Dyno_Data[DelMiss],"0")</f>
        <v>0</v>
      </c>
      <c r="BO271">
        <f>COUNTIFS(Dyno_Data[Team],TBA_Matches_All[[#This Row],[Team]],Dyno_Data[Match],TBA_Matches_All[[#This Row],[Match_Number]],Dyno_Data[RecordType],"Activities",Dyno_Data[DelOrig],"AllyW", Dyno_Data[DelMiss],"1")</f>
        <v>0</v>
      </c>
      <c r="BP271" s="60">
        <f>IFERROR(SUM((TBA_Matches_All[[#This Row],[AZflrT]])/(TBA_Matches_All[[#This Row],[AZflrT]]+TBA_Matches_All[[#This Row],[AZflrM]])),0)</f>
        <v>0</v>
      </c>
      <c r="BQ271">
        <f>COUNTIFS(Dyno_Data[Team],TBA_Matches_All[[#This Row],[Team]],Dyno_Data[Match],TBA_Matches_All[[#This Row],[Match_Number]],Dyno_Data[RecordType],"Activities",Dyno_Data[DelOrig],"SubW", Dyno_Data[DelMiss],"0")</f>
        <v>0</v>
      </c>
      <c r="BR271">
        <f>COUNTIFS(Dyno_Data[Team],TBA_Matches_All[[#This Row],[Team]],Dyno_Data[Match],TBA_Matches_All[[#This Row],[Match_Number]],Dyno_Data[RecordType],"Activities",Dyno_Data[DelOrig],"SubW", Dyno_Data[DelMiss],"1")</f>
        <v>1</v>
      </c>
      <c r="BS271" s="60">
        <f>IFERROR(SUM((TBA_Matches_All[[#This Row],[SubwT]])/(TBA_Matches_All[[#This Row],[SubwT]]+TBA_Matches_All[[#This Row],[SubwM]])),0)</f>
        <v>0</v>
      </c>
      <c r="BT271">
        <f>COUNTIFS(Dyno_Data[Team],TBA_Matches_All[[#This Row],[Team]],Dyno_Data[Match],TBA_Matches_All[[#This Row],[Match_Number]],Dyno_Data[RecordType],"Activities", Dyno_Data[AcqLoc],"OppWing")</f>
        <v>0</v>
      </c>
      <c r="BU271">
        <f>COUNTIFS(Dyno_Data[Team],TBA_Matches_All[[#This Row],[Team]],Dyno_Data[Match],TBA_Matches_All[[#This Row],[Match_Number]],Dyno_Data[RecordType],"Activities", Dyno_Data[AcqLoc],"Neutral")</f>
        <v>0</v>
      </c>
      <c r="BV271">
        <f>COUNTIFS(Dyno_Data[Team],TBA_Matches_All[[#This Row],[Team]],Dyno_Data[Match],TBA_Matches_All[[#This Row],[Match_Number]],Dyno_Data[RecordType],"Activities", Dyno_Data[AcqLoc],"AllyWing")</f>
        <v>0</v>
      </c>
      <c r="BW271">
        <f>COUNTIFS(Dyno_Data[Team],TBA_Matches_All[[#This Row],[Team]],Dyno_Data[Match],TBA_Matches_All[[#This Row],[Match_Number]],Dyno_Data[RecordType],"Activities", Dyno_Data[AcqLoc],"Source")</f>
        <v>0</v>
      </c>
      <c r="BX271">
        <f>SUMIFS(Dyno_Data[AcqDrp], Dyno_Data[Team],TBA_Matches_All[[#This Row],[Team]],Dyno_Data[Match],TBA_Matches_All[[#This Row],[Match_Number]],Dyno_Data[RecordType],"Activities", Dyno_Data[AcqLoc],"Source")</f>
        <v>0</v>
      </c>
      <c r="BY271">
        <f>SUMIFS(Dyno_Data[OZTime], Dyno_Data[Team],TBA_Matches_All[[#This Row],[Team]],Dyno_Data[Match],TBA_Matches_All[[#This Row],[Match_Number]],Dyno_Data[RecordType],"EndMatch")</f>
        <v>0</v>
      </c>
      <c r="BZ271">
        <f>SUMIFS(Dyno_Data[NZTime], Dyno_Data[Team],TBA_Matches_All[[#This Row],[Team]],Dyno_Data[Match],TBA_Matches_All[[#This Row],[Match_Number]],Dyno_Data[RecordType],"EndMatch")</f>
        <v>22.191736799999997</v>
      </c>
      <c r="CA271">
        <f>SUMIFS(Dyno_Data[AZTime], Dyno_Data[Team],TBA_Matches_All[[#This Row],[Team]],Dyno_Data[Match],TBA_Matches_All[[#This Row],[Match_Number]],Dyno_Data[RecordType],"EndMatch")</f>
        <v>111.54620509999999</v>
      </c>
      <c r="CB271">
        <f>SUMIFS(Dyno_Data[ClimbT], Dyno_Data[Team],TBA_Matches_All[[#This Row],[Team]],Dyno_Data[Match],TBA_Matches_All[[#This Row],[Match_Number]],Dyno_Data[RecordType],"EndMatch")</f>
        <v>0</v>
      </c>
      <c r="CC271" t="str">
        <f>_xlfn.XLOOKUP(SUM(MID(TBA_Matches_All[[#This Row],[Team]],4,5),(TBA_Matches_All[[#This Row],[Match_Number]]/100)),Dyno_EndMatch[teammat],Dyno_EndMatch[StageStat],"_",0,1)</f>
        <v>Park</v>
      </c>
      <c r="CD271" t="str">
        <f>_xlfn.XLOOKUP(TBA_Matches_All[[#This Row],[teammat]],Dyno_EndMatch[teammat],Dyno_EndMatch[StageAtt],"_",0,1)</f>
        <v>0</v>
      </c>
      <c r="CE271" t="str">
        <f>_xlfn.XLOOKUP(TBA_Matches_All[[#This Row],[teammat]],Dyno_EndMatch[teammat],Dyno_EndMatch[StageLoc],"_",0,1)</f>
        <v>A</v>
      </c>
      <c r="CF271">
        <f>SUMIFS(Dyno_Data[Harmony], Dyno_Data[Team],TBA_Matches_All[[#This Row],[Team]],Dyno_Data[Match],TBA_Matches_All[[#This Row],[Match_Number]],Dyno_Data[RecordType],"EndMatch", Dyno_Data[StageStat],"On",Dyno_Data[Harmony],"&lt;&gt;9")</f>
        <v>0</v>
      </c>
      <c r="CG271">
        <f>SUMIFS(Dyno_Data[Spotlit], Dyno_Data[Team],TBA_Matches_All[[#This Row],[Team]],Dyno_Data[Match],TBA_Matches_All[[#This Row],[Match_Number]],Dyno_Data[RecordType],"EndMatch", Dyno_Data[StageStat],"On",Dyno_Data[Spotlit],"&lt;&gt;9")</f>
        <v>0</v>
      </c>
      <c r="CH271" t="str">
        <f>_xlfn.XLOOKUP(TBA_Matches_All[[#This Row],[teammat]],Dyno_EndMatch[teammat],Dyno_EndMatch[Strategy],"_",0,1)</f>
        <v>Defense</v>
      </c>
      <c r="CI271">
        <f>SUMIFS(Dyno_Data[Defense], Dyno_Data[Team],TBA_Matches_All[[#This Row],[Team]],Dyno_Data[Match],TBA_Matches_All[[#This Row],[Match_Number]],Dyno_Data[RecordType],"EndMatch",Dyno_Data[Defense],"&lt;&gt;9")</f>
        <v>1</v>
      </c>
      <c r="CJ271">
        <f>SUMIFS(Dyno_Data[Avoidance], Dyno_Data[Team],TBA_Matches_All[[#This Row],[Team]],Dyno_Data[Match],TBA_Matches_All[[#This Row],[Match_Number]],Dyno_Data[RecordType],"EndMatch",Dyno_Data[Avoidance],"&lt;&gt;9")</f>
        <v>2</v>
      </c>
      <c r="CK271" s="82">
        <f>COUNTIF($H$2:TBA_Matches_All[[#This Row],[Team]],TBA_Matches_All[[#This Row],[Team]])</f>
        <v>6</v>
      </c>
      <c r="CL271" s="111">
        <f>SUM(MID(TBA_Matches_All[[#This Row],[Team]],4,5)+TBA_Matches_All[[#This Row],[Match_Number]]/100)</f>
        <v>229.45</v>
      </c>
      <c r="CM271">
        <f>SUM((TBA_Matches_All[[#This Row],[Leave]]*2)+(TBA_Matches_All[[#This Row],[AampT]]*2)+(TBA_Matches_All[[#This Row],[AspkrT]]*5)+(TBA_Matches_All[[#This Row],[AtrapT]]*5))</f>
        <v>2</v>
      </c>
      <c r="CN271" s="59">
        <f>IFERROR(SUM(TBA_Matches_All[[#This Row],[AptsT]]/TBA_Matches_All[[#This Row],[AutoPts]]),0)</f>
        <v>0.4</v>
      </c>
      <c r="CO271" s="59">
        <f>IFERROR(SUM(TBA_Matches_All[[#This Row],[AampT]]+TBA_Matches_All[[#This Row],[AspkrT]]+TBA_Matches_All[[#This Row],[AtrapT]]/TBA_Matches_All[[#This Row],[Aamp]]+TBA_Matches_All[[#This Row],[Aspkr]]+TBA_Matches_All[[#This Row],[AtrapT]]),0)</f>
        <v>0</v>
      </c>
      <c r="CP271" s="59">
        <f>IFERROR(SUM(TBA_Matches_All[[#This Row],[TampT]]/TBA_Matches_All[[#This Row],[Tamp]]),0)</f>
        <v>0</v>
      </c>
      <c r="CQ271" s="59">
        <f>IFERROR(SUM(TBA_Matches_All[[#This Row],[TspkrT]]/TBA_Matches_All[[#This Row],[Tspkr]]),0)</f>
        <v>0</v>
      </c>
      <c r="CR271">
        <f>SUM(TBA_Matches_All[[#This Row],[TspkrPts]]*TBA_Matches_All[[#This Row],[TspkrP]])</f>
        <v>0</v>
      </c>
      <c r="CS271" s="59">
        <f>IFERROR(SUM(TBA_Matches_All[[#This Row],[TtrapT]]/TBA_Matches_All[[#This Row],[Trap]]),0)</f>
        <v>0</v>
      </c>
      <c r="CT271" s="59">
        <f>IFERROR(SUM(TBA_Matches_All[[#This Row],[TotNotesT]]/TBA_Matches_All[[#This Row],[TotNotes]]),0)</f>
        <v>0</v>
      </c>
      <c r="CU271" s="66">
        <f>SUM((TBA_Matches_All[[#This Row],[AampT]]*2)+(TBA_Matches_All[[#This Row],[AspkrT]]*5)+(TBA_Matches_All[[#This Row],[AtrapT]]*5)+(TBA_Matches_All[[#This Row],[TampT]]*1)+(TBA_Matches_All[[#This Row],[TspkrptsC]]))</f>
        <v>0</v>
      </c>
      <c r="CV271" s="59">
        <f>IFERROR(TBA_Matches_All[[#This Row],[noteptsT]]/TBA_Matches_All[[#This Row],[NotePts]],0)</f>
        <v>0</v>
      </c>
      <c r="CW271">
        <f>SUM(IF(TBA_Matches_All[[#This Row],[stageStat]]="On",3,0),IF(TBA_Matches_All[[#This Row],[stageStat]]="Park",1,0),SUMIFS(TBA_Matches_All[[#This Row],[Spotlit]],TBA_Matches_All[[#This Row],[stageStat]],"On"),SUMIFS(TBA_Matches_All[[#This Row],[Harmony]],TBA_Matches_All[[#This Row],[stageStat]],"On"))</f>
        <v>1</v>
      </c>
      <c r="CX271" s="59">
        <f>IFERROR(TBA_Matches_All[[#This Row],[stageptsT]]/TBA_Matches_All[[#This Row],[StagePts]],0)</f>
        <v>0.16666666666666666</v>
      </c>
      <c r="CY271">
        <f>SUM((TBA_Matches_All[[#This Row],[AptsT]]+TBA_Matches_All[[#This Row],[TampT]]+TBA_Matches_All[[#This Row],[TspkrptsC]]+(TBA_Matches_All[[#This Row],[TtrapT]]*5)+TBA_Matches_All[[#This Row],[stageptsT]]))</f>
        <v>3</v>
      </c>
      <c r="CZ271" s="59">
        <f>IFERROR(SUM(TBA_Matches_All[[#This Row],[TotptsC]]/TBA_Matches_All[[#This Row],[Score]]),0)</f>
        <v>0.06</v>
      </c>
      <c r="DA27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71" s="74">
        <f>SUMIFS(TBA_Matches_All[AveTeamTNoteDels],TBA_Matches_All[Match_Number],TBA_Matches_All[[#This Row],[Match_Number]],TBA_Matches_All[Alliance],"&lt;&gt;"&amp;TBA_Matches_All[[#This Row],[Alliance]],TBA_Matches_All[Scouted],"&gt;0")</f>
        <v>11.233333333333334</v>
      </c>
      <c r="DC271" s="74">
        <f>(TBA_Matches_All[[#This Row],[TampT]]+TBA_Matches_All[[#This Row],[TspkrptsC]])-TBA_Matches_All[[#This Row],[AveTeamTNoteDels]]</f>
        <v>0</v>
      </c>
      <c r="DD271" s="74">
        <f>SUMIFS(TBA_Matches_All[AveTeamTNoteDels],TBA_Matches_All[Match_Number],TBA_Matches_All[[#This Row],[Match_Number]],TBA_Matches_All[Alliance],"&lt;&gt;"&amp;TBA_Matches_All[[#This Row],[Alliance]])-TBA_Matches_All[[#This Row],[AveOppTNoteDels]]</f>
        <v>0</v>
      </c>
    </row>
    <row r="272" spans="1:108" x14ac:dyDescent="0.3">
      <c r="A272" t="s">
        <v>1042</v>
      </c>
      <c r="B272" t="s">
        <v>489</v>
      </c>
      <c r="C272" t="s">
        <v>1354</v>
      </c>
      <c r="D272">
        <v>45</v>
      </c>
      <c r="E272" t="s">
        <v>1406</v>
      </c>
      <c r="F272" t="s">
        <v>1426</v>
      </c>
      <c r="G272" t="s">
        <v>164</v>
      </c>
      <c r="H272" t="s">
        <v>373</v>
      </c>
      <c r="I272" t="b">
        <v>1</v>
      </c>
      <c r="J272">
        <v>52</v>
      </c>
      <c r="K272">
        <v>0</v>
      </c>
      <c r="L272">
        <v>0</v>
      </c>
      <c r="M272">
        <v>7</v>
      </c>
      <c r="N272">
        <v>0</v>
      </c>
      <c r="O272">
        <v>4</v>
      </c>
      <c r="P272">
        <v>20</v>
      </c>
      <c r="Q272">
        <v>26</v>
      </c>
      <c r="R272">
        <v>5</v>
      </c>
      <c r="S272">
        <v>2</v>
      </c>
      <c r="T272">
        <v>2</v>
      </c>
      <c r="U272">
        <v>10</v>
      </c>
      <c r="V272">
        <v>4</v>
      </c>
      <c r="W272">
        <v>4</v>
      </c>
      <c r="X272">
        <v>14</v>
      </c>
      <c r="Y272">
        <v>19</v>
      </c>
      <c r="Z272">
        <v>0</v>
      </c>
      <c r="AA272">
        <v>0</v>
      </c>
      <c r="AB272">
        <v>13</v>
      </c>
      <c r="AC272">
        <v>39</v>
      </c>
      <c r="AD272">
        <v>3</v>
      </c>
      <c r="AE272">
        <f>IFERROR(6/(COUNTIF(Dyno_EndMatch[Match],TBA_Matches_All[[#This Row],[Match_Number]])),0)</f>
        <v>1</v>
      </c>
      <c r="AF272">
        <f>COUNTIFS(Dyno_Data[Team],TBA_Matches_All[[#This Row],[Team]],Dyno_Data[Match],TBA_Matches_All[[#This Row],[Match_Number]],Dyno_Data[RecordType],"EndMatch",Dyno_Data[HPAmp],"Y")</f>
        <v>0</v>
      </c>
      <c r="AG272">
        <f>SUMIFS(Dyno_Data[Mics], Dyno_Data[Team],TBA_Matches_All[[#This Row],[Team]],Dyno_Data[Match],TBA_Matches_All[[#This Row],[Match_Number]],Dyno_Data[RecordType],"EndMatch",Dyno_Data[HPAmp],"Y")</f>
        <v>0</v>
      </c>
      <c r="AH272">
        <f>SUMIFS(Dyno_Data[Leave], Dyno_Data[Team],TBA_Matches_All[[#This Row],[Team]],Dyno_Data[Match],TBA_Matches_All[[#This Row],[Match_Number]],Dyno_Data[RecordType],"EndAuto")</f>
        <v>1</v>
      </c>
      <c r="AI272">
        <f>COUNTIFS(Dyno_Data[Team],TBA_Matches_All[[#This Row],[Team]],Dyno_Data[Match],TBA_Matches_All[[#This Row],[Match_Number]],Dyno_Data[RecordType],"Activities",Dyno_Data[DelDest],"Amp", Dyno_Data[DelMiss],"0", Dyno_Data[Mode],"Auto")</f>
        <v>0</v>
      </c>
      <c r="AJ272">
        <f>COUNTIFS(Dyno_Data[Team],TBA_Matches_All[[#This Row],[Team]],Dyno_Data[Match],TBA_Matches_All[[#This Row],[Match_Number]],Dyno_Data[RecordType],"Activities",Dyno_Data[DelDest],"Spkr", Dyno_Data[DelMiss],"0", Dyno_Data[Mode],"Auto")</f>
        <v>0</v>
      </c>
      <c r="AK272">
        <f>COUNTIFS(Dyno_Data[Team],TBA_Matches_All[[#This Row],[Team]],Dyno_Data[Match],TBA_Matches_All[[#This Row],[Match_Number]],Dyno_Data[RecordType],"Activities",Dyno_Data[DelDest],"Trap", Dyno_Data[DelMiss],"0", Dyno_Data[Mode],"Auto")</f>
        <v>0</v>
      </c>
      <c r="AL272">
        <f>COUNTIFS(Dyno_Data[Team],TBA_Matches_All[[#This Row],[Team]],Dyno_Data[Match],TBA_Matches_All[[#This Row],[Match_Number]],Dyno_Data[RecordType],"Activities",Dyno_Data[DelDest],"Amp", Dyno_Data[DelMiss],"0", Dyno_Data[Mode],"Teleop")</f>
        <v>0</v>
      </c>
      <c r="AM272">
        <f>COUNTIFS(Dyno_Data[Team],TBA_Matches_All[[#This Row],[Team]],Dyno_Data[Match],TBA_Matches_All[[#This Row],[Match_Number]],Dyno_Data[RecordType],"Activities",Dyno_Data[DelDest],"Spkr", Dyno_Data[DelMiss],"0", Dyno_Data[Mode],"Teleop")</f>
        <v>0</v>
      </c>
      <c r="AN272">
        <f>COUNTIFS(Dyno_Data[Team],TBA_Matches_All[[#This Row],[Team]],Dyno_Data[Match],TBA_Matches_All[[#This Row],[Match_Number]],Dyno_Data[RecordType],"Activities",Dyno_Data[DelDest],"Trap", Dyno_Data[DelMiss],"0", Dyno_Data[Mode],"&lt;&gt;Auto")</f>
        <v>0</v>
      </c>
      <c r="AO272">
        <f>SUM(TBA_Matches_All[[#This Row],[AampT]]+TBA_Matches_All[[#This Row],[AspkrT]]+TBA_Matches_All[[#This Row],[AtrapT]]+TBA_Matches_All[[#This Row],[TampT]]+TBA_Matches_All[[#This Row],[TspkrT]]+TBA_Matches_All[[#This Row],[TtrapT]])</f>
        <v>0</v>
      </c>
      <c r="AP272">
        <f>COUNTIFS(Dyno_Data[Team],TBA_Matches_All[[#This Row],[Team]],Dyno_Data[Match],TBA_Matches_All[[#This Row],[Match_Number]],Dyno_Data[RecordType],"Activities",Dyno_Data[DelDest],"Neut", Dyno_Data[DelMiss],"0")</f>
        <v>0</v>
      </c>
      <c r="AQ272">
        <f>COUNTIFS(Dyno_Data[Team],TBA_Matches_All[[#This Row],[Team]],Dyno_Data[Match],TBA_Matches_All[[#This Row],[Match_Number]],Dyno_Data[RecordType],"Activities",Dyno_Data[DelDest],"AllyW", Dyno_Data[DelMiss],"0")</f>
        <v>0</v>
      </c>
      <c r="AR272" t="str">
        <f>_xlfn.XLOOKUP(SUM(MID(TBA_Matches_All[[#This Row],[Team]],4,5),(TBA_Matches_All[[#This Row],[Match_Number]]/100)),Dyno_EndMatch[teammat],Dyno_EndMatch[RobotSta],"_",0,1)</f>
        <v>Podm</v>
      </c>
      <c r="AS272">
        <f>SUMIFS(Dyno_Data[AcqDis], Dyno_Data[Team],TBA_Matches_All[[#This Row],[Team]],Dyno_Data[Match],TBA_Matches_All[[#This Row],[Match_Number]],Dyno_Data[RecordType],"Activities", Dyno_Data[AcqCenter],1,Dyno_Data[Mode],"Auto")</f>
        <v>0</v>
      </c>
      <c r="AT272">
        <f>SUMIFS(Dyno_Data[AcqDis], Dyno_Data[Team],TBA_Matches_All[[#This Row],[Team]],Dyno_Data[Match],TBA_Matches_All[[#This Row],[Match_Number]],Dyno_Data[RecordType],"Activities", Dyno_Data[AcqCenter],2,Dyno_Data[Mode],"Auto")</f>
        <v>0</v>
      </c>
      <c r="AU272">
        <f>SUMIFS(Dyno_Data[AcqDis], Dyno_Data[Team],TBA_Matches_All[[#This Row],[Team]],Dyno_Data[Match],TBA_Matches_All[[#This Row],[Match_Number]],Dyno_Data[RecordType],"Activities", Dyno_Data[AcqCenter],3,Dyno_Data[Mode],"Auto")</f>
        <v>0</v>
      </c>
      <c r="AV272">
        <f>SUMIFS(Dyno_Data[AcqDis], Dyno_Data[Team],TBA_Matches_All[[#This Row],[Team]],Dyno_Data[Match],TBA_Matches_All[[#This Row],[Match_Number]],Dyno_Data[RecordType],"Activities", Dyno_Data[AcqCenter],4,Dyno_Data[Mode],"Auto")</f>
        <v>0</v>
      </c>
      <c r="AW272">
        <f>SUMIFS(Dyno_Data[AcqDis], Dyno_Data[Team],TBA_Matches_All[[#This Row],[Team]],Dyno_Data[Match],TBA_Matches_All[[#This Row],[Match_Number]],Dyno_Data[RecordType],"Activities", Dyno_Data[AcqCenter],5,Dyno_Data[Mode],"Auto")</f>
        <v>0</v>
      </c>
      <c r="AX272">
        <f>SUMIFS(Dyno_Data[DelMiss], Dyno_Data[Team],TBA_Matches_All[[#This Row],[Team]],Dyno_Data[Match],TBA_Matches_All[[#This Row],[Match_Number]],Dyno_Data[RecordType],"Activities", Dyno_Data[DelDest],"Amp")</f>
        <v>0</v>
      </c>
      <c r="AY272" s="60">
        <f>IFERROR(SUM((TBA_Matches_All[[#This Row],[AampT]]+TBA_Matches_All[[#This Row],[TampT]])/(TBA_Matches_All[[#This Row],[AampT]]+TBA_Matches_All[[#This Row],[TampT]]+TBA_Matches_All[[#This Row],[ampM]])),0)</f>
        <v>0</v>
      </c>
      <c r="AZ272">
        <f>SUMIFS(Dyno_Data[DelMiss], Dyno_Data[Team],TBA_Matches_All[[#This Row],[Team]],Dyno_Data[Match],TBA_Matches_All[[#This Row],[Match_Number]],Dyno_Data[RecordType],"Activities", Dyno_Data[DelDest],"Spkr")</f>
        <v>0</v>
      </c>
      <c r="BA272" s="60">
        <f>IFERROR(SUM((TBA_Matches_All[[#This Row],[AspkrT]]+TBA_Matches_All[[#This Row],[TspkrT]])/(TBA_Matches_All[[#This Row],[AspkrT]]+TBA_Matches_All[[#This Row],[TspkrT]]+TBA_Matches_All[[#This Row],[spkrM]])),0)</f>
        <v>0</v>
      </c>
      <c r="BB272">
        <f>SUMIFS(Dyno_Data[DelMiss], Dyno_Data[Team],TBA_Matches_All[[#This Row],[Team]],Dyno_Data[Match],TBA_Matches_All[[#This Row],[Match_Number]],Dyno_Data[RecordType],"Activities", Dyno_Data[DelDest],"Trap")</f>
        <v>0</v>
      </c>
      <c r="BC272" s="60">
        <f>IFERROR((TBA_Matches_All[[#This Row],[AtrapT]]+TBA_Matches_All[[#This Row],[TtrapT]])/(TBA_Matches_All[[#This Row],[AtrapT]]+TBA_Matches_All[[#This Row],[TtrapT]]+TBA_Matches_All[[#This Row],[trapM]]),0)</f>
        <v>0</v>
      </c>
      <c r="BD272">
        <f>COUNTIFS(Dyno_Data[Team],TBA_Matches_All[[#This Row],[Team]],Dyno_Data[Match],TBA_Matches_All[[#This Row],[Match_Number]],Dyno_Data[RecordType],"Activities",Dyno_Data[DelDest],"Neut", Dyno_Data[DelMiss],1)</f>
        <v>0</v>
      </c>
      <c r="BE272" s="60">
        <f>IFERROR(SUM((TBA_Matches_All[[#This Row],[NeutFlrT]])/(TBA_Matches_All[[#This Row],[NeutFlrT]]+TBA_Matches_All[[#This Row],[NZflM]])),0)</f>
        <v>0</v>
      </c>
      <c r="BF272">
        <f>COUNTIFS(Dyno_Data[Team],TBA_Matches_All[[#This Row],[Team]],Dyno_Data[Match],TBA_Matches_All[[#This Row],[Match_Number]],Dyno_Data[RecordType],"Activities",Dyno_Data[DelDest],"AllyW", Dyno_Data[DelMiss],1)</f>
        <v>0</v>
      </c>
      <c r="BG272" s="60">
        <f>IFERROR(SUM((TBA_Matches_All[[#This Row],[AllyWFlrT]])/(TBA_Matches_All[[#This Row],[AllyWFlrT]]+TBA_Matches_All[[#This Row],[AZflM]])),0)</f>
        <v>0</v>
      </c>
      <c r="BH272">
        <f>COUNTIFS(Dyno_Data[Team],TBA_Matches_All[[#This Row],[Team]],Dyno_Data[Match],TBA_Matches_All[[#This Row],[Match_Number]],Dyno_Data[RecordType],"Activities",Dyno_Data[DelOrig],"OppW", Dyno_Data[DelMiss],"0")</f>
        <v>0</v>
      </c>
      <c r="BI272">
        <f>COUNTIFS(Dyno_Data[Team],TBA_Matches_All[[#This Row],[Team]],Dyno_Data[Match],TBA_Matches_All[[#This Row],[Match_Number]],Dyno_Data[RecordType],"Activities",Dyno_Data[DelOrig],"OppW", Dyno_Data[DelMiss],"1")</f>
        <v>0</v>
      </c>
      <c r="BJ272" s="60">
        <f>IFERROR(SUM((TBA_Matches_All[[#This Row],[OZflrT]])/(TBA_Matches_All[[#This Row],[OZflrT]]+TBA_Matches_All[[#This Row],[OZflrM]])),0)</f>
        <v>0</v>
      </c>
      <c r="BK272">
        <f>COUNTIFS(Dyno_Data[Team],TBA_Matches_All[[#This Row],[Team]],Dyno_Data[Match],TBA_Matches_All[[#This Row],[Match_Number]],Dyno_Data[RecordType],"Activities",Dyno_Data[DelOrig],"Neut", Dyno_Data[DelMiss],"0")</f>
        <v>0</v>
      </c>
      <c r="BL272">
        <f>COUNTIFS(Dyno_Data[Team],TBA_Matches_All[[#This Row],[Team]],Dyno_Data[Match],TBA_Matches_All[[#This Row],[Match_Number]],Dyno_Data[RecordType],"Activities",Dyno_Data[DelOrig],"Neut", Dyno_Data[DelMiss],"1")</f>
        <v>0</v>
      </c>
      <c r="BM272" s="60">
        <f>IFERROR(SUM((TBA_Matches_All[[#This Row],[NZflrT]])/(TBA_Matches_All[[#This Row],[NZflrT]]+TBA_Matches_All[[#This Row],[NZflrM]])),0)</f>
        <v>0</v>
      </c>
      <c r="BN272">
        <f>COUNTIFS(Dyno_Data[Team],TBA_Matches_All[[#This Row],[Team]],Dyno_Data[Match],TBA_Matches_All[[#This Row],[Match_Number]],Dyno_Data[RecordType],"Activities",Dyno_Data[DelOrig],"AllyW", Dyno_Data[DelMiss],"0")</f>
        <v>0</v>
      </c>
      <c r="BO272">
        <f>COUNTIFS(Dyno_Data[Team],TBA_Matches_All[[#This Row],[Team]],Dyno_Data[Match],TBA_Matches_All[[#This Row],[Match_Number]],Dyno_Data[RecordType],"Activities",Dyno_Data[DelOrig],"AllyW", Dyno_Data[DelMiss],"1")</f>
        <v>0</v>
      </c>
      <c r="BP272" s="60">
        <f>IFERROR(SUM((TBA_Matches_All[[#This Row],[AZflrT]])/(TBA_Matches_All[[#This Row],[AZflrT]]+TBA_Matches_All[[#This Row],[AZflrM]])),0)</f>
        <v>0</v>
      </c>
      <c r="BQ272">
        <f>COUNTIFS(Dyno_Data[Team],TBA_Matches_All[[#This Row],[Team]],Dyno_Data[Match],TBA_Matches_All[[#This Row],[Match_Number]],Dyno_Data[RecordType],"Activities",Dyno_Data[DelOrig],"SubW", Dyno_Data[DelMiss],"0")</f>
        <v>0</v>
      </c>
      <c r="BR272">
        <f>COUNTIFS(Dyno_Data[Team],TBA_Matches_All[[#This Row],[Team]],Dyno_Data[Match],TBA_Matches_All[[#This Row],[Match_Number]],Dyno_Data[RecordType],"Activities",Dyno_Data[DelOrig],"SubW", Dyno_Data[DelMiss],"1")</f>
        <v>0</v>
      </c>
      <c r="BS272" s="60">
        <f>IFERROR(SUM((TBA_Matches_All[[#This Row],[SubwT]])/(TBA_Matches_All[[#This Row],[SubwT]]+TBA_Matches_All[[#This Row],[SubwM]])),0)</f>
        <v>0</v>
      </c>
      <c r="BT272">
        <f>COUNTIFS(Dyno_Data[Team],TBA_Matches_All[[#This Row],[Team]],Dyno_Data[Match],TBA_Matches_All[[#This Row],[Match_Number]],Dyno_Data[RecordType],"Activities", Dyno_Data[AcqLoc],"OppWing")</f>
        <v>0</v>
      </c>
      <c r="BU272">
        <f>COUNTIFS(Dyno_Data[Team],TBA_Matches_All[[#This Row],[Team]],Dyno_Data[Match],TBA_Matches_All[[#This Row],[Match_Number]],Dyno_Data[RecordType],"Activities", Dyno_Data[AcqLoc],"Neutral")</f>
        <v>0</v>
      </c>
      <c r="BV272">
        <f>COUNTIFS(Dyno_Data[Team],TBA_Matches_All[[#This Row],[Team]],Dyno_Data[Match],TBA_Matches_All[[#This Row],[Match_Number]],Dyno_Data[RecordType],"Activities", Dyno_Data[AcqLoc],"AllyWing")</f>
        <v>0</v>
      </c>
      <c r="BW272">
        <f>COUNTIFS(Dyno_Data[Team],TBA_Matches_All[[#This Row],[Team]],Dyno_Data[Match],TBA_Matches_All[[#This Row],[Match_Number]],Dyno_Data[RecordType],"Activities", Dyno_Data[AcqLoc],"Source")</f>
        <v>0</v>
      </c>
      <c r="BX272">
        <f>SUMIFS(Dyno_Data[AcqDrp], Dyno_Data[Team],TBA_Matches_All[[#This Row],[Team]],Dyno_Data[Match],TBA_Matches_All[[#This Row],[Match_Number]],Dyno_Data[RecordType],"Activities", Dyno_Data[AcqLoc],"Source")</f>
        <v>0</v>
      </c>
      <c r="BY272">
        <f>SUMIFS(Dyno_Data[OZTime], Dyno_Data[Team],TBA_Matches_All[[#This Row],[Team]],Dyno_Data[Match],TBA_Matches_All[[#This Row],[Match_Number]],Dyno_Data[RecordType],"EndMatch")</f>
        <v>3.9376042999999998</v>
      </c>
      <c r="BZ272">
        <f>SUMIFS(Dyno_Data[NZTime], Dyno_Data[Team],TBA_Matches_All[[#This Row],[Team]],Dyno_Data[Match],TBA_Matches_All[[#This Row],[Match_Number]],Dyno_Data[RecordType],"EndMatch")</f>
        <v>44.523478099999998</v>
      </c>
      <c r="CA272">
        <f>SUMIFS(Dyno_Data[AZTime], Dyno_Data[Team],TBA_Matches_All[[#This Row],[Team]],Dyno_Data[Match],TBA_Matches_All[[#This Row],[Match_Number]],Dyno_Data[RecordType],"EndMatch")</f>
        <v>42.308771700000001</v>
      </c>
      <c r="CB272">
        <f>SUMIFS(Dyno_Data[ClimbT], Dyno_Data[Team],TBA_Matches_All[[#This Row],[Team]],Dyno_Data[Match],TBA_Matches_All[[#This Row],[Match_Number]],Dyno_Data[RecordType],"EndMatch")</f>
        <v>46.215116299999998</v>
      </c>
      <c r="CC272" t="str">
        <f>_xlfn.XLOOKUP(SUM(MID(TBA_Matches_All[[#This Row],[Team]],4,5),(TBA_Matches_All[[#This Row],[Match_Number]]/100)),Dyno_EndMatch[teammat],Dyno_EndMatch[StageStat],"_",0,1)</f>
        <v>Park</v>
      </c>
      <c r="CD272" t="str">
        <f>_xlfn.XLOOKUP(TBA_Matches_All[[#This Row],[teammat]],Dyno_EndMatch[teammat],Dyno_EndMatch[StageAtt],"_",0,1)</f>
        <v>-1</v>
      </c>
      <c r="CE272" t="str">
        <f>_xlfn.XLOOKUP(TBA_Matches_All[[#This Row],[teammat]],Dyno_EndMatch[teammat],Dyno_EndMatch[StageLoc],"_",0,1)</f>
        <v>A</v>
      </c>
      <c r="CF272">
        <f>SUMIFS(Dyno_Data[Harmony], Dyno_Data[Team],TBA_Matches_All[[#This Row],[Team]],Dyno_Data[Match],TBA_Matches_All[[#This Row],[Match_Number]],Dyno_Data[RecordType],"EndMatch", Dyno_Data[StageStat],"On",Dyno_Data[Harmony],"&lt;&gt;9")</f>
        <v>0</v>
      </c>
      <c r="CG272">
        <f>SUMIFS(Dyno_Data[Spotlit], Dyno_Data[Team],TBA_Matches_All[[#This Row],[Team]],Dyno_Data[Match],TBA_Matches_All[[#This Row],[Match_Number]],Dyno_Data[RecordType],"EndMatch", Dyno_Data[StageStat],"On",Dyno_Data[Spotlit],"&lt;&gt;9")</f>
        <v>0</v>
      </c>
      <c r="CH272" t="str">
        <f>_xlfn.XLOOKUP(TBA_Matches_All[[#This Row],[teammat]],Dyno_EndMatch[teammat],Dyno_EndMatch[Strategy],"_",0,1)</f>
        <v>Defense</v>
      </c>
      <c r="CI272">
        <f>SUMIFS(Dyno_Data[Defense], Dyno_Data[Team],TBA_Matches_All[[#This Row],[Team]],Dyno_Data[Match],TBA_Matches_All[[#This Row],[Match_Number]],Dyno_Data[RecordType],"EndMatch",Dyno_Data[Defense],"&lt;&gt;9")</f>
        <v>2</v>
      </c>
      <c r="CJ272">
        <f>SUMIFS(Dyno_Data[Avoidance], Dyno_Data[Team],TBA_Matches_All[[#This Row],[Team]],Dyno_Data[Match],TBA_Matches_All[[#This Row],[Match_Number]],Dyno_Data[RecordType],"EndMatch",Dyno_Data[Avoidance],"&lt;&gt;9")</f>
        <v>0</v>
      </c>
      <c r="CK272" s="82">
        <f>COUNTIF($H$2:TBA_Matches_All[[#This Row],[Team]],TBA_Matches_All[[#This Row],[Team]])</f>
        <v>6</v>
      </c>
      <c r="CL272" s="111">
        <f>SUM(MID(TBA_Matches_All[[#This Row],[Team]],4,5)+TBA_Matches_All[[#This Row],[Match_Number]]/100)</f>
        <v>7718.45</v>
      </c>
      <c r="CM272">
        <f>SUM((TBA_Matches_All[[#This Row],[Leave]]*2)+(TBA_Matches_All[[#This Row],[AampT]]*2)+(TBA_Matches_All[[#This Row],[AspkrT]]*5)+(TBA_Matches_All[[#This Row],[AtrapT]]*5))</f>
        <v>2</v>
      </c>
      <c r="CN272" s="59">
        <f>IFERROR(SUM(TBA_Matches_All[[#This Row],[AptsT]]/TBA_Matches_All[[#This Row],[AutoPts]]),0)</f>
        <v>7.6923076923076927E-2</v>
      </c>
      <c r="CO272" s="59">
        <f>IFERROR(SUM(TBA_Matches_All[[#This Row],[AampT]]+TBA_Matches_All[[#This Row],[AspkrT]]+TBA_Matches_All[[#This Row],[AtrapT]]/TBA_Matches_All[[#This Row],[Aamp]]+TBA_Matches_All[[#This Row],[Aspkr]]+TBA_Matches_All[[#This Row],[AtrapT]]),0)</f>
        <v>0</v>
      </c>
      <c r="CP272" s="59">
        <f>IFERROR(SUM(TBA_Matches_All[[#This Row],[TampT]]/TBA_Matches_All[[#This Row],[Tamp]]),0)</f>
        <v>0</v>
      </c>
      <c r="CQ272" s="59">
        <f>IFERROR(SUM(TBA_Matches_All[[#This Row],[TspkrT]]/TBA_Matches_All[[#This Row],[Tspkr]]),0)</f>
        <v>0</v>
      </c>
      <c r="CR272">
        <f>SUM(TBA_Matches_All[[#This Row],[TspkrPts]]*TBA_Matches_All[[#This Row],[TspkrP]])</f>
        <v>0</v>
      </c>
      <c r="CS272" s="59">
        <f>IFERROR(SUM(TBA_Matches_All[[#This Row],[TtrapT]]/TBA_Matches_All[[#This Row],[Trap]]),0)</f>
        <v>0</v>
      </c>
      <c r="CT272" s="59">
        <f>IFERROR(SUM(TBA_Matches_All[[#This Row],[TotNotesT]]/TBA_Matches_All[[#This Row],[TotNotes]]),0)</f>
        <v>0</v>
      </c>
      <c r="CU272" s="66">
        <f>SUM((TBA_Matches_All[[#This Row],[AampT]]*2)+(TBA_Matches_All[[#This Row],[AspkrT]]*5)+(TBA_Matches_All[[#This Row],[AtrapT]]*5)+(TBA_Matches_All[[#This Row],[TampT]]*1)+(TBA_Matches_All[[#This Row],[TspkrptsC]]))</f>
        <v>0</v>
      </c>
      <c r="CV272" s="59">
        <f>IFERROR(TBA_Matches_All[[#This Row],[noteptsT]]/TBA_Matches_All[[#This Row],[NotePts]],0)</f>
        <v>0</v>
      </c>
      <c r="CW272">
        <f>SUM(IF(TBA_Matches_All[[#This Row],[stageStat]]="On",3,0),IF(TBA_Matches_All[[#This Row],[stageStat]]="Park",1,0),SUMIFS(TBA_Matches_All[[#This Row],[Spotlit]],TBA_Matches_All[[#This Row],[stageStat]],"On"),SUMIFS(TBA_Matches_All[[#This Row],[Harmony]],TBA_Matches_All[[#This Row],[stageStat]],"On"))</f>
        <v>1</v>
      </c>
      <c r="CX272" s="59">
        <f>IFERROR(TBA_Matches_All[[#This Row],[stageptsT]]/TBA_Matches_All[[#This Row],[StagePts]],0)</f>
        <v>0.33333333333333331</v>
      </c>
      <c r="CY272">
        <f>SUM((TBA_Matches_All[[#This Row],[AptsT]]+TBA_Matches_All[[#This Row],[TampT]]+TBA_Matches_All[[#This Row],[TspkrptsC]]+(TBA_Matches_All[[#This Row],[TtrapT]]*5)+TBA_Matches_All[[#This Row],[stageptsT]]))</f>
        <v>3</v>
      </c>
      <c r="CZ272" s="59">
        <f>IFERROR(SUM(TBA_Matches_All[[#This Row],[TotptsC]]/TBA_Matches_All[[#This Row],[Score]]),0)</f>
        <v>5.7692307692307696E-2</v>
      </c>
      <c r="DA27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72" s="74">
        <f>SUMIFS(TBA_Matches_All[AveTeamTNoteDels],TBA_Matches_All[Match_Number],TBA_Matches_All[[#This Row],[Match_Number]],TBA_Matches_All[Alliance],"&lt;&gt;"&amp;TBA_Matches_All[[#This Row],[Alliance]],TBA_Matches_All[Scouted],"&gt;0")</f>
        <v>16.899999999999999</v>
      </c>
      <c r="DC272" s="74">
        <f>(TBA_Matches_All[[#This Row],[TampT]]+TBA_Matches_All[[#This Row],[TspkrptsC]])-TBA_Matches_All[[#This Row],[AveTeamTNoteDels]]</f>
        <v>0</v>
      </c>
      <c r="DD272" s="74">
        <f>SUMIFS(TBA_Matches_All[AveTeamTNoteDels],TBA_Matches_All[Match_Number],TBA_Matches_All[[#This Row],[Match_Number]],TBA_Matches_All[Alliance],"&lt;&gt;"&amp;TBA_Matches_All[[#This Row],[Alliance]])-TBA_Matches_All[[#This Row],[AveOppTNoteDels]]</f>
        <v>0</v>
      </c>
    </row>
    <row r="273" spans="1:108" x14ac:dyDescent="0.3">
      <c r="A273" t="s">
        <v>1042</v>
      </c>
      <c r="B273" t="s">
        <v>489</v>
      </c>
      <c r="C273" t="s">
        <v>1355</v>
      </c>
      <c r="D273">
        <v>46</v>
      </c>
      <c r="E273" t="s">
        <v>1420</v>
      </c>
      <c r="F273" t="s">
        <v>1425</v>
      </c>
      <c r="G273" t="s">
        <v>105</v>
      </c>
      <c r="H273" t="s">
        <v>368</v>
      </c>
      <c r="I273" t="b">
        <v>1</v>
      </c>
      <c r="J273">
        <v>55</v>
      </c>
      <c r="K273">
        <v>1</v>
      </c>
      <c r="L273">
        <v>1</v>
      </c>
      <c r="M273">
        <v>5</v>
      </c>
      <c r="N273">
        <v>0</v>
      </c>
      <c r="O273">
        <v>2</v>
      </c>
      <c r="P273">
        <v>10</v>
      </c>
      <c r="Q273">
        <v>12</v>
      </c>
      <c r="R273">
        <v>4</v>
      </c>
      <c r="S273">
        <v>2</v>
      </c>
      <c r="T273">
        <v>7</v>
      </c>
      <c r="U273">
        <v>10</v>
      </c>
      <c r="V273">
        <v>14</v>
      </c>
      <c r="W273">
        <v>9</v>
      </c>
      <c r="X273">
        <v>24</v>
      </c>
      <c r="Y273">
        <v>28</v>
      </c>
      <c r="Z273">
        <v>0</v>
      </c>
      <c r="AA273">
        <v>0</v>
      </c>
      <c r="AB273">
        <v>15</v>
      </c>
      <c r="AC273">
        <v>38</v>
      </c>
      <c r="AD273">
        <v>11</v>
      </c>
      <c r="AE273">
        <f>IFERROR(6/(COUNTIF(Dyno_EndMatch[Match],TBA_Matches_All[[#This Row],[Match_Number]])),0)</f>
        <v>1</v>
      </c>
      <c r="AF273">
        <f>COUNTIFS(Dyno_Data[Team],TBA_Matches_All[[#This Row],[Team]],Dyno_Data[Match],TBA_Matches_All[[#This Row],[Match_Number]],Dyno_Data[RecordType],"EndMatch",Dyno_Data[HPAmp],"Y")</f>
        <v>0</v>
      </c>
      <c r="AG273">
        <f>SUMIFS(Dyno_Data[Mics], Dyno_Data[Team],TBA_Matches_All[[#This Row],[Team]],Dyno_Data[Match],TBA_Matches_All[[#This Row],[Match_Number]],Dyno_Data[RecordType],"EndMatch",Dyno_Data[HPAmp],"Y")</f>
        <v>0</v>
      </c>
      <c r="AH273">
        <f>SUMIFS(Dyno_Data[Leave], Dyno_Data[Team],TBA_Matches_All[[#This Row],[Team]],Dyno_Data[Match],TBA_Matches_All[[#This Row],[Match_Number]],Dyno_Data[RecordType],"EndAuto")</f>
        <v>0</v>
      </c>
      <c r="AI273">
        <f>COUNTIFS(Dyno_Data[Team],TBA_Matches_All[[#This Row],[Team]],Dyno_Data[Match],TBA_Matches_All[[#This Row],[Match_Number]],Dyno_Data[RecordType],"Activities",Dyno_Data[DelDest],"Amp", Dyno_Data[DelMiss],"0", Dyno_Data[Mode],"Auto")</f>
        <v>0</v>
      </c>
      <c r="AJ273">
        <f>COUNTIFS(Dyno_Data[Team],TBA_Matches_All[[#This Row],[Team]],Dyno_Data[Match],TBA_Matches_All[[#This Row],[Match_Number]],Dyno_Data[RecordType],"Activities",Dyno_Data[DelDest],"Spkr", Dyno_Data[DelMiss],"0", Dyno_Data[Mode],"Auto")</f>
        <v>0</v>
      </c>
      <c r="AK273">
        <f>COUNTIFS(Dyno_Data[Team],TBA_Matches_All[[#This Row],[Team]],Dyno_Data[Match],TBA_Matches_All[[#This Row],[Match_Number]],Dyno_Data[RecordType],"Activities",Dyno_Data[DelDest],"Trap", Dyno_Data[DelMiss],"0", Dyno_Data[Mode],"Auto")</f>
        <v>0</v>
      </c>
      <c r="AL273">
        <f>COUNTIFS(Dyno_Data[Team],TBA_Matches_All[[#This Row],[Team]],Dyno_Data[Match],TBA_Matches_All[[#This Row],[Match_Number]],Dyno_Data[RecordType],"Activities",Dyno_Data[DelDest],"Amp", Dyno_Data[DelMiss],"0", Dyno_Data[Mode],"Teleop")</f>
        <v>0</v>
      </c>
      <c r="AM273">
        <f>COUNTIFS(Dyno_Data[Team],TBA_Matches_All[[#This Row],[Team]],Dyno_Data[Match],TBA_Matches_All[[#This Row],[Match_Number]],Dyno_Data[RecordType],"Activities",Dyno_Data[DelDest],"Spkr", Dyno_Data[DelMiss],"0", Dyno_Data[Mode],"Teleop")</f>
        <v>3</v>
      </c>
      <c r="AN273">
        <f>COUNTIFS(Dyno_Data[Team],TBA_Matches_All[[#This Row],[Team]],Dyno_Data[Match],TBA_Matches_All[[#This Row],[Match_Number]],Dyno_Data[RecordType],"Activities",Dyno_Data[DelDest],"Trap", Dyno_Data[DelMiss],"0", Dyno_Data[Mode],"&lt;&gt;Auto")</f>
        <v>0</v>
      </c>
      <c r="AO273">
        <f>SUM(TBA_Matches_All[[#This Row],[AampT]]+TBA_Matches_All[[#This Row],[AspkrT]]+TBA_Matches_All[[#This Row],[AtrapT]]+TBA_Matches_All[[#This Row],[TampT]]+TBA_Matches_All[[#This Row],[TspkrT]]+TBA_Matches_All[[#This Row],[TtrapT]])</f>
        <v>3</v>
      </c>
      <c r="AP273">
        <f>COUNTIFS(Dyno_Data[Team],TBA_Matches_All[[#This Row],[Team]],Dyno_Data[Match],TBA_Matches_All[[#This Row],[Match_Number]],Dyno_Data[RecordType],"Activities",Dyno_Data[DelDest],"Neut", Dyno_Data[DelMiss],"0")</f>
        <v>0</v>
      </c>
      <c r="AQ273">
        <f>COUNTIFS(Dyno_Data[Team],TBA_Matches_All[[#This Row],[Team]],Dyno_Data[Match],TBA_Matches_All[[#This Row],[Match_Number]],Dyno_Data[RecordType],"Activities",Dyno_Data[DelDest],"AllyW", Dyno_Data[DelMiss],"0")</f>
        <v>0</v>
      </c>
      <c r="AR273" t="str">
        <f>_xlfn.XLOOKUP(SUM(MID(TBA_Matches_All[[#This Row],[Team]],4,5),(TBA_Matches_All[[#This Row],[Match_Number]]/100)),Dyno_EndMatch[teammat],Dyno_EndMatch[RobotSta],"_",0,1)</f>
        <v>Amp</v>
      </c>
      <c r="AS273">
        <f>SUMIFS(Dyno_Data[AcqDis], Dyno_Data[Team],TBA_Matches_All[[#This Row],[Team]],Dyno_Data[Match],TBA_Matches_All[[#This Row],[Match_Number]],Dyno_Data[RecordType],"Activities", Dyno_Data[AcqCenter],1,Dyno_Data[Mode],"Auto")</f>
        <v>0</v>
      </c>
      <c r="AT273">
        <f>SUMIFS(Dyno_Data[AcqDis], Dyno_Data[Team],TBA_Matches_All[[#This Row],[Team]],Dyno_Data[Match],TBA_Matches_All[[#This Row],[Match_Number]],Dyno_Data[RecordType],"Activities", Dyno_Data[AcqCenter],2,Dyno_Data[Mode],"Auto")</f>
        <v>0</v>
      </c>
      <c r="AU273">
        <f>SUMIFS(Dyno_Data[AcqDis], Dyno_Data[Team],TBA_Matches_All[[#This Row],[Team]],Dyno_Data[Match],TBA_Matches_All[[#This Row],[Match_Number]],Dyno_Data[RecordType],"Activities", Dyno_Data[AcqCenter],3,Dyno_Data[Mode],"Auto")</f>
        <v>0</v>
      </c>
      <c r="AV273">
        <f>SUMIFS(Dyno_Data[AcqDis], Dyno_Data[Team],TBA_Matches_All[[#This Row],[Team]],Dyno_Data[Match],TBA_Matches_All[[#This Row],[Match_Number]],Dyno_Data[RecordType],"Activities", Dyno_Data[AcqCenter],4,Dyno_Data[Mode],"Auto")</f>
        <v>0</v>
      </c>
      <c r="AW273">
        <f>SUMIFS(Dyno_Data[AcqDis], Dyno_Data[Team],TBA_Matches_All[[#This Row],[Team]],Dyno_Data[Match],TBA_Matches_All[[#This Row],[Match_Number]],Dyno_Data[RecordType],"Activities", Dyno_Data[AcqCenter],5,Dyno_Data[Mode],"Auto")</f>
        <v>0</v>
      </c>
      <c r="AX273">
        <f>SUMIFS(Dyno_Data[DelMiss], Dyno_Data[Team],TBA_Matches_All[[#This Row],[Team]],Dyno_Data[Match],TBA_Matches_All[[#This Row],[Match_Number]],Dyno_Data[RecordType],"Activities", Dyno_Data[DelDest],"Amp")</f>
        <v>0</v>
      </c>
      <c r="AY273" s="60">
        <f>IFERROR(SUM((TBA_Matches_All[[#This Row],[AampT]]+TBA_Matches_All[[#This Row],[TampT]])/(TBA_Matches_All[[#This Row],[AampT]]+TBA_Matches_All[[#This Row],[TampT]]+TBA_Matches_All[[#This Row],[ampM]])),0)</f>
        <v>0</v>
      </c>
      <c r="AZ273">
        <f>SUMIFS(Dyno_Data[DelMiss], Dyno_Data[Team],TBA_Matches_All[[#This Row],[Team]],Dyno_Data[Match],TBA_Matches_All[[#This Row],[Match_Number]],Dyno_Data[RecordType],"Activities", Dyno_Data[DelDest],"Spkr")</f>
        <v>1</v>
      </c>
      <c r="BA273" s="60">
        <f>IFERROR(SUM((TBA_Matches_All[[#This Row],[AspkrT]]+TBA_Matches_All[[#This Row],[TspkrT]])/(TBA_Matches_All[[#This Row],[AspkrT]]+TBA_Matches_All[[#This Row],[TspkrT]]+TBA_Matches_All[[#This Row],[spkrM]])),0)</f>
        <v>0.75</v>
      </c>
      <c r="BB273">
        <f>SUMIFS(Dyno_Data[DelMiss], Dyno_Data[Team],TBA_Matches_All[[#This Row],[Team]],Dyno_Data[Match],TBA_Matches_All[[#This Row],[Match_Number]],Dyno_Data[RecordType],"Activities", Dyno_Data[DelDest],"Trap")</f>
        <v>0</v>
      </c>
      <c r="BC273" s="60">
        <f>IFERROR((TBA_Matches_All[[#This Row],[AtrapT]]+TBA_Matches_All[[#This Row],[TtrapT]])/(TBA_Matches_All[[#This Row],[AtrapT]]+TBA_Matches_All[[#This Row],[TtrapT]]+TBA_Matches_All[[#This Row],[trapM]]),0)</f>
        <v>0</v>
      </c>
      <c r="BD273">
        <f>COUNTIFS(Dyno_Data[Team],TBA_Matches_All[[#This Row],[Team]],Dyno_Data[Match],TBA_Matches_All[[#This Row],[Match_Number]],Dyno_Data[RecordType],"Activities",Dyno_Data[DelDest],"Neut", Dyno_Data[DelMiss],1)</f>
        <v>0</v>
      </c>
      <c r="BE273" s="60">
        <f>IFERROR(SUM((TBA_Matches_All[[#This Row],[NeutFlrT]])/(TBA_Matches_All[[#This Row],[NeutFlrT]]+TBA_Matches_All[[#This Row],[NZflM]])),0)</f>
        <v>0</v>
      </c>
      <c r="BF273">
        <f>COUNTIFS(Dyno_Data[Team],TBA_Matches_All[[#This Row],[Team]],Dyno_Data[Match],TBA_Matches_All[[#This Row],[Match_Number]],Dyno_Data[RecordType],"Activities",Dyno_Data[DelDest],"AllyW", Dyno_Data[DelMiss],1)</f>
        <v>0</v>
      </c>
      <c r="BG273" s="60">
        <f>IFERROR(SUM((TBA_Matches_All[[#This Row],[AllyWFlrT]])/(TBA_Matches_All[[#This Row],[AllyWFlrT]]+TBA_Matches_All[[#This Row],[AZflM]])),0)</f>
        <v>0</v>
      </c>
      <c r="BH273">
        <f>COUNTIFS(Dyno_Data[Team],TBA_Matches_All[[#This Row],[Team]],Dyno_Data[Match],TBA_Matches_All[[#This Row],[Match_Number]],Dyno_Data[RecordType],"Activities",Dyno_Data[DelOrig],"OppW", Dyno_Data[DelMiss],"0")</f>
        <v>0</v>
      </c>
      <c r="BI273">
        <f>COUNTIFS(Dyno_Data[Team],TBA_Matches_All[[#This Row],[Team]],Dyno_Data[Match],TBA_Matches_All[[#This Row],[Match_Number]],Dyno_Data[RecordType],"Activities",Dyno_Data[DelOrig],"OppW", Dyno_Data[DelMiss],"1")</f>
        <v>0</v>
      </c>
      <c r="BJ273" s="60">
        <f>IFERROR(SUM((TBA_Matches_All[[#This Row],[OZflrT]])/(TBA_Matches_All[[#This Row],[OZflrT]]+TBA_Matches_All[[#This Row],[OZflrM]])),0)</f>
        <v>0</v>
      </c>
      <c r="BK273">
        <f>COUNTIFS(Dyno_Data[Team],TBA_Matches_All[[#This Row],[Team]],Dyno_Data[Match],TBA_Matches_All[[#This Row],[Match_Number]],Dyno_Data[RecordType],"Activities",Dyno_Data[DelOrig],"Neut", Dyno_Data[DelMiss],"0")</f>
        <v>0</v>
      </c>
      <c r="BL273">
        <f>COUNTIFS(Dyno_Data[Team],TBA_Matches_All[[#This Row],[Team]],Dyno_Data[Match],TBA_Matches_All[[#This Row],[Match_Number]],Dyno_Data[RecordType],"Activities",Dyno_Data[DelOrig],"Neut", Dyno_Data[DelMiss],"1")</f>
        <v>0</v>
      </c>
      <c r="BM273" s="60">
        <f>IFERROR(SUM((TBA_Matches_All[[#This Row],[NZflrT]])/(TBA_Matches_All[[#This Row],[NZflrT]]+TBA_Matches_All[[#This Row],[NZflrM]])),0)</f>
        <v>0</v>
      </c>
      <c r="BN273">
        <f>COUNTIFS(Dyno_Data[Team],TBA_Matches_All[[#This Row],[Team]],Dyno_Data[Match],TBA_Matches_All[[#This Row],[Match_Number]],Dyno_Data[RecordType],"Activities",Dyno_Data[DelOrig],"AllyW", Dyno_Data[DelMiss],"0")</f>
        <v>1</v>
      </c>
      <c r="BO273">
        <f>COUNTIFS(Dyno_Data[Team],TBA_Matches_All[[#This Row],[Team]],Dyno_Data[Match],TBA_Matches_All[[#This Row],[Match_Number]],Dyno_Data[RecordType],"Activities",Dyno_Data[DelOrig],"AllyW", Dyno_Data[DelMiss],"1")</f>
        <v>0</v>
      </c>
      <c r="BP273" s="60">
        <f>IFERROR(SUM((TBA_Matches_All[[#This Row],[AZflrT]])/(TBA_Matches_All[[#This Row],[AZflrT]]+TBA_Matches_All[[#This Row],[AZflrM]])),0)</f>
        <v>1</v>
      </c>
      <c r="BQ273">
        <f>COUNTIFS(Dyno_Data[Team],TBA_Matches_All[[#This Row],[Team]],Dyno_Data[Match],TBA_Matches_All[[#This Row],[Match_Number]],Dyno_Data[RecordType],"Activities",Dyno_Data[DelOrig],"SubW", Dyno_Data[DelMiss],"0")</f>
        <v>2</v>
      </c>
      <c r="BR273">
        <f>COUNTIFS(Dyno_Data[Team],TBA_Matches_All[[#This Row],[Team]],Dyno_Data[Match],TBA_Matches_All[[#This Row],[Match_Number]],Dyno_Data[RecordType],"Activities",Dyno_Data[DelOrig],"SubW", Dyno_Data[DelMiss],"1")</f>
        <v>1</v>
      </c>
      <c r="BS273" s="60">
        <f>IFERROR(SUM((TBA_Matches_All[[#This Row],[SubwT]])/(TBA_Matches_All[[#This Row],[SubwT]]+TBA_Matches_All[[#This Row],[SubwM]])),0)</f>
        <v>0.66666666666666663</v>
      </c>
      <c r="BT273">
        <f>COUNTIFS(Dyno_Data[Team],TBA_Matches_All[[#This Row],[Team]],Dyno_Data[Match],TBA_Matches_All[[#This Row],[Match_Number]],Dyno_Data[RecordType],"Activities", Dyno_Data[AcqLoc],"OppWing")</f>
        <v>0</v>
      </c>
      <c r="BU273">
        <f>COUNTIFS(Dyno_Data[Team],TBA_Matches_All[[#This Row],[Team]],Dyno_Data[Match],TBA_Matches_All[[#This Row],[Match_Number]],Dyno_Data[RecordType],"Activities", Dyno_Data[AcqLoc],"Neutral")</f>
        <v>0</v>
      </c>
      <c r="BV273">
        <f>COUNTIFS(Dyno_Data[Team],TBA_Matches_All[[#This Row],[Team]],Dyno_Data[Match],TBA_Matches_All[[#This Row],[Match_Number]],Dyno_Data[RecordType],"Activities", Dyno_Data[AcqLoc],"AllyWing")</f>
        <v>0</v>
      </c>
      <c r="BW273">
        <f>COUNTIFS(Dyno_Data[Team],TBA_Matches_All[[#This Row],[Team]],Dyno_Data[Match],TBA_Matches_All[[#This Row],[Match_Number]],Dyno_Data[RecordType],"Activities", Dyno_Data[AcqLoc],"Source")</f>
        <v>0</v>
      </c>
      <c r="BX273">
        <f>SUMIFS(Dyno_Data[AcqDrp], Dyno_Data[Team],TBA_Matches_All[[#This Row],[Team]],Dyno_Data[Match],TBA_Matches_All[[#This Row],[Match_Number]],Dyno_Data[RecordType],"Activities", Dyno_Data[AcqLoc],"Source")</f>
        <v>0</v>
      </c>
      <c r="BY273">
        <f>SUMIFS(Dyno_Data[OZTime], Dyno_Data[Team],TBA_Matches_All[[#This Row],[Team]],Dyno_Data[Match],TBA_Matches_All[[#This Row],[Match_Number]],Dyno_Data[RecordType],"EndMatch")</f>
        <v>27.711103999999999</v>
      </c>
      <c r="BZ273">
        <f>SUMIFS(Dyno_Data[NZTime], Dyno_Data[Team],TBA_Matches_All[[#This Row],[Team]],Dyno_Data[Match],TBA_Matches_All[[#This Row],[Match_Number]],Dyno_Data[RecordType],"EndMatch")</f>
        <v>19.288258599999999</v>
      </c>
      <c r="CA273">
        <f>SUMIFS(Dyno_Data[AZTime], Dyno_Data[Team],TBA_Matches_All[[#This Row],[Team]],Dyno_Data[Match],TBA_Matches_All[[#This Row],[Match_Number]],Dyno_Data[RecordType],"EndMatch")</f>
        <v>81.195148599999996</v>
      </c>
      <c r="CB273">
        <f>SUMIFS(Dyno_Data[ClimbT], Dyno_Data[Team],TBA_Matches_All[[#This Row],[Team]],Dyno_Data[Match],TBA_Matches_All[[#This Row],[Match_Number]],Dyno_Data[RecordType],"EndMatch")</f>
        <v>5.759563</v>
      </c>
      <c r="CC273" t="str">
        <f>_xlfn.XLOOKUP(SUM(MID(TBA_Matches_All[[#This Row],[Team]],4,5),(TBA_Matches_All[[#This Row],[Match_Number]]/100)),Dyno_EndMatch[teammat],Dyno_EndMatch[StageStat],"_",0,1)</f>
        <v>On</v>
      </c>
      <c r="CD273" t="str">
        <f>_xlfn.XLOOKUP(TBA_Matches_All[[#This Row],[teammat]],Dyno_EndMatch[teammat],Dyno_EndMatch[StageAtt],"_",0,1)</f>
        <v>1</v>
      </c>
      <c r="CE273" t="str">
        <f>_xlfn.XLOOKUP(TBA_Matches_All[[#This Row],[teammat]],Dyno_EndMatch[teammat],Dyno_EndMatch[StageLoc],"_",0,1)</f>
        <v>L</v>
      </c>
      <c r="CF273">
        <f>SUMIFS(Dyno_Data[Harmony], Dyno_Data[Team],TBA_Matches_All[[#This Row],[Team]],Dyno_Data[Match],TBA_Matches_All[[#This Row],[Match_Number]],Dyno_Data[RecordType],"EndMatch", Dyno_Data[StageStat],"On",Dyno_Data[Harmony],"&lt;&gt;9")</f>
        <v>0</v>
      </c>
      <c r="CG273">
        <f>SUMIFS(Dyno_Data[Spotlit], Dyno_Data[Team],TBA_Matches_All[[#This Row],[Team]],Dyno_Data[Match],TBA_Matches_All[[#This Row],[Match_Number]],Dyno_Data[RecordType],"EndMatch", Dyno_Data[StageStat],"On",Dyno_Data[Spotlit],"&lt;&gt;9")</f>
        <v>0</v>
      </c>
      <c r="CH273" t="str">
        <f>_xlfn.XLOOKUP(TBA_Matches_All[[#This Row],[teammat]],Dyno_EndMatch[teammat],Dyno_EndMatch[Strategy],"_",0,1)</f>
        <v>Hybrid</v>
      </c>
      <c r="CI273">
        <f>SUMIFS(Dyno_Data[Defense], Dyno_Data[Team],TBA_Matches_All[[#This Row],[Team]],Dyno_Data[Match],TBA_Matches_All[[#This Row],[Match_Number]],Dyno_Data[RecordType],"EndMatch",Dyno_Data[Defense],"&lt;&gt;9")</f>
        <v>0</v>
      </c>
      <c r="CJ273">
        <f>SUMIFS(Dyno_Data[Avoidance], Dyno_Data[Team],TBA_Matches_All[[#This Row],[Team]],Dyno_Data[Match],TBA_Matches_All[[#This Row],[Match_Number]],Dyno_Data[RecordType],"EndMatch",Dyno_Data[Avoidance],"&lt;&gt;9")</f>
        <v>1</v>
      </c>
      <c r="CK273" s="82">
        <f>COUNTIF($H$2:TBA_Matches_All[[#This Row],[Team]],TBA_Matches_All[[#This Row],[Team]])</f>
        <v>6</v>
      </c>
      <c r="CL273" s="111">
        <f>SUM(MID(TBA_Matches_All[[#This Row],[Team]],4,5)+TBA_Matches_All[[#This Row],[Match_Number]]/100)</f>
        <v>6401.46</v>
      </c>
      <c r="CM273">
        <f>SUM((TBA_Matches_All[[#This Row],[Leave]]*2)+(TBA_Matches_All[[#This Row],[AampT]]*2)+(TBA_Matches_All[[#This Row],[AspkrT]]*5)+(TBA_Matches_All[[#This Row],[AtrapT]]*5))</f>
        <v>0</v>
      </c>
      <c r="CN273" s="59">
        <f>IFERROR(SUM(TBA_Matches_All[[#This Row],[AptsT]]/TBA_Matches_All[[#This Row],[AutoPts]]),0)</f>
        <v>0</v>
      </c>
      <c r="CO273" s="59">
        <f>IFERROR(SUM(TBA_Matches_All[[#This Row],[AampT]]+TBA_Matches_All[[#This Row],[AspkrT]]+TBA_Matches_All[[#This Row],[AtrapT]]/TBA_Matches_All[[#This Row],[Aamp]]+TBA_Matches_All[[#This Row],[Aspkr]]+TBA_Matches_All[[#This Row],[AtrapT]]),0)</f>
        <v>0</v>
      </c>
      <c r="CP273" s="59">
        <f>IFERROR(SUM(TBA_Matches_All[[#This Row],[TampT]]/TBA_Matches_All[[#This Row],[Tamp]]),0)</f>
        <v>0</v>
      </c>
      <c r="CQ273" s="59">
        <f>IFERROR(SUM(TBA_Matches_All[[#This Row],[TspkrT]]/TBA_Matches_All[[#This Row],[Tspkr]]),0)</f>
        <v>0.33333333333333331</v>
      </c>
      <c r="CR273">
        <f>SUM(TBA_Matches_All[[#This Row],[TspkrPts]]*TBA_Matches_All[[#This Row],[TspkrP]])</f>
        <v>8</v>
      </c>
      <c r="CS273" s="59">
        <f>IFERROR(SUM(TBA_Matches_All[[#This Row],[TtrapT]]/TBA_Matches_All[[#This Row],[Trap]]),0)</f>
        <v>0</v>
      </c>
      <c r="CT273" s="59">
        <f>IFERROR(SUM(TBA_Matches_All[[#This Row],[TotNotesT]]/TBA_Matches_All[[#This Row],[TotNotes]]),0)</f>
        <v>0.2</v>
      </c>
      <c r="CU273" s="66">
        <f>SUM((TBA_Matches_All[[#This Row],[AampT]]*2)+(TBA_Matches_All[[#This Row],[AspkrT]]*5)+(TBA_Matches_All[[#This Row],[AtrapT]]*5)+(TBA_Matches_All[[#This Row],[TampT]]*1)+(TBA_Matches_All[[#This Row],[TspkrptsC]]))</f>
        <v>8</v>
      </c>
      <c r="CV273" s="59">
        <f>IFERROR(TBA_Matches_All[[#This Row],[noteptsT]]/TBA_Matches_All[[#This Row],[NotePts]],0)</f>
        <v>0.21052631578947367</v>
      </c>
      <c r="CW273">
        <f>SUM(IF(TBA_Matches_All[[#This Row],[stageStat]]="On",3,0),IF(TBA_Matches_All[[#This Row],[stageStat]]="Park",1,0),SUMIFS(TBA_Matches_All[[#This Row],[Spotlit]],TBA_Matches_All[[#This Row],[stageStat]],"On"),SUMIFS(TBA_Matches_All[[#This Row],[Harmony]],TBA_Matches_All[[#This Row],[stageStat]],"On"))</f>
        <v>3</v>
      </c>
      <c r="CX273" s="59">
        <f>IFERROR(TBA_Matches_All[[#This Row],[stageptsT]]/TBA_Matches_All[[#This Row],[StagePts]],0)</f>
        <v>0.27272727272727271</v>
      </c>
      <c r="CY273">
        <f>SUM((TBA_Matches_All[[#This Row],[AptsT]]+TBA_Matches_All[[#This Row],[TampT]]+TBA_Matches_All[[#This Row],[TspkrptsC]]+(TBA_Matches_All[[#This Row],[TtrapT]]*5)+TBA_Matches_All[[#This Row],[stageptsT]]))</f>
        <v>11</v>
      </c>
      <c r="CZ273" s="59">
        <f>IFERROR(SUM(TBA_Matches_All[[#This Row],[TotptsC]]/TBA_Matches_All[[#This Row],[Score]]),0)</f>
        <v>0.2</v>
      </c>
      <c r="DA27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3.56</v>
      </c>
      <c r="DB273" s="74">
        <f>SUMIFS(TBA_Matches_All[AveTeamTNoteDels],TBA_Matches_All[Match_Number],TBA_Matches_All[[#This Row],[Match_Number]],TBA_Matches_All[Alliance],"&lt;&gt;"&amp;TBA_Matches_All[[#This Row],[Alliance]],TBA_Matches_All[Scouted],"&gt;0")</f>
        <v>34.269783549783554</v>
      </c>
      <c r="DC273" s="74">
        <f>(TBA_Matches_All[[#This Row],[TampT]]+TBA_Matches_All[[#This Row],[TspkrptsC]])-TBA_Matches_All[[#This Row],[AveTeamTNoteDels]]</f>
        <v>4.4399999999999995</v>
      </c>
      <c r="DD273" s="74">
        <f>SUMIFS(TBA_Matches_All[AveTeamTNoteDels],TBA_Matches_All[Match_Number],TBA_Matches_All[[#This Row],[Match_Number]],TBA_Matches_All[Alliance],"&lt;&gt;"&amp;TBA_Matches_All[[#This Row],[Alliance]])-TBA_Matches_All[[#This Row],[AveOppTNoteDels]]</f>
        <v>0</v>
      </c>
    </row>
    <row r="274" spans="1:108" x14ac:dyDescent="0.3">
      <c r="A274" t="s">
        <v>1042</v>
      </c>
      <c r="B274" t="s">
        <v>489</v>
      </c>
      <c r="C274" t="s">
        <v>1355</v>
      </c>
      <c r="D274">
        <v>46</v>
      </c>
      <c r="E274" t="s">
        <v>1406</v>
      </c>
      <c r="F274" t="s">
        <v>1426</v>
      </c>
      <c r="G274" t="s">
        <v>164</v>
      </c>
      <c r="H274" t="s">
        <v>318</v>
      </c>
      <c r="I274" t="b">
        <v>1</v>
      </c>
      <c r="J274">
        <v>57</v>
      </c>
      <c r="K274">
        <v>1</v>
      </c>
      <c r="L274">
        <v>0</v>
      </c>
      <c r="M274">
        <v>4</v>
      </c>
      <c r="N274">
        <v>0</v>
      </c>
      <c r="O274">
        <v>1</v>
      </c>
      <c r="P274">
        <v>5</v>
      </c>
      <c r="Q274">
        <v>9</v>
      </c>
      <c r="R274">
        <v>5</v>
      </c>
      <c r="S274">
        <v>4</v>
      </c>
      <c r="T274">
        <v>8</v>
      </c>
      <c r="U274">
        <v>20</v>
      </c>
      <c r="V274">
        <v>16</v>
      </c>
      <c r="W274">
        <v>12</v>
      </c>
      <c r="X274">
        <v>36</v>
      </c>
      <c r="Y274">
        <v>41</v>
      </c>
      <c r="Z274">
        <v>0</v>
      </c>
      <c r="AA274">
        <v>0</v>
      </c>
      <c r="AB274">
        <v>18</v>
      </c>
      <c r="AC274">
        <v>46</v>
      </c>
      <c r="AD274">
        <v>2</v>
      </c>
      <c r="AE274">
        <f>IFERROR(6/(COUNTIF(Dyno_EndMatch[Match],TBA_Matches_All[[#This Row],[Match_Number]])),0)</f>
        <v>1</v>
      </c>
      <c r="AF274">
        <f>COUNTIFS(Dyno_Data[Team],TBA_Matches_All[[#This Row],[Team]],Dyno_Data[Match],TBA_Matches_All[[#This Row],[Match_Number]],Dyno_Data[RecordType],"EndMatch",Dyno_Data[HPAmp],"Y")</f>
        <v>1</v>
      </c>
      <c r="AG274">
        <f>SUMIFS(Dyno_Data[Mics], Dyno_Data[Team],TBA_Matches_All[[#This Row],[Team]],Dyno_Data[Match],TBA_Matches_All[[#This Row],[Match_Number]],Dyno_Data[RecordType],"EndMatch",Dyno_Data[HPAmp],"Y")</f>
        <v>2</v>
      </c>
      <c r="AH274">
        <f>SUMIFS(Dyno_Data[Leave], Dyno_Data[Team],TBA_Matches_All[[#This Row],[Team]],Dyno_Data[Match],TBA_Matches_All[[#This Row],[Match_Number]],Dyno_Data[RecordType],"EndAuto")</f>
        <v>0</v>
      </c>
      <c r="AI274">
        <f>COUNTIFS(Dyno_Data[Team],TBA_Matches_All[[#This Row],[Team]],Dyno_Data[Match],TBA_Matches_All[[#This Row],[Match_Number]],Dyno_Data[RecordType],"Activities",Dyno_Data[DelDest],"Amp", Dyno_Data[DelMiss],"0", Dyno_Data[Mode],"Auto")</f>
        <v>0</v>
      </c>
      <c r="AJ274">
        <f>COUNTIFS(Dyno_Data[Team],TBA_Matches_All[[#This Row],[Team]],Dyno_Data[Match],TBA_Matches_All[[#This Row],[Match_Number]],Dyno_Data[RecordType],"Activities",Dyno_Data[DelDest],"Spkr", Dyno_Data[DelMiss],"0", Dyno_Data[Mode],"Auto")</f>
        <v>1</v>
      </c>
      <c r="AK274">
        <f>COUNTIFS(Dyno_Data[Team],TBA_Matches_All[[#This Row],[Team]],Dyno_Data[Match],TBA_Matches_All[[#This Row],[Match_Number]],Dyno_Data[RecordType],"Activities",Dyno_Data[DelDest],"Trap", Dyno_Data[DelMiss],"0", Dyno_Data[Mode],"Auto")</f>
        <v>0</v>
      </c>
      <c r="AL274">
        <f>COUNTIFS(Dyno_Data[Team],TBA_Matches_All[[#This Row],[Team]],Dyno_Data[Match],TBA_Matches_All[[#This Row],[Match_Number]],Dyno_Data[RecordType],"Activities",Dyno_Data[DelDest],"Amp", Dyno_Data[DelMiss],"0", Dyno_Data[Mode],"Teleop")</f>
        <v>0</v>
      </c>
      <c r="AM274">
        <f>COUNTIFS(Dyno_Data[Team],TBA_Matches_All[[#This Row],[Team]],Dyno_Data[Match],TBA_Matches_All[[#This Row],[Match_Number]],Dyno_Data[RecordType],"Activities",Dyno_Data[DelDest],"Spkr", Dyno_Data[DelMiss],"0", Dyno_Data[Mode],"Teleop")</f>
        <v>7</v>
      </c>
      <c r="AN274">
        <f>COUNTIFS(Dyno_Data[Team],TBA_Matches_All[[#This Row],[Team]],Dyno_Data[Match],TBA_Matches_All[[#This Row],[Match_Number]],Dyno_Data[RecordType],"Activities",Dyno_Data[DelDest],"Trap", Dyno_Data[DelMiss],"0", Dyno_Data[Mode],"&lt;&gt;Auto")</f>
        <v>0</v>
      </c>
      <c r="AO274">
        <f>SUM(TBA_Matches_All[[#This Row],[AampT]]+TBA_Matches_All[[#This Row],[AspkrT]]+TBA_Matches_All[[#This Row],[AtrapT]]+TBA_Matches_All[[#This Row],[TampT]]+TBA_Matches_All[[#This Row],[TspkrT]]+TBA_Matches_All[[#This Row],[TtrapT]])</f>
        <v>8</v>
      </c>
      <c r="AP274">
        <f>COUNTIFS(Dyno_Data[Team],TBA_Matches_All[[#This Row],[Team]],Dyno_Data[Match],TBA_Matches_All[[#This Row],[Match_Number]],Dyno_Data[RecordType],"Activities",Dyno_Data[DelDest],"Neut", Dyno_Data[DelMiss],"0")</f>
        <v>0</v>
      </c>
      <c r="AQ274">
        <f>COUNTIFS(Dyno_Data[Team],TBA_Matches_All[[#This Row],[Team]],Dyno_Data[Match],TBA_Matches_All[[#This Row],[Match_Number]],Dyno_Data[RecordType],"Activities",Dyno_Data[DelDest],"AllyW", Dyno_Data[DelMiss],"0")</f>
        <v>0</v>
      </c>
      <c r="AR274" t="str">
        <f>_xlfn.XLOOKUP(SUM(MID(TBA_Matches_All[[#This Row],[Team]],4,5),(TBA_Matches_All[[#This Row],[Match_Number]]/100)),Dyno_EndMatch[teammat],Dyno_EndMatch[RobotSta],"_",0,1)</f>
        <v>Podm</v>
      </c>
      <c r="AS274">
        <f>SUMIFS(Dyno_Data[AcqDis], Dyno_Data[Team],TBA_Matches_All[[#This Row],[Team]],Dyno_Data[Match],TBA_Matches_All[[#This Row],[Match_Number]],Dyno_Data[RecordType],"Activities", Dyno_Data[AcqCenter],1,Dyno_Data[Mode],"Auto")</f>
        <v>0</v>
      </c>
      <c r="AT274">
        <f>SUMIFS(Dyno_Data[AcqDis], Dyno_Data[Team],TBA_Matches_All[[#This Row],[Team]],Dyno_Data[Match],TBA_Matches_All[[#This Row],[Match_Number]],Dyno_Data[RecordType],"Activities", Dyno_Data[AcqCenter],2,Dyno_Data[Mode],"Auto")</f>
        <v>0</v>
      </c>
      <c r="AU274">
        <f>SUMIFS(Dyno_Data[AcqDis], Dyno_Data[Team],TBA_Matches_All[[#This Row],[Team]],Dyno_Data[Match],TBA_Matches_All[[#This Row],[Match_Number]],Dyno_Data[RecordType],"Activities", Dyno_Data[AcqCenter],3,Dyno_Data[Mode],"Auto")</f>
        <v>0</v>
      </c>
      <c r="AV274">
        <f>SUMIFS(Dyno_Data[AcqDis], Dyno_Data[Team],TBA_Matches_All[[#This Row],[Team]],Dyno_Data[Match],TBA_Matches_All[[#This Row],[Match_Number]],Dyno_Data[RecordType],"Activities", Dyno_Data[AcqCenter],4,Dyno_Data[Mode],"Auto")</f>
        <v>0</v>
      </c>
      <c r="AW274">
        <f>SUMIFS(Dyno_Data[AcqDis], Dyno_Data[Team],TBA_Matches_All[[#This Row],[Team]],Dyno_Data[Match],TBA_Matches_All[[#This Row],[Match_Number]],Dyno_Data[RecordType],"Activities", Dyno_Data[AcqCenter],5,Dyno_Data[Mode],"Auto")</f>
        <v>0</v>
      </c>
      <c r="AX274">
        <f>SUMIFS(Dyno_Data[DelMiss], Dyno_Data[Team],TBA_Matches_All[[#This Row],[Team]],Dyno_Data[Match],TBA_Matches_All[[#This Row],[Match_Number]],Dyno_Data[RecordType],"Activities", Dyno_Data[DelDest],"Amp")</f>
        <v>0</v>
      </c>
      <c r="AY274" s="60">
        <f>IFERROR(SUM((TBA_Matches_All[[#This Row],[AampT]]+TBA_Matches_All[[#This Row],[TampT]])/(TBA_Matches_All[[#This Row],[AampT]]+TBA_Matches_All[[#This Row],[TampT]]+TBA_Matches_All[[#This Row],[ampM]])),0)</f>
        <v>0</v>
      </c>
      <c r="AZ274">
        <f>SUMIFS(Dyno_Data[DelMiss], Dyno_Data[Team],TBA_Matches_All[[#This Row],[Team]],Dyno_Data[Match],TBA_Matches_All[[#This Row],[Match_Number]],Dyno_Data[RecordType],"Activities", Dyno_Data[DelDest],"Spkr")</f>
        <v>0</v>
      </c>
      <c r="BA274" s="60">
        <f>IFERROR(SUM((TBA_Matches_All[[#This Row],[AspkrT]]+TBA_Matches_All[[#This Row],[TspkrT]])/(TBA_Matches_All[[#This Row],[AspkrT]]+TBA_Matches_All[[#This Row],[TspkrT]]+TBA_Matches_All[[#This Row],[spkrM]])),0)</f>
        <v>1</v>
      </c>
      <c r="BB274">
        <f>SUMIFS(Dyno_Data[DelMiss], Dyno_Data[Team],TBA_Matches_All[[#This Row],[Team]],Dyno_Data[Match],TBA_Matches_All[[#This Row],[Match_Number]],Dyno_Data[RecordType],"Activities", Dyno_Data[DelDest],"Trap")</f>
        <v>0</v>
      </c>
      <c r="BC274" s="60">
        <f>IFERROR((TBA_Matches_All[[#This Row],[AtrapT]]+TBA_Matches_All[[#This Row],[TtrapT]])/(TBA_Matches_All[[#This Row],[AtrapT]]+TBA_Matches_All[[#This Row],[TtrapT]]+TBA_Matches_All[[#This Row],[trapM]]),0)</f>
        <v>0</v>
      </c>
      <c r="BD274">
        <f>COUNTIFS(Dyno_Data[Team],TBA_Matches_All[[#This Row],[Team]],Dyno_Data[Match],TBA_Matches_All[[#This Row],[Match_Number]],Dyno_Data[RecordType],"Activities",Dyno_Data[DelDest],"Neut", Dyno_Data[DelMiss],1)</f>
        <v>0</v>
      </c>
      <c r="BE274" s="60">
        <f>IFERROR(SUM((TBA_Matches_All[[#This Row],[NeutFlrT]])/(TBA_Matches_All[[#This Row],[NeutFlrT]]+TBA_Matches_All[[#This Row],[NZflM]])),0)</f>
        <v>0</v>
      </c>
      <c r="BF274">
        <f>COUNTIFS(Dyno_Data[Team],TBA_Matches_All[[#This Row],[Team]],Dyno_Data[Match],TBA_Matches_All[[#This Row],[Match_Number]],Dyno_Data[RecordType],"Activities",Dyno_Data[DelDest],"AllyW", Dyno_Data[DelMiss],1)</f>
        <v>0</v>
      </c>
      <c r="BG274" s="60">
        <f>IFERROR(SUM((TBA_Matches_All[[#This Row],[AllyWFlrT]])/(TBA_Matches_All[[#This Row],[AllyWFlrT]]+TBA_Matches_All[[#This Row],[AZflM]])),0)</f>
        <v>0</v>
      </c>
      <c r="BH274">
        <f>COUNTIFS(Dyno_Data[Team],TBA_Matches_All[[#This Row],[Team]],Dyno_Data[Match],TBA_Matches_All[[#This Row],[Match_Number]],Dyno_Data[RecordType],"Activities",Dyno_Data[DelOrig],"OppW", Dyno_Data[DelMiss],"0")</f>
        <v>0</v>
      </c>
      <c r="BI274">
        <f>COUNTIFS(Dyno_Data[Team],TBA_Matches_All[[#This Row],[Team]],Dyno_Data[Match],TBA_Matches_All[[#This Row],[Match_Number]],Dyno_Data[RecordType],"Activities",Dyno_Data[DelOrig],"OppW", Dyno_Data[DelMiss],"1")</f>
        <v>0</v>
      </c>
      <c r="BJ274" s="60">
        <f>IFERROR(SUM((TBA_Matches_All[[#This Row],[OZflrT]])/(TBA_Matches_All[[#This Row],[OZflrT]]+TBA_Matches_All[[#This Row],[OZflrM]])),0)</f>
        <v>0</v>
      </c>
      <c r="BK274">
        <f>COUNTIFS(Dyno_Data[Team],TBA_Matches_All[[#This Row],[Team]],Dyno_Data[Match],TBA_Matches_All[[#This Row],[Match_Number]],Dyno_Data[RecordType],"Activities",Dyno_Data[DelOrig],"Neut", Dyno_Data[DelMiss],"0")</f>
        <v>0</v>
      </c>
      <c r="BL274">
        <f>COUNTIFS(Dyno_Data[Team],TBA_Matches_All[[#This Row],[Team]],Dyno_Data[Match],TBA_Matches_All[[#This Row],[Match_Number]],Dyno_Data[RecordType],"Activities",Dyno_Data[DelOrig],"Neut", Dyno_Data[DelMiss],"1")</f>
        <v>0</v>
      </c>
      <c r="BM274" s="60">
        <f>IFERROR(SUM((TBA_Matches_All[[#This Row],[NZflrT]])/(TBA_Matches_All[[#This Row],[NZflrT]]+TBA_Matches_All[[#This Row],[NZflrM]])),0)</f>
        <v>0</v>
      </c>
      <c r="BN274">
        <f>COUNTIFS(Dyno_Data[Team],TBA_Matches_All[[#This Row],[Team]],Dyno_Data[Match],TBA_Matches_All[[#This Row],[Match_Number]],Dyno_Data[RecordType],"Activities",Dyno_Data[DelOrig],"AllyW", Dyno_Data[DelMiss],"0")</f>
        <v>7</v>
      </c>
      <c r="BO274">
        <f>COUNTIFS(Dyno_Data[Team],TBA_Matches_All[[#This Row],[Team]],Dyno_Data[Match],TBA_Matches_All[[#This Row],[Match_Number]],Dyno_Data[RecordType],"Activities",Dyno_Data[DelOrig],"AllyW", Dyno_Data[DelMiss],"1")</f>
        <v>0</v>
      </c>
      <c r="BP274" s="60">
        <f>IFERROR(SUM((TBA_Matches_All[[#This Row],[AZflrT]])/(TBA_Matches_All[[#This Row],[AZflrT]]+TBA_Matches_All[[#This Row],[AZflrM]])),0)</f>
        <v>1</v>
      </c>
      <c r="BQ274">
        <f>COUNTIFS(Dyno_Data[Team],TBA_Matches_All[[#This Row],[Team]],Dyno_Data[Match],TBA_Matches_All[[#This Row],[Match_Number]],Dyno_Data[RecordType],"Activities",Dyno_Data[DelOrig],"SubW", Dyno_Data[DelMiss],"0")</f>
        <v>1</v>
      </c>
      <c r="BR274">
        <f>COUNTIFS(Dyno_Data[Team],TBA_Matches_All[[#This Row],[Team]],Dyno_Data[Match],TBA_Matches_All[[#This Row],[Match_Number]],Dyno_Data[RecordType],"Activities",Dyno_Data[DelOrig],"SubW", Dyno_Data[DelMiss],"1")</f>
        <v>0</v>
      </c>
      <c r="BS274" s="60">
        <f>IFERROR(SUM((TBA_Matches_All[[#This Row],[SubwT]])/(TBA_Matches_All[[#This Row],[SubwT]]+TBA_Matches_All[[#This Row],[SubwM]])),0)</f>
        <v>1</v>
      </c>
      <c r="BT274">
        <f>COUNTIFS(Dyno_Data[Team],TBA_Matches_All[[#This Row],[Team]],Dyno_Data[Match],TBA_Matches_All[[#This Row],[Match_Number]],Dyno_Data[RecordType],"Activities", Dyno_Data[AcqLoc],"OppWing")</f>
        <v>0</v>
      </c>
      <c r="BU274">
        <f>COUNTIFS(Dyno_Data[Team],TBA_Matches_All[[#This Row],[Team]],Dyno_Data[Match],TBA_Matches_All[[#This Row],[Match_Number]],Dyno_Data[RecordType],"Activities", Dyno_Data[AcqLoc],"Neutral")</f>
        <v>0</v>
      </c>
      <c r="BV274">
        <f>COUNTIFS(Dyno_Data[Team],TBA_Matches_All[[#This Row],[Team]],Dyno_Data[Match],TBA_Matches_All[[#This Row],[Match_Number]],Dyno_Data[RecordType],"Activities", Dyno_Data[AcqLoc],"AllyWing")</f>
        <v>0</v>
      </c>
      <c r="BW274">
        <f>COUNTIFS(Dyno_Data[Team],TBA_Matches_All[[#This Row],[Team]],Dyno_Data[Match],TBA_Matches_All[[#This Row],[Match_Number]],Dyno_Data[RecordType],"Activities", Dyno_Data[AcqLoc],"Source")</f>
        <v>0</v>
      </c>
      <c r="BX274">
        <f>SUMIFS(Dyno_Data[AcqDrp], Dyno_Data[Team],TBA_Matches_All[[#This Row],[Team]],Dyno_Data[Match],TBA_Matches_All[[#This Row],[Match_Number]],Dyno_Data[RecordType],"Activities", Dyno_Data[AcqLoc],"Source")</f>
        <v>0</v>
      </c>
      <c r="BY274">
        <f>SUMIFS(Dyno_Data[OZTime], Dyno_Data[Team],TBA_Matches_All[[#This Row],[Team]],Dyno_Data[Match],TBA_Matches_All[[#This Row],[Match_Number]],Dyno_Data[RecordType],"EndMatch")</f>
        <v>58.001441799999995</v>
      </c>
      <c r="BZ274">
        <f>SUMIFS(Dyno_Data[NZTime], Dyno_Data[Team],TBA_Matches_All[[#This Row],[Team]],Dyno_Data[Match],TBA_Matches_All[[#This Row],[Match_Number]],Dyno_Data[RecordType],"EndMatch")</f>
        <v>27.448740599999997</v>
      </c>
      <c r="CA274">
        <f>SUMIFS(Dyno_Data[AZTime], Dyno_Data[Team],TBA_Matches_All[[#This Row],[Team]],Dyno_Data[Match],TBA_Matches_All[[#This Row],[Match_Number]],Dyno_Data[RecordType],"EndMatch")</f>
        <v>52.108137799999994</v>
      </c>
      <c r="CB274">
        <f>SUMIFS(Dyno_Data[ClimbT], Dyno_Data[Team],TBA_Matches_All[[#This Row],[Team]],Dyno_Data[Match],TBA_Matches_All[[#This Row],[Match_Number]],Dyno_Data[RecordType],"EndMatch")</f>
        <v>0</v>
      </c>
      <c r="CC274" t="str">
        <f>_xlfn.XLOOKUP(SUM(MID(TBA_Matches_All[[#This Row],[Team]],4,5),(TBA_Matches_All[[#This Row],[Match_Number]]/100)),Dyno_EndMatch[teammat],Dyno_EndMatch[StageStat],"_",0,1)</f>
        <v>Else</v>
      </c>
      <c r="CD274" t="str">
        <f>_xlfn.XLOOKUP(TBA_Matches_All[[#This Row],[teammat]],Dyno_EndMatch[teammat],Dyno_EndMatch[StageAtt],"_",0,1)</f>
        <v>0</v>
      </c>
      <c r="CE274" t="str">
        <f>_xlfn.XLOOKUP(TBA_Matches_All[[#This Row],[teammat]],Dyno_EndMatch[teammat],Dyno_EndMatch[StageLoc],"_",0,1)</f>
        <v>A</v>
      </c>
      <c r="CF274">
        <f>SUMIFS(Dyno_Data[Harmony], Dyno_Data[Team],TBA_Matches_All[[#This Row],[Team]],Dyno_Data[Match],TBA_Matches_All[[#This Row],[Match_Number]],Dyno_Data[RecordType],"EndMatch", Dyno_Data[StageStat],"On",Dyno_Data[Harmony],"&lt;&gt;9")</f>
        <v>0</v>
      </c>
      <c r="CG274">
        <f>SUMIFS(Dyno_Data[Spotlit], Dyno_Data[Team],TBA_Matches_All[[#This Row],[Team]],Dyno_Data[Match],TBA_Matches_All[[#This Row],[Match_Number]],Dyno_Data[RecordType],"EndMatch", Dyno_Data[StageStat],"On",Dyno_Data[Spotlit],"&lt;&gt;9")</f>
        <v>0</v>
      </c>
      <c r="CH274" t="str">
        <f>_xlfn.XLOOKUP(TBA_Matches_All[[#This Row],[teammat]],Dyno_EndMatch[teammat],Dyno_EndMatch[Strategy],"_",0,1)</f>
        <v>Hybrid</v>
      </c>
      <c r="CI274">
        <f>SUMIFS(Dyno_Data[Defense], Dyno_Data[Team],TBA_Matches_All[[#This Row],[Team]],Dyno_Data[Match],TBA_Matches_All[[#This Row],[Match_Number]],Dyno_Data[RecordType],"EndMatch",Dyno_Data[Defense],"&lt;&gt;9")</f>
        <v>0</v>
      </c>
      <c r="CJ274">
        <f>SUMIFS(Dyno_Data[Avoidance], Dyno_Data[Team],TBA_Matches_All[[#This Row],[Team]],Dyno_Data[Match],TBA_Matches_All[[#This Row],[Match_Number]],Dyno_Data[RecordType],"EndMatch",Dyno_Data[Avoidance],"&lt;&gt;9")</f>
        <v>1</v>
      </c>
      <c r="CK274" s="82">
        <f>COUNTIF($H$2:TBA_Matches_All[[#This Row],[Team]],TBA_Matches_All[[#This Row],[Team]])</f>
        <v>6</v>
      </c>
      <c r="CL274" s="111">
        <f>SUM(MID(TBA_Matches_All[[#This Row],[Team]],4,5)+TBA_Matches_All[[#This Row],[Match_Number]]/100)</f>
        <v>639.46</v>
      </c>
      <c r="CM274">
        <f>SUM((TBA_Matches_All[[#This Row],[Leave]]*2)+(TBA_Matches_All[[#This Row],[AampT]]*2)+(TBA_Matches_All[[#This Row],[AspkrT]]*5)+(TBA_Matches_All[[#This Row],[AtrapT]]*5))</f>
        <v>5</v>
      </c>
      <c r="CN274" s="59">
        <f>IFERROR(SUM(TBA_Matches_All[[#This Row],[AptsT]]/TBA_Matches_All[[#This Row],[AutoPts]]),0)</f>
        <v>0.55555555555555558</v>
      </c>
      <c r="CO274" s="59">
        <f>IFERROR(SUM(TBA_Matches_All[[#This Row],[AampT]]+TBA_Matches_All[[#This Row],[AspkrT]]+TBA_Matches_All[[#This Row],[AtrapT]]/TBA_Matches_All[[#This Row],[Aamp]]+TBA_Matches_All[[#This Row],[Aspkr]]+TBA_Matches_All[[#This Row],[AtrapT]]),0)</f>
        <v>0</v>
      </c>
      <c r="CP274" s="59">
        <f>IFERROR(SUM(TBA_Matches_All[[#This Row],[TampT]]/TBA_Matches_All[[#This Row],[Tamp]]),0)</f>
        <v>0</v>
      </c>
      <c r="CQ274" s="59">
        <f>IFERROR(SUM(TBA_Matches_All[[#This Row],[TspkrT]]/TBA_Matches_All[[#This Row],[Tspkr]]),0)</f>
        <v>0.58333333333333337</v>
      </c>
      <c r="CR274">
        <f>SUM(TBA_Matches_All[[#This Row],[TspkrPts]]*TBA_Matches_All[[#This Row],[TspkrP]])</f>
        <v>21</v>
      </c>
      <c r="CS274" s="59">
        <f>IFERROR(SUM(TBA_Matches_All[[#This Row],[TtrapT]]/TBA_Matches_All[[#This Row],[Trap]]),0)</f>
        <v>0</v>
      </c>
      <c r="CT274" s="59">
        <f>IFERROR(SUM(TBA_Matches_All[[#This Row],[TotNotesT]]/TBA_Matches_All[[#This Row],[TotNotes]]),0)</f>
        <v>0.44444444444444442</v>
      </c>
      <c r="CU274" s="66">
        <f>SUM((TBA_Matches_All[[#This Row],[AampT]]*2)+(TBA_Matches_All[[#This Row],[AspkrT]]*5)+(TBA_Matches_All[[#This Row],[AtrapT]]*5)+(TBA_Matches_All[[#This Row],[TampT]]*1)+(TBA_Matches_All[[#This Row],[TspkrptsC]]))</f>
        <v>26</v>
      </c>
      <c r="CV274" s="59">
        <f>IFERROR(TBA_Matches_All[[#This Row],[noteptsT]]/TBA_Matches_All[[#This Row],[NotePts]],0)</f>
        <v>0.56521739130434778</v>
      </c>
      <c r="CW274">
        <f>SUM(IF(TBA_Matches_All[[#This Row],[stageStat]]="On",3,0),IF(TBA_Matches_All[[#This Row],[stageStat]]="Park",1,0),SUMIFS(TBA_Matches_All[[#This Row],[Spotlit]],TBA_Matches_All[[#This Row],[stageStat]],"On"),SUMIFS(TBA_Matches_All[[#This Row],[Harmony]],TBA_Matches_All[[#This Row],[stageStat]],"On"))</f>
        <v>0</v>
      </c>
      <c r="CX274" s="59">
        <f>IFERROR(TBA_Matches_All[[#This Row],[stageptsT]]/TBA_Matches_All[[#This Row],[StagePts]],0)</f>
        <v>0</v>
      </c>
      <c r="CY274">
        <f>SUM((TBA_Matches_All[[#This Row],[AptsT]]+TBA_Matches_All[[#This Row],[TampT]]+TBA_Matches_All[[#This Row],[TspkrptsC]]+(TBA_Matches_All[[#This Row],[TtrapT]]*5)+TBA_Matches_All[[#This Row],[stageptsT]]))</f>
        <v>26</v>
      </c>
      <c r="CZ274" s="59">
        <f>IFERROR(SUM(TBA_Matches_All[[#This Row],[TotptsC]]/TBA_Matches_All[[#This Row],[Score]]),0)</f>
        <v>0.45614035087719296</v>
      </c>
      <c r="DA27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17.404761904761905</v>
      </c>
      <c r="DB274" s="74">
        <f>SUMIFS(TBA_Matches_All[AveTeamTNoteDels],TBA_Matches_All[Match_Number],TBA_Matches_All[[#This Row],[Match_Number]],TBA_Matches_All[Alliance],"&lt;&gt;"&amp;TBA_Matches_All[[#This Row],[Alliance]],TBA_Matches_All[Scouted],"&gt;0")</f>
        <v>23.393333333333331</v>
      </c>
      <c r="DC274" s="74">
        <f>(TBA_Matches_All[[#This Row],[TampT]]+TBA_Matches_All[[#This Row],[TspkrptsC]])-TBA_Matches_All[[#This Row],[AveTeamTNoteDels]]</f>
        <v>3.5952380952380949</v>
      </c>
      <c r="DD274" s="74">
        <f>SUMIFS(TBA_Matches_All[AveTeamTNoteDels],TBA_Matches_All[Match_Number],TBA_Matches_All[[#This Row],[Match_Number]],TBA_Matches_All[Alliance],"&lt;&gt;"&amp;TBA_Matches_All[[#This Row],[Alliance]])-TBA_Matches_All[[#This Row],[AveOppTNoteDels]]</f>
        <v>0</v>
      </c>
    </row>
    <row r="275" spans="1:108" x14ac:dyDescent="0.3">
      <c r="A275" t="s">
        <v>1042</v>
      </c>
      <c r="B275" t="s">
        <v>489</v>
      </c>
      <c r="C275" t="s">
        <v>1355</v>
      </c>
      <c r="D275">
        <v>46</v>
      </c>
      <c r="E275" t="s">
        <v>1420</v>
      </c>
      <c r="F275" t="s">
        <v>1423</v>
      </c>
      <c r="G275" t="s">
        <v>1409</v>
      </c>
      <c r="H275" t="s">
        <v>367</v>
      </c>
      <c r="I275" t="b">
        <v>1</v>
      </c>
      <c r="J275">
        <v>55</v>
      </c>
      <c r="K275">
        <v>1</v>
      </c>
      <c r="L275">
        <v>1</v>
      </c>
      <c r="M275">
        <v>5</v>
      </c>
      <c r="N275">
        <v>0</v>
      </c>
      <c r="O275">
        <v>2</v>
      </c>
      <c r="P275">
        <v>10</v>
      </c>
      <c r="Q275">
        <v>12</v>
      </c>
      <c r="R275">
        <v>4</v>
      </c>
      <c r="S275">
        <v>2</v>
      </c>
      <c r="T275">
        <v>7</v>
      </c>
      <c r="U275">
        <v>10</v>
      </c>
      <c r="V275">
        <v>14</v>
      </c>
      <c r="W275">
        <v>9</v>
      </c>
      <c r="X275">
        <v>24</v>
      </c>
      <c r="Y275">
        <v>28</v>
      </c>
      <c r="Z275">
        <v>0</v>
      </c>
      <c r="AA275">
        <v>0</v>
      </c>
      <c r="AB275">
        <v>15</v>
      </c>
      <c r="AC275">
        <v>38</v>
      </c>
      <c r="AD275">
        <v>11</v>
      </c>
      <c r="AE275">
        <f>IFERROR(6/(COUNTIF(Dyno_EndMatch[Match],TBA_Matches_All[[#This Row],[Match_Number]])),0)</f>
        <v>1</v>
      </c>
      <c r="AF275">
        <f>COUNTIFS(Dyno_Data[Team],TBA_Matches_All[[#This Row],[Team]],Dyno_Data[Match],TBA_Matches_All[[#This Row],[Match_Number]],Dyno_Data[RecordType],"EndMatch",Dyno_Data[HPAmp],"Y")</f>
        <v>1</v>
      </c>
      <c r="AG275">
        <f>SUMIFS(Dyno_Data[Mics], Dyno_Data[Team],TBA_Matches_All[[#This Row],[Team]],Dyno_Data[Match],TBA_Matches_All[[#This Row],[Match_Number]],Dyno_Data[RecordType],"EndMatch",Dyno_Data[HPAmp],"Y")</f>
        <v>0</v>
      </c>
      <c r="AH275">
        <f>SUMIFS(Dyno_Data[Leave], Dyno_Data[Team],TBA_Matches_All[[#This Row],[Team]],Dyno_Data[Match],TBA_Matches_All[[#This Row],[Match_Number]],Dyno_Data[RecordType],"EndAuto")</f>
        <v>0</v>
      </c>
      <c r="AI275">
        <f>COUNTIFS(Dyno_Data[Team],TBA_Matches_All[[#This Row],[Team]],Dyno_Data[Match],TBA_Matches_All[[#This Row],[Match_Number]],Dyno_Data[RecordType],"Activities",Dyno_Data[DelDest],"Amp", Dyno_Data[DelMiss],"0", Dyno_Data[Mode],"Auto")</f>
        <v>0</v>
      </c>
      <c r="AJ275">
        <f>COUNTIFS(Dyno_Data[Team],TBA_Matches_All[[#This Row],[Team]],Dyno_Data[Match],TBA_Matches_All[[#This Row],[Match_Number]],Dyno_Data[RecordType],"Activities",Dyno_Data[DelDest],"Spkr", Dyno_Data[DelMiss],"0", Dyno_Data[Mode],"Auto")</f>
        <v>0</v>
      </c>
      <c r="AK275">
        <f>COUNTIFS(Dyno_Data[Team],TBA_Matches_All[[#This Row],[Team]],Dyno_Data[Match],TBA_Matches_All[[#This Row],[Match_Number]],Dyno_Data[RecordType],"Activities",Dyno_Data[DelDest],"Trap", Dyno_Data[DelMiss],"0", Dyno_Data[Mode],"Auto")</f>
        <v>0</v>
      </c>
      <c r="AL275">
        <f>COUNTIFS(Dyno_Data[Team],TBA_Matches_All[[#This Row],[Team]],Dyno_Data[Match],TBA_Matches_All[[#This Row],[Match_Number]],Dyno_Data[RecordType],"Activities",Dyno_Data[DelDest],"Amp", Dyno_Data[DelMiss],"0", Dyno_Data[Mode],"Teleop")</f>
        <v>1</v>
      </c>
      <c r="AM275">
        <f>COUNTIFS(Dyno_Data[Team],TBA_Matches_All[[#This Row],[Team]],Dyno_Data[Match],TBA_Matches_All[[#This Row],[Match_Number]],Dyno_Data[RecordType],"Activities",Dyno_Data[DelDest],"Spkr", Dyno_Data[DelMiss],"0", Dyno_Data[Mode],"Teleop")</f>
        <v>4</v>
      </c>
      <c r="AN275">
        <f>COUNTIFS(Dyno_Data[Team],TBA_Matches_All[[#This Row],[Team]],Dyno_Data[Match],TBA_Matches_All[[#This Row],[Match_Number]],Dyno_Data[RecordType],"Activities",Dyno_Data[DelDest],"Trap", Dyno_Data[DelMiss],"0", Dyno_Data[Mode],"&lt;&gt;Auto")</f>
        <v>0</v>
      </c>
      <c r="AO275">
        <f>SUM(TBA_Matches_All[[#This Row],[AampT]]+TBA_Matches_All[[#This Row],[AspkrT]]+TBA_Matches_All[[#This Row],[AtrapT]]+TBA_Matches_All[[#This Row],[TampT]]+TBA_Matches_All[[#This Row],[TspkrT]]+TBA_Matches_All[[#This Row],[TtrapT]])</f>
        <v>5</v>
      </c>
      <c r="AP275">
        <f>COUNTIFS(Dyno_Data[Team],TBA_Matches_All[[#This Row],[Team]],Dyno_Data[Match],TBA_Matches_All[[#This Row],[Match_Number]],Dyno_Data[RecordType],"Activities",Dyno_Data[DelDest],"Neut", Dyno_Data[DelMiss],"0")</f>
        <v>0</v>
      </c>
      <c r="AQ275">
        <f>COUNTIFS(Dyno_Data[Team],TBA_Matches_All[[#This Row],[Team]],Dyno_Data[Match],TBA_Matches_All[[#This Row],[Match_Number]],Dyno_Data[RecordType],"Activities",Dyno_Data[DelDest],"AllyW", Dyno_Data[DelMiss],"0")</f>
        <v>0</v>
      </c>
      <c r="AR275" t="str">
        <f>_xlfn.XLOOKUP(SUM(MID(TBA_Matches_All[[#This Row],[Team]],4,5),(TBA_Matches_All[[#This Row],[Match_Number]]/100)),Dyno_EndMatch[teammat],Dyno_EndMatch[RobotSta],"_",0,1)</f>
        <v>Podm</v>
      </c>
      <c r="AS275">
        <f>SUMIFS(Dyno_Data[AcqDis], Dyno_Data[Team],TBA_Matches_All[[#This Row],[Team]],Dyno_Data[Match],TBA_Matches_All[[#This Row],[Match_Number]],Dyno_Data[RecordType],"Activities", Dyno_Data[AcqCenter],1,Dyno_Data[Mode],"Auto")</f>
        <v>0</v>
      </c>
      <c r="AT275">
        <f>SUMIFS(Dyno_Data[AcqDis], Dyno_Data[Team],TBA_Matches_All[[#This Row],[Team]],Dyno_Data[Match],TBA_Matches_All[[#This Row],[Match_Number]],Dyno_Data[RecordType],"Activities", Dyno_Data[AcqCenter],2,Dyno_Data[Mode],"Auto")</f>
        <v>0</v>
      </c>
      <c r="AU275">
        <f>SUMIFS(Dyno_Data[AcqDis], Dyno_Data[Team],TBA_Matches_All[[#This Row],[Team]],Dyno_Data[Match],TBA_Matches_All[[#This Row],[Match_Number]],Dyno_Data[RecordType],"Activities", Dyno_Data[AcqCenter],3,Dyno_Data[Mode],"Auto")</f>
        <v>0</v>
      </c>
      <c r="AV275">
        <f>SUMIFS(Dyno_Data[AcqDis], Dyno_Data[Team],TBA_Matches_All[[#This Row],[Team]],Dyno_Data[Match],TBA_Matches_All[[#This Row],[Match_Number]],Dyno_Data[RecordType],"Activities", Dyno_Data[AcqCenter],4,Dyno_Data[Mode],"Auto")</f>
        <v>0</v>
      </c>
      <c r="AW275">
        <f>SUMIFS(Dyno_Data[AcqDis], Dyno_Data[Team],TBA_Matches_All[[#This Row],[Team]],Dyno_Data[Match],TBA_Matches_All[[#This Row],[Match_Number]],Dyno_Data[RecordType],"Activities", Dyno_Data[AcqCenter],5,Dyno_Data[Mode],"Auto")</f>
        <v>0</v>
      </c>
      <c r="AX275">
        <f>SUMIFS(Dyno_Data[DelMiss], Dyno_Data[Team],TBA_Matches_All[[#This Row],[Team]],Dyno_Data[Match],TBA_Matches_All[[#This Row],[Match_Number]],Dyno_Data[RecordType],"Activities", Dyno_Data[DelDest],"Amp")</f>
        <v>0</v>
      </c>
      <c r="AY275" s="60">
        <f>IFERROR(SUM((TBA_Matches_All[[#This Row],[AampT]]+TBA_Matches_All[[#This Row],[TampT]])/(TBA_Matches_All[[#This Row],[AampT]]+TBA_Matches_All[[#This Row],[TampT]]+TBA_Matches_All[[#This Row],[ampM]])),0)</f>
        <v>1</v>
      </c>
      <c r="AZ275">
        <f>SUMIFS(Dyno_Data[DelMiss], Dyno_Data[Team],TBA_Matches_All[[#This Row],[Team]],Dyno_Data[Match],TBA_Matches_All[[#This Row],[Match_Number]],Dyno_Data[RecordType],"Activities", Dyno_Data[DelDest],"Spkr")</f>
        <v>2</v>
      </c>
      <c r="BA275" s="60">
        <f>IFERROR(SUM((TBA_Matches_All[[#This Row],[AspkrT]]+TBA_Matches_All[[#This Row],[TspkrT]])/(TBA_Matches_All[[#This Row],[AspkrT]]+TBA_Matches_All[[#This Row],[TspkrT]]+TBA_Matches_All[[#This Row],[spkrM]])),0)</f>
        <v>0.66666666666666663</v>
      </c>
      <c r="BB275">
        <f>SUMIFS(Dyno_Data[DelMiss], Dyno_Data[Team],TBA_Matches_All[[#This Row],[Team]],Dyno_Data[Match],TBA_Matches_All[[#This Row],[Match_Number]],Dyno_Data[RecordType],"Activities", Dyno_Data[DelDest],"Trap")</f>
        <v>0</v>
      </c>
      <c r="BC275" s="60">
        <f>IFERROR((TBA_Matches_All[[#This Row],[AtrapT]]+TBA_Matches_All[[#This Row],[TtrapT]])/(TBA_Matches_All[[#This Row],[AtrapT]]+TBA_Matches_All[[#This Row],[TtrapT]]+TBA_Matches_All[[#This Row],[trapM]]),0)</f>
        <v>0</v>
      </c>
      <c r="BD275">
        <f>COUNTIFS(Dyno_Data[Team],TBA_Matches_All[[#This Row],[Team]],Dyno_Data[Match],TBA_Matches_All[[#This Row],[Match_Number]],Dyno_Data[RecordType],"Activities",Dyno_Data[DelDest],"Neut", Dyno_Data[DelMiss],1)</f>
        <v>0</v>
      </c>
      <c r="BE275" s="60">
        <f>IFERROR(SUM((TBA_Matches_All[[#This Row],[NeutFlrT]])/(TBA_Matches_All[[#This Row],[NeutFlrT]]+TBA_Matches_All[[#This Row],[NZflM]])),0)</f>
        <v>0</v>
      </c>
      <c r="BF275">
        <f>COUNTIFS(Dyno_Data[Team],TBA_Matches_All[[#This Row],[Team]],Dyno_Data[Match],TBA_Matches_All[[#This Row],[Match_Number]],Dyno_Data[RecordType],"Activities",Dyno_Data[DelDest],"AllyW", Dyno_Data[DelMiss],1)</f>
        <v>0</v>
      </c>
      <c r="BG275" s="60">
        <f>IFERROR(SUM((TBA_Matches_All[[#This Row],[AllyWFlrT]])/(TBA_Matches_All[[#This Row],[AllyWFlrT]]+TBA_Matches_All[[#This Row],[AZflM]])),0)</f>
        <v>0</v>
      </c>
      <c r="BH275">
        <f>COUNTIFS(Dyno_Data[Team],TBA_Matches_All[[#This Row],[Team]],Dyno_Data[Match],TBA_Matches_All[[#This Row],[Match_Number]],Dyno_Data[RecordType],"Activities",Dyno_Data[DelOrig],"OppW", Dyno_Data[DelMiss],"0")</f>
        <v>0</v>
      </c>
      <c r="BI275">
        <f>COUNTIFS(Dyno_Data[Team],TBA_Matches_All[[#This Row],[Team]],Dyno_Data[Match],TBA_Matches_All[[#This Row],[Match_Number]],Dyno_Data[RecordType],"Activities",Dyno_Data[DelOrig],"OppW", Dyno_Data[DelMiss],"1")</f>
        <v>0</v>
      </c>
      <c r="BJ275" s="60">
        <f>IFERROR(SUM((TBA_Matches_All[[#This Row],[OZflrT]])/(TBA_Matches_All[[#This Row],[OZflrT]]+TBA_Matches_All[[#This Row],[OZflrM]])),0)</f>
        <v>0</v>
      </c>
      <c r="BK275">
        <f>COUNTIFS(Dyno_Data[Team],TBA_Matches_All[[#This Row],[Team]],Dyno_Data[Match],TBA_Matches_All[[#This Row],[Match_Number]],Dyno_Data[RecordType],"Activities",Dyno_Data[DelOrig],"Neut", Dyno_Data[DelMiss],"0")</f>
        <v>0</v>
      </c>
      <c r="BL275">
        <f>COUNTIFS(Dyno_Data[Team],TBA_Matches_All[[#This Row],[Team]],Dyno_Data[Match],TBA_Matches_All[[#This Row],[Match_Number]],Dyno_Data[RecordType],"Activities",Dyno_Data[DelOrig],"Neut", Dyno_Data[DelMiss],"1")</f>
        <v>0</v>
      </c>
      <c r="BM275" s="60">
        <f>IFERROR(SUM((TBA_Matches_All[[#This Row],[NZflrT]])/(TBA_Matches_All[[#This Row],[NZflrT]]+TBA_Matches_All[[#This Row],[NZflrM]])),0)</f>
        <v>0</v>
      </c>
      <c r="BN275">
        <f>COUNTIFS(Dyno_Data[Team],TBA_Matches_All[[#This Row],[Team]],Dyno_Data[Match],TBA_Matches_All[[#This Row],[Match_Number]],Dyno_Data[RecordType],"Activities",Dyno_Data[DelOrig],"AllyW", Dyno_Data[DelMiss],"0")</f>
        <v>5</v>
      </c>
      <c r="BO275">
        <f>COUNTIFS(Dyno_Data[Team],TBA_Matches_All[[#This Row],[Team]],Dyno_Data[Match],TBA_Matches_All[[#This Row],[Match_Number]],Dyno_Data[RecordType],"Activities",Dyno_Data[DelOrig],"AllyW", Dyno_Data[DelMiss],"1")</f>
        <v>1</v>
      </c>
      <c r="BP275" s="60">
        <f>IFERROR(SUM((TBA_Matches_All[[#This Row],[AZflrT]])/(TBA_Matches_All[[#This Row],[AZflrT]]+TBA_Matches_All[[#This Row],[AZflrM]])),0)</f>
        <v>0.83333333333333337</v>
      </c>
      <c r="BQ275">
        <f>COUNTIFS(Dyno_Data[Team],TBA_Matches_All[[#This Row],[Team]],Dyno_Data[Match],TBA_Matches_All[[#This Row],[Match_Number]],Dyno_Data[RecordType],"Activities",Dyno_Data[DelOrig],"SubW", Dyno_Data[DelMiss],"0")</f>
        <v>0</v>
      </c>
      <c r="BR275">
        <f>COUNTIFS(Dyno_Data[Team],TBA_Matches_All[[#This Row],[Team]],Dyno_Data[Match],TBA_Matches_All[[#This Row],[Match_Number]],Dyno_Data[RecordType],"Activities",Dyno_Data[DelOrig],"SubW", Dyno_Data[DelMiss],"1")</f>
        <v>1</v>
      </c>
      <c r="BS275" s="60">
        <f>IFERROR(SUM((TBA_Matches_All[[#This Row],[SubwT]])/(TBA_Matches_All[[#This Row],[SubwT]]+TBA_Matches_All[[#This Row],[SubwM]])),0)</f>
        <v>0</v>
      </c>
      <c r="BT275">
        <f>COUNTIFS(Dyno_Data[Team],TBA_Matches_All[[#This Row],[Team]],Dyno_Data[Match],TBA_Matches_All[[#This Row],[Match_Number]],Dyno_Data[RecordType],"Activities", Dyno_Data[AcqLoc],"OppWing")</f>
        <v>0</v>
      </c>
      <c r="BU275">
        <f>COUNTIFS(Dyno_Data[Team],TBA_Matches_All[[#This Row],[Team]],Dyno_Data[Match],TBA_Matches_All[[#This Row],[Match_Number]],Dyno_Data[RecordType],"Activities", Dyno_Data[AcqLoc],"Neutral")</f>
        <v>0</v>
      </c>
      <c r="BV275">
        <f>COUNTIFS(Dyno_Data[Team],TBA_Matches_All[[#This Row],[Team]],Dyno_Data[Match],TBA_Matches_All[[#This Row],[Match_Number]],Dyno_Data[RecordType],"Activities", Dyno_Data[AcqLoc],"AllyWing")</f>
        <v>0</v>
      </c>
      <c r="BW275">
        <f>COUNTIFS(Dyno_Data[Team],TBA_Matches_All[[#This Row],[Team]],Dyno_Data[Match],TBA_Matches_All[[#This Row],[Match_Number]],Dyno_Data[RecordType],"Activities", Dyno_Data[AcqLoc],"Source")</f>
        <v>0</v>
      </c>
      <c r="BX275">
        <f>SUMIFS(Dyno_Data[AcqDrp], Dyno_Data[Team],TBA_Matches_All[[#This Row],[Team]],Dyno_Data[Match],TBA_Matches_All[[#This Row],[Match_Number]],Dyno_Data[RecordType],"Activities", Dyno_Data[AcqLoc],"Source")</f>
        <v>0</v>
      </c>
      <c r="BY275">
        <f>SUMIFS(Dyno_Data[OZTime], Dyno_Data[Team],TBA_Matches_All[[#This Row],[Team]],Dyno_Data[Match],TBA_Matches_All[[#This Row],[Match_Number]],Dyno_Data[RecordType],"EndMatch")</f>
        <v>28.517518799999998</v>
      </c>
      <c r="BZ275">
        <f>SUMIFS(Dyno_Data[NZTime], Dyno_Data[Team],TBA_Matches_All[[#This Row],[Team]],Dyno_Data[Match],TBA_Matches_All[[#This Row],[Match_Number]],Dyno_Data[RecordType],"EndMatch")</f>
        <v>11.196951799999999</v>
      </c>
      <c r="CA275">
        <f>SUMIFS(Dyno_Data[AZTime], Dyno_Data[Team],TBA_Matches_All[[#This Row],[Team]],Dyno_Data[Match],TBA_Matches_All[[#This Row],[Match_Number]],Dyno_Data[RecordType],"EndMatch")</f>
        <v>71.102768699999999</v>
      </c>
      <c r="CB275">
        <f>SUMIFS(Dyno_Data[ClimbT], Dyno_Data[Team],TBA_Matches_All[[#This Row],[Team]],Dyno_Data[Match],TBA_Matches_All[[#This Row],[Match_Number]],Dyno_Data[RecordType],"EndMatch")</f>
        <v>12.099801099999999</v>
      </c>
      <c r="CC275" t="str">
        <f>_xlfn.XLOOKUP(SUM(MID(TBA_Matches_All[[#This Row],[Team]],4,5),(TBA_Matches_All[[#This Row],[Match_Number]]/100)),Dyno_EndMatch[teammat],Dyno_EndMatch[StageStat],"_",0,1)</f>
        <v>On</v>
      </c>
      <c r="CD275" t="str">
        <f>_xlfn.XLOOKUP(TBA_Matches_All[[#This Row],[teammat]],Dyno_EndMatch[teammat],Dyno_EndMatch[StageAtt],"_",0,1)</f>
        <v>1</v>
      </c>
      <c r="CE275" t="str">
        <f>_xlfn.XLOOKUP(TBA_Matches_All[[#This Row],[teammat]],Dyno_EndMatch[teammat],Dyno_EndMatch[StageLoc],"_",0,1)</f>
        <v>L</v>
      </c>
      <c r="CF275">
        <f>SUMIFS(Dyno_Data[Harmony], Dyno_Data[Team],TBA_Matches_All[[#This Row],[Team]],Dyno_Data[Match],TBA_Matches_All[[#This Row],[Match_Number]],Dyno_Data[RecordType],"EndMatch", Dyno_Data[StageStat],"On",Dyno_Data[Harmony],"&lt;&gt;9")</f>
        <v>0</v>
      </c>
      <c r="CG275">
        <f>SUMIFS(Dyno_Data[Spotlit], Dyno_Data[Team],TBA_Matches_All[[#This Row],[Team]],Dyno_Data[Match],TBA_Matches_All[[#This Row],[Match_Number]],Dyno_Data[RecordType],"EndMatch", Dyno_Data[StageStat],"On",Dyno_Data[Spotlit],"&lt;&gt;9")</f>
        <v>0</v>
      </c>
      <c r="CH275" t="str">
        <f>_xlfn.XLOOKUP(TBA_Matches_All[[#This Row],[teammat]],Dyno_EndMatch[teammat],Dyno_EndMatch[Strategy],"_",0,1)</f>
        <v>Hybrid</v>
      </c>
      <c r="CI275">
        <f>SUMIFS(Dyno_Data[Defense], Dyno_Data[Team],TBA_Matches_All[[#This Row],[Team]],Dyno_Data[Match],TBA_Matches_All[[#This Row],[Match_Number]],Dyno_Data[RecordType],"EndMatch",Dyno_Data[Defense],"&lt;&gt;9")</f>
        <v>0</v>
      </c>
      <c r="CJ275">
        <f>SUMIFS(Dyno_Data[Avoidance], Dyno_Data[Team],TBA_Matches_All[[#This Row],[Team]],Dyno_Data[Match],TBA_Matches_All[[#This Row],[Match_Number]],Dyno_Data[RecordType],"EndMatch",Dyno_Data[Avoidance],"&lt;&gt;9")</f>
        <v>0</v>
      </c>
      <c r="CK275" s="82">
        <f>COUNTIF($H$2:TBA_Matches_All[[#This Row],[Team]],TBA_Matches_All[[#This Row],[Team]])</f>
        <v>6</v>
      </c>
      <c r="CL275" s="111">
        <f>SUM(MID(TBA_Matches_All[[#This Row],[Team]],4,5)+TBA_Matches_All[[#This Row],[Match_Number]]/100)</f>
        <v>5016.46</v>
      </c>
      <c r="CM275">
        <f>SUM((TBA_Matches_All[[#This Row],[Leave]]*2)+(TBA_Matches_All[[#This Row],[AampT]]*2)+(TBA_Matches_All[[#This Row],[AspkrT]]*5)+(TBA_Matches_All[[#This Row],[AtrapT]]*5))</f>
        <v>0</v>
      </c>
      <c r="CN275" s="59">
        <f>IFERROR(SUM(TBA_Matches_All[[#This Row],[AptsT]]/TBA_Matches_All[[#This Row],[AutoPts]]),0)</f>
        <v>0</v>
      </c>
      <c r="CO275" s="59">
        <f>IFERROR(SUM(TBA_Matches_All[[#This Row],[AampT]]+TBA_Matches_All[[#This Row],[AspkrT]]+TBA_Matches_All[[#This Row],[AtrapT]]/TBA_Matches_All[[#This Row],[Aamp]]+TBA_Matches_All[[#This Row],[Aspkr]]+TBA_Matches_All[[#This Row],[AtrapT]]),0)</f>
        <v>0</v>
      </c>
      <c r="CP275" s="59">
        <f>IFERROR(SUM(TBA_Matches_All[[#This Row],[TampT]]/TBA_Matches_All[[#This Row],[Tamp]]),0)</f>
        <v>0.25</v>
      </c>
      <c r="CQ275" s="59">
        <f>IFERROR(SUM(TBA_Matches_All[[#This Row],[TspkrT]]/TBA_Matches_All[[#This Row],[Tspkr]]),0)</f>
        <v>0.44444444444444442</v>
      </c>
      <c r="CR275">
        <f>SUM(TBA_Matches_All[[#This Row],[TspkrPts]]*TBA_Matches_All[[#This Row],[TspkrP]])</f>
        <v>10.666666666666666</v>
      </c>
      <c r="CS275" s="59">
        <f>IFERROR(SUM(TBA_Matches_All[[#This Row],[TtrapT]]/TBA_Matches_All[[#This Row],[Trap]]),0)</f>
        <v>0</v>
      </c>
      <c r="CT275" s="59">
        <f>IFERROR(SUM(TBA_Matches_All[[#This Row],[TotNotesT]]/TBA_Matches_All[[#This Row],[TotNotes]]),0)</f>
        <v>0.33333333333333331</v>
      </c>
      <c r="CU275" s="66">
        <f>SUM((TBA_Matches_All[[#This Row],[AampT]]*2)+(TBA_Matches_All[[#This Row],[AspkrT]]*5)+(TBA_Matches_All[[#This Row],[AtrapT]]*5)+(TBA_Matches_All[[#This Row],[TampT]]*1)+(TBA_Matches_All[[#This Row],[TspkrptsC]]))</f>
        <v>11.666666666666666</v>
      </c>
      <c r="CV275" s="59">
        <f>IFERROR(TBA_Matches_All[[#This Row],[noteptsT]]/TBA_Matches_All[[#This Row],[NotePts]],0)</f>
        <v>0.30701754385964913</v>
      </c>
      <c r="CW275">
        <f>SUM(IF(TBA_Matches_All[[#This Row],[stageStat]]="On",3,0),IF(TBA_Matches_All[[#This Row],[stageStat]]="Park",1,0),SUMIFS(TBA_Matches_All[[#This Row],[Spotlit]],TBA_Matches_All[[#This Row],[stageStat]],"On"),SUMIFS(TBA_Matches_All[[#This Row],[Harmony]],TBA_Matches_All[[#This Row],[stageStat]],"On"))</f>
        <v>3</v>
      </c>
      <c r="CX275" s="59">
        <f>IFERROR(TBA_Matches_All[[#This Row],[stageptsT]]/TBA_Matches_All[[#This Row],[StagePts]],0)</f>
        <v>0.27272727272727271</v>
      </c>
      <c r="CY275">
        <f>SUM((TBA_Matches_All[[#This Row],[AptsT]]+TBA_Matches_All[[#This Row],[TampT]]+TBA_Matches_All[[#This Row],[TspkrptsC]]+(TBA_Matches_All[[#This Row],[TtrapT]]*5)+TBA_Matches_All[[#This Row],[stageptsT]]))</f>
        <v>14.666666666666666</v>
      </c>
      <c r="CZ275" s="59">
        <f>IFERROR(SUM(TBA_Matches_All[[#This Row],[TotptsC]]/TBA_Matches_All[[#This Row],[Score]]),0)</f>
        <v>0.26666666666666666</v>
      </c>
      <c r="DA27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8.1133333333333315</v>
      </c>
      <c r="DB275" s="74">
        <f>SUMIFS(TBA_Matches_All[AveTeamTNoteDels],TBA_Matches_All[Match_Number],TBA_Matches_All[[#This Row],[Match_Number]],TBA_Matches_All[Alliance],"&lt;&gt;"&amp;TBA_Matches_All[[#This Row],[Alliance]],TBA_Matches_All[Scouted],"&gt;0")</f>
        <v>34.269783549783554</v>
      </c>
      <c r="DC275" s="74">
        <f>(TBA_Matches_All[[#This Row],[TampT]]+TBA_Matches_All[[#This Row],[TspkrptsC]])-TBA_Matches_All[[#This Row],[AveTeamTNoteDels]]</f>
        <v>3.5533333333333346</v>
      </c>
      <c r="DD275" s="74">
        <f>SUMIFS(TBA_Matches_All[AveTeamTNoteDels],TBA_Matches_All[Match_Number],TBA_Matches_All[[#This Row],[Match_Number]],TBA_Matches_All[Alliance],"&lt;&gt;"&amp;TBA_Matches_All[[#This Row],[Alliance]])-TBA_Matches_All[[#This Row],[AveOppTNoteDels]]</f>
        <v>0</v>
      </c>
    </row>
    <row r="276" spans="1:108" x14ac:dyDescent="0.3">
      <c r="A276" t="s">
        <v>1042</v>
      </c>
      <c r="B276" t="s">
        <v>489</v>
      </c>
      <c r="C276" t="s">
        <v>1355</v>
      </c>
      <c r="D276">
        <v>46</v>
      </c>
      <c r="E276" t="s">
        <v>1406</v>
      </c>
      <c r="F276" t="s">
        <v>1424</v>
      </c>
      <c r="G276" t="s">
        <v>1409</v>
      </c>
      <c r="H276" t="s">
        <v>1295</v>
      </c>
      <c r="I276" t="b">
        <v>1</v>
      </c>
      <c r="J276">
        <v>57</v>
      </c>
      <c r="K276">
        <v>1</v>
      </c>
      <c r="L276">
        <v>0</v>
      </c>
      <c r="M276">
        <v>4</v>
      </c>
      <c r="N276">
        <v>0</v>
      </c>
      <c r="O276">
        <v>1</v>
      </c>
      <c r="P276">
        <v>5</v>
      </c>
      <c r="Q276">
        <v>9</v>
      </c>
      <c r="R276">
        <v>5</v>
      </c>
      <c r="S276">
        <v>4</v>
      </c>
      <c r="T276">
        <v>8</v>
      </c>
      <c r="U276">
        <v>20</v>
      </c>
      <c r="V276">
        <v>16</v>
      </c>
      <c r="W276">
        <v>12</v>
      </c>
      <c r="X276">
        <v>36</v>
      </c>
      <c r="Y276">
        <v>41</v>
      </c>
      <c r="Z276">
        <v>0</v>
      </c>
      <c r="AA276">
        <v>0</v>
      </c>
      <c r="AB276">
        <v>18</v>
      </c>
      <c r="AC276">
        <v>46</v>
      </c>
      <c r="AD276">
        <v>2</v>
      </c>
      <c r="AE276">
        <f>IFERROR(6/(COUNTIF(Dyno_EndMatch[Match],TBA_Matches_All[[#This Row],[Match_Number]])),0)</f>
        <v>1</v>
      </c>
      <c r="AF276">
        <f>COUNTIFS(Dyno_Data[Team],TBA_Matches_All[[#This Row],[Team]],Dyno_Data[Match],TBA_Matches_All[[#This Row],[Match_Number]],Dyno_Data[RecordType],"EndMatch",Dyno_Data[HPAmp],"Y")</f>
        <v>0</v>
      </c>
      <c r="AG276">
        <f>SUMIFS(Dyno_Data[Mics], Dyno_Data[Team],TBA_Matches_All[[#This Row],[Team]],Dyno_Data[Match],TBA_Matches_All[[#This Row],[Match_Number]],Dyno_Data[RecordType],"EndMatch",Dyno_Data[HPAmp],"Y")</f>
        <v>0</v>
      </c>
      <c r="AH276">
        <f>SUMIFS(Dyno_Data[Leave], Dyno_Data[Team],TBA_Matches_All[[#This Row],[Team]],Dyno_Data[Match],TBA_Matches_All[[#This Row],[Match_Number]],Dyno_Data[RecordType],"EndAuto")</f>
        <v>1</v>
      </c>
      <c r="AI276">
        <f>COUNTIFS(Dyno_Data[Team],TBA_Matches_All[[#This Row],[Team]],Dyno_Data[Match],TBA_Matches_All[[#This Row],[Match_Number]],Dyno_Data[RecordType],"Activities",Dyno_Data[DelDest],"Amp", Dyno_Data[DelMiss],"0", Dyno_Data[Mode],"Auto")</f>
        <v>0</v>
      </c>
      <c r="AJ276">
        <f>COUNTIFS(Dyno_Data[Team],TBA_Matches_All[[#This Row],[Team]],Dyno_Data[Match],TBA_Matches_All[[#This Row],[Match_Number]],Dyno_Data[RecordType],"Activities",Dyno_Data[DelDest],"Spkr", Dyno_Data[DelMiss],"0", Dyno_Data[Mode],"Auto")</f>
        <v>0</v>
      </c>
      <c r="AK276">
        <f>COUNTIFS(Dyno_Data[Team],TBA_Matches_All[[#This Row],[Team]],Dyno_Data[Match],TBA_Matches_All[[#This Row],[Match_Number]],Dyno_Data[RecordType],"Activities",Dyno_Data[DelDest],"Trap", Dyno_Data[DelMiss],"0", Dyno_Data[Mode],"Auto")</f>
        <v>0</v>
      </c>
      <c r="AL276">
        <f>COUNTIFS(Dyno_Data[Team],TBA_Matches_All[[#This Row],[Team]],Dyno_Data[Match],TBA_Matches_All[[#This Row],[Match_Number]],Dyno_Data[RecordType],"Activities",Dyno_Data[DelDest],"Amp", Dyno_Data[DelMiss],"0", Dyno_Data[Mode],"Teleop")</f>
        <v>5</v>
      </c>
      <c r="AM276">
        <f>COUNTIFS(Dyno_Data[Team],TBA_Matches_All[[#This Row],[Team]],Dyno_Data[Match],TBA_Matches_All[[#This Row],[Match_Number]],Dyno_Data[RecordType],"Activities",Dyno_Data[DelDest],"Spkr", Dyno_Data[DelMiss],"0", Dyno_Data[Mode],"Teleop")</f>
        <v>4</v>
      </c>
      <c r="AN276">
        <f>COUNTIFS(Dyno_Data[Team],TBA_Matches_All[[#This Row],[Team]],Dyno_Data[Match],TBA_Matches_All[[#This Row],[Match_Number]],Dyno_Data[RecordType],"Activities",Dyno_Data[DelDest],"Trap", Dyno_Data[DelMiss],"0", Dyno_Data[Mode],"&lt;&gt;Auto")</f>
        <v>0</v>
      </c>
      <c r="AO276">
        <f>SUM(TBA_Matches_All[[#This Row],[AampT]]+TBA_Matches_All[[#This Row],[AspkrT]]+TBA_Matches_All[[#This Row],[AtrapT]]+TBA_Matches_All[[#This Row],[TampT]]+TBA_Matches_All[[#This Row],[TspkrT]]+TBA_Matches_All[[#This Row],[TtrapT]])</f>
        <v>9</v>
      </c>
      <c r="AP276">
        <f>COUNTIFS(Dyno_Data[Team],TBA_Matches_All[[#This Row],[Team]],Dyno_Data[Match],TBA_Matches_All[[#This Row],[Match_Number]],Dyno_Data[RecordType],"Activities",Dyno_Data[DelDest],"Neut", Dyno_Data[DelMiss],"0")</f>
        <v>0</v>
      </c>
      <c r="AQ276">
        <f>COUNTIFS(Dyno_Data[Team],TBA_Matches_All[[#This Row],[Team]],Dyno_Data[Match],TBA_Matches_All[[#This Row],[Match_Number]],Dyno_Data[RecordType],"Activities",Dyno_Data[DelDest],"AllyW", Dyno_Data[DelMiss],"0")</f>
        <v>0</v>
      </c>
      <c r="AR276" t="str">
        <f>_xlfn.XLOOKUP(SUM(MID(TBA_Matches_All[[#This Row],[Team]],4,5),(TBA_Matches_All[[#This Row],[Match_Number]]/100)),Dyno_EndMatch[teammat],Dyno_EndMatch[RobotSta],"_",0,1)</f>
        <v>Amp</v>
      </c>
      <c r="AS276">
        <f>SUMIFS(Dyno_Data[AcqDis], Dyno_Data[Team],TBA_Matches_All[[#This Row],[Team]],Dyno_Data[Match],TBA_Matches_All[[#This Row],[Match_Number]],Dyno_Data[RecordType],"Activities", Dyno_Data[AcqCenter],1,Dyno_Data[Mode],"Auto")</f>
        <v>0</v>
      </c>
      <c r="AT276">
        <f>SUMIFS(Dyno_Data[AcqDis], Dyno_Data[Team],TBA_Matches_All[[#This Row],[Team]],Dyno_Data[Match],TBA_Matches_All[[#This Row],[Match_Number]],Dyno_Data[RecordType],"Activities", Dyno_Data[AcqCenter],2,Dyno_Data[Mode],"Auto")</f>
        <v>0</v>
      </c>
      <c r="AU276">
        <f>SUMIFS(Dyno_Data[AcqDis], Dyno_Data[Team],TBA_Matches_All[[#This Row],[Team]],Dyno_Data[Match],TBA_Matches_All[[#This Row],[Match_Number]],Dyno_Data[RecordType],"Activities", Dyno_Data[AcqCenter],3,Dyno_Data[Mode],"Auto")</f>
        <v>0</v>
      </c>
      <c r="AV276">
        <f>SUMIFS(Dyno_Data[AcqDis], Dyno_Data[Team],TBA_Matches_All[[#This Row],[Team]],Dyno_Data[Match],TBA_Matches_All[[#This Row],[Match_Number]],Dyno_Data[RecordType],"Activities", Dyno_Data[AcqCenter],4,Dyno_Data[Mode],"Auto")</f>
        <v>1</v>
      </c>
      <c r="AW276">
        <f>SUMIFS(Dyno_Data[AcqDis], Dyno_Data[Team],TBA_Matches_All[[#This Row],[Team]],Dyno_Data[Match],TBA_Matches_All[[#This Row],[Match_Number]],Dyno_Data[RecordType],"Activities", Dyno_Data[AcqCenter],5,Dyno_Data[Mode],"Auto")</f>
        <v>0</v>
      </c>
      <c r="AX276">
        <f>SUMIFS(Dyno_Data[DelMiss], Dyno_Data[Team],TBA_Matches_All[[#This Row],[Team]],Dyno_Data[Match],TBA_Matches_All[[#This Row],[Match_Number]],Dyno_Data[RecordType],"Activities", Dyno_Data[DelDest],"Amp")</f>
        <v>0</v>
      </c>
      <c r="AY276" s="60">
        <f>IFERROR(SUM((TBA_Matches_All[[#This Row],[AampT]]+TBA_Matches_All[[#This Row],[TampT]])/(TBA_Matches_All[[#This Row],[AampT]]+TBA_Matches_All[[#This Row],[TampT]]+TBA_Matches_All[[#This Row],[ampM]])),0)</f>
        <v>1</v>
      </c>
      <c r="AZ276">
        <f>SUMIFS(Dyno_Data[DelMiss], Dyno_Data[Team],TBA_Matches_All[[#This Row],[Team]],Dyno_Data[Match],TBA_Matches_All[[#This Row],[Match_Number]],Dyno_Data[RecordType],"Activities", Dyno_Data[DelDest],"Spkr")</f>
        <v>3</v>
      </c>
      <c r="BA276" s="60">
        <f>IFERROR(SUM((TBA_Matches_All[[#This Row],[AspkrT]]+TBA_Matches_All[[#This Row],[TspkrT]])/(TBA_Matches_All[[#This Row],[AspkrT]]+TBA_Matches_All[[#This Row],[TspkrT]]+TBA_Matches_All[[#This Row],[spkrM]])),0)</f>
        <v>0.5714285714285714</v>
      </c>
      <c r="BB276">
        <f>SUMIFS(Dyno_Data[DelMiss], Dyno_Data[Team],TBA_Matches_All[[#This Row],[Team]],Dyno_Data[Match],TBA_Matches_All[[#This Row],[Match_Number]],Dyno_Data[RecordType],"Activities", Dyno_Data[DelDest],"Trap")</f>
        <v>0</v>
      </c>
      <c r="BC276" s="60">
        <f>IFERROR((TBA_Matches_All[[#This Row],[AtrapT]]+TBA_Matches_All[[#This Row],[TtrapT]])/(TBA_Matches_All[[#This Row],[AtrapT]]+TBA_Matches_All[[#This Row],[TtrapT]]+TBA_Matches_All[[#This Row],[trapM]]),0)</f>
        <v>0</v>
      </c>
      <c r="BD276">
        <f>COUNTIFS(Dyno_Data[Team],TBA_Matches_All[[#This Row],[Team]],Dyno_Data[Match],TBA_Matches_All[[#This Row],[Match_Number]],Dyno_Data[RecordType],"Activities",Dyno_Data[DelDest],"Neut", Dyno_Data[DelMiss],1)</f>
        <v>0</v>
      </c>
      <c r="BE276" s="60">
        <f>IFERROR(SUM((TBA_Matches_All[[#This Row],[NeutFlrT]])/(TBA_Matches_All[[#This Row],[NeutFlrT]]+TBA_Matches_All[[#This Row],[NZflM]])),0)</f>
        <v>0</v>
      </c>
      <c r="BF276">
        <f>COUNTIFS(Dyno_Data[Team],TBA_Matches_All[[#This Row],[Team]],Dyno_Data[Match],TBA_Matches_All[[#This Row],[Match_Number]],Dyno_Data[RecordType],"Activities",Dyno_Data[DelDest],"AllyW", Dyno_Data[DelMiss],1)</f>
        <v>0</v>
      </c>
      <c r="BG276" s="60">
        <f>IFERROR(SUM((TBA_Matches_All[[#This Row],[AllyWFlrT]])/(TBA_Matches_All[[#This Row],[AllyWFlrT]]+TBA_Matches_All[[#This Row],[AZflM]])),0)</f>
        <v>0</v>
      </c>
      <c r="BH276">
        <f>COUNTIFS(Dyno_Data[Team],TBA_Matches_All[[#This Row],[Team]],Dyno_Data[Match],TBA_Matches_All[[#This Row],[Match_Number]],Dyno_Data[RecordType],"Activities",Dyno_Data[DelOrig],"OppW", Dyno_Data[DelMiss],"0")</f>
        <v>0</v>
      </c>
      <c r="BI276">
        <f>COUNTIFS(Dyno_Data[Team],TBA_Matches_All[[#This Row],[Team]],Dyno_Data[Match],TBA_Matches_All[[#This Row],[Match_Number]],Dyno_Data[RecordType],"Activities",Dyno_Data[DelOrig],"OppW", Dyno_Data[DelMiss],"1")</f>
        <v>0</v>
      </c>
      <c r="BJ276" s="60">
        <f>IFERROR(SUM((TBA_Matches_All[[#This Row],[OZflrT]])/(TBA_Matches_All[[#This Row],[OZflrT]]+TBA_Matches_All[[#This Row],[OZflrM]])),0)</f>
        <v>0</v>
      </c>
      <c r="BK276">
        <f>COUNTIFS(Dyno_Data[Team],TBA_Matches_All[[#This Row],[Team]],Dyno_Data[Match],TBA_Matches_All[[#This Row],[Match_Number]],Dyno_Data[RecordType],"Activities",Dyno_Data[DelOrig],"Neut", Dyno_Data[DelMiss],"0")</f>
        <v>0</v>
      </c>
      <c r="BL276">
        <f>COUNTIFS(Dyno_Data[Team],TBA_Matches_All[[#This Row],[Team]],Dyno_Data[Match],TBA_Matches_All[[#This Row],[Match_Number]],Dyno_Data[RecordType],"Activities",Dyno_Data[DelOrig],"Neut", Dyno_Data[DelMiss],"1")</f>
        <v>0</v>
      </c>
      <c r="BM276" s="60">
        <f>IFERROR(SUM((TBA_Matches_All[[#This Row],[NZflrT]])/(TBA_Matches_All[[#This Row],[NZflrT]]+TBA_Matches_All[[#This Row],[NZflrM]])),0)</f>
        <v>0</v>
      </c>
      <c r="BN276">
        <f>COUNTIFS(Dyno_Data[Team],TBA_Matches_All[[#This Row],[Team]],Dyno_Data[Match],TBA_Matches_All[[#This Row],[Match_Number]],Dyno_Data[RecordType],"Activities",Dyno_Data[DelOrig],"AllyW", Dyno_Data[DelMiss],"0")</f>
        <v>5</v>
      </c>
      <c r="BO276">
        <f>COUNTIFS(Dyno_Data[Team],TBA_Matches_All[[#This Row],[Team]],Dyno_Data[Match],TBA_Matches_All[[#This Row],[Match_Number]],Dyno_Data[RecordType],"Activities",Dyno_Data[DelOrig],"AllyW", Dyno_Data[DelMiss],"1")</f>
        <v>1</v>
      </c>
      <c r="BP276" s="60">
        <f>IFERROR(SUM((TBA_Matches_All[[#This Row],[AZflrT]])/(TBA_Matches_All[[#This Row],[AZflrT]]+TBA_Matches_All[[#This Row],[AZflrM]])),0)</f>
        <v>0.83333333333333337</v>
      </c>
      <c r="BQ276">
        <f>COUNTIFS(Dyno_Data[Team],TBA_Matches_All[[#This Row],[Team]],Dyno_Data[Match],TBA_Matches_All[[#This Row],[Match_Number]],Dyno_Data[RecordType],"Activities",Dyno_Data[DelOrig],"SubW", Dyno_Data[DelMiss],"0")</f>
        <v>4</v>
      </c>
      <c r="BR276">
        <f>COUNTIFS(Dyno_Data[Team],TBA_Matches_All[[#This Row],[Team]],Dyno_Data[Match],TBA_Matches_All[[#This Row],[Match_Number]],Dyno_Data[RecordType],"Activities",Dyno_Data[DelOrig],"SubW", Dyno_Data[DelMiss],"1")</f>
        <v>2</v>
      </c>
      <c r="BS276" s="60">
        <f>IFERROR(SUM((TBA_Matches_All[[#This Row],[SubwT]])/(TBA_Matches_All[[#This Row],[SubwT]]+TBA_Matches_All[[#This Row],[SubwM]])),0)</f>
        <v>0.66666666666666663</v>
      </c>
      <c r="BT276">
        <f>COUNTIFS(Dyno_Data[Team],TBA_Matches_All[[#This Row],[Team]],Dyno_Data[Match],TBA_Matches_All[[#This Row],[Match_Number]],Dyno_Data[RecordType],"Activities", Dyno_Data[AcqLoc],"OppWing")</f>
        <v>0</v>
      </c>
      <c r="BU276">
        <f>COUNTIFS(Dyno_Data[Team],TBA_Matches_All[[#This Row],[Team]],Dyno_Data[Match],TBA_Matches_All[[#This Row],[Match_Number]],Dyno_Data[RecordType],"Activities", Dyno_Data[AcqLoc],"Neutral")</f>
        <v>2</v>
      </c>
      <c r="BV276">
        <f>COUNTIFS(Dyno_Data[Team],TBA_Matches_All[[#This Row],[Team]],Dyno_Data[Match],TBA_Matches_All[[#This Row],[Match_Number]],Dyno_Data[RecordType],"Activities", Dyno_Data[AcqLoc],"AllyWing")</f>
        <v>0</v>
      </c>
      <c r="BW276">
        <f>COUNTIFS(Dyno_Data[Team],TBA_Matches_All[[#This Row],[Team]],Dyno_Data[Match],TBA_Matches_All[[#This Row],[Match_Number]],Dyno_Data[RecordType],"Activities", Dyno_Data[AcqLoc],"Source")</f>
        <v>0</v>
      </c>
      <c r="BX276">
        <f>SUMIFS(Dyno_Data[AcqDrp], Dyno_Data[Team],TBA_Matches_All[[#This Row],[Team]],Dyno_Data[Match],TBA_Matches_All[[#This Row],[Match_Number]],Dyno_Data[RecordType],"Activities", Dyno_Data[AcqLoc],"Source")</f>
        <v>0</v>
      </c>
      <c r="BY276">
        <f>SUMIFS(Dyno_Data[OZTime], Dyno_Data[Team],TBA_Matches_All[[#This Row],[Team]],Dyno_Data[Match],TBA_Matches_All[[#This Row],[Match_Number]],Dyno_Data[RecordType],"EndMatch")</f>
        <v>40.854066599999996</v>
      </c>
      <c r="BZ276">
        <f>SUMIFS(Dyno_Data[NZTime], Dyno_Data[Team],TBA_Matches_All[[#This Row],[Team]],Dyno_Data[Match],TBA_Matches_All[[#This Row],[Match_Number]],Dyno_Data[RecordType],"EndMatch")</f>
        <v>23.154091099999999</v>
      </c>
      <c r="CA276">
        <f>SUMIFS(Dyno_Data[AZTime], Dyno_Data[Team],TBA_Matches_All[[#This Row],[Team]],Dyno_Data[Match],TBA_Matches_All[[#This Row],[Match_Number]],Dyno_Data[RecordType],"EndMatch")</f>
        <v>71.6149159</v>
      </c>
      <c r="CB276">
        <f>SUMIFS(Dyno_Data[ClimbT], Dyno_Data[Team],TBA_Matches_All[[#This Row],[Team]],Dyno_Data[Match],TBA_Matches_All[[#This Row],[Match_Number]],Dyno_Data[RecordType],"EndMatch")</f>
        <v>0</v>
      </c>
      <c r="CC276" t="str">
        <f>_xlfn.XLOOKUP(SUM(MID(TBA_Matches_All[[#This Row],[Team]],4,5),(TBA_Matches_All[[#This Row],[Match_Number]]/100)),Dyno_EndMatch[teammat],Dyno_EndMatch[StageStat],"_",0,1)</f>
        <v>Park</v>
      </c>
      <c r="CD276" t="str">
        <f>_xlfn.XLOOKUP(TBA_Matches_All[[#This Row],[teammat]],Dyno_EndMatch[teammat],Dyno_EndMatch[StageAtt],"_",0,1)</f>
        <v>0</v>
      </c>
      <c r="CE276" t="str">
        <f>_xlfn.XLOOKUP(TBA_Matches_All[[#This Row],[teammat]],Dyno_EndMatch[teammat],Dyno_EndMatch[StageLoc],"_",0,1)</f>
        <v>A</v>
      </c>
      <c r="CF276">
        <f>SUMIFS(Dyno_Data[Harmony], Dyno_Data[Team],TBA_Matches_All[[#This Row],[Team]],Dyno_Data[Match],TBA_Matches_All[[#This Row],[Match_Number]],Dyno_Data[RecordType],"EndMatch", Dyno_Data[StageStat],"On",Dyno_Data[Harmony],"&lt;&gt;9")</f>
        <v>0</v>
      </c>
      <c r="CG276">
        <f>SUMIFS(Dyno_Data[Spotlit], Dyno_Data[Team],TBA_Matches_All[[#This Row],[Team]],Dyno_Data[Match],TBA_Matches_All[[#This Row],[Match_Number]],Dyno_Data[RecordType],"EndMatch", Dyno_Data[StageStat],"On",Dyno_Data[Spotlit],"&lt;&gt;9")</f>
        <v>0</v>
      </c>
      <c r="CH276" t="str">
        <f>_xlfn.XLOOKUP(TBA_Matches_All[[#This Row],[teammat]],Dyno_EndMatch[teammat],Dyno_EndMatch[Strategy],"_",0,1)</f>
        <v>Hybrid</v>
      </c>
      <c r="CI276">
        <f>SUMIFS(Dyno_Data[Defense], Dyno_Data[Team],TBA_Matches_All[[#This Row],[Team]],Dyno_Data[Match],TBA_Matches_All[[#This Row],[Match_Number]],Dyno_Data[RecordType],"EndMatch",Dyno_Data[Defense],"&lt;&gt;9")</f>
        <v>0</v>
      </c>
      <c r="CJ276">
        <f>SUMIFS(Dyno_Data[Avoidance], Dyno_Data[Team],TBA_Matches_All[[#This Row],[Team]],Dyno_Data[Match],TBA_Matches_All[[#This Row],[Match_Number]],Dyno_Data[RecordType],"EndMatch",Dyno_Data[Avoidance],"&lt;&gt;9")</f>
        <v>0</v>
      </c>
      <c r="CK276" s="82">
        <f>COUNTIF($H$2:TBA_Matches_All[[#This Row],[Team]],TBA_Matches_All[[#This Row],[Team]])</f>
        <v>6</v>
      </c>
      <c r="CL276" s="111">
        <f>SUM(MID(TBA_Matches_All[[#This Row],[Team]],4,5)+TBA_Matches_All[[#This Row],[Match_Number]]/100)</f>
        <v>6300.46</v>
      </c>
      <c r="CM276">
        <f>SUM((TBA_Matches_All[[#This Row],[Leave]]*2)+(TBA_Matches_All[[#This Row],[AampT]]*2)+(TBA_Matches_All[[#This Row],[AspkrT]]*5)+(TBA_Matches_All[[#This Row],[AtrapT]]*5))</f>
        <v>2</v>
      </c>
      <c r="CN276" s="59">
        <f>IFERROR(SUM(TBA_Matches_All[[#This Row],[AptsT]]/TBA_Matches_All[[#This Row],[AutoPts]]),0)</f>
        <v>0.22222222222222221</v>
      </c>
      <c r="CO276" s="59">
        <f>IFERROR(SUM(TBA_Matches_All[[#This Row],[AampT]]+TBA_Matches_All[[#This Row],[AspkrT]]+TBA_Matches_All[[#This Row],[AtrapT]]/TBA_Matches_All[[#This Row],[Aamp]]+TBA_Matches_All[[#This Row],[Aspkr]]+TBA_Matches_All[[#This Row],[AtrapT]]),0)</f>
        <v>0</v>
      </c>
      <c r="CP276" s="59">
        <f>IFERROR(SUM(TBA_Matches_All[[#This Row],[TampT]]/TBA_Matches_All[[#This Row],[Tamp]]),0)</f>
        <v>1</v>
      </c>
      <c r="CQ276" s="59">
        <f>IFERROR(SUM(TBA_Matches_All[[#This Row],[TspkrT]]/TBA_Matches_All[[#This Row],[Tspkr]]),0)</f>
        <v>0.33333333333333331</v>
      </c>
      <c r="CR276">
        <f>SUM(TBA_Matches_All[[#This Row],[TspkrPts]]*TBA_Matches_All[[#This Row],[TspkrP]])</f>
        <v>12</v>
      </c>
      <c r="CS276" s="59">
        <f>IFERROR(SUM(TBA_Matches_All[[#This Row],[TtrapT]]/TBA_Matches_All[[#This Row],[Trap]]),0)</f>
        <v>0</v>
      </c>
      <c r="CT276" s="59">
        <f>IFERROR(SUM(TBA_Matches_All[[#This Row],[TotNotesT]]/TBA_Matches_All[[#This Row],[TotNotes]]),0)</f>
        <v>0.5</v>
      </c>
      <c r="CU276" s="66">
        <f>SUM((TBA_Matches_All[[#This Row],[AampT]]*2)+(TBA_Matches_All[[#This Row],[AspkrT]]*5)+(TBA_Matches_All[[#This Row],[AtrapT]]*5)+(TBA_Matches_All[[#This Row],[TampT]]*1)+(TBA_Matches_All[[#This Row],[TspkrptsC]]))</f>
        <v>17</v>
      </c>
      <c r="CV276" s="59">
        <f>IFERROR(TBA_Matches_All[[#This Row],[noteptsT]]/TBA_Matches_All[[#This Row],[NotePts]],0)</f>
        <v>0.36956521739130432</v>
      </c>
      <c r="CW276">
        <f>SUM(IF(TBA_Matches_All[[#This Row],[stageStat]]="On",3,0),IF(TBA_Matches_All[[#This Row],[stageStat]]="Park",1,0),SUMIFS(TBA_Matches_All[[#This Row],[Spotlit]],TBA_Matches_All[[#This Row],[stageStat]],"On"),SUMIFS(TBA_Matches_All[[#This Row],[Harmony]],TBA_Matches_All[[#This Row],[stageStat]],"On"))</f>
        <v>1</v>
      </c>
      <c r="CX276" s="59">
        <f>IFERROR(TBA_Matches_All[[#This Row],[stageptsT]]/TBA_Matches_All[[#This Row],[StagePts]],0)</f>
        <v>0.5</v>
      </c>
      <c r="CY276">
        <f>SUM((TBA_Matches_All[[#This Row],[AptsT]]+TBA_Matches_All[[#This Row],[TampT]]+TBA_Matches_All[[#This Row],[TspkrptsC]]+(TBA_Matches_All[[#This Row],[TtrapT]]*5)+TBA_Matches_All[[#This Row],[stageptsT]]))</f>
        <v>20</v>
      </c>
      <c r="CZ276" s="59">
        <f>IFERROR(SUM(TBA_Matches_All[[#This Row],[TotptsC]]/TBA_Matches_All[[#This Row],[Score]]),0)</f>
        <v>0.35087719298245612</v>
      </c>
      <c r="DA27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16.865021645021645</v>
      </c>
      <c r="DB276" s="74">
        <f>SUMIFS(TBA_Matches_All[AveTeamTNoteDels],TBA_Matches_All[Match_Number],TBA_Matches_All[[#This Row],[Match_Number]],TBA_Matches_All[Alliance],"&lt;&gt;"&amp;TBA_Matches_All[[#This Row],[Alliance]],TBA_Matches_All[Scouted],"&gt;0")</f>
        <v>23.393333333333331</v>
      </c>
      <c r="DC276" s="74">
        <f>(TBA_Matches_All[[#This Row],[TampT]]+TBA_Matches_All[[#This Row],[TspkrptsC]])-TBA_Matches_All[[#This Row],[AveTeamTNoteDels]]</f>
        <v>0.13497835497835453</v>
      </c>
      <c r="DD276" s="74">
        <f>SUMIFS(TBA_Matches_All[AveTeamTNoteDels],TBA_Matches_All[Match_Number],TBA_Matches_All[[#This Row],[Match_Number]],TBA_Matches_All[Alliance],"&lt;&gt;"&amp;TBA_Matches_All[[#This Row],[Alliance]])-TBA_Matches_All[[#This Row],[AveOppTNoteDels]]</f>
        <v>0</v>
      </c>
    </row>
    <row r="277" spans="1:108" x14ac:dyDescent="0.3">
      <c r="A277" t="s">
        <v>1042</v>
      </c>
      <c r="B277" t="s">
        <v>489</v>
      </c>
      <c r="C277" t="s">
        <v>1355</v>
      </c>
      <c r="D277">
        <v>46</v>
      </c>
      <c r="E277" t="s">
        <v>1420</v>
      </c>
      <c r="F277" t="s">
        <v>1421</v>
      </c>
      <c r="G277" t="s">
        <v>164</v>
      </c>
      <c r="H277" t="s">
        <v>1303</v>
      </c>
      <c r="I277" t="b">
        <v>1</v>
      </c>
      <c r="J277">
        <v>55</v>
      </c>
      <c r="K277">
        <v>1</v>
      </c>
      <c r="L277">
        <v>1</v>
      </c>
      <c r="M277">
        <v>5</v>
      </c>
      <c r="N277">
        <v>0</v>
      </c>
      <c r="O277">
        <v>2</v>
      </c>
      <c r="P277">
        <v>10</v>
      </c>
      <c r="Q277">
        <v>12</v>
      </c>
      <c r="R277">
        <v>4</v>
      </c>
      <c r="S277">
        <v>2</v>
      </c>
      <c r="T277">
        <v>7</v>
      </c>
      <c r="U277">
        <v>10</v>
      </c>
      <c r="V277">
        <v>14</v>
      </c>
      <c r="W277">
        <v>9</v>
      </c>
      <c r="X277">
        <v>24</v>
      </c>
      <c r="Y277">
        <v>28</v>
      </c>
      <c r="Z277">
        <v>0</v>
      </c>
      <c r="AA277">
        <v>0</v>
      </c>
      <c r="AB277">
        <v>15</v>
      </c>
      <c r="AC277">
        <v>38</v>
      </c>
      <c r="AD277">
        <v>11</v>
      </c>
      <c r="AE277">
        <f>IFERROR(6/(COUNTIF(Dyno_EndMatch[Match],TBA_Matches_All[[#This Row],[Match_Number]])),0)</f>
        <v>1</v>
      </c>
      <c r="AF277">
        <f>COUNTIFS(Dyno_Data[Team],TBA_Matches_All[[#This Row],[Team]],Dyno_Data[Match],TBA_Matches_All[[#This Row],[Match_Number]],Dyno_Data[RecordType],"EndMatch",Dyno_Data[HPAmp],"Y")</f>
        <v>0</v>
      </c>
      <c r="AG277">
        <f>SUMIFS(Dyno_Data[Mics], Dyno_Data[Team],TBA_Matches_All[[#This Row],[Team]],Dyno_Data[Match],TBA_Matches_All[[#This Row],[Match_Number]],Dyno_Data[RecordType],"EndMatch",Dyno_Data[HPAmp],"Y")</f>
        <v>0</v>
      </c>
      <c r="AH277">
        <f>SUMIFS(Dyno_Data[Leave], Dyno_Data[Team],TBA_Matches_All[[#This Row],[Team]],Dyno_Data[Match],TBA_Matches_All[[#This Row],[Match_Number]],Dyno_Data[RecordType],"EndAuto")</f>
        <v>1</v>
      </c>
      <c r="AI277">
        <f>COUNTIFS(Dyno_Data[Team],TBA_Matches_All[[#This Row],[Team]],Dyno_Data[Match],TBA_Matches_All[[#This Row],[Match_Number]],Dyno_Data[RecordType],"Activities",Dyno_Data[DelDest],"Amp", Dyno_Data[DelMiss],"0", Dyno_Data[Mode],"Auto")</f>
        <v>0</v>
      </c>
      <c r="AJ277">
        <f>COUNTIFS(Dyno_Data[Team],TBA_Matches_All[[#This Row],[Team]],Dyno_Data[Match],TBA_Matches_All[[#This Row],[Match_Number]],Dyno_Data[RecordType],"Activities",Dyno_Data[DelDest],"Spkr", Dyno_Data[DelMiss],"0", Dyno_Data[Mode],"Auto")</f>
        <v>1</v>
      </c>
      <c r="AK277">
        <f>COUNTIFS(Dyno_Data[Team],TBA_Matches_All[[#This Row],[Team]],Dyno_Data[Match],TBA_Matches_All[[#This Row],[Match_Number]],Dyno_Data[RecordType],"Activities",Dyno_Data[DelDest],"Trap", Dyno_Data[DelMiss],"0", Dyno_Data[Mode],"Auto")</f>
        <v>0</v>
      </c>
      <c r="AL277">
        <f>COUNTIFS(Dyno_Data[Team],TBA_Matches_All[[#This Row],[Team]],Dyno_Data[Match],TBA_Matches_All[[#This Row],[Match_Number]],Dyno_Data[RecordType],"Activities",Dyno_Data[DelDest],"Amp", Dyno_Data[DelMiss],"0", Dyno_Data[Mode],"Teleop")</f>
        <v>5</v>
      </c>
      <c r="AM277">
        <f>COUNTIFS(Dyno_Data[Team],TBA_Matches_All[[#This Row],[Team]],Dyno_Data[Match],TBA_Matches_All[[#This Row],[Match_Number]],Dyno_Data[RecordType],"Activities",Dyno_Data[DelDest],"Spkr", Dyno_Data[DelMiss],"0", Dyno_Data[Mode],"Teleop")</f>
        <v>2</v>
      </c>
      <c r="AN277">
        <f>COUNTIFS(Dyno_Data[Team],TBA_Matches_All[[#This Row],[Team]],Dyno_Data[Match],TBA_Matches_All[[#This Row],[Match_Number]],Dyno_Data[RecordType],"Activities",Dyno_Data[DelDest],"Trap", Dyno_Data[DelMiss],"0", Dyno_Data[Mode],"&lt;&gt;Auto")</f>
        <v>0</v>
      </c>
      <c r="AO277">
        <f>SUM(TBA_Matches_All[[#This Row],[AampT]]+TBA_Matches_All[[#This Row],[AspkrT]]+TBA_Matches_All[[#This Row],[AtrapT]]+TBA_Matches_All[[#This Row],[TampT]]+TBA_Matches_All[[#This Row],[TspkrT]]+TBA_Matches_All[[#This Row],[TtrapT]])</f>
        <v>8</v>
      </c>
      <c r="AP277">
        <f>COUNTIFS(Dyno_Data[Team],TBA_Matches_All[[#This Row],[Team]],Dyno_Data[Match],TBA_Matches_All[[#This Row],[Match_Number]],Dyno_Data[RecordType],"Activities",Dyno_Data[DelDest],"Neut", Dyno_Data[DelMiss],"0")</f>
        <v>0</v>
      </c>
      <c r="AQ277">
        <f>COUNTIFS(Dyno_Data[Team],TBA_Matches_All[[#This Row],[Team]],Dyno_Data[Match],TBA_Matches_All[[#This Row],[Match_Number]],Dyno_Data[RecordType],"Activities",Dyno_Data[DelDest],"AllyW", Dyno_Data[DelMiss],"0")</f>
        <v>0</v>
      </c>
      <c r="AR277" t="str">
        <f>_xlfn.XLOOKUP(SUM(MID(TBA_Matches_All[[#This Row],[Team]],4,5),(TBA_Matches_All[[#This Row],[Match_Number]]/100)),Dyno_EndMatch[teammat],Dyno_EndMatch[RobotSta],"_",0,1)</f>
        <v>SubW</v>
      </c>
      <c r="AS277">
        <f>SUMIFS(Dyno_Data[AcqDis], Dyno_Data[Team],TBA_Matches_All[[#This Row],[Team]],Dyno_Data[Match],TBA_Matches_All[[#This Row],[Match_Number]],Dyno_Data[RecordType],"Activities", Dyno_Data[AcqCenter],1,Dyno_Data[Mode],"Auto")</f>
        <v>0</v>
      </c>
      <c r="AT277">
        <f>SUMIFS(Dyno_Data[AcqDis], Dyno_Data[Team],TBA_Matches_All[[#This Row],[Team]],Dyno_Data[Match],TBA_Matches_All[[#This Row],[Match_Number]],Dyno_Data[RecordType],"Activities", Dyno_Data[AcqCenter],2,Dyno_Data[Mode],"Auto")</f>
        <v>0</v>
      </c>
      <c r="AU277">
        <f>SUMIFS(Dyno_Data[AcqDis], Dyno_Data[Team],TBA_Matches_All[[#This Row],[Team]],Dyno_Data[Match],TBA_Matches_All[[#This Row],[Match_Number]],Dyno_Data[RecordType],"Activities", Dyno_Data[AcqCenter],3,Dyno_Data[Mode],"Auto")</f>
        <v>0</v>
      </c>
      <c r="AV277">
        <f>SUMIFS(Dyno_Data[AcqDis], Dyno_Data[Team],TBA_Matches_All[[#This Row],[Team]],Dyno_Data[Match],TBA_Matches_All[[#This Row],[Match_Number]],Dyno_Data[RecordType],"Activities", Dyno_Data[AcqCenter],4,Dyno_Data[Mode],"Auto")</f>
        <v>0</v>
      </c>
      <c r="AW277">
        <f>SUMIFS(Dyno_Data[AcqDis], Dyno_Data[Team],TBA_Matches_All[[#This Row],[Team]],Dyno_Data[Match],TBA_Matches_All[[#This Row],[Match_Number]],Dyno_Data[RecordType],"Activities", Dyno_Data[AcqCenter],5,Dyno_Data[Mode],"Auto")</f>
        <v>1</v>
      </c>
      <c r="AX277">
        <f>SUMIFS(Dyno_Data[DelMiss], Dyno_Data[Team],TBA_Matches_All[[#This Row],[Team]],Dyno_Data[Match],TBA_Matches_All[[#This Row],[Match_Number]],Dyno_Data[RecordType],"Activities", Dyno_Data[DelDest],"Amp")</f>
        <v>0</v>
      </c>
      <c r="AY277" s="60">
        <f>IFERROR(SUM((TBA_Matches_All[[#This Row],[AampT]]+TBA_Matches_All[[#This Row],[TampT]])/(TBA_Matches_All[[#This Row],[AampT]]+TBA_Matches_All[[#This Row],[TampT]]+TBA_Matches_All[[#This Row],[ampM]])),0)</f>
        <v>1</v>
      </c>
      <c r="AZ277">
        <f>SUMIFS(Dyno_Data[DelMiss], Dyno_Data[Team],TBA_Matches_All[[#This Row],[Team]],Dyno_Data[Match],TBA_Matches_All[[#This Row],[Match_Number]],Dyno_Data[RecordType],"Activities", Dyno_Data[DelDest],"Spkr")</f>
        <v>0</v>
      </c>
      <c r="BA277" s="60">
        <f>IFERROR(SUM((TBA_Matches_All[[#This Row],[AspkrT]]+TBA_Matches_All[[#This Row],[TspkrT]])/(TBA_Matches_All[[#This Row],[AspkrT]]+TBA_Matches_All[[#This Row],[TspkrT]]+TBA_Matches_All[[#This Row],[spkrM]])),0)</f>
        <v>1</v>
      </c>
      <c r="BB277">
        <f>SUMIFS(Dyno_Data[DelMiss], Dyno_Data[Team],TBA_Matches_All[[#This Row],[Team]],Dyno_Data[Match],TBA_Matches_All[[#This Row],[Match_Number]],Dyno_Data[RecordType],"Activities", Dyno_Data[DelDest],"Trap")</f>
        <v>0</v>
      </c>
      <c r="BC277" s="60">
        <f>IFERROR((TBA_Matches_All[[#This Row],[AtrapT]]+TBA_Matches_All[[#This Row],[TtrapT]])/(TBA_Matches_All[[#This Row],[AtrapT]]+TBA_Matches_All[[#This Row],[TtrapT]]+TBA_Matches_All[[#This Row],[trapM]]),0)</f>
        <v>0</v>
      </c>
      <c r="BD277">
        <f>COUNTIFS(Dyno_Data[Team],TBA_Matches_All[[#This Row],[Team]],Dyno_Data[Match],TBA_Matches_All[[#This Row],[Match_Number]],Dyno_Data[RecordType],"Activities",Dyno_Data[DelDest],"Neut", Dyno_Data[DelMiss],1)</f>
        <v>0</v>
      </c>
      <c r="BE277" s="60">
        <f>IFERROR(SUM((TBA_Matches_All[[#This Row],[NeutFlrT]])/(TBA_Matches_All[[#This Row],[NeutFlrT]]+TBA_Matches_All[[#This Row],[NZflM]])),0)</f>
        <v>0</v>
      </c>
      <c r="BF277">
        <f>COUNTIFS(Dyno_Data[Team],TBA_Matches_All[[#This Row],[Team]],Dyno_Data[Match],TBA_Matches_All[[#This Row],[Match_Number]],Dyno_Data[RecordType],"Activities",Dyno_Data[DelDest],"AllyW", Dyno_Data[DelMiss],1)</f>
        <v>0</v>
      </c>
      <c r="BG277" s="60">
        <f>IFERROR(SUM((TBA_Matches_All[[#This Row],[AllyWFlrT]])/(TBA_Matches_All[[#This Row],[AllyWFlrT]]+TBA_Matches_All[[#This Row],[AZflM]])),0)</f>
        <v>0</v>
      </c>
      <c r="BH277">
        <f>COUNTIFS(Dyno_Data[Team],TBA_Matches_All[[#This Row],[Team]],Dyno_Data[Match],TBA_Matches_All[[#This Row],[Match_Number]],Dyno_Data[RecordType],"Activities",Dyno_Data[DelOrig],"OppW", Dyno_Data[DelMiss],"0")</f>
        <v>0</v>
      </c>
      <c r="BI277">
        <f>COUNTIFS(Dyno_Data[Team],TBA_Matches_All[[#This Row],[Team]],Dyno_Data[Match],TBA_Matches_All[[#This Row],[Match_Number]],Dyno_Data[RecordType],"Activities",Dyno_Data[DelOrig],"OppW", Dyno_Data[DelMiss],"1")</f>
        <v>0</v>
      </c>
      <c r="BJ277" s="60">
        <f>IFERROR(SUM((TBA_Matches_All[[#This Row],[OZflrT]])/(TBA_Matches_All[[#This Row],[OZflrT]]+TBA_Matches_All[[#This Row],[OZflrM]])),0)</f>
        <v>0</v>
      </c>
      <c r="BK277">
        <f>COUNTIFS(Dyno_Data[Team],TBA_Matches_All[[#This Row],[Team]],Dyno_Data[Match],TBA_Matches_All[[#This Row],[Match_Number]],Dyno_Data[RecordType],"Activities",Dyno_Data[DelOrig],"Neut", Dyno_Data[DelMiss],"0")</f>
        <v>0</v>
      </c>
      <c r="BL277">
        <f>COUNTIFS(Dyno_Data[Team],TBA_Matches_All[[#This Row],[Team]],Dyno_Data[Match],TBA_Matches_All[[#This Row],[Match_Number]],Dyno_Data[RecordType],"Activities",Dyno_Data[DelOrig],"Neut", Dyno_Data[DelMiss],"1")</f>
        <v>0</v>
      </c>
      <c r="BM277" s="60">
        <f>IFERROR(SUM((TBA_Matches_All[[#This Row],[NZflrT]])/(TBA_Matches_All[[#This Row],[NZflrT]]+TBA_Matches_All[[#This Row],[NZflrM]])),0)</f>
        <v>0</v>
      </c>
      <c r="BN277">
        <f>COUNTIFS(Dyno_Data[Team],TBA_Matches_All[[#This Row],[Team]],Dyno_Data[Match],TBA_Matches_All[[#This Row],[Match_Number]],Dyno_Data[RecordType],"Activities",Dyno_Data[DelOrig],"AllyW", Dyno_Data[DelMiss],"0")</f>
        <v>7</v>
      </c>
      <c r="BO277">
        <f>COUNTIFS(Dyno_Data[Team],TBA_Matches_All[[#This Row],[Team]],Dyno_Data[Match],TBA_Matches_All[[#This Row],[Match_Number]],Dyno_Data[RecordType],"Activities",Dyno_Data[DelOrig],"AllyW", Dyno_Data[DelMiss],"1")</f>
        <v>0</v>
      </c>
      <c r="BP277" s="60">
        <f>IFERROR(SUM((TBA_Matches_All[[#This Row],[AZflrT]])/(TBA_Matches_All[[#This Row],[AZflrT]]+TBA_Matches_All[[#This Row],[AZflrM]])),0)</f>
        <v>1</v>
      </c>
      <c r="BQ277">
        <f>COUNTIFS(Dyno_Data[Team],TBA_Matches_All[[#This Row],[Team]],Dyno_Data[Match],TBA_Matches_All[[#This Row],[Match_Number]],Dyno_Data[RecordType],"Activities",Dyno_Data[DelOrig],"SubW", Dyno_Data[DelMiss],"0")</f>
        <v>1</v>
      </c>
      <c r="BR277">
        <f>COUNTIFS(Dyno_Data[Team],TBA_Matches_All[[#This Row],[Team]],Dyno_Data[Match],TBA_Matches_All[[#This Row],[Match_Number]],Dyno_Data[RecordType],"Activities",Dyno_Data[DelOrig],"SubW", Dyno_Data[DelMiss],"1")</f>
        <v>0</v>
      </c>
      <c r="BS277" s="60">
        <f>IFERROR(SUM((TBA_Matches_All[[#This Row],[SubwT]])/(TBA_Matches_All[[#This Row],[SubwT]]+TBA_Matches_All[[#This Row],[SubwM]])),0)</f>
        <v>1</v>
      </c>
      <c r="BT277">
        <f>COUNTIFS(Dyno_Data[Team],TBA_Matches_All[[#This Row],[Team]],Dyno_Data[Match],TBA_Matches_All[[#This Row],[Match_Number]],Dyno_Data[RecordType],"Activities", Dyno_Data[AcqLoc],"OppWing")</f>
        <v>0</v>
      </c>
      <c r="BU277">
        <f>COUNTIFS(Dyno_Data[Team],TBA_Matches_All[[#This Row],[Team]],Dyno_Data[Match],TBA_Matches_All[[#This Row],[Match_Number]],Dyno_Data[RecordType],"Activities", Dyno_Data[AcqLoc],"Neutral")</f>
        <v>2</v>
      </c>
      <c r="BV277">
        <f>COUNTIFS(Dyno_Data[Team],TBA_Matches_All[[#This Row],[Team]],Dyno_Data[Match],TBA_Matches_All[[#This Row],[Match_Number]],Dyno_Data[RecordType],"Activities", Dyno_Data[AcqLoc],"AllyWing")</f>
        <v>0</v>
      </c>
      <c r="BW277">
        <f>COUNTIFS(Dyno_Data[Team],TBA_Matches_All[[#This Row],[Team]],Dyno_Data[Match],TBA_Matches_All[[#This Row],[Match_Number]],Dyno_Data[RecordType],"Activities", Dyno_Data[AcqLoc],"Source")</f>
        <v>0</v>
      </c>
      <c r="BX277">
        <f>SUMIFS(Dyno_Data[AcqDrp], Dyno_Data[Team],TBA_Matches_All[[#This Row],[Team]],Dyno_Data[Match],TBA_Matches_All[[#This Row],[Match_Number]],Dyno_Data[RecordType],"Activities", Dyno_Data[AcqLoc],"Source")</f>
        <v>0</v>
      </c>
      <c r="BY277">
        <f>SUMIFS(Dyno_Data[OZTime], Dyno_Data[Team],TBA_Matches_All[[#This Row],[Team]],Dyno_Data[Match],TBA_Matches_All[[#This Row],[Match_Number]],Dyno_Data[RecordType],"EndMatch")</f>
        <v>19.160761099999998</v>
      </c>
      <c r="BZ277">
        <f>SUMIFS(Dyno_Data[NZTime], Dyno_Data[Team],TBA_Matches_All[[#This Row],[Team]],Dyno_Data[Match],TBA_Matches_All[[#This Row],[Match_Number]],Dyno_Data[RecordType],"EndMatch")</f>
        <v>9.7076055999999991</v>
      </c>
      <c r="CA277">
        <f>SUMIFS(Dyno_Data[AZTime], Dyno_Data[Team],TBA_Matches_All[[#This Row],[Team]],Dyno_Data[Match],TBA_Matches_All[[#This Row],[Match_Number]],Dyno_Data[RecordType],"EndMatch")</f>
        <v>87.079179199999999</v>
      </c>
      <c r="CB277">
        <f>SUMIFS(Dyno_Data[ClimbT], Dyno_Data[Team],TBA_Matches_All[[#This Row],[Team]],Dyno_Data[Match],TBA_Matches_All[[#This Row],[Match_Number]],Dyno_Data[RecordType],"EndMatch")</f>
        <v>13.0429336</v>
      </c>
      <c r="CC277" t="str">
        <f>_xlfn.XLOOKUP(SUM(MID(TBA_Matches_All[[#This Row],[Team]],4,5),(TBA_Matches_All[[#This Row],[Match_Number]]/100)),Dyno_EndMatch[teammat],Dyno_EndMatch[StageStat],"_",0,1)</f>
        <v>On</v>
      </c>
      <c r="CD277" t="str">
        <f>_xlfn.XLOOKUP(TBA_Matches_All[[#This Row],[teammat]],Dyno_EndMatch[teammat],Dyno_EndMatch[StageAtt],"_",0,1)</f>
        <v>1</v>
      </c>
      <c r="CE277" t="str">
        <f>_xlfn.XLOOKUP(TBA_Matches_All[[#This Row],[teammat]],Dyno_EndMatch[teammat],Dyno_EndMatch[StageLoc],"_",0,1)</f>
        <v>R</v>
      </c>
      <c r="CF277">
        <f>SUMIFS(Dyno_Data[Harmony], Dyno_Data[Team],TBA_Matches_All[[#This Row],[Team]],Dyno_Data[Match],TBA_Matches_All[[#This Row],[Match_Number]],Dyno_Data[RecordType],"EndMatch", Dyno_Data[StageStat],"On",Dyno_Data[Harmony],"&lt;&gt;9")</f>
        <v>0</v>
      </c>
      <c r="CG277">
        <f>SUMIFS(Dyno_Data[Spotlit], Dyno_Data[Team],TBA_Matches_All[[#This Row],[Team]],Dyno_Data[Match],TBA_Matches_All[[#This Row],[Match_Number]],Dyno_Data[RecordType],"EndMatch", Dyno_Data[StageStat],"On",Dyno_Data[Spotlit],"&lt;&gt;9")</f>
        <v>0</v>
      </c>
      <c r="CH277" t="str">
        <f>_xlfn.XLOOKUP(TBA_Matches_All[[#This Row],[teammat]],Dyno_EndMatch[teammat],Dyno_EndMatch[Strategy],"_",0,1)</f>
        <v>Shooter</v>
      </c>
      <c r="CI277">
        <f>SUMIFS(Dyno_Data[Defense], Dyno_Data[Team],TBA_Matches_All[[#This Row],[Team]],Dyno_Data[Match],TBA_Matches_All[[#This Row],[Match_Number]],Dyno_Data[RecordType],"EndMatch",Dyno_Data[Defense],"&lt;&gt;9")</f>
        <v>0</v>
      </c>
      <c r="CJ277">
        <f>SUMIFS(Dyno_Data[Avoidance], Dyno_Data[Team],TBA_Matches_All[[#This Row],[Team]],Dyno_Data[Match],TBA_Matches_All[[#This Row],[Match_Number]],Dyno_Data[RecordType],"EndMatch",Dyno_Data[Avoidance],"&lt;&gt;9")</f>
        <v>0</v>
      </c>
      <c r="CK277" s="82">
        <f>COUNTIF($H$2:TBA_Matches_All[[#This Row],[Team]],TBA_Matches_All[[#This Row],[Team]])</f>
        <v>6</v>
      </c>
      <c r="CL277" s="111">
        <f>SUM(MID(TBA_Matches_All[[#This Row],[Team]],4,5)+TBA_Matches_All[[#This Row],[Match_Number]]/100)</f>
        <v>7605.46</v>
      </c>
      <c r="CM277">
        <f>SUM((TBA_Matches_All[[#This Row],[Leave]]*2)+(TBA_Matches_All[[#This Row],[AampT]]*2)+(TBA_Matches_All[[#This Row],[AspkrT]]*5)+(TBA_Matches_All[[#This Row],[AtrapT]]*5))</f>
        <v>7</v>
      </c>
      <c r="CN277" s="59">
        <f>IFERROR(SUM(TBA_Matches_All[[#This Row],[AptsT]]/TBA_Matches_All[[#This Row],[AutoPts]]),0)</f>
        <v>0.58333333333333337</v>
      </c>
      <c r="CO277" s="59">
        <f>IFERROR(SUM(TBA_Matches_All[[#This Row],[AampT]]+TBA_Matches_All[[#This Row],[AspkrT]]+TBA_Matches_All[[#This Row],[AtrapT]]/TBA_Matches_All[[#This Row],[Aamp]]+TBA_Matches_All[[#This Row],[Aspkr]]+TBA_Matches_All[[#This Row],[AtrapT]]),0)</f>
        <v>0</v>
      </c>
      <c r="CP277" s="59">
        <f>IFERROR(SUM(TBA_Matches_All[[#This Row],[TampT]]/TBA_Matches_All[[#This Row],[Tamp]]),0)</f>
        <v>1.25</v>
      </c>
      <c r="CQ277" s="59">
        <f>IFERROR(SUM(TBA_Matches_All[[#This Row],[TspkrT]]/TBA_Matches_All[[#This Row],[Tspkr]]),0)</f>
        <v>0.22222222222222221</v>
      </c>
      <c r="CR277">
        <f>SUM(TBA_Matches_All[[#This Row],[TspkrPts]]*TBA_Matches_All[[#This Row],[TspkrP]])</f>
        <v>5.333333333333333</v>
      </c>
      <c r="CS277" s="59">
        <f>IFERROR(SUM(TBA_Matches_All[[#This Row],[TtrapT]]/TBA_Matches_All[[#This Row],[Trap]]),0)</f>
        <v>0</v>
      </c>
      <c r="CT277" s="59">
        <f>IFERROR(SUM(TBA_Matches_All[[#This Row],[TotNotesT]]/TBA_Matches_All[[#This Row],[TotNotes]]),0)</f>
        <v>0.53333333333333333</v>
      </c>
      <c r="CU277" s="66">
        <f>SUM((TBA_Matches_All[[#This Row],[AampT]]*2)+(TBA_Matches_All[[#This Row],[AspkrT]]*5)+(TBA_Matches_All[[#This Row],[AtrapT]]*5)+(TBA_Matches_All[[#This Row],[TampT]]*1)+(TBA_Matches_All[[#This Row],[TspkrptsC]]))</f>
        <v>15.333333333333332</v>
      </c>
      <c r="CV277" s="59">
        <f>IFERROR(TBA_Matches_All[[#This Row],[noteptsT]]/TBA_Matches_All[[#This Row],[NotePts]],0)</f>
        <v>0.40350877192982454</v>
      </c>
      <c r="CW277">
        <f>SUM(IF(TBA_Matches_All[[#This Row],[stageStat]]="On",3,0),IF(TBA_Matches_All[[#This Row],[stageStat]]="Park",1,0),SUMIFS(TBA_Matches_All[[#This Row],[Spotlit]],TBA_Matches_All[[#This Row],[stageStat]],"On"),SUMIFS(TBA_Matches_All[[#This Row],[Harmony]],TBA_Matches_All[[#This Row],[stageStat]],"On"))</f>
        <v>3</v>
      </c>
      <c r="CX277" s="59">
        <f>IFERROR(TBA_Matches_All[[#This Row],[stageptsT]]/TBA_Matches_All[[#This Row],[StagePts]],0)</f>
        <v>0.27272727272727271</v>
      </c>
      <c r="CY277">
        <f>SUM((TBA_Matches_All[[#This Row],[AptsT]]+TBA_Matches_All[[#This Row],[TampT]]+TBA_Matches_All[[#This Row],[TspkrptsC]]+(TBA_Matches_All[[#This Row],[TtrapT]]*5)+TBA_Matches_All[[#This Row],[stageptsT]]))</f>
        <v>20.333333333333332</v>
      </c>
      <c r="CZ277" s="59">
        <f>IFERROR(SUM(TBA_Matches_All[[#This Row],[TotptsC]]/TBA_Matches_All[[#This Row],[Score]]),0)</f>
        <v>0.36969696969696969</v>
      </c>
      <c r="DA27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11.719999999999999</v>
      </c>
      <c r="DB277" s="74">
        <f>SUMIFS(TBA_Matches_All[AveTeamTNoteDels],TBA_Matches_All[Match_Number],TBA_Matches_All[[#This Row],[Match_Number]],TBA_Matches_All[Alliance],"&lt;&gt;"&amp;TBA_Matches_All[[#This Row],[Alliance]],TBA_Matches_All[Scouted],"&gt;0")</f>
        <v>34.269783549783554</v>
      </c>
      <c r="DC277" s="74">
        <f>(TBA_Matches_All[[#This Row],[TampT]]+TBA_Matches_All[[#This Row],[TspkrptsC]])-TBA_Matches_All[[#This Row],[AveTeamTNoteDels]]</f>
        <v>-1.3866666666666667</v>
      </c>
      <c r="DD277" s="74">
        <f>SUMIFS(TBA_Matches_All[AveTeamTNoteDels],TBA_Matches_All[Match_Number],TBA_Matches_All[[#This Row],[Match_Number]],TBA_Matches_All[Alliance],"&lt;&gt;"&amp;TBA_Matches_All[[#This Row],[Alliance]])-TBA_Matches_All[[#This Row],[AveOppTNoteDels]]</f>
        <v>0</v>
      </c>
    </row>
    <row r="278" spans="1:108" x14ac:dyDescent="0.3">
      <c r="A278" t="s">
        <v>1042</v>
      </c>
      <c r="B278" t="s">
        <v>489</v>
      </c>
      <c r="C278" t="s">
        <v>1355</v>
      </c>
      <c r="D278">
        <v>46</v>
      </c>
      <c r="E278" t="s">
        <v>1406</v>
      </c>
      <c r="F278" t="s">
        <v>1422</v>
      </c>
      <c r="G278" t="s">
        <v>105</v>
      </c>
      <c r="H278" t="s">
        <v>1283</v>
      </c>
      <c r="I278" t="b">
        <v>1</v>
      </c>
      <c r="J278">
        <v>57</v>
      </c>
      <c r="K278">
        <v>1</v>
      </c>
      <c r="L278">
        <v>0</v>
      </c>
      <c r="M278">
        <v>4</v>
      </c>
      <c r="N278">
        <v>0</v>
      </c>
      <c r="O278">
        <v>1</v>
      </c>
      <c r="P278">
        <v>5</v>
      </c>
      <c r="Q278">
        <v>9</v>
      </c>
      <c r="R278">
        <v>5</v>
      </c>
      <c r="S278">
        <v>4</v>
      </c>
      <c r="T278">
        <v>8</v>
      </c>
      <c r="U278">
        <v>20</v>
      </c>
      <c r="V278">
        <v>16</v>
      </c>
      <c r="W278">
        <v>12</v>
      </c>
      <c r="X278">
        <v>36</v>
      </c>
      <c r="Y278">
        <v>41</v>
      </c>
      <c r="Z278">
        <v>0</v>
      </c>
      <c r="AA278">
        <v>0</v>
      </c>
      <c r="AB278">
        <v>18</v>
      </c>
      <c r="AC278">
        <v>46</v>
      </c>
      <c r="AD278">
        <v>2</v>
      </c>
      <c r="AE278">
        <f>IFERROR(6/(COUNTIF(Dyno_EndMatch[Match],TBA_Matches_All[[#This Row],[Match_Number]])),0)</f>
        <v>1</v>
      </c>
      <c r="AF278">
        <f>COUNTIFS(Dyno_Data[Team],TBA_Matches_All[[#This Row],[Team]],Dyno_Data[Match],TBA_Matches_All[[#This Row],[Match_Number]],Dyno_Data[RecordType],"EndMatch",Dyno_Data[HPAmp],"Y")</f>
        <v>0</v>
      </c>
      <c r="AG278">
        <f>SUMIFS(Dyno_Data[Mics], Dyno_Data[Team],TBA_Matches_All[[#This Row],[Team]],Dyno_Data[Match],TBA_Matches_All[[#This Row],[Match_Number]],Dyno_Data[RecordType],"EndMatch",Dyno_Data[HPAmp],"Y")</f>
        <v>0</v>
      </c>
      <c r="AH278">
        <f>SUMIFS(Dyno_Data[Leave], Dyno_Data[Team],TBA_Matches_All[[#This Row],[Team]],Dyno_Data[Match],TBA_Matches_All[[#This Row],[Match_Number]],Dyno_Data[RecordType],"EndAuto")</f>
        <v>0</v>
      </c>
      <c r="AI278">
        <f>COUNTIFS(Dyno_Data[Team],TBA_Matches_All[[#This Row],[Team]],Dyno_Data[Match],TBA_Matches_All[[#This Row],[Match_Number]],Dyno_Data[RecordType],"Activities",Dyno_Data[DelDest],"Amp", Dyno_Data[DelMiss],"0", Dyno_Data[Mode],"Auto")</f>
        <v>0</v>
      </c>
      <c r="AJ278">
        <f>COUNTIFS(Dyno_Data[Team],TBA_Matches_All[[#This Row],[Team]],Dyno_Data[Match],TBA_Matches_All[[#This Row],[Match_Number]],Dyno_Data[RecordType],"Activities",Dyno_Data[DelDest],"Spkr", Dyno_Data[DelMiss],"0", Dyno_Data[Mode],"Auto")</f>
        <v>0</v>
      </c>
      <c r="AK278">
        <f>COUNTIFS(Dyno_Data[Team],TBA_Matches_All[[#This Row],[Team]],Dyno_Data[Match],TBA_Matches_All[[#This Row],[Match_Number]],Dyno_Data[RecordType],"Activities",Dyno_Data[DelDest],"Trap", Dyno_Data[DelMiss],"0", Dyno_Data[Mode],"Auto")</f>
        <v>0</v>
      </c>
      <c r="AL278">
        <f>COUNTIFS(Dyno_Data[Team],TBA_Matches_All[[#This Row],[Team]],Dyno_Data[Match],TBA_Matches_All[[#This Row],[Match_Number]],Dyno_Data[RecordType],"Activities",Dyno_Data[DelDest],"Amp", Dyno_Data[DelMiss],"0", Dyno_Data[Mode],"Teleop")</f>
        <v>0</v>
      </c>
      <c r="AM278">
        <f>COUNTIFS(Dyno_Data[Team],TBA_Matches_All[[#This Row],[Team]],Dyno_Data[Match],TBA_Matches_All[[#This Row],[Match_Number]],Dyno_Data[RecordType],"Activities",Dyno_Data[DelDest],"Spkr", Dyno_Data[DelMiss],"0", Dyno_Data[Mode],"Teleop")</f>
        <v>1</v>
      </c>
      <c r="AN278">
        <f>COUNTIFS(Dyno_Data[Team],TBA_Matches_All[[#This Row],[Team]],Dyno_Data[Match],TBA_Matches_All[[#This Row],[Match_Number]],Dyno_Data[RecordType],"Activities",Dyno_Data[DelDest],"Trap", Dyno_Data[DelMiss],"0", Dyno_Data[Mode],"&lt;&gt;Auto")</f>
        <v>0</v>
      </c>
      <c r="AO278">
        <f>SUM(TBA_Matches_All[[#This Row],[AampT]]+TBA_Matches_All[[#This Row],[AspkrT]]+TBA_Matches_All[[#This Row],[AtrapT]]+TBA_Matches_All[[#This Row],[TampT]]+TBA_Matches_All[[#This Row],[TspkrT]]+TBA_Matches_All[[#This Row],[TtrapT]])</f>
        <v>1</v>
      </c>
      <c r="AP278">
        <f>COUNTIFS(Dyno_Data[Team],TBA_Matches_All[[#This Row],[Team]],Dyno_Data[Match],TBA_Matches_All[[#This Row],[Match_Number]],Dyno_Data[RecordType],"Activities",Dyno_Data[DelDest],"Neut", Dyno_Data[DelMiss],"0")</f>
        <v>0</v>
      </c>
      <c r="AQ278">
        <f>COUNTIFS(Dyno_Data[Team],TBA_Matches_All[[#This Row],[Team]],Dyno_Data[Match],TBA_Matches_All[[#This Row],[Match_Number]],Dyno_Data[RecordType],"Activities",Dyno_Data[DelDest],"AllyW", Dyno_Data[DelMiss],"0")</f>
        <v>0</v>
      </c>
      <c r="AR278" t="str">
        <f>_xlfn.XLOOKUP(SUM(MID(TBA_Matches_All[[#This Row],[Team]],4,5),(TBA_Matches_All[[#This Row],[Match_Number]]/100)),Dyno_EndMatch[teammat],Dyno_EndMatch[RobotSta],"_",0,1)</f>
        <v>OppS</v>
      </c>
      <c r="AS278">
        <f>SUMIFS(Dyno_Data[AcqDis], Dyno_Data[Team],TBA_Matches_All[[#This Row],[Team]],Dyno_Data[Match],TBA_Matches_All[[#This Row],[Match_Number]],Dyno_Data[RecordType],"Activities", Dyno_Data[AcqCenter],1,Dyno_Data[Mode],"Auto")</f>
        <v>0</v>
      </c>
      <c r="AT278">
        <f>SUMIFS(Dyno_Data[AcqDis], Dyno_Data[Team],TBA_Matches_All[[#This Row],[Team]],Dyno_Data[Match],TBA_Matches_All[[#This Row],[Match_Number]],Dyno_Data[RecordType],"Activities", Dyno_Data[AcqCenter],2,Dyno_Data[Mode],"Auto")</f>
        <v>0</v>
      </c>
      <c r="AU278">
        <f>SUMIFS(Dyno_Data[AcqDis], Dyno_Data[Team],TBA_Matches_All[[#This Row],[Team]],Dyno_Data[Match],TBA_Matches_All[[#This Row],[Match_Number]],Dyno_Data[RecordType],"Activities", Dyno_Data[AcqCenter],3,Dyno_Data[Mode],"Auto")</f>
        <v>0</v>
      </c>
      <c r="AV278">
        <f>SUMIFS(Dyno_Data[AcqDis], Dyno_Data[Team],TBA_Matches_All[[#This Row],[Team]],Dyno_Data[Match],TBA_Matches_All[[#This Row],[Match_Number]],Dyno_Data[RecordType],"Activities", Dyno_Data[AcqCenter],4,Dyno_Data[Mode],"Auto")</f>
        <v>0</v>
      </c>
      <c r="AW278">
        <f>SUMIFS(Dyno_Data[AcqDis], Dyno_Data[Team],TBA_Matches_All[[#This Row],[Team]],Dyno_Data[Match],TBA_Matches_All[[#This Row],[Match_Number]],Dyno_Data[RecordType],"Activities", Dyno_Data[AcqCenter],5,Dyno_Data[Mode],"Auto")</f>
        <v>0</v>
      </c>
      <c r="AX278">
        <f>SUMIFS(Dyno_Data[DelMiss], Dyno_Data[Team],TBA_Matches_All[[#This Row],[Team]],Dyno_Data[Match],TBA_Matches_All[[#This Row],[Match_Number]],Dyno_Data[RecordType],"Activities", Dyno_Data[DelDest],"Amp")</f>
        <v>0</v>
      </c>
      <c r="AY278" s="60">
        <f>IFERROR(SUM((TBA_Matches_All[[#This Row],[AampT]]+TBA_Matches_All[[#This Row],[TampT]])/(TBA_Matches_All[[#This Row],[AampT]]+TBA_Matches_All[[#This Row],[TampT]]+TBA_Matches_All[[#This Row],[ampM]])),0)</f>
        <v>0</v>
      </c>
      <c r="AZ278">
        <f>SUMIFS(Dyno_Data[DelMiss], Dyno_Data[Team],TBA_Matches_All[[#This Row],[Team]],Dyno_Data[Match],TBA_Matches_All[[#This Row],[Match_Number]],Dyno_Data[RecordType],"Activities", Dyno_Data[DelDest],"Spkr")</f>
        <v>0</v>
      </c>
      <c r="BA278" s="60">
        <f>IFERROR(SUM((TBA_Matches_All[[#This Row],[AspkrT]]+TBA_Matches_All[[#This Row],[TspkrT]])/(TBA_Matches_All[[#This Row],[AspkrT]]+TBA_Matches_All[[#This Row],[TspkrT]]+TBA_Matches_All[[#This Row],[spkrM]])),0)</f>
        <v>1</v>
      </c>
      <c r="BB278">
        <f>SUMIFS(Dyno_Data[DelMiss], Dyno_Data[Team],TBA_Matches_All[[#This Row],[Team]],Dyno_Data[Match],TBA_Matches_All[[#This Row],[Match_Number]],Dyno_Data[RecordType],"Activities", Dyno_Data[DelDest],"Trap")</f>
        <v>0</v>
      </c>
      <c r="BC278" s="60">
        <f>IFERROR((TBA_Matches_All[[#This Row],[AtrapT]]+TBA_Matches_All[[#This Row],[TtrapT]])/(TBA_Matches_All[[#This Row],[AtrapT]]+TBA_Matches_All[[#This Row],[TtrapT]]+TBA_Matches_All[[#This Row],[trapM]]),0)</f>
        <v>0</v>
      </c>
      <c r="BD278">
        <f>COUNTIFS(Dyno_Data[Team],TBA_Matches_All[[#This Row],[Team]],Dyno_Data[Match],TBA_Matches_All[[#This Row],[Match_Number]],Dyno_Data[RecordType],"Activities",Dyno_Data[DelDest],"Neut", Dyno_Data[DelMiss],1)</f>
        <v>0</v>
      </c>
      <c r="BE278" s="60">
        <f>IFERROR(SUM((TBA_Matches_All[[#This Row],[NeutFlrT]])/(TBA_Matches_All[[#This Row],[NeutFlrT]]+TBA_Matches_All[[#This Row],[NZflM]])),0)</f>
        <v>0</v>
      </c>
      <c r="BF278">
        <f>COUNTIFS(Dyno_Data[Team],TBA_Matches_All[[#This Row],[Team]],Dyno_Data[Match],TBA_Matches_All[[#This Row],[Match_Number]],Dyno_Data[RecordType],"Activities",Dyno_Data[DelDest],"AllyW", Dyno_Data[DelMiss],1)</f>
        <v>0</v>
      </c>
      <c r="BG278" s="60">
        <f>IFERROR(SUM((TBA_Matches_All[[#This Row],[AllyWFlrT]])/(TBA_Matches_All[[#This Row],[AllyWFlrT]]+TBA_Matches_All[[#This Row],[AZflM]])),0)</f>
        <v>0</v>
      </c>
      <c r="BH278">
        <f>COUNTIFS(Dyno_Data[Team],TBA_Matches_All[[#This Row],[Team]],Dyno_Data[Match],TBA_Matches_All[[#This Row],[Match_Number]],Dyno_Data[RecordType],"Activities",Dyno_Data[DelOrig],"OppW", Dyno_Data[DelMiss],"0")</f>
        <v>0</v>
      </c>
      <c r="BI278">
        <f>COUNTIFS(Dyno_Data[Team],TBA_Matches_All[[#This Row],[Team]],Dyno_Data[Match],TBA_Matches_All[[#This Row],[Match_Number]],Dyno_Data[RecordType],"Activities",Dyno_Data[DelOrig],"OppW", Dyno_Data[DelMiss],"1")</f>
        <v>0</v>
      </c>
      <c r="BJ278" s="60">
        <f>IFERROR(SUM((TBA_Matches_All[[#This Row],[OZflrT]])/(TBA_Matches_All[[#This Row],[OZflrT]]+TBA_Matches_All[[#This Row],[OZflrM]])),0)</f>
        <v>0</v>
      </c>
      <c r="BK278">
        <f>COUNTIFS(Dyno_Data[Team],TBA_Matches_All[[#This Row],[Team]],Dyno_Data[Match],TBA_Matches_All[[#This Row],[Match_Number]],Dyno_Data[RecordType],"Activities",Dyno_Data[DelOrig],"Neut", Dyno_Data[DelMiss],"0")</f>
        <v>0</v>
      </c>
      <c r="BL278">
        <f>COUNTIFS(Dyno_Data[Team],TBA_Matches_All[[#This Row],[Team]],Dyno_Data[Match],TBA_Matches_All[[#This Row],[Match_Number]],Dyno_Data[RecordType],"Activities",Dyno_Data[DelOrig],"Neut", Dyno_Data[DelMiss],"1")</f>
        <v>0</v>
      </c>
      <c r="BM278" s="60">
        <f>IFERROR(SUM((TBA_Matches_All[[#This Row],[NZflrT]])/(TBA_Matches_All[[#This Row],[NZflrT]]+TBA_Matches_All[[#This Row],[NZflrM]])),0)</f>
        <v>0</v>
      </c>
      <c r="BN278">
        <f>COUNTIFS(Dyno_Data[Team],TBA_Matches_All[[#This Row],[Team]],Dyno_Data[Match],TBA_Matches_All[[#This Row],[Match_Number]],Dyno_Data[RecordType],"Activities",Dyno_Data[DelOrig],"AllyW", Dyno_Data[DelMiss],"0")</f>
        <v>0</v>
      </c>
      <c r="BO278">
        <f>COUNTIFS(Dyno_Data[Team],TBA_Matches_All[[#This Row],[Team]],Dyno_Data[Match],TBA_Matches_All[[#This Row],[Match_Number]],Dyno_Data[RecordType],"Activities",Dyno_Data[DelOrig],"AllyW", Dyno_Data[DelMiss],"1")</f>
        <v>0</v>
      </c>
      <c r="BP278" s="60">
        <f>IFERROR(SUM((TBA_Matches_All[[#This Row],[AZflrT]])/(TBA_Matches_All[[#This Row],[AZflrT]]+TBA_Matches_All[[#This Row],[AZflrM]])),0)</f>
        <v>0</v>
      </c>
      <c r="BQ278">
        <f>COUNTIFS(Dyno_Data[Team],TBA_Matches_All[[#This Row],[Team]],Dyno_Data[Match],TBA_Matches_All[[#This Row],[Match_Number]],Dyno_Data[RecordType],"Activities",Dyno_Data[DelOrig],"SubW", Dyno_Data[DelMiss],"0")</f>
        <v>1</v>
      </c>
      <c r="BR278">
        <f>COUNTIFS(Dyno_Data[Team],TBA_Matches_All[[#This Row],[Team]],Dyno_Data[Match],TBA_Matches_All[[#This Row],[Match_Number]],Dyno_Data[RecordType],"Activities",Dyno_Data[DelOrig],"SubW", Dyno_Data[DelMiss],"1")</f>
        <v>0</v>
      </c>
      <c r="BS278" s="60">
        <f>IFERROR(SUM((TBA_Matches_All[[#This Row],[SubwT]])/(TBA_Matches_All[[#This Row],[SubwT]]+TBA_Matches_All[[#This Row],[SubwM]])),0)</f>
        <v>1</v>
      </c>
      <c r="BT278">
        <f>COUNTIFS(Dyno_Data[Team],TBA_Matches_All[[#This Row],[Team]],Dyno_Data[Match],TBA_Matches_All[[#This Row],[Match_Number]],Dyno_Data[RecordType],"Activities", Dyno_Data[AcqLoc],"OppWing")</f>
        <v>0</v>
      </c>
      <c r="BU278">
        <f>COUNTIFS(Dyno_Data[Team],TBA_Matches_All[[#This Row],[Team]],Dyno_Data[Match],TBA_Matches_All[[#This Row],[Match_Number]],Dyno_Data[RecordType],"Activities", Dyno_Data[AcqLoc],"Neutral")</f>
        <v>0</v>
      </c>
      <c r="BV278">
        <f>COUNTIFS(Dyno_Data[Team],TBA_Matches_All[[#This Row],[Team]],Dyno_Data[Match],TBA_Matches_All[[#This Row],[Match_Number]],Dyno_Data[RecordType],"Activities", Dyno_Data[AcqLoc],"AllyWing")</f>
        <v>0</v>
      </c>
      <c r="BW278">
        <f>COUNTIFS(Dyno_Data[Team],TBA_Matches_All[[#This Row],[Team]],Dyno_Data[Match],TBA_Matches_All[[#This Row],[Match_Number]],Dyno_Data[RecordType],"Activities", Dyno_Data[AcqLoc],"Source")</f>
        <v>0</v>
      </c>
      <c r="BX278">
        <f>SUMIFS(Dyno_Data[AcqDrp], Dyno_Data[Team],TBA_Matches_All[[#This Row],[Team]],Dyno_Data[Match],TBA_Matches_All[[#This Row],[Match_Number]],Dyno_Data[RecordType],"Activities", Dyno_Data[AcqLoc],"Source")</f>
        <v>0</v>
      </c>
      <c r="BY278">
        <f>SUMIFS(Dyno_Data[OZTime], Dyno_Data[Team],TBA_Matches_All[[#This Row],[Team]],Dyno_Data[Match],TBA_Matches_All[[#This Row],[Match_Number]],Dyno_Data[RecordType],"EndMatch")</f>
        <v>42.812015699999996</v>
      </c>
      <c r="BZ278">
        <f>SUMIFS(Dyno_Data[NZTime], Dyno_Data[Team],TBA_Matches_All[[#This Row],[Team]],Dyno_Data[Match],TBA_Matches_All[[#This Row],[Match_Number]],Dyno_Data[RecordType],"EndMatch")</f>
        <v>42.340462899999999</v>
      </c>
      <c r="CA278">
        <f>SUMIFS(Dyno_Data[AZTime], Dyno_Data[Team],TBA_Matches_All[[#This Row],[Team]],Dyno_Data[Match],TBA_Matches_All[[#This Row],[Match_Number]],Dyno_Data[RecordType],"EndMatch")</f>
        <v>52.463744800000001</v>
      </c>
      <c r="CB278">
        <f>SUMIFS(Dyno_Data[ClimbT], Dyno_Data[Team],TBA_Matches_All[[#This Row],[Team]],Dyno_Data[Match],TBA_Matches_All[[#This Row],[Match_Number]],Dyno_Data[RecordType],"EndMatch")</f>
        <v>0</v>
      </c>
      <c r="CC278" t="str">
        <f>_xlfn.XLOOKUP(SUM(MID(TBA_Matches_All[[#This Row],[Team]],4,5),(TBA_Matches_All[[#This Row],[Match_Number]]/100)),Dyno_EndMatch[teammat],Dyno_EndMatch[StageStat],"_",0,1)</f>
        <v>Park</v>
      </c>
      <c r="CD278" t="str">
        <f>_xlfn.XLOOKUP(TBA_Matches_All[[#This Row],[teammat]],Dyno_EndMatch[teammat],Dyno_EndMatch[StageAtt],"_",0,1)</f>
        <v>0</v>
      </c>
      <c r="CE278" t="str">
        <f>_xlfn.XLOOKUP(TBA_Matches_All[[#This Row],[teammat]],Dyno_EndMatch[teammat],Dyno_EndMatch[StageLoc],"_",0,1)</f>
        <v>A</v>
      </c>
      <c r="CF278">
        <f>SUMIFS(Dyno_Data[Harmony], Dyno_Data[Team],TBA_Matches_All[[#This Row],[Team]],Dyno_Data[Match],TBA_Matches_All[[#This Row],[Match_Number]],Dyno_Data[RecordType],"EndMatch", Dyno_Data[StageStat],"On",Dyno_Data[Harmony],"&lt;&gt;9")</f>
        <v>0</v>
      </c>
      <c r="CG278">
        <f>SUMIFS(Dyno_Data[Spotlit], Dyno_Data[Team],TBA_Matches_All[[#This Row],[Team]],Dyno_Data[Match],TBA_Matches_All[[#This Row],[Match_Number]],Dyno_Data[RecordType],"EndMatch", Dyno_Data[StageStat],"On",Dyno_Data[Spotlit],"&lt;&gt;9")</f>
        <v>0</v>
      </c>
      <c r="CH278" t="str">
        <f>_xlfn.XLOOKUP(TBA_Matches_All[[#This Row],[teammat]],Dyno_EndMatch[teammat],Dyno_EndMatch[Strategy],"_",0,1)</f>
        <v>Defense</v>
      </c>
      <c r="CI278">
        <f>SUMIFS(Dyno_Data[Defense], Dyno_Data[Team],TBA_Matches_All[[#This Row],[Team]],Dyno_Data[Match],TBA_Matches_All[[#This Row],[Match_Number]],Dyno_Data[RecordType],"EndMatch",Dyno_Data[Defense],"&lt;&gt;9")</f>
        <v>2</v>
      </c>
      <c r="CJ278">
        <f>SUMIFS(Dyno_Data[Avoidance], Dyno_Data[Team],TBA_Matches_All[[#This Row],[Team]],Dyno_Data[Match],TBA_Matches_All[[#This Row],[Match_Number]],Dyno_Data[RecordType],"EndMatch",Dyno_Data[Avoidance],"&lt;&gt;9")</f>
        <v>0</v>
      </c>
      <c r="CK278" s="82">
        <f>COUNTIF($H$2:TBA_Matches_All[[#This Row],[Team]],TBA_Matches_All[[#This Row],[Team]])</f>
        <v>6</v>
      </c>
      <c r="CL278" s="111">
        <f>SUM(MID(TBA_Matches_All[[#This Row],[Team]],4,5)+TBA_Matches_All[[#This Row],[Match_Number]]/100)</f>
        <v>1601.46</v>
      </c>
      <c r="CM278">
        <f>SUM((TBA_Matches_All[[#This Row],[Leave]]*2)+(TBA_Matches_All[[#This Row],[AampT]]*2)+(TBA_Matches_All[[#This Row],[AspkrT]]*5)+(TBA_Matches_All[[#This Row],[AtrapT]]*5))</f>
        <v>0</v>
      </c>
      <c r="CN278" s="59">
        <f>IFERROR(SUM(TBA_Matches_All[[#This Row],[AptsT]]/TBA_Matches_All[[#This Row],[AutoPts]]),0)</f>
        <v>0</v>
      </c>
      <c r="CO278" s="59">
        <f>IFERROR(SUM(TBA_Matches_All[[#This Row],[AampT]]+TBA_Matches_All[[#This Row],[AspkrT]]+TBA_Matches_All[[#This Row],[AtrapT]]/TBA_Matches_All[[#This Row],[Aamp]]+TBA_Matches_All[[#This Row],[Aspkr]]+TBA_Matches_All[[#This Row],[AtrapT]]),0)</f>
        <v>0</v>
      </c>
      <c r="CP278" s="59">
        <f>IFERROR(SUM(TBA_Matches_All[[#This Row],[TampT]]/TBA_Matches_All[[#This Row],[Tamp]]),0)</f>
        <v>0</v>
      </c>
      <c r="CQ278" s="59">
        <f>IFERROR(SUM(TBA_Matches_All[[#This Row],[TspkrT]]/TBA_Matches_All[[#This Row],[Tspkr]]),0)</f>
        <v>8.3333333333333329E-2</v>
      </c>
      <c r="CR278">
        <f>SUM(TBA_Matches_All[[#This Row],[TspkrPts]]*TBA_Matches_All[[#This Row],[TspkrP]])</f>
        <v>3</v>
      </c>
      <c r="CS278" s="59">
        <f>IFERROR(SUM(TBA_Matches_All[[#This Row],[TtrapT]]/TBA_Matches_All[[#This Row],[Trap]]),0)</f>
        <v>0</v>
      </c>
      <c r="CT278" s="59">
        <f>IFERROR(SUM(TBA_Matches_All[[#This Row],[TotNotesT]]/TBA_Matches_All[[#This Row],[TotNotes]]),0)</f>
        <v>5.5555555555555552E-2</v>
      </c>
      <c r="CU278" s="66">
        <f>SUM((TBA_Matches_All[[#This Row],[AampT]]*2)+(TBA_Matches_All[[#This Row],[AspkrT]]*5)+(TBA_Matches_All[[#This Row],[AtrapT]]*5)+(TBA_Matches_All[[#This Row],[TampT]]*1)+(TBA_Matches_All[[#This Row],[TspkrptsC]]))</f>
        <v>3</v>
      </c>
      <c r="CV278" s="59">
        <f>IFERROR(TBA_Matches_All[[#This Row],[noteptsT]]/TBA_Matches_All[[#This Row],[NotePts]],0)</f>
        <v>6.5217391304347824E-2</v>
      </c>
      <c r="CW278">
        <f>SUM(IF(TBA_Matches_All[[#This Row],[stageStat]]="On",3,0),IF(TBA_Matches_All[[#This Row],[stageStat]]="Park",1,0),SUMIFS(TBA_Matches_All[[#This Row],[Spotlit]],TBA_Matches_All[[#This Row],[stageStat]],"On"),SUMIFS(TBA_Matches_All[[#This Row],[Harmony]],TBA_Matches_All[[#This Row],[stageStat]],"On"))</f>
        <v>1</v>
      </c>
      <c r="CX278" s="59">
        <f>IFERROR(TBA_Matches_All[[#This Row],[stageptsT]]/TBA_Matches_All[[#This Row],[StagePts]],0)</f>
        <v>0.5</v>
      </c>
      <c r="CY278">
        <f>SUM((TBA_Matches_All[[#This Row],[AptsT]]+TBA_Matches_All[[#This Row],[TampT]]+TBA_Matches_All[[#This Row],[TspkrptsC]]+(TBA_Matches_All[[#This Row],[TtrapT]]*5)+TBA_Matches_All[[#This Row],[stageptsT]]))</f>
        <v>4</v>
      </c>
      <c r="CZ278" s="59">
        <f>IFERROR(SUM(TBA_Matches_All[[#This Row],[TotptsC]]/TBA_Matches_All[[#This Row],[Score]]),0)</f>
        <v>7.0175438596491224E-2</v>
      </c>
      <c r="DA27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78" s="74">
        <f>SUMIFS(TBA_Matches_All[AveTeamTNoteDels],TBA_Matches_All[Match_Number],TBA_Matches_All[[#This Row],[Match_Number]],TBA_Matches_All[Alliance],"&lt;&gt;"&amp;TBA_Matches_All[[#This Row],[Alliance]],TBA_Matches_All[Scouted],"&gt;0")</f>
        <v>23.393333333333331</v>
      </c>
      <c r="DC278" s="74">
        <f>(TBA_Matches_All[[#This Row],[TampT]]+TBA_Matches_All[[#This Row],[TspkrptsC]])-TBA_Matches_All[[#This Row],[AveTeamTNoteDels]]</f>
        <v>3</v>
      </c>
      <c r="DD278" s="74">
        <f>SUMIFS(TBA_Matches_All[AveTeamTNoteDels],TBA_Matches_All[Match_Number],TBA_Matches_All[[#This Row],[Match_Number]],TBA_Matches_All[Alliance],"&lt;&gt;"&amp;TBA_Matches_All[[#This Row],[Alliance]])-TBA_Matches_All[[#This Row],[AveOppTNoteDels]]</f>
        <v>0</v>
      </c>
    </row>
    <row r="279" spans="1:108" x14ac:dyDescent="0.3">
      <c r="A279" t="s">
        <v>1042</v>
      </c>
      <c r="B279" t="s">
        <v>489</v>
      </c>
      <c r="C279" t="s">
        <v>1356</v>
      </c>
      <c r="D279">
        <v>47</v>
      </c>
      <c r="E279" t="s">
        <v>1420</v>
      </c>
      <c r="F279" t="s">
        <v>1425</v>
      </c>
      <c r="G279" t="s">
        <v>105</v>
      </c>
      <c r="H279" t="s">
        <v>1290</v>
      </c>
      <c r="I279" t="b">
        <v>1</v>
      </c>
      <c r="J279">
        <v>49</v>
      </c>
      <c r="K279">
        <v>0</v>
      </c>
      <c r="L279">
        <v>0</v>
      </c>
      <c r="M279">
        <v>5</v>
      </c>
      <c r="N279">
        <v>0</v>
      </c>
      <c r="O279">
        <v>4</v>
      </c>
      <c r="P279">
        <v>20</v>
      </c>
      <c r="Q279">
        <v>24</v>
      </c>
      <c r="R279">
        <v>4</v>
      </c>
      <c r="S279">
        <v>2</v>
      </c>
      <c r="T279">
        <v>4</v>
      </c>
      <c r="U279">
        <v>10</v>
      </c>
      <c r="V279">
        <v>8</v>
      </c>
      <c r="W279">
        <v>6</v>
      </c>
      <c r="X279">
        <v>18</v>
      </c>
      <c r="Y279">
        <v>22</v>
      </c>
      <c r="Z279">
        <v>0</v>
      </c>
      <c r="AA279">
        <v>0</v>
      </c>
      <c r="AB279">
        <v>14</v>
      </c>
      <c r="AC279">
        <v>42</v>
      </c>
      <c r="AD279">
        <v>3</v>
      </c>
      <c r="AE279">
        <f>IFERROR(6/(COUNTIF(Dyno_EndMatch[Match],TBA_Matches_All[[#This Row],[Match_Number]])),0)</f>
        <v>1</v>
      </c>
      <c r="AF279">
        <f>COUNTIFS(Dyno_Data[Team],TBA_Matches_All[[#This Row],[Team]],Dyno_Data[Match],TBA_Matches_All[[#This Row],[Match_Number]],Dyno_Data[RecordType],"EndMatch",Dyno_Data[HPAmp],"Y")</f>
        <v>0</v>
      </c>
      <c r="AG279">
        <f>SUMIFS(Dyno_Data[Mics], Dyno_Data[Team],TBA_Matches_All[[#This Row],[Team]],Dyno_Data[Match],TBA_Matches_All[[#This Row],[Match_Number]],Dyno_Data[RecordType],"EndMatch",Dyno_Data[HPAmp],"Y")</f>
        <v>0</v>
      </c>
      <c r="AH279">
        <f>SUMIFS(Dyno_Data[Leave], Dyno_Data[Team],TBA_Matches_All[[#This Row],[Team]],Dyno_Data[Match],TBA_Matches_All[[#This Row],[Match_Number]],Dyno_Data[RecordType],"EndAuto")</f>
        <v>1</v>
      </c>
      <c r="AI279">
        <f>COUNTIFS(Dyno_Data[Team],TBA_Matches_All[[#This Row],[Team]],Dyno_Data[Match],TBA_Matches_All[[#This Row],[Match_Number]],Dyno_Data[RecordType],"Activities",Dyno_Data[DelDest],"Amp", Dyno_Data[DelMiss],"0", Dyno_Data[Mode],"Auto")</f>
        <v>0</v>
      </c>
      <c r="AJ279">
        <f>COUNTIFS(Dyno_Data[Team],TBA_Matches_All[[#This Row],[Team]],Dyno_Data[Match],TBA_Matches_All[[#This Row],[Match_Number]],Dyno_Data[RecordType],"Activities",Dyno_Data[DelDest],"Spkr", Dyno_Data[DelMiss],"0", Dyno_Data[Mode],"Auto")</f>
        <v>2</v>
      </c>
      <c r="AK279">
        <f>COUNTIFS(Dyno_Data[Team],TBA_Matches_All[[#This Row],[Team]],Dyno_Data[Match],TBA_Matches_All[[#This Row],[Match_Number]],Dyno_Data[RecordType],"Activities",Dyno_Data[DelDest],"Trap", Dyno_Data[DelMiss],"0", Dyno_Data[Mode],"Auto")</f>
        <v>0</v>
      </c>
      <c r="AL279">
        <f>COUNTIFS(Dyno_Data[Team],TBA_Matches_All[[#This Row],[Team]],Dyno_Data[Match],TBA_Matches_All[[#This Row],[Match_Number]],Dyno_Data[RecordType],"Activities",Dyno_Data[DelDest],"Amp", Dyno_Data[DelMiss],"0", Dyno_Data[Mode],"Teleop")</f>
        <v>0</v>
      </c>
      <c r="AM279">
        <f>COUNTIFS(Dyno_Data[Team],TBA_Matches_All[[#This Row],[Team]],Dyno_Data[Match],TBA_Matches_All[[#This Row],[Match_Number]],Dyno_Data[RecordType],"Activities",Dyno_Data[DelDest],"Spkr", Dyno_Data[DelMiss],"0", Dyno_Data[Mode],"Teleop")</f>
        <v>1</v>
      </c>
      <c r="AN279">
        <f>COUNTIFS(Dyno_Data[Team],TBA_Matches_All[[#This Row],[Team]],Dyno_Data[Match],TBA_Matches_All[[#This Row],[Match_Number]],Dyno_Data[RecordType],"Activities",Dyno_Data[DelDest],"Trap", Dyno_Data[DelMiss],"0", Dyno_Data[Mode],"&lt;&gt;Auto")</f>
        <v>0</v>
      </c>
      <c r="AO279">
        <f>SUM(TBA_Matches_All[[#This Row],[AampT]]+TBA_Matches_All[[#This Row],[AspkrT]]+TBA_Matches_All[[#This Row],[AtrapT]]+TBA_Matches_All[[#This Row],[TampT]]+TBA_Matches_All[[#This Row],[TspkrT]]+TBA_Matches_All[[#This Row],[TtrapT]])</f>
        <v>3</v>
      </c>
      <c r="AP279">
        <f>COUNTIFS(Dyno_Data[Team],TBA_Matches_All[[#This Row],[Team]],Dyno_Data[Match],TBA_Matches_All[[#This Row],[Match_Number]],Dyno_Data[RecordType],"Activities",Dyno_Data[DelDest],"Neut", Dyno_Data[DelMiss],"0")</f>
        <v>0</v>
      </c>
      <c r="AQ279">
        <f>COUNTIFS(Dyno_Data[Team],TBA_Matches_All[[#This Row],[Team]],Dyno_Data[Match],TBA_Matches_All[[#This Row],[Match_Number]],Dyno_Data[RecordType],"Activities",Dyno_Data[DelDest],"AllyW", Dyno_Data[DelMiss],"0")</f>
        <v>0</v>
      </c>
      <c r="AR279" t="str">
        <f>_xlfn.XLOOKUP(SUM(MID(TBA_Matches_All[[#This Row],[Team]],4,5),(TBA_Matches_All[[#This Row],[Match_Number]]/100)),Dyno_EndMatch[teammat],Dyno_EndMatch[RobotSta],"_",0,1)</f>
        <v>Amp</v>
      </c>
      <c r="AS279">
        <f>SUMIFS(Dyno_Data[AcqDis], Dyno_Data[Team],TBA_Matches_All[[#This Row],[Team]],Dyno_Data[Match],TBA_Matches_All[[#This Row],[Match_Number]],Dyno_Data[RecordType],"Activities", Dyno_Data[AcqCenter],1,Dyno_Data[Mode],"Auto")</f>
        <v>0</v>
      </c>
      <c r="AT279">
        <f>SUMIFS(Dyno_Data[AcqDis], Dyno_Data[Team],TBA_Matches_All[[#This Row],[Team]],Dyno_Data[Match],TBA_Matches_All[[#This Row],[Match_Number]],Dyno_Data[RecordType],"Activities", Dyno_Data[AcqCenter],2,Dyno_Data[Mode],"Auto")</f>
        <v>0</v>
      </c>
      <c r="AU279">
        <f>SUMIFS(Dyno_Data[AcqDis], Dyno_Data[Team],TBA_Matches_All[[#This Row],[Team]],Dyno_Data[Match],TBA_Matches_All[[#This Row],[Match_Number]],Dyno_Data[RecordType],"Activities", Dyno_Data[AcqCenter],3,Dyno_Data[Mode],"Auto")</f>
        <v>0</v>
      </c>
      <c r="AV279">
        <f>SUMIFS(Dyno_Data[AcqDis], Dyno_Data[Team],TBA_Matches_All[[#This Row],[Team]],Dyno_Data[Match],TBA_Matches_All[[#This Row],[Match_Number]],Dyno_Data[RecordType],"Activities", Dyno_Data[AcqCenter],4,Dyno_Data[Mode],"Auto")</f>
        <v>0</v>
      </c>
      <c r="AW279">
        <f>SUMIFS(Dyno_Data[AcqDis], Dyno_Data[Team],TBA_Matches_All[[#This Row],[Team]],Dyno_Data[Match],TBA_Matches_All[[#This Row],[Match_Number]],Dyno_Data[RecordType],"Activities", Dyno_Data[AcqCenter],5,Dyno_Data[Mode],"Auto")</f>
        <v>0</v>
      </c>
      <c r="AX279">
        <f>SUMIFS(Dyno_Data[DelMiss], Dyno_Data[Team],TBA_Matches_All[[#This Row],[Team]],Dyno_Data[Match],TBA_Matches_All[[#This Row],[Match_Number]],Dyno_Data[RecordType],"Activities", Dyno_Data[DelDest],"Amp")</f>
        <v>0</v>
      </c>
      <c r="AY279" s="60">
        <f>IFERROR(SUM((TBA_Matches_All[[#This Row],[AampT]]+TBA_Matches_All[[#This Row],[TampT]])/(TBA_Matches_All[[#This Row],[AampT]]+TBA_Matches_All[[#This Row],[TampT]]+TBA_Matches_All[[#This Row],[ampM]])),0)</f>
        <v>0</v>
      </c>
      <c r="AZ279">
        <f>SUMIFS(Dyno_Data[DelMiss], Dyno_Data[Team],TBA_Matches_All[[#This Row],[Team]],Dyno_Data[Match],TBA_Matches_All[[#This Row],[Match_Number]],Dyno_Data[RecordType],"Activities", Dyno_Data[DelDest],"Spkr")</f>
        <v>5</v>
      </c>
      <c r="BA279" s="60">
        <f>IFERROR(SUM((TBA_Matches_All[[#This Row],[AspkrT]]+TBA_Matches_All[[#This Row],[TspkrT]])/(TBA_Matches_All[[#This Row],[AspkrT]]+TBA_Matches_All[[#This Row],[TspkrT]]+TBA_Matches_All[[#This Row],[spkrM]])),0)</f>
        <v>0.375</v>
      </c>
      <c r="BB279">
        <f>SUMIFS(Dyno_Data[DelMiss], Dyno_Data[Team],TBA_Matches_All[[#This Row],[Team]],Dyno_Data[Match],TBA_Matches_All[[#This Row],[Match_Number]],Dyno_Data[RecordType],"Activities", Dyno_Data[DelDest],"Trap")</f>
        <v>0</v>
      </c>
      <c r="BC279" s="60">
        <f>IFERROR((TBA_Matches_All[[#This Row],[AtrapT]]+TBA_Matches_All[[#This Row],[TtrapT]])/(TBA_Matches_All[[#This Row],[AtrapT]]+TBA_Matches_All[[#This Row],[TtrapT]]+TBA_Matches_All[[#This Row],[trapM]]),0)</f>
        <v>0</v>
      </c>
      <c r="BD279">
        <f>COUNTIFS(Dyno_Data[Team],TBA_Matches_All[[#This Row],[Team]],Dyno_Data[Match],TBA_Matches_All[[#This Row],[Match_Number]],Dyno_Data[RecordType],"Activities",Dyno_Data[DelDest],"Neut", Dyno_Data[DelMiss],1)</f>
        <v>0</v>
      </c>
      <c r="BE279" s="60">
        <f>IFERROR(SUM((TBA_Matches_All[[#This Row],[NeutFlrT]])/(TBA_Matches_All[[#This Row],[NeutFlrT]]+TBA_Matches_All[[#This Row],[NZflM]])),0)</f>
        <v>0</v>
      </c>
      <c r="BF279">
        <f>COUNTIFS(Dyno_Data[Team],TBA_Matches_All[[#This Row],[Team]],Dyno_Data[Match],TBA_Matches_All[[#This Row],[Match_Number]],Dyno_Data[RecordType],"Activities",Dyno_Data[DelDest],"AllyW", Dyno_Data[DelMiss],1)</f>
        <v>0</v>
      </c>
      <c r="BG279" s="60">
        <f>IFERROR(SUM((TBA_Matches_All[[#This Row],[AllyWFlrT]])/(TBA_Matches_All[[#This Row],[AllyWFlrT]]+TBA_Matches_All[[#This Row],[AZflM]])),0)</f>
        <v>0</v>
      </c>
      <c r="BH279">
        <f>COUNTIFS(Dyno_Data[Team],TBA_Matches_All[[#This Row],[Team]],Dyno_Data[Match],TBA_Matches_All[[#This Row],[Match_Number]],Dyno_Data[RecordType],"Activities",Dyno_Data[DelOrig],"OppW", Dyno_Data[DelMiss],"0")</f>
        <v>0</v>
      </c>
      <c r="BI279">
        <f>COUNTIFS(Dyno_Data[Team],TBA_Matches_All[[#This Row],[Team]],Dyno_Data[Match],TBA_Matches_All[[#This Row],[Match_Number]],Dyno_Data[RecordType],"Activities",Dyno_Data[DelOrig],"OppW", Dyno_Data[DelMiss],"1")</f>
        <v>0</v>
      </c>
      <c r="BJ279" s="60">
        <f>IFERROR(SUM((TBA_Matches_All[[#This Row],[OZflrT]])/(TBA_Matches_All[[#This Row],[OZflrT]]+TBA_Matches_All[[#This Row],[OZflrM]])),0)</f>
        <v>0</v>
      </c>
      <c r="BK279">
        <f>COUNTIFS(Dyno_Data[Team],TBA_Matches_All[[#This Row],[Team]],Dyno_Data[Match],TBA_Matches_All[[#This Row],[Match_Number]],Dyno_Data[RecordType],"Activities",Dyno_Data[DelOrig],"Neut", Dyno_Data[DelMiss],"0")</f>
        <v>0</v>
      </c>
      <c r="BL279">
        <f>COUNTIFS(Dyno_Data[Team],TBA_Matches_All[[#This Row],[Team]],Dyno_Data[Match],TBA_Matches_All[[#This Row],[Match_Number]],Dyno_Data[RecordType],"Activities",Dyno_Data[DelOrig],"Neut", Dyno_Data[DelMiss],"1")</f>
        <v>1</v>
      </c>
      <c r="BM279" s="60">
        <f>IFERROR(SUM((TBA_Matches_All[[#This Row],[NZflrT]])/(TBA_Matches_All[[#This Row],[NZflrT]]+TBA_Matches_All[[#This Row],[NZflrM]])),0)</f>
        <v>0</v>
      </c>
      <c r="BN279">
        <f>COUNTIFS(Dyno_Data[Team],TBA_Matches_All[[#This Row],[Team]],Dyno_Data[Match],TBA_Matches_All[[#This Row],[Match_Number]],Dyno_Data[RecordType],"Activities",Dyno_Data[DelOrig],"AllyW", Dyno_Data[DelMiss],"0")</f>
        <v>0</v>
      </c>
      <c r="BO279">
        <f>COUNTIFS(Dyno_Data[Team],TBA_Matches_All[[#This Row],[Team]],Dyno_Data[Match],TBA_Matches_All[[#This Row],[Match_Number]],Dyno_Data[RecordType],"Activities",Dyno_Data[DelOrig],"AllyW", Dyno_Data[DelMiss],"1")</f>
        <v>2</v>
      </c>
      <c r="BP279" s="60">
        <f>IFERROR(SUM((TBA_Matches_All[[#This Row],[AZflrT]])/(TBA_Matches_All[[#This Row],[AZflrT]]+TBA_Matches_All[[#This Row],[AZflrM]])),0)</f>
        <v>0</v>
      </c>
      <c r="BQ279">
        <f>COUNTIFS(Dyno_Data[Team],TBA_Matches_All[[#This Row],[Team]],Dyno_Data[Match],TBA_Matches_All[[#This Row],[Match_Number]],Dyno_Data[RecordType],"Activities",Dyno_Data[DelOrig],"SubW", Dyno_Data[DelMiss],"0")</f>
        <v>3</v>
      </c>
      <c r="BR279">
        <f>COUNTIFS(Dyno_Data[Team],TBA_Matches_All[[#This Row],[Team]],Dyno_Data[Match],TBA_Matches_All[[#This Row],[Match_Number]],Dyno_Data[RecordType],"Activities",Dyno_Data[DelOrig],"SubW", Dyno_Data[DelMiss],"1")</f>
        <v>2</v>
      </c>
      <c r="BS279" s="60">
        <f>IFERROR(SUM((TBA_Matches_All[[#This Row],[SubwT]])/(TBA_Matches_All[[#This Row],[SubwT]]+TBA_Matches_All[[#This Row],[SubwM]])),0)</f>
        <v>0.6</v>
      </c>
      <c r="BT279">
        <f>COUNTIFS(Dyno_Data[Team],TBA_Matches_All[[#This Row],[Team]],Dyno_Data[Match],TBA_Matches_All[[#This Row],[Match_Number]],Dyno_Data[RecordType],"Activities", Dyno_Data[AcqLoc],"OppWing")</f>
        <v>0</v>
      </c>
      <c r="BU279">
        <f>COUNTIFS(Dyno_Data[Team],TBA_Matches_All[[#This Row],[Team]],Dyno_Data[Match],TBA_Matches_All[[#This Row],[Match_Number]],Dyno_Data[RecordType],"Activities", Dyno_Data[AcqLoc],"Neutral")</f>
        <v>0</v>
      </c>
      <c r="BV279">
        <f>COUNTIFS(Dyno_Data[Team],TBA_Matches_All[[#This Row],[Team]],Dyno_Data[Match],TBA_Matches_All[[#This Row],[Match_Number]],Dyno_Data[RecordType],"Activities", Dyno_Data[AcqLoc],"AllyWing")</f>
        <v>0</v>
      </c>
      <c r="BW279">
        <f>COUNTIFS(Dyno_Data[Team],TBA_Matches_All[[#This Row],[Team]],Dyno_Data[Match],TBA_Matches_All[[#This Row],[Match_Number]],Dyno_Data[RecordType],"Activities", Dyno_Data[AcqLoc],"Source")</f>
        <v>0</v>
      </c>
      <c r="BX279">
        <f>SUMIFS(Dyno_Data[AcqDrp], Dyno_Data[Team],TBA_Matches_All[[#This Row],[Team]],Dyno_Data[Match],TBA_Matches_All[[#This Row],[Match_Number]],Dyno_Data[RecordType],"Activities", Dyno_Data[AcqLoc],"Source")</f>
        <v>0</v>
      </c>
      <c r="BY279">
        <f>SUMIFS(Dyno_Data[OZTime], Dyno_Data[Team],TBA_Matches_All[[#This Row],[Team]],Dyno_Data[Match],TBA_Matches_All[[#This Row],[Match_Number]],Dyno_Data[RecordType],"EndMatch")</f>
        <v>36.787252699999996</v>
      </c>
      <c r="BZ279">
        <f>SUMIFS(Dyno_Data[NZTime], Dyno_Data[Team],TBA_Matches_All[[#This Row],[Team]],Dyno_Data[Match],TBA_Matches_All[[#This Row],[Match_Number]],Dyno_Data[RecordType],"EndMatch")</f>
        <v>31.111257599999998</v>
      </c>
      <c r="CA279">
        <f>SUMIFS(Dyno_Data[AZTime], Dyno_Data[Team],TBA_Matches_All[[#This Row],[Team]],Dyno_Data[Match],TBA_Matches_All[[#This Row],[Match_Number]],Dyno_Data[RecordType],"EndMatch")</f>
        <v>60.992992999999998</v>
      </c>
      <c r="CB279">
        <f>SUMIFS(Dyno_Data[ClimbT], Dyno_Data[Team],TBA_Matches_All[[#This Row],[Team]],Dyno_Data[Match],TBA_Matches_All[[#This Row],[Match_Number]],Dyno_Data[RecordType],"EndMatch")</f>
        <v>2.8781466999999998</v>
      </c>
      <c r="CC279" t="str">
        <f>_xlfn.XLOOKUP(SUM(MID(TBA_Matches_All[[#This Row],[Team]],4,5),(TBA_Matches_All[[#This Row],[Match_Number]]/100)),Dyno_EndMatch[teammat],Dyno_EndMatch[StageStat],"_",0,1)</f>
        <v>Park</v>
      </c>
      <c r="CD279" t="str">
        <f>_xlfn.XLOOKUP(TBA_Matches_All[[#This Row],[teammat]],Dyno_EndMatch[teammat],Dyno_EndMatch[StageAtt],"_",0,1)</f>
        <v>-1</v>
      </c>
      <c r="CE279" t="str">
        <f>_xlfn.XLOOKUP(TBA_Matches_All[[#This Row],[teammat]],Dyno_EndMatch[teammat],Dyno_EndMatch[StageLoc],"_",0,1)</f>
        <v>A</v>
      </c>
      <c r="CF279">
        <f>SUMIFS(Dyno_Data[Harmony], Dyno_Data[Team],TBA_Matches_All[[#This Row],[Team]],Dyno_Data[Match],TBA_Matches_All[[#This Row],[Match_Number]],Dyno_Data[RecordType],"EndMatch", Dyno_Data[StageStat],"On",Dyno_Data[Harmony],"&lt;&gt;9")</f>
        <v>0</v>
      </c>
      <c r="CG279">
        <f>SUMIFS(Dyno_Data[Spotlit], Dyno_Data[Team],TBA_Matches_All[[#This Row],[Team]],Dyno_Data[Match],TBA_Matches_All[[#This Row],[Match_Number]],Dyno_Data[RecordType],"EndMatch", Dyno_Data[StageStat],"On",Dyno_Data[Spotlit],"&lt;&gt;9")</f>
        <v>0</v>
      </c>
      <c r="CH279" t="str">
        <f>_xlfn.XLOOKUP(TBA_Matches_All[[#This Row],[teammat]],Dyno_EndMatch[teammat],Dyno_EndMatch[Strategy],"_",0,1)</f>
        <v>Hybrid</v>
      </c>
      <c r="CI279">
        <f>SUMIFS(Dyno_Data[Defense], Dyno_Data[Team],TBA_Matches_All[[#This Row],[Team]],Dyno_Data[Match],TBA_Matches_All[[#This Row],[Match_Number]],Dyno_Data[RecordType],"EndMatch",Dyno_Data[Defense],"&lt;&gt;9")</f>
        <v>1</v>
      </c>
      <c r="CJ279">
        <f>SUMIFS(Dyno_Data[Avoidance], Dyno_Data[Team],TBA_Matches_All[[#This Row],[Team]],Dyno_Data[Match],TBA_Matches_All[[#This Row],[Match_Number]],Dyno_Data[RecordType],"EndMatch",Dyno_Data[Avoidance],"&lt;&gt;9")</f>
        <v>0</v>
      </c>
      <c r="CK279" s="82">
        <f>COUNTIF($H$2:TBA_Matches_All[[#This Row],[Team]],TBA_Matches_All[[#This Row],[Team]])</f>
        <v>6</v>
      </c>
      <c r="CL279" s="111">
        <f>SUM(MID(TBA_Matches_All[[#This Row],[Team]],4,5)+TBA_Matches_All[[#This Row],[Match_Number]]/100)</f>
        <v>5881.47</v>
      </c>
      <c r="CM279">
        <f>SUM((TBA_Matches_All[[#This Row],[Leave]]*2)+(TBA_Matches_All[[#This Row],[AampT]]*2)+(TBA_Matches_All[[#This Row],[AspkrT]]*5)+(TBA_Matches_All[[#This Row],[AtrapT]]*5))</f>
        <v>12</v>
      </c>
      <c r="CN279" s="59">
        <f>IFERROR(SUM(TBA_Matches_All[[#This Row],[AptsT]]/TBA_Matches_All[[#This Row],[AutoPts]]),0)</f>
        <v>0.5</v>
      </c>
      <c r="CO279" s="59">
        <f>IFERROR(SUM(TBA_Matches_All[[#This Row],[AampT]]+TBA_Matches_All[[#This Row],[AspkrT]]+TBA_Matches_All[[#This Row],[AtrapT]]/TBA_Matches_All[[#This Row],[Aamp]]+TBA_Matches_All[[#This Row],[Aspkr]]+TBA_Matches_All[[#This Row],[AtrapT]]),0)</f>
        <v>0</v>
      </c>
      <c r="CP279" s="59">
        <f>IFERROR(SUM(TBA_Matches_All[[#This Row],[TampT]]/TBA_Matches_All[[#This Row],[Tamp]]),0)</f>
        <v>0</v>
      </c>
      <c r="CQ279" s="59">
        <f>IFERROR(SUM(TBA_Matches_All[[#This Row],[TspkrT]]/TBA_Matches_All[[#This Row],[Tspkr]]),0)</f>
        <v>0.16666666666666666</v>
      </c>
      <c r="CR279">
        <f>SUM(TBA_Matches_All[[#This Row],[TspkrPts]]*TBA_Matches_All[[#This Row],[TspkrP]])</f>
        <v>3</v>
      </c>
      <c r="CS279" s="59">
        <f>IFERROR(SUM(TBA_Matches_All[[#This Row],[TtrapT]]/TBA_Matches_All[[#This Row],[Trap]]),0)</f>
        <v>0</v>
      </c>
      <c r="CT279" s="59">
        <f>IFERROR(SUM(TBA_Matches_All[[#This Row],[TotNotesT]]/TBA_Matches_All[[#This Row],[TotNotes]]),0)</f>
        <v>0.21428571428571427</v>
      </c>
      <c r="CU279" s="66">
        <f>SUM((TBA_Matches_All[[#This Row],[AampT]]*2)+(TBA_Matches_All[[#This Row],[AspkrT]]*5)+(TBA_Matches_All[[#This Row],[AtrapT]]*5)+(TBA_Matches_All[[#This Row],[TampT]]*1)+(TBA_Matches_All[[#This Row],[TspkrptsC]]))</f>
        <v>13</v>
      </c>
      <c r="CV279" s="59">
        <f>IFERROR(TBA_Matches_All[[#This Row],[noteptsT]]/TBA_Matches_All[[#This Row],[NotePts]],0)</f>
        <v>0.30952380952380953</v>
      </c>
      <c r="CW279">
        <f>SUM(IF(TBA_Matches_All[[#This Row],[stageStat]]="On",3,0),IF(TBA_Matches_All[[#This Row],[stageStat]]="Park",1,0),SUMIFS(TBA_Matches_All[[#This Row],[Spotlit]],TBA_Matches_All[[#This Row],[stageStat]],"On"),SUMIFS(TBA_Matches_All[[#This Row],[Harmony]],TBA_Matches_All[[#This Row],[stageStat]],"On"))</f>
        <v>1</v>
      </c>
      <c r="CX279" s="59">
        <f>IFERROR(TBA_Matches_All[[#This Row],[stageptsT]]/TBA_Matches_All[[#This Row],[StagePts]],0)</f>
        <v>0.33333333333333331</v>
      </c>
      <c r="CY279">
        <f>SUM((TBA_Matches_All[[#This Row],[AptsT]]+TBA_Matches_All[[#This Row],[TampT]]+TBA_Matches_All[[#This Row],[TspkrptsC]]+(TBA_Matches_All[[#This Row],[TtrapT]]*5)+TBA_Matches_All[[#This Row],[stageptsT]]))</f>
        <v>16</v>
      </c>
      <c r="CZ279" s="59">
        <f>IFERROR(SUM(TBA_Matches_All[[#This Row],[TotptsC]]/TBA_Matches_All[[#This Row],[Score]]),0)</f>
        <v>0.32653061224489793</v>
      </c>
      <c r="DA27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7.8727272727272721</v>
      </c>
      <c r="DB279" s="74">
        <f>SUMIFS(TBA_Matches_All[AveTeamTNoteDels],TBA_Matches_All[Match_Number],TBA_Matches_All[[#This Row],[Match_Number]],TBA_Matches_All[Alliance],"&lt;&gt;"&amp;TBA_Matches_All[[#This Row],[Alliance]],TBA_Matches_All[Scouted],"&gt;0")</f>
        <v>30.695019980019982</v>
      </c>
      <c r="DC279" s="74">
        <f>(TBA_Matches_All[[#This Row],[TampT]]+TBA_Matches_All[[#This Row],[TspkrptsC]])-TBA_Matches_All[[#This Row],[AveTeamTNoteDels]]</f>
        <v>-4.8727272727272721</v>
      </c>
      <c r="DD279" s="74">
        <f>SUMIFS(TBA_Matches_All[AveTeamTNoteDels],TBA_Matches_All[Match_Number],TBA_Matches_All[[#This Row],[Match_Number]],TBA_Matches_All[Alliance],"&lt;&gt;"&amp;TBA_Matches_All[[#This Row],[Alliance]])-TBA_Matches_All[[#This Row],[AveOppTNoteDels]]</f>
        <v>0</v>
      </c>
    </row>
    <row r="280" spans="1:108" x14ac:dyDescent="0.3">
      <c r="A280" t="s">
        <v>1042</v>
      </c>
      <c r="B280" t="s">
        <v>489</v>
      </c>
      <c r="C280" t="s">
        <v>1356</v>
      </c>
      <c r="D280">
        <v>47</v>
      </c>
      <c r="E280" t="s">
        <v>1406</v>
      </c>
      <c r="F280" t="s">
        <v>1426</v>
      </c>
      <c r="G280" t="s">
        <v>164</v>
      </c>
      <c r="H280" t="s">
        <v>1302</v>
      </c>
      <c r="I280" t="b">
        <v>1</v>
      </c>
      <c r="J280">
        <v>60</v>
      </c>
      <c r="K280">
        <v>1</v>
      </c>
      <c r="L280">
        <v>0</v>
      </c>
      <c r="M280">
        <v>0</v>
      </c>
      <c r="N280">
        <v>0</v>
      </c>
      <c r="O280">
        <v>4</v>
      </c>
      <c r="P280">
        <v>20</v>
      </c>
      <c r="Q280">
        <v>24</v>
      </c>
      <c r="R280">
        <v>5</v>
      </c>
      <c r="S280">
        <v>3</v>
      </c>
      <c r="T280">
        <v>5</v>
      </c>
      <c r="U280">
        <v>15</v>
      </c>
      <c r="V280">
        <v>10</v>
      </c>
      <c r="W280">
        <v>8</v>
      </c>
      <c r="X280">
        <v>25</v>
      </c>
      <c r="Y280">
        <v>30</v>
      </c>
      <c r="Z280">
        <v>0</v>
      </c>
      <c r="AA280">
        <v>0</v>
      </c>
      <c r="AB280">
        <v>17</v>
      </c>
      <c r="AC280">
        <v>50</v>
      </c>
      <c r="AD280">
        <v>1</v>
      </c>
      <c r="AE280">
        <f>IFERROR(6/(COUNTIF(Dyno_EndMatch[Match],TBA_Matches_All[[#This Row],[Match_Number]])),0)</f>
        <v>1</v>
      </c>
      <c r="AF280">
        <f>COUNTIFS(Dyno_Data[Team],TBA_Matches_All[[#This Row],[Team]],Dyno_Data[Match],TBA_Matches_All[[#This Row],[Match_Number]],Dyno_Data[RecordType],"EndMatch",Dyno_Data[HPAmp],"Y")</f>
        <v>0</v>
      </c>
      <c r="AG280">
        <f>SUMIFS(Dyno_Data[Mics], Dyno_Data[Team],TBA_Matches_All[[#This Row],[Team]],Dyno_Data[Match],TBA_Matches_All[[#This Row],[Match_Number]],Dyno_Data[RecordType],"EndMatch",Dyno_Data[HPAmp],"Y")</f>
        <v>0</v>
      </c>
      <c r="AH280">
        <f>SUMIFS(Dyno_Data[Leave], Dyno_Data[Team],TBA_Matches_All[[#This Row],[Team]],Dyno_Data[Match],TBA_Matches_All[[#This Row],[Match_Number]],Dyno_Data[RecordType],"EndAuto")</f>
        <v>1</v>
      </c>
      <c r="AI280">
        <f>COUNTIFS(Dyno_Data[Team],TBA_Matches_All[[#This Row],[Team]],Dyno_Data[Match],TBA_Matches_All[[#This Row],[Match_Number]],Dyno_Data[RecordType],"Activities",Dyno_Data[DelDest],"Amp", Dyno_Data[DelMiss],"0", Dyno_Data[Mode],"Auto")</f>
        <v>0</v>
      </c>
      <c r="AJ280">
        <f>COUNTIFS(Dyno_Data[Team],TBA_Matches_All[[#This Row],[Team]],Dyno_Data[Match],TBA_Matches_All[[#This Row],[Match_Number]],Dyno_Data[RecordType],"Activities",Dyno_Data[DelDest],"Spkr", Dyno_Data[DelMiss],"0", Dyno_Data[Mode],"Auto")</f>
        <v>0</v>
      </c>
      <c r="AK280">
        <f>COUNTIFS(Dyno_Data[Team],TBA_Matches_All[[#This Row],[Team]],Dyno_Data[Match],TBA_Matches_All[[#This Row],[Match_Number]],Dyno_Data[RecordType],"Activities",Dyno_Data[DelDest],"Trap", Dyno_Data[DelMiss],"0", Dyno_Data[Mode],"Auto")</f>
        <v>0</v>
      </c>
      <c r="AL280">
        <f>COUNTIFS(Dyno_Data[Team],TBA_Matches_All[[#This Row],[Team]],Dyno_Data[Match],TBA_Matches_All[[#This Row],[Match_Number]],Dyno_Data[RecordType],"Activities",Dyno_Data[DelDest],"Amp", Dyno_Data[DelMiss],"0", Dyno_Data[Mode],"Teleop")</f>
        <v>0</v>
      </c>
      <c r="AM280">
        <f>COUNTIFS(Dyno_Data[Team],TBA_Matches_All[[#This Row],[Team]],Dyno_Data[Match],TBA_Matches_All[[#This Row],[Match_Number]],Dyno_Data[RecordType],"Activities",Dyno_Data[DelDest],"Spkr", Dyno_Data[DelMiss],"0", Dyno_Data[Mode],"Teleop")</f>
        <v>1</v>
      </c>
      <c r="AN280">
        <f>COUNTIFS(Dyno_Data[Team],TBA_Matches_All[[#This Row],[Team]],Dyno_Data[Match],TBA_Matches_All[[#This Row],[Match_Number]],Dyno_Data[RecordType],"Activities",Dyno_Data[DelDest],"Trap", Dyno_Data[DelMiss],"0", Dyno_Data[Mode],"&lt;&gt;Auto")</f>
        <v>0</v>
      </c>
      <c r="AO280">
        <f>SUM(TBA_Matches_All[[#This Row],[AampT]]+TBA_Matches_All[[#This Row],[AspkrT]]+TBA_Matches_All[[#This Row],[AtrapT]]+TBA_Matches_All[[#This Row],[TampT]]+TBA_Matches_All[[#This Row],[TspkrT]]+TBA_Matches_All[[#This Row],[TtrapT]])</f>
        <v>1</v>
      </c>
      <c r="AP280">
        <f>COUNTIFS(Dyno_Data[Team],TBA_Matches_All[[#This Row],[Team]],Dyno_Data[Match],TBA_Matches_All[[#This Row],[Match_Number]],Dyno_Data[RecordType],"Activities",Dyno_Data[DelDest],"Neut", Dyno_Data[DelMiss],"0")</f>
        <v>0</v>
      </c>
      <c r="AQ280">
        <f>COUNTIFS(Dyno_Data[Team],TBA_Matches_All[[#This Row],[Team]],Dyno_Data[Match],TBA_Matches_All[[#This Row],[Match_Number]],Dyno_Data[RecordType],"Activities",Dyno_Data[DelDest],"AllyW", Dyno_Data[DelMiss],"0")</f>
        <v>0</v>
      </c>
      <c r="AR280" t="str">
        <f>_xlfn.XLOOKUP(SUM(MID(TBA_Matches_All[[#This Row],[Team]],4,5),(TBA_Matches_All[[#This Row],[Match_Number]]/100)),Dyno_EndMatch[teammat],Dyno_EndMatch[RobotSta],"_",0,1)</f>
        <v>OppS</v>
      </c>
      <c r="AS280">
        <f>SUMIFS(Dyno_Data[AcqDis], Dyno_Data[Team],TBA_Matches_All[[#This Row],[Team]],Dyno_Data[Match],TBA_Matches_All[[#This Row],[Match_Number]],Dyno_Data[RecordType],"Activities", Dyno_Data[AcqCenter],1,Dyno_Data[Mode],"Auto")</f>
        <v>0</v>
      </c>
      <c r="AT280">
        <f>SUMIFS(Dyno_Data[AcqDis], Dyno_Data[Team],TBA_Matches_All[[#This Row],[Team]],Dyno_Data[Match],TBA_Matches_All[[#This Row],[Match_Number]],Dyno_Data[RecordType],"Activities", Dyno_Data[AcqCenter],2,Dyno_Data[Mode],"Auto")</f>
        <v>0</v>
      </c>
      <c r="AU280">
        <f>SUMIFS(Dyno_Data[AcqDis], Dyno_Data[Team],TBA_Matches_All[[#This Row],[Team]],Dyno_Data[Match],TBA_Matches_All[[#This Row],[Match_Number]],Dyno_Data[RecordType],"Activities", Dyno_Data[AcqCenter],3,Dyno_Data[Mode],"Auto")</f>
        <v>0</v>
      </c>
      <c r="AV280">
        <f>SUMIFS(Dyno_Data[AcqDis], Dyno_Data[Team],TBA_Matches_All[[#This Row],[Team]],Dyno_Data[Match],TBA_Matches_All[[#This Row],[Match_Number]],Dyno_Data[RecordType],"Activities", Dyno_Data[AcqCenter],4,Dyno_Data[Mode],"Auto")</f>
        <v>0</v>
      </c>
      <c r="AW280">
        <f>SUMIFS(Dyno_Data[AcqDis], Dyno_Data[Team],TBA_Matches_All[[#This Row],[Team]],Dyno_Data[Match],TBA_Matches_All[[#This Row],[Match_Number]],Dyno_Data[RecordType],"Activities", Dyno_Data[AcqCenter],5,Dyno_Data[Mode],"Auto")</f>
        <v>0</v>
      </c>
      <c r="AX280">
        <f>SUMIFS(Dyno_Data[DelMiss], Dyno_Data[Team],TBA_Matches_All[[#This Row],[Team]],Dyno_Data[Match],TBA_Matches_All[[#This Row],[Match_Number]],Dyno_Data[RecordType],"Activities", Dyno_Data[DelDest],"Amp")</f>
        <v>0</v>
      </c>
      <c r="AY280" s="60">
        <f>IFERROR(SUM((TBA_Matches_All[[#This Row],[AampT]]+TBA_Matches_All[[#This Row],[TampT]])/(TBA_Matches_All[[#This Row],[AampT]]+TBA_Matches_All[[#This Row],[TampT]]+TBA_Matches_All[[#This Row],[ampM]])),0)</f>
        <v>0</v>
      </c>
      <c r="AZ280">
        <f>SUMIFS(Dyno_Data[DelMiss], Dyno_Data[Team],TBA_Matches_All[[#This Row],[Team]],Dyno_Data[Match],TBA_Matches_All[[#This Row],[Match_Number]],Dyno_Data[RecordType],"Activities", Dyno_Data[DelDest],"Spkr")</f>
        <v>0</v>
      </c>
      <c r="BA280" s="60">
        <f>IFERROR(SUM((TBA_Matches_All[[#This Row],[AspkrT]]+TBA_Matches_All[[#This Row],[TspkrT]])/(TBA_Matches_All[[#This Row],[AspkrT]]+TBA_Matches_All[[#This Row],[TspkrT]]+TBA_Matches_All[[#This Row],[spkrM]])),0)</f>
        <v>1</v>
      </c>
      <c r="BB280">
        <f>SUMIFS(Dyno_Data[DelMiss], Dyno_Data[Team],TBA_Matches_All[[#This Row],[Team]],Dyno_Data[Match],TBA_Matches_All[[#This Row],[Match_Number]],Dyno_Data[RecordType],"Activities", Dyno_Data[DelDest],"Trap")</f>
        <v>0</v>
      </c>
      <c r="BC280" s="60">
        <f>IFERROR((TBA_Matches_All[[#This Row],[AtrapT]]+TBA_Matches_All[[#This Row],[TtrapT]])/(TBA_Matches_All[[#This Row],[AtrapT]]+TBA_Matches_All[[#This Row],[TtrapT]]+TBA_Matches_All[[#This Row],[trapM]]),0)</f>
        <v>0</v>
      </c>
      <c r="BD280">
        <f>COUNTIFS(Dyno_Data[Team],TBA_Matches_All[[#This Row],[Team]],Dyno_Data[Match],TBA_Matches_All[[#This Row],[Match_Number]],Dyno_Data[RecordType],"Activities",Dyno_Data[DelDest],"Neut", Dyno_Data[DelMiss],1)</f>
        <v>0</v>
      </c>
      <c r="BE280" s="60">
        <f>IFERROR(SUM((TBA_Matches_All[[#This Row],[NeutFlrT]])/(TBA_Matches_All[[#This Row],[NeutFlrT]]+TBA_Matches_All[[#This Row],[NZflM]])),0)</f>
        <v>0</v>
      </c>
      <c r="BF280">
        <f>COUNTIFS(Dyno_Data[Team],TBA_Matches_All[[#This Row],[Team]],Dyno_Data[Match],TBA_Matches_All[[#This Row],[Match_Number]],Dyno_Data[RecordType],"Activities",Dyno_Data[DelDest],"AllyW", Dyno_Data[DelMiss],1)</f>
        <v>0</v>
      </c>
      <c r="BG280" s="60">
        <f>IFERROR(SUM((TBA_Matches_All[[#This Row],[AllyWFlrT]])/(TBA_Matches_All[[#This Row],[AllyWFlrT]]+TBA_Matches_All[[#This Row],[AZflM]])),0)</f>
        <v>0</v>
      </c>
      <c r="BH280">
        <f>COUNTIFS(Dyno_Data[Team],TBA_Matches_All[[#This Row],[Team]],Dyno_Data[Match],TBA_Matches_All[[#This Row],[Match_Number]],Dyno_Data[RecordType],"Activities",Dyno_Data[DelOrig],"OppW", Dyno_Data[DelMiss],"0")</f>
        <v>0</v>
      </c>
      <c r="BI280">
        <f>COUNTIFS(Dyno_Data[Team],TBA_Matches_All[[#This Row],[Team]],Dyno_Data[Match],TBA_Matches_All[[#This Row],[Match_Number]],Dyno_Data[RecordType],"Activities",Dyno_Data[DelOrig],"OppW", Dyno_Data[DelMiss],"1")</f>
        <v>0</v>
      </c>
      <c r="BJ280" s="60">
        <f>IFERROR(SUM((TBA_Matches_All[[#This Row],[OZflrT]])/(TBA_Matches_All[[#This Row],[OZflrT]]+TBA_Matches_All[[#This Row],[OZflrM]])),0)</f>
        <v>0</v>
      </c>
      <c r="BK280">
        <f>COUNTIFS(Dyno_Data[Team],TBA_Matches_All[[#This Row],[Team]],Dyno_Data[Match],TBA_Matches_All[[#This Row],[Match_Number]],Dyno_Data[RecordType],"Activities",Dyno_Data[DelOrig],"Neut", Dyno_Data[DelMiss],"0")</f>
        <v>0</v>
      </c>
      <c r="BL280">
        <f>COUNTIFS(Dyno_Data[Team],TBA_Matches_All[[#This Row],[Team]],Dyno_Data[Match],TBA_Matches_All[[#This Row],[Match_Number]],Dyno_Data[RecordType],"Activities",Dyno_Data[DelOrig],"Neut", Dyno_Data[DelMiss],"1")</f>
        <v>0</v>
      </c>
      <c r="BM280" s="60">
        <f>IFERROR(SUM((TBA_Matches_All[[#This Row],[NZflrT]])/(TBA_Matches_All[[#This Row],[NZflrT]]+TBA_Matches_All[[#This Row],[NZflrM]])),0)</f>
        <v>0</v>
      </c>
      <c r="BN280">
        <f>COUNTIFS(Dyno_Data[Team],TBA_Matches_All[[#This Row],[Team]],Dyno_Data[Match],TBA_Matches_All[[#This Row],[Match_Number]],Dyno_Data[RecordType],"Activities",Dyno_Data[DelOrig],"AllyW", Dyno_Data[DelMiss],"0")</f>
        <v>1</v>
      </c>
      <c r="BO280">
        <f>COUNTIFS(Dyno_Data[Team],TBA_Matches_All[[#This Row],[Team]],Dyno_Data[Match],TBA_Matches_All[[#This Row],[Match_Number]],Dyno_Data[RecordType],"Activities",Dyno_Data[DelOrig],"AllyW", Dyno_Data[DelMiss],"1")</f>
        <v>0</v>
      </c>
      <c r="BP280" s="60">
        <f>IFERROR(SUM((TBA_Matches_All[[#This Row],[AZflrT]])/(TBA_Matches_All[[#This Row],[AZflrT]]+TBA_Matches_All[[#This Row],[AZflrM]])),0)</f>
        <v>1</v>
      </c>
      <c r="BQ280">
        <f>COUNTIFS(Dyno_Data[Team],TBA_Matches_All[[#This Row],[Team]],Dyno_Data[Match],TBA_Matches_All[[#This Row],[Match_Number]],Dyno_Data[RecordType],"Activities",Dyno_Data[DelOrig],"SubW", Dyno_Data[DelMiss],"0")</f>
        <v>0</v>
      </c>
      <c r="BR280">
        <f>COUNTIFS(Dyno_Data[Team],TBA_Matches_All[[#This Row],[Team]],Dyno_Data[Match],TBA_Matches_All[[#This Row],[Match_Number]],Dyno_Data[RecordType],"Activities",Dyno_Data[DelOrig],"SubW", Dyno_Data[DelMiss],"1")</f>
        <v>0</v>
      </c>
      <c r="BS280" s="60">
        <f>IFERROR(SUM((TBA_Matches_All[[#This Row],[SubwT]])/(TBA_Matches_All[[#This Row],[SubwT]]+TBA_Matches_All[[#This Row],[SubwM]])),0)</f>
        <v>0</v>
      </c>
      <c r="BT280">
        <f>COUNTIFS(Dyno_Data[Team],TBA_Matches_All[[#This Row],[Team]],Dyno_Data[Match],TBA_Matches_All[[#This Row],[Match_Number]],Dyno_Data[RecordType],"Activities", Dyno_Data[AcqLoc],"OppWing")</f>
        <v>0</v>
      </c>
      <c r="BU280">
        <f>COUNTIFS(Dyno_Data[Team],TBA_Matches_All[[#This Row],[Team]],Dyno_Data[Match],TBA_Matches_All[[#This Row],[Match_Number]],Dyno_Data[RecordType],"Activities", Dyno_Data[AcqLoc],"Neutral")</f>
        <v>0</v>
      </c>
      <c r="BV280">
        <f>COUNTIFS(Dyno_Data[Team],TBA_Matches_All[[#This Row],[Team]],Dyno_Data[Match],TBA_Matches_All[[#This Row],[Match_Number]],Dyno_Data[RecordType],"Activities", Dyno_Data[AcqLoc],"AllyWing")</f>
        <v>0</v>
      </c>
      <c r="BW280">
        <f>COUNTIFS(Dyno_Data[Team],TBA_Matches_All[[#This Row],[Team]],Dyno_Data[Match],TBA_Matches_All[[#This Row],[Match_Number]],Dyno_Data[RecordType],"Activities", Dyno_Data[AcqLoc],"Source")</f>
        <v>0</v>
      </c>
      <c r="BX280">
        <f>SUMIFS(Dyno_Data[AcqDrp], Dyno_Data[Team],TBA_Matches_All[[#This Row],[Team]],Dyno_Data[Match],TBA_Matches_All[[#This Row],[Match_Number]],Dyno_Data[RecordType],"Activities", Dyno_Data[AcqLoc],"Source")</f>
        <v>0</v>
      </c>
      <c r="BY280">
        <f>SUMIFS(Dyno_Data[OZTime], Dyno_Data[Team],TBA_Matches_All[[#This Row],[Team]],Dyno_Data[Match],TBA_Matches_All[[#This Row],[Match_Number]],Dyno_Data[RecordType],"EndMatch")</f>
        <v>9.0078801999999989</v>
      </c>
      <c r="BZ280">
        <f>SUMIFS(Dyno_Data[NZTime], Dyno_Data[Team],TBA_Matches_All[[#This Row],[Team]],Dyno_Data[Match],TBA_Matches_All[[#This Row],[Match_Number]],Dyno_Data[RecordType],"EndMatch")</f>
        <v>109.5465643</v>
      </c>
      <c r="CA280">
        <f>SUMIFS(Dyno_Data[AZTime], Dyno_Data[Team],TBA_Matches_All[[#This Row],[Team]],Dyno_Data[Match],TBA_Matches_All[[#This Row],[Match_Number]],Dyno_Data[RecordType],"EndMatch")</f>
        <v>18.157693899999998</v>
      </c>
      <c r="CB280">
        <f>SUMIFS(Dyno_Data[ClimbT], Dyno_Data[Team],TBA_Matches_All[[#This Row],[Team]],Dyno_Data[Match],TBA_Matches_All[[#This Row],[Match_Number]],Dyno_Data[RecordType],"EndMatch")</f>
        <v>0</v>
      </c>
      <c r="CC280" t="str">
        <f>_xlfn.XLOOKUP(SUM(MID(TBA_Matches_All[[#This Row],[Team]],4,5),(TBA_Matches_All[[#This Row],[Match_Number]]/100)),Dyno_EndMatch[teammat],Dyno_EndMatch[StageStat],"_",0,1)</f>
        <v>Else</v>
      </c>
      <c r="CD280" t="str">
        <f>_xlfn.XLOOKUP(TBA_Matches_All[[#This Row],[teammat]],Dyno_EndMatch[teammat],Dyno_EndMatch[StageAtt],"_",0,1)</f>
        <v>0</v>
      </c>
      <c r="CE280" t="str">
        <f>_xlfn.XLOOKUP(TBA_Matches_All[[#This Row],[teammat]],Dyno_EndMatch[teammat],Dyno_EndMatch[StageLoc],"_",0,1)</f>
        <v>A</v>
      </c>
      <c r="CF280">
        <f>SUMIFS(Dyno_Data[Harmony], Dyno_Data[Team],TBA_Matches_All[[#This Row],[Team]],Dyno_Data[Match],TBA_Matches_All[[#This Row],[Match_Number]],Dyno_Data[RecordType],"EndMatch", Dyno_Data[StageStat],"On",Dyno_Data[Harmony],"&lt;&gt;9")</f>
        <v>0</v>
      </c>
      <c r="CG280">
        <f>SUMIFS(Dyno_Data[Spotlit], Dyno_Data[Team],TBA_Matches_All[[#This Row],[Team]],Dyno_Data[Match],TBA_Matches_All[[#This Row],[Match_Number]],Dyno_Data[RecordType],"EndMatch", Dyno_Data[StageStat],"On",Dyno_Data[Spotlit],"&lt;&gt;9")</f>
        <v>0</v>
      </c>
      <c r="CH280" t="str">
        <f>_xlfn.XLOOKUP(TBA_Matches_All[[#This Row],[teammat]],Dyno_EndMatch[teammat],Dyno_EndMatch[Strategy],"_",0,1)</f>
        <v>None</v>
      </c>
      <c r="CI280">
        <f>SUMIFS(Dyno_Data[Defense], Dyno_Data[Team],TBA_Matches_All[[#This Row],[Team]],Dyno_Data[Match],TBA_Matches_All[[#This Row],[Match_Number]],Dyno_Data[RecordType],"EndMatch",Dyno_Data[Defense],"&lt;&gt;9")</f>
        <v>0</v>
      </c>
      <c r="CJ280">
        <f>SUMIFS(Dyno_Data[Avoidance], Dyno_Data[Team],TBA_Matches_All[[#This Row],[Team]],Dyno_Data[Match],TBA_Matches_All[[#This Row],[Match_Number]],Dyno_Data[RecordType],"EndMatch",Dyno_Data[Avoidance],"&lt;&gt;9")</f>
        <v>0</v>
      </c>
      <c r="CK280" s="82">
        <f>COUNTIF($H$2:TBA_Matches_All[[#This Row],[Team]],TBA_Matches_All[[#This Row],[Team]])</f>
        <v>6</v>
      </c>
      <c r="CL280" s="111">
        <f>SUM(MID(TBA_Matches_All[[#This Row],[Team]],4,5)+TBA_Matches_All[[#This Row],[Match_Number]]/100)</f>
        <v>2095.4699999999998</v>
      </c>
      <c r="CM280">
        <f>SUM((TBA_Matches_All[[#This Row],[Leave]]*2)+(TBA_Matches_All[[#This Row],[AampT]]*2)+(TBA_Matches_All[[#This Row],[AspkrT]]*5)+(TBA_Matches_All[[#This Row],[AtrapT]]*5))</f>
        <v>2</v>
      </c>
      <c r="CN280" s="59">
        <f>IFERROR(SUM(TBA_Matches_All[[#This Row],[AptsT]]/TBA_Matches_All[[#This Row],[AutoPts]]),0)</f>
        <v>8.3333333333333329E-2</v>
      </c>
      <c r="CO280" s="59">
        <f>IFERROR(SUM(TBA_Matches_All[[#This Row],[AampT]]+TBA_Matches_All[[#This Row],[AspkrT]]+TBA_Matches_All[[#This Row],[AtrapT]]/TBA_Matches_All[[#This Row],[Aamp]]+TBA_Matches_All[[#This Row],[Aspkr]]+TBA_Matches_All[[#This Row],[AtrapT]]),0)</f>
        <v>0</v>
      </c>
      <c r="CP280" s="59">
        <f>IFERROR(SUM(TBA_Matches_All[[#This Row],[TampT]]/TBA_Matches_All[[#This Row],[Tamp]]),0)</f>
        <v>0</v>
      </c>
      <c r="CQ280" s="59">
        <f>IFERROR(SUM(TBA_Matches_All[[#This Row],[TspkrT]]/TBA_Matches_All[[#This Row],[Tspkr]]),0)</f>
        <v>0.125</v>
      </c>
      <c r="CR280">
        <f>SUM(TBA_Matches_All[[#This Row],[TspkrPts]]*TBA_Matches_All[[#This Row],[TspkrP]])</f>
        <v>3.125</v>
      </c>
      <c r="CS280" s="59">
        <f>IFERROR(SUM(TBA_Matches_All[[#This Row],[TtrapT]]/TBA_Matches_All[[#This Row],[Trap]]),0)</f>
        <v>0</v>
      </c>
      <c r="CT280" s="59">
        <f>IFERROR(SUM(TBA_Matches_All[[#This Row],[TotNotesT]]/TBA_Matches_All[[#This Row],[TotNotes]]),0)</f>
        <v>5.8823529411764705E-2</v>
      </c>
      <c r="CU280" s="66">
        <f>SUM((TBA_Matches_All[[#This Row],[AampT]]*2)+(TBA_Matches_All[[#This Row],[AspkrT]]*5)+(TBA_Matches_All[[#This Row],[AtrapT]]*5)+(TBA_Matches_All[[#This Row],[TampT]]*1)+(TBA_Matches_All[[#This Row],[TspkrptsC]]))</f>
        <v>3.125</v>
      </c>
      <c r="CV280" s="59">
        <f>IFERROR(TBA_Matches_All[[#This Row],[noteptsT]]/TBA_Matches_All[[#This Row],[NotePts]],0)</f>
        <v>6.25E-2</v>
      </c>
      <c r="CW280">
        <f>SUM(IF(TBA_Matches_All[[#This Row],[stageStat]]="On",3,0),IF(TBA_Matches_All[[#This Row],[stageStat]]="Park",1,0),SUMIFS(TBA_Matches_All[[#This Row],[Spotlit]],TBA_Matches_All[[#This Row],[stageStat]],"On"),SUMIFS(TBA_Matches_All[[#This Row],[Harmony]],TBA_Matches_All[[#This Row],[stageStat]],"On"))</f>
        <v>0</v>
      </c>
      <c r="CX280" s="59">
        <f>IFERROR(TBA_Matches_All[[#This Row],[stageptsT]]/TBA_Matches_All[[#This Row],[StagePts]],0)</f>
        <v>0</v>
      </c>
      <c r="CY280">
        <f>SUM((TBA_Matches_All[[#This Row],[AptsT]]+TBA_Matches_All[[#This Row],[TampT]]+TBA_Matches_All[[#This Row],[TspkrptsC]]+(TBA_Matches_All[[#This Row],[TtrapT]]*5)+TBA_Matches_All[[#This Row],[stageptsT]]))</f>
        <v>5.125</v>
      </c>
      <c r="CZ280" s="59">
        <f>IFERROR(SUM(TBA_Matches_All[[#This Row],[TotptsC]]/TBA_Matches_All[[#This Row],[Score]]),0)</f>
        <v>8.5416666666666669E-2</v>
      </c>
      <c r="DA28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5.3672727272727272</v>
      </c>
      <c r="DB280" s="74">
        <f>SUMIFS(TBA_Matches_All[AveTeamTNoteDels],TBA_Matches_All[Match_Number],TBA_Matches_All[[#This Row],[Match_Number]],TBA_Matches_All[Alliance],"&lt;&gt;"&amp;TBA_Matches_All[[#This Row],[Alliance]],TBA_Matches_All[Scouted],"&gt;0")</f>
        <v>19.329650349650347</v>
      </c>
      <c r="DC280" s="74">
        <f>(TBA_Matches_All[[#This Row],[TampT]]+TBA_Matches_All[[#This Row],[TspkrptsC]])-TBA_Matches_All[[#This Row],[AveTeamTNoteDels]]</f>
        <v>-2.2422727272727272</v>
      </c>
      <c r="DD280" s="74">
        <f>SUMIFS(TBA_Matches_All[AveTeamTNoteDels],TBA_Matches_All[Match_Number],TBA_Matches_All[[#This Row],[Match_Number]],TBA_Matches_All[Alliance],"&lt;&gt;"&amp;TBA_Matches_All[[#This Row],[Alliance]])-TBA_Matches_All[[#This Row],[AveOppTNoteDels]]</f>
        <v>0</v>
      </c>
    </row>
    <row r="281" spans="1:108" x14ac:dyDescent="0.3">
      <c r="A281" t="s">
        <v>1042</v>
      </c>
      <c r="B281" t="s">
        <v>489</v>
      </c>
      <c r="C281" t="s">
        <v>1356</v>
      </c>
      <c r="D281">
        <v>47</v>
      </c>
      <c r="E281" t="s">
        <v>1420</v>
      </c>
      <c r="F281" t="s">
        <v>1423</v>
      </c>
      <c r="G281" t="s">
        <v>1409</v>
      </c>
      <c r="H281" t="s">
        <v>365</v>
      </c>
      <c r="I281" t="b">
        <v>1</v>
      </c>
      <c r="J281">
        <v>49</v>
      </c>
      <c r="K281">
        <v>0</v>
      </c>
      <c r="L281">
        <v>0</v>
      </c>
      <c r="M281">
        <v>5</v>
      </c>
      <c r="N281">
        <v>0</v>
      </c>
      <c r="O281">
        <v>4</v>
      </c>
      <c r="P281">
        <v>20</v>
      </c>
      <c r="Q281">
        <v>24</v>
      </c>
      <c r="R281">
        <v>4</v>
      </c>
      <c r="S281">
        <v>2</v>
      </c>
      <c r="T281">
        <v>4</v>
      </c>
      <c r="U281">
        <v>10</v>
      </c>
      <c r="V281">
        <v>8</v>
      </c>
      <c r="W281">
        <v>6</v>
      </c>
      <c r="X281">
        <v>18</v>
      </c>
      <c r="Y281">
        <v>22</v>
      </c>
      <c r="Z281">
        <v>0</v>
      </c>
      <c r="AA281">
        <v>0</v>
      </c>
      <c r="AB281">
        <v>14</v>
      </c>
      <c r="AC281">
        <v>42</v>
      </c>
      <c r="AD281">
        <v>3</v>
      </c>
      <c r="AE281">
        <f>IFERROR(6/(COUNTIF(Dyno_EndMatch[Match],TBA_Matches_All[[#This Row],[Match_Number]])),0)</f>
        <v>1</v>
      </c>
      <c r="AF281">
        <f>COUNTIFS(Dyno_Data[Team],TBA_Matches_All[[#This Row],[Team]],Dyno_Data[Match],TBA_Matches_All[[#This Row],[Match_Number]],Dyno_Data[RecordType],"EndMatch",Dyno_Data[HPAmp],"Y")</f>
        <v>1</v>
      </c>
      <c r="AG281">
        <f>SUMIFS(Dyno_Data[Mics], Dyno_Data[Team],TBA_Matches_All[[#This Row],[Team]],Dyno_Data[Match],TBA_Matches_All[[#This Row],[Match_Number]],Dyno_Data[RecordType],"EndMatch",Dyno_Data[HPAmp],"Y")</f>
        <v>0</v>
      </c>
      <c r="AH281">
        <f>SUMIFS(Dyno_Data[Leave], Dyno_Data[Team],TBA_Matches_All[[#This Row],[Team]],Dyno_Data[Match],TBA_Matches_All[[#This Row],[Match_Number]],Dyno_Data[RecordType],"EndAuto")</f>
        <v>1</v>
      </c>
      <c r="AI281">
        <f>COUNTIFS(Dyno_Data[Team],TBA_Matches_All[[#This Row],[Team]],Dyno_Data[Match],TBA_Matches_All[[#This Row],[Match_Number]],Dyno_Data[RecordType],"Activities",Dyno_Data[DelDest],"Amp", Dyno_Data[DelMiss],"0", Dyno_Data[Mode],"Auto")</f>
        <v>0</v>
      </c>
      <c r="AJ281">
        <f>COUNTIFS(Dyno_Data[Team],TBA_Matches_All[[#This Row],[Team]],Dyno_Data[Match],TBA_Matches_All[[#This Row],[Match_Number]],Dyno_Data[RecordType],"Activities",Dyno_Data[DelDest],"Spkr", Dyno_Data[DelMiss],"0", Dyno_Data[Mode],"Auto")</f>
        <v>2</v>
      </c>
      <c r="AK281">
        <f>COUNTIFS(Dyno_Data[Team],TBA_Matches_All[[#This Row],[Team]],Dyno_Data[Match],TBA_Matches_All[[#This Row],[Match_Number]],Dyno_Data[RecordType],"Activities",Dyno_Data[DelDest],"Trap", Dyno_Data[DelMiss],"0", Dyno_Data[Mode],"Auto")</f>
        <v>0</v>
      </c>
      <c r="AL281">
        <f>COUNTIFS(Dyno_Data[Team],TBA_Matches_All[[#This Row],[Team]],Dyno_Data[Match],TBA_Matches_All[[#This Row],[Match_Number]],Dyno_Data[RecordType],"Activities",Dyno_Data[DelDest],"Amp", Dyno_Data[DelMiss],"0", Dyno_Data[Mode],"Teleop")</f>
        <v>1</v>
      </c>
      <c r="AM281">
        <f>COUNTIFS(Dyno_Data[Team],TBA_Matches_All[[#This Row],[Team]],Dyno_Data[Match],TBA_Matches_All[[#This Row],[Match_Number]],Dyno_Data[RecordType],"Activities",Dyno_Data[DelDest],"Spkr", Dyno_Data[DelMiss],"0", Dyno_Data[Mode],"Teleop")</f>
        <v>4</v>
      </c>
      <c r="AN281">
        <f>COUNTIFS(Dyno_Data[Team],TBA_Matches_All[[#This Row],[Team]],Dyno_Data[Match],TBA_Matches_All[[#This Row],[Match_Number]],Dyno_Data[RecordType],"Activities",Dyno_Data[DelDest],"Trap", Dyno_Data[DelMiss],"0", Dyno_Data[Mode],"&lt;&gt;Auto")</f>
        <v>0</v>
      </c>
      <c r="AO281">
        <f>SUM(TBA_Matches_All[[#This Row],[AampT]]+TBA_Matches_All[[#This Row],[AspkrT]]+TBA_Matches_All[[#This Row],[AtrapT]]+TBA_Matches_All[[#This Row],[TampT]]+TBA_Matches_All[[#This Row],[TspkrT]]+TBA_Matches_All[[#This Row],[TtrapT]])</f>
        <v>7</v>
      </c>
      <c r="AP281">
        <f>COUNTIFS(Dyno_Data[Team],TBA_Matches_All[[#This Row],[Team]],Dyno_Data[Match],TBA_Matches_All[[#This Row],[Match_Number]],Dyno_Data[RecordType],"Activities",Dyno_Data[DelDest],"Neut", Dyno_Data[DelMiss],"0")</f>
        <v>0</v>
      </c>
      <c r="AQ281">
        <f>COUNTIFS(Dyno_Data[Team],TBA_Matches_All[[#This Row],[Team]],Dyno_Data[Match],TBA_Matches_All[[#This Row],[Match_Number]],Dyno_Data[RecordType],"Activities",Dyno_Data[DelDest],"AllyW", Dyno_Data[DelMiss],"0")</f>
        <v>0</v>
      </c>
      <c r="AR281" t="str">
        <f>_xlfn.XLOOKUP(SUM(MID(TBA_Matches_All[[#This Row],[Team]],4,5),(TBA_Matches_All[[#This Row],[Match_Number]]/100)),Dyno_EndMatch[teammat],Dyno_EndMatch[RobotSta],"_",0,1)</f>
        <v>SubW</v>
      </c>
      <c r="AS281">
        <f>SUMIFS(Dyno_Data[AcqDis], Dyno_Data[Team],TBA_Matches_All[[#This Row],[Team]],Dyno_Data[Match],TBA_Matches_All[[#This Row],[Match_Number]],Dyno_Data[RecordType],"Activities", Dyno_Data[AcqCenter],1,Dyno_Data[Mode],"Auto")</f>
        <v>0</v>
      </c>
      <c r="AT281">
        <f>SUMIFS(Dyno_Data[AcqDis], Dyno_Data[Team],TBA_Matches_All[[#This Row],[Team]],Dyno_Data[Match],TBA_Matches_All[[#This Row],[Match_Number]],Dyno_Data[RecordType],"Activities", Dyno_Data[AcqCenter],2,Dyno_Data[Mode],"Auto")</f>
        <v>0</v>
      </c>
      <c r="AU281">
        <f>SUMIFS(Dyno_Data[AcqDis], Dyno_Data[Team],TBA_Matches_All[[#This Row],[Team]],Dyno_Data[Match],TBA_Matches_All[[#This Row],[Match_Number]],Dyno_Data[RecordType],"Activities", Dyno_Data[AcqCenter],3,Dyno_Data[Mode],"Auto")</f>
        <v>0</v>
      </c>
      <c r="AV281">
        <f>SUMIFS(Dyno_Data[AcqDis], Dyno_Data[Team],TBA_Matches_All[[#This Row],[Team]],Dyno_Data[Match],TBA_Matches_All[[#This Row],[Match_Number]],Dyno_Data[RecordType],"Activities", Dyno_Data[AcqCenter],4,Dyno_Data[Mode],"Auto")</f>
        <v>0</v>
      </c>
      <c r="AW281">
        <f>SUMIFS(Dyno_Data[AcqDis], Dyno_Data[Team],TBA_Matches_All[[#This Row],[Team]],Dyno_Data[Match],TBA_Matches_All[[#This Row],[Match_Number]],Dyno_Data[RecordType],"Activities", Dyno_Data[AcqCenter],5,Dyno_Data[Mode],"Auto")</f>
        <v>0</v>
      </c>
      <c r="AX281">
        <f>SUMIFS(Dyno_Data[DelMiss], Dyno_Data[Team],TBA_Matches_All[[#This Row],[Team]],Dyno_Data[Match],TBA_Matches_All[[#This Row],[Match_Number]],Dyno_Data[RecordType],"Activities", Dyno_Data[DelDest],"Amp")</f>
        <v>0</v>
      </c>
      <c r="AY281" s="60">
        <f>IFERROR(SUM((TBA_Matches_All[[#This Row],[AampT]]+TBA_Matches_All[[#This Row],[TampT]])/(TBA_Matches_All[[#This Row],[AampT]]+TBA_Matches_All[[#This Row],[TampT]]+TBA_Matches_All[[#This Row],[ampM]])),0)</f>
        <v>1</v>
      </c>
      <c r="AZ281">
        <f>SUMIFS(Dyno_Data[DelMiss], Dyno_Data[Team],TBA_Matches_All[[#This Row],[Team]],Dyno_Data[Match],TBA_Matches_All[[#This Row],[Match_Number]],Dyno_Data[RecordType],"Activities", Dyno_Data[DelDest],"Spkr")</f>
        <v>0</v>
      </c>
      <c r="BA281" s="60">
        <f>IFERROR(SUM((TBA_Matches_All[[#This Row],[AspkrT]]+TBA_Matches_All[[#This Row],[TspkrT]])/(TBA_Matches_All[[#This Row],[AspkrT]]+TBA_Matches_All[[#This Row],[TspkrT]]+TBA_Matches_All[[#This Row],[spkrM]])),0)</f>
        <v>1</v>
      </c>
      <c r="BB281">
        <f>SUMIFS(Dyno_Data[DelMiss], Dyno_Data[Team],TBA_Matches_All[[#This Row],[Team]],Dyno_Data[Match],TBA_Matches_All[[#This Row],[Match_Number]],Dyno_Data[RecordType],"Activities", Dyno_Data[DelDest],"Trap")</f>
        <v>0</v>
      </c>
      <c r="BC281" s="60">
        <f>IFERROR((TBA_Matches_All[[#This Row],[AtrapT]]+TBA_Matches_All[[#This Row],[TtrapT]])/(TBA_Matches_All[[#This Row],[AtrapT]]+TBA_Matches_All[[#This Row],[TtrapT]]+TBA_Matches_All[[#This Row],[trapM]]),0)</f>
        <v>0</v>
      </c>
      <c r="BD281">
        <f>COUNTIFS(Dyno_Data[Team],TBA_Matches_All[[#This Row],[Team]],Dyno_Data[Match],TBA_Matches_All[[#This Row],[Match_Number]],Dyno_Data[RecordType],"Activities",Dyno_Data[DelDest],"Neut", Dyno_Data[DelMiss],1)</f>
        <v>0</v>
      </c>
      <c r="BE281" s="60">
        <f>IFERROR(SUM((TBA_Matches_All[[#This Row],[NeutFlrT]])/(TBA_Matches_All[[#This Row],[NeutFlrT]]+TBA_Matches_All[[#This Row],[NZflM]])),0)</f>
        <v>0</v>
      </c>
      <c r="BF281">
        <f>COUNTIFS(Dyno_Data[Team],TBA_Matches_All[[#This Row],[Team]],Dyno_Data[Match],TBA_Matches_All[[#This Row],[Match_Number]],Dyno_Data[RecordType],"Activities",Dyno_Data[DelDest],"AllyW", Dyno_Data[DelMiss],1)</f>
        <v>0</v>
      </c>
      <c r="BG281" s="60">
        <f>IFERROR(SUM((TBA_Matches_All[[#This Row],[AllyWFlrT]])/(TBA_Matches_All[[#This Row],[AllyWFlrT]]+TBA_Matches_All[[#This Row],[AZflM]])),0)</f>
        <v>0</v>
      </c>
      <c r="BH281">
        <f>COUNTIFS(Dyno_Data[Team],TBA_Matches_All[[#This Row],[Team]],Dyno_Data[Match],TBA_Matches_All[[#This Row],[Match_Number]],Dyno_Data[RecordType],"Activities",Dyno_Data[DelOrig],"OppW", Dyno_Data[DelMiss],"0")</f>
        <v>0</v>
      </c>
      <c r="BI281">
        <f>COUNTIFS(Dyno_Data[Team],TBA_Matches_All[[#This Row],[Team]],Dyno_Data[Match],TBA_Matches_All[[#This Row],[Match_Number]],Dyno_Data[RecordType],"Activities",Dyno_Data[DelOrig],"OppW", Dyno_Data[DelMiss],"1")</f>
        <v>0</v>
      </c>
      <c r="BJ281" s="60">
        <f>IFERROR(SUM((TBA_Matches_All[[#This Row],[OZflrT]])/(TBA_Matches_All[[#This Row],[OZflrT]]+TBA_Matches_All[[#This Row],[OZflrM]])),0)</f>
        <v>0</v>
      </c>
      <c r="BK281">
        <f>COUNTIFS(Dyno_Data[Team],TBA_Matches_All[[#This Row],[Team]],Dyno_Data[Match],TBA_Matches_All[[#This Row],[Match_Number]],Dyno_Data[RecordType],"Activities",Dyno_Data[DelOrig],"Neut", Dyno_Data[DelMiss],"0")</f>
        <v>0</v>
      </c>
      <c r="BL281">
        <f>COUNTIFS(Dyno_Data[Team],TBA_Matches_All[[#This Row],[Team]],Dyno_Data[Match],TBA_Matches_All[[#This Row],[Match_Number]],Dyno_Data[RecordType],"Activities",Dyno_Data[DelOrig],"Neut", Dyno_Data[DelMiss],"1")</f>
        <v>0</v>
      </c>
      <c r="BM281" s="60">
        <f>IFERROR(SUM((TBA_Matches_All[[#This Row],[NZflrT]])/(TBA_Matches_All[[#This Row],[NZflrT]]+TBA_Matches_All[[#This Row],[NZflrM]])),0)</f>
        <v>0</v>
      </c>
      <c r="BN281">
        <f>COUNTIFS(Dyno_Data[Team],TBA_Matches_All[[#This Row],[Team]],Dyno_Data[Match],TBA_Matches_All[[#This Row],[Match_Number]],Dyno_Data[RecordType],"Activities",Dyno_Data[DelOrig],"AllyW", Dyno_Data[DelMiss],"0")</f>
        <v>5</v>
      </c>
      <c r="BO281">
        <f>COUNTIFS(Dyno_Data[Team],TBA_Matches_All[[#This Row],[Team]],Dyno_Data[Match],TBA_Matches_All[[#This Row],[Match_Number]],Dyno_Data[RecordType],"Activities",Dyno_Data[DelOrig],"AllyW", Dyno_Data[DelMiss],"1")</f>
        <v>0</v>
      </c>
      <c r="BP281" s="60">
        <f>IFERROR(SUM((TBA_Matches_All[[#This Row],[AZflrT]])/(TBA_Matches_All[[#This Row],[AZflrT]]+TBA_Matches_All[[#This Row],[AZflrM]])),0)</f>
        <v>1</v>
      </c>
      <c r="BQ281">
        <f>COUNTIFS(Dyno_Data[Team],TBA_Matches_All[[#This Row],[Team]],Dyno_Data[Match],TBA_Matches_All[[#This Row],[Match_Number]],Dyno_Data[RecordType],"Activities",Dyno_Data[DelOrig],"SubW", Dyno_Data[DelMiss],"0")</f>
        <v>2</v>
      </c>
      <c r="BR281">
        <f>COUNTIFS(Dyno_Data[Team],TBA_Matches_All[[#This Row],[Team]],Dyno_Data[Match],TBA_Matches_All[[#This Row],[Match_Number]],Dyno_Data[RecordType],"Activities",Dyno_Data[DelOrig],"SubW", Dyno_Data[DelMiss],"1")</f>
        <v>0</v>
      </c>
      <c r="BS281" s="60">
        <f>IFERROR(SUM((TBA_Matches_All[[#This Row],[SubwT]])/(TBA_Matches_All[[#This Row],[SubwT]]+TBA_Matches_All[[#This Row],[SubwM]])),0)</f>
        <v>1</v>
      </c>
      <c r="BT281">
        <f>COUNTIFS(Dyno_Data[Team],TBA_Matches_All[[#This Row],[Team]],Dyno_Data[Match],TBA_Matches_All[[#This Row],[Match_Number]],Dyno_Data[RecordType],"Activities", Dyno_Data[AcqLoc],"OppWing")</f>
        <v>0</v>
      </c>
      <c r="BU281">
        <f>COUNTIFS(Dyno_Data[Team],TBA_Matches_All[[#This Row],[Team]],Dyno_Data[Match],TBA_Matches_All[[#This Row],[Match_Number]],Dyno_Data[RecordType],"Activities", Dyno_Data[AcqLoc],"Neutral")</f>
        <v>0</v>
      </c>
      <c r="BV281">
        <f>COUNTIFS(Dyno_Data[Team],TBA_Matches_All[[#This Row],[Team]],Dyno_Data[Match],TBA_Matches_All[[#This Row],[Match_Number]],Dyno_Data[RecordType],"Activities", Dyno_Data[AcqLoc],"AllyWing")</f>
        <v>0</v>
      </c>
      <c r="BW281">
        <f>COUNTIFS(Dyno_Data[Team],TBA_Matches_All[[#This Row],[Team]],Dyno_Data[Match],TBA_Matches_All[[#This Row],[Match_Number]],Dyno_Data[RecordType],"Activities", Dyno_Data[AcqLoc],"Source")</f>
        <v>0</v>
      </c>
      <c r="BX281">
        <f>SUMIFS(Dyno_Data[AcqDrp], Dyno_Data[Team],TBA_Matches_All[[#This Row],[Team]],Dyno_Data[Match],TBA_Matches_All[[#This Row],[Match_Number]],Dyno_Data[RecordType],"Activities", Dyno_Data[AcqLoc],"Source")</f>
        <v>0</v>
      </c>
      <c r="BY281">
        <f>SUMIFS(Dyno_Data[OZTime], Dyno_Data[Team],TBA_Matches_All[[#This Row],[Team]],Dyno_Data[Match],TBA_Matches_All[[#This Row],[Match_Number]],Dyno_Data[RecordType],"EndMatch")</f>
        <v>34.023590499999997</v>
      </c>
      <c r="BZ281">
        <f>SUMIFS(Dyno_Data[NZTime], Dyno_Data[Team],TBA_Matches_All[[#This Row],[Team]],Dyno_Data[Match],TBA_Matches_All[[#This Row],[Match_Number]],Dyno_Data[RecordType],"EndMatch")</f>
        <v>19.188161099999999</v>
      </c>
      <c r="CA281">
        <f>SUMIFS(Dyno_Data[AZTime], Dyno_Data[Team],TBA_Matches_All[[#This Row],[Team]],Dyno_Data[Match],TBA_Matches_All[[#This Row],[Match_Number]],Dyno_Data[RecordType],"EndMatch")</f>
        <v>76.9906012</v>
      </c>
      <c r="CB281">
        <f>SUMIFS(Dyno_Data[ClimbT], Dyno_Data[Team],TBA_Matches_All[[#This Row],[Team]],Dyno_Data[Match],TBA_Matches_All[[#This Row],[Match_Number]],Dyno_Data[RecordType],"EndMatch")</f>
        <v>5.9478928</v>
      </c>
      <c r="CC281" t="str">
        <f>_xlfn.XLOOKUP(SUM(MID(TBA_Matches_All[[#This Row],[Team]],4,5),(TBA_Matches_All[[#This Row],[Match_Number]]/100)),Dyno_EndMatch[teammat],Dyno_EndMatch[StageStat],"_",0,1)</f>
        <v>Park</v>
      </c>
      <c r="CD281" t="str">
        <f>_xlfn.XLOOKUP(TBA_Matches_All[[#This Row],[teammat]],Dyno_EndMatch[teammat],Dyno_EndMatch[StageAtt],"_",0,1)</f>
        <v>-1</v>
      </c>
      <c r="CE281" t="str">
        <f>_xlfn.XLOOKUP(TBA_Matches_All[[#This Row],[teammat]],Dyno_EndMatch[teammat],Dyno_EndMatch[StageLoc],"_",0,1)</f>
        <v>A</v>
      </c>
      <c r="CF281">
        <f>SUMIFS(Dyno_Data[Harmony], Dyno_Data[Team],TBA_Matches_All[[#This Row],[Team]],Dyno_Data[Match],TBA_Matches_All[[#This Row],[Match_Number]],Dyno_Data[RecordType],"EndMatch", Dyno_Data[StageStat],"On",Dyno_Data[Harmony],"&lt;&gt;9")</f>
        <v>0</v>
      </c>
      <c r="CG281">
        <f>SUMIFS(Dyno_Data[Spotlit], Dyno_Data[Team],TBA_Matches_All[[#This Row],[Team]],Dyno_Data[Match],TBA_Matches_All[[#This Row],[Match_Number]],Dyno_Data[RecordType],"EndMatch", Dyno_Data[StageStat],"On",Dyno_Data[Spotlit],"&lt;&gt;9")</f>
        <v>0</v>
      </c>
      <c r="CH281" t="str">
        <f>_xlfn.XLOOKUP(TBA_Matches_All[[#This Row],[teammat]],Dyno_EndMatch[teammat],Dyno_EndMatch[Strategy],"_",0,1)</f>
        <v>Hybrid</v>
      </c>
      <c r="CI281">
        <f>SUMIFS(Dyno_Data[Defense], Dyno_Data[Team],TBA_Matches_All[[#This Row],[Team]],Dyno_Data[Match],TBA_Matches_All[[#This Row],[Match_Number]],Dyno_Data[RecordType],"EndMatch",Dyno_Data[Defense],"&lt;&gt;9")</f>
        <v>0</v>
      </c>
      <c r="CJ281">
        <f>SUMIFS(Dyno_Data[Avoidance], Dyno_Data[Team],TBA_Matches_All[[#This Row],[Team]],Dyno_Data[Match],TBA_Matches_All[[#This Row],[Match_Number]],Dyno_Data[RecordType],"EndMatch",Dyno_Data[Avoidance],"&lt;&gt;9")</f>
        <v>0</v>
      </c>
      <c r="CK281" s="82">
        <f>COUNTIF($H$2:TBA_Matches_All[[#This Row],[Team]],TBA_Matches_All[[#This Row],[Team]])</f>
        <v>6</v>
      </c>
      <c r="CL281" s="111">
        <f>SUM(MID(TBA_Matches_All[[#This Row],[Team]],4,5)+TBA_Matches_All[[#This Row],[Match_Number]]/100)</f>
        <v>3171.47</v>
      </c>
      <c r="CM281">
        <f>SUM((TBA_Matches_All[[#This Row],[Leave]]*2)+(TBA_Matches_All[[#This Row],[AampT]]*2)+(TBA_Matches_All[[#This Row],[AspkrT]]*5)+(TBA_Matches_All[[#This Row],[AtrapT]]*5))</f>
        <v>12</v>
      </c>
      <c r="CN281" s="59">
        <f>IFERROR(SUM(TBA_Matches_All[[#This Row],[AptsT]]/TBA_Matches_All[[#This Row],[AutoPts]]),0)</f>
        <v>0.5</v>
      </c>
      <c r="CO281" s="59">
        <f>IFERROR(SUM(TBA_Matches_All[[#This Row],[AampT]]+TBA_Matches_All[[#This Row],[AspkrT]]+TBA_Matches_All[[#This Row],[AtrapT]]/TBA_Matches_All[[#This Row],[Aamp]]+TBA_Matches_All[[#This Row],[Aspkr]]+TBA_Matches_All[[#This Row],[AtrapT]]),0)</f>
        <v>0</v>
      </c>
      <c r="CP281" s="59">
        <f>IFERROR(SUM(TBA_Matches_All[[#This Row],[TampT]]/TBA_Matches_All[[#This Row],[Tamp]]),0)</f>
        <v>0.25</v>
      </c>
      <c r="CQ281" s="59">
        <f>IFERROR(SUM(TBA_Matches_All[[#This Row],[TspkrT]]/TBA_Matches_All[[#This Row],[Tspkr]]),0)</f>
        <v>0.66666666666666663</v>
      </c>
      <c r="CR281">
        <f>SUM(TBA_Matches_All[[#This Row],[TspkrPts]]*TBA_Matches_All[[#This Row],[TspkrP]])</f>
        <v>12</v>
      </c>
      <c r="CS281" s="59">
        <f>IFERROR(SUM(TBA_Matches_All[[#This Row],[TtrapT]]/TBA_Matches_All[[#This Row],[Trap]]),0)</f>
        <v>0</v>
      </c>
      <c r="CT281" s="59">
        <f>IFERROR(SUM(TBA_Matches_All[[#This Row],[TotNotesT]]/TBA_Matches_All[[#This Row],[TotNotes]]),0)</f>
        <v>0.5</v>
      </c>
      <c r="CU281" s="66">
        <f>SUM((TBA_Matches_All[[#This Row],[AampT]]*2)+(TBA_Matches_All[[#This Row],[AspkrT]]*5)+(TBA_Matches_All[[#This Row],[AtrapT]]*5)+(TBA_Matches_All[[#This Row],[TampT]]*1)+(TBA_Matches_All[[#This Row],[TspkrptsC]]))</f>
        <v>23</v>
      </c>
      <c r="CV281" s="59">
        <f>IFERROR(TBA_Matches_All[[#This Row],[noteptsT]]/TBA_Matches_All[[#This Row],[NotePts]],0)</f>
        <v>0.54761904761904767</v>
      </c>
      <c r="CW281">
        <f>SUM(IF(TBA_Matches_All[[#This Row],[stageStat]]="On",3,0),IF(TBA_Matches_All[[#This Row],[stageStat]]="Park",1,0),SUMIFS(TBA_Matches_All[[#This Row],[Spotlit]],TBA_Matches_All[[#This Row],[stageStat]],"On"),SUMIFS(TBA_Matches_All[[#This Row],[Harmony]],TBA_Matches_All[[#This Row],[stageStat]],"On"))</f>
        <v>1</v>
      </c>
      <c r="CX281" s="59">
        <f>IFERROR(TBA_Matches_All[[#This Row],[stageptsT]]/TBA_Matches_All[[#This Row],[StagePts]],0)</f>
        <v>0.33333333333333331</v>
      </c>
      <c r="CY281">
        <f>SUM((TBA_Matches_All[[#This Row],[AptsT]]+TBA_Matches_All[[#This Row],[TampT]]+TBA_Matches_All[[#This Row],[TspkrptsC]]+(TBA_Matches_All[[#This Row],[TtrapT]]*5)+TBA_Matches_All[[#This Row],[stageptsT]]))</f>
        <v>26</v>
      </c>
      <c r="CZ281" s="59">
        <f>IFERROR(SUM(TBA_Matches_All[[#This Row],[TotptsC]]/TBA_Matches_All[[#This Row],[Score]]),0)</f>
        <v>0.53061224489795922</v>
      </c>
      <c r="DA28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11.456923076923076</v>
      </c>
      <c r="DB281" s="74">
        <f>SUMIFS(TBA_Matches_All[AveTeamTNoteDels],TBA_Matches_All[Match_Number],TBA_Matches_All[[#This Row],[Match_Number]],TBA_Matches_All[Alliance],"&lt;&gt;"&amp;TBA_Matches_All[[#This Row],[Alliance]],TBA_Matches_All[Scouted],"&gt;0")</f>
        <v>30.695019980019982</v>
      </c>
      <c r="DC281" s="74">
        <f>(TBA_Matches_All[[#This Row],[TampT]]+TBA_Matches_All[[#This Row],[TspkrptsC]])-TBA_Matches_All[[#This Row],[AveTeamTNoteDels]]</f>
        <v>1.5430769230769243</v>
      </c>
      <c r="DD281" s="74">
        <f>SUMIFS(TBA_Matches_All[AveTeamTNoteDels],TBA_Matches_All[Match_Number],TBA_Matches_All[[#This Row],[Match_Number]],TBA_Matches_All[Alliance],"&lt;&gt;"&amp;TBA_Matches_All[[#This Row],[Alliance]])-TBA_Matches_All[[#This Row],[AveOppTNoteDels]]</f>
        <v>0</v>
      </c>
    </row>
    <row r="282" spans="1:108" x14ac:dyDescent="0.3">
      <c r="A282" t="s">
        <v>1042</v>
      </c>
      <c r="B282" t="s">
        <v>489</v>
      </c>
      <c r="C282" t="s">
        <v>1356</v>
      </c>
      <c r="D282">
        <v>47</v>
      </c>
      <c r="E282" t="s">
        <v>1406</v>
      </c>
      <c r="F282" t="s">
        <v>1424</v>
      </c>
      <c r="G282" t="s">
        <v>1409</v>
      </c>
      <c r="H282" t="s">
        <v>1305</v>
      </c>
      <c r="I282" t="b">
        <v>1</v>
      </c>
      <c r="J282">
        <v>60</v>
      </c>
      <c r="K282">
        <v>1</v>
      </c>
      <c r="L282">
        <v>0</v>
      </c>
      <c r="M282">
        <v>0</v>
      </c>
      <c r="N282">
        <v>0</v>
      </c>
      <c r="O282">
        <v>4</v>
      </c>
      <c r="P282">
        <v>20</v>
      </c>
      <c r="Q282">
        <v>24</v>
      </c>
      <c r="R282">
        <v>5</v>
      </c>
      <c r="S282">
        <v>3</v>
      </c>
      <c r="T282">
        <v>5</v>
      </c>
      <c r="U282">
        <v>15</v>
      </c>
      <c r="V282">
        <v>10</v>
      </c>
      <c r="W282">
        <v>8</v>
      </c>
      <c r="X282">
        <v>25</v>
      </c>
      <c r="Y282">
        <v>30</v>
      </c>
      <c r="Z282">
        <v>0</v>
      </c>
      <c r="AA282">
        <v>0</v>
      </c>
      <c r="AB282">
        <v>17</v>
      </c>
      <c r="AC282">
        <v>50</v>
      </c>
      <c r="AD282">
        <v>1</v>
      </c>
      <c r="AE282">
        <f>IFERROR(6/(COUNTIF(Dyno_EndMatch[Match],TBA_Matches_All[[#This Row],[Match_Number]])),0)</f>
        <v>1</v>
      </c>
      <c r="AF282">
        <f>COUNTIFS(Dyno_Data[Team],TBA_Matches_All[[#This Row],[Team]],Dyno_Data[Match],TBA_Matches_All[[#This Row],[Match_Number]],Dyno_Data[RecordType],"EndMatch",Dyno_Data[HPAmp],"Y")</f>
        <v>0</v>
      </c>
      <c r="AG282">
        <f>SUMIFS(Dyno_Data[Mics], Dyno_Data[Team],TBA_Matches_All[[#This Row],[Team]],Dyno_Data[Match],TBA_Matches_All[[#This Row],[Match_Number]],Dyno_Data[RecordType],"EndMatch",Dyno_Data[HPAmp],"Y")</f>
        <v>0</v>
      </c>
      <c r="AH282">
        <f>SUMIFS(Dyno_Data[Leave], Dyno_Data[Team],TBA_Matches_All[[#This Row],[Team]],Dyno_Data[Match],TBA_Matches_All[[#This Row],[Match_Number]],Dyno_Data[RecordType],"EndAuto")</f>
        <v>1</v>
      </c>
      <c r="AI282">
        <f>COUNTIFS(Dyno_Data[Team],TBA_Matches_All[[#This Row],[Team]],Dyno_Data[Match],TBA_Matches_All[[#This Row],[Match_Number]],Dyno_Data[RecordType],"Activities",Dyno_Data[DelDest],"Amp", Dyno_Data[DelMiss],"0", Dyno_Data[Mode],"Auto")</f>
        <v>0</v>
      </c>
      <c r="AJ282">
        <f>COUNTIFS(Dyno_Data[Team],TBA_Matches_All[[#This Row],[Team]],Dyno_Data[Match],TBA_Matches_All[[#This Row],[Match_Number]],Dyno_Data[RecordType],"Activities",Dyno_Data[DelDest],"Spkr", Dyno_Data[DelMiss],"0", Dyno_Data[Mode],"Auto")</f>
        <v>3</v>
      </c>
      <c r="AK282">
        <f>COUNTIFS(Dyno_Data[Team],TBA_Matches_All[[#This Row],[Team]],Dyno_Data[Match],TBA_Matches_All[[#This Row],[Match_Number]],Dyno_Data[RecordType],"Activities",Dyno_Data[DelDest],"Trap", Dyno_Data[DelMiss],"0", Dyno_Data[Mode],"Auto")</f>
        <v>0</v>
      </c>
      <c r="AL282">
        <f>COUNTIFS(Dyno_Data[Team],TBA_Matches_All[[#This Row],[Team]],Dyno_Data[Match],TBA_Matches_All[[#This Row],[Match_Number]],Dyno_Data[RecordType],"Activities",Dyno_Data[DelDest],"Amp", Dyno_Data[DelMiss],"0", Dyno_Data[Mode],"Teleop")</f>
        <v>5</v>
      </c>
      <c r="AM282">
        <f>COUNTIFS(Dyno_Data[Team],TBA_Matches_All[[#This Row],[Team]],Dyno_Data[Match],TBA_Matches_All[[#This Row],[Match_Number]],Dyno_Data[RecordType],"Activities",Dyno_Data[DelDest],"Spkr", Dyno_Data[DelMiss],"0", Dyno_Data[Mode],"Teleop")</f>
        <v>7</v>
      </c>
      <c r="AN282">
        <f>COUNTIFS(Dyno_Data[Team],TBA_Matches_All[[#This Row],[Team]],Dyno_Data[Match],TBA_Matches_All[[#This Row],[Match_Number]],Dyno_Data[RecordType],"Activities",Dyno_Data[DelDest],"Trap", Dyno_Data[DelMiss],"0", Dyno_Data[Mode],"&lt;&gt;Auto")</f>
        <v>0</v>
      </c>
      <c r="AO282">
        <f>SUM(TBA_Matches_All[[#This Row],[AampT]]+TBA_Matches_All[[#This Row],[AspkrT]]+TBA_Matches_All[[#This Row],[AtrapT]]+TBA_Matches_All[[#This Row],[TampT]]+TBA_Matches_All[[#This Row],[TspkrT]]+TBA_Matches_All[[#This Row],[TtrapT]])</f>
        <v>15</v>
      </c>
      <c r="AP282">
        <f>COUNTIFS(Dyno_Data[Team],TBA_Matches_All[[#This Row],[Team]],Dyno_Data[Match],TBA_Matches_All[[#This Row],[Match_Number]],Dyno_Data[RecordType],"Activities",Dyno_Data[DelDest],"Neut", Dyno_Data[DelMiss],"0")</f>
        <v>0</v>
      </c>
      <c r="AQ282">
        <f>COUNTIFS(Dyno_Data[Team],TBA_Matches_All[[#This Row],[Team]],Dyno_Data[Match],TBA_Matches_All[[#This Row],[Match_Number]],Dyno_Data[RecordType],"Activities",Dyno_Data[DelDest],"AllyW", Dyno_Data[DelMiss],"0")</f>
        <v>0</v>
      </c>
      <c r="AR282" t="str">
        <f>_xlfn.XLOOKUP(SUM(MID(TBA_Matches_All[[#This Row],[Team]],4,5),(TBA_Matches_All[[#This Row],[Match_Number]]/100)),Dyno_EndMatch[teammat],Dyno_EndMatch[RobotSta],"_",0,1)</f>
        <v>Amp</v>
      </c>
      <c r="AS282">
        <f>SUMIFS(Dyno_Data[AcqDis], Dyno_Data[Team],TBA_Matches_All[[#This Row],[Team]],Dyno_Data[Match],TBA_Matches_All[[#This Row],[Match_Number]],Dyno_Data[RecordType],"Activities", Dyno_Data[AcqCenter],1,Dyno_Data[Mode],"Auto")</f>
        <v>0</v>
      </c>
      <c r="AT282">
        <f>SUMIFS(Dyno_Data[AcqDis], Dyno_Data[Team],TBA_Matches_All[[#This Row],[Team]],Dyno_Data[Match],TBA_Matches_All[[#This Row],[Match_Number]],Dyno_Data[RecordType],"Activities", Dyno_Data[AcqCenter],2,Dyno_Data[Mode],"Auto")</f>
        <v>0</v>
      </c>
      <c r="AU282">
        <f>SUMIFS(Dyno_Data[AcqDis], Dyno_Data[Team],TBA_Matches_All[[#This Row],[Team]],Dyno_Data[Match],TBA_Matches_All[[#This Row],[Match_Number]],Dyno_Data[RecordType],"Activities", Dyno_Data[AcqCenter],3,Dyno_Data[Mode],"Auto")</f>
        <v>0</v>
      </c>
      <c r="AV282">
        <f>SUMIFS(Dyno_Data[AcqDis], Dyno_Data[Team],TBA_Matches_All[[#This Row],[Team]],Dyno_Data[Match],TBA_Matches_All[[#This Row],[Match_Number]],Dyno_Data[RecordType],"Activities", Dyno_Data[AcqCenter],4,Dyno_Data[Mode],"Auto")</f>
        <v>0</v>
      </c>
      <c r="AW282">
        <f>SUMIFS(Dyno_Data[AcqDis], Dyno_Data[Team],TBA_Matches_All[[#This Row],[Team]],Dyno_Data[Match],TBA_Matches_All[[#This Row],[Match_Number]],Dyno_Data[RecordType],"Activities", Dyno_Data[AcqCenter],5,Dyno_Data[Mode],"Auto")</f>
        <v>1</v>
      </c>
      <c r="AX282">
        <f>SUMIFS(Dyno_Data[DelMiss], Dyno_Data[Team],TBA_Matches_All[[#This Row],[Team]],Dyno_Data[Match],TBA_Matches_All[[#This Row],[Match_Number]],Dyno_Data[RecordType],"Activities", Dyno_Data[DelDest],"Amp")</f>
        <v>0</v>
      </c>
      <c r="AY282" s="60">
        <f>IFERROR(SUM((TBA_Matches_All[[#This Row],[AampT]]+TBA_Matches_All[[#This Row],[TampT]])/(TBA_Matches_All[[#This Row],[AampT]]+TBA_Matches_All[[#This Row],[TampT]]+TBA_Matches_All[[#This Row],[ampM]])),0)</f>
        <v>1</v>
      </c>
      <c r="AZ282">
        <f>SUMIFS(Dyno_Data[DelMiss], Dyno_Data[Team],TBA_Matches_All[[#This Row],[Team]],Dyno_Data[Match],TBA_Matches_All[[#This Row],[Match_Number]],Dyno_Data[RecordType],"Activities", Dyno_Data[DelDest],"Spkr")</f>
        <v>1</v>
      </c>
      <c r="BA282" s="60">
        <f>IFERROR(SUM((TBA_Matches_All[[#This Row],[AspkrT]]+TBA_Matches_All[[#This Row],[TspkrT]])/(TBA_Matches_All[[#This Row],[AspkrT]]+TBA_Matches_All[[#This Row],[TspkrT]]+TBA_Matches_All[[#This Row],[spkrM]])),0)</f>
        <v>0.90909090909090906</v>
      </c>
      <c r="BB282">
        <f>SUMIFS(Dyno_Data[DelMiss], Dyno_Data[Team],TBA_Matches_All[[#This Row],[Team]],Dyno_Data[Match],TBA_Matches_All[[#This Row],[Match_Number]],Dyno_Data[RecordType],"Activities", Dyno_Data[DelDest],"Trap")</f>
        <v>0</v>
      </c>
      <c r="BC282" s="60">
        <f>IFERROR((TBA_Matches_All[[#This Row],[AtrapT]]+TBA_Matches_All[[#This Row],[TtrapT]])/(TBA_Matches_All[[#This Row],[AtrapT]]+TBA_Matches_All[[#This Row],[TtrapT]]+TBA_Matches_All[[#This Row],[trapM]]),0)</f>
        <v>0</v>
      </c>
      <c r="BD282">
        <f>COUNTIFS(Dyno_Data[Team],TBA_Matches_All[[#This Row],[Team]],Dyno_Data[Match],TBA_Matches_All[[#This Row],[Match_Number]],Dyno_Data[RecordType],"Activities",Dyno_Data[DelDest],"Neut", Dyno_Data[DelMiss],1)</f>
        <v>0</v>
      </c>
      <c r="BE282" s="60">
        <f>IFERROR(SUM((TBA_Matches_All[[#This Row],[NeutFlrT]])/(TBA_Matches_All[[#This Row],[NeutFlrT]]+TBA_Matches_All[[#This Row],[NZflM]])),0)</f>
        <v>0</v>
      </c>
      <c r="BF282">
        <f>COUNTIFS(Dyno_Data[Team],TBA_Matches_All[[#This Row],[Team]],Dyno_Data[Match],TBA_Matches_All[[#This Row],[Match_Number]],Dyno_Data[RecordType],"Activities",Dyno_Data[DelDest],"AllyW", Dyno_Data[DelMiss],1)</f>
        <v>0</v>
      </c>
      <c r="BG282" s="60">
        <f>IFERROR(SUM((TBA_Matches_All[[#This Row],[AllyWFlrT]])/(TBA_Matches_All[[#This Row],[AllyWFlrT]]+TBA_Matches_All[[#This Row],[AZflM]])),0)</f>
        <v>0</v>
      </c>
      <c r="BH282">
        <f>COUNTIFS(Dyno_Data[Team],TBA_Matches_All[[#This Row],[Team]],Dyno_Data[Match],TBA_Matches_All[[#This Row],[Match_Number]],Dyno_Data[RecordType],"Activities",Dyno_Data[DelOrig],"OppW", Dyno_Data[DelMiss],"0")</f>
        <v>0</v>
      </c>
      <c r="BI282">
        <f>COUNTIFS(Dyno_Data[Team],TBA_Matches_All[[#This Row],[Team]],Dyno_Data[Match],TBA_Matches_All[[#This Row],[Match_Number]],Dyno_Data[RecordType],"Activities",Dyno_Data[DelOrig],"OppW", Dyno_Data[DelMiss],"1")</f>
        <v>0</v>
      </c>
      <c r="BJ282" s="60">
        <f>IFERROR(SUM((TBA_Matches_All[[#This Row],[OZflrT]])/(TBA_Matches_All[[#This Row],[OZflrT]]+TBA_Matches_All[[#This Row],[OZflrM]])),0)</f>
        <v>0</v>
      </c>
      <c r="BK282">
        <f>COUNTIFS(Dyno_Data[Team],TBA_Matches_All[[#This Row],[Team]],Dyno_Data[Match],TBA_Matches_All[[#This Row],[Match_Number]],Dyno_Data[RecordType],"Activities",Dyno_Data[DelOrig],"Neut", Dyno_Data[DelMiss],"0")</f>
        <v>0</v>
      </c>
      <c r="BL282">
        <f>COUNTIFS(Dyno_Data[Team],TBA_Matches_All[[#This Row],[Team]],Dyno_Data[Match],TBA_Matches_All[[#This Row],[Match_Number]],Dyno_Data[RecordType],"Activities",Dyno_Data[DelOrig],"Neut", Dyno_Data[DelMiss],"1")</f>
        <v>0</v>
      </c>
      <c r="BM282" s="60">
        <f>IFERROR(SUM((TBA_Matches_All[[#This Row],[NZflrT]])/(TBA_Matches_All[[#This Row],[NZflrT]]+TBA_Matches_All[[#This Row],[NZflrM]])),0)</f>
        <v>0</v>
      </c>
      <c r="BN282">
        <f>COUNTIFS(Dyno_Data[Team],TBA_Matches_All[[#This Row],[Team]],Dyno_Data[Match],TBA_Matches_All[[#This Row],[Match_Number]],Dyno_Data[RecordType],"Activities",Dyno_Data[DelOrig],"AllyW", Dyno_Data[DelMiss],"0")</f>
        <v>14</v>
      </c>
      <c r="BO282">
        <f>COUNTIFS(Dyno_Data[Team],TBA_Matches_All[[#This Row],[Team]],Dyno_Data[Match],TBA_Matches_All[[#This Row],[Match_Number]],Dyno_Data[RecordType],"Activities",Dyno_Data[DelOrig],"AllyW", Dyno_Data[DelMiss],"1")</f>
        <v>1</v>
      </c>
      <c r="BP282" s="60">
        <f>IFERROR(SUM((TBA_Matches_All[[#This Row],[AZflrT]])/(TBA_Matches_All[[#This Row],[AZflrT]]+TBA_Matches_All[[#This Row],[AZflrM]])),0)</f>
        <v>0.93333333333333335</v>
      </c>
      <c r="BQ282">
        <f>COUNTIFS(Dyno_Data[Team],TBA_Matches_All[[#This Row],[Team]],Dyno_Data[Match],TBA_Matches_All[[#This Row],[Match_Number]],Dyno_Data[RecordType],"Activities",Dyno_Data[DelOrig],"SubW", Dyno_Data[DelMiss],"0")</f>
        <v>1</v>
      </c>
      <c r="BR282">
        <f>COUNTIFS(Dyno_Data[Team],TBA_Matches_All[[#This Row],[Team]],Dyno_Data[Match],TBA_Matches_All[[#This Row],[Match_Number]],Dyno_Data[RecordType],"Activities",Dyno_Data[DelOrig],"SubW", Dyno_Data[DelMiss],"1")</f>
        <v>0</v>
      </c>
      <c r="BS282" s="60">
        <f>IFERROR(SUM((TBA_Matches_All[[#This Row],[SubwT]])/(TBA_Matches_All[[#This Row],[SubwT]]+TBA_Matches_All[[#This Row],[SubwM]])),0)</f>
        <v>1</v>
      </c>
      <c r="BT282">
        <f>COUNTIFS(Dyno_Data[Team],TBA_Matches_All[[#This Row],[Team]],Dyno_Data[Match],TBA_Matches_All[[#This Row],[Match_Number]],Dyno_Data[RecordType],"Activities", Dyno_Data[AcqLoc],"OppWing")</f>
        <v>0</v>
      </c>
      <c r="BU282">
        <f>COUNTIFS(Dyno_Data[Team],TBA_Matches_All[[#This Row],[Team]],Dyno_Data[Match],TBA_Matches_All[[#This Row],[Match_Number]],Dyno_Data[RecordType],"Activities", Dyno_Data[AcqLoc],"Neutral")</f>
        <v>2</v>
      </c>
      <c r="BV282">
        <f>COUNTIFS(Dyno_Data[Team],TBA_Matches_All[[#This Row],[Team]],Dyno_Data[Match],TBA_Matches_All[[#This Row],[Match_Number]],Dyno_Data[RecordType],"Activities", Dyno_Data[AcqLoc],"AllyWing")</f>
        <v>0</v>
      </c>
      <c r="BW282">
        <f>COUNTIFS(Dyno_Data[Team],TBA_Matches_All[[#This Row],[Team]],Dyno_Data[Match],TBA_Matches_All[[#This Row],[Match_Number]],Dyno_Data[RecordType],"Activities", Dyno_Data[AcqLoc],"Source")</f>
        <v>0</v>
      </c>
      <c r="BX282">
        <f>SUMIFS(Dyno_Data[AcqDrp], Dyno_Data[Team],TBA_Matches_All[[#This Row],[Team]],Dyno_Data[Match],TBA_Matches_All[[#This Row],[Match_Number]],Dyno_Data[RecordType],"Activities", Dyno_Data[AcqLoc],"Source")</f>
        <v>0</v>
      </c>
      <c r="BY282">
        <f>SUMIFS(Dyno_Data[OZTime], Dyno_Data[Team],TBA_Matches_All[[#This Row],[Team]],Dyno_Data[Match],TBA_Matches_All[[#This Row],[Match_Number]],Dyno_Data[RecordType],"EndMatch")</f>
        <v>36.836976999999997</v>
      </c>
      <c r="BZ282">
        <f>SUMIFS(Dyno_Data[NZTime], Dyno_Data[Team],TBA_Matches_All[[#This Row],[Team]],Dyno_Data[Match],TBA_Matches_All[[#This Row],[Match_Number]],Dyno_Data[RecordType],"EndMatch")</f>
        <v>36.6732163</v>
      </c>
      <c r="CA282">
        <f>SUMIFS(Dyno_Data[AZTime], Dyno_Data[Team],TBA_Matches_All[[#This Row],[Team]],Dyno_Data[Match],TBA_Matches_All[[#This Row],[Match_Number]],Dyno_Data[RecordType],"EndMatch")</f>
        <v>61.509726899999997</v>
      </c>
      <c r="CB282">
        <f>SUMIFS(Dyno_Data[ClimbT], Dyno_Data[Team],TBA_Matches_All[[#This Row],[Team]],Dyno_Data[Match],TBA_Matches_All[[#This Row],[Match_Number]],Dyno_Data[RecordType],"EndMatch")</f>
        <v>0</v>
      </c>
      <c r="CC282" t="str">
        <f>_xlfn.XLOOKUP(SUM(MID(TBA_Matches_All[[#This Row],[Team]],4,5),(TBA_Matches_All[[#This Row],[Match_Number]]/100)),Dyno_EndMatch[teammat],Dyno_EndMatch[StageStat],"_",0,1)</f>
        <v>Park</v>
      </c>
      <c r="CD282" t="str">
        <f>_xlfn.XLOOKUP(TBA_Matches_All[[#This Row],[teammat]],Dyno_EndMatch[teammat],Dyno_EndMatch[StageAtt],"_",0,1)</f>
        <v>0</v>
      </c>
      <c r="CE282" t="str">
        <f>_xlfn.XLOOKUP(TBA_Matches_All[[#This Row],[teammat]],Dyno_EndMatch[teammat],Dyno_EndMatch[StageLoc],"_",0,1)</f>
        <v>A</v>
      </c>
      <c r="CF282">
        <f>SUMIFS(Dyno_Data[Harmony], Dyno_Data[Team],TBA_Matches_All[[#This Row],[Team]],Dyno_Data[Match],TBA_Matches_All[[#This Row],[Match_Number]],Dyno_Data[RecordType],"EndMatch", Dyno_Data[StageStat],"On",Dyno_Data[Harmony],"&lt;&gt;9")</f>
        <v>0</v>
      </c>
      <c r="CG282">
        <f>SUMIFS(Dyno_Data[Spotlit], Dyno_Data[Team],TBA_Matches_All[[#This Row],[Team]],Dyno_Data[Match],TBA_Matches_All[[#This Row],[Match_Number]],Dyno_Data[RecordType],"EndMatch", Dyno_Data[StageStat],"On",Dyno_Data[Spotlit],"&lt;&gt;9")</f>
        <v>0</v>
      </c>
      <c r="CH282" t="str">
        <f>_xlfn.XLOOKUP(TBA_Matches_All[[#This Row],[teammat]],Dyno_EndMatch[teammat],Dyno_EndMatch[Strategy],"_",0,1)</f>
        <v>Hybrid</v>
      </c>
      <c r="CI282">
        <f>SUMIFS(Dyno_Data[Defense], Dyno_Data[Team],TBA_Matches_All[[#This Row],[Team]],Dyno_Data[Match],TBA_Matches_All[[#This Row],[Match_Number]],Dyno_Data[RecordType],"EndMatch",Dyno_Data[Defense],"&lt;&gt;9")</f>
        <v>0</v>
      </c>
      <c r="CJ282">
        <f>SUMIFS(Dyno_Data[Avoidance], Dyno_Data[Team],TBA_Matches_All[[#This Row],[Team]],Dyno_Data[Match],TBA_Matches_All[[#This Row],[Match_Number]],Dyno_Data[RecordType],"EndMatch",Dyno_Data[Avoidance],"&lt;&gt;9")</f>
        <v>3</v>
      </c>
      <c r="CK282" s="82">
        <f>COUNTIF($H$2:TBA_Matches_All[[#This Row],[Team]],TBA_Matches_All[[#This Row],[Team]])</f>
        <v>6</v>
      </c>
      <c r="CL282" s="111">
        <f>SUM(MID(TBA_Matches_All[[#This Row],[Team]],4,5)+TBA_Matches_All[[#This Row],[Match_Number]]/100)</f>
        <v>3173.47</v>
      </c>
      <c r="CM282">
        <f>SUM((TBA_Matches_All[[#This Row],[Leave]]*2)+(TBA_Matches_All[[#This Row],[AampT]]*2)+(TBA_Matches_All[[#This Row],[AspkrT]]*5)+(TBA_Matches_All[[#This Row],[AtrapT]]*5))</f>
        <v>17</v>
      </c>
      <c r="CN282" s="59">
        <f>IFERROR(SUM(TBA_Matches_All[[#This Row],[AptsT]]/TBA_Matches_All[[#This Row],[AutoPts]]),0)</f>
        <v>0.70833333333333337</v>
      </c>
      <c r="CO282" s="59">
        <f>IFERROR(SUM(TBA_Matches_All[[#This Row],[AampT]]+TBA_Matches_All[[#This Row],[AspkrT]]+TBA_Matches_All[[#This Row],[AtrapT]]/TBA_Matches_All[[#This Row],[Aamp]]+TBA_Matches_All[[#This Row],[Aspkr]]+TBA_Matches_All[[#This Row],[AtrapT]]),0)</f>
        <v>0</v>
      </c>
      <c r="CP282" s="59">
        <f>IFERROR(SUM(TBA_Matches_All[[#This Row],[TampT]]/TBA_Matches_All[[#This Row],[Tamp]]),0)</f>
        <v>1</v>
      </c>
      <c r="CQ282" s="59">
        <f>IFERROR(SUM(TBA_Matches_All[[#This Row],[TspkrT]]/TBA_Matches_All[[#This Row],[Tspkr]]),0)</f>
        <v>0.875</v>
      </c>
      <c r="CR282">
        <f>SUM(TBA_Matches_All[[#This Row],[TspkrPts]]*TBA_Matches_All[[#This Row],[TspkrP]])</f>
        <v>21.875</v>
      </c>
      <c r="CS282" s="59">
        <f>IFERROR(SUM(TBA_Matches_All[[#This Row],[TtrapT]]/TBA_Matches_All[[#This Row],[Trap]]),0)</f>
        <v>0</v>
      </c>
      <c r="CT282" s="59">
        <f>IFERROR(SUM(TBA_Matches_All[[#This Row],[TotNotesT]]/TBA_Matches_All[[#This Row],[TotNotes]]),0)</f>
        <v>0.88235294117647056</v>
      </c>
      <c r="CU282" s="66">
        <f>SUM((TBA_Matches_All[[#This Row],[AampT]]*2)+(TBA_Matches_All[[#This Row],[AspkrT]]*5)+(TBA_Matches_All[[#This Row],[AtrapT]]*5)+(TBA_Matches_All[[#This Row],[TampT]]*1)+(TBA_Matches_All[[#This Row],[TspkrptsC]]))</f>
        <v>41.875</v>
      </c>
      <c r="CV282" s="59">
        <f>IFERROR(TBA_Matches_All[[#This Row],[noteptsT]]/TBA_Matches_All[[#This Row],[NotePts]],0)</f>
        <v>0.83750000000000002</v>
      </c>
      <c r="CW282">
        <f>SUM(IF(TBA_Matches_All[[#This Row],[stageStat]]="On",3,0),IF(TBA_Matches_All[[#This Row],[stageStat]]="Park",1,0),SUMIFS(TBA_Matches_All[[#This Row],[Spotlit]],TBA_Matches_All[[#This Row],[stageStat]],"On"),SUMIFS(TBA_Matches_All[[#This Row],[Harmony]],TBA_Matches_All[[#This Row],[stageStat]],"On"))</f>
        <v>1</v>
      </c>
      <c r="CX282" s="59">
        <f>IFERROR(TBA_Matches_All[[#This Row],[stageptsT]]/TBA_Matches_All[[#This Row],[StagePts]],0)</f>
        <v>1</v>
      </c>
      <c r="CY282">
        <f>SUM((TBA_Matches_All[[#This Row],[AptsT]]+TBA_Matches_All[[#This Row],[TampT]]+TBA_Matches_All[[#This Row],[TspkrptsC]]+(TBA_Matches_All[[#This Row],[TtrapT]]*5)+TBA_Matches_All[[#This Row],[stageptsT]]))</f>
        <v>44.875</v>
      </c>
      <c r="CZ282" s="59">
        <f>IFERROR(SUM(TBA_Matches_All[[#This Row],[TotptsC]]/TBA_Matches_All[[#This Row],[Score]]),0)</f>
        <v>0.74791666666666667</v>
      </c>
      <c r="DA28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18.435439560439562</v>
      </c>
      <c r="DB282" s="74">
        <f>SUMIFS(TBA_Matches_All[AveTeamTNoteDels],TBA_Matches_All[Match_Number],TBA_Matches_All[[#This Row],[Match_Number]],TBA_Matches_All[Alliance],"&lt;&gt;"&amp;TBA_Matches_All[[#This Row],[Alliance]],TBA_Matches_All[Scouted],"&gt;0")</f>
        <v>19.329650349650347</v>
      </c>
      <c r="DC282" s="74">
        <f>(TBA_Matches_All[[#This Row],[TampT]]+TBA_Matches_All[[#This Row],[TspkrptsC]])-TBA_Matches_All[[#This Row],[AveTeamTNoteDels]]</f>
        <v>8.439560439560438</v>
      </c>
      <c r="DD282" s="74">
        <f>SUMIFS(TBA_Matches_All[AveTeamTNoteDels],TBA_Matches_All[Match_Number],TBA_Matches_All[[#This Row],[Match_Number]],TBA_Matches_All[Alliance],"&lt;&gt;"&amp;TBA_Matches_All[[#This Row],[Alliance]])-TBA_Matches_All[[#This Row],[AveOppTNoteDels]]</f>
        <v>0</v>
      </c>
    </row>
    <row r="283" spans="1:108" x14ac:dyDescent="0.3">
      <c r="A283" t="s">
        <v>1042</v>
      </c>
      <c r="B283" t="s">
        <v>489</v>
      </c>
      <c r="C283" t="s">
        <v>1356</v>
      </c>
      <c r="D283">
        <v>47</v>
      </c>
      <c r="E283" t="s">
        <v>1420</v>
      </c>
      <c r="F283" t="s">
        <v>1421</v>
      </c>
      <c r="G283" t="s">
        <v>164</v>
      </c>
      <c r="H283" t="s">
        <v>1301</v>
      </c>
      <c r="I283" t="b">
        <v>1</v>
      </c>
      <c r="J283">
        <v>49</v>
      </c>
      <c r="K283">
        <v>0</v>
      </c>
      <c r="L283">
        <v>0</v>
      </c>
      <c r="M283">
        <v>5</v>
      </c>
      <c r="N283">
        <v>0</v>
      </c>
      <c r="O283">
        <v>4</v>
      </c>
      <c r="P283">
        <v>20</v>
      </c>
      <c r="Q283">
        <v>24</v>
      </c>
      <c r="R283">
        <v>4</v>
      </c>
      <c r="S283">
        <v>2</v>
      </c>
      <c r="T283">
        <v>4</v>
      </c>
      <c r="U283">
        <v>10</v>
      </c>
      <c r="V283">
        <v>8</v>
      </c>
      <c r="W283">
        <v>6</v>
      </c>
      <c r="X283">
        <v>18</v>
      </c>
      <c r="Y283">
        <v>22</v>
      </c>
      <c r="Z283">
        <v>0</v>
      </c>
      <c r="AA283">
        <v>0</v>
      </c>
      <c r="AB283">
        <v>14</v>
      </c>
      <c r="AC283">
        <v>42</v>
      </c>
      <c r="AD283">
        <v>3</v>
      </c>
      <c r="AE283">
        <f>IFERROR(6/(COUNTIF(Dyno_EndMatch[Match],TBA_Matches_All[[#This Row],[Match_Number]])),0)</f>
        <v>1</v>
      </c>
      <c r="AF283">
        <f>COUNTIFS(Dyno_Data[Team],TBA_Matches_All[[#This Row],[Team]],Dyno_Data[Match],TBA_Matches_All[[#This Row],[Match_Number]],Dyno_Data[RecordType],"EndMatch",Dyno_Data[HPAmp],"Y")</f>
        <v>0</v>
      </c>
      <c r="AG283">
        <f>SUMIFS(Dyno_Data[Mics], Dyno_Data[Team],TBA_Matches_All[[#This Row],[Team]],Dyno_Data[Match],TBA_Matches_All[[#This Row],[Match_Number]],Dyno_Data[RecordType],"EndMatch",Dyno_Data[HPAmp],"Y")</f>
        <v>0</v>
      </c>
      <c r="AH283">
        <f>SUMIFS(Dyno_Data[Leave], Dyno_Data[Team],TBA_Matches_All[[#This Row],[Team]],Dyno_Data[Match],TBA_Matches_All[[#This Row],[Match_Number]],Dyno_Data[RecordType],"EndAuto")</f>
        <v>0</v>
      </c>
      <c r="AI283">
        <f>COUNTIFS(Dyno_Data[Team],TBA_Matches_All[[#This Row],[Team]],Dyno_Data[Match],TBA_Matches_All[[#This Row],[Match_Number]],Dyno_Data[RecordType],"Activities",Dyno_Data[DelDest],"Amp", Dyno_Data[DelMiss],"0", Dyno_Data[Mode],"Auto")</f>
        <v>0</v>
      </c>
      <c r="AJ283">
        <f>COUNTIFS(Dyno_Data[Team],TBA_Matches_All[[#This Row],[Team]],Dyno_Data[Match],TBA_Matches_All[[#This Row],[Match_Number]],Dyno_Data[RecordType],"Activities",Dyno_Data[DelDest],"Spkr", Dyno_Data[DelMiss],"0", Dyno_Data[Mode],"Auto")</f>
        <v>0</v>
      </c>
      <c r="AK283">
        <f>COUNTIFS(Dyno_Data[Team],TBA_Matches_All[[#This Row],[Team]],Dyno_Data[Match],TBA_Matches_All[[#This Row],[Match_Number]],Dyno_Data[RecordType],"Activities",Dyno_Data[DelDest],"Trap", Dyno_Data[DelMiss],"0", Dyno_Data[Mode],"Auto")</f>
        <v>0</v>
      </c>
      <c r="AL283">
        <f>COUNTIFS(Dyno_Data[Team],TBA_Matches_All[[#This Row],[Team]],Dyno_Data[Match],TBA_Matches_All[[#This Row],[Match_Number]],Dyno_Data[RecordType],"Activities",Dyno_Data[DelDest],"Amp", Dyno_Data[DelMiss],"0", Dyno_Data[Mode],"Teleop")</f>
        <v>0</v>
      </c>
      <c r="AM283">
        <f>COUNTIFS(Dyno_Data[Team],TBA_Matches_All[[#This Row],[Team]],Dyno_Data[Match],TBA_Matches_All[[#This Row],[Match_Number]],Dyno_Data[RecordType],"Activities",Dyno_Data[DelDest],"Spkr", Dyno_Data[DelMiss],"0", Dyno_Data[Mode],"Teleop")</f>
        <v>0</v>
      </c>
      <c r="AN283">
        <f>COUNTIFS(Dyno_Data[Team],TBA_Matches_All[[#This Row],[Team]],Dyno_Data[Match],TBA_Matches_All[[#This Row],[Match_Number]],Dyno_Data[RecordType],"Activities",Dyno_Data[DelDest],"Trap", Dyno_Data[DelMiss],"0", Dyno_Data[Mode],"&lt;&gt;Auto")</f>
        <v>0</v>
      </c>
      <c r="AO283">
        <f>SUM(TBA_Matches_All[[#This Row],[AampT]]+TBA_Matches_All[[#This Row],[AspkrT]]+TBA_Matches_All[[#This Row],[AtrapT]]+TBA_Matches_All[[#This Row],[TampT]]+TBA_Matches_All[[#This Row],[TspkrT]]+TBA_Matches_All[[#This Row],[TtrapT]])</f>
        <v>0</v>
      </c>
      <c r="AP283">
        <f>COUNTIFS(Dyno_Data[Team],TBA_Matches_All[[#This Row],[Team]],Dyno_Data[Match],TBA_Matches_All[[#This Row],[Match_Number]],Dyno_Data[RecordType],"Activities",Dyno_Data[DelDest],"Neut", Dyno_Data[DelMiss],"0")</f>
        <v>0</v>
      </c>
      <c r="AQ283">
        <f>COUNTIFS(Dyno_Data[Team],TBA_Matches_All[[#This Row],[Team]],Dyno_Data[Match],TBA_Matches_All[[#This Row],[Match_Number]],Dyno_Data[RecordType],"Activities",Dyno_Data[DelDest],"AllyW", Dyno_Data[DelMiss],"0")</f>
        <v>0</v>
      </c>
      <c r="AR283" t="str">
        <f>_xlfn.XLOOKUP(SUM(MID(TBA_Matches_All[[#This Row],[Team]],4,5),(TBA_Matches_All[[#This Row],[Match_Number]]/100)),Dyno_EndMatch[teammat],Dyno_EndMatch[RobotSta],"_",0,1)</f>
        <v>OppS</v>
      </c>
      <c r="AS283">
        <f>SUMIFS(Dyno_Data[AcqDis], Dyno_Data[Team],TBA_Matches_All[[#This Row],[Team]],Dyno_Data[Match],TBA_Matches_All[[#This Row],[Match_Number]],Dyno_Data[RecordType],"Activities", Dyno_Data[AcqCenter],1,Dyno_Data[Mode],"Auto")</f>
        <v>0</v>
      </c>
      <c r="AT283">
        <f>SUMIFS(Dyno_Data[AcqDis], Dyno_Data[Team],TBA_Matches_All[[#This Row],[Team]],Dyno_Data[Match],TBA_Matches_All[[#This Row],[Match_Number]],Dyno_Data[RecordType],"Activities", Dyno_Data[AcqCenter],2,Dyno_Data[Mode],"Auto")</f>
        <v>0</v>
      </c>
      <c r="AU283">
        <f>SUMIFS(Dyno_Data[AcqDis], Dyno_Data[Team],TBA_Matches_All[[#This Row],[Team]],Dyno_Data[Match],TBA_Matches_All[[#This Row],[Match_Number]],Dyno_Data[RecordType],"Activities", Dyno_Data[AcqCenter],3,Dyno_Data[Mode],"Auto")</f>
        <v>0</v>
      </c>
      <c r="AV283">
        <f>SUMIFS(Dyno_Data[AcqDis], Dyno_Data[Team],TBA_Matches_All[[#This Row],[Team]],Dyno_Data[Match],TBA_Matches_All[[#This Row],[Match_Number]],Dyno_Data[RecordType],"Activities", Dyno_Data[AcqCenter],4,Dyno_Data[Mode],"Auto")</f>
        <v>0</v>
      </c>
      <c r="AW283">
        <f>SUMIFS(Dyno_Data[AcqDis], Dyno_Data[Team],TBA_Matches_All[[#This Row],[Team]],Dyno_Data[Match],TBA_Matches_All[[#This Row],[Match_Number]],Dyno_Data[RecordType],"Activities", Dyno_Data[AcqCenter],5,Dyno_Data[Mode],"Auto")</f>
        <v>0</v>
      </c>
      <c r="AX283">
        <f>SUMIFS(Dyno_Data[DelMiss], Dyno_Data[Team],TBA_Matches_All[[#This Row],[Team]],Dyno_Data[Match],TBA_Matches_All[[#This Row],[Match_Number]],Dyno_Data[RecordType],"Activities", Dyno_Data[DelDest],"Amp")</f>
        <v>0</v>
      </c>
      <c r="AY283" s="60">
        <f>IFERROR(SUM((TBA_Matches_All[[#This Row],[AampT]]+TBA_Matches_All[[#This Row],[TampT]])/(TBA_Matches_All[[#This Row],[AampT]]+TBA_Matches_All[[#This Row],[TampT]]+TBA_Matches_All[[#This Row],[ampM]])),0)</f>
        <v>0</v>
      </c>
      <c r="AZ283">
        <f>SUMIFS(Dyno_Data[DelMiss], Dyno_Data[Team],TBA_Matches_All[[#This Row],[Team]],Dyno_Data[Match],TBA_Matches_All[[#This Row],[Match_Number]],Dyno_Data[RecordType],"Activities", Dyno_Data[DelDest],"Spkr")</f>
        <v>0</v>
      </c>
      <c r="BA283" s="60">
        <f>IFERROR(SUM((TBA_Matches_All[[#This Row],[AspkrT]]+TBA_Matches_All[[#This Row],[TspkrT]])/(TBA_Matches_All[[#This Row],[AspkrT]]+TBA_Matches_All[[#This Row],[TspkrT]]+TBA_Matches_All[[#This Row],[spkrM]])),0)</f>
        <v>0</v>
      </c>
      <c r="BB283">
        <f>SUMIFS(Dyno_Data[DelMiss], Dyno_Data[Team],TBA_Matches_All[[#This Row],[Team]],Dyno_Data[Match],TBA_Matches_All[[#This Row],[Match_Number]],Dyno_Data[RecordType],"Activities", Dyno_Data[DelDest],"Trap")</f>
        <v>0</v>
      </c>
      <c r="BC283" s="60">
        <f>IFERROR((TBA_Matches_All[[#This Row],[AtrapT]]+TBA_Matches_All[[#This Row],[TtrapT]])/(TBA_Matches_All[[#This Row],[AtrapT]]+TBA_Matches_All[[#This Row],[TtrapT]]+TBA_Matches_All[[#This Row],[trapM]]),0)</f>
        <v>0</v>
      </c>
      <c r="BD283">
        <f>COUNTIFS(Dyno_Data[Team],TBA_Matches_All[[#This Row],[Team]],Dyno_Data[Match],TBA_Matches_All[[#This Row],[Match_Number]],Dyno_Data[RecordType],"Activities",Dyno_Data[DelDest],"Neut", Dyno_Data[DelMiss],1)</f>
        <v>0</v>
      </c>
      <c r="BE283" s="60">
        <f>IFERROR(SUM((TBA_Matches_All[[#This Row],[NeutFlrT]])/(TBA_Matches_All[[#This Row],[NeutFlrT]]+TBA_Matches_All[[#This Row],[NZflM]])),0)</f>
        <v>0</v>
      </c>
      <c r="BF283">
        <f>COUNTIFS(Dyno_Data[Team],TBA_Matches_All[[#This Row],[Team]],Dyno_Data[Match],TBA_Matches_All[[#This Row],[Match_Number]],Dyno_Data[RecordType],"Activities",Dyno_Data[DelDest],"AllyW", Dyno_Data[DelMiss],1)</f>
        <v>0</v>
      </c>
      <c r="BG283" s="60">
        <f>IFERROR(SUM((TBA_Matches_All[[#This Row],[AllyWFlrT]])/(TBA_Matches_All[[#This Row],[AllyWFlrT]]+TBA_Matches_All[[#This Row],[AZflM]])),0)</f>
        <v>0</v>
      </c>
      <c r="BH283">
        <f>COUNTIFS(Dyno_Data[Team],TBA_Matches_All[[#This Row],[Team]],Dyno_Data[Match],TBA_Matches_All[[#This Row],[Match_Number]],Dyno_Data[RecordType],"Activities",Dyno_Data[DelOrig],"OppW", Dyno_Data[DelMiss],"0")</f>
        <v>0</v>
      </c>
      <c r="BI283">
        <f>COUNTIFS(Dyno_Data[Team],TBA_Matches_All[[#This Row],[Team]],Dyno_Data[Match],TBA_Matches_All[[#This Row],[Match_Number]],Dyno_Data[RecordType],"Activities",Dyno_Data[DelOrig],"OppW", Dyno_Data[DelMiss],"1")</f>
        <v>0</v>
      </c>
      <c r="BJ283" s="60">
        <f>IFERROR(SUM((TBA_Matches_All[[#This Row],[OZflrT]])/(TBA_Matches_All[[#This Row],[OZflrT]]+TBA_Matches_All[[#This Row],[OZflrM]])),0)</f>
        <v>0</v>
      </c>
      <c r="BK283">
        <f>COUNTIFS(Dyno_Data[Team],TBA_Matches_All[[#This Row],[Team]],Dyno_Data[Match],TBA_Matches_All[[#This Row],[Match_Number]],Dyno_Data[RecordType],"Activities",Dyno_Data[DelOrig],"Neut", Dyno_Data[DelMiss],"0")</f>
        <v>0</v>
      </c>
      <c r="BL283">
        <f>COUNTIFS(Dyno_Data[Team],TBA_Matches_All[[#This Row],[Team]],Dyno_Data[Match],TBA_Matches_All[[#This Row],[Match_Number]],Dyno_Data[RecordType],"Activities",Dyno_Data[DelOrig],"Neut", Dyno_Data[DelMiss],"1")</f>
        <v>0</v>
      </c>
      <c r="BM283" s="60">
        <f>IFERROR(SUM((TBA_Matches_All[[#This Row],[NZflrT]])/(TBA_Matches_All[[#This Row],[NZflrT]]+TBA_Matches_All[[#This Row],[NZflrM]])),0)</f>
        <v>0</v>
      </c>
      <c r="BN283">
        <f>COUNTIFS(Dyno_Data[Team],TBA_Matches_All[[#This Row],[Team]],Dyno_Data[Match],TBA_Matches_All[[#This Row],[Match_Number]],Dyno_Data[RecordType],"Activities",Dyno_Data[DelOrig],"AllyW", Dyno_Data[DelMiss],"0")</f>
        <v>0</v>
      </c>
      <c r="BO283">
        <f>COUNTIFS(Dyno_Data[Team],TBA_Matches_All[[#This Row],[Team]],Dyno_Data[Match],TBA_Matches_All[[#This Row],[Match_Number]],Dyno_Data[RecordType],"Activities",Dyno_Data[DelOrig],"AllyW", Dyno_Data[DelMiss],"1")</f>
        <v>0</v>
      </c>
      <c r="BP283" s="60">
        <f>IFERROR(SUM((TBA_Matches_All[[#This Row],[AZflrT]])/(TBA_Matches_All[[#This Row],[AZflrT]]+TBA_Matches_All[[#This Row],[AZflrM]])),0)</f>
        <v>0</v>
      </c>
      <c r="BQ283">
        <f>COUNTIFS(Dyno_Data[Team],TBA_Matches_All[[#This Row],[Team]],Dyno_Data[Match],TBA_Matches_All[[#This Row],[Match_Number]],Dyno_Data[RecordType],"Activities",Dyno_Data[DelOrig],"SubW", Dyno_Data[DelMiss],"0")</f>
        <v>0</v>
      </c>
      <c r="BR283">
        <f>COUNTIFS(Dyno_Data[Team],TBA_Matches_All[[#This Row],[Team]],Dyno_Data[Match],TBA_Matches_All[[#This Row],[Match_Number]],Dyno_Data[RecordType],"Activities",Dyno_Data[DelOrig],"SubW", Dyno_Data[DelMiss],"1")</f>
        <v>0</v>
      </c>
      <c r="BS283" s="60">
        <f>IFERROR(SUM((TBA_Matches_All[[#This Row],[SubwT]])/(TBA_Matches_All[[#This Row],[SubwT]]+TBA_Matches_All[[#This Row],[SubwM]])),0)</f>
        <v>0</v>
      </c>
      <c r="BT283">
        <f>COUNTIFS(Dyno_Data[Team],TBA_Matches_All[[#This Row],[Team]],Dyno_Data[Match],TBA_Matches_All[[#This Row],[Match_Number]],Dyno_Data[RecordType],"Activities", Dyno_Data[AcqLoc],"OppWing")</f>
        <v>0</v>
      </c>
      <c r="BU283">
        <f>COUNTIFS(Dyno_Data[Team],TBA_Matches_All[[#This Row],[Team]],Dyno_Data[Match],TBA_Matches_All[[#This Row],[Match_Number]],Dyno_Data[RecordType],"Activities", Dyno_Data[AcqLoc],"Neutral")</f>
        <v>0</v>
      </c>
      <c r="BV283">
        <f>COUNTIFS(Dyno_Data[Team],TBA_Matches_All[[#This Row],[Team]],Dyno_Data[Match],TBA_Matches_All[[#This Row],[Match_Number]],Dyno_Data[RecordType],"Activities", Dyno_Data[AcqLoc],"AllyWing")</f>
        <v>0</v>
      </c>
      <c r="BW283">
        <f>COUNTIFS(Dyno_Data[Team],TBA_Matches_All[[#This Row],[Team]],Dyno_Data[Match],TBA_Matches_All[[#This Row],[Match_Number]],Dyno_Data[RecordType],"Activities", Dyno_Data[AcqLoc],"Source")</f>
        <v>0</v>
      </c>
      <c r="BX283">
        <f>SUMIFS(Dyno_Data[AcqDrp], Dyno_Data[Team],TBA_Matches_All[[#This Row],[Team]],Dyno_Data[Match],TBA_Matches_All[[#This Row],[Match_Number]],Dyno_Data[RecordType],"Activities", Dyno_Data[AcqLoc],"Source")</f>
        <v>0</v>
      </c>
      <c r="BY283">
        <f>SUMIFS(Dyno_Data[OZTime], Dyno_Data[Team],TBA_Matches_All[[#This Row],[Team]],Dyno_Data[Match],TBA_Matches_All[[#This Row],[Match_Number]],Dyno_Data[RecordType],"EndMatch")</f>
        <v>4.4978166999999996</v>
      </c>
      <c r="BZ283">
        <f>SUMIFS(Dyno_Data[NZTime], Dyno_Data[Team],TBA_Matches_All[[#This Row],[Team]],Dyno_Data[Match],TBA_Matches_All[[#This Row],[Match_Number]],Dyno_Data[RecordType],"EndMatch")</f>
        <v>71.162833300000003</v>
      </c>
      <c r="CA283">
        <f>SUMIFS(Dyno_Data[AZTime], Dyno_Data[Team],TBA_Matches_All[[#This Row],[Team]],Dyno_Data[Match],TBA_Matches_All[[#This Row],[Match_Number]],Dyno_Data[RecordType],"EndMatch")</f>
        <v>60.367061899999996</v>
      </c>
      <c r="CB283">
        <f>SUMIFS(Dyno_Data[ClimbT], Dyno_Data[Team],TBA_Matches_All[[#This Row],[Team]],Dyno_Data[Match],TBA_Matches_All[[#This Row],[Match_Number]],Dyno_Data[RecordType],"EndMatch")</f>
        <v>0</v>
      </c>
      <c r="CC283" t="str">
        <f>_xlfn.XLOOKUP(SUM(MID(TBA_Matches_All[[#This Row],[Team]],4,5),(TBA_Matches_All[[#This Row],[Match_Number]]/100)),Dyno_EndMatch[teammat],Dyno_EndMatch[StageStat],"_",0,1)</f>
        <v>Park</v>
      </c>
      <c r="CD283" t="str">
        <f>_xlfn.XLOOKUP(TBA_Matches_All[[#This Row],[teammat]],Dyno_EndMatch[teammat],Dyno_EndMatch[StageAtt],"_",0,1)</f>
        <v>0</v>
      </c>
      <c r="CE283" t="str">
        <f>_xlfn.XLOOKUP(TBA_Matches_All[[#This Row],[teammat]],Dyno_EndMatch[teammat],Dyno_EndMatch[StageLoc],"_",0,1)</f>
        <v>A</v>
      </c>
      <c r="CF283">
        <f>SUMIFS(Dyno_Data[Harmony], Dyno_Data[Team],TBA_Matches_All[[#This Row],[Team]],Dyno_Data[Match],TBA_Matches_All[[#This Row],[Match_Number]],Dyno_Data[RecordType],"EndMatch", Dyno_Data[StageStat],"On",Dyno_Data[Harmony],"&lt;&gt;9")</f>
        <v>0</v>
      </c>
      <c r="CG283">
        <f>SUMIFS(Dyno_Data[Spotlit], Dyno_Data[Team],TBA_Matches_All[[#This Row],[Team]],Dyno_Data[Match],TBA_Matches_All[[#This Row],[Match_Number]],Dyno_Data[RecordType],"EndMatch", Dyno_Data[StageStat],"On",Dyno_Data[Spotlit],"&lt;&gt;9")</f>
        <v>0</v>
      </c>
      <c r="CH283" t="str">
        <f>_xlfn.XLOOKUP(TBA_Matches_All[[#This Row],[teammat]],Dyno_EndMatch[teammat],Dyno_EndMatch[Strategy],"_",0,1)</f>
        <v>Defense</v>
      </c>
      <c r="CI283">
        <f>SUMIFS(Dyno_Data[Defense], Dyno_Data[Team],TBA_Matches_All[[#This Row],[Team]],Dyno_Data[Match],TBA_Matches_All[[#This Row],[Match_Number]],Dyno_Data[RecordType],"EndMatch",Dyno_Data[Defense],"&lt;&gt;9")</f>
        <v>1</v>
      </c>
      <c r="CJ283">
        <f>SUMIFS(Dyno_Data[Avoidance], Dyno_Data[Team],TBA_Matches_All[[#This Row],[Team]],Dyno_Data[Match],TBA_Matches_All[[#This Row],[Match_Number]],Dyno_Data[RecordType],"EndMatch",Dyno_Data[Avoidance],"&lt;&gt;9")</f>
        <v>0</v>
      </c>
      <c r="CK283" s="82">
        <f>COUNTIF($H$2:TBA_Matches_All[[#This Row],[Team]],TBA_Matches_All[[#This Row],[Team]])</f>
        <v>6</v>
      </c>
      <c r="CL283" s="111">
        <f>SUM(MID(TBA_Matches_All[[#This Row],[Team]],4,5)+TBA_Matches_All[[#This Row],[Match_Number]]/100)</f>
        <v>7031.47</v>
      </c>
      <c r="CM283">
        <f>SUM((TBA_Matches_All[[#This Row],[Leave]]*2)+(TBA_Matches_All[[#This Row],[AampT]]*2)+(TBA_Matches_All[[#This Row],[AspkrT]]*5)+(TBA_Matches_All[[#This Row],[AtrapT]]*5))</f>
        <v>0</v>
      </c>
      <c r="CN283" s="59">
        <f>IFERROR(SUM(TBA_Matches_All[[#This Row],[AptsT]]/TBA_Matches_All[[#This Row],[AutoPts]]),0)</f>
        <v>0</v>
      </c>
      <c r="CO283" s="59">
        <f>IFERROR(SUM(TBA_Matches_All[[#This Row],[AampT]]+TBA_Matches_All[[#This Row],[AspkrT]]+TBA_Matches_All[[#This Row],[AtrapT]]/TBA_Matches_All[[#This Row],[Aamp]]+TBA_Matches_All[[#This Row],[Aspkr]]+TBA_Matches_All[[#This Row],[AtrapT]]),0)</f>
        <v>0</v>
      </c>
      <c r="CP283" s="59">
        <f>IFERROR(SUM(TBA_Matches_All[[#This Row],[TampT]]/TBA_Matches_All[[#This Row],[Tamp]]),0)</f>
        <v>0</v>
      </c>
      <c r="CQ283" s="59">
        <f>IFERROR(SUM(TBA_Matches_All[[#This Row],[TspkrT]]/TBA_Matches_All[[#This Row],[Tspkr]]),0)</f>
        <v>0</v>
      </c>
      <c r="CR283">
        <f>SUM(TBA_Matches_All[[#This Row],[TspkrPts]]*TBA_Matches_All[[#This Row],[TspkrP]])</f>
        <v>0</v>
      </c>
      <c r="CS283" s="59">
        <f>IFERROR(SUM(TBA_Matches_All[[#This Row],[TtrapT]]/TBA_Matches_All[[#This Row],[Trap]]),0)</f>
        <v>0</v>
      </c>
      <c r="CT283" s="59">
        <f>IFERROR(SUM(TBA_Matches_All[[#This Row],[TotNotesT]]/TBA_Matches_All[[#This Row],[TotNotes]]),0)</f>
        <v>0</v>
      </c>
      <c r="CU283" s="66">
        <f>SUM((TBA_Matches_All[[#This Row],[AampT]]*2)+(TBA_Matches_All[[#This Row],[AspkrT]]*5)+(TBA_Matches_All[[#This Row],[AtrapT]]*5)+(TBA_Matches_All[[#This Row],[TampT]]*1)+(TBA_Matches_All[[#This Row],[TspkrptsC]]))</f>
        <v>0</v>
      </c>
      <c r="CV283" s="59">
        <f>IFERROR(TBA_Matches_All[[#This Row],[noteptsT]]/TBA_Matches_All[[#This Row],[NotePts]],0)</f>
        <v>0</v>
      </c>
      <c r="CW283">
        <f>SUM(IF(TBA_Matches_All[[#This Row],[stageStat]]="On",3,0),IF(TBA_Matches_All[[#This Row],[stageStat]]="Park",1,0),SUMIFS(TBA_Matches_All[[#This Row],[Spotlit]],TBA_Matches_All[[#This Row],[stageStat]],"On"),SUMIFS(TBA_Matches_All[[#This Row],[Harmony]],TBA_Matches_All[[#This Row],[stageStat]],"On"))</f>
        <v>1</v>
      </c>
      <c r="CX283" s="59">
        <f>IFERROR(TBA_Matches_All[[#This Row],[stageptsT]]/TBA_Matches_All[[#This Row],[StagePts]],0)</f>
        <v>0.33333333333333331</v>
      </c>
      <c r="CY283">
        <f>SUM((TBA_Matches_All[[#This Row],[AptsT]]+TBA_Matches_All[[#This Row],[TampT]]+TBA_Matches_All[[#This Row],[TspkrptsC]]+(TBA_Matches_All[[#This Row],[TtrapT]]*5)+TBA_Matches_All[[#This Row],[stageptsT]]))</f>
        <v>1</v>
      </c>
      <c r="CZ283" s="59">
        <f>IFERROR(SUM(TBA_Matches_All[[#This Row],[TotptsC]]/TBA_Matches_All[[#This Row],[Score]]),0)</f>
        <v>2.0408163265306121E-2</v>
      </c>
      <c r="DA28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83" s="74">
        <f>SUMIFS(TBA_Matches_All[AveTeamTNoteDels],TBA_Matches_All[Match_Number],TBA_Matches_All[[#This Row],[Match_Number]],TBA_Matches_All[Alliance],"&lt;&gt;"&amp;TBA_Matches_All[[#This Row],[Alliance]],TBA_Matches_All[Scouted],"&gt;0")</f>
        <v>30.695019980019982</v>
      </c>
      <c r="DC283" s="74">
        <f>(TBA_Matches_All[[#This Row],[TampT]]+TBA_Matches_All[[#This Row],[TspkrptsC]])-TBA_Matches_All[[#This Row],[AveTeamTNoteDels]]</f>
        <v>0</v>
      </c>
      <c r="DD283" s="74">
        <f>SUMIFS(TBA_Matches_All[AveTeamTNoteDels],TBA_Matches_All[Match_Number],TBA_Matches_All[[#This Row],[Match_Number]],TBA_Matches_All[Alliance],"&lt;&gt;"&amp;TBA_Matches_All[[#This Row],[Alliance]])-TBA_Matches_All[[#This Row],[AveOppTNoteDels]]</f>
        <v>0</v>
      </c>
    </row>
    <row r="284" spans="1:108" x14ac:dyDescent="0.3">
      <c r="A284" t="s">
        <v>1042</v>
      </c>
      <c r="B284" t="s">
        <v>489</v>
      </c>
      <c r="C284" t="s">
        <v>1356</v>
      </c>
      <c r="D284">
        <v>47</v>
      </c>
      <c r="E284" t="s">
        <v>1406</v>
      </c>
      <c r="F284" t="s">
        <v>1422</v>
      </c>
      <c r="G284" t="s">
        <v>105</v>
      </c>
      <c r="H284" t="s">
        <v>1309</v>
      </c>
      <c r="I284" t="b">
        <v>1</v>
      </c>
      <c r="J284">
        <v>60</v>
      </c>
      <c r="K284">
        <v>1</v>
      </c>
      <c r="L284">
        <v>0</v>
      </c>
      <c r="M284">
        <v>0</v>
      </c>
      <c r="N284">
        <v>0</v>
      </c>
      <c r="O284">
        <v>4</v>
      </c>
      <c r="P284">
        <v>20</v>
      </c>
      <c r="Q284">
        <v>24</v>
      </c>
      <c r="R284">
        <v>5</v>
      </c>
      <c r="S284">
        <v>3</v>
      </c>
      <c r="T284">
        <v>5</v>
      </c>
      <c r="U284">
        <v>15</v>
      </c>
      <c r="V284">
        <v>10</v>
      </c>
      <c r="W284">
        <v>8</v>
      </c>
      <c r="X284">
        <v>25</v>
      </c>
      <c r="Y284">
        <v>30</v>
      </c>
      <c r="Z284">
        <v>0</v>
      </c>
      <c r="AA284">
        <v>0</v>
      </c>
      <c r="AB284">
        <v>17</v>
      </c>
      <c r="AC284">
        <v>50</v>
      </c>
      <c r="AD284">
        <v>1</v>
      </c>
      <c r="AE284">
        <f>IFERROR(6/(COUNTIF(Dyno_EndMatch[Match],TBA_Matches_All[[#This Row],[Match_Number]])),0)</f>
        <v>1</v>
      </c>
      <c r="AF284">
        <f>COUNTIFS(Dyno_Data[Team],TBA_Matches_All[[#This Row],[Team]],Dyno_Data[Match],TBA_Matches_All[[#This Row],[Match_Number]],Dyno_Data[RecordType],"EndMatch",Dyno_Data[HPAmp],"Y")</f>
        <v>1</v>
      </c>
      <c r="AG284">
        <f>SUMIFS(Dyno_Data[Mics], Dyno_Data[Team],TBA_Matches_All[[#This Row],[Team]],Dyno_Data[Match],TBA_Matches_All[[#This Row],[Match_Number]],Dyno_Data[RecordType],"EndMatch",Dyno_Data[HPAmp],"Y")</f>
        <v>0</v>
      </c>
      <c r="AH284">
        <f>SUMIFS(Dyno_Data[Leave], Dyno_Data[Team],TBA_Matches_All[[#This Row],[Team]],Dyno_Data[Match],TBA_Matches_All[[#This Row],[Match_Number]],Dyno_Data[RecordType],"EndAuto")</f>
        <v>0</v>
      </c>
      <c r="AI284">
        <f>COUNTIFS(Dyno_Data[Team],TBA_Matches_All[[#This Row],[Team]],Dyno_Data[Match],TBA_Matches_All[[#This Row],[Match_Number]],Dyno_Data[RecordType],"Activities",Dyno_Data[DelDest],"Amp", Dyno_Data[DelMiss],"0", Dyno_Data[Mode],"Auto")</f>
        <v>0</v>
      </c>
      <c r="AJ284">
        <f>COUNTIFS(Dyno_Data[Team],TBA_Matches_All[[#This Row],[Team]],Dyno_Data[Match],TBA_Matches_All[[#This Row],[Match_Number]],Dyno_Data[RecordType],"Activities",Dyno_Data[DelDest],"Spkr", Dyno_Data[DelMiss],"0", Dyno_Data[Mode],"Auto")</f>
        <v>1</v>
      </c>
      <c r="AK284">
        <f>COUNTIFS(Dyno_Data[Team],TBA_Matches_All[[#This Row],[Team]],Dyno_Data[Match],TBA_Matches_All[[#This Row],[Match_Number]],Dyno_Data[RecordType],"Activities",Dyno_Data[DelDest],"Trap", Dyno_Data[DelMiss],"0", Dyno_Data[Mode],"Auto")</f>
        <v>0</v>
      </c>
      <c r="AL284">
        <f>COUNTIFS(Dyno_Data[Team],TBA_Matches_All[[#This Row],[Team]],Dyno_Data[Match],TBA_Matches_All[[#This Row],[Match_Number]],Dyno_Data[RecordType],"Activities",Dyno_Data[DelDest],"Amp", Dyno_Data[DelMiss],"0", Dyno_Data[Mode],"Teleop")</f>
        <v>0</v>
      </c>
      <c r="AM284">
        <f>COUNTIFS(Dyno_Data[Team],TBA_Matches_All[[#This Row],[Team]],Dyno_Data[Match],TBA_Matches_All[[#This Row],[Match_Number]],Dyno_Data[RecordType],"Activities",Dyno_Data[DelDest],"Spkr", Dyno_Data[DelMiss],"0", Dyno_Data[Mode],"Teleop")</f>
        <v>0</v>
      </c>
      <c r="AN284">
        <f>COUNTIFS(Dyno_Data[Team],TBA_Matches_All[[#This Row],[Team]],Dyno_Data[Match],TBA_Matches_All[[#This Row],[Match_Number]],Dyno_Data[RecordType],"Activities",Dyno_Data[DelDest],"Trap", Dyno_Data[DelMiss],"0", Dyno_Data[Mode],"&lt;&gt;Auto")</f>
        <v>0</v>
      </c>
      <c r="AO284">
        <f>SUM(TBA_Matches_All[[#This Row],[AampT]]+TBA_Matches_All[[#This Row],[AspkrT]]+TBA_Matches_All[[#This Row],[AtrapT]]+TBA_Matches_All[[#This Row],[TampT]]+TBA_Matches_All[[#This Row],[TspkrT]]+TBA_Matches_All[[#This Row],[TtrapT]])</f>
        <v>1</v>
      </c>
      <c r="AP284">
        <f>COUNTIFS(Dyno_Data[Team],TBA_Matches_All[[#This Row],[Team]],Dyno_Data[Match],TBA_Matches_All[[#This Row],[Match_Number]],Dyno_Data[RecordType],"Activities",Dyno_Data[DelDest],"Neut", Dyno_Data[DelMiss],"0")</f>
        <v>0</v>
      </c>
      <c r="AQ284">
        <f>COUNTIFS(Dyno_Data[Team],TBA_Matches_All[[#This Row],[Team]],Dyno_Data[Match],TBA_Matches_All[[#This Row],[Match_Number]],Dyno_Data[RecordType],"Activities",Dyno_Data[DelDest],"AllyW", Dyno_Data[DelMiss],"0")</f>
        <v>0</v>
      </c>
      <c r="AR284" t="str">
        <f>_xlfn.XLOOKUP(SUM(MID(TBA_Matches_All[[#This Row],[Team]],4,5),(TBA_Matches_All[[#This Row],[Match_Number]]/100)),Dyno_EndMatch[teammat],Dyno_EndMatch[RobotSta],"_",0,1)</f>
        <v>Podm</v>
      </c>
      <c r="AS284">
        <f>SUMIFS(Dyno_Data[AcqDis], Dyno_Data[Team],TBA_Matches_All[[#This Row],[Team]],Dyno_Data[Match],TBA_Matches_All[[#This Row],[Match_Number]],Dyno_Data[RecordType],"Activities", Dyno_Data[AcqCenter],1,Dyno_Data[Mode],"Auto")</f>
        <v>0</v>
      </c>
      <c r="AT284">
        <f>SUMIFS(Dyno_Data[AcqDis], Dyno_Data[Team],TBA_Matches_All[[#This Row],[Team]],Dyno_Data[Match],TBA_Matches_All[[#This Row],[Match_Number]],Dyno_Data[RecordType],"Activities", Dyno_Data[AcqCenter],2,Dyno_Data[Mode],"Auto")</f>
        <v>0</v>
      </c>
      <c r="AU284">
        <f>SUMIFS(Dyno_Data[AcqDis], Dyno_Data[Team],TBA_Matches_All[[#This Row],[Team]],Dyno_Data[Match],TBA_Matches_All[[#This Row],[Match_Number]],Dyno_Data[RecordType],"Activities", Dyno_Data[AcqCenter],3,Dyno_Data[Mode],"Auto")</f>
        <v>0</v>
      </c>
      <c r="AV284">
        <f>SUMIFS(Dyno_Data[AcqDis], Dyno_Data[Team],TBA_Matches_All[[#This Row],[Team]],Dyno_Data[Match],TBA_Matches_All[[#This Row],[Match_Number]],Dyno_Data[RecordType],"Activities", Dyno_Data[AcqCenter],4,Dyno_Data[Mode],"Auto")</f>
        <v>0</v>
      </c>
      <c r="AW284">
        <f>SUMIFS(Dyno_Data[AcqDis], Dyno_Data[Team],TBA_Matches_All[[#This Row],[Team]],Dyno_Data[Match],TBA_Matches_All[[#This Row],[Match_Number]],Dyno_Data[RecordType],"Activities", Dyno_Data[AcqCenter],5,Dyno_Data[Mode],"Auto")</f>
        <v>0</v>
      </c>
      <c r="AX284">
        <f>SUMIFS(Dyno_Data[DelMiss], Dyno_Data[Team],TBA_Matches_All[[#This Row],[Team]],Dyno_Data[Match],TBA_Matches_All[[#This Row],[Match_Number]],Dyno_Data[RecordType],"Activities", Dyno_Data[DelDest],"Amp")</f>
        <v>0</v>
      </c>
      <c r="AY284" s="60">
        <f>IFERROR(SUM((TBA_Matches_All[[#This Row],[AampT]]+TBA_Matches_All[[#This Row],[TampT]])/(TBA_Matches_All[[#This Row],[AampT]]+TBA_Matches_All[[#This Row],[TampT]]+TBA_Matches_All[[#This Row],[ampM]])),0)</f>
        <v>0</v>
      </c>
      <c r="AZ284">
        <f>SUMIFS(Dyno_Data[DelMiss], Dyno_Data[Team],TBA_Matches_All[[#This Row],[Team]],Dyno_Data[Match],TBA_Matches_All[[#This Row],[Match_Number]],Dyno_Data[RecordType],"Activities", Dyno_Data[DelDest],"Spkr")</f>
        <v>0</v>
      </c>
      <c r="BA284" s="60">
        <f>IFERROR(SUM((TBA_Matches_All[[#This Row],[AspkrT]]+TBA_Matches_All[[#This Row],[TspkrT]])/(TBA_Matches_All[[#This Row],[AspkrT]]+TBA_Matches_All[[#This Row],[TspkrT]]+TBA_Matches_All[[#This Row],[spkrM]])),0)</f>
        <v>1</v>
      </c>
      <c r="BB284">
        <f>SUMIFS(Dyno_Data[DelMiss], Dyno_Data[Team],TBA_Matches_All[[#This Row],[Team]],Dyno_Data[Match],TBA_Matches_All[[#This Row],[Match_Number]],Dyno_Data[RecordType],"Activities", Dyno_Data[DelDest],"Trap")</f>
        <v>0</v>
      </c>
      <c r="BC284" s="60">
        <f>IFERROR((TBA_Matches_All[[#This Row],[AtrapT]]+TBA_Matches_All[[#This Row],[TtrapT]])/(TBA_Matches_All[[#This Row],[AtrapT]]+TBA_Matches_All[[#This Row],[TtrapT]]+TBA_Matches_All[[#This Row],[trapM]]),0)</f>
        <v>0</v>
      </c>
      <c r="BD284">
        <f>COUNTIFS(Dyno_Data[Team],TBA_Matches_All[[#This Row],[Team]],Dyno_Data[Match],TBA_Matches_All[[#This Row],[Match_Number]],Dyno_Data[RecordType],"Activities",Dyno_Data[DelDest],"Neut", Dyno_Data[DelMiss],1)</f>
        <v>0</v>
      </c>
      <c r="BE284" s="60">
        <f>IFERROR(SUM((TBA_Matches_All[[#This Row],[NeutFlrT]])/(TBA_Matches_All[[#This Row],[NeutFlrT]]+TBA_Matches_All[[#This Row],[NZflM]])),0)</f>
        <v>0</v>
      </c>
      <c r="BF284">
        <f>COUNTIFS(Dyno_Data[Team],TBA_Matches_All[[#This Row],[Team]],Dyno_Data[Match],TBA_Matches_All[[#This Row],[Match_Number]],Dyno_Data[RecordType],"Activities",Dyno_Data[DelDest],"AllyW", Dyno_Data[DelMiss],1)</f>
        <v>0</v>
      </c>
      <c r="BG284" s="60">
        <f>IFERROR(SUM((TBA_Matches_All[[#This Row],[AllyWFlrT]])/(TBA_Matches_All[[#This Row],[AllyWFlrT]]+TBA_Matches_All[[#This Row],[AZflM]])),0)</f>
        <v>0</v>
      </c>
      <c r="BH284">
        <f>COUNTIFS(Dyno_Data[Team],TBA_Matches_All[[#This Row],[Team]],Dyno_Data[Match],TBA_Matches_All[[#This Row],[Match_Number]],Dyno_Data[RecordType],"Activities",Dyno_Data[DelOrig],"OppW", Dyno_Data[DelMiss],"0")</f>
        <v>0</v>
      </c>
      <c r="BI284">
        <f>COUNTIFS(Dyno_Data[Team],TBA_Matches_All[[#This Row],[Team]],Dyno_Data[Match],TBA_Matches_All[[#This Row],[Match_Number]],Dyno_Data[RecordType],"Activities",Dyno_Data[DelOrig],"OppW", Dyno_Data[DelMiss],"1")</f>
        <v>0</v>
      </c>
      <c r="BJ284" s="60">
        <f>IFERROR(SUM((TBA_Matches_All[[#This Row],[OZflrT]])/(TBA_Matches_All[[#This Row],[OZflrT]]+TBA_Matches_All[[#This Row],[OZflrM]])),0)</f>
        <v>0</v>
      </c>
      <c r="BK284">
        <f>COUNTIFS(Dyno_Data[Team],TBA_Matches_All[[#This Row],[Team]],Dyno_Data[Match],TBA_Matches_All[[#This Row],[Match_Number]],Dyno_Data[RecordType],"Activities",Dyno_Data[DelOrig],"Neut", Dyno_Data[DelMiss],"0")</f>
        <v>0</v>
      </c>
      <c r="BL284">
        <f>COUNTIFS(Dyno_Data[Team],TBA_Matches_All[[#This Row],[Team]],Dyno_Data[Match],TBA_Matches_All[[#This Row],[Match_Number]],Dyno_Data[RecordType],"Activities",Dyno_Data[DelOrig],"Neut", Dyno_Data[DelMiss],"1")</f>
        <v>0</v>
      </c>
      <c r="BM284" s="60">
        <f>IFERROR(SUM((TBA_Matches_All[[#This Row],[NZflrT]])/(TBA_Matches_All[[#This Row],[NZflrT]]+TBA_Matches_All[[#This Row],[NZflrM]])),0)</f>
        <v>0</v>
      </c>
      <c r="BN284">
        <f>COUNTIFS(Dyno_Data[Team],TBA_Matches_All[[#This Row],[Team]],Dyno_Data[Match],TBA_Matches_All[[#This Row],[Match_Number]],Dyno_Data[RecordType],"Activities",Dyno_Data[DelOrig],"AllyW", Dyno_Data[DelMiss],"0")</f>
        <v>0</v>
      </c>
      <c r="BO284">
        <f>COUNTIFS(Dyno_Data[Team],TBA_Matches_All[[#This Row],[Team]],Dyno_Data[Match],TBA_Matches_All[[#This Row],[Match_Number]],Dyno_Data[RecordType],"Activities",Dyno_Data[DelOrig],"AllyW", Dyno_Data[DelMiss],"1")</f>
        <v>0</v>
      </c>
      <c r="BP284" s="60">
        <f>IFERROR(SUM((TBA_Matches_All[[#This Row],[AZflrT]])/(TBA_Matches_All[[#This Row],[AZflrT]]+TBA_Matches_All[[#This Row],[AZflrM]])),0)</f>
        <v>0</v>
      </c>
      <c r="BQ284">
        <f>COUNTIFS(Dyno_Data[Team],TBA_Matches_All[[#This Row],[Team]],Dyno_Data[Match],TBA_Matches_All[[#This Row],[Match_Number]],Dyno_Data[RecordType],"Activities",Dyno_Data[DelOrig],"SubW", Dyno_Data[DelMiss],"0")</f>
        <v>1</v>
      </c>
      <c r="BR284">
        <f>COUNTIFS(Dyno_Data[Team],TBA_Matches_All[[#This Row],[Team]],Dyno_Data[Match],TBA_Matches_All[[#This Row],[Match_Number]],Dyno_Data[RecordType],"Activities",Dyno_Data[DelOrig],"SubW", Dyno_Data[DelMiss],"1")</f>
        <v>0</v>
      </c>
      <c r="BS284" s="60">
        <f>IFERROR(SUM((TBA_Matches_All[[#This Row],[SubwT]])/(TBA_Matches_All[[#This Row],[SubwT]]+TBA_Matches_All[[#This Row],[SubwM]])),0)</f>
        <v>1</v>
      </c>
      <c r="BT284">
        <f>COUNTIFS(Dyno_Data[Team],TBA_Matches_All[[#This Row],[Team]],Dyno_Data[Match],TBA_Matches_All[[#This Row],[Match_Number]],Dyno_Data[RecordType],"Activities", Dyno_Data[AcqLoc],"OppWing")</f>
        <v>0</v>
      </c>
      <c r="BU284">
        <f>COUNTIFS(Dyno_Data[Team],TBA_Matches_All[[#This Row],[Team]],Dyno_Data[Match],TBA_Matches_All[[#This Row],[Match_Number]],Dyno_Data[RecordType],"Activities", Dyno_Data[AcqLoc],"Neutral")</f>
        <v>0</v>
      </c>
      <c r="BV284">
        <f>COUNTIFS(Dyno_Data[Team],TBA_Matches_All[[#This Row],[Team]],Dyno_Data[Match],TBA_Matches_All[[#This Row],[Match_Number]],Dyno_Data[RecordType],"Activities", Dyno_Data[AcqLoc],"AllyWing")</f>
        <v>0</v>
      </c>
      <c r="BW284">
        <f>COUNTIFS(Dyno_Data[Team],TBA_Matches_All[[#This Row],[Team]],Dyno_Data[Match],TBA_Matches_All[[#This Row],[Match_Number]],Dyno_Data[RecordType],"Activities", Dyno_Data[AcqLoc],"Source")</f>
        <v>0</v>
      </c>
      <c r="BX284">
        <f>SUMIFS(Dyno_Data[AcqDrp], Dyno_Data[Team],TBA_Matches_All[[#This Row],[Team]],Dyno_Data[Match],TBA_Matches_All[[#This Row],[Match_Number]],Dyno_Data[RecordType],"Activities", Dyno_Data[AcqLoc],"Source")</f>
        <v>0</v>
      </c>
      <c r="BY284">
        <f>SUMIFS(Dyno_Data[OZTime], Dyno_Data[Team],TBA_Matches_All[[#This Row],[Team]],Dyno_Data[Match],TBA_Matches_All[[#This Row],[Match_Number]],Dyno_Data[RecordType],"EndMatch")</f>
        <v>0</v>
      </c>
      <c r="BZ284">
        <f>SUMIFS(Dyno_Data[NZTime], Dyno_Data[Team],TBA_Matches_All[[#This Row],[Team]],Dyno_Data[Match],TBA_Matches_All[[#This Row],[Match_Number]],Dyno_Data[RecordType],"EndMatch")</f>
        <v>0.18445159999999999</v>
      </c>
      <c r="CA284">
        <f>SUMIFS(Dyno_Data[AZTime], Dyno_Data[Team],TBA_Matches_All[[#This Row],[Team]],Dyno_Data[Match],TBA_Matches_All[[#This Row],[Match_Number]],Dyno_Data[RecordType],"EndMatch")</f>
        <v>136.40757209999998</v>
      </c>
      <c r="CB284">
        <f>SUMIFS(Dyno_Data[ClimbT], Dyno_Data[Team],TBA_Matches_All[[#This Row],[Team]],Dyno_Data[Match],TBA_Matches_All[[#This Row],[Match_Number]],Dyno_Data[RecordType],"EndMatch")</f>
        <v>0</v>
      </c>
      <c r="CC284" t="str">
        <f>_xlfn.XLOOKUP(SUM(MID(TBA_Matches_All[[#This Row],[Team]],4,5),(TBA_Matches_All[[#This Row],[Match_Number]]/100)),Dyno_EndMatch[teammat],Dyno_EndMatch[StageStat],"_",0,1)</f>
        <v>Else</v>
      </c>
      <c r="CD284" t="str">
        <f>_xlfn.XLOOKUP(TBA_Matches_All[[#This Row],[teammat]],Dyno_EndMatch[teammat],Dyno_EndMatch[StageAtt],"_",0,1)</f>
        <v>0</v>
      </c>
      <c r="CE284" t="str">
        <f>_xlfn.XLOOKUP(TBA_Matches_All[[#This Row],[teammat]],Dyno_EndMatch[teammat],Dyno_EndMatch[StageLoc],"_",0,1)</f>
        <v>A</v>
      </c>
      <c r="CF284">
        <f>SUMIFS(Dyno_Data[Harmony], Dyno_Data[Team],TBA_Matches_All[[#This Row],[Team]],Dyno_Data[Match],TBA_Matches_All[[#This Row],[Match_Number]],Dyno_Data[RecordType],"EndMatch", Dyno_Data[StageStat],"On",Dyno_Data[Harmony],"&lt;&gt;9")</f>
        <v>0</v>
      </c>
      <c r="CG284">
        <f>SUMIFS(Dyno_Data[Spotlit], Dyno_Data[Team],TBA_Matches_All[[#This Row],[Team]],Dyno_Data[Match],TBA_Matches_All[[#This Row],[Match_Number]],Dyno_Data[RecordType],"EndMatch", Dyno_Data[StageStat],"On",Dyno_Data[Spotlit],"&lt;&gt;9")</f>
        <v>0</v>
      </c>
      <c r="CH284" t="str">
        <f>_xlfn.XLOOKUP(TBA_Matches_All[[#This Row],[teammat]],Dyno_EndMatch[teammat],Dyno_EndMatch[Strategy],"_",0,1)</f>
        <v>None</v>
      </c>
      <c r="CI284">
        <f>SUMIFS(Dyno_Data[Defense], Dyno_Data[Team],TBA_Matches_All[[#This Row],[Team]],Dyno_Data[Match],TBA_Matches_All[[#This Row],[Match_Number]],Dyno_Data[RecordType],"EndMatch",Dyno_Data[Defense],"&lt;&gt;9")</f>
        <v>0</v>
      </c>
      <c r="CJ284">
        <f>SUMIFS(Dyno_Data[Avoidance], Dyno_Data[Team],TBA_Matches_All[[#This Row],[Team]],Dyno_Data[Match],TBA_Matches_All[[#This Row],[Match_Number]],Dyno_Data[RecordType],"EndMatch",Dyno_Data[Avoidance],"&lt;&gt;9")</f>
        <v>0</v>
      </c>
      <c r="CK284" s="82">
        <f>COUNTIF($H$2:TBA_Matches_All[[#This Row],[Team]],TBA_Matches_All[[#This Row],[Team]])</f>
        <v>6</v>
      </c>
      <c r="CL284" s="111">
        <f>SUM(MID(TBA_Matches_All[[#This Row],[Team]],4,5)+TBA_Matches_All[[#This Row],[Match_Number]]/100)</f>
        <v>3550.47</v>
      </c>
      <c r="CM284">
        <f>SUM((TBA_Matches_All[[#This Row],[Leave]]*2)+(TBA_Matches_All[[#This Row],[AampT]]*2)+(TBA_Matches_All[[#This Row],[AspkrT]]*5)+(TBA_Matches_All[[#This Row],[AtrapT]]*5))</f>
        <v>5</v>
      </c>
      <c r="CN284" s="59">
        <f>IFERROR(SUM(TBA_Matches_All[[#This Row],[AptsT]]/TBA_Matches_All[[#This Row],[AutoPts]]),0)</f>
        <v>0.20833333333333334</v>
      </c>
      <c r="CO284" s="59">
        <f>IFERROR(SUM(TBA_Matches_All[[#This Row],[AampT]]+TBA_Matches_All[[#This Row],[AspkrT]]+TBA_Matches_All[[#This Row],[AtrapT]]/TBA_Matches_All[[#This Row],[Aamp]]+TBA_Matches_All[[#This Row],[Aspkr]]+TBA_Matches_All[[#This Row],[AtrapT]]),0)</f>
        <v>0</v>
      </c>
      <c r="CP284" s="59">
        <f>IFERROR(SUM(TBA_Matches_All[[#This Row],[TampT]]/TBA_Matches_All[[#This Row],[Tamp]]),0)</f>
        <v>0</v>
      </c>
      <c r="CQ284" s="59">
        <f>IFERROR(SUM(TBA_Matches_All[[#This Row],[TspkrT]]/TBA_Matches_All[[#This Row],[Tspkr]]),0)</f>
        <v>0</v>
      </c>
      <c r="CR284">
        <f>SUM(TBA_Matches_All[[#This Row],[TspkrPts]]*TBA_Matches_All[[#This Row],[TspkrP]])</f>
        <v>0</v>
      </c>
      <c r="CS284" s="59">
        <f>IFERROR(SUM(TBA_Matches_All[[#This Row],[TtrapT]]/TBA_Matches_All[[#This Row],[Trap]]),0)</f>
        <v>0</v>
      </c>
      <c r="CT284" s="59">
        <f>IFERROR(SUM(TBA_Matches_All[[#This Row],[TotNotesT]]/TBA_Matches_All[[#This Row],[TotNotes]]),0)</f>
        <v>5.8823529411764705E-2</v>
      </c>
      <c r="CU284" s="66">
        <f>SUM((TBA_Matches_All[[#This Row],[AampT]]*2)+(TBA_Matches_All[[#This Row],[AspkrT]]*5)+(TBA_Matches_All[[#This Row],[AtrapT]]*5)+(TBA_Matches_All[[#This Row],[TampT]]*1)+(TBA_Matches_All[[#This Row],[TspkrptsC]]))</f>
        <v>5</v>
      </c>
      <c r="CV284" s="59">
        <f>IFERROR(TBA_Matches_All[[#This Row],[noteptsT]]/TBA_Matches_All[[#This Row],[NotePts]],0)</f>
        <v>0.1</v>
      </c>
      <c r="CW284">
        <f>SUM(IF(TBA_Matches_All[[#This Row],[stageStat]]="On",3,0),IF(TBA_Matches_All[[#This Row],[stageStat]]="Park",1,0),SUMIFS(TBA_Matches_All[[#This Row],[Spotlit]],TBA_Matches_All[[#This Row],[stageStat]],"On"),SUMIFS(TBA_Matches_All[[#This Row],[Harmony]],TBA_Matches_All[[#This Row],[stageStat]],"On"))</f>
        <v>0</v>
      </c>
      <c r="CX284" s="59">
        <f>IFERROR(TBA_Matches_All[[#This Row],[stageptsT]]/TBA_Matches_All[[#This Row],[StagePts]],0)</f>
        <v>0</v>
      </c>
      <c r="CY284">
        <f>SUM((TBA_Matches_All[[#This Row],[AptsT]]+TBA_Matches_All[[#This Row],[TampT]]+TBA_Matches_All[[#This Row],[TspkrptsC]]+(TBA_Matches_All[[#This Row],[TtrapT]]*5)+TBA_Matches_All[[#This Row],[stageptsT]]))</f>
        <v>5</v>
      </c>
      <c r="CZ284" s="59">
        <f>IFERROR(SUM(TBA_Matches_All[[#This Row],[TotptsC]]/TBA_Matches_All[[#This Row],[Score]]),0)</f>
        <v>8.3333333333333329E-2</v>
      </c>
      <c r="DA28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6.8923076923076927</v>
      </c>
      <c r="DB284" s="74">
        <f>SUMIFS(TBA_Matches_All[AveTeamTNoteDels],TBA_Matches_All[Match_Number],TBA_Matches_All[[#This Row],[Match_Number]],TBA_Matches_All[Alliance],"&lt;&gt;"&amp;TBA_Matches_All[[#This Row],[Alliance]],TBA_Matches_All[Scouted],"&gt;0")</f>
        <v>19.329650349650347</v>
      </c>
      <c r="DC284" s="74">
        <f>(TBA_Matches_All[[#This Row],[TampT]]+TBA_Matches_All[[#This Row],[TspkrptsC]])-TBA_Matches_All[[#This Row],[AveTeamTNoteDels]]</f>
        <v>-6.8923076923076927</v>
      </c>
      <c r="DD284" s="74">
        <f>SUMIFS(TBA_Matches_All[AveTeamTNoteDels],TBA_Matches_All[Match_Number],TBA_Matches_All[[#This Row],[Match_Number]],TBA_Matches_All[Alliance],"&lt;&gt;"&amp;TBA_Matches_All[[#This Row],[Alliance]])-TBA_Matches_All[[#This Row],[AveOppTNoteDels]]</f>
        <v>0</v>
      </c>
    </row>
    <row r="285" spans="1:108" x14ac:dyDescent="0.3">
      <c r="A285" t="s">
        <v>1042</v>
      </c>
      <c r="B285" t="s">
        <v>489</v>
      </c>
      <c r="C285" t="s">
        <v>1357</v>
      </c>
      <c r="D285">
        <v>48</v>
      </c>
      <c r="E285" t="s">
        <v>1420</v>
      </c>
      <c r="F285" t="s">
        <v>1425</v>
      </c>
      <c r="G285" t="s">
        <v>105</v>
      </c>
      <c r="H285" t="s">
        <v>372</v>
      </c>
      <c r="I285" t="b">
        <v>1</v>
      </c>
      <c r="J285">
        <v>22</v>
      </c>
      <c r="K285">
        <v>0</v>
      </c>
      <c r="L285">
        <v>0</v>
      </c>
      <c r="M285">
        <v>4</v>
      </c>
      <c r="N285">
        <v>0</v>
      </c>
      <c r="O285">
        <v>1</v>
      </c>
      <c r="P285">
        <v>5</v>
      </c>
      <c r="Q285">
        <v>7</v>
      </c>
      <c r="R285">
        <v>1</v>
      </c>
      <c r="S285">
        <v>0</v>
      </c>
      <c r="T285">
        <v>5</v>
      </c>
      <c r="U285">
        <v>0</v>
      </c>
      <c r="V285">
        <v>10</v>
      </c>
      <c r="W285">
        <v>5</v>
      </c>
      <c r="X285">
        <v>10</v>
      </c>
      <c r="Y285">
        <v>11</v>
      </c>
      <c r="Z285">
        <v>0</v>
      </c>
      <c r="AA285">
        <v>0</v>
      </c>
      <c r="AB285">
        <v>7</v>
      </c>
      <c r="AC285">
        <v>16</v>
      </c>
      <c r="AD285">
        <v>4</v>
      </c>
      <c r="AE285">
        <f>IFERROR(6/(COUNTIF(Dyno_EndMatch[Match],TBA_Matches_All[[#This Row],[Match_Number]])),0)</f>
        <v>1</v>
      </c>
      <c r="AF285">
        <f>COUNTIFS(Dyno_Data[Team],TBA_Matches_All[[#This Row],[Team]],Dyno_Data[Match],TBA_Matches_All[[#This Row],[Match_Number]],Dyno_Data[RecordType],"EndMatch",Dyno_Data[HPAmp],"Y")</f>
        <v>0</v>
      </c>
      <c r="AG285">
        <f>SUMIFS(Dyno_Data[Mics], Dyno_Data[Team],TBA_Matches_All[[#This Row],[Team]],Dyno_Data[Match],TBA_Matches_All[[#This Row],[Match_Number]],Dyno_Data[RecordType],"EndMatch",Dyno_Data[HPAmp],"Y")</f>
        <v>0</v>
      </c>
      <c r="AH285">
        <f>SUMIFS(Dyno_Data[Leave], Dyno_Data[Team],TBA_Matches_All[[#This Row],[Team]],Dyno_Data[Match],TBA_Matches_All[[#This Row],[Match_Number]],Dyno_Data[RecordType],"EndAuto")</f>
        <v>1</v>
      </c>
      <c r="AI285">
        <f>COUNTIFS(Dyno_Data[Team],TBA_Matches_All[[#This Row],[Team]],Dyno_Data[Match],TBA_Matches_All[[#This Row],[Match_Number]],Dyno_Data[RecordType],"Activities",Dyno_Data[DelDest],"Amp", Dyno_Data[DelMiss],"0", Dyno_Data[Mode],"Auto")</f>
        <v>0</v>
      </c>
      <c r="AJ285">
        <f>COUNTIFS(Dyno_Data[Team],TBA_Matches_All[[#This Row],[Team]],Dyno_Data[Match],TBA_Matches_All[[#This Row],[Match_Number]],Dyno_Data[RecordType],"Activities",Dyno_Data[DelDest],"Spkr", Dyno_Data[DelMiss],"0", Dyno_Data[Mode],"Auto")</f>
        <v>1</v>
      </c>
      <c r="AK285">
        <f>COUNTIFS(Dyno_Data[Team],TBA_Matches_All[[#This Row],[Team]],Dyno_Data[Match],TBA_Matches_All[[#This Row],[Match_Number]],Dyno_Data[RecordType],"Activities",Dyno_Data[DelDest],"Trap", Dyno_Data[DelMiss],"0", Dyno_Data[Mode],"Auto")</f>
        <v>0</v>
      </c>
      <c r="AL285">
        <f>COUNTIFS(Dyno_Data[Team],TBA_Matches_All[[#This Row],[Team]],Dyno_Data[Match],TBA_Matches_All[[#This Row],[Match_Number]],Dyno_Data[RecordType],"Activities",Dyno_Data[DelDest],"Amp", Dyno_Data[DelMiss],"0", Dyno_Data[Mode],"Teleop")</f>
        <v>2</v>
      </c>
      <c r="AM285">
        <f>COUNTIFS(Dyno_Data[Team],TBA_Matches_All[[#This Row],[Team]],Dyno_Data[Match],TBA_Matches_All[[#This Row],[Match_Number]],Dyno_Data[RecordType],"Activities",Dyno_Data[DelDest],"Spkr", Dyno_Data[DelMiss],"0", Dyno_Data[Mode],"Teleop")</f>
        <v>3</v>
      </c>
      <c r="AN285">
        <f>COUNTIFS(Dyno_Data[Team],TBA_Matches_All[[#This Row],[Team]],Dyno_Data[Match],TBA_Matches_All[[#This Row],[Match_Number]],Dyno_Data[RecordType],"Activities",Dyno_Data[DelDest],"Trap", Dyno_Data[DelMiss],"0", Dyno_Data[Mode],"&lt;&gt;Auto")</f>
        <v>0</v>
      </c>
      <c r="AO285">
        <f>SUM(TBA_Matches_All[[#This Row],[AampT]]+TBA_Matches_All[[#This Row],[AspkrT]]+TBA_Matches_All[[#This Row],[AtrapT]]+TBA_Matches_All[[#This Row],[TampT]]+TBA_Matches_All[[#This Row],[TspkrT]]+TBA_Matches_All[[#This Row],[TtrapT]])</f>
        <v>6</v>
      </c>
      <c r="AP285">
        <f>COUNTIFS(Dyno_Data[Team],TBA_Matches_All[[#This Row],[Team]],Dyno_Data[Match],TBA_Matches_All[[#This Row],[Match_Number]],Dyno_Data[RecordType],"Activities",Dyno_Data[DelDest],"Neut", Dyno_Data[DelMiss],"0")</f>
        <v>0</v>
      </c>
      <c r="AQ285">
        <f>COUNTIFS(Dyno_Data[Team],TBA_Matches_All[[#This Row],[Team]],Dyno_Data[Match],TBA_Matches_All[[#This Row],[Match_Number]],Dyno_Data[RecordType],"Activities",Dyno_Data[DelDest],"AllyW", Dyno_Data[DelMiss],"0")</f>
        <v>0</v>
      </c>
      <c r="AR285" t="str">
        <f>_xlfn.XLOOKUP(SUM(MID(TBA_Matches_All[[#This Row],[Team]],4,5),(TBA_Matches_All[[#This Row],[Match_Number]]/100)),Dyno_EndMatch[teammat],Dyno_EndMatch[RobotSta],"_",0,1)</f>
        <v>SubW</v>
      </c>
      <c r="AS285">
        <f>SUMIFS(Dyno_Data[AcqDis], Dyno_Data[Team],TBA_Matches_All[[#This Row],[Team]],Dyno_Data[Match],TBA_Matches_All[[#This Row],[Match_Number]],Dyno_Data[RecordType],"Activities", Dyno_Data[AcqCenter],1,Dyno_Data[Mode],"Auto")</f>
        <v>0</v>
      </c>
      <c r="AT285">
        <f>SUMIFS(Dyno_Data[AcqDis], Dyno_Data[Team],TBA_Matches_All[[#This Row],[Team]],Dyno_Data[Match],TBA_Matches_All[[#This Row],[Match_Number]],Dyno_Data[RecordType],"Activities", Dyno_Data[AcqCenter],2,Dyno_Data[Mode],"Auto")</f>
        <v>0</v>
      </c>
      <c r="AU285">
        <f>SUMIFS(Dyno_Data[AcqDis], Dyno_Data[Team],TBA_Matches_All[[#This Row],[Team]],Dyno_Data[Match],TBA_Matches_All[[#This Row],[Match_Number]],Dyno_Data[RecordType],"Activities", Dyno_Data[AcqCenter],3,Dyno_Data[Mode],"Auto")</f>
        <v>0</v>
      </c>
      <c r="AV285">
        <f>SUMIFS(Dyno_Data[AcqDis], Dyno_Data[Team],TBA_Matches_All[[#This Row],[Team]],Dyno_Data[Match],TBA_Matches_All[[#This Row],[Match_Number]],Dyno_Data[RecordType],"Activities", Dyno_Data[AcqCenter],4,Dyno_Data[Mode],"Auto")</f>
        <v>0</v>
      </c>
      <c r="AW285">
        <f>SUMIFS(Dyno_Data[AcqDis], Dyno_Data[Team],TBA_Matches_All[[#This Row],[Team]],Dyno_Data[Match],TBA_Matches_All[[#This Row],[Match_Number]],Dyno_Data[RecordType],"Activities", Dyno_Data[AcqCenter],5,Dyno_Data[Mode],"Auto")</f>
        <v>0</v>
      </c>
      <c r="AX285">
        <f>SUMIFS(Dyno_Data[DelMiss], Dyno_Data[Team],TBA_Matches_All[[#This Row],[Team]],Dyno_Data[Match],TBA_Matches_All[[#This Row],[Match_Number]],Dyno_Data[RecordType],"Activities", Dyno_Data[DelDest],"Amp")</f>
        <v>0</v>
      </c>
      <c r="AY285" s="60">
        <f>IFERROR(SUM((TBA_Matches_All[[#This Row],[AampT]]+TBA_Matches_All[[#This Row],[TampT]])/(TBA_Matches_All[[#This Row],[AampT]]+TBA_Matches_All[[#This Row],[TampT]]+TBA_Matches_All[[#This Row],[ampM]])),0)</f>
        <v>1</v>
      </c>
      <c r="AZ285">
        <f>SUMIFS(Dyno_Data[DelMiss], Dyno_Data[Team],TBA_Matches_All[[#This Row],[Team]],Dyno_Data[Match],TBA_Matches_All[[#This Row],[Match_Number]],Dyno_Data[RecordType],"Activities", Dyno_Data[DelDest],"Spkr")</f>
        <v>0</v>
      </c>
      <c r="BA285" s="60">
        <f>IFERROR(SUM((TBA_Matches_All[[#This Row],[AspkrT]]+TBA_Matches_All[[#This Row],[TspkrT]])/(TBA_Matches_All[[#This Row],[AspkrT]]+TBA_Matches_All[[#This Row],[TspkrT]]+TBA_Matches_All[[#This Row],[spkrM]])),0)</f>
        <v>1</v>
      </c>
      <c r="BB285">
        <f>SUMIFS(Dyno_Data[DelMiss], Dyno_Data[Team],TBA_Matches_All[[#This Row],[Team]],Dyno_Data[Match],TBA_Matches_All[[#This Row],[Match_Number]],Dyno_Data[RecordType],"Activities", Dyno_Data[DelDest],"Trap")</f>
        <v>0</v>
      </c>
      <c r="BC285" s="60">
        <f>IFERROR((TBA_Matches_All[[#This Row],[AtrapT]]+TBA_Matches_All[[#This Row],[TtrapT]])/(TBA_Matches_All[[#This Row],[AtrapT]]+TBA_Matches_All[[#This Row],[TtrapT]]+TBA_Matches_All[[#This Row],[trapM]]),0)</f>
        <v>0</v>
      </c>
      <c r="BD285">
        <f>COUNTIFS(Dyno_Data[Team],TBA_Matches_All[[#This Row],[Team]],Dyno_Data[Match],TBA_Matches_All[[#This Row],[Match_Number]],Dyno_Data[RecordType],"Activities",Dyno_Data[DelDest],"Neut", Dyno_Data[DelMiss],1)</f>
        <v>0</v>
      </c>
      <c r="BE285" s="60">
        <f>IFERROR(SUM((TBA_Matches_All[[#This Row],[NeutFlrT]])/(TBA_Matches_All[[#This Row],[NeutFlrT]]+TBA_Matches_All[[#This Row],[NZflM]])),0)</f>
        <v>0</v>
      </c>
      <c r="BF285">
        <f>COUNTIFS(Dyno_Data[Team],TBA_Matches_All[[#This Row],[Team]],Dyno_Data[Match],TBA_Matches_All[[#This Row],[Match_Number]],Dyno_Data[RecordType],"Activities",Dyno_Data[DelDest],"AllyW", Dyno_Data[DelMiss],1)</f>
        <v>0</v>
      </c>
      <c r="BG285" s="60">
        <f>IFERROR(SUM((TBA_Matches_All[[#This Row],[AllyWFlrT]])/(TBA_Matches_All[[#This Row],[AllyWFlrT]]+TBA_Matches_All[[#This Row],[AZflM]])),0)</f>
        <v>0</v>
      </c>
      <c r="BH285">
        <f>COUNTIFS(Dyno_Data[Team],TBA_Matches_All[[#This Row],[Team]],Dyno_Data[Match],TBA_Matches_All[[#This Row],[Match_Number]],Dyno_Data[RecordType],"Activities",Dyno_Data[DelOrig],"OppW", Dyno_Data[DelMiss],"0")</f>
        <v>3</v>
      </c>
      <c r="BI285">
        <f>COUNTIFS(Dyno_Data[Team],TBA_Matches_All[[#This Row],[Team]],Dyno_Data[Match],TBA_Matches_All[[#This Row],[Match_Number]],Dyno_Data[RecordType],"Activities",Dyno_Data[DelOrig],"OppW", Dyno_Data[DelMiss],"1")</f>
        <v>0</v>
      </c>
      <c r="BJ285" s="60">
        <f>IFERROR(SUM((TBA_Matches_All[[#This Row],[OZflrT]])/(TBA_Matches_All[[#This Row],[OZflrT]]+TBA_Matches_All[[#This Row],[OZflrM]])),0)</f>
        <v>1</v>
      </c>
      <c r="BK285">
        <f>COUNTIFS(Dyno_Data[Team],TBA_Matches_All[[#This Row],[Team]],Dyno_Data[Match],TBA_Matches_All[[#This Row],[Match_Number]],Dyno_Data[RecordType],"Activities",Dyno_Data[DelOrig],"Neut", Dyno_Data[DelMiss],"0")</f>
        <v>0</v>
      </c>
      <c r="BL285">
        <f>COUNTIFS(Dyno_Data[Team],TBA_Matches_All[[#This Row],[Team]],Dyno_Data[Match],TBA_Matches_All[[#This Row],[Match_Number]],Dyno_Data[RecordType],"Activities",Dyno_Data[DelOrig],"Neut", Dyno_Data[DelMiss],"1")</f>
        <v>0</v>
      </c>
      <c r="BM285" s="60">
        <f>IFERROR(SUM((TBA_Matches_All[[#This Row],[NZflrT]])/(TBA_Matches_All[[#This Row],[NZflrT]]+TBA_Matches_All[[#This Row],[NZflrM]])),0)</f>
        <v>0</v>
      </c>
      <c r="BN285">
        <f>COUNTIFS(Dyno_Data[Team],TBA_Matches_All[[#This Row],[Team]],Dyno_Data[Match],TBA_Matches_All[[#This Row],[Match_Number]],Dyno_Data[RecordType],"Activities",Dyno_Data[DelOrig],"AllyW", Dyno_Data[DelMiss],"0")</f>
        <v>2</v>
      </c>
      <c r="BO285">
        <f>COUNTIFS(Dyno_Data[Team],TBA_Matches_All[[#This Row],[Team]],Dyno_Data[Match],TBA_Matches_All[[#This Row],[Match_Number]],Dyno_Data[RecordType],"Activities",Dyno_Data[DelOrig],"AllyW", Dyno_Data[DelMiss],"1")</f>
        <v>0</v>
      </c>
      <c r="BP285" s="60">
        <f>IFERROR(SUM((TBA_Matches_All[[#This Row],[AZflrT]])/(TBA_Matches_All[[#This Row],[AZflrT]]+TBA_Matches_All[[#This Row],[AZflrM]])),0)</f>
        <v>1</v>
      </c>
      <c r="BQ285">
        <f>COUNTIFS(Dyno_Data[Team],TBA_Matches_All[[#This Row],[Team]],Dyno_Data[Match],TBA_Matches_All[[#This Row],[Match_Number]],Dyno_Data[RecordType],"Activities",Dyno_Data[DelOrig],"SubW", Dyno_Data[DelMiss],"0")</f>
        <v>1</v>
      </c>
      <c r="BR285">
        <f>COUNTIFS(Dyno_Data[Team],TBA_Matches_All[[#This Row],[Team]],Dyno_Data[Match],TBA_Matches_All[[#This Row],[Match_Number]],Dyno_Data[RecordType],"Activities",Dyno_Data[DelOrig],"SubW", Dyno_Data[DelMiss],"1")</f>
        <v>0</v>
      </c>
      <c r="BS285" s="60">
        <f>IFERROR(SUM((TBA_Matches_All[[#This Row],[SubwT]])/(TBA_Matches_All[[#This Row],[SubwT]]+TBA_Matches_All[[#This Row],[SubwM]])),0)</f>
        <v>1</v>
      </c>
      <c r="BT285">
        <f>COUNTIFS(Dyno_Data[Team],TBA_Matches_All[[#This Row],[Team]],Dyno_Data[Match],TBA_Matches_All[[#This Row],[Match_Number]],Dyno_Data[RecordType],"Activities", Dyno_Data[AcqLoc],"OppWing")</f>
        <v>0</v>
      </c>
      <c r="BU285">
        <f>COUNTIFS(Dyno_Data[Team],TBA_Matches_All[[#This Row],[Team]],Dyno_Data[Match],TBA_Matches_All[[#This Row],[Match_Number]],Dyno_Data[RecordType],"Activities", Dyno_Data[AcqLoc],"Neutral")</f>
        <v>0</v>
      </c>
      <c r="BV285">
        <f>COUNTIFS(Dyno_Data[Team],TBA_Matches_All[[#This Row],[Team]],Dyno_Data[Match],TBA_Matches_All[[#This Row],[Match_Number]],Dyno_Data[RecordType],"Activities", Dyno_Data[AcqLoc],"AllyWing")</f>
        <v>0</v>
      </c>
      <c r="BW285">
        <f>COUNTIFS(Dyno_Data[Team],TBA_Matches_All[[#This Row],[Team]],Dyno_Data[Match],TBA_Matches_All[[#This Row],[Match_Number]],Dyno_Data[RecordType],"Activities", Dyno_Data[AcqLoc],"Source")</f>
        <v>0</v>
      </c>
      <c r="BX285">
        <f>SUMIFS(Dyno_Data[AcqDrp], Dyno_Data[Team],TBA_Matches_All[[#This Row],[Team]],Dyno_Data[Match],TBA_Matches_All[[#This Row],[Match_Number]],Dyno_Data[RecordType],"Activities", Dyno_Data[AcqLoc],"Source")</f>
        <v>0</v>
      </c>
      <c r="BY285">
        <f>SUMIFS(Dyno_Data[OZTime], Dyno_Data[Team],TBA_Matches_All[[#This Row],[Team]],Dyno_Data[Match],TBA_Matches_All[[#This Row],[Match_Number]],Dyno_Data[RecordType],"EndMatch")</f>
        <v>56.6673665</v>
      </c>
      <c r="BZ285">
        <f>SUMIFS(Dyno_Data[NZTime], Dyno_Data[Team],TBA_Matches_All[[#This Row],[Team]],Dyno_Data[Match],TBA_Matches_All[[#This Row],[Match_Number]],Dyno_Data[RecordType],"EndMatch")</f>
        <v>0</v>
      </c>
      <c r="CA285">
        <f>SUMIFS(Dyno_Data[AZTime], Dyno_Data[Team],TBA_Matches_All[[#This Row],[Team]],Dyno_Data[Match],TBA_Matches_All[[#This Row],[Match_Number]],Dyno_Data[RecordType],"EndMatch")</f>
        <v>62.836517000000001</v>
      </c>
      <c r="CB285">
        <f>SUMIFS(Dyno_Data[ClimbT], Dyno_Data[Team],TBA_Matches_All[[#This Row],[Team]],Dyno_Data[Match],TBA_Matches_All[[#This Row],[Match_Number]],Dyno_Data[RecordType],"EndMatch")</f>
        <v>7.3199608999999999</v>
      </c>
      <c r="CC285" t="str">
        <f>_xlfn.XLOOKUP(SUM(MID(TBA_Matches_All[[#This Row],[Team]],4,5),(TBA_Matches_All[[#This Row],[Match_Number]]/100)),Dyno_EndMatch[teammat],Dyno_EndMatch[StageStat],"_",0,1)</f>
        <v>On</v>
      </c>
      <c r="CD285" t="str">
        <f>_xlfn.XLOOKUP(TBA_Matches_All[[#This Row],[teammat]],Dyno_EndMatch[teammat],Dyno_EndMatch[StageAtt],"_",0,1)</f>
        <v>1</v>
      </c>
      <c r="CE285" t="str">
        <f>_xlfn.XLOOKUP(TBA_Matches_All[[#This Row],[teammat]],Dyno_EndMatch[teammat],Dyno_EndMatch[StageLoc],"_",0,1)</f>
        <v>L</v>
      </c>
      <c r="CF285">
        <f>SUMIFS(Dyno_Data[Harmony], Dyno_Data[Team],TBA_Matches_All[[#This Row],[Team]],Dyno_Data[Match],TBA_Matches_All[[#This Row],[Match_Number]],Dyno_Data[RecordType],"EndMatch", Dyno_Data[StageStat],"On",Dyno_Data[Harmony],"&lt;&gt;9")</f>
        <v>0</v>
      </c>
      <c r="CG285">
        <f>SUMIFS(Dyno_Data[Spotlit], Dyno_Data[Team],TBA_Matches_All[[#This Row],[Team]],Dyno_Data[Match],TBA_Matches_All[[#This Row],[Match_Number]],Dyno_Data[RecordType],"EndMatch", Dyno_Data[StageStat],"On",Dyno_Data[Spotlit],"&lt;&gt;9")</f>
        <v>0</v>
      </c>
      <c r="CH285" t="str">
        <f>_xlfn.XLOOKUP(TBA_Matches_All[[#This Row],[teammat]],Dyno_EndMatch[teammat],Dyno_EndMatch[Strategy],"_",0,1)</f>
        <v>Hybrid</v>
      </c>
      <c r="CI285">
        <f>SUMIFS(Dyno_Data[Defense], Dyno_Data[Team],TBA_Matches_All[[#This Row],[Team]],Dyno_Data[Match],TBA_Matches_All[[#This Row],[Match_Number]],Dyno_Data[RecordType],"EndMatch",Dyno_Data[Defense],"&lt;&gt;9")</f>
        <v>0</v>
      </c>
      <c r="CJ285">
        <f>SUMIFS(Dyno_Data[Avoidance], Dyno_Data[Team],TBA_Matches_All[[#This Row],[Team]],Dyno_Data[Match],TBA_Matches_All[[#This Row],[Match_Number]],Dyno_Data[RecordType],"EndMatch",Dyno_Data[Avoidance],"&lt;&gt;9")</f>
        <v>0</v>
      </c>
      <c r="CK285" s="82">
        <f>COUNTIF($H$2:TBA_Matches_All[[#This Row],[Team]],TBA_Matches_All[[#This Row],[Team]])</f>
        <v>6</v>
      </c>
      <c r="CL285" s="111">
        <f>SUM(MID(TBA_Matches_All[[#This Row],[Team]],4,5)+TBA_Matches_All[[#This Row],[Match_Number]]/100)</f>
        <v>7504.48</v>
      </c>
      <c r="CM285">
        <f>SUM((TBA_Matches_All[[#This Row],[Leave]]*2)+(TBA_Matches_All[[#This Row],[AampT]]*2)+(TBA_Matches_All[[#This Row],[AspkrT]]*5)+(TBA_Matches_All[[#This Row],[AtrapT]]*5))</f>
        <v>7</v>
      </c>
      <c r="CN285" s="59">
        <f>IFERROR(SUM(TBA_Matches_All[[#This Row],[AptsT]]/TBA_Matches_All[[#This Row],[AutoPts]]),0)</f>
        <v>1</v>
      </c>
      <c r="CO285" s="59">
        <f>IFERROR(SUM(TBA_Matches_All[[#This Row],[AampT]]+TBA_Matches_All[[#This Row],[AspkrT]]+TBA_Matches_All[[#This Row],[AtrapT]]/TBA_Matches_All[[#This Row],[Aamp]]+TBA_Matches_All[[#This Row],[Aspkr]]+TBA_Matches_All[[#This Row],[AtrapT]]),0)</f>
        <v>0</v>
      </c>
      <c r="CP285" s="59">
        <f>IFERROR(SUM(TBA_Matches_All[[#This Row],[TampT]]/TBA_Matches_All[[#This Row],[Tamp]]),0)</f>
        <v>2</v>
      </c>
      <c r="CQ285" s="59">
        <f>IFERROR(SUM(TBA_Matches_All[[#This Row],[TspkrT]]/TBA_Matches_All[[#This Row],[Tspkr]]),0)</f>
        <v>0.6</v>
      </c>
      <c r="CR285">
        <f>SUM(TBA_Matches_All[[#This Row],[TspkrPts]]*TBA_Matches_All[[#This Row],[TspkrP]])</f>
        <v>6</v>
      </c>
      <c r="CS285" s="59">
        <f>IFERROR(SUM(TBA_Matches_All[[#This Row],[TtrapT]]/TBA_Matches_All[[#This Row],[Trap]]),0)</f>
        <v>0</v>
      </c>
      <c r="CT285" s="59">
        <f>IFERROR(SUM(TBA_Matches_All[[#This Row],[TotNotesT]]/TBA_Matches_All[[#This Row],[TotNotes]]),0)</f>
        <v>0.8571428571428571</v>
      </c>
      <c r="CU285" s="66">
        <f>SUM((TBA_Matches_All[[#This Row],[AampT]]*2)+(TBA_Matches_All[[#This Row],[AspkrT]]*5)+(TBA_Matches_All[[#This Row],[AtrapT]]*5)+(TBA_Matches_All[[#This Row],[TampT]]*1)+(TBA_Matches_All[[#This Row],[TspkrptsC]]))</f>
        <v>13</v>
      </c>
      <c r="CV285" s="59">
        <f>IFERROR(TBA_Matches_All[[#This Row],[noteptsT]]/TBA_Matches_All[[#This Row],[NotePts]],0)</f>
        <v>0.8125</v>
      </c>
      <c r="CW285">
        <f>SUM(IF(TBA_Matches_All[[#This Row],[stageStat]]="On",3,0),IF(TBA_Matches_All[[#This Row],[stageStat]]="Park",1,0),SUMIFS(TBA_Matches_All[[#This Row],[Spotlit]],TBA_Matches_All[[#This Row],[stageStat]],"On"),SUMIFS(TBA_Matches_All[[#This Row],[Harmony]],TBA_Matches_All[[#This Row],[stageStat]],"On"))</f>
        <v>3</v>
      </c>
      <c r="CX285" s="59">
        <f>IFERROR(TBA_Matches_All[[#This Row],[stageptsT]]/TBA_Matches_All[[#This Row],[StagePts]],0)</f>
        <v>0.75</v>
      </c>
      <c r="CY285">
        <f>SUM((TBA_Matches_All[[#This Row],[AptsT]]+TBA_Matches_All[[#This Row],[TampT]]+TBA_Matches_All[[#This Row],[TspkrptsC]]+(TBA_Matches_All[[#This Row],[TtrapT]]*5)+TBA_Matches_All[[#This Row],[stageptsT]]))</f>
        <v>18</v>
      </c>
      <c r="CZ285" s="59">
        <f>IFERROR(SUM(TBA_Matches_All[[#This Row],[TotptsC]]/TBA_Matches_All[[#This Row],[Score]]),0)</f>
        <v>0.81818181818181823</v>
      </c>
      <c r="DA28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9.5089285714285712</v>
      </c>
      <c r="DB285" s="74">
        <f>SUMIFS(TBA_Matches_All[AveTeamTNoteDels],TBA_Matches_All[Match_Number],TBA_Matches_All[[#This Row],[Match_Number]],TBA_Matches_All[Alliance],"&lt;&gt;"&amp;TBA_Matches_All[[#This Row],[Alliance]],TBA_Matches_All[Scouted],"&gt;0")</f>
        <v>7.9083333333333332</v>
      </c>
      <c r="DC285" s="74">
        <f>(TBA_Matches_All[[#This Row],[TampT]]+TBA_Matches_All[[#This Row],[TspkrptsC]])-TBA_Matches_All[[#This Row],[AveTeamTNoteDels]]</f>
        <v>-1.5089285714285712</v>
      </c>
      <c r="DD285" s="74">
        <f>SUMIFS(TBA_Matches_All[AveTeamTNoteDels],TBA_Matches_All[Match_Number],TBA_Matches_All[[#This Row],[Match_Number]],TBA_Matches_All[Alliance],"&lt;&gt;"&amp;TBA_Matches_All[[#This Row],[Alliance]])-TBA_Matches_All[[#This Row],[AveOppTNoteDels]]</f>
        <v>0</v>
      </c>
    </row>
    <row r="286" spans="1:108" x14ac:dyDescent="0.3">
      <c r="A286" t="s">
        <v>1042</v>
      </c>
      <c r="B286" t="s">
        <v>489</v>
      </c>
      <c r="C286" t="s">
        <v>1357</v>
      </c>
      <c r="D286">
        <v>48</v>
      </c>
      <c r="E286" t="s">
        <v>1406</v>
      </c>
      <c r="F286" t="s">
        <v>1426</v>
      </c>
      <c r="G286" t="s">
        <v>164</v>
      </c>
      <c r="H286" t="s">
        <v>1278</v>
      </c>
      <c r="I286" t="b">
        <v>1</v>
      </c>
      <c r="J286">
        <v>31</v>
      </c>
      <c r="K286">
        <v>0</v>
      </c>
      <c r="L286">
        <v>0</v>
      </c>
      <c r="M286">
        <v>0</v>
      </c>
      <c r="N286">
        <v>0</v>
      </c>
      <c r="O286">
        <v>2</v>
      </c>
      <c r="P286">
        <v>10</v>
      </c>
      <c r="Q286">
        <v>16</v>
      </c>
      <c r="R286">
        <v>4</v>
      </c>
      <c r="S286">
        <v>0</v>
      </c>
      <c r="T286">
        <v>2</v>
      </c>
      <c r="U286">
        <v>0</v>
      </c>
      <c r="V286">
        <v>4</v>
      </c>
      <c r="W286">
        <v>2</v>
      </c>
      <c r="X286">
        <v>4</v>
      </c>
      <c r="Y286">
        <v>8</v>
      </c>
      <c r="Z286">
        <v>0</v>
      </c>
      <c r="AA286">
        <v>0</v>
      </c>
      <c r="AB286">
        <v>8</v>
      </c>
      <c r="AC286">
        <v>18</v>
      </c>
      <c r="AD286">
        <v>3</v>
      </c>
      <c r="AE286">
        <f>IFERROR(6/(COUNTIF(Dyno_EndMatch[Match],TBA_Matches_All[[#This Row],[Match_Number]])),0)</f>
        <v>1</v>
      </c>
      <c r="AF286">
        <f>COUNTIFS(Dyno_Data[Team],TBA_Matches_All[[#This Row],[Team]],Dyno_Data[Match],TBA_Matches_All[[#This Row],[Match_Number]],Dyno_Data[RecordType],"EndMatch",Dyno_Data[HPAmp],"Y")</f>
        <v>0</v>
      </c>
      <c r="AG286">
        <f>SUMIFS(Dyno_Data[Mics], Dyno_Data[Team],TBA_Matches_All[[#This Row],[Team]],Dyno_Data[Match],TBA_Matches_All[[#This Row],[Match_Number]],Dyno_Data[RecordType],"EndMatch",Dyno_Data[HPAmp],"Y")</f>
        <v>0</v>
      </c>
      <c r="AH286">
        <f>SUMIFS(Dyno_Data[Leave], Dyno_Data[Team],TBA_Matches_All[[#This Row],[Team]],Dyno_Data[Match],TBA_Matches_All[[#This Row],[Match_Number]],Dyno_Data[RecordType],"EndAuto")</f>
        <v>1</v>
      </c>
      <c r="AI286">
        <f>COUNTIFS(Dyno_Data[Team],TBA_Matches_All[[#This Row],[Team]],Dyno_Data[Match],TBA_Matches_All[[#This Row],[Match_Number]],Dyno_Data[RecordType],"Activities",Dyno_Data[DelDest],"Amp", Dyno_Data[DelMiss],"0", Dyno_Data[Mode],"Auto")</f>
        <v>0</v>
      </c>
      <c r="AJ286">
        <f>COUNTIFS(Dyno_Data[Team],TBA_Matches_All[[#This Row],[Team]],Dyno_Data[Match],TBA_Matches_All[[#This Row],[Match_Number]],Dyno_Data[RecordType],"Activities",Dyno_Data[DelDest],"Spkr", Dyno_Data[DelMiss],"0", Dyno_Data[Mode],"Auto")</f>
        <v>2</v>
      </c>
      <c r="AK286">
        <f>COUNTIFS(Dyno_Data[Team],TBA_Matches_All[[#This Row],[Team]],Dyno_Data[Match],TBA_Matches_All[[#This Row],[Match_Number]],Dyno_Data[RecordType],"Activities",Dyno_Data[DelDest],"Trap", Dyno_Data[DelMiss],"0", Dyno_Data[Mode],"Auto")</f>
        <v>0</v>
      </c>
      <c r="AL286">
        <f>COUNTIFS(Dyno_Data[Team],TBA_Matches_All[[#This Row],[Team]],Dyno_Data[Match],TBA_Matches_All[[#This Row],[Match_Number]],Dyno_Data[RecordType],"Activities",Dyno_Data[DelDest],"Amp", Dyno_Data[DelMiss],"0", Dyno_Data[Mode],"Teleop")</f>
        <v>5</v>
      </c>
      <c r="AM286">
        <f>COUNTIFS(Dyno_Data[Team],TBA_Matches_All[[#This Row],[Team]],Dyno_Data[Match],TBA_Matches_All[[#This Row],[Match_Number]],Dyno_Data[RecordType],"Activities",Dyno_Data[DelDest],"Spkr", Dyno_Data[DelMiss],"0", Dyno_Data[Mode],"Teleop")</f>
        <v>0</v>
      </c>
      <c r="AN286">
        <f>COUNTIFS(Dyno_Data[Team],TBA_Matches_All[[#This Row],[Team]],Dyno_Data[Match],TBA_Matches_All[[#This Row],[Match_Number]],Dyno_Data[RecordType],"Activities",Dyno_Data[DelDest],"Trap", Dyno_Data[DelMiss],"0", Dyno_Data[Mode],"&lt;&gt;Auto")</f>
        <v>0</v>
      </c>
      <c r="AO286">
        <f>SUM(TBA_Matches_All[[#This Row],[AampT]]+TBA_Matches_All[[#This Row],[AspkrT]]+TBA_Matches_All[[#This Row],[AtrapT]]+TBA_Matches_All[[#This Row],[TampT]]+TBA_Matches_All[[#This Row],[TspkrT]]+TBA_Matches_All[[#This Row],[TtrapT]])</f>
        <v>7</v>
      </c>
      <c r="AP286">
        <f>COUNTIFS(Dyno_Data[Team],TBA_Matches_All[[#This Row],[Team]],Dyno_Data[Match],TBA_Matches_All[[#This Row],[Match_Number]],Dyno_Data[RecordType],"Activities",Dyno_Data[DelDest],"Neut", Dyno_Data[DelMiss],"0")</f>
        <v>0</v>
      </c>
      <c r="AQ286">
        <f>COUNTIFS(Dyno_Data[Team],TBA_Matches_All[[#This Row],[Team]],Dyno_Data[Match],TBA_Matches_All[[#This Row],[Match_Number]],Dyno_Data[RecordType],"Activities",Dyno_Data[DelDest],"AllyW", Dyno_Data[DelMiss],"0")</f>
        <v>1</v>
      </c>
      <c r="AR286" t="str">
        <f>_xlfn.XLOOKUP(SUM(MID(TBA_Matches_All[[#This Row],[Team]],4,5),(TBA_Matches_All[[#This Row],[Match_Number]]/100)),Dyno_EndMatch[teammat],Dyno_EndMatch[RobotSta],"_",0,1)</f>
        <v>SubW</v>
      </c>
      <c r="AS286">
        <f>SUMIFS(Dyno_Data[AcqDis], Dyno_Data[Team],TBA_Matches_All[[#This Row],[Team]],Dyno_Data[Match],TBA_Matches_All[[#This Row],[Match_Number]],Dyno_Data[RecordType],"Activities", Dyno_Data[AcqCenter],1,Dyno_Data[Mode],"Auto")</f>
        <v>0</v>
      </c>
      <c r="AT286">
        <f>SUMIFS(Dyno_Data[AcqDis], Dyno_Data[Team],TBA_Matches_All[[#This Row],[Team]],Dyno_Data[Match],TBA_Matches_All[[#This Row],[Match_Number]],Dyno_Data[RecordType],"Activities", Dyno_Data[AcqCenter],2,Dyno_Data[Mode],"Auto")</f>
        <v>0</v>
      </c>
      <c r="AU286">
        <f>SUMIFS(Dyno_Data[AcqDis], Dyno_Data[Team],TBA_Matches_All[[#This Row],[Team]],Dyno_Data[Match],TBA_Matches_All[[#This Row],[Match_Number]],Dyno_Data[RecordType],"Activities", Dyno_Data[AcqCenter],3,Dyno_Data[Mode],"Auto")</f>
        <v>0</v>
      </c>
      <c r="AV286">
        <f>SUMIFS(Dyno_Data[AcqDis], Dyno_Data[Team],TBA_Matches_All[[#This Row],[Team]],Dyno_Data[Match],TBA_Matches_All[[#This Row],[Match_Number]],Dyno_Data[RecordType],"Activities", Dyno_Data[AcqCenter],4,Dyno_Data[Mode],"Auto")</f>
        <v>0</v>
      </c>
      <c r="AW286">
        <f>SUMIFS(Dyno_Data[AcqDis], Dyno_Data[Team],TBA_Matches_All[[#This Row],[Team]],Dyno_Data[Match],TBA_Matches_All[[#This Row],[Match_Number]],Dyno_Data[RecordType],"Activities", Dyno_Data[AcqCenter],5,Dyno_Data[Mode],"Auto")</f>
        <v>0</v>
      </c>
      <c r="AX286">
        <f>SUMIFS(Dyno_Data[DelMiss], Dyno_Data[Team],TBA_Matches_All[[#This Row],[Team]],Dyno_Data[Match],TBA_Matches_All[[#This Row],[Match_Number]],Dyno_Data[RecordType],"Activities", Dyno_Data[DelDest],"Amp")</f>
        <v>0</v>
      </c>
      <c r="AY286" s="60">
        <f>IFERROR(SUM((TBA_Matches_All[[#This Row],[AampT]]+TBA_Matches_All[[#This Row],[TampT]])/(TBA_Matches_All[[#This Row],[AampT]]+TBA_Matches_All[[#This Row],[TampT]]+TBA_Matches_All[[#This Row],[ampM]])),0)</f>
        <v>1</v>
      </c>
      <c r="AZ286">
        <f>SUMIFS(Dyno_Data[DelMiss], Dyno_Data[Team],TBA_Matches_All[[#This Row],[Team]],Dyno_Data[Match],TBA_Matches_All[[#This Row],[Match_Number]],Dyno_Data[RecordType],"Activities", Dyno_Data[DelDest],"Spkr")</f>
        <v>0</v>
      </c>
      <c r="BA286" s="60">
        <f>IFERROR(SUM((TBA_Matches_All[[#This Row],[AspkrT]]+TBA_Matches_All[[#This Row],[TspkrT]])/(TBA_Matches_All[[#This Row],[AspkrT]]+TBA_Matches_All[[#This Row],[TspkrT]]+TBA_Matches_All[[#This Row],[spkrM]])),0)</f>
        <v>1</v>
      </c>
      <c r="BB286">
        <f>SUMIFS(Dyno_Data[DelMiss], Dyno_Data[Team],TBA_Matches_All[[#This Row],[Team]],Dyno_Data[Match],TBA_Matches_All[[#This Row],[Match_Number]],Dyno_Data[RecordType],"Activities", Dyno_Data[DelDest],"Trap")</f>
        <v>0</v>
      </c>
      <c r="BC286" s="60">
        <f>IFERROR((TBA_Matches_All[[#This Row],[AtrapT]]+TBA_Matches_All[[#This Row],[TtrapT]])/(TBA_Matches_All[[#This Row],[AtrapT]]+TBA_Matches_All[[#This Row],[TtrapT]]+TBA_Matches_All[[#This Row],[trapM]]),0)</f>
        <v>0</v>
      </c>
      <c r="BD286">
        <f>COUNTIFS(Dyno_Data[Team],TBA_Matches_All[[#This Row],[Team]],Dyno_Data[Match],TBA_Matches_All[[#This Row],[Match_Number]],Dyno_Data[RecordType],"Activities",Dyno_Data[DelDest],"Neut", Dyno_Data[DelMiss],1)</f>
        <v>0</v>
      </c>
      <c r="BE286" s="60">
        <f>IFERROR(SUM((TBA_Matches_All[[#This Row],[NeutFlrT]])/(TBA_Matches_All[[#This Row],[NeutFlrT]]+TBA_Matches_All[[#This Row],[NZflM]])),0)</f>
        <v>0</v>
      </c>
      <c r="BF286">
        <f>COUNTIFS(Dyno_Data[Team],TBA_Matches_All[[#This Row],[Team]],Dyno_Data[Match],TBA_Matches_All[[#This Row],[Match_Number]],Dyno_Data[RecordType],"Activities",Dyno_Data[DelDest],"AllyW", Dyno_Data[DelMiss],1)</f>
        <v>0</v>
      </c>
      <c r="BG286" s="60">
        <f>IFERROR(SUM((TBA_Matches_All[[#This Row],[AllyWFlrT]])/(TBA_Matches_All[[#This Row],[AllyWFlrT]]+TBA_Matches_All[[#This Row],[AZflM]])),0)</f>
        <v>1</v>
      </c>
      <c r="BH286">
        <f>COUNTIFS(Dyno_Data[Team],TBA_Matches_All[[#This Row],[Team]],Dyno_Data[Match],TBA_Matches_All[[#This Row],[Match_Number]],Dyno_Data[RecordType],"Activities",Dyno_Data[DelOrig],"OppW", Dyno_Data[DelMiss],"0")</f>
        <v>0</v>
      </c>
      <c r="BI286">
        <f>COUNTIFS(Dyno_Data[Team],TBA_Matches_All[[#This Row],[Team]],Dyno_Data[Match],TBA_Matches_All[[#This Row],[Match_Number]],Dyno_Data[RecordType],"Activities",Dyno_Data[DelOrig],"OppW", Dyno_Data[DelMiss],"1")</f>
        <v>0</v>
      </c>
      <c r="BJ286" s="60">
        <f>IFERROR(SUM((TBA_Matches_All[[#This Row],[OZflrT]])/(TBA_Matches_All[[#This Row],[OZflrT]]+TBA_Matches_All[[#This Row],[OZflrM]])),0)</f>
        <v>0</v>
      </c>
      <c r="BK286">
        <f>COUNTIFS(Dyno_Data[Team],TBA_Matches_All[[#This Row],[Team]],Dyno_Data[Match],TBA_Matches_All[[#This Row],[Match_Number]],Dyno_Data[RecordType],"Activities",Dyno_Data[DelOrig],"Neut", Dyno_Data[DelMiss],"0")</f>
        <v>0</v>
      </c>
      <c r="BL286">
        <f>COUNTIFS(Dyno_Data[Team],TBA_Matches_All[[#This Row],[Team]],Dyno_Data[Match],TBA_Matches_All[[#This Row],[Match_Number]],Dyno_Data[RecordType],"Activities",Dyno_Data[DelOrig],"Neut", Dyno_Data[DelMiss],"1")</f>
        <v>0</v>
      </c>
      <c r="BM286" s="60">
        <f>IFERROR(SUM((TBA_Matches_All[[#This Row],[NZflrT]])/(TBA_Matches_All[[#This Row],[NZflrT]]+TBA_Matches_All[[#This Row],[NZflrM]])),0)</f>
        <v>0</v>
      </c>
      <c r="BN286">
        <f>COUNTIFS(Dyno_Data[Team],TBA_Matches_All[[#This Row],[Team]],Dyno_Data[Match],TBA_Matches_All[[#This Row],[Match_Number]],Dyno_Data[RecordType],"Activities",Dyno_Data[DelOrig],"AllyW", Dyno_Data[DelMiss],"0")</f>
        <v>6</v>
      </c>
      <c r="BO286">
        <f>COUNTIFS(Dyno_Data[Team],TBA_Matches_All[[#This Row],[Team]],Dyno_Data[Match],TBA_Matches_All[[#This Row],[Match_Number]],Dyno_Data[RecordType],"Activities",Dyno_Data[DelOrig],"AllyW", Dyno_Data[DelMiss],"1")</f>
        <v>0</v>
      </c>
      <c r="BP286" s="60">
        <f>IFERROR(SUM((TBA_Matches_All[[#This Row],[AZflrT]])/(TBA_Matches_All[[#This Row],[AZflrT]]+TBA_Matches_All[[#This Row],[AZflrM]])),0)</f>
        <v>1</v>
      </c>
      <c r="BQ286">
        <f>COUNTIFS(Dyno_Data[Team],TBA_Matches_All[[#This Row],[Team]],Dyno_Data[Match],TBA_Matches_All[[#This Row],[Match_Number]],Dyno_Data[RecordType],"Activities",Dyno_Data[DelOrig],"SubW", Dyno_Data[DelMiss],"0")</f>
        <v>2</v>
      </c>
      <c r="BR286">
        <f>COUNTIFS(Dyno_Data[Team],TBA_Matches_All[[#This Row],[Team]],Dyno_Data[Match],TBA_Matches_All[[#This Row],[Match_Number]],Dyno_Data[RecordType],"Activities",Dyno_Data[DelOrig],"SubW", Dyno_Data[DelMiss],"1")</f>
        <v>0</v>
      </c>
      <c r="BS286" s="60">
        <f>IFERROR(SUM((TBA_Matches_All[[#This Row],[SubwT]])/(TBA_Matches_All[[#This Row],[SubwT]]+TBA_Matches_All[[#This Row],[SubwM]])),0)</f>
        <v>1</v>
      </c>
      <c r="BT286">
        <f>COUNTIFS(Dyno_Data[Team],TBA_Matches_All[[#This Row],[Team]],Dyno_Data[Match],TBA_Matches_All[[#This Row],[Match_Number]],Dyno_Data[RecordType],"Activities", Dyno_Data[AcqLoc],"OppWing")</f>
        <v>0</v>
      </c>
      <c r="BU286">
        <f>COUNTIFS(Dyno_Data[Team],TBA_Matches_All[[#This Row],[Team]],Dyno_Data[Match],TBA_Matches_All[[#This Row],[Match_Number]],Dyno_Data[RecordType],"Activities", Dyno_Data[AcqLoc],"Neutral")</f>
        <v>0</v>
      </c>
      <c r="BV286">
        <f>COUNTIFS(Dyno_Data[Team],TBA_Matches_All[[#This Row],[Team]],Dyno_Data[Match],TBA_Matches_All[[#This Row],[Match_Number]],Dyno_Data[RecordType],"Activities", Dyno_Data[AcqLoc],"AllyWing")</f>
        <v>0</v>
      </c>
      <c r="BW286">
        <f>COUNTIFS(Dyno_Data[Team],TBA_Matches_All[[#This Row],[Team]],Dyno_Data[Match],TBA_Matches_All[[#This Row],[Match_Number]],Dyno_Data[RecordType],"Activities", Dyno_Data[AcqLoc],"Source")</f>
        <v>0</v>
      </c>
      <c r="BX286">
        <f>SUMIFS(Dyno_Data[AcqDrp], Dyno_Data[Team],TBA_Matches_All[[#This Row],[Team]],Dyno_Data[Match],TBA_Matches_All[[#This Row],[Match_Number]],Dyno_Data[RecordType],"Activities", Dyno_Data[AcqLoc],"Source")</f>
        <v>0</v>
      </c>
      <c r="BY286">
        <f>SUMIFS(Dyno_Data[OZTime], Dyno_Data[Team],TBA_Matches_All[[#This Row],[Team]],Dyno_Data[Match],TBA_Matches_All[[#This Row],[Match_Number]],Dyno_Data[RecordType],"EndMatch")</f>
        <v>8.8118368</v>
      </c>
      <c r="BZ286">
        <f>SUMIFS(Dyno_Data[NZTime], Dyno_Data[Team],TBA_Matches_All[[#This Row],[Team]],Dyno_Data[Match],TBA_Matches_All[[#This Row],[Match_Number]],Dyno_Data[RecordType],"EndMatch")</f>
        <v>4.9286408999999995</v>
      </c>
      <c r="CA286">
        <f>SUMIFS(Dyno_Data[AZTime], Dyno_Data[Team],TBA_Matches_All[[#This Row],[Team]],Dyno_Data[Match],TBA_Matches_All[[#This Row],[Match_Number]],Dyno_Data[RecordType],"EndMatch")</f>
        <v>104.69723119999999</v>
      </c>
      <c r="CB286">
        <f>SUMIFS(Dyno_Data[ClimbT], Dyno_Data[Team],TBA_Matches_All[[#This Row],[Team]],Dyno_Data[Match],TBA_Matches_All[[#This Row],[Match_Number]],Dyno_Data[RecordType],"EndMatch")</f>
        <v>18.292381299999999</v>
      </c>
      <c r="CC286" t="str">
        <f>_xlfn.XLOOKUP(SUM(MID(TBA_Matches_All[[#This Row],[Team]],4,5),(TBA_Matches_All[[#This Row],[Match_Number]]/100)),Dyno_EndMatch[teammat],Dyno_EndMatch[StageStat],"_",0,1)</f>
        <v>Park</v>
      </c>
      <c r="CD286" t="str">
        <f>_xlfn.XLOOKUP(TBA_Matches_All[[#This Row],[teammat]],Dyno_EndMatch[teammat],Dyno_EndMatch[StageAtt],"_",0,1)</f>
        <v>-1</v>
      </c>
      <c r="CE286" t="str">
        <f>_xlfn.XLOOKUP(TBA_Matches_All[[#This Row],[teammat]],Dyno_EndMatch[teammat],Dyno_EndMatch[StageLoc],"_",0,1)</f>
        <v>A</v>
      </c>
      <c r="CF286">
        <f>SUMIFS(Dyno_Data[Harmony], Dyno_Data[Team],TBA_Matches_All[[#This Row],[Team]],Dyno_Data[Match],TBA_Matches_All[[#This Row],[Match_Number]],Dyno_Data[RecordType],"EndMatch", Dyno_Data[StageStat],"On",Dyno_Data[Harmony],"&lt;&gt;9")</f>
        <v>0</v>
      </c>
      <c r="CG286">
        <f>SUMIFS(Dyno_Data[Spotlit], Dyno_Data[Team],TBA_Matches_All[[#This Row],[Team]],Dyno_Data[Match],TBA_Matches_All[[#This Row],[Match_Number]],Dyno_Data[RecordType],"EndMatch", Dyno_Data[StageStat],"On",Dyno_Data[Spotlit],"&lt;&gt;9")</f>
        <v>0</v>
      </c>
      <c r="CH286" t="str">
        <f>_xlfn.XLOOKUP(TBA_Matches_All[[#This Row],[teammat]],Dyno_EndMatch[teammat],Dyno_EndMatch[Strategy],"_",0,1)</f>
        <v>Shooter</v>
      </c>
      <c r="CI286">
        <f>SUMIFS(Dyno_Data[Defense], Dyno_Data[Team],TBA_Matches_All[[#This Row],[Team]],Dyno_Data[Match],TBA_Matches_All[[#This Row],[Match_Number]],Dyno_Data[RecordType],"EndMatch",Dyno_Data[Defense],"&lt;&gt;9")</f>
        <v>0</v>
      </c>
      <c r="CJ286">
        <f>SUMIFS(Dyno_Data[Avoidance], Dyno_Data[Team],TBA_Matches_All[[#This Row],[Team]],Dyno_Data[Match],TBA_Matches_All[[#This Row],[Match_Number]],Dyno_Data[RecordType],"EndMatch",Dyno_Data[Avoidance],"&lt;&gt;9")</f>
        <v>0</v>
      </c>
      <c r="CK286" s="82">
        <f>COUNTIF($H$2:TBA_Matches_All[[#This Row],[Team]],TBA_Matches_All[[#This Row],[Team]])</f>
        <v>6</v>
      </c>
      <c r="CL286" s="111">
        <f>SUM(MID(TBA_Matches_All[[#This Row],[Team]],4,5)+TBA_Matches_All[[#This Row],[Match_Number]]/100)</f>
        <v>3951.48</v>
      </c>
      <c r="CM286">
        <f>SUM((TBA_Matches_All[[#This Row],[Leave]]*2)+(TBA_Matches_All[[#This Row],[AampT]]*2)+(TBA_Matches_All[[#This Row],[AspkrT]]*5)+(TBA_Matches_All[[#This Row],[AtrapT]]*5))</f>
        <v>12</v>
      </c>
      <c r="CN286" s="59">
        <f>IFERROR(SUM(TBA_Matches_All[[#This Row],[AptsT]]/TBA_Matches_All[[#This Row],[AutoPts]]),0)</f>
        <v>0.75</v>
      </c>
      <c r="CO286" s="59">
        <f>IFERROR(SUM(TBA_Matches_All[[#This Row],[AampT]]+TBA_Matches_All[[#This Row],[AspkrT]]+TBA_Matches_All[[#This Row],[AtrapT]]/TBA_Matches_All[[#This Row],[Aamp]]+TBA_Matches_All[[#This Row],[Aspkr]]+TBA_Matches_All[[#This Row],[AtrapT]]),0)</f>
        <v>0</v>
      </c>
      <c r="CP286" s="59">
        <f>IFERROR(SUM(TBA_Matches_All[[#This Row],[TampT]]/TBA_Matches_All[[#This Row],[Tamp]]),0)</f>
        <v>1.25</v>
      </c>
      <c r="CQ286" s="59">
        <f>IFERROR(SUM(TBA_Matches_All[[#This Row],[TspkrT]]/TBA_Matches_All[[#This Row],[Tspkr]]),0)</f>
        <v>0</v>
      </c>
      <c r="CR286">
        <f>SUM(TBA_Matches_All[[#This Row],[TspkrPts]]*TBA_Matches_All[[#This Row],[TspkrP]])</f>
        <v>0</v>
      </c>
      <c r="CS286" s="59">
        <f>IFERROR(SUM(TBA_Matches_All[[#This Row],[TtrapT]]/TBA_Matches_All[[#This Row],[Trap]]),0)</f>
        <v>0</v>
      </c>
      <c r="CT286" s="59">
        <f>IFERROR(SUM(TBA_Matches_All[[#This Row],[TotNotesT]]/TBA_Matches_All[[#This Row],[TotNotes]]),0)</f>
        <v>0.875</v>
      </c>
      <c r="CU286" s="66">
        <f>SUM((TBA_Matches_All[[#This Row],[AampT]]*2)+(TBA_Matches_All[[#This Row],[AspkrT]]*5)+(TBA_Matches_All[[#This Row],[AtrapT]]*5)+(TBA_Matches_All[[#This Row],[TampT]]*1)+(TBA_Matches_All[[#This Row],[TspkrptsC]]))</f>
        <v>15</v>
      </c>
      <c r="CV286" s="59">
        <f>IFERROR(TBA_Matches_All[[#This Row],[noteptsT]]/TBA_Matches_All[[#This Row],[NotePts]],0)</f>
        <v>0.83333333333333337</v>
      </c>
      <c r="CW286">
        <f>SUM(IF(TBA_Matches_All[[#This Row],[stageStat]]="On",3,0),IF(TBA_Matches_All[[#This Row],[stageStat]]="Park",1,0),SUMIFS(TBA_Matches_All[[#This Row],[Spotlit]],TBA_Matches_All[[#This Row],[stageStat]],"On"),SUMIFS(TBA_Matches_All[[#This Row],[Harmony]],TBA_Matches_All[[#This Row],[stageStat]],"On"))</f>
        <v>1</v>
      </c>
      <c r="CX286" s="59">
        <f>IFERROR(TBA_Matches_All[[#This Row],[stageptsT]]/TBA_Matches_All[[#This Row],[StagePts]],0)</f>
        <v>0.33333333333333331</v>
      </c>
      <c r="CY286">
        <f>SUM((TBA_Matches_All[[#This Row],[AptsT]]+TBA_Matches_All[[#This Row],[TampT]]+TBA_Matches_All[[#This Row],[TspkrptsC]]+(TBA_Matches_All[[#This Row],[TtrapT]]*5)+TBA_Matches_All[[#This Row],[stageptsT]]))</f>
        <v>18</v>
      </c>
      <c r="CZ286" s="59">
        <f>IFERROR(SUM(TBA_Matches_All[[#This Row],[TotptsC]]/TBA_Matches_All[[#This Row],[Score]]),0)</f>
        <v>0.58064516129032262</v>
      </c>
      <c r="DA28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3.8</v>
      </c>
      <c r="DB286" s="74">
        <f>SUMIFS(TBA_Matches_All[AveTeamTNoteDels],TBA_Matches_All[Match_Number],TBA_Matches_All[[#This Row],[Match_Number]],TBA_Matches_All[Alliance],"&lt;&gt;"&amp;TBA_Matches_All[[#This Row],[Alliance]],TBA_Matches_All[Scouted],"&gt;0")</f>
        <v>12.948928571428571</v>
      </c>
      <c r="DC286" s="74">
        <f>(TBA_Matches_All[[#This Row],[TampT]]+TBA_Matches_All[[#This Row],[TspkrptsC]])-TBA_Matches_All[[#This Row],[AveTeamTNoteDels]]</f>
        <v>1.2000000000000002</v>
      </c>
      <c r="DD286" s="74">
        <f>SUMIFS(TBA_Matches_All[AveTeamTNoteDels],TBA_Matches_All[Match_Number],TBA_Matches_All[[#This Row],[Match_Number]],TBA_Matches_All[Alliance],"&lt;&gt;"&amp;TBA_Matches_All[[#This Row],[Alliance]])-TBA_Matches_All[[#This Row],[AveOppTNoteDels]]</f>
        <v>0</v>
      </c>
    </row>
    <row r="287" spans="1:108" x14ac:dyDescent="0.3">
      <c r="A287" t="s">
        <v>1042</v>
      </c>
      <c r="B287" t="s">
        <v>489</v>
      </c>
      <c r="C287" t="s">
        <v>1357</v>
      </c>
      <c r="D287">
        <v>48</v>
      </c>
      <c r="E287" t="s">
        <v>1420</v>
      </c>
      <c r="F287" t="s">
        <v>1423</v>
      </c>
      <c r="G287" t="s">
        <v>1409</v>
      </c>
      <c r="H287" t="s">
        <v>369</v>
      </c>
      <c r="I287" t="b">
        <v>1</v>
      </c>
      <c r="J287">
        <v>22</v>
      </c>
      <c r="K287">
        <v>0</v>
      </c>
      <c r="L287">
        <v>0</v>
      </c>
      <c r="M287">
        <v>4</v>
      </c>
      <c r="N287">
        <v>0</v>
      </c>
      <c r="O287">
        <v>1</v>
      </c>
      <c r="P287">
        <v>5</v>
      </c>
      <c r="Q287">
        <v>7</v>
      </c>
      <c r="R287">
        <v>1</v>
      </c>
      <c r="S287">
        <v>0</v>
      </c>
      <c r="T287">
        <v>5</v>
      </c>
      <c r="U287">
        <v>0</v>
      </c>
      <c r="V287">
        <v>10</v>
      </c>
      <c r="W287">
        <v>5</v>
      </c>
      <c r="X287">
        <v>10</v>
      </c>
      <c r="Y287">
        <v>11</v>
      </c>
      <c r="Z287">
        <v>0</v>
      </c>
      <c r="AA287">
        <v>0</v>
      </c>
      <c r="AB287">
        <v>7</v>
      </c>
      <c r="AC287">
        <v>16</v>
      </c>
      <c r="AD287">
        <v>4</v>
      </c>
      <c r="AE287">
        <f>IFERROR(6/(COUNTIF(Dyno_EndMatch[Match],TBA_Matches_All[[#This Row],[Match_Number]])),0)</f>
        <v>1</v>
      </c>
      <c r="AF287">
        <f>COUNTIFS(Dyno_Data[Team],TBA_Matches_All[[#This Row],[Team]],Dyno_Data[Match],TBA_Matches_All[[#This Row],[Match_Number]],Dyno_Data[RecordType],"EndMatch",Dyno_Data[HPAmp],"Y")</f>
        <v>1</v>
      </c>
      <c r="AG287">
        <f>SUMIFS(Dyno_Data[Mics], Dyno_Data[Team],TBA_Matches_All[[#This Row],[Team]],Dyno_Data[Match],TBA_Matches_All[[#This Row],[Match_Number]],Dyno_Data[RecordType],"EndMatch",Dyno_Data[HPAmp],"Y")</f>
        <v>0</v>
      </c>
      <c r="AH287">
        <f>SUMIFS(Dyno_Data[Leave], Dyno_Data[Team],TBA_Matches_All[[#This Row],[Team]],Dyno_Data[Match],TBA_Matches_All[[#This Row],[Match_Number]],Dyno_Data[RecordType],"EndAuto")</f>
        <v>0</v>
      </c>
      <c r="AI287">
        <f>COUNTIFS(Dyno_Data[Team],TBA_Matches_All[[#This Row],[Team]],Dyno_Data[Match],TBA_Matches_All[[#This Row],[Match_Number]],Dyno_Data[RecordType],"Activities",Dyno_Data[DelDest],"Amp", Dyno_Data[DelMiss],"0", Dyno_Data[Mode],"Auto")</f>
        <v>0</v>
      </c>
      <c r="AJ287">
        <f>COUNTIFS(Dyno_Data[Team],TBA_Matches_All[[#This Row],[Team]],Dyno_Data[Match],TBA_Matches_All[[#This Row],[Match_Number]],Dyno_Data[RecordType],"Activities",Dyno_Data[DelDest],"Spkr", Dyno_Data[DelMiss],"0", Dyno_Data[Mode],"Auto")</f>
        <v>0</v>
      </c>
      <c r="AK287">
        <f>COUNTIFS(Dyno_Data[Team],TBA_Matches_All[[#This Row],[Team]],Dyno_Data[Match],TBA_Matches_All[[#This Row],[Match_Number]],Dyno_Data[RecordType],"Activities",Dyno_Data[DelDest],"Trap", Dyno_Data[DelMiss],"0", Dyno_Data[Mode],"Auto")</f>
        <v>0</v>
      </c>
      <c r="AL287">
        <f>COUNTIFS(Dyno_Data[Team],TBA_Matches_All[[#This Row],[Team]],Dyno_Data[Match],TBA_Matches_All[[#This Row],[Match_Number]],Dyno_Data[RecordType],"Activities",Dyno_Data[DelDest],"Amp", Dyno_Data[DelMiss],"0", Dyno_Data[Mode],"Teleop")</f>
        <v>0</v>
      </c>
      <c r="AM287">
        <f>COUNTIFS(Dyno_Data[Team],TBA_Matches_All[[#This Row],[Team]],Dyno_Data[Match],TBA_Matches_All[[#This Row],[Match_Number]],Dyno_Data[RecordType],"Activities",Dyno_Data[DelDest],"Spkr", Dyno_Data[DelMiss],"0", Dyno_Data[Mode],"Teleop")</f>
        <v>0</v>
      </c>
      <c r="AN287">
        <f>COUNTIFS(Dyno_Data[Team],TBA_Matches_All[[#This Row],[Team]],Dyno_Data[Match],TBA_Matches_All[[#This Row],[Match_Number]],Dyno_Data[RecordType],"Activities",Dyno_Data[DelDest],"Trap", Dyno_Data[DelMiss],"0", Dyno_Data[Mode],"&lt;&gt;Auto")</f>
        <v>0</v>
      </c>
      <c r="AO287">
        <f>SUM(TBA_Matches_All[[#This Row],[AampT]]+TBA_Matches_All[[#This Row],[AspkrT]]+TBA_Matches_All[[#This Row],[AtrapT]]+TBA_Matches_All[[#This Row],[TampT]]+TBA_Matches_All[[#This Row],[TspkrT]]+TBA_Matches_All[[#This Row],[TtrapT]])</f>
        <v>0</v>
      </c>
      <c r="AP287">
        <f>COUNTIFS(Dyno_Data[Team],TBA_Matches_All[[#This Row],[Team]],Dyno_Data[Match],TBA_Matches_All[[#This Row],[Match_Number]],Dyno_Data[RecordType],"Activities",Dyno_Data[DelDest],"Neut", Dyno_Data[DelMiss],"0")</f>
        <v>0</v>
      </c>
      <c r="AQ287">
        <f>COUNTIFS(Dyno_Data[Team],TBA_Matches_All[[#This Row],[Team]],Dyno_Data[Match],TBA_Matches_All[[#This Row],[Match_Number]],Dyno_Data[RecordType],"Activities",Dyno_Data[DelDest],"AllyW", Dyno_Data[DelMiss],"0")</f>
        <v>0</v>
      </c>
      <c r="AR287" t="str">
        <f>_xlfn.XLOOKUP(SUM(MID(TBA_Matches_All[[#This Row],[Team]],4,5),(TBA_Matches_All[[#This Row],[Match_Number]]/100)),Dyno_EndMatch[teammat],Dyno_EndMatch[RobotSta],"_",0,1)</f>
        <v>OppS</v>
      </c>
      <c r="AS287">
        <f>SUMIFS(Dyno_Data[AcqDis], Dyno_Data[Team],TBA_Matches_All[[#This Row],[Team]],Dyno_Data[Match],TBA_Matches_All[[#This Row],[Match_Number]],Dyno_Data[RecordType],"Activities", Dyno_Data[AcqCenter],1,Dyno_Data[Mode],"Auto")</f>
        <v>0</v>
      </c>
      <c r="AT287">
        <f>SUMIFS(Dyno_Data[AcqDis], Dyno_Data[Team],TBA_Matches_All[[#This Row],[Team]],Dyno_Data[Match],TBA_Matches_All[[#This Row],[Match_Number]],Dyno_Data[RecordType],"Activities", Dyno_Data[AcqCenter],2,Dyno_Data[Mode],"Auto")</f>
        <v>0</v>
      </c>
      <c r="AU287">
        <f>SUMIFS(Dyno_Data[AcqDis], Dyno_Data[Team],TBA_Matches_All[[#This Row],[Team]],Dyno_Data[Match],TBA_Matches_All[[#This Row],[Match_Number]],Dyno_Data[RecordType],"Activities", Dyno_Data[AcqCenter],3,Dyno_Data[Mode],"Auto")</f>
        <v>0</v>
      </c>
      <c r="AV287">
        <f>SUMIFS(Dyno_Data[AcqDis], Dyno_Data[Team],TBA_Matches_All[[#This Row],[Team]],Dyno_Data[Match],TBA_Matches_All[[#This Row],[Match_Number]],Dyno_Data[RecordType],"Activities", Dyno_Data[AcqCenter],4,Dyno_Data[Mode],"Auto")</f>
        <v>0</v>
      </c>
      <c r="AW287">
        <f>SUMIFS(Dyno_Data[AcqDis], Dyno_Data[Team],TBA_Matches_All[[#This Row],[Team]],Dyno_Data[Match],TBA_Matches_All[[#This Row],[Match_Number]],Dyno_Data[RecordType],"Activities", Dyno_Data[AcqCenter],5,Dyno_Data[Mode],"Auto")</f>
        <v>0</v>
      </c>
      <c r="AX287">
        <f>SUMIFS(Dyno_Data[DelMiss], Dyno_Data[Team],TBA_Matches_All[[#This Row],[Team]],Dyno_Data[Match],TBA_Matches_All[[#This Row],[Match_Number]],Dyno_Data[RecordType],"Activities", Dyno_Data[DelDest],"Amp")</f>
        <v>0</v>
      </c>
      <c r="AY287" s="60">
        <f>IFERROR(SUM((TBA_Matches_All[[#This Row],[AampT]]+TBA_Matches_All[[#This Row],[TampT]])/(TBA_Matches_All[[#This Row],[AampT]]+TBA_Matches_All[[#This Row],[TampT]]+TBA_Matches_All[[#This Row],[ampM]])),0)</f>
        <v>0</v>
      </c>
      <c r="AZ287">
        <f>SUMIFS(Dyno_Data[DelMiss], Dyno_Data[Team],TBA_Matches_All[[#This Row],[Team]],Dyno_Data[Match],TBA_Matches_All[[#This Row],[Match_Number]],Dyno_Data[RecordType],"Activities", Dyno_Data[DelDest],"Spkr")</f>
        <v>0</v>
      </c>
      <c r="BA287" s="60">
        <f>IFERROR(SUM((TBA_Matches_All[[#This Row],[AspkrT]]+TBA_Matches_All[[#This Row],[TspkrT]])/(TBA_Matches_All[[#This Row],[AspkrT]]+TBA_Matches_All[[#This Row],[TspkrT]]+TBA_Matches_All[[#This Row],[spkrM]])),0)</f>
        <v>0</v>
      </c>
      <c r="BB287">
        <f>SUMIFS(Dyno_Data[DelMiss], Dyno_Data[Team],TBA_Matches_All[[#This Row],[Team]],Dyno_Data[Match],TBA_Matches_All[[#This Row],[Match_Number]],Dyno_Data[RecordType],"Activities", Dyno_Data[DelDest],"Trap")</f>
        <v>0</v>
      </c>
      <c r="BC287" s="60">
        <f>IFERROR((TBA_Matches_All[[#This Row],[AtrapT]]+TBA_Matches_All[[#This Row],[TtrapT]])/(TBA_Matches_All[[#This Row],[AtrapT]]+TBA_Matches_All[[#This Row],[TtrapT]]+TBA_Matches_All[[#This Row],[trapM]]),0)</f>
        <v>0</v>
      </c>
      <c r="BD287">
        <f>COUNTIFS(Dyno_Data[Team],TBA_Matches_All[[#This Row],[Team]],Dyno_Data[Match],TBA_Matches_All[[#This Row],[Match_Number]],Dyno_Data[RecordType],"Activities",Dyno_Data[DelDest],"Neut", Dyno_Data[DelMiss],1)</f>
        <v>0</v>
      </c>
      <c r="BE287" s="60">
        <f>IFERROR(SUM((TBA_Matches_All[[#This Row],[NeutFlrT]])/(TBA_Matches_All[[#This Row],[NeutFlrT]]+TBA_Matches_All[[#This Row],[NZflM]])),0)</f>
        <v>0</v>
      </c>
      <c r="BF287">
        <f>COUNTIFS(Dyno_Data[Team],TBA_Matches_All[[#This Row],[Team]],Dyno_Data[Match],TBA_Matches_All[[#This Row],[Match_Number]],Dyno_Data[RecordType],"Activities",Dyno_Data[DelDest],"AllyW", Dyno_Data[DelMiss],1)</f>
        <v>0</v>
      </c>
      <c r="BG287" s="60">
        <f>IFERROR(SUM((TBA_Matches_All[[#This Row],[AllyWFlrT]])/(TBA_Matches_All[[#This Row],[AllyWFlrT]]+TBA_Matches_All[[#This Row],[AZflM]])),0)</f>
        <v>0</v>
      </c>
      <c r="BH287">
        <f>COUNTIFS(Dyno_Data[Team],TBA_Matches_All[[#This Row],[Team]],Dyno_Data[Match],TBA_Matches_All[[#This Row],[Match_Number]],Dyno_Data[RecordType],"Activities",Dyno_Data[DelOrig],"OppW", Dyno_Data[DelMiss],"0")</f>
        <v>0</v>
      </c>
      <c r="BI287">
        <f>COUNTIFS(Dyno_Data[Team],TBA_Matches_All[[#This Row],[Team]],Dyno_Data[Match],TBA_Matches_All[[#This Row],[Match_Number]],Dyno_Data[RecordType],"Activities",Dyno_Data[DelOrig],"OppW", Dyno_Data[DelMiss],"1")</f>
        <v>0</v>
      </c>
      <c r="BJ287" s="60">
        <f>IFERROR(SUM((TBA_Matches_All[[#This Row],[OZflrT]])/(TBA_Matches_All[[#This Row],[OZflrT]]+TBA_Matches_All[[#This Row],[OZflrM]])),0)</f>
        <v>0</v>
      </c>
      <c r="BK287">
        <f>COUNTIFS(Dyno_Data[Team],TBA_Matches_All[[#This Row],[Team]],Dyno_Data[Match],TBA_Matches_All[[#This Row],[Match_Number]],Dyno_Data[RecordType],"Activities",Dyno_Data[DelOrig],"Neut", Dyno_Data[DelMiss],"0")</f>
        <v>0</v>
      </c>
      <c r="BL287">
        <f>COUNTIFS(Dyno_Data[Team],TBA_Matches_All[[#This Row],[Team]],Dyno_Data[Match],TBA_Matches_All[[#This Row],[Match_Number]],Dyno_Data[RecordType],"Activities",Dyno_Data[DelOrig],"Neut", Dyno_Data[DelMiss],"1")</f>
        <v>0</v>
      </c>
      <c r="BM287" s="60">
        <f>IFERROR(SUM((TBA_Matches_All[[#This Row],[NZflrT]])/(TBA_Matches_All[[#This Row],[NZflrT]]+TBA_Matches_All[[#This Row],[NZflrM]])),0)</f>
        <v>0</v>
      </c>
      <c r="BN287">
        <f>COUNTIFS(Dyno_Data[Team],TBA_Matches_All[[#This Row],[Team]],Dyno_Data[Match],TBA_Matches_All[[#This Row],[Match_Number]],Dyno_Data[RecordType],"Activities",Dyno_Data[DelOrig],"AllyW", Dyno_Data[DelMiss],"0")</f>
        <v>0</v>
      </c>
      <c r="BO287">
        <f>COUNTIFS(Dyno_Data[Team],TBA_Matches_All[[#This Row],[Team]],Dyno_Data[Match],TBA_Matches_All[[#This Row],[Match_Number]],Dyno_Data[RecordType],"Activities",Dyno_Data[DelOrig],"AllyW", Dyno_Data[DelMiss],"1")</f>
        <v>0</v>
      </c>
      <c r="BP287" s="60">
        <f>IFERROR(SUM((TBA_Matches_All[[#This Row],[AZflrT]])/(TBA_Matches_All[[#This Row],[AZflrT]]+TBA_Matches_All[[#This Row],[AZflrM]])),0)</f>
        <v>0</v>
      </c>
      <c r="BQ287">
        <f>COUNTIFS(Dyno_Data[Team],TBA_Matches_All[[#This Row],[Team]],Dyno_Data[Match],TBA_Matches_All[[#This Row],[Match_Number]],Dyno_Data[RecordType],"Activities",Dyno_Data[DelOrig],"SubW", Dyno_Data[DelMiss],"0")</f>
        <v>0</v>
      </c>
      <c r="BR287">
        <f>COUNTIFS(Dyno_Data[Team],TBA_Matches_All[[#This Row],[Team]],Dyno_Data[Match],TBA_Matches_All[[#This Row],[Match_Number]],Dyno_Data[RecordType],"Activities",Dyno_Data[DelOrig],"SubW", Dyno_Data[DelMiss],"1")</f>
        <v>0</v>
      </c>
      <c r="BS287" s="60">
        <f>IFERROR(SUM((TBA_Matches_All[[#This Row],[SubwT]])/(TBA_Matches_All[[#This Row],[SubwT]]+TBA_Matches_All[[#This Row],[SubwM]])),0)</f>
        <v>0</v>
      </c>
      <c r="BT287">
        <f>COUNTIFS(Dyno_Data[Team],TBA_Matches_All[[#This Row],[Team]],Dyno_Data[Match],TBA_Matches_All[[#This Row],[Match_Number]],Dyno_Data[RecordType],"Activities", Dyno_Data[AcqLoc],"OppWing")</f>
        <v>0</v>
      </c>
      <c r="BU287">
        <f>COUNTIFS(Dyno_Data[Team],TBA_Matches_All[[#This Row],[Team]],Dyno_Data[Match],TBA_Matches_All[[#This Row],[Match_Number]],Dyno_Data[RecordType],"Activities", Dyno_Data[AcqLoc],"Neutral")</f>
        <v>0</v>
      </c>
      <c r="BV287">
        <f>COUNTIFS(Dyno_Data[Team],TBA_Matches_All[[#This Row],[Team]],Dyno_Data[Match],TBA_Matches_All[[#This Row],[Match_Number]],Dyno_Data[RecordType],"Activities", Dyno_Data[AcqLoc],"AllyWing")</f>
        <v>0</v>
      </c>
      <c r="BW287">
        <f>COUNTIFS(Dyno_Data[Team],TBA_Matches_All[[#This Row],[Team]],Dyno_Data[Match],TBA_Matches_All[[#This Row],[Match_Number]],Dyno_Data[RecordType],"Activities", Dyno_Data[AcqLoc],"Source")</f>
        <v>0</v>
      </c>
      <c r="BX287">
        <f>SUMIFS(Dyno_Data[AcqDrp], Dyno_Data[Team],TBA_Matches_All[[#This Row],[Team]],Dyno_Data[Match],TBA_Matches_All[[#This Row],[Match_Number]],Dyno_Data[RecordType],"Activities", Dyno_Data[AcqLoc],"Source")</f>
        <v>0</v>
      </c>
      <c r="BY287">
        <f>SUMIFS(Dyno_Data[OZTime], Dyno_Data[Team],TBA_Matches_All[[#This Row],[Team]],Dyno_Data[Match],TBA_Matches_All[[#This Row],[Match_Number]],Dyno_Data[RecordType],"EndMatch")</f>
        <v>1.1803859999999999</v>
      </c>
      <c r="BZ287">
        <f>SUMIFS(Dyno_Data[NZTime], Dyno_Data[Team],TBA_Matches_All[[#This Row],[Team]],Dyno_Data[Match],TBA_Matches_All[[#This Row],[Match_Number]],Dyno_Data[RecordType],"EndMatch")</f>
        <v>135.1507967</v>
      </c>
      <c r="CA287">
        <f>SUMIFS(Dyno_Data[AZTime], Dyno_Data[Team],TBA_Matches_All[[#This Row],[Team]],Dyno_Data[Match],TBA_Matches_All[[#This Row],[Match_Number]],Dyno_Data[RecordType],"EndMatch")</f>
        <v>4.9237373</v>
      </c>
      <c r="CB287">
        <f>SUMIFS(Dyno_Data[ClimbT], Dyno_Data[Team],TBA_Matches_All[[#This Row],[Team]],Dyno_Data[Match],TBA_Matches_All[[#This Row],[Match_Number]],Dyno_Data[RecordType],"EndMatch")</f>
        <v>0</v>
      </c>
      <c r="CC287" t="str">
        <f>_xlfn.XLOOKUP(SUM(MID(TBA_Matches_All[[#This Row],[Team]],4,5),(TBA_Matches_All[[#This Row],[Match_Number]]/100)),Dyno_EndMatch[teammat],Dyno_EndMatch[StageStat],"_",0,1)</f>
        <v>Else</v>
      </c>
      <c r="CD287" t="str">
        <f>_xlfn.XLOOKUP(TBA_Matches_All[[#This Row],[teammat]],Dyno_EndMatch[teammat],Dyno_EndMatch[StageAtt],"_",0,1)</f>
        <v>0</v>
      </c>
      <c r="CE287" t="str">
        <f>_xlfn.XLOOKUP(TBA_Matches_All[[#This Row],[teammat]],Dyno_EndMatch[teammat],Dyno_EndMatch[StageLoc],"_",0,1)</f>
        <v>A</v>
      </c>
      <c r="CF287">
        <f>SUMIFS(Dyno_Data[Harmony], Dyno_Data[Team],TBA_Matches_All[[#This Row],[Team]],Dyno_Data[Match],TBA_Matches_All[[#This Row],[Match_Number]],Dyno_Data[RecordType],"EndMatch", Dyno_Data[StageStat],"On",Dyno_Data[Harmony],"&lt;&gt;9")</f>
        <v>0</v>
      </c>
      <c r="CG287">
        <f>SUMIFS(Dyno_Data[Spotlit], Dyno_Data[Team],TBA_Matches_All[[#This Row],[Team]],Dyno_Data[Match],TBA_Matches_All[[#This Row],[Match_Number]],Dyno_Data[RecordType],"EndMatch", Dyno_Data[StageStat],"On",Dyno_Data[Spotlit],"&lt;&gt;9")</f>
        <v>0</v>
      </c>
      <c r="CH287" t="str">
        <f>_xlfn.XLOOKUP(TBA_Matches_All[[#This Row],[teammat]],Dyno_EndMatch[teammat],Dyno_EndMatch[Strategy],"_",0,1)</f>
        <v>None</v>
      </c>
      <c r="CI287">
        <f>SUMIFS(Dyno_Data[Defense], Dyno_Data[Team],TBA_Matches_All[[#This Row],[Team]],Dyno_Data[Match],TBA_Matches_All[[#This Row],[Match_Number]],Dyno_Data[RecordType],"EndMatch",Dyno_Data[Defense],"&lt;&gt;9")</f>
        <v>0</v>
      </c>
      <c r="CJ287">
        <f>SUMIFS(Dyno_Data[Avoidance], Dyno_Data[Team],TBA_Matches_All[[#This Row],[Team]],Dyno_Data[Match],TBA_Matches_All[[#This Row],[Match_Number]],Dyno_Data[RecordType],"EndMatch",Dyno_Data[Avoidance],"&lt;&gt;9")</f>
        <v>0</v>
      </c>
      <c r="CK287" s="82">
        <f>COUNTIF($H$2:TBA_Matches_All[[#This Row],[Team]],TBA_Matches_All[[#This Row],[Team]])</f>
        <v>6</v>
      </c>
      <c r="CL287" s="111">
        <f>SUM(MID(TBA_Matches_All[[#This Row],[Team]],4,5)+TBA_Matches_All[[#This Row],[Match_Number]]/100)</f>
        <v>6463.48</v>
      </c>
      <c r="CM287">
        <f>SUM((TBA_Matches_All[[#This Row],[Leave]]*2)+(TBA_Matches_All[[#This Row],[AampT]]*2)+(TBA_Matches_All[[#This Row],[AspkrT]]*5)+(TBA_Matches_All[[#This Row],[AtrapT]]*5))</f>
        <v>0</v>
      </c>
      <c r="CN287" s="59">
        <f>IFERROR(SUM(TBA_Matches_All[[#This Row],[AptsT]]/TBA_Matches_All[[#This Row],[AutoPts]]),0)</f>
        <v>0</v>
      </c>
      <c r="CO287" s="59">
        <f>IFERROR(SUM(TBA_Matches_All[[#This Row],[AampT]]+TBA_Matches_All[[#This Row],[AspkrT]]+TBA_Matches_All[[#This Row],[AtrapT]]/TBA_Matches_All[[#This Row],[Aamp]]+TBA_Matches_All[[#This Row],[Aspkr]]+TBA_Matches_All[[#This Row],[AtrapT]]),0)</f>
        <v>0</v>
      </c>
      <c r="CP287" s="59">
        <f>IFERROR(SUM(TBA_Matches_All[[#This Row],[TampT]]/TBA_Matches_All[[#This Row],[Tamp]]),0)</f>
        <v>0</v>
      </c>
      <c r="CQ287" s="59">
        <f>IFERROR(SUM(TBA_Matches_All[[#This Row],[TspkrT]]/TBA_Matches_All[[#This Row],[Tspkr]]),0)</f>
        <v>0</v>
      </c>
      <c r="CR287">
        <f>SUM(TBA_Matches_All[[#This Row],[TspkrPts]]*TBA_Matches_All[[#This Row],[TspkrP]])</f>
        <v>0</v>
      </c>
      <c r="CS287" s="59">
        <f>IFERROR(SUM(TBA_Matches_All[[#This Row],[TtrapT]]/TBA_Matches_All[[#This Row],[Trap]]),0)</f>
        <v>0</v>
      </c>
      <c r="CT287" s="59">
        <f>IFERROR(SUM(TBA_Matches_All[[#This Row],[TotNotesT]]/TBA_Matches_All[[#This Row],[TotNotes]]),0)</f>
        <v>0</v>
      </c>
      <c r="CU287" s="66">
        <f>SUM((TBA_Matches_All[[#This Row],[AampT]]*2)+(TBA_Matches_All[[#This Row],[AspkrT]]*5)+(TBA_Matches_All[[#This Row],[AtrapT]]*5)+(TBA_Matches_All[[#This Row],[TampT]]*1)+(TBA_Matches_All[[#This Row],[TspkrptsC]]))</f>
        <v>0</v>
      </c>
      <c r="CV287" s="59">
        <f>IFERROR(TBA_Matches_All[[#This Row],[noteptsT]]/TBA_Matches_All[[#This Row],[NotePts]],0)</f>
        <v>0</v>
      </c>
      <c r="CW287">
        <f>SUM(IF(TBA_Matches_All[[#This Row],[stageStat]]="On",3,0),IF(TBA_Matches_All[[#This Row],[stageStat]]="Park",1,0),SUMIFS(TBA_Matches_All[[#This Row],[Spotlit]],TBA_Matches_All[[#This Row],[stageStat]],"On"),SUMIFS(TBA_Matches_All[[#This Row],[Harmony]],TBA_Matches_All[[#This Row],[stageStat]],"On"))</f>
        <v>0</v>
      </c>
      <c r="CX287" s="59">
        <f>IFERROR(TBA_Matches_All[[#This Row],[stageptsT]]/TBA_Matches_All[[#This Row],[StagePts]],0)</f>
        <v>0</v>
      </c>
      <c r="CY287">
        <f>SUM((TBA_Matches_All[[#This Row],[AptsT]]+TBA_Matches_All[[#This Row],[TampT]]+TBA_Matches_All[[#This Row],[TspkrptsC]]+(TBA_Matches_All[[#This Row],[TtrapT]]*5)+TBA_Matches_All[[#This Row],[stageptsT]]))</f>
        <v>0</v>
      </c>
      <c r="CZ287" s="59">
        <f>IFERROR(SUM(TBA_Matches_All[[#This Row],[TotptsC]]/TBA_Matches_All[[#This Row],[Score]]),0)</f>
        <v>0</v>
      </c>
      <c r="DA28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87" s="74">
        <f>SUMIFS(TBA_Matches_All[AveTeamTNoteDels],TBA_Matches_All[Match_Number],TBA_Matches_All[[#This Row],[Match_Number]],TBA_Matches_All[Alliance],"&lt;&gt;"&amp;TBA_Matches_All[[#This Row],[Alliance]],TBA_Matches_All[Scouted],"&gt;0")</f>
        <v>7.9083333333333332</v>
      </c>
      <c r="DC287" s="74">
        <f>(TBA_Matches_All[[#This Row],[TampT]]+TBA_Matches_All[[#This Row],[TspkrptsC]])-TBA_Matches_All[[#This Row],[AveTeamTNoteDels]]</f>
        <v>0</v>
      </c>
      <c r="DD287" s="74">
        <f>SUMIFS(TBA_Matches_All[AveTeamTNoteDels],TBA_Matches_All[Match_Number],TBA_Matches_All[[#This Row],[Match_Number]],TBA_Matches_All[Alliance],"&lt;&gt;"&amp;TBA_Matches_All[[#This Row],[Alliance]])-TBA_Matches_All[[#This Row],[AveOppTNoteDels]]</f>
        <v>0</v>
      </c>
    </row>
    <row r="288" spans="1:108" x14ac:dyDescent="0.3">
      <c r="A288" t="s">
        <v>1042</v>
      </c>
      <c r="B288" t="s">
        <v>489</v>
      </c>
      <c r="C288" t="s">
        <v>1357</v>
      </c>
      <c r="D288">
        <v>48</v>
      </c>
      <c r="E288" t="s">
        <v>1406</v>
      </c>
      <c r="F288" t="s">
        <v>1424</v>
      </c>
      <c r="G288" t="s">
        <v>1409</v>
      </c>
      <c r="H288" t="s">
        <v>362</v>
      </c>
      <c r="I288" t="b">
        <v>1</v>
      </c>
      <c r="J288">
        <v>31</v>
      </c>
      <c r="K288">
        <v>0</v>
      </c>
      <c r="L288">
        <v>0</v>
      </c>
      <c r="M288">
        <v>0</v>
      </c>
      <c r="N288">
        <v>0</v>
      </c>
      <c r="O288">
        <v>2</v>
      </c>
      <c r="P288">
        <v>10</v>
      </c>
      <c r="Q288">
        <v>16</v>
      </c>
      <c r="R288">
        <v>4</v>
      </c>
      <c r="S288">
        <v>0</v>
      </c>
      <c r="T288">
        <v>2</v>
      </c>
      <c r="U288">
        <v>0</v>
      </c>
      <c r="V288">
        <v>4</v>
      </c>
      <c r="W288">
        <v>2</v>
      </c>
      <c r="X288">
        <v>4</v>
      </c>
      <c r="Y288">
        <v>8</v>
      </c>
      <c r="Z288">
        <v>0</v>
      </c>
      <c r="AA288">
        <v>0</v>
      </c>
      <c r="AB288">
        <v>8</v>
      </c>
      <c r="AC288">
        <v>18</v>
      </c>
      <c r="AD288">
        <v>3</v>
      </c>
      <c r="AE288">
        <f>IFERROR(6/(COUNTIF(Dyno_EndMatch[Match],TBA_Matches_All[[#This Row],[Match_Number]])),0)</f>
        <v>1</v>
      </c>
      <c r="AF288">
        <f>COUNTIFS(Dyno_Data[Team],TBA_Matches_All[[#This Row],[Team]],Dyno_Data[Match],TBA_Matches_All[[#This Row],[Match_Number]],Dyno_Data[RecordType],"EndMatch",Dyno_Data[HPAmp],"Y")</f>
        <v>1</v>
      </c>
      <c r="AG288">
        <f>SUMIFS(Dyno_Data[Mics], Dyno_Data[Team],TBA_Matches_All[[#This Row],[Team]],Dyno_Data[Match],TBA_Matches_All[[#This Row],[Match_Number]],Dyno_Data[RecordType],"EndMatch",Dyno_Data[HPAmp],"Y")</f>
        <v>2</v>
      </c>
      <c r="AH288">
        <f>SUMIFS(Dyno_Data[Leave], Dyno_Data[Team],TBA_Matches_All[[#This Row],[Team]],Dyno_Data[Match],TBA_Matches_All[[#This Row],[Match_Number]],Dyno_Data[RecordType],"EndAuto")</f>
        <v>1</v>
      </c>
      <c r="AI288">
        <f>COUNTIFS(Dyno_Data[Team],TBA_Matches_All[[#This Row],[Team]],Dyno_Data[Match],TBA_Matches_All[[#This Row],[Match_Number]],Dyno_Data[RecordType],"Activities",Dyno_Data[DelDest],"Amp", Dyno_Data[DelMiss],"0", Dyno_Data[Mode],"Auto")</f>
        <v>0</v>
      </c>
      <c r="AJ288">
        <f>COUNTIFS(Dyno_Data[Team],TBA_Matches_All[[#This Row],[Team]],Dyno_Data[Match],TBA_Matches_All[[#This Row],[Match_Number]],Dyno_Data[RecordType],"Activities",Dyno_Data[DelDest],"Spkr", Dyno_Data[DelMiss],"0", Dyno_Data[Mode],"Auto")</f>
        <v>0</v>
      </c>
      <c r="AK288">
        <f>COUNTIFS(Dyno_Data[Team],TBA_Matches_All[[#This Row],[Team]],Dyno_Data[Match],TBA_Matches_All[[#This Row],[Match_Number]],Dyno_Data[RecordType],"Activities",Dyno_Data[DelDest],"Trap", Dyno_Data[DelMiss],"0", Dyno_Data[Mode],"Auto")</f>
        <v>0</v>
      </c>
      <c r="AL288">
        <f>COUNTIFS(Dyno_Data[Team],TBA_Matches_All[[#This Row],[Team]],Dyno_Data[Match],TBA_Matches_All[[#This Row],[Match_Number]],Dyno_Data[RecordType],"Activities",Dyno_Data[DelDest],"Amp", Dyno_Data[DelMiss],"0", Dyno_Data[Mode],"Teleop")</f>
        <v>0</v>
      </c>
      <c r="AM288">
        <f>COUNTIFS(Dyno_Data[Team],TBA_Matches_All[[#This Row],[Team]],Dyno_Data[Match],TBA_Matches_All[[#This Row],[Match_Number]],Dyno_Data[RecordType],"Activities",Dyno_Data[DelDest],"Spkr", Dyno_Data[DelMiss],"0", Dyno_Data[Mode],"Teleop")</f>
        <v>2</v>
      </c>
      <c r="AN288">
        <f>COUNTIFS(Dyno_Data[Team],TBA_Matches_All[[#This Row],[Team]],Dyno_Data[Match],TBA_Matches_All[[#This Row],[Match_Number]],Dyno_Data[RecordType],"Activities",Dyno_Data[DelDest],"Trap", Dyno_Data[DelMiss],"0", Dyno_Data[Mode],"&lt;&gt;Auto")</f>
        <v>0</v>
      </c>
      <c r="AO288">
        <f>SUM(TBA_Matches_All[[#This Row],[AampT]]+TBA_Matches_All[[#This Row],[AspkrT]]+TBA_Matches_All[[#This Row],[AtrapT]]+TBA_Matches_All[[#This Row],[TampT]]+TBA_Matches_All[[#This Row],[TspkrT]]+TBA_Matches_All[[#This Row],[TtrapT]])</f>
        <v>2</v>
      </c>
      <c r="AP288">
        <f>COUNTIFS(Dyno_Data[Team],TBA_Matches_All[[#This Row],[Team]],Dyno_Data[Match],TBA_Matches_All[[#This Row],[Match_Number]],Dyno_Data[RecordType],"Activities",Dyno_Data[DelDest],"Neut", Dyno_Data[DelMiss],"0")</f>
        <v>0</v>
      </c>
      <c r="AQ288">
        <f>COUNTIFS(Dyno_Data[Team],TBA_Matches_All[[#This Row],[Team]],Dyno_Data[Match],TBA_Matches_All[[#This Row],[Match_Number]],Dyno_Data[RecordType],"Activities",Dyno_Data[DelDest],"AllyW", Dyno_Data[DelMiss],"0")</f>
        <v>3</v>
      </c>
      <c r="AR288" t="str">
        <f>_xlfn.XLOOKUP(SUM(MID(TBA_Matches_All[[#This Row],[Team]],4,5),(TBA_Matches_All[[#This Row],[Match_Number]]/100)),Dyno_EndMatch[teammat],Dyno_EndMatch[RobotSta],"_",0,1)</f>
        <v>OppS</v>
      </c>
      <c r="AS288">
        <f>SUMIFS(Dyno_Data[AcqDis], Dyno_Data[Team],TBA_Matches_All[[#This Row],[Team]],Dyno_Data[Match],TBA_Matches_All[[#This Row],[Match_Number]],Dyno_Data[RecordType],"Activities", Dyno_Data[AcqCenter],1,Dyno_Data[Mode],"Auto")</f>
        <v>-1</v>
      </c>
      <c r="AT288">
        <f>SUMIFS(Dyno_Data[AcqDis], Dyno_Data[Team],TBA_Matches_All[[#This Row],[Team]],Dyno_Data[Match],TBA_Matches_All[[#This Row],[Match_Number]],Dyno_Data[RecordType],"Activities", Dyno_Data[AcqCenter],2,Dyno_Data[Mode],"Auto")</f>
        <v>-1</v>
      </c>
      <c r="AU288">
        <f>SUMIFS(Dyno_Data[AcqDis], Dyno_Data[Team],TBA_Matches_All[[#This Row],[Team]],Dyno_Data[Match],TBA_Matches_All[[#This Row],[Match_Number]],Dyno_Data[RecordType],"Activities", Dyno_Data[AcqCenter],3,Dyno_Data[Mode],"Auto")</f>
        <v>-1</v>
      </c>
      <c r="AV288">
        <f>SUMIFS(Dyno_Data[AcqDis], Dyno_Data[Team],TBA_Matches_All[[#This Row],[Team]],Dyno_Data[Match],TBA_Matches_All[[#This Row],[Match_Number]],Dyno_Data[RecordType],"Activities", Dyno_Data[AcqCenter],4,Dyno_Data[Mode],"Auto")</f>
        <v>0</v>
      </c>
      <c r="AW288">
        <f>SUMIFS(Dyno_Data[AcqDis], Dyno_Data[Team],TBA_Matches_All[[#This Row],[Team]],Dyno_Data[Match],TBA_Matches_All[[#This Row],[Match_Number]],Dyno_Data[RecordType],"Activities", Dyno_Data[AcqCenter],5,Dyno_Data[Mode],"Auto")</f>
        <v>0</v>
      </c>
      <c r="AX288">
        <f>SUMIFS(Dyno_Data[DelMiss], Dyno_Data[Team],TBA_Matches_All[[#This Row],[Team]],Dyno_Data[Match],TBA_Matches_All[[#This Row],[Match_Number]],Dyno_Data[RecordType],"Activities", Dyno_Data[DelDest],"Amp")</f>
        <v>0</v>
      </c>
      <c r="AY288" s="60">
        <f>IFERROR(SUM((TBA_Matches_All[[#This Row],[AampT]]+TBA_Matches_All[[#This Row],[TampT]])/(TBA_Matches_All[[#This Row],[AampT]]+TBA_Matches_All[[#This Row],[TampT]]+TBA_Matches_All[[#This Row],[ampM]])),0)</f>
        <v>0</v>
      </c>
      <c r="AZ288">
        <f>SUMIFS(Dyno_Data[DelMiss], Dyno_Data[Team],TBA_Matches_All[[#This Row],[Team]],Dyno_Data[Match],TBA_Matches_All[[#This Row],[Match_Number]],Dyno_Data[RecordType],"Activities", Dyno_Data[DelDest],"Spkr")</f>
        <v>0</v>
      </c>
      <c r="BA288" s="60">
        <f>IFERROR(SUM((TBA_Matches_All[[#This Row],[AspkrT]]+TBA_Matches_All[[#This Row],[TspkrT]])/(TBA_Matches_All[[#This Row],[AspkrT]]+TBA_Matches_All[[#This Row],[TspkrT]]+TBA_Matches_All[[#This Row],[spkrM]])),0)</f>
        <v>1</v>
      </c>
      <c r="BB288">
        <f>SUMIFS(Dyno_Data[DelMiss], Dyno_Data[Team],TBA_Matches_All[[#This Row],[Team]],Dyno_Data[Match],TBA_Matches_All[[#This Row],[Match_Number]],Dyno_Data[RecordType],"Activities", Dyno_Data[DelDest],"Trap")</f>
        <v>0</v>
      </c>
      <c r="BC288" s="60">
        <f>IFERROR((TBA_Matches_All[[#This Row],[AtrapT]]+TBA_Matches_All[[#This Row],[TtrapT]])/(TBA_Matches_All[[#This Row],[AtrapT]]+TBA_Matches_All[[#This Row],[TtrapT]]+TBA_Matches_All[[#This Row],[trapM]]),0)</f>
        <v>0</v>
      </c>
      <c r="BD288">
        <f>COUNTIFS(Dyno_Data[Team],TBA_Matches_All[[#This Row],[Team]],Dyno_Data[Match],TBA_Matches_All[[#This Row],[Match_Number]],Dyno_Data[RecordType],"Activities",Dyno_Data[DelDest],"Neut", Dyno_Data[DelMiss],1)</f>
        <v>0</v>
      </c>
      <c r="BE288" s="60">
        <f>IFERROR(SUM((TBA_Matches_All[[#This Row],[NeutFlrT]])/(TBA_Matches_All[[#This Row],[NeutFlrT]]+TBA_Matches_All[[#This Row],[NZflM]])),0)</f>
        <v>0</v>
      </c>
      <c r="BF288">
        <f>COUNTIFS(Dyno_Data[Team],TBA_Matches_All[[#This Row],[Team]],Dyno_Data[Match],TBA_Matches_All[[#This Row],[Match_Number]],Dyno_Data[RecordType],"Activities",Dyno_Data[DelDest],"AllyW", Dyno_Data[DelMiss],1)</f>
        <v>0</v>
      </c>
      <c r="BG288" s="60">
        <f>IFERROR(SUM((TBA_Matches_All[[#This Row],[AllyWFlrT]])/(TBA_Matches_All[[#This Row],[AllyWFlrT]]+TBA_Matches_All[[#This Row],[AZflM]])),0)</f>
        <v>1</v>
      </c>
      <c r="BH288">
        <f>COUNTIFS(Dyno_Data[Team],TBA_Matches_All[[#This Row],[Team]],Dyno_Data[Match],TBA_Matches_All[[#This Row],[Match_Number]],Dyno_Data[RecordType],"Activities",Dyno_Data[DelOrig],"OppW", Dyno_Data[DelMiss],"0")</f>
        <v>0</v>
      </c>
      <c r="BI288">
        <f>COUNTIFS(Dyno_Data[Team],TBA_Matches_All[[#This Row],[Team]],Dyno_Data[Match],TBA_Matches_All[[#This Row],[Match_Number]],Dyno_Data[RecordType],"Activities",Dyno_Data[DelOrig],"OppW", Dyno_Data[DelMiss],"1")</f>
        <v>0</v>
      </c>
      <c r="BJ288" s="60">
        <f>IFERROR(SUM((TBA_Matches_All[[#This Row],[OZflrT]])/(TBA_Matches_All[[#This Row],[OZflrT]]+TBA_Matches_All[[#This Row],[OZflrM]])),0)</f>
        <v>0</v>
      </c>
      <c r="BK288">
        <f>COUNTIFS(Dyno_Data[Team],TBA_Matches_All[[#This Row],[Team]],Dyno_Data[Match],TBA_Matches_All[[#This Row],[Match_Number]],Dyno_Data[RecordType],"Activities",Dyno_Data[DelOrig],"Neut", Dyno_Data[DelMiss],"0")</f>
        <v>2</v>
      </c>
      <c r="BL288">
        <f>COUNTIFS(Dyno_Data[Team],TBA_Matches_All[[#This Row],[Team]],Dyno_Data[Match],TBA_Matches_All[[#This Row],[Match_Number]],Dyno_Data[RecordType],"Activities",Dyno_Data[DelOrig],"Neut", Dyno_Data[DelMiss],"1")</f>
        <v>0</v>
      </c>
      <c r="BM288" s="60">
        <f>IFERROR(SUM((TBA_Matches_All[[#This Row],[NZflrT]])/(TBA_Matches_All[[#This Row],[NZflrT]]+TBA_Matches_All[[#This Row],[NZflrM]])),0)</f>
        <v>1</v>
      </c>
      <c r="BN288">
        <f>COUNTIFS(Dyno_Data[Team],TBA_Matches_All[[#This Row],[Team]],Dyno_Data[Match],TBA_Matches_All[[#This Row],[Match_Number]],Dyno_Data[RecordType],"Activities",Dyno_Data[DelOrig],"AllyW", Dyno_Data[DelMiss],"0")</f>
        <v>1</v>
      </c>
      <c r="BO288">
        <f>COUNTIFS(Dyno_Data[Team],TBA_Matches_All[[#This Row],[Team]],Dyno_Data[Match],TBA_Matches_All[[#This Row],[Match_Number]],Dyno_Data[RecordType],"Activities",Dyno_Data[DelOrig],"AllyW", Dyno_Data[DelMiss],"1")</f>
        <v>0</v>
      </c>
      <c r="BP288" s="60">
        <f>IFERROR(SUM((TBA_Matches_All[[#This Row],[AZflrT]])/(TBA_Matches_All[[#This Row],[AZflrT]]+TBA_Matches_All[[#This Row],[AZflrM]])),0)</f>
        <v>1</v>
      </c>
      <c r="BQ288">
        <f>COUNTIFS(Dyno_Data[Team],TBA_Matches_All[[#This Row],[Team]],Dyno_Data[Match],TBA_Matches_All[[#This Row],[Match_Number]],Dyno_Data[RecordType],"Activities",Dyno_Data[DelOrig],"SubW", Dyno_Data[DelMiss],"0")</f>
        <v>2</v>
      </c>
      <c r="BR288">
        <f>COUNTIFS(Dyno_Data[Team],TBA_Matches_All[[#This Row],[Team]],Dyno_Data[Match],TBA_Matches_All[[#This Row],[Match_Number]],Dyno_Data[RecordType],"Activities",Dyno_Data[DelOrig],"SubW", Dyno_Data[DelMiss],"1")</f>
        <v>0</v>
      </c>
      <c r="BS288" s="60">
        <f>IFERROR(SUM((TBA_Matches_All[[#This Row],[SubwT]])/(TBA_Matches_All[[#This Row],[SubwT]]+TBA_Matches_All[[#This Row],[SubwM]])),0)</f>
        <v>1</v>
      </c>
      <c r="BT288">
        <f>COUNTIFS(Dyno_Data[Team],TBA_Matches_All[[#This Row],[Team]],Dyno_Data[Match],TBA_Matches_All[[#This Row],[Match_Number]],Dyno_Data[RecordType],"Activities", Dyno_Data[AcqLoc],"OppWing")</f>
        <v>0</v>
      </c>
      <c r="BU288">
        <f>COUNTIFS(Dyno_Data[Team],TBA_Matches_All[[#This Row],[Team]],Dyno_Data[Match],TBA_Matches_All[[#This Row],[Match_Number]],Dyno_Data[RecordType],"Activities", Dyno_Data[AcqLoc],"Neutral")</f>
        <v>3</v>
      </c>
      <c r="BV288">
        <f>COUNTIFS(Dyno_Data[Team],TBA_Matches_All[[#This Row],[Team]],Dyno_Data[Match],TBA_Matches_All[[#This Row],[Match_Number]],Dyno_Data[RecordType],"Activities", Dyno_Data[AcqLoc],"AllyWing")</f>
        <v>0</v>
      </c>
      <c r="BW288">
        <f>COUNTIFS(Dyno_Data[Team],TBA_Matches_All[[#This Row],[Team]],Dyno_Data[Match],TBA_Matches_All[[#This Row],[Match_Number]],Dyno_Data[RecordType],"Activities", Dyno_Data[AcqLoc],"Source")</f>
        <v>0</v>
      </c>
      <c r="BX288">
        <f>SUMIFS(Dyno_Data[AcqDrp], Dyno_Data[Team],TBA_Matches_All[[#This Row],[Team]],Dyno_Data[Match],TBA_Matches_All[[#This Row],[Match_Number]],Dyno_Data[RecordType],"Activities", Dyno_Data[AcqLoc],"Source")</f>
        <v>0</v>
      </c>
      <c r="BY288">
        <f>SUMIFS(Dyno_Data[OZTime], Dyno_Data[Team],TBA_Matches_All[[#This Row],[Team]],Dyno_Data[Match],TBA_Matches_All[[#This Row],[Match_Number]],Dyno_Data[RecordType],"EndMatch")</f>
        <v>0</v>
      </c>
      <c r="BZ288">
        <f>SUMIFS(Dyno_Data[NZTime], Dyno_Data[Team],TBA_Matches_All[[#This Row],[Team]],Dyno_Data[Match],TBA_Matches_All[[#This Row],[Match_Number]],Dyno_Data[RecordType],"EndMatch")</f>
        <v>58.367042699999999</v>
      </c>
      <c r="CA288">
        <f>SUMIFS(Dyno_Data[AZTime], Dyno_Data[Team],TBA_Matches_All[[#This Row],[Team]],Dyno_Data[Match],TBA_Matches_All[[#This Row],[Match_Number]],Dyno_Data[RecordType],"EndMatch")</f>
        <v>77.926428999999999</v>
      </c>
      <c r="CB288">
        <f>SUMIFS(Dyno_Data[ClimbT], Dyno_Data[Team],TBA_Matches_All[[#This Row],[Team]],Dyno_Data[Match],TBA_Matches_All[[#This Row],[Match_Number]],Dyno_Data[RecordType],"EndMatch")</f>
        <v>0</v>
      </c>
      <c r="CC288" t="str">
        <f>_xlfn.XLOOKUP(SUM(MID(TBA_Matches_All[[#This Row],[Team]],4,5),(TBA_Matches_All[[#This Row],[Match_Number]]/100)),Dyno_EndMatch[teammat],Dyno_EndMatch[StageStat],"_",0,1)</f>
        <v>Park</v>
      </c>
      <c r="CD288" t="str">
        <f>_xlfn.XLOOKUP(TBA_Matches_All[[#This Row],[teammat]],Dyno_EndMatch[teammat],Dyno_EndMatch[StageAtt],"_",0,1)</f>
        <v>0</v>
      </c>
      <c r="CE288" t="str">
        <f>_xlfn.XLOOKUP(TBA_Matches_All[[#This Row],[teammat]],Dyno_EndMatch[teammat],Dyno_EndMatch[StageLoc],"_",0,1)</f>
        <v>A</v>
      </c>
      <c r="CF288">
        <f>SUMIFS(Dyno_Data[Harmony], Dyno_Data[Team],TBA_Matches_All[[#This Row],[Team]],Dyno_Data[Match],TBA_Matches_All[[#This Row],[Match_Number]],Dyno_Data[RecordType],"EndMatch", Dyno_Data[StageStat],"On",Dyno_Data[Harmony],"&lt;&gt;9")</f>
        <v>0</v>
      </c>
      <c r="CG288">
        <f>SUMIFS(Dyno_Data[Spotlit], Dyno_Data[Team],TBA_Matches_All[[#This Row],[Team]],Dyno_Data[Match],TBA_Matches_All[[#This Row],[Match_Number]],Dyno_Data[RecordType],"EndMatch", Dyno_Data[StageStat],"On",Dyno_Data[Spotlit],"&lt;&gt;9")</f>
        <v>0</v>
      </c>
      <c r="CH288" t="str">
        <f>_xlfn.XLOOKUP(TBA_Matches_All[[#This Row],[teammat]],Dyno_EndMatch[teammat],Dyno_EndMatch[Strategy],"_",0,1)</f>
        <v>Hybrid</v>
      </c>
      <c r="CI288">
        <f>SUMIFS(Dyno_Data[Defense], Dyno_Data[Team],TBA_Matches_All[[#This Row],[Team]],Dyno_Data[Match],TBA_Matches_All[[#This Row],[Match_Number]],Dyno_Data[RecordType],"EndMatch",Dyno_Data[Defense],"&lt;&gt;9")</f>
        <v>0</v>
      </c>
      <c r="CJ288">
        <f>SUMIFS(Dyno_Data[Avoidance], Dyno_Data[Team],TBA_Matches_All[[#This Row],[Team]],Dyno_Data[Match],TBA_Matches_All[[#This Row],[Match_Number]],Dyno_Data[RecordType],"EndMatch",Dyno_Data[Avoidance],"&lt;&gt;9")</f>
        <v>0</v>
      </c>
      <c r="CK288" s="82">
        <f>COUNTIF($H$2:TBA_Matches_All[[#This Row],[Team]],TBA_Matches_All[[#This Row],[Team]])</f>
        <v>6</v>
      </c>
      <c r="CL288" s="111">
        <f>SUM(MID(TBA_Matches_All[[#This Row],[Team]],4,5)+TBA_Matches_All[[#This Row],[Match_Number]]/100)</f>
        <v>250.48</v>
      </c>
      <c r="CM288">
        <f>SUM((TBA_Matches_All[[#This Row],[Leave]]*2)+(TBA_Matches_All[[#This Row],[AampT]]*2)+(TBA_Matches_All[[#This Row],[AspkrT]]*5)+(TBA_Matches_All[[#This Row],[AtrapT]]*5))</f>
        <v>2</v>
      </c>
      <c r="CN288" s="59">
        <f>IFERROR(SUM(TBA_Matches_All[[#This Row],[AptsT]]/TBA_Matches_All[[#This Row],[AutoPts]]),0)</f>
        <v>0.125</v>
      </c>
      <c r="CO288" s="59">
        <f>IFERROR(SUM(TBA_Matches_All[[#This Row],[AampT]]+TBA_Matches_All[[#This Row],[AspkrT]]+TBA_Matches_All[[#This Row],[AtrapT]]/TBA_Matches_All[[#This Row],[Aamp]]+TBA_Matches_All[[#This Row],[Aspkr]]+TBA_Matches_All[[#This Row],[AtrapT]]),0)</f>
        <v>0</v>
      </c>
      <c r="CP288" s="59">
        <f>IFERROR(SUM(TBA_Matches_All[[#This Row],[TampT]]/TBA_Matches_All[[#This Row],[Tamp]]),0)</f>
        <v>0</v>
      </c>
      <c r="CQ288" s="59">
        <f>IFERROR(SUM(TBA_Matches_All[[#This Row],[TspkrT]]/TBA_Matches_All[[#This Row],[Tspkr]]),0)</f>
        <v>1</v>
      </c>
      <c r="CR288">
        <f>SUM(TBA_Matches_All[[#This Row],[TspkrPts]]*TBA_Matches_All[[#This Row],[TspkrP]])</f>
        <v>4</v>
      </c>
      <c r="CS288" s="59">
        <f>IFERROR(SUM(TBA_Matches_All[[#This Row],[TtrapT]]/TBA_Matches_All[[#This Row],[Trap]]),0)</f>
        <v>0</v>
      </c>
      <c r="CT288" s="59">
        <f>IFERROR(SUM(TBA_Matches_All[[#This Row],[TotNotesT]]/TBA_Matches_All[[#This Row],[TotNotes]]),0)</f>
        <v>0.25</v>
      </c>
      <c r="CU288" s="66">
        <f>SUM((TBA_Matches_All[[#This Row],[AampT]]*2)+(TBA_Matches_All[[#This Row],[AspkrT]]*5)+(TBA_Matches_All[[#This Row],[AtrapT]]*5)+(TBA_Matches_All[[#This Row],[TampT]]*1)+(TBA_Matches_All[[#This Row],[TspkrptsC]]))</f>
        <v>4</v>
      </c>
      <c r="CV288" s="59">
        <f>IFERROR(TBA_Matches_All[[#This Row],[noteptsT]]/TBA_Matches_All[[#This Row],[NotePts]],0)</f>
        <v>0.22222222222222221</v>
      </c>
      <c r="CW288">
        <f>SUM(IF(TBA_Matches_All[[#This Row],[stageStat]]="On",3,0),IF(TBA_Matches_All[[#This Row],[stageStat]]="Park",1,0),SUMIFS(TBA_Matches_All[[#This Row],[Spotlit]],TBA_Matches_All[[#This Row],[stageStat]],"On"),SUMIFS(TBA_Matches_All[[#This Row],[Harmony]],TBA_Matches_All[[#This Row],[stageStat]],"On"))</f>
        <v>1</v>
      </c>
      <c r="CX288" s="59">
        <f>IFERROR(TBA_Matches_All[[#This Row],[stageptsT]]/TBA_Matches_All[[#This Row],[StagePts]],0)</f>
        <v>0.33333333333333331</v>
      </c>
      <c r="CY288">
        <f>SUM((TBA_Matches_All[[#This Row],[AptsT]]+TBA_Matches_All[[#This Row],[TampT]]+TBA_Matches_All[[#This Row],[TspkrptsC]]+(TBA_Matches_All[[#This Row],[TtrapT]]*5)+TBA_Matches_All[[#This Row],[stageptsT]]))</f>
        <v>7</v>
      </c>
      <c r="CZ288" s="59">
        <f>IFERROR(SUM(TBA_Matches_All[[#This Row],[TotptsC]]/TBA_Matches_All[[#This Row],[Score]]),0)</f>
        <v>0.22580645161290322</v>
      </c>
      <c r="DA28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3.7083333333333335</v>
      </c>
      <c r="DB288" s="74">
        <f>SUMIFS(TBA_Matches_All[AveTeamTNoteDels],TBA_Matches_All[Match_Number],TBA_Matches_All[[#This Row],[Match_Number]],TBA_Matches_All[Alliance],"&lt;&gt;"&amp;TBA_Matches_All[[#This Row],[Alliance]],TBA_Matches_All[Scouted],"&gt;0")</f>
        <v>12.948928571428571</v>
      </c>
      <c r="DC288" s="74">
        <f>(TBA_Matches_All[[#This Row],[TampT]]+TBA_Matches_All[[#This Row],[TspkrptsC]])-TBA_Matches_All[[#This Row],[AveTeamTNoteDels]]</f>
        <v>0.29166666666666652</v>
      </c>
      <c r="DD288" s="74">
        <f>SUMIFS(TBA_Matches_All[AveTeamTNoteDels],TBA_Matches_All[Match_Number],TBA_Matches_All[[#This Row],[Match_Number]],TBA_Matches_All[Alliance],"&lt;&gt;"&amp;TBA_Matches_All[[#This Row],[Alliance]])-TBA_Matches_All[[#This Row],[AveOppTNoteDels]]</f>
        <v>0</v>
      </c>
    </row>
    <row r="289" spans="1:108" x14ac:dyDescent="0.3">
      <c r="A289" t="s">
        <v>1042</v>
      </c>
      <c r="B289" t="s">
        <v>489</v>
      </c>
      <c r="C289" t="s">
        <v>1357</v>
      </c>
      <c r="D289">
        <v>48</v>
      </c>
      <c r="E289" t="s">
        <v>1420</v>
      </c>
      <c r="F289" t="s">
        <v>1421</v>
      </c>
      <c r="G289" t="s">
        <v>164</v>
      </c>
      <c r="H289" t="s">
        <v>1285</v>
      </c>
      <c r="I289" t="b">
        <v>1</v>
      </c>
      <c r="J289">
        <v>22</v>
      </c>
      <c r="K289">
        <v>0</v>
      </c>
      <c r="L289">
        <v>0</v>
      </c>
      <c r="M289">
        <v>4</v>
      </c>
      <c r="N289">
        <v>0</v>
      </c>
      <c r="O289">
        <v>1</v>
      </c>
      <c r="P289">
        <v>5</v>
      </c>
      <c r="Q289">
        <v>7</v>
      </c>
      <c r="R289">
        <v>1</v>
      </c>
      <c r="S289">
        <v>0</v>
      </c>
      <c r="T289">
        <v>5</v>
      </c>
      <c r="U289">
        <v>0</v>
      </c>
      <c r="V289">
        <v>10</v>
      </c>
      <c r="W289">
        <v>5</v>
      </c>
      <c r="X289">
        <v>10</v>
      </c>
      <c r="Y289">
        <v>11</v>
      </c>
      <c r="Z289">
        <v>0</v>
      </c>
      <c r="AA289">
        <v>0</v>
      </c>
      <c r="AB289">
        <v>7</v>
      </c>
      <c r="AC289">
        <v>16</v>
      </c>
      <c r="AD289">
        <v>4</v>
      </c>
      <c r="AE289">
        <f>IFERROR(6/(COUNTIF(Dyno_EndMatch[Match],TBA_Matches_All[[#This Row],[Match_Number]])),0)</f>
        <v>1</v>
      </c>
      <c r="AF289">
        <f>COUNTIFS(Dyno_Data[Team],TBA_Matches_All[[#This Row],[Team]],Dyno_Data[Match],TBA_Matches_All[[#This Row],[Match_Number]],Dyno_Data[RecordType],"EndMatch",Dyno_Data[HPAmp],"Y")</f>
        <v>0</v>
      </c>
      <c r="AG289">
        <f>SUMIFS(Dyno_Data[Mics], Dyno_Data[Team],TBA_Matches_All[[#This Row],[Team]],Dyno_Data[Match],TBA_Matches_All[[#This Row],[Match_Number]],Dyno_Data[RecordType],"EndMatch",Dyno_Data[HPAmp],"Y")</f>
        <v>0</v>
      </c>
      <c r="AH289">
        <f>SUMIFS(Dyno_Data[Leave], Dyno_Data[Team],TBA_Matches_All[[#This Row],[Team]],Dyno_Data[Match],TBA_Matches_All[[#This Row],[Match_Number]],Dyno_Data[RecordType],"EndAuto")</f>
        <v>0</v>
      </c>
      <c r="AI289">
        <f>COUNTIFS(Dyno_Data[Team],TBA_Matches_All[[#This Row],[Team]],Dyno_Data[Match],TBA_Matches_All[[#This Row],[Match_Number]],Dyno_Data[RecordType],"Activities",Dyno_Data[DelDest],"Amp", Dyno_Data[DelMiss],"0", Dyno_Data[Mode],"Auto")</f>
        <v>0</v>
      </c>
      <c r="AJ289">
        <f>COUNTIFS(Dyno_Data[Team],TBA_Matches_All[[#This Row],[Team]],Dyno_Data[Match],TBA_Matches_All[[#This Row],[Match_Number]],Dyno_Data[RecordType],"Activities",Dyno_Data[DelDest],"Spkr", Dyno_Data[DelMiss],"0", Dyno_Data[Mode],"Auto")</f>
        <v>0</v>
      </c>
      <c r="AK289">
        <f>COUNTIFS(Dyno_Data[Team],TBA_Matches_All[[#This Row],[Team]],Dyno_Data[Match],TBA_Matches_All[[#This Row],[Match_Number]],Dyno_Data[RecordType],"Activities",Dyno_Data[DelDest],"Trap", Dyno_Data[DelMiss],"0", Dyno_Data[Mode],"Auto")</f>
        <v>0</v>
      </c>
      <c r="AL289">
        <f>COUNTIFS(Dyno_Data[Team],TBA_Matches_All[[#This Row],[Team]],Dyno_Data[Match],TBA_Matches_All[[#This Row],[Match_Number]],Dyno_Data[RecordType],"Activities",Dyno_Data[DelDest],"Amp", Dyno_Data[DelMiss],"0", Dyno_Data[Mode],"Teleop")</f>
        <v>0</v>
      </c>
      <c r="AM289">
        <f>COUNTIFS(Dyno_Data[Team],TBA_Matches_All[[#This Row],[Team]],Dyno_Data[Match],TBA_Matches_All[[#This Row],[Match_Number]],Dyno_Data[RecordType],"Activities",Dyno_Data[DelDest],"Spkr", Dyno_Data[DelMiss],"0", Dyno_Data[Mode],"Teleop")</f>
        <v>2</v>
      </c>
      <c r="AN289">
        <f>COUNTIFS(Dyno_Data[Team],TBA_Matches_All[[#This Row],[Team]],Dyno_Data[Match],TBA_Matches_All[[#This Row],[Match_Number]],Dyno_Data[RecordType],"Activities",Dyno_Data[DelDest],"Trap", Dyno_Data[DelMiss],"0", Dyno_Data[Mode],"&lt;&gt;Auto")</f>
        <v>0</v>
      </c>
      <c r="AO289">
        <f>SUM(TBA_Matches_All[[#This Row],[AampT]]+TBA_Matches_All[[#This Row],[AspkrT]]+TBA_Matches_All[[#This Row],[AtrapT]]+TBA_Matches_All[[#This Row],[TampT]]+TBA_Matches_All[[#This Row],[TspkrT]]+TBA_Matches_All[[#This Row],[TtrapT]])</f>
        <v>2</v>
      </c>
      <c r="AP289">
        <f>COUNTIFS(Dyno_Data[Team],TBA_Matches_All[[#This Row],[Team]],Dyno_Data[Match],TBA_Matches_All[[#This Row],[Match_Number]],Dyno_Data[RecordType],"Activities",Dyno_Data[DelDest],"Neut", Dyno_Data[DelMiss],"0")</f>
        <v>0</v>
      </c>
      <c r="AQ289">
        <f>COUNTIFS(Dyno_Data[Team],TBA_Matches_All[[#This Row],[Team]],Dyno_Data[Match],TBA_Matches_All[[#This Row],[Match_Number]],Dyno_Data[RecordType],"Activities",Dyno_Data[DelDest],"AllyW", Dyno_Data[DelMiss],"0")</f>
        <v>0</v>
      </c>
      <c r="AR289" t="str">
        <f>_xlfn.XLOOKUP(SUM(MID(TBA_Matches_All[[#This Row],[Team]],4,5),(TBA_Matches_All[[#This Row],[Match_Number]]/100)),Dyno_EndMatch[teammat],Dyno_EndMatch[RobotSta],"_",0,1)</f>
        <v>Podm</v>
      </c>
      <c r="AS289">
        <f>SUMIFS(Dyno_Data[AcqDis], Dyno_Data[Team],TBA_Matches_All[[#This Row],[Team]],Dyno_Data[Match],TBA_Matches_All[[#This Row],[Match_Number]],Dyno_Data[RecordType],"Activities", Dyno_Data[AcqCenter],1,Dyno_Data[Mode],"Auto")</f>
        <v>0</v>
      </c>
      <c r="AT289">
        <f>SUMIFS(Dyno_Data[AcqDis], Dyno_Data[Team],TBA_Matches_All[[#This Row],[Team]],Dyno_Data[Match],TBA_Matches_All[[#This Row],[Match_Number]],Dyno_Data[RecordType],"Activities", Dyno_Data[AcqCenter],2,Dyno_Data[Mode],"Auto")</f>
        <v>0</v>
      </c>
      <c r="AU289">
        <f>SUMIFS(Dyno_Data[AcqDis], Dyno_Data[Team],TBA_Matches_All[[#This Row],[Team]],Dyno_Data[Match],TBA_Matches_All[[#This Row],[Match_Number]],Dyno_Data[RecordType],"Activities", Dyno_Data[AcqCenter],3,Dyno_Data[Mode],"Auto")</f>
        <v>0</v>
      </c>
      <c r="AV289">
        <f>SUMIFS(Dyno_Data[AcqDis], Dyno_Data[Team],TBA_Matches_All[[#This Row],[Team]],Dyno_Data[Match],TBA_Matches_All[[#This Row],[Match_Number]],Dyno_Data[RecordType],"Activities", Dyno_Data[AcqCenter],4,Dyno_Data[Mode],"Auto")</f>
        <v>0</v>
      </c>
      <c r="AW289">
        <f>SUMIFS(Dyno_Data[AcqDis], Dyno_Data[Team],TBA_Matches_All[[#This Row],[Team]],Dyno_Data[Match],TBA_Matches_All[[#This Row],[Match_Number]],Dyno_Data[RecordType],"Activities", Dyno_Data[AcqCenter],5,Dyno_Data[Mode],"Auto")</f>
        <v>0</v>
      </c>
      <c r="AX289">
        <f>SUMIFS(Dyno_Data[DelMiss], Dyno_Data[Team],TBA_Matches_All[[#This Row],[Team]],Dyno_Data[Match],TBA_Matches_All[[#This Row],[Match_Number]],Dyno_Data[RecordType],"Activities", Dyno_Data[DelDest],"Amp")</f>
        <v>0</v>
      </c>
      <c r="AY289" s="60">
        <f>IFERROR(SUM((TBA_Matches_All[[#This Row],[AampT]]+TBA_Matches_All[[#This Row],[TampT]])/(TBA_Matches_All[[#This Row],[AampT]]+TBA_Matches_All[[#This Row],[TampT]]+TBA_Matches_All[[#This Row],[ampM]])),0)</f>
        <v>0</v>
      </c>
      <c r="AZ289">
        <f>SUMIFS(Dyno_Data[DelMiss], Dyno_Data[Team],TBA_Matches_All[[#This Row],[Team]],Dyno_Data[Match],TBA_Matches_All[[#This Row],[Match_Number]],Dyno_Data[RecordType],"Activities", Dyno_Data[DelDest],"Spkr")</f>
        <v>0</v>
      </c>
      <c r="BA289" s="60">
        <f>IFERROR(SUM((TBA_Matches_All[[#This Row],[AspkrT]]+TBA_Matches_All[[#This Row],[TspkrT]])/(TBA_Matches_All[[#This Row],[AspkrT]]+TBA_Matches_All[[#This Row],[TspkrT]]+TBA_Matches_All[[#This Row],[spkrM]])),0)</f>
        <v>1</v>
      </c>
      <c r="BB289">
        <f>SUMIFS(Dyno_Data[DelMiss], Dyno_Data[Team],TBA_Matches_All[[#This Row],[Team]],Dyno_Data[Match],TBA_Matches_All[[#This Row],[Match_Number]],Dyno_Data[RecordType],"Activities", Dyno_Data[DelDest],"Trap")</f>
        <v>0</v>
      </c>
      <c r="BC289" s="60">
        <f>IFERROR((TBA_Matches_All[[#This Row],[AtrapT]]+TBA_Matches_All[[#This Row],[TtrapT]])/(TBA_Matches_All[[#This Row],[AtrapT]]+TBA_Matches_All[[#This Row],[TtrapT]]+TBA_Matches_All[[#This Row],[trapM]]),0)</f>
        <v>0</v>
      </c>
      <c r="BD289">
        <f>COUNTIFS(Dyno_Data[Team],TBA_Matches_All[[#This Row],[Team]],Dyno_Data[Match],TBA_Matches_All[[#This Row],[Match_Number]],Dyno_Data[RecordType],"Activities",Dyno_Data[DelDest],"Neut", Dyno_Data[DelMiss],1)</f>
        <v>0</v>
      </c>
      <c r="BE289" s="60">
        <f>IFERROR(SUM((TBA_Matches_All[[#This Row],[NeutFlrT]])/(TBA_Matches_All[[#This Row],[NeutFlrT]]+TBA_Matches_All[[#This Row],[NZflM]])),0)</f>
        <v>0</v>
      </c>
      <c r="BF289">
        <f>COUNTIFS(Dyno_Data[Team],TBA_Matches_All[[#This Row],[Team]],Dyno_Data[Match],TBA_Matches_All[[#This Row],[Match_Number]],Dyno_Data[RecordType],"Activities",Dyno_Data[DelDest],"AllyW", Dyno_Data[DelMiss],1)</f>
        <v>0</v>
      </c>
      <c r="BG289" s="60">
        <f>IFERROR(SUM((TBA_Matches_All[[#This Row],[AllyWFlrT]])/(TBA_Matches_All[[#This Row],[AllyWFlrT]]+TBA_Matches_All[[#This Row],[AZflM]])),0)</f>
        <v>0</v>
      </c>
      <c r="BH289">
        <f>COUNTIFS(Dyno_Data[Team],TBA_Matches_All[[#This Row],[Team]],Dyno_Data[Match],TBA_Matches_All[[#This Row],[Match_Number]],Dyno_Data[RecordType],"Activities",Dyno_Data[DelOrig],"OppW", Dyno_Data[DelMiss],"0")</f>
        <v>0</v>
      </c>
      <c r="BI289">
        <f>COUNTIFS(Dyno_Data[Team],TBA_Matches_All[[#This Row],[Team]],Dyno_Data[Match],TBA_Matches_All[[#This Row],[Match_Number]],Dyno_Data[RecordType],"Activities",Dyno_Data[DelOrig],"OppW", Dyno_Data[DelMiss],"1")</f>
        <v>0</v>
      </c>
      <c r="BJ289" s="60">
        <f>IFERROR(SUM((TBA_Matches_All[[#This Row],[OZflrT]])/(TBA_Matches_All[[#This Row],[OZflrT]]+TBA_Matches_All[[#This Row],[OZflrM]])),0)</f>
        <v>0</v>
      </c>
      <c r="BK289">
        <f>COUNTIFS(Dyno_Data[Team],TBA_Matches_All[[#This Row],[Team]],Dyno_Data[Match],TBA_Matches_All[[#This Row],[Match_Number]],Dyno_Data[RecordType],"Activities",Dyno_Data[DelOrig],"Neut", Dyno_Data[DelMiss],"0")</f>
        <v>0</v>
      </c>
      <c r="BL289">
        <f>COUNTIFS(Dyno_Data[Team],TBA_Matches_All[[#This Row],[Team]],Dyno_Data[Match],TBA_Matches_All[[#This Row],[Match_Number]],Dyno_Data[RecordType],"Activities",Dyno_Data[DelOrig],"Neut", Dyno_Data[DelMiss],"1")</f>
        <v>0</v>
      </c>
      <c r="BM289" s="60">
        <f>IFERROR(SUM((TBA_Matches_All[[#This Row],[NZflrT]])/(TBA_Matches_All[[#This Row],[NZflrT]]+TBA_Matches_All[[#This Row],[NZflrM]])),0)</f>
        <v>0</v>
      </c>
      <c r="BN289">
        <f>COUNTIFS(Dyno_Data[Team],TBA_Matches_All[[#This Row],[Team]],Dyno_Data[Match],TBA_Matches_All[[#This Row],[Match_Number]],Dyno_Data[RecordType],"Activities",Dyno_Data[DelOrig],"AllyW", Dyno_Data[DelMiss],"0")</f>
        <v>1</v>
      </c>
      <c r="BO289">
        <f>COUNTIFS(Dyno_Data[Team],TBA_Matches_All[[#This Row],[Team]],Dyno_Data[Match],TBA_Matches_All[[#This Row],[Match_Number]],Dyno_Data[RecordType],"Activities",Dyno_Data[DelOrig],"AllyW", Dyno_Data[DelMiss],"1")</f>
        <v>0</v>
      </c>
      <c r="BP289" s="60">
        <f>IFERROR(SUM((TBA_Matches_All[[#This Row],[AZflrT]])/(TBA_Matches_All[[#This Row],[AZflrT]]+TBA_Matches_All[[#This Row],[AZflrM]])),0)</f>
        <v>1</v>
      </c>
      <c r="BQ289">
        <f>COUNTIFS(Dyno_Data[Team],TBA_Matches_All[[#This Row],[Team]],Dyno_Data[Match],TBA_Matches_All[[#This Row],[Match_Number]],Dyno_Data[RecordType],"Activities",Dyno_Data[DelOrig],"SubW", Dyno_Data[DelMiss],"0")</f>
        <v>1</v>
      </c>
      <c r="BR289">
        <f>COUNTIFS(Dyno_Data[Team],TBA_Matches_All[[#This Row],[Team]],Dyno_Data[Match],TBA_Matches_All[[#This Row],[Match_Number]],Dyno_Data[RecordType],"Activities",Dyno_Data[DelOrig],"SubW", Dyno_Data[DelMiss],"1")</f>
        <v>0</v>
      </c>
      <c r="BS289" s="60">
        <f>IFERROR(SUM((TBA_Matches_All[[#This Row],[SubwT]])/(TBA_Matches_All[[#This Row],[SubwT]]+TBA_Matches_All[[#This Row],[SubwM]])),0)</f>
        <v>1</v>
      </c>
      <c r="BT289">
        <f>COUNTIFS(Dyno_Data[Team],TBA_Matches_All[[#This Row],[Team]],Dyno_Data[Match],TBA_Matches_All[[#This Row],[Match_Number]],Dyno_Data[RecordType],"Activities", Dyno_Data[AcqLoc],"OppWing")</f>
        <v>0</v>
      </c>
      <c r="BU289">
        <f>COUNTIFS(Dyno_Data[Team],TBA_Matches_All[[#This Row],[Team]],Dyno_Data[Match],TBA_Matches_All[[#This Row],[Match_Number]],Dyno_Data[RecordType],"Activities", Dyno_Data[AcqLoc],"Neutral")</f>
        <v>0</v>
      </c>
      <c r="BV289">
        <f>COUNTIFS(Dyno_Data[Team],TBA_Matches_All[[#This Row],[Team]],Dyno_Data[Match],TBA_Matches_All[[#This Row],[Match_Number]],Dyno_Data[RecordType],"Activities", Dyno_Data[AcqLoc],"AllyWing")</f>
        <v>0</v>
      </c>
      <c r="BW289">
        <f>COUNTIFS(Dyno_Data[Team],TBA_Matches_All[[#This Row],[Team]],Dyno_Data[Match],TBA_Matches_All[[#This Row],[Match_Number]],Dyno_Data[RecordType],"Activities", Dyno_Data[AcqLoc],"Source")</f>
        <v>0</v>
      </c>
      <c r="BX289">
        <f>SUMIFS(Dyno_Data[AcqDrp], Dyno_Data[Team],TBA_Matches_All[[#This Row],[Team]],Dyno_Data[Match],TBA_Matches_All[[#This Row],[Match_Number]],Dyno_Data[RecordType],"Activities", Dyno_Data[AcqLoc],"Source")</f>
        <v>0</v>
      </c>
      <c r="BY289">
        <f>SUMIFS(Dyno_Data[OZTime], Dyno_Data[Team],TBA_Matches_All[[#This Row],[Team]],Dyno_Data[Match],TBA_Matches_All[[#This Row],[Match_Number]],Dyno_Data[RecordType],"EndMatch")</f>
        <v>0.30931729999999996</v>
      </c>
      <c r="BZ289">
        <f>SUMIFS(Dyno_Data[NZTime], Dyno_Data[Team],TBA_Matches_All[[#This Row],[Team]],Dyno_Data[Match],TBA_Matches_All[[#This Row],[Match_Number]],Dyno_Data[RecordType],"EndMatch")</f>
        <v>3.8057434999999997</v>
      </c>
      <c r="CA289">
        <f>SUMIFS(Dyno_Data[AZTime], Dyno_Data[Team],TBA_Matches_All[[#This Row],[Team]],Dyno_Data[Match],TBA_Matches_All[[#This Row],[Match_Number]],Dyno_Data[RecordType],"EndMatch")</f>
        <v>129.46604589999998</v>
      </c>
      <c r="CB289">
        <f>SUMIFS(Dyno_Data[ClimbT], Dyno_Data[Team],TBA_Matches_All[[#This Row],[Team]],Dyno_Data[Match],TBA_Matches_All[[#This Row],[Match_Number]],Dyno_Data[RecordType],"EndMatch")</f>
        <v>0</v>
      </c>
      <c r="CC289" t="str">
        <f>_xlfn.XLOOKUP(SUM(MID(TBA_Matches_All[[#This Row],[Team]],4,5),(TBA_Matches_All[[#This Row],[Match_Number]]/100)),Dyno_EndMatch[teammat],Dyno_EndMatch[StageStat],"_",0,1)</f>
        <v>Park</v>
      </c>
      <c r="CD289" t="str">
        <f>_xlfn.XLOOKUP(TBA_Matches_All[[#This Row],[teammat]],Dyno_EndMatch[teammat],Dyno_EndMatch[StageAtt],"_",0,1)</f>
        <v>0</v>
      </c>
      <c r="CE289" t="str">
        <f>_xlfn.XLOOKUP(TBA_Matches_All[[#This Row],[teammat]],Dyno_EndMatch[teammat],Dyno_EndMatch[StageLoc],"_",0,1)</f>
        <v>A</v>
      </c>
      <c r="CF289">
        <f>SUMIFS(Dyno_Data[Harmony], Dyno_Data[Team],TBA_Matches_All[[#This Row],[Team]],Dyno_Data[Match],TBA_Matches_All[[#This Row],[Match_Number]],Dyno_Data[RecordType],"EndMatch", Dyno_Data[StageStat],"On",Dyno_Data[Harmony],"&lt;&gt;9")</f>
        <v>0</v>
      </c>
      <c r="CG289">
        <f>SUMIFS(Dyno_Data[Spotlit], Dyno_Data[Team],TBA_Matches_All[[#This Row],[Team]],Dyno_Data[Match],TBA_Matches_All[[#This Row],[Match_Number]],Dyno_Data[RecordType],"EndMatch", Dyno_Data[StageStat],"On",Dyno_Data[Spotlit],"&lt;&gt;9")</f>
        <v>0</v>
      </c>
      <c r="CH289" t="str">
        <f>_xlfn.XLOOKUP(TBA_Matches_All[[#This Row],[teammat]],Dyno_EndMatch[teammat],Dyno_EndMatch[Strategy],"_",0,1)</f>
        <v>Hybrid</v>
      </c>
      <c r="CI289">
        <f>SUMIFS(Dyno_Data[Defense], Dyno_Data[Team],TBA_Matches_All[[#This Row],[Team]],Dyno_Data[Match],TBA_Matches_All[[#This Row],[Match_Number]],Dyno_Data[RecordType],"EndMatch",Dyno_Data[Defense],"&lt;&gt;9")</f>
        <v>0</v>
      </c>
      <c r="CJ289">
        <f>SUMIFS(Dyno_Data[Avoidance], Dyno_Data[Team],TBA_Matches_All[[#This Row],[Team]],Dyno_Data[Match],TBA_Matches_All[[#This Row],[Match_Number]],Dyno_Data[RecordType],"EndMatch",Dyno_Data[Avoidance],"&lt;&gt;9")</f>
        <v>0</v>
      </c>
      <c r="CK289" s="82">
        <f>COUNTIF($H$2:TBA_Matches_All[[#This Row],[Team]],TBA_Matches_All[[#This Row],[Team]])</f>
        <v>6</v>
      </c>
      <c r="CL289" s="111">
        <f>SUM(MID(TBA_Matches_All[[#This Row],[Team]],4,5)+TBA_Matches_All[[#This Row],[Match_Number]]/100)</f>
        <v>5993.48</v>
      </c>
      <c r="CM289">
        <f>SUM((TBA_Matches_All[[#This Row],[Leave]]*2)+(TBA_Matches_All[[#This Row],[AampT]]*2)+(TBA_Matches_All[[#This Row],[AspkrT]]*5)+(TBA_Matches_All[[#This Row],[AtrapT]]*5))</f>
        <v>0</v>
      </c>
      <c r="CN289" s="59">
        <f>IFERROR(SUM(TBA_Matches_All[[#This Row],[AptsT]]/TBA_Matches_All[[#This Row],[AutoPts]]),0)</f>
        <v>0</v>
      </c>
      <c r="CO289" s="59">
        <f>IFERROR(SUM(TBA_Matches_All[[#This Row],[AampT]]+TBA_Matches_All[[#This Row],[AspkrT]]+TBA_Matches_All[[#This Row],[AtrapT]]/TBA_Matches_All[[#This Row],[Aamp]]+TBA_Matches_All[[#This Row],[Aspkr]]+TBA_Matches_All[[#This Row],[AtrapT]]),0)</f>
        <v>0</v>
      </c>
      <c r="CP289" s="59">
        <f>IFERROR(SUM(TBA_Matches_All[[#This Row],[TampT]]/TBA_Matches_All[[#This Row],[Tamp]]),0)</f>
        <v>0</v>
      </c>
      <c r="CQ289" s="59">
        <f>IFERROR(SUM(TBA_Matches_All[[#This Row],[TspkrT]]/TBA_Matches_All[[#This Row],[Tspkr]]),0)</f>
        <v>0.4</v>
      </c>
      <c r="CR289">
        <f>SUM(TBA_Matches_All[[#This Row],[TspkrPts]]*TBA_Matches_All[[#This Row],[TspkrP]])</f>
        <v>4</v>
      </c>
      <c r="CS289" s="59">
        <f>IFERROR(SUM(TBA_Matches_All[[#This Row],[TtrapT]]/TBA_Matches_All[[#This Row],[Trap]]),0)</f>
        <v>0</v>
      </c>
      <c r="CT289" s="59">
        <f>IFERROR(SUM(TBA_Matches_All[[#This Row],[TotNotesT]]/TBA_Matches_All[[#This Row],[TotNotes]]),0)</f>
        <v>0.2857142857142857</v>
      </c>
      <c r="CU289" s="66">
        <f>SUM((TBA_Matches_All[[#This Row],[AampT]]*2)+(TBA_Matches_All[[#This Row],[AspkrT]]*5)+(TBA_Matches_All[[#This Row],[AtrapT]]*5)+(TBA_Matches_All[[#This Row],[TampT]]*1)+(TBA_Matches_All[[#This Row],[TspkrptsC]]))</f>
        <v>4</v>
      </c>
      <c r="CV289" s="59">
        <f>IFERROR(TBA_Matches_All[[#This Row],[noteptsT]]/TBA_Matches_All[[#This Row],[NotePts]],0)</f>
        <v>0.25</v>
      </c>
      <c r="CW289">
        <f>SUM(IF(TBA_Matches_All[[#This Row],[stageStat]]="On",3,0),IF(TBA_Matches_All[[#This Row],[stageStat]]="Park",1,0),SUMIFS(TBA_Matches_All[[#This Row],[Spotlit]],TBA_Matches_All[[#This Row],[stageStat]],"On"),SUMIFS(TBA_Matches_All[[#This Row],[Harmony]],TBA_Matches_All[[#This Row],[stageStat]],"On"))</f>
        <v>1</v>
      </c>
      <c r="CX289" s="59">
        <f>IFERROR(TBA_Matches_All[[#This Row],[stageptsT]]/TBA_Matches_All[[#This Row],[StagePts]],0)</f>
        <v>0.25</v>
      </c>
      <c r="CY289">
        <f>SUM((TBA_Matches_All[[#This Row],[AptsT]]+TBA_Matches_All[[#This Row],[TampT]]+TBA_Matches_All[[#This Row],[TspkrptsC]]+(TBA_Matches_All[[#This Row],[TtrapT]]*5)+TBA_Matches_All[[#This Row],[stageptsT]]))</f>
        <v>5</v>
      </c>
      <c r="CZ289" s="59">
        <f>IFERROR(SUM(TBA_Matches_All[[#This Row],[TotptsC]]/TBA_Matches_All[[#This Row],[Score]]),0)</f>
        <v>0.22727272727272727</v>
      </c>
      <c r="DA28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3.44</v>
      </c>
      <c r="DB289" s="74">
        <f>SUMIFS(TBA_Matches_All[AveTeamTNoteDels],TBA_Matches_All[Match_Number],TBA_Matches_All[[#This Row],[Match_Number]],TBA_Matches_All[Alliance],"&lt;&gt;"&amp;TBA_Matches_All[[#This Row],[Alliance]],TBA_Matches_All[Scouted],"&gt;0")</f>
        <v>7.9083333333333332</v>
      </c>
      <c r="DC289" s="74">
        <f>(TBA_Matches_All[[#This Row],[TampT]]+TBA_Matches_All[[#This Row],[TspkrptsC]])-TBA_Matches_All[[#This Row],[AveTeamTNoteDels]]</f>
        <v>0.56000000000000005</v>
      </c>
      <c r="DD289" s="74">
        <f>SUMIFS(TBA_Matches_All[AveTeamTNoteDels],TBA_Matches_All[Match_Number],TBA_Matches_All[[#This Row],[Match_Number]],TBA_Matches_All[Alliance],"&lt;&gt;"&amp;TBA_Matches_All[[#This Row],[Alliance]])-TBA_Matches_All[[#This Row],[AveOppTNoteDels]]</f>
        <v>0</v>
      </c>
    </row>
    <row r="290" spans="1:108" x14ac:dyDescent="0.3">
      <c r="A290" t="s">
        <v>1042</v>
      </c>
      <c r="B290" t="s">
        <v>489</v>
      </c>
      <c r="C290" t="s">
        <v>1357</v>
      </c>
      <c r="D290">
        <v>48</v>
      </c>
      <c r="E290" t="s">
        <v>1406</v>
      </c>
      <c r="F290" t="s">
        <v>1422</v>
      </c>
      <c r="G290" t="s">
        <v>105</v>
      </c>
      <c r="H290" t="s">
        <v>1289</v>
      </c>
      <c r="I290" t="b">
        <v>1</v>
      </c>
      <c r="J290">
        <v>31</v>
      </c>
      <c r="K290">
        <v>0</v>
      </c>
      <c r="L290">
        <v>0</v>
      </c>
      <c r="M290">
        <v>0</v>
      </c>
      <c r="N290">
        <v>0</v>
      </c>
      <c r="O290">
        <v>2</v>
      </c>
      <c r="P290">
        <v>10</v>
      </c>
      <c r="Q290">
        <v>16</v>
      </c>
      <c r="R290">
        <v>4</v>
      </c>
      <c r="S290">
        <v>0</v>
      </c>
      <c r="T290">
        <v>2</v>
      </c>
      <c r="U290">
        <v>0</v>
      </c>
      <c r="V290">
        <v>4</v>
      </c>
      <c r="W290">
        <v>2</v>
      </c>
      <c r="X290">
        <v>4</v>
      </c>
      <c r="Y290">
        <v>8</v>
      </c>
      <c r="Z290">
        <v>0</v>
      </c>
      <c r="AA290">
        <v>0</v>
      </c>
      <c r="AB290">
        <v>8</v>
      </c>
      <c r="AC290">
        <v>18</v>
      </c>
      <c r="AD290">
        <v>3</v>
      </c>
      <c r="AE290">
        <f>IFERROR(6/(COUNTIF(Dyno_EndMatch[Match],TBA_Matches_All[[#This Row],[Match_Number]])),0)</f>
        <v>1</v>
      </c>
      <c r="AF290">
        <f>COUNTIFS(Dyno_Data[Team],TBA_Matches_All[[#This Row],[Team]],Dyno_Data[Match],TBA_Matches_All[[#This Row],[Match_Number]],Dyno_Data[RecordType],"EndMatch",Dyno_Data[HPAmp],"Y")</f>
        <v>0</v>
      </c>
      <c r="AG290">
        <f>SUMIFS(Dyno_Data[Mics], Dyno_Data[Team],TBA_Matches_All[[#This Row],[Team]],Dyno_Data[Match],TBA_Matches_All[[#This Row],[Match_Number]],Dyno_Data[RecordType],"EndMatch",Dyno_Data[HPAmp],"Y")</f>
        <v>0</v>
      </c>
      <c r="AH290">
        <f>SUMIFS(Dyno_Data[Leave], Dyno_Data[Team],TBA_Matches_All[[#This Row],[Team]],Dyno_Data[Match],TBA_Matches_All[[#This Row],[Match_Number]],Dyno_Data[RecordType],"EndAuto")</f>
        <v>1</v>
      </c>
      <c r="AI290">
        <f>COUNTIFS(Dyno_Data[Team],TBA_Matches_All[[#This Row],[Team]],Dyno_Data[Match],TBA_Matches_All[[#This Row],[Match_Number]],Dyno_Data[RecordType],"Activities",Dyno_Data[DelDest],"Amp", Dyno_Data[DelMiss],"0", Dyno_Data[Mode],"Auto")</f>
        <v>0</v>
      </c>
      <c r="AJ290">
        <f>COUNTIFS(Dyno_Data[Team],TBA_Matches_All[[#This Row],[Team]],Dyno_Data[Match],TBA_Matches_All[[#This Row],[Match_Number]],Dyno_Data[RecordType],"Activities",Dyno_Data[DelDest],"Spkr", Dyno_Data[DelMiss],"0", Dyno_Data[Mode],"Auto")</f>
        <v>0</v>
      </c>
      <c r="AK290">
        <f>COUNTIFS(Dyno_Data[Team],TBA_Matches_All[[#This Row],[Team]],Dyno_Data[Match],TBA_Matches_All[[#This Row],[Match_Number]],Dyno_Data[RecordType],"Activities",Dyno_Data[DelDest],"Trap", Dyno_Data[DelMiss],"0", Dyno_Data[Mode],"Auto")</f>
        <v>0</v>
      </c>
      <c r="AL290">
        <f>COUNTIFS(Dyno_Data[Team],TBA_Matches_All[[#This Row],[Team]],Dyno_Data[Match],TBA_Matches_All[[#This Row],[Match_Number]],Dyno_Data[RecordType],"Activities",Dyno_Data[DelDest],"Amp", Dyno_Data[DelMiss],"0", Dyno_Data[Mode],"Teleop")</f>
        <v>0</v>
      </c>
      <c r="AM290">
        <f>COUNTIFS(Dyno_Data[Team],TBA_Matches_All[[#This Row],[Team]],Dyno_Data[Match],TBA_Matches_All[[#This Row],[Match_Number]],Dyno_Data[RecordType],"Activities",Dyno_Data[DelDest],"Spkr", Dyno_Data[DelMiss],"0", Dyno_Data[Mode],"Teleop")</f>
        <v>0</v>
      </c>
      <c r="AN290">
        <f>COUNTIFS(Dyno_Data[Team],TBA_Matches_All[[#This Row],[Team]],Dyno_Data[Match],TBA_Matches_All[[#This Row],[Match_Number]],Dyno_Data[RecordType],"Activities",Dyno_Data[DelDest],"Trap", Dyno_Data[DelMiss],"0", Dyno_Data[Mode],"&lt;&gt;Auto")</f>
        <v>0</v>
      </c>
      <c r="AO290">
        <f>SUM(TBA_Matches_All[[#This Row],[AampT]]+TBA_Matches_All[[#This Row],[AspkrT]]+TBA_Matches_All[[#This Row],[AtrapT]]+TBA_Matches_All[[#This Row],[TampT]]+TBA_Matches_All[[#This Row],[TspkrT]]+TBA_Matches_All[[#This Row],[TtrapT]])</f>
        <v>0</v>
      </c>
      <c r="AP290">
        <f>COUNTIFS(Dyno_Data[Team],TBA_Matches_All[[#This Row],[Team]],Dyno_Data[Match],TBA_Matches_All[[#This Row],[Match_Number]],Dyno_Data[RecordType],"Activities",Dyno_Data[DelDest],"Neut", Dyno_Data[DelMiss],"0")</f>
        <v>0</v>
      </c>
      <c r="AQ290">
        <f>COUNTIFS(Dyno_Data[Team],TBA_Matches_All[[#This Row],[Team]],Dyno_Data[Match],TBA_Matches_All[[#This Row],[Match_Number]],Dyno_Data[RecordType],"Activities",Dyno_Data[DelDest],"AllyW", Dyno_Data[DelMiss],"0")</f>
        <v>0</v>
      </c>
      <c r="AR290" t="str">
        <f>_xlfn.XLOOKUP(SUM(MID(TBA_Matches_All[[#This Row],[Team]],4,5),(TBA_Matches_All[[#This Row],[Match_Number]]/100)),Dyno_EndMatch[teammat],Dyno_EndMatch[RobotSta],"_",0,1)</f>
        <v>Amp</v>
      </c>
      <c r="AS290">
        <f>SUMIFS(Dyno_Data[AcqDis], Dyno_Data[Team],TBA_Matches_All[[#This Row],[Team]],Dyno_Data[Match],TBA_Matches_All[[#This Row],[Match_Number]],Dyno_Data[RecordType],"Activities", Dyno_Data[AcqCenter],1,Dyno_Data[Mode],"Auto")</f>
        <v>0</v>
      </c>
      <c r="AT290">
        <f>SUMIFS(Dyno_Data[AcqDis], Dyno_Data[Team],TBA_Matches_All[[#This Row],[Team]],Dyno_Data[Match],TBA_Matches_All[[#This Row],[Match_Number]],Dyno_Data[RecordType],"Activities", Dyno_Data[AcqCenter],2,Dyno_Data[Mode],"Auto")</f>
        <v>0</v>
      </c>
      <c r="AU290">
        <f>SUMIFS(Dyno_Data[AcqDis], Dyno_Data[Team],TBA_Matches_All[[#This Row],[Team]],Dyno_Data[Match],TBA_Matches_All[[#This Row],[Match_Number]],Dyno_Data[RecordType],"Activities", Dyno_Data[AcqCenter],3,Dyno_Data[Mode],"Auto")</f>
        <v>0</v>
      </c>
      <c r="AV290">
        <f>SUMIFS(Dyno_Data[AcqDis], Dyno_Data[Team],TBA_Matches_All[[#This Row],[Team]],Dyno_Data[Match],TBA_Matches_All[[#This Row],[Match_Number]],Dyno_Data[RecordType],"Activities", Dyno_Data[AcqCenter],4,Dyno_Data[Mode],"Auto")</f>
        <v>0</v>
      </c>
      <c r="AW290">
        <f>SUMIFS(Dyno_Data[AcqDis], Dyno_Data[Team],TBA_Matches_All[[#This Row],[Team]],Dyno_Data[Match],TBA_Matches_All[[#This Row],[Match_Number]],Dyno_Data[RecordType],"Activities", Dyno_Data[AcqCenter],5,Dyno_Data[Mode],"Auto")</f>
        <v>0</v>
      </c>
      <c r="AX290">
        <f>SUMIFS(Dyno_Data[DelMiss], Dyno_Data[Team],TBA_Matches_All[[#This Row],[Team]],Dyno_Data[Match],TBA_Matches_All[[#This Row],[Match_Number]],Dyno_Data[RecordType],"Activities", Dyno_Data[DelDest],"Amp")</f>
        <v>0</v>
      </c>
      <c r="AY290" s="60">
        <f>IFERROR(SUM((TBA_Matches_All[[#This Row],[AampT]]+TBA_Matches_All[[#This Row],[TampT]])/(TBA_Matches_All[[#This Row],[AampT]]+TBA_Matches_All[[#This Row],[TampT]]+TBA_Matches_All[[#This Row],[ampM]])),0)</f>
        <v>0</v>
      </c>
      <c r="AZ290">
        <f>SUMIFS(Dyno_Data[DelMiss], Dyno_Data[Team],TBA_Matches_All[[#This Row],[Team]],Dyno_Data[Match],TBA_Matches_All[[#This Row],[Match_Number]],Dyno_Data[RecordType],"Activities", Dyno_Data[DelDest],"Spkr")</f>
        <v>0</v>
      </c>
      <c r="BA290" s="60">
        <f>IFERROR(SUM((TBA_Matches_All[[#This Row],[AspkrT]]+TBA_Matches_All[[#This Row],[TspkrT]])/(TBA_Matches_All[[#This Row],[AspkrT]]+TBA_Matches_All[[#This Row],[TspkrT]]+TBA_Matches_All[[#This Row],[spkrM]])),0)</f>
        <v>0</v>
      </c>
      <c r="BB290">
        <f>SUMIFS(Dyno_Data[DelMiss], Dyno_Data[Team],TBA_Matches_All[[#This Row],[Team]],Dyno_Data[Match],TBA_Matches_All[[#This Row],[Match_Number]],Dyno_Data[RecordType],"Activities", Dyno_Data[DelDest],"Trap")</f>
        <v>0</v>
      </c>
      <c r="BC290" s="60">
        <f>IFERROR((TBA_Matches_All[[#This Row],[AtrapT]]+TBA_Matches_All[[#This Row],[TtrapT]])/(TBA_Matches_All[[#This Row],[AtrapT]]+TBA_Matches_All[[#This Row],[TtrapT]]+TBA_Matches_All[[#This Row],[trapM]]),0)</f>
        <v>0</v>
      </c>
      <c r="BD290">
        <f>COUNTIFS(Dyno_Data[Team],TBA_Matches_All[[#This Row],[Team]],Dyno_Data[Match],TBA_Matches_All[[#This Row],[Match_Number]],Dyno_Data[RecordType],"Activities",Dyno_Data[DelDest],"Neut", Dyno_Data[DelMiss],1)</f>
        <v>0</v>
      </c>
      <c r="BE290" s="60">
        <f>IFERROR(SUM((TBA_Matches_All[[#This Row],[NeutFlrT]])/(TBA_Matches_All[[#This Row],[NeutFlrT]]+TBA_Matches_All[[#This Row],[NZflM]])),0)</f>
        <v>0</v>
      </c>
      <c r="BF290">
        <f>COUNTIFS(Dyno_Data[Team],TBA_Matches_All[[#This Row],[Team]],Dyno_Data[Match],TBA_Matches_All[[#This Row],[Match_Number]],Dyno_Data[RecordType],"Activities",Dyno_Data[DelDest],"AllyW", Dyno_Data[DelMiss],1)</f>
        <v>0</v>
      </c>
      <c r="BG290" s="60">
        <f>IFERROR(SUM((TBA_Matches_All[[#This Row],[AllyWFlrT]])/(TBA_Matches_All[[#This Row],[AllyWFlrT]]+TBA_Matches_All[[#This Row],[AZflM]])),0)</f>
        <v>0</v>
      </c>
      <c r="BH290">
        <f>COUNTIFS(Dyno_Data[Team],TBA_Matches_All[[#This Row],[Team]],Dyno_Data[Match],TBA_Matches_All[[#This Row],[Match_Number]],Dyno_Data[RecordType],"Activities",Dyno_Data[DelOrig],"OppW", Dyno_Data[DelMiss],"0")</f>
        <v>0</v>
      </c>
      <c r="BI290">
        <f>COUNTIFS(Dyno_Data[Team],TBA_Matches_All[[#This Row],[Team]],Dyno_Data[Match],TBA_Matches_All[[#This Row],[Match_Number]],Dyno_Data[RecordType],"Activities",Dyno_Data[DelOrig],"OppW", Dyno_Data[DelMiss],"1")</f>
        <v>0</v>
      </c>
      <c r="BJ290" s="60">
        <f>IFERROR(SUM((TBA_Matches_All[[#This Row],[OZflrT]])/(TBA_Matches_All[[#This Row],[OZflrT]]+TBA_Matches_All[[#This Row],[OZflrM]])),0)</f>
        <v>0</v>
      </c>
      <c r="BK290">
        <f>COUNTIFS(Dyno_Data[Team],TBA_Matches_All[[#This Row],[Team]],Dyno_Data[Match],TBA_Matches_All[[#This Row],[Match_Number]],Dyno_Data[RecordType],"Activities",Dyno_Data[DelOrig],"Neut", Dyno_Data[DelMiss],"0")</f>
        <v>0</v>
      </c>
      <c r="BL290">
        <f>COUNTIFS(Dyno_Data[Team],TBA_Matches_All[[#This Row],[Team]],Dyno_Data[Match],TBA_Matches_All[[#This Row],[Match_Number]],Dyno_Data[RecordType],"Activities",Dyno_Data[DelOrig],"Neut", Dyno_Data[DelMiss],"1")</f>
        <v>0</v>
      </c>
      <c r="BM290" s="60">
        <f>IFERROR(SUM((TBA_Matches_All[[#This Row],[NZflrT]])/(TBA_Matches_All[[#This Row],[NZflrT]]+TBA_Matches_All[[#This Row],[NZflrM]])),0)</f>
        <v>0</v>
      </c>
      <c r="BN290">
        <f>COUNTIFS(Dyno_Data[Team],TBA_Matches_All[[#This Row],[Team]],Dyno_Data[Match],TBA_Matches_All[[#This Row],[Match_Number]],Dyno_Data[RecordType],"Activities",Dyno_Data[DelOrig],"AllyW", Dyno_Data[DelMiss],"0")</f>
        <v>0</v>
      </c>
      <c r="BO290">
        <f>COUNTIFS(Dyno_Data[Team],TBA_Matches_All[[#This Row],[Team]],Dyno_Data[Match],TBA_Matches_All[[#This Row],[Match_Number]],Dyno_Data[RecordType],"Activities",Dyno_Data[DelOrig],"AllyW", Dyno_Data[DelMiss],"1")</f>
        <v>0</v>
      </c>
      <c r="BP290" s="60">
        <f>IFERROR(SUM((TBA_Matches_All[[#This Row],[AZflrT]])/(TBA_Matches_All[[#This Row],[AZflrT]]+TBA_Matches_All[[#This Row],[AZflrM]])),0)</f>
        <v>0</v>
      </c>
      <c r="BQ290">
        <f>COUNTIFS(Dyno_Data[Team],TBA_Matches_All[[#This Row],[Team]],Dyno_Data[Match],TBA_Matches_All[[#This Row],[Match_Number]],Dyno_Data[RecordType],"Activities",Dyno_Data[DelOrig],"SubW", Dyno_Data[DelMiss],"0")</f>
        <v>0</v>
      </c>
      <c r="BR290">
        <f>COUNTIFS(Dyno_Data[Team],TBA_Matches_All[[#This Row],[Team]],Dyno_Data[Match],TBA_Matches_All[[#This Row],[Match_Number]],Dyno_Data[RecordType],"Activities",Dyno_Data[DelOrig],"SubW", Dyno_Data[DelMiss],"1")</f>
        <v>0</v>
      </c>
      <c r="BS290" s="60">
        <f>IFERROR(SUM((TBA_Matches_All[[#This Row],[SubwT]])/(TBA_Matches_All[[#This Row],[SubwT]]+TBA_Matches_All[[#This Row],[SubwM]])),0)</f>
        <v>0</v>
      </c>
      <c r="BT290">
        <f>COUNTIFS(Dyno_Data[Team],TBA_Matches_All[[#This Row],[Team]],Dyno_Data[Match],TBA_Matches_All[[#This Row],[Match_Number]],Dyno_Data[RecordType],"Activities", Dyno_Data[AcqLoc],"OppWing")</f>
        <v>0</v>
      </c>
      <c r="BU290">
        <f>COUNTIFS(Dyno_Data[Team],TBA_Matches_All[[#This Row],[Team]],Dyno_Data[Match],TBA_Matches_All[[#This Row],[Match_Number]],Dyno_Data[RecordType],"Activities", Dyno_Data[AcqLoc],"Neutral")</f>
        <v>0</v>
      </c>
      <c r="BV290">
        <f>COUNTIFS(Dyno_Data[Team],TBA_Matches_All[[#This Row],[Team]],Dyno_Data[Match],TBA_Matches_All[[#This Row],[Match_Number]],Dyno_Data[RecordType],"Activities", Dyno_Data[AcqLoc],"AllyWing")</f>
        <v>0</v>
      </c>
      <c r="BW290">
        <f>COUNTIFS(Dyno_Data[Team],TBA_Matches_All[[#This Row],[Team]],Dyno_Data[Match],TBA_Matches_All[[#This Row],[Match_Number]],Dyno_Data[RecordType],"Activities", Dyno_Data[AcqLoc],"Source")</f>
        <v>0</v>
      </c>
      <c r="BX290">
        <f>SUMIFS(Dyno_Data[AcqDrp], Dyno_Data[Team],TBA_Matches_All[[#This Row],[Team]],Dyno_Data[Match],TBA_Matches_All[[#This Row],[Match_Number]],Dyno_Data[RecordType],"Activities", Dyno_Data[AcqLoc],"Source")</f>
        <v>0</v>
      </c>
      <c r="BY290">
        <f>SUMIFS(Dyno_Data[OZTime], Dyno_Data[Team],TBA_Matches_All[[#This Row],[Team]],Dyno_Data[Match],TBA_Matches_All[[#This Row],[Match_Number]],Dyno_Data[RecordType],"EndMatch")</f>
        <v>0</v>
      </c>
      <c r="BZ290">
        <f>SUMIFS(Dyno_Data[NZTime], Dyno_Data[Team],TBA_Matches_All[[#This Row],[Team]],Dyno_Data[Match],TBA_Matches_All[[#This Row],[Match_Number]],Dyno_Data[RecordType],"EndMatch")</f>
        <v>64.950355099999996</v>
      </c>
      <c r="CA290">
        <f>SUMIFS(Dyno_Data[AZTime], Dyno_Data[Team],TBA_Matches_All[[#This Row],[Team]],Dyno_Data[Match],TBA_Matches_All[[#This Row],[Match_Number]],Dyno_Data[RecordType],"EndMatch")</f>
        <v>69.621656899999991</v>
      </c>
      <c r="CB290">
        <f>SUMIFS(Dyno_Data[ClimbT], Dyno_Data[Team],TBA_Matches_All[[#This Row],[Team]],Dyno_Data[Match],TBA_Matches_All[[#This Row],[Match_Number]],Dyno_Data[RecordType],"EndMatch")</f>
        <v>0</v>
      </c>
      <c r="CC290" t="str">
        <f>_xlfn.XLOOKUP(SUM(MID(TBA_Matches_All[[#This Row],[Team]],4,5),(TBA_Matches_All[[#This Row],[Match_Number]]/100)),Dyno_EndMatch[teammat],Dyno_EndMatch[StageStat],"_",0,1)</f>
        <v>Park</v>
      </c>
      <c r="CD290" t="str">
        <f>_xlfn.XLOOKUP(TBA_Matches_All[[#This Row],[teammat]],Dyno_EndMatch[teammat],Dyno_EndMatch[StageAtt],"_",0,1)</f>
        <v>0</v>
      </c>
      <c r="CE290" t="str">
        <f>_xlfn.XLOOKUP(TBA_Matches_All[[#This Row],[teammat]],Dyno_EndMatch[teammat],Dyno_EndMatch[StageLoc],"_",0,1)</f>
        <v>A</v>
      </c>
      <c r="CF290">
        <f>SUMIFS(Dyno_Data[Harmony], Dyno_Data[Team],TBA_Matches_All[[#This Row],[Team]],Dyno_Data[Match],TBA_Matches_All[[#This Row],[Match_Number]],Dyno_Data[RecordType],"EndMatch", Dyno_Data[StageStat],"On",Dyno_Data[Harmony],"&lt;&gt;9")</f>
        <v>0</v>
      </c>
      <c r="CG290">
        <f>SUMIFS(Dyno_Data[Spotlit], Dyno_Data[Team],TBA_Matches_All[[#This Row],[Team]],Dyno_Data[Match],TBA_Matches_All[[#This Row],[Match_Number]],Dyno_Data[RecordType],"EndMatch", Dyno_Data[StageStat],"On",Dyno_Data[Spotlit],"&lt;&gt;9")</f>
        <v>0</v>
      </c>
      <c r="CH290" t="str">
        <f>_xlfn.XLOOKUP(TBA_Matches_All[[#This Row],[teammat]],Dyno_EndMatch[teammat],Dyno_EndMatch[Strategy],"_",0,1)</f>
        <v>None</v>
      </c>
      <c r="CI290">
        <f>SUMIFS(Dyno_Data[Defense], Dyno_Data[Team],TBA_Matches_All[[#This Row],[Team]],Dyno_Data[Match],TBA_Matches_All[[#This Row],[Match_Number]],Dyno_Data[RecordType],"EndMatch",Dyno_Data[Defense],"&lt;&gt;9")</f>
        <v>0</v>
      </c>
      <c r="CJ290">
        <f>SUMIFS(Dyno_Data[Avoidance], Dyno_Data[Team],TBA_Matches_All[[#This Row],[Team]],Dyno_Data[Match],TBA_Matches_All[[#This Row],[Match_Number]],Dyno_Data[RecordType],"EndMatch",Dyno_Data[Avoidance],"&lt;&gt;9")</f>
        <v>0</v>
      </c>
      <c r="CK290" s="82">
        <f>COUNTIF($H$2:TBA_Matches_All[[#This Row],[Team]],TBA_Matches_All[[#This Row],[Team]])</f>
        <v>6</v>
      </c>
      <c r="CL290" s="111">
        <f>SUM(MID(TBA_Matches_All[[#This Row],[Team]],4,5)+TBA_Matches_All[[#This Row],[Match_Number]]/100)</f>
        <v>6648.48</v>
      </c>
      <c r="CM290">
        <f>SUM((TBA_Matches_All[[#This Row],[Leave]]*2)+(TBA_Matches_All[[#This Row],[AampT]]*2)+(TBA_Matches_All[[#This Row],[AspkrT]]*5)+(TBA_Matches_All[[#This Row],[AtrapT]]*5))</f>
        <v>2</v>
      </c>
      <c r="CN290" s="59">
        <f>IFERROR(SUM(TBA_Matches_All[[#This Row],[AptsT]]/TBA_Matches_All[[#This Row],[AutoPts]]),0)</f>
        <v>0.125</v>
      </c>
      <c r="CO290" s="59">
        <f>IFERROR(SUM(TBA_Matches_All[[#This Row],[AampT]]+TBA_Matches_All[[#This Row],[AspkrT]]+TBA_Matches_All[[#This Row],[AtrapT]]/TBA_Matches_All[[#This Row],[Aamp]]+TBA_Matches_All[[#This Row],[Aspkr]]+TBA_Matches_All[[#This Row],[AtrapT]]),0)</f>
        <v>0</v>
      </c>
      <c r="CP290" s="59">
        <f>IFERROR(SUM(TBA_Matches_All[[#This Row],[TampT]]/TBA_Matches_All[[#This Row],[Tamp]]),0)</f>
        <v>0</v>
      </c>
      <c r="CQ290" s="59">
        <f>IFERROR(SUM(TBA_Matches_All[[#This Row],[TspkrT]]/TBA_Matches_All[[#This Row],[Tspkr]]),0)</f>
        <v>0</v>
      </c>
      <c r="CR290">
        <f>SUM(TBA_Matches_All[[#This Row],[TspkrPts]]*TBA_Matches_All[[#This Row],[TspkrP]])</f>
        <v>0</v>
      </c>
      <c r="CS290" s="59">
        <f>IFERROR(SUM(TBA_Matches_All[[#This Row],[TtrapT]]/TBA_Matches_All[[#This Row],[Trap]]),0)</f>
        <v>0</v>
      </c>
      <c r="CT290" s="59">
        <f>IFERROR(SUM(TBA_Matches_All[[#This Row],[TotNotesT]]/TBA_Matches_All[[#This Row],[TotNotes]]),0)</f>
        <v>0</v>
      </c>
      <c r="CU290" s="66">
        <f>SUM((TBA_Matches_All[[#This Row],[AampT]]*2)+(TBA_Matches_All[[#This Row],[AspkrT]]*5)+(TBA_Matches_All[[#This Row],[AtrapT]]*5)+(TBA_Matches_All[[#This Row],[TampT]]*1)+(TBA_Matches_All[[#This Row],[TspkrptsC]]))</f>
        <v>0</v>
      </c>
      <c r="CV290" s="59">
        <f>IFERROR(TBA_Matches_All[[#This Row],[noteptsT]]/TBA_Matches_All[[#This Row],[NotePts]],0)</f>
        <v>0</v>
      </c>
      <c r="CW290">
        <f>SUM(IF(TBA_Matches_All[[#This Row],[stageStat]]="On",3,0),IF(TBA_Matches_All[[#This Row],[stageStat]]="Park",1,0),SUMIFS(TBA_Matches_All[[#This Row],[Spotlit]],TBA_Matches_All[[#This Row],[stageStat]],"On"),SUMIFS(TBA_Matches_All[[#This Row],[Harmony]],TBA_Matches_All[[#This Row],[stageStat]],"On"))</f>
        <v>1</v>
      </c>
      <c r="CX290" s="59">
        <f>IFERROR(TBA_Matches_All[[#This Row],[stageptsT]]/TBA_Matches_All[[#This Row],[StagePts]],0)</f>
        <v>0.33333333333333331</v>
      </c>
      <c r="CY290">
        <f>SUM((TBA_Matches_All[[#This Row],[AptsT]]+TBA_Matches_All[[#This Row],[TampT]]+TBA_Matches_All[[#This Row],[TspkrptsC]]+(TBA_Matches_All[[#This Row],[TtrapT]]*5)+TBA_Matches_All[[#This Row],[stageptsT]]))</f>
        <v>3</v>
      </c>
      <c r="CZ290" s="59">
        <f>IFERROR(SUM(TBA_Matches_All[[#This Row],[TotptsC]]/TBA_Matches_All[[#This Row],[Score]]),0)</f>
        <v>9.6774193548387094E-2</v>
      </c>
      <c r="DA29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0.4</v>
      </c>
      <c r="DB290" s="74">
        <f>SUMIFS(TBA_Matches_All[AveTeamTNoteDels],TBA_Matches_All[Match_Number],TBA_Matches_All[[#This Row],[Match_Number]],TBA_Matches_All[Alliance],"&lt;&gt;"&amp;TBA_Matches_All[[#This Row],[Alliance]],TBA_Matches_All[Scouted],"&gt;0")</f>
        <v>12.948928571428571</v>
      </c>
      <c r="DC290" s="74">
        <f>(TBA_Matches_All[[#This Row],[TampT]]+TBA_Matches_All[[#This Row],[TspkrptsC]])-TBA_Matches_All[[#This Row],[AveTeamTNoteDels]]</f>
        <v>-0.4</v>
      </c>
      <c r="DD290" s="74">
        <f>SUMIFS(TBA_Matches_All[AveTeamTNoteDels],TBA_Matches_All[Match_Number],TBA_Matches_All[[#This Row],[Match_Number]],TBA_Matches_All[Alliance],"&lt;&gt;"&amp;TBA_Matches_All[[#This Row],[Alliance]])-TBA_Matches_All[[#This Row],[AveOppTNoteDels]]</f>
        <v>0</v>
      </c>
    </row>
    <row r="291" spans="1:108" x14ac:dyDescent="0.3">
      <c r="A291" t="s">
        <v>1042</v>
      </c>
      <c r="B291" t="s">
        <v>489</v>
      </c>
      <c r="C291" t="s">
        <v>1358</v>
      </c>
      <c r="D291">
        <v>49</v>
      </c>
      <c r="E291" t="s">
        <v>1420</v>
      </c>
      <c r="F291" t="s">
        <v>1421</v>
      </c>
      <c r="G291" t="s">
        <v>164</v>
      </c>
      <c r="H291" t="s">
        <v>1306</v>
      </c>
      <c r="I291" t="b">
        <v>1</v>
      </c>
      <c r="J291">
        <v>55</v>
      </c>
      <c r="K291">
        <v>1</v>
      </c>
      <c r="L291">
        <v>0</v>
      </c>
      <c r="M291">
        <v>5</v>
      </c>
      <c r="N291">
        <v>0</v>
      </c>
      <c r="O291">
        <v>2</v>
      </c>
      <c r="P291">
        <v>10</v>
      </c>
      <c r="Q291">
        <v>14</v>
      </c>
      <c r="R291">
        <v>5</v>
      </c>
      <c r="S291">
        <v>1</v>
      </c>
      <c r="T291">
        <v>10</v>
      </c>
      <c r="U291">
        <v>5</v>
      </c>
      <c r="V291">
        <v>20</v>
      </c>
      <c r="W291">
        <v>11</v>
      </c>
      <c r="X291">
        <v>25</v>
      </c>
      <c r="Y291">
        <v>30</v>
      </c>
      <c r="Z291">
        <v>0</v>
      </c>
      <c r="AA291">
        <v>0</v>
      </c>
      <c r="AB291">
        <v>18</v>
      </c>
      <c r="AC291">
        <v>40</v>
      </c>
      <c r="AD291">
        <v>7</v>
      </c>
      <c r="AE291">
        <f>IFERROR(6/(COUNTIF(Dyno_EndMatch[Match],TBA_Matches_All[[#This Row],[Match_Number]])),0)</f>
        <v>1</v>
      </c>
      <c r="AF291">
        <f>COUNTIFS(Dyno_Data[Team],TBA_Matches_All[[#This Row],[Team]],Dyno_Data[Match],TBA_Matches_All[[#This Row],[Match_Number]],Dyno_Data[RecordType],"EndMatch",Dyno_Data[HPAmp],"Y")</f>
        <v>0</v>
      </c>
      <c r="AG291">
        <f>SUMIFS(Dyno_Data[Mics], Dyno_Data[Team],TBA_Matches_All[[#This Row],[Team]],Dyno_Data[Match],TBA_Matches_All[[#This Row],[Match_Number]],Dyno_Data[RecordType],"EndMatch",Dyno_Data[HPAmp],"Y")</f>
        <v>0</v>
      </c>
      <c r="AH291">
        <f>SUMIFS(Dyno_Data[Leave], Dyno_Data[Team],TBA_Matches_All[[#This Row],[Team]],Dyno_Data[Match],TBA_Matches_All[[#This Row],[Match_Number]],Dyno_Data[RecordType],"EndAuto")</f>
        <v>1</v>
      </c>
      <c r="AI291">
        <f>COUNTIFS(Dyno_Data[Team],TBA_Matches_All[[#This Row],[Team]],Dyno_Data[Match],TBA_Matches_All[[#This Row],[Match_Number]],Dyno_Data[RecordType],"Activities",Dyno_Data[DelDest],"Amp", Dyno_Data[DelMiss],"0", Dyno_Data[Mode],"Auto")</f>
        <v>0</v>
      </c>
      <c r="AJ291">
        <f>COUNTIFS(Dyno_Data[Team],TBA_Matches_All[[#This Row],[Team]],Dyno_Data[Match],TBA_Matches_All[[#This Row],[Match_Number]],Dyno_Data[RecordType],"Activities",Dyno_Data[DelDest],"Spkr", Dyno_Data[DelMiss],"0", Dyno_Data[Mode],"Auto")</f>
        <v>1</v>
      </c>
      <c r="AK291">
        <f>COUNTIFS(Dyno_Data[Team],TBA_Matches_All[[#This Row],[Team]],Dyno_Data[Match],TBA_Matches_All[[#This Row],[Match_Number]],Dyno_Data[RecordType],"Activities",Dyno_Data[DelDest],"Trap", Dyno_Data[DelMiss],"0", Dyno_Data[Mode],"Auto")</f>
        <v>0</v>
      </c>
      <c r="AL291">
        <f>COUNTIFS(Dyno_Data[Team],TBA_Matches_All[[#This Row],[Team]],Dyno_Data[Match],TBA_Matches_All[[#This Row],[Match_Number]],Dyno_Data[RecordType],"Activities",Dyno_Data[DelDest],"Amp", Dyno_Data[DelMiss],"0", Dyno_Data[Mode],"Teleop")</f>
        <v>0</v>
      </c>
      <c r="AM291">
        <f>COUNTIFS(Dyno_Data[Team],TBA_Matches_All[[#This Row],[Team]],Dyno_Data[Match],TBA_Matches_All[[#This Row],[Match_Number]],Dyno_Data[RecordType],"Activities",Dyno_Data[DelDest],"Spkr", Dyno_Data[DelMiss],"0", Dyno_Data[Mode],"Teleop")</f>
        <v>8</v>
      </c>
      <c r="AN291">
        <f>COUNTIFS(Dyno_Data[Team],TBA_Matches_All[[#This Row],[Team]],Dyno_Data[Match],TBA_Matches_All[[#This Row],[Match_Number]],Dyno_Data[RecordType],"Activities",Dyno_Data[DelDest],"Trap", Dyno_Data[DelMiss],"0", Dyno_Data[Mode],"&lt;&gt;Auto")</f>
        <v>0</v>
      </c>
      <c r="AO291">
        <f>SUM(TBA_Matches_All[[#This Row],[AampT]]+TBA_Matches_All[[#This Row],[AspkrT]]+TBA_Matches_All[[#This Row],[AtrapT]]+TBA_Matches_All[[#This Row],[TampT]]+TBA_Matches_All[[#This Row],[TspkrT]]+TBA_Matches_All[[#This Row],[TtrapT]])</f>
        <v>9</v>
      </c>
      <c r="AP291">
        <f>COUNTIFS(Dyno_Data[Team],TBA_Matches_All[[#This Row],[Team]],Dyno_Data[Match],TBA_Matches_All[[#This Row],[Match_Number]],Dyno_Data[RecordType],"Activities",Dyno_Data[DelDest],"Neut", Dyno_Data[DelMiss],"0")</f>
        <v>0</v>
      </c>
      <c r="AQ291">
        <f>COUNTIFS(Dyno_Data[Team],TBA_Matches_All[[#This Row],[Team]],Dyno_Data[Match],TBA_Matches_All[[#This Row],[Match_Number]],Dyno_Data[RecordType],"Activities",Dyno_Data[DelDest],"AllyW", Dyno_Data[DelMiss],"0")</f>
        <v>0</v>
      </c>
      <c r="AR291" t="str">
        <f>_xlfn.XLOOKUP(SUM(MID(TBA_Matches_All[[#This Row],[Team]],4,5),(TBA_Matches_All[[#This Row],[Match_Number]]/100)),Dyno_EndMatch[teammat],Dyno_EndMatch[RobotSta],"_",0,1)</f>
        <v>OppS</v>
      </c>
      <c r="AS291">
        <f>SUMIFS(Dyno_Data[AcqDis], Dyno_Data[Team],TBA_Matches_All[[#This Row],[Team]],Dyno_Data[Match],TBA_Matches_All[[#This Row],[Match_Number]],Dyno_Data[RecordType],"Activities", Dyno_Data[AcqCenter],1,Dyno_Data[Mode],"Auto")</f>
        <v>-1</v>
      </c>
      <c r="AT291">
        <f>SUMIFS(Dyno_Data[AcqDis], Dyno_Data[Team],TBA_Matches_All[[#This Row],[Team]],Dyno_Data[Match],TBA_Matches_All[[#This Row],[Match_Number]],Dyno_Data[RecordType],"Activities", Dyno_Data[AcqCenter],2,Dyno_Data[Mode],"Auto")</f>
        <v>0</v>
      </c>
      <c r="AU291">
        <f>SUMIFS(Dyno_Data[AcqDis], Dyno_Data[Team],TBA_Matches_All[[#This Row],[Team]],Dyno_Data[Match],TBA_Matches_All[[#This Row],[Match_Number]],Dyno_Data[RecordType],"Activities", Dyno_Data[AcqCenter],3,Dyno_Data[Mode],"Auto")</f>
        <v>0</v>
      </c>
      <c r="AV291">
        <f>SUMIFS(Dyno_Data[AcqDis], Dyno_Data[Team],TBA_Matches_All[[#This Row],[Team]],Dyno_Data[Match],TBA_Matches_All[[#This Row],[Match_Number]],Dyno_Data[RecordType],"Activities", Dyno_Data[AcqCenter],4,Dyno_Data[Mode],"Auto")</f>
        <v>0</v>
      </c>
      <c r="AW291">
        <f>SUMIFS(Dyno_Data[AcqDis], Dyno_Data[Team],TBA_Matches_All[[#This Row],[Team]],Dyno_Data[Match],TBA_Matches_All[[#This Row],[Match_Number]],Dyno_Data[RecordType],"Activities", Dyno_Data[AcqCenter],5,Dyno_Data[Mode],"Auto")</f>
        <v>0</v>
      </c>
      <c r="AX291">
        <f>SUMIFS(Dyno_Data[DelMiss], Dyno_Data[Team],TBA_Matches_All[[#This Row],[Team]],Dyno_Data[Match],TBA_Matches_All[[#This Row],[Match_Number]],Dyno_Data[RecordType],"Activities", Dyno_Data[DelDest],"Amp")</f>
        <v>0</v>
      </c>
      <c r="AY291" s="60">
        <f>IFERROR(SUM((TBA_Matches_All[[#This Row],[AampT]]+TBA_Matches_All[[#This Row],[TampT]])/(TBA_Matches_All[[#This Row],[AampT]]+TBA_Matches_All[[#This Row],[TampT]]+TBA_Matches_All[[#This Row],[ampM]])),0)</f>
        <v>0</v>
      </c>
      <c r="AZ291">
        <f>SUMIFS(Dyno_Data[DelMiss], Dyno_Data[Team],TBA_Matches_All[[#This Row],[Team]],Dyno_Data[Match],TBA_Matches_All[[#This Row],[Match_Number]],Dyno_Data[RecordType],"Activities", Dyno_Data[DelDest],"Spkr")</f>
        <v>0</v>
      </c>
      <c r="BA291" s="60">
        <f>IFERROR(SUM((TBA_Matches_All[[#This Row],[AspkrT]]+TBA_Matches_All[[#This Row],[TspkrT]])/(TBA_Matches_All[[#This Row],[AspkrT]]+TBA_Matches_All[[#This Row],[TspkrT]]+TBA_Matches_All[[#This Row],[spkrM]])),0)</f>
        <v>1</v>
      </c>
      <c r="BB291">
        <f>SUMIFS(Dyno_Data[DelMiss], Dyno_Data[Team],TBA_Matches_All[[#This Row],[Team]],Dyno_Data[Match],TBA_Matches_All[[#This Row],[Match_Number]],Dyno_Data[RecordType],"Activities", Dyno_Data[DelDest],"Trap")</f>
        <v>0</v>
      </c>
      <c r="BC291" s="60">
        <f>IFERROR((TBA_Matches_All[[#This Row],[AtrapT]]+TBA_Matches_All[[#This Row],[TtrapT]])/(TBA_Matches_All[[#This Row],[AtrapT]]+TBA_Matches_All[[#This Row],[TtrapT]]+TBA_Matches_All[[#This Row],[trapM]]),0)</f>
        <v>0</v>
      </c>
      <c r="BD291">
        <f>COUNTIFS(Dyno_Data[Team],TBA_Matches_All[[#This Row],[Team]],Dyno_Data[Match],TBA_Matches_All[[#This Row],[Match_Number]],Dyno_Data[RecordType],"Activities",Dyno_Data[DelDest],"Neut", Dyno_Data[DelMiss],1)</f>
        <v>0</v>
      </c>
      <c r="BE291" s="60">
        <f>IFERROR(SUM((TBA_Matches_All[[#This Row],[NeutFlrT]])/(TBA_Matches_All[[#This Row],[NeutFlrT]]+TBA_Matches_All[[#This Row],[NZflM]])),0)</f>
        <v>0</v>
      </c>
      <c r="BF291">
        <f>COUNTIFS(Dyno_Data[Team],TBA_Matches_All[[#This Row],[Team]],Dyno_Data[Match],TBA_Matches_All[[#This Row],[Match_Number]],Dyno_Data[RecordType],"Activities",Dyno_Data[DelDest],"AllyW", Dyno_Data[DelMiss],1)</f>
        <v>0</v>
      </c>
      <c r="BG291" s="60">
        <f>IFERROR(SUM((TBA_Matches_All[[#This Row],[AllyWFlrT]])/(TBA_Matches_All[[#This Row],[AllyWFlrT]]+TBA_Matches_All[[#This Row],[AZflM]])),0)</f>
        <v>0</v>
      </c>
      <c r="BH291">
        <f>COUNTIFS(Dyno_Data[Team],TBA_Matches_All[[#This Row],[Team]],Dyno_Data[Match],TBA_Matches_All[[#This Row],[Match_Number]],Dyno_Data[RecordType],"Activities",Dyno_Data[DelOrig],"OppW", Dyno_Data[DelMiss],"0")</f>
        <v>0</v>
      </c>
      <c r="BI291">
        <f>COUNTIFS(Dyno_Data[Team],TBA_Matches_All[[#This Row],[Team]],Dyno_Data[Match],TBA_Matches_All[[#This Row],[Match_Number]],Dyno_Data[RecordType],"Activities",Dyno_Data[DelOrig],"OppW", Dyno_Data[DelMiss],"1")</f>
        <v>0</v>
      </c>
      <c r="BJ291" s="60">
        <f>IFERROR(SUM((TBA_Matches_All[[#This Row],[OZflrT]])/(TBA_Matches_All[[#This Row],[OZflrT]]+TBA_Matches_All[[#This Row],[OZflrM]])),0)</f>
        <v>0</v>
      </c>
      <c r="BK291">
        <f>COUNTIFS(Dyno_Data[Team],TBA_Matches_All[[#This Row],[Team]],Dyno_Data[Match],TBA_Matches_All[[#This Row],[Match_Number]],Dyno_Data[RecordType],"Activities",Dyno_Data[DelOrig],"Neut", Dyno_Data[DelMiss],"0")</f>
        <v>0</v>
      </c>
      <c r="BL291">
        <f>COUNTIFS(Dyno_Data[Team],TBA_Matches_All[[#This Row],[Team]],Dyno_Data[Match],TBA_Matches_All[[#This Row],[Match_Number]],Dyno_Data[RecordType],"Activities",Dyno_Data[DelOrig],"Neut", Dyno_Data[DelMiss],"1")</f>
        <v>0</v>
      </c>
      <c r="BM291" s="60">
        <f>IFERROR(SUM((TBA_Matches_All[[#This Row],[NZflrT]])/(TBA_Matches_All[[#This Row],[NZflrT]]+TBA_Matches_All[[#This Row],[NZflrM]])),0)</f>
        <v>0</v>
      </c>
      <c r="BN291">
        <f>COUNTIFS(Dyno_Data[Team],TBA_Matches_All[[#This Row],[Team]],Dyno_Data[Match],TBA_Matches_All[[#This Row],[Match_Number]],Dyno_Data[RecordType],"Activities",Dyno_Data[DelOrig],"AllyW", Dyno_Data[DelMiss],"0")</f>
        <v>9</v>
      </c>
      <c r="BO291">
        <f>COUNTIFS(Dyno_Data[Team],TBA_Matches_All[[#This Row],[Team]],Dyno_Data[Match],TBA_Matches_All[[#This Row],[Match_Number]],Dyno_Data[RecordType],"Activities",Dyno_Data[DelOrig],"AllyW", Dyno_Data[DelMiss],"1")</f>
        <v>0</v>
      </c>
      <c r="BP291" s="60">
        <f>IFERROR(SUM((TBA_Matches_All[[#This Row],[AZflrT]])/(TBA_Matches_All[[#This Row],[AZflrT]]+TBA_Matches_All[[#This Row],[AZflrM]])),0)</f>
        <v>1</v>
      </c>
      <c r="BQ291">
        <f>COUNTIFS(Dyno_Data[Team],TBA_Matches_All[[#This Row],[Team]],Dyno_Data[Match],TBA_Matches_All[[#This Row],[Match_Number]],Dyno_Data[RecordType],"Activities",Dyno_Data[DelOrig],"SubW", Dyno_Data[DelMiss],"0")</f>
        <v>0</v>
      </c>
      <c r="BR291">
        <f>COUNTIFS(Dyno_Data[Team],TBA_Matches_All[[#This Row],[Team]],Dyno_Data[Match],TBA_Matches_All[[#This Row],[Match_Number]],Dyno_Data[RecordType],"Activities",Dyno_Data[DelOrig],"SubW", Dyno_Data[DelMiss],"1")</f>
        <v>0</v>
      </c>
      <c r="BS291" s="60">
        <f>IFERROR(SUM((TBA_Matches_All[[#This Row],[SubwT]])/(TBA_Matches_All[[#This Row],[SubwT]]+TBA_Matches_All[[#This Row],[SubwM]])),0)</f>
        <v>0</v>
      </c>
      <c r="BT291">
        <f>COUNTIFS(Dyno_Data[Team],TBA_Matches_All[[#This Row],[Team]],Dyno_Data[Match],TBA_Matches_All[[#This Row],[Match_Number]],Dyno_Data[RecordType],"Activities", Dyno_Data[AcqLoc],"OppWing")</f>
        <v>0</v>
      </c>
      <c r="BU291">
        <f>COUNTIFS(Dyno_Data[Team],TBA_Matches_All[[#This Row],[Team]],Dyno_Data[Match],TBA_Matches_All[[#This Row],[Match_Number]],Dyno_Data[RecordType],"Activities", Dyno_Data[AcqLoc],"Neutral")</f>
        <v>1</v>
      </c>
      <c r="BV291">
        <f>COUNTIFS(Dyno_Data[Team],TBA_Matches_All[[#This Row],[Team]],Dyno_Data[Match],TBA_Matches_All[[#This Row],[Match_Number]],Dyno_Data[RecordType],"Activities", Dyno_Data[AcqLoc],"AllyWing")</f>
        <v>0</v>
      </c>
      <c r="BW291">
        <f>COUNTIFS(Dyno_Data[Team],TBA_Matches_All[[#This Row],[Team]],Dyno_Data[Match],TBA_Matches_All[[#This Row],[Match_Number]],Dyno_Data[RecordType],"Activities", Dyno_Data[AcqLoc],"Source")</f>
        <v>0</v>
      </c>
      <c r="BX291">
        <f>SUMIFS(Dyno_Data[AcqDrp], Dyno_Data[Team],TBA_Matches_All[[#This Row],[Team]],Dyno_Data[Match],TBA_Matches_All[[#This Row],[Match_Number]],Dyno_Data[RecordType],"Activities", Dyno_Data[AcqLoc],"Source")</f>
        <v>0</v>
      </c>
      <c r="BY291">
        <f>SUMIFS(Dyno_Data[OZTime], Dyno_Data[Team],TBA_Matches_All[[#This Row],[Team]],Dyno_Data[Match],TBA_Matches_All[[#This Row],[Match_Number]],Dyno_Data[RecordType],"EndMatch")</f>
        <v>32.1402967</v>
      </c>
      <c r="BZ291">
        <f>SUMIFS(Dyno_Data[NZTime], Dyno_Data[Team],TBA_Matches_All[[#This Row],[Team]],Dyno_Data[Match],TBA_Matches_All[[#This Row],[Match_Number]],Dyno_Data[RecordType],"EndMatch")</f>
        <v>25.424280799999998</v>
      </c>
      <c r="CA291">
        <f>SUMIFS(Dyno_Data[AZTime], Dyno_Data[Team],TBA_Matches_All[[#This Row],[Team]],Dyno_Data[Match],TBA_Matches_All[[#This Row],[Match_Number]],Dyno_Data[RecordType],"EndMatch")</f>
        <v>70.168298800000002</v>
      </c>
      <c r="CB291">
        <f>SUMIFS(Dyno_Data[ClimbT], Dyno_Data[Team],TBA_Matches_All[[#This Row],[Team]],Dyno_Data[Match],TBA_Matches_All[[#This Row],[Match_Number]],Dyno_Data[RecordType],"EndMatch")</f>
        <v>8.298503199999999</v>
      </c>
      <c r="CC291" t="str">
        <f>_xlfn.XLOOKUP(SUM(MID(TBA_Matches_All[[#This Row],[Team]],4,5),(TBA_Matches_All[[#This Row],[Match_Number]]/100)),Dyno_EndMatch[teammat],Dyno_EndMatch[StageStat],"_",0,1)</f>
        <v>On</v>
      </c>
      <c r="CD291" t="str">
        <f>_xlfn.XLOOKUP(TBA_Matches_All[[#This Row],[teammat]],Dyno_EndMatch[teammat],Dyno_EndMatch[StageAtt],"_",0,1)</f>
        <v>1</v>
      </c>
      <c r="CE291" t="str">
        <f>_xlfn.XLOOKUP(TBA_Matches_All[[#This Row],[teammat]],Dyno_EndMatch[teammat],Dyno_EndMatch[StageLoc],"_",0,1)</f>
        <v>R</v>
      </c>
      <c r="CF291">
        <f>SUMIFS(Dyno_Data[Harmony], Dyno_Data[Team],TBA_Matches_All[[#This Row],[Team]],Dyno_Data[Match],TBA_Matches_All[[#This Row],[Match_Number]],Dyno_Data[RecordType],"EndMatch", Dyno_Data[StageStat],"On",Dyno_Data[Harmony],"&lt;&gt;9")</f>
        <v>0</v>
      </c>
      <c r="CG291">
        <f>SUMIFS(Dyno_Data[Spotlit], Dyno_Data[Team],TBA_Matches_All[[#This Row],[Team]],Dyno_Data[Match],TBA_Matches_All[[#This Row],[Match_Number]],Dyno_Data[RecordType],"EndMatch", Dyno_Data[StageStat],"On",Dyno_Data[Spotlit],"&lt;&gt;9")</f>
        <v>0</v>
      </c>
      <c r="CH291" t="str">
        <f>_xlfn.XLOOKUP(TBA_Matches_All[[#This Row],[teammat]],Dyno_EndMatch[teammat],Dyno_EndMatch[Strategy],"_",0,1)</f>
        <v>Hybrid</v>
      </c>
      <c r="CI291">
        <f>SUMIFS(Dyno_Data[Defense], Dyno_Data[Team],TBA_Matches_All[[#This Row],[Team]],Dyno_Data[Match],TBA_Matches_All[[#This Row],[Match_Number]],Dyno_Data[RecordType],"EndMatch",Dyno_Data[Defense],"&lt;&gt;9")</f>
        <v>0</v>
      </c>
      <c r="CJ291">
        <f>SUMIFS(Dyno_Data[Avoidance], Dyno_Data[Team],TBA_Matches_All[[#This Row],[Team]],Dyno_Data[Match],TBA_Matches_All[[#This Row],[Match_Number]],Dyno_Data[RecordType],"EndMatch",Dyno_Data[Avoidance],"&lt;&gt;9")</f>
        <v>0</v>
      </c>
      <c r="CK291" s="82">
        <f>COUNTIF($H$2:TBA_Matches_All[[#This Row],[Team]],TBA_Matches_All[[#This Row],[Team]])</f>
        <v>6</v>
      </c>
      <c r="CL291" s="111">
        <f>SUM(MID(TBA_Matches_All[[#This Row],[Team]],4,5)+TBA_Matches_All[[#This Row],[Match_Number]]/100)</f>
        <v>3986.49</v>
      </c>
      <c r="CM291">
        <f>SUM((TBA_Matches_All[[#This Row],[Leave]]*2)+(TBA_Matches_All[[#This Row],[AampT]]*2)+(TBA_Matches_All[[#This Row],[AspkrT]]*5)+(TBA_Matches_All[[#This Row],[AtrapT]]*5))</f>
        <v>7</v>
      </c>
      <c r="CN291" s="59">
        <f>IFERROR(SUM(TBA_Matches_All[[#This Row],[AptsT]]/TBA_Matches_All[[#This Row],[AutoPts]]),0)</f>
        <v>0.5</v>
      </c>
      <c r="CO291" s="59">
        <f>IFERROR(SUM(TBA_Matches_All[[#This Row],[AampT]]+TBA_Matches_All[[#This Row],[AspkrT]]+TBA_Matches_All[[#This Row],[AtrapT]]/TBA_Matches_All[[#This Row],[Aamp]]+TBA_Matches_All[[#This Row],[Aspkr]]+TBA_Matches_All[[#This Row],[AtrapT]]),0)</f>
        <v>0</v>
      </c>
      <c r="CP291" s="59">
        <f>IFERROR(SUM(TBA_Matches_All[[#This Row],[TampT]]/TBA_Matches_All[[#This Row],[Tamp]]),0)</f>
        <v>0</v>
      </c>
      <c r="CQ291" s="59">
        <f>IFERROR(SUM(TBA_Matches_All[[#This Row],[TspkrT]]/TBA_Matches_All[[#This Row],[Tspkr]]),0)</f>
        <v>0.72727272727272729</v>
      </c>
      <c r="CR291">
        <f>SUM(TBA_Matches_All[[#This Row],[TspkrPts]]*TBA_Matches_All[[#This Row],[TspkrP]])</f>
        <v>18.181818181818183</v>
      </c>
      <c r="CS291" s="59">
        <f>IFERROR(SUM(TBA_Matches_All[[#This Row],[TtrapT]]/TBA_Matches_All[[#This Row],[Trap]]),0)</f>
        <v>0</v>
      </c>
      <c r="CT291" s="59">
        <f>IFERROR(SUM(TBA_Matches_All[[#This Row],[TotNotesT]]/TBA_Matches_All[[#This Row],[TotNotes]]),0)</f>
        <v>0.5</v>
      </c>
      <c r="CU291" s="66">
        <f>SUM((TBA_Matches_All[[#This Row],[AampT]]*2)+(TBA_Matches_All[[#This Row],[AspkrT]]*5)+(TBA_Matches_All[[#This Row],[AtrapT]]*5)+(TBA_Matches_All[[#This Row],[TampT]]*1)+(TBA_Matches_All[[#This Row],[TspkrptsC]]))</f>
        <v>23.181818181818183</v>
      </c>
      <c r="CV291" s="59">
        <f>IFERROR(TBA_Matches_All[[#This Row],[noteptsT]]/TBA_Matches_All[[#This Row],[NotePts]],0)</f>
        <v>0.57954545454545459</v>
      </c>
      <c r="CW291">
        <f>SUM(IF(TBA_Matches_All[[#This Row],[stageStat]]="On",3,0),IF(TBA_Matches_All[[#This Row],[stageStat]]="Park",1,0),SUMIFS(TBA_Matches_All[[#This Row],[Spotlit]],TBA_Matches_All[[#This Row],[stageStat]],"On"),SUMIFS(TBA_Matches_All[[#This Row],[Harmony]],TBA_Matches_All[[#This Row],[stageStat]],"On"))</f>
        <v>3</v>
      </c>
      <c r="CX291" s="59">
        <f>IFERROR(TBA_Matches_All[[#This Row],[stageptsT]]/TBA_Matches_All[[#This Row],[StagePts]],0)</f>
        <v>0.42857142857142855</v>
      </c>
      <c r="CY291">
        <f>SUM((TBA_Matches_All[[#This Row],[AptsT]]+TBA_Matches_All[[#This Row],[TampT]]+TBA_Matches_All[[#This Row],[TspkrptsC]]+(TBA_Matches_All[[#This Row],[TtrapT]]*5)+TBA_Matches_All[[#This Row],[stageptsT]]))</f>
        <v>28.181818181818183</v>
      </c>
      <c r="CZ291" s="59">
        <f>IFERROR(SUM(TBA_Matches_All[[#This Row],[TotptsC]]/TBA_Matches_All[[#This Row],[Score]]),0)</f>
        <v>0.5123966942148761</v>
      </c>
      <c r="DA29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5.6000000000000005</v>
      </c>
      <c r="DB291" s="74">
        <f>SUMIFS(TBA_Matches_All[AveTeamTNoteDels],TBA_Matches_All[Match_Number],TBA_Matches_All[[#This Row],[Match_Number]],TBA_Matches_All[Alliance],"&lt;&gt;"&amp;TBA_Matches_All[[#This Row],[Alliance]],TBA_Matches_All[Scouted],"&gt;0")</f>
        <v>11.087121212121211</v>
      </c>
      <c r="DC291" s="74">
        <f>(TBA_Matches_All[[#This Row],[TampT]]+TBA_Matches_All[[#This Row],[TspkrptsC]])-TBA_Matches_All[[#This Row],[AveTeamTNoteDels]]</f>
        <v>12.581818181818182</v>
      </c>
      <c r="DD291" s="74">
        <f>SUMIFS(TBA_Matches_All[AveTeamTNoteDels],TBA_Matches_All[Match_Number],TBA_Matches_All[[#This Row],[Match_Number]],TBA_Matches_All[Alliance],"&lt;&gt;"&amp;TBA_Matches_All[[#This Row],[Alliance]])-TBA_Matches_All[[#This Row],[AveOppTNoteDels]]</f>
        <v>0</v>
      </c>
    </row>
    <row r="292" spans="1:108" x14ac:dyDescent="0.3">
      <c r="A292" t="s">
        <v>1042</v>
      </c>
      <c r="B292" t="s">
        <v>489</v>
      </c>
      <c r="C292" t="s">
        <v>1358</v>
      </c>
      <c r="D292">
        <v>49</v>
      </c>
      <c r="E292" t="s">
        <v>1406</v>
      </c>
      <c r="F292" t="s">
        <v>1422</v>
      </c>
      <c r="G292" t="s">
        <v>105</v>
      </c>
      <c r="H292" t="s">
        <v>1279</v>
      </c>
      <c r="I292" t="b">
        <v>0</v>
      </c>
      <c r="J292">
        <v>51</v>
      </c>
      <c r="K292">
        <v>0</v>
      </c>
      <c r="L292">
        <v>0</v>
      </c>
      <c r="M292">
        <v>4</v>
      </c>
      <c r="N292">
        <v>0</v>
      </c>
      <c r="O292">
        <v>3</v>
      </c>
      <c r="P292">
        <v>15</v>
      </c>
      <c r="Q292">
        <v>19</v>
      </c>
      <c r="R292">
        <v>1</v>
      </c>
      <c r="S292">
        <v>0</v>
      </c>
      <c r="T292">
        <v>12</v>
      </c>
      <c r="U292">
        <v>0</v>
      </c>
      <c r="V292">
        <v>24</v>
      </c>
      <c r="W292">
        <v>12</v>
      </c>
      <c r="X292">
        <v>24</v>
      </c>
      <c r="Y292">
        <v>25</v>
      </c>
      <c r="Z292">
        <v>0</v>
      </c>
      <c r="AA292">
        <v>0</v>
      </c>
      <c r="AB292">
        <v>16</v>
      </c>
      <c r="AC292">
        <v>40</v>
      </c>
      <c r="AD292">
        <v>2</v>
      </c>
      <c r="AE292">
        <f>IFERROR(6/(COUNTIF(Dyno_EndMatch[Match],TBA_Matches_All[[#This Row],[Match_Number]])),0)</f>
        <v>1</v>
      </c>
      <c r="AF292">
        <f>COUNTIFS(Dyno_Data[Team],TBA_Matches_All[[#This Row],[Team]],Dyno_Data[Match],TBA_Matches_All[[#This Row],[Match_Number]],Dyno_Data[RecordType],"EndMatch",Dyno_Data[HPAmp],"Y")</f>
        <v>1</v>
      </c>
      <c r="AG292">
        <f>SUMIFS(Dyno_Data[Mics], Dyno_Data[Team],TBA_Matches_All[[#This Row],[Team]],Dyno_Data[Match],TBA_Matches_All[[#This Row],[Match_Number]],Dyno_Data[RecordType],"EndMatch",Dyno_Data[HPAmp],"Y")</f>
        <v>0</v>
      </c>
      <c r="AH292">
        <f>SUMIFS(Dyno_Data[Leave], Dyno_Data[Team],TBA_Matches_All[[#This Row],[Team]],Dyno_Data[Match],TBA_Matches_All[[#This Row],[Match_Number]],Dyno_Data[RecordType],"EndAuto")</f>
        <v>1</v>
      </c>
      <c r="AI292">
        <f>COUNTIFS(Dyno_Data[Team],TBA_Matches_All[[#This Row],[Team]],Dyno_Data[Match],TBA_Matches_All[[#This Row],[Match_Number]],Dyno_Data[RecordType],"Activities",Dyno_Data[DelDest],"Amp", Dyno_Data[DelMiss],"0", Dyno_Data[Mode],"Auto")</f>
        <v>0</v>
      </c>
      <c r="AJ292">
        <f>COUNTIFS(Dyno_Data[Team],TBA_Matches_All[[#This Row],[Team]],Dyno_Data[Match],TBA_Matches_All[[#This Row],[Match_Number]],Dyno_Data[RecordType],"Activities",Dyno_Data[DelDest],"Spkr", Dyno_Data[DelMiss],"0", Dyno_Data[Mode],"Auto")</f>
        <v>1</v>
      </c>
      <c r="AK292">
        <f>COUNTIFS(Dyno_Data[Team],TBA_Matches_All[[#This Row],[Team]],Dyno_Data[Match],TBA_Matches_All[[#This Row],[Match_Number]],Dyno_Data[RecordType],"Activities",Dyno_Data[DelDest],"Trap", Dyno_Data[DelMiss],"0", Dyno_Data[Mode],"Auto")</f>
        <v>0</v>
      </c>
      <c r="AL292">
        <f>COUNTIFS(Dyno_Data[Team],TBA_Matches_All[[#This Row],[Team]],Dyno_Data[Match],TBA_Matches_All[[#This Row],[Match_Number]],Dyno_Data[RecordType],"Activities",Dyno_Data[DelDest],"Amp", Dyno_Data[DelMiss],"0", Dyno_Data[Mode],"Teleop")</f>
        <v>0</v>
      </c>
      <c r="AM292">
        <f>COUNTIFS(Dyno_Data[Team],TBA_Matches_All[[#This Row],[Team]],Dyno_Data[Match],TBA_Matches_All[[#This Row],[Match_Number]],Dyno_Data[RecordType],"Activities",Dyno_Data[DelDest],"Spkr", Dyno_Data[DelMiss],"0", Dyno_Data[Mode],"Teleop")</f>
        <v>0</v>
      </c>
      <c r="AN292">
        <f>COUNTIFS(Dyno_Data[Team],TBA_Matches_All[[#This Row],[Team]],Dyno_Data[Match],TBA_Matches_All[[#This Row],[Match_Number]],Dyno_Data[RecordType],"Activities",Dyno_Data[DelDest],"Trap", Dyno_Data[DelMiss],"0", Dyno_Data[Mode],"&lt;&gt;Auto")</f>
        <v>0</v>
      </c>
      <c r="AO292">
        <f>SUM(TBA_Matches_All[[#This Row],[AampT]]+TBA_Matches_All[[#This Row],[AspkrT]]+TBA_Matches_All[[#This Row],[AtrapT]]+TBA_Matches_All[[#This Row],[TampT]]+TBA_Matches_All[[#This Row],[TspkrT]]+TBA_Matches_All[[#This Row],[TtrapT]])</f>
        <v>1</v>
      </c>
      <c r="AP292">
        <f>COUNTIFS(Dyno_Data[Team],TBA_Matches_All[[#This Row],[Team]],Dyno_Data[Match],TBA_Matches_All[[#This Row],[Match_Number]],Dyno_Data[RecordType],"Activities",Dyno_Data[DelDest],"Neut", Dyno_Data[DelMiss],"0")</f>
        <v>0</v>
      </c>
      <c r="AQ292">
        <f>COUNTIFS(Dyno_Data[Team],TBA_Matches_All[[#This Row],[Team]],Dyno_Data[Match],TBA_Matches_All[[#This Row],[Match_Number]],Dyno_Data[RecordType],"Activities",Dyno_Data[DelDest],"AllyW", Dyno_Data[DelMiss],"0")</f>
        <v>0</v>
      </c>
      <c r="AR292" t="str">
        <f>_xlfn.XLOOKUP(SUM(MID(TBA_Matches_All[[#This Row],[Team]],4,5),(TBA_Matches_All[[#This Row],[Match_Number]]/100)),Dyno_EndMatch[teammat],Dyno_EndMatch[RobotSta],"_",0,1)</f>
        <v>Amp</v>
      </c>
      <c r="AS292">
        <f>SUMIFS(Dyno_Data[AcqDis], Dyno_Data[Team],TBA_Matches_All[[#This Row],[Team]],Dyno_Data[Match],TBA_Matches_All[[#This Row],[Match_Number]],Dyno_Data[RecordType],"Activities", Dyno_Data[AcqCenter],1,Dyno_Data[Mode],"Auto")</f>
        <v>0</v>
      </c>
      <c r="AT292">
        <f>SUMIFS(Dyno_Data[AcqDis], Dyno_Data[Team],TBA_Matches_All[[#This Row],[Team]],Dyno_Data[Match],TBA_Matches_All[[#This Row],[Match_Number]],Dyno_Data[RecordType],"Activities", Dyno_Data[AcqCenter],2,Dyno_Data[Mode],"Auto")</f>
        <v>0</v>
      </c>
      <c r="AU292">
        <f>SUMIFS(Dyno_Data[AcqDis], Dyno_Data[Team],TBA_Matches_All[[#This Row],[Team]],Dyno_Data[Match],TBA_Matches_All[[#This Row],[Match_Number]],Dyno_Data[RecordType],"Activities", Dyno_Data[AcqCenter],3,Dyno_Data[Mode],"Auto")</f>
        <v>0</v>
      </c>
      <c r="AV292">
        <f>SUMIFS(Dyno_Data[AcqDis], Dyno_Data[Team],TBA_Matches_All[[#This Row],[Team]],Dyno_Data[Match],TBA_Matches_All[[#This Row],[Match_Number]],Dyno_Data[RecordType],"Activities", Dyno_Data[AcqCenter],4,Dyno_Data[Mode],"Auto")</f>
        <v>0</v>
      </c>
      <c r="AW292">
        <f>SUMIFS(Dyno_Data[AcqDis], Dyno_Data[Team],TBA_Matches_All[[#This Row],[Team]],Dyno_Data[Match],TBA_Matches_All[[#This Row],[Match_Number]],Dyno_Data[RecordType],"Activities", Dyno_Data[AcqCenter],5,Dyno_Data[Mode],"Auto")</f>
        <v>0</v>
      </c>
      <c r="AX292">
        <f>SUMIFS(Dyno_Data[DelMiss], Dyno_Data[Team],TBA_Matches_All[[#This Row],[Team]],Dyno_Data[Match],TBA_Matches_All[[#This Row],[Match_Number]],Dyno_Data[RecordType],"Activities", Dyno_Data[DelDest],"Amp")</f>
        <v>0</v>
      </c>
      <c r="AY292" s="60">
        <f>IFERROR(SUM((TBA_Matches_All[[#This Row],[AampT]]+TBA_Matches_All[[#This Row],[TampT]])/(TBA_Matches_All[[#This Row],[AampT]]+TBA_Matches_All[[#This Row],[TampT]]+TBA_Matches_All[[#This Row],[ampM]])),0)</f>
        <v>0</v>
      </c>
      <c r="AZ292">
        <f>SUMIFS(Dyno_Data[DelMiss], Dyno_Data[Team],TBA_Matches_All[[#This Row],[Team]],Dyno_Data[Match],TBA_Matches_All[[#This Row],[Match_Number]],Dyno_Data[RecordType],"Activities", Dyno_Data[DelDest],"Spkr")</f>
        <v>1</v>
      </c>
      <c r="BA292" s="60">
        <f>IFERROR(SUM((TBA_Matches_All[[#This Row],[AspkrT]]+TBA_Matches_All[[#This Row],[TspkrT]])/(TBA_Matches_All[[#This Row],[AspkrT]]+TBA_Matches_All[[#This Row],[TspkrT]]+TBA_Matches_All[[#This Row],[spkrM]])),0)</f>
        <v>0.5</v>
      </c>
      <c r="BB292">
        <f>SUMIFS(Dyno_Data[DelMiss], Dyno_Data[Team],TBA_Matches_All[[#This Row],[Team]],Dyno_Data[Match],TBA_Matches_All[[#This Row],[Match_Number]],Dyno_Data[RecordType],"Activities", Dyno_Data[DelDest],"Trap")</f>
        <v>0</v>
      </c>
      <c r="BC292" s="60">
        <f>IFERROR((TBA_Matches_All[[#This Row],[AtrapT]]+TBA_Matches_All[[#This Row],[TtrapT]])/(TBA_Matches_All[[#This Row],[AtrapT]]+TBA_Matches_All[[#This Row],[TtrapT]]+TBA_Matches_All[[#This Row],[trapM]]),0)</f>
        <v>0</v>
      </c>
      <c r="BD292">
        <f>COUNTIFS(Dyno_Data[Team],TBA_Matches_All[[#This Row],[Team]],Dyno_Data[Match],TBA_Matches_All[[#This Row],[Match_Number]],Dyno_Data[RecordType],"Activities",Dyno_Data[DelDest],"Neut", Dyno_Data[DelMiss],1)</f>
        <v>0</v>
      </c>
      <c r="BE292" s="60">
        <f>IFERROR(SUM((TBA_Matches_All[[#This Row],[NeutFlrT]])/(TBA_Matches_All[[#This Row],[NeutFlrT]]+TBA_Matches_All[[#This Row],[NZflM]])),0)</f>
        <v>0</v>
      </c>
      <c r="BF292">
        <f>COUNTIFS(Dyno_Data[Team],TBA_Matches_All[[#This Row],[Team]],Dyno_Data[Match],TBA_Matches_All[[#This Row],[Match_Number]],Dyno_Data[RecordType],"Activities",Dyno_Data[DelDest],"AllyW", Dyno_Data[DelMiss],1)</f>
        <v>0</v>
      </c>
      <c r="BG292" s="60">
        <f>IFERROR(SUM((TBA_Matches_All[[#This Row],[AllyWFlrT]])/(TBA_Matches_All[[#This Row],[AllyWFlrT]]+TBA_Matches_All[[#This Row],[AZflM]])),0)</f>
        <v>0</v>
      </c>
      <c r="BH292">
        <f>COUNTIFS(Dyno_Data[Team],TBA_Matches_All[[#This Row],[Team]],Dyno_Data[Match],TBA_Matches_All[[#This Row],[Match_Number]],Dyno_Data[RecordType],"Activities",Dyno_Data[DelOrig],"OppW", Dyno_Data[DelMiss],"0")</f>
        <v>0</v>
      </c>
      <c r="BI292">
        <f>COUNTIFS(Dyno_Data[Team],TBA_Matches_All[[#This Row],[Team]],Dyno_Data[Match],TBA_Matches_All[[#This Row],[Match_Number]],Dyno_Data[RecordType],"Activities",Dyno_Data[DelOrig],"OppW", Dyno_Data[DelMiss],"1")</f>
        <v>0</v>
      </c>
      <c r="BJ292" s="60">
        <f>IFERROR(SUM((TBA_Matches_All[[#This Row],[OZflrT]])/(TBA_Matches_All[[#This Row],[OZflrT]]+TBA_Matches_All[[#This Row],[OZflrM]])),0)</f>
        <v>0</v>
      </c>
      <c r="BK292">
        <f>COUNTIFS(Dyno_Data[Team],TBA_Matches_All[[#This Row],[Team]],Dyno_Data[Match],TBA_Matches_All[[#This Row],[Match_Number]],Dyno_Data[RecordType],"Activities",Dyno_Data[DelOrig],"Neut", Dyno_Data[DelMiss],"0")</f>
        <v>0</v>
      </c>
      <c r="BL292">
        <f>COUNTIFS(Dyno_Data[Team],TBA_Matches_All[[#This Row],[Team]],Dyno_Data[Match],TBA_Matches_All[[#This Row],[Match_Number]],Dyno_Data[RecordType],"Activities",Dyno_Data[DelOrig],"Neut", Dyno_Data[DelMiss],"1")</f>
        <v>0</v>
      </c>
      <c r="BM292" s="60">
        <f>IFERROR(SUM((TBA_Matches_All[[#This Row],[NZflrT]])/(TBA_Matches_All[[#This Row],[NZflrT]]+TBA_Matches_All[[#This Row],[NZflrM]])),0)</f>
        <v>0</v>
      </c>
      <c r="BN292">
        <f>COUNTIFS(Dyno_Data[Team],TBA_Matches_All[[#This Row],[Team]],Dyno_Data[Match],TBA_Matches_All[[#This Row],[Match_Number]],Dyno_Data[RecordType],"Activities",Dyno_Data[DelOrig],"AllyW", Dyno_Data[DelMiss],"0")</f>
        <v>0</v>
      </c>
      <c r="BO292">
        <f>COUNTIFS(Dyno_Data[Team],TBA_Matches_All[[#This Row],[Team]],Dyno_Data[Match],TBA_Matches_All[[#This Row],[Match_Number]],Dyno_Data[RecordType],"Activities",Dyno_Data[DelOrig],"AllyW", Dyno_Data[DelMiss],"1")</f>
        <v>0</v>
      </c>
      <c r="BP292" s="60">
        <f>IFERROR(SUM((TBA_Matches_All[[#This Row],[AZflrT]])/(TBA_Matches_All[[#This Row],[AZflrT]]+TBA_Matches_All[[#This Row],[AZflrM]])),0)</f>
        <v>0</v>
      </c>
      <c r="BQ292">
        <f>COUNTIFS(Dyno_Data[Team],TBA_Matches_All[[#This Row],[Team]],Dyno_Data[Match],TBA_Matches_All[[#This Row],[Match_Number]],Dyno_Data[RecordType],"Activities",Dyno_Data[DelOrig],"SubW", Dyno_Data[DelMiss],"0")</f>
        <v>1</v>
      </c>
      <c r="BR292">
        <f>COUNTIFS(Dyno_Data[Team],TBA_Matches_All[[#This Row],[Team]],Dyno_Data[Match],TBA_Matches_All[[#This Row],[Match_Number]],Dyno_Data[RecordType],"Activities",Dyno_Data[DelOrig],"SubW", Dyno_Data[DelMiss],"1")</f>
        <v>1</v>
      </c>
      <c r="BS292" s="60">
        <f>IFERROR(SUM((TBA_Matches_All[[#This Row],[SubwT]])/(TBA_Matches_All[[#This Row],[SubwT]]+TBA_Matches_All[[#This Row],[SubwM]])),0)</f>
        <v>0.5</v>
      </c>
      <c r="BT292">
        <f>COUNTIFS(Dyno_Data[Team],TBA_Matches_All[[#This Row],[Team]],Dyno_Data[Match],TBA_Matches_All[[#This Row],[Match_Number]],Dyno_Data[RecordType],"Activities", Dyno_Data[AcqLoc],"OppWing")</f>
        <v>0</v>
      </c>
      <c r="BU292">
        <f>COUNTIFS(Dyno_Data[Team],TBA_Matches_All[[#This Row],[Team]],Dyno_Data[Match],TBA_Matches_All[[#This Row],[Match_Number]],Dyno_Data[RecordType],"Activities", Dyno_Data[AcqLoc],"Neutral")</f>
        <v>0</v>
      </c>
      <c r="BV292">
        <f>COUNTIFS(Dyno_Data[Team],TBA_Matches_All[[#This Row],[Team]],Dyno_Data[Match],TBA_Matches_All[[#This Row],[Match_Number]],Dyno_Data[RecordType],"Activities", Dyno_Data[AcqLoc],"AllyWing")</f>
        <v>0</v>
      </c>
      <c r="BW292">
        <f>COUNTIFS(Dyno_Data[Team],TBA_Matches_All[[#This Row],[Team]],Dyno_Data[Match],TBA_Matches_All[[#This Row],[Match_Number]],Dyno_Data[RecordType],"Activities", Dyno_Data[AcqLoc],"Source")</f>
        <v>0</v>
      </c>
      <c r="BX292">
        <f>SUMIFS(Dyno_Data[AcqDrp], Dyno_Data[Team],TBA_Matches_All[[#This Row],[Team]],Dyno_Data[Match],TBA_Matches_All[[#This Row],[Match_Number]],Dyno_Data[RecordType],"Activities", Dyno_Data[AcqLoc],"Source")</f>
        <v>0</v>
      </c>
      <c r="BY292">
        <f>SUMIFS(Dyno_Data[OZTime], Dyno_Data[Team],TBA_Matches_All[[#This Row],[Team]],Dyno_Data[Match],TBA_Matches_All[[#This Row],[Match_Number]],Dyno_Data[RecordType],"EndMatch")</f>
        <v>0</v>
      </c>
      <c r="BZ292">
        <f>SUMIFS(Dyno_Data[NZTime], Dyno_Data[Team],TBA_Matches_All[[#This Row],[Team]],Dyno_Data[Match],TBA_Matches_All[[#This Row],[Match_Number]],Dyno_Data[RecordType],"EndMatch")</f>
        <v>38.977489299999995</v>
      </c>
      <c r="CA292">
        <f>SUMIFS(Dyno_Data[AZTime], Dyno_Data[Team],TBA_Matches_All[[#This Row],[Team]],Dyno_Data[Match],TBA_Matches_All[[#This Row],[Match_Number]],Dyno_Data[RecordType],"EndMatch")</f>
        <v>109.9290254</v>
      </c>
      <c r="CB292">
        <f>SUMIFS(Dyno_Data[ClimbT], Dyno_Data[Team],TBA_Matches_All[[#This Row],[Team]],Dyno_Data[Match],TBA_Matches_All[[#This Row],[Match_Number]],Dyno_Data[RecordType],"EndMatch")</f>
        <v>0</v>
      </c>
      <c r="CC292" t="str">
        <f>_xlfn.XLOOKUP(SUM(MID(TBA_Matches_All[[#This Row],[Team]],4,5),(TBA_Matches_All[[#This Row],[Match_Number]]/100)),Dyno_EndMatch[teammat],Dyno_EndMatch[StageStat],"_",0,1)</f>
        <v>Park</v>
      </c>
      <c r="CD292" t="str">
        <f>_xlfn.XLOOKUP(TBA_Matches_All[[#This Row],[teammat]],Dyno_EndMatch[teammat],Dyno_EndMatch[StageAtt],"_",0,1)</f>
        <v>0</v>
      </c>
      <c r="CE292" t="str">
        <f>_xlfn.XLOOKUP(TBA_Matches_All[[#This Row],[teammat]],Dyno_EndMatch[teammat],Dyno_EndMatch[StageLoc],"_",0,1)</f>
        <v>A</v>
      </c>
      <c r="CF292">
        <f>SUMIFS(Dyno_Data[Harmony], Dyno_Data[Team],TBA_Matches_All[[#This Row],[Team]],Dyno_Data[Match],TBA_Matches_All[[#This Row],[Match_Number]],Dyno_Data[RecordType],"EndMatch", Dyno_Data[StageStat],"On",Dyno_Data[Harmony],"&lt;&gt;9")</f>
        <v>0</v>
      </c>
      <c r="CG292">
        <f>SUMIFS(Dyno_Data[Spotlit], Dyno_Data[Team],TBA_Matches_All[[#This Row],[Team]],Dyno_Data[Match],TBA_Matches_All[[#This Row],[Match_Number]],Dyno_Data[RecordType],"EndMatch", Dyno_Data[StageStat],"On",Dyno_Data[Spotlit],"&lt;&gt;9")</f>
        <v>0</v>
      </c>
      <c r="CH292" t="str">
        <f>_xlfn.XLOOKUP(TBA_Matches_All[[#This Row],[teammat]],Dyno_EndMatch[teammat],Dyno_EndMatch[Strategy],"_",0,1)</f>
        <v>Defense</v>
      </c>
      <c r="CI292">
        <f>SUMIFS(Dyno_Data[Defense], Dyno_Data[Team],TBA_Matches_All[[#This Row],[Team]],Dyno_Data[Match],TBA_Matches_All[[#This Row],[Match_Number]],Dyno_Data[RecordType],"EndMatch",Dyno_Data[Defense],"&lt;&gt;9")</f>
        <v>3</v>
      </c>
      <c r="CJ292">
        <f>SUMIFS(Dyno_Data[Avoidance], Dyno_Data[Team],TBA_Matches_All[[#This Row],[Team]],Dyno_Data[Match],TBA_Matches_All[[#This Row],[Match_Number]],Dyno_Data[RecordType],"EndMatch",Dyno_Data[Avoidance],"&lt;&gt;9")</f>
        <v>0</v>
      </c>
      <c r="CK292" s="82">
        <f>COUNTIF($H$2:TBA_Matches_All[[#This Row],[Team]],TBA_Matches_All[[#This Row],[Team]])</f>
        <v>6</v>
      </c>
      <c r="CL292" s="111">
        <f>SUM(MID(TBA_Matches_All[[#This Row],[Team]],4,5)+TBA_Matches_All[[#This Row],[Match_Number]]/100)</f>
        <v>5149.49</v>
      </c>
      <c r="CM292">
        <f>SUM((TBA_Matches_All[[#This Row],[Leave]]*2)+(TBA_Matches_All[[#This Row],[AampT]]*2)+(TBA_Matches_All[[#This Row],[AspkrT]]*5)+(TBA_Matches_All[[#This Row],[AtrapT]]*5))</f>
        <v>7</v>
      </c>
      <c r="CN292" s="59">
        <f>IFERROR(SUM(TBA_Matches_All[[#This Row],[AptsT]]/TBA_Matches_All[[#This Row],[AutoPts]]),0)</f>
        <v>0.36842105263157893</v>
      </c>
      <c r="CO292" s="59">
        <f>IFERROR(SUM(TBA_Matches_All[[#This Row],[AampT]]+TBA_Matches_All[[#This Row],[AspkrT]]+TBA_Matches_All[[#This Row],[AtrapT]]/TBA_Matches_All[[#This Row],[Aamp]]+TBA_Matches_All[[#This Row],[Aspkr]]+TBA_Matches_All[[#This Row],[AtrapT]]),0)</f>
        <v>0</v>
      </c>
      <c r="CP292" s="59">
        <f>IFERROR(SUM(TBA_Matches_All[[#This Row],[TampT]]/TBA_Matches_All[[#This Row],[Tamp]]),0)</f>
        <v>0</v>
      </c>
      <c r="CQ292" s="59">
        <f>IFERROR(SUM(TBA_Matches_All[[#This Row],[TspkrT]]/TBA_Matches_All[[#This Row],[Tspkr]]),0)</f>
        <v>0</v>
      </c>
      <c r="CR292">
        <f>SUM(TBA_Matches_All[[#This Row],[TspkrPts]]*TBA_Matches_All[[#This Row],[TspkrP]])</f>
        <v>0</v>
      </c>
      <c r="CS292" s="59">
        <f>IFERROR(SUM(TBA_Matches_All[[#This Row],[TtrapT]]/TBA_Matches_All[[#This Row],[Trap]]),0)</f>
        <v>0</v>
      </c>
      <c r="CT292" s="59">
        <f>IFERROR(SUM(TBA_Matches_All[[#This Row],[TotNotesT]]/TBA_Matches_All[[#This Row],[TotNotes]]),0)</f>
        <v>6.25E-2</v>
      </c>
      <c r="CU292" s="66">
        <f>SUM((TBA_Matches_All[[#This Row],[AampT]]*2)+(TBA_Matches_All[[#This Row],[AspkrT]]*5)+(TBA_Matches_All[[#This Row],[AtrapT]]*5)+(TBA_Matches_All[[#This Row],[TampT]]*1)+(TBA_Matches_All[[#This Row],[TspkrptsC]]))</f>
        <v>5</v>
      </c>
      <c r="CV292" s="59">
        <f>IFERROR(TBA_Matches_All[[#This Row],[noteptsT]]/TBA_Matches_All[[#This Row],[NotePts]],0)</f>
        <v>0.125</v>
      </c>
      <c r="CW292">
        <f>SUM(IF(TBA_Matches_All[[#This Row],[stageStat]]="On",3,0),IF(TBA_Matches_All[[#This Row],[stageStat]]="Park",1,0),SUMIFS(TBA_Matches_All[[#This Row],[Spotlit]],TBA_Matches_All[[#This Row],[stageStat]],"On"),SUMIFS(TBA_Matches_All[[#This Row],[Harmony]],TBA_Matches_All[[#This Row],[stageStat]],"On"))</f>
        <v>1</v>
      </c>
      <c r="CX292" s="59">
        <f>IFERROR(TBA_Matches_All[[#This Row],[stageptsT]]/TBA_Matches_All[[#This Row],[StagePts]],0)</f>
        <v>0.5</v>
      </c>
      <c r="CY292">
        <f>SUM((TBA_Matches_All[[#This Row],[AptsT]]+TBA_Matches_All[[#This Row],[TampT]]+TBA_Matches_All[[#This Row],[TspkrptsC]]+(TBA_Matches_All[[#This Row],[TtrapT]]*5)+TBA_Matches_All[[#This Row],[stageptsT]]))</f>
        <v>8</v>
      </c>
      <c r="CZ292" s="59">
        <f>IFERROR(SUM(TBA_Matches_All[[#This Row],[TotptsC]]/TBA_Matches_All[[#This Row],[Score]]),0)</f>
        <v>0.15686274509803921</v>
      </c>
      <c r="DA29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92" s="74">
        <f>SUMIFS(TBA_Matches_All[AveTeamTNoteDels],TBA_Matches_All[Match_Number],TBA_Matches_All[[#This Row],[Match_Number]],TBA_Matches_All[Alliance],"&lt;&gt;"&amp;TBA_Matches_All[[#This Row],[Alliance]],TBA_Matches_All[Scouted],"&gt;0")</f>
        <v>42.470192307692308</v>
      </c>
      <c r="DC292" s="74">
        <f>(TBA_Matches_All[[#This Row],[TampT]]+TBA_Matches_All[[#This Row],[TspkrptsC]])-TBA_Matches_All[[#This Row],[AveTeamTNoteDels]]</f>
        <v>0</v>
      </c>
      <c r="DD292" s="74">
        <f>SUMIFS(TBA_Matches_All[AveTeamTNoteDels],TBA_Matches_All[Match_Number],TBA_Matches_All[[#This Row],[Match_Number]],TBA_Matches_All[Alliance],"&lt;&gt;"&amp;TBA_Matches_All[[#This Row],[Alliance]])-TBA_Matches_All[[#This Row],[AveOppTNoteDels]]</f>
        <v>0</v>
      </c>
    </row>
    <row r="293" spans="1:108" x14ac:dyDescent="0.3">
      <c r="A293" t="s">
        <v>1042</v>
      </c>
      <c r="B293" t="s">
        <v>489</v>
      </c>
      <c r="C293" t="s">
        <v>1358</v>
      </c>
      <c r="D293">
        <v>49</v>
      </c>
      <c r="E293" t="s">
        <v>1420</v>
      </c>
      <c r="F293" t="s">
        <v>1425</v>
      </c>
      <c r="G293" t="s">
        <v>105</v>
      </c>
      <c r="H293" t="s">
        <v>1314</v>
      </c>
      <c r="I293" t="b">
        <v>1</v>
      </c>
      <c r="J293">
        <v>55</v>
      </c>
      <c r="K293">
        <v>1</v>
      </c>
      <c r="L293">
        <v>0</v>
      </c>
      <c r="M293">
        <v>5</v>
      </c>
      <c r="N293">
        <v>0</v>
      </c>
      <c r="O293">
        <v>2</v>
      </c>
      <c r="P293">
        <v>10</v>
      </c>
      <c r="Q293">
        <v>14</v>
      </c>
      <c r="R293">
        <v>5</v>
      </c>
      <c r="S293">
        <v>1</v>
      </c>
      <c r="T293">
        <v>10</v>
      </c>
      <c r="U293">
        <v>5</v>
      </c>
      <c r="V293">
        <v>20</v>
      </c>
      <c r="W293">
        <v>11</v>
      </c>
      <c r="X293">
        <v>25</v>
      </c>
      <c r="Y293">
        <v>30</v>
      </c>
      <c r="Z293">
        <v>0</v>
      </c>
      <c r="AA293">
        <v>0</v>
      </c>
      <c r="AB293">
        <v>18</v>
      </c>
      <c r="AC293">
        <v>40</v>
      </c>
      <c r="AD293">
        <v>7</v>
      </c>
      <c r="AE293">
        <f>IFERROR(6/(COUNTIF(Dyno_EndMatch[Match],TBA_Matches_All[[#This Row],[Match_Number]])),0)</f>
        <v>1</v>
      </c>
      <c r="AF293">
        <f>COUNTIFS(Dyno_Data[Team],TBA_Matches_All[[#This Row],[Team]],Dyno_Data[Match],TBA_Matches_All[[#This Row],[Match_Number]],Dyno_Data[RecordType],"EndMatch",Dyno_Data[HPAmp],"Y")</f>
        <v>0</v>
      </c>
      <c r="AG293">
        <f>SUMIFS(Dyno_Data[Mics], Dyno_Data[Team],TBA_Matches_All[[#This Row],[Team]],Dyno_Data[Match],TBA_Matches_All[[#This Row],[Match_Number]],Dyno_Data[RecordType],"EndMatch",Dyno_Data[HPAmp],"Y")</f>
        <v>0</v>
      </c>
      <c r="AH293">
        <f>SUMIFS(Dyno_Data[Leave], Dyno_Data[Team],TBA_Matches_All[[#This Row],[Team]],Dyno_Data[Match],TBA_Matches_All[[#This Row],[Match_Number]],Dyno_Data[RecordType],"EndAuto")</f>
        <v>1</v>
      </c>
      <c r="AI293">
        <f>COUNTIFS(Dyno_Data[Team],TBA_Matches_All[[#This Row],[Team]],Dyno_Data[Match],TBA_Matches_All[[#This Row],[Match_Number]],Dyno_Data[RecordType],"Activities",Dyno_Data[DelDest],"Amp", Dyno_Data[DelMiss],"0", Dyno_Data[Mode],"Auto")</f>
        <v>0</v>
      </c>
      <c r="AJ293">
        <f>COUNTIFS(Dyno_Data[Team],TBA_Matches_All[[#This Row],[Team]],Dyno_Data[Match],TBA_Matches_All[[#This Row],[Match_Number]],Dyno_Data[RecordType],"Activities",Dyno_Data[DelDest],"Spkr", Dyno_Data[DelMiss],"0", Dyno_Data[Mode],"Auto")</f>
        <v>1</v>
      </c>
      <c r="AK293">
        <f>COUNTIFS(Dyno_Data[Team],TBA_Matches_All[[#This Row],[Team]],Dyno_Data[Match],TBA_Matches_All[[#This Row],[Match_Number]],Dyno_Data[RecordType],"Activities",Dyno_Data[DelDest],"Trap", Dyno_Data[DelMiss],"0", Dyno_Data[Mode],"Auto")</f>
        <v>0</v>
      </c>
      <c r="AL293">
        <f>COUNTIFS(Dyno_Data[Team],TBA_Matches_All[[#This Row],[Team]],Dyno_Data[Match],TBA_Matches_All[[#This Row],[Match_Number]],Dyno_Data[RecordType],"Activities",Dyno_Data[DelDest],"Amp", Dyno_Data[DelMiss],"0", Dyno_Data[Mode],"Teleop")</f>
        <v>5</v>
      </c>
      <c r="AM293">
        <f>COUNTIFS(Dyno_Data[Team],TBA_Matches_All[[#This Row],[Team]],Dyno_Data[Match],TBA_Matches_All[[#This Row],[Match_Number]],Dyno_Data[RecordType],"Activities",Dyno_Data[DelDest],"Spkr", Dyno_Data[DelMiss],"0", Dyno_Data[Mode],"Teleop")</f>
        <v>1</v>
      </c>
      <c r="AN293">
        <f>COUNTIFS(Dyno_Data[Team],TBA_Matches_All[[#This Row],[Team]],Dyno_Data[Match],TBA_Matches_All[[#This Row],[Match_Number]],Dyno_Data[RecordType],"Activities",Dyno_Data[DelDest],"Trap", Dyno_Data[DelMiss],"0", Dyno_Data[Mode],"&lt;&gt;Auto")</f>
        <v>0</v>
      </c>
      <c r="AO293">
        <f>SUM(TBA_Matches_All[[#This Row],[AampT]]+TBA_Matches_All[[#This Row],[AspkrT]]+TBA_Matches_All[[#This Row],[AtrapT]]+TBA_Matches_All[[#This Row],[TampT]]+TBA_Matches_All[[#This Row],[TspkrT]]+TBA_Matches_All[[#This Row],[TtrapT]])</f>
        <v>7</v>
      </c>
      <c r="AP293">
        <f>COUNTIFS(Dyno_Data[Team],TBA_Matches_All[[#This Row],[Team]],Dyno_Data[Match],TBA_Matches_All[[#This Row],[Match_Number]],Dyno_Data[RecordType],"Activities",Dyno_Data[DelDest],"Neut", Dyno_Data[DelMiss],"0")</f>
        <v>0</v>
      </c>
      <c r="AQ293">
        <f>COUNTIFS(Dyno_Data[Team],TBA_Matches_All[[#This Row],[Team]],Dyno_Data[Match],TBA_Matches_All[[#This Row],[Match_Number]],Dyno_Data[RecordType],"Activities",Dyno_Data[DelDest],"AllyW", Dyno_Data[DelMiss],"0")</f>
        <v>0</v>
      </c>
      <c r="AR293" t="str">
        <f>_xlfn.XLOOKUP(SUM(MID(TBA_Matches_All[[#This Row],[Team]],4,5),(TBA_Matches_All[[#This Row],[Match_Number]]/100)),Dyno_EndMatch[teammat],Dyno_EndMatch[RobotSta],"_",0,1)</f>
        <v>Podm</v>
      </c>
      <c r="AS293">
        <f>SUMIFS(Dyno_Data[AcqDis], Dyno_Data[Team],TBA_Matches_All[[#This Row],[Team]],Dyno_Data[Match],TBA_Matches_All[[#This Row],[Match_Number]],Dyno_Data[RecordType],"Activities", Dyno_Data[AcqCenter],1,Dyno_Data[Mode],"Auto")</f>
        <v>0</v>
      </c>
      <c r="AT293">
        <f>SUMIFS(Dyno_Data[AcqDis], Dyno_Data[Team],TBA_Matches_All[[#This Row],[Team]],Dyno_Data[Match],TBA_Matches_All[[#This Row],[Match_Number]],Dyno_Data[RecordType],"Activities", Dyno_Data[AcqCenter],2,Dyno_Data[Mode],"Auto")</f>
        <v>0</v>
      </c>
      <c r="AU293">
        <f>SUMIFS(Dyno_Data[AcqDis], Dyno_Data[Team],TBA_Matches_All[[#This Row],[Team]],Dyno_Data[Match],TBA_Matches_All[[#This Row],[Match_Number]],Dyno_Data[RecordType],"Activities", Dyno_Data[AcqCenter],3,Dyno_Data[Mode],"Auto")</f>
        <v>0</v>
      </c>
      <c r="AV293">
        <f>SUMIFS(Dyno_Data[AcqDis], Dyno_Data[Team],TBA_Matches_All[[#This Row],[Team]],Dyno_Data[Match],TBA_Matches_All[[#This Row],[Match_Number]],Dyno_Data[RecordType],"Activities", Dyno_Data[AcqCenter],4,Dyno_Data[Mode],"Auto")</f>
        <v>0</v>
      </c>
      <c r="AW293">
        <f>SUMIFS(Dyno_Data[AcqDis], Dyno_Data[Team],TBA_Matches_All[[#This Row],[Team]],Dyno_Data[Match],TBA_Matches_All[[#This Row],[Match_Number]],Dyno_Data[RecordType],"Activities", Dyno_Data[AcqCenter],5,Dyno_Data[Mode],"Auto")</f>
        <v>0</v>
      </c>
      <c r="AX293">
        <f>SUMIFS(Dyno_Data[DelMiss], Dyno_Data[Team],TBA_Matches_All[[#This Row],[Team]],Dyno_Data[Match],TBA_Matches_All[[#This Row],[Match_Number]],Dyno_Data[RecordType],"Activities", Dyno_Data[DelDest],"Amp")</f>
        <v>2</v>
      </c>
      <c r="AY293" s="60">
        <f>IFERROR(SUM((TBA_Matches_All[[#This Row],[AampT]]+TBA_Matches_All[[#This Row],[TampT]])/(TBA_Matches_All[[#This Row],[AampT]]+TBA_Matches_All[[#This Row],[TampT]]+TBA_Matches_All[[#This Row],[ampM]])),0)</f>
        <v>0.7142857142857143</v>
      </c>
      <c r="AZ293">
        <f>SUMIFS(Dyno_Data[DelMiss], Dyno_Data[Team],TBA_Matches_All[[#This Row],[Team]],Dyno_Data[Match],TBA_Matches_All[[#This Row],[Match_Number]],Dyno_Data[RecordType],"Activities", Dyno_Data[DelDest],"Spkr")</f>
        <v>0</v>
      </c>
      <c r="BA293" s="60">
        <f>IFERROR(SUM((TBA_Matches_All[[#This Row],[AspkrT]]+TBA_Matches_All[[#This Row],[TspkrT]])/(TBA_Matches_All[[#This Row],[AspkrT]]+TBA_Matches_All[[#This Row],[TspkrT]]+TBA_Matches_All[[#This Row],[spkrM]])),0)</f>
        <v>1</v>
      </c>
      <c r="BB293">
        <f>SUMIFS(Dyno_Data[DelMiss], Dyno_Data[Team],TBA_Matches_All[[#This Row],[Team]],Dyno_Data[Match],TBA_Matches_All[[#This Row],[Match_Number]],Dyno_Data[RecordType],"Activities", Dyno_Data[DelDest],"Trap")</f>
        <v>0</v>
      </c>
      <c r="BC293" s="60">
        <f>IFERROR((TBA_Matches_All[[#This Row],[AtrapT]]+TBA_Matches_All[[#This Row],[TtrapT]])/(TBA_Matches_All[[#This Row],[AtrapT]]+TBA_Matches_All[[#This Row],[TtrapT]]+TBA_Matches_All[[#This Row],[trapM]]),0)</f>
        <v>0</v>
      </c>
      <c r="BD293">
        <f>COUNTIFS(Dyno_Data[Team],TBA_Matches_All[[#This Row],[Team]],Dyno_Data[Match],TBA_Matches_All[[#This Row],[Match_Number]],Dyno_Data[RecordType],"Activities",Dyno_Data[DelDest],"Neut", Dyno_Data[DelMiss],1)</f>
        <v>0</v>
      </c>
      <c r="BE293" s="60">
        <f>IFERROR(SUM((TBA_Matches_All[[#This Row],[NeutFlrT]])/(TBA_Matches_All[[#This Row],[NeutFlrT]]+TBA_Matches_All[[#This Row],[NZflM]])),0)</f>
        <v>0</v>
      </c>
      <c r="BF293">
        <f>COUNTIFS(Dyno_Data[Team],TBA_Matches_All[[#This Row],[Team]],Dyno_Data[Match],TBA_Matches_All[[#This Row],[Match_Number]],Dyno_Data[RecordType],"Activities",Dyno_Data[DelDest],"AllyW", Dyno_Data[DelMiss],1)</f>
        <v>0</v>
      </c>
      <c r="BG293" s="60">
        <f>IFERROR(SUM((TBA_Matches_All[[#This Row],[AllyWFlrT]])/(TBA_Matches_All[[#This Row],[AllyWFlrT]]+TBA_Matches_All[[#This Row],[AZflM]])),0)</f>
        <v>0</v>
      </c>
      <c r="BH293">
        <f>COUNTIFS(Dyno_Data[Team],TBA_Matches_All[[#This Row],[Team]],Dyno_Data[Match],TBA_Matches_All[[#This Row],[Match_Number]],Dyno_Data[RecordType],"Activities",Dyno_Data[DelOrig],"OppW", Dyno_Data[DelMiss],"0")</f>
        <v>1</v>
      </c>
      <c r="BI293">
        <f>COUNTIFS(Dyno_Data[Team],TBA_Matches_All[[#This Row],[Team]],Dyno_Data[Match],TBA_Matches_All[[#This Row],[Match_Number]],Dyno_Data[RecordType],"Activities",Dyno_Data[DelOrig],"OppW", Dyno_Data[DelMiss],"1")</f>
        <v>0</v>
      </c>
      <c r="BJ293" s="60">
        <f>IFERROR(SUM((TBA_Matches_All[[#This Row],[OZflrT]])/(TBA_Matches_All[[#This Row],[OZflrT]]+TBA_Matches_All[[#This Row],[OZflrM]])),0)</f>
        <v>1</v>
      </c>
      <c r="BK293">
        <f>COUNTIFS(Dyno_Data[Team],TBA_Matches_All[[#This Row],[Team]],Dyno_Data[Match],TBA_Matches_All[[#This Row],[Match_Number]],Dyno_Data[RecordType],"Activities",Dyno_Data[DelOrig],"Neut", Dyno_Data[DelMiss],"0")</f>
        <v>0</v>
      </c>
      <c r="BL293">
        <f>COUNTIFS(Dyno_Data[Team],TBA_Matches_All[[#This Row],[Team]],Dyno_Data[Match],TBA_Matches_All[[#This Row],[Match_Number]],Dyno_Data[RecordType],"Activities",Dyno_Data[DelOrig],"Neut", Dyno_Data[DelMiss],"1")</f>
        <v>0</v>
      </c>
      <c r="BM293" s="60">
        <f>IFERROR(SUM((TBA_Matches_All[[#This Row],[NZflrT]])/(TBA_Matches_All[[#This Row],[NZflrT]]+TBA_Matches_All[[#This Row],[NZflrM]])),0)</f>
        <v>0</v>
      </c>
      <c r="BN293">
        <f>COUNTIFS(Dyno_Data[Team],TBA_Matches_All[[#This Row],[Team]],Dyno_Data[Match],TBA_Matches_All[[#This Row],[Match_Number]],Dyno_Data[RecordType],"Activities",Dyno_Data[DelOrig],"AllyW", Dyno_Data[DelMiss],"0")</f>
        <v>5</v>
      </c>
      <c r="BO293">
        <f>COUNTIFS(Dyno_Data[Team],TBA_Matches_All[[#This Row],[Team]],Dyno_Data[Match],TBA_Matches_All[[#This Row],[Match_Number]],Dyno_Data[RecordType],"Activities",Dyno_Data[DelOrig],"AllyW", Dyno_Data[DelMiss],"1")</f>
        <v>2</v>
      </c>
      <c r="BP293" s="60">
        <f>IFERROR(SUM((TBA_Matches_All[[#This Row],[AZflrT]])/(TBA_Matches_All[[#This Row],[AZflrT]]+TBA_Matches_All[[#This Row],[AZflrM]])),0)</f>
        <v>0.7142857142857143</v>
      </c>
      <c r="BQ293">
        <f>COUNTIFS(Dyno_Data[Team],TBA_Matches_All[[#This Row],[Team]],Dyno_Data[Match],TBA_Matches_All[[#This Row],[Match_Number]],Dyno_Data[RecordType],"Activities",Dyno_Data[DelOrig],"SubW", Dyno_Data[DelMiss],"0")</f>
        <v>1</v>
      </c>
      <c r="BR293">
        <f>COUNTIFS(Dyno_Data[Team],TBA_Matches_All[[#This Row],[Team]],Dyno_Data[Match],TBA_Matches_All[[#This Row],[Match_Number]],Dyno_Data[RecordType],"Activities",Dyno_Data[DelOrig],"SubW", Dyno_Data[DelMiss],"1")</f>
        <v>0</v>
      </c>
      <c r="BS293" s="60">
        <f>IFERROR(SUM((TBA_Matches_All[[#This Row],[SubwT]])/(TBA_Matches_All[[#This Row],[SubwT]]+TBA_Matches_All[[#This Row],[SubwM]])),0)</f>
        <v>1</v>
      </c>
      <c r="BT293">
        <f>COUNTIFS(Dyno_Data[Team],TBA_Matches_All[[#This Row],[Team]],Dyno_Data[Match],TBA_Matches_All[[#This Row],[Match_Number]],Dyno_Data[RecordType],"Activities", Dyno_Data[AcqLoc],"OppWing")</f>
        <v>0</v>
      </c>
      <c r="BU293">
        <f>COUNTIFS(Dyno_Data[Team],TBA_Matches_All[[#This Row],[Team]],Dyno_Data[Match],TBA_Matches_All[[#This Row],[Match_Number]],Dyno_Data[RecordType],"Activities", Dyno_Data[AcqLoc],"Neutral")</f>
        <v>0</v>
      </c>
      <c r="BV293">
        <f>COUNTIFS(Dyno_Data[Team],TBA_Matches_All[[#This Row],[Team]],Dyno_Data[Match],TBA_Matches_All[[#This Row],[Match_Number]],Dyno_Data[RecordType],"Activities", Dyno_Data[AcqLoc],"AllyWing")</f>
        <v>0</v>
      </c>
      <c r="BW293">
        <f>COUNTIFS(Dyno_Data[Team],TBA_Matches_All[[#This Row],[Team]],Dyno_Data[Match],TBA_Matches_All[[#This Row],[Match_Number]],Dyno_Data[RecordType],"Activities", Dyno_Data[AcqLoc],"Source")</f>
        <v>0</v>
      </c>
      <c r="BX293">
        <f>SUMIFS(Dyno_Data[AcqDrp], Dyno_Data[Team],TBA_Matches_All[[#This Row],[Team]],Dyno_Data[Match],TBA_Matches_All[[#This Row],[Match_Number]],Dyno_Data[RecordType],"Activities", Dyno_Data[AcqLoc],"Source")</f>
        <v>0</v>
      </c>
      <c r="BY293">
        <f>SUMIFS(Dyno_Data[OZTime], Dyno_Data[Team],TBA_Matches_All[[#This Row],[Team]],Dyno_Data[Match],TBA_Matches_All[[#This Row],[Match_Number]],Dyno_Data[RecordType],"EndMatch")</f>
        <v>35.364224299999997</v>
      </c>
      <c r="BZ293">
        <f>SUMIFS(Dyno_Data[NZTime], Dyno_Data[Team],TBA_Matches_All[[#This Row],[Team]],Dyno_Data[Match],TBA_Matches_All[[#This Row],[Match_Number]],Dyno_Data[RecordType],"EndMatch")</f>
        <v>16.6539538</v>
      </c>
      <c r="CA293">
        <f>SUMIFS(Dyno_Data[AZTime], Dyno_Data[Team],TBA_Matches_All[[#This Row],[Team]],Dyno_Data[Match],TBA_Matches_All[[#This Row],[Match_Number]],Dyno_Data[RecordType],"EndMatch")</f>
        <v>83.575168300000001</v>
      </c>
      <c r="CB293">
        <f>SUMIFS(Dyno_Data[ClimbT], Dyno_Data[Team],TBA_Matches_All[[#This Row],[Team]],Dyno_Data[Match],TBA_Matches_All[[#This Row],[Match_Number]],Dyno_Data[RecordType],"EndMatch")</f>
        <v>0</v>
      </c>
      <c r="CC293" t="str">
        <f>_xlfn.XLOOKUP(SUM(MID(TBA_Matches_All[[#This Row],[Team]],4,5),(TBA_Matches_All[[#This Row],[Match_Number]]/100)),Dyno_EndMatch[teammat],Dyno_EndMatch[StageStat],"_",0,1)</f>
        <v>Else</v>
      </c>
      <c r="CD293" t="str">
        <f>_xlfn.XLOOKUP(TBA_Matches_All[[#This Row],[teammat]],Dyno_EndMatch[teammat],Dyno_EndMatch[StageAtt],"_",0,1)</f>
        <v>0</v>
      </c>
      <c r="CE293" t="str">
        <f>_xlfn.XLOOKUP(TBA_Matches_All[[#This Row],[teammat]],Dyno_EndMatch[teammat],Dyno_EndMatch[StageLoc],"_",0,1)</f>
        <v>A</v>
      </c>
      <c r="CF293">
        <f>SUMIFS(Dyno_Data[Harmony], Dyno_Data[Team],TBA_Matches_All[[#This Row],[Team]],Dyno_Data[Match],TBA_Matches_All[[#This Row],[Match_Number]],Dyno_Data[RecordType],"EndMatch", Dyno_Data[StageStat],"On",Dyno_Data[Harmony],"&lt;&gt;9")</f>
        <v>0</v>
      </c>
      <c r="CG293">
        <f>SUMIFS(Dyno_Data[Spotlit], Dyno_Data[Team],TBA_Matches_All[[#This Row],[Team]],Dyno_Data[Match],TBA_Matches_All[[#This Row],[Match_Number]],Dyno_Data[RecordType],"EndMatch", Dyno_Data[StageStat],"On",Dyno_Data[Spotlit],"&lt;&gt;9")</f>
        <v>0</v>
      </c>
      <c r="CH293" t="str">
        <f>_xlfn.XLOOKUP(TBA_Matches_All[[#This Row],[teammat]],Dyno_EndMatch[teammat],Dyno_EndMatch[Strategy],"_",0,1)</f>
        <v>Hybrid</v>
      </c>
      <c r="CI293">
        <f>SUMIFS(Dyno_Data[Defense], Dyno_Data[Team],TBA_Matches_All[[#This Row],[Team]],Dyno_Data[Match],TBA_Matches_All[[#This Row],[Match_Number]],Dyno_Data[RecordType],"EndMatch",Dyno_Data[Defense],"&lt;&gt;9")</f>
        <v>0</v>
      </c>
      <c r="CJ293">
        <f>SUMIFS(Dyno_Data[Avoidance], Dyno_Data[Team],TBA_Matches_All[[#This Row],[Team]],Dyno_Data[Match],TBA_Matches_All[[#This Row],[Match_Number]],Dyno_Data[RecordType],"EndMatch",Dyno_Data[Avoidance],"&lt;&gt;9")</f>
        <v>0</v>
      </c>
      <c r="CK293" s="82">
        <f>COUNTIF($H$2:TBA_Matches_All[[#This Row],[Team]],TBA_Matches_All[[#This Row],[Team]])</f>
        <v>6</v>
      </c>
      <c r="CL293" s="111">
        <f>SUM(MID(TBA_Matches_All[[#This Row],[Team]],4,5)+TBA_Matches_All[[#This Row],[Match_Number]]/100)</f>
        <v>3419.49</v>
      </c>
      <c r="CM293">
        <f>SUM((TBA_Matches_All[[#This Row],[Leave]]*2)+(TBA_Matches_All[[#This Row],[AampT]]*2)+(TBA_Matches_All[[#This Row],[AspkrT]]*5)+(TBA_Matches_All[[#This Row],[AtrapT]]*5))</f>
        <v>7</v>
      </c>
      <c r="CN293" s="59">
        <f>IFERROR(SUM(TBA_Matches_All[[#This Row],[AptsT]]/TBA_Matches_All[[#This Row],[AutoPts]]),0)</f>
        <v>0.5</v>
      </c>
      <c r="CO293" s="59">
        <f>IFERROR(SUM(TBA_Matches_All[[#This Row],[AampT]]+TBA_Matches_All[[#This Row],[AspkrT]]+TBA_Matches_All[[#This Row],[AtrapT]]/TBA_Matches_All[[#This Row],[Aamp]]+TBA_Matches_All[[#This Row],[Aspkr]]+TBA_Matches_All[[#This Row],[AtrapT]]),0)</f>
        <v>0</v>
      </c>
      <c r="CP293" s="59">
        <f>IFERROR(SUM(TBA_Matches_All[[#This Row],[TampT]]/TBA_Matches_All[[#This Row],[Tamp]]),0)</f>
        <v>1</v>
      </c>
      <c r="CQ293" s="59">
        <f>IFERROR(SUM(TBA_Matches_All[[#This Row],[TspkrT]]/TBA_Matches_All[[#This Row],[Tspkr]]),0)</f>
        <v>9.0909090909090912E-2</v>
      </c>
      <c r="CR293">
        <f>SUM(TBA_Matches_All[[#This Row],[TspkrPts]]*TBA_Matches_All[[#This Row],[TspkrP]])</f>
        <v>2.2727272727272729</v>
      </c>
      <c r="CS293" s="59">
        <f>IFERROR(SUM(TBA_Matches_All[[#This Row],[TtrapT]]/TBA_Matches_All[[#This Row],[Trap]]),0)</f>
        <v>0</v>
      </c>
      <c r="CT293" s="59">
        <f>IFERROR(SUM(TBA_Matches_All[[#This Row],[TotNotesT]]/TBA_Matches_All[[#This Row],[TotNotes]]),0)</f>
        <v>0.3888888888888889</v>
      </c>
      <c r="CU293" s="66">
        <f>SUM((TBA_Matches_All[[#This Row],[AampT]]*2)+(TBA_Matches_All[[#This Row],[AspkrT]]*5)+(TBA_Matches_All[[#This Row],[AtrapT]]*5)+(TBA_Matches_All[[#This Row],[TampT]]*1)+(TBA_Matches_All[[#This Row],[TspkrptsC]]))</f>
        <v>12.272727272727273</v>
      </c>
      <c r="CV293" s="59">
        <f>IFERROR(TBA_Matches_All[[#This Row],[noteptsT]]/TBA_Matches_All[[#This Row],[NotePts]],0)</f>
        <v>0.30681818181818182</v>
      </c>
      <c r="CW293">
        <f>SUM(IF(TBA_Matches_All[[#This Row],[stageStat]]="On",3,0),IF(TBA_Matches_All[[#This Row],[stageStat]]="Park",1,0),SUMIFS(TBA_Matches_All[[#This Row],[Spotlit]],TBA_Matches_All[[#This Row],[stageStat]],"On"),SUMIFS(TBA_Matches_All[[#This Row],[Harmony]],TBA_Matches_All[[#This Row],[stageStat]],"On"))</f>
        <v>0</v>
      </c>
      <c r="CX293" s="59">
        <f>IFERROR(TBA_Matches_All[[#This Row],[stageptsT]]/TBA_Matches_All[[#This Row],[StagePts]],0)</f>
        <v>0</v>
      </c>
      <c r="CY293">
        <f>SUM((TBA_Matches_All[[#This Row],[AptsT]]+TBA_Matches_All[[#This Row],[TampT]]+TBA_Matches_All[[#This Row],[TspkrptsC]]+(TBA_Matches_All[[#This Row],[TtrapT]]*5)+TBA_Matches_All[[#This Row],[stageptsT]]))</f>
        <v>14.272727272727273</v>
      </c>
      <c r="CZ293" s="59">
        <f>IFERROR(SUM(TBA_Matches_All[[#This Row],[TotptsC]]/TBA_Matches_All[[#This Row],[Score]]),0)</f>
        <v>0.25950413223140495</v>
      </c>
      <c r="DA29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17.0625</v>
      </c>
      <c r="DB293" s="74">
        <f>SUMIFS(TBA_Matches_All[AveTeamTNoteDels],TBA_Matches_All[Match_Number],TBA_Matches_All[[#This Row],[Match_Number]],TBA_Matches_All[Alliance],"&lt;&gt;"&amp;TBA_Matches_All[[#This Row],[Alliance]],TBA_Matches_All[Scouted],"&gt;0")</f>
        <v>11.087121212121211</v>
      </c>
      <c r="DC293" s="74">
        <f>(TBA_Matches_All[[#This Row],[TampT]]+TBA_Matches_All[[#This Row],[TspkrptsC]])-TBA_Matches_All[[#This Row],[AveTeamTNoteDels]]</f>
        <v>-9.7897727272727266</v>
      </c>
      <c r="DD293" s="74">
        <f>SUMIFS(TBA_Matches_All[AveTeamTNoteDels],TBA_Matches_All[Match_Number],TBA_Matches_All[[#This Row],[Match_Number]],TBA_Matches_All[Alliance],"&lt;&gt;"&amp;TBA_Matches_All[[#This Row],[Alliance]])-TBA_Matches_All[[#This Row],[AveOppTNoteDels]]</f>
        <v>0</v>
      </c>
    </row>
    <row r="294" spans="1:108" x14ac:dyDescent="0.3">
      <c r="A294" t="s">
        <v>1042</v>
      </c>
      <c r="B294" t="s">
        <v>489</v>
      </c>
      <c r="C294" t="s">
        <v>1358</v>
      </c>
      <c r="D294">
        <v>49</v>
      </c>
      <c r="E294" t="s">
        <v>1406</v>
      </c>
      <c r="F294" t="s">
        <v>1426</v>
      </c>
      <c r="G294" t="s">
        <v>164</v>
      </c>
      <c r="H294" t="s">
        <v>1288</v>
      </c>
      <c r="I294" t="b">
        <v>0</v>
      </c>
      <c r="J294">
        <v>51</v>
      </c>
      <c r="K294">
        <v>0</v>
      </c>
      <c r="L294">
        <v>0</v>
      </c>
      <c r="M294">
        <v>4</v>
      </c>
      <c r="N294">
        <v>0</v>
      </c>
      <c r="O294">
        <v>3</v>
      </c>
      <c r="P294">
        <v>15</v>
      </c>
      <c r="Q294">
        <v>19</v>
      </c>
      <c r="R294">
        <v>1</v>
      </c>
      <c r="S294">
        <v>0</v>
      </c>
      <c r="T294">
        <v>12</v>
      </c>
      <c r="U294">
        <v>0</v>
      </c>
      <c r="V294">
        <v>24</v>
      </c>
      <c r="W294">
        <v>12</v>
      </c>
      <c r="X294">
        <v>24</v>
      </c>
      <c r="Y294">
        <v>25</v>
      </c>
      <c r="Z294">
        <v>0</v>
      </c>
      <c r="AA294">
        <v>0</v>
      </c>
      <c r="AB294">
        <v>16</v>
      </c>
      <c r="AC294">
        <v>40</v>
      </c>
      <c r="AD294">
        <v>2</v>
      </c>
      <c r="AE294">
        <f>IFERROR(6/(COUNTIF(Dyno_EndMatch[Match],TBA_Matches_All[[#This Row],[Match_Number]])),0)</f>
        <v>1</v>
      </c>
      <c r="AF294">
        <f>COUNTIFS(Dyno_Data[Team],TBA_Matches_All[[#This Row],[Team]],Dyno_Data[Match],TBA_Matches_All[[#This Row],[Match_Number]],Dyno_Data[RecordType],"EndMatch",Dyno_Data[HPAmp],"Y")</f>
        <v>0</v>
      </c>
      <c r="AG294">
        <f>SUMIFS(Dyno_Data[Mics], Dyno_Data[Team],TBA_Matches_All[[#This Row],[Team]],Dyno_Data[Match],TBA_Matches_All[[#This Row],[Match_Number]],Dyno_Data[RecordType],"EndMatch",Dyno_Data[HPAmp],"Y")</f>
        <v>0</v>
      </c>
      <c r="AH294">
        <f>SUMIFS(Dyno_Data[Leave], Dyno_Data[Team],TBA_Matches_All[[#This Row],[Team]],Dyno_Data[Match],TBA_Matches_All[[#This Row],[Match_Number]],Dyno_Data[RecordType],"EndAuto")</f>
        <v>1</v>
      </c>
      <c r="AI294">
        <f>COUNTIFS(Dyno_Data[Team],TBA_Matches_All[[#This Row],[Team]],Dyno_Data[Match],TBA_Matches_All[[#This Row],[Match_Number]],Dyno_Data[RecordType],"Activities",Dyno_Data[DelDest],"Amp", Dyno_Data[DelMiss],"0", Dyno_Data[Mode],"Auto")</f>
        <v>0</v>
      </c>
      <c r="AJ294">
        <f>COUNTIFS(Dyno_Data[Team],TBA_Matches_All[[#This Row],[Team]],Dyno_Data[Match],TBA_Matches_All[[#This Row],[Match_Number]],Dyno_Data[RecordType],"Activities",Dyno_Data[DelDest],"Spkr", Dyno_Data[DelMiss],"0", Dyno_Data[Mode],"Auto")</f>
        <v>3</v>
      </c>
      <c r="AK294">
        <f>COUNTIFS(Dyno_Data[Team],TBA_Matches_All[[#This Row],[Team]],Dyno_Data[Match],TBA_Matches_All[[#This Row],[Match_Number]],Dyno_Data[RecordType],"Activities",Dyno_Data[DelDest],"Trap", Dyno_Data[DelMiss],"0", Dyno_Data[Mode],"Auto")</f>
        <v>0</v>
      </c>
      <c r="AL294">
        <f>COUNTIFS(Dyno_Data[Team],TBA_Matches_All[[#This Row],[Team]],Dyno_Data[Match],TBA_Matches_All[[#This Row],[Match_Number]],Dyno_Data[RecordType],"Activities",Dyno_Data[DelDest],"Amp", Dyno_Data[DelMiss],"0", Dyno_Data[Mode],"Teleop")</f>
        <v>1</v>
      </c>
      <c r="AM294">
        <f>COUNTIFS(Dyno_Data[Team],TBA_Matches_All[[#This Row],[Team]],Dyno_Data[Match],TBA_Matches_All[[#This Row],[Match_Number]],Dyno_Data[RecordType],"Activities",Dyno_Data[DelDest],"Spkr", Dyno_Data[DelMiss],"0", Dyno_Data[Mode],"Teleop")</f>
        <v>9</v>
      </c>
      <c r="AN294">
        <f>COUNTIFS(Dyno_Data[Team],TBA_Matches_All[[#This Row],[Team]],Dyno_Data[Match],TBA_Matches_All[[#This Row],[Match_Number]],Dyno_Data[RecordType],"Activities",Dyno_Data[DelDest],"Trap", Dyno_Data[DelMiss],"0", Dyno_Data[Mode],"&lt;&gt;Auto")</f>
        <v>0</v>
      </c>
      <c r="AO294">
        <f>SUM(TBA_Matches_All[[#This Row],[AampT]]+TBA_Matches_All[[#This Row],[AspkrT]]+TBA_Matches_All[[#This Row],[AtrapT]]+TBA_Matches_All[[#This Row],[TampT]]+TBA_Matches_All[[#This Row],[TspkrT]]+TBA_Matches_All[[#This Row],[TtrapT]])</f>
        <v>13</v>
      </c>
      <c r="AP294">
        <f>COUNTIFS(Dyno_Data[Team],TBA_Matches_All[[#This Row],[Team]],Dyno_Data[Match],TBA_Matches_All[[#This Row],[Match_Number]],Dyno_Data[RecordType],"Activities",Dyno_Data[DelDest],"Neut", Dyno_Data[DelMiss],"0")</f>
        <v>0</v>
      </c>
      <c r="AQ294">
        <f>COUNTIFS(Dyno_Data[Team],TBA_Matches_All[[#This Row],[Team]],Dyno_Data[Match],TBA_Matches_All[[#This Row],[Match_Number]],Dyno_Data[RecordType],"Activities",Dyno_Data[DelDest],"AllyW", Dyno_Data[DelMiss],"0")</f>
        <v>0</v>
      </c>
      <c r="AR294" t="str">
        <f>_xlfn.XLOOKUP(SUM(MID(TBA_Matches_All[[#This Row],[Team]],4,5),(TBA_Matches_All[[#This Row],[Match_Number]]/100)),Dyno_EndMatch[teammat],Dyno_EndMatch[RobotSta],"_",0,1)</f>
        <v>Podm</v>
      </c>
      <c r="AS294">
        <f>SUMIFS(Dyno_Data[AcqDis], Dyno_Data[Team],TBA_Matches_All[[#This Row],[Team]],Dyno_Data[Match],TBA_Matches_All[[#This Row],[Match_Number]],Dyno_Data[RecordType],"Activities", Dyno_Data[AcqCenter],1,Dyno_Data[Mode],"Auto")</f>
        <v>0</v>
      </c>
      <c r="AT294">
        <f>SUMIFS(Dyno_Data[AcqDis], Dyno_Data[Team],TBA_Matches_All[[#This Row],[Team]],Dyno_Data[Match],TBA_Matches_All[[#This Row],[Match_Number]],Dyno_Data[RecordType],"Activities", Dyno_Data[AcqCenter],2,Dyno_Data[Mode],"Auto")</f>
        <v>1</v>
      </c>
      <c r="AU294">
        <f>SUMIFS(Dyno_Data[AcqDis], Dyno_Data[Team],TBA_Matches_All[[#This Row],[Team]],Dyno_Data[Match],TBA_Matches_All[[#This Row],[Match_Number]],Dyno_Data[RecordType],"Activities", Dyno_Data[AcqCenter],3,Dyno_Data[Mode],"Auto")</f>
        <v>0</v>
      </c>
      <c r="AV294">
        <f>SUMIFS(Dyno_Data[AcqDis], Dyno_Data[Team],TBA_Matches_All[[#This Row],[Team]],Dyno_Data[Match],TBA_Matches_All[[#This Row],[Match_Number]],Dyno_Data[RecordType],"Activities", Dyno_Data[AcqCenter],4,Dyno_Data[Mode],"Auto")</f>
        <v>0</v>
      </c>
      <c r="AW294">
        <f>SUMIFS(Dyno_Data[AcqDis], Dyno_Data[Team],TBA_Matches_All[[#This Row],[Team]],Dyno_Data[Match],TBA_Matches_All[[#This Row],[Match_Number]],Dyno_Data[RecordType],"Activities", Dyno_Data[AcqCenter],5,Dyno_Data[Mode],"Auto")</f>
        <v>0</v>
      </c>
      <c r="AX294">
        <f>SUMIFS(Dyno_Data[DelMiss], Dyno_Data[Team],TBA_Matches_All[[#This Row],[Team]],Dyno_Data[Match],TBA_Matches_All[[#This Row],[Match_Number]],Dyno_Data[RecordType],"Activities", Dyno_Data[DelDest],"Amp")</f>
        <v>0</v>
      </c>
      <c r="AY294" s="60">
        <f>IFERROR(SUM((TBA_Matches_All[[#This Row],[AampT]]+TBA_Matches_All[[#This Row],[TampT]])/(TBA_Matches_All[[#This Row],[AampT]]+TBA_Matches_All[[#This Row],[TampT]]+TBA_Matches_All[[#This Row],[ampM]])),0)</f>
        <v>1</v>
      </c>
      <c r="AZ294">
        <f>SUMIFS(Dyno_Data[DelMiss], Dyno_Data[Team],TBA_Matches_All[[#This Row],[Team]],Dyno_Data[Match],TBA_Matches_All[[#This Row],[Match_Number]],Dyno_Data[RecordType],"Activities", Dyno_Data[DelDest],"Spkr")</f>
        <v>0</v>
      </c>
      <c r="BA294" s="60">
        <f>IFERROR(SUM((TBA_Matches_All[[#This Row],[AspkrT]]+TBA_Matches_All[[#This Row],[TspkrT]])/(TBA_Matches_All[[#This Row],[AspkrT]]+TBA_Matches_All[[#This Row],[TspkrT]]+TBA_Matches_All[[#This Row],[spkrM]])),0)</f>
        <v>1</v>
      </c>
      <c r="BB294">
        <f>SUMIFS(Dyno_Data[DelMiss], Dyno_Data[Team],TBA_Matches_All[[#This Row],[Team]],Dyno_Data[Match],TBA_Matches_All[[#This Row],[Match_Number]],Dyno_Data[RecordType],"Activities", Dyno_Data[DelDest],"Trap")</f>
        <v>0</v>
      </c>
      <c r="BC294" s="60">
        <f>IFERROR((TBA_Matches_All[[#This Row],[AtrapT]]+TBA_Matches_All[[#This Row],[TtrapT]])/(TBA_Matches_All[[#This Row],[AtrapT]]+TBA_Matches_All[[#This Row],[TtrapT]]+TBA_Matches_All[[#This Row],[trapM]]),0)</f>
        <v>0</v>
      </c>
      <c r="BD294">
        <f>COUNTIFS(Dyno_Data[Team],TBA_Matches_All[[#This Row],[Team]],Dyno_Data[Match],TBA_Matches_All[[#This Row],[Match_Number]],Dyno_Data[RecordType],"Activities",Dyno_Data[DelDest],"Neut", Dyno_Data[DelMiss],1)</f>
        <v>0</v>
      </c>
      <c r="BE294" s="60">
        <f>IFERROR(SUM((TBA_Matches_All[[#This Row],[NeutFlrT]])/(TBA_Matches_All[[#This Row],[NeutFlrT]]+TBA_Matches_All[[#This Row],[NZflM]])),0)</f>
        <v>0</v>
      </c>
      <c r="BF294">
        <f>COUNTIFS(Dyno_Data[Team],TBA_Matches_All[[#This Row],[Team]],Dyno_Data[Match],TBA_Matches_All[[#This Row],[Match_Number]],Dyno_Data[RecordType],"Activities",Dyno_Data[DelDest],"AllyW", Dyno_Data[DelMiss],1)</f>
        <v>0</v>
      </c>
      <c r="BG294" s="60">
        <f>IFERROR(SUM((TBA_Matches_All[[#This Row],[AllyWFlrT]])/(TBA_Matches_All[[#This Row],[AllyWFlrT]]+TBA_Matches_All[[#This Row],[AZflM]])),0)</f>
        <v>0</v>
      </c>
      <c r="BH294">
        <f>COUNTIFS(Dyno_Data[Team],TBA_Matches_All[[#This Row],[Team]],Dyno_Data[Match],TBA_Matches_All[[#This Row],[Match_Number]],Dyno_Data[RecordType],"Activities",Dyno_Data[DelOrig],"OppW", Dyno_Data[DelMiss],"0")</f>
        <v>0</v>
      </c>
      <c r="BI294">
        <f>COUNTIFS(Dyno_Data[Team],TBA_Matches_All[[#This Row],[Team]],Dyno_Data[Match],TBA_Matches_All[[#This Row],[Match_Number]],Dyno_Data[RecordType],"Activities",Dyno_Data[DelOrig],"OppW", Dyno_Data[DelMiss],"1")</f>
        <v>0</v>
      </c>
      <c r="BJ294" s="60">
        <f>IFERROR(SUM((TBA_Matches_All[[#This Row],[OZflrT]])/(TBA_Matches_All[[#This Row],[OZflrT]]+TBA_Matches_All[[#This Row],[OZflrM]])),0)</f>
        <v>0</v>
      </c>
      <c r="BK294">
        <f>COUNTIFS(Dyno_Data[Team],TBA_Matches_All[[#This Row],[Team]],Dyno_Data[Match],TBA_Matches_All[[#This Row],[Match_Number]],Dyno_Data[RecordType],"Activities",Dyno_Data[DelOrig],"Neut", Dyno_Data[DelMiss],"0")</f>
        <v>0</v>
      </c>
      <c r="BL294">
        <f>COUNTIFS(Dyno_Data[Team],TBA_Matches_All[[#This Row],[Team]],Dyno_Data[Match],TBA_Matches_All[[#This Row],[Match_Number]],Dyno_Data[RecordType],"Activities",Dyno_Data[DelOrig],"Neut", Dyno_Data[DelMiss],"1")</f>
        <v>0</v>
      </c>
      <c r="BM294" s="60">
        <f>IFERROR(SUM((TBA_Matches_All[[#This Row],[NZflrT]])/(TBA_Matches_All[[#This Row],[NZflrT]]+TBA_Matches_All[[#This Row],[NZflrM]])),0)</f>
        <v>0</v>
      </c>
      <c r="BN294">
        <f>COUNTIFS(Dyno_Data[Team],TBA_Matches_All[[#This Row],[Team]],Dyno_Data[Match],TBA_Matches_All[[#This Row],[Match_Number]],Dyno_Data[RecordType],"Activities",Dyno_Data[DelOrig],"AllyW", Dyno_Data[DelMiss],"0")</f>
        <v>11</v>
      </c>
      <c r="BO294">
        <f>COUNTIFS(Dyno_Data[Team],TBA_Matches_All[[#This Row],[Team]],Dyno_Data[Match],TBA_Matches_All[[#This Row],[Match_Number]],Dyno_Data[RecordType],"Activities",Dyno_Data[DelOrig],"AllyW", Dyno_Data[DelMiss],"1")</f>
        <v>0</v>
      </c>
      <c r="BP294" s="60">
        <f>IFERROR(SUM((TBA_Matches_All[[#This Row],[AZflrT]])/(TBA_Matches_All[[#This Row],[AZflrT]]+TBA_Matches_All[[#This Row],[AZflrM]])),0)</f>
        <v>1</v>
      </c>
      <c r="BQ294">
        <f>COUNTIFS(Dyno_Data[Team],TBA_Matches_All[[#This Row],[Team]],Dyno_Data[Match],TBA_Matches_All[[#This Row],[Match_Number]],Dyno_Data[RecordType],"Activities",Dyno_Data[DelOrig],"SubW", Dyno_Data[DelMiss],"0")</f>
        <v>2</v>
      </c>
      <c r="BR294">
        <f>COUNTIFS(Dyno_Data[Team],TBA_Matches_All[[#This Row],[Team]],Dyno_Data[Match],TBA_Matches_All[[#This Row],[Match_Number]],Dyno_Data[RecordType],"Activities",Dyno_Data[DelOrig],"SubW", Dyno_Data[DelMiss],"1")</f>
        <v>0</v>
      </c>
      <c r="BS294" s="60">
        <f>IFERROR(SUM((TBA_Matches_All[[#This Row],[SubwT]])/(TBA_Matches_All[[#This Row],[SubwT]]+TBA_Matches_All[[#This Row],[SubwM]])),0)</f>
        <v>1</v>
      </c>
      <c r="BT294">
        <f>COUNTIFS(Dyno_Data[Team],TBA_Matches_All[[#This Row],[Team]],Dyno_Data[Match],TBA_Matches_All[[#This Row],[Match_Number]],Dyno_Data[RecordType],"Activities", Dyno_Data[AcqLoc],"OppWing")</f>
        <v>0</v>
      </c>
      <c r="BU294">
        <f>COUNTIFS(Dyno_Data[Team],TBA_Matches_All[[#This Row],[Team]],Dyno_Data[Match],TBA_Matches_All[[#This Row],[Match_Number]],Dyno_Data[RecordType],"Activities", Dyno_Data[AcqLoc],"Neutral")</f>
        <v>2</v>
      </c>
      <c r="BV294">
        <f>COUNTIFS(Dyno_Data[Team],TBA_Matches_All[[#This Row],[Team]],Dyno_Data[Match],TBA_Matches_All[[#This Row],[Match_Number]],Dyno_Data[RecordType],"Activities", Dyno_Data[AcqLoc],"AllyWing")</f>
        <v>0</v>
      </c>
      <c r="BW294">
        <f>COUNTIFS(Dyno_Data[Team],TBA_Matches_All[[#This Row],[Team]],Dyno_Data[Match],TBA_Matches_All[[#This Row],[Match_Number]],Dyno_Data[RecordType],"Activities", Dyno_Data[AcqLoc],"Source")</f>
        <v>0</v>
      </c>
      <c r="BX294">
        <f>SUMIFS(Dyno_Data[AcqDrp], Dyno_Data[Team],TBA_Matches_All[[#This Row],[Team]],Dyno_Data[Match],TBA_Matches_All[[#This Row],[Match_Number]],Dyno_Data[RecordType],"Activities", Dyno_Data[AcqLoc],"Source")</f>
        <v>0</v>
      </c>
      <c r="BY294">
        <f>SUMIFS(Dyno_Data[OZTime], Dyno_Data[Team],TBA_Matches_All[[#This Row],[Team]],Dyno_Data[Match],TBA_Matches_All[[#This Row],[Match_Number]],Dyno_Data[RecordType],"EndMatch")</f>
        <v>38.981957600000001</v>
      </c>
      <c r="BZ294">
        <f>SUMIFS(Dyno_Data[NZTime], Dyno_Data[Team],TBA_Matches_All[[#This Row],[Team]],Dyno_Data[Match],TBA_Matches_All[[#This Row],[Match_Number]],Dyno_Data[RecordType],"EndMatch")</f>
        <v>23.8232961</v>
      </c>
      <c r="CA294">
        <f>SUMIFS(Dyno_Data[AZTime], Dyno_Data[Team],TBA_Matches_All[[#This Row],[Team]],Dyno_Data[Match],TBA_Matches_All[[#This Row],[Match_Number]],Dyno_Data[RecordType],"EndMatch")</f>
        <v>75.777307399999998</v>
      </c>
      <c r="CB294">
        <f>SUMIFS(Dyno_Data[ClimbT], Dyno_Data[Team],TBA_Matches_All[[#This Row],[Team]],Dyno_Data[Match],TBA_Matches_All[[#This Row],[Match_Number]],Dyno_Data[RecordType],"EndMatch")</f>
        <v>0</v>
      </c>
      <c r="CC294" t="str">
        <f>_xlfn.XLOOKUP(SUM(MID(TBA_Matches_All[[#This Row],[Team]],4,5),(TBA_Matches_All[[#This Row],[Match_Number]]/100)),Dyno_EndMatch[teammat],Dyno_EndMatch[StageStat],"_",0,1)</f>
        <v>Else</v>
      </c>
      <c r="CD294" t="str">
        <f>_xlfn.XLOOKUP(TBA_Matches_All[[#This Row],[teammat]],Dyno_EndMatch[teammat],Dyno_EndMatch[StageAtt],"_",0,1)</f>
        <v>0</v>
      </c>
      <c r="CE294" t="str">
        <f>_xlfn.XLOOKUP(TBA_Matches_All[[#This Row],[teammat]],Dyno_EndMatch[teammat],Dyno_EndMatch[StageLoc],"_",0,1)</f>
        <v>A</v>
      </c>
      <c r="CF294">
        <f>SUMIFS(Dyno_Data[Harmony], Dyno_Data[Team],TBA_Matches_All[[#This Row],[Team]],Dyno_Data[Match],TBA_Matches_All[[#This Row],[Match_Number]],Dyno_Data[RecordType],"EndMatch", Dyno_Data[StageStat],"On",Dyno_Data[Harmony],"&lt;&gt;9")</f>
        <v>0</v>
      </c>
      <c r="CG294">
        <f>SUMIFS(Dyno_Data[Spotlit], Dyno_Data[Team],TBA_Matches_All[[#This Row],[Team]],Dyno_Data[Match],TBA_Matches_All[[#This Row],[Match_Number]],Dyno_Data[RecordType],"EndMatch", Dyno_Data[StageStat],"On",Dyno_Data[Spotlit],"&lt;&gt;9")</f>
        <v>0</v>
      </c>
      <c r="CH294" t="str">
        <f>_xlfn.XLOOKUP(TBA_Matches_All[[#This Row],[teammat]],Dyno_EndMatch[teammat],Dyno_EndMatch[Strategy],"_",0,1)</f>
        <v>Shooter</v>
      </c>
      <c r="CI294">
        <f>SUMIFS(Dyno_Data[Defense], Dyno_Data[Team],TBA_Matches_All[[#This Row],[Team]],Dyno_Data[Match],TBA_Matches_All[[#This Row],[Match_Number]],Dyno_Data[RecordType],"EndMatch",Dyno_Data[Defense],"&lt;&gt;9")</f>
        <v>0</v>
      </c>
      <c r="CJ294">
        <f>SUMIFS(Dyno_Data[Avoidance], Dyno_Data[Team],TBA_Matches_All[[#This Row],[Team]],Dyno_Data[Match],TBA_Matches_All[[#This Row],[Match_Number]],Dyno_Data[RecordType],"EndMatch",Dyno_Data[Avoidance],"&lt;&gt;9")</f>
        <v>0</v>
      </c>
      <c r="CK294" s="82">
        <f>COUNTIF($H$2:TBA_Matches_All[[#This Row],[Team]],TBA_Matches_All[[#This Row],[Team]])</f>
        <v>6</v>
      </c>
      <c r="CL294" s="111">
        <f>SUM(MID(TBA_Matches_All[[#This Row],[Team]],4,5)+TBA_Matches_All[[#This Row],[Match_Number]]/100)</f>
        <v>3181.49</v>
      </c>
      <c r="CM294">
        <f>SUM((TBA_Matches_All[[#This Row],[Leave]]*2)+(TBA_Matches_All[[#This Row],[AampT]]*2)+(TBA_Matches_All[[#This Row],[AspkrT]]*5)+(TBA_Matches_All[[#This Row],[AtrapT]]*5))</f>
        <v>17</v>
      </c>
      <c r="CN294" s="59">
        <f>IFERROR(SUM(TBA_Matches_All[[#This Row],[AptsT]]/TBA_Matches_All[[#This Row],[AutoPts]]),0)</f>
        <v>0.89473684210526316</v>
      </c>
      <c r="CO294" s="59">
        <f>IFERROR(SUM(TBA_Matches_All[[#This Row],[AampT]]+TBA_Matches_All[[#This Row],[AspkrT]]+TBA_Matches_All[[#This Row],[AtrapT]]/TBA_Matches_All[[#This Row],[Aamp]]+TBA_Matches_All[[#This Row],[Aspkr]]+TBA_Matches_All[[#This Row],[AtrapT]]),0)</f>
        <v>0</v>
      </c>
      <c r="CP294" s="59">
        <f>IFERROR(SUM(TBA_Matches_All[[#This Row],[TampT]]/TBA_Matches_All[[#This Row],[Tamp]]),0)</f>
        <v>1</v>
      </c>
      <c r="CQ294" s="59">
        <f>IFERROR(SUM(TBA_Matches_All[[#This Row],[TspkrT]]/TBA_Matches_All[[#This Row],[Tspkr]]),0)</f>
        <v>0.75</v>
      </c>
      <c r="CR294">
        <f>SUM(TBA_Matches_All[[#This Row],[TspkrPts]]*TBA_Matches_All[[#This Row],[TspkrP]])</f>
        <v>18</v>
      </c>
      <c r="CS294" s="59">
        <f>IFERROR(SUM(TBA_Matches_All[[#This Row],[TtrapT]]/TBA_Matches_All[[#This Row],[Trap]]),0)</f>
        <v>0</v>
      </c>
      <c r="CT294" s="59">
        <f>IFERROR(SUM(TBA_Matches_All[[#This Row],[TotNotesT]]/TBA_Matches_All[[#This Row],[TotNotes]]),0)</f>
        <v>0.8125</v>
      </c>
      <c r="CU294" s="66">
        <f>SUM((TBA_Matches_All[[#This Row],[AampT]]*2)+(TBA_Matches_All[[#This Row],[AspkrT]]*5)+(TBA_Matches_All[[#This Row],[AtrapT]]*5)+(TBA_Matches_All[[#This Row],[TampT]]*1)+(TBA_Matches_All[[#This Row],[TspkrptsC]]))</f>
        <v>34</v>
      </c>
      <c r="CV294" s="59">
        <f>IFERROR(TBA_Matches_All[[#This Row],[noteptsT]]/TBA_Matches_All[[#This Row],[NotePts]],0)</f>
        <v>0.85</v>
      </c>
      <c r="CW294">
        <f>SUM(IF(TBA_Matches_All[[#This Row],[stageStat]]="On",3,0),IF(TBA_Matches_All[[#This Row],[stageStat]]="Park",1,0),SUMIFS(TBA_Matches_All[[#This Row],[Spotlit]],TBA_Matches_All[[#This Row],[stageStat]],"On"),SUMIFS(TBA_Matches_All[[#This Row],[Harmony]],TBA_Matches_All[[#This Row],[stageStat]],"On"))</f>
        <v>0</v>
      </c>
      <c r="CX294" s="59">
        <f>IFERROR(TBA_Matches_All[[#This Row],[stageptsT]]/TBA_Matches_All[[#This Row],[StagePts]],0)</f>
        <v>0</v>
      </c>
      <c r="CY294">
        <f>SUM((TBA_Matches_All[[#This Row],[AptsT]]+TBA_Matches_All[[#This Row],[TampT]]+TBA_Matches_All[[#This Row],[TspkrptsC]]+(TBA_Matches_All[[#This Row],[TtrapT]]*5)+TBA_Matches_All[[#This Row],[stageptsT]]))</f>
        <v>36</v>
      </c>
      <c r="CZ294" s="59">
        <f>IFERROR(SUM(TBA_Matches_All[[#This Row],[TotptsC]]/TBA_Matches_All[[#This Row],[Score]]),0)</f>
        <v>0.70588235294117652</v>
      </c>
      <c r="DA29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6.420454545454545</v>
      </c>
      <c r="DB294" s="74">
        <f>SUMIFS(TBA_Matches_All[AveTeamTNoteDels],TBA_Matches_All[Match_Number],TBA_Matches_All[[#This Row],[Match_Number]],TBA_Matches_All[Alliance],"&lt;&gt;"&amp;TBA_Matches_All[[#This Row],[Alliance]],TBA_Matches_All[Scouted],"&gt;0")</f>
        <v>42.470192307692308</v>
      </c>
      <c r="DC294" s="74">
        <f>(TBA_Matches_All[[#This Row],[TampT]]+TBA_Matches_All[[#This Row],[TspkrptsC]])-TBA_Matches_All[[#This Row],[AveTeamTNoteDels]]</f>
        <v>12.579545454545455</v>
      </c>
      <c r="DD294" s="74">
        <f>SUMIFS(TBA_Matches_All[AveTeamTNoteDels],TBA_Matches_All[Match_Number],TBA_Matches_All[[#This Row],[Match_Number]],TBA_Matches_All[Alliance],"&lt;&gt;"&amp;TBA_Matches_All[[#This Row],[Alliance]])-TBA_Matches_All[[#This Row],[AveOppTNoteDels]]</f>
        <v>0</v>
      </c>
    </row>
    <row r="295" spans="1:108" x14ac:dyDescent="0.3">
      <c r="A295" t="s">
        <v>1042</v>
      </c>
      <c r="B295" t="s">
        <v>489</v>
      </c>
      <c r="C295" t="s">
        <v>1358</v>
      </c>
      <c r="D295">
        <v>49</v>
      </c>
      <c r="E295" t="s">
        <v>1420</v>
      </c>
      <c r="F295" t="s">
        <v>1423</v>
      </c>
      <c r="G295" t="s">
        <v>1409</v>
      </c>
      <c r="H295" t="s">
        <v>1308</v>
      </c>
      <c r="I295" t="b">
        <v>1</v>
      </c>
      <c r="J295">
        <v>55</v>
      </c>
      <c r="K295">
        <v>1</v>
      </c>
      <c r="L295">
        <v>0</v>
      </c>
      <c r="M295">
        <v>5</v>
      </c>
      <c r="N295">
        <v>0</v>
      </c>
      <c r="O295">
        <v>2</v>
      </c>
      <c r="P295">
        <v>10</v>
      </c>
      <c r="Q295">
        <v>14</v>
      </c>
      <c r="R295">
        <v>5</v>
      </c>
      <c r="S295">
        <v>1</v>
      </c>
      <c r="T295">
        <v>10</v>
      </c>
      <c r="U295">
        <v>5</v>
      </c>
      <c r="V295">
        <v>20</v>
      </c>
      <c r="W295">
        <v>11</v>
      </c>
      <c r="X295">
        <v>25</v>
      </c>
      <c r="Y295">
        <v>30</v>
      </c>
      <c r="Z295">
        <v>0</v>
      </c>
      <c r="AA295">
        <v>0</v>
      </c>
      <c r="AB295">
        <v>18</v>
      </c>
      <c r="AC295">
        <v>40</v>
      </c>
      <c r="AD295">
        <v>7</v>
      </c>
      <c r="AE295">
        <f>IFERROR(6/(COUNTIF(Dyno_EndMatch[Match],TBA_Matches_All[[#This Row],[Match_Number]])),0)</f>
        <v>1</v>
      </c>
      <c r="AF295">
        <f>COUNTIFS(Dyno_Data[Team],TBA_Matches_All[[#This Row],[Team]],Dyno_Data[Match],TBA_Matches_All[[#This Row],[Match_Number]],Dyno_Data[RecordType],"EndMatch",Dyno_Data[HPAmp],"Y")</f>
        <v>1</v>
      </c>
      <c r="AG295">
        <f>SUMIFS(Dyno_Data[Mics], Dyno_Data[Team],TBA_Matches_All[[#This Row],[Team]],Dyno_Data[Match],TBA_Matches_All[[#This Row],[Match_Number]],Dyno_Data[RecordType],"EndMatch",Dyno_Data[HPAmp],"Y")</f>
        <v>1</v>
      </c>
      <c r="AH295">
        <f>SUMIFS(Dyno_Data[Leave], Dyno_Data[Team],TBA_Matches_All[[#This Row],[Team]],Dyno_Data[Match],TBA_Matches_All[[#This Row],[Match_Number]],Dyno_Data[RecordType],"EndAuto")</f>
        <v>0</v>
      </c>
      <c r="AI295">
        <f>COUNTIFS(Dyno_Data[Team],TBA_Matches_All[[#This Row],[Team]],Dyno_Data[Match],TBA_Matches_All[[#This Row],[Match_Number]],Dyno_Data[RecordType],"Activities",Dyno_Data[DelDest],"Amp", Dyno_Data[DelMiss],"0", Dyno_Data[Mode],"Auto")</f>
        <v>0</v>
      </c>
      <c r="AJ295">
        <f>COUNTIFS(Dyno_Data[Team],TBA_Matches_All[[#This Row],[Team]],Dyno_Data[Match],TBA_Matches_All[[#This Row],[Match_Number]],Dyno_Data[RecordType],"Activities",Dyno_Data[DelDest],"Spkr", Dyno_Data[DelMiss],"0", Dyno_Data[Mode],"Auto")</f>
        <v>0</v>
      </c>
      <c r="AK295">
        <f>COUNTIFS(Dyno_Data[Team],TBA_Matches_All[[#This Row],[Team]],Dyno_Data[Match],TBA_Matches_All[[#This Row],[Match_Number]],Dyno_Data[RecordType],"Activities",Dyno_Data[DelDest],"Trap", Dyno_Data[DelMiss],"0", Dyno_Data[Mode],"Auto")</f>
        <v>0</v>
      </c>
      <c r="AL295">
        <f>COUNTIFS(Dyno_Data[Team],TBA_Matches_All[[#This Row],[Team]],Dyno_Data[Match],TBA_Matches_All[[#This Row],[Match_Number]],Dyno_Data[RecordType],"Activities",Dyno_Data[DelDest],"Amp", Dyno_Data[DelMiss],"0", Dyno_Data[Mode],"Teleop")</f>
        <v>1</v>
      </c>
      <c r="AM295">
        <f>COUNTIFS(Dyno_Data[Team],TBA_Matches_All[[#This Row],[Team]],Dyno_Data[Match],TBA_Matches_All[[#This Row],[Match_Number]],Dyno_Data[RecordType],"Activities",Dyno_Data[DelDest],"Spkr", Dyno_Data[DelMiss],"0", Dyno_Data[Mode],"Teleop")</f>
        <v>10</v>
      </c>
      <c r="AN295">
        <f>COUNTIFS(Dyno_Data[Team],TBA_Matches_All[[#This Row],[Team]],Dyno_Data[Match],TBA_Matches_All[[#This Row],[Match_Number]],Dyno_Data[RecordType],"Activities",Dyno_Data[DelDest],"Trap", Dyno_Data[DelMiss],"0", Dyno_Data[Mode],"&lt;&gt;Auto")</f>
        <v>0</v>
      </c>
      <c r="AO295">
        <f>SUM(TBA_Matches_All[[#This Row],[AampT]]+TBA_Matches_All[[#This Row],[AspkrT]]+TBA_Matches_All[[#This Row],[AtrapT]]+TBA_Matches_All[[#This Row],[TampT]]+TBA_Matches_All[[#This Row],[TspkrT]]+TBA_Matches_All[[#This Row],[TtrapT]])</f>
        <v>11</v>
      </c>
      <c r="AP295">
        <f>COUNTIFS(Dyno_Data[Team],TBA_Matches_All[[#This Row],[Team]],Dyno_Data[Match],TBA_Matches_All[[#This Row],[Match_Number]],Dyno_Data[RecordType],"Activities",Dyno_Data[DelDest],"Neut", Dyno_Data[DelMiss],"0")</f>
        <v>0</v>
      </c>
      <c r="AQ295">
        <f>COUNTIFS(Dyno_Data[Team],TBA_Matches_All[[#This Row],[Team]],Dyno_Data[Match],TBA_Matches_All[[#This Row],[Match_Number]],Dyno_Data[RecordType],"Activities",Dyno_Data[DelDest],"AllyW", Dyno_Data[DelMiss],"0")</f>
        <v>0</v>
      </c>
      <c r="AR295" t="str">
        <f>_xlfn.XLOOKUP(SUM(MID(TBA_Matches_All[[#This Row],[Team]],4,5),(TBA_Matches_All[[#This Row],[Match_Number]]/100)),Dyno_EndMatch[teammat],Dyno_EndMatch[RobotSta],"_",0,1)</f>
        <v>Amp</v>
      </c>
      <c r="AS295">
        <f>SUMIFS(Dyno_Data[AcqDis], Dyno_Data[Team],TBA_Matches_All[[#This Row],[Team]],Dyno_Data[Match],TBA_Matches_All[[#This Row],[Match_Number]],Dyno_Data[RecordType],"Activities", Dyno_Data[AcqCenter],1,Dyno_Data[Mode],"Auto")</f>
        <v>0</v>
      </c>
      <c r="AT295">
        <f>SUMIFS(Dyno_Data[AcqDis], Dyno_Data[Team],TBA_Matches_All[[#This Row],[Team]],Dyno_Data[Match],TBA_Matches_All[[#This Row],[Match_Number]],Dyno_Data[RecordType],"Activities", Dyno_Data[AcqCenter],2,Dyno_Data[Mode],"Auto")</f>
        <v>0</v>
      </c>
      <c r="AU295">
        <f>SUMIFS(Dyno_Data[AcqDis], Dyno_Data[Team],TBA_Matches_All[[#This Row],[Team]],Dyno_Data[Match],TBA_Matches_All[[#This Row],[Match_Number]],Dyno_Data[RecordType],"Activities", Dyno_Data[AcqCenter],3,Dyno_Data[Mode],"Auto")</f>
        <v>0</v>
      </c>
      <c r="AV295">
        <f>SUMIFS(Dyno_Data[AcqDis], Dyno_Data[Team],TBA_Matches_All[[#This Row],[Team]],Dyno_Data[Match],TBA_Matches_All[[#This Row],[Match_Number]],Dyno_Data[RecordType],"Activities", Dyno_Data[AcqCenter],4,Dyno_Data[Mode],"Auto")</f>
        <v>0</v>
      </c>
      <c r="AW295">
        <f>SUMIFS(Dyno_Data[AcqDis], Dyno_Data[Team],TBA_Matches_All[[#This Row],[Team]],Dyno_Data[Match],TBA_Matches_All[[#This Row],[Match_Number]],Dyno_Data[RecordType],"Activities", Dyno_Data[AcqCenter],5,Dyno_Data[Mode],"Auto")</f>
        <v>0</v>
      </c>
      <c r="AX295">
        <f>SUMIFS(Dyno_Data[DelMiss], Dyno_Data[Team],TBA_Matches_All[[#This Row],[Team]],Dyno_Data[Match],TBA_Matches_All[[#This Row],[Match_Number]],Dyno_Data[RecordType],"Activities", Dyno_Data[DelDest],"Amp")</f>
        <v>0</v>
      </c>
      <c r="AY295" s="60">
        <f>IFERROR(SUM((TBA_Matches_All[[#This Row],[AampT]]+TBA_Matches_All[[#This Row],[TampT]])/(TBA_Matches_All[[#This Row],[AampT]]+TBA_Matches_All[[#This Row],[TampT]]+TBA_Matches_All[[#This Row],[ampM]])),0)</f>
        <v>1</v>
      </c>
      <c r="AZ295">
        <f>SUMIFS(Dyno_Data[DelMiss], Dyno_Data[Team],TBA_Matches_All[[#This Row],[Team]],Dyno_Data[Match],TBA_Matches_All[[#This Row],[Match_Number]],Dyno_Data[RecordType],"Activities", Dyno_Data[DelDest],"Spkr")</f>
        <v>1</v>
      </c>
      <c r="BA295" s="60">
        <f>IFERROR(SUM((TBA_Matches_All[[#This Row],[AspkrT]]+TBA_Matches_All[[#This Row],[TspkrT]])/(TBA_Matches_All[[#This Row],[AspkrT]]+TBA_Matches_All[[#This Row],[TspkrT]]+TBA_Matches_All[[#This Row],[spkrM]])),0)</f>
        <v>0.90909090909090906</v>
      </c>
      <c r="BB295">
        <f>SUMIFS(Dyno_Data[DelMiss], Dyno_Data[Team],TBA_Matches_All[[#This Row],[Team]],Dyno_Data[Match],TBA_Matches_All[[#This Row],[Match_Number]],Dyno_Data[RecordType],"Activities", Dyno_Data[DelDest],"Trap")</f>
        <v>0</v>
      </c>
      <c r="BC295" s="60">
        <f>IFERROR((TBA_Matches_All[[#This Row],[AtrapT]]+TBA_Matches_All[[#This Row],[TtrapT]])/(TBA_Matches_All[[#This Row],[AtrapT]]+TBA_Matches_All[[#This Row],[TtrapT]]+TBA_Matches_All[[#This Row],[trapM]]),0)</f>
        <v>0</v>
      </c>
      <c r="BD295">
        <f>COUNTIFS(Dyno_Data[Team],TBA_Matches_All[[#This Row],[Team]],Dyno_Data[Match],TBA_Matches_All[[#This Row],[Match_Number]],Dyno_Data[RecordType],"Activities",Dyno_Data[DelDest],"Neut", Dyno_Data[DelMiss],1)</f>
        <v>0</v>
      </c>
      <c r="BE295" s="60">
        <f>IFERROR(SUM((TBA_Matches_All[[#This Row],[NeutFlrT]])/(TBA_Matches_All[[#This Row],[NeutFlrT]]+TBA_Matches_All[[#This Row],[NZflM]])),0)</f>
        <v>0</v>
      </c>
      <c r="BF295">
        <f>COUNTIFS(Dyno_Data[Team],TBA_Matches_All[[#This Row],[Team]],Dyno_Data[Match],TBA_Matches_All[[#This Row],[Match_Number]],Dyno_Data[RecordType],"Activities",Dyno_Data[DelDest],"AllyW", Dyno_Data[DelMiss],1)</f>
        <v>0</v>
      </c>
      <c r="BG295" s="60">
        <f>IFERROR(SUM((TBA_Matches_All[[#This Row],[AllyWFlrT]])/(TBA_Matches_All[[#This Row],[AllyWFlrT]]+TBA_Matches_All[[#This Row],[AZflM]])),0)</f>
        <v>0</v>
      </c>
      <c r="BH295">
        <f>COUNTIFS(Dyno_Data[Team],TBA_Matches_All[[#This Row],[Team]],Dyno_Data[Match],TBA_Matches_All[[#This Row],[Match_Number]],Dyno_Data[RecordType],"Activities",Dyno_Data[DelOrig],"OppW", Dyno_Data[DelMiss],"0")</f>
        <v>0</v>
      </c>
      <c r="BI295">
        <f>COUNTIFS(Dyno_Data[Team],TBA_Matches_All[[#This Row],[Team]],Dyno_Data[Match],TBA_Matches_All[[#This Row],[Match_Number]],Dyno_Data[RecordType],"Activities",Dyno_Data[DelOrig],"OppW", Dyno_Data[DelMiss],"1")</f>
        <v>0</v>
      </c>
      <c r="BJ295" s="60">
        <f>IFERROR(SUM((TBA_Matches_All[[#This Row],[OZflrT]])/(TBA_Matches_All[[#This Row],[OZflrT]]+TBA_Matches_All[[#This Row],[OZflrM]])),0)</f>
        <v>0</v>
      </c>
      <c r="BK295">
        <f>COUNTIFS(Dyno_Data[Team],TBA_Matches_All[[#This Row],[Team]],Dyno_Data[Match],TBA_Matches_All[[#This Row],[Match_Number]],Dyno_Data[RecordType],"Activities",Dyno_Data[DelOrig],"Neut", Dyno_Data[DelMiss],"0")</f>
        <v>0</v>
      </c>
      <c r="BL295">
        <f>COUNTIFS(Dyno_Data[Team],TBA_Matches_All[[#This Row],[Team]],Dyno_Data[Match],TBA_Matches_All[[#This Row],[Match_Number]],Dyno_Data[RecordType],"Activities",Dyno_Data[DelOrig],"Neut", Dyno_Data[DelMiss],"1")</f>
        <v>0</v>
      </c>
      <c r="BM295" s="60">
        <f>IFERROR(SUM((TBA_Matches_All[[#This Row],[NZflrT]])/(TBA_Matches_All[[#This Row],[NZflrT]]+TBA_Matches_All[[#This Row],[NZflrM]])),0)</f>
        <v>0</v>
      </c>
      <c r="BN295">
        <f>COUNTIFS(Dyno_Data[Team],TBA_Matches_All[[#This Row],[Team]],Dyno_Data[Match],TBA_Matches_All[[#This Row],[Match_Number]],Dyno_Data[RecordType],"Activities",Dyno_Data[DelOrig],"AllyW", Dyno_Data[DelMiss],"0")</f>
        <v>3</v>
      </c>
      <c r="BO295">
        <f>COUNTIFS(Dyno_Data[Team],TBA_Matches_All[[#This Row],[Team]],Dyno_Data[Match],TBA_Matches_All[[#This Row],[Match_Number]],Dyno_Data[RecordType],"Activities",Dyno_Data[DelOrig],"AllyW", Dyno_Data[DelMiss],"1")</f>
        <v>0</v>
      </c>
      <c r="BP295" s="60">
        <f>IFERROR(SUM((TBA_Matches_All[[#This Row],[AZflrT]])/(TBA_Matches_All[[#This Row],[AZflrT]]+TBA_Matches_All[[#This Row],[AZflrM]])),0)</f>
        <v>1</v>
      </c>
      <c r="BQ295">
        <f>COUNTIFS(Dyno_Data[Team],TBA_Matches_All[[#This Row],[Team]],Dyno_Data[Match],TBA_Matches_All[[#This Row],[Match_Number]],Dyno_Data[RecordType],"Activities",Dyno_Data[DelOrig],"SubW", Dyno_Data[DelMiss],"0")</f>
        <v>8</v>
      </c>
      <c r="BR295">
        <f>COUNTIFS(Dyno_Data[Team],TBA_Matches_All[[#This Row],[Team]],Dyno_Data[Match],TBA_Matches_All[[#This Row],[Match_Number]],Dyno_Data[RecordType],"Activities",Dyno_Data[DelOrig],"SubW", Dyno_Data[DelMiss],"1")</f>
        <v>1</v>
      </c>
      <c r="BS295" s="60">
        <f>IFERROR(SUM((TBA_Matches_All[[#This Row],[SubwT]])/(TBA_Matches_All[[#This Row],[SubwT]]+TBA_Matches_All[[#This Row],[SubwM]])),0)</f>
        <v>0.88888888888888884</v>
      </c>
      <c r="BT295">
        <f>COUNTIFS(Dyno_Data[Team],TBA_Matches_All[[#This Row],[Team]],Dyno_Data[Match],TBA_Matches_All[[#This Row],[Match_Number]],Dyno_Data[RecordType],"Activities", Dyno_Data[AcqLoc],"OppWing")</f>
        <v>0</v>
      </c>
      <c r="BU295">
        <f>COUNTIFS(Dyno_Data[Team],TBA_Matches_All[[#This Row],[Team]],Dyno_Data[Match],TBA_Matches_All[[#This Row],[Match_Number]],Dyno_Data[RecordType],"Activities", Dyno_Data[AcqLoc],"Neutral")</f>
        <v>0</v>
      </c>
      <c r="BV295">
        <f>COUNTIFS(Dyno_Data[Team],TBA_Matches_All[[#This Row],[Team]],Dyno_Data[Match],TBA_Matches_All[[#This Row],[Match_Number]],Dyno_Data[RecordType],"Activities", Dyno_Data[AcqLoc],"AllyWing")</f>
        <v>0</v>
      </c>
      <c r="BW295">
        <f>COUNTIFS(Dyno_Data[Team],TBA_Matches_All[[#This Row],[Team]],Dyno_Data[Match],TBA_Matches_All[[#This Row],[Match_Number]],Dyno_Data[RecordType],"Activities", Dyno_Data[AcqLoc],"Source")</f>
        <v>0</v>
      </c>
      <c r="BX295">
        <f>SUMIFS(Dyno_Data[AcqDrp], Dyno_Data[Team],TBA_Matches_All[[#This Row],[Team]],Dyno_Data[Match],TBA_Matches_All[[#This Row],[Match_Number]],Dyno_Data[RecordType],"Activities", Dyno_Data[AcqLoc],"Source")</f>
        <v>0</v>
      </c>
      <c r="BY295">
        <f>SUMIFS(Dyno_Data[OZTime], Dyno_Data[Team],TBA_Matches_All[[#This Row],[Team]],Dyno_Data[Match],TBA_Matches_All[[#This Row],[Match_Number]],Dyno_Data[RecordType],"EndMatch")</f>
        <v>30.467596799999999</v>
      </c>
      <c r="BZ295">
        <f>SUMIFS(Dyno_Data[NZTime], Dyno_Data[Team],TBA_Matches_All[[#This Row],[Team]],Dyno_Data[Match],TBA_Matches_All[[#This Row],[Match_Number]],Dyno_Data[RecordType],"EndMatch")</f>
        <v>24.787464199999999</v>
      </c>
      <c r="CA295">
        <f>SUMIFS(Dyno_Data[AZTime], Dyno_Data[Team],TBA_Matches_All[[#This Row],[Team]],Dyno_Data[Match],TBA_Matches_All[[#This Row],[Match_Number]],Dyno_Data[RecordType],"EndMatch")</f>
        <v>80.047275799999994</v>
      </c>
      <c r="CB295">
        <f>SUMIFS(Dyno_Data[ClimbT], Dyno_Data[Team],TBA_Matches_All[[#This Row],[Team]],Dyno_Data[Match],TBA_Matches_All[[#This Row],[Match_Number]],Dyno_Data[RecordType],"EndMatch")</f>
        <v>1.3730921</v>
      </c>
      <c r="CC295" t="str">
        <f>_xlfn.XLOOKUP(SUM(MID(TBA_Matches_All[[#This Row],[Team]],4,5),(TBA_Matches_All[[#This Row],[Match_Number]]/100)),Dyno_EndMatch[teammat],Dyno_EndMatch[StageStat],"_",0,1)</f>
        <v>On</v>
      </c>
      <c r="CD295" t="str">
        <f>_xlfn.XLOOKUP(TBA_Matches_All[[#This Row],[teammat]],Dyno_EndMatch[teammat],Dyno_EndMatch[StageAtt],"_",0,1)</f>
        <v>1</v>
      </c>
      <c r="CE295" t="str">
        <f>_xlfn.XLOOKUP(TBA_Matches_All[[#This Row],[teammat]],Dyno_EndMatch[teammat],Dyno_EndMatch[StageLoc],"_",0,1)</f>
        <v>L</v>
      </c>
      <c r="CF295">
        <f>SUMIFS(Dyno_Data[Harmony], Dyno_Data[Team],TBA_Matches_All[[#This Row],[Team]],Dyno_Data[Match],TBA_Matches_All[[#This Row],[Match_Number]],Dyno_Data[RecordType],"EndMatch", Dyno_Data[StageStat],"On",Dyno_Data[Harmony],"&lt;&gt;9")</f>
        <v>0</v>
      </c>
      <c r="CG295">
        <f>SUMIFS(Dyno_Data[Spotlit], Dyno_Data[Team],TBA_Matches_All[[#This Row],[Team]],Dyno_Data[Match],TBA_Matches_All[[#This Row],[Match_Number]],Dyno_Data[RecordType],"EndMatch", Dyno_Data[StageStat],"On",Dyno_Data[Spotlit],"&lt;&gt;9")</f>
        <v>1</v>
      </c>
      <c r="CH295" t="str">
        <f>_xlfn.XLOOKUP(TBA_Matches_All[[#This Row],[teammat]],Dyno_EndMatch[teammat],Dyno_EndMatch[Strategy],"_",0,1)</f>
        <v>Hybrid</v>
      </c>
      <c r="CI295">
        <f>SUMIFS(Dyno_Data[Defense], Dyno_Data[Team],TBA_Matches_All[[#This Row],[Team]],Dyno_Data[Match],TBA_Matches_All[[#This Row],[Match_Number]],Dyno_Data[RecordType],"EndMatch",Dyno_Data[Defense],"&lt;&gt;9")</f>
        <v>0</v>
      </c>
      <c r="CJ295">
        <f>SUMIFS(Dyno_Data[Avoidance], Dyno_Data[Team],TBA_Matches_All[[#This Row],[Team]],Dyno_Data[Match],TBA_Matches_All[[#This Row],[Match_Number]],Dyno_Data[RecordType],"EndMatch",Dyno_Data[Avoidance],"&lt;&gt;9")</f>
        <v>1</v>
      </c>
      <c r="CK295" s="82">
        <f>COUNTIF($H$2:TBA_Matches_All[[#This Row],[Team]],TBA_Matches_All[[#This Row],[Team]])</f>
        <v>6</v>
      </c>
      <c r="CL295" s="111">
        <f>SUM(MID(TBA_Matches_All[[#This Row],[Team]],4,5)+TBA_Matches_All[[#This Row],[Match_Number]]/100)</f>
        <v>3799.49</v>
      </c>
      <c r="CM295">
        <f>SUM((TBA_Matches_All[[#This Row],[Leave]]*2)+(TBA_Matches_All[[#This Row],[AampT]]*2)+(TBA_Matches_All[[#This Row],[AspkrT]]*5)+(TBA_Matches_All[[#This Row],[AtrapT]]*5))</f>
        <v>0</v>
      </c>
      <c r="CN295" s="59">
        <f>IFERROR(SUM(TBA_Matches_All[[#This Row],[AptsT]]/TBA_Matches_All[[#This Row],[AutoPts]]),0)</f>
        <v>0</v>
      </c>
      <c r="CO295" s="59">
        <f>IFERROR(SUM(TBA_Matches_All[[#This Row],[AampT]]+TBA_Matches_All[[#This Row],[AspkrT]]+TBA_Matches_All[[#This Row],[AtrapT]]/TBA_Matches_All[[#This Row],[Aamp]]+TBA_Matches_All[[#This Row],[Aspkr]]+TBA_Matches_All[[#This Row],[AtrapT]]),0)</f>
        <v>0</v>
      </c>
      <c r="CP295" s="59">
        <f>IFERROR(SUM(TBA_Matches_All[[#This Row],[TampT]]/TBA_Matches_All[[#This Row],[Tamp]]),0)</f>
        <v>0.2</v>
      </c>
      <c r="CQ295" s="59">
        <f>IFERROR(SUM(TBA_Matches_All[[#This Row],[TspkrT]]/TBA_Matches_All[[#This Row],[Tspkr]]),0)</f>
        <v>0.90909090909090906</v>
      </c>
      <c r="CR295">
        <f>SUM(TBA_Matches_All[[#This Row],[TspkrPts]]*TBA_Matches_All[[#This Row],[TspkrP]])</f>
        <v>22.727272727272727</v>
      </c>
      <c r="CS295" s="59">
        <f>IFERROR(SUM(TBA_Matches_All[[#This Row],[TtrapT]]/TBA_Matches_All[[#This Row],[Trap]]),0)</f>
        <v>0</v>
      </c>
      <c r="CT295" s="59">
        <f>IFERROR(SUM(TBA_Matches_All[[#This Row],[TotNotesT]]/TBA_Matches_All[[#This Row],[TotNotes]]),0)</f>
        <v>0.61111111111111116</v>
      </c>
      <c r="CU295" s="66">
        <f>SUM((TBA_Matches_All[[#This Row],[AampT]]*2)+(TBA_Matches_All[[#This Row],[AspkrT]]*5)+(TBA_Matches_All[[#This Row],[AtrapT]]*5)+(TBA_Matches_All[[#This Row],[TampT]]*1)+(TBA_Matches_All[[#This Row],[TspkrptsC]]))</f>
        <v>23.727272727272727</v>
      </c>
      <c r="CV295" s="59">
        <f>IFERROR(TBA_Matches_All[[#This Row],[noteptsT]]/TBA_Matches_All[[#This Row],[NotePts]],0)</f>
        <v>0.59318181818181814</v>
      </c>
      <c r="CW295">
        <f>SUM(IF(TBA_Matches_All[[#This Row],[stageStat]]="On",3,0),IF(TBA_Matches_All[[#This Row],[stageStat]]="Park",1,0),SUMIFS(TBA_Matches_All[[#This Row],[Spotlit]],TBA_Matches_All[[#This Row],[stageStat]],"On"),SUMIFS(TBA_Matches_All[[#This Row],[Harmony]],TBA_Matches_All[[#This Row],[stageStat]],"On"))</f>
        <v>4</v>
      </c>
      <c r="CX295" s="59">
        <f>IFERROR(TBA_Matches_All[[#This Row],[stageptsT]]/TBA_Matches_All[[#This Row],[StagePts]],0)</f>
        <v>0.5714285714285714</v>
      </c>
      <c r="CY295">
        <f>SUM((TBA_Matches_All[[#This Row],[AptsT]]+TBA_Matches_All[[#This Row],[TampT]]+TBA_Matches_All[[#This Row],[TspkrptsC]]+(TBA_Matches_All[[#This Row],[TtrapT]]*5)+TBA_Matches_All[[#This Row],[stageptsT]]))</f>
        <v>27.727272727272727</v>
      </c>
      <c r="CZ295" s="59">
        <f>IFERROR(SUM(TBA_Matches_All[[#This Row],[TotptsC]]/TBA_Matches_All[[#This Row],[Score]]),0)</f>
        <v>0.50413223140495866</v>
      </c>
      <c r="DA29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19.807692307692307</v>
      </c>
      <c r="DB295" s="74">
        <f>SUMIFS(TBA_Matches_All[AveTeamTNoteDels],TBA_Matches_All[Match_Number],TBA_Matches_All[[#This Row],[Match_Number]],TBA_Matches_All[Alliance],"&lt;&gt;"&amp;TBA_Matches_All[[#This Row],[Alliance]],TBA_Matches_All[Scouted],"&gt;0")</f>
        <v>11.087121212121211</v>
      </c>
      <c r="DC295" s="74">
        <f>(TBA_Matches_All[[#This Row],[TampT]]+TBA_Matches_All[[#This Row],[TspkrptsC]])-TBA_Matches_All[[#This Row],[AveTeamTNoteDels]]</f>
        <v>3.91958041958042</v>
      </c>
      <c r="DD295" s="74">
        <f>SUMIFS(TBA_Matches_All[AveTeamTNoteDels],TBA_Matches_All[Match_Number],TBA_Matches_All[[#This Row],[Match_Number]],TBA_Matches_All[Alliance],"&lt;&gt;"&amp;TBA_Matches_All[[#This Row],[Alliance]])-TBA_Matches_All[[#This Row],[AveOppTNoteDels]]</f>
        <v>0</v>
      </c>
    </row>
    <row r="296" spans="1:108" x14ac:dyDescent="0.3">
      <c r="A296" t="s">
        <v>1042</v>
      </c>
      <c r="B296" t="s">
        <v>489</v>
      </c>
      <c r="C296" t="s">
        <v>1358</v>
      </c>
      <c r="D296">
        <v>49</v>
      </c>
      <c r="E296" t="s">
        <v>1406</v>
      </c>
      <c r="F296" t="s">
        <v>1424</v>
      </c>
      <c r="G296" t="s">
        <v>1409</v>
      </c>
      <c r="H296" t="s">
        <v>1282</v>
      </c>
      <c r="I296" t="b">
        <v>0</v>
      </c>
      <c r="J296">
        <v>51</v>
      </c>
      <c r="K296">
        <v>0</v>
      </c>
      <c r="L296">
        <v>0</v>
      </c>
      <c r="M296">
        <v>4</v>
      </c>
      <c r="N296">
        <v>0</v>
      </c>
      <c r="O296">
        <v>3</v>
      </c>
      <c r="P296">
        <v>15</v>
      </c>
      <c r="Q296">
        <v>19</v>
      </c>
      <c r="R296">
        <v>1</v>
      </c>
      <c r="S296">
        <v>0</v>
      </c>
      <c r="T296">
        <v>12</v>
      </c>
      <c r="U296">
        <v>0</v>
      </c>
      <c r="V296">
        <v>24</v>
      </c>
      <c r="W296">
        <v>12</v>
      </c>
      <c r="X296">
        <v>24</v>
      </c>
      <c r="Y296">
        <v>25</v>
      </c>
      <c r="Z296">
        <v>0</v>
      </c>
      <c r="AA296">
        <v>0</v>
      </c>
      <c r="AB296">
        <v>16</v>
      </c>
      <c r="AC296">
        <v>40</v>
      </c>
      <c r="AD296">
        <v>2</v>
      </c>
      <c r="AE296">
        <f>IFERROR(6/(COUNTIF(Dyno_EndMatch[Match],TBA_Matches_All[[#This Row],[Match_Number]])),0)</f>
        <v>1</v>
      </c>
      <c r="AF296">
        <f>COUNTIFS(Dyno_Data[Team],TBA_Matches_All[[#This Row],[Team]],Dyno_Data[Match],TBA_Matches_All[[#This Row],[Match_Number]],Dyno_Data[RecordType],"EndMatch",Dyno_Data[HPAmp],"Y")</f>
        <v>0</v>
      </c>
      <c r="AG296">
        <f>SUMIFS(Dyno_Data[Mics], Dyno_Data[Team],TBA_Matches_All[[#This Row],[Team]],Dyno_Data[Match],TBA_Matches_All[[#This Row],[Match_Number]],Dyno_Data[RecordType],"EndMatch",Dyno_Data[HPAmp],"Y")</f>
        <v>0</v>
      </c>
      <c r="AH296">
        <f>SUMIFS(Dyno_Data[Leave], Dyno_Data[Team],TBA_Matches_All[[#This Row],[Team]],Dyno_Data[Match],TBA_Matches_All[[#This Row],[Match_Number]],Dyno_Data[RecordType],"EndAuto")</f>
        <v>0</v>
      </c>
      <c r="AI296">
        <f>COUNTIFS(Dyno_Data[Team],TBA_Matches_All[[#This Row],[Team]],Dyno_Data[Match],TBA_Matches_All[[#This Row],[Match_Number]],Dyno_Data[RecordType],"Activities",Dyno_Data[DelDest],"Amp", Dyno_Data[DelMiss],"0", Dyno_Data[Mode],"Auto")</f>
        <v>0</v>
      </c>
      <c r="AJ296">
        <f>COUNTIFS(Dyno_Data[Team],TBA_Matches_All[[#This Row],[Team]],Dyno_Data[Match],TBA_Matches_All[[#This Row],[Match_Number]],Dyno_Data[RecordType],"Activities",Dyno_Data[DelDest],"Spkr", Dyno_Data[DelMiss],"0", Dyno_Data[Mode],"Auto")</f>
        <v>0</v>
      </c>
      <c r="AK296">
        <f>COUNTIFS(Dyno_Data[Team],TBA_Matches_All[[#This Row],[Team]],Dyno_Data[Match],TBA_Matches_All[[#This Row],[Match_Number]],Dyno_Data[RecordType],"Activities",Dyno_Data[DelDest],"Trap", Dyno_Data[DelMiss],"0", Dyno_Data[Mode],"Auto")</f>
        <v>0</v>
      </c>
      <c r="AL296">
        <f>COUNTIFS(Dyno_Data[Team],TBA_Matches_All[[#This Row],[Team]],Dyno_Data[Match],TBA_Matches_All[[#This Row],[Match_Number]],Dyno_Data[RecordType],"Activities",Dyno_Data[DelDest],"Amp", Dyno_Data[DelMiss],"0", Dyno_Data[Mode],"Teleop")</f>
        <v>0</v>
      </c>
      <c r="AM296">
        <f>COUNTIFS(Dyno_Data[Team],TBA_Matches_All[[#This Row],[Team]],Dyno_Data[Match],TBA_Matches_All[[#This Row],[Match_Number]],Dyno_Data[RecordType],"Activities",Dyno_Data[DelDest],"Spkr", Dyno_Data[DelMiss],"0", Dyno_Data[Mode],"Teleop")</f>
        <v>4</v>
      </c>
      <c r="AN296">
        <f>COUNTIFS(Dyno_Data[Team],TBA_Matches_All[[#This Row],[Team]],Dyno_Data[Match],TBA_Matches_All[[#This Row],[Match_Number]],Dyno_Data[RecordType],"Activities",Dyno_Data[DelDest],"Trap", Dyno_Data[DelMiss],"0", Dyno_Data[Mode],"&lt;&gt;Auto")</f>
        <v>0</v>
      </c>
      <c r="AO296">
        <f>SUM(TBA_Matches_All[[#This Row],[AampT]]+TBA_Matches_All[[#This Row],[AspkrT]]+TBA_Matches_All[[#This Row],[AtrapT]]+TBA_Matches_All[[#This Row],[TampT]]+TBA_Matches_All[[#This Row],[TspkrT]]+TBA_Matches_All[[#This Row],[TtrapT]])</f>
        <v>4</v>
      </c>
      <c r="AP296">
        <f>COUNTIFS(Dyno_Data[Team],TBA_Matches_All[[#This Row],[Team]],Dyno_Data[Match],TBA_Matches_All[[#This Row],[Match_Number]],Dyno_Data[RecordType],"Activities",Dyno_Data[DelDest],"Neut", Dyno_Data[DelMiss],"0")</f>
        <v>0</v>
      </c>
      <c r="AQ296">
        <f>COUNTIFS(Dyno_Data[Team],TBA_Matches_All[[#This Row],[Team]],Dyno_Data[Match],TBA_Matches_All[[#This Row],[Match_Number]],Dyno_Data[RecordType],"Activities",Dyno_Data[DelDest],"AllyW", Dyno_Data[DelMiss],"0")</f>
        <v>0</v>
      </c>
      <c r="AR296" t="str">
        <f>_xlfn.XLOOKUP(SUM(MID(TBA_Matches_All[[#This Row],[Team]],4,5),(TBA_Matches_All[[#This Row],[Match_Number]]/100)),Dyno_EndMatch[teammat],Dyno_EndMatch[RobotSta],"_",0,1)</f>
        <v>SubW</v>
      </c>
      <c r="AS296">
        <f>SUMIFS(Dyno_Data[AcqDis], Dyno_Data[Team],TBA_Matches_All[[#This Row],[Team]],Dyno_Data[Match],TBA_Matches_All[[#This Row],[Match_Number]],Dyno_Data[RecordType],"Activities", Dyno_Data[AcqCenter],1,Dyno_Data[Mode],"Auto")</f>
        <v>0</v>
      </c>
      <c r="AT296">
        <f>SUMIFS(Dyno_Data[AcqDis], Dyno_Data[Team],TBA_Matches_All[[#This Row],[Team]],Dyno_Data[Match],TBA_Matches_All[[#This Row],[Match_Number]],Dyno_Data[RecordType],"Activities", Dyno_Data[AcqCenter],2,Dyno_Data[Mode],"Auto")</f>
        <v>0</v>
      </c>
      <c r="AU296">
        <f>SUMIFS(Dyno_Data[AcqDis], Dyno_Data[Team],TBA_Matches_All[[#This Row],[Team]],Dyno_Data[Match],TBA_Matches_All[[#This Row],[Match_Number]],Dyno_Data[RecordType],"Activities", Dyno_Data[AcqCenter],3,Dyno_Data[Mode],"Auto")</f>
        <v>0</v>
      </c>
      <c r="AV296">
        <f>SUMIFS(Dyno_Data[AcqDis], Dyno_Data[Team],TBA_Matches_All[[#This Row],[Team]],Dyno_Data[Match],TBA_Matches_All[[#This Row],[Match_Number]],Dyno_Data[RecordType],"Activities", Dyno_Data[AcqCenter],4,Dyno_Data[Mode],"Auto")</f>
        <v>0</v>
      </c>
      <c r="AW296">
        <f>SUMIFS(Dyno_Data[AcqDis], Dyno_Data[Team],TBA_Matches_All[[#This Row],[Team]],Dyno_Data[Match],TBA_Matches_All[[#This Row],[Match_Number]],Dyno_Data[RecordType],"Activities", Dyno_Data[AcqCenter],5,Dyno_Data[Mode],"Auto")</f>
        <v>0</v>
      </c>
      <c r="AX296">
        <f>SUMIFS(Dyno_Data[DelMiss], Dyno_Data[Team],TBA_Matches_All[[#This Row],[Team]],Dyno_Data[Match],TBA_Matches_All[[#This Row],[Match_Number]],Dyno_Data[RecordType],"Activities", Dyno_Data[DelDest],"Amp")</f>
        <v>1</v>
      </c>
      <c r="AY296" s="60">
        <f>IFERROR(SUM((TBA_Matches_All[[#This Row],[AampT]]+TBA_Matches_All[[#This Row],[TampT]])/(TBA_Matches_All[[#This Row],[AampT]]+TBA_Matches_All[[#This Row],[TampT]]+TBA_Matches_All[[#This Row],[ampM]])),0)</f>
        <v>0</v>
      </c>
      <c r="AZ296">
        <f>SUMIFS(Dyno_Data[DelMiss], Dyno_Data[Team],TBA_Matches_All[[#This Row],[Team]],Dyno_Data[Match],TBA_Matches_All[[#This Row],[Match_Number]],Dyno_Data[RecordType],"Activities", Dyno_Data[DelDest],"Spkr")</f>
        <v>2</v>
      </c>
      <c r="BA296" s="60">
        <f>IFERROR(SUM((TBA_Matches_All[[#This Row],[AspkrT]]+TBA_Matches_All[[#This Row],[TspkrT]])/(TBA_Matches_All[[#This Row],[AspkrT]]+TBA_Matches_All[[#This Row],[TspkrT]]+TBA_Matches_All[[#This Row],[spkrM]])),0)</f>
        <v>0.66666666666666663</v>
      </c>
      <c r="BB296">
        <f>SUMIFS(Dyno_Data[DelMiss], Dyno_Data[Team],TBA_Matches_All[[#This Row],[Team]],Dyno_Data[Match],TBA_Matches_All[[#This Row],[Match_Number]],Dyno_Data[RecordType],"Activities", Dyno_Data[DelDest],"Trap")</f>
        <v>0</v>
      </c>
      <c r="BC296" s="60">
        <f>IFERROR((TBA_Matches_All[[#This Row],[AtrapT]]+TBA_Matches_All[[#This Row],[TtrapT]])/(TBA_Matches_All[[#This Row],[AtrapT]]+TBA_Matches_All[[#This Row],[TtrapT]]+TBA_Matches_All[[#This Row],[trapM]]),0)</f>
        <v>0</v>
      </c>
      <c r="BD296">
        <f>COUNTIFS(Dyno_Data[Team],TBA_Matches_All[[#This Row],[Team]],Dyno_Data[Match],TBA_Matches_All[[#This Row],[Match_Number]],Dyno_Data[RecordType],"Activities",Dyno_Data[DelDest],"Neut", Dyno_Data[DelMiss],1)</f>
        <v>0</v>
      </c>
      <c r="BE296" s="60">
        <f>IFERROR(SUM((TBA_Matches_All[[#This Row],[NeutFlrT]])/(TBA_Matches_All[[#This Row],[NeutFlrT]]+TBA_Matches_All[[#This Row],[NZflM]])),0)</f>
        <v>0</v>
      </c>
      <c r="BF296">
        <f>COUNTIFS(Dyno_Data[Team],TBA_Matches_All[[#This Row],[Team]],Dyno_Data[Match],TBA_Matches_All[[#This Row],[Match_Number]],Dyno_Data[RecordType],"Activities",Dyno_Data[DelDest],"AllyW", Dyno_Data[DelMiss],1)</f>
        <v>0</v>
      </c>
      <c r="BG296" s="60">
        <f>IFERROR(SUM((TBA_Matches_All[[#This Row],[AllyWFlrT]])/(TBA_Matches_All[[#This Row],[AllyWFlrT]]+TBA_Matches_All[[#This Row],[AZflM]])),0)</f>
        <v>0</v>
      </c>
      <c r="BH296">
        <f>COUNTIFS(Dyno_Data[Team],TBA_Matches_All[[#This Row],[Team]],Dyno_Data[Match],TBA_Matches_All[[#This Row],[Match_Number]],Dyno_Data[RecordType],"Activities",Dyno_Data[DelOrig],"OppW", Dyno_Data[DelMiss],"0")</f>
        <v>0</v>
      </c>
      <c r="BI296">
        <f>COUNTIFS(Dyno_Data[Team],TBA_Matches_All[[#This Row],[Team]],Dyno_Data[Match],TBA_Matches_All[[#This Row],[Match_Number]],Dyno_Data[RecordType],"Activities",Dyno_Data[DelOrig],"OppW", Dyno_Data[DelMiss],"1")</f>
        <v>0</v>
      </c>
      <c r="BJ296" s="60">
        <f>IFERROR(SUM((TBA_Matches_All[[#This Row],[OZflrT]])/(TBA_Matches_All[[#This Row],[OZflrT]]+TBA_Matches_All[[#This Row],[OZflrM]])),0)</f>
        <v>0</v>
      </c>
      <c r="BK296">
        <f>COUNTIFS(Dyno_Data[Team],TBA_Matches_All[[#This Row],[Team]],Dyno_Data[Match],TBA_Matches_All[[#This Row],[Match_Number]],Dyno_Data[RecordType],"Activities",Dyno_Data[DelOrig],"Neut", Dyno_Data[DelMiss],"0")</f>
        <v>0</v>
      </c>
      <c r="BL296">
        <f>COUNTIFS(Dyno_Data[Team],TBA_Matches_All[[#This Row],[Team]],Dyno_Data[Match],TBA_Matches_All[[#This Row],[Match_Number]],Dyno_Data[RecordType],"Activities",Dyno_Data[DelOrig],"Neut", Dyno_Data[DelMiss],"1")</f>
        <v>0</v>
      </c>
      <c r="BM296" s="60">
        <f>IFERROR(SUM((TBA_Matches_All[[#This Row],[NZflrT]])/(TBA_Matches_All[[#This Row],[NZflrT]]+TBA_Matches_All[[#This Row],[NZflrM]])),0)</f>
        <v>0</v>
      </c>
      <c r="BN296">
        <f>COUNTIFS(Dyno_Data[Team],TBA_Matches_All[[#This Row],[Team]],Dyno_Data[Match],TBA_Matches_All[[#This Row],[Match_Number]],Dyno_Data[RecordType],"Activities",Dyno_Data[DelOrig],"AllyW", Dyno_Data[DelMiss],"0")</f>
        <v>0</v>
      </c>
      <c r="BO296">
        <f>COUNTIFS(Dyno_Data[Team],TBA_Matches_All[[#This Row],[Team]],Dyno_Data[Match],TBA_Matches_All[[#This Row],[Match_Number]],Dyno_Data[RecordType],"Activities",Dyno_Data[DelOrig],"AllyW", Dyno_Data[DelMiss],"1")</f>
        <v>0</v>
      </c>
      <c r="BP296" s="60">
        <f>IFERROR(SUM((TBA_Matches_All[[#This Row],[AZflrT]])/(TBA_Matches_All[[#This Row],[AZflrT]]+TBA_Matches_All[[#This Row],[AZflrM]])),0)</f>
        <v>0</v>
      </c>
      <c r="BQ296">
        <f>COUNTIFS(Dyno_Data[Team],TBA_Matches_All[[#This Row],[Team]],Dyno_Data[Match],TBA_Matches_All[[#This Row],[Match_Number]],Dyno_Data[RecordType],"Activities",Dyno_Data[DelOrig],"SubW", Dyno_Data[DelMiss],"0")</f>
        <v>4</v>
      </c>
      <c r="BR296">
        <f>COUNTIFS(Dyno_Data[Team],TBA_Matches_All[[#This Row],[Team]],Dyno_Data[Match],TBA_Matches_All[[#This Row],[Match_Number]],Dyno_Data[RecordType],"Activities",Dyno_Data[DelOrig],"SubW", Dyno_Data[DelMiss],"1")</f>
        <v>3</v>
      </c>
      <c r="BS296" s="60">
        <f>IFERROR(SUM((TBA_Matches_All[[#This Row],[SubwT]])/(TBA_Matches_All[[#This Row],[SubwT]]+TBA_Matches_All[[#This Row],[SubwM]])),0)</f>
        <v>0.5714285714285714</v>
      </c>
      <c r="BT296">
        <f>COUNTIFS(Dyno_Data[Team],TBA_Matches_All[[#This Row],[Team]],Dyno_Data[Match],TBA_Matches_All[[#This Row],[Match_Number]],Dyno_Data[RecordType],"Activities", Dyno_Data[AcqLoc],"OppWing")</f>
        <v>0</v>
      </c>
      <c r="BU296">
        <f>COUNTIFS(Dyno_Data[Team],TBA_Matches_All[[#This Row],[Team]],Dyno_Data[Match],TBA_Matches_All[[#This Row],[Match_Number]],Dyno_Data[RecordType],"Activities", Dyno_Data[AcqLoc],"Neutral")</f>
        <v>0</v>
      </c>
      <c r="BV296">
        <f>COUNTIFS(Dyno_Data[Team],TBA_Matches_All[[#This Row],[Team]],Dyno_Data[Match],TBA_Matches_All[[#This Row],[Match_Number]],Dyno_Data[RecordType],"Activities", Dyno_Data[AcqLoc],"AllyWing")</f>
        <v>0</v>
      </c>
      <c r="BW296">
        <f>COUNTIFS(Dyno_Data[Team],TBA_Matches_All[[#This Row],[Team]],Dyno_Data[Match],TBA_Matches_All[[#This Row],[Match_Number]],Dyno_Data[RecordType],"Activities", Dyno_Data[AcqLoc],"Source")</f>
        <v>0</v>
      </c>
      <c r="BX296">
        <f>SUMIFS(Dyno_Data[AcqDrp], Dyno_Data[Team],TBA_Matches_All[[#This Row],[Team]],Dyno_Data[Match],TBA_Matches_All[[#This Row],[Match_Number]],Dyno_Data[RecordType],"Activities", Dyno_Data[AcqLoc],"Source")</f>
        <v>0</v>
      </c>
      <c r="BY296">
        <f>SUMIFS(Dyno_Data[OZTime], Dyno_Data[Team],TBA_Matches_All[[#This Row],[Team]],Dyno_Data[Match],TBA_Matches_All[[#This Row],[Match_Number]],Dyno_Data[RecordType],"EndMatch")</f>
        <v>51.517323699999999</v>
      </c>
      <c r="BZ296">
        <f>SUMIFS(Dyno_Data[NZTime], Dyno_Data[Team],TBA_Matches_All[[#This Row],[Team]],Dyno_Data[Match],TBA_Matches_All[[#This Row],[Match_Number]],Dyno_Data[RecordType],"EndMatch")</f>
        <v>11.120442499999999</v>
      </c>
      <c r="CA296">
        <f>SUMIFS(Dyno_Data[AZTime], Dyno_Data[Team],TBA_Matches_All[[#This Row],[Team]],Dyno_Data[Match],TBA_Matches_All[[#This Row],[Match_Number]],Dyno_Data[RecordType],"EndMatch")</f>
        <v>75.383773199999993</v>
      </c>
      <c r="CB296">
        <f>SUMIFS(Dyno_Data[ClimbT], Dyno_Data[Team],TBA_Matches_All[[#This Row],[Team]],Dyno_Data[Match],TBA_Matches_All[[#This Row],[Match_Number]],Dyno_Data[RecordType],"EndMatch")</f>
        <v>0.44043060000000001</v>
      </c>
      <c r="CC296" t="str">
        <f>_xlfn.XLOOKUP(SUM(MID(TBA_Matches_All[[#This Row],[Team]],4,5),(TBA_Matches_All[[#This Row],[Match_Number]]/100)),Dyno_EndMatch[teammat],Dyno_EndMatch[StageStat],"_",0,1)</f>
        <v>Park</v>
      </c>
      <c r="CD296" t="str">
        <f>_xlfn.XLOOKUP(TBA_Matches_All[[#This Row],[teammat]],Dyno_EndMatch[teammat],Dyno_EndMatch[StageAtt],"_",0,1)</f>
        <v>-1</v>
      </c>
      <c r="CE296" t="str">
        <f>_xlfn.XLOOKUP(TBA_Matches_All[[#This Row],[teammat]],Dyno_EndMatch[teammat],Dyno_EndMatch[StageLoc],"_",0,1)</f>
        <v>A</v>
      </c>
      <c r="CF296">
        <f>SUMIFS(Dyno_Data[Harmony], Dyno_Data[Team],TBA_Matches_All[[#This Row],[Team]],Dyno_Data[Match],TBA_Matches_All[[#This Row],[Match_Number]],Dyno_Data[RecordType],"EndMatch", Dyno_Data[StageStat],"On",Dyno_Data[Harmony],"&lt;&gt;9")</f>
        <v>0</v>
      </c>
      <c r="CG296">
        <f>SUMIFS(Dyno_Data[Spotlit], Dyno_Data[Team],TBA_Matches_All[[#This Row],[Team]],Dyno_Data[Match],TBA_Matches_All[[#This Row],[Match_Number]],Dyno_Data[RecordType],"EndMatch", Dyno_Data[StageStat],"On",Dyno_Data[Spotlit],"&lt;&gt;9")</f>
        <v>0</v>
      </c>
      <c r="CH296" t="str">
        <f>_xlfn.XLOOKUP(TBA_Matches_All[[#This Row],[teammat]],Dyno_EndMatch[teammat],Dyno_EndMatch[Strategy],"_",0,1)</f>
        <v>Hybrid</v>
      </c>
      <c r="CI296">
        <f>SUMIFS(Dyno_Data[Defense], Dyno_Data[Team],TBA_Matches_All[[#This Row],[Team]],Dyno_Data[Match],TBA_Matches_All[[#This Row],[Match_Number]],Dyno_Data[RecordType],"EndMatch",Dyno_Data[Defense],"&lt;&gt;9")</f>
        <v>0</v>
      </c>
      <c r="CJ296">
        <f>SUMIFS(Dyno_Data[Avoidance], Dyno_Data[Team],TBA_Matches_All[[#This Row],[Team]],Dyno_Data[Match],TBA_Matches_All[[#This Row],[Match_Number]],Dyno_Data[RecordType],"EndMatch",Dyno_Data[Avoidance],"&lt;&gt;9")</f>
        <v>1</v>
      </c>
      <c r="CK296" s="82">
        <f>COUNTIF($H$2:TBA_Matches_All[[#This Row],[Team]],TBA_Matches_All[[#This Row],[Team]])</f>
        <v>6</v>
      </c>
      <c r="CL296" s="111">
        <f>SUM(MID(TBA_Matches_All[[#This Row],[Team]],4,5)+TBA_Matches_All[[#This Row],[Match_Number]]/100)</f>
        <v>333.49</v>
      </c>
      <c r="CM296">
        <f>SUM((TBA_Matches_All[[#This Row],[Leave]]*2)+(TBA_Matches_All[[#This Row],[AampT]]*2)+(TBA_Matches_All[[#This Row],[AspkrT]]*5)+(TBA_Matches_All[[#This Row],[AtrapT]]*5))</f>
        <v>0</v>
      </c>
      <c r="CN296" s="59">
        <f>IFERROR(SUM(TBA_Matches_All[[#This Row],[AptsT]]/TBA_Matches_All[[#This Row],[AutoPts]]),0)</f>
        <v>0</v>
      </c>
      <c r="CO296" s="59">
        <f>IFERROR(SUM(TBA_Matches_All[[#This Row],[AampT]]+TBA_Matches_All[[#This Row],[AspkrT]]+TBA_Matches_All[[#This Row],[AtrapT]]/TBA_Matches_All[[#This Row],[Aamp]]+TBA_Matches_All[[#This Row],[Aspkr]]+TBA_Matches_All[[#This Row],[AtrapT]]),0)</f>
        <v>0</v>
      </c>
      <c r="CP296" s="59">
        <f>IFERROR(SUM(TBA_Matches_All[[#This Row],[TampT]]/TBA_Matches_All[[#This Row],[Tamp]]),0)</f>
        <v>0</v>
      </c>
      <c r="CQ296" s="59">
        <f>IFERROR(SUM(TBA_Matches_All[[#This Row],[TspkrT]]/TBA_Matches_All[[#This Row],[Tspkr]]),0)</f>
        <v>0.33333333333333331</v>
      </c>
      <c r="CR296">
        <f>SUM(TBA_Matches_All[[#This Row],[TspkrPts]]*TBA_Matches_All[[#This Row],[TspkrP]])</f>
        <v>8</v>
      </c>
      <c r="CS296" s="59">
        <f>IFERROR(SUM(TBA_Matches_All[[#This Row],[TtrapT]]/TBA_Matches_All[[#This Row],[Trap]]),0)</f>
        <v>0</v>
      </c>
      <c r="CT296" s="59">
        <f>IFERROR(SUM(TBA_Matches_All[[#This Row],[TotNotesT]]/TBA_Matches_All[[#This Row],[TotNotes]]),0)</f>
        <v>0.25</v>
      </c>
      <c r="CU296" s="66">
        <f>SUM((TBA_Matches_All[[#This Row],[AampT]]*2)+(TBA_Matches_All[[#This Row],[AspkrT]]*5)+(TBA_Matches_All[[#This Row],[AtrapT]]*5)+(TBA_Matches_All[[#This Row],[TampT]]*1)+(TBA_Matches_All[[#This Row],[TspkrptsC]]))</f>
        <v>8</v>
      </c>
      <c r="CV296" s="59">
        <f>IFERROR(TBA_Matches_All[[#This Row],[noteptsT]]/TBA_Matches_All[[#This Row],[NotePts]],0)</f>
        <v>0.2</v>
      </c>
      <c r="CW296">
        <f>SUM(IF(TBA_Matches_All[[#This Row],[stageStat]]="On",3,0),IF(TBA_Matches_All[[#This Row],[stageStat]]="Park",1,0),SUMIFS(TBA_Matches_All[[#This Row],[Spotlit]],TBA_Matches_All[[#This Row],[stageStat]],"On"),SUMIFS(TBA_Matches_All[[#This Row],[Harmony]],TBA_Matches_All[[#This Row],[stageStat]],"On"))</f>
        <v>1</v>
      </c>
      <c r="CX296" s="59">
        <f>IFERROR(TBA_Matches_All[[#This Row],[stageptsT]]/TBA_Matches_All[[#This Row],[StagePts]],0)</f>
        <v>0.5</v>
      </c>
      <c r="CY296">
        <f>SUM((TBA_Matches_All[[#This Row],[AptsT]]+TBA_Matches_All[[#This Row],[TampT]]+TBA_Matches_All[[#This Row],[TspkrptsC]]+(TBA_Matches_All[[#This Row],[TtrapT]]*5)+TBA_Matches_All[[#This Row],[stageptsT]]))</f>
        <v>9</v>
      </c>
      <c r="CZ296" s="59">
        <f>IFERROR(SUM(TBA_Matches_All[[#This Row],[TotptsC]]/TBA_Matches_All[[#This Row],[Score]]),0)</f>
        <v>0.17647058823529413</v>
      </c>
      <c r="DA29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4.666666666666667</v>
      </c>
      <c r="DB296" s="74">
        <f>SUMIFS(TBA_Matches_All[AveTeamTNoteDels],TBA_Matches_All[Match_Number],TBA_Matches_All[[#This Row],[Match_Number]],TBA_Matches_All[Alliance],"&lt;&gt;"&amp;TBA_Matches_All[[#This Row],[Alliance]],TBA_Matches_All[Scouted],"&gt;0")</f>
        <v>42.470192307692308</v>
      </c>
      <c r="DC296" s="74">
        <f>(TBA_Matches_All[[#This Row],[TampT]]+TBA_Matches_All[[#This Row],[TspkrptsC]])-TBA_Matches_All[[#This Row],[AveTeamTNoteDels]]</f>
        <v>3.333333333333333</v>
      </c>
      <c r="DD296" s="74">
        <f>SUMIFS(TBA_Matches_All[AveTeamTNoteDels],TBA_Matches_All[Match_Number],TBA_Matches_All[[#This Row],[Match_Number]],TBA_Matches_All[Alliance],"&lt;&gt;"&amp;TBA_Matches_All[[#This Row],[Alliance]])-TBA_Matches_All[[#This Row],[AveOppTNoteDels]]</f>
        <v>0</v>
      </c>
    </row>
    <row r="297" spans="1:108" x14ac:dyDescent="0.3">
      <c r="A297" t="s">
        <v>1042</v>
      </c>
      <c r="B297" t="s">
        <v>489</v>
      </c>
      <c r="C297" t="s">
        <v>1359</v>
      </c>
      <c r="D297">
        <v>50</v>
      </c>
      <c r="E297" t="s">
        <v>1420</v>
      </c>
      <c r="F297" t="s">
        <v>1421</v>
      </c>
      <c r="G297" t="s">
        <v>164</v>
      </c>
      <c r="H297" t="s">
        <v>360</v>
      </c>
      <c r="I297" t="b">
        <v>1</v>
      </c>
      <c r="J297">
        <v>86</v>
      </c>
      <c r="K297">
        <v>1</v>
      </c>
      <c r="L297">
        <v>0</v>
      </c>
      <c r="M297">
        <v>0</v>
      </c>
      <c r="N297">
        <v>0</v>
      </c>
      <c r="O297">
        <v>6</v>
      </c>
      <c r="P297">
        <v>30</v>
      </c>
      <c r="Q297">
        <v>34</v>
      </c>
      <c r="R297">
        <v>7</v>
      </c>
      <c r="S297">
        <v>4</v>
      </c>
      <c r="T297">
        <v>0</v>
      </c>
      <c r="U297">
        <v>20</v>
      </c>
      <c r="V297">
        <v>0</v>
      </c>
      <c r="W297">
        <v>4</v>
      </c>
      <c r="X297">
        <v>20</v>
      </c>
      <c r="Y297">
        <v>27</v>
      </c>
      <c r="Z297">
        <v>5</v>
      </c>
      <c r="AA297">
        <v>1</v>
      </c>
      <c r="AB297">
        <v>17</v>
      </c>
      <c r="AC297">
        <v>57</v>
      </c>
      <c r="AD297">
        <v>8</v>
      </c>
      <c r="AE297">
        <f>IFERROR(6/(COUNTIF(Dyno_EndMatch[Match],TBA_Matches_All[[#This Row],[Match_Number]])),0)</f>
        <v>1</v>
      </c>
      <c r="AF297">
        <f>COUNTIFS(Dyno_Data[Team],TBA_Matches_All[[#This Row],[Team]],Dyno_Data[Match],TBA_Matches_All[[#This Row],[Match_Number]],Dyno_Data[RecordType],"EndMatch",Dyno_Data[HPAmp],"Y")</f>
        <v>1</v>
      </c>
      <c r="AG297">
        <f>SUMIFS(Dyno_Data[Mics], Dyno_Data[Team],TBA_Matches_All[[#This Row],[Team]],Dyno_Data[Match],TBA_Matches_All[[#This Row],[Match_Number]],Dyno_Data[RecordType],"EndMatch",Dyno_Data[HPAmp],"Y")</f>
        <v>0</v>
      </c>
      <c r="AH297">
        <f>SUMIFS(Dyno_Data[Leave], Dyno_Data[Team],TBA_Matches_All[[#This Row],[Team]],Dyno_Data[Match],TBA_Matches_All[[#This Row],[Match_Number]],Dyno_Data[RecordType],"EndAuto")</f>
        <v>1</v>
      </c>
      <c r="AI297">
        <f>COUNTIFS(Dyno_Data[Team],TBA_Matches_All[[#This Row],[Team]],Dyno_Data[Match],TBA_Matches_All[[#This Row],[Match_Number]],Dyno_Data[RecordType],"Activities",Dyno_Data[DelDest],"Amp", Dyno_Data[DelMiss],"0", Dyno_Data[Mode],"Auto")</f>
        <v>0</v>
      </c>
      <c r="AJ297">
        <f>COUNTIFS(Dyno_Data[Team],TBA_Matches_All[[#This Row],[Team]],Dyno_Data[Match],TBA_Matches_All[[#This Row],[Match_Number]],Dyno_Data[RecordType],"Activities",Dyno_Data[DelDest],"Spkr", Dyno_Data[DelMiss],"0", Dyno_Data[Mode],"Auto")</f>
        <v>5</v>
      </c>
      <c r="AK297">
        <f>COUNTIFS(Dyno_Data[Team],TBA_Matches_All[[#This Row],[Team]],Dyno_Data[Match],TBA_Matches_All[[#This Row],[Match_Number]],Dyno_Data[RecordType],"Activities",Dyno_Data[DelDest],"Trap", Dyno_Data[DelMiss],"0", Dyno_Data[Mode],"Auto")</f>
        <v>0</v>
      </c>
      <c r="AL297">
        <f>COUNTIFS(Dyno_Data[Team],TBA_Matches_All[[#This Row],[Team]],Dyno_Data[Match],TBA_Matches_All[[#This Row],[Match_Number]],Dyno_Data[RecordType],"Activities",Dyno_Data[DelDest],"Amp", Dyno_Data[DelMiss],"0", Dyno_Data[Mode],"Teleop")</f>
        <v>2</v>
      </c>
      <c r="AM297">
        <f>COUNTIFS(Dyno_Data[Team],TBA_Matches_All[[#This Row],[Team]],Dyno_Data[Match],TBA_Matches_All[[#This Row],[Match_Number]],Dyno_Data[RecordType],"Activities",Dyno_Data[DelDest],"Spkr", Dyno_Data[DelMiss],"0", Dyno_Data[Mode],"Teleop")</f>
        <v>4</v>
      </c>
      <c r="AN297">
        <f>COUNTIFS(Dyno_Data[Team],TBA_Matches_All[[#This Row],[Team]],Dyno_Data[Match],TBA_Matches_All[[#This Row],[Match_Number]],Dyno_Data[RecordType],"Activities",Dyno_Data[DelDest],"Trap", Dyno_Data[DelMiss],"0", Dyno_Data[Mode],"&lt;&gt;Auto")</f>
        <v>1</v>
      </c>
      <c r="AO297">
        <f>SUM(TBA_Matches_All[[#This Row],[AampT]]+TBA_Matches_All[[#This Row],[AspkrT]]+TBA_Matches_All[[#This Row],[AtrapT]]+TBA_Matches_All[[#This Row],[TampT]]+TBA_Matches_All[[#This Row],[TspkrT]]+TBA_Matches_All[[#This Row],[TtrapT]])</f>
        <v>12</v>
      </c>
      <c r="AP297">
        <f>COUNTIFS(Dyno_Data[Team],TBA_Matches_All[[#This Row],[Team]],Dyno_Data[Match],TBA_Matches_All[[#This Row],[Match_Number]],Dyno_Data[RecordType],"Activities",Dyno_Data[DelDest],"Neut", Dyno_Data[DelMiss],"0")</f>
        <v>0</v>
      </c>
      <c r="AQ297">
        <f>COUNTIFS(Dyno_Data[Team],TBA_Matches_All[[#This Row],[Team]],Dyno_Data[Match],TBA_Matches_All[[#This Row],[Match_Number]],Dyno_Data[RecordType],"Activities",Dyno_Data[DelDest],"AllyW", Dyno_Data[DelMiss],"0")</f>
        <v>3</v>
      </c>
      <c r="AR297" t="str">
        <f>_xlfn.XLOOKUP(SUM(MID(TBA_Matches_All[[#This Row],[Team]],4,5),(TBA_Matches_All[[#This Row],[Match_Number]]/100)),Dyno_EndMatch[teammat],Dyno_EndMatch[RobotSta],"_",0,1)</f>
        <v>SubW</v>
      </c>
      <c r="AS297">
        <f>SUMIFS(Dyno_Data[AcqDis], Dyno_Data[Team],TBA_Matches_All[[#This Row],[Team]],Dyno_Data[Match],TBA_Matches_All[[#This Row],[Match_Number]],Dyno_Data[RecordType],"Activities", Dyno_Data[AcqCenter],1,Dyno_Data[Mode],"Auto")</f>
        <v>0</v>
      </c>
      <c r="AT297">
        <f>SUMIFS(Dyno_Data[AcqDis], Dyno_Data[Team],TBA_Matches_All[[#This Row],[Team]],Dyno_Data[Match],TBA_Matches_All[[#This Row],[Match_Number]],Dyno_Data[RecordType],"Activities", Dyno_Data[AcqCenter],2,Dyno_Data[Mode],"Auto")</f>
        <v>0</v>
      </c>
      <c r="AU297">
        <f>SUMIFS(Dyno_Data[AcqDis], Dyno_Data[Team],TBA_Matches_All[[#This Row],[Team]],Dyno_Data[Match],TBA_Matches_All[[#This Row],[Match_Number]],Dyno_Data[RecordType],"Activities", Dyno_Data[AcqCenter],3,Dyno_Data[Mode],"Auto")</f>
        <v>1</v>
      </c>
      <c r="AV297">
        <f>SUMIFS(Dyno_Data[AcqDis], Dyno_Data[Team],TBA_Matches_All[[#This Row],[Team]],Dyno_Data[Match],TBA_Matches_All[[#This Row],[Match_Number]],Dyno_Data[RecordType],"Activities", Dyno_Data[AcqCenter],4,Dyno_Data[Mode],"Auto")</f>
        <v>1</v>
      </c>
      <c r="AW297">
        <f>SUMIFS(Dyno_Data[AcqDis], Dyno_Data[Team],TBA_Matches_All[[#This Row],[Team]],Dyno_Data[Match],TBA_Matches_All[[#This Row],[Match_Number]],Dyno_Data[RecordType],"Activities", Dyno_Data[AcqCenter],5,Dyno_Data[Mode],"Auto")</f>
        <v>1</v>
      </c>
      <c r="AX297">
        <f>SUMIFS(Dyno_Data[DelMiss], Dyno_Data[Team],TBA_Matches_All[[#This Row],[Team]],Dyno_Data[Match],TBA_Matches_All[[#This Row],[Match_Number]],Dyno_Data[RecordType],"Activities", Dyno_Data[DelDest],"Amp")</f>
        <v>0</v>
      </c>
      <c r="AY297" s="60">
        <f>IFERROR(SUM((TBA_Matches_All[[#This Row],[AampT]]+TBA_Matches_All[[#This Row],[TampT]])/(TBA_Matches_All[[#This Row],[AampT]]+TBA_Matches_All[[#This Row],[TampT]]+TBA_Matches_All[[#This Row],[ampM]])),0)</f>
        <v>1</v>
      </c>
      <c r="AZ297">
        <f>SUMIFS(Dyno_Data[DelMiss], Dyno_Data[Team],TBA_Matches_All[[#This Row],[Team]],Dyno_Data[Match],TBA_Matches_All[[#This Row],[Match_Number]],Dyno_Data[RecordType],"Activities", Dyno_Data[DelDest],"Spkr")</f>
        <v>3</v>
      </c>
      <c r="BA297" s="60">
        <f>IFERROR(SUM((TBA_Matches_All[[#This Row],[AspkrT]]+TBA_Matches_All[[#This Row],[TspkrT]])/(TBA_Matches_All[[#This Row],[AspkrT]]+TBA_Matches_All[[#This Row],[TspkrT]]+TBA_Matches_All[[#This Row],[spkrM]])),0)</f>
        <v>0.75</v>
      </c>
      <c r="BB297">
        <f>SUMIFS(Dyno_Data[DelMiss], Dyno_Data[Team],TBA_Matches_All[[#This Row],[Team]],Dyno_Data[Match],TBA_Matches_All[[#This Row],[Match_Number]],Dyno_Data[RecordType],"Activities", Dyno_Data[DelDest],"Trap")</f>
        <v>0</v>
      </c>
      <c r="BC297" s="60">
        <f>IFERROR((TBA_Matches_All[[#This Row],[AtrapT]]+TBA_Matches_All[[#This Row],[TtrapT]])/(TBA_Matches_All[[#This Row],[AtrapT]]+TBA_Matches_All[[#This Row],[TtrapT]]+TBA_Matches_All[[#This Row],[trapM]]),0)</f>
        <v>1</v>
      </c>
      <c r="BD297">
        <f>COUNTIFS(Dyno_Data[Team],TBA_Matches_All[[#This Row],[Team]],Dyno_Data[Match],TBA_Matches_All[[#This Row],[Match_Number]],Dyno_Data[RecordType],"Activities",Dyno_Data[DelDest],"Neut", Dyno_Data[DelMiss],1)</f>
        <v>0</v>
      </c>
      <c r="BE297" s="60">
        <f>IFERROR(SUM((TBA_Matches_All[[#This Row],[NeutFlrT]])/(TBA_Matches_All[[#This Row],[NeutFlrT]]+TBA_Matches_All[[#This Row],[NZflM]])),0)</f>
        <v>0</v>
      </c>
      <c r="BF297">
        <f>COUNTIFS(Dyno_Data[Team],TBA_Matches_All[[#This Row],[Team]],Dyno_Data[Match],TBA_Matches_All[[#This Row],[Match_Number]],Dyno_Data[RecordType],"Activities",Dyno_Data[DelDest],"AllyW", Dyno_Data[DelMiss],1)</f>
        <v>0</v>
      </c>
      <c r="BG297" s="60">
        <f>IFERROR(SUM((TBA_Matches_All[[#This Row],[AllyWFlrT]])/(TBA_Matches_All[[#This Row],[AllyWFlrT]]+TBA_Matches_All[[#This Row],[AZflM]])),0)</f>
        <v>1</v>
      </c>
      <c r="BH297">
        <f>COUNTIFS(Dyno_Data[Team],TBA_Matches_All[[#This Row],[Team]],Dyno_Data[Match],TBA_Matches_All[[#This Row],[Match_Number]],Dyno_Data[RecordType],"Activities",Dyno_Data[DelOrig],"OppW", Dyno_Data[DelMiss],"0")</f>
        <v>0</v>
      </c>
      <c r="BI297">
        <f>COUNTIFS(Dyno_Data[Team],TBA_Matches_All[[#This Row],[Team]],Dyno_Data[Match],TBA_Matches_All[[#This Row],[Match_Number]],Dyno_Data[RecordType],"Activities",Dyno_Data[DelOrig],"OppW", Dyno_Data[DelMiss],"1")</f>
        <v>0</v>
      </c>
      <c r="BJ297" s="60">
        <f>IFERROR(SUM((TBA_Matches_All[[#This Row],[OZflrT]])/(TBA_Matches_All[[#This Row],[OZflrT]]+TBA_Matches_All[[#This Row],[OZflrM]])),0)</f>
        <v>0</v>
      </c>
      <c r="BK297">
        <f>COUNTIFS(Dyno_Data[Team],TBA_Matches_All[[#This Row],[Team]],Dyno_Data[Match],TBA_Matches_All[[#This Row],[Match_Number]],Dyno_Data[RecordType],"Activities",Dyno_Data[DelOrig],"Neut", Dyno_Data[DelMiss],"0")</f>
        <v>1</v>
      </c>
      <c r="BL297">
        <f>COUNTIFS(Dyno_Data[Team],TBA_Matches_All[[#This Row],[Team]],Dyno_Data[Match],TBA_Matches_All[[#This Row],[Match_Number]],Dyno_Data[RecordType],"Activities",Dyno_Data[DelOrig],"Neut", Dyno_Data[DelMiss],"1")</f>
        <v>0</v>
      </c>
      <c r="BM297" s="60">
        <f>IFERROR(SUM((TBA_Matches_All[[#This Row],[NZflrT]])/(TBA_Matches_All[[#This Row],[NZflrT]]+TBA_Matches_All[[#This Row],[NZflrM]])),0)</f>
        <v>1</v>
      </c>
      <c r="BN297">
        <f>COUNTIFS(Dyno_Data[Team],TBA_Matches_All[[#This Row],[Team]],Dyno_Data[Match],TBA_Matches_All[[#This Row],[Match_Number]],Dyno_Data[RecordType],"Activities",Dyno_Data[DelOrig],"AllyW", Dyno_Data[DelMiss],"0")</f>
        <v>13</v>
      </c>
      <c r="BO297">
        <f>COUNTIFS(Dyno_Data[Team],TBA_Matches_All[[#This Row],[Team]],Dyno_Data[Match],TBA_Matches_All[[#This Row],[Match_Number]],Dyno_Data[RecordType],"Activities",Dyno_Data[DelOrig],"AllyW", Dyno_Data[DelMiss],"1")</f>
        <v>3</v>
      </c>
      <c r="BP297" s="60">
        <f>IFERROR(SUM((TBA_Matches_All[[#This Row],[AZflrT]])/(TBA_Matches_All[[#This Row],[AZflrT]]+TBA_Matches_All[[#This Row],[AZflrM]])),0)</f>
        <v>0.8125</v>
      </c>
      <c r="BQ297">
        <f>COUNTIFS(Dyno_Data[Team],TBA_Matches_All[[#This Row],[Team]],Dyno_Data[Match],TBA_Matches_All[[#This Row],[Match_Number]],Dyno_Data[RecordType],"Activities",Dyno_Data[DelOrig],"SubW", Dyno_Data[DelMiss],"0")</f>
        <v>0</v>
      </c>
      <c r="BR297">
        <f>COUNTIFS(Dyno_Data[Team],TBA_Matches_All[[#This Row],[Team]],Dyno_Data[Match],TBA_Matches_All[[#This Row],[Match_Number]],Dyno_Data[RecordType],"Activities",Dyno_Data[DelOrig],"SubW", Dyno_Data[DelMiss],"1")</f>
        <v>0</v>
      </c>
      <c r="BS297" s="60">
        <f>IFERROR(SUM((TBA_Matches_All[[#This Row],[SubwT]])/(TBA_Matches_All[[#This Row],[SubwT]]+TBA_Matches_All[[#This Row],[SubwM]])),0)</f>
        <v>0</v>
      </c>
      <c r="BT297">
        <f>COUNTIFS(Dyno_Data[Team],TBA_Matches_All[[#This Row],[Team]],Dyno_Data[Match],TBA_Matches_All[[#This Row],[Match_Number]],Dyno_Data[RecordType],"Activities", Dyno_Data[AcqLoc],"OppWing")</f>
        <v>0</v>
      </c>
      <c r="BU297">
        <f>COUNTIFS(Dyno_Data[Team],TBA_Matches_All[[#This Row],[Team]],Dyno_Data[Match],TBA_Matches_All[[#This Row],[Match_Number]],Dyno_Data[RecordType],"Activities", Dyno_Data[AcqLoc],"Neutral")</f>
        <v>6</v>
      </c>
      <c r="BV297">
        <f>COUNTIFS(Dyno_Data[Team],TBA_Matches_All[[#This Row],[Team]],Dyno_Data[Match],TBA_Matches_All[[#This Row],[Match_Number]],Dyno_Data[RecordType],"Activities", Dyno_Data[AcqLoc],"AllyWing")</f>
        <v>0</v>
      </c>
      <c r="BW297">
        <f>COUNTIFS(Dyno_Data[Team],TBA_Matches_All[[#This Row],[Team]],Dyno_Data[Match],TBA_Matches_All[[#This Row],[Match_Number]],Dyno_Data[RecordType],"Activities", Dyno_Data[AcqLoc],"Source")</f>
        <v>0</v>
      </c>
      <c r="BX297">
        <f>SUMIFS(Dyno_Data[AcqDrp], Dyno_Data[Team],TBA_Matches_All[[#This Row],[Team]],Dyno_Data[Match],TBA_Matches_All[[#This Row],[Match_Number]],Dyno_Data[RecordType],"Activities", Dyno_Data[AcqLoc],"Source")</f>
        <v>0</v>
      </c>
      <c r="BY297">
        <f>SUMIFS(Dyno_Data[OZTime], Dyno_Data[Team],TBA_Matches_All[[#This Row],[Team]],Dyno_Data[Match],TBA_Matches_All[[#This Row],[Match_Number]],Dyno_Data[RecordType],"EndMatch")</f>
        <v>33.923058599999997</v>
      </c>
      <c r="BZ297">
        <f>SUMIFS(Dyno_Data[NZTime], Dyno_Data[Team],TBA_Matches_All[[#This Row],[Team]],Dyno_Data[Match],TBA_Matches_All[[#This Row],[Match_Number]],Dyno_Data[RecordType],"EndMatch")</f>
        <v>16.719453399999999</v>
      </c>
      <c r="CA297">
        <f>SUMIFS(Dyno_Data[AZTime], Dyno_Data[Team],TBA_Matches_All[[#This Row],[Team]],Dyno_Data[Match],TBA_Matches_All[[#This Row],[Match_Number]],Dyno_Data[RecordType],"EndMatch")</f>
        <v>52.893091999999996</v>
      </c>
      <c r="CB297">
        <f>SUMIFS(Dyno_Data[ClimbT], Dyno_Data[Team],TBA_Matches_All[[#This Row],[Team]],Dyno_Data[Match],TBA_Matches_All[[#This Row],[Match_Number]],Dyno_Data[RecordType],"EndMatch")</f>
        <v>8.0548912000000001</v>
      </c>
      <c r="CC297" t="str">
        <f>_xlfn.XLOOKUP(SUM(MID(TBA_Matches_All[[#This Row],[Team]],4,5),(TBA_Matches_All[[#This Row],[Match_Number]]/100)),Dyno_EndMatch[teammat],Dyno_EndMatch[StageStat],"_",0,1)</f>
        <v>Park</v>
      </c>
      <c r="CD297" t="str">
        <f>_xlfn.XLOOKUP(TBA_Matches_All[[#This Row],[teammat]],Dyno_EndMatch[teammat],Dyno_EndMatch[StageAtt],"_",0,1)</f>
        <v>-1</v>
      </c>
      <c r="CE297" t="str">
        <f>_xlfn.XLOOKUP(TBA_Matches_All[[#This Row],[teammat]],Dyno_EndMatch[teammat],Dyno_EndMatch[StageLoc],"_",0,1)</f>
        <v>A</v>
      </c>
      <c r="CF297">
        <f>SUMIFS(Dyno_Data[Harmony], Dyno_Data[Team],TBA_Matches_All[[#This Row],[Team]],Dyno_Data[Match],TBA_Matches_All[[#This Row],[Match_Number]],Dyno_Data[RecordType],"EndMatch", Dyno_Data[StageStat],"On",Dyno_Data[Harmony],"&lt;&gt;9")</f>
        <v>0</v>
      </c>
      <c r="CG297">
        <f>SUMIFS(Dyno_Data[Spotlit], Dyno_Data[Team],TBA_Matches_All[[#This Row],[Team]],Dyno_Data[Match],TBA_Matches_All[[#This Row],[Match_Number]],Dyno_Data[RecordType],"EndMatch", Dyno_Data[StageStat],"On",Dyno_Data[Spotlit],"&lt;&gt;9")</f>
        <v>0</v>
      </c>
      <c r="CH297" t="str">
        <f>_xlfn.XLOOKUP(TBA_Matches_All[[#This Row],[teammat]],Dyno_EndMatch[teammat],Dyno_EndMatch[Strategy],"_",0,1)</f>
        <v>Hybrid</v>
      </c>
      <c r="CI297">
        <f>SUMIFS(Dyno_Data[Defense], Dyno_Data[Team],TBA_Matches_All[[#This Row],[Team]],Dyno_Data[Match],TBA_Matches_All[[#This Row],[Match_Number]],Dyno_Data[RecordType],"EndMatch",Dyno_Data[Defense],"&lt;&gt;9")</f>
        <v>0</v>
      </c>
      <c r="CJ297">
        <f>SUMIFS(Dyno_Data[Avoidance], Dyno_Data[Team],TBA_Matches_All[[#This Row],[Team]],Dyno_Data[Match],TBA_Matches_All[[#This Row],[Match_Number]],Dyno_Data[RecordType],"EndMatch",Dyno_Data[Avoidance],"&lt;&gt;9")</f>
        <v>3</v>
      </c>
      <c r="CK297" s="82">
        <f>COUNTIF($H$2:TBA_Matches_All[[#This Row],[Team]],TBA_Matches_All[[#This Row],[Team]])</f>
        <v>6</v>
      </c>
      <c r="CL297" s="111">
        <f>SUM(MID(TBA_Matches_All[[#This Row],[Team]],4,5)+TBA_Matches_All[[#This Row],[Match_Number]]/100)</f>
        <v>1796.5</v>
      </c>
      <c r="CM297">
        <f>SUM((TBA_Matches_All[[#This Row],[Leave]]*2)+(TBA_Matches_All[[#This Row],[AampT]]*2)+(TBA_Matches_All[[#This Row],[AspkrT]]*5)+(TBA_Matches_All[[#This Row],[AtrapT]]*5))</f>
        <v>27</v>
      </c>
      <c r="CN297" s="59">
        <f>IFERROR(SUM(TBA_Matches_All[[#This Row],[AptsT]]/TBA_Matches_All[[#This Row],[AutoPts]]),0)</f>
        <v>0.79411764705882348</v>
      </c>
      <c r="CO297" s="59">
        <f>IFERROR(SUM(TBA_Matches_All[[#This Row],[AampT]]+TBA_Matches_All[[#This Row],[AspkrT]]+TBA_Matches_All[[#This Row],[AtrapT]]/TBA_Matches_All[[#This Row],[Aamp]]+TBA_Matches_All[[#This Row],[Aspkr]]+TBA_Matches_All[[#This Row],[AtrapT]]),0)</f>
        <v>0</v>
      </c>
      <c r="CP297" s="59">
        <f>IFERROR(SUM(TBA_Matches_All[[#This Row],[TampT]]/TBA_Matches_All[[#This Row],[Tamp]]),0)</f>
        <v>0.2857142857142857</v>
      </c>
      <c r="CQ297" s="59">
        <f>IFERROR(SUM(TBA_Matches_All[[#This Row],[TspkrT]]/TBA_Matches_All[[#This Row],[Tspkr]]),0)</f>
        <v>1</v>
      </c>
      <c r="CR297">
        <f>SUM(TBA_Matches_All[[#This Row],[TspkrPts]]*TBA_Matches_All[[#This Row],[TspkrP]])</f>
        <v>20</v>
      </c>
      <c r="CS297" s="59">
        <f>IFERROR(SUM(TBA_Matches_All[[#This Row],[TtrapT]]/TBA_Matches_All[[#This Row],[Trap]]),0)</f>
        <v>1</v>
      </c>
      <c r="CT297" s="59">
        <f>IFERROR(SUM(TBA_Matches_All[[#This Row],[TotNotesT]]/TBA_Matches_All[[#This Row],[TotNotes]]),0)</f>
        <v>0.70588235294117652</v>
      </c>
      <c r="CU297" s="66">
        <f>SUM((TBA_Matches_All[[#This Row],[AampT]]*2)+(TBA_Matches_All[[#This Row],[AspkrT]]*5)+(TBA_Matches_All[[#This Row],[AtrapT]]*5)+(TBA_Matches_All[[#This Row],[TampT]]*1)+(TBA_Matches_All[[#This Row],[TspkrptsC]]))</f>
        <v>47</v>
      </c>
      <c r="CV297" s="59">
        <f>IFERROR(TBA_Matches_All[[#This Row],[noteptsT]]/TBA_Matches_All[[#This Row],[NotePts]],0)</f>
        <v>0.82456140350877194</v>
      </c>
      <c r="CW297">
        <f>SUM(IF(TBA_Matches_All[[#This Row],[stageStat]]="On",3,0),IF(TBA_Matches_All[[#This Row],[stageStat]]="Park",1,0),SUMIFS(TBA_Matches_All[[#This Row],[Spotlit]],TBA_Matches_All[[#This Row],[stageStat]],"On"),SUMIFS(TBA_Matches_All[[#This Row],[Harmony]],TBA_Matches_All[[#This Row],[stageStat]],"On"))</f>
        <v>1</v>
      </c>
      <c r="CX297" s="59">
        <f>IFERROR(TBA_Matches_All[[#This Row],[stageptsT]]/TBA_Matches_All[[#This Row],[StagePts]],0)</f>
        <v>0.125</v>
      </c>
      <c r="CY297">
        <f>SUM((TBA_Matches_All[[#This Row],[AptsT]]+TBA_Matches_All[[#This Row],[TampT]]+TBA_Matches_All[[#This Row],[TspkrptsC]]+(TBA_Matches_All[[#This Row],[TtrapT]]*5)+TBA_Matches_All[[#This Row],[stageptsT]]))</f>
        <v>55</v>
      </c>
      <c r="CZ297" s="59">
        <f>IFERROR(SUM(TBA_Matches_All[[#This Row],[TotptsC]]/TBA_Matches_All[[#This Row],[Score]]),0)</f>
        <v>0.63953488372093026</v>
      </c>
      <c r="DA29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12.8125</v>
      </c>
      <c r="DB297" s="74">
        <f>SUMIFS(TBA_Matches_All[AveTeamTNoteDels],TBA_Matches_All[Match_Number],TBA_Matches_All[[#This Row],[Match_Number]],TBA_Matches_All[Alliance],"&lt;&gt;"&amp;TBA_Matches_All[[#This Row],[Alliance]],TBA_Matches_All[Scouted],"&gt;0")</f>
        <v>32.074285714285715</v>
      </c>
      <c r="DC297" s="74">
        <f>(TBA_Matches_All[[#This Row],[TampT]]+TBA_Matches_All[[#This Row],[TspkrptsC]])-TBA_Matches_All[[#This Row],[AveTeamTNoteDels]]</f>
        <v>9.1875</v>
      </c>
      <c r="DD297" s="74">
        <f>SUMIFS(TBA_Matches_All[AveTeamTNoteDels],TBA_Matches_All[Match_Number],TBA_Matches_All[[#This Row],[Match_Number]],TBA_Matches_All[Alliance],"&lt;&gt;"&amp;TBA_Matches_All[[#This Row],[Alliance]])-TBA_Matches_All[[#This Row],[AveOppTNoteDels]]</f>
        <v>0</v>
      </c>
    </row>
    <row r="298" spans="1:108" x14ac:dyDescent="0.3">
      <c r="A298" t="s">
        <v>1042</v>
      </c>
      <c r="B298" t="s">
        <v>489</v>
      </c>
      <c r="C298" t="s">
        <v>1359</v>
      </c>
      <c r="D298">
        <v>50</v>
      </c>
      <c r="E298" t="s">
        <v>1406</v>
      </c>
      <c r="F298" t="s">
        <v>1422</v>
      </c>
      <c r="G298" t="s">
        <v>105</v>
      </c>
      <c r="H298" t="s">
        <v>1284</v>
      </c>
      <c r="I298" t="b">
        <v>1</v>
      </c>
      <c r="J298">
        <v>33</v>
      </c>
      <c r="K298">
        <v>0</v>
      </c>
      <c r="L298">
        <v>0</v>
      </c>
      <c r="M298">
        <v>17</v>
      </c>
      <c r="N298">
        <v>0</v>
      </c>
      <c r="O298">
        <v>2</v>
      </c>
      <c r="P298">
        <v>10</v>
      </c>
      <c r="Q298">
        <v>14</v>
      </c>
      <c r="R298">
        <v>1</v>
      </c>
      <c r="S298">
        <v>0</v>
      </c>
      <c r="T298">
        <v>7</v>
      </c>
      <c r="U298">
        <v>0</v>
      </c>
      <c r="V298">
        <v>14</v>
      </c>
      <c r="W298">
        <v>7</v>
      </c>
      <c r="X298">
        <v>14</v>
      </c>
      <c r="Y298">
        <v>15</v>
      </c>
      <c r="Z298">
        <v>0</v>
      </c>
      <c r="AA298">
        <v>0</v>
      </c>
      <c r="AB298">
        <v>10</v>
      </c>
      <c r="AC298">
        <v>25</v>
      </c>
      <c r="AD298">
        <v>4</v>
      </c>
      <c r="AE298">
        <f>IFERROR(6/(COUNTIF(Dyno_EndMatch[Match],TBA_Matches_All[[#This Row],[Match_Number]])),0)</f>
        <v>1</v>
      </c>
      <c r="AF298">
        <f>COUNTIFS(Dyno_Data[Team],TBA_Matches_All[[#This Row],[Team]],Dyno_Data[Match],TBA_Matches_All[[#This Row],[Match_Number]],Dyno_Data[RecordType],"EndMatch",Dyno_Data[HPAmp],"Y")</f>
        <v>1</v>
      </c>
      <c r="AG298">
        <f>SUMIFS(Dyno_Data[Mics], Dyno_Data[Team],TBA_Matches_All[[#This Row],[Team]],Dyno_Data[Match],TBA_Matches_All[[#This Row],[Match_Number]],Dyno_Data[RecordType],"EndMatch",Dyno_Data[HPAmp],"Y")</f>
        <v>1</v>
      </c>
      <c r="AH298">
        <f>SUMIFS(Dyno_Data[Leave], Dyno_Data[Team],TBA_Matches_All[[#This Row],[Team]],Dyno_Data[Match],TBA_Matches_All[[#This Row],[Match_Number]],Dyno_Data[RecordType],"EndAuto")</f>
        <v>1</v>
      </c>
      <c r="AI298">
        <f>COUNTIFS(Dyno_Data[Team],TBA_Matches_All[[#This Row],[Team]],Dyno_Data[Match],TBA_Matches_All[[#This Row],[Match_Number]],Dyno_Data[RecordType],"Activities",Dyno_Data[DelDest],"Amp", Dyno_Data[DelMiss],"0", Dyno_Data[Mode],"Auto")</f>
        <v>0</v>
      </c>
      <c r="AJ298">
        <f>COUNTIFS(Dyno_Data[Team],TBA_Matches_All[[#This Row],[Team]],Dyno_Data[Match],TBA_Matches_All[[#This Row],[Match_Number]],Dyno_Data[RecordType],"Activities",Dyno_Data[DelDest],"Spkr", Dyno_Data[DelMiss],"0", Dyno_Data[Mode],"Auto")</f>
        <v>1</v>
      </c>
      <c r="AK298">
        <f>COUNTIFS(Dyno_Data[Team],TBA_Matches_All[[#This Row],[Team]],Dyno_Data[Match],TBA_Matches_All[[#This Row],[Match_Number]],Dyno_Data[RecordType],"Activities",Dyno_Data[DelDest],"Trap", Dyno_Data[DelMiss],"0", Dyno_Data[Mode],"Auto")</f>
        <v>0</v>
      </c>
      <c r="AL298">
        <f>COUNTIFS(Dyno_Data[Team],TBA_Matches_All[[#This Row],[Team]],Dyno_Data[Match],TBA_Matches_All[[#This Row],[Match_Number]],Dyno_Data[RecordType],"Activities",Dyno_Data[DelDest],"Amp", Dyno_Data[DelMiss],"0", Dyno_Data[Mode],"Teleop")</f>
        <v>0</v>
      </c>
      <c r="AM298">
        <f>COUNTIFS(Dyno_Data[Team],TBA_Matches_All[[#This Row],[Team]],Dyno_Data[Match],TBA_Matches_All[[#This Row],[Match_Number]],Dyno_Data[RecordType],"Activities",Dyno_Data[DelDest],"Spkr", Dyno_Data[DelMiss],"0", Dyno_Data[Mode],"Teleop")</f>
        <v>0</v>
      </c>
      <c r="AN298">
        <f>COUNTIFS(Dyno_Data[Team],TBA_Matches_All[[#This Row],[Team]],Dyno_Data[Match],TBA_Matches_All[[#This Row],[Match_Number]],Dyno_Data[RecordType],"Activities",Dyno_Data[DelDest],"Trap", Dyno_Data[DelMiss],"0", Dyno_Data[Mode],"&lt;&gt;Auto")</f>
        <v>0</v>
      </c>
      <c r="AO298">
        <f>SUM(TBA_Matches_All[[#This Row],[AampT]]+TBA_Matches_All[[#This Row],[AspkrT]]+TBA_Matches_All[[#This Row],[AtrapT]]+TBA_Matches_All[[#This Row],[TampT]]+TBA_Matches_All[[#This Row],[TspkrT]]+TBA_Matches_All[[#This Row],[TtrapT]])</f>
        <v>1</v>
      </c>
      <c r="AP298">
        <f>COUNTIFS(Dyno_Data[Team],TBA_Matches_All[[#This Row],[Team]],Dyno_Data[Match],TBA_Matches_All[[#This Row],[Match_Number]],Dyno_Data[RecordType],"Activities",Dyno_Data[DelDest],"Neut", Dyno_Data[DelMiss],"0")</f>
        <v>0</v>
      </c>
      <c r="AQ298">
        <f>COUNTIFS(Dyno_Data[Team],TBA_Matches_All[[#This Row],[Team]],Dyno_Data[Match],TBA_Matches_All[[#This Row],[Match_Number]],Dyno_Data[RecordType],"Activities",Dyno_Data[DelDest],"AllyW", Dyno_Data[DelMiss],"0")</f>
        <v>0</v>
      </c>
      <c r="AR298" t="str">
        <f>_xlfn.XLOOKUP(SUM(MID(TBA_Matches_All[[#This Row],[Team]],4,5),(TBA_Matches_All[[#This Row],[Match_Number]]/100)),Dyno_EndMatch[teammat],Dyno_EndMatch[RobotSta],"_",0,1)</f>
        <v>Podm</v>
      </c>
      <c r="AS298">
        <f>SUMIFS(Dyno_Data[AcqDis], Dyno_Data[Team],TBA_Matches_All[[#This Row],[Team]],Dyno_Data[Match],TBA_Matches_All[[#This Row],[Match_Number]],Dyno_Data[RecordType],"Activities", Dyno_Data[AcqCenter],1,Dyno_Data[Mode],"Auto")</f>
        <v>0</v>
      </c>
      <c r="AT298">
        <f>SUMIFS(Dyno_Data[AcqDis], Dyno_Data[Team],TBA_Matches_All[[#This Row],[Team]],Dyno_Data[Match],TBA_Matches_All[[#This Row],[Match_Number]],Dyno_Data[RecordType],"Activities", Dyno_Data[AcqCenter],2,Dyno_Data[Mode],"Auto")</f>
        <v>0</v>
      </c>
      <c r="AU298">
        <f>SUMIFS(Dyno_Data[AcqDis], Dyno_Data[Team],TBA_Matches_All[[#This Row],[Team]],Dyno_Data[Match],TBA_Matches_All[[#This Row],[Match_Number]],Dyno_Data[RecordType],"Activities", Dyno_Data[AcqCenter],3,Dyno_Data[Mode],"Auto")</f>
        <v>0</v>
      </c>
      <c r="AV298">
        <f>SUMIFS(Dyno_Data[AcqDis], Dyno_Data[Team],TBA_Matches_All[[#This Row],[Team]],Dyno_Data[Match],TBA_Matches_All[[#This Row],[Match_Number]],Dyno_Data[RecordType],"Activities", Dyno_Data[AcqCenter],4,Dyno_Data[Mode],"Auto")</f>
        <v>0</v>
      </c>
      <c r="AW298">
        <f>SUMIFS(Dyno_Data[AcqDis], Dyno_Data[Team],TBA_Matches_All[[#This Row],[Team]],Dyno_Data[Match],TBA_Matches_All[[#This Row],[Match_Number]],Dyno_Data[RecordType],"Activities", Dyno_Data[AcqCenter],5,Dyno_Data[Mode],"Auto")</f>
        <v>0</v>
      </c>
      <c r="AX298">
        <f>SUMIFS(Dyno_Data[DelMiss], Dyno_Data[Team],TBA_Matches_All[[#This Row],[Team]],Dyno_Data[Match],TBA_Matches_All[[#This Row],[Match_Number]],Dyno_Data[RecordType],"Activities", Dyno_Data[DelDest],"Amp")</f>
        <v>0</v>
      </c>
      <c r="AY298" s="60">
        <f>IFERROR(SUM((TBA_Matches_All[[#This Row],[AampT]]+TBA_Matches_All[[#This Row],[TampT]])/(TBA_Matches_All[[#This Row],[AampT]]+TBA_Matches_All[[#This Row],[TampT]]+TBA_Matches_All[[#This Row],[ampM]])),0)</f>
        <v>0</v>
      </c>
      <c r="AZ298">
        <f>SUMIFS(Dyno_Data[DelMiss], Dyno_Data[Team],TBA_Matches_All[[#This Row],[Team]],Dyno_Data[Match],TBA_Matches_All[[#This Row],[Match_Number]],Dyno_Data[RecordType],"Activities", Dyno_Data[DelDest],"Spkr")</f>
        <v>1</v>
      </c>
      <c r="BA298" s="60">
        <f>IFERROR(SUM((TBA_Matches_All[[#This Row],[AspkrT]]+TBA_Matches_All[[#This Row],[TspkrT]])/(TBA_Matches_All[[#This Row],[AspkrT]]+TBA_Matches_All[[#This Row],[TspkrT]]+TBA_Matches_All[[#This Row],[spkrM]])),0)</f>
        <v>0.5</v>
      </c>
      <c r="BB298">
        <f>SUMIFS(Dyno_Data[DelMiss], Dyno_Data[Team],TBA_Matches_All[[#This Row],[Team]],Dyno_Data[Match],TBA_Matches_All[[#This Row],[Match_Number]],Dyno_Data[RecordType],"Activities", Dyno_Data[DelDest],"Trap")</f>
        <v>0</v>
      </c>
      <c r="BC298" s="60">
        <f>IFERROR((TBA_Matches_All[[#This Row],[AtrapT]]+TBA_Matches_All[[#This Row],[TtrapT]])/(TBA_Matches_All[[#This Row],[AtrapT]]+TBA_Matches_All[[#This Row],[TtrapT]]+TBA_Matches_All[[#This Row],[trapM]]),0)</f>
        <v>0</v>
      </c>
      <c r="BD298">
        <f>COUNTIFS(Dyno_Data[Team],TBA_Matches_All[[#This Row],[Team]],Dyno_Data[Match],TBA_Matches_All[[#This Row],[Match_Number]],Dyno_Data[RecordType],"Activities",Dyno_Data[DelDest],"Neut", Dyno_Data[DelMiss],1)</f>
        <v>0</v>
      </c>
      <c r="BE298" s="60">
        <f>IFERROR(SUM((TBA_Matches_All[[#This Row],[NeutFlrT]])/(TBA_Matches_All[[#This Row],[NeutFlrT]]+TBA_Matches_All[[#This Row],[NZflM]])),0)</f>
        <v>0</v>
      </c>
      <c r="BF298">
        <f>COUNTIFS(Dyno_Data[Team],TBA_Matches_All[[#This Row],[Team]],Dyno_Data[Match],TBA_Matches_All[[#This Row],[Match_Number]],Dyno_Data[RecordType],"Activities",Dyno_Data[DelDest],"AllyW", Dyno_Data[DelMiss],1)</f>
        <v>0</v>
      </c>
      <c r="BG298" s="60">
        <f>IFERROR(SUM((TBA_Matches_All[[#This Row],[AllyWFlrT]])/(TBA_Matches_All[[#This Row],[AllyWFlrT]]+TBA_Matches_All[[#This Row],[AZflM]])),0)</f>
        <v>0</v>
      </c>
      <c r="BH298">
        <f>COUNTIFS(Dyno_Data[Team],TBA_Matches_All[[#This Row],[Team]],Dyno_Data[Match],TBA_Matches_All[[#This Row],[Match_Number]],Dyno_Data[RecordType],"Activities",Dyno_Data[DelOrig],"OppW", Dyno_Data[DelMiss],"0")</f>
        <v>0</v>
      </c>
      <c r="BI298">
        <f>COUNTIFS(Dyno_Data[Team],TBA_Matches_All[[#This Row],[Team]],Dyno_Data[Match],TBA_Matches_All[[#This Row],[Match_Number]],Dyno_Data[RecordType],"Activities",Dyno_Data[DelOrig],"OppW", Dyno_Data[DelMiss],"1")</f>
        <v>0</v>
      </c>
      <c r="BJ298" s="60">
        <f>IFERROR(SUM((TBA_Matches_All[[#This Row],[OZflrT]])/(TBA_Matches_All[[#This Row],[OZflrT]]+TBA_Matches_All[[#This Row],[OZflrM]])),0)</f>
        <v>0</v>
      </c>
      <c r="BK298">
        <f>COUNTIFS(Dyno_Data[Team],TBA_Matches_All[[#This Row],[Team]],Dyno_Data[Match],TBA_Matches_All[[#This Row],[Match_Number]],Dyno_Data[RecordType],"Activities",Dyno_Data[DelOrig],"Neut", Dyno_Data[DelMiss],"0")</f>
        <v>0</v>
      </c>
      <c r="BL298">
        <f>COUNTIFS(Dyno_Data[Team],TBA_Matches_All[[#This Row],[Team]],Dyno_Data[Match],TBA_Matches_All[[#This Row],[Match_Number]],Dyno_Data[RecordType],"Activities",Dyno_Data[DelOrig],"Neut", Dyno_Data[DelMiss],"1")</f>
        <v>0</v>
      </c>
      <c r="BM298" s="60">
        <f>IFERROR(SUM((TBA_Matches_All[[#This Row],[NZflrT]])/(TBA_Matches_All[[#This Row],[NZflrT]]+TBA_Matches_All[[#This Row],[NZflrM]])),0)</f>
        <v>0</v>
      </c>
      <c r="BN298">
        <f>COUNTIFS(Dyno_Data[Team],TBA_Matches_All[[#This Row],[Team]],Dyno_Data[Match],TBA_Matches_All[[#This Row],[Match_Number]],Dyno_Data[RecordType],"Activities",Dyno_Data[DelOrig],"AllyW", Dyno_Data[DelMiss],"0")</f>
        <v>0</v>
      </c>
      <c r="BO298">
        <f>COUNTIFS(Dyno_Data[Team],TBA_Matches_All[[#This Row],[Team]],Dyno_Data[Match],TBA_Matches_All[[#This Row],[Match_Number]],Dyno_Data[RecordType],"Activities",Dyno_Data[DelOrig],"AllyW", Dyno_Data[DelMiss],"1")</f>
        <v>1</v>
      </c>
      <c r="BP298" s="60">
        <f>IFERROR(SUM((TBA_Matches_All[[#This Row],[AZflrT]])/(TBA_Matches_All[[#This Row],[AZflrT]]+TBA_Matches_All[[#This Row],[AZflrM]])),0)</f>
        <v>0</v>
      </c>
      <c r="BQ298">
        <f>COUNTIFS(Dyno_Data[Team],TBA_Matches_All[[#This Row],[Team]],Dyno_Data[Match],TBA_Matches_All[[#This Row],[Match_Number]],Dyno_Data[RecordType],"Activities",Dyno_Data[DelOrig],"SubW", Dyno_Data[DelMiss],"0")</f>
        <v>1</v>
      </c>
      <c r="BR298">
        <f>COUNTIFS(Dyno_Data[Team],TBA_Matches_All[[#This Row],[Team]],Dyno_Data[Match],TBA_Matches_All[[#This Row],[Match_Number]],Dyno_Data[RecordType],"Activities",Dyno_Data[DelOrig],"SubW", Dyno_Data[DelMiss],"1")</f>
        <v>0</v>
      </c>
      <c r="BS298" s="60">
        <f>IFERROR(SUM((TBA_Matches_All[[#This Row],[SubwT]])/(TBA_Matches_All[[#This Row],[SubwT]]+TBA_Matches_All[[#This Row],[SubwM]])),0)</f>
        <v>1</v>
      </c>
      <c r="BT298">
        <f>COUNTIFS(Dyno_Data[Team],TBA_Matches_All[[#This Row],[Team]],Dyno_Data[Match],TBA_Matches_All[[#This Row],[Match_Number]],Dyno_Data[RecordType],"Activities", Dyno_Data[AcqLoc],"OppWing")</f>
        <v>0</v>
      </c>
      <c r="BU298">
        <f>COUNTIFS(Dyno_Data[Team],TBA_Matches_All[[#This Row],[Team]],Dyno_Data[Match],TBA_Matches_All[[#This Row],[Match_Number]],Dyno_Data[RecordType],"Activities", Dyno_Data[AcqLoc],"Neutral")</f>
        <v>0</v>
      </c>
      <c r="BV298">
        <f>COUNTIFS(Dyno_Data[Team],TBA_Matches_All[[#This Row],[Team]],Dyno_Data[Match],TBA_Matches_All[[#This Row],[Match_Number]],Dyno_Data[RecordType],"Activities", Dyno_Data[AcqLoc],"AllyWing")</f>
        <v>0</v>
      </c>
      <c r="BW298">
        <f>COUNTIFS(Dyno_Data[Team],TBA_Matches_All[[#This Row],[Team]],Dyno_Data[Match],TBA_Matches_All[[#This Row],[Match_Number]],Dyno_Data[RecordType],"Activities", Dyno_Data[AcqLoc],"Source")</f>
        <v>0</v>
      </c>
      <c r="BX298">
        <f>SUMIFS(Dyno_Data[AcqDrp], Dyno_Data[Team],TBA_Matches_All[[#This Row],[Team]],Dyno_Data[Match],TBA_Matches_All[[#This Row],[Match_Number]],Dyno_Data[RecordType],"Activities", Dyno_Data[AcqLoc],"Source")</f>
        <v>0</v>
      </c>
      <c r="BY298">
        <f>SUMIFS(Dyno_Data[OZTime], Dyno_Data[Team],TBA_Matches_All[[#This Row],[Team]],Dyno_Data[Match],TBA_Matches_All[[#This Row],[Match_Number]],Dyno_Data[RecordType],"EndMatch")</f>
        <v>0</v>
      </c>
      <c r="BZ298">
        <f>SUMIFS(Dyno_Data[NZTime], Dyno_Data[Team],TBA_Matches_All[[#This Row],[Team]],Dyno_Data[Match],TBA_Matches_All[[#This Row],[Match_Number]],Dyno_Data[RecordType],"EndMatch")</f>
        <v>52.975585199999998</v>
      </c>
      <c r="CA298">
        <f>SUMIFS(Dyno_Data[AZTime], Dyno_Data[Team],TBA_Matches_All[[#This Row],[Team]],Dyno_Data[Match],TBA_Matches_All[[#This Row],[Match_Number]],Dyno_Data[RecordType],"EndMatch")</f>
        <v>78.179600399999998</v>
      </c>
      <c r="CB298">
        <f>SUMIFS(Dyno_Data[ClimbT], Dyno_Data[Team],TBA_Matches_All[[#This Row],[Team]],Dyno_Data[Match],TBA_Matches_All[[#This Row],[Match_Number]],Dyno_Data[RecordType],"EndMatch")</f>
        <v>4.4387714999999996</v>
      </c>
      <c r="CC298" t="str">
        <f>_xlfn.XLOOKUP(SUM(MID(TBA_Matches_All[[#This Row],[Team]],4,5),(TBA_Matches_All[[#This Row],[Match_Number]]/100)),Dyno_EndMatch[teammat],Dyno_EndMatch[StageStat],"_",0,1)</f>
        <v>Park</v>
      </c>
      <c r="CD298" t="str">
        <f>_xlfn.XLOOKUP(TBA_Matches_All[[#This Row],[teammat]],Dyno_EndMatch[teammat],Dyno_EndMatch[StageAtt],"_",0,1)</f>
        <v>-1</v>
      </c>
      <c r="CE298" t="str">
        <f>_xlfn.XLOOKUP(TBA_Matches_All[[#This Row],[teammat]],Dyno_EndMatch[teammat],Dyno_EndMatch[StageLoc],"_",0,1)</f>
        <v>A</v>
      </c>
      <c r="CF298">
        <f>SUMIFS(Dyno_Data[Harmony], Dyno_Data[Team],TBA_Matches_All[[#This Row],[Team]],Dyno_Data[Match],TBA_Matches_All[[#This Row],[Match_Number]],Dyno_Data[RecordType],"EndMatch", Dyno_Data[StageStat],"On",Dyno_Data[Harmony],"&lt;&gt;9")</f>
        <v>0</v>
      </c>
      <c r="CG298">
        <f>SUMIFS(Dyno_Data[Spotlit], Dyno_Data[Team],TBA_Matches_All[[#This Row],[Team]],Dyno_Data[Match],TBA_Matches_All[[#This Row],[Match_Number]],Dyno_Data[RecordType],"EndMatch", Dyno_Data[StageStat],"On",Dyno_Data[Spotlit],"&lt;&gt;9")</f>
        <v>0</v>
      </c>
      <c r="CH298" t="str">
        <f>_xlfn.XLOOKUP(TBA_Matches_All[[#This Row],[teammat]],Dyno_EndMatch[teammat],Dyno_EndMatch[Strategy],"_",0,1)</f>
        <v>Defense</v>
      </c>
      <c r="CI298">
        <f>SUMIFS(Dyno_Data[Defense], Dyno_Data[Team],TBA_Matches_All[[#This Row],[Team]],Dyno_Data[Match],TBA_Matches_All[[#This Row],[Match_Number]],Dyno_Data[RecordType],"EndMatch",Dyno_Data[Defense],"&lt;&gt;9")</f>
        <v>3</v>
      </c>
      <c r="CJ298">
        <f>SUMIFS(Dyno_Data[Avoidance], Dyno_Data[Team],TBA_Matches_All[[#This Row],[Team]],Dyno_Data[Match],TBA_Matches_All[[#This Row],[Match_Number]],Dyno_Data[RecordType],"EndMatch",Dyno_Data[Avoidance],"&lt;&gt;9")</f>
        <v>0</v>
      </c>
      <c r="CK298" s="82">
        <f>COUNTIF($H$2:TBA_Matches_All[[#This Row],[Team]],TBA_Matches_All[[#This Row],[Team]])</f>
        <v>6</v>
      </c>
      <c r="CL298" s="111">
        <f>SUM(MID(TBA_Matches_All[[#This Row],[Team]],4,5)+TBA_Matches_All[[#This Row],[Match_Number]]/100)</f>
        <v>5590.5</v>
      </c>
      <c r="CM298">
        <f>SUM((TBA_Matches_All[[#This Row],[Leave]]*2)+(TBA_Matches_All[[#This Row],[AampT]]*2)+(TBA_Matches_All[[#This Row],[AspkrT]]*5)+(TBA_Matches_All[[#This Row],[AtrapT]]*5))</f>
        <v>7</v>
      </c>
      <c r="CN298" s="59">
        <f>IFERROR(SUM(TBA_Matches_All[[#This Row],[AptsT]]/TBA_Matches_All[[#This Row],[AutoPts]]),0)</f>
        <v>0.5</v>
      </c>
      <c r="CO298" s="59">
        <f>IFERROR(SUM(TBA_Matches_All[[#This Row],[AampT]]+TBA_Matches_All[[#This Row],[AspkrT]]+TBA_Matches_All[[#This Row],[AtrapT]]/TBA_Matches_All[[#This Row],[Aamp]]+TBA_Matches_All[[#This Row],[Aspkr]]+TBA_Matches_All[[#This Row],[AtrapT]]),0)</f>
        <v>0</v>
      </c>
      <c r="CP298" s="59">
        <f>IFERROR(SUM(TBA_Matches_All[[#This Row],[TampT]]/TBA_Matches_All[[#This Row],[Tamp]]),0)</f>
        <v>0</v>
      </c>
      <c r="CQ298" s="59">
        <f>IFERROR(SUM(TBA_Matches_All[[#This Row],[TspkrT]]/TBA_Matches_All[[#This Row],[Tspkr]]),0)</f>
        <v>0</v>
      </c>
      <c r="CR298">
        <f>SUM(TBA_Matches_All[[#This Row],[TspkrPts]]*TBA_Matches_All[[#This Row],[TspkrP]])</f>
        <v>0</v>
      </c>
      <c r="CS298" s="59">
        <f>IFERROR(SUM(TBA_Matches_All[[#This Row],[TtrapT]]/TBA_Matches_All[[#This Row],[Trap]]),0)</f>
        <v>0</v>
      </c>
      <c r="CT298" s="59">
        <f>IFERROR(SUM(TBA_Matches_All[[#This Row],[TotNotesT]]/TBA_Matches_All[[#This Row],[TotNotes]]),0)</f>
        <v>0.1</v>
      </c>
      <c r="CU298" s="66">
        <f>SUM((TBA_Matches_All[[#This Row],[AampT]]*2)+(TBA_Matches_All[[#This Row],[AspkrT]]*5)+(TBA_Matches_All[[#This Row],[AtrapT]]*5)+(TBA_Matches_All[[#This Row],[TampT]]*1)+(TBA_Matches_All[[#This Row],[TspkrptsC]]))</f>
        <v>5</v>
      </c>
      <c r="CV298" s="59">
        <f>IFERROR(TBA_Matches_All[[#This Row],[noteptsT]]/TBA_Matches_All[[#This Row],[NotePts]],0)</f>
        <v>0.2</v>
      </c>
      <c r="CW298">
        <f>SUM(IF(TBA_Matches_All[[#This Row],[stageStat]]="On",3,0),IF(TBA_Matches_All[[#This Row],[stageStat]]="Park",1,0),SUMIFS(TBA_Matches_All[[#This Row],[Spotlit]],TBA_Matches_All[[#This Row],[stageStat]],"On"),SUMIFS(TBA_Matches_All[[#This Row],[Harmony]],TBA_Matches_All[[#This Row],[stageStat]],"On"))</f>
        <v>1</v>
      </c>
      <c r="CX298" s="59">
        <f>IFERROR(TBA_Matches_All[[#This Row],[stageptsT]]/TBA_Matches_All[[#This Row],[StagePts]],0)</f>
        <v>0.25</v>
      </c>
      <c r="CY298">
        <f>SUM((TBA_Matches_All[[#This Row],[AptsT]]+TBA_Matches_All[[#This Row],[TampT]]+TBA_Matches_All[[#This Row],[TspkrptsC]]+(TBA_Matches_All[[#This Row],[TtrapT]]*5)+TBA_Matches_All[[#This Row],[stageptsT]]))</f>
        <v>8</v>
      </c>
      <c r="CZ298" s="59">
        <f>IFERROR(SUM(TBA_Matches_All[[#This Row],[TotptsC]]/TBA_Matches_All[[#This Row],[Score]]),0)</f>
        <v>0.24242424242424243</v>
      </c>
      <c r="DA29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7.3142857142857141</v>
      </c>
      <c r="DB298" s="74">
        <f>SUMIFS(TBA_Matches_All[AveTeamTNoteDels],TBA_Matches_All[Match_Number],TBA_Matches_All[[#This Row],[Match_Number]],TBA_Matches_All[Alliance],"&lt;&gt;"&amp;TBA_Matches_All[[#This Row],[Alliance]],TBA_Matches_All[Scouted],"&gt;0")</f>
        <v>23.712499999999999</v>
      </c>
      <c r="DC298" s="74">
        <f>(TBA_Matches_All[[#This Row],[TampT]]+TBA_Matches_All[[#This Row],[TspkrptsC]])-TBA_Matches_All[[#This Row],[AveTeamTNoteDels]]</f>
        <v>-7.3142857142857141</v>
      </c>
      <c r="DD298" s="74">
        <f>SUMIFS(TBA_Matches_All[AveTeamTNoteDels],TBA_Matches_All[Match_Number],TBA_Matches_All[[#This Row],[Match_Number]],TBA_Matches_All[Alliance],"&lt;&gt;"&amp;TBA_Matches_All[[#This Row],[Alliance]])-TBA_Matches_All[[#This Row],[AveOppTNoteDels]]</f>
        <v>0</v>
      </c>
    </row>
    <row r="299" spans="1:108" x14ac:dyDescent="0.3">
      <c r="A299" t="s">
        <v>1042</v>
      </c>
      <c r="B299" t="s">
        <v>489</v>
      </c>
      <c r="C299" t="s">
        <v>1359</v>
      </c>
      <c r="D299">
        <v>50</v>
      </c>
      <c r="E299" t="s">
        <v>1420</v>
      </c>
      <c r="F299" t="s">
        <v>1423</v>
      </c>
      <c r="G299" t="s">
        <v>1409</v>
      </c>
      <c r="H299" t="s">
        <v>1292</v>
      </c>
      <c r="I299" t="b">
        <v>1</v>
      </c>
      <c r="J299">
        <v>86</v>
      </c>
      <c r="K299">
        <v>1</v>
      </c>
      <c r="L299">
        <v>0</v>
      </c>
      <c r="M299">
        <v>0</v>
      </c>
      <c r="N299">
        <v>0</v>
      </c>
      <c r="O299">
        <v>6</v>
      </c>
      <c r="P299">
        <v>30</v>
      </c>
      <c r="Q299">
        <v>34</v>
      </c>
      <c r="R299">
        <v>7</v>
      </c>
      <c r="S299">
        <v>4</v>
      </c>
      <c r="T299">
        <v>0</v>
      </c>
      <c r="U299">
        <v>20</v>
      </c>
      <c r="V299">
        <v>0</v>
      </c>
      <c r="W299">
        <v>4</v>
      </c>
      <c r="X299">
        <v>20</v>
      </c>
      <c r="Y299">
        <v>27</v>
      </c>
      <c r="Z299">
        <v>5</v>
      </c>
      <c r="AA299">
        <v>1</v>
      </c>
      <c r="AB299">
        <v>17</v>
      </c>
      <c r="AC299">
        <v>57</v>
      </c>
      <c r="AD299">
        <v>8</v>
      </c>
      <c r="AE299">
        <f>IFERROR(6/(COUNTIF(Dyno_EndMatch[Match],TBA_Matches_All[[#This Row],[Match_Number]])),0)</f>
        <v>1</v>
      </c>
      <c r="AF299">
        <f>COUNTIFS(Dyno_Data[Team],TBA_Matches_All[[#This Row],[Team]],Dyno_Data[Match],TBA_Matches_All[[#This Row],[Match_Number]],Dyno_Data[RecordType],"EndMatch",Dyno_Data[HPAmp],"Y")</f>
        <v>0</v>
      </c>
      <c r="AG299">
        <f>SUMIFS(Dyno_Data[Mics], Dyno_Data[Team],TBA_Matches_All[[#This Row],[Team]],Dyno_Data[Match],TBA_Matches_All[[#This Row],[Match_Number]],Dyno_Data[RecordType],"EndMatch",Dyno_Data[HPAmp],"Y")</f>
        <v>0</v>
      </c>
      <c r="AH299">
        <f>SUMIFS(Dyno_Data[Leave], Dyno_Data[Team],TBA_Matches_All[[#This Row],[Team]],Dyno_Data[Match],TBA_Matches_All[[#This Row],[Match_Number]],Dyno_Data[RecordType],"EndAuto")</f>
        <v>0</v>
      </c>
      <c r="AI299">
        <f>COUNTIFS(Dyno_Data[Team],TBA_Matches_All[[#This Row],[Team]],Dyno_Data[Match],TBA_Matches_All[[#This Row],[Match_Number]],Dyno_Data[RecordType],"Activities",Dyno_Data[DelDest],"Amp", Dyno_Data[DelMiss],"0", Dyno_Data[Mode],"Auto")</f>
        <v>0</v>
      </c>
      <c r="AJ299">
        <f>COUNTIFS(Dyno_Data[Team],TBA_Matches_All[[#This Row],[Team]],Dyno_Data[Match],TBA_Matches_All[[#This Row],[Match_Number]],Dyno_Data[RecordType],"Activities",Dyno_Data[DelDest],"Spkr", Dyno_Data[DelMiss],"0", Dyno_Data[Mode],"Auto")</f>
        <v>0</v>
      </c>
      <c r="AK299">
        <f>COUNTIFS(Dyno_Data[Team],TBA_Matches_All[[#This Row],[Team]],Dyno_Data[Match],TBA_Matches_All[[#This Row],[Match_Number]],Dyno_Data[RecordType],"Activities",Dyno_Data[DelDest],"Trap", Dyno_Data[DelMiss],"0", Dyno_Data[Mode],"Auto")</f>
        <v>0</v>
      </c>
      <c r="AL299">
        <f>COUNTIFS(Dyno_Data[Team],TBA_Matches_All[[#This Row],[Team]],Dyno_Data[Match],TBA_Matches_All[[#This Row],[Match_Number]],Dyno_Data[RecordType],"Activities",Dyno_Data[DelDest],"Amp", Dyno_Data[DelMiss],"0", Dyno_Data[Mode],"Teleop")</f>
        <v>0</v>
      </c>
      <c r="AM299">
        <f>COUNTIFS(Dyno_Data[Team],TBA_Matches_All[[#This Row],[Team]],Dyno_Data[Match],TBA_Matches_All[[#This Row],[Match_Number]],Dyno_Data[RecordType],"Activities",Dyno_Data[DelDest],"Spkr", Dyno_Data[DelMiss],"0", Dyno_Data[Mode],"Teleop")</f>
        <v>0</v>
      </c>
      <c r="AN299">
        <f>COUNTIFS(Dyno_Data[Team],TBA_Matches_All[[#This Row],[Team]],Dyno_Data[Match],TBA_Matches_All[[#This Row],[Match_Number]],Dyno_Data[RecordType],"Activities",Dyno_Data[DelDest],"Trap", Dyno_Data[DelMiss],"0", Dyno_Data[Mode],"&lt;&gt;Auto")</f>
        <v>0</v>
      </c>
      <c r="AO299">
        <f>SUM(TBA_Matches_All[[#This Row],[AampT]]+TBA_Matches_All[[#This Row],[AspkrT]]+TBA_Matches_All[[#This Row],[AtrapT]]+TBA_Matches_All[[#This Row],[TampT]]+TBA_Matches_All[[#This Row],[TspkrT]]+TBA_Matches_All[[#This Row],[TtrapT]])</f>
        <v>0</v>
      </c>
      <c r="AP299">
        <f>COUNTIFS(Dyno_Data[Team],TBA_Matches_All[[#This Row],[Team]],Dyno_Data[Match],TBA_Matches_All[[#This Row],[Match_Number]],Dyno_Data[RecordType],"Activities",Dyno_Data[DelDest],"Neut", Dyno_Data[DelMiss],"0")</f>
        <v>0</v>
      </c>
      <c r="AQ299">
        <f>COUNTIFS(Dyno_Data[Team],TBA_Matches_All[[#This Row],[Team]],Dyno_Data[Match],TBA_Matches_All[[#This Row],[Match_Number]],Dyno_Data[RecordType],"Activities",Dyno_Data[DelDest],"AllyW", Dyno_Data[DelMiss],"0")</f>
        <v>0</v>
      </c>
      <c r="AR299" t="str">
        <f>_xlfn.XLOOKUP(SUM(MID(TBA_Matches_All[[#This Row],[Team]],4,5),(TBA_Matches_All[[#This Row],[Match_Number]]/100)),Dyno_EndMatch[teammat],Dyno_EndMatch[RobotSta],"_",0,1)</f>
        <v>Amp</v>
      </c>
      <c r="AS299">
        <f>SUMIFS(Dyno_Data[AcqDis], Dyno_Data[Team],TBA_Matches_All[[#This Row],[Team]],Dyno_Data[Match],TBA_Matches_All[[#This Row],[Match_Number]],Dyno_Data[RecordType],"Activities", Dyno_Data[AcqCenter],1,Dyno_Data[Mode],"Auto")</f>
        <v>0</v>
      </c>
      <c r="AT299">
        <f>SUMIFS(Dyno_Data[AcqDis], Dyno_Data[Team],TBA_Matches_All[[#This Row],[Team]],Dyno_Data[Match],TBA_Matches_All[[#This Row],[Match_Number]],Dyno_Data[RecordType],"Activities", Dyno_Data[AcqCenter],2,Dyno_Data[Mode],"Auto")</f>
        <v>0</v>
      </c>
      <c r="AU299">
        <f>SUMIFS(Dyno_Data[AcqDis], Dyno_Data[Team],TBA_Matches_All[[#This Row],[Team]],Dyno_Data[Match],TBA_Matches_All[[#This Row],[Match_Number]],Dyno_Data[RecordType],"Activities", Dyno_Data[AcqCenter],3,Dyno_Data[Mode],"Auto")</f>
        <v>0</v>
      </c>
      <c r="AV299">
        <f>SUMIFS(Dyno_Data[AcqDis], Dyno_Data[Team],TBA_Matches_All[[#This Row],[Team]],Dyno_Data[Match],TBA_Matches_All[[#This Row],[Match_Number]],Dyno_Data[RecordType],"Activities", Dyno_Data[AcqCenter],4,Dyno_Data[Mode],"Auto")</f>
        <v>0</v>
      </c>
      <c r="AW299">
        <f>SUMIFS(Dyno_Data[AcqDis], Dyno_Data[Team],TBA_Matches_All[[#This Row],[Team]],Dyno_Data[Match],TBA_Matches_All[[#This Row],[Match_Number]],Dyno_Data[RecordType],"Activities", Dyno_Data[AcqCenter],5,Dyno_Data[Mode],"Auto")</f>
        <v>0</v>
      </c>
      <c r="AX299">
        <f>SUMIFS(Dyno_Data[DelMiss], Dyno_Data[Team],TBA_Matches_All[[#This Row],[Team]],Dyno_Data[Match],TBA_Matches_All[[#This Row],[Match_Number]],Dyno_Data[RecordType],"Activities", Dyno_Data[DelDest],"Amp")</f>
        <v>0</v>
      </c>
      <c r="AY299" s="60">
        <f>IFERROR(SUM((TBA_Matches_All[[#This Row],[AampT]]+TBA_Matches_All[[#This Row],[TampT]])/(TBA_Matches_All[[#This Row],[AampT]]+TBA_Matches_All[[#This Row],[TampT]]+TBA_Matches_All[[#This Row],[ampM]])),0)</f>
        <v>0</v>
      </c>
      <c r="AZ299">
        <f>SUMIFS(Dyno_Data[DelMiss], Dyno_Data[Team],TBA_Matches_All[[#This Row],[Team]],Dyno_Data[Match],TBA_Matches_All[[#This Row],[Match_Number]],Dyno_Data[RecordType],"Activities", Dyno_Data[DelDest],"Spkr")</f>
        <v>0</v>
      </c>
      <c r="BA299" s="60">
        <f>IFERROR(SUM((TBA_Matches_All[[#This Row],[AspkrT]]+TBA_Matches_All[[#This Row],[TspkrT]])/(TBA_Matches_All[[#This Row],[AspkrT]]+TBA_Matches_All[[#This Row],[TspkrT]]+TBA_Matches_All[[#This Row],[spkrM]])),0)</f>
        <v>0</v>
      </c>
      <c r="BB299">
        <f>SUMIFS(Dyno_Data[DelMiss], Dyno_Data[Team],TBA_Matches_All[[#This Row],[Team]],Dyno_Data[Match],TBA_Matches_All[[#This Row],[Match_Number]],Dyno_Data[RecordType],"Activities", Dyno_Data[DelDest],"Trap")</f>
        <v>0</v>
      </c>
      <c r="BC299" s="60">
        <f>IFERROR((TBA_Matches_All[[#This Row],[AtrapT]]+TBA_Matches_All[[#This Row],[TtrapT]])/(TBA_Matches_All[[#This Row],[AtrapT]]+TBA_Matches_All[[#This Row],[TtrapT]]+TBA_Matches_All[[#This Row],[trapM]]),0)</f>
        <v>0</v>
      </c>
      <c r="BD299">
        <f>COUNTIFS(Dyno_Data[Team],TBA_Matches_All[[#This Row],[Team]],Dyno_Data[Match],TBA_Matches_All[[#This Row],[Match_Number]],Dyno_Data[RecordType],"Activities",Dyno_Data[DelDest],"Neut", Dyno_Data[DelMiss],1)</f>
        <v>0</v>
      </c>
      <c r="BE299" s="60">
        <f>IFERROR(SUM((TBA_Matches_All[[#This Row],[NeutFlrT]])/(TBA_Matches_All[[#This Row],[NeutFlrT]]+TBA_Matches_All[[#This Row],[NZflM]])),0)</f>
        <v>0</v>
      </c>
      <c r="BF299">
        <f>COUNTIFS(Dyno_Data[Team],TBA_Matches_All[[#This Row],[Team]],Dyno_Data[Match],TBA_Matches_All[[#This Row],[Match_Number]],Dyno_Data[RecordType],"Activities",Dyno_Data[DelDest],"AllyW", Dyno_Data[DelMiss],1)</f>
        <v>0</v>
      </c>
      <c r="BG299" s="60">
        <f>IFERROR(SUM((TBA_Matches_All[[#This Row],[AllyWFlrT]])/(TBA_Matches_All[[#This Row],[AllyWFlrT]]+TBA_Matches_All[[#This Row],[AZflM]])),0)</f>
        <v>0</v>
      </c>
      <c r="BH299">
        <f>COUNTIFS(Dyno_Data[Team],TBA_Matches_All[[#This Row],[Team]],Dyno_Data[Match],TBA_Matches_All[[#This Row],[Match_Number]],Dyno_Data[RecordType],"Activities",Dyno_Data[DelOrig],"OppW", Dyno_Data[DelMiss],"0")</f>
        <v>0</v>
      </c>
      <c r="BI299">
        <f>COUNTIFS(Dyno_Data[Team],TBA_Matches_All[[#This Row],[Team]],Dyno_Data[Match],TBA_Matches_All[[#This Row],[Match_Number]],Dyno_Data[RecordType],"Activities",Dyno_Data[DelOrig],"OppW", Dyno_Data[DelMiss],"1")</f>
        <v>0</v>
      </c>
      <c r="BJ299" s="60">
        <f>IFERROR(SUM((TBA_Matches_All[[#This Row],[OZflrT]])/(TBA_Matches_All[[#This Row],[OZflrT]]+TBA_Matches_All[[#This Row],[OZflrM]])),0)</f>
        <v>0</v>
      </c>
      <c r="BK299">
        <f>COUNTIFS(Dyno_Data[Team],TBA_Matches_All[[#This Row],[Team]],Dyno_Data[Match],TBA_Matches_All[[#This Row],[Match_Number]],Dyno_Data[RecordType],"Activities",Dyno_Data[DelOrig],"Neut", Dyno_Data[DelMiss],"0")</f>
        <v>0</v>
      </c>
      <c r="BL299">
        <f>COUNTIFS(Dyno_Data[Team],TBA_Matches_All[[#This Row],[Team]],Dyno_Data[Match],TBA_Matches_All[[#This Row],[Match_Number]],Dyno_Data[RecordType],"Activities",Dyno_Data[DelOrig],"Neut", Dyno_Data[DelMiss],"1")</f>
        <v>0</v>
      </c>
      <c r="BM299" s="60">
        <f>IFERROR(SUM((TBA_Matches_All[[#This Row],[NZflrT]])/(TBA_Matches_All[[#This Row],[NZflrT]]+TBA_Matches_All[[#This Row],[NZflrM]])),0)</f>
        <v>0</v>
      </c>
      <c r="BN299">
        <f>COUNTIFS(Dyno_Data[Team],TBA_Matches_All[[#This Row],[Team]],Dyno_Data[Match],TBA_Matches_All[[#This Row],[Match_Number]],Dyno_Data[RecordType],"Activities",Dyno_Data[DelOrig],"AllyW", Dyno_Data[DelMiss],"0")</f>
        <v>0</v>
      </c>
      <c r="BO299">
        <f>COUNTIFS(Dyno_Data[Team],TBA_Matches_All[[#This Row],[Team]],Dyno_Data[Match],TBA_Matches_All[[#This Row],[Match_Number]],Dyno_Data[RecordType],"Activities",Dyno_Data[DelOrig],"AllyW", Dyno_Data[DelMiss],"1")</f>
        <v>0</v>
      </c>
      <c r="BP299" s="60">
        <f>IFERROR(SUM((TBA_Matches_All[[#This Row],[AZflrT]])/(TBA_Matches_All[[#This Row],[AZflrT]]+TBA_Matches_All[[#This Row],[AZflrM]])),0)</f>
        <v>0</v>
      </c>
      <c r="BQ299">
        <f>COUNTIFS(Dyno_Data[Team],TBA_Matches_All[[#This Row],[Team]],Dyno_Data[Match],TBA_Matches_All[[#This Row],[Match_Number]],Dyno_Data[RecordType],"Activities",Dyno_Data[DelOrig],"SubW", Dyno_Data[DelMiss],"0")</f>
        <v>0</v>
      </c>
      <c r="BR299">
        <f>COUNTIFS(Dyno_Data[Team],TBA_Matches_All[[#This Row],[Team]],Dyno_Data[Match],TBA_Matches_All[[#This Row],[Match_Number]],Dyno_Data[RecordType],"Activities",Dyno_Data[DelOrig],"SubW", Dyno_Data[DelMiss],"1")</f>
        <v>0</v>
      </c>
      <c r="BS299" s="60">
        <f>IFERROR(SUM((TBA_Matches_All[[#This Row],[SubwT]])/(TBA_Matches_All[[#This Row],[SubwT]]+TBA_Matches_All[[#This Row],[SubwM]])),0)</f>
        <v>0</v>
      </c>
      <c r="BT299">
        <f>COUNTIFS(Dyno_Data[Team],TBA_Matches_All[[#This Row],[Team]],Dyno_Data[Match],TBA_Matches_All[[#This Row],[Match_Number]],Dyno_Data[RecordType],"Activities", Dyno_Data[AcqLoc],"OppWing")</f>
        <v>0</v>
      </c>
      <c r="BU299">
        <f>COUNTIFS(Dyno_Data[Team],TBA_Matches_All[[#This Row],[Team]],Dyno_Data[Match],TBA_Matches_All[[#This Row],[Match_Number]],Dyno_Data[RecordType],"Activities", Dyno_Data[AcqLoc],"Neutral")</f>
        <v>0</v>
      </c>
      <c r="BV299">
        <f>COUNTIFS(Dyno_Data[Team],TBA_Matches_All[[#This Row],[Team]],Dyno_Data[Match],TBA_Matches_All[[#This Row],[Match_Number]],Dyno_Data[RecordType],"Activities", Dyno_Data[AcqLoc],"AllyWing")</f>
        <v>0</v>
      </c>
      <c r="BW299">
        <f>COUNTIFS(Dyno_Data[Team],TBA_Matches_All[[#This Row],[Team]],Dyno_Data[Match],TBA_Matches_All[[#This Row],[Match_Number]],Dyno_Data[RecordType],"Activities", Dyno_Data[AcqLoc],"Source")</f>
        <v>0</v>
      </c>
      <c r="BX299">
        <f>SUMIFS(Dyno_Data[AcqDrp], Dyno_Data[Team],TBA_Matches_All[[#This Row],[Team]],Dyno_Data[Match],TBA_Matches_All[[#This Row],[Match_Number]],Dyno_Data[RecordType],"Activities", Dyno_Data[AcqLoc],"Source")</f>
        <v>0</v>
      </c>
      <c r="BY299">
        <f>SUMIFS(Dyno_Data[OZTime], Dyno_Data[Team],TBA_Matches_All[[#This Row],[Team]],Dyno_Data[Match],TBA_Matches_All[[#This Row],[Match_Number]],Dyno_Data[RecordType],"EndMatch")</f>
        <v>0</v>
      </c>
      <c r="BZ299">
        <f>SUMIFS(Dyno_Data[NZTime], Dyno_Data[Team],TBA_Matches_All[[#This Row],[Team]],Dyno_Data[Match],TBA_Matches_All[[#This Row],[Match_Number]],Dyno_Data[RecordType],"EndMatch")</f>
        <v>43.008052499999998</v>
      </c>
      <c r="CA299">
        <f>SUMIFS(Dyno_Data[AZTime], Dyno_Data[Team],TBA_Matches_All[[#This Row],[Team]],Dyno_Data[Match],TBA_Matches_All[[#This Row],[Match_Number]],Dyno_Data[RecordType],"EndMatch")</f>
        <v>80.133718599999995</v>
      </c>
      <c r="CB299">
        <f>SUMIFS(Dyno_Data[ClimbT], Dyno_Data[Team],TBA_Matches_All[[#This Row],[Team]],Dyno_Data[Match],TBA_Matches_All[[#This Row],[Match_Number]],Dyno_Data[RecordType],"EndMatch")</f>
        <v>10.8744345</v>
      </c>
      <c r="CC299" t="str">
        <f>_xlfn.XLOOKUP(SUM(MID(TBA_Matches_All[[#This Row],[Team]],4,5),(TBA_Matches_All[[#This Row],[Match_Number]]/100)),Dyno_EndMatch[teammat],Dyno_EndMatch[StageStat],"_",0,1)</f>
        <v>Park</v>
      </c>
      <c r="CD299" t="str">
        <f>_xlfn.XLOOKUP(TBA_Matches_All[[#This Row],[teammat]],Dyno_EndMatch[teammat],Dyno_EndMatch[StageAtt],"_",0,1)</f>
        <v>-1</v>
      </c>
      <c r="CE299" t="str">
        <f>_xlfn.XLOOKUP(TBA_Matches_All[[#This Row],[teammat]],Dyno_EndMatch[teammat],Dyno_EndMatch[StageLoc],"_",0,1)</f>
        <v>A</v>
      </c>
      <c r="CF299">
        <f>SUMIFS(Dyno_Data[Harmony], Dyno_Data[Team],TBA_Matches_All[[#This Row],[Team]],Dyno_Data[Match],TBA_Matches_All[[#This Row],[Match_Number]],Dyno_Data[RecordType],"EndMatch", Dyno_Data[StageStat],"On",Dyno_Data[Harmony],"&lt;&gt;9")</f>
        <v>0</v>
      </c>
      <c r="CG299">
        <f>SUMIFS(Dyno_Data[Spotlit], Dyno_Data[Team],TBA_Matches_All[[#This Row],[Team]],Dyno_Data[Match],TBA_Matches_All[[#This Row],[Match_Number]],Dyno_Data[RecordType],"EndMatch", Dyno_Data[StageStat],"On",Dyno_Data[Spotlit],"&lt;&gt;9")</f>
        <v>0</v>
      </c>
      <c r="CH299" t="str">
        <f>_xlfn.XLOOKUP(TBA_Matches_All[[#This Row],[teammat]],Dyno_EndMatch[teammat],Dyno_EndMatch[Strategy],"_",0,1)</f>
        <v>Hybrid</v>
      </c>
      <c r="CI299">
        <f>SUMIFS(Dyno_Data[Defense], Dyno_Data[Team],TBA_Matches_All[[#This Row],[Team]],Dyno_Data[Match],TBA_Matches_All[[#This Row],[Match_Number]],Dyno_Data[RecordType],"EndMatch",Dyno_Data[Defense],"&lt;&gt;9")</f>
        <v>0</v>
      </c>
      <c r="CJ299">
        <f>SUMIFS(Dyno_Data[Avoidance], Dyno_Data[Team],TBA_Matches_All[[#This Row],[Team]],Dyno_Data[Match],TBA_Matches_All[[#This Row],[Match_Number]],Dyno_Data[RecordType],"EndMatch",Dyno_Data[Avoidance],"&lt;&gt;9")</f>
        <v>0</v>
      </c>
      <c r="CK299" s="82">
        <f>COUNTIF($H$2:TBA_Matches_All[[#This Row],[Team]],TBA_Matches_All[[#This Row],[Team]])</f>
        <v>6</v>
      </c>
      <c r="CL299" s="111">
        <f>SUM(MID(TBA_Matches_All[[#This Row],[Team]],4,5)+TBA_Matches_All[[#This Row],[Match_Number]]/100)</f>
        <v>7030.5</v>
      </c>
      <c r="CM299">
        <f>SUM((TBA_Matches_All[[#This Row],[Leave]]*2)+(TBA_Matches_All[[#This Row],[AampT]]*2)+(TBA_Matches_All[[#This Row],[AspkrT]]*5)+(TBA_Matches_All[[#This Row],[AtrapT]]*5))</f>
        <v>0</v>
      </c>
      <c r="CN299" s="59">
        <f>IFERROR(SUM(TBA_Matches_All[[#This Row],[AptsT]]/TBA_Matches_All[[#This Row],[AutoPts]]),0)</f>
        <v>0</v>
      </c>
      <c r="CO299" s="59">
        <f>IFERROR(SUM(TBA_Matches_All[[#This Row],[AampT]]+TBA_Matches_All[[#This Row],[AspkrT]]+TBA_Matches_All[[#This Row],[AtrapT]]/TBA_Matches_All[[#This Row],[Aamp]]+TBA_Matches_All[[#This Row],[Aspkr]]+TBA_Matches_All[[#This Row],[AtrapT]]),0)</f>
        <v>0</v>
      </c>
      <c r="CP299" s="59">
        <f>IFERROR(SUM(TBA_Matches_All[[#This Row],[TampT]]/TBA_Matches_All[[#This Row],[Tamp]]),0)</f>
        <v>0</v>
      </c>
      <c r="CQ299" s="59">
        <f>IFERROR(SUM(TBA_Matches_All[[#This Row],[TspkrT]]/TBA_Matches_All[[#This Row],[Tspkr]]),0)</f>
        <v>0</v>
      </c>
      <c r="CR299">
        <f>SUM(TBA_Matches_All[[#This Row],[TspkrPts]]*TBA_Matches_All[[#This Row],[TspkrP]])</f>
        <v>0</v>
      </c>
      <c r="CS299" s="59">
        <f>IFERROR(SUM(TBA_Matches_All[[#This Row],[TtrapT]]/TBA_Matches_All[[#This Row],[Trap]]),0)</f>
        <v>0</v>
      </c>
      <c r="CT299" s="59">
        <f>IFERROR(SUM(TBA_Matches_All[[#This Row],[TotNotesT]]/TBA_Matches_All[[#This Row],[TotNotes]]),0)</f>
        <v>0</v>
      </c>
      <c r="CU299" s="66">
        <f>SUM((TBA_Matches_All[[#This Row],[AampT]]*2)+(TBA_Matches_All[[#This Row],[AspkrT]]*5)+(TBA_Matches_All[[#This Row],[AtrapT]]*5)+(TBA_Matches_All[[#This Row],[TampT]]*1)+(TBA_Matches_All[[#This Row],[TspkrptsC]]))</f>
        <v>0</v>
      </c>
      <c r="CV299" s="59">
        <f>IFERROR(TBA_Matches_All[[#This Row],[noteptsT]]/TBA_Matches_All[[#This Row],[NotePts]],0)</f>
        <v>0</v>
      </c>
      <c r="CW299">
        <f>SUM(IF(TBA_Matches_All[[#This Row],[stageStat]]="On",3,0),IF(TBA_Matches_All[[#This Row],[stageStat]]="Park",1,0),SUMIFS(TBA_Matches_All[[#This Row],[Spotlit]],TBA_Matches_All[[#This Row],[stageStat]],"On"),SUMIFS(TBA_Matches_All[[#This Row],[Harmony]],TBA_Matches_All[[#This Row],[stageStat]],"On"))</f>
        <v>1</v>
      </c>
      <c r="CX299" s="59">
        <f>IFERROR(TBA_Matches_All[[#This Row],[stageptsT]]/TBA_Matches_All[[#This Row],[StagePts]],0)</f>
        <v>0.125</v>
      </c>
      <c r="CY299">
        <f>SUM((TBA_Matches_All[[#This Row],[AptsT]]+TBA_Matches_All[[#This Row],[TampT]]+TBA_Matches_All[[#This Row],[TspkrptsC]]+(TBA_Matches_All[[#This Row],[TtrapT]]*5)+TBA_Matches_All[[#This Row],[stageptsT]]))</f>
        <v>1</v>
      </c>
      <c r="CZ299" s="59">
        <f>IFERROR(SUM(TBA_Matches_All[[#This Row],[TotptsC]]/TBA_Matches_All[[#This Row],[Score]]),0)</f>
        <v>1.1627906976744186E-2</v>
      </c>
      <c r="DA29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299" s="74">
        <f>SUMIFS(TBA_Matches_All[AveTeamTNoteDels],TBA_Matches_All[Match_Number],TBA_Matches_All[[#This Row],[Match_Number]],TBA_Matches_All[Alliance],"&lt;&gt;"&amp;TBA_Matches_All[[#This Row],[Alliance]],TBA_Matches_All[Scouted],"&gt;0")</f>
        <v>32.074285714285715</v>
      </c>
      <c r="DC299" s="74">
        <f>(TBA_Matches_All[[#This Row],[TampT]]+TBA_Matches_All[[#This Row],[TspkrptsC]])-TBA_Matches_All[[#This Row],[AveTeamTNoteDels]]</f>
        <v>0</v>
      </c>
      <c r="DD299" s="74">
        <f>SUMIFS(TBA_Matches_All[AveTeamTNoteDels],TBA_Matches_All[Match_Number],TBA_Matches_All[[#This Row],[Match_Number]],TBA_Matches_All[Alliance],"&lt;&gt;"&amp;TBA_Matches_All[[#This Row],[Alliance]])-TBA_Matches_All[[#This Row],[AveOppTNoteDels]]</f>
        <v>0</v>
      </c>
    </row>
    <row r="300" spans="1:108" x14ac:dyDescent="0.3">
      <c r="A300" t="s">
        <v>1042</v>
      </c>
      <c r="B300" t="s">
        <v>489</v>
      </c>
      <c r="C300" t="s">
        <v>1359</v>
      </c>
      <c r="D300">
        <v>50</v>
      </c>
      <c r="E300" t="s">
        <v>1406</v>
      </c>
      <c r="F300" t="s">
        <v>1424</v>
      </c>
      <c r="G300" t="s">
        <v>1409</v>
      </c>
      <c r="H300" t="s">
        <v>1318</v>
      </c>
      <c r="I300" t="b">
        <v>1</v>
      </c>
      <c r="J300">
        <v>33</v>
      </c>
      <c r="K300">
        <v>0</v>
      </c>
      <c r="L300">
        <v>0</v>
      </c>
      <c r="M300">
        <v>17</v>
      </c>
      <c r="N300">
        <v>0</v>
      </c>
      <c r="O300">
        <v>2</v>
      </c>
      <c r="P300">
        <v>10</v>
      </c>
      <c r="Q300">
        <v>14</v>
      </c>
      <c r="R300">
        <v>1</v>
      </c>
      <c r="S300">
        <v>0</v>
      </c>
      <c r="T300">
        <v>7</v>
      </c>
      <c r="U300">
        <v>0</v>
      </c>
      <c r="V300">
        <v>14</v>
      </c>
      <c r="W300">
        <v>7</v>
      </c>
      <c r="X300">
        <v>14</v>
      </c>
      <c r="Y300">
        <v>15</v>
      </c>
      <c r="Z300">
        <v>0</v>
      </c>
      <c r="AA300">
        <v>0</v>
      </c>
      <c r="AB300">
        <v>10</v>
      </c>
      <c r="AC300">
        <v>25</v>
      </c>
      <c r="AD300">
        <v>4</v>
      </c>
      <c r="AE300">
        <f>IFERROR(6/(COUNTIF(Dyno_EndMatch[Match],TBA_Matches_All[[#This Row],[Match_Number]])),0)</f>
        <v>1</v>
      </c>
      <c r="AF300">
        <f>COUNTIFS(Dyno_Data[Team],TBA_Matches_All[[#This Row],[Team]],Dyno_Data[Match],TBA_Matches_All[[#This Row],[Match_Number]],Dyno_Data[RecordType],"EndMatch",Dyno_Data[HPAmp],"Y")</f>
        <v>0</v>
      </c>
      <c r="AG300">
        <f>SUMIFS(Dyno_Data[Mics], Dyno_Data[Team],TBA_Matches_All[[#This Row],[Team]],Dyno_Data[Match],TBA_Matches_All[[#This Row],[Match_Number]],Dyno_Data[RecordType],"EndMatch",Dyno_Data[HPAmp],"Y")</f>
        <v>0</v>
      </c>
      <c r="AH300">
        <f>SUMIFS(Dyno_Data[Leave], Dyno_Data[Team],TBA_Matches_All[[#This Row],[Team]],Dyno_Data[Match],TBA_Matches_All[[#This Row],[Match_Number]],Dyno_Data[RecordType],"EndAuto")</f>
        <v>1</v>
      </c>
      <c r="AI300">
        <f>COUNTIFS(Dyno_Data[Team],TBA_Matches_All[[#This Row],[Team]],Dyno_Data[Match],TBA_Matches_All[[#This Row],[Match_Number]],Dyno_Data[RecordType],"Activities",Dyno_Data[DelDest],"Amp", Dyno_Data[DelMiss],"0", Dyno_Data[Mode],"Auto")</f>
        <v>0</v>
      </c>
      <c r="AJ300">
        <f>COUNTIFS(Dyno_Data[Team],TBA_Matches_All[[#This Row],[Team]],Dyno_Data[Match],TBA_Matches_All[[#This Row],[Match_Number]],Dyno_Data[RecordType],"Activities",Dyno_Data[DelDest],"Spkr", Dyno_Data[DelMiss],"0", Dyno_Data[Mode],"Auto")</f>
        <v>3</v>
      </c>
      <c r="AK300">
        <f>COUNTIFS(Dyno_Data[Team],TBA_Matches_All[[#This Row],[Team]],Dyno_Data[Match],TBA_Matches_All[[#This Row],[Match_Number]],Dyno_Data[RecordType],"Activities",Dyno_Data[DelDest],"Trap", Dyno_Data[DelMiss],"0", Dyno_Data[Mode],"Auto")</f>
        <v>0</v>
      </c>
      <c r="AL300">
        <f>COUNTIFS(Dyno_Data[Team],TBA_Matches_All[[#This Row],[Team]],Dyno_Data[Match],TBA_Matches_All[[#This Row],[Match_Number]],Dyno_Data[RecordType],"Activities",Dyno_Data[DelDest],"Amp", Dyno_Data[DelMiss],"0", Dyno_Data[Mode],"Teleop")</f>
        <v>1</v>
      </c>
      <c r="AM300">
        <f>COUNTIFS(Dyno_Data[Team],TBA_Matches_All[[#This Row],[Team]],Dyno_Data[Match],TBA_Matches_All[[#This Row],[Match_Number]],Dyno_Data[RecordType],"Activities",Dyno_Data[DelDest],"Spkr", Dyno_Data[DelMiss],"0", Dyno_Data[Mode],"Teleop")</f>
        <v>7</v>
      </c>
      <c r="AN300">
        <f>COUNTIFS(Dyno_Data[Team],TBA_Matches_All[[#This Row],[Team]],Dyno_Data[Match],TBA_Matches_All[[#This Row],[Match_Number]],Dyno_Data[RecordType],"Activities",Dyno_Data[DelDest],"Trap", Dyno_Data[DelMiss],"0", Dyno_Data[Mode],"&lt;&gt;Auto")</f>
        <v>0</v>
      </c>
      <c r="AO300">
        <f>SUM(TBA_Matches_All[[#This Row],[AampT]]+TBA_Matches_All[[#This Row],[AspkrT]]+TBA_Matches_All[[#This Row],[AtrapT]]+TBA_Matches_All[[#This Row],[TampT]]+TBA_Matches_All[[#This Row],[TspkrT]]+TBA_Matches_All[[#This Row],[TtrapT]])</f>
        <v>11</v>
      </c>
      <c r="AP300">
        <f>COUNTIFS(Dyno_Data[Team],TBA_Matches_All[[#This Row],[Team]],Dyno_Data[Match],TBA_Matches_All[[#This Row],[Match_Number]],Dyno_Data[RecordType],"Activities",Dyno_Data[DelDest],"Neut", Dyno_Data[DelMiss],"0")</f>
        <v>0</v>
      </c>
      <c r="AQ300">
        <f>COUNTIFS(Dyno_Data[Team],TBA_Matches_All[[#This Row],[Team]],Dyno_Data[Match],TBA_Matches_All[[#This Row],[Match_Number]],Dyno_Data[RecordType],"Activities",Dyno_Data[DelDest],"AllyW", Dyno_Data[DelMiss],"0")</f>
        <v>1</v>
      </c>
      <c r="AR300" t="str">
        <f>_xlfn.XLOOKUP(SUM(MID(TBA_Matches_All[[#This Row],[Team]],4,5),(TBA_Matches_All[[#This Row],[Match_Number]]/100)),Dyno_EndMatch[teammat],Dyno_EndMatch[RobotSta],"_",0,1)</f>
        <v>SubW</v>
      </c>
      <c r="AS300">
        <f>SUMIFS(Dyno_Data[AcqDis], Dyno_Data[Team],TBA_Matches_All[[#This Row],[Team]],Dyno_Data[Match],TBA_Matches_All[[#This Row],[Match_Number]],Dyno_Data[RecordType],"Activities", Dyno_Data[AcqCenter],1,Dyno_Data[Mode],"Auto")</f>
        <v>0</v>
      </c>
      <c r="AT300">
        <f>SUMIFS(Dyno_Data[AcqDis], Dyno_Data[Team],TBA_Matches_All[[#This Row],[Team]],Dyno_Data[Match],TBA_Matches_All[[#This Row],[Match_Number]],Dyno_Data[RecordType],"Activities", Dyno_Data[AcqCenter],2,Dyno_Data[Mode],"Auto")</f>
        <v>0</v>
      </c>
      <c r="AU300">
        <f>SUMIFS(Dyno_Data[AcqDis], Dyno_Data[Team],TBA_Matches_All[[#This Row],[Team]],Dyno_Data[Match],TBA_Matches_All[[#This Row],[Match_Number]],Dyno_Data[RecordType],"Activities", Dyno_Data[AcqCenter],3,Dyno_Data[Mode],"Auto")</f>
        <v>0</v>
      </c>
      <c r="AV300">
        <f>SUMIFS(Dyno_Data[AcqDis], Dyno_Data[Team],TBA_Matches_All[[#This Row],[Team]],Dyno_Data[Match],TBA_Matches_All[[#This Row],[Match_Number]],Dyno_Data[RecordType],"Activities", Dyno_Data[AcqCenter],4,Dyno_Data[Mode],"Auto")</f>
        <v>0</v>
      </c>
      <c r="AW300">
        <f>SUMIFS(Dyno_Data[AcqDis], Dyno_Data[Team],TBA_Matches_All[[#This Row],[Team]],Dyno_Data[Match],TBA_Matches_All[[#This Row],[Match_Number]],Dyno_Data[RecordType],"Activities", Dyno_Data[AcqCenter],5,Dyno_Data[Mode],"Auto")</f>
        <v>0</v>
      </c>
      <c r="AX300">
        <f>SUMIFS(Dyno_Data[DelMiss], Dyno_Data[Team],TBA_Matches_All[[#This Row],[Team]],Dyno_Data[Match],TBA_Matches_All[[#This Row],[Match_Number]],Dyno_Data[RecordType],"Activities", Dyno_Data[DelDest],"Amp")</f>
        <v>0</v>
      </c>
      <c r="AY300" s="60">
        <f>IFERROR(SUM((TBA_Matches_All[[#This Row],[AampT]]+TBA_Matches_All[[#This Row],[TampT]])/(TBA_Matches_All[[#This Row],[AampT]]+TBA_Matches_All[[#This Row],[TampT]]+TBA_Matches_All[[#This Row],[ampM]])),0)</f>
        <v>1</v>
      </c>
      <c r="AZ300">
        <f>SUMIFS(Dyno_Data[DelMiss], Dyno_Data[Team],TBA_Matches_All[[#This Row],[Team]],Dyno_Data[Match],TBA_Matches_All[[#This Row],[Match_Number]],Dyno_Data[RecordType],"Activities", Dyno_Data[DelDest],"Spkr")</f>
        <v>1</v>
      </c>
      <c r="BA300" s="60">
        <f>IFERROR(SUM((TBA_Matches_All[[#This Row],[AspkrT]]+TBA_Matches_All[[#This Row],[TspkrT]])/(TBA_Matches_All[[#This Row],[AspkrT]]+TBA_Matches_All[[#This Row],[TspkrT]]+TBA_Matches_All[[#This Row],[spkrM]])),0)</f>
        <v>0.90909090909090906</v>
      </c>
      <c r="BB300">
        <f>SUMIFS(Dyno_Data[DelMiss], Dyno_Data[Team],TBA_Matches_All[[#This Row],[Team]],Dyno_Data[Match],TBA_Matches_All[[#This Row],[Match_Number]],Dyno_Data[RecordType],"Activities", Dyno_Data[DelDest],"Trap")</f>
        <v>0</v>
      </c>
      <c r="BC300" s="60">
        <f>IFERROR((TBA_Matches_All[[#This Row],[AtrapT]]+TBA_Matches_All[[#This Row],[TtrapT]])/(TBA_Matches_All[[#This Row],[AtrapT]]+TBA_Matches_All[[#This Row],[TtrapT]]+TBA_Matches_All[[#This Row],[trapM]]),0)</f>
        <v>0</v>
      </c>
      <c r="BD300">
        <f>COUNTIFS(Dyno_Data[Team],TBA_Matches_All[[#This Row],[Team]],Dyno_Data[Match],TBA_Matches_All[[#This Row],[Match_Number]],Dyno_Data[RecordType],"Activities",Dyno_Data[DelDest],"Neut", Dyno_Data[DelMiss],1)</f>
        <v>0</v>
      </c>
      <c r="BE300" s="60">
        <f>IFERROR(SUM((TBA_Matches_All[[#This Row],[NeutFlrT]])/(TBA_Matches_All[[#This Row],[NeutFlrT]]+TBA_Matches_All[[#This Row],[NZflM]])),0)</f>
        <v>0</v>
      </c>
      <c r="BF300">
        <f>COUNTIFS(Dyno_Data[Team],TBA_Matches_All[[#This Row],[Team]],Dyno_Data[Match],TBA_Matches_All[[#This Row],[Match_Number]],Dyno_Data[RecordType],"Activities",Dyno_Data[DelDest],"AllyW", Dyno_Data[DelMiss],1)</f>
        <v>0</v>
      </c>
      <c r="BG300" s="60">
        <f>IFERROR(SUM((TBA_Matches_All[[#This Row],[AllyWFlrT]])/(TBA_Matches_All[[#This Row],[AllyWFlrT]]+TBA_Matches_All[[#This Row],[AZflM]])),0)</f>
        <v>1</v>
      </c>
      <c r="BH300">
        <f>COUNTIFS(Dyno_Data[Team],TBA_Matches_All[[#This Row],[Team]],Dyno_Data[Match],TBA_Matches_All[[#This Row],[Match_Number]],Dyno_Data[RecordType],"Activities",Dyno_Data[DelOrig],"OppW", Dyno_Data[DelMiss],"0")</f>
        <v>0</v>
      </c>
      <c r="BI300">
        <f>COUNTIFS(Dyno_Data[Team],TBA_Matches_All[[#This Row],[Team]],Dyno_Data[Match],TBA_Matches_All[[#This Row],[Match_Number]],Dyno_Data[RecordType],"Activities",Dyno_Data[DelOrig],"OppW", Dyno_Data[DelMiss],"1")</f>
        <v>0</v>
      </c>
      <c r="BJ300" s="60">
        <f>IFERROR(SUM((TBA_Matches_All[[#This Row],[OZflrT]])/(TBA_Matches_All[[#This Row],[OZflrT]]+TBA_Matches_All[[#This Row],[OZflrM]])),0)</f>
        <v>0</v>
      </c>
      <c r="BK300">
        <f>COUNTIFS(Dyno_Data[Team],TBA_Matches_All[[#This Row],[Team]],Dyno_Data[Match],TBA_Matches_All[[#This Row],[Match_Number]],Dyno_Data[RecordType],"Activities",Dyno_Data[DelOrig],"Neut", Dyno_Data[DelMiss],"0")</f>
        <v>0</v>
      </c>
      <c r="BL300">
        <f>COUNTIFS(Dyno_Data[Team],TBA_Matches_All[[#This Row],[Team]],Dyno_Data[Match],TBA_Matches_All[[#This Row],[Match_Number]],Dyno_Data[RecordType],"Activities",Dyno_Data[DelOrig],"Neut", Dyno_Data[DelMiss],"1")</f>
        <v>0</v>
      </c>
      <c r="BM300" s="60">
        <f>IFERROR(SUM((TBA_Matches_All[[#This Row],[NZflrT]])/(TBA_Matches_All[[#This Row],[NZflrT]]+TBA_Matches_All[[#This Row],[NZflrM]])),0)</f>
        <v>0</v>
      </c>
      <c r="BN300">
        <f>COUNTIFS(Dyno_Data[Team],TBA_Matches_All[[#This Row],[Team]],Dyno_Data[Match],TBA_Matches_All[[#This Row],[Match_Number]],Dyno_Data[RecordType],"Activities",Dyno_Data[DelOrig],"AllyW", Dyno_Data[DelMiss],"0")</f>
        <v>2</v>
      </c>
      <c r="BO300">
        <f>COUNTIFS(Dyno_Data[Team],TBA_Matches_All[[#This Row],[Team]],Dyno_Data[Match],TBA_Matches_All[[#This Row],[Match_Number]],Dyno_Data[RecordType],"Activities",Dyno_Data[DelOrig],"AllyW", Dyno_Data[DelMiss],"1")</f>
        <v>0</v>
      </c>
      <c r="BP300" s="60">
        <f>IFERROR(SUM((TBA_Matches_All[[#This Row],[AZflrT]])/(TBA_Matches_All[[#This Row],[AZflrT]]+TBA_Matches_All[[#This Row],[AZflrM]])),0)</f>
        <v>1</v>
      </c>
      <c r="BQ300">
        <f>COUNTIFS(Dyno_Data[Team],TBA_Matches_All[[#This Row],[Team]],Dyno_Data[Match],TBA_Matches_All[[#This Row],[Match_Number]],Dyno_Data[RecordType],"Activities",Dyno_Data[DelOrig],"SubW", Dyno_Data[DelMiss],"0")</f>
        <v>10</v>
      </c>
      <c r="BR300">
        <f>COUNTIFS(Dyno_Data[Team],TBA_Matches_All[[#This Row],[Team]],Dyno_Data[Match],TBA_Matches_All[[#This Row],[Match_Number]],Dyno_Data[RecordType],"Activities",Dyno_Data[DelOrig],"SubW", Dyno_Data[DelMiss],"1")</f>
        <v>1</v>
      </c>
      <c r="BS300" s="60">
        <f>IFERROR(SUM((TBA_Matches_All[[#This Row],[SubwT]])/(TBA_Matches_All[[#This Row],[SubwT]]+TBA_Matches_All[[#This Row],[SubwM]])),0)</f>
        <v>0.90909090909090906</v>
      </c>
      <c r="BT300">
        <f>COUNTIFS(Dyno_Data[Team],TBA_Matches_All[[#This Row],[Team]],Dyno_Data[Match],TBA_Matches_All[[#This Row],[Match_Number]],Dyno_Data[RecordType],"Activities", Dyno_Data[AcqLoc],"OppWing")</f>
        <v>0</v>
      </c>
      <c r="BU300">
        <f>COUNTIFS(Dyno_Data[Team],TBA_Matches_All[[#This Row],[Team]],Dyno_Data[Match],TBA_Matches_All[[#This Row],[Match_Number]],Dyno_Data[RecordType],"Activities", Dyno_Data[AcqLoc],"Neutral")</f>
        <v>0</v>
      </c>
      <c r="BV300">
        <f>COUNTIFS(Dyno_Data[Team],TBA_Matches_All[[#This Row],[Team]],Dyno_Data[Match],TBA_Matches_All[[#This Row],[Match_Number]],Dyno_Data[RecordType],"Activities", Dyno_Data[AcqLoc],"AllyWing")</f>
        <v>0</v>
      </c>
      <c r="BW300">
        <f>COUNTIFS(Dyno_Data[Team],TBA_Matches_All[[#This Row],[Team]],Dyno_Data[Match],TBA_Matches_All[[#This Row],[Match_Number]],Dyno_Data[RecordType],"Activities", Dyno_Data[AcqLoc],"Source")</f>
        <v>0</v>
      </c>
      <c r="BX300">
        <f>SUMIFS(Dyno_Data[AcqDrp], Dyno_Data[Team],TBA_Matches_All[[#This Row],[Team]],Dyno_Data[Match],TBA_Matches_All[[#This Row],[Match_Number]],Dyno_Data[RecordType],"Activities", Dyno_Data[AcqLoc],"Source")</f>
        <v>0</v>
      </c>
      <c r="BY300">
        <f>SUMIFS(Dyno_Data[OZTime], Dyno_Data[Team],TBA_Matches_All[[#This Row],[Team]],Dyno_Data[Match],TBA_Matches_All[[#This Row],[Match_Number]],Dyno_Data[RecordType],"EndMatch")</f>
        <v>46.001134899999997</v>
      </c>
      <c r="BZ300">
        <f>SUMIFS(Dyno_Data[NZTime], Dyno_Data[Team],TBA_Matches_All[[#This Row],[Team]],Dyno_Data[Match],TBA_Matches_All[[#This Row],[Match_Number]],Dyno_Data[RecordType],"EndMatch")</f>
        <v>24.7116407</v>
      </c>
      <c r="CA300">
        <f>SUMIFS(Dyno_Data[AZTime], Dyno_Data[Team],TBA_Matches_All[[#This Row],[Team]],Dyno_Data[Match],TBA_Matches_All[[#This Row],[Match_Number]],Dyno_Data[RecordType],"EndMatch")</f>
        <v>65.738538699999992</v>
      </c>
      <c r="CB300">
        <f>SUMIFS(Dyno_Data[ClimbT], Dyno_Data[Team],TBA_Matches_All[[#This Row],[Team]],Dyno_Data[Match],TBA_Matches_All[[#This Row],[Match_Number]],Dyno_Data[RecordType],"EndMatch")</f>
        <v>0</v>
      </c>
      <c r="CC300" t="str">
        <f>_xlfn.XLOOKUP(SUM(MID(TBA_Matches_All[[#This Row],[Team]],4,5),(TBA_Matches_All[[#This Row],[Match_Number]]/100)),Dyno_EndMatch[teammat],Dyno_EndMatch[StageStat],"_",0,1)</f>
        <v>Else</v>
      </c>
      <c r="CD300" t="str">
        <f>_xlfn.XLOOKUP(TBA_Matches_All[[#This Row],[teammat]],Dyno_EndMatch[teammat],Dyno_EndMatch[StageAtt],"_",0,1)</f>
        <v>0</v>
      </c>
      <c r="CE300" t="str">
        <f>_xlfn.XLOOKUP(TBA_Matches_All[[#This Row],[teammat]],Dyno_EndMatch[teammat],Dyno_EndMatch[StageLoc],"_",0,1)</f>
        <v>A</v>
      </c>
      <c r="CF300">
        <f>SUMIFS(Dyno_Data[Harmony], Dyno_Data[Team],TBA_Matches_All[[#This Row],[Team]],Dyno_Data[Match],TBA_Matches_All[[#This Row],[Match_Number]],Dyno_Data[RecordType],"EndMatch", Dyno_Data[StageStat],"On",Dyno_Data[Harmony],"&lt;&gt;9")</f>
        <v>0</v>
      </c>
      <c r="CG300">
        <f>SUMIFS(Dyno_Data[Spotlit], Dyno_Data[Team],TBA_Matches_All[[#This Row],[Team]],Dyno_Data[Match],TBA_Matches_All[[#This Row],[Match_Number]],Dyno_Data[RecordType],"EndMatch", Dyno_Data[StageStat],"On",Dyno_Data[Spotlit],"&lt;&gt;9")</f>
        <v>0</v>
      </c>
      <c r="CH300" t="str">
        <f>_xlfn.XLOOKUP(TBA_Matches_All[[#This Row],[teammat]],Dyno_EndMatch[teammat],Dyno_EndMatch[Strategy],"_",0,1)</f>
        <v>Hybrid</v>
      </c>
      <c r="CI300">
        <f>SUMIFS(Dyno_Data[Defense], Dyno_Data[Team],TBA_Matches_All[[#This Row],[Team]],Dyno_Data[Match],TBA_Matches_All[[#This Row],[Match_Number]],Dyno_Data[RecordType],"EndMatch",Dyno_Data[Defense],"&lt;&gt;9")</f>
        <v>0</v>
      </c>
      <c r="CJ300">
        <f>SUMIFS(Dyno_Data[Avoidance], Dyno_Data[Team],TBA_Matches_All[[#This Row],[Team]],Dyno_Data[Match],TBA_Matches_All[[#This Row],[Match_Number]],Dyno_Data[RecordType],"EndMatch",Dyno_Data[Avoidance],"&lt;&gt;9")</f>
        <v>0</v>
      </c>
      <c r="CK300" s="82">
        <f>COUNTIF($H$2:TBA_Matches_All[[#This Row],[Team]],TBA_Matches_All[[#This Row],[Team]])</f>
        <v>6</v>
      </c>
      <c r="CL300" s="111">
        <f>SUM(MID(TBA_Matches_All[[#This Row],[Team]],4,5)+TBA_Matches_All[[#This Row],[Match_Number]]/100)</f>
        <v>7709.5</v>
      </c>
      <c r="CM300">
        <f>SUM((TBA_Matches_All[[#This Row],[Leave]]*2)+(TBA_Matches_All[[#This Row],[AampT]]*2)+(TBA_Matches_All[[#This Row],[AspkrT]]*5)+(TBA_Matches_All[[#This Row],[AtrapT]]*5))</f>
        <v>17</v>
      </c>
      <c r="CN300" s="59">
        <f>IFERROR(SUM(TBA_Matches_All[[#This Row],[AptsT]]/TBA_Matches_All[[#This Row],[AutoPts]]),0)</f>
        <v>1.2142857142857142</v>
      </c>
      <c r="CO300" s="59">
        <f>IFERROR(SUM(TBA_Matches_All[[#This Row],[AampT]]+TBA_Matches_All[[#This Row],[AspkrT]]+TBA_Matches_All[[#This Row],[AtrapT]]/TBA_Matches_All[[#This Row],[Aamp]]+TBA_Matches_All[[#This Row],[Aspkr]]+TBA_Matches_All[[#This Row],[AtrapT]]),0)</f>
        <v>0</v>
      </c>
      <c r="CP300" s="59">
        <f>IFERROR(SUM(TBA_Matches_All[[#This Row],[TampT]]/TBA_Matches_All[[#This Row],[Tamp]]),0)</f>
        <v>1</v>
      </c>
      <c r="CQ300" s="59">
        <f>IFERROR(SUM(TBA_Matches_All[[#This Row],[TspkrT]]/TBA_Matches_All[[#This Row],[Tspkr]]),0)</f>
        <v>1</v>
      </c>
      <c r="CR300">
        <f>SUM(TBA_Matches_All[[#This Row],[TspkrPts]]*TBA_Matches_All[[#This Row],[TspkrP]])</f>
        <v>14</v>
      </c>
      <c r="CS300" s="59">
        <f>IFERROR(SUM(TBA_Matches_All[[#This Row],[TtrapT]]/TBA_Matches_All[[#This Row],[Trap]]),0)</f>
        <v>0</v>
      </c>
      <c r="CT300" s="59">
        <f>IFERROR(SUM(TBA_Matches_All[[#This Row],[TotNotesT]]/TBA_Matches_All[[#This Row],[TotNotes]]),0)</f>
        <v>1.1000000000000001</v>
      </c>
      <c r="CU300" s="66">
        <f>SUM((TBA_Matches_All[[#This Row],[AampT]]*2)+(TBA_Matches_All[[#This Row],[AspkrT]]*5)+(TBA_Matches_All[[#This Row],[AtrapT]]*5)+(TBA_Matches_All[[#This Row],[TampT]]*1)+(TBA_Matches_All[[#This Row],[TspkrptsC]]))</f>
        <v>30</v>
      </c>
      <c r="CV300" s="59">
        <f>IFERROR(TBA_Matches_All[[#This Row],[noteptsT]]/TBA_Matches_All[[#This Row],[NotePts]],0)</f>
        <v>1.2</v>
      </c>
      <c r="CW300">
        <f>SUM(IF(TBA_Matches_All[[#This Row],[stageStat]]="On",3,0),IF(TBA_Matches_All[[#This Row],[stageStat]]="Park",1,0),SUMIFS(TBA_Matches_All[[#This Row],[Spotlit]],TBA_Matches_All[[#This Row],[stageStat]],"On"),SUMIFS(TBA_Matches_All[[#This Row],[Harmony]],TBA_Matches_All[[#This Row],[stageStat]],"On"))</f>
        <v>0</v>
      </c>
      <c r="CX300" s="59">
        <f>IFERROR(TBA_Matches_All[[#This Row],[stageptsT]]/TBA_Matches_All[[#This Row],[StagePts]],0)</f>
        <v>0</v>
      </c>
      <c r="CY300">
        <f>SUM((TBA_Matches_All[[#This Row],[AptsT]]+TBA_Matches_All[[#This Row],[TampT]]+TBA_Matches_All[[#This Row],[TspkrptsC]]+(TBA_Matches_All[[#This Row],[TtrapT]]*5)+TBA_Matches_All[[#This Row],[stageptsT]]))</f>
        <v>32</v>
      </c>
      <c r="CZ300" s="59">
        <f>IFERROR(SUM(TBA_Matches_All[[#This Row],[TotptsC]]/TBA_Matches_All[[#This Row],[Score]]),0)</f>
        <v>0.96969696969696972</v>
      </c>
      <c r="DA30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13.65</v>
      </c>
      <c r="DB300" s="74">
        <f>SUMIFS(TBA_Matches_All[AveTeamTNoteDels],TBA_Matches_All[Match_Number],TBA_Matches_All[[#This Row],[Match_Number]],TBA_Matches_All[Alliance],"&lt;&gt;"&amp;TBA_Matches_All[[#This Row],[Alliance]],TBA_Matches_All[Scouted],"&gt;0")</f>
        <v>23.712499999999999</v>
      </c>
      <c r="DC300" s="74">
        <f>(TBA_Matches_All[[#This Row],[TampT]]+TBA_Matches_All[[#This Row],[TspkrptsC]])-TBA_Matches_All[[#This Row],[AveTeamTNoteDels]]</f>
        <v>1.3499999999999996</v>
      </c>
      <c r="DD300" s="74">
        <f>SUMIFS(TBA_Matches_All[AveTeamTNoteDels],TBA_Matches_All[Match_Number],TBA_Matches_All[[#This Row],[Match_Number]],TBA_Matches_All[Alliance],"&lt;&gt;"&amp;TBA_Matches_All[[#This Row],[Alliance]])-TBA_Matches_All[[#This Row],[AveOppTNoteDels]]</f>
        <v>0</v>
      </c>
    </row>
    <row r="301" spans="1:108" x14ac:dyDescent="0.3">
      <c r="A301" t="s">
        <v>1042</v>
      </c>
      <c r="B301" t="s">
        <v>489</v>
      </c>
      <c r="C301" t="s">
        <v>1359</v>
      </c>
      <c r="D301">
        <v>50</v>
      </c>
      <c r="E301" t="s">
        <v>1420</v>
      </c>
      <c r="F301" t="s">
        <v>1425</v>
      </c>
      <c r="G301" t="s">
        <v>105</v>
      </c>
      <c r="H301" t="s">
        <v>1312</v>
      </c>
      <c r="I301" t="b">
        <v>1</v>
      </c>
      <c r="J301">
        <v>86</v>
      </c>
      <c r="K301">
        <v>1</v>
      </c>
      <c r="L301">
        <v>0</v>
      </c>
      <c r="M301">
        <v>0</v>
      </c>
      <c r="N301">
        <v>0</v>
      </c>
      <c r="O301">
        <v>6</v>
      </c>
      <c r="P301">
        <v>30</v>
      </c>
      <c r="Q301">
        <v>34</v>
      </c>
      <c r="R301">
        <v>7</v>
      </c>
      <c r="S301">
        <v>4</v>
      </c>
      <c r="T301">
        <v>0</v>
      </c>
      <c r="U301">
        <v>20</v>
      </c>
      <c r="V301">
        <v>0</v>
      </c>
      <c r="W301">
        <v>4</v>
      </c>
      <c r="X301">
        <v>20</v>
      </c>
      <c r="Y301">
        <v>27</v>
      </c>
      <c r="Z301">
        <v>5</v>
      </c>
      <c r="AA301">
        <v>1</v>
      </c>
      <c r="AB301">
        <v>17</v>
      </c>
      <c r="AC301">
        <v>57</v>
      </c>
      <c r="AD301">
        <v>8</v>
      </c>
      <c r="AE301">
        <f>IFERROR(6/(COUNTIF(Dyno_EndMatch[Match],TBA_Matches_All[[#This Row],[Match_Number]])),0)</f>
        <v>1</v>
      </c>
      <c r="AF301">
        <f>COUNTIFS(Dyno_Data[Team],TBA_Matches_All[[#This Row],[Team]],Dyno_Data[Match],TBA_Matches_All[[#This Row],[Match_Number]],Dyno_Data[RecordType],"EndMatch",Dyno_Data[HPAmp],"Y")</f>
        <v>0</v>
      </c>
      <c r="AG301">
        <f>SUMIFS(Dyno_Data[Mics], Dyno_Data[Team],TBA_Matches_All[[#This Row],[Team]],Dyno_Data[Match],TBA_Matches_All[[#This Row],[Match_Number]],Dyno_Data[RecordType],"EndMatch",Dyno_Data[HPAmp],"Y")</f>
        <v>0</v>
      </c>
      <c r="AH301">
        <f>SUMIFS(Dyno_Data[Leave], Dyno_Data[Team],TBA_Matches_All[[#This Row],[Team]],Dyno_Data[Match],TBA_Matches_All[[#This Row],[Match_Number]],Dyno_Data[RecordType],"EndAuto")</f>
        <v>1</v>
      </c>
      <c r="AI301">
        <f>COUNTIFS(Dyno_Data[Team],TBA_Matches_All[[#This Row],[Team]],Dyno_Data[Match],TBA_Matches_All[[#This Row],[Match_Number]],Dyno_Data[RecordType],"Activities",Dyno_Data[DelDest],"Amp", Dyno_Data[DelMiss],"0", Dyno_Data[Mode],"Auto")</f>
        <v>0</v>
      </c>
      <c r="AJ301">
        <f>COUNTIFS(Dyno_Data[Team],TBA_Matches_All[[#This Row],[Team]],Dyno_Data[Match],TBA_Matches_All[[#This Row],[Match_Number]],Dyno_Data[RecordType],"Activities",Dyno_Data[DelDest],"Spkr", Dyno_Data[DelMiss],"0", Dyno_Data[Mode],"Auto")</f>
        <v>0</v>
      </c>
      <c r="AK301">
        <f>COUNTIFS(Dyno_Data[Team],TBA_Matches_All[[#This Row],[Team]],Dyno_Data[Match],TBA_Matches_All[[#This Row],[Match_Number]],Dyno_Data[RecordType],"Activities",Dyno_Data[DelDest],"Trap", Dyno_Data[DelMiss],"0", Dyno_Data[Mode],"Auto")</f>
        <v>0</v>
      </c>
      <c r="AL301">
        <f>COUNTIFS(Dyno_Data[Team],TBA_Matches_All[[#This Row],[Team]],Dyno_Data[Match],TBA_Matches_All[[#This Row],[Match_Number]],Dyno_Data[RecordType],"Activities",Dyno_Data[DelDest],"Amp", Dyno_Data[DelMiss],"0", Dyno_Data[Mode],"Teleop")</f>
        <v>5</v>
      </c>
      <c r="AM301">
        <f>COUNTIFS(Dyno_Data[Team],TBA_Matches_All[[#This Row],[Team]],Dyno_Data[Match],TBA_Matches_All[[#This Row],[Match_Number]],Dyno_Data[RecordType],"Activities",Dyno_Data[DelDest],"Spkr", Dyno_Data[DelMiss],"0", Dyno_Data[Mode],"Teleop")</f>
        <v>0</v>
      </c>
      <c r="AN301">
        <f>COUNTIFS(Dyno_Data[Team],TBA_Matches_All[[#This Row],[Team]],Dyno_Data[Match],TBA_Matches_All[[#This Row],[Match_Number]],Dyno_Data[RecordType],"Activities",Dyno_Data[DelDest],"Trap", Dyno_Data[DelMiss],"0", Dyno_Data[Mode],"&lt;&gt;Auto")</f>
        <v>0</v>
      </c>
      <c r="AO301">
        <f>SUM(TBA_Matches_All[[#This Row],[AampT]]+TBA_Matches_All[[#This Row],[AspkrT]]+TBA_Matches_All[[#This Row],[AtrapT]]+TBA_Matches_All[[#This Row],[TampT]]+TBA_Matches_All[[#This Row],[TspkrT]]+TBA_Matches_All[[#This Row],[TtrapT]])</f>
        <v>5</v>
      </c>
      <c r="AP301">
        <f>COUNTIFS(Dyno_Data[Team],TBA_Matches_All[[#This Row],[Team]],Dyno_Data[Match],TBA_Matches_All[[#This Row],[Match_Number]],Dyno_Data[RecordType],"Activities",Dyno_Data[DelDest],"Neut", Dyno_Data[DelMiss],"0")</f>
        <v>0</v>
      </c>
      <c r="AQ301">
        <f>COUNTIFS(Dyno_Data[Team],TBA_Matches_All[[#This Row],[Team]],Dyno_Data[Match],TBA_Matches_All[[#This Row],[Match_Number]],Dyno_Data[RecordType],"Activities",Dyno_Data[DelDest],"AllyW", Dyno_Data[DelMiss],"0")</f>
        <v>0</v>
      </c>
      <c r="AR301" t="str">
        <f>_xlfn.XLOOKUP(SUM(MID(TBA_Matches_All[[#This Row],[Team]],4,5),(TBA_Matches_All[[#This Row],[Match_Number]]/100)),Dyno_EndMatch[teammat],Dyno_EndMatch[RobotSta],"_",0,1)</f>
        <v>OppS</v>
      </c>
      <c r="AS301">
        <f>SUMIFS(Dyno_Data[AcqDis], Dyno_Data[Team],TBA_Matches_All[[#This Row],[Team]],Dyno_Data[Match],TBA_Matches_All[[#This Row],[Match_Number]],Dyno_Data[RecordType],"Activities", Dyno_Data[AcqCenter],1,Dyno_Data[Mode],"Auto")</f>
        <v>-1</v>
      </c>
      <c r="AT301">
        <f>SUMIFS(Dyno_Data[AcqDis], Dyno_Data[Team],TBA_Matches_All[[#This Row],[Team]],Dyno_Data[Match],TBA_Matches_All[[#This Row],[Match_Number]],Dyno_Data[RecordType],"Activities", Dyno_Data[AcqCenter],2,Dyno_Data[Mode],"Auto")</f>
        <v>0</v>
      </c>
      <c r="AU301">
        <f>SUMIFS(Dyno_Data[AcqDis], Dyno_Data[Team],TBA_Matches_All[[#This Row],[Team]],Dyno_Data[Match],TBA_Matches_All[[#This Row],[Match_Number]],Dyno_Data[RecordType],"Activities", Dyno_Data[AcqCenter],3,Dyno_Data[Mode],"Auto")</f>
        <v>0</v>
      </c>
      <c r="AV301">
        <f>SUMIFS(Dyno_Data[AcqDis], Dyno_Data[Team],TBA_Matches_All[[#This Row],[Team]],Dyno_Data[Match],TBA_Matches_All[[#This Row],[Match_Number]],Dyno_Data[RecordType],"Activities", Dyno_Data[AcqCenter],4,Dyno_Data[Mode],"Auto")</f>
        <v>0</v>
      </c>
      <c r="AW301">
        <f>SUMIFS(Dyno_Data[AcqDis], Dyno_Data[Team],TBA_Matches_All[[#This Row],[Team]],Dyno_Data[Match],TBA_Matches_All[[#This Row],[Match_Number]],Dyno_Data[RecordType],"Activities", Dyno_Data[AcqCenter],5,Dyno_Data[Mode],"Auto")</f>
        <v>0</v>
      </c>
      <c r="AX301">
        <f>SUMIFS(Dyno_Data[DelMiss], Dyno_Data[Team],TBA_Matches_All[[#This Row],[Team]],Dyno_Data[Match],TBA_Matches_All[[#This Row],[Match_Number]],Dyno_Data[RecordType],"Activities", Dyno_Data[DelDest],"Amp")</f>
        <v>0</v>
      </c>
      <c r="AY301" s="60">
        <f>IFERROR(SUM((TBA_Matches_All[[#This Row],[AampT]]+TBA_Matches_All[[#This Row],[TampT]])/(TBA_Matches_All[[#This Row],[AampT]]+TBA_Matches_All[[#This Row],[TampT]]+TBA_Matches_All[[#This Row],[ampM]])),0)</f>
        <v>1</v>
      </c>
      <c r="AZ301">
        <f>SUMIFS(Dyno_Data[DelMiss], Dyno_Data[Team],TBA_Matches_All[[#This Row],[Team]],Dyno_Data[Match],TBA_Matches_All[[#This Row],[Match_Number]],Dyno_Data[RecordType],"Activities", Dyno_Data[DelDest],"Spkr")</f>
        <v>3</v>
      </c>
      <c r="BA301" s="60">
        <f>IFERROR(SUM((TBA_Matches_All[[#This Row],[AspkrT]]+TBA_Matches_All[[#This Row],[TspkrT]])/(TBA_Matches_All[[#This Row],[AspkrT]]+TBA_Matches_All[[#This Row],[TspkrT]]+TBA_Matches_All[[#This Row],[spkrM]])),0)</f>
        <v>0</v>
      </c>
      <c r="BB301">
        <f>SUMIFS(Dyno_Data[DelMiss], Dyno_Data[Team],TBA_Matches_All[[#This Row],[Team]],Dyno_Data[Match],TBA_Matches_All[[#This Row],[Match_Number]],Dyno_Data[RecordType],"Activities", Dyno_Data[DelDest],"Trap")</f>
        <v>0</v>
      </c>
      <c r="BC301" s="60">
        <f>IFERROR((TBA_Matches_All[[#This Row],[AtrapT]]+TBA_Matches_All[[#This Row],[TtrapT]])/(TBA_Matches_All[[#This Row],[AtrapT]]+TBA_Matches_All[[#This Row],[TtrapT]]+TBA_Matches_All[[#This Row],[trapM]]),0)</f>
        <v>0</v>
      </c>
      <c r="BD301">
        <f>COUNTIFS(Dyno_Data[Team],TBA_Matches_All[[#This Row],[Team]],Dyno_Data[Match],TBA_Matches_All[[#This Row],[Match_Number]],Dyno_Data[RecordType],"Activities",Dyno_Data[DelDest],"Neut", Dyno_Data[DelMiss],1)</f>
        <v>0</v>
      </c>
      <c r="BE301" s="60">
        <f>IFERROR(SUM((TBA_Matches_All[[#This Row],[NeutFlrT]])/(TBA_Matches_All[[#This Row],[NeutFlrT]]+TBA_Matches_All[[#This Row],[NZflM]])),0)</f>
        <v>0</v>
      </c>
      <c r="BF301">
        <f>COUNTIFS(Dyno_Data[Team],TBA_Matches_All[[#This Row],[Team]],Dyno_Data[Match],TBA_Matches_All[[#This Row],[Match_Number]],Dyno_Data[RecordType],"Activities",Dyno_Data[DelDest],"AllyW", Dyno_Data[DelMiss],1)</f>
        <v>0</v>
      </c>
      <c r="BG301" s="60">
        <f>IFERROR(SUM((TBA_Matches_All[[#This Row],[AllyWFlrT]])/(TBA_Matches_All[[#This Row],[AllyWFlrT]]+TBA_Matches_All[[#This Row],[AZflM]])),0)</f>
        <v>0</v>
      </c>
      <c r="BH301">
        <f>COUNTIFS(Dyno_Data[Team],TBA_Matches_All[[#This Row],[Team]],Dyno_Data[Match],TBA_Matches_All[[#This Row],[Match_Number]],Dyno_Data[RecordType],"Activities",Dyno_Data[DelOrig],"OppW", Dyno_Data[DelMiss],"0")</f>
        <v>0</v>
      </c>
      <c r="BI301">
        <f>COUNTIFS(Dyno_Data[Team],TBA_Matches_All[[#This Row],[Team]],Dyno_Data[Match],TBA_Matches_All[[#This Row],[Match_Number]],Dyno_Data[RecordType],"Activities",Dyno_Data[DelOrig],"OppW", Dyno_Data[DelMiss],"1")</f>
        <v>0</v>
      </c>
      <c r="BJ301" s="60">
        <f>IFERROR(SUM((TBA_Matches_All[[#This Row],[OZflrT]])/(TBA_Matches_All[[#This Row],[OZflrT]]+TBA_Matches_All[[#This Row],[OZflrM]])),0)</f>
        <v>0</v>
      </c>
      <c r="BK301">
        <f>COUNTIFS(Dyno_Data[Team],TBA_Matches_All[[#This Row],[Team]],Dyno_Data[Match],TBA_Matches_All[[#This Row],[Match_Number]],Dyno_Data[RecordType],"Activities",Dyno_Data[DelOrig],"Neut", Dyno_Data[DelMiss],"0")</f>
        <v>0</v>
      </c>
      <c r="BL301">
        <f>COUNTIFS(Dyno_Data[Team],TBA_Matches_All[[#This Row],[Team]],Dyno_Data[Match],TBA_Matches_All[[#This Row],[Match_Number]],Dyno_Data[RecordType],"Activities",Dyno_Data[DelOrig],"Neut", Dyno_Data[DelMiss],"1")</f>
        <v>0</v>
      </c>
      <c r="BM301" s="60">
        <f>IFERROR(SUM((TBA_Matches_All[[#This Row],[NZflrT]])/(TBA_Matches_All[[#This Row],[NZflrT]]+TBA_Matches_All[[#This Row],[NZflrM]])),0)</f>
        <v>0</v>
      </c>
      <c r="BN301">
        <f>COUNTIFS(Dyno_Data[Team],TBA_Matches_All[[#This Row],[Team]],Dyno_Data[Match],TBA_Matches_All[[#This Row],[Match_Number]],Dyno_Data[RecordType],"Activities",Dyno_Data[DelOrig],"AllyW", Dyno_Data[DelMiss],"0")</f>
        <v>5</v>
      </c>
      <c r="BO301">
        <f>COUNTIFS(Dyno_Data[Team],TBA_Matches_All[[#This Row],[Team]],Dyno_Data[Match],TBA_Matches_All[[#This Row],[Match_Number]],Dyno_Data[RecordType],"Activities",Dyno_Data[DelOrig],"AllyW", Dyno_Data[DelMiss],"1")</f>
        <v>3</v>
      </c>
      <c r="BP301" s="60">
        <f>IFERROR(SUM((TBA_Matches_All[[#This Row],[AZflrT]])/(TBA_Matches_All[[#This Row],[AZflrT]]+TBA_Matches_All[[#This Row],[AZflrM]])),0)</f>
        <v>0.625</v>
      </c>
      <c r="BQ301">
        <f>COUNTIFS(Dyno_Data[Team],TBA_Matches_All[[#This Row],[Team]],Dyno_Data[Match],TBA_Matches_All[[#This Row],[Match_Number]],Dyno_Data[RecordType],"Activities",Dyno_Data[DelOrig],"SubW", Dyno_Data[DelMiss],"0")</f>
        <v>0</v>
      </c>
      <c r="BR301">
        <f>COUNTIFS(Dyno_Data[Team],TBA_Matches_All[[#This Row],[Team]],Dyno_Data[Match],TBA_Matches_All[[#This Row],[Match_Number]],Dyno_Data[RecordType],"Activities",Dyno_Data[DelOrig],"SubW", Dyno_Data[DelMiss],"1")</f>
        <v>0</v>
      </c>
      <c r="BS301" s="60">
        <f>IFERROR(SUM((TBA_Matches_All[[#This Row],[SubwT]])/(TBA_Matches_All[[#This Row],[SubwT]]+TBA_Matches_All[[#This Row],[SubwM]])),0)</f>
        <v>0</v>
      </c>
      <c r="BT301">
        <f>COUNTIFS(Dyno_Data[Team],TBA_Matches_All[[#This Row],[Team]],Dyno_Data[Match],TBA_Matches_All[[#This Row],[Match_Number]],Dyno_Data[RecordType],"Activities", Dyno_Data[AcqLoc],"OppWing")</f>
        <v>0</v>
      </c>
      <c r="BU301">
        <f>COUNTIFS(Dyno_Data[Team],TBA_Matches_All[[#This Row],[Team]],Dyno_Data[Match],TBA_Matches_All[[#This Row],[Match_Number]],Dyno_Data[RecordType],"Activities", Dyno_Data[AcqLoc],"Neutral")</f>
        <v>1</v>
      </c>
      <c r="BV301">
        <f>COUNTIFS(Dyno_Data[Team],TBA_Matches_All[[#This Row],[Team]],Dyno_Data[Match],TBA_Matches_All[[#This Row],[Match_Number]],Dyno_Data[RecordType],"Activities", Dyno_Data[AcqLoc],"AllyWing")</f>
        <v>0</v>
      </c>
      <c r="BW301">
        <f>COUNTIFS(Dyno_Data[Team],TBA_Matches_All[[#This Row],[Team]],Dyno_Data[Match],TBA_Matches_All[[#This Row],[Match_Number]],Dyno_Data[RecordType],"Activities", Dyno_Data[AcqLoc],"Source")</f>
        <v>0</v>
      </c>
      <c r="BX301">
        <f>SUMIFS(Dyno_Data[AcqDrp], Dyno_Data[Team],TBA_Matches_All[[#This Row],[Team]],Dyno_Data[Match],TBA_Matches_All[[#This Row],[Match_Number]],Dyno_Data[RecordType],"Activities", Dyno_Data[AcqLoc],"Source")</f>
        <v>0</v>
      </c>
      <c r="BY301">
        <f>SUMIFS(Dyno_Data[OZTime], Dyno_Data[Team],TBA_Matches_All[[#This Row],[Team]],Dyno_Data[Match],TBA_Matches_All[[#This Row],[Match_Number]],Dyno_Data[RecordType],"EndMatch")</f>
        <v>22.521358799999998</v>
      </c>
      <c r="BZ301">
        <f>SUMIFS(Dyno_Data[NZTime], Dyno_Data[Team],TBA_Matches_All[[#This Row],[Team]],Dyno_Data[Match],TBA_Matches_All[[#This Row],[Match_Number]],Dyno_Data[RecordType],"EndMatch")</f>
        <v>11.312211699999999</v>
      </c>
      <c r="CA301">
        <f>SUMIFS(Dyno_Data[AZTime], Dyno_Data[Team],TBA_Matches_All[[#This Row],[Team]],Dyno_Data[Match],TBA_Matches_All[[#This Row],[Match_Number]],Dyno_Data[RecordType],"EndMatch")</f>
        <v>80.621051600000001</v>
      </c>
      <c r="CB301">
        <f>SUMIFS(Dyno_Data[ClimbT], Dyno_Data[Team],TBA_Matches_All[[#This Row],[Team]],Dyno_Data[Match],TBA_Matches_All[[#This Row],[Match_Number]],Dyno_Data[RecordType],"EndMatch")</f>
        <v>19.178200699999998</v>
      </c>
      <c r="CC301" t="str">
        <f>_xlfn.XLOOKUP(SUM(MID(TBA_Matches_All[[#This Row],[Team]],4,5),(TBA_Matches_All[[#This Row],[Match_Number]]/100)),Dyno_EndMatch[teammat],Dyno_EndMatch[StageStat],"_",0,1)</f>
        <v>Park</v>
      </c>
      <c r="CD301" t="str">
        <f>_xlfn.XLOOKUP(TBA_Matches_All[[#This Row],[teammat]],Dyno_EndMatch[teammat],Dyno_EndMatch[StageAtt],"_",0,1)</f>
        <v>-1</v>
      </c>
      <c r="CE301" t="str">
        <f>_xlfn.XLOOKUP(TBA_Matches_All[[#This Row],[teammat]],Dyno_EndMatch[teammat],Dyno_EndMatch[StageLoc],"_",0,1)</f>
        <v>A</v>
      </c>
      <c r="CF301">
        <f>SUMIFS(Dyno_Data[Harmony], Dyno_Data[Team],TBA_Matches_All[[#This Row],[Team]],Dyno_Data[Match],TBA_Matches_All[[#This Row],[Match_Number]],Dyno_Data[RecordType],"EndMatch", Dyno_Data[StageStat],"On",Dyno_Data[Harmony],"&lt;&gt;9")</f>
        <v>0</v>
      </c>
      <c r="CG301">
        <f>SUMIFS(Dyno_Data[Spotlit], Dyno_Data[Team],TBA_Matches_All[[#This Row],[Team]],Dyno_Data[Match],TBA_Matches_All[[#This Row],[Match_Number]],Dyno_Data[RecordType],"EndMatch", Dyno_Data[StageStat],"On",Dyno_Data[Spotlit],"&lt;&gt;9")</f>
        <v>0</v>
      </c>
      <c r="CH301" t="str">
        <f>_xlfn.XLOOKUP(TBA_Matches_All[[#This Row],[teammat]],Dyno_EndMatch[teammat],Dyno_EndMatch[Strategy],"_",0,1)</f>
        <v>Hybrid</v>
      </c>
      <c r="CI301">
        <f>SUMIFS(Dyno_Data[Defense], Dyno_Data[Team],TBA_Matches_All[[#This Row],[Team]],Dyno_Data[Match],TBA_Matches_All[[#This Row],[Match_Number]],Dyno_Data[RecordType],"EndMatch",Dyno_Data[Defense],"&lt;&gt;9")</f>
        <v>0</v>
      </c>
      <c r="CJ301">
        <f>SUMIFS(Dyno_Data[Avoidance], Dyno_Data[Team],TBA_Matches_All[[#This Row],[Team]],Dyno_Data[Match],TBA_Matches_All[[#This Row],[Match_Number]],Dyno_Data[RecordType],"EndMatch",Dyno_Data[Avoidance],"&lt;&gt;9")</f>
        <v>3</v>
      </c>
      <c r="CK301" s="82">
        <f>COUNTIF($H$2:TBA_Matches_All[[#This Row],[Team]],TBA_Matches_All[[#This Row],[Team]])</f>
        <v>6</v>
      </c>
      <c r="CL301" s="111">
        <f>SUM(MID(TBA_Matches_All[[#This Row],[Team]],4,5)+TBA_Matches_All[[#This Row],[Match_Number]]/100)</f>
        <v>2053.5</v>
      </c>
      <c r="CM301">
        <f>SUM((TBA_Matches_All[[#This Row],[Leave]]*2)+(TBA_Matches_All[[#This Row],[AampT]]*2)+(TBA_Matches_All[[#This Row],[AspkrT]]*5)+(TBA_Matches_All[[#This Row],[AtrapT]]*5))</f>
        <v>2</v>
      </c>
      <c r="CN301" s="59">
        <f>IFERROR(SUM(TBA_Matches_All[[#This Row],[AptsT]]/TBA_Matches_All[[#This Row],[AutoPts]]),0)</f>
        <v>5.8823529411764705E-2</v>
      </c>
      <c r="CO301" s="59">
        <f>IFERROR(SUM(TBA_Matches_All[[#This Row],[AampT]]+TBA_Matches_All[[#This Row],[AspkrT]]+TBA_Matches_All[[#This Row],[AtrapT]]/TBA_Matches_All[[#This Row],[Aamp]]+TBA_Matches_All[[#This Row],[Aspkr]]+TBA_Matches_All[[#This Row],[AtrapT]]),0)</f>
        <v>0</v>
      </c>
      <c r="CP301" s="59">
        <f>IFERROR(SUM(TBA_Matches_All[[#This Row],[TampT]]/TBA_Matches_All[[#This Row],[Tamp]]),0)</f>
        <v>0.7142857142857143</v>
      </c>
      <c r="CQ301" s="59">
        <f>IFERROR(SUM(TBA_Matches_All[[#This Row],[TspkrT]]/TBA_Matches_All[[#This Row],[Tspkr]]),0)</f>
        <v>0</v>
      </c>
      <c r="CR301">
        <f>SUM(TBA_Matches_All[[#This Row],[TspkrPts]]*TBA_Matches_All[[#This Row],[TspkrP]])</f>
        <v>0</v>
      </c>
      <c r="CS301" s="59">
        <f>IFERROR(SUM(TBA_Matches_All[[#This Row],[TtrapT]]/TBA_Matches_All[[#This Row],[Trap]]),0)</f>
        <v>0</v>
      </c>
      <c r="CT301" s="59">
        <f>IFERROR(SUM(TBA_Matches_All[[#This Row],[TotNotesT]]/TBA_Matches_All[[#This Row],[TotNotes]]),0)</f>
        <v>0.29411764705882354</v>
      </c>
      <c r="CU301" s="66">
        <f>SUM((TBA_Matches_All[[#This Row],[AampT]]*2)+(TBA_Matches_All[[#This Row],[AspkrT]]*5)+(TBA_Matches_All[[#This Row],[AtrapT]]*5)+(TBA_Matches_All[[#This Row],[TampT]]*1)+(TBA_Matches_All[[#This Row],[TspkrptsC]]))</f>
        <v>5</v>
      </c>
      <c r="CV301" s="59">
        <f>IFERROR(TBA_Matches_All[[#This Row],[noteptsT]]/TBA_Matches_All[[#This Row],[NotePts]],0)</f>
        <v>8.771929824561403E-2</v>
      </c>
      <c r="CW301">
        <f>SUM(IF(TBA_Matches_All[[#This Row],[stageStat]]="On",3,0),IF(TBA_Matches_All[[#This Row],[stageStat]]="Park",1,0),SUMIFS(TBA_Matches_All[[#This Row],[Spotlit]],TBA_Matches_All[[#This Row],[stageStat]],"On"),SUMIFS(TBA_Matches_All[[#This Row],[Harmony]],TBA_Matches_All[[#This Row],[stageStat]],"On"))</f>
        <v>1</v>
      </c>
      <c r="CX301" s="59">
        <f>IFERROR(TBA_Matches_All[[#This Row],[stageptsT]]/TBA_Matches_All[[#This Row],[StagePts]],0)</f>
        <v>0.125</v>
      </c>
      <c r="CY301">
        <f>SUM((TBA_Matches_All[[#This Row],[AptsT]]+TBA_Matches_All[[#This Row],[TampT]]+TBA_Matches_All[[#This Row],[TspkrptsC]]+(TBA_Matches_All[[#This Row],[TtrapT]]*5)+TBA_Matches_All[[#This Row],[stageptsT]]))</f>
        <v>8</v>
      </c>
      <c r="CZ301" s="59">
        <f>IFERROR(SUM(TBA_Matches_All[[#This Row],[TotptsC]]/TBA_Matches_All[[#This Row],[Score]]),0)</f>
        <v>9.3023255813953487E-2</v>
      </c>
      <c r="DA30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10.9</v>
      </c>
      <c r="DB301" s="74">
        <f>SUMIFS(TBA_Matches_All[AveTeamTNoteDels],TBA_Matches_All[Match_Number],TBA_Matches_All[[#This Row],[Match_Number]],TBA_Matches_All[Alliance],"&lt;&gt;"&amp;TBA_Matches_All[[#This Row],[Alliance]],TBA_Matches_All[Scouted],"&gt;0")</f>
        <v>32.074285714285715</v>
      </c>
      <c r="DC301" s="74">
        <f>(TBA_Matches_All[[#This Row],[TampT]]+TBA_Matches_All[[#This Row],[TspkrptsC]])-TBA_Matches_All[[#This Row],[AveTeamTNoteDels]]</f>
        <v>-5.9</v>
      </c>
      <c r="DD301" s="74">
        <f>SUMIFS(TBA_Matches_All[AveTeamTNoteDels],TBA_Matches_All[Match_Number],TBA_Matches_All[[#This Row],[Match_Number]],TBA_Matches_All[Alliance],"&lt;&gt;"&amp;TBA_Matches_All[[#This Row],[Alliance]])-TBA_Matches_All[[#This Row],[AveOppTNoteDels]]</f>
        <v>0</v>
      </c>
    </row>
    <row r="302" spans="1:108" x14ac:dyDescent="0.3">
      <c r="A302" t="s">
        <v>1042</v>
      </c>
      <c r="B302" t="s">
        <v>489</v>
      </c>
      <c r="C302" t="s">
        <v>1359</v>
      </c>
      <c r="D302">
        <v>50</v>
      </c>
      <c r="E302" t="s">
        <v>1406</v>
      </c>
      <c r="F302" t="s">
        <v>1426</v>
      </c>
      <c r="G302" t="s">
        <v>164</v>
      </c>
      <c r="H302" t="s">
        <v>1280</v>
      </c>
      <c r="I302" t="b">
        <v>1</v>
      </c>
      <c r="J302">
        <v>33</v>
      </c>
      <c r="K302">
        <v>0</v>
      </c>
      <c r="L302">
        <v>0</v>
      </c>
      <c r="M302">
        <v>17</v>
      </c>
      <c r="N302">
        <v>0</v>
      </c>
      <c r="O302">
        <v>2</v>
      </c>
      <c r="P302">
        <v>10</v>
      </c>
      <c r="Q302">
        <v>14</v>
      </c>
      <c r="R302">
        <v>1</v>
      </c>
      <c r="S302">
        <v>0</v>
      </c>
      <c r="T302">
        <v>7</v>
      </c>
      <c r="U302">
        <v>0</v>
      </c>
      <c r="V302">
        <v>14</v>
      </c>
      <c r="W302">
        <v>7</v>
      </c>
      <c r="X302">
        <v>14</v>
      </c>
      <c r="Y302">
        <v>15</v>
      </c>
      <c r="Z302">
        <v>0</v>
      </c>
      <c r="AA302">
        <v>0</v>
      </c>
      <c r="AB302">
        <v>10</v>
      </c>
      <c r="AC302">
        <v>25</v>
      </c>
      <c r="AD302">
        <v>4</v>
      </c>
      <c r="AE302">
        <f>IFERROR(6/(COUNTIF(Dyno_EndMatch[Match],TBA_Matches_All[[#This Row],[Match_Number]])),0)</f>
        <v>1</v>
      </c>
      <c r="AF302">
        <f>COUNTIFS(Dyno_Data[Team],TBA_Matches_All[[#This Row],[Team]],Dyno_Data[Match],TBA_Matches_All[[#This Row],[Match_Number]],Dyno_Data[RecordType],"EndMatch",Dyno_Data[HPAmp],"Y")</f>
        <v>0</v>
      </c>
      <c r="AG302">
        <f>SUMIFS(Dyno_Data[Mics], Dyno_Data[Team],TBA_Matches_All[[#This Row],[Team]],Dyno_Data[Match],TBA_Matches_All[[#This Row],[Match_Number]],Dyno_Data[RecordType],"EndMatch",Dyno_Data[HPAmp],"Y")</f>
        <v>0</v>
      </c>
      <c r="AH302">
        <f>SUMIFS(Dyno_Data[Leave], Dyno_Data[Team],TBA_Matches_All[[#This Row],[Team]],Dyno_Data[Match],TBA_Matches_All[[#This Row],[Match_Number]],Dyno_Data[RecordType],"EndAuto")</f>
        <v>0</v>
      </c>
      <c r="AI302">
        <f>COUNTIFS(Dyno_Data[Team],TBA_Matches_All[[#This Row],[Team]],Dyno_Data[Match],TBA_Matches_All[[#This Row],[Match_Number]],Dyno_Data[RecordType],"Activities",Dyno_Data[DelDest],"Amp", Dyno_Data[DelMiss],"0", Dyno_Data[Mode],"Auto")</f>
        <v>0</v>
      </c>
      <c r="AJ302">
        <f>COUNTIFS(Dyno_Data[Team],TBA_Matches_All[[#This Row],[Team]],Dyno_Data[Match],TBA_Matches_All[[#This Row],[Match_Number]],Dyno_Data[RecordType],"Activities",Dyno_Data[DelDest],"Spkr", Dyno_Data[DelMiss],"0", Dyno_Data[Mode],"Auto")</f>
        <v>0</v>
      </c>
      <c r="AK302">
        <f>COUNTIFS(Dyno_Data[Team],TBA_Matches_All[[#This Row],[Team]],Dyno_Data[Match],TBA_Matches_All[[#This Row],[Match_Number]],Dyno_Data[RecordType],"Activities",Dyno_Data[DelDest],"Trap", Dyno_Data[DelMiss],"0", Dyno_Data[Mode],"Auto")</f>
        <v>0</v>
      </c>
      <c r="AL302">
        <f>COUNTIFS(Dyno_Data[Team],TBA_Matches_All[[#This Row],[Team]],Dyno_Data[Match],TBA_Matches_All[[#This Row],[Match_Number]],Dyno_Data[RecordType],"Activities",Dyno_Data[DelDest],"Amp", Dyno_Data[DelMiss],"0", Dyno_Data[Mode],"Teleop")</f>
        <v>0</v>
      </c>
      <c r="AM302">
        <f>COUNTIFS(Dyno_Data[Team],TBA_Matches_All[[#This Row],[Team]],Dyno_Data[Match],TBA_Matches_All[[#This Row],[Match_Number]],Dyno_Data[RecordType],"Activities",Dyno_Data[DelDest],"Spkr", Dyno_Data[DelMiss],"0", Dyno_Data[Mode],"Teleop")</f>
        <v>0</v>
      </c>
      <c r="AN302">
        <f>COUNTIFS(Dyno_Data[Team],TBA_Matches_All[[#This Row],[Team]],Dyno_Data[Match],TBA_Matches_All[[#This Row],[Match_Number]],Dyno_Data[RecordType],"Activities",Dyno_Data[DelDest],"Trap", Dyno_Data[DelMiss],"0", Dyno_Data[Mode],"&lt;&gt;Auto")</f>
        <v>0</v>
      </c>
      <c r="AO302">
        <f>SUM(TBA_Matches_All[[#This Row],[AampT]]+TBA_Matches_All[[#This Row],[AspkrT]]+TBA_Matches_All[[#This Row],[AtrapT]]+TBA_Matches_All[[#This Row],[TampT]]+TBA_Matches_All[[#This Row],[TspkrT]]+TBA_Matches_All[[#This Row],[TtrapT]])</f>
        <v>0</v>
      </c>
      <c r="AP302">
        <f>COUNTIFS(Dyno_Data[Team],TBA_Matches_All[[#This Row],[Team]],Dyno_Data[Match],TBA_Matches_All[[#This Row],[Match_Number]],Dyno_Data[RecordType],"Activities",Dyno_Data[DelDest],"Neut", Dyno_Data[DelMiss],"0")</f>
        <v>0</v>
      </c>
      <c r="AQ302">
        <f>COUNTIFS(Dyno_Data[Team],TBA_Matches_All[[#This Row],[Team]],Dyno_Data[Match],TBA_Matches_All[[#This Row],[Match_Number]],Dyno_Data[RecordType],"Activities",Dyno_Data[DelDest],"AllyW", Dyno_Data[DelMiss],"0")</f>
        <v>0</v>
      </c>
      <c r="AR302" t="str">
        <f>_xlfn.XLOOKUP(SUM(MID(TBA_Matches_All[[#This Row],[Team]],4,5),(TBA_Matches_All[[#This Row],[Match_Number]]/100)),Dyno_EndMatch[teammat],Dyno_EndMatch[RobotSta],"_",0,1)</f>
        <v>Amp</v>
      </c>
      <c r="AS302">
        <f>SUMIFS(Dyno_Data[AcqDis], Dyno_Data[Team],TBA_Matches_All[[#This Row],[Team]],Dyno_Data[Match],TBA_Matches_All[[#This Row],[Match_Number]],Dyno_Data[RecordType],"Activities", Dyno_Data[AcqCenter],1,Dyno_Data[Mode],"Auto")</f>
        <v>0</v>
      </c>
      <c r="AT302">
        <f>SUMIFS(Dyno_Data[AcqDis], Dyno_Data[Team],TBA_Matches_All[[#This Row],[Team]],Dyno_Data[Match],TBA_Matches_All[[#This Row],[Match_Number]],Dyno_Data[RecordType],"Activities", Dyno_Data[AcqCenter],2,Dyno_Data[Mode],"Auto")</f>
        <v>0</v>
      </c>
      <c r="AU302">
        <f>SUMIFS(Dyno_Data[AcqDis], Dyno_Data[Team],TBA_Matches_All[[#This Row],[Team]],Dyno_Data[Match],TBA_Matches_All[[#This Row],[Match_Number]],Dyno_Data[RecordType],"Activities", Dyno_Data[AcqCenter],3,Dyno_Data[Mode],"Auto")</f>
        <v>0</v>
      </c>
      <c r="AV302">
        <f>SUMIFS(Dyno_Data[AcqDis], Dyno_Data[Team],TBA_Matches_All[[#This Row],[Team]],Dyno_Data[Match],TBA_Matches_All[[#This Row],[Match_Number]],Dyno_Data[RecordType],"Activities", Dyno_Data[AcqCenter],4,Dyno_Data[Mode],"Auto")</f>
        <v>0</v>
      </c>
      <c r="AW302">
        <f>SUMIFS(Dyno_Data[AcqDis], Dyno_Data[Team],TBA_Matches_All[[#This Row],[Team]],Dyno_Data[Match],TBA_Matches_All[[#This Row],[Match_Number]],Dyno_Data[RecordType],"Activities", Dyno_Data[AcqCenter],5,Dyno_Data[Mode],"Auto")</f>
        <v>0</v>
      </c>
      <c r="AX302">
        <f>SUMIFS(Dyno_Data[DelMiss], Dyno_Data[Team],TBA_Matches_All[[#This Row],[Team]],Dyno_Data[Match],TBA_Matches_All[[#This Row],[Match_Number]],Dyno_Data[RecordType],"Activities", Dyno_Data[DelDest],"Amp")</f>
        <v>0</v>
      </c>
      <c r="AY302" s="60">
        <f>IFERROR(SUM((TBA_Matches_All[[#This Row],[AampT]]+TBA_Matches_All[[#This Row],[TampT]])/(TBA_Matches_All[[#This Row],[AampT]]+TBA_Matches_All[[#This Row],[TampT]]+TBA_Matches_All[[#This Row],[ampM]])),0)</f>
        <v>0</v>
      </c>
      <c r="AZ302">
        <f>SUMIFS(Dyno_Data[DelMiss], Dyno_Data[Team],TBA_Matches_All[[#This Row],[Team]],Dyno_Data[Match],TBA_Matches_All[[#This Row],[Match_Number]],Dyno_Data[RecordType],"Activities", Dyno_Data[DelDest],"Spkr")</f>
        <v>1</v>
      </c>
      <c r="BA302" s="60">
        <f>IFERROR(SUM((TBA_Matches_All[[#This Row],[AspkrT]]+TBA_Matches_All[[#This Row],[TspkrT]])/(TBA_Matches_All[[#This Row],[AspkrT]]+TBA_Matches_All[[#This Row],[TspkrT]]+TBA_Matches_All[[#This Row],[spkrM]])),0)</f>
        <v>0</v>
      </c>
      <c r="BB302">
        <f>SUMIFS(Dyno_Data[DelMiss], Dyno_Data[Team],TBA_Matches_All[[#This Row],[Team]],Dyno_Data[Match],TBA_Matches_All[[#This Row],[Match_Number]],Dyno_Data[RecordType],"Activities", Dyno_Data[DelDest],"Trap")</f>
        <v>0</v>
      </c>
      <c r="BC302" s="60">
        <f>IFERROR((TBA_Matches_All[[#This Row],[AtrapT]]+TBA_Matches_All[[#This Row],[TtrapT]])/(TBA_Matches_All[[#This Row],[AtrapT]]+TBA_Matches_All[[#This Row],[TtrapT]]+TBA_Matches_All[[#This Row],[trapM]]),0)</f>
        <v>0</v>
      </c>
      <c r="BD302">
        <f>COUNTIFS(Dyno_Data[Team],TBA_Matches_All[[#This Row],[Team]],Dyno_Data[Match],TBA_Matches_All[[#This Row],[Match_Number]],Dyno_Data[RecordType],"Activities",Dyno_Data[DelDest],"Neut", Dyno_Data[DelMiss],1)</f>
        <v>0</v>
      </c>
      <c r="BE302" s="60">
        <f>IFERROR(SUM((TBA_Matches_All[[#This Row],[NeutFlrT]])/(TBA_Matches_All[[#This Row],[NeutFlrT]]+TBA_Matches_All[[#This Row],[NZflM]])),0)</f>
        <v>0</v>
      </c>
      <c r="BF302">
        <f>COUNTIFS(Dyno_Data[Team],TBA_Matches_All[[#This Row],[Team]],Dyno_Data[Match],TBA_Matches_All[[#This Row],[Match_Number]],Dyno_Data[RecordType],"Activities",Dyno_Data[DelDest],"AllyW", Dyno_Data[DelMiss],1)</f>
        <v>0</v>
      </c>
      <c r="BG302" s="60">
        <f>IFERROR(SUM((TBA_Matches_All[[#This Row],[AllyWFlrT]])/(TBA_Matches_All[[#This Row],[AllyWFlrT]]+TBA_Matches_All[[#This Row],[AZflM]])),0)</f>
        <v>0</v>
      </c>
      <c r="BH302">
        <f>COUNTIFS(Dyno_Data[Team],TBA_Matches_All[[#This Row],[Team]],Dyno_Data[Match],TBA_Matches_All[[#This Row],[Match_Number]],Dyno_Data[RecordType],"Activities",Dyno_Data[DelOrig],"OppW", Dyno_Data[DelMiss],"0")</f>
        <v>0</v>
      </c>
      <c r="BI302">
        <f>COUNTIFS(Dyno_Data[Team],TBA_Matches_All[[#This Row],[Team]],Dyno_Data[Match],TBA_Matches_All[[#This Row],[Match_Number]],Dyno_Data[RecordType],"Activities",Dyno_Data[DelOrig],"OppW", Dyno_Data[DelMiss],"1")</f>
        <v>0</v>
      </c>
      <c r="BJ302" s="60">
        <f>IFERROR(SUM((TBA_Matches_All[[#This Row],[OZflrT]])/(TBA_Matches_All[[#This Row],[OZflrT]]+TBA_Matches_All[[#This Row],[OZflrM]])),0)</f>
        <v>0</v>
      </c>
      <c r="BK302">
        <f>COUNTIFS(Dyno_Data[Team],TBA_Matches_All[[#This Row],[Team]],Dyno_Data[Match],TBA_Matches_All[[#This Row],[Match_Number]],Dyno_Data[RecordType],"Activities",Dyno_Data[DelOrig],"Neut", Dyno_Data[DelMiss],"0")</f>
        <v>0</v>
      </c>
      <c r="BL302">
        <f>COUNTIFS(Dyno_Data[Team],TBA_Matches_All[[#This Row],[Team]],Dyno_Data[Match],TBA_Matches_All[[#This Row],[Match_Number]],Dyno_Data[RecordType],"Activities",Dyno_Data[DelOrig],"Neut", Dyno_Data[DelMiss],"1")</f>
        <v>0</v>
      </c>
      <c r="BM302" s="60">
        <f>IFERROR(SUM((TBA_Matches_All[[#This Row],[NZflrT]])/(TBA_Matches_All[[#This Row],[NZflrT]]+TBA_Matches_All[[#This Row],[NZflrM]])),0)</f>
        <v>0</v>
      </c>
      <c r="BN302">
        <f>COUNTIFS(Dyno_Data[Team],TBA_Matches_All[[#This Row],[Team]],Dyno_Data[Match],TBA_Matches_All[[#This Row],[Match_Number]],Dyno_Data[RecordType],"Activities",Dyno_Data[DelOrig],"AllyW", Dyno_Data[DelMiss],"0")</f>
        <v>0</v>
      </c>
      <c r="BO302">
        <f>COUNTIFS(Dyno_Data[Team],TBA_Matches_All[[#This Row],[Team]],Dyno_Data[Match],TBA_Matches_All[[#This Row],[Match_Number]],Dyno_Data[RecordType],"Activities",Dyno_Data[DelOrig],"AllyW", Dyno_Data[DelMiss],"1")</f>
        <v>1</v>
      </c>
      <c r="BP302" s="60">
        <f>IFERROR(SUM((TBA_Matches_All[[#This Row],[AZflrT]])/(TBA_Matches_All[[#This Row],[AZflrT]]+TBA_Matches_All[[#This Row],[AZflrM]])),0)</f>
        <v>0</v>
      </c>
      <c r="BQ302">
        <f>COUNTIFS(Dyno_Data[Team],TBA_Matches_All[[#This Row],[Team]],Dyno_Data[Match],TBA_Matches_All[[#This Row],[Match_Number]],Dyno_Data[RecordType],"Activities",Dyno_Data[DelOrig],"SubW", Dyno_Data[DelMiss],"0")</f>
        <v>0</v>
      </c>
      <c r="BR302">
        <f>COUNTIFS(Dyno_Data[Team],TBA_Matches_All[[#This Row],[Team]],Dyno_Data[Match],TBA_Matches_All[[#This Row],[Match_Number]],Dyno_Data[RecordType],"Activities",Dyno_Data[DelOrig],"SubW", Dyno_Data[DelMiss],"1")</f>
        <v>0</v>
      </c>
      <c r="BS302" s="60">
        <f>IFERROR(SUM((TBA_Matches_All[[#This Row],[SubwT]])/(TBA_Matches_All[[#This Row],[SubwT]]+TBA_Matches_All[[#This Row],[SubwM]])),0)</f>
        <v>0</v>
      </c>
      <c r="BT302">
        <f>COUNTIFS(Dyno_Data[Team],TBA_Matches_All[[#This Row],[Team]],Dyno_Data[Match],TBA_Matches_All[[#This Row],[Match_Number]],Dyno_Data[RecordType],"Activities", Dyno_Data[AcqLoc],"OppWing")</f>
        <v>0</v>
      </c>
      <c r="BU302">
        <f>COUNTIFS(Dyno_Data[Team],TBA_Matches_All[[#This Row],[Team]],Dyno_Data[Match],TBA_Matches_All[[#This Row],[Match_Number]],Dyno_Data[RecordType],"Activities", Dyno_Data[AcqLoc],"Neutral")</f>
        <v>0</v>
      </c>
      <c r="BV302">
        <f>COUNTIFS(Dyno_Data[Team],TBA_Matches_All[[#This Row],[Team]],Dyno_Data[Match],TBA_Matches_All[[#This Row],[Match_Number]],Dyno_Data[RecordType],"Activities", Dyno_Data[AcqLoc],"AllyWing")</f>
        <v>0</v>
      </c>
      <c r="BW302">
        <f>COUNTIFS(Dyno_Data[Team],TBA_Matches_All[[#This Row],[Team]],Dyno_Data[Match],TBA_Matches_All[[#This Row],[Match_Number]],Dyno_Data[RecordType],"Activities", Dyno_Data[AcqLoc],"Source")</f>
        <v>0</v>
      </c>
      <c r="BX302">
        <f>SUMIFS(Dyno_Data[AcqDrp], Dyno_Data[Team],TBA_Matches_All[[#This Row],[Team]],Dyno_Data[Match],TBA_Matches_All[[#This Row],[Match_Number]],Dyno_Data[RecordType],"Activities", Dyno_Data[AcqLoc],"Source")</f>
        <v>0</v>
      </c>
      <c r="BY302">
        <f>SUMIFS(Dyno_Data[OZTime], Dyno_Data[Team],TBA_Matches_All[[#This Row],[Team]],Dyno_Data[Match],TBA_Matches_All[[#This Row],[Match_Number]],Dyno_Data[RecordType],"EndMatch")</f>
        <v>9.7504007999999995</v>
      </c>
      <c r="BZ302">
        <f>SUMIFS(Dyno_Data[NZTime], Dyno_Data[Team],TBA_Matches_All[[#This Row],[Team]],Dyno_Data[Match],TBA_Matches_All[[#This Row],[Match_Number]],Dyno_Data[RecordType],"EndMatch")</f>
        <v>22.704057499999998</v>
      </c>
      <c r="CA302">
        <f>SUMIFS(Dyno_Data[AZTime], Dyno_Data[Team],TBA_Matches_All[[#This Row],[Team]],Dyno_Data[Match],TBA_Matches_All[[#This Row],[Match_Number]],Dyno_Data[RecordType],"EndMatch")</f>
        <v>93.060256099999989</v>
      </c>
      <c r="CB302">
        <f>SUMIFS(Dyno_Data[ClimbT], Dyno_Data[Team],TBA_Matches_All[[#This Row],[Team]],Dyno_Data[Match],TBA_Matches_All[[#This Row],[Match_Number]],Dyno_Data[RecordType],"EndMatch")</f>
        <v>6.1143332999999993</v>
      </c>
      <c r="CC302" t="str">
        <f>_xlfn.XLOOKUP(SUM(MID(TBA_Matches_All[[#This Row],[Team]],4,5),(TBA_Matches_All[[#This Row],[Match_Number]]/100)),Dyno_EndMatch[teammat],Dyno_EndMatch[StageStat],"_",0,1)</f>
        <v>On</v>
      </c>
      <c r="CD302" t="str">
        <f>_xlfn.XLOOKUP(TBA_Matches_All[[#This Row],[teammat]],Dyno_EndMatch[teammat],Dyno_EndMatch[StageAtt],"_",0,1)</f>
        <v>1</v>
      </c>
      <c r="CE302" t="str">
        <f>_xlfn.XLOOKUP(TBA_Matches_All[[#This Row],[teammat]],Dyno_EndMatch[teammat],Dyno_EndMatch[StageLoc],"_",0,1)</f>
        <v>L</v>
      </c>
      <c r="CF302">
        <f>SUMIFS(Dyno_Data[Harmony], Dyno_Data[Team],TBA_Matches_All[[#This Row],[Team]],Dyno_Data[Match],TBA_Matches_All[[#This Row],[Match_Number]],Dyno_Data[RecordType],"EndMatch", Dyno_Data[StageStat],"On",Dyno_Data[Harmony],"&lt;&gt;9")</f>
        <v>0</v>
      </c>
      <c r="CG302">
        <f>SUMIFS(Dyno_Data[Spotlit], Dyno_Data[Team],TBA_Matches_All[[#This Row],[Team]],Dyno_Data[Match],TBA_Matches_All[[#This Row],[Match_Number]],Dyno_Data[RecordType],"EndMatch", Dyno_Data[StageStat],"On",Dyno_Data[Spotlit],"&lt;&gt;9")</f>
        <v>0</v>
      </c>
      <c r="CH302" t="str">
        <f>_xlfn.XLOOKUP(TBA_Matches_All[[#This Row],[teammat]],Dyno_EndMatch[teammat],Dyno_EndMatch[Strategy],"_",0,1)</f>
        <v>None</v>
      </c>
      <c r="CI302">
        <f>SUMIFS(Dyno_Data[Defense], Dyno_Data[Team],TBA_Matches_All[[#This Row],[Team]],Dyno_Data[Match],TBA_Matches_All[[#This Row],[Match_Number]],Dyno_Data[RecordType],"EndMatch",Dyno_Data[Defense],"&lt;&gt;9")</f>
        <v>2</v>
      </c>
      <c r="CJ302">
        <f>SUMIFS(Dyno_Data[Avoidance], Dyno_Data[Team],TBA_Matches_All[[#This Row],[Team]],Dyno_Data[Match],TBA_Matches_All[[#This Row],[Match_Number]],Dyno_Data[RecordType],"EndMatch",Dyno_Data[Avoidance],"&lt;&gt;9")</f>
        <v>1</v>
      </c>
      <c r="CK302" s="82">
        <f>COUNTIF($H$2:TBA_Matches_All[[#This Row],[Team]],TBA_Matches_All[[#This Row],[Team]])</f>
        <v>6</v>
      </c>
      <c r="CL302" s="111">
        <f>SUM(MID(TBA_Matches_All[[#This Row],[Team]],4,5)+TBA_Matches_All[[#This Row],[Match_Number]]/100)</f>
        <v>1559.5</v>
      </c>
      <c r="CM302">
        <f>SUM((TBA_Matches_All[[#This Row],[Leave]]*2)+(TBA_Matches_All[[#This Row],[AampT]]*2)+(TBA_Matches_All[[#This Row],[AspkrT]]*5)+(TBA_Matches_All[[#This Row],[AtrapT]]*5))</f>
        <v>0</v>
      </c>
      <c r="CN302" s="59">
        <f>IFERROR(SUM(TBA_Matches_All[[#This Row],[AptsT]]/TBA_Matches_All[[#This Row],[AutoPts]]),0)</f>
        <v>0</v>
      </c>
      <c r="CO302" s="59">
        <f>IFERROR(SUM(TBA_Matches_All[[#This Row],[AampT]]+TBA_Matches_All[[#This Row],[AspkrT]]+TBA_Matches_All[[#This Row],[AtrapT]]/TBA_Matches_All[[#This Row],[Aamp]]+TBA_Matches_All[[#This Row],[Aspkr]]+TBA_Matches_All[[#This Row],[AtrapT]]),0)</f>
        <v>0</v>
      </c>
      <c r="CP302" s="59">
        <f>IFERROR(SUM(TBA_Matches_All[[#This Row],[TampT]]/TBA_Matches_All[[#This Row],[Tamp]]),0)</f>
        <v>0</v>
      </c>
      <c r="CQ302" s="59">
        <f>IFERROR(SUM(TBA_Matches_All[[#This Row],[TspkrT]]/TBA_Matches_All[[#This Row],[Tspkr]]),0)</f>
        <v>0</v>
      </c>
      <c r="CR302">
        <f>SUM(TBA_Matches_All[[#This Row],[TspkrPts]]*TBA_Matches_All[[#This Row],[TspkrP]])</f>
        <v>0</v>
      </c>
      <c r="CS302" s="59">
        <f>IFERROR(SUM(TBA_Matches_All[[#This Row],[TtrapT]]/TBA_Matches_All[[#This Row],[Trap]]),0)</f>
        <v>0</v>
      </c>
      <c r="CT302" s="59">
        <f>IFERROR(SUM(TBA_Matches_All[[#This Row],[TotNotesT]]/TBA_Matches_All[[#This Row],[TotNotes]]),0)</f>
        <v>0</v>
      </c>
      <c r="CU302" s="66">
        <f>SUM((TBA_Matches_All[[#This Row],[AampT]]*2)+(TBA_Matches_All[[#This Row],[AspkrT]]*5)+(TBA_Matches_All[[#This Row],[AtrapT]]*5)+(TBA_Matches_All[[#This Row],[TampT]]*1)+(TBA_Matches_All[[#This Row],[TspkrptsC]]))</f>
        <v>0</v>
      </c>
      <c r="CV302" s="59">
        <f>IFERROR(TBA_Matches_All[[#This Row],[noteptsT]]/TBA_Matches_All[[#This Row],[NotePts]],0)</f>
        <v>0</v>
      </c>
      <c r="CW302">
        <f>SUM(IF(TBA_Matches_All[[#This Row],[stageStat]]="On",3,0),IF(TBA_Matches_All[[#This Row],[stageStat]]="Park",1,0),SUMIFS(TBA_Matches_All[[#This Row],[Spotlit]],TBA_Matches_All[[#This Row],[stageStat]],"On"),SUMIFS(TBA_Matches_All[[#This Row],[Harmony]],TBA_Matches_All[[#This Row],[stageStat]],"On"))</f>
        <v>3</v>
      </c>
      <c r="CX302" s="59">
        <f>IFERROR(TBA_Matches_All[[#This Row],[stageptsT]]/TBA_Matches_All[[#This Row],[StagePts]],0)</f>
        <v>0.75</v>
      </c>
      <c r="CY302">
        <f>SUM((TBA_Matches_All[[#This Row],[AptsT]]+TBA_Matches_All[[#This Row],[TampT]]+TBA_Matches_All[[#This Row],[TspkrptsC]]+(TBA_Matches_All[[#This Row],[TtrapT]]*5)+TBA_Matches_All[[#This Row],[stageptsT]]))</f>
        <v>3</v>
      </c>
      <c r="CZ302" s="59">
        <f>IFERROR(SUM(TBA_Matches_All[[#This Row],[TotptsC]]/TBA_Matches_All[[#This Row],[Score]]),0)</f>
        <v>9.0909090909090912E-2</v>
      </c>
      <c r="DA30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11.11</v>
      </c>
      <c r="DB302" s="74">
        <f>SUMIFS(TBA_Matches_All[AveTeamTNoteDels],TBA_Matches_All[Match_Number],TBA_Matches_All[[#This Row],[Match_Number]],TBA_Matches_All[Alliance],"&lt;&gt;"&amp;TBA_Matches_All[[#This Row],[Alliance]],TBA_Matches_All[Scouted],"&gt;0")</f>
        <v>23.712499999999999</v>
      </c>
      <c r="DC302" s="74">
        <f>(TBA_Matches_All[[#This Row],[TampT]]+TBA_Matches_All[[#This Row],[TspkrptsC]])-TBA_Matches_All[[#This Row],[AveTeamTNoteDels]]</f>
        <v>-11.11</v>
      </c>
      <c r="DD302" s="74">
        <f>SUMIFS(TBA_Matches_All[AveTeamTNoteDels],TBA_Matches_All[Match_Number],TBA_Matches_All[[#This Row],[Match_Number]],TBA_Matches_All[Alliance],"&lt;&gt;"&amp;TBA_Matches_All[[#This Row],[Alliance]])-TBA_Matches_All[[#This Row],[AveOppTNoteDels]]</f>
        <v>0</v>
      </c>
    </row>
    <row r="303" spans="1:108" x14ac:dyDescent="0.3">
      <c r="A303" t="s">
        <v>1042</v>
      </c>
      <c r="B303" t="s">
        <v>489</v>
      </c>
      <c r="C303" t="s">
        <v>1360</v>
      </c>
      <c r="D303">
        <v>51</v>
      </c>
      <c r="E303" t="s">
        <v>1420</v>
      </c>
      <c r="F303" t="s">
        <v>1425</v>
      </c>
      <c r="G303" t="s">
        <v>105</v>
      </c>
      <c r="H303" t="s">
        <v>364</v>
      </c>
      <c r="I303" t="b">
        <v>1</v>
      </c>
      <c r="J303">
        <v>53</v>
      </c>
      <c r="K303">
        <v>1</v>
      </c>
      <c r="L303">
        <v>0</v>
      </c>
      <c r="M303">
        <v>10</v>
      </c>
      <c r="N303">
        <v>0</v>
      </c>
      <c r="O303">
        <v>2</v>
      </c>
      <c r="P303">
        <v>10</v>
      </c>
      <c r="Q303">
        <v>14</v>
      </c>
      <c r="R303">
        <v>1</v>
      </c>
      <c r="S303">
        <v>0</v>
      </c>
      <c r="T303">
        <v>12</v>
      </c>
      <c r="U303">
        <v>0</v>
      </c>
      <c r="V303">
        <v>24</v>
      </c>
      <c r="W303">
        <v>12</v>
      </c>
      <c r="X303">
        <v>24</v>
      </c>
      <c r="Y303">
        <v>25</v>
      </c>
      <c r="Z303">
        <v>0</v>
      </c>
      <c r="AA303">
        <v>0</v>
      </c>
      <c r="AB303">
        <v>15</v>
      </c>
      <c r="AC303">
        <v>35</v>
      </c>
      <c r="AD303">
        <v>9</v>
      </c>
      <c r="AE303">
        <f>IFERROR(6/(COUNTIF(Dyno_EndMatch[Match],TBA_Matches_All[[#This Row],[Match_Number]])),0)</f>
        <v>1</v>
      </c>
      <c r="AF303">
        <f>COUNTIFS(Dyno_Data[Team],TBA_Matches_All[[#This Row],[Team]],Dyno_Data[Match],TBA_Matches_All[[#This Row],[Match_Number]],Dyno_Data[RecordType],"EndMatch",Dyno_Data[HPAmp],"Y")</f>
        <v>0</v>
      </c>
      <c r="AG303">
        <f>SUMIFS(Dyno_Data[Mics], Dyno_Data[Team],TBA_Matches_All[[#This Row],[Team]],Dyno_Data[Match],TBA_Matches_All[[#This Row],[Match_Number]],Dyno_Data[RecordType],"EndMatch",Dyno_Data[HPAmp],"Y")</f>
        <v>0</v>
      </c>
      <c r="AH303">
        <f>SUMIFS(Dyno_Data[Leave], Dyno_Data[Team],TBA_Matches_All[[#This Row],[Team]],Dyno_Data[Match],TBA_Matches_All[[#This Row],[Match_Number]],Dyno_Data[RecordType],"EndAuto")</f>
        <v>1</v>
      </c>
      <c r="AI303">
        <f>COUNTIFS(Dyno_Data[Team],TBA_Matches_All[[#This Row],[Team]],Dyno_Data[Match],TBA_Matches_All[[#This Row],[Match_Number]],Dyno_Data[RecordType],"Activities",Dyno_Data[DelDest],"Amp", Dyno_Data[DelMiss],"0", Dyno_Data[Mode],"Auto")</f>
        <v>0</v>
      </c>
      <c r="AJ303">
        <f>COUNTIFS(Dyno_Data[Team],TBA_Matches_All[[#This Row],[Team]],Dyno_Data[Match],TBA_Matches_All[[#This Row],[Match_Number]],Dyno_Data[RecordType],"Activities",Dyno_Data[DelDest],"Spkr", Dyno_Data[DelMiss],"0", Dyno_Data[Mode],"Auto")</f>
        <v>0</v>
      </c>
      <c r="AK303">
        <f>COUNTIFS(Dyno_Data[Team],TBA_Matches_All[[#This Row],[Team]],Dyno_Data[Match],TBA_Matches_All[[#This Row],[Match_Number]],Dyno_Data[RecordType],"Activities",Dyno_Data[DelDest],"Trap", Dyno_Data[DelMiss],"0", Dyno_Data[Mode],"Auto")</f>
        <v>0</v>
      </c>
      <c r="AL303">
        <f>COUNTIFS(Dyno_Data[Team],TBA_Matches_All[[#This Row],[Team]],Dyno_Data[Match],TBA_Matches_All[[#This Row],[Match_Number]],Dyno_Data[RecordType],"Activities",Dyno_Data[DelDest],"Amp", Dyno_Data[DelMiss],"0", Dyno_Data[Mode],"Teleop")</f>
        <v>1</v>
      </c>
      <c r="AM303">
        <f>COUNTIFS(Dyno_Data[Team],TBA_Matches_All[[#This Row],[Team]],Dyno_Data[Match],TBA_Matches_All[[#This Row],[Match_Number]],Dyno_Data[RecordType],"Activities",Dyno_Data[DelDest],"Spkr", Dyno_Data[DelMiss],"0", Dyno_Data[Mode],"Teleop")</f>
        <v>6</v>
      </c>
      <c r="AN303">
        <f>COUNTIFS(Dyno_Data[Team],TBA_Matches_All[[#This Row],[Team]],Dyno_Data[Match],TBA_Matches_All[[#This Row],[Match_Number]],Dyno_Data[RecordType],"Activities",Dyno_Data[DelDest],"Trap", Dyno_Data[DelMiss],"0", Dyno_Data[Mode],"&lt;&gt;Auto")</f>
        <v>0</v>
      </c>
      <c r="AO303">
        <f>SUM(TBA_Matches_All[[#This Row],[AampT]]+TBA_Matches_All[[#This Row],[AspkrT]]+TBA_Matches_All[[#This Row],[AtrapT]]+TBA_Matches_All[[#This Row],[TampT]]+TBA_Matches_All[[#This Row],[TspkrT]]+TBA_Matches_All[[#This Row],[TtrapT]])</f>
        <v>7</v>
      </c>
      <c r="AP303">
        <f>COUNTIFS(Dyno_Data[Team],TBA_Matches_All[[#This Row],[Team]],Dyno_Data[Match],TBA_Matches_All[[#This Row],[Match_Number]],Dyno_Data[RecordType],"Activities",Dyno_Data[DelDest],"Neut", Dyno_Data[DelMiss],"0")</f>
        <v>0</v>
      </c>
      <c r="AQ303">
        <f>COUNTIFS(Dyno_Data[Team],TBA_Matches_All[[#This Row],[Team]],Dyno_Data[Match],TBA_Matches_All[[#This Row],[Match_Number]],Dyno_Data[RecordType],"Activities",Dyno_Data[DelDest],"AllyW", Dyno_Data[DelMiss],"0")</f>
        <v>0</v>
      </c>
      <c r="AR303" t="str">
        <f>_xlfn.XLOOKUP(SUM(MID(TBA_Matches_All[[#This Row],[Team]],4,5),(TBA_Matches_All[[#This Row],[Match_Number]]/100)),Dyno_EndMatch[teammat],Dyno_EndMatch[RobotSta],"_",0,1)</f>
        <v>Podm</v>
      </c>
      <c r="AS303">
        <f>SUMIFS(Dyno_Data[AcqDis], Dyno_Data[Team],TBA_Matches_All[[#This Row],[Team]],Dyno_Data[Match],TBA_Matches_All[[#This Row],[Match_Number]],Dyno_Data[RecordType],"Activities", Dyno_Data[AcqCenter],1,Dyno_Data[Mode],"Auto")</f>
        <v>0</v>
      </c>
      <c r="AT303">
        <f>SUMIFS(Dyno_Data[AcqDis], Dyno_Data[Team],TBA_Matches_All[[#This Row],[Team]],Dyno_Data[Match],TBA_Matches_All[[#This Row],[Match_Number]],Dyno_Data[RecordType],"Activities", Dyno_Data[AcqCenter],2,Dyno_Data[Mode],"Auto")</f>
        <v>-1</v>
      </c>
      <c r="AU303">
        <f>SUMIFS(Dyno_Data[AcqDis], Dyno_Data[Team],TBA_Matches_All[[#This Row],[Team]],Dyno_Data[Match],TBA_Matches_All[[#This Row],[Match_Number]],Dyno_Data[RecordType],"Activities", Dyno_Data[AcqCenter],3,Dyno_Data[Mode],"Auto")</f>
        <v>0</v>
      </c>
      <c r="AV303">
        <f>SUMIFS(Dyno_Data[AcqDis], Dyno_Data[Team],TBA_Matches_All[[#This Row],[Team]],Dyno_Data[Match],TBA_Matches_All[[#This Row],[Match_Number]],Dyno_Data[RecordType],"Activities", Dyno_Data[AcqCenter],4,Dyno_Data[Mode],"Auto")</f>
        <v>0</v>
      </c>
      <c r="AW303">
        <f>SUMIFS(Dyno_Data[AcqDis], Dyno_Data[Team],TBA_Matches_All[[#This Row],[Team]],Dyno_Data[Match],TBA_Matches_All[[#This Row],[Match_Number]],Dyno_Data[RecordType],"Activities", Dyno_Data[AcqCenter],5,Dyno_Data[Mode],"Auto")</f>
        <v>0</v>
      </c>
      <c r="AX303">
        <f>SUMIFS(Dyno_Data[DelMiss], Dyno_Data[Team],TBA_Matches_All[[#This Row],[Team]],Dyno_Data[Match],TBA_Matches_All[[#This Row],[Match_Number]],Dyno_Data[RecordType],"Activities", Dyno_Data[DelDest],"Amp")</f>
        <v>1</v>
      </c>
      <c r="AY303" s="60">
        <f>IFERROR(SUM((TBA_Matches_All[[#This Row],[AampT]]+TBA_Matches_All[[#This Row],[TampT]])/(TBA_Matches_All[[#This Row],[AampT]]+TBA_Matches_All[[#This Row],[TampT]]+TBA_Matches_All[[#This Row],[ampM]])),0)</f>
        <v>0.5</v>
      </c>
      <c r="AZ303">
        <f>SUMIFS(Dyno_Data[DelMiss], Dyno_Data[Team],TBA_Matches_All[[#This Row],[Team]],Dyno_Data[Match],TBA_Matches_All[[#This Row],[Match_Number]],Dyno_Data[RecordType],"Activities", Dyno_Data[DelDest],"Spkr")</f>
        <v>3</v>
      </c>
      <c r="BA303" s="60">
        <f>IFERROR(SUM((TBA_Matches_All[[#This Row],[AspkrT]]+TBA_Matches_All[[#This Row],[TspkrT]])/(TBA_Matches_All[[#This Row],[AspkrT]]+TBA_Matches_All[[#This Row],[TspkrT]]+TBA_Matches_All[[#This Row],[spkrM]])),0)</f>
        <v>0.66666666666666663</v>
      </c>
      <c r="BB303">
        <f>SUMIFS(Dyno_Data[DelMiss], Dyno_Data[Team],TBA_Matches_All[[#This Row],[Team]],Dyno_Data[Match],TBA_Matches_All[[#This Row],[Match_Number]],Dyno_Data[RecordType],"Activities", Dyno_Data[DelDest],"Trap")</f>
        <v>0</v>
      </c>
      <c r="BC303" s="60">
        <f>IFERROR((TBA_Matches_All[[#This Row],[AtrapT]]+TBA_Matches_All[[#This Row],[TtrapT]])/(TBA_Matches_All[[#This Row],[AtrapT]]+TBA_Matches_All[[#This Row],[TtrapT]]+TBA_Matches_All[[#This Row],[trapM]]),0)</f>
        <v>0</v>
      </c>
      <c r="BD303">
        <f>COUNTIFS(Dyno_Data[Team],TBA_Matches_All[[#This Row],[Team]],Dyno_Data[Match],TBA_Matches_All[[#This Row],[Match_Number]],Dyno_Data[RecordType],"Activities",Dyno_Data[DelDest],"Neut", Dyno_Data[DelMiss],1)</f>
        <v>0</v>
      </c>
      <c r="BE303" s="60">
        <f>IFERROR(SUM((TBA_Matches_All[[#This Row],[NeutFlrT]])/(TBA_Matches_All[[#This Row],[NeutFlrT]]+TBA_Matches_All[[#This Row],[NZflM]])),0)</f>
        <v>0</v>
      </c>
      <c r="BF303">
        <f>COUNTIFS(Dyno_Data[Team],TBA_Matches_All[[#This Row],[Team]],Dyno_Data[Match],TBA_Matches_All[[#This Row],[Match_Number]],Dyno_Data[RecordType],"Activities",Dyno_Data[DelDest],"AllyW", Dyno_Data[DelMiss],1)</f>
        <v>0</v>
      </c>
      <c r="BG303" s="60">
        <f>IFERROR(SUM((TBA_Matches_All[[#This Row],[AllyWFlrT]])/(TBA_Matches_All[[#This Row],[AllyWFlrT]]+TBA_Matches_All[[#This Row],[AZflM]])),0)</f>
        <v>0</v>
      </c>
      <c r="BH303">
        <f>COUNTIFS(Dyno_Data[Team],TBA_Matches_All[[#This Row],[Team]],Dyno_Data[Match],TBA_Matches_All[[#This Row],[Match_Number]],Dyno_Data[RecordType],"Activities",Dyno_Data[DelOrig],"OppW", Dyno_Data[DelMiss],"0")</f>
        <v>0</v>
      </c>
      <c r="BI303">
        <f>COUNTIFS(Dyno_Data[Team],TBA_Matches_All[[#This Row],[Team]],Dyno_Data[Match],TBA_Matches_All[[#This Row],[Match_Number]],Dyno_Data[RecordType],"Activities",Dyno_Data[DelOrig],"OppW", Dyno_Data[DelMiss],"1")</f>
        <v>0</v>
      </c>
      <c r="BJ303" s="60">
        <f>IFERROR(SUM((TBA_Matches_All[[#This Row],[OZflrT]])/(TBA_Matches_All[[#This Row],[OZflrT]]+TBA_Matches_All[[#This Row],[OZflrM]])),0)</f>
        <v>0</v>
      </c>
      <c r="BK303">
        <f>COUNTIFS(Dyno_Data[Team],TBA_Matches_All[[#This Row],[Team]],Dyno_Data[Match],TBA_Matches_All[[#This Row],[Match_Number]],Dyno_Data[RecordType],"Activities",Dyno_Data[DelOrig],"Neut", Dyno_Data[DelMiss],"0")</f>
        <v>0</v>
      </c>
      <c r="BL303">
        <f>COUNTIFS(Dyno_Data[Team],TBA_Matches_All[[#This Row],[Team]],Dyno_Data[Match],TBA_Matches_All[[#This Row],[Match_Number]],Dyno_Data[RecordType],"Activities",Dyno_Data[DelOrig],"Neut", Dyno_Data[DelMiss],"1")</f>
        <v>0</v>
      </c>
      <c r="BM303" s="60">
        <f>IFERROR(SUM((TBA_Matches_All[[#This Row],[NZflrT]])/(TBA_Matches_All[[#This Row],[NZflrT]]+TBA_Matches_All[[#This Row],[NZflrM]])),0)</f>
        <v>0</v>
      </c>
      <c r="BN303">
        <f>COUNTIFS(Dyno_Data[Team],TBA_Matches_All[[#This Row],[Team]],Dyno_Data[Match],TBA_Matches_All[[#This Row],[Match_Number]],Dyno_Data[RecordType],"Activities",Dyno_Data[DelOrig],"AllyW", Dyno_Data[DelMiss],"0")</f>
        <v>1</v>
      </c>
      <c r="BO303">
        <f>COUNTIFS(Dyno_Data[Team],TBA_Matches_All[[#This Row],[Team]],Dyno_Data[Match],TBA_Matches_All[[#This Row],[Match_Number]],Dyno_Data[RecordType],"Activities",Dyno_Data[DelOrig],"AllyW", Dyno_Data[DelMiss],"1")</f>
        <v>2</v>
      </c>
      <c r="BP303" s="60">
        <f>IFERROR(SUM((TBA_Matches_All[[#This Row],[AZflrT]])/(TBA_Matches_All[[#This Row],[AZflrT]]+TBA_Matches_All[[#This Row],[AZflrM]])),0)</f>
        <v>0.33333333333333331</v>
      </c>
      <c r="BQ303">
        <f>COUNTIFS(Dyno_Data[Team],TBA_Matches_All[[#This Row],[Team]],Dyno_Data[Match],TBA_Matches_All[[#This Row],[Match_Number]],Dyno_Data[RecordType],"Activities",Dyno_Data[DelOrig],"SubW", Dyno_Data[DelMiss],"0")</f>
        <v>6</v>
      </c>
      <c r="BR303">
        <f>COUNTIFS(Dyno_Data[Team],TBA_Matches_All[[#This Row],[Team]],Dyno_Data[Match],TBA_Matches_All[[#This Row],[Match_Number]],Dyno_Data[RecordType],"Activities",Dyno_Data[DelOrig],"SubW", Dyno_Data[DelMiss],"1")</f>
        <v>2</v>
      </c>
      <c r="BS303" s="60">
        <f>IFERROR(SUM((TBA_Matches_All[[#This Row],[SubwT]])/(TBA_Matches_All[[#This Row],[SubwT]]+TBA_Matches_All[[#This Row],[SubwM]])),0)</f>
        <v>0.75</v>
      </c>
      <c r="BT303">
        <f>COUNTIFS(Dyno_Data[Team],TBA_Matches_All[[#This Row],[Team]],Dyno_Data[Match],TBA_Matches_All[[#This Row],[Match_Number]],Dyno_Data[RecordType],"Activities", Dyno_Data[AcqLoc],"OppWing")</f>
        <v>0</v>
      </c>
      <c r="BU303">
        <f>COUNTIFS(Dyno_Data[Team],TBA_Matches_All[[#This Row],[Team]],Dyno_Data[Match],TBA_Matches_All[[#This Row],[Match_Number]],Dyno_Data[RecordType],"Activities", Dyno_Data[AcqLoc],"Neutral")</f>
        <v>1</v>
      </c>
      <c r="BV303">
        <f>COUNTIFS(Dyno_Data[Team],TBA_Matches_All[[#This Row],[Team]],Dyno_Data[Match],TBA_Matches_All[[#This Row],[Match_Number]],Dyno_Data[RecordType],"Activities", Dyno_Data[AcqLoc],"AllyWing")</f>
        <v>0</v>
      </c>
      <c r="BW303">
        <f>COUNTIFS(Dyno_Data[Team],TBA_Matches_All[[#This Row],[Team]],Dyno_Data[Match],TBA_Matches_All[[#This Row],[Match_Number]],Dyno_Data[RecordType],"Activities", Dyno_Data[AcqLoc],"Source")</f>
        <v>0</v>
      </c>
      <c r="BX303">
        <f>SUMIFS(Dyno_Data[AcqDrp], Dyno_Data[Team],TBA_Matches_All[[#This Row],[Team]],Dyno_Data[Match],TBA_Matches_All[[#This Row],[Match_Number]],Dyno_Data[RecordType],"Activities", Dyno_Data[AcqLoc],"Source")</f>
        <v>0</v>
      </c>
      <c r="BY303">
        <f>SUMIFS(Dyno_Data[OZTime], Dyno_Data[Team],TBA_Matches_All[[#This Row],[Team]],Dyno_Data[Match],TBA_Matches_All[[#This Row],[Match_Number]],Dyno_Data[RecordType],"EndMatch")</f>
        <v>29.9758228</v>
      </c>
      <c r="BZ303">
        <f>SUMIFS(Dyno_Data[NZTime], Dyno_Data[Team],TBA_Matches_All[[#This Row],[Team]],Dyno_Data[Match],TBA_Matches_All[[#This Row],[Match_Number]],Dyno_Data[RecordType],"EndMatch")</f>
        <v>19.600413700000001</v>
      </c>
      <c r="CA303">
        <f>SUMIFS(Dyno_Data[AZTime], Dyno_Data[Team],TBA_Matches_All[[#This Row],[Team]],Dyno_Data[Match],TBA_Matches_All[[#This Row],[Match_Number]],Dyno_Data[RecordType],"EndMatch")</f>
        <v>74.988194499999992</v>
      </c>
      <c r="CB303">
        <f>SUMIFS(Dyno_Data[ClimbT], Dyno_Data[Team],TBA_Matches_All[[#This Row],[Team]],Dyno_Data[Match],TBA_Matches_All[[#This Row],[Match_Number]],Dyno_Data[RecordType],"EndMatch")</f>
        <v>3.1108807000000001</v>
      </c>
      <c r="CC303" t="str">
        <f>_xlfn.XLOOKUP(SUM(MID(TBA_Matches_All[[#This Row],[Team]],4,5),(TBA_Matches_All[[#This Row],[Match_Number]]/100)),Dyno_EndMatch[teammat],Dyno_EndMatch[StageStat],"_",0,1)</f>
        <v>On</v>
      </c>
      <c r="CD303" t="str">
        <f>_xlfn.XLOOKUP(TBA_Matches_All[[#This Row],[teammat]],Dyno_EndMatch[teammat],Dyno_EndMatch[StageAtt],"_",0,1)</f>
        <v>1</v>
      </c>
      <c r="CE303" t="str">
        <f>_xlfn.XLOOKUP(TBA_Matches_All[[#This Row],[teammat]],Dyno_EndMatch[teammat],Dyno_EndMatch[StageLoc],"_",0,1)</f>
        <v>L</v>
      </c>
      <c r="CF303">
        <f>SUMIFS(Dyno_Data[Harmony], Dyno_Data[Team],TBA_Matches_All[[#This Row],[Team]],Dyno_Data[Match],TBA_Matches_All[[#This Row],[Match_Number]],Dyno_Data[RecordType],"EndMatch", Dyno_Data[StageStat],"On",Dyno_Data[Harmony],"&lt;&gt;9")</f>
        <v>1</v>
      </c>
      <c r="CG303">
        <f>SUMIFS(Dyno_Data[Spotlit], Dyno_Data[Team],TBA_Matches_All[[#This Row],[Team]],Dyno_Data[Match],TBA_Matches_All[[#This Row],[Match_Number]],Dyno_Data[RecordType],"EndMatch", Dyno_Data[StageStat],"On",Dyno_Data[Spotlit],"&lt;&gt;9")</f>
        <v>0</v>
      </c>
      <c r="CH303" t="str">
        <f>_xlfn.XLOOKUP(TBA_Matches_All[[#This Row],[teammat]],Dyno_EndMatch[teammat],Dyno_EndMatch[Strategy],"_",0,1)</f>
        <v>Hybrid</v>
      </c>
      <c r="CI303">
        <f>SUMIFS(Dyno_Data[Defense], Dyno_Data[Team],TBA_Matches_All[[#This Row],[Team]],Dyno_Data[Match],TBA_Matches_All[[#This Row],[Match_Number]],Dyno_Data[RecordType],"EndMatch",Dyno_Data[Defense],"&lt;&gt;9")</f>
        <v>0</v>
      </c>
      <c r="CJ303">
        <f>SUMIFS(Dyno_Data[Avoidance], Dyno_Data[Team],TBA_Matches_All[[#This Row],[Team]],Dyno_Data[Match],TBA_Matches_All[[#This Row],[Match_Number]],Dyno_Data[RecordType],"EndMatch",Dyno_Data[Avoidance],"&lt;&gt;9")</f>
        <v>0</v>
      </c>
      <c r="CK303" s="82">
        <f>COUNTIF($H$2:TBA_Matches_All[[#This Row],[Team]],TBA_Matches_All[[#This Row],[Team]])</f>
        <v>6</v>
      </c>
      <c r="CL303" s="111">
        <f>SUM(MID(TBA_Matches_All[[#This Row],[Team]],4,5)+TBA_Matches_All[[#This Row],[Match_Number]]/100)</f>
        <v>2791.51</v>
      </c>
      <c r="CM303">
        <f>SUM((TBA_Matches_All[[#This Row],[Leave]]*2)+(TBA_Matches_All[[#This Row],[AampT]]*2)+(TBA_Matches_All[[#This Row],[AspkrT]]*5)+(TBA_Matches_All[[#This Row],[AtrapT]]*5))</f>
        <v>2</v>
      </c>
      <c r="CN303" s="59">
        <f>IFERROR(SUM(TBA_Matches_All[[#This Row],[AptsT]]/TBA_Matches_All[[#This Row],[AutoPts]]),0)</f>
        <v>0.14285714285714285</v>
      </c>
      <c r="CO303" s="59">
        <f>IFERROR(SUM(TBA_Matches_All[[#This Row],[AampT]]+TBA_Matches_All[[#This Row],[AspkrT]]+TBA_Matches_All[[#This Row],[AtrapT]]/TBA_Matches_All[[#This Row],[Aamp]]+TBA_Matches_All[[#This Row],[Aspkr]]+TBA_Matches_All[[#This Row],[AtrapT]]),0)</f>
        <v>0</v>
      </c>
      <c r="CP303" s="59">
        <f>IFERROR(SUM(TBA_Matches_All[[#This Row],[TampT]]/TBA_Matches_All[[#This Row],[Tamp]]),0)</f>
        <v>1</v>
      </c>
      <c r="CQ303" s="59">
        <f>IFERROR(SUM(TBA_Matches_All[[#This Row],[TspkrT]]/TBA_Matches_All[[#This Row],[Tspkr]]),0)</f>
        <v>0.5</v>
      </c>
      <c r="CR303">
        <f>SUM(TBA_Matches_All[[#This Row],[TspkrPts]]*TBA_Matches_All[[#This Row],[TspkrP]])</f>
        <v>12</v>
      </c>
      <c r="CS303" s="59">
        <f>IFERROR(SUM(TBA_Matches_All[[#This Row],[TtrapT]]/TBA_Matches_All[[#This Row],[Trap]]),0)</f>
        <v>0</v>
      </c>
      <c r="CT303" s="59">
        <f>IFERROR(SUM(TBA_Matches_All[[#This Row],[TotNotesT]]/TBA_Matches_All[[#This Row],[TotNotes]]),0)</f>
        <v>0.46666666666666667</v>
      </c>
      <c r="CU303" s="66">
        <f>SUM((TBA_Matches_All[[#This Row],[AampT]]*2)+(TBA_Matches_All[[#This Row],[AspkrT]]*5)+(TBA_Matches_All[[#This Row],[AtrapT]]*5)+(TBA_Matches_All[[#This Row],[TampT]]*1)+(TBA_Matches_All[[#This Row],[TspkrptsC]]))</f>
        <v>13</v>
      </c>
      <c r="CV303" s="59">
        <f>IFERROR(TBA_Matches_All[[#This Row],[noteptsT]]/TBA_Matches_All[[#This Row],[NotePts]],0)</f>
        <v>0.37142857142857144</v>
      </c>
      <c r="CW303">
        <f>SUM(IF(TBA_Matches_All[[#This Row],[stageStat]]="On",3,0),IF(TBA_Matches_All[[#This Row],[stageStat]]="Park",1,0),SUMIFS(TBA_Matches_All[[#This Row],[Spotlit]],TBA_Matches_All[[#This Row],[stageStat]],"On"),SUMIFS(TBA_Matches_All[[#This Row],[Harmony]],TBA_Matches_All[[#This Row],[stageStat]],"On"))</f>
        <v>4</v>
      </c>
      <c r="CX303" s="59">
        <f>IFERROR(TBA_Matches_All[[#This Row],[stageptsT]]/TBA_Matches_All[[#This Row],[StagePts]],0)</f>
        <v>0.44444444444444442</v>
      </c>
      <c r="CY303">
        <f>SUM((TBA_Matches_All[[#This Row],[AptsT]]+TBA_Matches_All[[#This Row],[TampT]]+TBA_Matches_All[[#This Row],[TspkrptsC]]+(TBA_Matches_All[[#This Row],[TtrapT]]*5)+TBA_Matches_All[[#This Row],[stageptsT]]))</f>
        <v>19</v>
      </c>
      <c r="CZ303" s="59">
        <f>IFERROR(SUM(TBA_Matches_All[[#This Row],[TotptsC]]/TBA_Matches_All[[#This Row],[Score]]),0)</f>
        <v>0.35849056603773582</v>
      </c>
      <c r="DA30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8.9599999999999991</v>
      </c>
      <c r="DB303" s="74">
        <f>SUMIFS(TBA_Matches_All[AveTeamTNoteDels],TBA_Matches_All[Match_Number],TBA_Matches_All[[#This Row],[Match_Number]],TBA_Matches_All[Alliance],"&lt;&gt;"&amp;TBA_Matches_All[[#This Row],[Alliance]],TBA_Matches_All[Scouted],"&gt;0")</f>
        <v>23.698258408258408</v>
      </c>
      <c r="DC303" s="74">
        <f>(TBA_Matches_All[[#This Row],[TampT]]+TBA_Matches_All[[#This Row],[TspkrptsC]])-TBA_Matches_All[[#This Row],[AveTeamTNoteDels]]</f>
        <v>4.0400000000000009</v>
      </c>
      <c r="DD303" s="74">
        <f>SUMIFS(TBA_Matches_All[AveTeamTNoteDels],TBA_Matches_All[Match_Number],TBA_Matches_All[[#This Row],[Match_Number]],TBA_Matches_All[Alliance],"&lt;&gt;"&amp;TBA_Matches_All[[#This Row],[Alliance]])-TBA_Matches_All[[#This Row],[AveOppTNoteDels]]</f>
        <v>0</v>
      </c>
    </row>
    <row r="304" spans="1:108" x14ac:dyDescent="0.3">
      <c r="A304" t="s">
        <v>1042</v>
      </c>
      <c r="B304" t="s">
        <v>489</v>
      </c>
      <c r="C304" t="s">
        <v>1360</v>
      </c>
      <c r="D304">
        <v>51</v>
      </c>
      <c r="E304" t="s">
        <v>1406</v>
      </c>
      <c r="F304" t="s">
        <v>1426</v>
      </c>
      <c r="G304" t="s">
        <v>164</v>
      </c>
      <c r="H304" t="s">
        <v>1315</v>
      </c>
      <c r="I304" t="b">
        <v>1</v>
      </c>
      <c r="J304">
        <v>52</v>
      </c>
      <c r="K304">
        <v>0</v>
      </c>
      <c r="L304">
        <v>0</v>
      </c>
      <c r="M304">
        <v>5</v>
      </c>
      <c r="N304">
        <v>0</v>
      </c>
      <c r="O304">
        <v>3</v>
      </c>
      <c r="P304">
        <v>15</v>
      </c>
      <c r="Q304">
        <v>21</v>
      </c>
      <c r="R304">
        <v>4</v>
      </c>
      <c r="S304">
        <v>1</v>
      </c>
      <c r="T304">
        <v>4</v>
      </c>
      <c r="U304">
        <v>5</v>
      </c>
      <c r="V304">
        <v>8</v>
      </c>
      <c r="W304">
        <v>5</v>
      </c>
      <c r="X304">
        <v>13</v>
      </c>
      <c r="Y304">
        <v>17</v>
      </c>
      <c r="Z304">
        <v>0</v>
      </c>
      <c r="AA304">
        <v>0</v>
      </c>
      <c r="AB304">
        <v>12</v>
      </c>
      <c r="AC304">
        <v>32</v>
      </c>
      <c r="AD304">
        <v>4</v>
      </c>
      <c r="AE304">
        <f>IFERROR(6/(COUNTIF(Dyno_EndMatch[Match],TBA_Matches_All[[#This Row],[Match_Number]])),0)</f>
        <v>1</v>
      </c>
      <c r="AF304">
        <f>COUNTIFS(Dyno_Data[Team],TBA_Matches_All[[#This Row],[Team]],Dyno_Data[Match],TBA_Matches_All[[#This Row],[Match_Number]],Dyno_Data[RecordType],"EndMatch",Dyno_Data[HPAmp],"Y")</f>
        <v>0</v>
      </c>
      <c r="AG304">
        <f>SUMIFS(Dyno_Data[Mics], Dyno_Data[Team],TBA_Matches_All[[#This Row],[Team]],Dyno_Data[Match],TBA_Matches_All[[#This Row],[Match_Number]],Dyno_Data[RecordType],"EndMatch",Dyno_Data[HPAmp],"Y")</f>
        <v>0</v>
      </c>
      <c r="AH304">
        <f>SUMIFS(Dyno_Data[Leave], Dyno_Data[Team],TBA_Matches_All[[#This Row],[Team]],Dyno_Data[Match],TBA_Matches_All[[#This Row],[Match_Number]],Dyno_Data[RecordType],"EndAuto")</f>
        <v>1</v>
      </c>
      <c r="AI304">
        <f>COUNTIFS(Dyno_Data[Team],TBA_Matches_All[[#This Row],[Team]],Dyno_Data[Match],TBA_Matches_All[[#This Row],[Match_Number]],Dyno_Data[RecordType],"Activities",Dyno_Data[DelDest],"Amp", Dyno_Data[DelMiss],"0", Dyno_Data[Mode],"Auto")</f>
        <v>0</v>
      </c>
      <c r="AJ304">
        <f>COUNTIFS(Dyno_Data[Team],TBA_Matches_All[[#This Row],[Team]],Dyno_Data[Match],TBA_Matches_All[[#This Row],[Match_Number]],Dyno_Data[RecordType],"Activities",Dyno_Data[DelDest],"Spkr", Dyno_Data[DelMiss],"0", Dyno_Data[Mode],"Auto")</f>
        <v>2</v>
      </c>
      <c r="AK304">
        <f>COUNTIFS(Dyno_Data[Team],TBA_Matches_All[[#This Row],[Team]],Dyno_Data[Match],TBA_Matches_All[[#This Row],[Match_Number]],Dyno_Data[RecordType],"Activities",Dyno_Data[DelDest],"Trap", Dyno_Data[DelMiss],"0", Dyno_Data[Mode],"Auto")</f>
        <v>0</v>
      </c>
      <c r="AL304">
        <f>COUNTIFS(Dyno_Data[Team],TBA_Matches_All[[#This Row],[Team]],Dyno_Data[Match],TBA_Matches_All[[#This Row],[Match_Number]],Dyno_Data[RecordType],"Activities",Dyno_Data[DelDest],"Amp", Dyno_Data[DelMiss],"0", Dyno_Data[Mode],"Teleop")</f>
        <v>4</v>
      </c>
      <c r="AM304">
        <f>COUNTIFS(Dyno_Data[Team],TBA_Matches_All[[#This Row],[Team]],Dyno_Data[Match],TBA_Matches_All[[#This Row],[Match_Number]],Dyno_Data[RecordType],"Activities",Dyno_Data[DelDest],"Spkr", Dyno_Data[DelMiss],"0", Dyno_Data[Mode],"Teleop")</f>
        <v>3</v>
      </c>
      <c r="AN304">
        <f>COUNTIFS(Dyno_Data[Team],TBA_Matches_All[[#This Row],[Team]],Dyno_Data[Match],TBA_Matches_All[[#This Row],[Match_Number]],Dyno_Data[RecordType],"Activities",Dyno_Data[DelDest],"Trap", Dyno_Data[DelMiss],"0", Dyno_Data[Mode],"&lt;&gt;Auto")</f>
        <v>0</v>
      </c>
      <c r="AO304">
        <f>SUM(TBA_Matches_All[[#This Row],[AampT]]+TBA_Matches_All[[#This Row],[AspkrT]]+TBA_Matches_All[[#This Row],[AtrapT]]+TBA_Matches_All[[#This Row],[TampT]]+TBA_Matches_All[[#This Row],[TspkrT]]+TBA_Matches_All[[#This Row],[TtrapT]])</f>
        <v>9</v>
      </c>
      <c r="AP304">
        <f>COUNTIFS(Dyno_Data[Team],TBA_Matches_All[[#This Row],[Team]],Dyno_Data[Match],TBA_Matches_All[[#This Row],[Match_Number]],Dyno_Data[RecordType],"Activities",Dyno_Data[DelDest],"Neut", Dyno_Data[DelMiss],"0")</f>
        <v>0</v>
      </c>
      <c r="AQ304">
        <f>COUNTIFS(Dyno_Data[Team],TBA_Matches_All[[#This Row],[Team]],Dyno_Data[Match],TBA_Matches_All[[#This Row],[Match_Number]],Dyno_Data[RecordType],"Activities",Dyno_Data[DelDest],"AllyW", Dyno_Data[DelMiss],"0")</f>
        <v>0</v>
      </c>
      <c r="AR304" t="str">
        <f>_xlfn.XLOOKUP(SUM(MID(TBA_Matches_All[[#This Row],[Team]],4,5),(TBA_Matches_All[[#This Row],[Match_Number]]/100)),Dyno_EndMatch[teammat],Dyno_EndMatch[RobotSta],"_",0,1)</f>
        <v>Podm</v>
      </c>
      <c r="AS304">
        <f>SUMIFS(Dyno_Data[AcqDis], Dyno_Data[Team],TBA_Matches_All[[#This Row],[Team]],Dyno_Data[Match],TBA_Matches_All[[#This Row],[Match_Number]],Dyno_Data[RecordType],"Activities", Dyno_Data[AcqCenter],1,Dyno_Data[Mode],"Auto")</f>
        <v>0</v>
      </c>
      <c r="AT304">
        <f>SUMIFS(Dyno_Data[AcqDis], Dyno_Data[Team],TBA_Matches_All[[#This Row],[Team]],Dyno_Data[Match],TBA_Matches_All[[#This Row],[Match_Number]],Dyno_Data[RecordType],"Activities", Dyno_Data[AcqCenter],2,Dyno_Data[Mode],"Auto")</f>
        <v>0</v>
      </c>
      <c r="AU304">
        <f>SUMIFS(Dyno_Data[AcqDis], Dyno_Data[Team],TBA_Matches_All[[#This Row],[Team]],Dyno_Data[Match],TBA_Matches_All[[#This Row],[Match_Number]],Dyno_Data[RecordType],"Activities", Dyno_Data[AcqCenter],3,Dyno_Data[Mode],"Auto")</f>
        <v>0</v>
      </c>
      <c r="AV304">
        <f>SUMIFS(Dyno_Data[AcqDis], Dyno_Data[Team],TBA_Matches_All[[#This Row],[Team]],Dyno_Data[Match],TBA_Matches_All[[#This Row],[Match_Number]],Dyno_Data[RecordType],"Activities", Dyno_Data[AcqCenter],4,Dyno_Data[Mode],"Auto")</f>
        <v>0</v>
      </c>
      <c r="AW304">
        <f>SUMIFS(Dyno_Data[AcqDis], Dyno_Data[Team],TBA_Matches_All[[#This Row],[Team]],Dyno_Data[Match],TBA_Matches_All[[#This Row],[Match_Number]],Dyno_Data[RecordType],"Activities", Dyno_Data[AcqCenter],5,Dyno_Data[Mode],"Auto")</f>
        <v>0</v>
      </c>
      <c r="AX304">
        <f>SUMIFS(Dyno_Data[DelMiss], Dyno_Data[Team],TBA_Matches_All[[#This Row],[Team]],Dyno_Data[Match],TBA_Matches_All[[#This Row],[Match_Number]],Dyno_Data[RecordType],"Activities", Dyno_Data[DelDest],"Amp")</f>
        <v>0</v>
      </c>
      <c r="AY304" s="60">
        <f>IFERROR(SUM((TBA_Matches_All[[#This Row],[AampT]]+TBA_Matches_All[[#This Row],[TampT]])/(TBA_Matches_All[[#This Row],[AampT]]+TBA_Matches_All[[#This Row],[TampT]]+TBA_Matches_All[[#This Row],[ampM]])),0)</f>
        <v>1</v>
      </c>
      <c r="AZ304">
        <f>SUMIFS(Dyno_Data[DelMiss], Dyno_Data[Team],TBA_Matches_All[[#This Row],[Team]],Dyno_Data[Match],TBA_Matches_All[[#This Row],[Match_Number]],Dyno_Data[RecordType],"Activities", Dyno_Data[DelDest],"Spkr")</f>
        <v>0</v>
      </c>
      <c r="BA304" s="60">
        <f>IFERROR(SUM((TBA_Matches_All[[#This Row],[AspkrT]]+TBA_Matches_All[[#This Row],[TspkrT]])/(TBA_Matches_All[[#This Row],[AspkrT]]+TBA_Matches_All[[#This Row],[TspkrT]]+TBA_Matches_All[[#This Row],[spkrM]])),0)</f>
        <v>1</v>
      </c>
      <c r="BB304">
        <f>SUMIFS(Dyno_Data[DelMiss], Dyno_Data[Team],TBA_Matches_All[[#This Row],[Team]],Dyno_Data[Match],TBA_Matches_All[[#This Row],[Match_Number]],Dyno_Data[RecordType],"Activities", Dyno_Data[DelDest],"Trap")</f>
        <v>0</v>
      </c>
      <c r="BC304" s="60">
        <f>IFERROR((TBA_Matches_All[[#This Row],[AtrapT]]+TBA_Matches_All[[#This Row],[TtrapT]])/(TBA_Matches_All[[#This Row],[AtrapT]]+TBA_Matches_All[[#This Row],[TtrapT]]+TBA_Matches_All[[#This Row],[trapM]]),0)</f>
        <v>0</v>
      </c>
      <c r="BD304">
        <f>COUNTIFS(Dyno_Data[Team],TBA_Matches_All[[#This Row],[Team]],Dyno_Data[Match],TBA_Matches_All[[#This Row],[Match_Number]],Dyno_Data[RecordType],"Activities",Dyno_Data[DelDest],"Neut", Dyno_Data[DelMiss],1)</f>
        <v>0</v>
      </c>
      <c r="BE304" s="60">
        <f>IFERROR(SUM((TBA_Matches_All[[#This Row],[NeutFlrT]])/(TBA_Matches_All[[#This Row],[NeutFlrT]]+TBA_Matches_All[[#This Row],[NZflM]])),0)</f>
        <v>0</v>
      </c>
      <c r="BF304">
        <f>COUNTIFS(Dyno_Data[Team],TBA_Matches_All[[#This Row],[Team]],Dyno_Data[Match],TBA_Matches_All[[#This Row],[Match_Number]],Dyno_Data[RecordType],"Activities",Dyno_Data[DelDest],"AllyW", Dyno_Data[DelMiss],1)</f>
        <v>0</v>
      </c>
      <c r="BG304" s="60">
        <f>IFERROR(SUM((TBA_Matches_All[[#This Row],[AllyWFlrT]])/(TBA_Matches_All[[#This Row],[AllyWFlrT]]+TBA_Matches_All[[#This Row],[AZflM]])),0)</f>
        <v>0</v>
      </c>
      <c r="BH304">
        <f>COUNTIFS(Dyno_Data[Team],TBA_Matches_All[[#This Row],[Team]],Dyno_Data[Match],TBA_Matches_All[[#This Row],[Match_Number]],Dyno_Data[RecordType],"Activities",Dyno_Data[DelOrig],"OppW", Dyno_Data[DelMiss],"0")</f>
        <v>0</v>
      </c>
      <c r="BI304">
        <f>COUNTIFS(Dyno_Data[Team],TBA_Matches_All[[#This Row],[Team]],Dyno_Data[Match],TBA_Matches_All[[#This Row],[Match_Number]],Dyno_Data[RecordType],"Activities",Dyno_Data[DelOrig],"OppW", Dyno_Data[DelMiss],"1")</f>
        <v>0</v>
      </c>
      <c r="BJ304" s="60">
        <f>IFERROR(SUM((TBA_Matches_All[[#This Row],[OZflrT]])/(TBA_Matches_All[[#This Row],[OZflrT]]+TBA_Matches_All[[#This Row],[OZflrM]])),0)</f>
        <v>0</v>
      </c>
      <c r="BK304">
        <f>COUNTIFS(Dyno_Data[Team],TBA_Matches_All[[#This Row],[Team]],Dyno_Data[Match],TBA_Matches_All[[#This Row],[Match_Number]],Dyno_Data[RecordType],"Activities",Dyno_Data[DelOrig],"Neut", Dyno_Data[DelMiss],"0")</f>
        <v>0</v>
      </c>
      <c r="BL304">
        <f>COUNTIFS(Dyno_Data[Team],TBA_Matches_All[[#This Row],[Team]],Dyno_Data[Match],TBA_Matches_All[[#This Row],[Match_Number]],Dyno_Data[RecordType],"Activities",Dyno_Data[DelOrig],"Neut", Dyno_Data[DelMiss],"1")</f>
        <v>0</v>
      </c>
      <c r="BM304" s="60">
        <f>IFERROR(SUM((TBA_Matches_All[[#This Row],[NZflrT]])/(TBA_Matches_All[[#This Row],[NZflrT]]+TBA_Matches_All[[#This Row],[NZflrM]])),0)</f>
        <v>0</v>
      </c>
      <c r="BN304">
        <f>COUNTIFS(Dyno_Data[Team],TBA_Matches_All[[#This Row],[Team]],Dyno_Data[Match],TBA_Matches_All[[#This Row],[Match_Number]],Dyno_Data[RecordType],"Activities",Dyno_Data[DelOrig],"AllyW", Dyno_Data[DelMiss],"0")</f>
        <v>6</v>
      </c>
      <c r="BO304">
        <f>COUNTIFS(Dyno_Data[Team],TBA_Matches_All[[#This Row],[Team]],Dyno_Data[Match],TBA_Matches_All[[#This Row],[Match_Number]],Dyno_Data[RecordType],"Activities",Dyno_Data[DelOrig],"AllyW", Dyno_Data[DelMiss],"1")</f>
        <v>0</v>
      </c>
      <c r="BP304" s="60">
        <f>IFERROR(SUM((TBA_Matches_All[[#This Row],[AZflrT]])/(TBA_Matches_All[[#This Row],[AZflrT]]+TBA_Matches_All[[#This Row],[AZflrM]])),0)</f>
        <v>1</v>
      </c>
      <c r="BQ304">
        <f>COUNTIFS(Dyno_Data[Team],TBA_Matches_All[[#This Row],[Team]],Dyno_Data[Match],TBA_Matches_All[[#This Row],[Match_Number]],Dyno_Data[RecordType],"Activities",Dyno_Data[DelOrig],"SubW", Dyno_Data[DelMiss],"0")</f>
        <v>3</v>
      </c>
      <c r="BR304">
        <f>COUNTIFS(Dyno_Data[Team],TBA_Matches_All[[#This Row],[Team]],Dyno_Data[Match],TBA_Matches_All[[#This Row],[Match_Number]],Dyno_Data[RecordType],"Activities",Dyno_Data[DelOrig],"SubW", Dyno_Data[DelMiss],"1")</f>
        <v>0</v>
      </c>
      <c r="BS304" s="60">
        <f>IFERROR(SUM((TBA_Matches_All[[#This Row],[SubwT]])/(TBA_Matches_All[[#This Row],[SubwT]]+TBA_Matches_All[[#This Row],[SubwM]])),0)</f>
        <v>1</v>
      </c>
      <c r="BT304">
        <f>COUNTIFS(Dyno_Data[Team],TBA_Matches_All[[#This Row],[Team]],Dyno_Data[Match],TBA_Matches_All[[#This Row],[Match_Number]],Dyno_Data[RecordType],"Activities", Dyno_Data[AcqLoc],"OppWing")</f>
        <v>0</v>
      </c>
      <c r="BU304">
        <f>COUNTIFS(Dyno_Data[Team],TBA_Matches_All[[#This Row],[Team]],Dyno_Data[Match],TBA_Matches_All[[#This Row],[Match_Number]],Dyno_Data[RecordType],"Activities", Dyno_Data[AcqLoc],"Neutral")</f>
        <v>0</v>
      </c>
      <c r="BV304">
        <f>COUNTIFS(Dyno_Data[Team],TBA_Matches_All[[#This Row],[Team]],Dyno_Data[Match],TBA_Matches_All[[#This Row],[Match_Number]],Dyno_Data[RecordType],"Activities", Dyno_Data[AcqLoc],"AllyWing")</f>
        <v>0</v>
      </c>
      <c r="BW304">
        <f>COUNTIFS(Dyno_Data[Team],TBA_Matches_All[[#This Row],[Team]],Dyno_Data[Match],TBA_Matches_All[[#This Row],[Match_Number]],Dyno_Data[RecordType],"Activities", Dyno_Data[AcqLoc],"Source")</f>
        <v>0</v>
      </c>
      <c r="BX304">
        <f>SUMIFS(Dyno_Data[AcqDrp], Dyno_Data[Team],TBA_Matches_All[[#This Row],[Team]],Dyno_Data[Match],TBA_Matches_All[[#This Row],[Match_Number]],Dyno_Data[RecordType],"Activities", Dyno_Data[AcqLoc],"Source")</f>
        <v>0</v>
      </c>
      <c r="BY304">
        <f>SUMIFS(Dyno_Data[OZTime], Dyno_Data[Team],TBA_Matches_All[[#This Row],[Team]],Dyno_Data[Match],TBA_Matches_All[[#This Row],[Match_Number]],Dyno_Data[RecordType],"EndMatch")</f>
        <v>27.3291732</v>
      </c>
      <c r="BZ304">
        <f>SUMIFS(Dyno_Data[NZTime], Dyno_Data[Team],TBA_Matches_All[[#This Row],[Team]],Dyno_Data[Match],TBA_Matches_All[[#This Row],[Match_Number]],Dyno_Data[RecordType],"EndMatch")</f>
        <v>17.981054999999998</v>
      </c>
      <c r="CA304">
        <f>SUMIFS(Dyno_Data[AZTime], Dyno_Data[Team],TBA_Matches_All[[#This Row],[Team]],Dyno_Data[Match],TBA_Matches_All[[#This Row],[Match_Number]],Dyno_Data[RecordType],"EndMatch")</f>
        <v>71.186097599999997</v>
      </c>
      <c r="CB304">
        <f>SUMIFS(Dyno_Data[ClimbT], Dyno_Data[Team],TBA_Matches_All[[#This Row],[Team]],Dyno_Data[Match],TBA_Matches_All[[#This Row],[Match_Number]],Dyno_Data[RecordType],"EndMatch")</f>
        <v>11.936545499999999</v>
      </c>
      <c r="CC304" t="str">
        <f>_xlfn.XLOOKUP(SUM(MID(TBA_Matches_All[[#This Row],[Team]],4,5),(TBA_Matches_All[[#This Row],[Match_Number]]/100)),Dyno_EndMatch[teammat],Dyno_EndMatch[StageStat],"_",0,1)</f>
        <v>On</v>
      </c>
      <c r="CD304" t="str">
        <f>_xlfn.XLOOKUP(TBA_Matches_All[[#This Row],[teammat]],Dyno_EndMatch[teammat],Dyno_EndMatch[StageAtt],"_",0,1)</f>
        <v>1</v>
      </c>
      <c r="CE304" t="str">
        <f>_xlfn.XLOOKUP(TBA_Matches_All[[#This Row],[teammat]],Dyno_EndMatch[teammat],Dyno_EndMatch[StageLoc],"_",0,1)</f>
        <v>R</v>
      </c>
      <c r="CF304">
        <f>SUMIFS(Dyno_Data[Harmony], Dyno_Data[Team],TBA_Matches_All[[#This Row],[Team]],Dyno_Data[Match],TBA_Matches_All[[#This Row],[Match_Number]],Dyno_Data[RecordType],"EndMatch", Dyno_Data[StageStat],"On",Dyno_Data[Harmony],"&lt;&gt;9")</f>
        <v>0</v>
      </c>
      <c r="CG304">
        <f>SUMIFS(Dyno_Data[Spotlit], Dyno_Data[Team],TBA_Matches_All[[#This Row],[Team]],Dyno_Data[Match],TBA_Matches_All[[#This Row],[Match_Number]],Dyno_Data[RecordType],"EndMatch", Dyno_Data[StageStat],"On",Dyno_Data[Spotlit],"&lt;&gt;9")</f>
        <v>0</v>
      </c>
      <c r="CH304" t="str">
        <f>_xlfn.XLOOKUP(TBA_Matches_All[[#This Row],[teammat]],Dyno_EndMatch[teammat],Dyno_EndMatch[Strategy],"_",0,1)</f>
        <v>Hybrid</v>
      </c>
      <c r="CI304">
        <f>SUMIFS(Dyno_Data[Defense], Dyno_Data[Team],TBA_Matches_All[[#This Row],[Team]],Dyno_Data[Match],TBA_Matches_All[[#This Row],[Match_Number]],Dyno_Data[RecordType],"EndMatch",Dyno_Data[Defense],"&lt;&gt;9")</f>
        <v>0</v>
      </c>
      <c r="CJ304">
        <f>SUMIFS(Dyno_Data[Avoidance], Dyno_Data[Team],TBA_Matches_All[[#This Row],[Team]],Dyno_Data[Match],TBA_Matches_All[[#This Row],[Match_Number]],Dyno_Data[RecordType],"EndMatch",Dyno_Data[Avoidance],"&lt;&gt;9")</f>
        <v>0</v>
      </c>
      <c r="CK304" s="82">
        <f>COUNTIF($H$2:TBA_Matches_All[[#This Row],[Team]],TBA_Matches_All[[#This Row],[Team]])</f>
        <v>6</v>
      </c>
      <c r="CL304" s="111">
        <f>SUM(MID(TBA_Matches_All[[#This Row],[Team]],4,5)+TBA_Matches_All[[#This Row],[Match_Number]]/100)</f>
        <v>1511.51</v>
      </c>
      <c r="CM304">
        <f>SUM((TBA_Matches_All[[#This Row],[Leave]]*2)+(TBA_Matches_All[[#This Row],[AampT]]*2)+(TBA_Matches_All[[#This Row],[AspkrT]]*5)+(TBA_Matches_All[[#This Row],[AtrapT]]*5))</f>
        <v>12</v>
      </c>
      <c r="CN304" s="59">
        <f>IFERROR(SUM(TBA_Matches_All[[#This Row],[AptsT]]/TBA_Matches_All[[#This Row],[AutoPts]]),0)</f>
        <v>0.5714285714285714</v>
      </c>
      <c r="CO304" s="59">
        <f>IFERROR(SUM(TBA_Matches_All[[#This Row],[AampT]]+TBA_Matches_All[[#This Row],[AspkrT]]+TBA_Matches_All[[#This Row],[AtrapT]]/TBA_Matches_All[[#This Row],[Aamp]]+TBA_Matches_All[[#This Row],[Aspkr]]+TBA_Matches_All[[#This Row],[AtrapT]]),0)</f>
        <v>0</v>
      </c>
      <c r="CP304" s="59">
        <f>IFERROR(SUM(TBA_Matches_All[[#This Row],[TampT]]/TBA_Matches_All[[#This Row],[Tamp]]),0)</f>
        <v>1</v>
      </c>
      <c r="CQ304" s="59">
        <f>IFERROR(SUM(TBA_Matches_All[[#This Row],[TspkrT]]/TBA_Matches_All[[#This Row],[Tspkr]]),0)</f>
        <v>0.6</v>
      </c>
      <c r="CR304">
        <f>SUM(TBA_Matches_All[[#This Row],[TspkrPts]]*TBA_Matches_All[[#This Row],[TspkrP]])</f>
        <v>7.8</v>
      </c>
      <c r="CS304" s="59">
        <f>IFERROR(SUM(TBA_Matches_All[[#This Row],[TtrapT]]/TBA_Matches_All[[#This Row],[Trap]]),0)</f>
        <v>0</v>
      </c>
      <c r="CT304" s="59">
        <f>IFERROR(SUM(TBA_Matches_All[[#This Row],[TotNotesT]]/TBA_Matches_All[[#This Row],[TotNotes]]),0)</f>
        <v>0.75</v>
      </c>
      <c r="CU304" s="66">
        <f>SUM((TBA_Matches_All[[#This Row],[AampT]]*2)+(TBA_Matches_All[[#This Row],[AspkrT]]*5)+(TBA_Matches_All[[#This Row],[AtrapT]]*5)+(TBA_Matches_All[[#This Row],[TampT]]*1)+(TBA_Matches_All[[#This Row],[TspkrptsC]]))</f>
        <v>21.8</v>
      </c>
      <c r="CV304" s="59">
        <f>IFERROR(TBA_Matches_All[[#This Row],[noteptsT]]/TBA_Matches_All[[#This Row],[NotePts]],0)</f>
        <v>0.68125000000000002</v>
      </c>
      <c r="CW304">
        <f>SUM(IF(TBA_Matches_All[[#This Row],[stageStat]]="On",3,0),IF(TBA_Matches_All[[#This Row],[stageStat]]="Park",1,0),SUMIFS(TBA_Matches_All[[#This Row],[Spotlit]],TBA_Matches_All[[#This Row],[stageStat]],"On"),SUMIFS(TBA_Matches_All[[#This Row],[Harmony]],TBA_Matches_All[[#This Row],[stageStat]],"On"))</f>
        <v>3</v>
      </c>
      <c r="CX304" s="59">
        <f>IFERROR(TBA_Matches_All[[#This Row],[stageptsT]]/TBA_Matches_All[[#This Row],[StagePts]],0)</f>
        <v>0.75</v>
      </c>
      <c r="CY304">
        <f>SUM((TBA_Matches_All[[#This Row],[AptsT]]+TBA_Matches_All[[#This Row],[TampT]]+TBA_Matches_All[[#This Row],[TspkrptsC]]+(TBA_Matches_All[[#This Row],[TtrapT]]*5)+TBA_Matches_All[[#This Row],[stageptsT]]))</f>
        <v>26.8</v>
      </c>
      <c r="CZ304" s="59">
        <f>IFERROR(SUM(TBA_Matches_All[[#This Row],[TotptsC]]/TBA_Matches_All[[#This Row],[Score]]),0)</f>
        <v>0.51538461538461544</v>
      </c>
      <c r="DA30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10.373333333333333</v>
      </c>
      <c r="DB304" s="74">
        <f>SUMIFS(TBA_Matches_All[AveTeamTNoteDels],TBA_Matches_All[Match_Number],TBA_Matches_All[[#This Row],[Match_Number]],TBA_Matches_All[Alliance],"&lt;&gt;"&amp;TBA_Matches_All[[#This Row],[Alliance]],TBA_Matches_All[Scouted],"&gt;0")</f>
        <v>35.52688311688312</v>
      </c>
      <c r="DC304" s="74">
        <f>(TBA_Matches_All[[#This Row],[TampT]]+TBA_Matches_All[[#This Row],[TspkrptsC]])-TBA_Matches_All[[#This Row],[AveTeamTNoteDels]]</f>
        <v>1.4266666666666676</v>
      </c>
      <c r="DD304" s="74">
        <f>SUMIFS(TBA_Matches_All[AveTeamTNoteDels],TBA_Matches_All[Match_Number],TBA_Matches_All[[#This Row],[Match_Number]],TBA_Matches_All[Alliance],"&lt;&gt;"&amp;TBA_Matches_All[[#This Row],[Alliance]])-TBA_Matches_All[[#This Row],[AveOppTNoteDels]]</f>
        <v>0</v>
      </c>
    </row>
    <row r="305" spans="1:108" x14ac:dyDescent="0.3">
      <c r="A305" t="s">
        <v>1042</v>
      </c>
      <c r="B305" t="s">
        <v>489</v>
      </c>
      <c r="C305" t="s">
        <v>1360</v>
      </c>
      <c r="D305">
        <v>51</v>
      </c>
      <c r="E305" t="s">
        <v>1420</v>
      </c>
      <c r="F305" t="s">
        <v>1421</v>
      </c>
      <c r="G305" t="s">
        <v>164</v>
      </c>
      <c r="H305" t="s">
        <v>1300</v>
      </c>
      <c r="I305" t="b">
        <v>1</v>
      </c>
      <c r="J305">
        <v>53</v>
      </c>
      <c r="K305">
        <v>1</v>
      </c>
      <c r="L305">
        <v>0</v>
      </c>
      <c r="M305">
        <v>10</v>
      </c>
      <c r="N305">
        <v>0</v>
      </c>
      <c r="O305">
        <v>2</v>
      </c>
      <c r="P305">
        <v>10</v>
      </c>
      <c r="Q305">
        <v>14</v>
      </c>
      <c r="R305">
        <v>1</v>
      </c>
      <c r="S305">
        <v>0</v>
      </c>
      <c r="T305">
        <v>12</v>
      </c>
      <c r="U305">
        <v>0</v>
      </c>
      <c r="V305">
        <v>24</v>
      </c>
      <c r="W305">
        <v>12</v>
      </c>
      <c r="X305">
        <v>24</v>
      </c>
      <c r="Y305">
        <v>25</v>
      </c>
      <c r="Z305">
        <v>0</v>
      </c>
      <c r="AA305">
        <v>0</v>
      </c>
      <c r="AB305">
        <v>15</v>
      </c>
      <c r="AC305">
        <v>35</v>
      </c>
      <c r="AD305">
        <v>9</v>
      </c>
      <c r="AE305">
        <f>IFERROR(6/(COUNTIF(Dyno_EndMatch[Match],TBA_Matches_All[[#This Row],[Match_Number]])),0)</f>
        <v>1</v>
      </c>
      <c r="AF305">
        <f>COUNTIFS(Dyno_Data[Team],TBA_Matches_All[[#This Row],[Team]],Dyno_Data[Match],TBA_Matches_All[[#This Row],[Match_Number]],Dyno_Data[RecordType],"EndMatch",Dyno_Data[HPAmp],"Y")</f>
        <v>0</v>
      </c>
      <c r="AG305">
        <f>SUMIFS(Dyno_Data[Mics], Dyno_Data[Team],TBA_Matches_All[[#This Row],[Team]],Dyno_Data[Match],TBA_Matches_All[[#This Row],[Match_Number]],Dyno_Data[RecordType],"EndMatch",Dyno_Data[HPAmp],"Y")</f>
        <v>0</v>
      </c>
      <c r="AH305">
        <f>SUMIFS(Dyno_Data[Leave], Dyno_Data[Team],TBA_Matches_All[[#This Row],[Team]],Dyno_Data[Match],TBA_Matches_All[[#This Row],[Match_Number]],Dyno_Data[RecordType],"EndAuto")</f>
        <v>0</v>
      </c>
      <c r="AI305">
        <f>COUNTIFS(Dyno_Data[Team],TBA_Matches_All[[#This Row],[Team]],Dyno_Data[Match],TBA_Matches_All[[#This Row],[Match_Number]],Dyno_Data[RecordType],"Activities",Dyno_Data[DelDest],"Amp", Dyno_Data[DelMiss],"0", Dyno_Data[Mode],"Auto")</f>
        <v>0</v>
      </c>
      <c r="AJ305">
        <f>COUNTIFS(Dyno_Data[Team],TBA_Matches_All[[#This Row],[Team]],Dyno_Data[Match],TBA_Matches_All[[#This Row],[Match_Number]],Dyno_Data[RecordType],"Activities",Dyno_Data[DelDest],"Spkr", Dyno_Data[DelMiss],"0", Dyno_Data[Mode],"Auto")</f>
        <v>3</v>
      </c>
      <c r="AK305">
        <f>COUNTIFS(Dyno_Data[Team],TBA_Matches_All[[#This Row],[Team]],Dyno_Data[Match],TBA_Matches_All[[#This Row],[Match_Number]],Dyno_Data[RecordType],"Activities",Dyno_Data[DelDest],"Trap", Dyno_Data[DelMiss],"0", Dyno_Data[Mode],"Auto")</f>
        <v>0</v>
      </c>
      <c r="AL305">
        <f>COUNTIFS(Dyno_Data[Team],TBA_Matches_All[[#This Row],[Team]],Dyno_Data[Match],TBA_Matches_All[[#This Row],[Match_Number]],Dyno_Data[RecordType],"Activities",Dyno_Data[DelDest],"Amp", Dyno_Data[DelMiss],"0", Dyno_Data[Mode],"Teleop")</f>
        <v>0</v>
      </c>
      <c r="AM305">
        <f>COUNTIFS(Dyno_Data[Team],TBA_Matches_All[[#This Row],[Team]],Dyno_Data[Match],TBA_Matches_All[[#This Row],[Match_Number]],Dyno_Data[RecordType],"Activities",Dyno_Data[DelDest],"Spkr", Dyno_Data[DelMiss],"0", Dyno_Data[Mode],"Teleop")</f>
        <v>5</v>
      </c>
      <c r="AN305">
        <f>COUNTIFS(Dyno_Data[Team],TBA_Matches_All[[#This Row],[Team]],Dyno_Data[Match],TBA_Matches_All[[#This Row],[Match_Number]],Dyno_Data[RecordType],"Activities",Dyno_Data[DelDest],"Trap", Dyno_Data[DelMiss],"0", Dyno_Data[Mode],"&lt;&gt;Auto")</f>
        <v>0</v>
      </c>
      <c r="AO305">
        <f>SUM(TBA_Matches_All[[#This Row],[AampT]]+TBA_Matches_All[[#This Row],[AspkrT]]+TBA_Matches_All[[#This Row],[AtrapT]]+TBA_Matches_All[[#This Row],[TampT]]+TBA_Matches_All[[#This Row],[TspkrT]]+TBA_Matches_All[[#This Row],[TtrapT]])</f>
        <v>8</v>
      </c>
      <c r="AP305">
        <f>COUNTIFS(Dyno_Data[Team],TBA_Matches_All[[#This Row],[Team]],Dyno_Data[Match],TBA_Matches_All[[#This Row],[Match_Number]],Dyno_Data[RecordType],"Activities",Dyno_Data[DelDest],"Neut", Dyno_Data[DelMiss],"0")</f>
        <v>0</v>
      </c>
      <c r="AQ305">
        <f>COUNTIFS(Dyno_Data[Team],TBA_Matches_All[[#This Row],[Team]],Dyno_Data[Match],TBA_Matches_All[[#This Row],[Match_Number]],Dyno_Data[RecordType],"Activities",Dyno_Data[DelDest],"AllyW", Dyno_Data[DelMiss],"0")</f>
        <v>0</v>
      </c>
      <c r="AR305" t="str">
        <f>_xlfn.XLOOKUP(SUM(MID(TBA_Matches_All[[#This Row],[Team]],4,5),(TBA_Matches_All[[#This Row],[Match_Number]]/100)),Dyno_EndMatch[teammat],Dyno_EndMatch[RobotSta],"_",0,1)</f>
        <v>SubW</v>
      </c>
      <c r="AS305">
        <f>SUMIFS(Dyno_Data[AcqDis], Dyno_Data[Team],TBA_Matches_All[[#This Row],[Team]],Dyno_Data[Match],TBA_Matches_All[[#This Row],[Match_Number]],Dyno_Data[RecordType],"Activities", Dyno_Data[AcqCenter],1,Dyno_Data[Mode],"Auto")</f>
        <v>0</v>
      </c>
      <c r="AT305">
        <f>SUMIFS(Dyno_Data[AcqDis], Dyno_Data[Team],TBA_Matches_All[[#This Row],[Team]],Dyno_Data[Match],TBA_Matches_All[[#This Row],[Match_Number]],Dyno_Data[RecordType],"Activities", Dyno_Data[AcqCenter],2,Dyno_Data[Mode],"Auto")</f>
        <v>0</v>
      </c>
      <c r="AU305">
        <f>SUMIFS(Dyno_Data[AcqDis], Dyno_Data[Team],TBA_Matches_All[[#This Row],[Team]],Dyno_Data[Match],TBA_Matches_All[[#This Row],[Match_Number]],Dyno_Data[RecordType],"Activities", Dyno_Data[AcqCenter],3,Dyno_Data[Mode],"Auto")</f>
        <v>0</v>
      </c>
      <c r="AV305">
        <f>SUMIFS(Dyno_Data[AcqDis], Dyno_Data[Team],TBA_Matches_All[[#This Row],[Team]],Dyno_Data[Match],TBA_Matches_All[[#This Row],[Match_Number]],Dyno_Data[RecordType],"Activities", Dyno_Data[AcqCenter],4,Dyno_Data[Mode],"Auto")</f>
        <v>0</v>
      </c>
      <c r="AW305">
        <f>SUMIFS(Dyno_Data[AcqDis], Dyno_Data[Team],TBA_Matches_All[[#This Row],[Team]],Dyno_Data[Match],TBA_Matches_All[[#This Row],[Match_Number]],Dyno_Data[RecordType],"Activities", Dyno_Data[AcqCenter],5,Dyno_Data[Mode],"Auto")</f>
        <v>0</v>
      </c>
      <c r="AX305">
        <f>SUMIFS(Dyno_Data[DelMiss], Dyno_Data[Team],TBA_Matches_All[[#This Row],[Team]],Dyno_Data[Match],TBA_Matches_All[[#This Row],[Match_Number]],Dyno_Data[RecordType],"Activities", Dyno_Data[DelDest],"Amp")</f>
        <v>0</v>
      </c>
      <c r="AY305" s="60">
        <f>IFERROR(SUM((TBA_Matches_All[[#This Row],[AampT]]+TBA_Matches_All[[#This Row],[TampT]])/(TBA_Matches_All[[#This Row],[AampT]]+TBA_Matches_All[[#This Row],[TampT]]+TBA_Matches_All[[#This Row],[ampM]])),0)</f>
        <v>0</v>
      </c>
      <c r="AZ305">
        <f>SUMIFS(Dyno_Data[DelMiss], Dyno_Data[Team],TBA_Matches_All[[#This Row],[Team]],Dyno_Data[Match],TBA_Matches_All[[#This Row],[Match_Number]],Dyno_Data[RecordType],"Activities", Dyno_Data[DelDest],"Spkr")</f>
        <v>5</v>
      </c>
      <c r="BA305" s="60">
        <f>IFERROR(SUM((TBA_Matches_All[[#This Row],[AspkrT]]+TBA_Matches_All[[#This Row],[TspkrT]])/(TBA_Matches_All[[#This Row],[AspkrT]]+TBA_Matches_All[[#This Row],[TspkrT]]+TBA_Matches_All[[#This Row],[spkrM]])),0)</f>
        <v>0.61538461538461542</v>
      </c>
      <c r="BB305">
        <f>SUMIFS(Dyno_Data[DelMiss], Dyno_Data[Team],TBA_Matches_All[[#This Row],[Team]],Dyno_Data[Match],TBA_Matches_All[[#This Row],[Match_Number]],Dyno_Data[RecordType],"Activities", Dyno_Data[DelDest],"Trap")</f>
        <v>0</v>
      </c>
      <c r="BC305" s="60">
        <f>IFERROR((TBA_Matches_All[[#This Row],[AtrapT]]+TBA_Matches_All[[#This Row],[TtrapT]])/(TBA_Matches_All[[#This Row],[AtrapT]]+TBA_Matches_All[[#This Row],[TtrapT]]+TBA_Matches_All[[#This Row],[trapM]]),0)</f>
        <v>0</v>
      </c>
      <c r="BD305">
        <f>COUNTIFS(Dyno_Data[Team],TBA_Matches_All[[#This Row],[Team]],Dyno_Data[Match],TBA_Matches_All[[#This Row],[Match_Number]],Dyno_Data[RecordType],"Activities",Dyno_Data[DelDest],"Neut", Dyno_Data[DelMiss],1)</f>
        <v>0</v>
      </c>
      <c r="BE305" s="60">
        <f>IFERROR(SUM((TBA_Matches_All[[#This Row],[NeutFlrT]])/(TBA_Matches_All[[#This Row],[NeutFlrT]]+TBA_Matches_All[[#This Row],[NZflM]])),0)</f>
        <v>0</v>
      </c>
      <c r="BF305">
        <f>COUNTIFS(Dyno_Data[Team],TBA_Matches_All[[#This Row],[Team]],Dyno_Data[Match],TBA_Matches_All[[#This Row],[Match_Number]],Dyno_Data[RecordType],"Activities",Dyno_Data[DelDest],"AllyW", Dyno_Data[DelMiss],1)</f>
        <v>0</v>
      </c>
      <c r="BG305" s="60">
        <f>IFERROR(SUM((TBA_Matches_All[[#This Row],[AllyWFlrT]])/(TBA_Matches_All[[#This Row],[AllyWFlrT]]+TBA_Matches_All[[#This Row],[AZflM]])),0)</f>
        <v>0</v>
      </c>
      <c r="BH305">
        <f>COUNTIFS(Dyno_Data[Team],TBA_Matches_All[[#This Row],[Team]],Dyno_Data[Match],TBA_Matches_All[[#This Row],[Match_Number]],Dyno_Data[RecordType],"Activities",Dyno_Data[DelOrig],"OppW", Dyno_Data[DelMiss],"0")</f>
        <v>0</v>
      </c>
      <c r="BI305">
        <f>COUNTIFS(Dyno_Data[Team],TBA_Matches_All[[#This Row],[Team]],Dyno_Data[Match],TBA_Matches_All[[#This Row],[Match_Number]],Dyno_Data[RecordType],"Activities",Dyno_Data[DelOrig],"OppW", Dyno_Data[DelMiss],"1")</f>
        <v>0</v>
      </c>
      <c r="BJ305" s="60">
        <f>IFERROR(SUM((TBA_Matches_All[[#This Row],[OZflrT]])/(TBA_Matches_All[[#This Row],[OZflrT]]+TBA_Matches_All[[#This Row],[OZflrM]])),0)</f>
        <v>0</v>
      </c>
      <c r="BK305">
        <f>COUNTIFS(Dyno_Data[Team],TBA_Matches_All[[#This Row],[Team]],Dyno_Data[Match],TBA_Matches_All[[#This Row],[Match_Number]],Dyno_Data[RecordType],"Activities",Dyno_Data[DelOrig],"Neut", Dyno_Data[DelMiss],"0")</f>
        <v>0</v>
      </c>
      <c r="BL305">
        <f>COUNTIFS(Dyno_Data[Team],TBA_Matches_All[[#This Row],[Team]],Dyno_Data[Match],TBA_Matches_All[[#This Row],[Match_Number]],Dyno_Data[RecordType],"Activities",Dyno_Data[DelOrig],"Neut", Dyno_Data[DelMiss],"1")</f>
        <v>0</v>
      </c>
      <c r="BM305" s="60">
        <f>IFERROR(SUM((TBA_Matches_All[[#This Row],[NZflrT]])/(TBA_Matches_All[[#This Row],[NZflrT]]+TBA_Matches_All[[#This Row],[NZflrM]])),0)</f>
        <v>0</v>
      </c>
      <c r="BN305">
        <f>COUNTIFS(Dyno_Data[Team],TBA_Matches_All[[#This Row],[Team]],Dyno_Data[Match],TBA_Matches_All[[#This Row],[Match_Number]],Dyno_Data[RecordType],"Activities",Dyno_Data[DelOrig],"AllyW", Dyno_Data[DelMiss],"0")</f>
        <v>5</v>
      </c>
      <c r="BO305">
        <f>COUNTIFS(Dyno_Data[Team],TBA_Matches_All[[#This Row],[Team]],Dyno_Data[Match],TBA_Matches_All[[#This Row],[Match_Number]],Dyno_Data[RecordType],"Activities",Dyno_Data[DelOrig],"AllyW", Dyno_Data[DelMiss],"1")</f>
        <v>4</v>
      </c>
      <c r="BP305" s="60">
        <f>IFERROR(SUM((TBA_Matches_All[[#This Row],[AZflrT]])/(TBA_Matches_All[[#This Row],[AZflrT]]+TBA_Matches_All[[#This Row],[AZflrM]])),0)</f>
        <v>0.55555555555555558</v>
      </c>
      <c r="BQ305">
        <f>COUNTIFS(Dyno_Data[Team],TBA_Matches_All[[#This Row],[Team]],Dyno_Data[Match],TBA_Matches_All[[#This Row],[Match_Number]],Dyno_Data[RecordType],"Activities",Dyno_Data[DelOrig],"SubW", Dyno_Data[DelMiss],"0")</f>
        <v>3</v>
      </c>
      <c r="BR305">
        <f>COUNTIFS(Dyno_Data[Team],TBA_Matches_All[[#This Row],[Team]],Dyno_Data[Match],TBA_Matches_All[[#This Row],[Match_Number]],Dyno_Data[RecordType],"Activities",Dyno_Data[DelOrig],"SubW", Dyno_Data[DelMiss],"1")</f>
        <v>1</v>
      </c>
      <c r="BS305" s="60">
        <f>IFERROR(SUM((TBA_Matches_All[[#This Row],[SubwT]])/(TBA_Matches_All[[#This Row],[SubwT]]+TBA_Matches_All[[#This Row],[SubwM]])),0)</f>
        <v>0.75</v>
      </c>
      <c r="BT305">
        <f>COUNTIFS(Dyno_Data[Team],TBA_Matches_All[[#This Row],[Team]],Dyno_Data[Match],TBA_Matches_All[[#This Row],[Match_Number]],Dyno_Data[RecordType],"Activities", Dyno_Data[AcqLoc],"OppWing")</f>
        <v>0</v>
      </c>
      <c r="BU305">
        <f>COUNTIFS(Dyno_Data[Team],TBA_Matches_All[[#This Row],[Team]],Dyno_Data[Match],TBA_Matches_All[[#This Row],[Match_Number]],Dyno_Data[RecordType],"Activities", Dyno_Data[AcqLoc],"Neutral")</f>
        <v>0</v>
      </c>
      <c r="BV305">
        <f>COUNTIFS(Dyno_Data[Team],TBA_Matches_All[[#This Row],[Team]],Dyno_Data[Match],TBA_Matches_All[[#This Row],[Match_Number]],Dyno_Data[RecordType],"Activities", Dyno_Data[AcqLoc],"AllyWing")</f>
        <v>0</v>
      </c>
      <c r="BW305">
        <f>COUNTIFS(Dyno_Data[Team],TBA_Matches_All[[#This Row],[Team]],Dyno_Data[Match],TBA_Matches_All[[#This Row],[Match_Number]],Dyno_Data[RecordType],"Activities", Dyno_Data[AcqLoc],"Source")</f>
        <v>0</v>
      </c>
      <c r="BX305">
        <f>SUMIFS(Dyno_Data[AcqDrp], Dyno_Data[Team],TBA_Matches_All[[#This Row],[Team]],Dyno_Data[Match],TBA_Matches_All[[#This Row],[Match_Number]],Dyno_Data[RecordType],"Activities", Dyno_Data[AcqLoc],"Source")</f>
        <v>0</v>
      </c>
      <c r="BY305">
        <f>SUMIFS(Dyno_Data[OZTime], Dyno_Data[Team],TBA_Matches_All[[#This Row],[Team]],Dyno_Data[Match],TBA_Matches_All[[#This Row],[Match_Number]],Dyno_Data[RecordType],"EndMatch")</f>
        <v>19.764181000000001</v>
      </c>
      <c r="BZ305">
        <f>SUMIFS(Dyno_Data[NZTime], Dyno_Data[Team],TBA_Matches_All[[#This Row],[Team]],Dyno_Data[Match],TBA_Matches_All[[#This Row],[Match_Number]],Dyno_Data[RecordType],"EndMatch")</f>
        <v>16.410803699999999</v>
      </c>
      <c r="CA305">
        <f>SUMIFS(Dyno_Data[AZTime], Dyno_Data[Team],TBA_Matches_All[[#This Row],[Team]],Dyno_Data[Match],TBA_Matches_All[[#This Row],[Match_Number]],Dyno_Data[RecordType],"EndMatch")</f>
        <v>82.377286299999994</v>
      </c>
      <c r="CB305">
        <f>SUMIFS(Dyno_Data[ClimbT], Dyno_Data[Team],TBA_Matches_All[[#This Row],[Team]],Dyno_Data[Match],TBA_Matches_All[[#This Row],[Match_Number]],Dyno_Data[RecordType],"EndMatch")</f>
        <v>7.3785480999999997</v>
      </c>
      <c r="CC305" t="str">
        <f>_xlfn.XLOOKUP(SUM(MID(TBA_Matches_All[[#This Row],[Team]],4,5),(TBA_Matches_All[[#This Row],[Match_Number]]/100)),Dyno_EndMatch[teammat],Dyno_EndMatch[StageStat],"_",0,1)</f>
        <v>On</v>
      </c>
      <c r="CD305" t="str">
        <f>_xlfn.XLOOKUP(TBA_Matches_All[[#This Row],[teammat]],Dyno_EndMatch[teammat],Dyno_EndMatch[StageAtt],"_",0,1)</f>
        <v>1</v>
      </c>
      <c r="CE305" t="str">
        <f>_xlfn.XLOOKUP(TBA_Matches_All[[#This Row],[teammat]],Dyno_EndMatch[teammat],Dyno_EndMatch[StageLoc],"_",0,1)</f>
        <v>L</v>
      </c>
      <c r="CF305">
        <f>SUMIFS(Dyno_Data[Harmony], Dyno_Data[Team],TBA_Matches_All[[#This Row],[Team]],Dyno_Data[Match],TBA_Matches_All[[#This Row],[Match_Number]],Dyno_Data[RecordType],"EndMatch", Dyno_Data[StageStat],"On",Dyno_Data[Harmony],"&lt;&gt;9")</f>
        <v>1</v>
      </c>
      <c r="CG305">
        <f>SUMIFS(Dyno_Data[Spotlit], Dyno_Data[Team],TBA_Matches_All[[#This Row],[Team]],Dyno_Data[Match],TBA_Matches_All[[#This Row],[Match_Number]],Dyno_Data[RecordType],"EndMatch", Dyno_Data[StageStat],"On",Dyno_Data[Spotlit],"&lt;&gt;9")</f>
        <v>0</v>
      </c>
      <c r="CH305" t="str">
        <f>_xlfn.XLOOKUP(TBA_Matches_All[[#This Row],[teammat]],Dyno_EndMatch[teammat],Dyno_EndMatch[Strategy],"_",0,1)</f>
        <v>Shooter</v>
      </c>
      <c r="CI305">
        <f>SUMIFS(Dyno_Data[Defense], Dyno_Data[Team],TBA_Matches_All[[#This Row],[Team]],Dyno_Data[Match],TBA_Matches_All[[#This Row],[Match_Number]],Dyno_Data[RecordType],"EndMatch",Dyno_Data[Defense],"&lt;&gt;9")</f>
        <v>0</v>
      </c>
      <c r="CJ305">
        <f>SUMIFS(Dyno_Data[Avoidance], Dyno_Data[Team],TBA_Matches_All[[#This Row],[Team]],Dyno_Data[Match],TBA_Matches_All[[#This Row],[Match_Number]],Dyno_Data[RecordType],"EndMatch",Dyno_Data[Avoidance],"&lt;&gt;9")</f>
        <v>0</v>
      </c>
      <c r="CK305" s="82">
        <f>COUNTIF($H$2:TBA_Matches_All[[#This Row],[Team]],TBA_Matches_All[[#This Row],[Team]])</f>
        <v>6</v>
      </c>
      <c r="CL305" s="111">
        <f>SUM(MID(TBA_Matches_All[[#This Row],[Team]],4,5)+TBA_Matches_All[[#This Row],[Match_Number]]/100)</f>
        <v>3044.51</v>
      </c>
      <c r="CM305">
        <f>SUM((TBA_Matches_All[[#This Row],[Leave]]*2)+(TBA_Matches_All[[#This Row],[AampT]]*2)+(TBA_Matches_All[[#This Row],[AspkrT]]*5)+(TBA_Matches_All[[#This Row],[AtrapT]]*5))</f>
        <v>15</v>
      </c>
      <c r="CN305" s="59">
        <f>IFERROR(SUM(TBA_Matches_All[[#This Row],[AptsT]]/TBA_Matches_All[[#This Row],[AutoPts]]),0)</f>
        <v>1.0714285714285714</v>
      </c>
      <c r="CO305" s="59">
        <f>IFERROR(SUM(TBA_Matches_All[[#This Row],[AampT]]+TBA_Matches_All[[#This Row],[AspkrT]]+TBA_Matches_All[[#This Row],[AtrapT]]/TBA_Matches_All[[#This Row],[Aamp]]+TBA_Matches_All[[#This Row],[Aspkr]]+TBA_Matches_All[[#This Row],[AtrapT]]),0)</f>
        <v>0</v>
      </c>
      <c r="CP305" s="59">
        <f>IFERROR(SUM(TBA_Matches_All[[#This Row],[TampT]]/TBA_Matches_All[[#This Row],[Tamp]]),0)</f>
        <v>0</v>
      </c>
      <c r="CQ305" s="59">
        <f>IFERROR(SUM(TBA_Matches_All[[#This Row],[TspkrT]]/TBA_Matches_All[[#This Row],[Tspkr]]),0)</f>
        <v>0.41666666666666669</v>
      </c>
      <c r="CR305">
        <f>SUM(TBA_Matches_All[[#This Row],[TspkrPts]]*TBA_Matches_All[[#This Row],[TspkrP]])</f>
        <v>10</v>
      </c>
      <c r="CS305" s="59">
        <f>IFERROR(SUM(TBA_Matches_All[[#This Row],[TtrapT]]/TBA_Matches_All[[#This Row],[Trap]]),0)</f>
        <v>0</v>
      </c>
      <c r="CT305" s="59">
        <f>IFERROR(SUM(TBA_Matches_All[[#This Row],[TotNotesT]]/TBA_Matches_All[[#This Row],[TotNotes]]),0)</f>
        <v>0.53333333333333333</v>
      </c>
      <c r="CU305" s="66">
        <f>SUM((TBA_Matches_All[[#This Row],[AampT]]*2)+(TBA_Matches_All[[#This Row],[AspkrT]]*5)+(TBA_Matches_All[[#This Row],[AtrapT]]*5)+(TBA_Matches_All[[#This Row],[TampT]]*1)+(TBA_Matches_All[[#This Row],[TspkrptsC]]))</f>
        <v>25</v>
      </c>
      <c r="CV305" s="59">
        <f>IFERROR(TBA_Matches_All[[#This Row],[noteptsT]]/TBA_Matches_All[[#This Row],[NotePts]],0)</f>
        <v>0.7142857142857143</v>
      </c>
      <c r="CW305">
        <f>SUM(IF(TBA_Matches_All[[#This Row],[stageStat]]="On",3,0),IF(TBA_Matches_All[[#This Row],[stageStat]]="Park",1,0),SUMIFS(TBA_Matches_All[[#This Row],[Spotlit]],TBA_Matches_All[[#This Row],[stageStat]],"On"),SUMIFS(TBA_Matches_All[[#This Row],[Harmony]],TBA_Matches_All[[#This Row],[stageStat]],"On"))</f>
        <v>4</v>
      </c>
      <c r="CX305" s="59">
        <f>IFERROR(TBA_Matches_All[[#This Row],[stageptsT]]/TBA_Matches_All[[#This Row],[StagePts]],0)</f>
        <v>0.44444444444444442</v>
      </c>
      <c r="CY305">
        <f>SUM((TBA_Matches_All[[#This Row],[AptsT]]+TBA_Matches_All[[#This Row],[TampT]]+TBA_Matches_All[[#This Row],[TspkrptsC]]+(TBA_Matches_All[[#This Row],[TtrapT]]*5)+TBA_Matches_All[[#This Row],[stageptsT]]))</f>
        <v>29</v>
      </c>
      <c r="CZ305" s="59">
        <f>IFERROR(SUM(TBA_Matches_All[[#This Row],[TotptsC]]/TBA_Matches_All[[#This Row],[Score]]),0)</f>
        <v>0.54716981132075471</v>
      </c>
      <c r="DA30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13.771428571428572</v>
      </c>
      <c r="DB305" s="74">
        <f>SUMIFS(TBA_Matches_All[AveTeamTNoteDels],TBA_Matches_All[Match_Number],TBA_Matches_All[[#This Row],[Match_Number]],TBA_Matches_All[Alliance],"&lt;&gt;"&amp;TBA_Matches_All[[#This Row],[Alliance]],TBA_Matches_All[Scouted],"&gt;0")</f>
        <v>23.698258408258408</v>
      </c>
      <c r="DC305" s="74">
        <f>(TBA_Matches_All[[#This Row],[TampT]]+TBA_Matches_All[[#This Row],[TspkrptsC]])-TBA_Matches_All[[#This Row],[AveTeamTNoteDels]]</f>
        <v>-3.7714285714285722</v>
      </c>
      <c r="DD305" s="74">
        <f>SUMIFS(TBA_Matches_All[AveTeamTNoteDels],TBA_Matches_All[Match_Number],TBA_Matches_All[[#This Row],[Match_Number]],TBA_Matches_All[Alliance],"&lt;&gt;"&amp;TBA_Matches_All[[#This Row],[Alliance]])-TBA_Matches_All[[#This Row],[AveOppTNoteDels]]</f>
        <v>0</v>
      </c>
    </row>
    <row r="306" spans="1:108" x14ac:dyDescent="0.3">
      <c r="A306" t="s">
        <v>1042</v>
      </c>
      <c r="B306" t="s">
        <v>489</v>
      </c>
      <c r="C306" t="s">
        <v>1360</v>
      </c>
      <c r="D306">
        <v>51</v>
      </c>
      <c r="E306" t="s">
        <v>1406</v>
      </c>
      <c r="F306" t="s">
        <v>1422</v>
      </c>
      <c r="G306" t="s">
        <v>105</v>
      </c>
      <c r="H306" t="s">
        <v>1275</v>
      </c>
      <c r="I306" t="b">
        <v>1</v>
      </c>
      <c r="J306">
        <v>52</v>
      </c>
      <c r="K306">
        <v>0</v>
      </c>
      <c r="L306">
        <v>0</v>
      </c>
      <c r="M306">
        <v>5</v>
      </c>
      <c r="N306">
        <v>0</v>
      </c>
      <c r="O306">
        <v>3</v>
      </c>
      <c r="P306">
        <v>15</v>
      </c>
      <c r="Q306">
        <v>21</v>
      </c>
      <c r="R306">
        <v>4</v>
      </c>
      <c r="S306">
        <v>1</v>
      </c>
      <c r="T306">
        <v>4</v>
      </c>
      <c r="U306">
        <v>5</v>
      </c>
      <c r="V306">
        <v>8</v>
      </c>
      <c r="W306">
        <v>5</v>
      </c>
      <c r="X306">
        <v>13</v>
      </c>
      <c r="Y306">
        <v>17</v>
      </c>
      <c r="Z306">
        <v>0</v>
      </c>
      <c r="AA306">
        <v>0</v>
      </c>
      <c r="AB306">
        <v>12</v>
      </c>
      <c r="AC306">
        <v>32</v>
      </c>
      <c r="AD306">
        <v>4</v>
      </c>
      <c r="AE306">
        <f>IFERROR(6/(COUNTIF(Dyno_EndMatch[Match],TBA_Matches_All[[#This Row],[Match_Number]])),0)</f>
        <v>1</v>
      </c>
      <c r="AF306">
        <f>COUNTIFS(Dyno_Data[Team],TBA_Matches_All[[#This Row],[Team]],Dyno_Data[Match],TBA_Matches_All[[#This Row],[Match_Number]],Dyno_Data[RecordType],"EndMatch",Dyno_Data[HPAmp],"Y")</f>
        <v>0</v>
      </c>
      <c r="AG306">
        <f>SUMIFS(Dyno_Data[Mics], Dyno_Data[Team],TBA_Matches_All[[#This Row],[Team]],Dyno_Data[Match],TBA_Matches_All[[#This Row],[Match_Number]],Dyno_Data[RecordType],"EndMatch",Dyno_Data[HPAmp],"Y")</f>
        <v>0</v>
      </c>
      <c r="AH306">
        <f>SUMIFS(Dyno_Data[Leave], Dyno_Data[Team],TBA_Matches_All[[#This Row],[Team]],Dyno_Data[Match],TBA_Matches_All[[#This Row],[Match_Number]],Dyno_Data[RecordType],"EndAuto")</f>
        <v>1</v>
      </c>
      <c r="AI306">
        <f>COUNTIFS(Dyno_Data[Team],TBA_Matches_All[[#This Row],[Team]],Dyno_Data[Match],TBA_Matches_All[[#This Row],[Match_Number]],Dyno_Data[RecordType],"Activities",Dyno_Data[DelDest],"Amp", Dyno_Data[DelMiss],"0", Dyno_Data[Mode],"Auto")</f>
        <v>0</v>
      </c>
      <c r="AJ306">
        <f>COUNTIFS(Dyno_Data[Team],TBA_Matches_All[[#This Row],[Team]],Dyno_Data[Match],TBA_Matches_All[[#This Row],[Match_Number]],Dyno_Data[RecordType],"Activities",Dyno_Data[DelDest],"Spkr", Dyno_Data[DelMiss],"0", Dyno_Data[Mode],"Auto")</f>
        <v>1</v>
      </c>
      <c r="AK306">
        <f>COUNTIFS(Dyno_Data[Team],TBA_Matches_All[[#This Row],[Team]],Dyno_Data[Match],TBA_Matches_All[[#This Row],[Match_Number]],Dyno_Data[RecordType],"Activities",Dyno_Data[DelDest],"Trap", Dyno_Data[DelMiss],"0", Dyno_Data[Mode],"Auto")</f>
        <v>0</v>
      </c>
      <c r="AL306">
        <f>COUNTIFS(Dyno_Data[Team],TBA_Matches_All[[#This Row],[Team]],Dyno_Data[Match],TBA_Matches_All[[#This Row],[Match_Number]],Dyno_Data[RecordType],"Activities",Dyno_Data[DelDest],"Amp", Dyno_Data[DelMiss],"0", Dyno_Data[Mode],"Teleop")</f>
        <v>0</v>
      </c>
      <c r="AM306">
        <f>COUNTIFS(Dyno_Data[Team],TBA_Matches_All[[#This Row],[Team]],Dyno_Data[Match],TBA_Matches_All[[#This Row],[Match_Number]],Dyno_Data[RecordType],"Activities",Dyno_Data[DelDest],"Spkr", Dyno_Data[DelMiss],"0", Dyno_Data[Mode],"Teleop")</f>
        <v>0</v>
      </c>
      <c r="AN306">
        <f>COUNTIFS(Dyno_Data[Team],TBA_Matches_All[[#This Row],[Team]],Dyno_Data[Match],TBA_Matches_All[[#This Row],[Match_Number]],Dyno_Data[RecordType],"Activities",Dyno_Data[DelDest],"Trap", Dyno_Data[DelMiss],"0", Dyno_Data[Mode],"&lt;&gt;Auto")</f>
        <v>0</v>
      </c>
      <c r="AO306">
        <f>SUM(TBA_Matches_All[[#This Row],[AampT]]+TBA_Matches_All[[#This Row],[AspkrT]]+TBA_Matches_All[[#This Row],[AtrapT]]+TBA_Matches_All[[#This Row],[TampT]]+TBA_Matches_All[[#This Row],[TspkrT]]+TBA_Matches_All[[#This Row],[TtrapT]])</f>
        <v>1</v>
      </c>
      <c r="AP306">
        <f>COUNTIFS(Dyno_Data[Team],TBA_Matches_All[[#This Row],[Team]],Dyno_Data[Match],TBA_Matches_All[[#This Row],[Match_Number]],Dyno_Data[RecordType],"Activities",Dyno_Data[DelDest],"Neut", Dyno_Data[DelMiss],"0")</f>
        <v>0</v>
      </c>
      <c r="AQ306">
        <f>COUNTIFS(Dyno_Data[Team],TBA_Matches_All[[#This Row],[Team]],Dyno_Data[Match],TBA_Matches_All[[#This Row],[Match_Number]],Dyno_Data[RecordType],"Activities",Dyno_Data[DelDest],"AllyW", Dyno_Data[DelMiss],"0")</f>
        <v>0</v>
      </c>
      <c r="AR306" t="str">
        <f>_xlfn.XLOOKUP(SUM(MID(TBA_Matches_All[[#This Row],[Team]],4,5),(TBA_Matches_All[[#This Row],[Match_Number]]/100)),Dyno_EndMatch[teammat],Dyno_EndMatch[RobotSta],"_",0,1)</f>
        <v>Amp</v>
      </c>
      <c r="AS306">
        <f>SUMIFS(Dyno_Data[AcqDis], Dyno_Data[Team],TBA_Matches_All[[#This Row],[Team]],Dyno_Data[Match],TBA_Matches_All[[#This Row],[Match_Number]],Dyno_Data[RecordType],"Activities", Dyno_Data[AcqCenter],1,Dyno_Data[Mode],"Auto")</f>
        <v>0</v>
      </c>
      <c r="AT306">
        <f>SUMIFS(Dyno_Data[AcqDis], Dyno_Data[Team],TBA_Matches_All[[#This Row],[Team]],Dyno_Data[Match],TBA_Matches_All[[#This Row],[Match_Number]],Dyno_Data[RecordType],"Activities", Dyno_Data[AcqCenter],2,Dyno_Data[Mode],"Auto")</f>
        <v>0</v>
      </c>
      <c r="AU306">
        <f>SUMIFS(Dyno_Data[AcqDis], Dyno_Data[Team],TBA_Matches_All[[#This Row],[Team]],Dyno_Data[Match],TBA_Matches_All[[#This Row],[Match_Number]],Dyno_Data[RecordType],"Activities", Dyno_Data[AcqCenter],3,Dyno_Data[Mode],"Auto")</f>
        <v>0</v>
      </c>
      <c r="AV306">
        <f>SUMIFS(Dyno_Data[AcqDis], Dyno_Data[Team],TBA_Matches_All[[#This Row],[Team]],Dyno_Data[Match],TBA_Matches_All[[#This Row],[Match_Number]],Dyno_Data[RecordType],"Activities", Dyno_Data[AcqCenter],4,Dyno_Data[Mode],"Auto")</f>
        <v>0</v>
      </c>
      <c r="AW306">
        <f>SUMIFS(Dyno_Data[AcqDis], Dyno_Data[Team],TBA_Matches_All[[#This Row],[Team]],Dyno_Data[Match],TBA_Matches_All[[#This Row],[Match_Number]],Dyno_Data[RecordType],"Activities", Dyno_Data[AcqCenter],5,Dyno_Data[Mode],"Auto")</f>
        <v>0</v>
      </c>
      <c r="AX306">
        <f>SUMIFS(Dyno_Data[DelMiss], Dyno_Data[Team],TBA_Matches_All[[#This Row],[Team]],Dyno_Data[Match],TBA_Matches_All[[#This Row],[Match_Number]],Dyno_Data[RecordType],"Activities", Dyno_Data[DelDest],"Amp")</f>
        <v>0</v>
      </c>
      <c r="AY306" s="60">
        <f>IFERROR(SUM((TBA_Matches_All[[#This Row],[AampT]]+TBA_Matches_All[[#This Row],[TampT]])/(TBA_Matches_All[[#This Row],[AampT]]+TBA_Matches_All[[#This Row],[TampT]]+TBA_Matches_All[[#This Row],[ampM]])),0)</f>
        <v>0</v>
      </c>
      <c r="AZ306">
        <f>SUMIFS(Dyno_Data[DelMiss], Dyno_Data[Team],TBA_Matches_All[[#This Row],[Team]],Dyno_Data[Match],TBA_Matches_All[[#This Row],[Match_Number]],Dyno_Data[RecordType],"Activities", Dyno_Data[DelDest],"Spkr")</f>
        <v>0</v>
      </c>
      <c r="BA306" s="60">
        <f>IFERROR(SUM((TBA_Matches_All[[#This Row],[AspkrT]]+TBA_Matches_All[[#This Row],[TspkrT]])/(TBA_Matches_All[[#This Row],[AspkrT]]+TBA_Matches_All[[#This Row],[TspkrT]]+TBA_Matches_All[[#This Row],[spkrM]])),0)</f>
        <v>1</v>
      </c>
      <c r="BB306">
        <f>SUMIFS(Dyno_Data[DelMiss], Dyno_Data[Team],TBA_Matches_All[[#This Row],[Team]],Dyno_Data[Match],TBA_Matches_All[[#This Row],[Match_Number]],Dyno_Data[RecordType],"Activities", Dyno_Data[DelDest],"Trap")</f>
        <v>0</v>
      </c>
      <c r="BC306" s="60">
        <f>IFERROR((TBA_Matches_All[[#This Row],[AtrapT]]+TBA_Matches_All[[#This Row],[TtrapT]])/(TBA_Matches_All[[#This Row],[AtrapT]]+TBA_Matches_All[[#This Row],[TtrapT]]+TBA_Matches_All[[#This Row],[trapM]]),0)</f>
        <v>0</v>
      </c>
      <c r="BD306">
        <f>COUNTIFS(Dyno_Data[Team],TBA_Matches_All[[#This Row],[Team]],Dyno_Data[Match],TBA_Matches_All[[#This Row],[Match_Number]],Dyno_Data[RecordType],"Activities",Dyno_Data[DelDest],"Neut", Dyno_Data[DelMiss],1)</f>
        <v>0</v>
      </c>
      <c r="BE306" s="60">
        <f>IFERROR(SUM((TBA_Matches_All[[#This Row],[NeutFlrT]])/(TBA_Matches_All[[#This Row],[NeutFlrT]]+TBA_Matches_All[[#This Row],[NZflM]])),0)</f>
        <v>0</v>
      </c>
      <c r="BF306">
        <f>COUNTIFS(Dyno_Data[Team],TBA_Matches_All[[#This Row],[Team]],Dyno_Data[Match],TBA_Matches_All[[#This Row],[Match_Number]],Dyno_Data[RecordType],"Activities",Dyno_Data[DelDest],"AllyW", Dyno_Data[DelMiss],1)</f>
        <v>0</v>
      </c>
      <c r="BG306" s="60">
        <f>IFERROR(SUM((TBA_Matches_All[[#This Row],[AllyWFlrT]])/(TBA_Matches_All[[#This Row],[AllyWFlrT]]+TBA_Matches_All[[#This Row],[AZflM]])),0)</f>
        <v>0</v>
      </c>
      <c r="BH306">
        <f>COUNTIFS(Dyno_Data[Team],TBA_Matches_All[[#This Row],[Team]],Dyno_Data[Match],TBA_Matches_All[[#This Row],[Match_Number]],Dyno_Data[RecordType],"Activities",Dyno_Data[DelOrig],"OppW", Dyno_Data[DelMiss],"0")</f>
        <v>0</v>
      </c>
      <c r="BI306">
        <f>COUNTIFS(Dyno_Data[Team],TBA_Matches_All[[#This Row],[Team]],Dyno_Data[Match],TBA_Matches_All[[#This Row],[Match_Number]],Dyno_Data[RecordType],"Activities",Dyno_Data[DelOrig],"OppW", Dyno_Data[DelMiss],"1")</f>
        <v>0</v>
      </c>
      <c r="BJ306" s="60">
        <f>IFERROR(SUM((TBA_Matches_All[[#This Row],[OZflrT]])/(TBA_Matches_All[[#This Row],[OZflrT]]+TBA_Matches_All[[#This Row],[OZflrM]])),0)</f>
        <v>0</v>
      </c>
      <c r="BK306">
        <f>COUNTIFS(Dyno_Data[Team],TBA_Matches_All[[#This Row],[Team]],Dyno_Data[Match],TBA_Matches_All[[#This Row],[Match_Number]],Dyno_Data[RecordType],"Activities",Dyno_Data[DelOrig],"Neut", Dyno_Data[DelMiss],"0")</f>
        <v>0</v>
      </c>
      <c r="BL306">
        <f>COUNTIFS(Dyno_Data[Team],TBA_Matches_All[[#This Row],[Team]],Dyno_Data[Match],TBA_Matches_All[[#This Row],[Match_Number]],Dyno_Data[RecordType],"Activities",Dyno_Data[DelOrig],"Neut", Dyno_Data[DelMiss],"1")</f>
        <v>0</v>
      </c>
      <c r="BM306" s="60">
        <f>IFERROR(SUM((TBA_Matches_All[[#This Row],[NZflrT]])/(TBA_Matches_All[[#This Row],[NZflrT]]+TBA_Matches_All[[#This Row],[NZflrM]])),0)</f>
        <v>0</v>
      </c>
      <c r="BN306">
        <f>COUNTIFS(Dyno_Data[Team],TBA_Matches_All[[#This Row],[Team]],Dyno_Data[Match],TBA_Matches_All[[#This Row],[Match_Number]],Dyno_Data[RecordType],"Activities",Dyno_Data[DelOrig],"AllyW", Dyno_Data[DelMiss],"0")</f>
        <v>0</v>
      </c>
      <c r="BO306">
        <f>COUNTIFS(Dyno_Data[Team],TBA_Matches_All[[#This Row],[Team]],Dyno_Data[Match],TBA_Matches_All[[#This Row],[Match_Number]],Dyno_Data[RecordType],"Activities",Dyno_Data[DelOrig],"AllyW", Dyno_Data[DelMiss],"1")</f>
        <v>0</v>
      </c>
      <c r="BP306" s="60">
        <f>IFERROR(SUM((TBA_Matches_All[[#This Row],[AZflrT]])/(TBA_Matches_All[[#This Row],[AZflrT]]+TBA_Matches_All[[#This Row],[AZflrM]])),0)</f>
        <v>0</v>
      </c>
      <c r="BQ306">
        <f>COUNTIFS(Dyno_Data[Team],TBA_Matches_All[[#This Row],[Team]],Dyno_Data[Match],TBA_Matches_All[[#This Row],[Match_Number]],Dyno_Data[RecordType],"Activities",Dyno_Data[DelOrig],"SubW", Dyno_Data[DelMiss],"0")</f>
        <v>1</v>
      </c>
      <c r="BR306">
        <f>COUNTIFS(Dyno_Data[Team],TBA_Matches_All[[#This Row],[Team]],Dyno_Data[Match],TBA_Matches_All[[#This Row],[Match_Number]],Dyno_Data[RecordType],"Activities",Dyno_Data[DelOrig],"SubW", Dyno_Data[DelMiss],"1")</f>
        <v>0</v>
      </c>
      <c r="BS306" s="60">
        <f>IFERROR(SUM((TBA_Matches_All[[#This Row],[SubwT]])/(TBA_Matches_All[[#This Row],[SubwT]]+TBA_Matches_All[[#This Row],[SubwM]])),0)</f>
        <v>1</v>
      </c>
      <c r="BT306">
        <f>COUNTIFS(Dyno_Data[Team],TBA_Matches_All[[#This Row],[Team]],Dyno_Data[Match],TBA_Matches_All[[#This Row],[Match_Number]],Dyno_Data[RecordType],"Activities", Dyno_Data[AcqLoc],"OppWing")</f>
        <v>0</v>
      </c>
      <c r="BU306">
        <f>COUNTIFS(Dyno_Data[Team],TBA_Matches_All[[#This Row],[Team]],Dyno_Data[Match],TBA_Matches_All[[#This Row],[Match_Number]],Dyno_Data[RecordType],"Activities", Dyno_Data[AcqLoc],"Neutral")</f>
        <v>0</v>
      </c>
      <c r="BV306">
        <f>COUNTIFS(Dyno_Data[Team],TBA_Matches_All[[#This Row],[Team]],Dyno_Data[Match],TBA_Matches_All[[#This Row],[Match_Number]],Dyno_Data[RecordType],"Activities", Dyno_Data[AcqLoc],"AllyWing")</f>
        <v>0</v>
      </c>
      <c r="BW306">
        <f>COUNTIFS(Dyno_Data[Team],TBA_Matches_All[[#This Row],[Team]],Dyno_Data[Match],TBA_Matches_All[[#This Row],[Match_Number]],Dyno_Data[RecordType],"Activities", Dyno_Data[AcqLoc],"Source")</f>
        <v>0</v>
      </c>
      <c r="BX306">
        <f>SUMIFS(Dyno_Data[AcqDrp], Dyno_Data[Team],TBA_Matches_All[[#This Row],[Team]],Dyno_Data[Match],TBA_Matches_All[[#This Row],[Match_Number]],Dyno_Data[RecordType],"Activities", Dyno_Data[AcqLoc],"Source")</f>
        <v>0</v>
      </c>
      <c r="BY306">
        <f>SUMIFS(Dyno_Data[OZTime], Dyno_Data[Team],TBA_Matches_All[[#This Row],[Team]],Dyno_Data[Match],TBA_Matches_All[[#This Row],[Match_Number]],Dyno_Data[RecordType],"EndMatch")</f>
        <v>20.312870699999998</v>
      </c>
      <c r="BZ306">
        <f>SUMIFS(Dyno_Data[NZTime], Dyno_Data[Team],TBA_Matches_All[[#This Row],[Team]],Dyno_Data[Match],TBA_Matches_All[[#This Row],[Match_Number]],Dyno_Data[RecordType],"EndMatch")</f>
        <v>8.1776208999999991</v>
      </c>
      <c r="CA306">
        <f>SUMIFS(Dyno_Data[AZTime], Dyno_Data[Team],TBA_Matches_All[[#This Row],[Team]],Dyno_Data[Match],TBA_Matches_All[[#This Row],[Match_Number]],Dyno_Data[RecordType],"EndMatch")</f>
        <v>108.44502229999999</v>
      </c>
      <c r="CB306">
        <f>SUMIFS(Dyno_Data[ClimbT], Dyno_Data[Team],TBA_Matches_All[[#This Row],[Team]],Dyno_Data[Match],TBA_Matches_All[[#This Row],[Match_Number]],Dyno_Data[RecordType],"EndMatch")</f>
        <v>0</v>
      </c>
      <c r="CC306" t="str">
        <f>_xlfn.XLOOKUP(SUM(MID(TBA_Matches_All[[#This Row],[Team]],4,5),(TBA_Matches_All[[#This Row],[Match_Number]]/100)),Dyno_EndMatch[teammat],Dyno_EndMatch[StageStat],"_",0,1)</f>
        <v>Else</v>
      </c>
      <c r="CD306" t="str">
        <f>_xlfn.XLOOKUP(TBA_Matches_All[[#This Row],[teammat]],Dyno_EndMatch[teammat],Dyno_EndMatch[StageAtt],"_",0,1)</f>
        <v>0</v>
      </c>
      <c r="CE306" t="str">
        <f>_xlfn.XLOOKUP(TBA_Matches_All[[#This Row],[teammat]],Dyno_EndMatch[teammat],Dyno_EndMatch[StageLoc],"_",0,1)</f>
        <v>A</v>
      </c>
      <c r="CF306">
        <f>SUMIFS(Dyno_Data[Harmony], Dyno_Data[Team],TBA_Matches_All[[#This Row],[Team]],Dyno_Data[Match],TBA_Matches_All[[#This Row],[Match_Number]],Dyno_Data[RecordType],"EndMatch", Dyno_Data[StageStat],"On",Dyno_Data[Harmony],"&lt;&gt;9")</f>
        <v>0</v>
      </c>
      <c r="CG306">
        <f>SUMIFS(Dyno_Data[Spotlit], Dyno_Data[Team],TBA_Matches_All[[#This Row],[Team]],Dyno_Data[Match],TBA_Matches_All[[#This Row],[Match_Number]],Dyno_Data[RecordType],"EndMatch", Dyno_Data[StageStat],"On",Dyno_Data[Spotlit],"&lt;&gt;9")</f>
        <v>0</v>
      </c>
      <c r="CH306" t="str">
        <f>_xlfn.XLOOKUP(TBA_Matches_All[[#This Row],[teammat]],Dyno_EndMatch[teammat],Dyno_EndMatch[Strategy],"_",0,1)</f>
        <v>Hybrid</v>
      </c>
      <c r="CI306">
        <f>SUMIFS(Dyno_Data[Defense], Dyno_Data[Team],TBA_Matches_All[[#This Row],[Team]],Dyno_Data[Match],TBA_Matches_All[[#This Row],[Match_Number]],Dyno_Data[RecordType],"EndMatch",Dyno_Data[Defense],"&lt;&gt;9")</f>
        <v>0</v>
      </c>
      <c r="CJ306">
        <f>SUMIFS(Dyno_Data[Avoidance], Dyno_Data[Team],TBA_Matches_All[[#This Row],[Team]],Dyno_Data[Match],TBA_Matches_All[[#This Row],[Match_Number]],Dyno_Data[RecordType],"EndMatch",Dyno_Data[Avoidance],"&lt;&gt;9")</f>
        <v>0</v>
      </c>
      <c r="CK306" s="82">
        <f>COUNTIF($H$2:TBA_Matches_All[[#This Row],[Team]],TBA_Matches_All[[#This Row],[Team]])</f>
        <v>6</v>
      </c>
      <c r="CL306" s="111">
        <f>SUM(MID(TBA_Matches_All[[#This Row],[Team]],4,5)+TBA_Matches_All[[#This Row],[Match_Number]]/100)</f>
        <v>1880.51</v>
      </c>
      <c r="CM306">
        <f>SUM((TBA_Matches_All[[#This Row],[Leave]]*2)+(TBA_Matches_All[[#This Row],[AampT]]*2)+(TBA_Matches_All[[#This Row],[AspkrT]]*5)+(TBA_Matches_All[[#This Row],[AtrapT]]*5))</f>
        <v>7</v>
      </c>
      <c r="CN306" s="59">
        <f>IFERROR(SUM(TBA_Matches_All[[#This Row],[AptsT]]/TBA_Matches_All[[#This Row],[AutoPts]]),0)</f>
        <v>0.33333333333333331</v>
      </c>
      <c r="CO306" s="59">
        <f>IFERROR(SUM(TBA_Matches_All[[#This Row],[AampT]]+TBA_Matches_All[[#This Row],[AspkrT]]+TBA_Matches_All[[#This Row],[AtrapT]]/TBA_Matches_All[[#This Row],[Aamp]]+TBA_Matches_All[[#This Row],[Aspkr]]+TBA_Matches_All[[#This Row],[AtrapT]]),0)</f>
        <v>0</v>
      </c>
      <c r="CP306" s="59">
        <f>IFERROR(SUM(TBA_Matches_All[[#This Row],[TampT]]/TBA_Matches_All[[#This Row],[Tamp]]),0)</f>
        <v>0</v>
      </c>
      <c r="CQ306" s="59">
        <f>IFERROR(SUM(TBA_Matches_All[[#This Row],[TspkrT]]/TBA_Matches_All[[#This Row],[Tspkr]]),0)</f>
        <v>0</v>
      </c>
      <c r="CR306">
        <f>SUM(TBA_Matches_All[[#This Row],[TspkrPts]]*TBA_Matches_All[[#This Row],[TspkrP]])</f>
        <v>0</v>
      </c>
      <c r="CS306" s="59">
        <f>IFERROR(SUM(TBA_Matches_All[[#This Row],[TtrapT]]/TBA_Matches_All[[#This Row],[Trap]]),0)</f>
        <v>0</v>
      </c>
      <c r="CT306" s="59">
        <f>IFERROR(SUM(TBA_Matches_All[[#This Row],[TotNotesT]]/TBA_Matches_All[[#This Row],[TotNotes]]),0)</f>
        <v>8.3333333333333329E-2</v>
      </c>
      <c r="CU306" s="66">
        <f>SUM((TBA_Matches_All[[#This Row],[AampT]]*2)+(TBA_Matches_All[[#This Row],[AspkrT]]*5)+(TBA_Matches_All[[#This Row],[AtrapT]]*5)+(TBA_Matches_All[[#This Row],[TampT]]*1)+(TBA_Matches_All[[#This Row],[TspkrptsC]]))</f>
        <v>5</v>
      </c>
      <c r="CV306" s="59">
        <f>IFERROR(TBA_Matches_All[[#This Row],[noteptsT]]/TBA_Matches_All[[#This Row],[NotePts]],0)</f>
        <v>0.15625</v>
      </c>
      <c r="CW306">
        <f>SUM(IF(TBA_Matches_All[[#This Row],[stageStat]]="On",3,0),IF(TBA_Matches_All[[#This Row],[stageStat]]="Park",1,0),SUMIFS(TBA_Matches_All[[#This Row],[Spotlit]],TBA_Matches_All[[#This Row],[stageStat]],"On"),SUMIFS(TBA_Matches_All[[#This Row],[Harmony]],TBA_Matches_All[[#This Row],[stageStat]],"On"))</f>
        <v>0</v>
      </c>
      <c r="CX306" s="59">
        <f>IFERROR(TBA_Matches_All[[#This Row],[stageptsT]]/TBA_Matches_All[[#This Row],[StagePts]],0)</f>
        <v>0</v>
      </c>
      <c r="CY306">
        <f>SUM((TBA_Matches_All[[#This Row],[AptsT]]+TBA_Matches_All[[#This Row],[TampT]]+TBA_Matches_All[[#This Row],[TspkrptsC]]+(TBA_Matches_All[[#This Row],[TtrapT]]*5)+TBA_Matches_All[[#This Row],[stageptsT]]))</f>
        <v>7</v>
      </c>
      <c r="CZ306" s="59">
        <f>IFERROR(SUM(TBA_Matches_All[[#This Row],[TotptsC]]/TBA_Matches_All[[#This Row],[Score]]),0)</f>
        <v>0.13461538461538461</v>
      </c>
      <c r="DA30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7.1850649350649345</v>
      </c>
      <c r="DB306" s="74">
        <f>SUMIFS(TBA_Matches_All[AveTeamTNoteDels],TBA_Matches_All[Match_Number],TBA_Matches_All[[#This Row],[Match_Number]],TBA_Matches_All[Alliance],"&lt;&gt;"&amp;TBA_Matches_All[[#This Row],[Alliance]],TBA_Matches_All[Scouted],"&gt;0")</f>
        <v>35.52688311688312</v>
      </c>
      <c r="DC306" s="74">
        <f>(TBA_Matches_All[[#This Row],[TampT]]+TBA_Matches_All[[#This Row],[TspkrptsC]])-TBA_Matches_All[[#This Row],[AveTeamTNoteDels]]</f>
        <v>-7.1850649350649345</v>
      </c>
      <c r="DD306" s="74">
        <f>SUMIFS(TBA_Matches_All[AveTeamTNoteDels],TBA_Matches_All[Match_Number],TBA_Matches_All[[#This Row],[Match_Number]],TBA_Matches_All[Alliance],"&lt;&gt;"&amp;TBA_Matches_All[[#This Row],[Alliance]])-TBA_Matches_All[[#This Row],[AveOppTNoteDels]]</f>
        <v>0</v>
      </c>
    </row>
    <row r="307" spans="1:108" x14ac:dyDescent="0.3">
      <c r="A307" t="s">
        <v>1042</v>
      </c>
      <c r="B307" t="s">
        <v>489</v>
      </c>
      <c r="C307" t="s">
        <v>1360</v>
      </c>
      <c r="D307">
        <v>51</v>
      </c>
      <c r="E307" t="s">
        <v>1420</v>
      </c>
      <c r="F307" t="s">
        <v>1423</v>
      </c>
      <c r="G307" t="s">
        <v>1409</v>
      </c>
      <c r="H307" t="s">
        <v>1296</v>
      </c>
      <c r="I307" t="b">
        <v>1</v>
      </c>
      <c r="J307">
        <v>53</v>
      </c>
      <c r="K307">
        <v>1</v>
      </c>
      <c r="L307">
        <v>0</v>
      </c>
      <c r="M307">
        <v>10</v>
      </c>
      <c r="N307">
        <v>0</v>
      </c>
      <c r="O307">
        <v>2</v>
      </c>
      <c r="P307">
        <v>10</v>
      </c>
      <c r="Q307">
        <v>14</v>
      </c>
      <c r="R307">
        <v>1</v>
      </c>
      <c r="S307">
        <v>0</v>
      </c>
      <c r="T307">
        <v>12</v>
      </c>
      <c r="U307">
        <v>0</v>
      </c>
      <c r="V307">
        <v>24</v>
      </c>
      <c r="W307">
        <v>12</v>
      </c>
      <c r="X307">
        <v>24</v>
      </c>
      <c r="Y307">
        <v>25</v>
      </c>
      <c r="Z307">
        <v>0</v>
      </c>
      <c r="AA307">
        <v>0</v>
      </c>
      <c r="AB307">
        <v>15</v>
      </c>
      <c r="AC307">
        <v>35</v>
      </c>
      <c r="AD307">
        <v>9</v>
      </c>
      <c r="AE307">
        <f>IFERROR(6/(COUNTIF(Dyno_EndMatch[Match],TBA_Matches_All[[#This Row],[Match_Number]])),0)</f>
        <v>1</v>
      </c>
      <c r="AF307">
        <f>COUNTIFS(Dyno_Data[Team],TBA_Matches_All[[#This Row],[Team]],Dyno_Data[Match],TBA_Matches_All[[#This Row],[Match_Number]],Dyno_Data[RecordType],"EndMatch",Dyno_Data[HPAmp],"Y")</f>
        <v>1</v>
      </c>
      <c r="AG307">
        <f>SUMIFS(Dyno_Data[Mics], Dyno_Data[Team],TBA_Matches_All[[#This Row],[Team]],Dyno_Data[Match],TBA_Matches_All[[#This Row],[Match_Number]],Dyno_Data[RecordType],"EndMatch",Dyno_Data[HPAmp],"Y")</f>
        <v>0</v>
      </c>
      <c r="AH307">
        <f>SUMIFS(Dyno_Data[Leave], Dyno_Data[Team],TBA_Matches_All[[#This Row],[Team]],Dyno_Data[Match],TBA_Matches_All[[#This Row],[Match_Number]],Dyno_Data[RecordType],"EndAuto")</f>
        <v>0</v>
      </c>
      <c r="AI307">
        <f>COUNTIFS(Dyno_Data[Team],TBA_Matches_All[[#This Row],[Team]],Dyno_Data[Match],TBA_Matches_All[[#This Row],[Match_Number]],Dyno_Data[RecordType],"Activities",Dyno_Data[DelDest],"Amp", Dyno_Data[DelMiss],"0", Dyno_Data[Mode],"Auto")</f>
        <v>0</v>
      </c>
      <c r="AJ307">
        <f>COUNTIFS(Dyno_Data[Team],TBA_Matches_All[[#This Row],[Team]],Dyno_Data[Match],TBA_Matches_All[[#This Row],[Match_Number]],Dyno_Data[RecordType],"Activities",Dyno_Data[DelDest],"Spkr", Dyno_Data[DelMiss],"0", Dyno_Data[Mode],"Auto")</f>
        <v>0</v>
      </c>
      <c r="AK307">
        <f>COUNTIFS(Dyno_Data[Team],TBA_Matches_All[[#This Row],[Team]],Dyno_Data[Match],TBA_Matches_All[[#This Row],[Match_Number]],Dyno_Data[RecordType],"Activities",Dyno_Data[DelDest],"Trap", Dyno_Data[DelMiss],"0", Dyno_Data[Mode],"Auto")</f>
        <v>0</v>
      </c>
      <c r="AL307">
        <f>COUNTIFS(Dyno_Data[Team],TBA_Matches_All[[#This Row],[Team]],Dyno_Data[Match],TBA_Matches_All[[#This Row],[Match_Number]],Dyno_Data[RecordType],"Activities",Dyno_Data[DelDest],"Amp", Dyno_Data[DelMiss],"0", Dyno_Data[Mode],"Teleop")</f>
        <v>0</v>
      </c>
      <c r="AM307">
        <f>COUNTIFS(Dyno_Data[Team],TBA_Matches_All[[#This Row],[Team]],Dyno_Data[Match],TBA_Matches_All[[#This Row],[Match_Number]],Dyno_Data[RecordType],"Activities",Dyno_Data[DelDest],"Spkr", Dyno_Data[DelMiss],"0", Dyno_Data[Mode],"Teleop")</f>
        <v>0</v>
      </c>
      <c r="AN307">
        <f>COUNTIFS(Dyno_Data[Team],TBA_Matches_All[[#This Row],[Team]],Dyno_Data[Match],TBA_Matches_All[[#This Row],[Match_Number]],Dyno_Data[RecordType],"Activities",Dyno_Data[DelDest],"Trap", Dyno_Data[DelMiss],"0", Dyno_Data[Mode],"&lt;&gt;Auto")</f>
        <v>0</v>
      </c>
      <c r="AO307">
        <f>SUM(TBA_Matches_All[[#This Row],[AampT]]+TBA_Matches_All[[#This Row],[AspkrT]]+TBA_Matches_All[[#This Row],[AtrapT]]+TBA_Matches_All[[#This Row],[TampT]]+TBA_Matches_All[[#This Row],[TspkrT]]+TBA_Matches_All[[#This Row],[TtrapT]])</f>
        <v>0</v>
      </c>
      <c r="AP307">
        <f>COUNTIFS(Dyno_Data[Team],TBA_Matches_All[[#This Row],[Team]],Dyno_Data[Match],TBA_Matches_All[[#This Row],[Match_Number]],Dyno_Data[RecordType],"Activities",Dyno_Data[DelDest],"Neut", Dyno_Data[DelMiss],"0")</f>
        <v>0</v>
      </c>
      <c r="AQ307">
        <f>COUNTIFS(Dyno_Data[Team],TBA_Matches_All[[#This Row],[Team]],Dyno_Data[Match],TBA_Matches_All[[#This Row],[Match_Number]],Dyno_Data[RecordType],"Activities",Dyno_Data[DelDest],"AllyW", Dyno_Data[DelMiss],"0")</f>
        <v>0</v>
      </c>
      <c r="AR307" t="str">
        <f>_xlfn.XLOOKUP(SUM(MID(TBA_Matches_All[[#This Row],[Team]],4,5),(TBA_Matches_All[[#This Row],[Match_Number]]/100)),Dyno_EndMatch[teammat],Dyno_EndMatch[RobotSta],"_",0,1)</f>
        <v>Amp</v>
      </c>
      <c r="AS307">
        <f>SUMIFS(Dyno_Data[AcqDis], Dyno_Data[Team],TBA_Matches_All[[#This Row],[Team]],Dyno_Data[Match],TBA_Matches_All[[#This Row],[Match_Number]],Dyno_Data[RecordType],"Activities", Dyno_Data[AcqCenter],1,Dyno_Data[Mode],"Auto")</f>
        <v>0</v>
      </c>
      <c r="AT307">
        <f>SUMIFS(Dyno_Data[AcqDis], Dyno_Data[Team],TBA_Matches_All[[#This Row],[Team]],Dyno_Data[Match],TBA_Matches_All[[#This Row],[Match_Number]],Dyno_Data[RecordType],"Activities", Dyno_Data[AcqCenter],2,Dyno_Data[Mode],"Auto")</f>
        <v>0</v>
      </c>
      <c r="AU307">
        <f>SUMIFS(Dyno_Data[AcqDis], Dyno_Data[Team],TBA_Matches_All[[#This Row],[Team]],Dyno_Data[Match],TBA_Matches_All[[#This Row],[Match_Number]],Dyno_Data[RecordType],"Activities", Dyno_Data[AcqCenter],3,Dyno_Data[Mode],"Auto")</f>
        <v>0</v>
      </c>
      <c r="AV307">
        <f>SUMIFS(Dyno_Data[AcqDis], Dyno_Data[Team],TBA_Matches_All[[#This Row],[Team]],Dyno_Data[Match],TBA_Matches_All[[#This Row],[Match_Number]],Dyno_Data[RecordType],"Activities", Dyno_Data[AcqCenter],4,Dyno_Data[Mode],"Auto")</f>
        <v>0</v>
      </c>
      <c r="AW307">
        <f>SUMIFS(Dyno_Data[AcqDis], Dyno_Data[Team],TBA_Matches_All[[#This Row],[Team]],Dyno_Data[Match],TBA_Matches_All[[#This Row],[Match_Number]],Dyno_Data[RecordType],"Activities", Dyno_Data[AcqCenter],5,Dyno_Data[Mode],"Auto")</f>
        <v>0</v>
      </c>
      <c r="AX307">
        <f>SUMIFS(Dyno_Data[DelMiss], Dyno_Data[Team],TBA_Matches_All[[#This Row],[Team]],Dyno_Data[Match],TBA_Matches_All[[#This Row],[Match_Number]],Dyno_Data[RecordType],"Activities", Dyno_Data[DelDest],"Amp")</f>
        <v>0</v>
      </c>
      <c r="AY307" s="60">
        <f>IFERROR(SUM((TBA_Matches_All[[#This Row],[AampT]]+TBA_Matches_All[[#This Row],[TampT]])/(TBA_Matches_All[[#This Row],[AampT]]+TBA_Matches_All[[#This Row],[TampT]]+TBA_Matches_All[[#This Row],[ampM]])),0)</f>
        <v>0</v>
      </c>
      <c r="AZ307">
        <f>SUMIFS(Dyno_Data[DelMiss], Dyno_Data[Team],TBA_Matches_All[[#This Row],[Team]],Dyno_Data[Match],TBA_Matches_All[[#This Row],[Match_Number]],Dyno_Data[RecordType],"Activities", Dyno_Data[DelDest],"Spkr")</f>
        <v>1</v>
      </c>
      <c r="BA307" s="60">
        <f>IFERROR(SUM((TBA_Matches_All[[#This Row],[AspkrT]]+TBA_Matches_All[[#This Row],[TspkrT]])/(TBA_Matches_All[[#This Row],[AspkrT]]+TBA_Matches_All[[#This Row],[TspkrT]]+TBA_Matches_All[[#This Row],[spkrM]])),0)</f>
        <v>0</v>
      </c>
      <c r="BB307">
        <f>SUMIFS(Dyno_Data[DelMiss], Dyno_Data[Team],TBA_Matches_All[[#This Row],[Team]],Dyno_Data[Match],TBA_Matches_All[[#This Row],[Match_Number]],Dyno_Data[RecordType],"Activities", Dyno_Data[DelDest],"Trap")</f>
        <v>0</v>
      </c>
      <c r="BC307" s="60">
        <f>IFERROR((TBA_Matches_All[[#This Row],[AtrapT]]+TBA_Matches_All[[#This Row],[TtrapT]])/(TBA_Matches_All[[#This Row],[AtrapT]]+TBA_Matches_All[[#This Row],[TtrapT]]+TBA_Matches_All[[#This Row],[trapM]]),0)</f>
        <v>0</v>
      </c>
      <c r="BD307">
        <f>COUNTIFS(Dyno_Data[Team],TBA_Matches_All[[#This Row],[Team]],Dyno_Data[Match],TBA_Matches_All[[#This Row],[Match_Number]],Dyno_Data[RecordType],"Activities",Dyno_Data[DelDest],"Neut", Dyno_Data[DelMiss],1)</f>
        <v>0</v>
      </c>
      <c r="BE307" s="60">
        <f>IFERROR(SUM((TBA_Matches_All[[#This Row],[NeutFlrT]])/(TBA_Matches_All[[#This Row],[NeutFlrT]]+TBA_Matches_All[[#This Row],[NZflM]])),0)</f>
        <v>0</v>
      </c>
      <c r="BF307">
        <f>COUNTIFS(Dyno_Data[Team],TBA_Matches_All[[#This Row],[Team]],Dyno_Data[Match],TBA_Matches_All[[#This Row],[Match_Number]],Dyno_Data[RecordType],"Activities",Dyno_Data[DelDest],"AllyW", Dyno_Data[DelMiss],1)</f>
        <v>0</v>
      </c>
      <c r="BG307" s="60">
        <f>IFERROR(SUM((TBA_Matches_All[[#This Row],[AllyWFlrT]])/(TBA_Matches_All[[#This Row],[AllyWFlrT]]+TBA_Matches_All[[#This Row],[AZflM]])),0)</f>
        <v>0</v>
      </c>
      <c r="BH307">
        <f>COUNTIFS(Dyno_Data[Team],TBA_Matches_All[[#This Row],[Team]],Dyno_Data[Match],TBA_Matches_All[[#This Row],[Match_Number]],Dyno_Data[RecordType],"Activities",Dyno_Data[DelOrig],"OppW", Dyno_Data[DelMiss],"0")</f>
        <v>0</v>
      </c>
      <c r="BI307">
        <f>COUNTIFS(Dyno_Data[Team],TBA_Matches_All[[#This Row],[Team]],Dyno_Data[Match],TBA_Matches_All[[#This Row],[Match_Number]],Dyno_Data[RecordType],"Activities",Dyno_Data[DelOrig],"OppW", Dyno_Data[DelMiss],"1")</f>
        <v>0</v>
      </c>
      <c r="BJ307" s="60">
        <f>IFERROR(SUM((TBA_Matches_All[[#This Row],[OZflrT]])/(TBA_Matches_All[[#This Row],[OZflrT]]+TBA_Matches_All[[#This Row],[OZflrM]])),0)</f>
        <v>0</v>
      </c>
      <c r="BK307">
        <f>COUNTIFS(Dyno_Data[Team],TBA_Matches_All[[#This Row],[Team]],Dyno_Data[Match],TBA_Matches_All[[#This Row],[Match_Number]],Dyno_Data[RecordType],"Activities",Dyno_Data[DelOrig],"Neut", Dyno_Data[DelMiss],"0")</f>
        <v>0</v>
      </c>
      <c r="BL307">
        <f>COUNTIFS(Dyno_Data[Team],TBA_Matches_All[[#This Row],[Team]],Dyno_Data[Match],TBA_Matches_All[[#This Row],[Match_Number]],Dyno_Data[RecordType],"Activities",Dyno_Data[DelOrig],"Neut", Dyno_Data[DelMiss],"1")</f>
        <v>0</v>
      </c>
      <c r="BM307" s="60">
        <f>IFERROR(SUM((TBA_Matches_All[[#This Row],[NZflrT]])/(TBA_Matches_All[[#This Row],[NZflrT]]+TBA_Matches_All[[#This Row],[NZflrM]])),0)</f>
        <v>0</v>
      </c>
      <c r="BN307">
        <f>COUNTIFS(Dyno_Data[Team],TBA_Matches_All[[#This Row],[Team]],Dyno_Data[Match],TBA_Matches_All[[#This Row],[Match_Number]],Dyno_Data[RecordType],"Activities",Dyno_Data[DelOrig],"AllyW", Dyno_Data[DelMiss],"0")</f>
        <v>0</v>
      </c>
      <c r="BO307">
        <f>COUNTIFS(Dyno_Data[Team],TBA_Matches_All[[#This Row],[Team]],Dyno_Data[Match],TBA_Matches_All[[#This Row],[Match_Number]],Dyno_Data[RecordType],"Activities",Dyno_Data[DelOrig],"AllyW", Dyno_Data[DelMiss],"1")</f>
        <v>1</v>
      </c>
      <c r="BP307" s="60">
        <f>IFERROR(SUM((TBA_Matches_All[[#This Row],[AZflrT]])/(TBA_Matches_All[[#This Row],[AZflrT]]+TBA_Matches_All[[#This Row],[AZflrM]])),0)</f>
        <v>0</v>
      </c>
      <c r="BQ307">
        <f>COUNTIFS(Dyno_Data[Team],TBA_Matches_All[[#This Row],[Team]],Dyno_Data[Match],TBA_Matches_All[[#This Row],[Match_Number]],Dyno_Data[RecordType],"Activities",Dyno_Data[DelOrig],"SubW", Dyno_Data[DelMiss],"0")</f>
        <v>0</v>
      </c>
      <c r="BR307">
        <f>COUNTIFS(Dyno_Data[Team],TBA_Matches_All[[#This Row],[Team]],Dyno_Data[Match],TBA_Matches_All[[#This Row],[Match_Number]],Dyno_Data[RecordType],"Activities",Dyno_Data[DelOrig],"SubW", Dyno_Data[DelMiss],"1")</f>
        <v>0</v>
      </c>
      <c r="BS307" s="60">
        <f>IFERROR(SUM((TBA_Matches_All[[#This Row],[SubwT]])/(TBA_Matches_All[[#This Row],[SubwT]]+TBA_Matches_All[[#This Row],[SubwM]])),0)</f>
        <v>0</v>
      </c>
      <c r="BT307">
        <f>COUNTIFS(Dyno_Data[Team],TBA_Matches_All[[#This Row],[Team]],Dyno_Data[Match],TBA_Matches_All[[#This Row],[Match_Number]],Dyno_Data[RecordType],"Activities", Dyno_Data[AcqLoc],"OppWing")</f>
        <v>0</v>
      </c>
      <c r="BU307">
        <f>COUNTIFS(Dyno_Data[Team],TBA_Matches_All[[#This Row],[Team]],Dyno_Data[Match],TBA_Matches_All[[#This Row],[Match_Number]],Dyno_Data[RecordType],"Activities", Dyno_Data[AcqLoc],"Neutral")</f>
        <v>0</v>
      </c>
      <c r="BV307">
        <f>COUNTIFS(Dyno_Data[Team],TBA_Matches_All[[#This Row],[Team]],Dyno_Data[Match],TBA_Matches_All[[#This Row],[Match_Number]],Dyno_Data[RecordType],"Activities", Dyno_Data[AcqLoc],"AllyWing")</f>
        <v>0</v>
      </c>
      <c r="BW307">
        <f>COUNTIFS(Dyno_Data[Team],TBA_Matches_All[[#This Row],[Team]],Dyno_Data[Match],TBA_Matches_All[[#This Row],[Match_Number]],Dyno_Data[RecordType],"Activities", Dyno_Data[AcqLoc],"Source")</f>
        <v>0</v>
      </c>
      <c r="BX307">
        <f>SUMIFS(Dyno_Data[AcqDrp], Dyno_Data[Team],TBA_Matches_All[[#This Row],[Team]],Dyno_Data[Match],TBA_Matches_All[[#This Row],[Match_Number]],Dyno_Data[RecordType],"Activities", Dyno_Data[AcqLoc],"Source")</f>
        <v>0</v>
      </c>
      <c r="BY307">
        <f>SUMIFS(Dyno_Data[OZTime], Dyno_Data[Team],TBA_Matches_All[[#This Row],[Team]],Dyno_Data[Match],TBA_Matches_All[[#This Row],[Match_Number]],Dyno_Data[RecordType],"EndMatch")</f>
        <v>17.923590699999998</v>
      </c>
      <c r="BZ307">
        <f>SUMIFS(Dyno_Data[NZTime], Dyno_Data[Team],TBA_Matches_All[[#This Row],[Team]],Dyno_Data[Match],TBA_Matches_All[[#This Row],[Match_Number]],Dyno_Data[RecordType],"EndMatch")</f>
        <v>66.675459500000002</v>
      </c>
      <c r="CA307">
        <f>SUMIFS(Dyno_Data[AZTime], Dyno_Data[Team],TBA_Matches_All[[#This Row],[Team]],Dyno_Data[Match],TBA_Matches_All[[#This Row],[Match_Number]],Dyno_Data[RecordType],"EndMatch")</f>
        <v>50.214010899999998</v>
      </c>
      <c r="CB307">
        <f>SUMIFS(Dyno_Data[ClimbT], Dyno_Data[Team],TBA_Matches_All[[#This Row],[Team]],Dyno_Data[Match],TBA_Matches_All[[#This Row],[Match_Number]],Dyno_Data[RecordType],"EndMatch")</f>
        <v>0</v>
      </c>
      <c r="CC307" t="str">
        <f>_xlfn.XLOOKUP(SUM(MID(TBA_Matches_All[[#This Row],[Team]],4,5),(TBA_Matches_All[[#This Row],[Match_Number]]/100)),Dyno_EndMatch[teammat],Dyno_EndMatch[StageStat],"_",0,1)</f>
        <v>Park</v>
      </c>
      <c r="CD307" t="str">
        <f>_xlfn.XLOOKUP(TBA_Matches_All[[#This Row],[teammat]],Dyno_EndMatch[teammat],Dyno_EndMatch[StageAtt],"_",0,1)</f>
        <v>0</v>
      </c>
      <c r="CE307" t="str">
        <f>_xlfn.XLOOKUP(TBA_Matches_All[[#This Row],[teammat]],Dyno_EndMatch[teammat],Dyno_EndMatch[StageLoc],"_",0,1)</f>
        <v>A</v>
      </c>
      <c r="CF307">
        <f>SUMIFS(Dyno_Data[Harmony], Dyno_Data[Team],TBA_Matches_All[[#This Row],[Team]],Dyno_Data[Match],TBA_Matches_All[[#This Row],[Match_Number]],Dyno_Data[RecordType],"EndMatch", Dyno_Data[StageStat],"On",Dyno_Data[Harmony],"&lt;&gt;9")</f>
        <v>0</v>
      </c>
      <c r="CG307">
        <f>SUMIFS(Dyno_Data[Spotlit], Dyno_Data[Team],TBA_Matches_All[[#This Row],[Team]],Dyno_Data[Match],TBA_Matches_All[[#This Row],[Match_Number]],Dyno_Data[RecordType],"EndMatch", Dyno_Data[StageStat],"On",Dyno_Data[Spotlit],"&lt;&gt;9")</f>
        <v>0</v>
      </c>
      <c r="CH307" t="str">
        <f>_xlfn.XLOOKUP(TBA_Matches_All[[#This Row],[teammat]],Dyno_EndMatch[teammat],Dyno_EndMatch[Strategy],"_",0,1)</f>
        <v>Defense</v>
      </c>
      <c r="CI307">
        <f>SUMIFS(Dyno_Data[Defense], Dyno_Data[Team],TBA_Matches_All[[#This Row],[Team]],Dyno_Data[Match],TBA_Matches_All[[#This Row],[Match_Number]],Dyno_Data[RecordType],"EndMatch",Dyno_Data[Defense],"&lt;&gt;9")</f>
        <v>3</v>
      </c>
      <c r="CJ307">
        <f>SUMIFS(Dyno_Data[Avoidance], Dyno_Data[Team],TBA_Matches_All[[#This Row],[Team]],Dyno_Data[Match],TBA_Matches_All[[#This Row],[Match_Number]],Dyno_Data[RecordType],"EndMatch",Dyno_Data[Avoidance],"&lt;&gt;9")</f>
        <v>0</v>
      </c>
      <c r="CK307" s="82">
        <f>COUNTIF($H$2:TBA_Matches_All[[#This Row],[Team]],TBA_Matches_All[[#This Row],[Team]])</f>
        <v>6</v>
      </c>
      <c r="CL307" s="111">
        <f>SUM(MID(TBA_Matches_All[[#This Row],[Team]],4,5)+TBA_Matches_All[[#This Row],[Match_Number]]/100)</f>
        <v>3003.51</v>
      </c>
      <c r="CM307">
        <f>SUM((TBA_Matches_All[[#This Row],[Leave]]*2)+(TBA_Matches_All[[#This Row],[AampT]]*2)+(TBA_Matches_All[[#This Row],[AspkrT]]*5)+(TBA_Matches_All[[#This Row],[AtrapT]]*5))</f>
        <v>0</v>
      </c>
      <c r="CN307" s="59">
        <f>IFERROR(SUM(TBA_Matches_All[[#This Row],[AptsT]]/TBA_Matches_All[[#This Row],[AutoPts]]),0)</f>
        <v>0</v>
      </c>
      <c r="CO307" s="59">
        <f>IFERROR(SUM(TBA_Matches_All[[#This Row],[AampT]]+TBA_Matches_All[[#This Row],[AspkrT]]+TBA_Matches_All[[#This Row],[AtrapT]]/TBA_Matches_All[[#This Row],[Aamp]]+TBA_Matches_All[[#This Row],[Aspkr]]+TBA_Matches_All[[#This Row],[AtrapT]]),0)</f>
        <v>0</v>
      </c>
      <c r="CP307" s="59">
        <f>IFERROR(SUM(TBA_Matches_All[[#This Row],[TampT]]/TBA_Matches_All[[#This Row],[Tamp]]),0)</f>
        <v>0</v>
      </c>
      <c r="CQ307" s="59">
        <f>IFERROR(SUM(TBA_Matches_All[[#This Row],[TspkrT]]/TBA_Matches_All[[#This Row],[Tspkr]]),0)</f>
        <v>0</v>
      </c>
      <c r="CR307">
        <f>SUM(TBA_Matches_All[[#This Row],[TspkrPts]]*TBA_Matches_All[[#This Row],[TspkrP]])</f>
        <v>0</v>
      </c>
      <c r="CS307" s="59">
        <f>IFERROR(SUM(TBA_Matches_All[[#This Row],[TtrapT]]/TBA_Matches_All[[#This Row],[Trap]]),0)</f>
        <v>0</v>
      </c>
      <c r="CT307" s="59">
        <f>IFERROR(SUM(TBA_Matches_All[[#This Row],[TotNotesT]]/TBA_Matches_All[[#This Row],[TotNotes]]),0)</f>
        <v>0</v>
      </c>
      <c r="CU307" s="66">
        <f>SUM((TBA_Matches_All[[#This Row],[AampT]]*2)+(TBA_Matches_All[[#This Row],[AspkrT]]*5)+(TBA_Matches_All[[#This Row],[AtrapT]]*5)+(TBA_Matches_All[[#This Row],[TampT]]*1)+(TBA_Matches_All[[#This Row],[TspkrptsC]]))</f>
        <v>0</v>
      </c>
      <c r="CV307" s="59">
        <f>IFERROR(TBA_Matches_All[[#This Row],[noteptsT]]/TBA_Matches_All[[#This Row],[NotePts]],0)</f>
        <v>0</v>
      </c>
      <c r="CW307">
        <f>SUM(IF(TBA_Matches_All[[#This Row],[stageStat]]="On",3,0),IF(TBA_Matches_All[[#This Row],[stageStat]]="Park",1,0),SUMIFS(TBA_Matches_All[[#This Row],[Spotlit]],TBA_Matches_All[[#This Row],[stageStat]],"On"),SUMIFS(TBA_Matches_All[[#This Row],[Harmony]],TBA_Matches_All[[#This Row],[stageStat]],"On"))</f>
        <v>1</v>
      </c>
      <c r="CX307" s="59">
        <f>IFERROR(TBA_Matches_All[[#This Row],[stageptsT]]/TBA_Matches_All[[#This Row],[StagePts]],0)</f>
        <v>0.1111111111111111</v>
      </c>
      <c r="CY307">
        <f>SUM((TBA_Matches_All[[#This Row],[AptsT]]+TBA_Matches_All[[#This Row],[TampT]]+TBA_Matches_All[[#This Row],[TspkrptsC]]+(TBA_Matches_All[[#This Row],[TtrapT]]*5)+TBA_Matches_All[[#This Row],[stageptsT]]))</f>
        <v>1</v>
      </c>
      <c r="CZ307" s="59">
        <f>IFERROR(SUM(TBA_Matches_All[[#This Row],[TotptsC]]/TBA_Matches_All[[#This Row],[Score]]),0)</f>
        <v>1.8867924528301886E-2</v>
      </c>
      <c r="DA30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12.795454545454545</v>
      </c>
      <c r="DB307" s="74">
        <f>SUMIFS(TBA_Matches_All[AveTeamTNoteDels],TBA_Matches_All[Match_Number],TBA_Matches_All[[#This Row],[Match_Number]],TBA_Matches_All[Alliance],"&lt;&gt;"&amp;TBA_Matches_All[[#This Row],[Alliance]],TBA_Matches_All[Scouted],"&gt;0")</f>
        <v>23.698258408258408</v>
      </c>
      <c r="DC307" s="74">
        <f>(TBA_Matches_All[[#This Row],[TampT]]+TBA_Matches_All[[#This Row],[TspkrptsC]])-TBA_Matches_All[[#This Row],[AveTeamTNoteDels]]</f>
        <v>-12.795454545454545</v>
      </c>
      <c r="DD307" s="74">
        <f>SUMIFS(TBA_Matches_All[AveTeamTNoteDels],TBA_Matches_All[Match_Number],TBA_Matches_All[[#This Row],[Match_Number]],TBA_Matches_All[Alliance],"&lt;&gt;"&amp;TBA_Matches_All[[#This Row],[Alliance]])-TBA_Matches_All[[#This Row],[AveOppTNoteDels]]</f>
        <v>0</v>
      </c>
    </row>
    <row r="308" spans="1:108" x14ac:dyDescent="0.3">
      <c r="A308" t="s">
        <v>1042</v>
      </c>
      <c r="B308" t="s">
        <v>489</v>
      </c>
      <c r="C308" t="s">
        <v>1360</v>
      </c>
      <c r="D308">
        <v>51</v>
      </c>
      <c r="E308" t="s">
        <v>1406</v>
      </c>
      <c r="F308" t="s">
        <v>1424</v>
      </c>
      <c r="G308" t="s">
        <v>1409</v>
      </c>
      <c r="H308" t="s">
        <v>1294</v>
      </c>
      <c r="I308" t="b">
        <v>1</v>
      </c>
      <c r="J308">
        <v>52</v>
      </c>
      <c r="K308">
        <v>0</v>
      </c>
      <c r="L308">
        <v>0</v>
      </c>
      <c r="M308">
        <v>5</v>
      </c>
      <c r="N308">
        <v>0</v>
      </c>
      <c r="O308">
        <v>3</v>
      </c>
      <c r="P308">
        <v>15</v>
      </c>
      <c r="Q308">
        <v>21</v>
      </c>
      <c r="R308">
        <v>4</v>
      </c>
      <c r="S308">
        <v>1</v>
      </c>
      <c r="T308">
        <v>4</v>
      </c>
      <c r="U308">
        <v>5</v>
      </c>
      <c r="V308">
        <v>8</v>
      </c>
      <c r="W308">
        <v>5</v>
      </c>
      <c r="X308">
        <v>13</v>
      </c>
      <c r="Y308">
        <v>17</v>
      </c>
      <c r="Z308">
        <v>0</v>
      </c>
      <c r="AA308">
        <v>0</v>
      </c>
      <c r="AB308">
        <v>12</v>
      </c>
      <c r="AC308">
        <v>32</v>
      </c>
      <c r="AD308">
        <v>4</v>
      </c>
      <c r="AE308">
        <f>IFERROR(6/(COUNTIF(Dyno_EndMatch[Match],TBA_Matches_All[[#This Row],[Match_Number]])),0)</f>
        <v>1</v>
      </c>
      <c r="AF308">
        <f>COUNTIFS(Dyno_Data[Team],TBA_Matches_All[[#This Row],[Team]],Dyno_Data[Match],TBA_Matches_All[[#This Row],[Match_Number]],Dyno_Data[RecordType],"EndMatch",Dyno_Data[HPAmp],"Y")</f>
        <v>1</v>
      </c>
      <c r="AG308">
        <f>SUMIFS(Dyno_Data[Mics], Dyno_Data[Team],TBA_Matches_All[[#This Row],[Team]],Dyno_Data[Match],TBA_Matches_All[[#This Row],[Match_Number]],Dyno_Data[RecordType],"EndMatch",Dyno_Data[HPAmp],"Y")</f>
        <v>0</v>
      </c>
      <c r="AH308">
        <f>SUMIFS(Dyno_Data[Leave], Dyno_Data[Team],TBA_Matches_All[[#This Row],[Team]],Dyno_Data[Match],TBA_Matches_All[[#This Row],[Match_Number]],Dyno_Data[RecordType],"EndAuto")</f>
        <v>1</v>
      </c>
      <c r="AI308">
        <f>COUNTIFS(Dyno_Data[Team],TBA_Matches_All[[#This Row],[Team]],Dyno_Data[Match],TBA_Matches_All[[#This Row],[Match_Number]],Dyno_Data[RecordType],"Activities",Dyno_Data[DelDest],"Amp", Dyno_Data[DelMiss],"0", Dyno_Data[Mode],"Auto")</f>
        <v>1</v>
      </c>
      <c r="AJ308">
        <f>COUNTIFS(Dyno_Data[Team],TBA_Matches_All[[#This Row],[Team]],Dyno_Data[Match],TBA_Matches_All[[#This Row],[Match_Number]],Dyno_Data[RecordType],"Activities",Dyno_Data[DelDest],"Spkr", Dyno_Data[DelMiss],"0", Dyno_Data[Mode],"Auto")</f>
        <v>0</v>
      </c>
      <c r="AK308">
        <f>COUNTIFS(Dyno_Data[Team],TBA_Matches_All[[#This Row],[Team]],Dyno_Data[Match],TBA_Matches_All[[#This Row],[Match_Number]],Dyno_Data[RecordType],"Activities",Dyno_Data[DelDest],"Trap", Dyno_Data[DelMiss],"0", Dyno_Data[Mode],"Auto")</f>
        <v>0</v>
      </c>
      <c r="AL308">
        <f>COUNTIFS(Dyno_Data[Team],TBA_Matches_All[[#This Row],[Team]],Dyno_Data[Match],TBA_Matches_All[[#This Row],[Match_Number]],Dyno_Data[RecordType],"Activities",Dyno_Data[DelDest],"Amp", Dyno_Data[DelMiss],"0", Dyno_Data[Mode],"Teleop")</f>
        <v>0</v>
      </c>
      <c r="AM308">
        <f>COUNTIFS(Dyno_Data[Team],TBA_Matches_All[[#This Row],[Team]],Dyno_Data[Match],TBA_Matches_All[[#This Row],[Match_Number]],Dyno_Data[RecordType],"Activities",Dyno_Data[DelDest],"Spkr", Dyno_Data[DelMiss],"0", Dyno_Data[Mode],"Teleop")</f>
        <v>0</v>
      </c>
      <c r="AN308">
        <f>COUNTIFS(Dyno_Data[Team],TBA_Matches_All[[#This Row],[Team]],Dyno_Data[Match],TBA_Matches_All[[#This Row],[Match_Number]],Dyno_Data[RecordType],"Activities",Dyno_Data[DelDest],"Trap", Dyno_Data[DelMiss],"0", Dyno_Data[Mode],"&lt;&gt;Auto")</f>
        <v>0</v>
      </c>
      <c r="AO308">
        <f>SUM(TBA_Matches_All[[#This Row],[AampT]]+TBA_Matches_All[[#This Row],[AspkrT]]+TBA_Matches_All[[#This Row],[AtrapT]]+TBA_Matches_All[[#This Row],[TampT]]+TBA_Matches_All[[#This Row],[TspkrT]]+TBA_Matches_All[[#This Row],[TtrapT]])</f>
        <v>1</v>
      </c>
      <c r="AP308">
        <f>COUNTIFS(Dyno_Data[Team],TBA_Matches_All[[#This Row],[Team]],Dyno_Data[Match],TBA_Matches_All[[#This Row],[Match_Number]],Dyno_Data[RecordType],"Activities",Dyno_Data[DelDest],"Neut", Dyno_Data[DelMiss],"0")</f>
        <v>0</v>
      </c>
      <c r="AQ308">
        <f>COUNTIFS(Dyno_Data[Team],TBA_Matches_All[[#This Row],[Team]],Dyno_Data[Match],TBA_Matches_All[[#This Row],[Match_Number]],Dyno_Data[RecordType],"Activities",Dyno_Data[DelDest],"AllyW", Dyno_Data[DelMiss],"0")</f>
        <v>0</v>
      </c>
      <c r="AR308" t="str">
        <f>_xlfn.XLOOKUP(SUM(MID(TBA_Matches_All[[#This Row],[Team]],4,5),(TBA_Matches_All[[#This Row],[Match_Number]]/100)),Dyno_EndMatch[teammat],Dyno_EndMatch[RobotSta],"_",0,1)</f>
        <v>OppS</v>
      </c>
      <c r="AS308">
        <f>SUMIFS(Dyno_Data[AcqDis], Dyno_Data[Team],TBA_Matches_All[[#This Row],[Team]],Dyno_Data[Match],TBA_Matches_All[[#This Row],[Match_Number]],Dyno_Data[RecordType],"Activities", Dyno_Data[AcqCenter],1,Dyno_Data[Mode],"Auto")</f>
        <v>0</v>
      </c>
      <c r="AT308">
        <f>SUMIFS(Dyno_Data[AcqDis], Dyno_Data[Team],TBA_Matches_All[[#This Row],[Team]],Dyno_Data[Match],TBA_Matches_All[[#This Row],[Match_Number]],Dyno_Data[RecordType],"Activities", Dyno_Data[AcqCenter],2,Dyno_Data[Mode],"Auto")</f>
        <v>0</v>
      </c>
      <c r="AU308">
        <f>SUMIFS(Dyno_Data[AcqDis], Dyno_Data[Team],TBA_Matches_All[[#This Row],[Team]],Dyno_Data[Match],TBA_Matches_All[[#This Row],[Match_Number]],Dyno_Data[RecordType],"Activities", Dyno_Data[AcqCenter],3,Dyno_Data[Mode],"Auto")</f>
        <v>0</v>
      </c>
      <c r="AV308">
        <f>SUMIFS(Dyno_Data[AcqDis], Dyno_Data[Team],TBA_Matches_All[[#This Row],[Team]],Dyno_Data[Match],TBA_Matches_All[[#This Row],[Match_Number]],Dyno_Data[RecordType],"Activities", Dyno_Data[AcqCenter],4,Dyno_Data[Mode],"Auto")</f>
        <v>0</v>
      </c>
      <c r="AW308">
        <f>SUMIFS(Dyno_Data[AcqDis], Dyno_Data[Team],TBA_Matches_All[[#This Row],[Team]],Dyno_Data[Match],TBA_Matches_All[[#This Row],[Match_Number]],Dyno_Data[RecordType],"Activities", Dyno_Data[AcqCenter],5,Dyno_Data[Mode],"Auto")</f>
        <v>0</v>
      </c>
      <c r="AX308">
        <f>SUMIFS(Dyno_Data[DelMiss], Dyno_Data[Team],TBA_Matches_All[[#This Row],[Team]],Dyno_Data[Match],TBA_Matches_All[[#This Row],[Match_Number]],Dyno_Data[RecordType],"Activities", Dyno_Data[DelDest],"Amp")</f>
        <v>0</v>
      </c>
      <c r="AY308" s="60">
        <f>IFERROR(SUM((TBA_Matches_All[[#This Row],[AampT]]+TBA_Matches_All[[#This Row],[TampT]])/(TBA_Matches_All[[#This Row],[AampT]]+TBA_Matches_All[[#This Row],[TampT]]+TBA_Matches_All[[#This Row],[ampM]])),0)</f>
        <v>1</v>
      </c>
      <c r="AZ308">
        <f>SUMIFS(Dyno_Data[DelMiss], Dyno_Data[Team],TBA_Matches_All[[#This Row],[Team]],Dyno_Data[Match],TBA_Matches_All[[#This Row],[Match_Number]],Dyno_Data[RecordType],"Activities", Dyno_Data[DelDest],"Spkr")</f>
        <v>4</v>
      </c>
      <c r="BA308" s="60">
        <f>IFERROR(SUM((TBA_Matches_All[[#This Row],[AspkrT]]+TBA_Matches_All[[#This Row],[TspkrT]])/(TBA_Matches_All[[#This Row],[AspkrT]]+TBA_Matches_All[[#This Row],[TspkrT]]+TBA_Matches_All[[#This Row],[spkrM]])),0)</f>
        <v>0</v>
      </c>
      <c r="BB308">
        <f>SUMIFS(Dyno_Data[DelMiss], Dyno_Data[Team],TBA_Matches_All[[#This Row],[Team]],Dyno_Data[Match],TBA_Matches_All[[#This Row],[Match_Number]],Dyno_Data[RecordType],"Activities", Dyno_Data[DelDest],"Trap")</f>
        <v>0</v>
      </c>
      <c r="BC308" s="60">
        <f>IFERROR((TBA_Matches_All[[#This Row],[AtrapT]]+TBA_Matches_All[[#This Row],[TtrapT]])/(TBA_Matches_All[[#This Row],[AtrapT]]+TBA_Matches_All[[#This Row],[TtrapT]]+TBA_Matches_All[[#This Row],[trapM]]),0)</f>
        <v>0</v>
      </c>
      <c r="BD308">
        <f>COUNTIFS(Dyno_Data[Team],TBA_Matches_All[[#This Row],[Team]],Dyno_Data[Match],TBA_Matches_All[[#This Row],[Match_Number]],Dyno_Data[RecordType],"Activities",Dyno_Data[DelDest],"Neut", Dyno_Data[DelMiss],1)</f>
        <v>0</v>
      </c>
      <c r="BE308" s="60">
        <f>IFERROR(SUM((TBA_Matches_All[[#This Row],[NeutFlrT]])/(TBA_Matches_All[[#This Row],[NeutFlrT]]+TBA_Matches_All[[#This Row],[NZflM]])),0)</f>
        <v>0</v>
      </c>
      <c r="BF308">
        <f>COUNTIFS(Dyno_Data[Team],TBA_Matches_All[[#This Row],[Team]],Dyno_Data[Match],TBA_Matches_All[[#This Row],[Match_Number]],Dyno_Data[RecordType],"Activities",Dyno_Data[DelDest],"AllyW", Dyno_Data[DelMiss],1)</f>
        <v>0</v>
      </c>
      <c r="BG308" s="60">
        <f>IFERROR(SUM((TBA_Matches_All[[#This Row],[AllyWFlrT]])/(TBA_Matches_All[[#This Row],[AllyWFlrT]]+TBA_Matches_All[[#This Row],[AZflM]])),0)</f>
        <v>0</v>
      </c>
      <c r="BH308">
        <f>COUNTIFS(Dyno_Data[Team],TBA_Matches_All[[#This Row],[Team]],Dyno_Data[Match],TBA_Matches_All[[#This Row],[Match_Number]],Dyno_Data[RecordType],"Activities",Dyno_Data[DelOrig],"OppW", Dyno_Data[DelMiss],"0")</f>
        <v>0</v>
      </c>
      <c r="BI308">
        <f>COUNTIFS(Dyno_Data[Team],TBA_Matches_All[[#This Row],[Team]],Dyno_Data[Match],TBA_Matches_All[[#This Row],[Match_Number]],Dyno_Data[RecordType],"Activities",Dyno_Data[DelOrig],"OppW", Dyno_Data[DelMiss],"1")</f>
        <v>0</v>
      </c>
      <c r="BJ308" s="60">
        <f>IFERROR(SUM((TBA_Matches_All[[#This Row],[OZflrT]])/(TBA_Matches_All[[#This Row],[OZflrT]]+TBA_Matches_All[[#This Row],[OZflrM]])),0)</f>
        <v>0</v>
      </c>
      <c r="BK308">
        <f>COUNTIFS(Dyno_Data[Team],TBA_Matches_All[[#This Row],[Team]],Dyno_Data[Match],TBA_Matches_All[[#This Row],[Match_Number]],Dyno_Data[RecordType],"Activities",Dyno_Data[DelOrig],"Neut", Dyno_Data[DelMiss],"0")</f>
        <v>0</v>
      </c>
      <c r="BL308">
        <f>COUNTIFS(Dyno_Data[Team],TBA_Matches_All[[#This Row],[Team]],Dyno_Data[Match],TBA_Matches_All[[#This Row],[Match_Number]],Dyno_Data[RecordType],"Activities",Dyno_Data[DelOrig],"Neut", Dyno_Data[DelMiss],"1")</f>
        <v>0</v>
      </c>
      <c r="BM308" s="60">
        <f>IFERROR(SUM((TBA_Matches_All[[#This Row],[NZflrT]])/(TBA_Matches_All[[#This Row],[NZflrT]]+TBA_Matches_All[[#This Row],[NZflrM]])),0)</f>
        <v>0</v>
      </c>
      <c r="BN308">
        <f>COUNTIFS(Dyno_Data[Team],TBA_Matches_All[[#This Row],[Team]],Dyno_Data[Match],TBA_Matches_All[[#This Row],[Match_Number]],Dyno_Data[RecordType],"Activities",Dyno_Data[DelOrig],"AllyW", Dyno_Data[DelMiss],"0")</f>
        <v>0</v>
      </c>
      <c r="BO308">
        <f>COUNTIFS(Dyno_Data[Team],TBA_Matches_All[[#This Row],[Team]],Dyno_Data[Match],TBA_Matches_All[[#This Row],[Match_Number]],Dyno_Data[RecordType],"Activities",Dyno_Data[DelOrig],"AllyW", Dyno_Data[DelMiss],"1")</f>
        <v>0</v>
      </c>
      <c r="BP308" s="60">
        <f>IFERROR(SUM((TBA_Matches_All[[#This Row],[AZflrT]])/(TBA_Matches_All[[#This Row],[AZflrT]]+TBA_Matches_All[[#This Row],[AZflrM]])),0)</f>
        <v>0</v>
      </c>
      <c r="BQ308">
        <f>COUNTIFS(Dyno_Data[Team],TBA_Matches_All[[#This Row],[Team]],Dyno_Data[Match],TBA_Matches_All[[#This Row],[Match_Number]],Dyno_Data[RecordType],"Activities",Dyno_Data[DelOrig],"SubW", Dyno_Data[DelMiss],"0")</f>
        <v>1</v>
      </c>
      <c r="BR308">
        <f>COUNTIFS(Dyno_Data[Team],TBA_Matches_All[[#This Row],[Team]],Dyno_Data[Match],TBA_Matches_All[[#This Row],[Match_Number]],Dyno_Data[RecordType],"Activities",Dyno_Data[DelOrig],"SubW", Dyno_Data[DelMiss],"1")</f>
        <v>4</v>
      </c>
      <c r="BS308" s="60">
        <f>IFERROR(SUM((TBA_Matches_All[[#This Row],[SubwT]])/(TBA_Matches_All[[#This Row],[SubwT]]+TBA_Matches_All[[#This Row],[SubwM]])),0)</f>
        <v>0.2</v>
      </c>
      <c r="BT308">
        <f>COUNTIFS(Dyno_Data[Team],TBA_Matches_All[[#This Row],[Team]],Dyno_Data[Match],TBA_Matches_All[[#This Row],[Match_Number]],Dyno_Data[RecordType],"Activities", Dyno_Data[AcqLoc],"OppWing")</f>
        <v>0</v>
      </c>
      <c r="BU308">
        <f>COUNTIFS(Dyno_Data[Team],TBA_Matches_All[[#This Row],[Team]],Dyno_Data[Match],TBA_Matches_All[[#This Row],[Match_Number]],Dyno_Data[RecordType],"Activities", Dyno_Data[AcqLoc],"Neutral")</f>
        <v>0</v>
      </c>
      <c r="BV308">
        <f>COUNTIFS(Dyno_Data[Team],TBA_Matches_All[[#This Row],[Team]],Dyno_Data[Match],TBA_Matches_All[[#This Row],[Match_Number]],Dyno_Data[RecordType],"Activities", Dyno_Data[AcqLoc],"AllyWing")</f>
        <v>0</v>
      </c>
      <c r="BW308">
        <f>COUNTIFS(Dyno_Data[Team],TBA_Matches_All[[#This Row],[Team]],Dyno_Data[Match],TBA_Matches_All[[#This Row],[Match_Number]],Dyno_Data[RecordType],"Activities", Dyno_Data[AcqLoc],"Source")</f>
        <v>0</v>
      </c>
      <c r="BX308">
        <f>SUMIFS(Dyno_Data[AcqDrp], Dyno_Data[Team],TBA_Matches_All[[#This Row],[Team]],Dyno_Data[Match],TBA_Matches_All[[#This Row],[Match_Number]],Dyno_Data[RecordType],"Activities", Dyno_Data[AcqLoc],"Source")</f>
        <v>0</v>
      </c>
      <c r="BY308">
        <f>SUMIFS(Dyno_Data[OZTime], Dyno_Data[Team],TBA_Matches_All[[#This Row],[Team]],Dyno_Data[Match],TBA_Matches_All[[#This Row],[Match_Number]],Dyno_Data[RecordType],"EndMatch")</f>
        <v>0</v>
      </c>
      <c r="BZ308">
        <f>SUMIFS(Dyno_Data[NZTime], Dyno_Data[Team],TBA_Matches_All[[#This Row],[Team]],Dyno_Data[Match],TBA_Matches_All[[#This Row],[Match_Number]],Dyno_Data[RecordType],"EndMatch")</f>
        <v>1.2437593999999998</v>
      </c>
      <c r="CA308">
        <f>SUMIFS(Dyno_Data[AZTime], Dyno_Data[Team],TBA_Matches_All[[#This Row],[Team]],Dyno_Data[Match],TBA_Matches_All[[#This Row],[Match_Number]],Dyno_Data[RecordType],"EndMatch")</f>
        <v>0</v>
      </c>
      <c r="CB308">
        <f>SUMIFS(Dyno_Data[ClimbT], Dyno_Data[Team],TBA_Matches_All[[#This Row],[Team]],Dyno_Data[Match],TBA_Matches_All[[#This Row],[Match_Number]],Dyno_Data[RecordType],"EndMatch")</f>
        <v>0</v>
      </c>
      <c r="CC308" t="str">
        <f>_xlfn.XLOOKUP(SUM(MID(TBA_Matches_All[[#This Row],[Team]],4,5),(TBA_Matches_All[[#This Row],[Match_Number]]/100)),Dyno_EndMatch[teammat],Dyno_EndMatch[StageStat],"_",0,1)</f>
        <v>Park</v>
      </c>
      <c r="CD308" t="str">
        <f>_xlfn.XLOOKUP(TBA_Matches_All[[#This Row],[teammat]],Dyno_EndMatch[teammat],Dyno_EndMatch[StageAtt],"_",0,1)</f>
        <v>0</v>
      </c>
      <c r="CE308" t="str">
        <f>_xlfn.XLOOKUP(TBA_Matches_All[[#This Row],[teammat]],Dyno_EndMatch[teammat],Dyno_EndMatch[StageLoc],"_",0,1)</f>
        <v>A</v>
      </c>
      <c r="CF308">
        <f>SUMIFS(Dyno_Data[Harmony], Dyno_Data[Team],TBA_Matches_All[[#This Row],[Team]],Dyno_Data[Match],TBA_Matches_All[[#This Row],[Match_Number]],Dyno_Data[RecordType],"EndMatch", Dyno_Data[StageStat],"On",Dyno_Data[Harmony],"&lt;&gt;9")</f>
        <v>0</v>
      </c>
      <c r="CG308">
        <f>SUMIFS(Dyno_Data[Spotlit], Dyno_Data[Team],TBA_Matches_All[[#This Row],[Team]],Dyno_Data[Match],TBA_Matches_All[[#This Row],[Match_Number]],Dyno_Data[RecordType],"EndMatch", Dyno_Data[StageStat],"On",Dyno_Data[Spotlit],"&lt;&gt;9")</f>
        <v>0</v>
      </c>
      <c r="CH308" t="str">
        <f>_xlfn.XLOOKUP(TBA_Matches_All[[#This Row],[teammat]],Dyno_EndMatch[teammat],Dyno_EndMatch[Strategy],"_",0,1)</f>
        <v>Hybrid</v>
      </c>
      <c r="CI308">
        <f>SUMIFS(Dyno_Data[Defense], Dyno_Data[Team],TBA_Matches_All[[#This Row],[Team]],Dyno_Data[Match],TBA_Matches_All[[#This Row],[Match_Number]],Dyno_Data[RecordType],"EndMatch",Dyno_Data[Defense],"&lt;&gt;9")</f>
        <v>0</v>
      </c>
      <c r="CJ308">
        <f>SUMIFS(Dyno_Data[Avoidance], Dyno_Data[Team],TBA_Matches_All[[#This Row],[Team]],Dyno_Data[Match],TBA_Matches_All[[#This Row],[Match_Number]],Dyno_Data[RecordType],"EndMatch",Dyno_Data[Avoidance],"&lt;&gt;9")</f>
        <v>0</v>
      </c>
      <c r="CK308" s="82">
        <f>COUNTIF($H$2:TBA_Matches_All[[#This Row],[Team]],TBA_Matches_All[[#This Row],[Team]])</f>
        <v>6</v>
      </c>
      <c r="CL308" s="111">
        <f>SUM(MID(TBA_Matches_All[[#This Row],[Team]],4,5)+TBA_Matches_All[[#This Row],[Match_Number]]/100)</f>
        <v>9076.51</v>
      </c>
      <c r="CM308">
        <f>SUM((TBA_Matches_All[[#This Row],[Leave]]*2)+(TBA_Matches_All[[#This Row],[AampT]]*2)+(TBA_Matches_All[[#This Row],[AspkrT]]*5)+(TBA_Matches_All[[#This Row],[AtrapT]]*5))</f>
        <v>4</v>
      </c>
      <c r="CN308" s="59">
        <f>IFERROR(SUM(TBA_Matches_All[[#This Row],[AptsT]]/TBA_Matches_All[[#This Row],[AutoPts]]),0)</f>
        <v>0.19047619047619047</v>
      </c>
      <c r="CO308" s="59">
        <f>IFERROR(SUM(TBA_Matches_All[[#This Row],[AampT]]+TBA_Matches_All[[#This Row],[AspkrT]]+TBA_Matches_All[[#This Row],[AtrapT]]/TBA_Matches_All[[#This Row],[Aamp]]+TBA_Matches_All[[#This Row],[Aspkr]]+TBA_Matches_All[[#This Row],[AtrapT]]),0)</f>
        <v>0</v>
      </c>
      <c r="CP308" s="59">
        <f>IFERROR(SUM(TBA_Matches_All[[#This Row],[TampT]]/TBA_Matches_All[[#This Row],[Tamp]]),0)</f>
        <v>0</v>
      </c>
      <c r="CQ308" s="59">
        <f>IFERROR(SUM(TBA_Matches_All[[#This Row],[TspkrT]]/TBA_Matches_All[[#This Row],[Tspkr]]),0)</f>
        <v>0</v>
      </c>
      <c r="CR308">
        <f>SUM(TBA_Matches_All[[#This Row],[TspkrPts]]*TBA_Matches_All[[#This Row],[TspkrP]])</f>
        <v>0</v>
      </c>
      <c r="CS308" s="59">
        <f>IFERROR(SUM(TBA_Matches_All[[#This Row],[TtrapT]]/TBA_Matches_All[[#This Row],[Trap]]),0)</f>
        <v>0</v>
      </c>
      <c r="CT308" s="59">
        <f>IFERROR(SUM(TBA_Matches_All[[#This Row],[TotNotesT]]/TBA_Matches_All[[#This Row],[TotNotes]]),0)</f>
        <v>8.3333333333333329E-2</v>
      </c>
      <c r="CU308" s="66">
        <f>SUM((TBA_Matches_All[[#This Row],[AampT]]*2)+(TBA_Matches_All[[#This Row],[AspkrT]]*5)+(TBA_Matches_All[[#This Row],[AtrapT]]*5)+(TBA_Matches_All[[#This Row],[TampT]]*1)+(TBA_Matches_All[[#This Row],[TspkrptsC]]))</f>
        <v>2</v>
      </c>
      <c r="CV308" s="59">
        <f>IFERROR(TBA_Matches_All[[#This Row],[noteptsT]]/TBA_Matches_All[[#This Row],[NotePts]],0)</f>
        <v>6.25E-2</v>
      </c>
      <c r="CW308">
        <f>SUM(IF(TBA_Matches_All[[#This Row],[stageStat]]="On",3,0),IF(TBA_Matches_All[[#This Row],[stageStat]]="Park",1,0),SUMIFS(TBA_Matches_All[[#This Row],[Spotlit]],TBA_Matches_All[[#This Row],[stageStat]],"On"),SUMIFS(TBA_Matches_All[[#This Row],[Harmony]],TBA_Matches_All[[#This Row],[stageStat]],"On"))</f>
        <v>1</v>
      </c>
      <c r="CX308" s="59">
        <f>IFERROR(TBA_Matches_All[[#This Row],[stageptsT]]/TBA_Matches_All[[#This Row],[StagePts]],0)</f>
        <v>0.25</v>
      </c>
      <c r="CY308">
        <f>SUM((TBA_Matches_All[[#This Row],[AptsT]]+TBA_Matches_All[[#This Row],[TampT]]+TBA_Matches_All[[#This Row],[TspkrptsC]]+(TBA_Matches_All[[#This Row],[TtrapT]]*5)+TBA_Matches_All[[#This Row],[stageptsT]]))</f>
        <v>5</v>
      </c>
      <c r="CZ308" s="59">
        <f>IFERROR(SUM(TBA_Matches_All[[#This Row],[TotptsC]]/TBA_Matches_All[[#This Row],[Score]]),0)</f>
        <v>9.6153846153846159E-2</v>
      </c>
      <c r="DA30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6.13986013986014</v>
      </c>
      <c r="DB308" s="74">
        <f>SUMIFS(TBA_Matches_All[AveTeamTNoteDels],TBA_Matches_All[Match_Number],TBA_Matches_All[[#This Row],[Match_Number]],TBA_Matches_All[Alliance],"&lt;&gt;"&amp;TBA_Matches_All[[#This Row],[Alliance]],TBA_Matches_All[Scouted],"&gt;0")</f>
        <v>35.52688311688312</v>
      </c>
      <c r="DC308" s="74">
        <f>(TBA_Matches_All[[#This Row],[TampT]]+TBA_Matches_All[[#This Row],[TspkrptsC]])-TBA_Matches_All[[#This Row],[AveTeamTNoteDels]]</f>
        <v>-6.13986013986014</v>
      </c>
      <c r="DD308" s="74">
        <f>SUMIFS(TBA_Matches_All[AveTeamTNoteDels],TBA_Matches_All[Match_Number],TBA_Matches_All[[#This Row],[Match_Number]],TBA_Matches_All[Alliance],"&lt;&gt;"&amp;TBA_Matches_All[[#This Row],[Alliance]])-TBA_Matches_All[[#This Row],[AveOppTNoteDels]]</f>
        <v>0</v>
      </c>
    </row>
    <row r="309" spans="1:108" x14ac:dyDescent="0.3">
      <c r="A309" t="s">
        <v>1042</v>
      </c>
      <c r="B309" t="s">
        <v>489</v>
      </c>
      <c r="C309" t="s">
        <v>1361</v>
      </c>
      <c r="D309">
        <v>52</v>
      </c>
      <c r="E309" t="s">
        <v>1420</v>
      </c>
      <c r="F309" t="s">
        <v>1425</v>
      </c>
      <c r="G309" t="s">
        <v>105</v>
      </c>
      <c r="H309" t="s">
        <v>1317</v>
      </c>
      <c r="I309" t="b">
        <v>0</v>
      </c>
      <c r="J309">
        <v>45</v>
      </c>
      <c r="K309">
        <v>0</v>
      </c>
      <c r="L309">
        <v>0</v>
      </c>
      <c r="M309">
        <v>7</v>
      </c>
      <c r="N309">
        <v>0</v>
      </c>
      <c r="O309">
        <v>3</v>
      </c>
      <c r="P309">
        <v>15</v>
      </c>
      <c r="Q309">
        <v>19</v>
      </c>
      <c r="R309">
        <v>4</v>
      </c>
      <c r="S309">
        <v>2</v>
      </c>
      <c r="T309">
        <v>5</v>
      </c>
      <c r="U309">
        <v>10</v>
      </c>
      <c r="V309">
        <v>10</v>
      </c>
      <c r="W309">
        <v>7</v>
      </c>
      <c r="X309">
        <v>20</v>
      </c>
      <c r="Y309">
        <v>24</v>
      </c>
      <c r="Z309">
        <v>0</v>
      </c>
      <c r="AA309">
        <v>0</v>
      </c>
      <c r="AB309">
        <v>14</v>
      </c>
      <c r="AC309">
        <v>39</v>
      </c>
      <c r="AD309">
        <v>2</v>
      </c>
      <c r="AE309">
        <f>IFERROR(6/(COUNTIF(Dyno_EndMatch[Match],TBA_Matches_All[[#This Row],[Match_Number]])),0)</f>
        <v>1</v>
      </c>
      <c r="AF309">
        <f>COUNTIFS(Dyno_Data[Team],TBA_Matches_All[[#This Row],[Team]],Dyno_Data[Match],TBA_Matches_All[[#This Row],[Match_Number]],Dyno_Data[RecordType],"EndMatch",Dyno_Data[HPAmp],"Y")</f>
        <v>0</v>
      </c>
      <c r="AG309">
        <f>SUMIFS(Dyno_Data[Mics], Dyno_Data[Team],TBA_Matches_All[[#This Row],[Team]],Dyno_Data[Match],TBA_Matches_All[[#This Row],[Match_Number]],Dyno_Data[RecordType],"EndMatch",Dyno_Data[HPAmp],"Y")</f>
        <v>0</v>
      </c>
      <c r="AH309">
        <f>SUMIFS(Dyno_Data[Leave], Dyno_Data[Team],TBA_Matches_All[[#This Row],[Team]],Dyno_Data[Match],TBA_Matches_All[[#This Row],[Match_Number]],Dyno_Data[RecordType],"EndAuto")</f>
        <v>1</v>
      </c>
      <c r="AI309">
        <f>COUNTIFS(Dyno_Data[Team],TBA_Matches_All[[#This Row],[Team]],Dyno_Data[Match],TBA_Matches_All[[#This Row],[Match_Number]],Dyno_Data[RecordType],"Activities",Dyno_Data[DelDest],"Amp", Dyno_Data[DelMiss],"0", Dyno_Data[Mode],"Auto")</f>
        <v>0</v>
      </c>
      <c r="AJ309">
        <f>COUNTIFS(Dyno_Data[Team],TBA_Matches_All[[#This Row],[Team]],Dyno_Data[Match],TBA_Matches_All[[#This Row],[Match_Number]],Dyno_Data[RecordType],"Activities",Dyno_Data[DelDest],"Spkr", Dyno_Data[DelMiss],"0", Dyno_Data[Mode],"Auto")</f>
        <v>0</v>
      </c>
      <c r="AK309">
        <f>COUNTIFS(Dyno_Data[Team],TBA_Matches_All[[#This Row],[Team]],Dyno_Data[Match],TBA_Matches_All[[#This Row],[Match_Number]],Dyno_Data[RecordType],"Activities",Dyno_Data[DelDest],"Trap", Dyno_Data[DelMiss],"0", Dyno_Data[Mode],"Auto")</f>
        <v>0</v>
      </c>
      <c r="AL309">
        <f>COUNTIFS(Dyno_Data[Team],TBA_Matches_All[[#This Row],[Team]],Dyno_Data[Match],TBA_Matches_All[[#This Row],[Match_Number]],Dyno_Data[RecordType],"Activities",Dyno_Data[DelDest],"Amp", Dyno_Data[DelMiss],"0", Dyno_Data[Mode],"Teleop")</f>
        <v>0</v>
      </c>
      <c r="AM309">
        <f>COUNTIFS(Dyno_Data[Team],TBA_Matches_All[[#This Row],[Team]],Dyno_Data[Match],TBA_Matches_All[[#This Row],[Match_Number]],Dyno_Data[RecordType],"Activities",Dyno_Data[DelDest],"Spkr", Dyno_Data[DelMiss],"0", Dyno_Data[Mode],"Teleop")</f>
        <v>6</v>
      </c>
      <c r="AN309">
        <f>COUNTIFS(Dyno_Data[Team],TBA_Matches_All[[#This Row],[Team]],Dyno_Data[Match],TBA_Matches_All[[#This Row],[Match_Number]],Dyno_Data[RecordType],"Activities",Dyno_Data[DelDest],"Trap", Dyno_Data[DelMiss],"0", Dyno_Data[Mode],"&lt;&gt;Auto")</f>
        <v>0</v>
      </c>
      <c r="AO309">
        <f>SUM(TBA_Matches_All[[#This Row],[AampT]]+TBA_Matches_All[[#This Row],[AspkrT]]+TBA_Matches_All[[#This Row],[AtrapT]]+TBA_Matches_All[[#This Row],[TampT]]+TBA_Matches_All[[#This Row],[TspkrT]]+TBA_Matches_All[[#This Row],[TtrapT]])</f>
        <v>6</v>
      </c>
      <c r="AP309">
        <f>COUNTIFS(Dyno_Data[Team],TBA_Matches_All[[#This Row],[Team]],Dyno_Data[Match],TBA_Matches_All[[#This Row],[Match_Number]],Dyno_Data[RecordType],"Activities",Dyno_Data[DelDest],"Neut", Dyno_Data[DelMiss],"0")</f>
        <v>0</v>
      </c>
      <c r="AQ309">
        <f>COUNTIFS(Dyno_Data[Team],TBA_Matches_All[[#This Row],[Team]],Dyno_Data[Match],TBA_Matches_All[[#This Row],[Match_Number]],Dyno_Data[RecordType],"Activities",Dyno_Data[DelDest],"AllyW", Dyno_Data[DelMiss],"0")</f>
        <v>0</v>
      </c>
      <c r="AR309" t="str">
        <f>_xlfn.XLOOKUP(SUM(MID(TBA_Matches_All[[#This Row],[Team]],4,5),(TBA_Matches_All[[#This Row],[Match_Number]]/100)),Dyno_EndMatch[teammat],Dyno_EndMatch[RobotSta],"_",0,1)</f>
        <v>Podm</v>
      </c>
      <c r="AS309">
        <f>SUMIFS(Dyno_Data[AcqDis], Dyno_Data[Team],TBA_Matches_All[[#This Row],[Team]],Dyno_Data[Match],TBA_Matches_All[[#This Row],[Match_Number]],Dyno_Data[RecordType],"Activities", Dyno_Data[AcqCenter],1,Dyno_Data[Mode],"Auto")</f>
        <v>-1</v>
      </c>
      <c r="AT309">
        <f>SUMIFS(Dyno_Data[AcqDis], Dyno_Data[Team],TBA_Matches_All[[#This Row],[Team]],Dyno_Data[Match],TBA_Matches_All[[#This Row],[Match_Number]],Dyno_Data[RecordType],"Activities", Dyno_Data[AcqCenter],2,Dyno_Data[Mode],"Auto")</f>
        <v>0</v>
      </c>
      <c r="AU309">
        <f>SUMIFS(Dyno_Data[AcqDis], Dyno_Data[Team],TBA_Matches_All[[#This Row],[Team]],Dyno_Data[Match],TBA_Matches_All[[#This Row],[Match_Number]],Dyno_Data[RecordType],"Activities", Dyno_Data[AcqCenter],3,Dyno_Data[Mode],"Auto")</f>
        <v>0</v>
      </c>
      <c r="AV309">
        <f>SUMIFS(Dyno_Data[AcqDis], Dyno_Data[Team],TBA_Matches_All[[#This Row],[Team]],Dyno_Data[Match],TBA_Matches_All[[#This Row],[Match_Number]],Dyno_Data[RecordType],"Activities", Dyno_Data[AcqCenter],4,Dyno_Data[Mode],"Auto")</f>
        <v>0</v>
      </c>
      <c r="AW309">
        <f>SUMIFS(Dyno_Data[AcqDis], Dyno_Data[Team],TBA_Matches_All[[#This Row],[Team]],Dyno_Data[Match],TBA_Matches_All[[#This Row],[Match_Number]],Dyno_Data[RecordType],"Activities", Dyno_Data[AcqCenter],5,Dyno_Data[Mode],"Auto")</f>
        <v>0</v>
      </c>
      <c r="AX309">
        <f>SUMIFS(Dyno_Data[DelMiss], Dyno_Data[Team],TBA_Matches_All[[#This Row],[Team]],Dyno_Data[Match],TBA_Matches_All[[#This Row],[Match_Number]],Dyno_Data[RecordType],"Activities", Dyno_Data[DelDest],"Amp")</f>
        <v>0</v>
      </c>
      <c r="AY309" s="60">
        <f>IFERROR(SUM((TBA_Matches_All[[#This Row],[AampT]]+TBA_Matches_All[[#This Row],[TampT]])/(TBA_Matches_All[[#This Row],[AampT]]+TBA_Matches_All[[#This Row],[TampT]]+TBA_Matches_All[[#This Row],[ampM]])),0)</f>
        <v>0</v>
      </c>
      <c r="AZ309">
        <f>SUMIFS(Dyno_Data[DelMiss], Dyno_Data[Team],TBA_Matches_All[[#This Row],[Team]],Dyno_Data[Match],TBA_Matches_All[[#This Row],[Match_Number]],Dyno_Data[RecordType],"Activities", Dyno_Data[DelDest],"Spkr")</f>
        <v>1</v>
      </c>
      <c r="BA309" s="60">
        <f>IFERROR(SUM((TBA_Matches_All[[#This Row],[AspkrT]]+TBA_Matches_All[[#This Row],[TspkrT]])/(TBA_Matches_All[[#This Row],[AspkrT]]+TBA_Matches_All[[#This Row],[TspkrT]]+TBA_Matches_All[[#This Row],[spkrM]])),0)</f>
        <v>0.8571428571428571</v>
      </c>
      <c r="BB309">
        <f>SUMIFS(Dyno_Data[DelMiss], Dyno_Data[Team],TBA_Matches_All[[#This Row],[Team]],Dyno_Data[Match],TBA_Matches_All[[#This Row],[Match_Number]],Dyno_Data[RecordType],"Activities", Dyno_Data[DelDest],"Trap")</f>
        <v>0</v>
      </c>
      <c r="BC309" s="60">
        <f>IFERROR((TBA_Matches_All[[#This Row],[AtrapT]]+TBA_Matches_All[[#This Row],[TtrapT]])/(TBA_Matches_All[[#This Row],[AtrapT]]+TBA_Matches_All[[#This Row],[TtrapT]]+TBA_Matches_All[[#This Row],[trapM]]),0)</f>
        <v>0</v>
      </c>
      <c r="BD309">
        <f>COUNTIFS(Dyno_Data[Team],TBA_Matches_All[[#This Row],[Team]],Dyno_Data[Match],TBA_Matches_All[[#This Row],[Match_Number]],Dyno_Data[RecordType],"Activities",Dyno_Data[DelDest],"Neut", Dyno_Data[DelMiss],1)</f>
        <v>0</v>
      </c>
      <c r="BE309" s="60">
        <f>IFERROR(SUM((TBA_Matches_All[[#This Row],[NeutFlrT]])/(TBA_Matches_All[[#This Row],[NeutFlrT]]+TBA_Matches_All[[#This Row],[NZflM]])),0)</f>
        <v>0</v>
      </c>
      <c r="BF309">
        <f>COUNTIFS(Dyno_Data[Team],TBA_Matches_All[[#This Row],[Team]],Dyno_Data[Match],TBA_Matches_All[[#This Row],[Match_Number]],Dyno_Data[RecordType],"Activities",Dyno_Data[DelDest],"AllyW", Dyno_Data[DelMiss],1)</f>
        <v>0</v>
      </c>
      <c r="BG309" s="60">
        <f>IFERROR(SUM((TBA_Matches_All[[#This Row],[AllyWFlrT]])/(TBA_Matches_All[[#This Row],[AllyWFlrT]]+TBA_Matches_All[[#This Row],[AZflM]])),0)</f>
        <v>0</v>
      </c>
      <c r="BH309">
        <f>COUNTIFS(Dyno_Data[Team],TBA_Matches_All[[#This Row],[Team]],Dyno_Data[Match],TBA_Matches_All[[#This Row],[Match_Number]],Dyno_Data[RecordType],"Activities",Dyno_Data[DelOrig],"OppW", Dyno_Data[DelMiss],"0")</f>
        <v>0</v>
      </c>
      <c r="BI309">
        <f>COUNTIFS(Dyno_Data[Team],TBA_Matches_All[[#This Row],[Team]],Dyno_Data[Match],TBA_Matches_All[[#This Row],[Match_Number]],Dyno_Data[RecordType],"Activities",Dyno_Data[DelOrig],"OppW", Dyno_Data[DelMiss],"1")</f>
        <v>0</v>
      </c>
      <c r="BJ309" s="60">
        <f>IFERROR(SUM((TBA_Matches_All[[#This Row],[OZflrT]])/(TBA_Matches_All[[#This Row],[OZflrT]]+TBA_Matches_All[[#This Row],[OZflrM]])),0)</f>
        <v>0</v>
      </c>
      <c r="BK309">
        <f>COUNTIFS(Dyno_Data[Team],TBA_Matches_All[[#This Row],[Team]],Dyno_Data[Match],TBA_Matches_All[[#This Row],[Match_Number]],Dyno_Data[RecordType],"Activities",Dyno_Data[DelOrig],"Neut", Dyno_Data[DelMiss],"0")</f>
        <v>0</v>
      </c>
      <c r="BL309">
        <f>COUNTIFS(Dyno_Data[Team],TBA_Matches_All[[#This Row],[Team]],Dyno_Data[Match],TBA_Matches_All[[#This Row],[Match_Number]],Dyno_Data[RecordType],"Activities",Dyno_Data[DelOrig],"Neut", Dyno_Data[DelMiss],"1")</f>
        <v>0</v>
      </c>
      <c r="BM309" s="60">
        <f>IFERROR(SUM((TBA_Matches_All[[#This Row],[NZflrT]])/(TBA_Matches_All[[#This Row],[NZflrT]]+TBA_Matches_All[[#This Row],[NZflrM]])),0)</f>
        <v>0</v>
      </c>
      <c r="BN309">
        <f>COUNTIFS(Dyno_Data[Team],TBA_Matches_All[[#This Row],[Team]],Dyno_Data[Match],TBA_Matches_All[[#This Row],[Match_Number]],Dyno_Data[RecordType],"Activities",Dyno_Data[DelOrig],"AllyW", Dyno_Data[DelMiss],"0")</f>
        <v>0</v>
      </c>
      <c r="BO309">
        <f>COUNTIFS(Dyno_Data[Team],TBA_Matches_All[[#This Row],[Team]],Dyno_Data[Match],TBA_Matches_All[[#This Row],[Match_Number]],Dyno_Data[RecordType],"Activities",Dyno_Data[DelOrig],"AllyW", Dyno_Data[DelMiss],"1")</f>
        <v>1</v>
      </c>
      <c r="BP309" s="60">
        <f>IFERROR(SUM((TBA_Matches_All[[#This Row],[AZflrT]])/(TBA_Matches_All[[#This Row],[AZflrT]]+TBA_Matches_All[[#This Row],[AZflrM]])),0)</f>
        <v>0</v>
      </c>
      <c r="BQ309">
        <f>COUNTIFS(Dyno_Data[Team],TBA_Matches_All[[#This Row],[Team]],Dyno_Data[Match],TBA_Matches_All[[#This Row],[Match_Number]],Dyno_Data[RecordType],"Activities",Dyno_Data[DelOrig],"SubW", Dyno_Data[DelMiss],"0")</f>
        <v>6</v>
      </c>
      <c r="BR309">
        <f>COUNTIFS(Dyno_Data[Team],TBA_Matches_All[[#This Row],[Team]],Dyno_Data[Match],TBA_Matches_All[[#This Row],[Match_Number]],Dyno_Data[RecordType],"Activities",Dyno_Data[DelOrig],"SubW", Dyno_Data[DelMiss],"1")</f>
        <v>0</v>
      </c>
      <c r="BS309" s="60">
        <f>IFERROR(SUM((TBA_Matches_All[[#This Row],[SubwT]])/(TBA_Matches_All[[#This Row],[SubwT]]+TBA_Matches_All[[#This Row],[SubwM]])),0)</f>
        <v>1</v>
      </c>
      <c r="BT309">
        <f>COUNTIFS(Dyno_Data[Team],TBA_Matches_All[[#This Row],[Team]],Dyno_Data[Match],TBA_Matches_All[[#This Row],[Match_Number]],Dyno_Data[RecordType],"Activities", Dyno_Data[AcqLoc],"OppWing")</f>
        <v>0</v>
      </c>
      <c r="BU309">
        <f>COUNTIFS(Dyno_Data[Team],TBA_Matches_All[[#This Row],[Team]],Dyno_Data[Match],TBA_Matches_All[[#This Row],[Match_Number]],Dyno_Data[RecordType],"Activities", Dyno_Data[AcqLoc],"Neutral")</f>
        <v>1</v>
      </c>
      <c r="BV309">
        <f>COUNTIFS(Dyno_Data[Team],TBA_Matches_All[[#This Row],[Team]],Dyno_Data[Match],TBA_Matches_All[[#This Row],[Match_Number]],Dyno_Data[RecordType],"Activities", Dyno_Data[AcqLoc],"AllyWing")</f>
        <v>0</v>
      </c>
      <c r="BW309">
        <f>COUNTIFS(Dyno_Data[Team],TBA_Matches_All[[#This Row],[Team]],Dyno_Data[Match],TBA_Matches_All[[#This Row],[Match_Number]],Dyno_Data[RecordType],"Activities", Dyno_Data[AcqLoc],"Source")</f>
        <v>0</v>
      </c>
      <c r="BX309">
        <f>SUMIFS(Dyno_Data[AcqDrp], Dyno_Data[Team],TBA_Matches_All[[#This Row],[Team]],Dyno_Data[Match],TBA_Matches_All[[#This Row],[Match_Number]],Dyno_Data[RecordType],"Activities", Dyno_Data[AcqLoc],"Source")</f>
        <v>0</v>
      </c>
      <c r="BY309">
        <f>SUMIFS(Dyno_Data[OZTime], Dyno_Data[Team],TBA_Matches_All[[#This Row],[Team]],Dyno_Data[Match],TBA_Matches_All[[#This Row],[Match_Number]],Dyno_Data[RecordType],"EndMatch")</f>
        <v>30.744060399999999</v>
      </c>
      <c r="BZ309">
        <f>SUMIFS(Dyno_Data[NZTime], Dyno_Data[Team],TBA_Matches_All[[#This Row],[Team]],Dyno_Data[Match],TBA_Matches_All[[#This Row],[Match_Number]],Dyno_Data[RecordType],"EndMatch")</f>
        <v>32.017046499999999</v>
      </c>
      <c r="CA309">
        <f>SUMIFS(Dyno_Data[AZTime], Dyno_Data[Team],TBA_Matches_All[[#This Row],[Team]],Dyno_Data[Match],TBA_Matches_All[[#This Row],[Match_Number]],Dyno_Data[RecordType],"EndMatch")</f>
        <v>53.615037399999999</v>
      </c>
      <c r="CB309">
        <f>SUMIFS(Dyno_Data[ClimbT], Dyno_Data[Team],TBA_Matches_All[[#This Row],[Team]],Dyno_Data[Match],TBA_Matches_All[[#This Row],[Match_Number]],Dyno_Data[RecordType],"EndMatch")</f>
        <v>18.124646299999998</v>
      </c>
      <c r="CC309" t="str">
        <f>_xlfn.XLOOKUP(SUM(MID(TBA_Matches_All[[#This Row],[Team]],4,5),(TBA_Matches_All[[#This Row],[Match_Number]]/100)),Dyno_EndMatch[teammat],Dyno_EndMatch[StageStat],"_",0,1)</f>
        <v>Park</v>
      </c>
      <c r="CD309" t="str">
        <f>_xlfn.XLOOKUP(TBA_Matches_All[[#This Row],[teammat]],Dyno_EndMatch[teammat],Dyno_EndMatch[StageAtt],"_",0,1)</f>
        <v>-1</v>
      </c>
      <c r="CE309" t="str">
        <f>_xlfn.XLOOKUP(TBA_Matches_All[[#This Row],[teammat]],Dyno_EndMatch[teammat],Dyno_EndMatch[StageLoc],"_",0,1)</f>
        <v>A</v>
      </c>
      <c r="CF309">
        <f>SUMIFS(Dyno_Data[Harmony], Dyno_Data[Team],TBA_Matches_All[[#This Row],[Team]],Dyno_Data[Match],TBA_Matches_All[[#This Row],[Match_Number]],Dyno_Data[RecordType],"EndMatch", Dyno_Data[StageStat],"On",Dyno_Data[Harmony],"&lt;&gt;9")</f>
        <v>0</v>
      </c>
      <c r="CG309">
        <f>SUMIFS(Dyno_Data[Spotlit], Dyno_Data[Team],TBA_Matches_All[[#This Row],[Team]],Dyno_Data[Match],TBA_Matches_All[[#This Row],[Match_Number]],Dyno_Data[RecordType],"EndMatch", Dyno_Data[StageStat],"On",Dyno_Data[Spotlit],"&lt;&gt;9")</f>
        <v>0</v>
      </c>
      <c r="CH309" t="str">
        <f>_xlfn.XLOOKUP(TBA_Matches_All[[#This Row],[teammat]],Dyno_EndMatch[teammat],Dyno_EndMatch[Strategy],"_",0,1)</f>
        <v>Hybrid</v>
      </c>
      <c r="CI309">
        <f>SUMIFS(Dyno_Data[Defense], Dyno_Data[Team],TBA_Matches_All[[#This Row],[Team]],Dyno_Data[Match],TBA_Matches_All[[#This Row],[Match_Number]],Dyno_Data[RecordType],"EndMatch",Dyno_Data[Defense],"&lt;&gt;9")</f>
        <v>0</v>
      </c>
      <c r="CJ309">
        <f>SUMIFS(Dyno_Data[Avoidance], Dyno_Data[Team],TBA_Matches_All[[#This Row],[Team]],Dyno_Data[Match],TBA_Matches_All[[#This Row],[Match_Number]],Dyno_Data[RecordType],"EndMatch",Dyno_Data[Avoidance],"&lt;&gt;9")</f>
        <v>2</v>
      </c>
      <c r="CK309" s="82">
        <f>COUNTIF($H$2:TBA_Matches_All[[#This Row],[Team]],TBA_Matches_All[[#This Row],[Team]])</f>
        <v>7</v>
      </c>
      <c r="CL309" s="111">
        <f>SUM(MID(TBA_Matches_All[[#This Row],[Team]],4,5)+TBA_Matches_All[[#This Row],[Match_Number]]/100)</f>
        <v>296.52</v>
      </c>
      <c r="CM309">
        <f>SUM((TBA_Matches_All[[#This Row],[Leave]]*2)+(TBA_Matches_All[[#This Row],[AampT]]*2)+(TBA_Matches_All[[#This Row],[AspkrT]]*5)+(TBA_Matches_All[[#This Row],[AtrapT]]*5))</f>
        <v>2</v>
      </c>
      <c r="CN309" s="59">
        <f>IFERROR(SUM(TBA_Matches_All[[#This Row],[AptsT]]/TBA_Matches_All[[#This Row],[AutoPts]]),0)</f>
        <v>0.10526315789473684</v>
      </c>
      <c r="CO309" s="59">
        <f>IFERROR(SUM(TBA_Matches_All[[#This Row],[AampT]]+TBA_Matches_All[[#This Row],[AspkrT]]+TBA_Matches_All[[#This Row],[AtrapT]]/TBA_Matches_All[[#This Row],[Aamp]]+TBA_Matches_All[[#This Row],[Aspkr]]+TBA_Matches_All[[#This Row],[AtrapT]]),0)</f>
        <v>0</v>
      </c>
      <c r="CP309" s="59">
        <f>IFERROR(SUM(TBA_Matches_All[[#This Row],[TampT]]/TBA_Matches_All[[#This Row],[Tamp]]),0)</f>
        <v>0</v>
      </c>
      <c r="CQ309" s="59">
        <f>IFERROR(SUM(TBA_Matches_All[[#This Row],[TspkrT]]/TBA_Matches_All[[#This Row],[Tspkr]]),0)</f>
        <v>0.8571428571428571</v>
      </c>
      <c r="CR309">
        <f>SUM(TBA_Matches_All[[#This Row],[TspkrPts]]*TBA_Matches_All[[#This Row],[TspkrP]])</f>
        <v>17.142857142857142</v>
      </c>
      <c r="CS309" s="59">
        <f>IFERROR(SUM(TBA_Matches_All[[#This Row],[TtrapT]]/TBA_Matches_All[[#This Row],[Trap]]),0)</f>
        <v>0</v>
      </c>
      <c r="CT309" s="59">
        <f>IFERROR(SUM(TBA_Matches_All[[#This Row],[TotNotesT]]/TBA_Matches_All[[#This Row],[TotNotes]]),0)</f>
        <v>0.42857142857142855</v>
      </c>
      <c r="CU309" s="66">
        <f>SUM((TBA_Matches_All[[#This Row],[AampT]]*2)+(TBA_Matches_All[[#This Row],[AspkrT]]*5)+(TBA_Matches_All[[#This Row],[AtrapT]]*5)+(TBA_Matches_All[[#This Row],[TampT]]*1)+(TBA_Matches_All[[#This Row],[TspkrptsC]]))</f>
        <v>17.142857142857142</v>
      </c>
      <c r="CV309" s="59">
        <f>IFERROR(TBA_Matches_All[[#This Row],[noteptsT]]/TBA_Matches_All[[#This Row],[NotePts]],0)</f>
        <v>0.43956043956043955</v>
      </c>
      <c r="CW309">
        <f>SUM(IF(TBA_Matches_All[[#This Row],[stageStat]]="On",3,0),IF(TBA_Matches_All[[#This Row],[stageStat]]="Park",1,0),SUMIFS(TBA_Matches_All[[#This Row],[Spotlit]],TBA_Matches_All[[#This Row],[stageStat]],"On"),SUMIFS(TBA_Matches_All[[#This Row],[Harmony]],TBA_Matches_All[[#This Row],[stageStat]],"On"))</f>
        <v>1</v>
      </c>
      <c r="CX309" s="59">
        <f>IFERROR(TBA_Matches_All[[#This Row],[stageptsT]]/TBA_Matches_All[[#This Row],[StagePts]],0)</f>
        <v>0.5</v>
      </c>
      <c r="CY309">
        <f>SUM((TBA_Matches_All[[#This Row],[AptsT]]+TBA_Matches_All[[#This Row],[TampT]]+TBA_Matches_All[[#This Row],[TspkrptsC]]+(TBA_Matches_All[[#This Row],[TtrapT]]*5)+TBA_Matches_All[[#This Row],[stageptsT]]))</f>
        <v>20.142857142857142</v>
      </c>
      <c r="CZ309" s="59">
        <f>IFERROR(SUM(TBA_Matches_All[[#This Row],[TotptsC]]/TBA_Matches_All[[#This Row],[Score]]),0)</f>
        <v>0.44761904761904758</v>
      </c>
      <c r="DA30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7.4</v>
      </c>
      <c r="DB309" s="74">
        <f>SUMIFS(TBA_Matches_All[AveTeamTNoteDels],TBA_Matches_All[Match_Number],TBA_Matches_All[[#This Row],[Match_Number]],TBA_Matches_All[Alliance],"&lt;&gt;"&amp;TBA_Matches_All[[#This Row],[Alliance]],TBA_Matches_All[Scouted],"&gt;0")</f>
        <v>21.972727272727273</v>
      </c>
      <c r="DC309" s="74">
        <f>(TBA_Matches_All[[#This Row],[TampT]]+TBA_Matches_All[[#This Row],[TspkrptsC]])-TBA_Matches_All[[#This Row],[AveTeamTNoteDels]]</f>
        <v>9.742857142857142</v>
      </c>
      <c r="DD309" s="74">
        <f>SUMIFS(TBA_Matches_All[AveTeamTNoteDels],TBA_Matches_All[Match_Number],TBA_Matches_All[[#This Row],[Match_Number]],TBA_Matches_All[Alliance],"&lt;&gt;"&amp;TBA_Matches_All[[#This Row],[Alliance]])-TBA_Matches_All[[#This Row],[AveOppTNoteDels]]</f>
        <v>0</v>
      </c>
    </row>
    <row r="310" spans="1:108" x14ac:dyDescent="0.3">
      <c r="A310" t="s">
        <v>1042</v>
      </c>
      <c r="B310" t="s">
        <v>489</v>
      </c>
      <c r="C310" t="s">
        <v>1361</v>
      </c>
      <c r="D310">
        <v>52</v>
      </c>
      <c r="E310" t="s">
        <v>1406</v>
      </c>
      <c r="F310" t="s">
        <v>1426</v>
      </c>
      <c r="G310" t="s">
        <v>164</v>
      </c>
      <c r="H310" t="s">
        <v>1290</v>
      </c>
      <c r="I310" t="b">
        <v>0</v>
      </c>
      <c r="J310">
        <v>45</v>
      </c>
      <c r="K310">
        <v>0</v>
      </c>
      <c r="L310">
        <v>0</v>
      </c>
      <c r="M310">
        <v>0</v>
      </c>
      <c r="N310">
        <v>0</v>
      </c>
      <c r="O310">
        <v>1</v>
      </c>
      <c r="P310">
        <v>5</v>
      </c>
      <c r="Q310">
        <v>9</v>
      </c>
      <c r="R310">
        <v>0</v>
      </c>
      <c r="S310">
        <v>0</v>
      </c>
      <c r="T310">
        <v>12</v>
      </c>
      <c r="U310">
        <v>0</v>
      </c>
      <c r="V310">
        <v>24</v>
      </c>
      <c r="W310">
        <v>12</v>
      </c>
      <c r="X310">
        <v>24</v>
      </c>
      <c r="Y310">
        <v>24</v>
      </c>
      <c r="Z310">
        <v>0</v>
      </c>
      <c r="AA310">
        <v>0</v>
      </c>
      <c r="AB310">
        <v>13</v>
      </c>
      <c r="AC310">
        <v>29</v>
      </c>
      <c r="AD310">
        <v>5</v>
      </c>
      <c r="AE310">
        <f>IFERROR(6/(COUNTIF(Dyno_EndMatch[Match],TBA_Matches_All[[#This Row],[Match_Number]])),0)</f>
        <v>1</v>
      </c>
      <c r="AF310">
        <f>COUNTIFS(Dyno_Data[Team],TBA_Matches_All[[#This Row],[Team]],Dyno_Data[Match],TBA_Matches_All[[#This Row],[Match_Number]],Dyno_Data[RecordType],"EndMatch",Dyno_Data[HPAmp],"Y")</f>
        <v>0</v>
      </c>
      <c r="AG310">
        <f>SUMIFS(Dyno_Data[Mics], Dyno_Data[Team],TBA_Matches_All[[#This Row],[Team]],Dyno_Data[Match],TBA_Matches_All[[#This Row],[Match_Number]],Dyno_Data[RecordType],"EndMatch",Dyno_Data[HPAmp],"Y")</f>
        <v>0</v>
      </c>
      <c r="AH310">
        <f>SUMIFS(Dyno_Data[Leave], Dyno_Data[Team],TBA_Matches_All[[#This Row],[Team]],Dyno_Data[Match],TBA_Matches_All[[#This Row],[Match_Number]],Dyno_Data[RecordType],"EndAuto")</f>
        <v>1</v>
      </c>
      <c r="AI310">
        <f>COUNTIFS(Dyno_Data[Team],TBA_Matches_All[[#This Row],[Team]],Dyno_Data[Match],TBA_Matches_All[[#This Row],[Match_Number]],Dyno_Data[RecordType],"Activities",Dyno_Data[DelDest],"Amp", Dyno_Data[DelMiss],"0", Dyno_Data[Mode],"Auto")</f>
        <v>0</v>
      </c>
      <c r="AJ310">
        <f>COUNTIFS(Dyno_Data[Team],TBA_Matches_All[[#This Row],[Team]],Dyno_Data[Match],TBA_Matches_All[[#This Row],[Match_Number]],Dyno_Data[RecordType],"Activities",Dyno_Data[DelDest],"Spkr", Dyno_Data[DelMiss],"0", Dyno_Data[Mode],"Auto")</f>
        <v>1</v>
      </c>
      <c r="AK310">
        <f>COUNTIFS(Dyno_Data[Team],TBA_Matches_All[[#This Row],[Team]],Dyno_Data[Match],TBA_Matches_All[[#This Row],[Match_Number]],Dyno_Data[RecordType],"Activities",Dyno_Data[DelDest],"Trap", Dyno_Data[DelMiss],"0", Dyno_Data[Mode],"Auto")</f>
        <v>0</v>
      </c>
      <c r="AL310">
        <f>COUNTIFS(Dyno_Data[Team],TBA_Matches_All[[#This Row],[Team]],Dyno_Data[Match],TBA_Matches_All[[#This Row],[Match_Number]],Dyno_Data[RecordType],"Activities",Dyno_Data[DelDest],"Amp", Dyno_Data[DelMiss],"0", Dyno_Data[Mode],"Teleop")</f>
        <v>0</v>
      </c>
      <c r="AM310">
        <f>COUNTIFS(Dyno_Data[Team],TBA_Matches_All[[#This Row],[Team]],Dyno_Data[Match],TBA_Matches_All[[#This Row],[Match_Number]],Dyno_Data[RecordType],"Activities",Dyno_Data[DelDest],"Spkr", Dyno_Data[DelMiss],"0", Dyno_Data[Mode],"Teleop")</f>
        <v>4</v>
      </c>
      <c r="AN310">
        <f>COUNTIFS(Dyno_Data[Team],TBA_Matches_All[[#This Row],[Team]],Dyno_Data[Match],TBA_Matches_All[[#This Row],[Match_Number]],Dyno_Data[RecordType],"Activities",Dyno_Data[DelDest],"Trap", Dyno_Data[DelMiss],"0", Dyno_Data[Mode],"&lt;&gt;Auto")</f>
        <v>0</v>
      </c>
      <c r="AO310">
        <f>SUM(TBA_Matches_All[[#This Row],[AampT]]+TBA_Matches_All[[#This Row],[AspkrT]]+TBA_Matches_All[[#This Row],[AtrapT]]+TBA_Matches_All[[#This Row],[TampT]]+TBA_Matches_All[[#This Row],[TspkrT]]+TBA_Matches_All[[#This Row],[TtrapT]])</f>
        <v>5</v>
      </c>
      <c r="AP310">
        <f>COUNTIFS(Dyno_Data[Team],TBA_Matches_All[[#This Row],[Team]],Dyno_Data[Match],TBA_Matches_All[[#This Row],[Match_Number]],Dyno_Data[RecordType],"Activities",Dyno_Data[DelDest],"Neut", Dyno_Data[DelMiss],"0")</f>
        <v>0</v>
      </c>
      <c r="AQ310">
        <f>COUNTIFS(Dyno_Data[Team],TBA_Matches_All[[#This Row],[Team]],Dyno_Data[Match],TBA_Matches_All[[#This Row],[Match_Number]],Dyno_Data[RecordType],"Activities",Dyno_Data[DelDest],"AllyW", Dyno_Data[DelMiss],"0")</f>
        <v>0</v>
      </c>
      <c r="AR310" t="str">
        <f>_xlfn.XLOOKUP(SUM(MID(TBA_Matches_All[[#This Row],[Team]],4,5),(TBA_Matches_All[[#This Row],[Match_Number]]/100)),Dyno_EndMatch[teammat],Dyno_EndMatch[RobotSta],"_",0,1)</f>
        <v>SubW</v>
      </c>
      <c r="AS310">
        <f>SUMIFS(Dyno_Data[AcqDis], Dyno_Data[Team],TBA_Matches_All[[#This Row],[Team]],Dyno_Data[Match],TBA_Matches_All[[#This Row],[Match_Number]],Dyno_Data[RecordType],"Activities", Dyno_Data[AcqCenter],1,Dyno_Data[Mode],"Auto")</f>
        <v>0</v>
      </c>
      <c r="AT310">
        <f>SUMIFS(Dyno_Data[AcqDis], Dyno_Data[Team],TBA_Matches_All[[#This Row],[Team]],Dyno_Data[Match],TBA_Matches_All[[#This Row],[Match_Number]],Dyno_Data[RecordType],"Activities", Dyno_Data[AcqCenter],2,Dyno_Data[Mode],"Auto")</f>
        <v>0</v>
      </c>
      <c r="AU310">
        <f>SUMIFS(Dyno_Data[AcqDis], Dyno_Data[Team],TBA_Matches_All[[#This Row],[Team]],Dyno_Data[Match],TBA_Matches_All[[#This Row],[Match_Number]],Dyno_Data[RecordType],"Activities", Dyno_Data[AcqCenter],3,Dyno_Data[Mode],"Auto")</f>
        <v>0</v>
      </c>
      <c r="AV310">
        <f>SUMIFS(Dyno_Data[AcqDis], Dyno_Data[Team],TBA_Matches_All[[#This Row],[Team]],Dyno_Data[Match],TBA_Matches_All[[#This Row],[Match_Number]],Dyno_Data[RecordType],"Activities", Dyno_Data[AcqCenter],4,Dyno_Data[Mode],"Auto")</f>
        <v>0</v>
      </c>
      <c r="AW310">
        <f>SUMIFS(Dyno_Data[AcqDis], Dyno_Data[Team],TBA_Matches_All[[#This Row],[Team]],Dyno_Data[Match],TBA_Matches_All[[#This Row],[Match_Number]],Dyno_Data[RecordType],"Activities", Dyno_Data[AcqCenter],5,Dyno_Data[Mode],"Auto")</f>
        <v>0</v>
      </c>
      <c r="AX310">
        <f>SUMIFS(Dyno_Data[DelMiss], Dyno_Data[Team],TBA_Matches_All[[#This Row],[Team]],Dyno_Data[Match],TBA_Matches_All[[#This Row],[Match_Number]],Dyno_Data[RecordType],"Activities", Dyno_Data[DelDest],"Amp")</f>
        <v>0</v>
      </c>
      <c r="AY310" s="60">
        <f>IFERROR(SUM((TBA_Matches_All[[#This Row],[AampT]]+TBA_Matches_All[[#This Row],[TampT]])/(TBA_Matches_All[[#This Row],[AampT]]+TBA_Matches_All[[#This Row],[TampT]]+TBA_Matches_All[[#This Row],[ampM]])),0)</f>
        <v>0</v>
      </c>
      <c r="AZ310">
        <f>SUMIFS(Dyno_Data[DelMiss], Dyno_Data[Team],TBA_Matches_All[[#This Row],[Team]],Dyno_Data[Match],TBA_Matches_All[[#This Row],[Match_Number]],Dyno_Data[RecordType],"Activities", Dyno_Data[DelDest],"Spkr")</f>
        <v>2</v>
      </c>
      <c r="BA310" s="60">
        <f>IFERROR(SUM((TBA_Matches_All[[#This Row],[AspkrT]]+TBA_Matches_All[[#This Row],[TspkrT]])/(TBA_Matches_All[[#This Row],[AspkrT]]+TBA_Matches_All[[#This Row],[TspkrT]]+TBA_Matches_All[[#This Row],[spkrM]])),0)</f>
        <v>0.7142857142857143</v>
      </c>
      <c r="BB310">
        <f>SUMIFS(Dyno_Data[DelMiss], Dyno_Data[Team],TBA_Matches_All[[#This Row],[Team]],Dyno_Data[Match],TBA_Matches_All[[#This Row],[Match_Number]],Dyno_Data[RecordType],"Activities", Dyno_Data[DelDest],"Trap")</f>
        <v>0</v>
      </c>
      <c r="BC310" s="60">
        <f>IFERROR((TBA_Matches_All[[#This Row],[AtrapT]]+TBA_Matches_All[[#This Row],[TtrapT]])/(TBA_Matches_All[[#This Row],[AtrapT]]+TBA_Matches_All[[#This Row],[TtrapT]]+TBA_Matches_All[[#This Row],[trapM]]),0)</f>
        <v>0</v>
      </c>
      <c r="BD310">
        <f>COUNTIFS(Dyno_Data[Team],TBA_Matches_All[[#This Row],[Team]],Dyno_Data[Match],TBA_Matches_All[[#This Row],[Match_Number]],Dyno_Data[RecordType],"Activities",Dyno_Data[DelDest],"Neut", Dyno_Data[DelMiss],1)</f>
        <v>0</v>
      </c>
      <c r="BE310" s="60">
        <f>IFERROR(SUM((TBA_Matches_All[[#This Row],[NeutFlrT]])/(TBA_Matches_All[[#This Row],[NeutFlrT]]+TBA_Matches_All[[#This Row],[NZflM]])),0)</f>
        <v>0</v>
      </c>
      <c r="BF310">
        <f>COUNTIFS(Dyno_Data[Team],TBA_Matches_All[[#This Row],[Team]],Dyno_Data[Match],TBA_Matches_All[[#This Row],[Match_Number]],Dyno_Data[RecordType],"Activities",Dyno_Data[DelDest],"AllyW", Dyno_Data[DelMiss],1)</f>
        <v>0</v>
      </c>
      <c r="BG310" s="60">
        <f>IFERROR(SUM((TBA_Matches_All[[#This Row],[AllyWFlrT]])/(TBA_Matches_All[[#This Row],[AllyWFlrT]]+TBA_Matches_All[[#This Row],[AZflM]])),0)</f>
        <v>0</v>
      </c>
      <c r="BH310">
        <f>COUNTIFS(Dyno_Data[Team],TBA_Matches_All[[#This Row],[Team]],Dyno_Data[Match],TBA_Matches_All[[#This Row],[Match_Number]],Dyno_Data[RecordType],"Activities",Dyno_Data[DelOrig],"OppW", Dyno_Data[DelMiss],"0")</f>
        <v>0</v>
      </c>
      <c r="BI310">
        <f>COUNTIFS(Dyno_Data[Team],TBA_Matches_All[[#This Row],[Team]],Dyno_Data[Match],TBA_Matches_All[[#This Row],[Match_Number]],Dyno_Data[RecordType],"Activities",Dyno_Data[DelOrig],"OppW", Dyno_Data[DelMiss],"1")</f>
        <v>0</v>
      </c>
      <c r="BJ310" s="60">
        <f>IFERROR(SUM((TBA_Matches_All[[#This Row],[OZflrT]])/(TBA_Matches_All[[#This Row],[OZflrT]]+TBA_Matches_All[[#This Row],[OZflrM]])),0)</f>
        <v>0</v>
      </c>
      <c r="BK310">
        <f>COUNTIFS(Dyno_Data[Team],TBA_Matches_All[[#This Row],[Team]],Dyno_Data[Match],TBA_Matches_All[[#This Row],[Match_Number]],Dyno_Data[RecordType],"Activities",Dyno_Data[DelOrig],"Neut", Dyno_Data[DelMiss],"0")</f>
        <v>0</v>
      </c>
      <c r="BL310">
        <f>COUNTIFS(Dyno_Data[Team],TBA_Matches_All[[#This Row],[Team]],Dyno_Data[Match],TBA_Matches_All[[#This Row],[Match_Number]],Dyno_Data[RecordType],"Activities",Dyno_Data[DelOrig],"Neut", Dyno_Data[DelMiss],"1")</f>
        <v>0</v>
      </c>
      <c r="BM310" s="60">
        <f>IFERROR(SUM((TBA_Matches_All[[#This Row],[NZflrT]])/(TBA_Matches_All[[#This Row],[NZflrT]]+TBA_Matches_All[[#This Row],[NZflrM]])),0)</f>
        <v>0</v>
      </c>
      <c r="BN310">
        <f>COUNTIFS(Dyno_Data[Team],TBA_Matches_All[[#This Row],[Team]],Dyno_Data[Match],TBA_Matches_All[[#This Row],[Match_Number]],Dyno_Data[RecordType],"Activities",Dyno_Data[DelOrig],"AllyW", Dyno_Data[DelMiss],"0")</f>
        <v>4</v>
      </c>
      <c r="BO310">
        <f>COUNTIFS(Dyno_Data[Team],TBA_Matches_All[[#This Row],[Team]],Dyno_Data[Match],TBA_Matches_All[[#This Row],[Match_Number]],Dyno_Data[RecordType],"Activities",Dyno_Data[DelOrig],"AllyW", Dyno_Data[DelMiss],"1")</f>
        <v>2</v>
      </c>
      <c r="BP310" s="60">
        <f>IFERROR(SUM((TBA_Matches_All[[#This Row],[AZflrT]])/(TBA_Matches_All[[#This Row],[AZflrT]]+TBA_Matches_All[[#This Row],[AZflrM]])),0)</f>
        <v>0.66666666666666663</v>
      </c>
      <c r="BQ310">
        <f>COUNTIFS(Dyno_Data[Team],TBA_Matches_All[[#This Row],[Team]],Dyno_Data[Match],TBA_Matches_All[[#This Row],[Match_Number]],Dyno_Data[RecordType],"Activities",Dyno_Data[DelOrig],"SubW", Dyno_Data[DelMiss],"0")</f>
        <v>1</v>
      </c>
      <c r="BR310">
        <f>COUNTIFS(Dyno_Data[Team],TBA_Matches_All[[#This Row],[Team]],Dyno_Data[Match],TBA_Matches_All[[#This Row],[Match_Number]],Dyno_Data[RecordType],"Activities",Dyno_Data[DelOrig],"SubW", Dyno_Data[DelMiss],"1")</f>
        <v>0</v>
      </c>
      <c r="BS310" s="60">
        <f>IFERROR(SUM((TBA_Matches_All[[#This Row],[SubwT]])/(TBA_Matches_All[[#This Row],[SubwT]]+TBA_Matches_All[[#This Row],[SubwM]])),0)</f>
        <v>1</v>
      </c>
      <c r="BT310">
        <f>COUNTIFS(Dyno_Data[Team],TBA_Matches_All[[#This Row],[Team]],Dyno_Data[Match],TBA_Matches_All[[#This Row],[Match_Number]],Dyno_Data[RecordType],"Activities", Dyno_Data[AcqLoc],"OppWing")</f>
        <v>0</v>
      </c>
      <c r="BU310">
        <f>COUNTIFS(Dyno_Data[Team],TBA_Matches_All[[#This Row],[Team]],Dyno_Data[Match],TBA_Matches_All[[#This Row],[Match_Number]],Dyno_Data[RecordType],"Activities", Dyno_Data[AcqLoc],"Neutral")</f>
        <v>0</v>
      </c>
      <c r="BV310">
        <f>COUNTIFS(Dyno_Data[Team],TBA_Matches_All[[#This Row],[Team]],Dyno_Data[Match],TBA_Matches_All[[#This Row],[Match_Number]],Dyno_Data[RecordType],"Activities", Dyno_Data[AcqLoc],"AllyWing")</f>
        <v>0</v>
      </c>
      <c r="BW310">
        <f>COUNTIFS(Dyno_Data[Team],TBA_Matches_All[[#This Row],[Team]],Dyno_Data[Match],TBA_Matches_All[[#This Row],[Match_Number]],Dyno_Data[RecordType],"Activities", Dyno_Data[AcqLoc],"Source")</f>
        <v>0</v>
      </c>
      <c r="BX310">
        <f>SUMIFS(Dyno_Data[AcqDrp], Dyno_Data[Team],TBA_Matches_All[[#This Row],[Team]],Dyno_Data[Match],TBA_Matches_All[[#This Row],[Match_Number]],Dyno_Data[RecordType],"Activities", Dyno_Data[AcqLoc],"Source")</f>
        <v>0</v>
      </c>
      <c r="BY310">
        <f>SUMIFS(Dyno_Data[OZTime], Dyno_Data[Team],TBA_Matches_All[[#This Row],[Team]],Dyno_Data[Match],TBA_Matches_All[[#This Row],[Match_Number]],Dyno_Data[RecordType],"EndMatch")</f>
        <v>35.953234299999998</v>
      </c>
      <c r="BZ310">
        <f>SUMIFS(Dyno_Data[NZTime], Dyno_Data[Team],TBA_Matches_All[[#This Row],[Team]],Dyno_Data[Match],TBA_Matches_All[[#This Row],[Match_Number]],Dyno_Data[RecordType],"EndMatch")</f>
        <v>16.225257799999998</v>
      </c>
      <c r="CA310">
        <f>SUMIFS(Dyno_Data[AZTime], Dyno_Data[Team],TBA_Matches_All[[#This Row],[Team]],Dyno_Data[Match],TBA_Matches_All[[#This Row],[Match_Number]],Dyno_Data[RecordType],"EndMatch")</f>
        <v>64.005624799999993</v>
      </c>
      <c r="CB310">
        <f>SUMIFS(Dyno_Data[ClimbT], Dyno_Data[Team],TBA_Matches_All[[#This Row],[Team]],Dyno_Data[Match],TBA_Matches_All[[#This Row],[Match_Number]],Dyno_Data[RecordType],"EndMatch")</f>
        <v>13.5096335</v>
      </c>
      <c r="CC310" t="str">
        <f>_xlfn.XLOOKUP(SUM(MID(TBA_Matches_All[[#This Row],[Team]],4,5),(TBA_Matches_All[[#This Row],[Match_Number]]/100)),Dyno_EndMatch[teammat],Dyno_EndMatch[StageStat],"_",0,1)</f>
        <v>Park</v>
      </c>
      <c r="CD310" t="str">
        <f>_xlfn.XLOOKUP(TBA_Matches_All[[#This Row],[teammat]],Dyno_EndMatch[teammat],Dyno_EndMatch[StageAtt],"_",0,1)</f>
        <v>-1</v>
      </c>
      <c r="CE310" t="str">
        <f>_xlfn.XLOOKUP(TBA_Matches_All[[#This Row],[teammat]],Dyno_EndMatch[teammat],Dyno_EndMatch[StageLoc],"_",0,1)</f>
        <v>A</v>
      </c>
      <c r="CF310">
        <f>SUMIFS(Dyno_Data[Harmony], Dyno_Data[Team],TBA_Matches_All[[#This Row],[Team]],Dyno_Data[Match],TBA_Matches_All[[#This Row],[Match_Number]],Dyno_Data[RecordType],"EndMatch", Dyno_Data[StageStat],"On",Dyno_Data[Harmony],"&lt;&gt;9")</f>
        <v>0</v>
      </c>
      <c r="CG310">
        <f>SUMIFS(Dyno_Data[Spotlit], Dyno_Data[Team],TBA_Matches_All[[#This Row],[Team]],Dyno_Data[Match],TBA_Matches_All[[#This Row],[Match_Number]],Dyno_Data[RecordType],"EndMatch", Dyno_Data[StageStat],"On",Dyno_Data[Spotlit],"&lt;&gt;9")</f>
        <v>0</v>
      </c>
      <c r="CH310" t="str">
        <f>_xlfn.XLOOKUP(TBA_Matches_All[[#This Row],[teammat]],Dyno_EndMatch[teammat],Dyno_EndMatch[Strategy],"_",0,1)</f>
        <v>Hybrid</v>
      </c>
      <c r="CI310">
        <f>SUMIFS(Dyno_Data[Defense], Dyno_Data[Team],TBA_Matches_All[[#This Row],[Team]],Dyno_Data[Match],TBA_Matches_All[[#This Row],[Match_Number]],Dyno_Data[RecordType],"EndMatch",Dyno_Data[Defense],"&lt;&gt;9")</f>
        <v>0</v>
      </c>
      <c r="CJ310">
        <f>SUMIFS(Dyno_Data[Avoidance], Dyno_Data[Team],TBA_Matches_All[[#This Row],[Team]],Dyno_Data[Match],TBA_Matches_All[[#This Row],[Match_Number]],Dyno_Data[RecordType],"EndMatch",Dyno_Data[Avoidance],"&lt;&gt;9")</f>
        <v>0</v>
      </c>
      <c r="CK310" s="82">
        <f>COUNTIF($H$2:TBA_Matches_All[[#This Row],[Team]],TBA_Matches_All[[#This Row],[Team]])</f>
        <v>7</v>
      </c>
      <c r="CL310" s="111">
        <f>SUM(MID(TBA_Matches_All[[#This Row],[Team]],4,5)+TBA_Matches_All[[#This Row],[Match_Number]]/100)</f>
        <v>5881.52</v>
      </c>
      <c r="CM310">
        <f>SUM((TBA_Matches_All[[#This Row],[Leave]]*2)+(TBA_Matches_All[[#This Row],[AampT]]*2)+(TBA_Matches_All[[#This Row],[AspkrT]]*5)+(TBA_Matches_All[[#This Row],[AtrapT]]*5))</f>
        <v>7</v>
      </c>
      <c r="CN310" s="59">
        <f>IFERROR(SUM(TBA_Matches_All[[#This Row],[AptsT]]/TBA_Matches_All[[#This Row],[AutoPts]]),0)</f>
        <v>0.77777777777777779</v>
      </c>
      <c r="CO310" s="59">
        <f>IFERROR(SUM(TBA_Matches_All[[#This Row],[AampT]]+TBA_Matches_All[[#This Row],[AspkrT]]+TBA_Matches_All[[#This Row],[AtrapT]]/TBA_Matches_All[[#This Row],[Aamp]]+TBA_Matches_All[[#This Row],[Aspkr]]+TBA_Matches_All[[#This Row],[AtrapT]]),0)</f>
        <v>0</v>
      </c>
      <c r="CP310" s="59">
        <f>IFERROR(SUM(TBA_Matches_All[[#This Row],[TampT]]/TBA_Matches_All[[#This Row],[Tamp]]),0)</f>
        <v>0</v>
      </c>
      <c r="CQ310" s="59">
        <f>IFERROR(SUM(TBA_Matches_All[[#This Row],[TspkrT]]/TBA_Matches_All[[#This Row],[Tspkr]]),0)</f>
        <v>0.33333333333333331</v>
      </c>
      <c r="CR310">
        <f>SUM(TBA_Matches_All[[#This Row],[TspkrPts]]*TBA_Matches_All[[#This Row],[TspkrP]])</f>
        <v>8</v>
      </c>
      <c r="CS310" s="59">
        <f>IFERROR(SUM(TBA_Matches_All[[#This Row],[TtrapT]]/TBA_Matches_All[[#This Row],[Trap]]),0)</f>
        <v>0</v>
      </c>
      <c r="CT310" s="59">
        <f>IFERROR(SUM(TBA_Matches_All[[#This Row],[TotNotesT]]/TBA_Matches_All[[#This Row],[TotNotes]]),0)</f>
        <v>0.38461538461538464</v>
      </c>
      <c r="CU310" s="66">
        <f>SUM((TBA_Matches_All[[#This Row],[AampT]]*2)+(TBA_Matches_All[[#This Row],[AspkrT]]*5)+(TBA_Matches_All[[#This Row],[AtrapT]]*5)+(TBA_Matches_All[[#This Row],[TampT]]*1)+(TBA_Matches_All[[#This Row],[TspkrptsC]]))</f>
        <v>13</v>
      </c>
      <c r="CV310" s="59">
        <f>IFERROR(TBA_Matches_All[[#This Row],[noteptsT]]/TBA_Matches_All[[#This Row],[NotePts]],0)</f>
        <v>0.44827586206896552</v>
      </c>
      <c r="CW310">
        <f>SUM(IF(TBA_Matches_All[[#This Row],[stageStat]]="On",3,0),IF(TBA_Matches_All[[#This Row],[stageStat]]="Park",1,0),SUMIFS(TBA_Matches_All[[#This Row],[Spotlit]],TBA_Matches_All[[#This Row],[stageStat]],"On"),SUMIFS(TBA_Matches_All[[#This Row],[Harmony]],TBA_Matches_All[[#This Row],[stageStat]],"On"))</f>
        <v>1</v>
      </c>
      <c r="CX310" s="59">
        <f>IFERROR(TBA_Matches_All[[#This Row],[stageptsT]]/TBA_Matches_All[[#This Row],[StagePts]],0)</f>
        <v>0.2</v>
      </c>
      <c r="CY310">
        <f>SUM((TBA_Matches_All[[#This Row],[AptsT]]+TBA_Matches_All[[#This Row],[TampT]]+TBA_Matches_All[[#This Row],[TspkrptsC]]+(TBA_Matches_All[[#This Row],[TtrapT]]*5)+TBA_Matches_All[[#This Row],[stageptsT]]))</f>
        <v>16</v>
      </c>
      <c r="CZ310" s="59">
        <f>IFERROR(SUM(TBA_Matches_All[[#This Row],[TotptsC]]/TBA_Matches_All[[#This Row],[Score]]),0)</f>
        <v>0.35555555555555557</v>
      </c>
      <c r="DA31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6.8727272727272721</v>
      </c>
      <c r="DB310" s="74">
        <f>SUMIFS(TBA_Matches_All[AveTeamTNoteDels],TBA_Matches_All[Match_Number],TBA_Matches_All[[#This Row],[Match_Number]],TBA_Matches_All[Alliance],"&lt;&gt;"&amp;TBA_Matches_All[[#This Row],[Alliance]],TBA_Matches_All[Scouted],"&gt;0")</f>
        <v>37.28149891774892</v>
      </c>
      <c r="DC310" s="74">
        <f>(TBA_Matches_All[[#This Row],[TampT]]+TBA_Matches_All[[#This Row],[TspkrptsC]])-TBA_Matches_All[[#This Row],[AveTeamTNoteDels]]</f>
        <v>1.1272727272727279</v>
      </c>
      <c r="DD310" s="74">
        <f>SUMIFS(TBA_Matches_All[AveTeamTNoteDels],TBA_Matches_All[Match_Number],TBA_Matches_All[[#This Row],[Match_Number]],TBA_Matches_All[Alliance],"&lt;&gt;"&amp;TBA_Matches_All[[#This Row],[Alliance]])-TBA_Matches_All[[#This Row],[AveOppTNoteDels]]</f>
        <v>0</v>
      </c>
    </row>
    <row r="311" spans="1:108" x14ac:dyDescent="0.3">
      <c r="A311" t="s">
        <v>1042</v>
      </c>
      <c r="B311" t="s">
        <v>489</v>
      </c>
      <c r="C311" t="s">
        <v>1361</v>
      </c>
      <c r="D311">
        <v>52</v>
      </c>
      <c r="E311" t="s">
        <v>1420</v>
      </c>
      <c r="F311" t="s">
        <v>1421</v>
      </c>
      <c r="G311" t="s">
        <v>164</v>
      </c>
      <c r="H311" t="s">
        <v>361</v>
      </c>
      <c r="I311" t="b">
        <v>0</v>
      </c>
      <c r="J311">
        <v>45</v>
      </c>
      <c r="K311">
        <v>0</v>
      </c>
      <c r="L311">
        <v>0</v>
      </c>
      <c r="M311">
        <v>7</v>
      </c>
      <c r="N311">
        <v>0</v>
      </c>
      <c r="O311">
        <v>3</v>
      </c>
      <c r="P311">
        <v>15</v>
      </c>
      <c r="Q311">
        <v>19</v>
      </c>
      <c r="R311">
        <v>4</v>
      </c>
      <c r="S311">
        <v>2</v>
      </c>
      <c r="T311">
        <v>5</v>
      </c>
      <c r="U311">
        <v>10</v>
      </c>
      <c r="V311">
        <v>10</v>
      </c>
      <c r="W311">
        <v>7</v>
      </c>
      <c r="X311">
        <v>20</v>
      </c>
      <c r="Y311">
        <v>24</v>
      </c>
      <c r="Z311">
        <v>0</v>
      </c>
      <c r="AA311">
        <v>0</v>
      </c>
      <c r="AB311">
        <v>14</v>
      </c>
      <c r="AC311">
        <v>39</v>
      </c>
      <c r="AD311">
        <v>2</v>
      </c>
      <c r="AE311">
        <f>IFERROR(6/(COUNTIF(Dyno_EndMatch[Match],TBA_Matches_All[[#This Row],[Match_Number]])),0)</f>
        <v>1</v>
      </c>
      <c r="AF311">
        <f>COUNTIFS(Dyno_Data[Team],TBA_Matches_All[[#This Row],[Team]],Dyno_Data[Match],TBA_Matches_All[[#This Row],[Match_Number]],Dyno_Data[RecordType],"EndMatch",Dyno_Data[HPAmp],"Y")</f>
        <v>1</v>
      </c>
      <c r="AG311">
        <f>SUMIFS(Dyno_Data[Mics], Dyno_Data[Team],TBA_Matches_All[[#This Row],[Team]],Dyno_Data[Match],TBA_Matches_All[[#This Row],[Match_Number]],Dyno_Data[RecordType],"EndMatch",Dyno_Data[HPAmp],"Y")</f>
        <v>0</v>
      </c>
      <c r="AH311">
        <f>SUMIFS(Dyno_Data[Leave], Dyno_Data[Team],TBA_Matches_All[[#This Row],[Team]],Dyno_Data[Match],TBA_Matches_All[[#This Row],[Match_Number]],Dyno_Data[RecordType],"EndAuto")</f>
        <v>0</v>
      </c>
      <c r="AI311">
        <f>COUNTIFS(Dyno_Data[Team],TBA_Matches_All[[#This Row],[Team]],Dyno_Data[Match],TBA_Matches_All[[#This Row],[Match_Number]],Dyno_Data[RecordType],"Activities",Dyno_Data[DelDest],"Amp", Dyno_Data[DelMiss],"0", Dyno_Data[Mode],"Auto")</f>
        <v>0</v>
      </c>
      <c r="AJ311">
        <f>COUNTIFS(Dyno_Data[Team],TBA_Matches_All[[#This Row],[Team]],Dyno_Data[Match],TBA_Matches_All[[#This Row],[Match_Number]],Dyno_Data[RecordType],"Activities",Dyno_Data[DelDest],"Spkr", Dyno_Data[DelMiss],"0", Dyno_Data[Mode],"Auto")</f>
        <v>1</v>
      </c>
      <c r="AK311">
        <f>COUNTIFS(Dyno_Data[Team],TBA_Matches_All[[#This Row],[Team]],Dyno_Data[Match],TBA_Matches_All[[#This Row],[Match_Number]],Dyno_Data[RecordType],"Activities",Dyno_Data[DelDest],"Trap", Dyno_Data[DelMiss],"0", Dyno_Data[Mode],"Auto")</f>
        <v>0</v>
      </c>
      <c r="AL311">
        <f>COUNTIFS(Dyno_Data[Team],TBA_Matches_All[[#This Row],[Team]],Dyno_Data[Match],TBA_Matches_All[[#This Row],[Match_Number]],Dyno_Data[RecordType],"Activities",Dyno_Data[DelDest],"Amp", Dyno_Data[DelMiss],"0", Dyno_Data[Mode],"Teleop")</f>
        <v>4</v>
      </c>
      <c r="AM311">
        <f>COUNTIFS(Dyno_Data[Team],TBA_Matches_All[[#This Row],[Team]],Dyno_Data[Match],TBA_Matches_All[[#This Row],[Match_Number]],Dyno_Data[RecordType],"Activities",Dyno_Data[DelDest],"Spkr", Dyno_Data[DelMiss],"0", Dyno_Data[Mode],"Teleop")</f>
        <v>1</v>
      </c>
      <c r="AN311">
        <f>COUNTIFS(Dyno_Data[Team],TBA_Matches_All[[#This Row],[Team]],Dyno_Data[Match],TBA_Matches_All[[#This Row],[Match_Number]],Dyno_Data[RecordType],"Activities",Dyno_Data[DelDest],"Trap", Dyno_Data[DelMiss],"0", Dyno_Data[Mode],"&lt;&gt;Auto")</f>
        <v>0</v>
      </c>
      <c r="AO311">
        <f>SUM(TBA_Matches_All[[#This Row],[AampT]]+TBA_Matches_All[[#This Row],[AspkrT]]+TBA_Matches_All[[#This Row],[AtrapT]]+TBA_Matches_All[[#This Row],[TampT]]+TBA_Matches_All[[#This Row],[TspkrT]]+TBA_Matches_All[[#This Row],[TtrapT]])</f>
        <v>6</v>
      </c>
      <c r="AP311">
        <f>COUNTIFS(Dyno_Data[Team],TBA_Matches_All[[#This Row],[Team]],Dyno_Data[Match],TBA_Matches_All[[#This Row],[Match_Number]],Dyno_Data[RecordType],"Activities",Dyno_Data[DelDest],"Neut", Dyno_Data[DelMiss],"0")</f>
        <v>0</v>
      </c>
      <c r="AQ311">
        <f>COUNTIFS(Dyno_Data[Team],TBA_Matches_All[[#This Row],[Team]],Dyno_Data[Match],TBA_Matches_All[[#This Row],[Match_Number]],Dyno_Data[RecordType],"Activities",Dyno_Data[DelDest],"AllyW", Dyno_Data[DelMiss],"0")</f>
        <v>1</v>
      </c>
      <c r="AR311" t="str">
        <f>_xlfn.XLOOKUP(SUM(MID(TBA_Matches_All[[#This Row],[Team]],4,5),(TBA_Matches_All[[#This Row],[Match_Number]]/100)),Dyno_EndMatch[teammat],Dyno_EndMatch[RobotSta],"_",0,1)</f>
        <v>SubW</v>
      </c>
      <c r="AS311">
        <f>SUMIFS(Dyno_Data[AcqDis], Dyno_Data[Team],TBA_Matches_All[[#This Row],[Team]],Dyno_Data[Match],TBA_Matches_All[[#This Row],[Match_Number]],Dyno_Data[RecordType],"Activities", Dyno_Data[AcqCenter],1,Dyno_Data[Mode],"Auto")</f>
        <v>0</v>
      </c>
      <c r="AT311">
        <f>SUMIFS(Dyno_Data[AcqDis], Dyno_Data[Team],TBA_Matches_All[[#This Row],[Team]],Dyno_Data[Match],TBA_Matches_All[[#This Row],[Match_Number]],Dyno_Data[RecordType],"Activities", Dyno_Data[AcqCenter],2,Dyno_Data[Mode],"Auto")</f>
        <v>0</v>
      </c>
      <c r="AU311">
        <f>SUMIFS(Dyno_Data[AcqDis], Dyno_Data[Team],TBA_Matches_All[[#This Row],[Team]],Dyno_Data[Match],TBA_Matches_All[[#This Row],[Match_Number]],Dyno_Data[RecordType],"Activities", Dyno_Data[AcqCenter],3,Dyno_Data[Mode],"Auto")</f>
        <v>0</v>
      </c>
      <c r="AV311">
        <f>SUMIFS(Dyno_Data[AcqDis], Dyno_Data[Team],TBA_Matches_All[[#This Row],[Team]],Dyno_Data[Match],TBA_Matches_All[[#This Row],[Match_Number]],Dyno_Data[RecordType],"Activities", Dyno_Data[AcqCenter],4,Dyno_Data[Mode],"Auto")</f>
        <v>0</v>
      </c>
      <c r="AW311">
        <f>SUMIFS(Dyno_Data[AcqDis], Dyno_Data[Team],TBA_Matches_All[[#This Row],[Team]],Dyno_Data[Match],TBA_Matches_All[[#This Row],[Match_Number]],Dyno_Data[RecordType],"Activities", Dyno_Data[AcqCenter],5,Dyno_Data[Mode],"Auto")</f>
        <v>0</v>
      </c>
      <c r="AX311">
        <f>SUMIFS(Dyno_Data[DelMiss], Dyno_Data[Team],TBA_Matches_All[[#This Row],[Team]],Dyno_Data[Match],TBA_Matches_All[[#This Row],[Match_Number]],Dyno_Data[RecordType],"Activities", Dyno_Data[DelDest],"Amp")</f>
        <v>0</v>
      </c>
      <c r="AY311" s="60">
        <f>IFERROR(SUM((TBA_Matches_All[[#This Row],[AampT]]+TBA_Matches_All[[#This Row],[TampT]])/(TBA_Matches_All[[#This Row],[AampT]]+TBA_Matches_All[[#This Row],[TampT]]+TBA_Matches_All[[#This Row],[ampM]])),0)</f>
        <v>1</v>
      </c>
      <c r="AZ311">
        <f>SUMIFS(Dyno_Data[DelMiss], Dyno_Data[Team],TBA_Matches_All[[#This Row],[Team]],Dyno_Data[Match],TBA_Matches_All[[#This Row],[Match_Number]],Dyno_Data[RecordType],"Activities", Dyno_Data[DelDest],"Spkr")</f>
        <v>0</v>
      </c>
      <c r="BA311" s="60">
        <f>IFERROR(SUM((TBA_Matches_All[[#This Row],[AspkrT]]+TBA_Matches_All[[#This Row],[TspkrT]])/(TBA_Matches_All[[#This Row],[AspkrT]]+TBA_Matches_All[[#This Row],[TspkrT]]+TBA_Matches_All[[#This Row],[spkrM]])),0)</f>
        <v>1</v>
      </c>
      <c r="BB311">
        <f>SUMIFS(Dyno_Data[DelMiss], Dyno_Data[Team],TBA_Matches_All[[#This Row],[Team]],Dyno_Data[Match],TBA_Matches_All[[#This Row],[Match_Number]],Dyno_Data[RecordType],"Activities", Dyno_Data[DelDest],"Trap")</f>
        <v>0</v>
      </c>
      <c r="BC311" s="60">
        <f>IFERROR((TBA_Matches_All[[#This Row],[AtrapT]]+TBA_Matches_All[[#This Row],[TtrapT]])/(TBA_Matches_All[[#This Row],[AtrapT]]+TBA_Matches_All[[#This Row],[TtrapT]]+TBA_Matches_All[[#This Row],[trapM]]),0)</f>
        <v>0</v>
      </c>
      <c r="BD311">
        <f>COUNTIFS(Dyno_Data[Team],TBA_Matches_All[[#This Row],[Team]],Dyno_Data[Match],TBA_Matches_All[[#This Row],[Match_Number]],Dyno_Data[RecordType],"Activities",Dyno_Data[DelDest],"Neut", Dyno_Data[DelMiss],1)</f>
        <v>0</v>
      </c>
      <c r="BE311" s="60">
        <f>IFERROR(SUM((TBA_Matches_All[[#This Row],[NeutFlrT]])/(TBA_Matches_All[[#This Row],[NeutFlrT]]+TBA_Matches_All[[#This Row],[NZflM]])),0)</f>
        <v>0</v>
      </c>
      <c r="BF311">
        <f>COUNTIFS(Dyno_Data[Team],TBA_Matches_All[[#This Row],[Team]],Dyno_Data[Match],TBA_Matches_All[[#This Row],[Match_Number]],Dyno_Data[RecordType],"Activities",Dyno_Data[DelDest],"AllyW", Dyno_Data[DelMiss],1)</f>
        <v>1</v>
      </c>
      <c r="BG311" s="60">
        <f>IFERROR(SUM((TBA_Matches_All[[#This Row],[AllyWFlrT]])/(TBA_Matches_All[[#This Row],[AllyWFlrT]]+TBA_Matches_All[[#This Row],[AZflM]])),0)</f>
        <v>0.5</v>
      </c>
      <c r="BH311">
        <f>COUNTIFS(Dyno_Data[Team],TBA_Matches_All[[#This Row],[Team]],Dyno_Data[Match],TBA_Matches_All[[#This Row],[Match_Number]],Dyno_Data[RecordType],"Activities",Dyno_Data[DelOrig],"OppW", Dyno_Data[DelMiss],"0")</f>
        <v>0</v>
      </c>
      <c r="BI311">
        <f>COUNTIFS(Dyno_Data[Team],TBA_Matches_All[[#This Row],[Team]],Dyno_Data[Match],TBA_Matches_All[[#This Row],[Match_Number]],Dyno_Data[RecordType],"Activities",Dyno_Data[DelOrig],"OppW", Dyno_Data[DelMiss],"1")</f>
        <v>0</v>
      </c>
      <c r="BJ311" s="60">
        <f>IFERROR(SUM((TBA_Matches_All[[#This Row],[OZflrT]])/(TBA_Matches_All[[#This Row],[OZflrT]]+TBA_Matches_All[[#This Row],[OZflrM]])),0)</f>
        <v>0</v>
      </c>
      <c r="BK311">
        <f>COUNTIFS(Dyno_Data[Team],TBA_Matches_All[[#This Row],[Team]],Dyno_Data[Match],TBA_Matches_All[[#This Row],[Match_Number]],Dyno_Data[RecordType],"Activities",Dyno_Data[DelOrig],"Neut", Dyno_Data[DelMiss],"0")</f>
        <v>0</v>
      </c>
      <c r="BL311">
        <f>COUNTIFS(Dyno_Data[Team],TBA_Matches_All[[#This Row],[Team]],Dyno_Data[Match],TBA_Matches_All[[#This Row],[Match_Number]],Dyno_Data[RecordType],"Activities",Dyno_Data[DelOrig],"Neut", Dyno_Data[DelMiss],"1")</f>
        <v>0</v>
      </c>
      <c r="BM311" s="60">
        <f>IFERROR(SUM((TBA_Matches_All[[#This Row],[NZflrT]])/(TBA_Matches_All[[#This Row],[NZflrT]]+TBA_Matches_All[[#This Row],[NZflrM]])),0)</f>
        <v>0</v>
      </c>
      <c r="BN311">
        <f>COUNTIFS(Dyno_Data[Team],TBA_Matches_All[[#This Row],[Team]],Dyno_Data[Match],TBA_Matches_All[[#This Row],[Match_Number]],Dyno_Data[RecordType],"Activities",Dyno_Data[DelOrig],"AllyW", Dyno_Data[DelMiss],"0")</f>
        <v>4</v>
      </c>
      <c r="BO311">
        <f>COUNTIFS(Dyno_Data[Team],TBA_Matches_All[[#This Row],[Team]],Dyno_Data[Match],TBA_Matches_All[[#This Row],[Match_Number]],Dyno_Data[RecordType],"Activities",Dyno_Data[DelOrig],"AllyW", Dyno_Data[DelMiss],"1")</f>
        <v>1</v>
      </c>
      <c r="BP311" s="60">
        <f>IFERROR(SUM((TBA_Matches_All[[#This Row],[AZflrT]])/(TBA_Matches_All[[#This Row],[AZflrT]]+TBA_Matches_All[[#This Row],[AZflrM]])),0)</f>
        <v>0.8</v>
      </c>
      <c r="BQ311">
        <f>COUNTIFS(Dyno_Data[Team],TBA_Matches_All[[#This Row],[Team]],Dyno_Data[Match],TBA_Matches_All[[#This Row],[Match_Number]],Dyno_Data[RecordType],"Activities",Dyno_Data[DelOrig],"SubW", Dyno_Data[DelMiss],"0")</f>
        <v>3</v>
      </c>
      <c r="BR311">
        <f>COUNTIFS(Dyno_Data[Team],TBA_Matches_All[[#This Row],[Team]],Dyno_Data[Match],TBA_Matches_All[[#This Row],[Match_Number]],Dyno_Data[RecordType],"Activities",Dyno_Data[DelOrig],"SubW", Dyno_Data[DelMiss],"1")</f>
        <v>0</v>
      </c>
      <c r="BS311" s="60">
        <f>IFERROR(SUM((TBA_Matches_All[[#This Row],[SubwT]])/(TBA_Matches_All[[#This Row],[SubwT]]+TBA_Matches_All[[#This Row],[SubwM]])),0)</f>
        <v>1</v>
      </c>
      <c r="BT311">
        <f>COUNTIFS(Dyno_Data[Team],TBA_Matches_All[[#This Row],[Team]],Dyno_Data[Match],TBA_Matches_All[[#This Row],[Match_Number]],Dyno_Data[RecordType],"Activities", Dyno_Data[AcqLoc],"OppWing")</f>
        <v>0</v>
      </c>
      <c r="BU311">
        <f>COUNTIFS(Dyno_Data[Team],TBA_Matches_All[[#This Row],[Team]],Dyno_Data[Match],TBA_Matches_All[[#This Row],[Match_Number]],Dyno_Data[RecordType],"Activities", Dyno_Data[AcqLoc],"Neutral")</f>
        <v>0</v>
      </c>
      <c r="BV311">
        <f>COUNTIFS(Dyno_Data[Team],TBA_Matches_All[[#This Row],[Team]],Dyno_Data[Match],TBA_Matches_All[[#This Row],[Match_Number]],Dyno_Data[RecordType],"Activities", Dyno_Data[AcqLoc],"AllyWing")</f>
        <v>0</v>
      </c>
      <c r="BW311">
        <f>COUNTIFS(Dyno_Data[Team],TBA_Matches_All[[#This Row],[Team]],Dyno_Data[Match],TBA_Matches_All[[#This Row],[Match_Number]],Dyno_Data[RecordType],"Activities", Dyno_Data[AcqLoc],"Source")</f>
        <v>0</v>
      </c>
      <c r="BX311">
        <f>SUMIFS(Dyno_Data[AcqDrp], Dyno_Data[Team],TBA_Matches_All[[#This Row],[Team]],Dyno_Data[Match],TBA_Matches_All[[#This Row],[Match_Number]],Dyno_Data[RecordType],"Activities", Dyno_Data[AcqLoc],"Source")</f>
        <v>0</v>
      </c>
      <c r="BY311">
        <f>SUMIFS(Dyno_Data[OZTime], Dyno_Data[Team],TBA_Matches_All[[#This Row],[Team]],Dyno_Data[Match],TBA_Matches_All[[#This Row],[Match_Number]],Dyno_Data[RecordType],"EndMatch")</f>
        <v>31.7686818</v>
      </c>
      <c r="BZ311">
        <f>SUMIFS(Dyno_Data[NZTime], Dyno_Data[Team],TBA_Matches_All[[#This Row],[Team]],Dyno_Data[Match],TBA_Matches_All[[#This Row],[Match_Number]],Dyno_Data[RecordType],"EndMatch")</f>
        <v>22.677737499999999</v>
      </c>
      <c r="CA311">
        <f>SUMIFS(Dyno_Data[AZTime], Dyno_Data[Team],TBA_Matches_All[[#This Row],[Team]],Dyno_Data[Match],TBA_Matches_All[[#This Row],[Match_Number]],Dyno_Data[RecordType],"EndMatch")</f>
        <v>76.293426400000001</v>
      </c>
      <c r="CB311">
        <f>SUMIFS(Dyno_Data[ClimbT], Dyno_Data[Team],TBA_Matches_All[[#This Row],[Team]],Dyno_Data[Match],TBA_Matches_All[[#This Row],[Match_Number]],Dyno_Data[RecordType],"EndMatch")</f>
        <v>4.6283333999999998</v>
      </c>
      <c r="CC311" t="str">
        <f>_xlfn.XLOOKUP(SUM(MID(TBA_Matches_All[[#This Row],[Team]],4,5),(TBA_Matches_All[[#This Row],[Match_Number]]/100)),Dyno_EndMatch[teammat],Dyno_EndMatch[StageStat],"_",0,1)</f>
        <v>Park</v>
      </c>
      <c r="CD311" t="str">
        <f>_xlfn.XLOOKUP(TBA_Matches_All[[#This Row],[teammat]],Dyno_EndMatch[teammat],Dyno_EndMatch[StageAtt],"_",0,1)</f>
        <v>-1</v>
      </c>
      <c r="CE311" t="str">
        <f>_xlfn.XLOOKUP(TBA_Matches_All[[#This Row],[teammat]],Dyno_EndMatch[teammat],Dyno_EndMatch[StageLoc],"_",0,1)</f>
        <v>A</v>
      </c>
      <c r="CF311">
        <f>SUMIFS(Dyno_Data[Harmony], Dyno_Data[Team],TBA_Matches_All[[#This Row],[Team]],Dyno_Data[Match],TBA_Matches_All[[#This Row],[Match_Number]],Dyno_Data[RecordType],"EndMatch", Dyno_Data[StageStat],"On",Dyno_Data[Harmony],"&lt;&gt;9")</f>
        <v>0</v>
      </c>
      <c r="CG311">
        <f>SUMIFS(Dyno_Data[Spotlit], Dyno_Data[Team],TBA_Matches_All[[#This Row],[Team]],Dyno_Data[Match],TBA_Matches_All[[#This Row],[Match_Number]],Dyno_Data[RecordType],"EndMatch", Dyno_Data[StageStat],"On",Dyno_Data[Spotlit],"&lt;&gt;9")</f>
        <v>0</v>
      </c>
      <c r="CH311" t="str">
        <f>_xlfn.XLOOKUP(TBA_Matches_All[[#This Row],[teammat]],Dyno_EndMatch[teammat],Dyno_EndMatch[Strategy],"_",0,1)</f>
        <v>Hybrid</v>
      </c>
      <c r="CI311">
        <f>SUMIFS(Dyno_Data[Defense], Dyno_Data[Team],TBA_Matches_All[[#This Row],[Team]],Dyno_Data[Match],TBA_Matches_All[[#This Row],[Match_Number]],Dyno_Data[RecordType],"EndMatch",Dyno_Data[Defense],"&lt;&gt;9")</f>
        <v>0</v>
      </c>
      <c r="CJ311">
        <f>SUMIFS(Dyno_Data[Avoidance], Dyno_Data[Team],TBA_Matches_All[[#This Row],[Team]],Dyno_Data[Match],TBA_Matches_All[[#This Row],[Match_Number]],Dyno_Data[RecordType],"EndMatch",Dyno_Data[Avoidance],"&lt;&gt;9")</f>
        <v>0</v>
      </c>
      <c r="CK311" s="82">
        <f>COUNTIF($H$2:TBA_Matches_All[[#This Row],[Team]],TBA_Matches_All[[#This Row],[Team]])</f>
        <v>7</v>
      </c>
      <c r="CL311" s="111">
        <f>SUM(MID(TBA_Matches_All[[#This Row],[Team]],4,5)+TBA_Matches_All[[#This Row],[Match_Number]]/100)</f>
        <v>20.52</v>
      </c>
      <c r="CM311">
        <f>SUM((TBA_Matches_All[[#This Row],[Leave]]*2)+(TBA_Matches_All[[#This Row],[AampT]]*2)+(TBA_Matches_All[[#This Row],[AspkrT]]*5)+(TBA_Matches_All[[#This Row],[AtrapT]]*5))</f>
        <v>5</v>
      </c>
      <c r="CN311" s="59">
        <f>IFERROR(SUM(TBA_Matches_All[[#This Row],[AptsT]]/TBA_Matches_All[[#This Row],[AutoPts]]),0)</f>
        <v>0.26315789473684209</v>
      </c>
      <c r="CO311" s="59">
        <f>IFERROR(SUM(TBA_Matches_All[[#This Row],[AampT]]+TBA_Matches_All[[#This Row],[AspkrT]]+TBA_Matches_All[[#This Row],[AtrapT]]/TBA_Matches_All[[#This Row],[Aamp]]+TBA_Matches_All[[#This Row],[Aspkr]]+TBA_Matches_All[[#This Row],[AtrapT]]),0)</f>
        <v>0</v>
      </c>
      <c r="CP311" s="59">
        <f>IFERROR(SUM(TBA_Matches_All[[#This Row],[TampT]]/TBA_Matches_All[[#This Row],[Tamp]]),0)</f>
        <v>1</v>
      </c>
      <c r="CQ311" s="59">
        <f>IFERROR(SUM(TBA_Matches_All[[#This Row],[TspkrT]]/TBA_Matches_All[[#This Row],[Tspkr]]),0)</f>
        <v>0.14285714285714285</v>
      </c>
      <c r="CR311">
        <f>SUM(TBA_Matches_All[[#This Row],[TspkrPts]]*TBA_Matches_All[[#This Row],[TspkrP]])</f>
        <v>2.8571428571428568</v>
      </c>
      <c r="CS311" s="59">
        <f>IFERROR(SUM(TBA_Matches_All[[#This Row],[TtrapT]]/TBA_Matches_All[[#This Row],[Trap]]),0)</f>
        <v>0</v>
      </c>
      <c r="CT311" s="59">
        <f>IFERROR(SUM(TBA_Matches_All[[#This Row],[TotNotesT]]/TBA_Matches_All[[#This Row],[TotNotes]]),0)</f>
        <v>0.42857142857142855</v>
      </c>
      <c r="CU311" s="66">
        <f>SUM((TBA_Matches_All[[#This Row],[AampT]]*2)+(TBA_Matches_All[[#This Row],[AspkrT]]*5)+(TBA_Matches_All[[#This Row],[AtrapT]]*5)+(TBA_Matches_All[[#This Row],[TampT]]*1)+(TBA_Matches_All[[#This Row],[TspkrptsC]]))</f>
        <v>11.857142857142858</v>
      </c>
      <c r="CV311" s="59">
        <f>IFERROR(TBA_Matches_All[[#This Row],[noteptsT]]/TBA_Matches_All[[#This Row],[NotePts]],0)</f>
        <v>0.30402930402930406</v>
      </c>
      <c r="CW311">
        <f>SUM(IF(TBA_Matches_All[[#This Row],[stageStat]]="On",3,0),IF(TBA_Matches_All[[#This Row],[stageStat]]="Park",1,0),SUMIFS(TBA_Matches_All[[#This Row],[Spotlit]],TBA_Matches_All[[#This Row],[stageStat]],"On"),SUMIFS(TBA_Matches_All[[#This Row],[Harmony]],TBA_Matches_All[[#This Row],[stageStat]],"On"))</f>
        <v>1</v>
      </c>
      <c r="CX311" s="59">
        <f>IFERROR(TBA_Matches_All[[#This Row],[stageptsT]]/TBA_Matches_All[[#This Row],[StagePts]],0)</f>
        <v>0.5</v>
      </c>
      <c r="CY311">
        <f>SUM((TBA_Matches_All[[#This Row],[AptsT]]+TBA_Matches_All[[#This Row],[TampT]]+TBA_Matches_All[[#This Row],[TspkrptsC]]+(TBA_Matches_All[[#This Row],[TtrapT]]*5)+TBA_Matches_All[[#This Row],[stageptsT]]))</f>
        <v>12.857142857142858</v>
      </c>
      <c r="CZ311" s="59">
        <f>IFERROR(SUM(TBA_Matches_All[[#This Row],[TotptsC]]/TBA_Matches_All[[#This Row],[Score]]),0)</f>
        <v>0.2857142857142857</v>
      </c>
      <c r="DA31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16.094832251082249</v>
      </c>
      <c r="DB311" s="74">
        <f>SUMIFS(TBA_Matches_All[AveTeamTNoteDels],TBA_Matches_All[Match_Number],TBA_Matches_All[[#This Row],[Match_Number]],TBA_Matches_All[Alliance],"&lt;&gt;"&amp;TBA_Matches_All[[#This Row],[Alliance]],TBA_Matches_All[Scouted],"&gt;0")</f>
        <v>21.972727272727273</v>
      </c>
      <c r="DC311" s="74">
        <f>(TBA_Matches_All[[#This Row],[TampT]]+TBA_Matches_All[[#This Row],[TspkrptsC]])-TBA_Matches_All[[#This Row],[AveTeamTNoteDels]]</f>
        <v>-9.2376893939393909</v>
      </c>
      <c r="DD311" s="74">
        <f>SUMIFS(TBA_Matches_All[AveTeamTNoteDels],TBA_Matches_All[Match_Number],TBA_Matches_All[[#This Row],[Match_Number]],TBA_Matches_All[Alliance],"&lt;&gt;"&amp;TBA_Matches_All[[#This Row],[Alliance]])-TBA_Matches_All[[#This Row],[AveOppTNoteDels]]</f>
        <v>0</v>
      </c>
    </row>
    <row r="312" spans="1:108" x14ac:dyDescent="0.3">
      <c r="A312" t="s">
        <v>1042</v>
      </c>
      <c r="B312" t="s">
        <v>489</v>
      </c>
      <c r="C312" t="s">
        <v>1361</v>
      </c>
      <c r="D312">
        <v>52</v>
      </c>
      <c r="E312" t="s">
        <v>1406</v>
      </c>
      <c r="F312" t="s">
        <v>1422</v>
      </c>
      <c r="G312" t="s">
        <v>105</v>
      </c>
      <c r="H312" t="s">
        <v>373</v>
      </c>
      <c r="I312" t="b">
        <v>0</v>
      </c>
      <c r="J312">
        <v>45</v>
      </c>
      <c r="K312">
        <v>0</v>
      </c>
      <c r="L312">
        <v>0</v>
      </c>
      <c r="M312">
        <v>0</v>
      </c>
      <c r="N312">
        <v>0</v>
      </c>
      <c r="O312">
        <v>1</v>
      </c>
      <c r="P312">
        <v>5</v>
      </c>
      <c r="Q312">
        <v>9</v>
      </c>
      <c r="R312">
        <v>0</v>
      </c>
      <c r="S312">
        <v>0</v>
      </c>
      <c r="T312">
        <v>12</v>
      </c>
      <c r="U312">
        <v>0</v>
      </c>
      <c r="V312">
        <v>24</v>
      </c>
      <c r="W312">
        <v>12</v>
      </c>
      <c r="X312">
        <v>24</v>
      </c>
      <c r="Y312">
        <v>24</v>
      </c>
      <c r="Z312">
        <v>0</v>
      </c>
      <c r="AA312">
        <v>0</v>
      </c>
      <c r="AB312">
        <v>13</v>
      </c>
      <c r="AC312">
        <v>29</v>
      </c>
      <c r="AD312">
        <v>5</v>
      </c>
      <c r="AE312">
        <f>IFERROR(6/(COUNTIF(Dyno_EndMatch[Match],TBA_Matches_All[[#This Row],[Match_Number]])),0)</f>
        <v>1</v>
      </c>
      <c r="AF312">
        <f>COUNTIFS(Dyno_Data[Team],TBA_Matches_All[[#This Row],[Team]],Dyno_Data[Match],TBA_Matches_All[[#This Row],[Match_Number]],Dyno_Data[RecordType],"EndMatch",Dyno_Data[HPAmp],"Y")</f>
        <v>0</v>
      </c>
      <c r="AG312">
        <f>SUMIFS(Dyno_Data[Mics], Dyno_Data[Team],TBA_Matches_All[[#This Row],[Team]],Dyno_Data[Match],TBA_Matches_All[[#This Row],[Match_Number]],Dyno_Data[RecordType],"EndMatch",Dyno_Data[HPAmp],"Y")</f>
        <v>0</v>
      </c>
      <c r="AH312">
        <f>SUMIFS(Dyno_Data[Leave], Dyno_Data[Team],TBA_Matches_All[[#This Row],[Team]],Dyno_Data[Match],TBA_Matches_All[[#This Row],[Match_Number]],Dyno_Data[RecordType],"EndAuto")</f>
        <v>1</v>
      </c>
      <c r="AI312">
        <f>COUNTIFS(Dyno_Data[Team],TBA_Matches_All[[#This Row],[Team]],Dyno_Data[Match],TBA_Matches_All[[#This Row],[Match_Number]],Dyno_Data[RecordType],"Activities",Dyno_Data[DelDest],"Amp", Dyno_Data[DelMiss],"0", Dyno_Data[Mode],"Auto")</f>
        <v>0</v>
      </c>
      <c r="AJ312">
        <f>COUNTIFS(Dyno_Data[Team],TBA_Matches_All[[#This Row],[Team]],Dyno_Data[Match],TBA_Matches_All[[#This Row],[Match_Number]],Dyno_Data[RecordType],"Activities",Dyno_Data[DelDest],"Spkr", Dyno_Data[DelMiss],"0", Dyno_Data[Mode],"Auto")</f>
        <v>0</v>
      </c>
      <c r="AK312">
        <f>COUNTIFS(Dyno_Data[Team],TBA_Matches_All[[#This Row],[Team]],Dyno_Data[Match],TBA_Matches_All[[#This Row],[Match_Number]],Dyno_Data[RecordType],"Activities",Dyno_Data[DelDest],"Trap", Dyno_Data[DelMiss],"0", Dyno_Data[Mode],"Auto")</f>
        <v>0</v>
      </c>
      <c r="AL312">
        <f>COUNTIFS(Dyno_Data[Team],TBA_Matches_All[[#This Row],[Team]],Dyno_Data[Match],TBA_Matches_All[[#This Row],[Match_Number]],Dyno_Data[RecordType],"Activities",Dyno_Data[DelDest],"Amp", Dyno_Data[DelMiss],"0", Dyno_Data[Mode],"Teleop")</f>
        <v>0</v>
      </c>
      <c r="AM312">
        <f>COUNTIFS(Dyno_Data[Team],TBA_Matches_All[[#This Row],[Team]],Dyno_Data[Match],TBA_Matches_All[[#This Row],[Match_Number]],Dyno_Data[RecordType],"Activities",Dyno_Data[DelDest],"Spkr", Dyno_Data[DelMiss],"0", Dyno_Data[Mode],"Teleop")</f>
        <v>0</v>
      </c>
      <c r="AN312">
        <f>COUNTIFS(Dyno_Data[Team],TBA_Matches_All[[#This Row],[Team]],Dyno_Data[Match],TBA_Matches_All[[#This Row],[Match_Number]],Dyno_Data[RecordType],"Activities",Dyno_Data[DelDest],"Trap", Dyno_Data[DelMiss],"0", Dyno_Data[Mode],"&lt;&gt;Auto")</f>
        <v>0</v>
      </c>
      <c r="AO312">
        <f>SUM(TBA_Matches_All[[#This Row],[AampT]]+TBA_Matches_All[[#This Row],[AspkrT]]+TBA_Matches_All[[#This Row],[AtrapT]]+TBA_Matches_All[[#This Row],[TampT]]+TBA_Matches_All[[#This Row],[TspkrT]]+TBA_Matches_All[[#This Row],[TtrapT]])</f>
        <v>0</v>
      </c>
      <c r="AP312">
        <f>COUNTIFS(Dyno_Data[Team],TBA_Matches_All[[#This Row],[Team]],Dyno_Data[Match],TBA_Matches_All[[#This Row],[Match_Number]],Dyno_Data[RecordType],"Activities",Dyno_Data[DelDest],"Neut", Dyno_Data[DelMiss],"0")</f>
        <v>0</v>
      </c>
      <c r="AQ312">
        <f>COUNTIFS(Dyno_Data[Team],TBA_Matches_All[[#This Row],[Team]],Dyno_Data[Match],TBA_Matches_All[[#This Row],[Match_Number]],Dyno_Data[RecordType],"Activities",Dyno_Data[DelDest],"AllyW", Dyno_Data[DelMiss],"0")</f>
        <v>0</v>
      </c>
      <c r="AR312" t="str">
        <f>_xlfn.XLOOKUP(SUM(MID(TBA_Matches_All[[#This Row],[Team]],4,5),(TBA_Matches_All[[#This Row],[Match_Number]]/100)),Dyno_EndMatch[teammat],Dyno_EndMatch[RobotSta],"_",0,1)</f>
        <v>OppS</v>
      </c>
      <c r="AS312">
        <f>SUMIFS(Dyno_Data[AcqDis], Dyno_Data[Team],TBA_Matches_All[[#This Row],[Team]],Dyno_Data[Match],TBA_Matches_All[[#This Row],[Match_Number]],Dyno_Data[RecordType],"Activities", Dyno_Data[AcqCenter],1,Dyno_Data[Mode],"Auto")</f>
        <v>0</v>
      </c>
      <c r="AT312">
        <f>SUMIFS(Dyno_Data[AcqDis], Dyno_Data[Team],TBA_Matches_All[[#This Row],[Team]],Dyno_Data[Match],TBA_Matches_All[[#This Row],[Match_Number]],Dyno_Data[RecordType],"Activities", Dyno_Data[AcqCenter],2,Dyno_Data[Mode],"Auto")</f>
        <v>0</v>
      </c>
      <c r="AU312">
        <f>SUMIFS(Dyno_Data[AcqDis], Dyno_Data[Team],TBA_Matches_All[[#This Row],[Team]],Dyno_Data[Match],TBA_Matches_All[[#This Row],[Match_Number]],Dyno_Data[RecordType],"Activities", Dyno_Data[AcqCenter],3,Dyno_Data[Mode],"Auto")</f>
        <v>0</v>
      </c>
      <c r="AV312">
        <f>SUMIFS(Dyno_Data[AcqDis], Dyno_Data[Team],TBA_Matches_All[[#This Row],[Team]],Dyno_Data[Match],TBA_Matches_All[[#This Row],[Match_Number]],Dyno_Data[RecordType],"Activities", Dyno_Data[AcqCenter],4,Dyno_Data[Mode],"Auto")</f>
        <v>0</v>
      </c>
      <c r="AW312">
        <f>SUMIFS(Dyno_Data[AcqDis], Dyno_Data[Team],TBA_Matches_All[[#This Row],[Team]],Dyno_Data[Match],TBA_Matches_All[[#This Row],[Match_Number]],Dyno_Data[RecordType],"Activities", Dyno_Data[AcqCenter],5,Dyno_Data[Mode],"Auto")</f>
        <v>0</v>
      </c>
      <c r="AX312">
        <f>SUMIFS(Dyno_Data[DelMiss], Dyno_Data[Team],TBA_Matches_All[[#This Row],[Team]],Dyno_Data[Match],TBA_Matches_All[[#This Row],[Match_Number]],Dyno_Data[RecordType],"Activities", Dyno_Data[DelDest],"Amp")</f>
        <v>0</v>
      </c>
      <c r="AY312" s="60">
        <f>IFERROR(SUM((TBA_Matches_All[[#This Row],[AampT]]+TBA_Matches_All[[#This Row],[TampT]])/(TBA_Matches_All[[#This Row],[AampT]]+TBA_Matches_All[[#This Row],[TampT]]+TBA_Matches_All[[#This Row],[ampM]])),0)</f>
        <v>0</v>
      </c>
      <c r="AZ312">
        <f>SUMIFS(Dyno_Data[DelMiss], Dyno_Data[Team],TBA_Matches_All[[#This Row],[Team]],Dyno_Data[Match],TBA_Matches_All[[#This Row],[Match_Number]],Dyno_Data[RecordType],"Activities", Dyno_Data[DelDest],"Spkr")</f>
        <v>0</v>
      </c>
      <c r="BA312" s="60">
        <f>IFERROR(SUM((TBA_Matches_All[[#This Row],[AspkrT]]+TBA_Matches_All[[#This Row],[TspkrT]])/(TBA_Matches_All[[#This Row],[AspkrT]]+TBA_Matches_All[[#This Row],[TspkrT]]+TBA_Matches_All[[#This Row],[spkrM]])),0)</f>
        <v>0</v>
      </c>
      <c r="BB312">
        <f>SUMIFS(Dyno_Data[DelMiss], Dyno_Data[Team],TBA_Matches_All[[#This Row],[Team]],Dyno_Data[Match],TBA_Matches_All[[#This Row],[Match_Number]],Dyno_Data[RecordType],"Activities", Dyno_Data[DelDest],"Trap")</f>
        <v>0</v>
      </c>
      <c r="BC312" s="60">
        <f>IFERROR((TBA_Matches_All[[#This Row],[AtrapT]]+TBA_Matches_All[[#This Row],[TtrapT]])/(TBA_Matches_All[[#This Row],[AtrapT]]+TBA_Matches_All[[#This Row],[TtrapT]]+TBA_Matches_All[[#This Row],[trapM]]),0)</f>
        <v>0</v>
      </c>
      <c r="BD312">
        <f>COUNTIFS(Dyno_Data[Team],TBA_Matches_All[[#This Row],[Team]],Dyno_Data[Match],TBA_Matches_All[[#This Row],[Match_Number]],Dyno_Data[RecordType],"Activities",Dyno_Data[DelDest],"Neut", Dyno_Data[DelMiss],1)</f>
        <v>0</v>
      </c>
      <c r="BE312" s="60">
        <f>IFERROR(SUM((TBA_Matches_All[[#This Row],[NeutFlrT]])/(TBA_Matches_All[[#This Row],[NeutFlrT]]+TBA_Matches_All[[#This Row],[NZflM]])),0)</f>
        <v>0</v>
      </c>
      <c r="BF312">
        <f>COUNTIFS(Dyno_Data[Team],TBA_Matches_All[[#This Row],[Team]],Dyno_Data[Match],TBA_Matches_All[[#This Row],[Match_Number]],Dyno_Data[RecordType],"Activities",Dyno_Data[DelDest],"AllyW", Dyno_Data[DelMiss],1)</f>
        <v>0</v>
      </c>
      <c r="BG312" s="60">
        <f>IFERROR(SUM((TBA_Matches_All[[#This Row],[AllyWFlrT]])/(TBA_Matches_All[[#This Row],[AllyWFlrT]]+TBA_Matches_All[[#This Row],[AZflM]])),0)</f>
        <v>0</v>
      </c>
      <c r="BH312">
        <f>COUNTIFS(Dyno_Data[Team],TBA_Matches_All[[#This Row],[Team]],Dyno_Data[Match],TBA_Matches_All[[#This Row],[Match_Number]],Dyno_Data[RecordType],"Activities",Dyno_Data[DelOrig],"OppW", Dyno_Data[DelMiss],"0")</f>
        <v>0</v>
      </c>
      <c r="BI312">
        <f>COUNTIFS(Dyno_Data[Team],TBA_Matches_All[[#This Row],[Team]],Dyno_Data[Match],TBA_Matches_All[[#This Row],[Match_Number]],Dyno_Data[RecordType],"Activities",Dyno_Data[DelOrig],"OppW", Dyno_Data[DelMiss],"1")</f>
        <v>0</v>
      </c>
      <c r="BJ312" s="60">
        <f>IFERROR(SUM((TBA_Matches_All[[#This Row],[OZflrT]])/(TBA_Matches_All[[#This Row],[OZflrT]]+TBA_Matches_All[[#This Row],[OZflrM]])),0)</f>
        <v>0</v>
      </c>
      <c r="BK312">
        <f>COUNTIFS(Dyno_Data[Team],TBA_Matches_All[[#This Row],[Team]],Dyno_Data[Match],TBA_Matches_All[[#This Row],[Match_Number]],Dyno_Data[RecordType],"Activities",Dyno_Data[DelOrig],"Neut", Dyno_Data[DelMiss],"0")</f>
        <v>0</v>
      </c>
      <c r="BL312">
        <f>COUNTIFS(Dyno_Data[Team],TBA_Matches_All[[#This Row],[Team]],Dyno_Data[Match],TBA_Matches_All[[#This Row],[Match_Number]],Dyno_Data[RecordType],"Activities",Dyno_Data[DelOrig],"Neut", Dyno_Data[DelMiss],"1")</f>
        <v>0</v>
      </c>
      <c r="BM312" s="60">
        <f>IFERROR(SUM((TBA_Matches_All[[#This Row],[NZflrT]])/(TBA_Matches_All[[#This Row],[NZflrT]]+TBA_Matches_All[[#This Row],[NZflrM]])),0)</f>
        <v>0</v>
      </c>
      <c r="BN312">
        <f>COUNTIFS(Dyno_Data[Team],TBA_Matches_All[[#This Row],[Team]],Dyno_Data[Match],TBA_Matches_All[[#This Row],[Match_Number]],Dyno_Data[RecordType],"Activities",Dyno_Data[DelOrig],"AllyW", Dyno_Data[DelMiss],"0")</f>
        <v>0</v>
      </c>
      <c r="BO312">
        <f>COUNTIFS(Dyno_Data[Team],TBA_Matches_All[[#This Row],[Team]],Dyno_Data[Match],TBA_Matches_All[[#This Row],[Match_Number]],Dyno_Data[RecordType],"Activities",Dyno_Data[DelOrig],"AllyW", Dyno_Data[DelMiss],"1")</f>
        <v>0</v>
      </c>
      <c r="BP312" s="60">
        <f>IFERROR(SUM((TBA_Matches_All[[#This Row],[AZflrT]])/(TBA_Matches_All[[#This Row],[AZflrT]]+TBA_Matches_All[[#This Row],[AZflrM]])),0)</f>
        <v>0</v>
      </c>
      <c r="BQ312">
        <f>COUNTIFS(Dyno_Data[Team],TBA_Matches_All[[#This Row],[Team]],Dyno_Data[Match],TBA_Matches_All[[#This Row],[Match_Number]],Dyno_Data[RecordType],"Activities",Dyno_Data[DelOrig],"SubW", Dyno_Data[DelMiss],"0")</f>
        <v>0</v>
      </c>
      <c r="BR312">
        <f>COUNTIFS(Dyno_Data[Team],TBA_Matches_All[[#This Row],[Team]],Dyno_Data[Match],TBA_Matches_All[[#This Row],[Match_Number]],Dyno_Data[RecordType],"Activities",Dyno_Data[DelOrig],"SubW", Dyno_Data[DelMiss],"1")</f>
        <v>0</v>
      </c>
      <c r="BS312" s="60">
        <f>IFERROR(SUM((TBA_Matches_All[[#This Row],[SubwT]])/(TBA_Matches_All[[#This Row],[SubwT]]+TBA_Matches_All[[#This Row],[SubwM]])),0)</f>
        <v>0</v>
      </c>
      <c r="BT312">
        <f>COUNTIFS(Dyno_Data[Team],TBA_Matches_All[[#This Row],[Team]],Dyno_Data[Match],TBA_Matches_All[[#This Row],[Match_Number]],Dyno_Data[RecordType],"Activities", Dyno_Data[AcqLoc],"OppWing")</f>
        <v>0</v>
      </c>
      <c r="BU312">
        <f>COUNTIFS(Dyno_Data[Team],TBA_Matches_All[[#This Row],[Team]],Dyno_Data[Match],TBA_Matches_All[[#This Row],[Match_Number]],Dyno_Data[RecordType],"Activities", Dyno_Data[AcqLoc],"Neutral")</f>
        <v>0</v>
      </c>
      <c r="BV312">
        <f>COUNTIFS(Dyno_Data[Team],TBA_Matches_All[[#This Row],[Team]],Dyno_Data[Match],TBA_Matches_All[[#This Row],[Match_Number]],Dyno_Data[RecordType],"Activities", Dyno_Data[AcqLoc],"AllyWing")</f>
        <v>0</v>
      </c>
      <c r="BW312">
        <f>COUNTIFS(Dyno_Data[Team],TBA_Matches_All[[#This Row],[Team]],Dyno_Data[Match],TBA_Matches_All[[#This Row],[Match_Number]],Dyno_Data[RecordType],"Activities", Dyno_Data[AcqLoc],"Source")</f>
        <v>0</v>
      </c>
      <c r="BX312">
        <f>SUMIFS(Dyno_Data[AcqDrp], Dyno_Data[Team],TBA_Matches_All[[#This Row],[Team]],Dyno_Data[Match],TBA_Matches_All[[#This Row],[Match_Number]],Dyno_Data[RecordType],"Activities", Dyno_Data[AcqLoc],"Source")</f>
        <v>0</v>
      </c>
      <c r="BY312">
        <f>SUMIFS(Dyno_Data[OZTime], Dyno_Data[Team],TBA_Matches_All[[#This Row],[Team]],Dyno_Data[Match],TBA_Matches_All[[#This Row],[Match_Number]],Dyno_Data[RecordType],"EndMatch")</f>
        <v>8.9625786999999999</v>
      </c>
      <c r="BZ312">
        <f>SUMIFS(Dyno_Data[NZTime], Dyno_Data[Team],TBA_Matches_All[[#This Row],[Team]],Dyno_Data[Match],TBA_Matches_All[[#This Row],[Match_Number]],Dyno_Data[RecordType],"EndMatch")</f>
        <v>63.029697499999997</v>
      </c>
      <c r="CA312">
        <f>SUMIFS(Dyno_Data[AZTime], Dyno_Data[Team],TBA_Matches_All[[#This Row],[Team]],Dyno_Data[Match],TBA_Matches_All[[#This Row],[Match_Number]],Dyno_Data[RecordType],"EndMatch")</f>
        <v>28.700633099999997</v>
      </c>
      <c r="CB312">
        <f>SUMIFS(Dyno_Data[ClimbT], Dyno_Data[Team],TBA_Matches_All[[#This Row],[Team]],Dyno_Data[Match],TBA_Matches_All[[#This Row],[Match_Number]],Dyno_Data[RecordType],"EndMatch")</f>
        <v>16.509644899999998</v>
      </c>
      <c r="CC312" t="str">
        <f>_xlfn.XLOOKUP(SUM(MID(TBA_Matches_All[[#This Row],[Team]],4,5),(TBA_Matches_All[[#This Row],[Match_Number]]/100)),Dyno_EndMatch[teammat],Dyno_EndMatch[StageStat],"_",0,1)</f>
        <v>Park</v>
      </c>
      <c r="CD312" t="str">
        <f>_xlfn.XLOOKUP(TBA_Matches_All[[#This Row],[teammat]],Dyno_EndMatch[teammat],Dyno_EndMatch[StageAtt],"_",0,1)</f>
        <v>-1</v>
      </c>
      <c r="CE312" t="str">
        <f>_xlfn.XLOOKUP(TBA_Matches_All[[#This Row],[teammat]],Dyno_EndMatch[teammat],Dyno_EndMatch[StageLoc],"_",0,1)</f>
        <v>A</v>
      </c>
      <c r="CF312">
        <f>SUMIFS(Dyno_Data[Harmony], Dyno_Data[Team],TBA_Matches_All[[#This Row],[Team]],Dyno_Data[Match],TBA_Matches_All[[#This Row],[Match_Number]],Dyno_Data[RecordType],"EndMatch", Dyno_Data[StageStat],"On",Dyno_Data[Harmony],"&lt;&gt;9")</f>
        <v>0</v>
      </c>
      <c r="CG312">
        <f>SUMIFS(Dyno_Data[Spotlit], Dyno_Data[Team],TBA_Matches_All[[#This Row],[Team]],Dyno_Data[Match],TBA_Matches_All[[#This Row],[Match_Number]],Dyno_Data[RecordType],"EndMatch", Dyno_Data[StageStat],"On",Dyno_Data[Spotlit],"&lt;&gt;9")</f>
        <v>0</v>
      </c>
      <c r="CH312" t="str">
        <f>_xlfn.XLOOKUP(TBA_Matches_All[[#This Row],[teammat]],Dyno_EndMatch[teammat],Dyno_EndMatch[Strategy],"_",0,1)</f>
        <v>Defense</v>
      </c>
      <c r="CI312">
        <f>SUMIFS(Dyno_Data[Defense], Dyno_Data[Team],TBA_Matches_All[[#This Row],[Team]],Dyno_Data[Match],TBA_Matches_All[[#This Row],[Match_Number]],Dyno_Data[RecordType],"EndMatch",Dyno_Data[Defense],"&lt;&gt;9")</f>
        <v>3</v>
      </c>
      <c r="CJ312">
        <f>SUMIFS(Dyno_Data[Avoidance], Dyno_Data[Team],TBA_Matches_All[[#This Row],[Team]],Dyno_Data[Match],TBA_Matches_All[[#This Row],[Match_Number]],Dyno_Data[RecordType],"EndMatch",Dyno_Data[Avoidance],"&lt;&gt;9")</f>
        <v>0</v>
      </c>
      <c r="CK312" s="82">
        <f>COUNTIF($H$2:TBA_Matches_All[[#This Row],[Team]],TBA_Matches_All[[#This Row],[Team]])</f>
        <v>7</v>
      </c>
      <c r="CL312" s="111">
        <f>SUM(MID(TBA_Matches_All[[#This Row],[Team]],4,5)+TBA_Matches_All[[#This Row],[Match_Number]]/100)</f>
        <v>7718.52</v>
      </c>
      <c r="CM312">
        <f>SUM((TBA_Matches_All[[#This Row],[Leave]]*2)+(TBA_Matches_All[[#This Row],[AampT]]*2)+(TBA_Matches_All[[#This Row],[AspkrT]]*5)+(TBA_Matches_All[[#This Row],[AtrapT]]*5))</f>
        <v>2</v>
      </c>
      <c r="CN312" s="59">
        <f>IFERROR(SUM(TBA_Matches_All[[#This Row],[AptsT]]/TBA_Matches_All[[#This Row],[AutoPts]]),0)</f>
        <v>0.22222222222222221</v>
      </c>
      <c r="CO312" s="59">
        <f>IFERROR(SUM(TBA_Matches_All[[#This Row],[AampT]]+TBA_Matches_All[[#This Row],[AspkrT]]+TBA_Matches_All[[#This Row],[AtrapT]]/TBA_Matches_All[[#This Row],[Aamp]]+TBA_Matches_All[[#This Row],[Aspkr]]+TBA_Matches_All[[#This Row],[AtrapT]]),0)</f>
        <v>0</v>
      </c>
      <c r="CP312" s="59">
        <f>IFERROR(SUM(TBA_Matches_All[[#This Row],[TampT]]/TBA_Matches_All[[#This Row],[Tamp]]),0)</f>
        <v>0</v>
      </c>
      <c r="CQ312" s="59">
        <f>IFERROR(SUM(TBA_Matches_All[[#This Row],[TspkrT]]/TBA_Matches_All[[#This Row],[Tspkr]]),0)</f>
        <v>0</v>
      </c>
      <c r="CR312">
        <f>SUM(TBA_Matches_All[[#This Row],[TspkrPts]]*TBA_Matches_All[[#This Row],[TspkrP]])</f>
        <v>0</v>
      </c>
      <c r="CS312" s="59">
        <f>IFERROR(SUM(TBA_Matches_All[[#This Row],[TtrapT]]/TBA_Matches_All[[#This Row],[Trap]]),0)</f>
        <v>0</v>
      </c>
      <c r="CT312" s="59">
        <f>IFERROR(SUM(TBA_Matches_All[[#This Row],[TotNotesT]]/TBA_Matches_All[[#This Row],[TotNotes]]),0)</f>
        <v>0</v>
      </c>
      <c r="CU312" s="66">
        <f>SUM((TBA_Matches_All[[#This Row],[AampT]]*2)+(TBA_Matches_All[[#This Row],[AspkrT]]*5)+(TBA_Matches_All[[#This Row],[AtrapT]]*5)+(TBA_Matches_All[[#This Row],[TampT]]*1)+(TBA_Matches_All[[#This Row],[TspkrptsC]]))</f>
        <v>0</v>
      </c>
      <c r="CV312" s="59">
        <f>IFERROR(TBA_Matches_All[[#This Row],[noteptsT]]/TBA_Matches_All[[#This Row],[NotePts]],0)</f>
        <v>0</v>
      </c>
      <c r="CW312">
        <f>SUM(IF(TBA_Matches_All[[#This Row],[stageStat]]="On",3,0),IF(TBA_Matches_All[[#This Row],[stageStat]]="Park",1,0),SUMIFS(TBA_Matches_All[[#This Row],[Spotlit]],TBA_Matches_All[[#This Row],[stageStat]],"On"),SUMIFS(TBA_Matches_All[[#This Row],[Harmony]],TBA_Matches_All[[#This Row],[stageStat]],"On"))</f>
        <v>1</v>
      </c>
      <c r="CX312" s="59">
        <f>IFERROR(TBA_Matches_All[[#This Row],[stageptsT]]/TBA_Matches_All[[#This Row],[StagePts]],0)</f>
        <v>0.2</v>
      </c>
      <c r="CY312">
        <f>SUM((TBA_Matches_All[[#This Row],[AptsT]]+TBA_Matches_All[[#This Row],[TampT]]+TBA_Matches_All[[#This Row],[TspkrptsC]]+(TBA_Matches_All[[#This Row],[TtrapT]]*5)+TBA_Matches_All[[#This Row],[stageptsT]]))</f>
        <v>3</v>
      </c>
      <c r="CZ312" s="59">
        <f>IFERROR(SUM(TBA_Matches_All[[#This Row],[TotptsC]]/TBA_Matches_All[[#This Row],[Score]]),0)</f>
        <v>6.6666666666666666E-2</v>
      </c>
      <c r="DA31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12" s="74">
        <f>SUMIFS(TBA_Matches_All[AveTeamTNoteDels],TBA_Matches_All[Match_Number],TBA_Matches_All[[#This Row],[Match_Number]],TBA_Matches_All[Alliance],"&lt;&gt;"&amp;TBA_Matches_All[[#This Row],[Alliance]],TBA_Matches_All[Scouted],"&gt;0")</f>
        <v>37.28149891774892</v>
      </c>
      <c r="DC312" s="74">
        <f>(TBA_Matches_All[[#This Row],[TampT]]+TBA_Matches_All[[#This Row],[TspkrptsC]])-TBA_Matches_All[[#This Row],[AveTeamTNoteDels]]</f>
        <v>0</v>
      </c>
      <c r="DD312" s="74">
        <f>SUMIFS(TBA_Matches_All[AveTeamTNoteDels],TBA_Matches_All[Match_Number],TBA_Matches_All[[#This Row],[Match_Number]],TBA_Matches_All[Alliance],"&lt;&gt;"&amp;TBA_Matches_All[[#This Row],[Alliance]])-TBA_Matches_All[[#This Row],[AveOppTNoteDels]]</f>
        <v>0</v>
      </c>
    </row>
    <row r="313" spans="1:108" x14ac:dyDescent="0.3">
      <c r="A313" t="s">
        <v>1042</v>
      </c>
      <c r="B313" t="s">
        <v>489</v>
      </c>
      <c r="C313" t="s">
        <v>1361</v>
      </c>
      <c r="D313">
        <v>52</v>
      </c>
      <c r="E313" t="s">
        <v>1420</v>
      </c>
      <c r="F313" t="s">
        <v>1423</v>
      </c>
      <c r="G313" t="s">
        <v>1409</v>
      </c>
      <c r="H313" t="s">
        <v>1303</v>
      </c>
      <c r="I313" t="b">
        <v>0</v>
      </c>
      <c r="J313">
        <v>45</v>
      </c>
      <c r="K313">
        <v>0</v>
      </c>
      <c r="L313">
        <v>0</v>
      </c>
      <c r="M313">
        <v>7</v>
      </c>
      <c r="N313">
        <v>0</v>
      </c>
      <c r="O313">
        <v>3</v>
      </c>
      <c r="P313">
        <v>15</v>
      </c>
      <c r="Q313">
        <v>19</v>
      </c>
      <c r="R313">
        <v>4</v>
      </c>
      <c r="S313">
        <v>2</v>
      </c>
      <c r="T313">
        <v>5</v>
      </c>
      <c r="U313">
        <v>10</v>
      </c>
      <c r="V313">
        <v>10</v>
      </c>
      <c r="W313">
        <v>7</v>
      </c>
      <c r="X313">
        <v>20</v>
      </c>
      <c r="Y313">
        <v>24</v>
      </c>
      <c r="Z313">
        <v>0</v>
      </c>
      <c r="AA313">
        <v>0</v>
      </c>
      <c r="AB313">
        <v>14</v>
      </c>
      <c r="AC313">
        <v>39</v>
      </c>
      <c r="AD313">
        <v>2</v>
      </c>
      <c r="AE313">
        <f>IFERROR(6/(COUNTIF(Dyno_EndMatch[Match],TBA_Matches_All[[#This Row],[Match_Number]])),0)</f>
        <v>1</v>
      </c>
      <c r="AF313">
        <f>COUNTIFS(Dyno_Data[Team],TBA_Matches_All[[#This Row],[Team]],Dyno_Data[Match],TBA_Matches_All[[#This Row],[Match_Number]],Dyno_Data[RecordType],"EndMatch",Dyno_Data[HPAmp],"Y")</f>
        <v>0</v>
      </c>
      <c r="AG313">
        <f>SUMIFS(Dyno_Data[Mics], Dyno_Data[Team],TBA_Matches_All[[#This Row],[Team]],Dyno_Data[Match],TBA_Matches_All[[#This Row],[Match_Number]],Dyno_Data[RecordType],"EndMatch",Dyno_Data[HPAmp],"Y")</f>
        <v>0</v>
      </c>
      <c r="AH313">
        <f>SUMIFS(Dyno_Data[Leave], Dyno_Data[Team],TBA_Matches_All[[#This Row],[Team]],Dyno_Data[Match],TBA_Matches_All[[#This Row],[Match_Number]],Dyno_Data[RecordType],"EndAuto")</f>
        <v>1</v>
      </c>
      <c r="AI313">
        <f>COUNTIFS(Dyno_Data[Team],TBA_Matches_All[[#This Row],[Team]],Dyno_Data[Match],TBA_Matches_All[[#This Row],[Match_Number]],Dyno_Data[RecordType],"Activities",Dyno_Data[DelDest],"Amp", Dyno_Data[DelMiss],"0", Dyno_Data[Mode],"Auto")</f>
        <v>0</v>
      </c>
      <c r="AJ313">
        <f>COUNTIFS(Dyno_Data[Team],TBA_Matches_All[[#This Row],[Team]],Dyno_Data[Match],TBA_Matches_All[[#This Row],[Match_Number]],Dyno_Data[RecordType],"Activities",Dyno_Data[DelDest],"Spkr", Dyno_Data[DelMiss],"0", Dyno_Data[Mode],"Auto")</f>
        <v>2</v>
      </c>
      <c r="AK313">
        <f>COUNTIFS(Dyno_Data[Team],TBA_Matches_All[[#This Row],[Team]],Dyno_Data[Match],TBA_Matches_All[[#This Row],[Match_Number]],Dyno_Data[RecordType],"Activities",Dyno_Data[DelDest],"Trap", Dyno_Data[DelMiss],"0", Dyno_Data[Mode],"Auto")</f>
        <v>0</v>
      </c>
      <c r="AL313">
        <f>COUNTIFS(Dyno_Data[Team],TBA_Matches_All[[#This Row],[Team]],Dyno_Data[Match],TBA_Matches_All[[#This Row],[Match_Number]],Dyno_Data[RecordType],"Activities",Dyno_Data[DelDest],"Amp", Dyno_Data[DelMiss],"0", Dyno_Data[Mode],"Teleop")</f>
        <v>0</v>
      </c>
      <c r="AM313">
        <f>COUNTIFS(Dyno_Data[Team],TBA_Matches_All[[#This Row],[Team]],Dyno_Data[Match],TBA_Matches_All[[#This Row],[Match_Number]],Dyno_Data[RecordType],"Activities",Dyno_Data[DelDest],"Spkr", Dyno_Data[DelMiss],"0", Dyno_Data[Mode],"Teleop")</f>
        <v>0</v>
      </c>
      <c r="AN313">
        <f>COUNTIFS(Dyno_Data[Team],TBA_Matches_All[[#This Row],[Team]],Dyno_Data[Match],TBA_Matches_All[[#This Row],[Match_Number]],Dyno_Data[RecordType],"Activities",Dyno_Data[DelDest],"Trap", Dyno_Data[DelMiss],"0", Dyno_Data[Mode],"&lt;&gt;Auto")</f>
        <v>0</v>
      </c>
      <c r="AO313">
        <f>SUM(TBA_Matches_All[[#This Row],[AampT]]+TBA_Matches_All[[#This Row],[AspkrT]]+TBA_Matches_All[[#This Row],[AtrapT]]+TBA_Matches_All[[#This Row],[TampT]]+TBA_Matches_All[[#This Row],[TspkrT]]+TBA_Matches_All[[#This Row],[TtrapT]])</f>
        <v>2</v>
      </c>
      <c r="AP313">
        <f>COUNTIFS(Dyno_Data[Team],TBA_Matches_All[[#This Row],[Team]],Dyno_Data[Match],TBA_Matches_All[[#This Row],[Match_Number]],Dyno_Data[RecordType],"Activities",Dyno_Data[DelDest],"Neut", Dyno_Data[DelMiss],"0")</f>
        <v>0</v>
      </c>
      <c r="AQ313">
        <f>COUNTIFS(Dyno_Data[Team],TBA_Matches_All[[#This Row],[Team]],Dyno_Data[Match],TBA_Matches_All[[#This Row],[Match_Number]],Dyno_Data[RecordType],"Activities",Dyno_Data[DelDest],"AllyW", Dyno_Data[DelMiss],"0")</f>
        <v>0</v>
      </c>
      <c r="AR313" t="str">
        <f>_xlfn.XLOOKUP(SUM(MID(TBA_Matches_All[[#This Row],[Team]],4,5),(TBA_Matches_All[[#This Row],[Match_Number]]/100)),Dyno_EndMatch[teammat],Dyno_EndMatch[RobotSta],"_",0,1)</f>
        <v>Amp</v>
      </c>
      <c r="AS313">
        <f>SUMIFS(Dyno_Data[AcqDis], Dyno_Data[Team],TBA_Matches_All[[#This Row],[Team]],Dyno_Data[Match],TBA_Matches_All[[#This Row],[Match_Number]],Dyno_Data[RecordType],"Activities", Dyno_Data[AcqCenter],1,Dyno_Data[Mode],"Auto")</f>
        <v>0</v>
      </c>
      <c r="AT313">
        <f>SUMIFS(Dyno_Data[AcqDis], Dyno_Data[Team],TBA_Matches_All[[#This Row],[Team]],Dyno_Data[Match],TBA_Matches_All[[#This Row],[Match_Number]],Dyno_Data[RecordType],"Activities", Dyno_Data[AcqCenter],2,Dyno_Data[Mode],"Auto")</f>
        <v>0</v>
      </c>
      <c r="AU313">
        <f>SUMIFS(Dyno_Data[AcqDis], Dyno_Data[Team],TBA_Matches_All[[#This Row],[Team]],Dyno_Data[Match],TBA_Matches_All[[#This Row],[Match_Number]],Dyno_Data[RecordType],"Activities", Dyno_Data[AcqCenter],3,Dyno_Data[Mode],"Auto")</f>
        <v>0</v>
      </c>
      <c r="AV313">
        <f>SUMIFS(Dyno_Data[AcqDis], Dyno_Data[Team],TBA_Matches_All[[#This Row],[Team]],Dyno_Data[Match],TBA_Matches_All[[#This Row],[Match_Number]],Dyno_Data[RecordType],"Activities", Dyno_Data[AcqCenter],4,Dyno_Data[Mode],"Auto")</f>
        <v>1</v>
      </c>
      <c r="AW313">
        <f>SUMIFS(Dyno_Data[AcqDis], Dyno_Data[Team],TBA_Matches_All[[#This Row],[Team]],Dyno_Data[Match],TBA_Matches_All[[#This Row],[Match_Number]],Dyno_Data[RecordType],"Activities", Dyno_Data[AcqCenter],5,Dyno_Data[Mode],"Auto")</f>
        <v>1</v>
      </c>
      <c r="AX313">
        <f>SUMIFS(Dyno_Data[DelMiss], Dyno_Data[Team],TBA_Matches_All[[#This Row],[Team]],Dyno_Data[Match],TBA_Matches_All[[#This Row],[Match_Number]],Dyno_Data[RecordType],"Activities", Dyno_Data[DelDest],"Amp")</f>
        <v>0</v>
      </c>
      <c r="AY313" s="60">
        <f>IFERROR(SUM((TBA_Matches_All[[#This Row],[AampT]]+TBA_Matches_All[[#This Row],[TampT]])/(TBA_Matches_All[[#This Row],[AampT]]+TBA_Matches_All[[#This Row],[TampT]]+TBA_Matches_All[[#This Row],[ampM]])),0)</f>
        <v>0</v>
      </c>
      <c r="AZ313">
        <f>SUMIFS(Dyno_Data[DelMiss], Dyno_Data[Team],TBA_Matches_All[[#This Row],[Team]],Dyno_Data[Match],TBA_Matches_All[[#This Row],[Match_Number]],Dyno_Data[RecordType],"Activities", Dyno_Data[DelDest],"Spkr")</f>
        <v>0</v>
      </c>
      <c r="BA313" s="60">
        <f>IFERROR(SUM((TBA_Matches_All[[#This Row],[AspkrT]]+TBA_Matches_All[[#This Row],[TspkrT]])/(TBA_Matches_All[[#This Row],[AspkrT]]+TBA_Matches_All[[#This Row],[TspkrT]]+TBA_Matches_All[[#This Row],[spkrM]])),0)</f>
        <v>1</v>
      </c>
      <c r="BB313">
        <f>SUMIFS(Dyno_Data[DelMiss], Dyno_Data[Team],TBA_Matches_All[[#This Row],[Team]],Dyno_Data[Match],TBA_Matches_All[[#This Row],[Match_Number]],Dyno_Data[RecordType],"Activities", Dyno_Data[DelDest],"Trap")</f>
        <v>0</v>
      </c>
      <c r="BC313" s="60">
        <f>IFERROR((TBA_Matches_All[[#This Row],[AtrapT]]+TBA_Matches_All[[#This Row],[TtrapT]])/(TBA_Matches_All[[#This Row],[AtrapT]]+TBA_Matches_All[[#This Row],[TtrapT]]+TBA_Matches_All[[#This Row],[trapM]]),0)</f>
        <v>0</v>
      </c>
      <c r="BD313">
        <f>COUNTIFS(Dyno_Data[Team],TBA_Matches_All[[#This Row],[Team]],Dyno_Data[Match],TBA_Matches_All[[#This Row],[Match_Number]],Dyno_Data[RecordType],"Activities",Dyno_Data[DelDest],"Neut", Dyno_Data[DelMiss],1)</f>
        <v>0</v>
      </c>
      <c r="BE313" s="60">
        <f>IFERROR(SUM((TBA_Matches_All[[#This Row],[NeutFlrT]])/(TBA_Matches_All[[#This Row],[NeutFlrT]]+TBA_Matches_All[[#This Row],[NZflM]])),0)</f>
        <v>0</v>
      </c>
      <c r="BF313">
        <f>COUNTIFS(Dyno_Data[Team],TBA_Matches_All[[#This Row],[Team]],Dyno_Data[Match],TBA_Matches_All[[#This Row],[Match_Number]],Dyno_Data[RecordType],"Activities",Dyno_Data[DelDest],"AllyW", Dyno_Data[DelMiss],1)</f>
        <v>0</v>
      </c>
      <c r="BG313" s="60">
        <f>IFERROR(SUM((TBA_Matches_All[[#This Row],[AllyWFlrT]])/(TBA_Matches_All[[#This Row],[AllyWFlrT]]+TBA_Matches_All[[#This Row],[AZflM]])),0)</f>
        <v>0</v>
      </c>
      <c r="BH313">
        <f>COUNTIFS(Dyno_Data[Team],TBA_Matches_All[[#This Row],[Team]],Dyno_Data[Match],TBA_Matches_All[[#This Row],[Match_Number]],Dyno_Data[RecordType],"Activities",Dyno_Data[DelOrig],"OppW", Dyno_Data[DelMiss],"0")</f>
        <v>0</v>
      </c>
      <c r="BI313">
        <f>COUNTIFS(Dyno_Data[Team],TBA_Matches_All[[#This Row],[Team]],Dyno_Data[Match],TBA_Matches_All[[#This Row],[Match_Number]],Dyno_Data[RecordType],"Activities",Dyno_Data[DelOrig],"OppW", Dyno_Data[DelMiss],"1")</f>
        <v>0</v>
      </c>
      <c r="BJ313" s="60">
        <f>IFERROR(SUM((TBA_Matches_All[[#This Row],[OZflrT]])/(TBA_Matches_All[[#This Row],[OZflrT]]+TBA_Matches_All[[#This Row],[OZflrM]])),0)</f>
        <v>0</v>
      </c>
      <c r="BK313">
        <f>COUNTIFS(Dyno_Data[Team],TBA_Matches_All[[#This Row],[Team]],Dyno_Data[Match],TBA_Matches_All[[#This Row],[Match_Number]],Dyno_Data[RecordType],"Activities",Dyno_Data[DelOrig],"Neut", Dyno_Data[DelMiss],"0")</f>
        <v>0</v>
      </c>
      <c r="BL313">
        <f>COUNTIFS(Dyno_Data[Team],TBA_Matches_All[[#This Row],[Team]],Dyno_Data[Match],TBA_Matches_All[[#This Row],[Match_Number]],Dyno_Data[RecordType],"Activities",Dyno_Data[DelOrig],"Neut", Dyno_Data[DelMiss],"1")</f>
        <v>0</v>
      </c>
      <c r="BM313" s="60">
        <f>IFERROR(SUM((TBA_Matches_All[[#This Row],[NZflrT]])/(TBA_Matches_All[[#This Row],[NZflrT]]+TBA_Matches_All[[#This Row],[NZflrM]])),0)</f>
        <v>0</v>
      </c>
      <c r="BN313">
        <f>COUNTIFS(Dyno_Data[Team],TBA_Matches_All[[#This Row],[Team]],Dyno_Data[Match],TBA_Matches_All[[#This Row],[Match_Number]],Dyno_Data[RecordType],"Activities",Dyno_Data[DelOrig],"AllyW", Dyno_Data[DelMiss],"0")</f>
        <v>2</v>
      </c>
      <c r="BO313">
        <f>COUNTIFS(Dyno_Data[Team],TBA_Matches_All[[#This Row],[Team]],Dyno_Data[Match],TBA_Matches_All[[#This Row],[Match_Number]],Dyno_Data[RecordType],"Activities",Dyno_Data[DelOrig],"AllyW", Dyno_Data[DelMiss],"1")</f>
        <v>0</v>
      </c>
      <c r="BP313" s="60">
        <f>IFERROR(SUM((TBA_Matches_All[[#This Row],[AZflrT]])/(TBA_Matches_All[[#This Row],[AZflrT]]+TBA_Matches_All[[#This Row],[AZflrM]])),0)</f>
        <v>1</v>
      </c>
      <c r="BQ313">
        <f>COUNTIFS(Dyno_Data[Team],TBA_Matches_All[[#This Row],[Team]],Dyno_Data[Match],TBA_Matches_All[[#This Row],[Match_Number]],Dyno_Data[RecordType],"Activities",Dyno_Data[DelOrig],"SubW", Dyno_Data[DelMiss],"0")</f>
        <v>0</v>
      </c>
      <c r="BR313">
        <f>COUNTIFS(Dyno_Data[Team],TBA_Matches_All[[#This Row],[Team]],Dyno_Data[Match],TBA_Matches_All[[#This Row],[Match_Number]],Dyno_Data[RecordType],"Activities",Dyno_Data[DelOrig],"SubW", Dyno_Data[DelMiss],"1")</f>
        <v>0</v>
      </c>
      <c r="BS313" s="60">
        <f>IFERROR(SUM((TBA_Matches_All[[#This Row],[SubwT]])/(TBA_Matches_All[[#This Row],[SubwT]]+TBA_Matches_All[[#This Row],[SubwM]])),0)</f>
        <v>0</v>
      </c>
      <c r="BT313">
        <f>COUNTIFS(Dyno_Data[Team],TBA_Matches_All[[#This Row],[Team]],Dyno_Data[Match],TBA_Matches_All[[#This Row],[Match_Number]],Dyno_Data[RecordType],"Activities", Dyno_Data[AcqLoc],"OppWing")</f>
        <v>0</v>
      </c>
      <c r="BU313">
        <f>COUNTIFS(Dyno_Data[Team],TBA_Matches_All[[#This Row],[Team]],Dyno_Data[Match],TBA_Matches_All[[#This Row],[Match_Number]],Dyno_Data[RecordType],"Activities", Dyno_Data[AcqLoc],"Neutral")</f>
        <v>3</v>
      </c>
      <c r="BV313">
        <f>COUNTIFS(Dyno_Data[Team],TBA_Matches_All[[#This Row],[Team]],Dyno_Data[Match],TBA_Matches_All[[#This Row],[Match_Number]],Dyno_Data[RecordType],"Activities", Dyno_Data[AcqLoc],"AllyWing")</f>
        <v>0</v>
      </c>
      <c r="BW313">
        <f>COUNTIFS(Dyno_Data[Team],TBA_Matches_All[[#This Row],[Team]],Dyno_Data[Match],TBA_Matches_All[[#This Row],[Match_Number]],Dyno_Data[RecordType],"Activities", Dyno_Data[AcqLoc],"Source")</f>
        <v>0</v>
      </c>
      <c r="BX313">
        <f>SUMIFS(Dyno_Data[AcqDrp], Dyno_Data[Team],TBA_Matches_All[[#This Row],[Team]],Dyno_Data[Match],TBA_Matches_All[[#This Row],[Match_Number]],Dyno_Data[RecordType],"Activities", Dyno_Data[AcqLoc],"Source")</f>
        <v>0</v>
      </c>
      <c r="BY313">
        <f>SUMIFS(Dyno_Data[OZTime], Dyno_Data[Team],TBA_Matches_All[[#This Row],[Team]],Dyno_Data[Match],TBA_Matches_All[[#This Row],[Match_Number]],Dyno_Data[RecordType],"EndMatch")</f>
        <v>0</v>
      </c>
      <c r="BZ313">
        <f>SUMIFS(Dyno_Data[NZTime], Dyno_Data[Team],TBA_Matches_All[[#This Row],[Team]],Dyno_Data[Match],TBA_Matches_All[[#This Row],[Match_Number]],Dyno_Data[RecordType],"EndMatch")</f>
        <v>0</v>
      </c>
      <c r="CA313">
        <f>SUMIFS(Dyno_Data[AZTime], Dyno_Data[Team],TBA_Matches_All[[#This Row],[Team]],Dyno_Data[Match],TBA_Matches_All[[#This Row],[Match_Number]],Dyno_Data[RecordType],"EndMatch")</f>
        <v>133.808797</v>
      </c>
      <c r="CB313">
        <f>SUMIFS(Dyno_Data[ClimbT], Dyno_Data[Team],TBA_Matches_All[[#This Row],[Team]],Dyno_Data[Match],TBA_Matches_All[[#This Row],[Match_Number]],Dyno_Data[RecordType],"EndMatch")</f>
        <v>0</v>
      </c>
      <c r="CC313" t="str">
        <f>_xlfn.XLOOKUP(SUM(MID(TBA_Matches_All[[#This Row],[Team]],4,5),(TBA_Matches_All[[#This Row],[Match_Number]]/100)),Dyno_EndMatch[teammat],Dyno_EndMatch[StageStat],"_",0,1)</f>
        <v>Else</v>
      </c>
      <c r="CD313" t="str">
        <f>_xlfn.XLOOKUP(TBA_Matches_All[[#This Row],[teammat]],Dyno_EndMatch[teammat],Dyno_EndMatch[StageAtt],"_",0,1)</f>
        <v>0</v>
      </c>
      <c r="CE313" t="str">
        <f>_xlfn.XLOOKUP(TBA_Matches_All[[#This Row],[teammat]],Dyno_EndMatch[teammat],Dyno_EndMatch[StageLoc],"_",0,1)</f>
        <v>A</v>
      </c>
      <c r="CF313">
        <f>SUMIFS(Dyno_Data[Harmony], Dyno_Data[Team],TBA_Matches_All[[#This Row],[Team]],Dyno_Data[Match],TBA_Matches_All[[#This Row],[Match_Number]],Dyno_Data[RecordType],"EndMatch", Dyno_Data[StageStat],"On",Dyno_Data[Harmony],"&lt;&gt;9")</f>
        <v>0</v>
      </c>
      <c r="CG313">
        <f>SUMIFS(Dyno_Data[Spotlit], Dyno_Data[Team],TBA_Matches_All[[#This Row],[Team]],Dyno_Data[Match],TBA_Matches_All[[#This Row],[Match_Number]],Dyno_Data[RecordType],"EndMatch", Dyno_Data[StageStat],"On",Dyno_Data[Spotlit],"&lt;&gt;9")</f>
        <v>0</v>
      </c>
      <c r="CH313" t="str">
        <f>_xlfn.XLOOKUP(TBA_Matches_All[[#This Row],[teammat]],Dyno_EndMatch[teammat],Dyno_EndMatch[Strategy],"_",0,1)</f>
        <v>None</v>
      </c>
      <c r="CI313">
        <f>SUMIFS(Dyno_Data[Defense], Dyno_Data[Team],TBA_Matches_All[[#This Row],[Team]],Dyno_Data[Match],TBA_Matches_All[[#This Row],[Match_Number]],Dyno_Data[RecordType],"EndMatch",Dyno_Data[Defense],"&lt;&gt;9")</f>
        <v>0</v>
      </c>
      <c r="CJ313">
        <f>SUMIFS(Dyno_Data[Avoidance], Dyno_Data[Team],TBA_Matches_All[[#This Row],[Team]],Dyno_Data[Match],TBA_Matches_All[[#This Row],[Match_Number]],Dyno_Data[RecordType],"EndMatch",Dyno_Data[Avoidance],"&lt;&gt;9")</f>
        <v>0</v>
      </c>
      <c r="CK313" s="82">
        <f>COUNTIF($H$2:TBA_Matches_All[[#This Row],[Team]],TBA_Matches_All[[#This Row],[Team]])</f>
        <v>7</v>
      </c>
      <c r="CL313" s="111">
        <f>SUM(MID(TBA_Matches_All[[#This Row],[Team]],4,5)+TBA_Matches_All[[#This Row],[Match_Number]]/100)</f>
        <v>7605.52</v>
      </c>
      <c r="CM313">
        <f>SUM((TBA_Matches_All[[#This Row],[Leave]]*2)+(TBA_Matches_All[[#This Row],[AampT]]*2)+(TBA_Matches_All[[#This Row],[AspkrT]]*5)+(TBA_Matches_All[[#This Row],[AtrapT]]*5))</f>
        <v>12</v>
      </c>
      <c r="CN313" s="59">
        <f>IFERROR(SUM(TBA_Matches_All[[#This Row],[AptsT]]/TBA_Matches_All[[#This Row],[AutoPts]]),0)</f>
        <v>0.63157894736842102</v>
      </c>
      <c r="CO313" s="59">
        <f>IFERROR(SUM(TBA_Matches_All[[#This Row],[AampT]]+TBA_Matches_All[[#This Row],[AspkrT]]+TBA_Matches_All[[#This Row],[AtrapT]]/TBA_Matches_All[[#This Row],[Aamp]]+TBA_Matches_All[[#This Row],[Aspkr]]+TBA_Matches_All[[#This Row],[AtrapT]]),0)</f>
        <v>0</v>
      </c>
      <c r="CP313" s="59">
        <f>IFERROR(SUM(TBA_Matches_All[[#This Row],[TampT]]/TBA_Matches_All[[#This Row],[Tamp]]),0)</f>
        <v>0</v>
      </c>
      <c r="CQ313" s="59">
        <f>IFERROR(SUM(TBA_Matches_All[[#This Row],[TspkrT]]/TBA_Matches_All[[#This Row],[Tspkr]]),0)</f>
        <v>0</v>
      </c>
      <c r="CR313">
        <f>SUM(TBA_Matches_All[[#This Row],[TspkrPts]]*TBA_Matches_All[[#This Row],[TspkrP]])</f>
        <v>0</v>
      </c>
      <c r="CS313" s="59">
        <f>IFERROR(SUM(TBA_Matches_All[[#This Row],[TtrapT]]/TBA_Matches_All[[#This Row],[Trap]]),0)</f>
        <v>0</v>
      </c>
      <c r="CT313" s="59">
        <f>IFERROR(SUM(TBA_Matches_All[[#This Row],[TotNotesT]]/TBA_Matches_All[[#This Row],[TotNotes]]),0)</f>
        <v>0.14285714285714285</v>
      </c>
      <c r="CU313" s="66">
        <f>SUM((TBA_Matches_All[[#This Row],[AampT]]*2)+(TBA_Matches_All[[#This Row],[AspkrT]]*5)+(TBA_Matches_All[[#This Row],[AtrapT]]*5)+(TBA_Matches_All[[#This Row],[TampT]]*1)+(TBA_Matches_All[[#This Row],[TspkrptsC]]))</f>
        <v>10</v>
      </c>
      <c r="CV313" s="59">
        <f>IFERROR(TBA_Matches_All[[#This Row],[noteptsT]]/TBA_Matches_All[[#This Row],[NotePts]],0)</f>
        <v>0.25641025641025639</v>
      </c>
      <c r="CW313">
        <f>SUM(IF(TBA_Matches_All[[#This Row],[stageStat]]="On",3,0),IF(TBA_Matches_All[[#This Row],[stageStat]]="Park",1,0),SUMIFS(TBA_Matches_All[[#This Row],[Spotlit]],TBA_Matches_All[[#This Row],[stageStat]],"On"),SUMIFS(TBA_Matches_All[[#This Row],[Harmony]],TBA_Matches_All[[#This Row],[stageStat]],"On"))</f>
        <v>0</v>
      </c>
      <c r="CX313" s="59">
        <f>IFERROR(TBA_Matches_All[[#This Row],[stageptsT]]/TBA_Matches_All[[#This Row],[StagePts]],0)</f>
        <v>0</v>
      </c>
      <c r="CY313">
        <f>SUM((TBA_Matches_All[[#This Row],[AptsT]]+TBA_Matches_All[[#This Row],[TampT]]+TBA_Matches_All[[#This Row],[TspkrptsC]]+(TBA_Matches_All[[#This Row],[TtrapT]]*5)+TBA_Matches_All[[#This Row],[stageptsT]]))</f>
        <v>12</v>
      </c>
      <c r="CZ313" s="59">
        <f>IFERROR(SUM(TBA_Matches_All[[#This Row],[TotptsC]]/TBA_Matches_All[[#This Row],[Score]]),0)</f>
        <v>0.26666666666666666</v>
      </c>
      <c r="DA31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13.786666666666667</v>
      </c>
      <c r="DB313" s="74">
        <f>SUMIFS(TBA_Matches_All[AveTeamTNoteDels],TBA_Matches_All[Match_Number],TBA_Matches_All[[#This Row],[Match_Number]],TBA_Matches_All[Alliance],"&lt;&gt;"&amp;TBA_Matches_All[[#This Row],[Alliance]],TBA_Matches_All[Scouted],"&gt;0")</f>
        <v>21.972727272727273</v>
      </c>
      <c r="DC313" s="74">
        <f>(TBA_Matches_All[[#This Row],[TampT]]+TBA_Matches_All[[#This Row],[TspkrptsC]])-TBA_Matches_All[[#This Row],[AveTeamTNoteDels]]</f>
        <v>-13.786666666666667</v>
      </c>
      <c r="DD313" s="74">
        <f>SUMIFS(TBA_Matches_All[AveTeamTNoteDels],TBA_Matches_All[Match_Number],TBA_Matches_All[[#This Row],[Match_Number]],TBA_Matches_All[Alliance],"&lt;&gt;"&amp;TBA_Matches_All[[#This Row],[Alliance]])-TBA_Matches_All[[#This Row],[AveOppTNoteDels]]</f>
        <v>0</v>
      </c>
    </row>
    <row r="314" spans="1:108" x14ac:dyDescent="0.3">
      <c r="A314" t="s">
        <v>1042</v>
      </c>
      <c r="B314" t="s">
        <v>489</v>
      </c>
      <c r="C314" t="s">
        <v>1361</v>
      </c>
      <c r="D314">
        <v>52</v>
      </c>
      <c r="E314" t="s">
        <v>1406</v>
      </c>
      <c r="F314" t="s">
        <v>1424</v>
      </c>
      <c r="G314" t="s">
        <v>1409</v>
      </c>
      <c r="H314" t="s">
        <v>370</v>
      </c>
      <c r="I314" t="b">
        <v>0</v>
      </c>
      <c r="J314">
        <v>45</v>
      </c>
      <c r="K314">
        <v>0</v>
      </c>
      <c r="L314">
        <v>0</v>
      </c>
      <c r="M314">
        <v>0</v>
      </c>
      <c r="N314">
        <v>0</v>
      </c>
      <c r="O314">
        <v>1</v>
      </c>
      <c r="P314">
        <v>5</v>
      </c>
      <c r="Q314">
        <v>9</v>
      </c>
      <c r="R314">
        <v>0</v>
      </c>
      <c r="S314">
        <v>0</v>
      </c>
      <c r="T314">
        <v>12</v>
      </c>
      <c r="U314">
        <v>0</v>
      </c>
      <c r="V314">
        <v>24</v>
      </c>
      <c r="W314">
        <v>12</v>
      </c>
      <c r="X314">
        <v>24</v>
      </c>
      <c r="Y314">
        <v>24</v>
      </c>
      <c r="Z314">
        <v>0</v>
      </c>
      <c r="AA314">
        <v>0</v>
      </c>
      <c r="AB314">
        <v>13</v>
      </c>
      <c r="AC314">
        <v>29</v>
      </c>
      <c r="AD314">
        <v>5</v>
      </c>
      <c r="AE314">
        <f>IFERROR(6/(COUNTIF(Dyno_EndMatch[Match],TBA_Matches_All[[#This Row],[Match_Number]])),0)</f>
        <v>1</v>
      </c>
      <c r="AF314">
        <f>COUNTIFS(Dyno_Data[Team],TBA_Matches_All[[#This Row],[Team]],Dyno_Data[Match],TBA_Matches_All[[#This Row],[Match_Number]],Dyno_Data[RecordType],"EndMatch",Dyno_Data[HPAmp],"Y")</f>
        <v>1</v>
      </c>
      <c r="AG314">
        <f>SUMIFS(Dyno_Data[Mics], Dyno_Data[Team],TBA_Matches_All[[#This Row],[Team]],Dyno_Data[Match],TBA_Matches_All[[#This Row],[Match_Number]],Dyno_Data[RecordType],"EndMatch",Dyno_Data[HPAmp],"Y")</f>
        <v>0</v>
      </c>
      <c r="AH314">
        <f>SUMIFS(Dyno_Data[Leave], Dyno_Data[Team],TBA_Matches_All[[#This Row],[Team]],Dyno_Data[Match],TBA_Matches_All[[#This Row],[Match_Number]],Dyno_Data[RecordType],"EndAuto")</f>
        <v>1</v>
      </c>
      <c r="AI314">
        <f>COUNTIFS(Dyno_Data[Team],TBA_Matches_All[[#This Row],[Team]],Dyno_Data[Match],TBA_Matches_All[[#This Row],[Match_Number]],Dyno_Data[RecordType],"Activities",Dyno_Data[DelDest],"Amp", Dyno_Data[DelMiss],"0", Dyno_Data[Mode],"Auto")</f>
        <v>0</v>
      </c>
      <c r="AJ314">
        <f>COUNTIFS(Dyno_Data[Team],TBA_Matches_All[[#This Row],[Team]],Dyno_Data[Match],TBA_Matches_All[[#This Row],[Match_Number]],Dyno_Data[RecordType],"Activities",Dyno_Data[DelDest],"Spkr", Dyno_Data[DelMiss],"0", Dyno_Data[Mode],"Auto")</f>
        <v>1</v>
      </c>
      <c r="AK314">
        <f>COUNTIFS(Dyno_Data[Team],TBA_Matches_All[[#This Row],[Team]],Dyno_Data[Match],TBA_Matches_All[[#This Row],[Match_Number]],Dyno_Data[RecordType],"Activities",Dyno_Data[DelDest],"Trap", Dyno_Data[DelMiss],"0", Dyno_Data[Mode],"Auto")</f>
        <v>0</v>
      </c>
      <c r="AL314">
        <f>COUNTIFS(Dyno_Data[Team],TBA_Matches_All[[#This Row],[Team]],Dyno_Data[Match],TBA_Matches_All[[#This Row],[Match_Number]],Dyno_Data[RecordType],"Activities",Dyno_Data[DelDest],"Amp", Dyno_Data[DelMiss],"0", Dyno_Data[Mode],"Teleop")</f>
        <v>0</v>
      </c>
      <c r="AM314">
        <f>COUNTIFS(Dyno_Data[Team],TBA_Matches_All[[#This Row],[Team]],Dyno_Data[Match],TBA_Matches_All[[#This Row],[Match_Number]],Dyno_Data[RecordType],"Activities",Dyno_Data[DelDest],"Spkr", Dyno_Data[DelMiss],"0", Dyno_Data[Mode],"Teleop")</f>
        <v>7</v>
      </c>
      <c r="AN314">
        <f>COUNTIFS(Dyno_Data[Team],TBA_Matches_All[[#This Row],[Team]],Dyno_Data[Match],TBA_Matches_All[[#This Row],[Match_Number]],Dyno_Data[RecordType],"Activities",Dyno_Data[DelDest],"Trap", Dyno_Data[DelMiss],"0", Dyno_Data[Mode],"&lt;&gt;Auto")</f>
        <v>0</v>
      </c>
      <c r="AO314">
        <f>SUM(TBA_Matches_All[[#This Row],[AampT]]+TBA_Matches_All[[#This Row],[AspkrT]]+TBA_Matches_All[[#This Row],[AtrapT]]+TBA_Matches_All[[#This Row],[TampT]]+TBA_Matches_All[[#This Row],[TspkrT]]+TBA_Matches_All[[#This Row],[TtrapT]])</f>
        <v>8</v>
      </c>
      <c r="AP314">
        <f>COUNTIFS(Dyno_Data[Team],TBA_Matches_All[[#This Row],[Team]],Dyno_Data[Match],TBA_Matches_All[[#This Row],[Match_Number]],Dyno_Data[RecordType],"Activities",Dyno_Data[DelDest],"Neut", Dyno_Data[DelMiss],"0")</f>
        <v>0</v>
      </c>
      <c r="AQ314">
        <f>COUNTIFS(Dyno_Data[Team],TBA_Matches_All[[#This Row],[Team]],Dyno_Data[Match],TBA_Matches_All[[#This Row],[Match_Number]],Dyno_Data[RecordType],"Activities",Dyno_Data[DelDest],"AllyW", Dyno_Data[DelMiss],"0")</f>
        <v>1</v>
      </c>
      <c r="AR314" t="str">
        <f>_xlfn.XLOOKUP(SUM(MID(TBA_Matches_All[[#This Row],[Team]],4,5),(TBA_Matches_All[[#This Row],[Match_Number]]/100)),Dyno_EndMatch[teammat],Dyno_EndMatch[RobotSta],"_",0,1)</f>
        <v>Podm</v>
      </c>
      <c r="AS314">
        <f>SUMIFS(Dyno_Data[AcqDis], Dyno_Data[Team],TBA_Matches_All[[#This Row],[Team]],Dyno_Data[Match],TBA_Matches_All[[#This Row],[Match_Number]],Dyno_Data[RecordType],"Activities", Dyno_Data[AcqCenter],1,Dyno_Data[Mode],"Auto")</f>
        <v>0</v>
      </c>
      <c r="AT314">
        <f>SUMIFS(Dyno_Data[AcqDis], Dyno_Data[Team],TBA_Matches_All[[#This Row],[Team]],Dyno_Data[Match],TBA_Matches_All[[#This Row],[Match_Number]],Dyno_Data[RecordType],"Activities", Dyno_Data[AcqCenter],2,Dyno_Data[Mode],"Auto")</f>
        <v>0</v>
      </c>
      <c r="AU314">
        <f>SUMIFS(Dyno_Data[AcqDis], Dyno_Data[Team],TBA_Matches_All[[#This Row],[Team]],Dyno_Data[Match],TBA_Matches_All[[#This Row],[Match_Number]],Dyno_Data[RecordType],"Activities", Dyno_Data[AcqCenter],3,Dyno_Data[Mode],"Auto")</f>
        <v>0</v>
      </c>
      <c r="AV314">
        <f>SUMIFS(Dyno_Data[AcqDis], Dyno_Data[Team],TBA_Matches_All[[#This Row],[Team]],Dyno_Data[Match],TBA_Matches_All[[#This Row],[Match_Number]],Dyno_Data[RecordType],"Activities", Dyno_Data[AcqCenter],4,Dyno_Data[Mode],"Auto")</f>
        <v>0</v>
      </c>
      <c r="AW314">
        <f>SUMIFS(Dyno_Data[AcqDis], Dyno_Data[Team],TBA_Matches_All[[#This Row],[Team]],Dyno_Data[Match],TBA_Matches_All[[#This Row],[Match_Number]],Dyno_Data[RecordType],"Activities", Dyno_Data[AcqCenter],5,Dyno_Data[Mode],"Auto")</f>
        <v>0</v>
      </c>
      <c r="AX314">
        <f>SUMIFS(Dyno_Data[DelMiss], Dyno_Data[Team],TBA_Matches_All[[#This Row],[Team]],Dyno_Data[Match],TBA_Matches_All[[#This Row],[Match_Number]],Dyno_Data[RecordType],"Activities", Dyno_Data[DelDest],"Amp")</f>
        <v>0</v>
      </c>
      <c r="AY314" s="60">
        <f>IFERROR(SUM((TBA_Matches_All[[#This Row],[AampT]]+TBA_Matches_All[[#This Row],[TampT]])/(TBA_Matches_All[[#This Row],[AampT]]+TBA_Matches_All[[#This Row],[TampT]]+TBA_Matches_All[[#This Row],[ampM]])),0)</f>
        <v>0</v>
      </c>
      <c r="AZ314">
        <f>SUMIFS(Dyno_Data[DelMiss], Dyno_Data[Team],TBA_Matches_All[[#This Row],[Team]],Dyno_Data[Match],TBA_Matches_All[[#This Row],[Match_Number]],Dyno_Data[RecordType],"Activities", Dyno_Data[DelDest],"Spkr")</f>
        <v>1</v>
      </c>
      <c r="BA314" s="60">
        <f>IFERROR(SUM((TBA_Matches_All[[#This Row],[AspkrT]]+TBA_Matches_All[[#This Row],[TspkrT]])/(TBA_Matches_All[[#This Row],[AspkrT]]+TBA_Matches_All[[#This Row],[TspkrT]]+TBA_Matches_All[[#This Row],[spkrM]])),0)</f>
        <v>0.88888888888888884</v>
      </c>
      <c r="BB314">
        <f>SUMIFS(Dyno_Data[DelMiss], Dyno_Data[Team],TBA_Matches_All[[#This Row],[Team]],Dyno_Data[Match],TBA_Matches_All[[#This Row],[Match_Number]],Dyno_Data[RecordType],"Activities", Dyno_Data[DelDest],"Trap")</f>
        <v>0</v>
      </c>
      <c r="BC314" s="60">
        <f>IFERROR((TBA_Matches_All[[#This Row],[AtrapT]]+TBA_Matches_All[[#This Row],[TtrapT]])/(TBA_Matches_All[[#This Row],[AtrapT]]+TBA_Matches_All[[#This Row],[TtrapT]]+TBA_Matches_All[[#This Row],[trapM]]),0)</f>
        <v>0</v>
      </c>
      <c r="BD314">
        <f>COUNTIFS(Dyno_Data[Team],TBA_Matches_All[[#This Row],[Team]],Dyno_Data[Match],TBA_Matches_All[[#This Row],[Match_Number]],Dyno_Data[RecordType],"Activities",Dyno_Data[DelDest],"Neut", Dyno_Data[DelMiss],1)</f>
        <v>0</v>
      </c>
      <c r="BE314" s="60">
        <f>IFERROR(SUM((TBA_Matches_All[[#This Row],[NeutFlrT]])/(TBA_Matches_All[[#This Row],[NeutFlrT]]+TBA_Matches_All[[#This Row],[NZflM]])),0)</f>
        <v>0</v>
      </c>
      <c r="BF314">
        <f>COUNTIFS(Dyno_Data[Team],TBA_Matches_All[[#This Row],[Team]],Dyno_Data[Match],TBA_Matches_All[[#This Row],[Match_Number]],Dyno_Data[RecordType],"Activities",Dyno_Data[DelDest],"AllyW", Dyno_Data[DelMiss],1)</f>
        <v>0</v>
      </c>
      <c r="BG314" s="60">
        <f>IFERROR(SUM((TBA_Matches_All[[#This Row],[AllyWFlrT]])/(TBA_Matches_All[[#This Row],[AllyWFlrT]]+TBA_Matches_All[[#This Row],[AZflM]])),0)</f>
        <v>1</v>
      </c>
      <c r="BH314">
        <f>COUNTIFS(Dyno_Data[Team],TBA_Matches_All[[#This Row],[Team]],Dyno_Data[Match],TBA_Matches_All[[#This Row],[Match_Number]],Dyno_Data[RecordType],"Activities",Dyno_Data[DelOrig],"OppW", Dyno_Data[DelMiss],"0")</f>
        <v>0</v>
      </c>
      <c r="BI314">
        <f>COUNTIFS(Dyno_Data[Team],TBA_Matches_All[[#This Row],[Team]],Dyno_Data[Match],TBA_Matches_All[[#This Row],[Match_Number]],Dyno_Data[RecordType],"Activities",Dyno_Data[DelOrig],"OppW", Dyno_Data[DelMiss],"1")</f>
        <v>0</v>
      </c>
      <c r="BJ314" s="60">
        <f>IFERROR(SUM((TBA_Matches_All[[#This Row],[OZflrT]])/(TBA_Matches_All[[#This Row],[OZflrT]]+TBA_Matches_All[[#This Row],[OZflrM]])),0)</f>
        <v>0</v>
      </c>
      <c r="BK314">
        <f>COUNTIFS(Dyno_Data[Team],TBA_Matches_All[[#This Row],[Team]],Dyno_Data[Match],TBA_Matches_All[[#This Row],[Match_Number]],Dyno_Data[RecordType],"Activities",Dyno_Data[DelOrig],"Neut", Dyno_Data[DelMiss],"0")</f>
        <v>0</v>
      </c>
      <c r="BL314">
        <f>COUNTIFS(Dyno_Data[Team],TBA_Matches_All[[#This Row],[Team]],Dyno_Data[Match],TBA_Matches_All[[#This Row],[Match_Number]],Dyno_Data[RecordType],"Activities",Dyno_Data[DelOrig],"Neut", Dyno_Data[DelMiss],"1")</f>
        <v>0</v>
      </c>
      <c r="BM314" s="60">
        <f>IFERROR(SUM((TBA_Matches_All[[#This Row],[NZflrT]])/(TBA_Matches_All[[#This Row],[NZflrT]]+TBA_Matches_All[[#This Row],[NZflrM]])),0)</f>
        <v>0</v>
      </c>
      <c r="BN314">
        <f>COUNTIFS(Dyno_Data[Team],TBA_Matches_All[[#This Row],[Team]],Dyno_Data[Match],TBA_Matches_All[[#This Row],[Match_Number]],Dyno_Data[RecordType],"Activities",Dyno_Data[DelOrig],"AllyW", Dyno_Data[DelMiss],"0")</f>
        <v>8</v>
      </c>
      <c r="BO314">
        <f>COUNTIFS(Dyno_Data[Team],TBA_Matches_All[[#This Row],[Team]],Dyno_Data[Match],TBA_Matches_All[[#This Row],[Match_Number]],Dyno_Data[RecordType],"Activities",Dyno_Data[DelOrig],"AllyW", Dyno_Data[DelMiss],"1")</f>
        <v>1</v>
      </c>
      <c r="BP314" s="60">
        <f>IFERROR(SUM((TBA_Matches_All[[#This Row],[AZflrT]])/(TBA_Matches_All[[#This Row],[AZflrT]]+TBA_Matches_All[[#This Row],[AZflrM]])),0)</f>
        <v>0.88888888888888884</v>
      </c>
      <c r="BQ314">
        <f>COUNTIFS(Dyno_Data[Team],TBA_Matches_All[[#This Row],[Team]],Dyno_Data[Match],TBA_Matches_All[[#This Row],[Match_Number]],Dyno_Data[RecordType],"Activities",Dyno_Data[DelOrig],"SubW", Dyno_Data[DelMiss],"0")</f>
        <v>1</v>
      </c>
      <c r="BR314">
        <f>COUNTIFS(Dyno_Data[Team],TBA_Matches_All[[#This Row],[Team]],Dyno_Data[Match],TBA_Matches_All[[#This Row],[Match_Number]],Dyno_Data[RecordType],"Activities",Dyno_Data[DelOrig],"SubW", Dyno_Data[DelMiss],"1")</f>
        <v>0</v>
      </c>
      <c r="BS314" s="60">
        <f>IFERROR(SUM((TBA_Matches_All[[#This Row],[SubwT]])/(TBA_Matches_All[[#This Row],[SubwT]]+TBA_Matches_All[[#This Row],[SubwM]])),0)</f>
        <v>1</v>
      </c>
      <c r="BT314">
        <f>COUNTIFS(Dyno_Data[Team],TBA_Matches_All[[#This Row],[Team]],Dyno_Data[Match],TBA_Matches_All[[#This Row],[Match_Number]],Dyno_Data[RecordType],"Activities", Dyno_Data[AcqLoc],"OppWing")</f>
        <v>0</v>
      </c>
      <c r="BU314">
        <f>COUNTIFS(Dyno_Data[Team],TBA_Matches_All[[#This Row],[Team]],Dyno_Data[Match],TBA_Matches_All[[#This Row],[Match_Number]],Dyno_Data[RecordType],"Activities", Dyno_Data[AcqLoc],"Neutral")</f>
        <v>0</v>
      </c>
      <c r="BV314">
        <f>COUNTIFS(Dyno_Data[Team],TBA_Matches_All[[#This Row],[Team]],Dyno_Data[Match],TBA_Matches_All[[#This Row],[Match_Number]],Dyno_Data[RecordType],"Activities", Dyno_Data[AcqLoc],"AllyWing")</f>
        <v>0</v>
      </c>
      <c r="BW314">
        <f>COUNTIFS(Dyno_Data[Team],TBA_Matches_All[[#This Row],[Team]],Dyno_Data[Match],TBA_Matches_All[[#This Row],[Match_Number]],Dyno_Data[RecordType],"Activities", Dyno_Data[AcqLoc],"Source")</f>
        <v>0</v>
      </c>
      <c r="BX314">
        <f>SUMIFS(Dyno_Data[AcqDrp], Dyno_Data[Team],TBA_Matches_All[[#This Row],[Team]],Dyno_Data[Match],TBA_Matches_All[[#This Row],[Match_Number]],Dyno_Data[RecordType],"Activities", Dyno_Data[AcqLoc],"Source")</f>
        <v>0</v>
      </c>
      <c r="BY314">
        <f>SUMIFS(Dyno_Data[OZTime], Dyno_Data[Team],TBA_Matches_All[[#This Row],[Team]],Dyno_Data[Match],TBA_Matches_All[[#This Row],[Match_Number]],Dyno_Data[RecordType],"EndMatch")</f>
        <v>31.702180799999997</v>
      </c>
      <c r="BZ314">
        <f>SUMIFS(Dyno_Data[NZTime], Dyno_Data[Team],TBA_Matches_All[[#This Row],[Team]],Dyno_Data[Match],TBA_Matches_All[[#This Row],[Match_Number]],Dyno_Data[RecordType],"EndMatch")</f>
        <v>16.051063499999998</v>
      </c>
      <c r="CA314">
        <f>SUMIFS(Dyno_Data[AZTime], Dyno_Data[Team],TBA_Matches_All[[#This Row],[Team]],Dyno_Data[Match],TBA_Matches_All[[#This Row],[Match_Number]],Dyno_Data[RecordType],"EndMatch")</f>
        <v>67.115443400000004</v>
      </c>
      <c r="CB314">
        <f>SUMIFS(Dyno_Data[ClimbT], Dyno_Data[Team],TBA_Matches_All[[#This Row],[Team]],Dyno_Data[Match],TBA_Matches_All[[#This Row],[Match_Number]],Dyno_Data[RecordType],"EndMatch")</f>
        <v>5.0569587999999994</v>
      </c>
      <c r="CC314" t="str">
        <f>_xlfn.XLOOKUP(SUM(MID(TBA_Matches_All[[#This Row],[Team]],4,5),(TBA_Matches_All[[#This Row],[Match_Number]]/100)),Dyno_EndMatch[teammat],Dyno_EndMatch[StageStat],"_",0,1)</f>
        <v>On</v>
      </c>
      <c r="CD314" t="str">
        <f>_xlfn.XLOOKUP(TBA_Matches_All[[#This Row],[teammat]],Dyno_EndMatch[teammat],Dyno_EndMatch[StageAtt],"_",0,1)</f>
        <v>1</v>
      </c>
      <c r="CE314" t="str">
        <f>_xlfn.XLOOKUP(TBA_Matches_All[[#This Row],[teammat]],Dyno_EndMatch[teammat],Dyno_EndMatch[StageLoc],"_",0,1)</f>
        <v>L</v>
      </c>
      <c r="CF314">
        <f>SUMIFS(Dyno_Data[Harmony], Dyno_Data[Team],TBA_Matches_All[[#This Row],[Team]],Dyno_Data[Match],TBA_Matches_All[[#This Row],[Match_Number]],Dyno_Data[RecordType],"EndMatch", Dyno_Data[StageStat],"On",Dyno_Data[Harmony],"&lt;&gt;9")</f>
        <v>0</v>
      </c>
      <c r="CG314">
        <f>SUMIFS(Dyno_Data[Spotlit], Dyno_Data[Team],TBA_Matches_All[[#This Row],[Team]],Dyno_Data[Match],TBA_Matches_All[[#This Row],[Match_Number]],Dyno_Data[RecordType],"EndMatch", Dyno_Data[StageStat],"On",Dyno_Data[Spotlit],"&lt;&gt;9")</f>
        <v>0</v>
      </c>
      <c r="CH314" t="str">
        <f>_xlfn.XLOOKUP(TBA_Matches_All[[#This Row],[teammat]],Dyno_EndMatch[teammat],Dyno_EndMatch[Strategy],"_",0,1)</f>
        <v>Hybrid</v>
      </c>
      <c r="CI314">
        <f>SUMIFS(Dyno_Data[Defense], Dyno_Data[Team],TBA_Matches_All[[#This Row],[Team]],Dyno_Data[Match],TBA_Matches_All[[#This Row],[Match_Number]],Dyno_Data[RecordType],"EndMatch",Dyno_Data[Defense],"&lt;&gt;9")</f>
        <v>0</v>
      </c>
      <c r="CJ314">
        <f>SUMIFS(Dyno_Data[Avoidance], Dyno_Data[Team],TBA_Matches_All[[#This Row],[Team]],Dyno_Data[Match],TBA_Matches_All[[#This Row],[Match_Number]],Dyno_Data[RecordType],"EndMatch",Dyno_Data[Avoidance],"&lt;&gt;9")</f>
        <v>0</v>
      </c>
      <c r="CK314" s="82">
        <f>COUNTIF($H$2:TBA_Matches_All[[#This Row],[Team]],TBA_Matches_All[[#This Row],[Team]])</f>
        <v>7</v>
      </c>
      <c r="CL314" s="111">
        <f>SUM(MID(TBA_Matches_All[[#This Row],[Team]],4,5)+TBA_Matches_All[[#This Row],[Match_Number]]/100)</f>
        <v>6911.52</v>
      </c>
      <c r="CM314">
        <f>SUM((TBA_Matches_All[[#This Row],[Leave]]*2)+(TBA_Matches_All[[#This Row],[AampT]]*2)+(TBA_Matches_All[[#This Row],[AspkrT]]*5)+(TBA_Matches_All[[#This Row],[AtrapT]]*5))</f>
        <v>7</v>
      </c>
      <c r="CN314" s="59">
        <f>IFERROR(SUM(TBA_Matches_All[[#This Row],[AptsT]]/TBA_Matches_All[[#This Row],[AutoPts]]),0)</f>
        <v>0.77777777777777779</v>
      </c>
      <c r="CO314" s="59">
        <f>IFERROR(SUM(TBA_Matches_All[[#This Row],[AampT]]+TBA_Matches_All[[#This Row],[AspkrT]]+TBA_Matches_All[[#This Row],[AtrapT]]/TBA_Matches_All[[#This Row],[Aamp]]+TBA_Matches_All[[#This Row],[Aspkr]]+TBA_Matches_All[[#This Row],[AtrapT]]),0)</f>
        <v>0</v>
      </c>
      <c r="CP314" s="59">
        <f>IFERROR(SUM(TBA_Matches_All[[#This Row],[TampT]]/TBA_Matches_All[[#This Row],[Tamp]]),0)</f>
        <v>0</v>
      </c>
      <c r="CQ314" s="59">
        <f>IFERROR(SUM(TBA_Matches_All[[#This Row],[TspkrT]]/TBA_Matches_All[[#This Row],[Tspkr]]),0)</f>
        <v>0.58333333333333337</v>
      </c>
      <c r="CR314">
        <f>SUM(TBA_Matches_All[[#This Row],[TspkrPts]]*TBA_Matches_All[[#This Row],[TspkrP]])</f>
        <v>14</v>
      </c>
      <c r="CS314" s="59">
        <f>IFERROR(SUM(TBA_Matches_All[[#This Row],[TtrapT]]/TBA_Matches_All[[#This Row],[Trap]]),0)</f>
        <v>0</v>
      </c>
      <c r="CT314" s="59">
        <f>IFERROR(SUM(TBA_Matches_All[[#This Row],[TotNotesT]]/TBA_Matches_All[[#This Row],[TotNotes]]),0)</f>
        <v>0.61538461538461542</v>
      </c>
      <c r="CU314" s="66">
        <f>SUM((TBA_Matches_All[[#This Row],[AampT]]*2)+(TBA_Matches_All[[#This Row],[AspkrT]]*5)+(TBA_Matches_All[[#This Row],[AtrapT]]*5)+(TBA_Matches_All[[#This Row],[TampT]]*1)+(TBA_Matches_All[[#This Row],[TspkrptsC]]))</f>
        <v>19</v>
      </c>
      <c r="CV314" s="59">
        <f>IFERROR(TBA_Matches_All[[#This Row],[noteptsT]]/TBA_Matches_All[[#This Row],[NotePts]],0)</f>
        <v>0.65517241379310343</v>
      </c>
      <c r="CW314">
        <f>SUM(IF(TBA_Matches_All[[#This Row],[stageStat]]="On",3,0),IF(TBA_Matches_All[[#This Row],[stageStat]]="Park",1,0),SUMIFS(TBA_Matches_All[[#This Row],[Spotlit]],TBA_Matches_All[[#This Row],[stageStat]],"On"),SUMIFS(TBA_Matches_All[[#This Row],[Harmony]],TBA_Matches_All[[#This Row],[stageStat]],"On"))</f>
        <v>3</v>
      </c>
      <c r="CX314" s="59">
        <f>IFERROR(TBA_Matches_All[[#This Row],[stageptsT]]/TBA_Matches_All[[#This Row],[StagePts]],0)</f>
        <v>0.6</v>
      </c>
      <c r="CY314">
        <f>SUM((TBA_Matches_All[[#This Row],[AptsT]]+TBA_Matches_All[[#This Row],[TampT]]+TBA_Matches_All[[#This Row],[TspkrptsC]]+(TBA_Matches_All[[#This Row],[TtrapT]]*5)+TBA_Matches_All[[#This Row],[stageptsT]]))</f>
        <v>24</v>
      </c>
      <c r="CZ314" s="59">
        <f>IFERROR(SUM(TBA_Matches_All[[#This Row],[TotptsC]]/TBA_Matches_All[[#This Row],[Score]]),0)</f>
        <v>0.53333333333333333</v>
      </c>
      <c r="DA31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15.1</v>
      </c>
      <c r="DB314" s="74">
        <f>SUMIFS(TBA_Matches_All[AveTeamTNoteDels],TBA_Matches_All[Match_Number],TBA_Matches_All[[#This Row],[Match_Number]],TBA_Matches_All[Alliance],"&lt;&gt;"&amp;TBA_Matches_All[[#This Row],[Alliance]],TBA_Matches_All[Scouted],"&gt;0")</f>
        <v>37.28149891774892</v>
      </c>
      <c r="DC314" s="74">
        <f>(TBA_Matches_All[[#This Row],[TampT]]+TBA_Matches_All[[#This Row],[TspkrptsC]])-TBA_Matches_All[[#This Row],[AveTeamTNoteDels]]</f>
        <v>-1.0999999999999996</v>
      </c>
      <c r="DD314" s="74">
        <f>SUMIFS(TBA_Matches_All[AveTeamTNoteDels],TBA_Matches_All[Match_Number],TBA_Matches_All[[#This Row],[Match_Number]],TBA_Matches_All[Alliance],"&lt;&gt;"&amp;TBA_Matches_All[[#This Row],[Alliance]])-TBA_Matches_All[[#This Row],[AveOppTNoteDels]]</f>
        <v>0</v>
      </c>
    </row>
    <row r="315" spans="1:108" x14ac:dyDescent="0.3">
      <c r="A315" t="s">
        <v>1042</v>
      </c>
      <c r="B315" t="s">
        <v>489</v>
      </c>
      <c r="C315" t="s">
        <v>1362</v>
      </c>
      <c r="D315">
        <v>53</v>
      </c>
      <c r="E315" t="s">
        <v>1420</v>
      </c>
      <c r="F315" t="s">
        <v>1423</v>
      </c>
      <c r="G315" t="s">
        <v>1409</v>
      </c>
      <c r="H315" t="s">
        <v>1276</v>
      </c>
      <c r="I315" t="b">
        <v>0</v>
      </c>
      <c r="J315">
        <v>15</v>
      </c>
      <c r="K315">
        <v>0</v>
      </c>
      <c r="L315">
        <v>0</v>
      </c>
      <c r="M315">
        <v>10</v>
      </c>
      <c r="N315">
        <v>0</v>
      </c>
      <c r="O315">
        <v>0</v>
      </c>
      <c r="P315">
        <v>0</v>
      </c>
      <c r="Q315">
        <v>6</v>
      </c>
      <c r="R315">
        <v>0</v>
      </c>
      <c r="S315">
        <v>0</v>
      </c>
      <c r="T315">
        <v>2</v>
      </c>
      <c r="U315">
        <v>0</v>
      </c>
      <c r="V315">
        <v>4</v>
      </c>
      <c r="W315">
        <v>2</v>
      </c>
      <c r="X315">
        <v>4</v>
      </c>
      <c r="Y315">
        <v>4</v>
      </c>
      <c r="Z315">
        <v>0</v>
      </c>
      <c r="AA315">
        <v>0</v>
      </c>
      <c r="AB315">
        <v>2</v>
      </c>
      <c r="AC315">
        <v>4</v>
      </c>
      <c r="AD315">
        <v>3</v>
      </c>
      <c r="AE315">
        <f>IFERROR(6/(COUNTIF(Dyno_EndMatch[Match],TBA_Matches_All[[#This Row],[Match_Number]])),0)</f>
        <v>1</v>
      </c>
      <c r="AF315">
        <f>COUNTIFS(Dyno_Data[Team],TBA_Matches_All[[#This Row],[Team]],Dyno_Data[Match],TBA_Matches_All[[#This Row],[Match_Number]],Dyno_Data[RecordType],"EndMatch",Dyno_Data[HPAmp],"Y")</f>
        <v>0</v>
      </c>
      <c r="AG315">
        <f>SUMIFS(Dyno_Data[Mics], Dyno_Data[Team],TBA_Matches_All[[#This Row],[Team]],Dyno_Data[Match],TBA_Matches_All[[#This Row],[Match_Number]],Dyno_Data[RecordType],"EndMatch",Dyno_Data[HPAmp],"Y")</f>
        <v>0</v>
      </c>
      <c r="AH315">
        <f>SUMIFS(Dyno_Data[Leave], Dyno_Data[Team],TBA_Matches_All[[#This Row],[Team]],Dyno_Data[Match],TBA_Matches_All[[#This Row],[Match_Number]],Dyno_Data[RecordType],"EndAuto")</f>
        <v>1</v>
      </c>
      <c r="AI315">
        <f>COUNTIFS(Dyno_Data[Team],TBA_Matches_All[[#This Row],[Team]],Dyno_Data[Match],TBA_Matches_All[[#This Row],[Match_Number]],Dyno_Data[RecordType],"Activities",Dyno_Data[DelDest],"Amp", Dyno_Data[DelMiss],"0", Dyno_Data[Mode],"Auto")</f>
        <v>0</v>
      </c>
      <c r="AJ315">
        <f>COUNTIFS(Dyno_Data[Team],TBA_Matches_All[[#This Row],[Team]],Dyno_Data[Match],TBA_Matches_All[[#This Row],[Match_Number]],Dyno_Data[RecordType],"Activities",Dyno_Data[DelDest],"Spkr", Dyno_Data[DelMiss],"0", Dyno_Data[Mode],"Auto")</f>
        <v>0</v>
      </c>
      <c r="AK315">
        <f>COUNTIFS(Dyno_Data[Team],TBA_Matches_All[[#This Row],[Team]],Dyno_Data[Match],TBA_Matches_All[[#This Row],[Match_Number]],Dyno_Data[RecordType],"Activities",Dyno_Data[DelDest],"Trap", Dyno_Data[DelMiss],"0", Dyno_Data[Mode],"Auto")</f>
        <v>0</v>
      </c>
      <c r="AL315">
        <f>COUNTIFS(Dyno_Data[Team],TBA_Matches_All[[#This Row],[Team]],Dyno_Data[Match],TBA_Matches_All[[#This Row],[Match_Number]],Dyno_Data[RecordType],"Activities",Dyno_Data[DelDest],"Amp", Dyno_Data[DelMiss],"0", Dyno_Data[Mode],"Teleop")</f>
        <v>0</v>
      </c>
      <c r="AM315">
        <f>COUNTIFS(Dyno_Data[Team],TBA_Matches_All[[#This Row],[Team]],Dyno_Data[Match],TBA_Matches_All[[#This Row],[Match_Number]],Dyno_Data[RecordType],"Activities",Dyno_Data[DelDest],"Spkr", Dyno_Data[DelMiss],"0", Dyno_Data[Mode],"Teleop")</f>
        <v>0</v>
      </c>
      <c r="AN315">
        <f>COUNTIFS(Dyno_Data[Team],TBA_Matches_All[[#This Row],[Team]],Dyno_Data[Match],TBA_Matches_All[[#This Row],[Match_Number]],Dyno_Data[RecordType],"Activities",Dyno_Data[DelDest],"Trap", Dyno_Data[DelMiss],"0", Dyno_Data[Mode],"&lt;&gt;Auto")</f>
        <v>0</v>
      </c>
      <c r="AO315">
        <f>SUM(TBA_Matches_All[[#This Row],[AampT]]+TBA_Matches_All[[#This Row],[AspkrT]]+TBA_Matches_All[[#This Row],[AtrapT]]+TBA_Matches_All[[#This Row],[TampT]]+TBA_Matches_All[[#This Row],[TspkrT]]+TBA_Matches_All[[#This Row],[TtrapT]])</f>
        <v>0</v>
      </c>
      <c r="AP315">
        <f>COUNTIFS(Dyno_Data[Team],TBA_Matches_All[[#This Row],[Team]],Dyno_Data[Match],TBA_Matches_All[[#This Row],[Match_Number]],Dyno_Data[RecordType],"Activities",Dyno_Data[DelDest],"Neut", Dyno_Data[DelMiss],"0")</f>
        <v>0</v>
      </c>
      <c r="AQ315">
        <f>COUNTIFS(Dyno_Data[Team],TBA_Matches_All[[#This Row],[Team]],Dyno_Data[Match],TBA_Matches_All[[#This Row],[Match_Number]],Dyno_Data[RecordType],"Activities",Dyno_Data[DelDest],"AllyW", Dyno_Data[DelMiss],"0")</f>
        <v>0</v>
      </c>
      <c r="AR315" t="str">
        <f>_xlfn.XLOOKUP(SUM(MID(TBA_Matches_All[[#This Row],[Team]],4,5),(TBA_Matches_All[[#This Row],[Match_Number]]/100)),Dyno_EndMatch[teammat],Dyno_EndMatch[RobotSta],"_",0,1)</f>
        <v>Podm</v>
      </c>
      <c r="AS315">
        <f>SUMIFS(Dyno_Data[AcqDis], Dyno_Data[Team],TBA_Matches_All[[#This Row],[Team]],Dyno_Data[Match],TBA_Matches_All[[#This Row],[Match_Number]],Dyno_Data[RecordType],"Activities", Dyno_Data[AcqCenter],1,Dyno_Data[Mode],"Auto")</f>
        <v>0</v>
      </c>
      <c r="AT315">
        <f>SUMIFS(Dyno_Data[AcqDis], Dyno_Data[Team],TBA_Matches_All[[#This Row],[Team]],Dyno_Data[Match],TBA_Matches_All[[#This Row],[Match_Number]],Dyno_Data[RecordType],"Activities", Dyno_Data[AcqCenter],2,Dyno_Data[Mode],"Auto")</f>
        <v>0</v>
      </c>
      <c r="AU315">
        <f>SUMIFS(Dyno_Data[AcqDis], Dyno_Data[Team],TBA_Matches_All[[#This Row],[Team]],Dyno_Data[Match],TBA_Matches_All[[#This Row],[Match_Number]],Dyno_Data[RecordType],"Activities", Dyno_Data[AcqCenter],3,Dyno_Data[Mode],"Auto")</f>
        <v>0</v>
      </c>
      <c r="AV315">
        <f>SUMIFS(Dyno_Data[AcqDis], Dyno_Data[Team],TBA_Matches_All[[#This Row],[Team]],Dyno_Data[Match],TBA_Matches_All[[#This Row],[Match_Number]],Dyno_Data[RecordType],"Activities", Dyno_Data[AcqCenter],4,Dyno_Data[Mode],"Auto")</f>
        <v>0</v>
      </c>
      <c r="AW315">
        <f>SUMIFS(Dyno_Data[AcqDis], Dyno_Data[Team],TBA_Matches_All[[#This Row],[Team]],Dyno_Data[Match],TBA_Matches_All[[#This Row],[Match_Number]],Dyno_Data[RecordType],"Activities", Dyno_Data[AcqCenter],5,Dyno_Data[Mode],"Auto")</f>
        <v>0</v>
      </c>
      <c r="AX315">
        <f>SUMIFS(Dyno_Data[DelMiss], Dyno_Data[Team],TBA_Matches_All[[#This Row],[Team]],Dyno_Data[Match],TBA_Matches_All[[#This Row],[Match_Number]],Dyno_Data[RecordType],"Activities", Dyno_Data[DelDest],"Amp")</f>
        <v>1</v>
      </c>
      <c r="AY315" s="60">
        <f>IFERROR(SUM((TBA_Matches_All[[#This Row],[AampT]]+TBA_Matches_All[[#This Row],[TampT]])/(TBA_Matches_All[[#This Row],[AampT]]+TBA_Matches_All[[#This Row],[TampT]]+TBA_Matches_All[[#This Row],[ampM]])),0)</f>
        <v>0</v>
      </c>
      <c r="AZ315">
        <f>SUMIFS(Dyno_Data[DelMiss], Dyno_Data[Team],TBA_Matches_All[[#This Row],[Team]],Dyno_Data[Match],TBA_Matches_All[[#This Row],[Match_Number]],Dyno_Data[RecordType],"Activities", Dyno_Data[DelDest],"Spkr")</f>
        <v>0</v>
      </c>
      <c r="BA315" s="60">
        <f>IFERROR(SUM((TBA_Matches_All[[#This Row],[AspkrT]]+TBA_Matches_All[[#This Row],[TspkrT]])/(TBA_Matches_All[[#This Row],[AspkrT]]+TBA_Matches_All[[#This Row],[TspkrT]]+TBA_Matches_All[[#This Row],[spkrM]])),0)</f>
        <v>0</v>
      </c>
      <c r="BB315">
        <f>SUMIFS(Dyno_Data[DelMiss], Dyno_Data[Team],TBA_Matches_All[[#This Row],[Team]],Dyno_Data[Match],TBA_Matches_All[[#This Row],[Match_Number]],Dyno_Data[RecordType],"Activities", Dyno_Data[DelDest],"Trap")</f>
        <v>0</v>
      </c>
      <c r="BC315" s="60">
        <f>IFERROR((TBA_Matches_All[[#This Row],[AtrapT]]+TBA_Matches_All[[#This Row],[TtrapT]])/(TBA_Matches_All[[#This Row],[AtrapT]]+TBA_Matches_All[[#This Row],[TtrapT]]+TBA_Matches_All[[#This Row],[trapM]]),0)</f>
        <v>0</v>
      </c>
      <c r="BD315">
        <f>COUNTIFS(Dyno_Data[Team],TBA_Matches_All[[#This Row],[Team]],Dyno_Data[Match],TBA_Matches_All[[#This Row],[Match_Number]],Dyno_Data[RecordType],"Activities",Dyno_Data[DelDest],"Neut", Dyno_Data[DelMiss],1)</f>
        <v>0</v>
      </c>
      <c r="BE315" s="60">
        <f>IFERROR(SUM((TBA_Matches_All[[#This Row],[NeutFlrT]])/(TBA_Matches_All[[#This Row],[NeutFlrT]]+TBA_Matches_All[[#This Row],[NZflM]])),0)</f>
        <v>0</v>
      </c>
      <c r="BF315">
        <f>COUNTIFS(Dyno_Data[Team],TBA_Matches_All[[#This Row],[Team]],Dyno_Data[Match],TBA_Matches_All[[#This Row],[Match_Number]],Dyno_Data[RecordType],"Activities",Dyno_Data[DelDest],"AllyW", Dyno_Data[DelMiss],1)</f>
        <v>0</v>
      </c>
      <c r="BG315" s="60">
        <f>IFERROR(SUM((TBA_Matches_All[[#This Row],[AllyWFlrT]])/(TBA_Matches_All[[#This Row],[AllyWFlrT]]+TBA_Matches_All[[#This Row],[AZflM]])),0)</f>
        <v>0</v>
      </c>
      <c r="BH315">
        <f>COUNTIFS(Dyno_Data[Team],TBA_Matches_All[[#This Row],[Team]],Dyno_Data[Match],TBA_Matches_All[[#This Row],[Match_Number]],Dyno_Data[RecordType],"Activities",Dyno_Data[DelOrig],"OppW", Dyno_Data[DelMiss],"0")</f>
        <v>0</v>
      </c>
      <c r="BI315">
        <f>COUNTIFS(Dyno_Data[Team],TBA_Matches_All[[#This Row],[Team]],Dyno_Data[Match],TBA_Matches_All[[#This Row],[Match_Number]],Dyno_Data[RecordType],"Activities",Dyno_Data[DelOrig],"OppW", Dyno_Data[DelMiss],"1")</f>
        <v>0</v>
      </c>
      <c r="BJ315" s="60">
        <f>IFERROR(SUM((TBA_Matches_All[[#This Row],[OZflrT]])/(TBA_Matches_All[[#This Row],[OZflrT]]+TBA_Matches_All[[#This Row],[OZflrM]])),0)</f>
        <v>0</v>
      </c>
      <c r="BK315">
        <f>COUNTIFS(Dyno_Data[Team],TBA_Matches_All[[#This Row],[Team]],Dyno_Data[Match],TBA_Matches_All[[#This Row],[Match_Number]],Dyno_Data[RecordType],"Activities",Dyno_Data[DelOrig],"Neut", Dyno_Data[DelMiss],"0")</f>
        <v>0</v>
      </c>
      <c r="BL315">
        <f>COUNTIFS(Dyno_Data[Team],TBA_Matches_All[[#This Row],[Team]],Dyno_Data[Match],TBA_Matches_All[[#This Row],[Match_Number]],Dyno_Data[RecordType],"Activities",Dyno_Data[DelOrig],"Neut", Dyno_Data[DelMiss],"1")</f>
        <v>0</v>
      </c>
      <c r="BM315" s="60">
        <f>IFERROR(SUM((TBA_Matches_All[[#This Row],[NZflrT]])/(TBA_Matches_All[[#This Row],[NZflrT]]+TBA_Matches_All[[#This Row],[NZflrM]])),0)</f>
        <v>0</v>
      </c>
      <c r="BN315">
        <f>COUNTIFS(Dyno_Data[Team],TBA_Matches_All[[#This Row],[Team]],Dyno_Data[Match],TBA_Matches_All[[#This Row],[Match_Number]],Dyno_Data[RecordType],"Activities",Dyno_Data[DelOrig],"AllyW", Dyno_Data[DelMiss],"0")</f>
        <v>0</v>
      </c>
      <c r="BO315">
        <f>COUNTIFS(Dyno_Data[Team],TBA_Matches_All[[#This Row],[Team]],Dyno_Data[Match],TBA_Matches_All[[#This Row],[Match_Number]],Dyno_Data[RecordType],"Activities",Dyno_Data[DelOrig],"AllyW", Dyno_Data[DelMiss],"1")</f>
        <v>1</v>
      </c>
      <c r="BP315" s="60">
        <f>IFERROR(SUM((TBA_Matches_All[[#This Row],[AZflrT]])/(TBA_Matches_All[[#This Row],[AZflrT]]+TBA_Matches_All[[#This Row],[AZflrM]])),0)</f>
        <v>0</v>
      </c>
      <c r="BQ315">
        <f>COUNTIFS(Dyno_Data[Team],TBA_Matches_All[[#This Row],[Team]],Dyno_Data[Match],TBA_Matches_All[[#This Row],[Match_Number]],Dyno_Data[RecordType],"Activities",Dyno_Data[DelOrig],"SubW", Dyno_Data[DelMiss],"0")</f>
        <v>0</v>
      </c>
      <c r="BR315">
        <f>COUNTIFS(Dyno_Data[Team],TBA_Matches_All[[#This Row],[Team]],Dyno_Data[Match],TBA_Matches_All[[#This Row],[Match_Number]],Dyno_Data[RecordType],"Activities",Dyno_Data[DelOrig],"SubW", Dyno_Data[DelMiss],"1")</f>
        <v>0</v>
      </c>
      <c r="BS315" s="60">
        <f>IFERROR(SUM((TBA_Matches_All[[#This Row],[SubwT]])/(TBA_Matches_All[[#This Row],[SubwT]]+TBA_Matches_All[[#This Row],[SubwM]])),0)</f>
        <v>0</v>
      </c>
      <c r="BT315">
        <f>COUNTIFS(Dyno_Data[Team],TBA_Matches_All[[#This Row],[Team]],Dyno_Data[Match],TBA_Matches_All[[#This Row],[Match_Number]],Dyno_Data[RecordType],"Activities", Dyno_Data[AcqLoc],"OppWing")</f>
        <v>0</v>
      </c>
      <c r="BU315">
        <f>COUNTIFS(Dyno_Data[Team],TBA_Matches_All[[#This Row],[Team]],Dyno_Data[Match],TBA_Matches_All[[#This Row],[Match_Number]],Dyno_Data[RecordType],"Activities", Dyno_Data[AcqLoc],"Neutral")</f>
        <v>0</v>
      </c>
      <c r="BV315">
        <f>COUNTIFS(Dyno_Data[Team],TBA_Matches_All[[#This Row],[Team]],Dyno_Data[Match],TBA_Matches_All[[#This Row],[Match_Number]],Dyno_Data[RecordType],"Activities", Dyno_Data[AcqLoc],"AllyWing")</f>
        <v>0</v>
      </c>
      <c r="BW315">
        <f>COUNTIFS(Dyno_Data[Team],TBA_Matches_All[[#This Row],[Team]],Dyno_Data[Match],TBA_Matches_All[[#This Row],[Match_Number]],Dyno_Data[RecordType],"Activities", Dyno_Data[AcqLoc],"Source")</f>
        <v>0</v>
      </c>
      <c r="BX315">
        <f>SUMIFS(Dyno_Data[AcqDrp], Dyno_Data[Team],TBA_Matches_All[[#This Row],[Team]],Dyno_Data[Match],TBA_Matches_All[[#This Row],[Match_Number]],Dyno_Data[RecordType],"Activities", Dyno_Data[AcqLoc],"Source")</f>
        <v>0</v>
      </c>
      <c r="BY315">
        <f>SUMIFS(Dyno_Data[OZTime], Dyno_Data[Team],TBA_Matches_All[[#This Row],[Team]],Dyno_Data[Match],TBA_Matches_All[[#This Row],[Match_Number]],Dyno_Data[RecordType],"EndMatch")</f>
        <v>0</v>
      </c>
      <c r="BZ315">
        <f>SUMIFS(Dyno_Data[NZTime], Dyno_Data[Team],TBA_Matches_All[[#This Row],[Team]],Dyno_Data[Match],TBA_Matches_All[[#This Row],[Match_Number]],Dyno_Data[RecordType],"EndMatch")</f>
        <v>0</v>
      </c>
      <c r="CA315">
        <f>SUMIFS(Dyno_Data[AZTime], Dyno_Data[Team],TBA_Matches_All[[#This Row],[Team]],Dyno_Data[Match],TBA_Matches_All[[#This Row],[Match_Number]],Dyno_Data[RecordType],"EndMatch")</f>
        <v>126.87142179999999</v>
      </c>
      <c r="CB315">
        <f>SUMIFS(Dyno_Data[ClimbT], Dyno_Data[Team],TBA_Matches_All[[#This Row],[Team]],Dyno_Data[Match],TBA_Matches_All[[#This Row],[Match_Number]],Dyno_Data[RecordType],"EndMatch")</f>
        <v>7.0061968999999999</v>
      </c>
      <c r="CC315" t="str">
        <f>_xlfn.XLOOKUP(SUM(MID(TBA_Matches_All[[#This Row],[Team]],4,5),(TBA_Matches_All[[#This Row],[Match_Number]]/100)),Dyno_EndMatch[teammat],Dyno_EndMatch[StageStat],"_",0,1)</f>
        <v>Park</v>
      </c>
      <c r="CD315" t="str">
        <f>_xlfn.XLOOKUP(TBA_Matches_All[[#This Row],[teammat]],Dyno_EndMatch[teammat],Dyno_EndMatch[StageAtt],"_",0,1)</f>
        <v>-1</v>
      </c>
      <c r="CE315" t="str">
        <f>_xlfn.XLOOKUP(TBA_Matches_All[[#This Row],[teammat]],Dyno_EndMatch[teammat],Dyno_EndMatch[StageLoc],"_",0,1)</f>
        <v>A</v>
      </c>
      <c r="CF315">
        <f>SUMIFS(Dyno_Data[Harmony], Dyno_Data[Team],TBA_Matches_All[[#This Row],[Team]],Dyno_Data[Match],TBA_Matches_All[[#This Row],[Match_Number]],Dyno_Data[RecordType],"EndMatch", Dyno_Data[StageStat],"On",Dyno_Data[Harmony],"&lt;&gt;9")</f>
        <v>0</v>
      </c>
      <c r="CG315">
        <f>SUMIFS(Dyno_Data[Spotlit], Dyno_Data[Team],TBA_Matches_All[[#This Row],[Team]],Dyno_Data[Match],TBA_Matches_All[[#This Row],[Match_Number]],Dyno_Data[RecordType],"EndMatch", Dyno_Data[StageStat],"On",Dyno_Data[Spotlit],"&lt;&gt;9")</f>
        <v>0</v>
      </c>
      <c r="CH315" t="str">
        <f>_xlfn.XLOOKUP(TBA_Matches_All[[#This Row],[teammat]],Dyno_EndMatch[teammat],Dyno_EndMatch[Strategy],"_",0,1)</f>
        <v>Defense</v>
      </c>
      <c r="CI315">
        <f>SUMIFS(Dyno_Data[Defense], Dyno_Data[Team],TBA_Matches_All[[#This Row],[Team]],Dyno_Data[Match],TBA_Matches_All[[#This Row],[Match_Number]],Dyno_Data[RecordType],"EndMatch",Dyno_Data[Defense],"&lt;&gt;9")</f>
        <v>3</v>
      </c>
      <c r="CJ315">
        <f>SUMIFS(Dyno_Data[Avoidance], Dyno_Data[Team],TBA_Matches_All[[#This Row],[Team]],Dyno_Data[Match],TBA_Matches_All[[#This Row],[Match_Number]],Dyno_Data[RecordType],"EndMatch",Dyno_Data[Avoidance],"&lt;&gt;9")</f>
        <v>0</v>
      </c>
      <c r="CK315" s="82">
        <f>COUNTIF($H$2:TBA_Matches_All[[#This Row],[Team]],TBA_Matches_All[[#This Row],[Team]])</f>
        <v>7</v>
      </c>
      <c r="CL315" s="111">
        <f>SUM(MID(TBA_Matches_All[[#This Row],[Team]],4,5)+TBA_Matches_All[[#This Row],[Match_Number]]/100)</f>
        <v>229.53</v>
      </c>
      <c r="CM315">
        <f>SUM((TBA_Matches_All[[#This Row],[Leave]]*2)+(TBA_Matches_All[[#This Row],[AampT]]*2)+(TBA_Matches_All[[#This Row],[AspkrT]]*5)+(TBA_Matches_All[[#This Row],[AtrapT]]*5))</f>
        <v>2</v>
      </c>
      <c r="CN315" s="59">
        <f>IFERROR(SUM(TBA_Matches_All[[#This Row],[AptsT]]/TBA_Matches_All[[#This Row],[AutoPts]]),0)</f>
        <v>0.33333333333333331</v>
      </c>
      <c r="CO315" s="59">
        <f>IFERROR(SUM(TBA_Matches_All[[#This Row],[AampT]]+TBA_Matches_All[[#This Row],[AspkrT]]+TBA_Matches_All[[#This Row],[AtrapT]]/TBA_Matches_All[[#This Row],[Aamp]]+TBA_Matches_All[[#This Row],[Aspkr]]+TBA_Matches_All[[#This Row],[AtrapT]]),0)</f>
        <v>0</v>
      </c>
      <c r="CP315" s="59">
        <f>IFERROR(SUM(TBA_Matches_All[[#This Row],[TampT]]/TBA_Matches_All[[#This Row],[Tamp]]),0)</f>
        <v>0</v>
      </c>
      <c r="CQ315" s="59">
        <f>IFERROR(SUM(TBA_Matches_All[[#This Row],[TspkrT]]/TBA_Matches_All[[#This Row],[Tspkr]]),0)</f>
        <v>0</v>
      </c>
      <c r="CR315">
        <f>SUM(TBA_Matches_All[[#This Row],[TspkrPts]]*TBA_Matches_All[[#This Row],[TspkrP]])</f>
        <v>0</v>
      </c>
      <c r="CS315" s="59">
        <f>IFERROR(SUM(TBA_Matches_All[[#This Row],[TtrapT]]/TBA_Matches_All[[#This Row],[Trap]]),0)</f>
        <v>0</v>
      </c>
      <c r="CT315" s="59">
        <f>IFERROR(SUM(TBA_Matches_All[[#This Row],[TotNotesT]]/TBA_Matches_All[[#This Row],[TotNotes]]),0)</f>
        <v>0</v>
      </c>
      <c r="CU315" s="66">
        <f>SUM((TBA_Matches_All[[#This Row],[AampT]]*2)+(TBA_Matches_All[[#This Row],[AspkrT]]*5)+(TBA_Matches_All[[#This Row],[AtrapT]]*5)+(TBA_Matches_All[[#This Row],[TampT]]*1)+(TBA_Matches_All[[#This Row],[TspkrptsC]]))</f>
        <v>0</v>
      </c>
      <c r="CV315" s="59">
        <f>IFERROR(TBA_Matches_All[[#This Row],[noteptsT]]/TBA_Matches_All[[#This Row],[NotePts]],0)</f>
        <v>0</v>
      </c>
      <c r="CW315">
        <f>SUM(IF(TBA_Matches_All[[#This Row],[stageStat]]="On",3,0),IF(TBA_Matches_All[[#This Row],[stageStat]]="Park",1,0),SUMIFS(TBA_Matches_All[[#This Row],[Spotlit]],TBA_Matches_All[[#This Row],[stageStat]],"On"),SUMIFS(TBA_Matches_All[[#This Row],[Harmony]],TBA_Matches_All[[#This Row],[stageStat]],"On"))</f>
        <v>1</v>
      </c>
      <c r="CX315" s="59">
        <f>IFERROR(TBA_Matches_All[[#This Row],[stageptsT]]/TBA_Matches_All[[#This Row],[StagePts]],0)</f>
        <v>0.33333333333333331</v>
      </c>
      <c r="CY315">
        <f>SUM((TBA_Matches_All[[#This Row],[AptsT]]+TBA_Matches_All[[#This Row],[TampT]]+TBA_Matches_All[[#This Row],[TspkrptsC]]+(TBA_Matches_All[[#This Row],[TtrapT]]*5)+TBA_Matches_All[[#This Row],[stageptsT]]))</f>
        <v>3</v>
      </c>
      <c r="CZ315" s="59">
        <f>IFERROR(SUM(TBA_Matches_All[[#This Row],[TotptsC]]/TBA_Matches_All[[#This Row],[Score]]),0)</f>
        <v>0.2</v>
      </c>
      <c r="DA31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15" s="74">
        <f>SUMIFS(TBA_Matches_All[AveTeamTNoteDels],TBA_Matches_All[Match_Number],TBA_Matches_All[[#This Row],[Match_Number]],TBA_Matches_All[Alliance],"&lt;&gt;"&amp;TBA_Matches_All[[#This Row],[Alliance]],TBA_Matches_All[Scouted],"&gt;0")</f>
        <v>41.782878787878786</v>
      </c>
      <c r="DC315" s="74">
        <f>(TBA_Matches_All[[#This Row],[TampT]]+TBA_Matches_All[[#This Row],[TspkrptsC]])-TBA_Matches_All[[#This Row],[AveTeamTNoteDels]]</f>
        <v>0</v>
      </c>
      <c r="DD315" s="74">
        <f>SUMIFS(TBA_Matches_All[AveTeamTNoteDels],TBA_Matches_All[Match_Number],TBA_Matches_All[[#This Row],[Match_Number]],TBA_Matches_All[Alliance],"&lt;&gt;"&amp;TBA_Matches_All[[#This Row],[Alliance]])-TBA_Matches_All[[#This Row],[AveOppTNoteDels]]</f>
        <v>0</v>
      </c>
    </row>
    <row r="316" spans="1:108" x14ac:dyDescent="0.3">
      <c r="A316" t="s">
        <v>1042</v>
      </c>
      <c r="B316" t="s">
        <v>489</v>
      </c>
      <c r="C316" t="s">
        <v>1362</v>
      </c>
      <c r="D316">
        <v>53</v>
      </c>
      <c r="E316" t="s">
        <v>1406</v>
      </c>
      <c r="F316" t="s">
        <v>1424</v>
      </c>
      <c r="G316" t="s">
        <v>1409</v>
      </c>
      <c r="H316" t="s">
        <v>366</v>
      </c>
      <c r="I316" t="b">
        <v>0</v>
      </c>
      <c r="J316">
        <v>101</v>
      </c>
      <c r="K316">
        <v>1</v>
      </c>
      <c r="L316">
        <v>0</v>
      </c>
      <c r="M316">
        <v>2</v>
      </c>
      <c r="N316">
        <v>0</v>
      </c>
      <c r="O316">
        <v>4</v>
      </c>
      <c r="P316">
        <v>20</v>
      </c>
      <c r="Q316">
        <v>24</v>
      </c>
      <c r="R316">
        <v>9</v>
      </c>
      <c r="S316">
        <v>9</v>
      </c>
      <c r="T316">
        <v>5</v>
      </c>
      <c r="U316">
        <v>45</v>
      </c>
      <c r="V316">
        <v>10</v>
      </c>
      <c r="W316">
        <v>14</v>
      </c>
      <c r="X316">
        <v>55</v>
      </c>
      <c r="Y316">
        <v>64</v>
      </c>
      <c r="Z316">
        <v>0</v>
      </c>
      <c r="AA316">
        <v>0</v>
      </c>
      <c r="AB316">
        <v>27</v>
      </c>
      <c r="AC316">
        <v>84</v>
      </c>
      <c r="AD316">
        <v>3</v>
      </c>
      <c r="AE316">
        <f>IFERROR(6/(COUNTIF(Dyno_EndMatch[Match],TBA_Matches_All[[#This Row],[Match_Number]])),0)</f>
        <v>1</v>
      </c>
      <c r="AF316">
        <f>COUNTIFS(Dyno_Data[Team],TBA_Matches_All[[#This Row],[Team]],Dyno_Data[Match],TBA_Matches_All[[#This Row],[Match_Number]],Dyno_Data[RecordType],"EndMatch",Dyno_Data[HPAmp],"Y")</f>
        <v>0</v>
      </c>
      <c r="AG316">
        <f>SUMIFS(Dyno_Data[Mics], Dyno_Data[Team],TBA_Matches_All[[#This Row],[Team]],Dyno_Data[Match],TBA_Matches_All[[#This Row],[Match_Number]],Dyno_Data[RecordType],"EndMatch",Dyno_Data[HPAmp],"Y")</f>
        <v>0</v>
      </c>
      <c r="AH316">
        <f>SUMIFS(Dyno_Data[Leave], Dyno_Data[Team],TBA_Matches_All[[#This Row],[Team]],Dyno_Data[Match],TBA_Matches_All[[#This Row],[Match_Number]],Dyno_Data[RecordType],"EndAuto")</f>
        <v>0</v>
      </c>
      <c r="AI316">
        <f>COUNTIFS(Dyno_Data[Team],TBA_Matches_All[[#This Row],[Team]],Dyno_Data[Match],TBA_Matches_All[[#This Row],[Match_Number]],Dyno_Data[RecordType],"Activities",Dyno_Data[DelDest],"Amp", Dyno_Data[DelMiss],"0", Dyno_Data[Mode],"Auto")</f>
        <v>0</v>
      </c>
      <c r="AJ316">
        <f>COUNTIFS(Dyno_Data[Team],TBA_Matches_All[[#This Row],[Team]],Dyno_Data[Match],TBA_Matches_All[[#This Row],[Match_Number]],Dyno_Data[RecordType],"Activities",Dyno_Data[DelDest],"Spkr", Dyno_Data[DelMiss],"0", Dyno_Data[Mode],"Auto")</f>
        <v>1</v>
      </c>
      <c r="AK316">
        <f>COUNTIFS(Dyno_Data[Team],TBA_Matches_All[[#This Row],[Team]],Dyno_Data[Match],TBA_Matches_All[[#This Row],[Match_Number]],Dyno_Data[RecordType],"Activities",Dyno_Data[DelDest],"Trap", Dyno_Data[DelMiss],"0", Dyno_Data[Mode],"Auto")</f>
        <v>0</v>
      </c>
      <c r="AL316">
        <f>COUNTIFS(Dyno_Data[Team],TBA_Matches_All[[#This Row],[Team]],Dyno_Data[Match],TBA_Matches_All[[#This Row],[Match_Number]],Dyno_Data[RecordType],"Activities",Dyno_Data[DelDest],"Amp", Dyno_Data[DelMiss],"0", Dyno_Data[Mode],"Teleop")</f>
        <v>0</v>
      </c>
      <c r="AM316">
        <f>COUNTIFS(Dyno_Data[Team],TBA_Matches_All[[#This Row],[Team]],Dyno_Data[Match],TBA_Matches_All[[#This Row],[Match_Number]],Dyno_Data[RecordType],"Activities",Dyno_Data[DelDest],"Spkr", Dyno_Data[DelMiss],"0", Dyno_Data[Mode],"Teleop")</f>
        <v>2</v>
      </c>
      <c r="AN316">
        <f>COUNTIFS(Dyno_Data[Team],TBA_Matches_All[[#This Row],[Team]],Dyno_Data[Match],TBA_Matches_All[[#This Row],[Match_Number]],Dyno_Data[RecordType],"Activities",Dyno_Data[DelDest],"Trap", Dyno_Data[DelMiss],"0", Dyno_Data[Mode],"&lt;&gt;Auto")</f>
        <v>0</v>
      </c>
      <c r="AO316">
        <f>SUM(TBA_Matches_All[[#This Row],[AampT]]+TBA_Matches_All[[#This Row],[AspkrT]]+TBA_Matches_All[[#This Row],[AtrapT]]+TBA_Matches_All[[#This Row],[TampT]]+TBA_Matches_All[[#This Row],[TspkrT]]+TBA_Matches_All[[#This Row],[TtrapT]])</f>
        <v>3</v>
      </c>
      <c r="AP316">
        <f>COUNTIFS(Dyno_Data[Team],TBA_Matches_All[[#This Row],[Team]],Dyno_Data[Match],TBA_Matches_All[[#This Row],[Match_Number]],Dyno_Data[RecordType],"Activities",Dyno_Data[DelDest],"Neut", Dyno_Data[DelMiss],"0")</f>
        <v>0</v>
      </c>
      <c r="AQ316">
        <f>COUNTIFS(Dyno_Data[Team],TBA_Matches_All[[#This Row],[Team]],Dyno_Data[Match],TBA_Matches_All[[#This Row],[Match_Number]],Dyno_Data[RecordType],"Activities",Dyno_Data[DelDest],"AllyW", Dyno_Data[DelMiss],"0")</f>
        <v>9</v>
      </c>
      <c r="AR316" t="str">
        <f>_xlfn.XLOOKUP(SUM(MID(TBA_Matches_All[[#This Row],[Team]],4,5),(TBA_Matches_All[[#This Row],[Match_Number]]/100)),Dyno_EndMatch[teammat],Dyno_EndMatch[RobotSta],"_",0,1)</f>
        <v>Amp</v>
      </c>
      <c r="AS316">
        <f>SUMIFS(Dyno_Data[AcqDis], Dyno_Data[Team],TBA_Matches_All[[#This Row],[Team]],Dyno_Data[Match],TBA_Matches_All[[#This Row],[Match_Number]],Dyno_Data[RecordType],"Activities", Dyno_Data[AcqCenter],1,Dyno_Data[Mode],"Auto")</f>
        <v>0</v>
      </c>
      <c r="AT316">
        <f>SUMIFS(Dyno_Data[AcqDis], Dyno_Data[Team],TBA_Matches_All[[#This Row],[Team]],Dyno_Data[Match],TBA_Matches_All[[#This Row],[Match_Number]],Dyno_Data[RecordType],"Activities", Dyno_Data[AcqCenter],2,Dyno_Data[Mode],"Auto")</f>
        <v>0</v>
      </c>
      <c r="AU316">
        <f>SUMIFS(Dyno_Data[AcqDis], Dyno_Data[Team],TBA_Matches_All[[#This Row],[Team]],Dyno_Data[Match],TBA_Matches_All[[#This Row],[Match_Number]],Dyno_Data[RecordType],"Activities", Dyno_Data[AcqCenter],3,Dyno_Data[Mode],"Auto")</f>
        <v>0</v>
      </c>
      <c r="AV316">
        <f>SUMIFS(Dyno_Data[AcqDis], Dyno_Data[Team],TBA_Matches_All[[#This Row],[Team]],Dyno_Data[Match],TBA_Matches_All[[#This Row],[Match_Number]],Dyno_Data[RecordType],"Activities", Dyno_Data[AcqCenter],4,Dyno_Data[Mode],"Auto")</f>
        <v>0</v>
      </c>
      <c r="AW316">
        <f>SUMIFS(Dyno_Data[AcqDis], Dyno_Data[Team],TBA_Matches_All[[#This Row],[Team]],Dyno_Data[Match],TBA_Matches_All[[#This Row],[Match_Number]],Dyno_Data[RecordType],"Activities", Dyno_Data[AcqCenter],5,Dyno_Data[Mode],"Auto")</f>
        <v>0</v>
      </c>
      <c r="AX316">
        <f>SUMIFS(Dyno_Data[DelMiss], Dyno_Data[Team],TBA_Matches_All[[#This Row],[Team]],Dyno_Data[Match],TBA_Matches_All[[#This Row],[Match_Number]],Dyno_Data[RecordType],"Activities", Dyno_Data[DelDest],"Amp")</f>
        <v>0</v>
      </c>
      <c r="AY316" s="60">
        <f>IFERROR(SUM((TBA_Matches_All[[#This Row],[AampT]]+TBA_Matches_All[[#This Row],[TampT]])/(TBA_Matches_All[[#This Row],[AampT]]+TBA_Matches_All[[#This Row],[TampT]]+TBA_Matches_All[[#This Row],[ampM]])),0)</f>
        <v>0</v>
      </c>
      <c r="AZ316">
        <f>SUMIFS(Dyno_Data[DelMiss], Dyno_Data[Team],TBA_Matches_All[[#This Row],[Team]],Dyno_Data[Match],TBA_Matches_All[[#This Row],[Match_Number]],Dyno_Data[RecordType],"Activities", Dyno_Data[DelDest],"Spkr")</f>
        <v>0</v>
      </c>
      <c r="BA316" s="60">
        <f>IFERROR(SUM((TBA_Matches_All[[#This Row],[AspkrT]]+TBA_Matches_All[[#This Row],[TspkrT]])/(TBA_Matches_All[[#This Row],[AspkrT]]+TBA_Matches_All[[#This Row],[TspkrT]]+TBA_Matches_All[[#This Row],[spkrM]])),0)</f>
        <v>1</v>
      </c>
      <c r="BB316">
        <f>SUMIFS(Dyno_Data[DelMiss], Dyno_Data[Team],TBA_Matches_All[[#This Row],[Team]],Dyno_Data[Match],TBA_Matches_All[[#This Row],[Match_Number]],Dyno_Data[RecordType],"Activities", Dyno_Data[DelDest],"Trap")</f>
        <v>0</v>
      </c>
      <c r="BC316" s="60">
        <f>IFERROR((TBA_Matches_All[[#This Row],[AtrapT]]+TBA_Matches_All[[#This Row],[TtrapT]])/(TBA_Matches_All[[#This Row],[AtrapT]]+TBA_Matches_All[[#This Row],[TtrapT]]+TBA_Matches_All[[#This Row],[trapM]]),0)</f>
        <v>0</v>
      </c>
      <c r="BD316">
        <f>COUNTIFS(Dyno_Data[Team],TBA_Matches_All[[#This Row],[Team]],Dyno_Data[Match],TBA_Matches_All[[#This Row],[Match_Number]],Dyno_Data[RecordType],"Activities",Dyno_Data[DelDest],"Neut", Dyno_Data[DelMiss],1)</f>
        <v>0</v>
      </c>
      <c r="BE316" s="60">
        <f>IFERROR(SUM((TBA_Matches_All[[#This Row],[NeutFlrT]])/(TBA_Matches_All[[#This Row],[NeutFlrT]]+TBA_Matches_All[[#This Row],[NZflM]])),0)</f>
        <v>0</v>
      </c>
      <c r="BF316">
        <f>COUNTIFS(Dyno_Data[Team],TBA_Matches_All[[#This Row],[Team]],Dyno_Data[Match],TBA_Matches_All[[#This Row],[Match_Number]],Dyno_Data[RecordType],"Activities",Dyno_Data[DelDest],"AllyW", Dyno_Data[DelMiss],1)</f>
        <v>3</v>
      </c>
      <c r="BG316" s="60">
        <f>IFERROR(SUM((TBA_Matches_All[[#This Row],[AllyWFlrT]])/(TBA_Matches_All[[#This Row],[AllyWFlrT]]+TBA_Matches_All[[#This Row],[AZflM]])),0)</f>
        <v>0.75</v>
      </c>
      <c r="BH316">
        <f>COUNTIFS(Dyno_Data[Team],TBA_Matches_All[[#This Row],[Team]],Dyno_Data[Match],TBA_Matches_All[[#This Row],[Match_Number]],Dyno_Data[RecordType],"Activities",Dyno_Data[DelOrig],"OppW", Dyno_Data[DelMiss],"0")</f>
        <v>1</v>
      </c>
      <c r="BI316">
        <f>COUNTIFS(Dyno_Data[Team],TBA_Matches_All[[#This Row],[Team]],Dyno_Data[Match],TBA_Matches_All[[#This Row],[Match_Number]],Dyno_Data[RecordType],"Activities",Dyno_Data[DelOrig],"OppW", Dyno_Data[DelMiss],"1")</f>
        <v>0</v>
      </c>
      <c r="BJ316" s="60">
        <f>IFERROR(SUM((TBA_Matches_All[[#This Row],[OZflrT]])/(TBA_Matches_All[[#This Row],[OZflrT]]+TBA_Matches_All[[#This Row],[OZflrM]])),0)</f>
        <v>1</v>
      </c>
      <c r="BK316">
        <f>COUNTIFS(Dyno_Data[Team],TBA_Matches_All[[#This Row],[Team]],Dyno_Data[Match],TBA_Matches_All[[#This Row],[Match_Number]],Dyno_Data[RecordType],"Activities",Dyno_Data[DelOrig],"Neut", Dyno_Data[DelMiss],"0")</f>
        <v>9</v>
      </c>
      <c r="BL316">
        <f>COUNTIFS(Dyno_Data[Team],TBA_Matches_All[[#This Row],[Team]],Dyno_Data[Match],TBA_Matches_All[[#This Row],[Match_Number]],Dyno_Data[RecordType],"Activities",Dyno_Data[DelOrig],"Neut", Dyno_Data[DelMiss],"1")</f>
        <v>2</v>
      </c>
      <c r="BM316" s="60">
        <f>IFERROR(SUM((TBA_Matches_All[[#This Row],[NZflrT]])/(TBA_Matches_All[[#This Row],[NZflrT]]+TBA_Matches_All[[#This Row],[NZflrM]])),0)</f>
        <v>0.81818181818181823</v>
      </c>
      <c r="BN316">
        <f>COUNTIFS(Dyno_Data[Team],TBA_Matches_All[[#This Row],[Team]],Dyno_Data[Match],TBA_Matches_All[[#This Row],[Match_Number]],Dyno_Data[RecordType],"Activities",Dyno_Data[DelOrig],"AllyW", Dyno_Data[DelMiss],"0")</f>
        <v>1</v>
      </c>
      <c r="BO316">
        <f>COUNTIFS(Dyno_Data[Team],TBA_Matches_All[[#This Row],[Team]],Dyno_Data[Match],TBA_Matches_All[[#This Row],[Match_Number]],Dyno_Data[RecordType],"Activities",Dyno_Data[DelOrig],"AllyW", Dyno_Data[DelMiss],"1")</f>
        <v>1</v>
      </c>
      <c r="BP316" s="60">
        <f>IFERROR(SUM((TBA_Matches_All[[#This Row],[AZflrT]])/(TBA_Matches_All[[#This Row],[AZflrT]]+TBA_Matches_All[[#This Row],[AZflrM]])),0)</f>
        <v>0.5</v>
      </c>
      <c r="BQ316">
        <f>COUNTIFS(Dyno_Data[Team],TBA_Matches_All[[#This Row],[Team]],Dyno_Data[Match],TBA_Matches_All[[#This Row],[Match_Number]],Dyno_Data[RecordType],"Activities",Dyno_Data[DelOrig],"SubW", Dyno_Data[DelMiss],"0")</f>
        <v>1</v>
      </c>
      <c r="BR316">
        <f>COUNTIFS(Dyno_Data[Team],TBA_Matches_All[[#This Row],[Team]],Dyno_Data[Match],TBA_Matches_All[[#This Row],[Match_Number]],Dyno_Data[RecordType],"Activities",Dyno_Data[DelOrig],"SubW", Dyno_Data[DelMiss],"1")</f>
        <v>0</v>
      </c>
      <c r="BS316" s="60">
        <f>IFERROR(SUM((TBA_Matches_All[[#This Row],[SubwT]])/(TBA_Matches_All[[#This Row],[SubwT]]+TBA_Matches_All[[#This Row],[SubwM]])),0)</f>
        <v>1</v>
      </c>
      <c r="BT316">
        <f>COUNTIFS(Dyno_Data[Team],TBA_Matches_All[[#This Row],[Team]],Dyno_Data[Match],TBA_Matches_All[[#This Row],[Match_Number]],Dyno_Data[RecordType],"Activities", Dyno_Data[AcqLoc],"OppWing")</f>
        <v>0</v>
      </c>
      <c r="BU316">
        <f>COUNTIFS(Dyno_Data[Team],TBA_Matches_All[[#This Row],[Team]],Dyno_Data[Match],TBA_Matches_All[[#This Row],[Match_Number]],Dyno_Data[RecordType],"Activities", Dyno_Data[AcqLoc],"Neutral")</f>
        <v>0</v>
      </c>
      <c r="BV316">
        <f>COUNTIFS(Dyno_Data[Team],TBA_Matches_All[[#This Row],[Team]],Dyno_Data[Match],TBA_Matches_All[[#This Row],[Match_Number]],Dyno_Data[RecordType],"Activities", Dyno_Data[AcqLoc],"AllyWing")</f>
        <v>0</v>
      </c>
      <c r="BW316">
        <f>COUNTIFS(Dyno_Data[Team],TBA_Matches_All[[#This Row],[Team]],Dyno_Data[Match],TBA_Matches_All[[#This Row],[Match_Number]],Dyno_Data[RecordType],"Activities", Dyno_Data[AcqLoc],"Source")</f>
        <v>0</v>
      </c>
      <c r="BX316">
        <f>SUMIFS(Dyno_Data[AcqDrp], Dyno_Data[Team],TBA_Matches_All[[#This Row],[Team]],Dyno_Data[Match],TBA_Matches_All[[#This Row],[Match_Number]],Dyno_Data[RecordType],"Activities", Dyno_Data[AcqLoc],"Source")</f>
        <v>0</v>
      </c>
      <c r="BY316">
        <f>SUMIFS(Dyno_Data[OZTime], Dyno_Data[Team],TBA_Matches_All[[#This Row],[Team]],Dyno_Data[Match],TBA_Matches_All[[#This Row],[Match_Number]],Dyno_Data[RecordType],"EndMatch")</f>
        <v>51.070351799999997</v>
      </c>
      <c r="BZ316">
        <f>SUMIFS(Dyno_Data[NZTime], Dyno_Data[Team],TBA_Matches_All[[#This Row],[Team]],Dyno_Data[Match],TBA_Matches_All[[#This Row],[Match_Number]],Dyno_Data[RecordType],"EndMatch")</f>
        <v>73.812935400000001</v>
      </c>
      <c r="CA316">
        <f>SUMIFS(Dyno_Data[AZTime], Dyno_Data[Team],TBA_Matches_All[[#This Row],[Team]],Dyno_Data[Match],TBA_Matches_All[[#This Row],[Match_Number]],Dyno_Data[RecordType],"EndMatch")</f>
        <v>11.990338999999999</v>
      </c>
      <c r="CB316">
        <f>SUMIFS(Dyno_Data[ClimbT], Dyno_Data[Team],TBA_Matches_All[[#This Row],[Team]],Dyno_Data[Match],TBA_Matches_All[[#This Row],[Match_Number]],Dyno_Data[RecordType],"EndMatch")</f>
        <v>0</v>
      </c>
      <c r="CC316" t="str">
        <f>_xlfn.XLOOKUP(SUM(MID(TBA_Matches_All[[#This Row],[Team]],4,5),(TBA_Matches_All[[#This Row],[Match_Number]]/100)),Dyno_EndMatch[teammat],Dyno_EndMatch[StageStat],"_",0,1)</f>
        <v>Park</v>
      </c>
      <c r="CD316" t="str">
        <f>_xlfn.XLOOKUP(TBA_Matches_All[[#This Row],[teammat]],Dyno_EndMatch[teammat],Dyno_EndMatch[StageAtt],"_",0,1)</f>
        <v>0</v>
      </c>
      <c r="CE316" t="str">
        <f>_xlfn.XLOOKUP(TBA_Matches_All[[#This Row],[teammat]],Dyno_EndMatch[teammat],Dyno_EndMatch[StageLoc],"_",0,1)</f>
        <v>A</v>
      </c>
      <c r="CF316">
        <f>SUMIFS(Dyno_Data[Harmony], Dyno_Data[Team],TBA_Matches_All[[#This Row],[Team]],Dyno_Data[Match],TBA_Matches_All[[#This Row],[Match_Number]],Dyno_Data[RecordType],"EndMatch", Dyno_Data[StageStat],"On",Dyno_Data[Harmony],"&lt;&gt;9")</f>
        <v>0</v>
      </c>
      <c r="CG316">
        <f>SUMIFS(Dyno_Data[Spotlit], Dyno_Data[Team],TBA_Matches_All[[#This Row],[Team]],Dyno_Data[Match],TBA_Matches_All[[#This Row],[Match_Number]],Dyno_Data[RecordType],"EndMatch", Dyno_Data[StageStat],"On",Dyno_Data[Spotlit],"&lt;&gt;9")</f>
        <v>0</v>
      </c>
      <c r="CH316" t="str">
        <f>_xlfn.XLOOKUP(TBA_Matches_All[[#This Row],[teammat]],Dyno_EndMatch[teammat],Dyno_EndMatch[Strategy],"_",0,1)</f>
        <v>Mover</v>
      </c>
      <c r="CI316">
        <f>SUMIFS(Dyno_Data[Defense], Dyno_Data[Team],TBA_Matches_All[[#This Row],[Team]],Dyno_Data[Match],TBA_Matches_All[[#This Row],[Match_Number]],Dyno_Data[RecordType],"EndMatch",Dyno_Data[Defense],"&lt;&gt;9")</f>
        <v>0</v>
      </c>
      <c r="CJ316">
        <f>SUMIFS(Dyno_Data[Avoidance], Dyno_Data[Team],TBA_Matches_All[[#This Row],[Team]],Dyno_Data[Match],TBA_Matches_All[[#This Row],[Match_Number]],Dyno_Data[RecordType],"EndMatch",Dyno_Data[Avoidance],"&lt;&gt;9")</f>
        <v>3</v>
      </c>
      <c r="CK316" s="82">
        <f>COUNTIF($H$2:TBA_Matches_All[[#This Row],[Team]],TBA_Matches_All[[#This Row],[Team]])</f>
        <v>7</v>
      </c>
      <c r="CL316" s="111">
        <f>SUM(MID(TBA_Matches_All[[#This Row],[Team]],4,5)+TBA_Matches_All[[#This Row],[Match_Number]]/100)</f>
        <v>4122.53</v>
      </c>
      <c r="CM316">
        <f>SUM((TBA_Matches_All[[#This Row],[Leave]]*2)+(TBA_Matches_All[[#This Row],[AampT]]*2)+(TBA_Matches_All[[#This Row],[AspkrT]]*5)+(TBA_Matches_All[[#This Row],[AtrapT]]*5))</f>
        <v>5</v>
      </c>
      <c r="CN316" s="59">
        <f>IFERROR(SUM(TBA_Matches_All[[#This Row],[AptsT]]/TBA_Matches_All[[#This Row],[AutoPts]]),0)</f>
        <v>0.20833333333333334</v>
      </c>
      <c r="CO316" s="59">
        <f>IFERROR(SUM(TBA_Matches_All[[#This Row],[AampT]]+TBA_Matches_All[[#This Row],[AspkrT]]+TBA_Matches_All[[#This Row],[AtrapT]]/TBA_Matches_All[[#This Row],[Aamp]]+TBA_Matches_All[[#This Row],[Aspkr]]+TBA_Matches_All[[#This Row],[AtrapT]]),0)</f>
        <v>0</v>
      </c>
      <c r="CP316" s="59">
        <f>IFERROR(SUM(TBA_Matches_All[[#This Row],[TampT]]/TBA_Matches_All[[#This Row],[Tamp]]),0)</f>
        <v>0</v>
      </c>
      <c r="CQ316" s="59">
        <f>IFERROR(SUM(TBA_Matches_All[[#This Row],[TspkrT]]/TBA_Matches_All[[#This Row],[Tspkr]]),0)</f>
        <v>0.14285714285714285</v>
      </c>
      <c r="CR316">
        <f>SUM(TBA_Matches_All[[#This Row],[TspkrPts]]*TBA_Matches_All[[#This Row],[TspkrP]])</f>
        <v>7.8571428571428568</v>
      </c>
      <c r="CS316" s="59">
        <f>IFERROR(SUM(TBA_Matches_All[[#This Row],[TtrapT]]/TBA_Matches_All[[#This Row],[Trap]]),0)</f>
        <v>0</v>
      </c>
      <c r="CT316" s="59">
        <f>IFERROR(SUM(TBA_Matches_All[[#This Row],[TotNotesT]]/TBA_Matches_All[[#This Row],[TotNotes]]),0)</f>
        <v>0.1111111111111111</v>
      </c>
      <c r="CU316" s="66">
        <f>SUM((TBA_Matches_All[[#This Row],[AampT]]*2)+(TBA_Matches_All[[#This Row],[AspkrT]]*5)+(TBA_Matches_All[[#This Row],[AtrapT]]*5)+(TBA_Matches_All[[#This Row],[TampT]]*1)+(TBA_Matches_All[[#This Row],[TspkrptsC]]))</f>
        <v>12.857142857142858</v>
      </c>
      <c r="CV316" s="59">
        <f>IFERROR(TBA_Matches_All[[#This Row],[noteptsT]]/TBA_Matches_All[[#This Row],[NotePts]],0)</f>
        <v>0.15306122448979592</v>
      </c>
      <c r="CW316">
        <f>SUM(IF(TBA_Matches_All[[#This Row],[stageStat]]="On",3,0),IF(TBA_Matches_All[[#This Row],[stageStat]]="Park",1,0),SUMIFS(TBA_Matches_All[[#This Row],[Spotlit]],TBA_Matches_All[[#This Row],[stageStat]],"On"),SUMIFS(TBA_Matches_All[[#This Row],[Harmony]],TBA_Matches_All[[#This Row],[stageStat]],"On"))</f>
        <v>1</v>
      </c>
      <c r="CX316" s="59">
        <f>IFERROR(TBA_Matches_All[[#This Row],[stageptsT]]/TBA_Matches_All[[#This Row],[StagePts]],0)</f>
        <v>0.33333333333333331</v>
      </c>
      <c r="CY316">
        <f>SUM((TBA_Matches_All[[#This Row],[AptsT]]+TBA_Matches_All[[#This Row],[TampT]]+TBA_Matches_All[[#This Row],[TspkrptsC]]+(TBA_Matches_All[[#This Row],[TtrapT]]*5)+TBA_Matches_All[[#This Row],[stageptsT]]))</f>
        <v>13.857142857142858</v>
      </c>
      <c r="CZ316" s="59">
        <f>IFERROR(SUM(TBA_Matches_All[[#This Row],[TotptsC]]/TBA_Matches_All[[#This Row],[Score]]),0)</f>
        <v>0.13719943422913722</v>
      </c>
      <c r="DA31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11.875</v>
      </c>
      <c r="DB316" s="74">
        <f>SUMIFS(TBA_Matches_All[AveTeamTNoteDels],TBA_Matches_All[Match_Number],TBA_Matches_All[[#This Row],[Match_Number]],TBA_Matches_All[Alliance],"&lt;&gt;"&amp;TBA_Matches_All[[#This Row],[Alliance]],TBA_Matches_All[Scouted],"&gt;0")</f>
        <v>6.5922727272727268</v>
      </c>
      <c r="DC316" s="74">
        <f>(TBA_Matches_All[[#This Row],[TampT]]+TBA_Matches_All[[#This Row],[TspkrptsC]])-TBA_Matches_All[[#This Row],[AveTeamTNoteDels]]</f>
        <v>-4.0178571428571432</v>
      </c>
      <c r="DD316" s="74">
        <f>SUMIFS(TBA_Matches_All[AveTeamTNoteDels],TBA_Matches_All[Match_Number],TBA_Matches_All[[#This Row],[Match_Number]],TBA_Matches_All[Alliance],"&lt;&gt;"&amp;TBA_Matches_All[[#This Row],[Alliance]])-TBA_Matches_All[[#This Row],[AveOppTNoteDels]]</f>
        <v>0</v>
      </c>
    </row>
    <row r="317" spans="1:108" x14ac:dyDescent="0.3">
      <c r="A317" t="s">
        <v>1042</v>
      </c>
      <c r="B317" t="s">
        <v>489</v>
      </c>
      <c r="C317" t="s">
        <v>1362</v>
      </c>
      <c r="D317">
        <v>53</v>
      </c>
      <c r="E317" t="s">
        <v>1420</v>
      </c>
      <c r="F317" t="s">
        <v>1421</v>
      </c>
      <c r="G317" t="s">
        <v>164</v>
      </c>
      <c r="H317" t="s">
        <v>1302</v>
      </c>
      <c r="I317" t="b">
        <v>0</v>
      </c>
      <c r="J317">
        <v>15</v>
      </c>
      <c r="K317">
        <v>0</v>
      </c>
      <c r="L317">
        <v>0</v>
      </c>
      <c r="M317">
        <v>10</v>
      </c>
      <c r="N317">
        <v>0</v>
      </c>
      <c r="O317">
        <v>0</v>
      </c>
      <c r="P317">
        <v>0</v>
      </c>
      <c r="Q317">
        <v>6</v>
      </c>
      <c r="R317">
        <v>0</v>
      </c>
      <c r="S317">
        <v>0</v>
      </c>
      <c r="T317">
        <v>2</v>
      </c>
      <c r="U317">
        <v>0</v>
      </c>
      <c r="V317">
        <v>4</v>
      </c>
      <c r="W317">
        <v>2</v>
      </c>
      <c r="X317">
        <v>4</v>
      </c>
      <c r="Y317">
        <v>4</v>
      </c>
      <c r="Z317">
        <v>0</v>
      </c>
      <c r="AA317">
        <v>0</v>
      </c>
      <c r="AB317">
        <v>2</v>
      </c>
      <c r="AC317">
        <v>4</v>
      </c>
      <c r="AD317">
        <v>3</v>
      </c>
      <c r="AE317">
        <f>IFERROR(6/(COUNTIF(Dyno_EndMatch[Match],TBA_Matches_All[[#This Row],[Match_Number]])),0)</f>
        <v>1</v>
      </c>
      <c r="AF317">
        <f>COUNTIFS(Dyno_Data[Team],TBA_Matches_All[[#This Row],[Team]],Dyno_Data[Match],TBA_Matches_All[[#This Row],[Match_Number]],Dyno_Data[RecordType],"EndMatch",Dyno_Data[HPAmp],"Y")</f>
        <v>0</v>
      </c>
      <c r="AG317">
        <f>SUMIFS(Dyno_Data[Mics], Dyno_Data[Team],TBA_Matches_All[[#This Row],[Team]],Dyno_Data[Match],TBA_Matches_All[[#This Row],[Match_Number]],Dyno_Data[RecordType],"EndMatch",Dyno_Data[HPAmp],"Y")</f>
        <v>0</v>
      </c>
      <c r="AH317">
        <f>SUMIFS(Dyno_Data[Leave], Dyno_Data[Team],TBA_Matches_All[[#This Row],[Team]],Dyno_Data[Match],TBA_Matches_All[[#This Row],[Match_Number]],Dyno_Data[RecordType],"EndAuto")</f>
        <v>1</v>
      </c>
      <c r="AI317">
        <f>COUNTIFS(Dyno_Data[Team],TBA_Matches_All[[#This Row],[Team]],Dyno_Data[Match],TBA_Matches_All[[#This Row],[Match_Number]],Dyno_Data[RecordType],"Activities",Dyno_Data[DelDest],"Amp", Dyno_Data[DelMiss],"0", Dyno_Data[Mode],"Auto")</f>
        <v>0</v>
      </c>
      <c r="AJ317">
        <f>COUNTIFS(Dyno_Data[Team],TBA_Matches_All[[#This Row],[Team]],Dyno_Data[Match],TBA_Matches_All[[#This Row],[Match_Number]],Dyno_Data[RecordType],"Activities",Dyno_Data[DelDest],"Spkr", Dyno_Data[DelMiss],"0", Dyno_Data[Mode],"Auto")</f>
        <v>0</v>
      </c>
      <c r="AK317">
        <f>COUNTIFS(Dyno_Data[Team],TBA_Matches_All[[#This Row],[Team]],Dyno_Data[Match],TBA_Matches_All[[#This Row],[Match_Number]],Dyno_Data[RecordType],"Activities",Dyno_Data[DelDest],"Trap", Dyno_Data[DelMiss],"0", Dyno_Data[Mode],"Auto")</f>
        <v>0</v>
      </c>
      <c r="AL317">
        <f>COUNTIFS(Dyno_Data[Team],TBA_Matches_All[[#This Row],[Team]],Dyno_Data[Match],TBA_Matches_All[[#This Row],[Match_Number]],Dyno_Data[RecordType],"Activities",Dyno_Data[DelDest],"Amp", Dyno_Data[DelMiss],"0", Dyno_Data[Mode],"Teleop")</f>
        <v>0</v>
      </c>
      <c r="AM317">
        <f>COUNTIFS(Dyno_Data[Team],TBA_Matches_All[[#This Row],[Team]],Dyno_Data[Match],TBA_Matches_All[[#This Row],[Match_Number]],Dyno_Data[RecordType],"Activities",Dyno_Data[DelDest],"Spkr", Dyno_Data[DelMiss],"0", Dyno_Data[Mode],"Teleop")</f>
        <v>2</v>
      </c>
      <c r="AN317">
        <f>COUNTIFS(Dyno_Data[Team],TBA_Matches_All[[#This Row],[Team]],Dyno_Data[Match],TBA_Matches_All[[#This Row],[Match_Number]],Dyno_Data[RecordType],"Activities",Dyno_Data[DelDest],"Trap", Dyno_Data[DelMiss],"0", Dyno_Data[Mode],"&lt;&gt;Auto")</f>
        <v>0</v>
      </c>
      <c r="AO317">
        <f>SUM(TBA_Matches_All[[#This Row],[AampT]]+TBA_Matches_All[[#This Row],[AspkrT]]+TBA_Matches_All[[#This Row],[AtrapT]]+TBA_Matches_All[[#This Row],[TampT]]+TBA_Matches_All[[#This Row],[TspkrT]]+TBA_Matches_All[[#This Row],[TtrapT]])</f>
        <v>2</v>
      </c>
      <c r="AP317">
        <f>COUNTIFS(Dyno_Data[Team],TBA_Matches_All[[#This Row],[Team]],Dyno_Data[Match],TBA_Matches_All[[#This Row],[Match_Number]],Dyno_Data[RecordType],"Activities",Dyno_Data[DelDest],"Neut", Dyno_Data[DelMiss],"0")</f>
        <v>0</v>
      </c>
      <c r="AQ317">
        <f>COUNTIFS(Dyno_Data[Team],TBA_Matches_All[[#This Row],[Team]],Dyno_Data[Match],TBA_Matches_All[[#This Row],[Match_Number]],Dyno_Data[RecordType],"Activities",Dyno_Data[DelDest],"AllyW", Dyno_Data[DelMiss],"0")</f>
        <v>0</v>
      </c>
      <c r="AR317" t="str">
        <f>_xlfn.XLOOKUP(SUM(MID(TBA_Matches_All[[#This Row],[Team]],4,5),(TBA_Matches_All[[#This Row],[Match_Number]]/100)),Dyno_EndMatch[teammat],Dyno_EndMatch[RobotSta],"_",0,1)</f>
        <v>Amp</v>
      </c>
      <c r="AS317">
        <f>SUMIFS(Dyno_Data[AcqDis], Dyno_Data[Team],TBA_Matches_All[[#This Row],[Team]],Dyno_Data[Match],TBA_Matches_All[[#This Row],[Match_Number]],Dyno_Data[RecordType],"Activities", Dyno_Data[AcqCenter],1,Dyno_Data[Mode],"Auto")</f>
        <v>0</v>
      </c>
      <c r="AT317">
        <f>SUMIFS(Dyno_Data[AcqDis], Dyno_Data[Team],TBA_Matches_All[[#This Row],[Team]],Dyno_Data[Match],TBA_Matches_All[[#This Row],[Match_Number]],Dyno_Data[RecordType],"Activities", Dyno_Data[AcqCenter],2,Dyno_Data[Mode],"Auto")</f>
        <v>0</v>
      </c>
      <c r="AU317">
        <f>SUMIFS(Dyno_Data[AcqDis], Dyno_Data[Team],TBA_Matches_All[[#This Row],[Team]],Dyno_Data[Match],TBA_Matches_All[[#This Row],[Match_Number]],Dyno_Data[RecordType],"Activities", Dyno_Data[AcqCenter],3,Dyno_Data[Mode],"Auto")</f>
        <v>0</v>
      </c>
      <c r="AV317">
        <f>SUMIFS(Dyno_Data[AcqDis], Dyno_Data[Team],TBA_Matches_All[[#This Row],[Team]],Dyno_Data[Match],TBA_Matches_All[[#This Row],[Match_Number]],Dyno_Data[RecordType],"Activities", Dyno_Data[AcqCenter],4,Dyno_Data[Mode],"Auto")</f>
        <v>0</v>
      </c>
      <c r="AW317">
        <f>SUMIFS(Dyno_Data[AcqDis], Dyno_Data[Team],TBA_Matches_All[[#This Row],[Team]],Dyno_Data[Match],TBA_Matches_All[[#This Row],[Match_Number]],Dyno_Data[RecordType],"Activities", Dyno_Data[AcqCenter],5,Dyno_Data[Mode],"Auto")</f>
        <v>0</v>
      </c>
      <c r="AX317">
        <f>SUMIFS(Dyno_Data[DelMiss], Dyno_Data[Team],TBA_Matches_All[[#This Row],[Team]],Dyno_Data[Match],TBA_Matches_All[[#This Row],[Match_Number]],Dyno_Data[RecordType],"Activities", Dyno_Data[DelDest],"Amp")</f>
        <v>0</v>
      </c>
      <c r="AY317" s="60">
        <f>IFERROR(SUM((TBA_Matches_All[[#This Row],[AampT]]+TBA_Matches_All[[#This Row],[TampT]])/(TBA_Matches_All[[#This Row],[AampT]]+TBA_Matches_All[[#This Row],[TampT]]+TBA_Matches_All[[#This Row],[ampM]])),0)</f>
        <v>0</v>
      </c>
      <c r="AZ317">
        <f>SUMIFS(Dyno_Data[DelMiss], Dyno_Data[Team],TBA_Matches_All[[#This Row],[Team]],Dyno_Data[Match],TBA_Matches_All[[#This Row],[Match_Number]],Dyno_Data[RecordType],"Activities", Dyno_Data[DelDest],"Spkr")</f>
        <v>1</v>
      </c>
      <c r="BA317" s="60">
        <f>IFERROR(SUM((TBA_Matches_All[[#This Row],[AspkrT]]+TBA_Matches_All[[#This Row],[TspkrT]])/(TBA_Matches_All[[#This Row],[AspkrT]]+TBA_Matches_All[[#This Row],[TspkrT]]+TBA_Matches_All[[#This Row],[spkrM]])),0)</f>
        <v>0.66666666666666663</v>
      </c>
      <c r="BB317">
        <f>SUMIFS(Dyno_Data[DelMiss], Dyno_Data[Team],TBA_Matches_All[[#This Row],[Team]],Dyno_Data[Match],TBA_Matches_All[[#This Row],[Match_Number]],Dyno_Data[RecordType],"Activities", Dyno_Data[DelDest],"Trap")</f>
        <v>0</v>
      </c>
      <c r="BC317" s="60">
        <f>IFERROR((TBA_Matches_All[[#This Row],[AtrapT]]+TBA_Matches_All[[#This Row],[TtrapT]])/(TBA_Matches_All[[#This Row],[AtrapT]]+TBA_Matches_All[[#This Row],[TtrapT]]+TBA_Matches_All[[#This Row],[trapM]]),0)</f>
        <v>0</v>
      </c>
      <c r="BD317">
        <f>COUNTIFS(Dyno_Data[Team],TBA_Matches_All[[#This Row],[Team]],Dyno_Data[Match],TBA_Matches_All[[#This Row],[Match_Number]],Dyno_Data[RecordType],"Activities",Dyno_Data[DelDest],"Neut", Dyno_Data[DelMiss],1)</f>
        <v>0</v>
      </c>
      <c r="BE317" s="60">
        <f>IFERROR(SUM((TBA_Matches_All[[#This Row],[NeutFlrT]])/(TBA_Matches_All[[#This Row],[NeutFlrT]]+TBA_Matches_All[[#This Row],[NZflM]])),0)</f>
        <v>0</v>
      </c>
      <c r="BF317">
        <f>COUNTIFS(Dyno_Data[Team],TBA_Matches_All[[#This Row],[Team]],Dyno_Data[Match],TBA_Matches_All[[#This Row],[Match_Number]],Dyno_Data[RecordType],"Activities",Dyno_Data[DelDest],"AllyW", Dyno_Data[DelMiss],1)</f>
        <v>0</v>
      </c>
      <c r="BG317" s="60">
        <f>IFERROR(SUM((TBA_Matches_All[[#This Row],[AllyWFlrT]])/(TBA_Matches_All[[#This Row],[AllyWFlrT]]+TBA_Matches_All[[#This Row],[AZflM]])),0)</f>
        <v>0</v>
      </c>
      <c r="BH317">
        <f>COUNTIFS(Dyno_Data[Team],TBA_Matches_All[[#This Row],[Team]],Dyno_Data[Match],TBA_Matches_All[[#This Row],[Match_Number]],Dyno_Data[RecordType],"Activities",Dyno_Data[DelOrig],"OppW", Dyno_Data[DelMiss],"0")</f>
        <v>0</v>
      </c>
      <c r="BI317">
        <f>COUNTIFS(Dyno_Data[Team],TBA_Matches_All[[#This Row],[Team]],Dyno_Data[Match],TBA_Matches_All[[#This Row],[Match_Number]],Dyno_Data[RecordType],"Activities",Dyno_Data[DelOrig],"OppW", Dyno_Data[DelMiss],"1")</f>
        <v>0</v>
      </c>
      <c r="BJ317" s="60">
        <f>IFERROR(SUM((TBA_Matches_All[[#This Row],[OZflrT]])/(TBA_Matches_All[[#This Row],[OZflrT]]+TBA_Matches_All[[#This Row],[OZflrM]])),0)</f>
        <v>0</v>
      </c>
      <c r="BK317">
        <f>COUNTIFS(Dyno_Data[Team],TBA_Matches_All[[#This Row],[Team]],Dyno_Data[Match],TBA_Matches_All[[#This Row],[Match_Number]],Dyno_Data[RecordType],"Activities",Dyno_Data[DelOrig],"Neut", Dyno_Data[DelMiss],"0")</f>
        <v>0</v>
      </c>
      <c r="BL317">
        <f>COUNTIFS(Dyno_Data[Team],TBA_Matches_All[[#This Row],[Team]],Dyno_Data[Match],TBA_Matches_All[[#This Row],[Match_Number]],Dyno_Data[RecordType],"Activities",Dyno_Data[DelOrig],"Neut", Dyno_Data[DelMiss],"1")</f>
        <v>0</v>
      </c>
      <c r="BM317" s="60">
        <f>IFERROR(SUM((TBA_Matches_All[[#This Row],[NZflrT]])/(TBA_Matches_All[[#This Row],[NZflrT]]+TBA_Matches_All[[#This Row],[NZflrM]])),0)</f>
        <v>0</v>
      </c>
      <c r="BN317">
        <f>COUNTIFS(Dyno_Data[Team],TBA_Matches_All[[#This Row],[Team]],Dyno_Data[Match],TBA_Matches_All[[#This Row],[Match_Number]],Dyno_Data[RecordType],"Activities",Dyno_Data[DelOrig],"AllyW", Dyno_Data[DelMiss],"0")</f>
        <v>0</v>
      </c>
      <c r="BO317">
        <f>COUNTIFS(Dyno_Data[Team],TBA_Matches_All[[#This Row],[Team]],Dyno_Data[Match],TBA_Matches_All[[#This Row],[Match_Number]],Dyno_Data[RecordType],"Activities",Dyno_Data[DelOrig],"AllyW", Dyno_Data[DelMiss],"1")</f>
        <v>0</v>
      </c>
      <c r="BP317" s="60">
        <f>IFERROR(SUM((TBA_Matches_All[[#This Row],[AZflrT]])/(TBA_Matches_All[[#This Row],[AZflrT]]+TBA_Matches_All[[#This Row],[AZflrM]])),0)</f>
        <v>0</v>
      </c>
      <c r="BQ317">
        <f>COUNTIFS(Dyno_Data[Team],TBA_Matches_All[[#This Row],[Team]],Dyno_Data[Match],TBA_Matches_All[[#This Row],[Match_Number]],Dyno_Data[RecordType],"Activities",Dyno_Data[DelOrig],"SubW", Dyno_Data[DelMiss],"0")</f>
        <v>2</v>
      </c>
      <c r="BR317">
        <f>COUNTIFS(Dyno_Data[Team],TBA_Matches_All[[#This Row],[Team]],Dyno_Data[Match],TBA_Matches_All[[#This Row],[Match_Number]],Dyno_Data[RecordType],"Activities",Dyno_Data[DelOrig],"SubW", Dyno_Data[DelMiss],"1")</f>
        <v>1</v>
      </c>
      <c r="BS317" s="60">
        <f>IFERROR(SUM((TBA_Matches_All[[#This Row],[SubwT]])/(TBA_Matches_All[[#This Row],[SubwT]]+TBA_Matches_All[[#This Row],[SubwM]])),0)</f>
        <v>0.66666666666666663</v>
      </c>
      <c r="BT317">
        <f>COUNTIFS(Dyno_Data[Team],TBA_Matches_All[[#This Row],[Team]],Dyno_Data[Match],TBA_Matches_All[[#This Row],[Match_Number]],Dyno_Data[RecordType],"Activities", Dyno_Data[AcqLoc],"OppWing")</f>
        <v>0</v>
      </c>
      <c r="BU317">
        <f>COUNTIFS(Dyno_Data[Team],TBA_Matches_All[[#This Row],[Team]],Dyno_Data[Match],TBA_Matches_All[[#This Row],[Match_Number]],Dyno_Data[RecordType],"Activities", Dyno_Data[AcqLoc],"Neutral")</f>
        <v>0</v>
      </c>
      <c r="BV317">
        <f>COUNTIFS(Dyno_Data[Team],TBA_Matches_All[[#This Row],[Team]],Dyno_Data[Match],TBA_Matches_All[[#This Row],[Match_Number]],Dyno_Data[RecordType],"Activities", Dyno_Data[AcqLoc],"AllyWing")</f>
        <v>0</v>
      </c>
      <c r="BW317">
        <f>COUNTIFS(Dyno_Data[Team],TBA_Matches_All[[#This Row],[Team]],Dyno_Data[Match],TBA_Matches_All[[#This Row],[Match_Number]],Dyno_Data[RecordType],"Activities", Dyno_Data[AcqLoc],"Source")</f>
        <v>0</v>
      </c>
      <c r="BX317">
        <f>SUMIFS(Dyno_Data[AcqDrp], Dyno_Data[Team],TBA_Matches_All[[#This Row],[Team]],Dyno_Data[Match],TBA_Matches_All[[#This Row],[Match_Number]],Dyno_Data[RecordType],"Activities", Dyno_Data[AcqLoc],"Source")</f>
        <v>0</v>
      </c>
      <c r="BY317">
        <f>SUMIFS(Dyno_Data[OZTime], Dyno_Data[Team],TBA_Matches_All[[#This Row],[Team]],Dyno_Data[Match],TBA_Matches_All[[#This Row],[Match_Number]],Dyno_Data[RecordType],"EndMatch")</f>
        <v>56.917738899999996</v>
      </c>
      <c r="BZ317">
        <f>SUMIFS(Dyno_Data[NZTime], Dyno_Data[Team],TBA_Matches_All[[#This Row],[Team]],Dyno_Data[Match],TBA_Matches_All[[#This Row],[Match_Number]],Dyno_Data[RecordType],"EndMatch")</f>
        <v>17.408561799999998</v>
      </c>
      <c r="CA317">
        <f>SUMIFS(Dyno_Data[AZTime], Dyno_Data[Team],TBA_Matches_All[[#This Row],[Team]],Dyno_Data[Match],TBA_Matches_All[[#This Row],[Match_Number]],Dyno_Data[RecordType],"EndMatch")</f>
        <v>51.029434299999998</v>
      </c>
      <c r="CB317">
        <f>SUMIFS(Dyno_Data[ClimbT], Dyno_Data[Team],TBA_Matches_All[[#This Row],[Team]],Dyno_Data[Match],TBA_Matches_All[[#This Row],[Match_Number]],Dyno_Data[RecordType],"EndMatch")</f>
        <v>9.2688949999999988</v>
      </c>
      <c r="CC317" t="str">
        <f>_xlfn.XLOOKUP(SUM(MID(TBA_Matches_All[[#This Row],[Team]],4,5),(TBA_Matches_All[[#This Row],[Match_Number]]/100)),Dyno_EndMatch[teammat],Dyno_EndMatch[StageStat],"_",0,1)</f>
        <v>Park</v>
      </c>
      <c r="CD317" t="str">
        <f>_xlfn.XLOOKUP(TBA_Matches_All[[#This Row],[teammat]],Dyno_EndMatch[teammat],Dyno_EndMatch[StageAtt],"_",0,1)</f>
        <v>-1</v>
      </c>
      <c r="CE317" t="str">
        <f>_xlfn.XLOOKUP(TBA_Matches_All[[#This Row],[teammat]],Dyno_EndMatch[teammat],Dyno_EndMatch[StageLoc],"_",0,1)</f>
        <v>A</v>
      </c>
      <c r="CF317">
        <f>SUMIFS(Dyno_Data[Harmony], Dyno_Data[Team],TBA_Matches_All[[#This Row],[Team]],Dyno_Data[Match],TBA_Matches_All[[#This Row],[Match_Number]],Dyno_Data[RecordType],"EndMatch", Dyno_Data[StageStat],"On",Dyno_Data[Harmony],"&lt;&gt;9")</f>
        <v>0</v>
      </c>
      <c r="CG317">
        <f>SUMIFS(Dyno_Data[Spotlit], Dyno_Data[Team],TBA_Matches_All[[#This Row],[Team]],Dyno_Data[Match],TBA_Matches_All[[#This Row],[Match_Number]],Dyno_Data[RecordType],"EndMatch", Dyno_Data[StageStat],"On",Dyno_Data[Spotlit],"&lt;&gt;9")</f>
        <v>0</v>
      </c>
      <c r="CH317" t="str">
        <f>_xlfn.XLOOKUP(TBA_Matches_All[[#This Row],[teammat]],Dyno_EndMatch[teammat],Dyno_EndMatch[Strategy],"_",0,1)</f>
        <v>Hybrid</v>
      </c>
      <c r="CI317">
        <f>SUMIFS(Dyno_Data[Defense], Dyno_Data[Team],TBA_Matches_All[[#This Row],[Team]],Dyno_Data[Match],TBA_Matches_All[[#This Row],[Match_Number]],Dyno_Data[RecordType],"EndMatch",Dyno_Data[Defense],"&lt;&gt;9")</f>
        <v>0</v>
      </c>
      <c r="CJ317">
        <f>SUMIFS(Dyno_Data[Avoidance], Dyno_Data[Team],TBA_Matches_All[[#This Row],[Team]],Dyno_Data[Match],TBA_Matches_All[[#This Row],[Match_Number]],Dyno_Data[RecordType],"EndMatch",Dyno_Data[Avoidance],"&lt;&gt;9")</f>
        <v>0</v>
      </c>
      <c r="CK317" s="82">
        <f>COUNTIF($H$2:TBA_Matches_All[[#This Row],[Team]],TBA_Matches_All[[#This Row],[Team]])</f>
        <v>7</v>
      </c>
      <c r="CL317" s="111">
        <f>SUM(MID(TBA_Matches_All[[#This Row],[Team]],4,5)+TBA_Matches_All[[#This Row],[Match_Number]]/100)</f>
        <v>2095.5300000000002</v>
      </c>
      <c r="CM317">
        <f>SUM((TBA_Matches_All[[#This Row],[Leave]]*2)+(TBA_Matches_All[[#This Row],[AampT]]*2)+(TBA_Matches_All[[#This Row],[AspkrT]]*5)+(TBA_Matches_All[[#This Row],[AtrapT]]*5))</f>
        <v>2</v>
      </c>
      <c r="CN317" s="59">
        <f>IFERROR(SUM(TBA_Matches_All[[#This Row],[AptsT]]/TBA_Matches_All[[#This Row],[AutoPts]]),0)</f>
        <v>0.33333333333333331</v>
      </c>
      <c r="CO317" s="59">
        <f>IFERROR(SUM(TBA_Matches_All[[#This Row],[AampT]]+TBA_Matches_All[[#This Row],[AspkrT]]+TBA_Matches_All[[#This Row],[AtrapT]]/TBA_Matches_All[[#This Row],[Aamp]]+TBA_Matches_All[[#This Row],[Aspkr]]+TBA_Matches_All[[#This Row],[AtrapT]]),0)</f>
        <v>0</v>
      </c>
      <c r="CP317" s="59">
        <f>IFERROR(SUM(TBA_Matches_All[[#This Row],[TampT]]/TBA_Matches_All[[#This Row],[Tamp]]),0)</f>
        <v>0</v>
      </c>
      <c r="CQ317" s="59">
        <f>IFERROR(SUM(TBA_Matches_All[[#This Row],[TspkrT]]/TBA_Matches_All[[#This Row],[Tspkr]]),0)</f>
        <v>1</v>
      </c>
      <c r="CR317">
        <f>SUM(TBA_Matches_All[[#This Row],[TspkrPts]]*TBA_Matches_All[[#This Row],[TspkrP]])</f>
        <v>4</v>
      </c>
      <c r="CS317" s="59">
        <f>IFERROR(SUM(TBA_Matches_All[[#This Row],[TtrapT]]/TBA_Matches_All[[#This Row],[Trap]]),0)</f>
        <v>0</v>
      </c>
      <c r="CT317" s="59">
        <f>IFERROR(SUM(TBA_Matches_All[[#This Row],[TotNotesT]]/TBA_Matches_All[[#This Row],[TotNotes]]),0)</f>
        <v>1</v>
      </c>
      <c r="CU317" s="66">
        <f>SUM((TBA_Matches_All[[#This Row],[AampT]]*2)+(TBA_Matches_All[[#This Row],[AspkrT]]*5)+(TBA_Matches_All[[#This Row],[AtrapT]]*5)+(TBA_Matches_All[[#This Row],[TampT]]*1)+(TBA_Matches_All[[#This Row],[TspkrptsC]]))</f>
        <v>4</v>
      </c>
      <c r="CV317" s="59">
        <f>IFERROR(TBA_Matches_All[[#This Row],[noteptsT]]/TBA_Matches_All[[#This Row],[NotePts]],0)</f>
        <v>1</v>
      </c>
      <c r="CW317">
        <f>SUM(IF(TBA_Matches_All[[#This Row],[stageStat]]="On",3,0),IF(TBA_Matches_All[[#This Row],[stageStat]]="Park",1,0),SUMIFS(TBA_Matches_All[[#This Row],[Spotlit]],TBA_Matches_All[[#This Row],[stageStat]],"On"),SUMIFS(TBA_Matches_All[[#This Row],[Harmony]],TBA_Matches_All[[#This Row],[stageStat]],"On"))</f>
        <v>1</v>
      </c>
      <c r="CX317" s="59">
        <f>IFERROR(TBA_Matches_All[[#This Row],[stageptsT]]/TBA_Matches_All[[#This Row],[StagePts]],0)</f>
        <v>0.33333333333333331</v>
      </c>
      <c r="CY317">
        <f>SUM((TBA_Matches_All[[#This Row],[AptsT]]+TBA_Matches_All[[#This Row],[TampT]]+TBA_Matches_All[[#This Row],[TspkrptsC]]+(TBA_Matches_All[[#This Row],[TtrapT]]*5)+TBA_Matches_All[[#This Row],[stageptsT]]))</f>
        <v>7</v>
      </c>
      <c r="CZ317" s="59">
        <f>IFERROR(SUM(TBA_Matches_All[[#This Row],[TotptsC]]/TBA_Matches_All[[#This Row],[Score]]),0)</f>
        <v>0.46666666666666667</v>
      </c>
      <c r="DA31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5.1922727272727274</v>
      </c>
      <c r="DB317" s="74">
        <f>SUMIFS(TBA_Matches_All[AveTeamTNoteDels],TBA_Matches_All[Match_Number],TBA_Matches_All[[#This Row],[Match_Number]],TBA_Matches_All[Alliance],"&lt;&gt;"&amp;TBA_Matches_All[[#This Row],[Alliance]],TBA_Matches_All[Scouted],"&gt;0")</f>
        <v>41.782878787878786</v>
      </c>
      <c r="DC317" s="74">
        <f>(TBA_Matches_All[[#This Row],[TampT]]+TBA_Matches_All[[#This Row],[TspkrptsC]])-TBA_Matches_All[[#This Row],[AveTeamTNoteDels]]</f>
        <v>-1.1922727272727274</v>
      </c>
      <c r="DD317" s="74">
        <f>SUMIFS(TBA_Matches_All[AveTeamTNoteDels],TBA_Matches_All[Match_Number],TBA_Matches_All[[#This Row],[Match_Number]],TBA_Matches_All[Alliance],"&lt;&gt;"&amp;TBA_Matches_All[[#This Row],[Alliance]])-TBA_Matches_All[[#This Row],[AveOppTNoteDels]]</f>
        <v>0</v>
      </c>
    </row>
    <row r="318" spans="1:108" x14ac:dyDescent="0.3">
      <c r="A318" t="s">
        <v>1042</v>
      </c>
      <c r="B318" t="s">
        <v>489</v>
      </c>
      <c r="C318" t="s">
        <v>1362</v>
      </c>
      <c r="D318">
        <v>53</v>
      </c>
      <c r="E318" t="s">
        <v>1406</v>
      </c>
      <c r="F318" t="s">
        <v>1422</v>
      </c>
      <c r="G318" t="s">
        <v>105</v>
      </c>
      <c r="H318" t="s">
        <v>1295</v>
      </c>
      <c r="I318" t="b">
        <v>0</v>
      </c>
      <c r="J318">
        <v>101</v>
      </c>
      <c r="K318">
        <v>1</v>
      </c>
      <c r="L318">
        <v>0</v>
      </c>
      <c r="M318">
        <v>2</v>
      </c>
      <c r="N318">
        <v>0</v>
      </c>
      <c r="O318">
        <v>4</v>
      </c>
      <c r="P318">
        <v>20</v>
      </c>
      <c r="Q318">
        <v>24</v>
      </c>
      <c r="R318">
        <v>9</v>
      </c>
      <c r="S318">
        <v>9</v>
      </c>
      <c r="T318">
        <v>5</v>
      </c>
      <c r="U318">
        <v>45</v>
      </c>
      <c r="V318">
        <v>10</v>
      </c>
      <c r="W318">
        <v>14</v>
      </c>
      <c r="X318">
        <v>55</v>
      </c>
      <c r="Y318">
        <v>64</v>
      </c>
      <c r="Z318">
        <v>0</v>
      </c>
      <c r="AA318">
        <v>0</v>
      </c>
      <c r="AB318">
        <v>27</v>
      </c>
      <c r="AC318">
        <v>84</v>
      </c>
      <c r="AD318">
        <v>3</v>
      </c>
      <c r="AE318">
        <f>IFERROR(6/(COUNTIF(Dyno_EndMatch[Match],TBA_Matches_All[[#This Row],[Match_Number]])),0)</f>
        <v>1</v>
      </c>
      <c r="AF318">
        <f>COUNTIFS(Dyno_Data[Team],TBA_Matches_All[[#This Row],[Team]],Dyno_Data[Match],TBA_Matches_All[[#This Row],[Match_Number]],Dyno_Data[RecordType],"EndMatch",Dyno_Data[HPAmp],"Y")</f>
        <v>1</v>
      </c>
      <c r="AG318">
        <f>SUMIFS(Dyno_Data[Mics], Dyno_Data[Team],TBA_Matches_All[[#This Row],[Team]],Dyno_Data[Match],TBA_Matches_All[[#This Row],[Match_Number]],Dyno_Data[RecordType],"EndMatch",Dyno_Data[HPAmp],"Y")</f>
        <v>0</v>
      </c>
      <c r="AH318">
        <f>SUMIFS(Dyno_Data[Leave], Dyno_Data[Team],TBA_Matches_All[[#This Row],[Team]],Dyno_Data[Match],TBA_Matches_All[[#This Row],[Match_Number]],Dyno_Data[RecordType],"EndAuto")</f>
        <v>1</v>
      </c>
      <c r="AI318">
        <f>COUNTIFS(Dyno_Data[Team],TBA_Matches_All[[#This Row],[Team]],Dyno_Data[Match],TBA_Matches_All[[#This Row],[Match_Number]],Dyno_Data[RecordType],"Activities",Dyno_Data[DelDest],"Amp", Dyno_Data[DelMiss],"0", Dyno_Data[Mode],"Auto")</f>
        <v>0</v>
      </c>
      <c r="AJ318">
        <f>COUNTIFS(Dyno_Data[Team],TBA_Matches_All[[#This Row],[Team]],Dyno_Data[Match],TBA_Matches_All[[#This Row],[Match_Number]],Dyno_Data[RecordType],"Activities",Dyno_Data[DelDest],"Spkr", Dyno_Data[DelMiss],"0", Dyno_Data[Mode],"Auto")</f>
        <v>1</v>
      </c>
      <c r="AK318">
        <f>COUNTIFS(Dyno_Data[Team],TBA_Matches_All[[#This Row],[Team]],Dyno_Data[Match],TBA_Matches_All[[#This Row],[Match_Number]],Dyno_Data[RecordType],"Activities",Dyno_Data[DelDest],"Trap", Dyno_Data[DelMiss],"0", Dyno_Data[Mode],"Auto")</f>
        <v>0</v>
      </c>
      <c r="AL318">
        <f>COUNTIFS(Dyno_Data[Team],TBA_Matches_All[[#This Row],[Team]],Dyno_Data[Match],TBA_Matches_All[[#This Row],[Match_Number]],Dyno_Data[RecordType],"Activities",Dyno_Data[DelDest],"Amp", Dyno_Data[DelMiss],"0", Dyno_Data[Mode],"Teleop")</f>
        <v>9</v>
      </c>
      <c r="AM318">
        <f>COUNTIFS(Dyno_Data[Team],TBA_Matches_All[[#This Row],[Team]],Dyno_Data[Match],TBA_Matches_All[[#This Row],[Match_Number]],Dyno_Data[RecordType],"Activities",Dyno_Data[DelDest],"Spkr", Dyno_Data[DelMiss],"0", Dyno_Data[Mode],"Teleop")</f>
        <v>3</v>
      </c>
      <c r="AN318">
        <f>COUNTIFS(Dyno_Data[Team],TBA_Matches_All[[#This Row],[Team]],Dyno_Data[Match],TBA_Matches_All[[#This Row],[Match_Number]],Dyno_Data[RecordType],"Activities",Dyno_Data[DelDest],"Trap", Dyno_Data[DelMiss],"0", Dyno_Data[Mode],"&lt;&gt;Auto")</f>
        <v>0</v>
      </c>
      <c r="AO318">
        <f>SUM(TBA_Matches_All[[#This Row],[AampT]]+TBA_Matches_All[[#This Row],[AspkrT]]+TBA_Matches_All[[#This Row],[AtrapT]]+TBA_Matches_All[[#This Row],[TampT]]+TBA_Matches_All[[#This Row],[TspkrT]]+TBA_Matches_All[[#This Row],[TtrapT]])</f>
        <v>13</v>
      </c>
      <c r="AP318">
        <f>COUNTIFS(Dyno_Data[Team],TBA_Matches_All[[#This Row],[Team]],Dyno_Data[Match],TBA_Matches_All[[#This Row],[Match_Number]],Dyno_Data[RecordType],"Activities",Dyno_Data[DelDest],"Neut", Dyno_Data[DelMiss],"0")</f>
        <v>0</v>
      </c>
      <c r="AQ318">
        <f>COUNTIFS(Dyno_Data[Team],TBA_Matches_All[[#This Row],[Team]],Dyno_Data[Match],TBA_Matches_All[[#This Row],[Match_Number]],Dyno_Data[RecordType],"Activities",Dyno_Data[DelDest],"AllyW", Dyno_Data[DelMiss],"0")</f>
        <v>0</v>
      </c>
      <c r="AR318" t="str">
        <f>_xlfn.XLOOKUP(SUM(MID(TBA_Matches_All[[#This Row],[Team]],4,5),(TBA_Matches_All[[#This Row],[Match_Number]]/100)),Dyno_EndMatch[teammat],Dyno_EndMatch[RobotSta],"_",0,1)</f>
        <v>Podm</v>
      </c>
      <c r="AS318">
        <f>SUMIFS(Dyno_Data[AcqDis], Dyno_Data[Team],TBA_Matches_All[[#This Row],[Team]],Dyno_Data[Match],TBA_Matches_All[[#This Row],[Match_Number]],Dyno_Data[RecordType],"Activities", Dyno_Data[AcqCenter],1,Dyno_Data[Mode],"Auto")</f>
        <v>0</v>
      </c>
      <c r="AT318">
        <f>SUMIFS(Dyno_Data[AcqDis], Dyno_Data[Team],TBA_Matches_All[[#This Row],[Team]],Dyno_Data[Match],TBA_Matches_All[[#This Row],[Match_Number]],Dyno_Data[RecordType],"Activities", Dyno_Data[AcqCenter],2,Dyno_Data[Mode],"Auto")</f>
        <v>0</v>
      </c>
      <c r="AU318">
        <f>SUMIFS(Dyno_Data[AcqDis], Dyno_Data[Team],TBA_Matches_All[[#This Row],[Team]],Dyno_Data[Match],TBA_Matches_All[[#This Row],[Match_Number]],Dyno_Data[RecordType],"Activities", Dyno_Data[AcqCenter],3,Dyno_Data[Mode],"Auto")</f>
        <v>0</v>
      </c>
      <c r="AV318">
        <f>SUMIFS(Dyno_Data[AcqDis], Dyno_Data[Team],TBA_Matches_All[[#This Row],[Team]],Dyno_Data[Match],TBA_Matches_All[[#This Row],[Match_Number]],Dyno_Data[RecordType],"Activities", Dyno_Data[AcqCenter],4,Dyno_Data[Mode],"Auto")</f>
        <v>0</v>
      </c>
      <c r="AW318">
        <f>SUMIFS(Dyno_Data[AcqDis], Dyno_Data[Team],TBA_Matches_All[[#This Row],[Team]],Dyno_Data[Match],TBA_Matches_All[[#This Row],[Match_Number]],Dyno_Data[RecordType],"Activities", Dyno_Data[AcqCenter],5,Dyno_Data[Mode],"Auto")</f>
        <v>0</v>
      </c>
      <c r="AX318">
        <f>SUMIFS(Dyno_Data[DelMiss], Dyno_Data[Team],TBA_Matches_All[[#This Row],[Team]],Dyno_Data[Match],TBA_Matches_All[[#This Row],[Match_Number]],Dyno_Data[RecordType],"Activities", Dyno_Data[DelDest],"Amp")</f>
        <v>0</v>
      </c>
      <c r="AY318" s="60">
        <f>IFERROR(SUM((TBA_Matches_All[[#This Row],[AampT]]+TBA_Matches_All[[#This Row],[TampT]])/(TBA_Matches_All[[#This Row],[AampT]]+TBA_Matches_All[[#This Row],[TampT]]+TBA_Matches_All[[#This Row],[ampM]])),0)</f>
        <v>1</v>
      </c>
      <c r="AZ318">
        <f>SUMIFS(Dyno_Data[DelMiss], Dyno_Data[Team],TBA_Matches_All[[#This Row],[Team]],Dyno_Data[Match],TBA_Matches_All[[#This Row],[Match_Number]],Dyno_Data[RecordType],"Activities", Dyno_Data[DelDest],"Spkr")</f>
        <v>2</v>
      </c>
      <c r="BA318" s="60">
        <f>IFERROR(SUM((TBA_Matches_All[[#This Row],[AspkrT]]+TBA_Matches_All[[#This Row],[TspkrT]])/(TBA_Matches_All[[#This Row],[AspkrT]]+TBA_Matches_All[[#This Row],[TspkrT]]+TBA_Matches_All[[#This Row],[spkrM]])),0)</f>
        <v>0.66666666666666663</v>
      </c>
      <c r="BB318">
        <f>SUMIFS(Dyno_Data[DelMiss], Dyno_Data[Team],TBA_Matches_All[[#This Row],[Team]],Dyno_Data[Match],TBA_Matches_All[[#This Row],[Match_Number]],Dyno_Data[RecordType],"Activities", Dyno_Data[DelDest],"Trap")</f>
        <v>0</v>
      </c>
      <c r="BC318" s="60">
        <f>IFERROR((TBA_Matches_All[[#This Row],[AtrapT]]+TBA_Matches_All[[#This Row],[TtrapT]])/(TBA_Matches_All[[#This Row],[AtrapT]]+TBA_Matches_All[[#This Row],[TtrapT]]+TBA_Matches_All[[#This Row],[trapM]]),0)</f>
        <v>0</v>
      </c>
      <c r="BD318">
        <f>COUNTIFS(Dyno_Data[Team],TBA_Matches_All[[#This Row],[Team]],Dyno_Data[Match],TBA_Matches_All[[#This Row],[Match_Number]],Dyno_Data[RecordType],"Activities",Dyno_Data[DelDest],"Neut", Dyno_Data[DelMiss],1)</f>
        <v>0</v>
      </c>
      <c r="BE318" s="60">
        <f>IFERROR(SUM((TBA_Matches_All[[#This Row],[NeutFlrT]])/(TBA_Matches_All[[#This Row],[NeutFlrT]]+TBA_Matches_All[[#This Row],[NZflM]])),0)</f>
        <v>0</v>
      </c>
      <c r="BF318">
        <f>COUNTIFS(Dyno_Data[Team],TBA_Matches_All[[#This Row],[Team]],Dyno_Data[Match],TBA_Matches_All[[#This Row],[Match_Number]],Dyno_Data[RecordType],"Activities",Dyno_Data[DelDest],"AllyW", Dyno_Data[DelMiss],1)</f>
        <v>0</v>
      </c>
      <c r="BG318" s="60">
        <f>IFERROR(SUM((TBA_Matches_All[[#This Row],[AllyWFlrT]])/(TBA_Matches_All[[#This Row],[AllyWFlrT]]+TBA_Matches_All[[#This Row],[AZflM]])),0)</f>
        <v>0</v>
      </c>
      <c r="BH318">
        <f>COUNTIFS(Dyno_Data[Team],TBA_Matches_All[[#This Row],[Team]],Dyno_Data[Match],TBA_Matches_All[[#This Row],[Match_Number]],Dyno_Data[RecordType],"Activities",Dyno_Data[DelOrig],"OppW", Dyno_Data[DelMiss],"0")</f>
        <v>0</v>
      </c>
      <c r="BI318">
        <f>COUNTIFS(Dyno_Data[Team],TBA_Matches_All[[#This Row],[Team]],Dyno_Data[Match],TBA_Matches_All[[#This Row],[Match_Number]],Dyno_Data[RecordType],"Activities",Dyno_Data[DelOrig],"OppW", Dyno_Data[DelMiss],"1")</f>
        <v>0</v>
      </c>
      <c r="BJ318" s="60">
        <f>IFERROR(SUM((TBA_Matches_All[[#This Row],[OZflrT]])/(TBA_Matches_All[[#This Row],[OZflrT]]+TBA_Matches_All[[#This Row],[OZflrM]])),0)</f>
        <v>0</v>
      </c>
      <c r="BK318">
        <f>COUNTIFS(Dyno_Data[Team],TBA_Matches_All[[#This Row],[Team]],Dyno_Data[Match],TBA_Matches_All[[#This Row],[Match_Number]],Dyno_Data[RecordType],"Activities",Dyno_Data[DelOrig],"Neut", Dyno_Data[DelMiss],"0")</f>
        <v>0</v>
      </c>
      <c r="BL318">
        <f>COUNTIFS(Dyno_Data[Team],TBA_Matches_All[[#This Row],[Team]],Dyno_Data[Match],TBA_Matches_All[[#This Row],[Match_Number]],Dyno_Data[RecordType],"Activities",Dyno_Data[DelOrig],"Neut", Dyno_Data[DelMiss],"1")</f>
        <v>0</v>
      </c>
      <c r="BM318" s="60">
        <f>IFERROR(SUM((TBA_Matches_All[[#This Row],[NZflrT]])/(TBA_Matches_All[[#This Row],[NZflrT]]+TBA_Matches_All[[#This Row],[NZflrM]])),0)</f>
        <v>0</v>
      </c>
      <c r="BN318">
        <f>COUNTIFS(Dyno_Data[Team],TBA_Matches_All[[#This Row],[Team]],Dyno_Data[Match],TBA_Matches_All[[#This Row],[Match_Number]],Dyno_Data[RecordType],"Activities",Dyno_Data[DelOrig],"AllyW", Dyno_Data[DelMiss],"0")</f>
        <v>13</v>
      </c>
      <c r="BO318">
        <f>COUNTIFS(Dyno_Data[Team],TBA_Matches_All[[#This Row],[Team]],Dyno_Data[Match],TBA_Matches_All[[#This Row],[Match_Number]],Dyno_Data[RecordType],"Activities",Dyno_Data[DelOrig],"AllyW", Dyno_Data[DelMiss],"1")</f>
        <v>2</v>
      </c>
      <c r="BP318" s="60">
        <f>IFERROR(SUM((TBA_Matches_All[[#This Row],[AZflrT]])/(TBA_Matches_All[[#This Row],[AZflrT]]+TBA_Matches_All[[#This Row],[AZflrM]])),0)</f>
        <v>0.8666666666666667</v>
      </c>
      <c r="BQ318">
        <f>COUNTIFS(Dyno_Data[Team],TBA_Matches_All[[#This Row],[Team]],Dyno_Data[Match],TBA_Matches_All[[#This Row],[Match_Number]],Dyno_Data[RecordType],"Activities",Dyno_Data[DelOrig],"SubW", Dyno_Data[DelMiss],"0")</f>
        <v>0</v>
      </c>
      <c r="BR318">
        <f>COUNTIFS(Dyno_Data[Team],TBA_Matches_All[[#This Row],[Team]],Dyno_Data[Match],TBA_Matches_All[[#This Row],[Match_Number]],Dyno_Data[RecordType],"Activities",Dyno_Data[DelOrig],"SubW", Dyno_Data[DelMiss],"1")</f>
        <v>0</v>
      </c>
      <c r="BS318" s="60">
        <f>IFERROR(SUM((TBA_Matches_All[[#This Row],[SubwT]])/(TBA_Matches_All[[#This Row],[SubwT]]+TBA_Matches_All[[#This Row],[SubwM]])),0)</f>
        <v>0</v>
      </c>
      <c r="BT318">
        <f>COUNTIFS(Dyno_Data[Team],TBA_Matches_All[[#This Row],[Team]],Dyno_Data[Match],TBA_Matches_All[[#This Row],[Match_Number]],Dyno_Data[RecordType],"Activities", Dyno_Data[AcqLoc],"OppWing")</f>
        <v>0</v>
      </c>
      <c r="BU318">
        <f>COUNTIFS(Dyno_Data[Team],TBA_Matches_All[[#This Row],[Team]],Dyno_Data[Match],TBA_Matches_All[[#This Row],[Match_Number]],Dyno_Data[RecordType],"Activities", Dyno_Data[AcqLoc],"Neutral")</f>
        <v>0</v>
      </c>
      <c r="BV318">
        <f>COUNTIFS(Dyno_Data[Team],TBA_Matches_All[[#This Row],[Team]],Dyno_Data[Match],TBA_Matches_All[[#This Row],[Match_Number]],Dyno_Data[RecordType],"Activities", Dyno_Data[AcqLoc],"AllyWing")</f>
        <v>0</v>
      </c>
      <c r="BW318">
        <f>COUNTIFS(Dyno_Data[Team],TBA_Matches_All[[#This Row],[Team]],Dyno_Data[Match],TBA_Matches_All[[#This Row],[Match_Number]],Dyno_Data[RecordType],"Activities", Dyno_Data[AcqLoc],"Source")</f>
        <v>0</v>
      </c>
      <c r="BX318">
        <f>SUMIFS(Dyno_Data[AcqDrp], Dyno_Data[Team],TBA_Matches_All[[#This Row],[Team]],Dyno_Data[Match],TBA_Matches_All[[#This Row],[Match_Number]],Dyno_Data[RecordType],"Activities", Dyno_Data[AcqLoc],"Source")</f>
        <v>0</v>
      </c>
      <c r="BY318">
        <f>SUMIFS(Dyno_Data[OZTime], Dyno_Data[Team],TBA_Matches_All[[#This Row],[Team]],Dyno_Data[Match],TBA_Matches_All[[#This Row],[Match_Number]],Dyno_Data[RecordType],"EndMatch")</f>
        <v>18.7096543</v>
      </c>
      <c r="BZ318">
        <f>SUMIFS(Dyno_Data[NZTime], Dyno_Data[Team],TBA_Matches_All[[#This Row],[Team]],Dyno_Data[Match],TBA_Matches_All[[#This Row],[Match_Number]],Dyno_Data[RecordType],"EndMatch")</f>
        <v>18.3458416</v>
      </c>
      <c r="CA318">
        <f>SUMIFS(Dyno_Data[AZTime], Dyno_Data[Team],TBA_Matches_All[[#This Row],[Team]],Dyno_Data[Match],TBA_Matches_All[[#This Row],[Match_Number]],Dyno_Data[RecordType],"EndMatch")</f>
        <v>97.81227659999999</v>
      </c>
      <c r="CB318">
        <f>SUMIFS(Dyno_Data[ClimbT], Dyno_Data[Team],TBA_Matches_All[[#This Row],[Team]],Dyno_Data[Match],TBA_Matches_All[[#This Row],[Match_Number]],Dyno_Data[RecordType],"EndMatch")</f>
        <v>0</v>
      </c>
      <c r="CC318" t="str">
        <f>_xlfn.XLOOKUP(SUM(MID(TBA_Matches_All[[#This Row],[Team]],4,5),(TBA_Matches_All[[#This Row],[Match_Number]]/100)),Dyno_EndMatch[teammat],Dyno_EndMatch[StageStat],"_",0,1)</f>
        <v>Park</v>
      </c>
      <c r="CD318" t="str">
        <f>_xlfn.XLOOKUP(TBA_Matches_All[[#This Row],[teammat]],Dyno_EndMatch[teammat],Dyno_EndMatch[StageAtt],"_",0,1)</f>
        <v>0</v>
      </c>
      <c r="CE318" t="str">
        <f>_xlfn.XLOOKUP(TBA_Matches_All[[#This Row],[teammat]],Dyno_EndMatch[teammat],Dyno_EndMatch[StageLoc],"_",0,1)</f>
        <v>A</v>
      </c>
      <c r="CF318">
        <f>SUMIFS(Dyno_Data[Harmony], Dyno_Data[Team],TBA_Matches_All[[#This Row],[Team]],Dyno_Data[Match],TBA_Matches_All[[#This Row],[Match_Number]],Dyno_Data[RecordType],"EndMatch", Dyno_Data[StageStat],"On",Dyno_Data[Harmony],"&lt;&gt;9")</f>
        <v>0</v>
      </c>
      <c r="CG318">
        <f>SUMIFS(Dyno_Data[Spotlit], Dyno_Data[Team],TBA_Matches_All[[#This Row],[Team]],Dyno_Data[Match],TBA_Matches_All[[#This Row],[Match_Number]],Dyno_Data[RecordType],"EndMatch", Dyno_Data[StageStat],"On",Dyno_Data[Spotlit],"&lt;&gt;9")</f>
        <v>0</v>
      </c>
      <c r="CH318" t="str">
        <f>_xlfn.XLOOKUP(TBA_Matches_All[[#This Row],[teammat]],Dyno_EndMatch[teammat],Dyno_EndMatch[Strategy],"_",0,1)</f>
        <v>Hybrid</v>
      </c>
      <c r="CI318">
        <f>SUMIFS(Dyno_Data[Defense], Dyno_Data[Team],TBA_Matches_All[[#This Row],[Team]],Dyno_Data[Match],TBA_Matches_All[[#This Row],[Match_Number]],Dyno_Data[RecordType],"EndMatch",Dyno_Data[Defense],"&lt;&gt;9")</f>
        <v>0</v>
      </c>
      <c r="CJ318">
        <f>SUMIFS(Dyno_Data[Avoidance], Dyno_Data[Team],TBA_Matches_All[[#This Row],[Team]],Dyno_Data[Match],TBA_Matches_All[[#This Row],[Match_Number]],Dyno_Data[RecordType],"EndMatch",Dyno_Data[Avoidance],"&lt;&gt;9")</f>
        <v>0</v>
      </c>
      <c r="CK318" s="82">
        <f>COUNTIF($H$2:TBA_Matches_All[[#This Row],[Team]],TBA_Matches_All[[#This Row],[Team]])</f>
        <v>7</v>
      </c>
      <c r="CL318" s="111">
        <f>SUM(MID(TBA_Matches_All[[#This Row],[Team]],4,5)+TBA_Matches_All[[#This Row],[Match_Number]]/100)</f>
        <v>6300.53</v>
      </c>
      <c r="CM318">
        <f>SUM((TBA_Matches_All[[#This Row],[Leave]]*2)+(TBA_Matches_All[[#This Row],[AampT]]*2)+(TBA_Matches_All[[#This Row],[AspkrT]]*5)+(TBA_Matches_All[[#This Row],[AtrapT]]*5))</f>
        <v>7</v>
      </c>
      <c r="CN318" s="59">
        <f>IFERROR(SUM(TBA_Matches_All[[#This Row],[AptsT]]/TBA_Matches_All[[#This Row],[AutoPts]]),0)</f>
        <v>0.29166666666666669</v>
      </c>
      <c r="CO318" s="59">
        <f>IFERROR(SUM(TBA_Matches_All[[#This Row],[AampT]]+TBA_Matches_All[[#This Row],[AspkrT]]+TBA_Matches_All[[#This Row],[AtrapT]]/TBA_Matches_All[[#This Row],[Aamp]]+TBA_Matches_All[[#This Row],[Aspkr]]+TBA_Matches_All[[#This Row],[AtrapT]]),0)</f>
        <v>0</v>
      </c>
      <c r="CP318" s="59">
        <f>IFERROR(SUM(TBA_Matches_All[[#This Row],[TampT]]/TBA_Matches_All[[#This Row],[Tamp]]),0)</f>
        <v>1</v>
      </c>
      <c r="CQ318" s="59">
        <f>IFERROR(SUM(TBA_Matches_All[[#This Row],[TspkrT]]/TBA_Matches_All[[#This Row],[Tspkr]]),0)</f>
        <v>0.21428571428571427</v>
      </c>
      <c r="CR318">
        <f>SUM(TBA_Matches_All[[#This Row],[TspkrPts]]*TBA_Matches_All[[#This Row],[TspkrP]])</f>
        <v>11.785714285714285</v>
      </c>
      <c r="CS318" s="59">
        <f>IFERROR(SUM(TBA_Matches_All[[#This Row],[TtrapT]]/TBA_Matches_All[[#This Row],[Trap]]),0)</f>
        <v>0</v>
      </c>
      <c r="CT318" s="59">
        <f>IFERROR(SUM(TBA_Matches_All[[#This Row],[TotNotesT]]/TBA_Matches_All[[#This Row],[TotNotes]]),0)</f>
        <v>0.48148148148148145</v>
      </c>
      <c r="CU318" s="66">
        <f>SUM((TBA_Matches_All[[#This Row],[AampT]]*2)+(TBA_Matches_All[[#This Row],[AspkrT]]*5)+(TBA_Matches_All[[#This Row],[AtrapT]]*5)+(TBA_Matches_All[[#This Row],[TampT]]*1)+(TBA_Matches_All[[#This Row],[TspkrptsC]]))</f>
        <v>25.785714285714285</v>
      </c>
      <c r="CV318" s="59">
        <f>IFERROR(TBA_Matches_All[[#This Row],[noteptsT]]/TBA_Matches_All[[#This Row],[NotePts]],0)</f>
        <v>0.30697278911564624</v>
      </c>
      <c r="CW318">
        <f>SUM(IF(TBA_Matches_All[[#This Row],[stageStat]]="On",3,0),IF(TBA_Matches_All[[#This Row],[stageStat]]="Park",1,0),SUMIFS(TBA_Matches_All[[#This Row],[Spotlit]],TBA_Matches_All[[#This Row],[stageStat]],"On"),SUMIFS(TBA_Matches_All[[#This Row],[Harmony]],TBA_Matches_All[[#This Row],[stageStat]],"On"))</f>
        <v>1</v>
      </c>
      <c r="CX318" s="59">
        <f>IFERROR(TBA_Matches_All[[#This Row],[stageptsT]]/TBA_Matches_All[[#This Row],[StagePts]],0)</f>
        <v>0.33333333333333331</v>
      </c>
      <c r="CY318">
        <f>SUM((TBA_Matches_All[[#This Row],[AptsT]]+TBA_Matches_All[[#This Row],[TampT]]+TBA_Matches_All[[#This Row],[TspkrptsC]]+(TBA_Matches_All[[#This Row],[TtrapT]]*5)+TBA_Matches_All[[#This Row],[stageptsT]]))</f>
        <v>28.785714285714285</v>
      </c>
      <c r="CZ318" s="59">
        <f>IFERROR(SUM(TBA_Matches_All[[#This Row],[TotptsC]]/TBA_Matches_All[[#This Row],[Score]]),0)</f>
        <v>0.28500707213578502</v>
      </c>
      <c r="DA31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16.107878787878789</v>
      </c>
      <c r="DB318" s="74">
        <f>SUMIFS(TBA_Matches_All[AveTeamTNoteDels],TBA_Matches_All[Match_Number],TBA_Matches_All[[#This Row],[Match_Number]],TBA_Matches_All[Alliance],"&lt;&gt;"&amp;TBA_Matches_All[[#This Row],[Alliance]],TBA_Matches_All[Scouted],"&gt;0")</f>
        <v>6.5922727272727268</v>
      </c>
      <c r="DC318" s="74">
        <f>(TBA_Matches_All[[#This Row],[TampT]]+TBA_Matches_All[[#This Row],[TspkrptsC]])-TBA_Matches_All[[#This Row],[AveTeamTNoteDels]]</f>
        <v>4.6778354978354955</v>
      </c>
      <c r="DD318" s="74">
        <f>SUMIFS(TBA_Matches_All[AveTeamTNoteDels],TBA_Matches_All[Match_Number],TBA_Matches_All[[#This Row],[Match_Number]],TBA_Matches_All[Alliance],"&lt;&gt;"&amp;TBA_Matches_All[[#This Row],[Alliance]])-TBA_Matches_All[[#This Row],[AveOppTNoteDels]]</f>
        <v>0</v>
      </c>
    </row>
    <row r="319" spans="1:108" x14ac:dyDescent="0.3">
      <c r="A319" t="s">
        <v>1042</v>
      </c>
      <c r="B319" t="s">
        <v>489</v>
      </c>
      <c r="C319" t="s">
        <v>1362</v>
      </c>
      <c r="D319">
        <v>53</v>
      </c>
      <c r="E319" t="s">
        <v>1420</v>
      </c>
      <c r="F319" t="s">
        <v>1425</v>
      </c>
      <c r="G319" t="s">
        <v>105</v>
      </c>
      <c r="H319" t="s">
        <v>1311</v>
      </c>
      <c r="I319" t="b">
        <v>0</v>
      </c>
      <c r="J319">
        <v>15</v>
      </c>
      <c r="K319">
        <v>0</v>
      </c>
      <c r="L319">
        <v>0</v>
      </c>
      <c r="M319">
        <v>10</v>
      </c>
      <c r="N319">
        <v>0</v>
      </c>
      <c r="O319">
        <v>0</v>
      </c>
      <c r="P319">
        <v>0</v>
      </c>
      <c r="Q319">
        <v>6</v>
      </c>
      <c r="R319">
        <v>0</v>
      </c>
      <c r="S319">
        <v>0</v>
      </c>
      <c r="T319">
        <v>2</v>
      </c>
      <c r="U319">
        <v>0</v>
      </c>
      <c r="V319">
        <v>4</v>
      </c>
      <c r="W319">
        <v>2</v>
      </c>
      <c r="X319">
        <v>4</v>
      </c>
      <c r="Y319">
        <v>4</v>
      </c>
      <c r="Z319">
        <v>0</v>
      </c>
      <c r="AA319">
        <v>0</v>
      </c>
      <c r="AB319">
        <v>2</v>
      </c>
      <c r="AC319">
        <v>4</v>
      </c>
      <c r="AD319">
        <v>3</v>
      </c>
      <c r="AE319">
        <f>IFERROR(6/(COUNTIF(Dyno_EndMatch[Match],TBA_Matches_All[[#This Row],[Match_Number]])),0)</f>
        <v>1</v>
      </c>
      <c r="AF319">
        <f>COUNTIFS(Dyno_Data[Team],TBA_Matches_All[[#This Row],[Team]],Dyno_Data[Match],TBA_Matches_All[[#This Row],[Match_Number]],Dyno_Data[RecordType],"EndMatch",Dyno_Data[HPAmp],"Y")</f>
        <v>1</v>
      </c>
      <c r="AG319">
        <f>SUMIFS(Dyno_Data[Mics], Dyno_Data[Team],TBA_Matches_All[[#This Row],[Team]],Dyno_Data[Match],TBA_Matches_All[[#This Row],[Match_Number]],Dyno_Data[RecordType],"EndMatch",Dyno_Data[HPAmp],"Y")</f>
        <v>0</v>
      </c>
      <c r="AH319">
        <f>SUMIFS(Dyno_Data[Leave], Dyno_Data[Team],TBA_Matches_All[[#This Row],[Team]],Dyno_Data[Match],TBA_Matches_All[[#This Row],[Match_Number]],Dyno_Data[RecordType],"EndAuto")</f>
        <v>1</v>
      </c>
      <c r="AI319">
        <f>COUNTIFS(Dyno_Data[Team],TBA_Matches_All[[#This Row],[Team]],Dyno_Data[Match],TBA_Matches_All[[#This Row],[Match_Number]],Dyno_Data[RecordType],"Activities",Dyno_Data[DelDest],"Amp", Dyno_Data[DelMiss],"0", Dyno_Data[Mode],"Auto")</f>
        <v>0</v>
      </c>
      <c r="AJ319">
        <f>COUNTIFS(Dyno_Data[Team],TBA_Matches_All[[#This Row],[Team]],Dyno_Data[Match],TBA_Matches_All[[#This Row],[Match_Number]],Dyno_Data[RecordType],"Activities",Dyno_Data[DelDest],"Spkr", Dyno_Data[DelMiss],"0", Dyno_Data[Mode],"Auto")</f>
        <v>0</v>
      </c>
      <c r="AK319">
        <f>COUNTIFS(Dyno_Data[Team],TBA_Matches_All[[#This Row],[Team]],Dyno_Data[Match],TBA_Matches_All[[#This Row],[Match_Number]],Dyno_Data[RecordType],"Activities",Dyno_Data[DelDest],"Trap", Dyno_Data[DelMiss],"0", Dyno_Data[Mode],"Auto")</f>
        <v>0</v>
      </c>
      <c r="AL319">
        <f>COUNTIFS(Dyno_Data[Team],TBA_Matches_All[[#This Row],[Team]],Dyno_Data[Match],TBA_Matches_All[[#This Row],[Match_Number]],Dyno_Data[RecordType],"Activities",Dyno_Data[DelDest],"Amp", Dyno_Data[DelMiss],"0", Dyno_Data[Mode],"Teleop")</f>
        <v>0</v>
      </c>
      <c r="AM319">
        <f>COUNTIFS(Dyno_Data[Team],TBA_Matches_All[[#This Row],[Team]],Dyno_Data[Match],TBA_Matches_All[[#This Row],[Match_Number]],Dyno_Data[RecordType],"Activities",Dyno_Data[DelDest],"Spkr", Dyno_Data[DelMiss],"0", Dyno_Data[Mode],"Teleop")</f>
        <v>0</v>
      </c>
      <c r="AN319">
        <f>COUNTIFS(Dyno_Data[Team],TBA_Matches_All[[#This Row],[Team]],Dyno_Data[Match],TBA_Matches_All[[#This Row],[Match_Number]],Dyno_Data[RecordType],"Activities",Dyno_Data[DelDest],"Trap", Dyno_Data[DelMiss],"0", Dyno_Data[Mode],"&lt;&gt;Auto")</f>
        <v>0</v>
      </c>
      <c r="AO319">
        <f>SUM(TBA_Matches_All[[#This Row],[AampT]]+TBA_Matches_All[[#This Row],[AspkrT]]+TBA_Matches_All[[#This Row],[AtrapT]]+TBA_Matches_All[[#This Row],[TampT]]+TBA_Matches_All[[#This Row],[TspkrT]]+TBA_Matches_All[[#This Row],[TtrapT]])</f>
        <v>0</v>
      </c>
      <c r="AP319">
        <f>COUNTIFS(Dyno_Data[Team],TBA_Matches_All[[#This Row],[Team]],Dyno_Data[Match],TBA_Matches_All[[#This Row],[Match_Number]],Dyno_Data[RecordType],"Activities",Dyno_Data[DelDest],"Neut", Dyno_Data[DelMiss],"0")</f>
        <v>0</v>
      </c>
      <c r="AQ319">
        <f>COUNTIFS(Dyno_Data[Team],TBA_Matches_All[[#This Row],[Team]],Dyno_Data[Match],TBA_Matches_All[[#This Row],[Match_Number]],Dyno_Data[RecordType],"Activities",Dyno_Data[DelDest],"AllyW", Dyno_Data[DelMiss],"0")</f>
        <v>0</v>
      </c>
      <c r="AR319" t="str">
        <f>_xlfn.XLOOKUP(SUM(MID(TBA_Matches_All[[#This Row],[Team]],4,5),(TBA_Matches_All[[#This Row],[Match_Number]]/100)),Dyno_EndMatch[teammat],Dyno_EndMatch[RobotSta],"_",0,1)</f>
        <v>OppS</v>
      </c>
      <c r="AS319">
        <f>SUMIFS(Dyno_Data[AcqDis], Dyno_Data[Team],TBA_Matches_All[[#This Row],[Team]],Dyno_Data[Match],TBA_Matches_All[[#This Row],[Match_Number]],Dyno_Data[RecordType],"Activities", Dyno_Data[AcqCenter],1,Dyno_Data[Mode],"Auto")</f>
        <v>0</v>
      </c>
      <c r="AT319">
        <f>SUMIFS(Dyno_Data[AcqDis], Dyno_Data[Team],TBA_Matches_All[[#This Row],[Team]],Dyno_Data[Match],TBA_Matches_All[[#This Row],[Match_Number]],Dyno_Data[RecordType],"Activities", Dyno_Data[AcqCenter],2,Dyno_Data[Mode],"Auto")</f>
        <v>0</v>
      </c>
      <c r="AU319">
        <f>SUMIFS(Dyno_Data[AcqDis], Dyno_Data[Team],TBA_Matches_All[[#This Row],[Team]],Dyno_Data[Match],TBA_Matches_All[[#This Row],[Match_Number]],Dyno_Data[RecordType],"Activities", Dyno_Data[AcqCenter],3,Dyno_Data[Mode],"Auto")</f>
        <v>0</v>
      </c>
      <c r="AV319">
        <f>SUMIFS(Dyno_Data[AcqDis], Dyno_Data[Team],TBA_Matches_All[[#This Row],[Team]],Dyno_Data[Match],TBA_Matches_All[[#This Row],[Match_Number]],Dyno_Data[RecordType],"Activities", Dyno_Data[AcqCenter],4,Dyno_Data[Mode],"Auto")</f>
        <v>0</v>
      </c>
      <c r="AW319">
        <f>SUMIFS(Dyno_Data[AcqDis], Dyno_Data[Team],TBA_Matches_All[[#This Row],[Team]],Dyno_Data[Match],TBA_Matches_All[[#This Row],[Match_Number]],Dyno_Data[RecordType],"Activities", Dyno_Data[AcqCenter],5,Dyno_Data[Mode],"Auto")</f>
        <v>0</v>
      </c>
      <c r="AX319">
        <f>SUMIFS(Dyno_Data[DelMiss], Dyno_Data[Team],TBA_Matches_All[[#This Row],[Team]],Dyno_Data[Match],TBA_Matches_All[[#This Row],[Match_Number]],Dyno_Data[RecordType],"Activities", Dyno_Data[DelDest],"Amp")</f>
        <v>1</v>
      </c>
      <c r="AY319" s="60">
        <f>IFERROR(SUM((TBA_Matches_All[[#This Row],[AampT]]+TBA_Matches_All[[#This Row],[TampT]])/(TBA_Matches_All[[#This Row],[AampT]]+TBA_Matches_All[[#This Row],[TampT]]+TBA_Matches_All[[#This Row],[ampM]])),0)</f>
        <v>0</v>
      </c>
      <c r="AZ319">
        <f>SUMIFS(Dyno_Data[DelMiss], Dyno_Data[Team],TBA_Matches_All[[#This Row],[Team]],Dyno_Data[Match],TBA_Matches_All[[#This Row],[Match_Number]],Dyno_Data[RecordType],"Activities", Dyno_Data[DelDest],"Spkr")</f>
        <v>0</v>
      </c>
      <c r="BA319" s="60">
        <f>IFERROR(SUM((TBA_Matches_All[[#This Row],[AspkrT]]+TBA_Matches_All[[#This Row],[TspkrT]])/(TBA_Matches_All[[#This Row],[AspkrT]]+TBA_Matches_All[[#This Row],[TspkrT]]+TBA_Matches_All[[#This Row],[spkrM]])),0)</f>
        <v>0</v>
      </c>
      <c r="BB319">
        <f>SUMIFS(Dyno_Data[DelMiss], Dyno_Data[Team],TBA_Matches_All[[#This Row],[Team]],Dyno_Data[Match],TBA_Matches_All[[#This Row],[Match_Number]],Dyno_Data[RecordType],"Activities", Dyno_Data[DelDest],"Trap")</f>
        <v>0</v>
      </c>
      <c r="BC319" s="60">
        <f>IFERROR((TBA_Matches_All[[#This Row],[AtrapT]]+TBA_Matches_All[[#This Row],[TtrapT]])/(TBA_Matches_All[[#This Row],[AtrapT]]+TBA_Matches_All[[#This Row],[TtrapT]]+TBA_Matches_All[[#This Row],[trapM]]),0)</f>
        <v>0</v>
      </c>
      <c r="BD319">
        <f>COUNTIFS(Dyno_Data[Team],TBA_Matches_All[[#This Row],[Team]],Dyno_Data[Match],TBA_Matches_All[[#This Row],[Match_Number]],Dyno_Data[RecordType],"Activities",Dyno_Data[DelDest],"Neut", Dyno_Data[DelMiss],1)</f>
        <v>0</v>
      </c>
      <c r="BE319" s="60">
        <f>IFERROR(SUM((TBA_Matches_All[[#This Row],[NeutFlrT]])/(TBA_Matches_All[[#This Row],[NeutFlrT]]+TBA_Matches_All[[#This Row],[NZflM]])),0)</f>
        <v>0</v>
      </c>
      <c r="BF319">
        <f>COUNTIFS(Dyno_Data[Team],TBA_Matches_All[[#This Row],[Team]],Dyno_Data[Match],TBA_Matches_All[[#This Row],[Match_Number]],Dyno_Data[RecordType],"Activities",Dyno_Data[DelDest],"AllyW", Dyno_Data[DelMiss],1)</f>
        <v>0</v>
      </c>
      <c r="BG319" s="60">
        <f>IFERROR(SUM((TBA_Matches_All[[#This Row],[AllyWFlrT]])/(TBA_Matches_All[[#This Row],[AllyWFlrT]]+TBA_Matches_All[[#This Row],[AZflM]])),0)</f>
        <v>0</v>
      </c>
      <c r="BH319">
        <f>COUNTIFS(Dyno_Data[Team],TBA_Matches_All[[#This Row],[Team]],Dyno_Data[Match],TBA_Matches_All[[#This Row],[Match_Number]],Dyno_Data[RecordType],"Activities",Dyno_Data[DelOrig],"OppW", Dyno_Data[DelMiss],"0")</f>
        <v>0</v>
      </c>
      <c r="BI319">
        <f>COUNTIFS(Dyno_Data[Team],TBA_Matches_All[[#This Row],[Team]],Dyno_Data[Match],TBA_Matches_All[[#This Row],[Match_Number]],Dyno_Data[RecordType],"Activities",Dyno_Data[DelOrig],"OppW", Dyno_Data[DelMiss],"1")</f>
        <v>0</v>
      </c>
      <c r="BJ319" s="60">
        <f>IFERROR(SUM((TBA_Matches_All[[#This Row],[OZflrT]])/(TBA_Matches_All[[#This Row],[OZflrT]]+TBA_Matches_All[[#This Row],[OZflrM]])),0)</f>
        <v>0</v>
      </c>
      <c r="BK319">
        <f>COUNTIFS(Dyno_Data[Team],TBA_Matches_All[[#This Row],[Team]],Dyno_Data[Match],TBA_Matches_All[[#This Row],[Match_Number]],Dyno_Data[RecordType],"Activities",Dyno_Data[DelOrig],"Neut", Dyno_Data[DelMiss],"0")</f>
        <v>0</v>
      </c>
      <c r="BL319">
        <f>COUNTIFS(Dyno_Data[Team],TBA_Matches_All[[#This Row],[Team]],Dyno_Data[Match],TBA_Matches_All[[#This Row],[Match_Number]],Dyno_Data[RecordType],"Activities",Dyno_Data[DelOrig],"Neut", Dyno_Data[DelMiss],"1")</f>
        <v>0</v>
      </c>
      <c r="BM319" s="60">
        <f>IFERROR(SUM((TBA_Matches_All[[#This Row],[NZflrT]])/(TBA_Matches_All[[#This Row],[NZflrT]]+TBA_Matches_All[[#This Row],[NZflrM]])),0)</f>
        <v>0</v>
      </c>
      <c r="BN319">
        <f>COUNTIFS(Dyno_Data[Team],TBA_Matches_All[[#This Row],[Team]],Dyno_Data[Match],TBA_Matches_All[[#This Row],[Match_Number]],Dyno_Data[RecordType],"Activities",Dyno_Data[DelOrig],"AllyW", Dyno_Data[DelMiss],"0")</f>
        <v>0</v>
      </c>
      <c r="BO319">
        <f>COUNTIFS(Dyno_Data[Team],TBA_Matches_All[[#This Row],[Team]],Dyno_Data[Match],TBA_Matches_All[[#This Row],[Match_Number]],Dyno_Data[RecordType],"Activities",Dyno_Data[DelOrig],"AllyW", Dyno_Data[DelMiss],"1")</f>
        <v>1</v>
      </c>
      <c r="BP319" s="60">
        <f>IFERROR(SUM((TBA_Matches_All[[#This Row],[AZflrT]])/(TBA_Matches_All[[#This Row],[AZflrT]]+TBA_Matches_All[[#This Row],[AZflrM]])),0)</f>
        <v>0</v>
      </c>
      <c r="BQ319">
        <f>COUNTIFS(Dyno_Data[Team],TBA_Matches_All[[#This Row],[Team]],Dyno_Data[Match],TBA_Matches_All[[#This Row],[Match_Number]],Dyno_Data[RecordType],"Activities",Dyno_Data[DelOrig],"SubW", Dyno_Data[DelMiss],"0")</f>
        <v>0</v>
      </c>
      <c r="BR319">
        <f>COUNTIFS(Dyno_Data[Team],TBA_Matches_All[[#This Row],[Team]],Dyno_Data[Match],TBA_Matches_All[[#This Row],[Match_Number]],Dyno_Data[RecordType],"Activities",Dyno_Data[DelOrig],"SubW", Dyno_Data[DelMiss],"1")</f>
        <v>0</v>
      </c>
      <c r="BS319" s="60">
        <f>IFERROR(SUM((TBA_Matches_All[[#This Row],[SubwT]])/(TBA_Matches_All[[#This Row],[SubwT]]+TBA_Matches_All[[#This Row],[SubwM]])),0)</f>
        <v>0</v>
      </c>
      <c r="BT319">
        <f>COUNTIFS(Dyno_Data[Team],TBA_Matches_All[[#This Row],[Team]],Dyno_Data[Match],TBA_Matches_All[[#This Row],[Match_Number]],Dyno_Data[RecordType],"Activities", Dyno_Data[AcqLoc],"OppWing")</f>
        <v>0</v>
      </c>
      <c r="BU319">
        <f>COUNTIFS(Dyno_Data[Team],TBA_Matches_All[[#This Row],[Team]],Dyno_Data[Match],TBA_Matches_All[[#This Row],[Match_Number]],Dyno_Data[RecordType],"Activities", Dyno_Data[AcqLoc],"Neutral")</f>
        <v>0</v>
      </c>
      <c r="BV319">
        <f>COUNTIFS(Dyno_Data[Team],TBA_Matches_All[[#This Row],[Team]],Dyno_Data[Match],TBA_Matches_All[[#This Row],[Match_Number]],Dyno_Data[RecordType],"Activities", Dyno_Data[AcqLoc],"AllyWing")</f>
        <v>0</v>
      </c>
      <c r="BW319">
        <f>COUNTIFS(Dyno_Data[Team],TBA_Matches_All[[#This Row],[Team]],Dyno_Data[Match],TBA_Matches_All[[#This Row],[Match_Number]],Dyno_Data[RecordType],"Activities", Dyno_Data[AcqLoc],"Source")</f>
        <v>0</v>
      </c>
      <c r="BX319">
        <f>SUMIFS(Dyno_Data[AcqDrp], Dyno_Data[Team],TBA_Matches_All[[#This Row],[Team]],Dyno_Data[Match],TBA_Matches_All[[#This Row],[Match_Number]],Dyno_Data[RecordType],"Activities", Dyno_Data[AcqLoc],"Source")</f>
        <v>0</v>
      </c>
      <c r="BY319">
        <f>SUMIFS(Dyno_Data[OZTime], Dyno_Data[Team],TBA_Matches_All[[#This Row],[Team]],Dyno_Data[Match],TBA_Matches_All[[#This Row],[Match_Number]],Dyno_Data[RecordType],"EndMatch")</f>
        <v>70.2355546</v>
      </c>
      <c r="BZ319">
        <f>SUMIFS(Dyno_Data[NZTime], Dyno_Data[Team],TBA_Matches_All[[#This Row],[Team]],Dyno_Data[Match],TBA_Matches_All[[#This Row],[Match_Number]],Dyno_Data[RecordType],"EndMatch")</f>
        <v>19.6230525</v>
      </c>
      <c r="CA319">
        <f>SUMIFS(Dyno_Data[AZTime], Dyno_Data[Team],TBA_Matches_All[[#This Row],[Team]],Dyno_Data[Match],TBA_Matches_All[[#This Row],[Match_Number]],Dyno_Data[RecordType],"EndMatch")</f>
        <v>45.450961399999997</v>
      </c>
      <c r="CB319">
        <f>SUMIFS(Dyno_Data[ClimbT], Dyno_Data[Team],TBA_Matches_All[[#This Row],[Team]],Dyno_Data[Match],TBA_Matches_All[[#This Row],[Match_Number]],Dyno_Data[RecordType],"EndMatch")</f>
        <v>0</v>
      </c>
      <c r="CC319" t="str">
        <f>_xlfn.XLOOKUP(SUM(MID(TBA_Matches_All[[#This Row],[Team]],4,5),(TBA_Matches_All[[#This Row],[Match_Number]]/100)),Dyno_EndMatch[teammat],Dyno_EndMatch[StageStat],"_",0,1)</f>
        <v>Park</v>
      </c>
      <c r="CD319" t="str">
        <f>_xlfn.XLOOKUP(TBA_Matches_All[[#This Row],[teammat]],Dyno_EndMatch[teammat],Dyno_EndMatch[StageAtt],"_",0,1)</f>
        <v>0</v>
      </c>
      <c r="CE319" t="str">
        <f>_xlfn.XLOOKUP(TBA_Matches_All[[#This Row],[teammat]],Dyno_EndMatch[teammat],Dyno_EndMatch[StageLoc],"_",0,1)</f>
        <v>A</v>
      </c>
      <c r="CF319">
        <f>SUMIFS(Dyno_Data[Harmony], Dyno_Data[Team],TBA_Matches_All[[#This Row],[Team]],Dyno_Data[Match],TBA_Matches_All[[#This Row],[Match_Number]],Dyno_Data[RecordType],"EndMatch", Dyno_Data[StageStat],"On",Dyno_Data[Harmony],"&lt;&gt;9")</f>
        <v>0</v>
      </c>
      <c r="CG319">
        <f>SUMIFS(Dyno_Data[Spotlit], Dyno_Data[Team],TBA_Matches_All[[#This Row],[Team]],Dyno_Data[Match],TBA_Matches_All[[#This Row],[Match_Number]],Dyno_Data[RecordType],"EndMatch", Dyno_Data[StageStat],"On",Dyno_Data[Spotlit],"&lt;&gt;9")</f>
        <v>0</v>
      </c>
      <c r="CH319" t="str">
        <f>_xlfn.XLOOKUP(TBA_Matches_All[[#This Row],[teammat]],Dyno_EndMatch[teammat],Dyno_EndMatch[Strategy],"_",0,1)</f>
        <v>Defense</v>
      </c>
      <c r="CI319">
        <f>SUMIFS(Dyno_Data[Defense], Dyno_Data[Team],TBA_Matches_All[[#This Row],[Team]],Dyno_Data[Match],TBA_Matches_All[[#This Row],[Match_Number]],Dyno_Data[RecordType],"EndMatch",Dyno_Data[Defense],"&lt;&gt;9")</f>
        <v>3</v>
      </c>
      <c r="CJ319">
        <f>SUMIFS(Dyno_Data[Avoidance], Dyno_Data[Team],TBA_Matches_All[[#This Row],[Team]],Dyno_Data[Match],TBA_Matches_All[[#This Row],[Match_Number]],Dyno_Data[RecordType],"EndMatch",Dyno_Data[Avoidance],"&lt;&gt;9")</f>
        <v>0</v>
      </c>
      <c r="CK319" s="82">
        <f>COUNTIF($H$2:TBA_Matches_All[[#This Row],[Team]],TBA_Matches_All[[#This Row],[Team]])</f>
        <v>7</v>
      </c>
      <c r="CL319" s="111">
        <f>SUM(MID(TBA_Matches_All[[#This Row],[Team]],4,5)+TBA_Matches_All[[#This Row],[Match_Number]]/100)</f>
        <v>2234.5300000000002</v>
      </c>
      <c r="CM319">
        <f>SUM((TBA_Matches_All[[#This Row],[Leave]]*2)+(TBA_Matches_All[[#This Row],[AampT]]*2)+(TBA_Matches_All[[#This Row],[AspkrT]]*5)+(TBA_Matches_All[[#This Row],[AtrapT]]*5))</f>
        <v>2</v>
      </c>
      <c r="CN319" s="59">
        <f>IFERROR(SUM(TBA_Matches_All[[#This Row],[AptsT]]/TBA_Matches_All[[#This Row],[AutoPts]]),0)</f>
        <v>0.33333333333333331</v>
      </c>
      <c r="CO319" s="59">
        <f>IFERROR(SUM(TBA_Matches_All[[#This Row],[AampT]]+TBA_Matches_All[[#This Row],[AspkrT]]+TBA_Matches_All[[#This Row],[AtrapT]]/TBA_Matches_All[[#This Row],[Aamp]]+TBA_Matches_All[[#This Row],[Aspkr]]+TBA_Matches_All[[#This Row],[AtrapT]]),0)</f>
        <v>0</v>
      </c>
      <c r="CP319" s="59">
        <f>IFERROR(SUM(TBA_Matches_All[[#This Row],[TampT]]/TBA_Matches_All[[#This Row],[Tamp]]),0)</f>
        <v>0</v>
      </c>
      <c r="CQ319" s="59">
        <f>IFERROR(SUM(TBA_Matches_All[[#This Row],[TspkrT]]/TBA_Matches_All[[#This Row],[Tspkr]]),0)</f>
        <v>0</v>
      </c>
      <c r="CR319">
        <f>SUM(TBA_Matches_All[[#This Row],[TspkrPts]]*TBA_Matches_All[[#This Row],[TspkrP]])</f>
        <v>0</v>
      </c>
      <c r="CS319" s="59">
        <f>IFERROR(SUM(TBA_Matches_All[[#This Row],[TtrapT]]/TBA_Matches_All[[#This Row],[Trap]]),0)</f>
        <v>0</v>
      </c>
      <c r="CT319" s="59">
        <f>IFERROR(SUM(TBA_Matches_All[[#This Row],[TotNotesT]]/TBA_Matches_All[[#This Row],[TotNotes]]),0)</f>
        <v>0</v>
      </c>
      <c r="CU319" s="66">
        <f>SUM((TBA_Matches_All[[#This Row],[AampT]]*2)+(TBA_Matches_All[[#This Row],[AspkrT]]*5)+(TBA_Matches_All[[#This Row],[AtrapT]]*5)+(TBA_Matches_All[[#This Row],[TampT]]*1)+(TBA_Matches_All[[#This Row],[TspkrptsC]]))</f>
        <v>0</v>
      </c>
      <c r="CV319" s="59">
        <f>IFERROR(TBA_Matches_All[[#This Row],[noteptsT]]/TBA_Matches_All[[#This Row],[NotePts]],0)</f>
        <v>0</v>
      </c>
      <c r="CW319">
        <f>SUM(IF(TBA_Matches_All[[#This Row],[stageStat]]="On",3,0),IF(TBA_Matches_All[[#This Row],[stageStat]]="Park",1,0),SUMIFS(TBA_Matches_All[[#This Row],[Spotlit]],TBA_Matches_All[[#This Row],[stageStat]],"On"),SUMIFS(TBA_Matches_All[[#This Row],[Harmony]],TBA_Matches_All[[#This Row],[stageStat]],"On"))</f>
        <v>1</v>
      </c>
      <c r="CX319" s="59">
        <f>IFERROR(TBA_Matches_All[[#This Row],[stageptsT]]/TBA_Matches_All[[#This Row],[StagePts]],0)</f>
        <v>0.33333333333333331</v>
      </c>
      <c r="CY319">
        <f>SUM((TBA_Matches_All[[#This Row],[AptsT]]+TBA_Matches_All[[#This Row],[TampT]]+TBA_Matches_All[[#This Row],[TspkrptsC]]+(TBA_Matches_All[[#This Row],[TtrapT]]*5)+TBA_Matches_All[[#This Row],[stageptsT]]))</f>
        <v>3</v>
      </c>
      <c r="CZ319" s="59">
        <f>IFERROR(SUM(TBA_Matches_All[[#This Row],[TotptsC]]/TBA_Matches_All[[#This Row],[Score]]),0)</f>
        <v>0.2</v>
      </c>
      <c r="DA31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1.4</v>
      </c>
      <c r="DB319" s="74">
        <f>SUMIFS(TBA_Matches_All[AveTeamTNoteDels],TBA_Matches_All[Match_Number],TBA_Matches_All[[#This Row],[Match_Number]],TBA_Matches_All[Alliance],"&lt;&gt;"&amp;TBA_Matches_All[[#This Row],[Alliance]],TBA_Matches_All[Scouted],"&gt;0")</f>
        <v>41.782878787878786</v>
      </c>
      <c r="DC319" s="74">
        <f>(TBA_Matches_All[[#This Row],[TampT]]+TBA_Matches_All[[#This Row],[TspkrptsC]])-TBA_Matches_All[[#This Row],[AveTeamTNoteDels]]</f>
        <v>-1.4</v>
      </c>
      <c r="DD319" s="74">
        <f>SUMIFS(TBA_Matches_All[AveTeamTNoteDels],TBA_Matches_All[Match_Number],TBA_Matches_All[[#This Row],[Match_Number]],TBA_Matches_All[Alliance],"&lt;&gt;"&amp;TBA_Matches_All[[#This Row],[Alliance]])-TBA_Matches_All[[#This Row],[AveOppTNoteDels]]</f>
        <v>0</v>
      </c>
    </row>
    <row r="320" spans="1:108" x14ac:dyDescent="0.3">
      <c r="A320" t="s">
        <v>1042</v>
      </c>
      <c r="B320" t="s">
        <v>489</v>
      </c>
      <c r="C320" t="s">
        <v>1362</v>
      </c>
      <c r="D320">
        <v>53</v>
      </c>
      <c r="E320" t="s">
        <v>1406</v>
      </c>
      <c r="F320" t="s">
        <v>1426</v>
      </c>
      <c r="G320" t="s">
        <v>164</v>
      </c>
      <c r="H320" t="s">
        <v>1291</v>
      </c>
      <c r="I320" t="b">
        <v>0</v>
      </c>
      <c r="J320">
        <v>101</v>
      </c>
      <c r="K320">
        <v>1</v>
      </c>
      <c r="L320">
        <v>0</v>
      </c>
      <c r="M320">
        <v>2</v>
      </c>
      <c r="N320">
        <v>0</v>
      </c>
      <c r="O320">
        <v>4</v>
      </c>
      <c r="P320">
        <v>20</v>
      </c>
      <c r="Q320">
        <v>24</v>
      </c>
      <c r="R320">
        <v>9</v>
      </c>
      <c r="S320">
        <v>9</v>
      </c>
      <c r="T320">
        <v>5</v>
      </c>
      <c r="U320">
        <v>45</v>
      </c>
      <c r="V320">
        <v>10</v>
      </c>
      <c r="W320">
        <v>14</v>
      </c>
      <c r="X320">
        <v>55</v>
      </c>
      <c r="Y320">
        <v>64</v>
      </c>
      <c r="Z320">
        <v>0</v>
      </c>
      <c r="AA320">
        <v>0</v>
      </c>
      <c r="AB320">
        <v>27</v>
      </c>
      <c r="AC320">
        <v>84</v>
      </c>
      <c r="AD320">
        <v>3</v>
      </c>
      <c r="AE320">
        <f>IFERROR(6/(COUNTIF(Dyno_EndMatch[Match],TBA_Matches_All[[#This Row],[Match_Number]])),0)</f>
        <v>1</v>
      </c>
      <c r="AF320">
        <f>COUNTIFS(Dyno_Data[Team],TBA_Matches_All[[#This Row],[Team]],Dyno_Data[Match],TBA_Matches_All[[#This Row],[Match_Number]],Dyno_Data[RecordType],"EndMatch",Dyno_Data[HPAmp],"Y")</f>
        <v>0</v>
      </c>
      <c r="AG320">
        <f>SUMIFS(Dyno_Data[Mics], Dyno_Data[Team],TBA_Matches_All[[#This Row],[Team]],Dyno_Data[Match],TBA_Matches_All[[#This Row],[Match_Number]],Dyno_Data[RecordType],"EndMatch",Dyno_Data[HPAmp],"Y")</f>
        <v>0</v>
      </c>
      <c r="AH320">
        <f>SUMIFS(Dyno_Data[Leave], Dyno_Data[Team],TBA_Matches_All[[#This Row],[Team]],Dyno_Data[Match],TBA_Matches_All[[#This Row],[Match_Number]],Dyno_Data[RecordType],"EndAuto")</f>
        <v>1</v>
      </c>
      <c r="AI320">
        <f>COUNTIFS(Dyno_Data[Team],TBA_Matches_All[[#This Row],[Team]],Dyno_Data[Match],TBA_Matches_All[[#This Row],[Match_Number]],Dyno_Data[RecordType],"Activities",Dyno_Data[DelDest],"Amp", Dyno_Data[DelMiss],"0", Dyno_Data[Mode],"Auto")</f>
        <v>0</v>
      </c>
      <c r="AJ320">
        <f>COUNTIFS(Dyno_Data[Team],TBA_Matches_All[[#This Row],[Team]],Dyno_Data[Match],TBA_Matches_All[[#This Row],[Match_Number]],Dyno_Data[RecordType],"Activities",Dyno_Data[DelDest],"Spkr", Dyno_Data[DelMiss],"0", Dyno_Data[Mode],"Auto")</f>
        <v>2</v>
      </c>
      <c r="AK320">
        <f>COUNTIFS(Dyno_Data[Team],TBA_Matches_All[[#This Row],[Team]],Dyno_Data[Match],TBA_Matches_All[[#This Row],[Match_Number]],Dyno_Data[RecordType],"Activities",Dyno_Data[DelDest],"Trap", Dyno_Data[DelMiss],"0", Dyno_Data[Mode],"Auto")</f>
        <v>0</v>
      </c>
      <c r="AL320">
        <f>COUNTIFS(Dyno_Data[Team],TBA_Matches_All[[#This Row],[Team]],Dyno_Data[Match],TBA_Matches_All[[#This Row],[Match_Number]],Dyno_Data[RecordType],"Activities",Dyno_Data[DelDest],"Amp", Dyno_Data[DelMiss],"0", Dyno_Data[Mode],"Teleop")</f>
        <v>0</v>
      </c>
      <c r="AM320">
        <f>COUNTIFS(Dyno_Data[Team],TBA_Matches_All[[#This Row],[Team]],Dyno_Data[Match],TBA_Matches_All[[#This Row],[Match_Number]],Dyno_Data[RecordType],"Activities",Dyno_Data[DelDest],"Spkr", Dyno_Data[DelMiss],"0", Dyno_Data[Mode],"Teleop")</f>
        <v>1</v>
      </c>
      <c r="AN320">
        <f>COUNTIFS(Dyno_Data[Team],TBA_Matches_All[[#This Row],[Team]],Dyno_Data[Match],TBA_Matches_All[[#This Row],[Match_Number]],Dyno_Data[RecordType],"Activities",Dyno_Data[DelDest],"Trap", Dyno_Data[DelMiss],"0", Dyno_Data[Mode],"&lt;&gt;Auto")</f>
        <v>0</v>
      </c>
      <c r="AO320">
        <f>SUM(TBA_Matches_All[[#This Row],[AampT]]+TBA_Matches_All[[#This Row],[AspkrT]]+TBA_Matches_All[[#This Row],[AtrapT]]+TBA_Matches_All[[#This Row],[TampT]]+TBA_Matches_All[[#This Row],[TspkrT]]+TBA_Matches_All[[#This Row],[TtrapT]])</f>
        <v>3</v>
      </c>
      <c r="AP320">
        <f>COUNTIFS(Dyno_Data[Team],TBA_Matches_All[[#This Row],[Team]],Dyno_Data[Match],TBA_Matches_All[[#This Row],[Match_Number]],Dyno_Data[RecordType],"Activities",Dyno_Data[DelDest],"Neut", Dyno_Data[DelMiss],"0")</f>
        <v>0</v>
      </c>
      <c r="AQ320">
        <f>COUNTIFS(Dyno_Data[Team],TBA_Matches_All[[#This Row],[Team]],Dyno_Data[Match],TBA_Matches_All[[#This Row],[Match_Number]],Dyno_Data[RecordType],"Activities",Dyno_Data[DelDest],"AllyW", Dyno_Data[DelMiss],"0")</f>
        <v>0</v>
      </c>
      <c r="AR320" t="str">
        <f>_xlfn.XLOOKUP(SUM(MID(TBA_Matches_All[[#This Row],[Team]],4,5),(TBA_Matches_All[[#This Row],[Match_Number]]/100)),Dyno_EndMatch[teammat],Dyno_EndMatch[RobotSta],"_",0,1)</f>
        <v>SubW</v>
      </c>
      <c r="AS320">
        <f>SUMIFS(Dyno_Data[AcqDis], Dyno_Data[Team],TBA_Matches_All[[#This Row],[Team]],Dyno_Data[Match],TBA_Matches_All[[#This Row],[Match_Number]],Dyno_Data[RecordType],"Activities", Dyno_Data[AcqCenter],1,Dyno_Data[Mode],"Auto")</f>
        <v>0</v>
      </c>
      <c r="AT320">
        <f>SUMIFS(Dyno_Data[AcqDis], Dyno_Data[Team],TBA_Matches_All[[#This Row],[Team]],Dyno_Data[Match],TBA_Matches_All[[#This Row],[Match_Number]],Dyno_Data[RecordType],"Activities", Dyno_Data[AcqCenter],2,Dyno_Data[Mode],"Auto")</f>
        <v>0</v>
      </c>
      <c r="AU320">
        <f>SUMIFS(Dyno_Data[AcqDis], Dyno_Data[Team],TBA_Matches_All[[#This Row],[Team]],Dyno_Data[Match],TBA_Matches_All[[#This Row],[Match_Number]],Dyno_Data[RecordType],"Activities", Dyno_Data[AcqCenter],3,Dyno_Data[Mode],"Auto")</f>
        <v>0</v>
      </c>
      <c r="AV320">
        <f>SUMIFS(Dyno_Data[AcqDis], Dyno_Data[Team],TBA_Matches_All[[#This Row],[Team]],Dyno_Data[Match],TBA_Matches_All[[#This Row],[Match_Number]],Dyno_Data[RecordType],"Activities", Dyno_Data[AcqCenter],4,Dyno_Data[Mode],"Auto")</f>
        <v>0</v>
      </c>
      <c r="AW320">
        <f>SUMIFS(Dyno_Data[AcqDis], Dyno_Data[Team],TBA_Matches_All[[#This Row],[Team]],Dyno_Data[Match],TBA_Matches_All[[#This Row],[Match_Number]],Dyno_Data[RecordType],"Activities", Dyno_Data[AcqCenter],5,Dyno_Data[Mode],"Auto")</f>
        <v>0</v>
      </c>
      <c r="AX320">
        <f>SUMIFS(Dyno_Data[DelMiss], Dyno_Data[Team],TBA_Matches_All[[#This Row],[Team]],Dyno_Data[Match],TBA_Matches_All[[#This Row],[Match_Number]],Dyno_Data[RecordType],"Activities", Dyno_Data[DelDest],"Amp")</f>
        <v>0</v>
      </c>
      <c r="AY320" s="60">
        <f>IFERROR(SUM((TBA_Matches_All[[#This Row],[AampT]]+TBA_Matches_All[[#This Row],[TampT]])/(TBA_Matches_All[[#This Row],[AampT]]+TBA_Matches_All[[#This Row],[TampT]]+TBA_Matches_All[[#This Row],[ampM]])),0)</f>
        <v>0</v>
      </c>
      <c r="AZ320">
        <f>SUMIFS(Dyno_Data[DelMiss], Dyno_Data[Team],TBA_Matches_All[[#This Row],[Team]],Dyno_Data[Match],TBA_Matches_All[[#This Row],[Match_Number]],Dyno_Data[RecordType],"Activities", Dyno_Data[DelDest],"Spkr")</f>
        <v>1</v>
      </c>
      <c r="BA320" s="60">
        <f>IFERROR(SUM((TBA_Matches_All[[#This Row],[AspkrT]]+TBA_Matches_All[[#This Row],[TspkrT]])/(TBA_Matches_All[[#This Row],[AspkrT]]+TBA_Matches_All[[#This Row],[TspkrT]]+TBA_Matches_All[[#This Row],[spkrM]])),0)</f>
        <v>0.75</v>
      </c>
      <c r="BB320">
        <f>SUMIFS(Dyno_Data[DelMiss], Dyno_Data[Team],TBA_Matches_All[[#This Row],[Team]],Dyno_Data[Match],TBA_Matches_All[[#This Row],[Match_Number]],Dyno_Data[RecordType],"Activities", Dyno_Data[DelDest],"Trap")</f>
        <v>0</v>
      </c>
      <c r="BC320" s="60">
        <f>IFERROR((TBA_Matches_All[[#This Row],[AtrapT]]+TBA_Matches_All[[#This Row],[TtrapT]])/(TBA_Matches_All[[#This Row],[AtrapT]]+TBA_Matches_All[[#This Row],[TtrapT]]+TBA_Matches_All[[#This Row],[trapM]]),0)</f>
        <v>0</v>
      </c>
      <c r="BD320">
        <f>COUNTIFS(Dyno_Data[Team],TBA_Matches_All[[#This Row],[Team]],Dyno_Data[Match],TBA_Matches_All[[#This Row],[Match_Number]],Dyno_Data[RecordType],"Activities",Dyno_Data[DelDest],"Neut", Dyno_Data[DelMiss],1)</f>
        <v>0</v>
      </c>
      <c r="BE320" s="60">
        <f>IFERROR(SUM((TBA_Matches_All[[#This Row],[NeutFlrT]])/(TBA_Matches_All[[#This Row],[NeutFlrT]]+TBA_Matches_All[[#This Row],[NZflM]])),0)</f>
        <v>0</v>
      </c>
      <c r="BF320">
        <f>COUNTIFS(Dyno_Data[Team],TBA_Matches_All[[#This Row],[Team]],Dyno_Data[Match],TBA_Matches_All[[#This Row],[Match_Number]],Dyno_Data[RecordType],"Activities",Dyno_Data[DelDest],"AllyW", Dyno_Data[DelMiss],1)</f>
        <v>0</v>
      </c>
      <c r="BG320" s="60">
        <f>IFERROR(SUM((TBA_Matches_All[[#This Row],[AllyWFlrT]])/(TBA_Matches_All[[#This Row],[AllyWFlrT]]+TBA_Matches_All[[#This Row],[AZflM]])),0)</f>
        <v>0</v>
      </c>
      <c r="BH320">
        <f>COUNTIFS(Dyno_Data[Team],TBA_Matches_All[[#This Row],[Team]],Dyno_Data[Match],TBA_Matches_All[[#This Row],[Match_Number]],Dyno_Data[RecordType],"Activities",Dyno_Data[DelOrig],"OppW", Dyno_Data[DelMiss],"0")</f>
        <v>0</v>
      </c>
      <c r="BI320">
        <f>COUNTIFS(Dyno_Data[Team],TBA_Matches_All[[#This Row],[Team]],Dyno_Data[Match],TBA_Matches_All[[#This Row],[Match_Number]],Dyno_Data[RecordType],"Activities",Dyno_Data[DelOrig],"OppW", Dyno_Data[DelMiss],"1")</f>
        <v>0</v>
      </c>
      <c r="BJ320" s="60">
        <f>IFERROR(SUM((TBA_Matches_All[[#This Row],[OZflrT]])/(TBA_Matches_All[[#This Row],[OZflrT]]+TBA_Matches_All[[#This Row],[OZflrM]])),0)</f>
        <v>0</v>
      </c>
      <c r="BK320">
        <f>COUNTIFS(Dyno_Data[Team],TBA_Matches_All[[#This Row],[Team]],Dyno_Data[Match],TBA_Matches_All[[#This Row],[Match_Number]],Dyno_Data[RecordType],"Activities",Dyno_Data[DelOrig],"Neut", Dyno_Data[DelMiss],"0")</f>
        <v>1</v>
      </c>
      <c r="BL320">
        <f>COUNTIFS(Dyno_Data[Team],TBA_Matches_All[[#This Row],[Team]],Dyno_Data[Match],TBA_Matches_All[[#This Row],[Match_Number]],Dyno_Data[RecordType],"Activities",Dyno_Data[DelOrig],"Neut", Dyno_Data[DelMiss],"1")</f>
        <v>0</v>
      </c>
      <c r="BM320" s="60">
        <f>IFERROR(SUM((TBA_Matches_All[[#This Row],[NZflrT]])/(TBA_Matches_All[[#This Row],[NZflrT]]+TBA_Matches_All[[#This Row],[NZflrM]])),0)</f>
        <v>1</v>
      </c>
      <c r="BN320">
        <f>COUNTIFS(Dyno_Data[Team],TBA_Matches_All[[#This Row],[Team]],Dyno_Data[Match],TBA_Matches_All[[#This Row],[Match_Number]],Dyno_Data[RecordType],"Activities",Dyno_Data[DelOrig],"AllyW", Dyno_Data[DelMiss],"0")</f>
        <v>0</v>
      </c>
      <c r="BO320">
        <f>COUNTIFS(Dyno_Data[Team],TBA_Matches_All[[#This Row],[Team]],Dyno_Data[Match],TBA_Matches_All[[#This Row],[Match_Number]],Dyno_Data[RecordType],"Activities",Dyno_Data[DelOrig],"AllyW", Dyno_Data[DelMiss],"1")</f>
        <v>0</v>
      </c>
      <c r="BP320" s="60">
        <f>IFERROR(SUM((TBA_Matches_All[[#This Row],[AZflrT]])/(TBA_Matches_All[[#This Row],[AZflrT]]+TBA_Matches_All[[#This Row],[AZflrM]])),0)</f>
        <v>0</v>
      </c>
      <c r="BQ320">
        <f>COUNTIFS(Dyno_Data[Team],TBA_Matches_All[[#This Row],[Team]],Dyno_Data[Match],TBA_Matches_All[[#This Row],[Match_Number]],Dyno_Data[RecordType],"Activities",Dyno_Data[DelOrig],"SubW", Dyno_Data[DelMiss],"0")</f>
        <v>2</v>
      </c>
      <c r="BR320">
        <f>COUNTIFS(Dyno_Data[Team],TBA_Matches_All[[#This Row],[Team]],Dyno_Data[Match],TBA_Matches_All[[#This Row],[Match_Number]],Dyno_Data[RecordType],"Activities",Dyno_Data[DelOrig],"SubW", Dyno_Data[DelMiss],"1")</f>
        <v>1</v>
      </c>
      <c r="BS320" s="60">
        <f>IFERROR(SUM((TBA_Matches_All[[#This Row],[SubwT]])/(TBA_Matches_All[[#This Row],[SubwT]]+TBA_Matches_All[[#This Row],[SubwM]])),0)</f>
        <v>0.66666666666666663</v>
      </c>
      <c r="BT320">
        <f>COUNTIFS(Dyno_Data[Team],TBA_Matches_All[[#This Row],[Team]],Dyno_Data[Match],TBA_Matches_All[[#This Row],[Match_Number]],Dyno_Data[RecordType],"Activities", Dyno_Data[AcqLoc],"OppWing")</f>
        <v>0</v>
      </c>
      <c r="BU320">
        <f>COUNTIFS(Dyno_Data[Team],TBA_Matches_All[[#This Row],[Team]],Dyno_Data[Match],TBA_Matches_All[[#This Row],[Match_Number]],Dyno_Data[RecordType],"Activities", Dyno_Data[AcqLoc],"Neutral")</f>
        <v>0</v>
      </c>
      <c r="BV320">
        <f>COUNTIFS(Dyno_Data[Team],TBA_Matches_All[[#This Row],[Team]],Dyno_Data[Match],TBA_Matches_All[[#This Row],[Match_Number]],Dyno_Data[RecordType],"Activities", Dyno_Data[AcqLoc],"AllyWing")</f>
        <v>0</v>
      </c>
      <c r="BW320">
        <f>COUNTIFS(Dyno_Data[Team],TBA_Matches_All[[#This Row],[Team]],Dyno_Data[Match],TBA_Matches_All[[#This Row],[Match_Number]],Dyno_Data[RecordType],"Activities", Dyno_Data[AcqLoc],"Source")</f>
        <v>0</v>
      </c>
      <c r="BX320">
        <f>SUMIFS(Dyno_Data[AcqDrp], Dyno_Data[Team],TBA_Matches_All[[#This Row],[Team]],Dyno_Data[Match],TBA_Matches_All[[#This Row],[Match_Number]],Dyno_Data[RecordType],"Activities", Dyno_Data[AcqLoc],"Source")</f>
        <v>0</v>
      </c>
      <c r="BY320">
        <f>SUMIFS(Dyno_Data[OZTime], Dyno_Data[Team],TBA_Matches_All[[#This Row],[Team]],Dyno_Data[Match],TBA_Matches_All[[#This Row],[Match_Number]],Dyno_Data[RecordType],"EndMatch")</f>
        <v>78.037042499999998</v>
      </c>
      <c r="BZ320">
        <f>SUMIFS(Dyno_Data[NZTime], Dyno_Data[Team],TBA_Matches_All[[#This Row],[Team]],Dyno_Data[Match],TBA_Matches_All[[#This Row],[Match_Number]],Dyno_Data[RecordType],"EndMatch")</f>
        <v>51.5325104</v>
      </c>
      <c r="CA320">
        <f>SUMIFS(Dyno_Data[AZTime], Dyno_Data[Team],TBA_Matches_All[[#This Row],[Team]],Dyno_Data[Match],TBA_Matches_All[[#This Row],[Match_Number]],Dyno_Data[RecordType],"EndMatch")</f>
        <v>7.4308228999999999</v>
      </c>
      <c r="CB320">
        <f>SUMIFS(Dyno_Data[ClimbT], Dyno_Data[Team],TBA_Matches_All[[#This Row],[Team]],Dyno_Data[Match],TBA_Matches_All[[#This Row],[Match_Number]],Dyno_Data[RecordType],"EndMatch")</f>
        <v>0</v>
      </c>
      <c r="CC320" t="str">
        <f>_xlfn.XLOOKUP(SUM(MID(TBA_Matches_All[[#This Row],[Team]],4,5),(TBA_Matches_All[[#This Row],[Match_Number]]/100)),Dyno_EndMatch[teammat],Dyno_EndMatch[StageStat],"_",0,1)</f>
        <v>Park</v>
      </c>
      <c r="CD320" t="str">
        <f>_xlfn.XLOOKUP(TBA_Matches_All[[#This Row],[teammat]],Dyno_EndMatch[teammat],Dyno_EndMatch[StageAtt],"_",0,1)</f>
        <v>0</v>
      </c>
      <c r="CE320" t="str">
        <f>_xlfn.XLOOKUP(TBA_Matches_All[[#This Row],[teammat]],Dyno_EndMatch[teammat],Dyno_EndMatch[StageLoc],"_",0,1)</f>
        <v>A</v>
      </c>
      <c r="CF320">
        <f>SUMIFS(Dyno_Data[Harmony], Dyno_Data[Team],TBA_Matches_All[[#This Row],[Team]],Dyno_Data[Match],TBA_Matches_All[[#This Row],[Match_Number]],Dyno_Data[RecordType],"EndMatch", Dyno_Data[StageStat],"On",Dyno_Data[Harmony],"&lt;&gt;9")</f>
        <v>0</v>
      </c>
      <c r="CG320">
        <f>SUMIFS(Dyno_Data[Spotlit], Dyno_Data[Team],TBA_Matches_All[[#This Row],[Team]],Dyno_Data[Match],TBA_Matches_All[[#This Row],[Match_Number]],Dyno_Data[RecordType],"EndMatch", Dyno_Data[StageStat],"On",Dyno_Data[Spotlit],"&lt;&gt;9")</f>
        <v>0</v>
      </c>
      <c r="CH320" t="str">
        <f>_xlfn.XLOOKUP(TBA_Matches_All[[#This Row],[teammat]],Dyno_EndMatch[teammat],Dyno_EndMatch[Strategy],"_",0,1)</f>
        <v>Mover</v>
      </c>
      <c r="CI320">
        <f>SUMIFS(Dyno_Data[Defense], Dyno_Data[Team],TBA_Matches_All[[#This Row],[Team]],Dyno_Data[Match],TBA_Matches_All[[#This Row],[Match_Number]],Dyno_Data[RecordType],"EndMatch",Dyno_Data[Defense],"&lt;&gt;9")</f>
        <v>0</v>
      </c>
      <c r="CJ320">
        <f>SUMIFS(Dyno_Data[Avoidance], Dyno_Data[Team],TBA_Matches_All[[#This Row],[Team]],Dyno_Data[Match],TBA_Matches_All[[#This Row],[Match_Number]],Dyno_Data[RecordType],"EndMatch",Dyno_Data[Avoidance],"&lt;&gt;9")</f>
        <v>0</v>
      </c>
      <c r="CK320" s="82">
        <f>COUNTIF($H$2:TBA_Matches_All[[#This Row],[Team]],TBA_Matches_All[[#This Row],[Team]])</f>
        <v>7</v>
      </c>
      <c r="CL320" s="111">
        <f>SUM(MID(TBA_Matches_All[[#This Row],[Team]],4,5)+TBA_Matches_All[[#This Row],[Match_Number]]/100)</f>
        <v>1493.53</v>
      </c>
      <c r="CM320">
        <f>SUM((TBA_Matches_All[[#This Row],[Leave]]*2)+(TBA_Matches_All[[#This Row],[AampT]]*2)+(TBA_Matches_All[[#This Row],[AspkrT]]*5)+(TBA_Matches_All[[#This Row],[AtrapT]]*5))</f>
        <v>12</v>
      </c>
      <c r="CN320" s="59">
        <f>IFERROR(SUM(TBA_Matches_All[[#This Row],[AptsT]]/TBA_Matches_All[[#This Row],[AutoPts]]),0)</f>
        <v>0.5</v>
      </c>
      <c r="CO320" s="59">
        <f>IFERROR(SUM(TBA_Matches_All[[#This Row],[AampT]]+TBA_Matches_All[[#This Row],[AspkrT]]+TBA_Matches_All[[#This Row],[AtrapT]]/TBA_Matches_All[[#This Row],[Aamp]]+TBA_Matches_All[[#This Row],[Aspkr]]+TBA_Matches_All[[#This Row],[AtrapT]]),0)</f>
        <v>0</v>
      </c>
      <c r="CP320" s="59">
        <f>IFERROR(SUM(TBA_Matches_All[[#This Row],[TampT]]/TBA_Matches_All[[#This Row],[Tamp]]),0)</f>
        <v>0</v>
      </c>
      <c r="CQ320" s="59">
        <f>IFERROR(SUM(TBA_Matches_All[[#This Row],[TspkrT]]/TBA_Matches_All[[#This Row],[Tspkr]]),0)</f>
        <v>7.1428571428571425E-2</v>
      </c>
      <c r="CR320">
        <f>SUM(TBA_Matches_All[[#This Row],[TspkrPts]]*TBA_Matches_All[[#This Row],[TspkrP]])</f>
        <v>3.9285714285714284</v>
      </c>
      <c r="CS320" s="59">
        <f>IFERROR(SUM(TBA_Matches_All[[#This Row],[TtrapT]]/TBA_Matches_All[[#This Row],[Trap]]),0)</f>
        <v>0</v>
      </c>
      <c r="CT320" s="59">
        <f>IFERROR(SUM(TBA_Matches_All[[#This Row],[TotNotesT]]/TBA_Matches_All[[#This Row],[TotNotes]]),0)</f>
        <v>0.1111111111111111</v>
      </c>
      <c r="CU320" s="66">
        <f>SUM((TBA_Matches_All[[#This Row],[AampT]]*2)+(TBA_Matches_All[[#This Row],[AspkrT]]*5)+(TBA_Matches_All[[#This Row],[AtrapT]]*5)+(TBA_Matches_All[[#This Row],[TampT]]*1)+(TBA_Matches_All[[#This Row],[TspkrptsC]]))</f>
        <v>13.928571428571429</v>
      </c>
      <c r="CV320" s="59">
        <f>IFERROR(TBA_Matches_All[[#This Row],[noteptsT]]/TBA_Matches_All[[#This Row],[NotePts]],0)</f>
        <v>0.16581632653061223</v>
      </c>
      <c r="CW320">
        <f>SUM(IF(TBA_Matches_All[[#This Row],[stageStat]]="On",3,0),IF(TBA_Matches_All[[#This Row],[stageStat]]="Park",1,0),SUMIFS(TBA_Matches_All[[#This Row],[Spotlit]],TBA_Matches_All[[#This Row],[stageStat]],"On"),SUMIFS(TBA_Matches_All[[#This Row],[Harmony]],TBA_Matches_All[[#This Row],[stageStat]],"On"))</f>
        <v>1</v>
      </c>
      <c r="CX320" s="59">
        <f>IFERROR(TBA_Matches_All[[#This Row],[stageptsT]]/TBA_Matches_All[[#This Row],[StagePts]],0)</f>
        <v>0.33333333333333331</v>
      </c>
      <c r="CY320">
        <f>SUM((TBA_Matches_All[[#This Row],[AptsT]]+TBA_Matches_All[[#This Row],[TampT]]+TBA_Matches_All[[#This Row],[TspkrptsC]]+(TBA_Matches_All[[#This Row],[TtrapT]]*5)+TBA_Matches_All[[#This Row],[stageptsT]]))</f>
        <v>16.928571428571431</v>
      </c>
      <c r="CZ320" s="59">
        <f>IFERROR(SUM(TBA_Matches_All[[#This Row],[TotptsC]]/TBA_Matches_All[[#This Row],[Score]]),0)</f>
        <v>0.16760961810466762</v>
      </c>
      <c r="DA32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13.799999999999999</v>
      </c>
      <c r="DB320" s="74">
        <f>SUMIFS(TBA_Matches_All[AveTeamTNoteDels],TBA_Matches_All[Match_Number],TBA_Matches_All[[#This Row],[Match_Number]],TBA_Matches_All[Alliance],"&lt;&gt;"&amp;TBA_Matches_All[[#This Row],[Alliance]],TBA_Matches_All[Scouted],"&gt;0")</f>
        <v>6.5922727272727268</v>
      </c>
      <c r="DC320" s="74">
        <f>(TBA_Matches_All[[#This Row],[TampT]]+TBA_Matches_All[[#This Row],[TspkrptsC]])-TBA_Matches_All[[#This Row],[AveTeamTNoteDels]]</f>
        <v>-9.8714285714285701</v>
      </c>
      <c r="DD320" s="74">
        <f>SUMIFS(TBA_Matches_All[AveTeamTNoteDels],TBA_Matches_All[Match_Number],TBA_Matches_All[[#This Row],[Match_Number]],TBA_Matches_All[Alliance],"&lt;&gt;"&amp;TBA_Matches_All[[#This Row],[Alliance]])-TBA_Matches_All[[#This Row],[AveOppTNoteDels]]</f>
        <v>0</v>
      </c>
    </row>
    <row r="321" spans="1:108" x14ac:dyDescent="0.3">
      <c r="A321" t="s">
        <v>1042</v>
      </c>
      <c r="B321" t="s">
        <v>489</v>
      </c>
      <c r="C321" t="s">
        <v>1363</v>
      </c>
      <c r="D321">
        <v>54</v>
      </c>
      <c r="E321" t="s">
        <v>1420</v>
      </c>
      <c r="F321" t="s">
        <v>1425</v>
      </c>
      <c r="G321" t="s">
        <v>105</v>
      </c>
      <c r="H321" t="s">
        <v>1298</v>
      </c>
      <c r="I321" t="b">
        <v>1</v>
      </c>
      <c r="J321">
        <v>34</v>
      </c>
      <c r="K321">
        <v>0</v>
      </c>
      <c r="L321">
        <v>0</v>
      </c>
      <c r="M321">
        <v>0</v>
      </c>
      <c r="N321">
        <v>0</v>
      </c>
      <c r="O321">
        <v>2</v>
      </c>
      <c r="P321">
        <v>10</v>
      </c>
      <c r="Q321">
        <v>12</v>
      </c>
      <c r="R321">
        <v>1</v>
      </c>
      <c r="S321">
        <v>0</v>
      </c>
      <c r="T321">
        <v>7</v>
      </c>
      <c r="U321">
        <v>0</v>
      </c>
      <c r="V321">
        <v>14</v>
      </c>
      <c r="W321">
        <v>7</v>
      </c>
      <c r="X321">
        <v>14</v>
      </c>
      <c r="Y321">
        <v>15</v>
      </c>
      <c r="Z321">
        <v>0</v>
      </c>
      <c r="AA321">
        <v>0</v>
      </c>
      <c r="AB321">
        <v>10</v>
      </c>
      <c r="AC321">
        <v>25</v>
      </c>
      <c r="AD321">
        <v>5</v>
      </c>
      <c r="AE321">
        <f>IFERROR(6/(COUNTIF(Dyno_EndMatch[Match],TBA_Matches_All[[#This Row],[Match_Number]])),0)</f>
        <v>1</v>
      </c>
      <c r="AF321">
        <f>COUNTIFS(Dyno_Data[Team],TBA_Matches_All[[#This Row],[Team]],Dyno_Data[Match],TBA_Matches_All[[#This Row],[Match_Number]],Dyno_Data[RecordType],"EndMatch",Dyno_Data[HPAmp],"Y")</f>
        <v>1</v>
      </c>
      <c r="AG321">
        <f>SUMIFS(Dyno_Data[Mics], Dyno_Data[Team],TBA_Matches_All[[#This Row],[Team]],Dyno_Data[Match],TBA_Matches_All[[#This Row],[Match_Number]],Dyno_Data[RecordType],"EndMatch",Dyno_Data[HPAmp],"Y")</f>
        <v>0</v>
      </c>
      <c r="AH321">
        <f>SUMIFS(Dyno_Data[Leave], Dyno_Data[Team],TBA_Matches_All[[#This Row],[Team]],Dyno_Data[Match],TBA_Matches_All[[#This Row],[Match_Number]],Dyno_Data[RecordType],"EndAuto")</f>
        <v>1</v>
      </c>
      <c r="AI321">
        <f>COUNTIFS(Dyno_Data[Team],TBA_Matches_All[[#This Row],[Team]],Dyno_Data[Match],TBA_Matches_All[[#This Row],[Match_Number]],Dyno_Data[RecordType],"Activities",Dyno_Data[DelDest],"Amp", Dyno_Data[DelMiss],"0", Dyno_Data[Mode],"Auto")</f>
        <v>0</v>
      </c>
      <c r="AJ321">
        <f>COUNTIFS(Dyno_Data[Team],TBA_Matches_All[[#This Row],[Team]],Dyno_Data[Match],TBA_Matches_All[[#This Row],[Match_Number]],Dyno_Data[RecordType],"Activities",Dyno_Data[DelDest],"Spkr", Dyno_Data[DelMiss],"0", Dyno_Data[Mode],"Auto")</f>
        <v>1</v>
      </c>
      <c r="AK321">
        <f>COUNTIFS(Dyno_Data[Team],TBA_Matches_All[[#This Row],[Team]],Dyno_Data[Match],TBA_Matches_All[[#This Row],[Match_Number]],Dyno_Data[RecordType],"Activities",Dyno_Data[DelDest],"Trap", Dyno_Data[DelMiss],"0", Dyno_Data[Mode],"Auto")</f>
        <v>0</v>
      </c>
      <c r="AL321">
        <f>COUNTIFS(Dyno_Data[Team],TBA_Matches_All[[#This Row],[Team]],Dyno_Data[Match],TBA_Matches_All[[#This Row],[Match_Number]],Dyno_Data[RecordType],"Activities",Dyno_Data[DelDest],"Amp", Dyno_Data[DelMiss],"0", Dyno_Data[Mode],"Teleop")</f>
        <v>1</v>
      </c>
      <c r="AM321">
        <f>COUNTIFS(Dyno_Data[Team],TBA_Matches_All[[#This Row],[Team]],Dyno_Data[Match],TBA_Matches_All[[#This Row],[Match_Number]],Dyno_Data[RecordType],"Activities",Dyno_Data[DelDest],"Spkr", Dyno_Data[DelMiss],"0", Dyno_Data[Mode],"Teleop")</f>
        <v>7</v>
      </c>
      <c r="AN321">
        <f>COUNTIFS(Dyno_Data[Team],TBA_Matches_All[[#This Row],[Team]],Dyno_Data[Match],TBA_Matches_All[[#This Row],[Match_Number]],Dyno_Data[RecordType],"Activities",Dyno_Data[DelDest],"Trap", Dyno_Data[DelMiss],"0", Dyno_Data[Mode],"&lt;&gt;Auto")</f>
        <v>0</v>
      </c>
      <c r="AO321">
        <f>SUM(TBA_Matches_All[[#This Row],[AampT]]+TBA_Matches_All[[#This Row],[AspkrT]]+TBA_Matches_All[[#This Row],[AtrapT]]+TBA_Matches_All[[#This Row],[TampT]]+TBA_Matches_All[[#This Row],[TspkrT]]+TBA_Matches_All[[#This Row],[TtrapT]])</f>
        <v>9</v>
      </c>
      <c r="AP321">
        <f>COUNTIFS(Dyno_Data[Team],TBA_Matches_All[[#This Row],[Team]],Dyno_Data[Match],TBA_Matches_All[[#This Row],[Match_Number]],Dyno_Data[RecordType],"Activities",Dyno_Data[DelDest],"Neut", Dyno_Data[DelMiss],"0")</f>
        <v>0</v>
      </c>
      <c r="AQ321">
        <f>COUNTIFS(Dyno_Data[Team],TBA_Matches_All[[#This Row],[Team]],Dyno_Data[Match],TBA_Matches_All[[#This Row],[Match_Number]],Dyno_Data[RecordType],"Activities",Dyno_Data[DelDest],"AllyW", Dyno_Data[DelMiss],"0")</f>
        <v>0</v>
      </c>
      <c r="AR321" t="str">
        <f>_xlfn.XLOOKUP(SUM(MID(TBA_Matches_All[[#This Row],[Team]],4,5),(TBA_Matches_All[[#This Row],[Match_Number]]/100)),Dyno_EndMatch[teammat],Dyno_EndMatch[RobotSta],"_",0,1)</f>
        <v>SubW</v>
      </c>
      <c r="AS321">
        <f>SUMIFS(Dyno_Data[AcqDis], Dyno_Data[Team],TBA_Matches_All[[#This Row],[Team]],Dyno_Data[Match],TBA_Matches_All[[#This Row],[Match_Number]],Dyno_Data[RecordType],"Activities", Dyno_Data[AcqCenter],1,Dyno_Data[Mode],"Auto")</f>
        <v>0</v>
      </c>
      <c r="AT321">
        <f>SUMIFS(Dyno_Data[AcqDis], Dyno_Data[Team],TBA_Matches_All[[#This Row],[Team]],Dyno_Data[Match],TBA_Matches_All[[#This Row],[Match_Number]],Dyno_Data[RecordType],"Activities", Dyno_Data[AcqCenter],2,Dyno_Data[Mode],"Auto")</f>
        <v>0</v>
      </c>
      <c r="AU321">
        <f>SUMIFS(Dyno_Data[AcqDis], Dyno_Data[Team],TBA_Matches_All[[#This Row],[Team]],Dyno_Data[Match],TBA_Matches_All[[#This Row],[Match_Number]],Dyno_Data[RecordType],"Activities", Dyno_Data[AcqCenter],3,Dyno_Data[Mode],"Auto")</f>
        <v>0</v>
      </c>
      <c r="AV321">
        <f>SUMIFS(Dyno_Data[AcqDis], Dyno_Data[Team],TBA_Matches_All[[#This Row],[Team]],Dyno_Data[Match],TBA_Matches_All[[#This Row],[Match_Number]],Dyno_Data[RecordType],"Activities", Dyno_Data[AcqCenter],4,Dyno_Data[Mode],"Auto")</f>
        <v>0</v>
      </c>
      <c r="AW321">
        <f>SUMIFS(Dyno_Data[AcqDis], Dyno_Data[Team],TBA_Matches_All[[#This Row],[Team]],Dyno_Data[Match],TBA_Matches_All[[#This Row],[Match_Number]],Dyno_Data[RecordType],"Activities", Dyno_Data[AcqCenter],5,Dyno_Data[Mode],"Auto")</f>
        <v>0</v>
      </c>
      <c r="AX321">
        <f>SUMIFS(Dyno_Data[DelMiss], Dyno_Data[Team],TBA_Matches_All[[#This Row],[Team]],Dyno_Data[Match],TBA_Matches_All[[#This Row],[Match_Number]],Dyno_Data[RecordType],"Activities", Dyno_Data[DelDest],"Amp")</f>
        <v>0</v>
      </c>
      <c r="AY321" s="60">
        <f>IFERROR(SUM((TBA_Matches_All[[#This Row],[AampT]]+TBA_Matches_All[[#This Row],[TampT]])/(TBA_Matches_All[[#This Row],[AampT]]+TBA_Matches_All[[#This Row],[TampT]]+TBA_Matches_All[[#This Row],[ampM]])),0)</f>
        <v>1</v>
      </c>
      <c r="AZ321">
        <f>SUMIFS(Dyno_Data[DelMiss], Dyno_Data[Team],TBA_Matches_All[[#This Row],[Team]],Dyno_Data[Match],TBA_Matches_All[[#This Row],[Match_Number]],Dyno_Data[RecordType],"Activities", Dyno_Data[DelDest],"Spkr")</f>
        <v>0</v>
      </c>
      <c r="BA321" s="60">
        <f>IFERROR(SUM((TBA_Matches_All[[#This Row],[AspkrT]]+TBA_Matches_All[[#This Row],[TspkrT]])/(TBA_Matches_All[[#This Row],[AspkrT]]+TBA_Matches_All[[#This Row],[TspkrT]]+TBA_Matches_All[[#This Row],[spkrM]])),0)</f>
        <v>1</v>
      </c>
      <c r="BB321">
        <f>SUMIFS(Dyno_Data[DelMiss], Dyno_Data[Team],TBA_Matches_All[[#This Row],[Team]],Dyno_Data[Match],TBA_Matches_All[[#This Row],[Match_Number]],Dyno_Data[RecordType],"Activities", Dyno_Data[DelDest],"Trap")</f>
        <v>0</v>
      </c>
      <c r="BC321" s="60">
        <f>IFERROR((TBA_Matches_All[[#This Row],[AtrapT]]+TBA_Matches_All[[#This Row],[TtrapT]])/(TBA_Matches_All[[#This Row],[AtrapT]]+TBA_Matches_All[[#This Row],[TtrapT]]+TBA_Matches_All[[#This Row],[trapM]]),0)</f>
        <v>0</v>
      </c>
      <c r="BD321">
        <f>COUNTIFS(Dyno_Data[Team],TBA_Matches_All[[#This Row],[Team]],Dyno_Data[Match],TBA_Matches_All[[#This Row],[Match_Number]],Dyno_Data[RecordType],"Activities",Dyno_Data[DelDest],"Neut", Dyno_Data[DelMiss],1)</f>
        <v>0</v>
      </c>
      <c r="BE321" s="60">
        <f>IFERROR(SUM((TBA_Matches_All[[#This Row],[NeutFlrT]])/(TBA_Matches_All[[#This Row],[NeutFlrT]]+TBA_Matches_All[[#This Row],[NZflM]])),0)</f>
        <v>0</v>
      </c>
      <c r="BF321">
        <f>COUNTIFS(Dyno_Data[Team],TBA_Matches_All[[#This Row],[Team]],Dyno_Data[Match],TBA_Matches_All[[#This Row],[Match_Number]],Dyno_Data[RecordType],"Activities",Dyno_Data[DelDest],"AllyW", Dyno_Data[DelMiss],1)</f>
        <v>0</v>
      </c>
      <c r="BG321" s="60">
        <f>IFERROR(SUM((TBA_Matches_All[[#This Row],[AllyWFlrT]])/(TBA_Matches_All[[#This Row],[AllyWFlrT]]+TBA_Matches_All[[#This Row],[AZflM]])),0)</f>
        <v>0</v>
      </c>
      <c r="BH321">
        <f>COUNTIFS(Dyno_Data[Team],TBA_Matches_All[[#This Row],[Team]],Dyno_Data[Match],TBA_Matches_All[[#This Row],[Match_Number]],Dyno_Data[RecordType],"Activities",Dyno_Data[DelOrig],"OppW", Dyno_Data[DelMiss],"0")</f>
        <v>0</v>
      </c>
      <c r="BI321">
        <f>COUNTIFS(Dyno_Data[Team],TBA_Matches_All[[#This Row],[Team]],Dyno_Data[Match],TBA_Matches_All[[#This Row],[Match_Number]],Dyno_Data[RecordType],"Activities",Dyno_Data[DelOrig],"OppW", Dyno_Data[DelMiss],"1")</f>
        <v>0</v>
      </c>
      <c r="BJ321" s="60">
        <f>IFERROR(SUM((TBA_Matches_All[[#This Row],[OZflrT]])/(TBA_Matches_All[[#This Row],[OZflrT]]+TBA_Matches_All[[#This Row],[OZflrM]])),0)</f>
        <v>0</v>
      </c>
      <c r="BK321">
        <f>COUNTIFS(Dyno_Data[Team],TBA_Matches_All[[#This Row],[Team]],Dyno_Data[Match],TBA_Matches_All[[#This Row],[Match_Number]],Dyno_Data[RecordType],"Activities",Dyno_Data[DelOrig],"Neut", Dyno_Data[DelMiss],"0")</f>
        <v>0</v>
      </c>
      <c r="BL321">
        <f>COUNTIFS(Dyno_Data[Team],TBA_Matches_All[[#This Row],[Team]],Dyno_Data[Match],TBA_Matches_All[[#This Row],[Match_Number]],Dyno_Data[RecordType],"Activities",Dyno_Data[DelOrig],"Neut", Dyno_Data[DelMiss],"1")</f>
        <v>0</v>
      </c>
      <c r="BM321" s="60">
        <f>IFERROR(SUM((TBA_Matches_All[[#This Row],[NZflrT]])/(TBA_Matches_All[[#This Row],[NZflrT]]+TBA_Matches_All[[#This Row],[NZflrM]])),0)</f>
        <v>0</v>
      </c>
      <c r="BN321">
        <f>COUNTIFS(Dyno_Data[Team],TBA_Matches_All[[#This Row],[Team]],Dyno_Data[Match],TBA_Matches_All[[#This Row],[Match_Number]],Dyno_Data[RecordType],"Activities",Dyno_Data[DelOrig],"AllyW", Dyno_Data[DelMiss],"0")</f>
        <v>1</v>
      </c>
      <c r="BO321">
        <f>COUNTIFS(Dyno_Data[Team],TBA_Matches_All[[#This Row],[Team]],Dyno_Data[Match],TBA_Matches_All[[#This Row],[Match_Number]],Dyno_Data[RecordType],"Activities",Dyno_Data[DelOrig],"AllyW", Dyno_Data[DelMiss],"1")</f>
        <v>0</v>
      </c>
      <c r="BP321" s="60">
        <f>IFERROR(SUM((TBA_Matches_All[[#This Row],[AZflrT]])/(TBA_Matches_All[[#This Row],[AZflrT]]+TBA_Matches_All[[#This Row],[AZflrM]])),0)</f>
        <v>1</v>
      </c>
      <c r="BQ321">
        <f>COUNTIFS(Dyno_Data[Team],TBA_Matches_All[[#This Row],[Team]],Dyno_Data[Match],TBA_Matches_All[[#This Row],[Match_Number]],Dyno_Data[RecordType],"Activities",Dyno_Data[DelOrig],"SubW", Dyno_Data[DelMiss],"0")</f>
        <v>8</v>
      </c>
      <c r="BR321">
        <f>COUNTIFS(Dyno_Data[Team],TBA_Matches_All[[#This Row],[Team]],Dyno_Data[Match],TBA_Matches_All[[#This Row],[Match_Number]],Dyno_Data[RecordType],"Activities",Dyno_Data[DelOrig],"SubW", Dyno_Data[DelMiss],"1")</f>
        <v>0</v>
      </c>
      <c r="BS321" s="60">
        <f>IFERROR(SUM((TBA_Matches_All[[#This Row],[SubwT]])/(TBA_Matches_All[[#This Row],[SubwT]]+TBA_Matches_All[[#This Row],[SubwM]])),0)</f>
        <v>1</v>
      </c>
      <c r="BT321">
        <f>COUNTIFS(Dyno_Data[Team],TBA_Matches_All[[#This Row],[Team]],Dyno_Data[Match],TBA_Matches_All[[#This Row],[Match_Number]],Dyno_Data[RecordType],"Activities", Dyno_Data[AcqLoc],"OppWing")</f>
        <v>0</v>
      </c>
      <c r="BU321">
        <f>COUNTIFS(Dyno_Data[Team],TBA_Matches_All[[#This Row],[Team]],Dyno_Data[Match],TBA_Matches_All[[#This Row],[Match_Number]],Dyno_Data[RecordType],"Activities", Dyno_Data[AcqLoc],"Neutral")</f>
        <v>0</v>
      </c>
      <c r="BV321">
        <f>COUNTIFS(Dyno_Data[Team],TBA_Matches_All[[#This Row],[Team]],Dyno_Data[Match],TBA_Matches_All[[#This Row],[Match_Number]],Dyno_Data[RecordType],"Activities", Dyno_Data[AcqLoc],"AllyWing")</f>
        <v>0</v>
      </c>
      <c r="BW321">
        <f>COUNTIFS(Dyno_Data[Team],TBA_Matches_All[[#This Row],[Team]],Dyno_Data[Match],TBA_Matches_All[[#This Row],[Match_Number]],Dyno_Data[RecordType],"Activities", Dyno_Data[AcqLoc],"Source")</f>
        <v>0</v>
      </c>
      <c r="BX321">
        <f>SUMIFS(Dyno_Data[AcqDrp], Dyno_Data[Team],TBA_Matches_All[[#This Row],[Team]],Dyno_Data[Match],TBA_Matches_All[[#This Row],[Match_Number]],Dyno_Data[RecordType],"Activities", Dyno_Data[AcqLoc],"Source")</f>
        <v>0</v>
      </c>
      <c r="BY321">
        <f>SUMIFS(Dyno_Data[OZTime], Dyno_Data[Team],TBA_Matches_All[[#This Row],[Team]],Dyno_Data[Match],TBA_Matches_All[[#This Row],[Match_Number]],Dyno_Data[RecordType],"EndMatch")</f>
        <v>31.935668999999997</v>
      </c>
      <c r="BZ321">
        <f>SUMIFS(Dyno_Data[NZTime], Dyno_Data[Team],TBA_Matches_All[[#This Row],[Team]],Dyno_Data[Match],TBA_Matches_All[[#This Row],[Match_Number]],Dyno_Data[RecordType],"EndMatch")</f>
        <v>24.172845599999999</v>
      </c>
      <c r="CA321">
        <f>SUMIFS(Dyno_Data[AZTime], Dyno_Data[Team],TBA_Matches_All[[#This Row],[Team]],Dyno_Data[Match],TBA_Matches_All[[#This Row],[Match_Number]],Dyno_Data[RecordType],"EndMatch")</f>
        <v>69.197861199999991</v>
      </c>
      <c r="CB321">
        <f>SUMIFS(Dyno_Data[ClimbT], Dyno_Data[Team],TBA_Matches_All[[#This Row],[Team]],Dyno_Data[Match],TBA_Matches_All[[#This Row],[Match_Number]],Dyno_Data[RecordType],"EndMatch")</f>
        <v>9.4548904999999994</v>
      </c>
      <c r="CC321" t="str">
        <f>_xlfn.XLOOKUP(SUM(MID(TBA_Matches_All[[#This Row],[Team]],4,5),(TBA_Matches_All[[#This Row],[Match_Number]]/100)),Dyno_EndMatch[teammat],Dyno_EndMatch[StageStat],"_",0,1)</f>
        <v>On</v>
      </c>
      <c r="CD321" t="str">
        <f>_xlfn.XLOOKUP(TBA_Matches_All[[#This Row],[teammat]],Dyno_EndMatch[teammat],Dyno_EndMatch[StageAtt],"_",0,1)</f>
        <v>1</v>
      </c>
      <c r="CE321" t="str">
        <f>_xlfn.XLOOKUP(TBA_Matches_All[[#This Row],[teammat]],Dyno_EndMatch[teammat],Dyno_EndMatch[StageLoc],"_",0,1)</f>
        <v>L</v>
      </c>
      <c r="CF321">
        <f>SUMIFS(Dyno_Data[Harmony], Dyno_Data[Team],TBA_Matches_All[[#This Row],[Team]],Dyno_Data[Match],TBA_Matches_All[[#This Row],[Match_Number]],Dyno_Data[RecordType],"EndMatch", Dyno_Data[StageStat],"On",Dyno_Data[Harmony],"&lt;&gt;9")</f>
        <v>0</v>
      </c>
      <c r="CG321">
        <f>SUMIFS(Dyno_Data[Spotlit], Dyno_Data[Team],TBA_Matches_All[[#This Row],[Team]],Dyno_Data[Match],TBA_Matches_All[[#This Row],[Match_Number]],Dyno_Data[RecordType],"EndMatch", Dyno_Data[StageStat],"On",Dyno_Data[Spotlit],"&lt;&gt;9")</f>
        <v>0</v>
      </c>
      <c r="CH321" t="str">
        <f>_xlfn.XLOOKUP(TBA_Matches_All[[#This Row],[teammat]],Dyno_EndMatch[teammat],Dyno_EndMatch[Strategy],"_",0,1)</f>
        <v>Hybrid</v>
      </c>
      <c r="CI321">
        <f>SUMIFS(Dyno_Data[Defense], Dyno_Data[Team],TBA_Matches_All[[#This Row],[Team]],Dyno_Data[Match],TBA_Matches_All[[#This Row],[Match_Number]],Dyno_Data[RecordType],"EndMatch",Dyno_Data[Defense],"&lt;&gt;9")</f>
        <v>0</v>
      </c>
      <c r="CJ321">
        <f>SUMIFS(Dyno_Data[Avoidance], Dyno_Data[Team],TBA_Matches_All[[#This Row],[Team]],Dyno_Data[Match],TBA_Matches_All[[#This Row],[Match_Number]],Dyno_Data[RecordType],"EndMatch",Dyno_Data[Avoidance],"&lt;&gt;9")</f>
        <v>0</v>
      </c>
      <c r="CK321" s="82">
        <f>COUNTIF($H$2:TBA_Matches_All[[#This Row],[Team]],TBA_Matches_All[[#This Row],[Team]])</f>
        <v>7</v>
      </c>
      <c r="CL321" s="111">
        <f>SUM(MID(TBA_Matches_All[[#This Row],[Team]],4,5)+TBA_Matches_All[[#This Row],[Match_Number]]/100)</f>
        <v>9624.5400000000009</v>
      </c>
      <c r="CM321">
        <f>SUM((TBA_Matches_All[[#This Row],[Leave]]*2)+(TBA_Matches_All[[#This Row],[AampT]]*2)+(TBA_Matches_All[[#This Row],[AspkrT]]*5)+(TBA_Matches_All[[#This Row],[AtrapT]]*5))</f>
        <v>7</v>
      </c>
      <c r="CN321" s="59">
        <f>IFERROR(SUM(TBA_Matches_All[[#This Row],[AptsT]]/TBA_Matches_All[[#This Row],[AutoPts]]),0)</f>
        <v>0.58333333333333337</v>
      </c>
      <c r="CO321" s="59">
        <f>IFERROR(SUM(TBA_Matches_All[[#This Row],[AampT]]+TBA_Matches_All[[#This Row],[AspkrT]]+TBA_Matches_All[[#This Row],[AtrapT]]/TBA_Matches_All[[#This Row],[Aamp]]+TBA_Matches_All[[#This Row],[Aspkr]]+TBA_Matches_All[[#This Row],[AtrapT]]),0)</f>
        <v>0</v>
      </c>
      <c r="CP321" s="59">
        <f>IFERROR(SUM(TBA_Matches_All[[#This Row],[TampT]]/TBA_Matches_All[[#This Row],[Tamp]]),0)</f>
        <v>1</v>
      </c>
      <c r="CQ321" s="59">
        <f>IFERROR(SUM(TBA_Matches_All[[#This Row],[TspkrT]]/TBA_Matches_All[[#This Row],[Tspkr]]),0)</f>
        <v>1</v>
      </c>
      <c r="CR321">
        <f>SUM(TBA_Matches_All[[#This Row],[TspkrPts]]*TBA_Matches_All[[#This Row],[TspkrP]])</f>
        <v>14</v>
      </c>
      <c r="CS321" s="59">
        <f>IFERROR(SUM(TBA_Matches_All[[#This Row],[TtrapT]]/TBA_Matches_All[[#This Row],[Trap]]),0)</f>
        <v>0</v>
      </c>
      <c r="CT321" s="59">
        <f>IFERROR(SUM(TBA_Matches_All[[#This Row],[TotNotesT]]/TBA_Matches_All[[#This Row],[TotNotes]]),0)</f>
        <v>0.9</v>
      </c>
      <c r="CU321" s="66">
        <f>SUM((TBA_Matches_All[[#This Row],[AampT]]*2)+(TBA_Matches_All[[#This Row],[AspkrT]]*5)+(TBA_Matches_All[[#This Row],[AtrapT]]*5)+(TBA_Matches_All[[#This Row],[TampT]]*1)+(TBA_Matches_All[[#This Row],[TspkrptsC]]))</f>
        <v>20</v>
      </c>
      <c r="CV321" s="59">
        <f>IFERROR(TBA_Matches_All[[#This Row],[noteptsT]]/TBA_Matches_All[[#This Row],[NotePts]],0)</f>
        <v>0.8</v>
      </c>
      <c r="CW321">
        <f>SUM(IF(TBA_Matches_All[[#This Row],[stageStat]]="On",3,0),IF(TBA_Matches_All[[#This Row],[stageStat]]="Park",1,0),SUMIFS(TBA_Matches_All[[#This Row],[Spotlit]],TBA_Matches_All[[#This Row],[stageStat]],"On"),SUMIFS(TBA_Matches_All[[#This Row],[Harmony]],TBA_Matches_All[[#This Row],[stageStat]],"On"))</f>
        <v>3</v>
      </c>
      <c r="CX321" s="59">
        <f>IFERROR(TBA_Matches_All[[#This Row],[stageptsT]]/TBA_Matches_All[[#This Row],[StagePts]],0)</f>
        <v>0.6</v>
      </c>
      <c r="CY321">
        <f>SUM((TBA_Matches_All[[#This Row],[AptsT]]+TBA_Matches_All[[#This Row],[TampT]]+TBA_Matches_All[[#This Row],[TspkrptsC]]+(TBA_Matches_All[[#This Row],[TtrapT]]*5)+TBA_Matches_All[[#This Row],[stageptsT]]))</f>
        <v>25</v>
      </c>
      <c r="CZ321" s="59">
        <f>IFERROR(SUM(TBA_Matches_All[[#This Row],[TotptsC]]/TBA_Matches_All[[#This Row],[Score]]),0)</f>
        <v>0.73529411764705888</v>
      </c>
      <c r="DA32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10.0625</v>
      </c>
      <c r="DB321" s="74">
        <f>SUMIFS(TBA_Matches_All[AveTeamTNoteDels],TBA_Matches_All[Match_Number],TBA_Matches_All[[#This Row],[Match_Number]],TBA_Matches_All[Alliance],"&lt;&gt;"&amp;TBA_Matches_All[[#This Row],[Alliance]],TBA_Matches_All[Scouted],"&gt;0")</f>
        <v>12.056923076923075</v>
      </c>
      <c r="DC321" s="74">
        <f>(TBA_Matches_All[[#This Row],[TampT]]+TBA_Matches_All[[#This Row],[TspkrptsC]])-TBA_Matches_All[[#This Row],[AveTeamTNoteDels]]</f>
        <v>4.9375</v>
      </c>
      <c r="DD321" s="74">
        <f>SUMIFS(TBA_Matches_All[AveTeamTNoteDels],TBA_Matches_All[Match_Number],TBA_Matches_All[[#This Row],[Match_Number]],TBA_Matches_All[Alliance],"&lt;&gt;"&amp;TBA_Matches_All[[#This Row],[Alliance]])-TBA_Matches_All[[#This Row],[AveOppTNoteDels]]</f>
        <v>0</v>
      </c>
    </row>
    <row r="322" spans="1:108" x14ac:dyDescent="0.3">
      <c r="A322" t="s">
        <v>1042</v>
      </c>
      <c r="B322" t="s">
        <v>489</v>
      </c>
      <c r="C322" t="s">
        <v>1363</v>
      </c>
      <c r="D322">
        <v>54</v>
      </c>
      <c r="E322" t="s">
        <v>1406</v>
      </c>
      <c r="F322" t="s">
        <v>1426</v>
      </c>
      <c r="G322" t="s">
        <v>164</v>
      </c>
      <c r="H322" t="s">
        <v>1283</v>
      </c>
      <c r="I322" t="b">
        <v>1</v>
      </c>
      <c r="J322">
        <v>32</v>
      </c>
      <c r="K322">
        <v>0</v>
      </c>
      <c r="L322">
        <v>0</v>
      </c>
      <c r="M322">
        <v>2</v>
      </c>
      <c r="N322">
        <v>0</v>
      </c>
      <c r="O322">
        <v>2</v>
      </c>
      <c r="P322">
        <v>10</v>
      </c>
      <c r="Q322">
        <v>14</v>
      </c>
      <c r="R322">
        <v>1</v>
      </c>
      <c r="S322">
        <v>0</v>
      </c>
      <c r="T322">
        <v>7</v>
      </c>
      <c r="U322">
        <v>0</v>
      </c>
      <c r="V322">
        <v>14</v>
      </c>
      <c r="W322">
        <v>7</v>
      </c>
      <c r="X322">
        <v>14</v>
      </c>
      <c r="Y322">
        <v>15</v>
      </c>
      <c r="Z322">
        <v>0</v>
      </c>
      <c r="AA322">
        <v>0</v>
      </c>
      <c r="AB322">
        <v>10</v>
      </c>
      <c r="AC322">
        <v>25</v>
      </c>
      <c r="AD322">
        <v>3</v>
      </c>
      <c r="AE322">
        <f>IFERROR(6/(COUNTIF(Dyno_EndMatch[Match],TBA_Matches_All[[#This Row],[Match_Number]])),0)</f>
        <v>1</v>
      </c>
      <c r="AF322">
        <f>COUNTIFS(Dyno_Data[Team],TBA_Matches_All[[#This Row],[Team]],Dyno_Data[Match],TBA_Matches_All[[#This Row],[Match_Number]],Dyno_Data[RecordType],"EndMatch",Dyno_Data[HPAmp],"Y")</f>
        <v>0</v>
      </c>
      <c r="AG322">
        <f>SUMIFS(Dyno_Data[Mics], Dyno_Data[Team],TBA_Matches_All[[#This Row],[Team]],Dyno_Data[Match],TBA_Matches_All[[#This Row],[Match_Number]],Dyno_Data[RecordType],"EndMatch",Dyno_Data[HPAmp],"Y")</f>
        <v>0</v>
      </c>
      <c r="AH322">
        <f>SUMIFS(Dyno_Data[Leave], Dyno_Data[Team],TBA_Matches_All[[#This Row],[Team]],Dyno_Data[Match],TBA_Matches_All[[#This Row],[Match_Number]],Dyno_Data[RecordType],"EndAuto")</f>
        <v>1</v>
      </c>
      <c r="AI322">
        <f>COUNTIFS(Dyno_Data[Team],TBA_Matches_All[[#This Row],[Team]],Dyno_Data[Match],TBA_Matches_All[[#This Row],[Match_Number]],Dyno_Data[RecordType],"Activities",Dyno_Data[DelDest],"Amp", Dyno_Data[DelMiss],"0", Dyno_Data[Mode],"Auto")</f>
        <v>0</v>
      </c>
      <c r="AJ322">
        <f>COUNTIFS(Dyno_Data[Team],TBA_Matches_All[[#This Row],[Team]],Dyno_Data[Match],TBA_Matches_All[[#This Row],[Match_Number]],Dyno_Data[RecordType],"Activities",Dyno_Data[DelDest],"Spkr", Dyno_Data[DelMiss],"0", Dyno_Data[Mode],"Auto")</f>
        <v>0</v>
      </c>
      <c r="AK322">
        <f>COUNTIFS(Dyno_Data[Team],TBA_Matches_All[[#This Row],[Team]],Dyno_Data[Match],TBA_Matches_All[[#This Row],[Match_Number]],Dyno_Data[RecordType],"Activities",Dyno_Data[DelDest],"Trap", Dyno_Data[DelMiss],"0", Dyno_Data[Mode],"Auto")</f>
        <v>0</v>
      </c>
      <c r="AL322">
        <f>COUNTIFS(Dyno_Data[Team],TBA_Matches_All[[#This Row],[Team]],Dyno_Data[Match],TBA_Matches_All[[#This Row],[Match_Number]],Dyno_Data[RecordType],"Activities",Dyno_Data[DelDest],"Amp", Dyno_Data[DelMiss],"0", Dyno_Data[Mode],"Teleop")</f>
        <v>0</v>
      </c>
      <c r="AM322">
        <f>COUNTIFS(Dyno_Data[Team],TBA_Matches_All[[#This Row],[Team]],Dyno_Data[Match],TBA_Matches_All[[#This Row],[Match_Number]],Dyno_Data[RecordType],"Activities",Dyno_Data[DelDest],"Spkr", Dyno_Data[DelMiss],"0", Dyno_Data[Mode],"Teleop")</f>
        <v>0</v>
      </c>
      <c r="AN322">
        <f>COUNTIFS(Dyno_Data[Team],TBA_Matches_All[[#This Row],[Team]],Dyno_Data[Match],TBA_Matches_All[[#This Row],[Match_Number]],Dyno_Data[RecordType],"Activities",Dyno_Data[DelDest],"Trap", Dyno_Data[DelMiss],"0", Dyno_Data[Mode],"&lt;&gt;Auto")</f>
        <v>0</v>
      </c>
      <c r="AO322">
        <f>SUM(TBA_Matches_All[[#This Row],[AampT]]+TBA_Matches_All[[#This Row],[AspkrT]]+TBA_Matches_All[[#This Row],[AtrapT]]+TBA_Matches_All[[#This Row],[TampT]]+TBA_Matches_All[[#This Row],[TspkrT]]+TBA_Matches_All[[#This Row],[TtrapT]])</f>
        <v>0</v>
      </c>
      <c r="AP322">
        <f>COUNTIFS(Dyno_Data[Team],TBA_Matches_All[[#This Row],[Team]],Dyno_Data[Match],TBA_Matches_All[[#This Row],[Match_Number]],Dyno_Data[RecordType],"Activities",Dyno_Data[DelDest],"Neut", Dyno_Data[DelMiss],"0")</f>
        <v>0</v>
      </c>
      <c r="AQ322">
        <f>COUNTIFS(Dyno_Data[Team],TBA_Matches_All[[#This Row],[Team]],Dyno_Data[Match],TBA_Matches_All[[#This Row],[Match_Number]],Dyno_Data[RecordType],"Activities",Dyno_Data[DelDest],"AllyW", Dyno_Data[DelMiss],"0")</f>
        <v>0</v>
      </c>
      <c r="AR322" t="str">
        <f>_xlfn.XLOOKUP(SUM(MID(TBA_Matches_All[[#This Row],[Team]],4,5),(TBA_Matches_All[[#This Row],[Match_Number]]/100)),Dyno_EndMatch[teammat],Dyno_EndMatch[RobotSta],"_",0,1)</f>
        <v>Podm</v>
      </c>
      <c r="AS322">
        <f>SUMIFS(Dyno_Data[AcqDis], Dyno_Data[Team],TBA_Matches_All[[#This Row],[Team]],Dyno_Data[Match],TBA_Matches_All[[#This Row],[Match_Number]],Dyno_Data[RecordType],"Activities", Dyno_Data[AcqCenter],1,Dyno_Data[Mode],"Auto")</f>
        <v>0</v>
      </c>
      <c r="AT322">
        <f>SUMIFS(Dyno_Data[AcqDis], Dyno_Data[Team],TBA_Matches_All[[#This Row],[Team]],Dyno_Data[Match],TBA_Matches_All[[#This Row],[Match_Number]],Dyno_Data[RecordType],"Activities", Dyno_Data[AcqCenter],2,Dyno_Data[Mode],"Auto")</f>
        <v>0</v>
      </c>
      <c r="AU322">
        <f>SUMIFS(Dyno_Data[AcqDis], Dyno_Data[Team],TBA_Matches_All[[#This Row],[Team]],Dyno_Data[Match],TBA_Matches_All[[#This Row],[Match_Number]],Dyno_Data[RecordType],"Activities", Dyno_Data[AcqCenter],3,Dyno_Data[Mode],"Auto")</f>
        <v>0</v>
      </c>
      <c r="AV322">
        <f>SUMIFS(Dyno_Data[AcqDis], Dyno_Data[Team],TBA_Matches_All[[#This Row],[Team]],Dyno_Data[Match],TBA_Matches_All[[#This Row],[Match_Number]],Dyno_Data[RecordType],"Activities", Dyno_Data[AcqCenter],4,Dyno_Data[Mode],"Auto")</f>
        <v>0</v>
      </c>
      <c r="AW322">
        <f>SUMIFS(Dyno_Data[AcqDis], Dyno_Data[Team],TBA_Matches_All[[#This Row],[Team]],Dyno_Data[Match],TBA_Matches_All[[#This Row],[Match_Number]],Dyno_Data[RecordType],"Activities", Dyno_Data[AcqCenter],5,Dyno_Data[Mode],"Auto")</f>
        <v>0</v>
      </c>
      <c r="AX322">
        <f>SUMIFS(Dyno_Data[DelMiss], Dyno_Data[Team],TBA_Matches_All[[#This Row],[Team]],Dyno_Data[Match],TBA_Matches_All[[#This Row],[Match_Number]],Dyno_Data[RecordType],"Activities", Dyno_Data[DelDest],"Amp")</f>
        <v>0</v>
      </c>
      <c r="AY322" s="60">
        <f>IFERROR(SUM((TBA_Matches_All[[#This Row],[AampT]]+TBA_Matches_All[[#This Row],[TampT]])/(TBA_Matches_All[[#This Row],[AampT]]+TBA_Matches_All[[#This Row],[TampT]]+TBA_Matches_All[[#This Row],[ampM]])),0)</f>
        <v>0</v>
      </c>
      <c r="AZ322">
        <f>SUMIFS(Dyno_Data[DelMiss], Dyno_Data[Team],TBA_Matches_All[[#This Row],[Team]],Dyno_Data[Match],TBA_Matches_All[[#This Row],[Match_Number]],Dyno_Data[RecordType],"Activities", Dyno_Data[DelDest],"Spkr")</f>
        <v>0</v>
      </c>
      <c r="BA322" s="60">
        <f>IFERROR(SUM((TBA_Matches_All[[#This Row],[AspkrT]]+TBA_Matches_All[[#This Row],[TspkrT]])/(TBA_Matches_All[[#This Row],[AspkrT]]+TBA_Matches_All[[#This Row],[TspkrT]]+TBA_Matches_All[[#This Row],[spkrM]])),0)</f>
        <v>0</v>
      </c>
      <c r="BB322">
        <f>SUMIFS(Dyno_Data[DelMiss], Dyno_Data[Team],TBA_Matches_All[[#This Row],[Team]],Dyno_Data[Match],TBA_Matches_All[[#This Row],[Match_Number]],Dyno_Data[RecordType],"Activities", Dyno_Data[DelDest],"Trap")</f>
        <v>0</v>
      </c>
      <c r="BC322" s="60">
        <f>IFERROR((TBA_Matches_All[[#This Row],[AtrapT]]+TBA_Matches_All[[#This Row],[TtrapT]])/(TBA_Matches_All[[#This Row],[AtrapT]]+TBA_Matches_All[[#This Row],[TtrapT]]+TBA_Matches_All[[#This Row],[trapM]]),0)</f>
        <v>0</v>
      </c>
      <c r="BD322">
        <f>COUNTIFS(Dyno_Data[Team],TBA_Matches_All[[#This Row],[Team]],Dyno_Data[Match],TBA_Matches_All[[#This Row],[Match_Number]],Dyno_Data[RecordType],"Activities",Dyno_Data[DelDest],"Neut", Dyno_Data[DelMiss],1)</f>
        <v>0</v>
      </c>
      <c r="BE322" s="60">
        <f>IFERROR(SUM((TBA_Matches_All[[#This Row],[NeutFlrT]])/(TBA_Matches_All[[#This Row],[NeutFlrT]]+TBA_Matches_All[[#This Row],[NZflM]])),0)</f>
        <v>0</v>
      </c>
      <c r="BF322">
        <f>COUNTIFS(Dyno_Data[Team],TBA_Matches_All[[#This Row],[Team]],Dyno_Data[Match],TBA_Matches_All[[#This Row],[Match_Number]],Dyno_Data[RecordType],"Activities",Dyno_Data[DelDest],"AllyW", Dyno_Data[DelMiss],1)</f>
        <v>0</v>
      </c>
      <c r="BG322" s="60">
        <f>IFERROR(SUM((TBA_Matches_All[[#This Row],[AllyWFlrT]])/(TBA_Matches_All[[#This Row],[AllyWFlrT]]+TBA_Matches_All[[#This Row],[AZflM]])),0)</f>
        <v>0</v>
      </c>
      <c r="BH322">
        <f>COUNTIFS(Dyno_Data[Team],TBA_Matches_All[[#This Row],[Team]],Dyno_Data[Match],TBA_Matches_All[[#This Row],[Match_Number]],Dyno_Data[RecordType],"Activities",Dyno_Data[DelOrig],"OppW", Dyno_Data[DelMiss],"0")</f>
        <v>0</v>
      </c>
      <c r="BI322">
        <f>COUNTIFS(Dyno_Data[Team],TBA_Matches_All[[#This Row],[Team]],Dyno_Data[Match],TBA_Matches_All[[#This Row],[Match_Number]],Dyno_Data[RecordType],"Activities",Dyno_Data[DelOrig],"OppW", Dyno_Data[DelMiss],"1")</f>
        <v>0</v>
      </c>
      <c r="BJ322" s="60">
        <f>IFERROR(SUM((TBA_Matches_All[[#This Row],[OZflrT]])/(TBA_Matches_All[[#This Row],[OZflrT]]+TBA_Matches_All[[#This Row],[OZflrM]])),0)</f>
        <v>0</v>
      </c>
      <c r="BK322">
        <f>COUNTIFS(Dyno_Data[Team],TBA_Matches_All[[#This Row],[Team]],Dyno_Data[Match],TBA_Matches_All[[#This Row],[Match_Number]],Dyno_Data[RecordType],"Activities",Dyno_Data[DelOrig],"Neut", Dyno_Data[DelMiss],"0")</f>
        <v>0</v>
      </c>
      <c r="BL322">
        <f>COUNTIFS(Dyno_Data[Team],TBA_Matches_All[[#This Row],[Team]],Dyno_Data[Match],TBA_Matches_All[[#This Row],[Match_Number]],Dyno_Data[RecordType],"Activities",Dyno_Data[DelOrig],"Neut", Dyno_Data[DelMiss],"1")</f>
        <v>0</v>
      </c>
      <c r="BM322" s="60">
        <f>IFERROR(SUM((TBA_Matches_All[[#This Row],[NZflrT]])/(TBA_Matches_All[[#This Row],[NZflrT]]+TBA_Matches_All[[#This Row],[NZflrM]])),0)</f>
        <v>0</v>
      </c>
      <c r="BN322">
        <f>COUNTIFS(Dyno_Data[Team],TBA_Matches_All[[#This Row],[Team]],Dyno_Data[Match],TBA_Matches_All[[#This Row],[Match_Number]],Dyno_Data[RecordType],"Activities",Dyno_Data[DelOrig],"AllyW", Dyno_Data[DelMiss],"0")</f>
        <v>0</v>
      </c>
      <c r="BO322">
        <f>COUNTIFS(Dyno_Data[Team],TBA_Matches_All[[#This Row],[Team]],Dyno_Data[Match],TBA_Matches_All[[#This Row],[Match_Number]],Dyno_Data[RecordType],"Activities",Dyno_Data[DelOrig],"AllyW", Dyno_Data[DelMiss],"1")</f>
        <v>0</v>
      </c>
      <c r="BP322" s="60">
        <f>IFERROR(SUM((TBA_Matches_All[[#This Row],[AZflrT]])/(TBA_Matches_All[[#This Row],[AZflrT]]+TBA_Matches_All[[#This Row],[AZflrM]])),0)</f>
        <v>0</v>
      </c>
      <c r="BQ322">
        <f>COUNTIFS(Dyno_Data[Team],TBA_Matches_All[[#This Row],[Team]],Dyno_Data[Match],TBA_Matches_All[[#This Row],[Match_Number]],Dyno_Data[RecordType],"Activities",Dyno_Data[DelOrig],"SubW", Dyno_Data[DelMiss],"0")</f>
        <v>0</v>
      </c>
      <c r="BR322">
        <f>COUNTIFS(Dyno_Data[Team],TBA_Matches_All[[#This Row],[Team]],Dyno_Data[Match],TBA_Matches_All[[#This Row],[Match_Number]],Dyno_Data[RecordType],"Activities",Dyno_Data[DelOrig],"SubW", Dyno_Data[DelMiss],"1")</f>
        <v>0</v>
      </c>
      <c r="BS322" s="60">
        <f>IFERROR(SUM((TBA_Matches_All[[#This Row],[SubwT]])/(TBA_Matches_All[[#This Row],[SubwT]]+TBA_Matches_All[[#This Row],[SubwM]])),0)</f>
        <v>0</v>
      </c>
      <c r="BT322">
        <f>COUNTIFS(Dyno_Data[Team],TBA_Matches_All[[#This Row],[Team]],Dyno_Data[Match],TBA_Matches_All[[#This Row],[Match_Number]],Dyno_Data[RecordType],"Activities", Dyno_Data[AcqLoc],"OppWing")</f>
        <v>0</v>
      </c>
      <c r="BU322">
        <f>COUNTIFS(Dyno_Data[Team],TBA_Matches_All[[#This Row],[Team]],Dyno_Data[Match],TBA_Matches_All[[#This Row],[Match_Number]],Dyno_Data[RecordType],"Activities", Dyno_Data[AcqLoc],"Neutral")</f>
        <v>0</v>
      </c>
      <c r="BV322">
        <f>COUNTIFS(Dyno_Data[Team],TBA_Matches_All[[#This Row],[Team]],Dyno_Data[Match],TBA_Matches_All[[#This Row],[Match_Number]],Dyno_Data[RecordType],"Activities", Dyno_Data[AcqLoc],"AllyWing")</f>
        <v>0</v>
      </c>
      <c r="BW322">
        <f>COUNTIFS(Dyno_Data[Team],TBA_Matches_All[[#This Row],[Team]],Dyno_Data[Match],TBA_Matches_All[[#This Row],[Match_Number]],Dyno_Data[RecordType],"Activities", Dyno_Data[AcqLoc],"Source")</f>
        <v>0</v>
      </c>
      <c r="BX322">
        <f>SUMIFS(Dyno_Data[AcqDrp], Dyno_Data[Team],TBA_Matches_All[[#This Row],[Team]],Dyno_Data[Match],TBA_Matches_All[[#This Row],[Match_Number]],Dyno_Data[RecordType],"Activities", Dyno_Data[AcqLoc],"Source")</f>
        <v>0</v>
      </c>
      <c r="BY322">
        <f>SUMIFS(Dyno_Data[OZTime], Dyno_Data[Team],TBA_Matches_All[[#This Row],[Team]],Dyno_Data[Match],TBA_Matches_All[[#This Row],[Match_Number]],Dyno_Data[RecordType],"EndMatch")</f>
        <v>0.99210599999999993</v>
      </c>
      <c r="BZ322">
        <f>SUMIFS(Dyno_Data[NZTime], Dyno_Data[Team],TBA_Matches_All[[#This Row],[Team]],Dyno_Data[Match],TBA_Matches_All[[#This Row],[Match_Number]],Dyno_Data[RecordType],"EndMatch")</f>
        <v>71.893429699999999</v>
      </c>
      <c r="CA322">
        <f>SUMIFS(Dyno_Data[AZTime], Dyno_Data[Team],TBA_Matches_All[[#This Row],[Team]],Dyno_Data[Match],TBA_Matches_All[[#This Row],[Match_Number]],Dyno_Data[RecordType],"EndMatch")</f>
        <v>62.254224099999995</v>
      </c>
      <c r="CB322">
        <f>SUMIFS(Dyno_Data[ClimbT], Dyno_Data[Team],TBA_Matches_All[[#This Row],[Team]],Dyno_Data[Match],TBA_Matches_All[[#This Row],[Match_Number]],Dyno_Data[RecordType],"EndMatch")</f>
        <v>0</v>
      </c>
      <c r="CC322" t="str">
        <f>_xlfn.XLOOKUP(SUM(MID(TBA_Matches_All[[#This Row],[Team]],4,5),(TBA_Matches_All[[#This Row],[Match_Number]]/100)),Dyno_EndMatch[teammat],Dyno_EndMatch[StageStat],"_",0,1)</f>
        <v>Park</v>
      </c>
      <c r="CD322" t="str">
        <f>_xlfn.XLOOKUP(TBA_Matches_All[[#This Row],[teammat]],Dyno_EndMatch[teammat],Dyno_EndMatch[StageAtt],"_",0,1)</f>
        <v>0</v>
      </c>
      <c r="CE322" t="str">
        <f>_xlfn.XLOOKUP(TBA_Matches_All[[#This Row],[teammat]],Dyno_EndMatch[teammat],Dyno_EndMatch[StageLoc],"_",0,1)</f>
        <v>A</v>
      </c>
      <c r="CF322">
        <f>SUMIFS(Dyno_Data[Harmony], Dyno_Data[Team],TBA_Matches_All[[#This Row],[Team]],Dyno_Data[Match],TBA_Matches_All[[#This Row],[Match_Number]],Dyno_Data[RecordType],"EndMatch", Dyno_Data[StageStat],"On",Dyno_Data[Harmony],"&lt;&gt;9")</f>
        <v>0</v>
      </c>
      <c r="CG322">
        <f>SUMIFS(Dyno_Data[Spotlit], Dyno_Data[Team],TBA_Matches_All[[#This Row],[Team]],Dyno_Data[Match],TBA_Matches_All[[#This Row],[Match_Number]],Dyno_Data[RecordType],"EndMatch", Dyno_Data[StageStat],"On",Dyno_Data[Spotlit],"&lt;&gt;9")</f>
        <v>0</v>
      </c>
      <c r="CH322" t="str">
        <f>_xlfn.XLOOKUP(TBA_Matches_All[[#This Row],[teammat]],Dyno_EndMatch[teammat],Dyno_EndMatch[Strategy],"_",0,1)</f>
        <v>Defense</v>
      </c>
      <c r="CI322">
        <f>SUMIFS(Dyno_Data[Defense], Dyno_Data[Team],TBA_Matches_All[[#This Row],[Team]],Dyno_Data[Match],TBA_Matches_All[[#This Row],[Match_Number]],Dyno_Data[RecordType],"EndMatch",Dyno_Data[Defense],"&lt;&gt;9")</f>
        <v>3</v>
      </c>
      <c r="CJ322">
        <f>SUMIFS(Dyno_Data[Avoidance], Dyno_Data[Team],TBA_Matches_All[[#This Row],[Team]],Dyno_Data[Match],TBA_Matches_All[[#This Row],[Match_Number]],Dyno_Data[RecordType],"EndMatch",Dyno_Data[Avoidance],"&lt;&gt;9")</f>
        <v>0</v>
      </c>
      <c r="CK322" s="82">
        <f>COUNTIF($H$2:TBA_Matches_All[[#This Row],[Team]],TBA_Matches_All[[#This Row],[Team]])</f>
        <v>7</v>
      </c>
      <c r="CL322" s="111">
        <f>SUM(MID(TBA_Matches_All[[#This Row],[Team]],4,5)+TBA_Matches_All[[#This Row],[Match_Number]]/100)</f>
        <v>1601.54</v>
      </c>
      <c r="CM322">
        <f>SUM((TBA_Matches_All[[#This Row],[Leave]]*2)+(TBA_Matches_All[[#This Row],[AampT]]*2)+(TBA_Matches_All[[#This Row],[AspkrT]]*5)+(TBA_Matches_All[[#This Row],[AtrapT]]*5))</f>
        <v>2</v>
      </c>
      <c r="CN322" s="59">
        <f>IFERROR(SUM(TBA_Matches_All[[#This Row],[AptsT]]/TBA_Matches_All[[#This Row],[AutoPts]]),0)</f>
        <v>0.14285714285714285</v>
      </c>
      <c r="CO322" s="59">
        <f>IFERROR(SUM(TBA_Matches_All[[#This Row],[AampT]]+TBA_Matches_All[[#This Row],[AspkrT]]+TBA_Matches_All[[#This Row],[AtrapT]]/TBA_Matches_All[[#This Row],[Aamp]]+TBA_Matches_All[[#This Row],[Aspkr]]+TBA_Matches_All[[#This Row],[AtrapT]]),0)</f>
        <v>0</v>
      </c>
      <c r="CP322" s="59">
        <f>IFERROR(SUM(TBA_Matches_All[[#This Row],[TampT]]/TBA_Matches_All[[#This Row],[Tamp]]),0)</f>
        <v>0</v>
      </c>
      <c r="CQ322" s="59">
        <f>IFERROR(SUM(TBA_Matches_All[[#This Row],[TspkrT]]/TBA_Matches_All[[#This Row],[Tspkr]]),0)</f>
        <v>0</v>
      </c>
      <c r="CR322">
        <f>SUM(TBA_Matches_All[[#This Row],[TspkrPts]]*TBA_Matches_All[[#This Row],[TspkrP]])</f>
        <v>0</v>
      </c>
      <c r="CS322" s="59">
        <f>IFERROR(SUM(TBA_Matches_All[[#This Row],[TtrapT]]/TBA_Matches_All[[#This Row],[Trap]]),0)</f>
        <v>0</v>
      </c>
      <c r="CT322" s="59">
        <f>IFERROR(SUM(TBA_Matches_All[[#This Row],[TotNotesT]]/TBA_Matches_All[[#This Row],[TotNotes]]),0)</f>
        <v>0</v>
      </c>
      <c r="CU322" s="66">
        <f>SUM((TBA_Matches_All[[#This Row],[AampT]]*2)+(TBA_Matches_All[[#This Row],[AspkrT]]*5)+(TBA_Matches_All[[#This Row],[AtrapT]]*5)+(TBA_Matches_All[[#This Row],[TampT]]*1)+(TBA_Matches_All[[#This Row],[TspkrptsC]]))</f>
        <v>0</v>
      </c>
      <c r="CV322" s="59">
        <f>IFERROR(TBA_Matches_All[[#This Row],[noteptsT]]/TBA_Matches_All[[#This Row],[NotePts]],0)</f>
        <v>0</v>
      </c>
      <c r="CW322">
        <f>SUM(IF(TBA_Matches_All[[#This Row],[stageStat]]="On",3,0),IF(TBA_Matches_All[[#This Row],[stageStat]]="Park",1,0),SUMIFS(TBA_Matches_All[[#This Row],[Spotlit]],TBA_Matches_All[[#This Row],[stageStat]],"On"),SUMIFS(TBA_Matches_All[[#This Row],[Harmony]],TBA_Matches_All[[#This Row],[stageStat]],"On"))</f>
        <v>1</v>
      </c>
      <c r="CX322" s="59">
        <f>IFERROR(TBA_Matches_All[[#This Row],[stageptsT]]/TBA_Matches_All[[#This Row],[StagePts]],0)</f>
        <v>0.33333333333333331</v>
      </c>
      <c r="CY322">
        <f>SUM((TBA_Matches_All[[#This Row],[AptsT]]+TBA_Matches_All[[#This Row],[TampT]]+TBA_Matches_All[[#This Row],[TspkrptsC]]+(TBA_Matches_All[[#This Row],[TtrapT]]*5)+TBA_Matches_All[[#This Row],[stageptsT]]))</f>
        <v>3</v>
      </c>
      <c r="CZ322" s="59">
        <f>IFERROR(SUM(TBA_Matches_All[[#This Row],[TotptsC]]/TBA_Matches_All[[#This Row],[Score]]),0)</f>
        <v>9.375E-2</v>
      </c>
      <c r="DA32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0.6</v>
      </c>
      <c r="DB322" s="74">
        <f>SUMIFS(TBA_Matches_All[AveTeamTNoteDels],TBA_Matches_All[Match_Number],TBA_Matches_All[[#This Row],[Match_Number]],TBA_Matches_All[Alliance],"&lt;&gt;"&amp;TBA_Matches_All[[#This Row],[Alliance]],TBA_Matches_All[Scouted],"&gt;0")</f>
        <v>11.0625</v>
      </c>
      <c r="DC322" s="74">
        <f>(TBA_Matches_All[[#This Row],[TampT]]+TBA_Matches_All[[#This Row],[TspkrptsC]])-TBA_Matches_All[[#This Row],[AveTeamTNoteDels]]</f>
        <v>-0.6</v>
      </c>
      <c r="DD322" s="74">
        <f>SUMIFS(TBA_Matches_All[AveTeamTNoteDels],TBA_Matches_All[Match_Number],TBA_Matches_All[[#This Row],[Match_Number]],TBA_Matches_All[Alliance],"&lt;&gt;"&amp;TBA_Matches_All[[#This Row],[Alliance]])-TBA_Matches_All[[#This Row],[AveOppTNoteDels]]</f>
        <v>0</v>
      </c>
    </row>
    <row r="323" spans="1:108" x14ac:dyDescent="0.3">
      <c r="A323" t="s">
        <v>1042</v>
      </c>
      <c r="B323" t="s">
        <v>489</v>
      </c>
      <c r="C323" t="s">
        <v>1363</v>
      </c>
      <c r="D323">
        <v>54</v>
      </c>
      <c r="E323" t="s">
        <v>1420</v>
      </c>
      <c r="F323" t="s">
        <v>1421</v>
      </c>
      <c r="G323" t="s">
        <v>164</v>
      </c>
      <c r="H323" t="s">
        <v>371</v>
      </c>
      <c r="I323" t="b">
        <v>1</v>
      </c>
      <c r="J323">
        <v>34</v>
      </c>
      <c r="K323">
        <v>0</v>
      </c>
      <c r="L323">
        <v>0</v>
      </c>
      <c r="M323">
        <v>0</v>
      </c>
      <c r="N323">
        <v>0</v>
      </c>
      <c r="O323">
        <v>2</v>
      </c>
      <c r="P323">
        <v>10</v>
      </c>
      <c r="Q323">
        <v>12</v>
      </c>
      <c r="R323">
        <v>1</v>
      </c>
      <c r="S323">
        <v>0</v>
      </c>
      <c r="T323">
        <v>7</v>
      </c>
      <c r="U323">
        <v>0</v>
      </c>
      <c r="V323">
        <v>14</v>
      </c>
      <c r="W323">
        <v>7</v>
      </c>
      <c r="X323">
        <v>14</v>
      </c>
      <c r="Y323">
        <v>15</v>
      </c>
      <c r="Z323">
        <v>0</v>
      </c>
      <c r="AA323">
        <v>0</v>
      </c>
      <c r="AB323">
        <v>10</v>
      </c>
      <c r="AC323">
        <v>25</v>
      </c>
      <c r="AD323">
        <v>5</v>
      </c>
      <c r="AE323">
        <f>IFERROR(6/(COUNTIF(Dyno_EndMatch[Match],TBA_Matches_All[[#This Row],[Match_Number]])),0)</f>
        <v>1</v>
      </c>
      <c r="AF323">
        <f>COUNTIFS(Dyno_Data[Team],TBA_Matches_All[[#This Row],[Team]],Dyno_Data[Match],TBA_Matches_All[[#This Row],[Match_Number]],Dyno_Data[RecordType],"EndMatch",Dyno_Data[HPAmp],"Y")</f>
        <v>0</v>
      </c>
      <c r="AG323">
        <f>SUMIFS(Dyno_Data[Mics], Dyno_Data[Team],TBA_Matches_All[[#This Row],[Team]],Dyno_Data[Match],TBA_Matches_All[[#This Row],[Match_Number]],Dyno_Data[RecordType],"EndMatch",Dyno_Data[HPAmp],"Y")</f>
        <v>0</v>
      </c>
      <c r="AH323">
        <f>SUMIFS(Dyno_Data[Leave], Dyno_Data[Team],TBA_Matches_All[[#This Row],[Team]],Dyno_Data[Match],TBA_Matches_All[[#This Row],[Match_Number]],Dyno_Data[RecordType],"EndAuto")</f>
        <v>0</v>
      </c>
      <c r="AI323">
        <f>COUNTIFS(Dyno_Data[Team],TBA_Matches_All[[#This Row],[Team]],Dyno_Data[Match],TBA_Matches_All[[#This Row],[Match_Number]],Dyno_Data[RecordType],"Activities",Dyno_Data[DelDest],"Amp", Dyno_Data[DelMiss],"0", Dyno_Data[Mode],"Auto")</f>
        <v>0</v>
      </c>
      <c r="AJ323">
        <f>COUNTIFS(Dyno_Data[Team],TBA_Matches_All[[#This Row],[Team]],Dyno_Data[Match],TBA_Matches_All[[#This Row],[Match_Number]],Dyno_Data[RecordType],"Activities",Dyno_Data[DelDest],"Spkr", Dyno_Data[DelMiss],"0", Dyno_Data[Mode],"Auto")</f>
        <v>1</v>
      </c>
      <c r="AK323">
        <f>COUNTIFS(Dyno_Data[Team],TBA_Matches_All[[#This Row],[Team]],Dyno_Data[Match],TBA_Matches_All[[#This Row],[Match_Number]],Dyno_Data[RecordType],"Activities",Dyno_Data[DelDest],"Trap", Dyno_Data[DelMiss],"0", Dyno_Data[Mode],"Auto")</f>
        <v>0</v>
      </c>
      <c r="AL323">
        <f>COUNTIFS(Dyno_Data[Team],TBA_Matches_All[[#This Row],[Team]],Dyno_Data[Match],TBA_Matches_All[[#This Row],[Match_Number]],Dyno_Data[RecordType],"Activities",Dyno_Data[DelDest],"Amp", Dyno_Data[DelMiss],"0", Dyno_Data[Mode],"Teleop")</f>
        <v>0</v>
      </c>
      <c r="AM323">
        <f>COUNTIFS(Dyno_Data[Team],TBA_Matches_All[[#This Row],[Team]],Dyno_Data[Match],TBA_Matches_All[[#This Row],[Match_Number]],Dyno_Data[RecordType],"Activities",Dyno_Data[DelDest],"Spkr", Dyno_Data[DelMiss],"0", Dyno_Data[Mode],"Teleop")</f>
        <v>0</v>
      </c>
      <c r="AN323">
        <f>COUNTIFS(Dyno_Data[Team],TBA_Matches_All[[#This Row],[Team]],Dyno_Data[Match],TBA_Matches_All[[#This Row],[Match_Number]],Dyno_Data[RecordType],"Activities",Dyno_Data[DelDest],"Trap", Dyno_Data[DelMiss],"0", Dyno_Data[Mode],"&lt;&gt;Auto")</f>
        <v>0</v>
      </c>
      <c r="AO323">
        <f>SUM(TBA_Matches_All[[#This Row],[AampT]]+TBA_Matches_All[[#This Row],[AspkrT]]+TBA_Matches_All[[#This Row],[AtrapT]]+TBA_Matches_All[[#This Row],[TampT]]+TBA_Matches_All[[#This Row],[TspkrT]]+TBA_Matches_All[[#This Row],[TtrapT]])</f>
        <v>1</v>
      </c>
      <c r="AP323">
        <f>COUNTIFS(Dyno_Data[Team],TBA_Matches_All[[#This Row],[Team]],Dyno_Data[Match],TBA_Matches_All[[#This Row],[Match_Number]],Dyno_Data[RecordType],"Activities",Dyno_Data[DelDest],"Neut", Dyno_Data[DelMiss],"0")</f>
        <v>0</v>
      </c>
      <c r="AQ323">
        <f>COUNTIFS(Dyno_Data[Team],TBA_Matches_All[[#This Row],[Team]],Dyno_Data[Match],TBA_Matches_All[[#This Row],[Match_Number]],Dyno_Data[RecordType],"Activities",Dyno_Data[DelDest],"AllyW", Dyno_Data[DelMiss],"0")</f>
        <v>0</v>
      </c>
      <c r="AR323" t="str">
        <f>_xlfn.XLOOKUP(SUM(MID(TBA_Matches_All[[#This Row],[Team]],4,5),(TBA_Matches_All[[#This Row],[Match_Number]]/100)),Dyno_EndMatch[teammat],Dyno_EndMatch[RobotSta],"_",0,1)</f>
        <v>Podm</v>
      </c>
      <c r="AS323">
        <f>SUMIFS(Dyno_Data[AcqDis], Dyno_Data[Team],TBA_Matches_All[[#This Row],[Team]],Dyno_Data[Match],TBA_Matches_All[[#This Row],[Match_Number]],Dyno_Data[RecordType],"Activities", Dyno_Data[AcqCenter],1,Dyno_Data[Mode],"Auto")</f>
        <v>0</v>
      </c>
      <c r="AT323">
        <f>SUMIFS(Dyno_Data[AcqDis], Dyno_Data[Team],TBA_Matches_All[[#This Row],[Team]],Dyno_Data[Match],TBA_Matches_All[[#This Row],[Match_Number]],Dyno_Data[RecordType],"Activities", Dyno_Data[AcqCenter],2,Dyno_Data[Mode],"Auto")</f>
        <v>0</v>
      </c>
      <c r="AU323">
        <f>SUMIFS(Dyno_Data[AcqDis], Dyno_Data[Team],TBA_Matches_All[[#This Row],[Team]],Dyno_Data[Match],TBA_Matches_All[[#This Row],[Match_Number]],Dyno_Data[RecordType],"Activities", Dyno_Data[AcqCenter],3,Dyno_Data[Mode],"Auto")</f>
        <v>0</v>
      </c>
      <c r="AV323">
        <f>SUMIFS(Dyno_Data[AcqDis], Dyno_Data[Team],TBA_Matches_All[[#This Row],[Team]],Dyno_Data[Match],TBA_Matches_All[[#This Row],[Match_Number]],Dyno_Data[RecordType],"Activities", Dyno_Data[AcqCenter],4,Dyno_Data[Mode],"Auto")</f>
        <v>0</v>
      </c>
      <c r="AW323">
        <f>SUMIFS(Dyno_Data[AcqDis], Dyno_Data[Team],TBA_Matches_All[[#This Row],[Team]],Dyno_Data[Match],TBA_Matches_All[[#This Row],[Match_Number]],Dyno_Data[RecordType],"Activities", Dyno_Data[AcqCenter],5,Dyno_Data[Mode],"Auto")</f>
        <v>0</v>
      </c>
      <c r="AX323">
        <f>SUMIFS(Dyno_Data[DelMiss], Dyno_Data[Team],TBA_Matches_All[[#This Row],[Team]],Dyno_Data[Match],TBA_Matches_All[[#This Row],[Match_Number]],Dyno_Data[RecordType],"Activities", Dyno_Data[DelDest],"Amp")</f>
        <v>0</v>
      </c>
      <c r="AY323" s="60">
        <f>IFERROR(SUM((TBA_Matches_All[[#This Row],[AampT]]+TBA_Matches_All[[#This Row],[TampT]])/(TBA_Matches_All[[#This Row],[AampT]]+TBA_Matches_All[[#This Row],[TampT]]+TBA_Matches_All[[#This Row],[ampM]])),0)</f>
        <v>0</v>
      </c>
      <c r="AZ323">
        <f>SUMIFS(Dyno_Data[DelMiss], Dyno_Data[Team],TBA_Matches_All[[#This Row],[Team]],Dyno_Data[Match],TBA_Matches_All[[#This Row],[Match_Number]],Dyno_Data[RecordType],"Activities", Dyno_Data[DelDest],"Spkr")</f>
        <v>2</v>
      </c>
      <c r="BA323" s="60">
        <f>IFERROR(SUM((TBA_Matches_All[[#This Row],[AspkrT]]+TBA_Matches_All[[#This Row],[TspkrT]])/(TBA_Matches_All[[#This Row],[AspkrT]]+TBA_Matches_All[[#This Row],[TspkrT]]+TBA_Matches_All[[#This Row],[spkrM]])),0)</f>
        <v>0.33333333333333331</v>
      </c>
      <c r="BB323">
        <f>SUMIFS(Dyno_Data[DelMiss], Dyno_Data[Team],TBA_Matches_All[[#This Row],[Team]],Dyno_Data[Match],TBA_Matches_All[[#This Row],[Match_Number]],Dyno_Data[RecordType],"Activities", Dyno_Data[DelDest],"Trap")</f>
        <v>0</v>
      </c>
      <c r="BC323" s="60">
        <f>IFERROR((TBA_Matches_All[[#This Row],[AtrapT]]+TBA_Matches_All[[#This Row],[TtrapT]])/(TBA_Matches_All[[#This Row],[AtrapT]]+TBA_Matches_All[[#This Row],[TtrapT]]+TBA_Matches_All[[#This Row],[trapM]]),0)</f>
        <v>0</v>
      </c>
      <c r="BD323">
        <f>COUNTIFS(Dyno_Data[Team],TBA_Matches_All[[#This Row],[Team]],Dyno_Data[Match],TBA_Matches_All[[#This Row],[Match_Number]],Dyno_Data[RecordType],"Activities",Dyno_Data[DelDest],"Neut", Dyno_Data[DelMiss],1)</f>
        <v>0</v>
      </c>
      <c r="BE323" s="60">
        <f>IFERROR(SUM((TBA_Matches_All[[#This Row],[NeutFlrT]])/(TBA_Matches_All[[#This Row],[NeutFlrT]]+TBA_Matches_All[[#This Row],[NZflM]])),0)</f>
        <v>0</v>
      </c>
      <c r="BF323">
        <f>COUNTIFS(Dyno_Data[Team],TBA_Matches_All[[#This Row],[Team]],Dyno_Data[Match],TBA_Matches_All[[#This Row],[Match_Number]],Dyno_Data[RecordType],"Activities",Dyno_Data[DelDest],"AllyW", Dyno_Data[DelMiss],1)</f>
        <v>0</v>
      </c>
      <c r="BG323" s="60">
        <f>IFERROR(SUM((TBA_Matches_All[[#This Row],[AllyWFlrT]])/(TBA_Matches_All[[#This Row],[AllyWFlrT]]+TBA_Matches_All[[#This Row],[AZflM]])),0)</f>
        <v>0</v>
      </c>
      <c r="BH323">
        <f>COUNTIFS(Dyno_Data[Team],TBA_Matches_All[[#This Row],[Team]],Dyno_Data[Match],TBA_Matches_All[[#This Row],[Match_Number]],Dyno_Data[RecordType],"Activities",Dyno_Data[DelOrig],"OppW", Dyno_Data[DelMiss],"0")</f>
        <v>0</v>
      </c>
      <c r="BI323">
        <f>COUNTIFS(Dyno_Data[Team],TBA_Matches_All[[#This Row],[Team]],Dyno_Data[Match],TBA_Matches_All[[#This Row],[Match_Number]],Dyno_Data[RecordType],"Activities",Dyno_Data[DelOrig],"OppW", Dyno_Data[DelMiss],"1")</f>
        <v>0</v>
      </c>
      <c r="BJ323" s="60">
        <f>IFERROR(SUM((TBA_Matches_All[[#This Row],[OZflrT]])/(TBA_Matches_All[[#This Row],[OZflrT]]+TBA_Matches_All[[#This Row],[OZflrM]])),0)</f>
        <v>0</v>
      </c>
      <c r="BK323">
        <f>COUNTIFS(Dyno_Data[Team],TBA_Matches_All[[#This Row],[Team]],Dyno_Data[Match],TBA_Matches_All[[#This Row],[Match_Number]],Dyno_Data[RecordType],"Activities",Dyno_Data[DelOrig],"Neut", Dyno_Data[DelMiss],"0")</f>
        <v>0</v>
      </c>
      <c r="BL323">
        <f>COUNTIFS(Dyno_Data[Team],TBA_Matches_All[[#This Row],[Team]],Dyno_Data[Match],TBA_Matches_All[[#This Row],[Match_Number]],Dyno_Data[RecordType],"Activities",Dyno_Data[DelOrig],"Neut", Dyno_Data[DelMiss],"1")</f>
        <v>0</v>
      </c>
      <c r="BM323" s="60">
        <f>IFERROR(SUM((TBA_Matches_All[[#This Row],[NZflrT]])/(TBA_Matches_All[[#This Row],[NZflrT]]+TBA_Matches_All[[#This Row],[NZflrM]])),0)</f>
        <v>0</v>
      </c>
      <c r="BN323">
        <f>COUNTIFS(Dyno_Data[Team],TBA_Matches_All[[#This Row],[Team]],Dyno_Data[Match],TBA_Matches_All[[#This Row],[Match_Number]],Dyno_Data[RecordType],"Activities",Dyno_Data[DelOrig],"AllyW", Dyno_Data[DelMiss],"0")</f>
        <v>0</v>
      </c>
      <c r="BO323">
        <f>COUNTIFS(Dyno_Data[Team],TBA_Matches_All[[#This Row],[Team]],Dyno_Data[Match],TBA_Matches_All[[#This Row],[Match_Number]],Dyno_Data[RecordType],"Activities",Dyno_Data[DelOrig],"AllyW", Dyno_Data[DelMiss],"1")</f>
        <v>0</v>
      </c>
      <c r="BP323" s="60">
        <f>IFERROR(SUM((TBA_Matches_All[[#This Row],[AZflrT]])/(TBA_Matches_All[[#This Row],[AZflrT]]+TBA_Matches_All[[#This Row],[AZflrM]])),0)</f>
        <v>0</v>
      </c>
      <c r="BQ323">
        <f>COUNTIFS(Dyno_Data[Team],TBA_Matches_All[[#This Row],[Team]],Dyno_Data[Match],TBA_Matches_All[[#This Row],[Match_Number]],Dyno_Data[RecordType],"Activities",Dyno_Data[DelOrig],"SubW", Dyno_Data[DelMiss],"0")</f>
        <v>1</v>
      </c>
      <c r="BR323">
        <f>COUNTIFS(Dyno_Data[Team],TBA_Matches_All[[#This Row],[Team]],Dyno_Data[Match],TBA_Matches_All[[#This Row],[Match_Number]],Dyno_Data[RecordType],"Activities",Dyno_Data[DelOrig],"SubW", Dyno_Data[DelMiss],"1")</f>
        <v>2</v>
      </c>
      <c r="BS323" s="60">
        <f>IFERROR(SUM((TBA_Matches_All[[#This Row],[SubwT]])/(TBA_Matches_All[[#This Row],[SubwT]]+TBA_Matches_All[[#This Row],[SubwM]])),0)</f>
        <v>0.33333333333333331</v>
      </c>
      <c r="BT323">
        <f>COUNTIFS(Dyno_Data[Team],TBA_Matches_All[[#This Row],[Team]],Dyno_Data[Match],TBA_Matches_All[[#This Row],[Match_Number]],Dyno_Data[RecordType],"Activities", Dyno_Data[AcqLoc],"OppWing")</f>
        <v>0</v>
      </c>
      <c r="BU323">
        <f>COUNTIFS(Dyno_Data[Team],TBA_Matches_All[[#This Row],[Team]],Dyno_Data[Match],TBA_Matches_All[[#This Row],[Match_Number]],Dyno_Data[RecordType],"Activities", Dyno_Data[AcqLoc],"Neutral")</f>
        <v>0</v>
      </c>
      <c r="BV323">
        <f>COUNTIFS(Dyno_Data[Team],TBA_Matches_All[[#This Row],[Team]],Dyno_Data[Match],TBA_Matches_All[[#This Row],[Match_Number]],Dyno_Data[RecordType],"Activities", Dyno_Data[AcqLoc],"AllyWing")</f>
        <v>0</v>
      </c>
      <c r="BW323">
        <f>COUNTIFS(Dyno_Data[Team],TBA_Matches_All[[#This Row],[Team]],Dyno_Data[Match],TBA_Matches_All[[#This Row],[Match_Number]],Dyno_Data[RecordType],"Activities", Dyno_Data[AcqLoc],"Source")</f>
        <v>0</v>
      </c>
      <c r="BX323">
        <f>SUMIFS(Dyno_Data[AcqDrp], Dyno_Data[Team],TBA_Matches_All[[#This Row],[Team]],Dyno_Data[Match],TBA_Matches_All[[#This Row],[Match_Number]],Dyno_Data[RecordType],"Activities", Dyno_Data[AcqLoc],"Source")</f>
        <v>0</v>
      </c>
      <c r="BY323">
        <f>SUMIFS(Dyno_Data[OZTime], Dyno_Data[Team],TBA_Matches_All[[#This Row],[Team]],Dyno_Data[Match],TBA_Matches_All[[#This Row],[Match_Number]],Dyno_Data[RecordType],"EndMatch")</f>
        <v>0</v>
      </c>
      <c r="BZ323">
        <f>SUMIFS(Dyno_Data[NZTime], Dyno_Data[Team],TBA_Matches_All[[#This Row],[Team]],Dyno_Data[Match],TBA_Matches_All[[#This Row],[Match_Number]],Dyno_Data[RecordType],"EndMatch")</f>
        <v>8.301196899999999</v>
      </c>
      <c r="CA323">
        <f>SUMIFS(Dyno_Data[AZTime], Dyno_Data[Team],TBA_Matches_All[[#This Row],[Team]],Dyno_Data[Match],TBA_Matches_All[[#This Row],[Match_Number]],Dyno_Data[RecordType],"EndMatch")</f>
        <v>129.4111661</v>
      </c>
      <c r="CB323">
        <f>SUMIFS(Dyno_Data[ClimbT], Dyno_Data[Team],TBA_Matches_All[[#This Row],[Team]],Dyno_Data[Match],TBA_Matches_All[[#This Row],[Match_Number]],Dyno_Data[RecordType],"EndMatch")</f>
        <v>0</v>
      </c>
      <c r="CC323" t="str">
        <f>_xlfn.XLOOKUP(SUM(MID(TBA_Matches_All[[#This Row],[Team]],4,5),(TBA_Matches_All[[#This Row],[Match_Number]]/100)),Dyno_EndMatch[teammat],Dyno_EndMatch[StageStat],"_",0,1)</f>
        <v>Park</v>
      </c>
      <c r="CD323" t="str">
        <f>_xlfn.XLOOKUP(TBA_Matches_All[[#This Row],[teammat]],Dyno_EndMatch[teammat],Dyno_EndMatch[StageAtt],"_",0,1)</f>
        <v>0</v>
      </c>
      <c r="CE323" t="str">
        <f>_xlfn.XLOOKUP(TBA_Matches_All[[#This Row],[teammat]],Dyno_EndMatch[teammat],Dyno_EndMatch[StageLoc],"_",0,1)</f>
        <v>A</v>
      </c>
      <c r="CF323">
        <f>SUMIFS(Dyno_Data[Harmony], Dyno_Data[Team],TBA_Matches_All[[#This Row],[Team]],Dyno_Data[Match],TBA_Matches_All[[#This Row],[Match_Number]],Dyno_Data[RecordType],"EndMatch", Dyno_Data[StageStat],"On",Dyno_Data[Harmony],"&lt;&gt;9")</f>
        <v>0</v>
      </c>
      <c r="CG323">
        <f>SUMIFS(Dyno_Data[Spotlit], Dyno_Data[Team],TBA_Matches_All[[#This Row],[Team]],Dyno_Data[Match],TBA_Matches_All[[#This Row],[Match_Number]],Dyno_Data[RecordType],"EndMatch", Dyno_Data[StageStat],"On",Dyno_Data[Spotlit],"&lt;&gt;9")</f>
        <v>0</v>
      </c>
      <c r="CH323" t="str">
        <f>_xlfn.XLOOKUP(TBA_Matches_All[[#This Row],[teammat]],Dyno_EndMatch[teammat],Dyno_EndMatch[Strategy],"_",0,1)</f>
        <v>Hybrid</v>
      </c>
      <c r="CI323">
        <f>SUMIFS(Dyno_Data[Defense], Dyno_Data[Team],TBA_Matches_All[[#This Row],[Team]],Dyno_Data[Match],TBA_Matches_All[[#This Row],[Match_Number]],Dyno_Data[RecordType],"EndMatch",Dyno_Data[Defense],"&lt;&gt;9")</f>
        <v>1</v>
      </c>
      <c r="CJ323">
        <f>SUMIFS(Dyno_Data[Avoidance], Dyno_Data[Team],TBA_Matches_All[[#This Row],[Team]],Dyno_Data[Match],TBA_Matches_All[[#This Row],[Match_Number]],Dyno_Data[RecordType],"EndMatch",Dyno_Data[Avoidance],"&lt;&gt;9")</f>
        <v>0</v>
      </c>
      <c r="CK323" s="82">
        <f>COUNTIF($H$2:TBA_Matches_All[[#This Row],[Team]],TBA_Matches_All[[#This Row],[Team]])</f>
        <v>7</v>
      </c>
      <c r="CL323" s="111">
        <f>SUM(MID(TBA_Matches_All[[#This Row],[Team]],4,5)+TBA_Matches_All[[#This Row],[Match_Number]]/100)</f>
        <v>6969.54</v>
      </c>
      <c r="CM323">
        <f>SUM((TBA_Matches_All[[#This Row],[Leave]]*2)+(TBA_Matches_All[[#This Row],[AampT]]*2)+(TBA_Matches_All[[#This Row],[AspkrT]]*5)+(TBA_Matches_All[[#This Row],[AtrapT]]*5))</f>
        <v>5</v>
      </c>
      <c r="CN323" s="59">
        <f>IFERROR(SUM(TBA_Matches_All[[#This Row],[AptsT]]/TBA_Matches_All[[#This Row],[AutoPts]]),0)</f>
        <v>0.41666666666666669</v>
      </c>
      <c r="CO323" s="59">
        <f>IFERROR(SUM(TBA_Matches_All[[#This Row],[AampT]]+TBA_Matches_All[[#This Row],[AspkrT]]+TBA_Matches_All[[#This Row],[AtrapT]]/TBA_Matches_All[[#This Row],[Aamp]]+TBA_Matches_All[[#This Row],[Aspkr]]+TBA_Matches_All[[#This Row],[AtrapT]]),0)</f>
        <v>0</v>
      </c>
      <c r="CP323" s="59">
        <f>IFERROR(SUM(TBA_Matches_All[[#This Row],[TampT]]/TBA_Matches_All[[#This Row],[Tamp]]),0)</f>
        <v>0</v>
      </c>
      <c r="CQ323" s="59">
        <f>IFERROR(SUM(TBA_Matches_All[[#This Row],[TspkrT]]/TBA_Matches_All[[#This Row],[Tspkr]]),0)</f>
        <v>0</v>
      </c>
      <c r="CR323">
        <f>SUM(TBA_Matches_All[[#This Row],[TspkrPts]]*TBA_Matches_All[[#This Row],[TspkrP]])</f>
        <v>0</v>
      </c>
      <c r="CS323" s="59">
        <f>IFERROR(SUM(TBA_Matches_All[[#This Row],[TtrapT]]/TBA_Matches_All[[#This Row],[Trap]]),0)</f>
        <v>0</v>
      </c>
      <c r="CT323" s="59">
        <f>IFERROR(SUM(TBA_Matches_All[[#This Row],[TotNotesT]]/TBA_Matches_All[[#This Row],[TotNotes]]),0)</f>
        <v>0.1</v>
      </c>
      <c r="CU323" s="66">
        <f>SUM((TBA_Matches_All[[#This Row],[AampT]]*2)+(TBA_Matches_All[[#This Row],[AspkrT]]*5)+(TBA_Matches_All[[#This Row],[AtrapT]]*5)+(TBA_Matches_All[[#This Row],[TampT]]*1)+(TBA_Matches_All[[#This Row],[TspkrptsC]]))</f>
        <v>5</v>
      </c>
      <c r="CV323" s="59">
        <f>IFERROR(TBA_Matches_All[[#This Row],[noteptsT]]/TBA_Matches_All[[#This Row],[NotePts]],0)</f>
        <v>0.2</v>
      </c>
      <c r="CW323">
        <f>SUM(IF(TBA_Matches_All[[#This Row],[stageStat]]="On",3,0),IF(TBA_Matches_All[[#This Row],[stageStat]]="Park",1,0),SUMIFS(TBA_Matches_All[[#This Row],[Spotlit]],TBA_Matches_All[[#This Row],[stageStat]],"On"),SUMIFS(TBA_Matches_All[[#This Row],[Harmony]],TBA_Matches_All[[#This Row],[stageStat]],"On"))</f>
        <v>1</v>
      </c>
      <c r="CX323" s="59">
        <f>IFERROR(TBA_Matches_All[[#This Row],[stageptsT]]/TBA_Matches_All[[#This Row],[StagePts]],0)</f>
        <v>0.2</v>
      </c>
      <c r="CY323">
        <f>SUM((TBA_Matches_All[[#This Row],[AptsT]]+TBA_Matches_All[[#This Row],[TampT]]+TBA_Matches_All[[#This Row],[TspkrptsC]]+(TBA_Matches_All[[#This Row],[TtrapT]]*5)+TBA_Matches_All[[#This Row],[stageptsT]]))</f>
        <v>6</v>
      </c>
      <c r="CZ323" s="59">
        <f>IFERROR(SUM(TBA_Matches_All[[#This Row],[TotptsC]]/TBA_Matches_All[[#This Row],[Score]]),0)</f>
        <v>0.17647058823529413</v>
      </c>
      <c r="DA32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v>
      </c>
      <c r="DB323" s="74">
        <f>SUMIFS(TBA_Matches_All[AveTeamTNoteDels],TBA_Matches_All[Match_Number],TBA_Matches_All[[#This Row],[Match_Number]],TBA_Matches_All[Alliance],"&lt;&gt;"&amp;TBA_Matches_All[[#This Row],[Alliance]],TBA_Matches_All[Scouted],"&gt;0")</f>
        <v>12.056923076923075</v>
      </c>
      <c r="DC323" s="74">
        <f>(TBA_Matches_All[[#This Row],[TampT]]+TBA_Matches_All[[#This Row],[TspkrptsC]])-TBA_Matches_All[[#This Row],[AveTeamTNoteDels]]</f>
        <v>-1</v>
      </c>
      <c r="DD323" s="74">
        <f>SUMIFS(TBA_Matches_All[AveTeamTNoteDels],TBA_Matches_All[Match_Number],TBA_Matches_All[[#This Row],[Match_Number]],TBA_Matches_All[Alliance],"&lt;&gt;"&amp;TBA_Matches_All[[#This Row],[Alliance]])-TBA_Matches_All[[#This Row],[AveOppTNoteDels]]</f>
        <v>0</v>
      </c>
    </row>
    <row r="324" spans="1:108" x14ac:dyDescent="0.3">
      <c r="A324" t="s">
        <v>1042</v>
      </c>
      <c r="B324" t="s">
        <v>489</v>
      </c>
      <c r="C324" t="s">
        <v>1363</v>
      </c>
      <c r="D324">
        <v>54</v>
      </c>
      <c r="E324" t="s">
        <v>1406</v>
      </c>
      <c r="F324" t="s">
        <v>1422</v>
      </c>
      <c r="G324" t="s">
        <v>105</v>
      </c>
      <c r="H324" t="s">
        <v>369</v>
      </c>
      <c r="I324" t="b">
        <v>1</v>
      </c>
      <c r="J324">
        <v>32</v>
      </c>
      <c r="K324">
        <v>0</v>
      </c>
      <c r="L324">
        <v>0</v>
      </c>
      <c r="M324">
        <v>2</v>
      </c>
      <c r="N324">
        <v>0</v>
      </c>
      <c r="O324">
        <v>2</v>
      </c>
      <c r="P324">
        <v>10</v>
      </c>
      <c r="Q324">
        <v>14</v>
      </c>
      <c r="R324">
        <v>1</v>
      </c>
      <c r="S324">
        <v>0</v>
      </c>
      <c r="T324">
        <v>7</v>
      </c>
      <c r="U324">
        <v>0</v>
      </c>
      <c r="V324">
        <v>14</v>
      </c>
      <c r="W324">
        <v>7</v>
      </c>
      <c r="X324">
        <v>14</v>
      </c>
      <c r="Y324">
        <v>15</v>
      </c>
      <c r="Z324">
        <v>0</v>
      </c>
      <c r="AA324">
        <v>0</v>
      </c>
      <c r="AB324">
        <v>10</v>
      </c>
      <c r="AC324">
        <v>25</v>
      </c>
      <c r="AD324">
        <v>3</v>
      </c>
      <c r="AE324">
        <f>IFERROR(6/(COUNTIF(Dyno_EndMatch[Match],TBA_Matches_All[[#This Row],[Match_Number]])),0)</f>
        <v>1</v>
      </c>
      <c r="AF324">
        <f>COUNTIFS(Dyno_Data[Team],TBA_Matches_All[[#This Row],[Team]],Dyno_Data[Match],TBA_Matches_All[[#This Row],[Match_Number]],Dyno_Data[RecordType],"EndMatch",Dyno_Data[HPAmp],"Y")</f>
        <v>0</v>
      </c>
      <c r="AG324">
        <f>SUMIFS(Dyno_Data[Mics], Dyno_Data[Team],TBA_Matches_All[[#This Row],[Team]],Dyno_Data[Match],TBA_Matches_All[[#This Row],[Match_Number]],Dyno_Data[RecordType],"EndMatch",Dyno_Data[HPAmp],"Y")</f>
        <v>0</v>
      </c>
      <c r="AH324">
        <f>SUMIFS(Dyno_Data[Leave], Dyno_Data[Team],TBA_Matches_All[[#This Row],[Team]],Dyno_Data[Match],TBA_Matches_All[[#This Row],[Match_Number]],Dyno_Data[RecordType],"EndAuto")</f>
        <v>0</v>
      </c>
      <c r="AI324">
        <f>COUNTIFS(Dyno_Data[Team],TBA_Matches_All[[#This Row],[Team]],Dyno_Data[Match],TBA_Matches_All[[#This Row],[Match_Number]],Dyno_Data[RecordType],"Activities",Dyno_Data[DelDest],"Amp", Dyno_Data[DelMiss],"0", Dyno_Data[Mode],"Auto")</f>
        <v>0</v>
      </c>
      <c r="AJ324">
        <f>COUNTIFS(Dyno_Data[Team],TBA_Matches_All[[#This Row],[Team]],Dyno_Data[Match],TBA_Matches_All[[#This Row],[Match_Number]],Dyno_Data[RecordType],"Activities",Dyno_Data[DelDest],"Spkr", Dyno_Data[DelMiss],"0", Dyno_Data[Mode],"Auto")</f>
        <v>0</v>
      </c>
      <c r="AK324">
        <f>COUNTIFS(Dyno_Data[Team],TBA_Matches_All[[#This Row],[Team]],Dyno_Data[Match],TBA_Matches_All[[#This Row],[Match_Number]],Dyno_Data[RecordType],"Activities",Dyno_Data[DelDest],"Trap", Dyno_Data[DelMiss],"0", Dyno_Data[Mode],"Auto")</f>
        <v>0</v>
      </c>
      <c r="AL324">
        <f>COUNTIFS(Dyno_Data[Team],TBA_Matches_All[[#This Row],[Team]],Dyno_Data[Match],TBA_Matches_All[[#This Row],[Match_Number]],Dyno_Data[RecordType],"Activities",Dyno_Data[DelDest],"Amp", Dyno_Data[DelMiss],"0", Dyno_Data[Mode],"Teleop")</f>
        <v>0</v>
      </c>
      <c r="AM324">
        <f>COUNTIFS(Dyno_Data[Team],TBA_Matches_All[[#This Row],[Team]],Dyno_Data[Match],TBA_Matches_All[[#This Row],[Match_Number]],Dyno_Data[RecordType],"Activities",Dyno_Data[DelDest],"Spkr", Dyno_Data[DelMiss],"0", Dyno_Data[Mode],"Teleop")</f>
        <v>0</v>
      </c>
      <c r="AN324">
        <f>COUNTIFS(Dyno_Data[Team],TBA_Matches_All[[#This Row],[Team]],Dyno_Data[Match],TBA_Matches_All[[#This Row],[Match_Number]],Dyno_Data[RecordType],"Activities",Dyno_Data[DelDest],"Trap", Dyno_Data[DelMiss],"0", Dyno_Data[Mode],"&lt;&gt;Auto")</f>
        <v>0</v>
      </c>
      <c r="AO324">
        <f>SUM(TBA_Matches_All[[#This Row],[AampT]]+TBA_Matches_All[[#This Row],[AspkrT]]+TBA_Matches_All[[#This Row],[AtrapT]]+TBA_Matches_All[[#This Row],[TampT]]+TBA_Matches_All[[#This Row],[TspkrT]]+TBA_Matches_All[[#This Row],[TtrapT]])</f>
        <v>0</v>
      </c>
      <c r="AP324">
        <f>COUNTIFS(Dyno_Data[Team],TBA_Matches_All[[#This Row],[Team]],Dyno_Data[Match],TBA_Matches_All[[#This Row],[Match_Number]],Dyno_Data[RecordType],"Activities",Dyno_Data[DelDest],"Neut", Dyno_Data[DelMiss],"0")</f>
        <v>0</v>
      </c>
      <c r="AQ324">
        <f>COUNTIFS(Dyno_Data[Team],TBA_Matches_All[[#This Row],[Team]],Dyno_Data[Match],TBA_Matches_All[[#This Row],[Match_Number]],Dyno_Data[RecordType],"Activities",Dyno_Data[DelDest],"AllyW", Dyno_Data[DelMiss],"0")</f>
        <v>0</v>
      </c>
      <c r="AR324" t="str">
        <f>_xlfn.XLOOKUP(SUM(MID(TBA_Matches_All[[#This Row],[Team]],4,5),(TBA_Matches_All[[#This Row],[Match_Number]]/100)),Dyno_EndMatch[teammat],Dyno_EndMatch[RobotSta],"_",0,1)</f>
        <v>OppS</v>
      </c>
      <c r="AS324">
        <f>SUMIFS(Dyno_Data[AcqDis], Dyno_Data[Team],TBA_Matches_All[[#This Row],[Team]],Dyno_Data[Match],TBA_Matches_All[[#This Row],[Match_Number]],Dyno_Data[RecordType],"Activities", Dyno_Data[AcqCenter],1,Dyno_Data[Mode],"Auto")</f>
        <v>0</v>
      </c>
      <c r="AT324">
        <f>SUMIFS(Dyno_Data[AcqDis], Dyno_Data[Team],TBA_Matches_All[[#This Row],[Team]],Dyno_Data[Match],TBA_Matches_All[[#This Row],[Match_Number]],Dyno_Data[RecordType],"Activities", Dyno_Data[AcqCenter],2,Dyno_Data[Mode],"Auto")</f>
        <v>0</v>
      </c>
      <c r="AU324">
        <f>SUMIFS(Dyno_Data[AcqDis], Dyno_Data[Team],TBA_Matches_All[[#This Row],[Team]],Dyno_Data[Match],TBA_Matches_All[[#This Row],[Match_Number]],Dyno_Data[RecordType],"Activities", Dyno_Data[AcqCenter],3,Dyno_Data[Mode],"Auto")</f>
        <v>0</v>
      </c>
      <c r="AV324">
        <f>SUMIFS(Dyno_Data[AcqDis], Dyno_Data[Team],TBA_Matches_All[[#This Row],[Team]],Dyno_Data[Match],TBA_Matches_All[[#This Row],[Match_Number]],Dyno_Data[RecordType],"Activities", Dyno_Data[AcqCenter],4,Dyno_Data[Mode],"Auto")</f>
        <v>0</v>
      </c>
      <c r="AW324">
        <f>SUMIFS(Dyno_Data[AcqDis], Dyno_Data[Team],TBA_Matches_All[[#This Row],[Team]],Dyno_Data[Match],TBA_Matches_All[[#This Row],[Match_Number]],Dyno_Data[RecordType],"Activities", Dyno_Data[AcqCenter],5,Dyno_Data[Mode],"Auto")</f>
        <v>0</v>
      </c>
      <c r="AX324">
        <f>SUMIFS(Dyno_Data[DelMiss], Dyno_Data[Team],TBA_Matches_All[[#This Row],[Team]],Dyno_Data[Match],TBA_Matches_All[[#This Row],[Match_Number]],Dyno_Data[RecordType],"Activities", Dyno_Data[DelDest],"Amp")</f>
        <v>0</v>
      </c>
      <c r="AY324" s="60">
        <f>IFERROR(SUM((TBA_Matches_All[[#This Row],[AampT]]+TBA_Matches_All[[#This Row],[TampT]])/(TBA_Matches_All[[#This Row],[AampT]]+TBA_Matches_All[[#This Row],[TampT]]+TBA_Matches_All[[#This Row],[ampM]])),0)</f>
        <v>0</v>
      </c>
      <c r="AZ324">
        <f>SUMIFS(Dyno_Data[DelMiss], Dyno_Data[Team],TBA_Matches_All[[#This Row],[Team]],Dyno_Data[Match],TBA_Matches_All[[#This Row],[Match_Number]],Dyno_Data[RecordType],"Activities", Dyno_Data[DelDest],"Spkr")</f>
        <v>0</v>
      </c>
      <c r="BA324" s="60">
        <f>IFERROR(SUM((TBA_Matches_All[[#This Row],[AspkrT]]+TBA_Matches_All[[#This Row],[TspkrT]])/(TBA_Matches_All[[#This Row],[AspkrT]]+TBA_Matches_All[[#This Row],[TspkrT]]+TBA_Matches_All[[#This Row],[spkrM]])),0)</f>
        <v>0</v>
      </c>
      <c r="BB324">
        <f>SUMIFS(Dyno_Data[DelMiss], Dyno_Data[Team],TBA_Matches_All[[#This Row],[Team]],Dyno_Data[Match],TBA_Matches_All[[#This Row],[Match_Number]],Dyno_Data[RecordType],"Activities", Dyno_Data[DelDest],"Trap")</f>
        <v>0</v>
      </c>
      <c r="BC324" s="60">
        <f>IFERROR((TBA_Matches_All[[#This Row],[AtrapT]]+TBA_Matches_All[[#This Row],[TtrapT]])/(TBA_Matches_All[[#This Row],[AtrapT]]+TBA_Matches_All[[#This Row],[TtrapT]]+TBA_Matches_All[[#This Row],[trapM]]),0)</f>
        <v>0</v>
      </c>
      <c r="BD324">
        <f>COUNTIFS(Dyno_Data[Team],TBA_Matches_All[[#This Row],[Team]],Dyno_Data[Match],TBA_Matches_All[[#This Row],[Match_Number]],Dyno_Data[RecordType],"Activities",Dyno_Data[DelDest],"Neut", Dyno_Data[DelMiss],1)</f>
        <v>0</v>
      </c>
      <c r="BE324" s="60">
        <f>IFERROR(SUM((TBA_Matches_All[[#This Row],[NeutFlrT]])/(TBA_Matches_All[[#This Row],[NeutFlrT]]+TBA_Matches_All[[#This Row],[NZflM]])),0)</f>
        <v>0</v>
      </c>
      <c r="BF324">
        <f>COUNTIFS(Dyno_Data[Team],TBA_Matches_All[[#This Row],[Team]],Dyno_Data[Match],TBA_Matches_All[[#This Row],[Match_Number]],Dyno_Data[RecordType],"Activities",Dyno_Data[DelDest],"AllyW", Dyno_Data[DelMiss],1)</f>
        <v>0</v>
      </c>
      <c r="BG324" s="60">
        <f>IFERROR(SUM((TBA_Matches_All[[#This Row],[AllyWFlrT]])/(TBA_Matches_All[[#This Row],[AllyWFlrT]]+TBA_Matches_All[[#This Row],[AZflM]])),0)</f>
        <v>0</v>
      </c>
      <c r="BH324">
        <f>COUNTIFS(Dyno_Data[Team],TBA_Matches_All[[#This Row],[Team]],Dyno_Data[Match],TBA_Matches_All[[#This Row],[Match_Number]],Dyno_Data[RecordType],"Activities",Dyno_Data[DelOrig],"OppW", Dyno_Data[DelMiss],"0")</f>
        <v>0</v>
      </c>
      <c r="BI324">
        <f>COUNTIFS(Dyno_Data[Team],TBA_Matches_All[[#This Row],[Team]],Dyno_Data[Match],TBA_Matches_All[[#This Row],[Match_Number]],Dyno_Data[RecordType],"Activities",Dyno_Data[DelOrig],"OppW", Dyno_Data[DelMiss],"1")</f>
        <v>0</v>
      </c>
      <c r="BJ324" s="60">
        <f>IFERROR(SUM((TBA_Matches_All[[#This Row],[OZflrT]])/(TBA_Matches_All[[#This Row],[OZflrT]]+TBA_Matches_All[[#This Row],[OZflrM]])),0)</f>
        <v>0</v>
      </c>
      <c r="BK324">
        <f>COUNTIFS(Dyno_Data[Team],TBA_Matches_All[[#This Row],[Team]],Dyno_Data[Match],TBA_Matches_All[[#This Row],[Match_Number]],Dyno_Data[RecordType],"Activities",Dyno_Data[DelOrig],"Neut", Dyno_Data[DelMiss],"0")</f>
        <v>0</v>
      </c>
      <c r="BL324">
        <f>COUNTIFS(Dyno_Data[Team],TBA_Matches_All[[#This Row],[Team]],Dyno_Data[Match],TBA_Matches_All[[#This Row],[Match_Number]],Dyno_Data[RecordType],"Activities",Dyno_Data[DelOrig],"Neut", Dyno_Data[DelMiss],"1")</f>
        <v>0</v>
      </c>
      <c r="BM324" s="60">
        <f>IFERROR(SUM((TBA_Matches_All[[#This Row],[NZflrT]])/(TBA_Matches_All[[#This Row],[NZflrT]]+TBA_Matches_All[[#This Row],[NZflrM]])),0)</f>
        <v>0</v>
      </c>
      <c r="BN324">
        <f>COUNTIFS(Dyno_Data[Team],TBA_Matches_All[[#This Row],[Team]],Dyno_Data[Match],TBA_Matches_All[[#This Row],[Match_Number]],Dyno_Data[RecordType],"Activities",Dyno_Data[DelOrig],"AllyW", Dyno_Data[DelMiss],"0")</f>
        <v>0</v>
      </c>
      <c r="BO324">
        <f>COUNTIFS(Dyno_Data[Team],TBA_Matches_All[[#This Row],[Team]],Dyno_Data[Match],TBA_Matches_All[[#This Row],[Match_Number]],Dyno_Data[RecordType],"Activities",Dyno_Data[DelOrig],"AllyW", Dyno_Data[DelMiss],"1")</f>
        <v>0</v>
      </c>
      <c r="BP324" s="60">
        <f>IFERROR(SUM((TBA_Matches_All[[#This Row],[AZflrT]])/(TBA_Matches_All[[#This Row],[AZflrT]]+TBA_Matches_All[[#This Row],[AZflrM]])),0)</f>
        <v>0</v>
      </c>
      <c r="BQ324">
        <f>COUNTIFS(Dyno_Data[Team],TBA_Matches_All[[#This Row],[Team]],Dyno_Data[Match],TBA_Matches_All[[#This Row],[Match_Number]],Dyno_Data[RecordType],"Activities",Dyno_Data[DelOrig],"SubW", Dyno_Data[DelMiss],"0")</f>
        <v>0</v>
      </c>
      <c r="BR324">
        <f>COUNTIFS(Dyno_Data[Team],TBA_Matches_All[[#This Row],[Team]],Dyno_Data[Match],TBA_Matches_All[[#This Row],[Match_Number]],Dyno_Data[RecordType],"Activities",Dyno_Data[DelOrig],"SubW", Dyno_Data[DelMiss],"1")</f>
        <v>0</v>
      </c>
      <c r="BS324" s="60">
        <f>IFERROR(SUM((TBA_Matches_All[[#This Row],[SubwT]])/(TBA_Matches_All[[#This Row],[SubwT]]+TBA_Matches_All[[#This Row],[SubwM]])),0)</f>
        <v>0</v>
      </c>
      <c r="BT324">
        <f>COUNTIFS(Dyno_Data[Team],TBA_Matches_All[[#This Row],[Team]],Dyno_Data[Match],TBA_Matches_All[[#This Row],[Match_Number]],Dyno_Data[RecordType],"Activities", Dyno_Data[AcqLoc],"OppWing")</f>
        <v>0</v>
      </c>
      <c r="BU324">
        <f>COUNTIFS(Dyno_Data[Team],TBA_Matches_All[[#This Row],[Team]],Dyno_Data[Match],TBA_Matches_All[[#This Row],[Match_Number]],Dyno_Data[RecordType],"Activities", Dyno_Data[AcqLoc],"Neutral")</f>
        <v>0</v>
      </c>
      <c r="BV324">
        <f>COUNTIFS(Dyno_Data[Team],TBA_Matches_All[[#This Row],[Team]],Dyno_Data[Match],TBA_Matches_All[[#This Row],[Match_Number]],Dyno_Data[RecordType],"Activities", Dyno_Data[AcqLoc],"AllyWing")</f>
        <v>0</v>
      </c>
      <c r="BW324">
        <f>COUNTIFS(Dyno_Data[Team],TBA_Matches_All[[#This Row],[Team]],Dyno_Data[Match],TBA_Matches_All[[#This Row],[Match_Number]],Dyno_Data[RecordType],"Activities", Dyno_Data[AcqLoc],"Source")</f>
        <v>0</v>
      </c>
      <c r="BX324">
        <f>SUMIFS(Dyno_Data[AcqDrp], Dyno_Data[Team],TBA_Matches_All[[#This Row],[Team]],Dyno_Data[Match],TBA_Matches_All[[#This Row],[Match_Number]],Dyno_Data[RecordType],"Activities", Dyno_Data[AcqLoc],"Source")</f>
        <v>0</v>
      </c>
      <c r="BY324">
        <f>SUMIFS(Dyno_Data[OZTime], Dyno_Data[Team],TBA_Matches_All[[#This Row],[Team]],Dyno_Data[Match],TBA_Matches_All[[#This Row],[Match_Number]],Dyno_Data[RecordType],"EndMatch")</f>
        <v>0</v>
      </c>
      <c r="BZ324">
        <f>SUMIFS(Dyno_Data[NZTime], Dyno_Data[Team],TBA_Matches_All[[#This Row],[Team]],Dyno_Data[Match],TBA_Matches_All[[#This Row],[Match_Number]],Dyno_Data[RecordType],"EndMatch")</f>
        <v>116.6771249</v>
      </c>
      <c r="CA324">
        <f>SUMIFS(Dyno_Data[AZTime], Dyno_Data[Team],TBA_Matches_All[[#This Row],[Team]],Dyno_Data[Match],TBA_Matches_All[[#This Row],[Match_Number]],Dyno_Data[RecordType],"EndMatch")</f>
        <v>19.209479099999999</v>
      </c>
      <c r="CB324">
        <f>SUMIFS(Dyno_Data[ClimbT], Dyno_Data[Team],TBA_Matches_All[[#This Row],[Team]],Dyno_Data[Match],TBA_Matches_All[[#This Row],[Match_Number]],Dyno_Data[RecordType],"EndMatch")</f>
        <v>0</v>
      </c>
      <c r="CC324" t="str">
        <f>_xlfn.XLOOKUP(SUM(MID(TBA_Matches_All[[#This Row],[Team]],4,5),(TBA_Matches_All[[#This Row],[Match_Number]]/100)),Dyno_EndMatch[teammat],Dyno_EndMatch[StageStat],"_",0,1)</f>
        <v>Park</v>
      </c>
      <c r="CD324" t="str">
        <f>_xlfn.XLOOKUP(TBA_Matches_All[[#This Row],[teammat]],Dyno_EndMatch[teammat],Dyno_EndMatch[StageAtt],"_",0,1)</f>
        <v>0</v>
      </c>
      <c r="CE324" t="str">
        <f>_xlfn.XLOOKUP(TBA_Matches_All[[#This Row],[teammat]],Dyno_EndMatch[teammat],Dyno_EndMatch[StageLoc],"_",0,1)</f>
        <v>A</v>
      </c>
      <c r="CF324">
        <f>SUMIFS(Dyno_Data[Harmony], Dyno_Data[Team],TBA_Matches_All[[#This Row],[Team]],Dyno_Data[Match],TBA_Matches_All[[#This Row],[Match_Number]],Dyno_Data[RecordType],"EndMatch", Dyno_Data[StageStat],"On",Dyno_Data[Harmony],"&lt;&gt;9")</f>
        <v>0</v>
      </c>
      <c r="CG324">
        <f>SUMIFS(Dyno_Data[Spotlit], Dyno_Data[Team],TBA_Matches_All[[#This Row],[Team]],Dyno_Data[Match],TBA_Matches_All[[#This Row],[Match_Number]],Dyno_Data[RecordType],"EndMatch", Dyno_Data[StageStat],"On",Dyno_Data[Spotlit],"&lt;&gt;9")</f>
        <v>0</v>
      </c>
      <c r="CH324" t="str">
        <f>_xlfn.XLOOKUP(TBA_Matches_All[[#This Row],[teammat]],Dyno_EndMatch[teammat],Dyno_EndMatch[Strategy],"_",0,1)</f>
        <v>Defense</v>
      </c>
      <c r="CI324">
        <f>SUMIFS(Dyno_Data[Defense], Dyno_Data[Team],TBA_Matches_All[[#This Row],[Team]],Dyno_Data[Match],TBA_Matches_All[[#This Row],[Match_Number]],Dyno_Data[RecordType],"EndMatch",Dyno_Data[Defense],"&lt;&gt;9")</f>
        <v>2</v>
      </c>
      <c r="CJ324">
        <f>SUMIFS(Dyno_Data[Avoidance], Dyno_Data[Team],TBA_Matches_All[[#This Row],[Team]],Dyno_Data[Match],TBA_Matches_All[[#This Row],[Match_Number]],Dyno_Data[RecordType],"EndMatch",Dyno_Data[Avoidance],"&lt;&gt;9")</f>
        <v>0</v>
      </c>
      <c r="CK324" s="82">
        <f>COUNTIF($H$2:TBA_Matches_All[[#This Row],[Team]],TBA_Matches_All[[#This Row],[Team]])</f>
        <v>7</v>
      </c>
      <c r="CL324" s="111">
        <f>SUM(MID(TBA_Matches_All[[#This Row],[Team]],4,5)+TBA_Matches_All[[#This Row],[Match_Number]]/100)</f>
        <v>6463.54</v>
      </c>
      <c r="CM324">
        <f>SUM((TBA_Matches_All[[#This Row],[Leave]]*2)+(TBA_Matches_All[[#This Row],[AampT]]*2)+(TBA_Matches_All[[#This Row],[AspkrT]]*5)+(TBA_Matches_All[[#This Row],[AtrapT]]*5))</f>
        <v>0</v>
      </c>
      <c r="CN324" s="59">
        <f>IFERROR(SUM(TBA_Matches_All[[#This Row],[AptsT]]/TBA_Matches_All[[#This Row],[AutoPts]]),0)</f>
        <v>0</v>
      </c>
      <c r="CO324" s="59">
        <f>IFERROR(SUM(TBA_Matches_All[[#This Row],[AampT]]+TBA_Matches_All[[#This Row],[AspkrT]]+TBA_Matches_All[[#This Row],[AtrapT]]/TBA_Matches_All[[#This Row],[Aamp]]+TBA_Matches_All[[#This Row],[Aspkr]]+TBA_Matches_All[[#This Row],[AtrapT]]),0)</f>
        <v>0</v>
      </c>
      <c r="CP324" s="59">
        <f>IFERROR(SUM(TBA_Matches_All[[#This Row],[TampT]]/TBA_Matches_All[[#This Row],[Tamp]]),0)</f>
        <v>0</v>
      </c>
      <c r="CQ324" s="59">
        <f>IFERROR(SUM(TBA_Matches_All[[#This Row],[TspkrT]]/TBA_Matches_All[[#This Row],[Tspkr]]),0)</f>
        <v>0</v>
      </c>
      <c r="CR324">
        <f>SUM(TBA_Matches_All[[#This Row],[TspkrPts]]*TBA_Matches_All[[#This Row],[TspkrP]])</f>
        <v>0</v>
      </c>
      <c r="CS324" s="59">
        <f>IFERROR(SUM(TBA_Matches_All[[#This Row],[TtrapT]]/TBA_Matches_All[[#This Row],[Trap]]),0)</f>
        <v>0</v>
      </c>
      <c r="CT324" s="59">
        <f>IFERROR(SUM(TBA_Matches_All[[#This Row],[TotNotesT]]/TBA_Matches_All[[#This Row],[TotNotes]]),0)</f>
        <v>0</v>
      </c>
      <c r="CU324" s="66">
        <f>SUM((TBA_Matches_All[[#This Row],[AampT]]*2)+(TBA_Matches_All[[#This Row],[AspkrT]]*5)+(TBA_Matches_All[[#This Row],[AtrapT]]*5)+(TBA_Matches_All[[#This Row],[TampT]]*1)+(TBA_Matches_All[[#This Row],[TspkrptsC]]))</f>
        <v>0</v>
      </c>
      <c r="CV324" s="59">
        <f>IFERROR(TBA_Matches_All[[#This Row],[noteptsT]]/TBA_Matches_All[[#This Row],[NotePts]],0)</f>
        <v>0</v>
      </c>
      <c r="CW324">
        <f>SUM(IF(TBA_Matches_All[[#This Row],[stageStat]]="On",3,0),IF(TBA_Matches_All[[#This Row],[stageStat]]="Park",1,0),SUMIFS(TBA_Matches_All[[#This Row],[Spotlit]],TBA_Matches_All[[#This Row],[stageStat]],"On"),SUMIFS(TBA_Matches_All[[#This Row],[Harmony]],TBA_Matches_All[[#This Row],[stageStat]],"On"))</f>
        <v>1</v>
      </c>
      <c r="CX324" s="59">
        <f>IFERROR(TBA_Matches_All[[#This Row],[stageptsT]]/TBA_Matches_All[[#This Row],[StagePts]],0)</f>
        <v>0.33333333333333331</v>
      </c>
      <c r="CY324">
        <f>SUM((TBA_Matches_All[[#This Row],[AptsT]]+TBA_Matches_All[[#This Row],[TampT]]+TBA_Matches_All[[#This Row],[TspkrptsC]]+(TBA_Matches_All[[#This Row],[TtrapT]]*5)+TBA_Matches_All[[#This Row],[stageptsT]]))</f>
        <v>1</v>
      </c>
      <c r="CZ324" s="59">
        <f>IFERROR(SUM(TBA_Matches_All[[#This Row],[TotptsC]]/TBA_Matches_All[[#This Row],[Score]]),0)</f>
        <v>3.125E-2</v>
      </c>
      <c r="DA32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24" s="74">
        <f>SUMIFS(TBA_Matches_All[AveTeamTNoteDels],TBA_Matches_All[Match_Number],TBA_Matches_All[[#This Row],[Match_Number]],TBA_Matches_All[Alliance],"&lt;&gt;"&amp;TBA_Matches_All[[#This Row],[Alliance]],TBA_Matches_All[Scouted],"&gt;0")</f>
        <v>11.0625</v>
      </c>
      <c r="DC324" s="74">
        <f>(TBA_Matches_All[[#This Row],[TampT]]+TBA_Matches_All[[#This Row],[TspkrptsC]])-TBA_Matches_All[[#This Row],[AveTeamTNoteDels]]</f>
        <v>0</v>
      </c>
      <c r="DD324" s="74">
        <f>SUMIFS(TBA_Matches_All[AveTeamTNoteDels],TBA_Matches_All[Match_Number],TBA_Matches_All[[#This Row],[Match_Number]],TBA_Matches_All[Alliance],"&lt;&gt;"&amp;TBA_Matches_All[[#This Row],[Alliance]])-TBA_Matches_All[[#This Row],[AveOppTNoteDels]]</f>
        <v>0</v>
      </c>
    </row>
    <row r="325" spans="1:108" x14ac:dyDescent="0.3">
      <c r="A325" t="s">
        <v>1042</v>
      </c>
      <c r="B325" t="s">
        <v>489</v>
      </c>
      <c r="C325" t="s">
        <v>1363</v>
      </c>
      <c r="D325">
        <v>54</v>
      </c>
      <c r="E325" t="s">
        <v>1420</v>
      </c>
      <c r="F325" t="s">
        <v>1423</v>
      </c>
      <c r="G325" t="s">
        <v>1409</v>
      </c>
      <c r="H325" t="s">
        <v>1279</v>
      </c>
      <c r="I325" t="b">
        <v>1</v>
      </c>
      <c r="J325">
        <v>34</v>
      </c>
      <c r="K325">
        <v>0</v>
      </c>
      <c r="L325">
        <v>0</v>
      </c>
      <c r="M325">
        <v>0</v>
      </c>
      <c r="N325">
        <v>0</v>
      </c>
      <c r="O325">
        <v>2</v>
      </c>
      <c r="P325">
        <v>10</v>
      </c>
      <c r="Q325">
        <v>12</v>
      </c>
      <c r="R325">
        <v>1</v>
      </c>
      <c r="S325">
        <v>0</v>
      </c>
      <c r="T325">
        <v>7</v>
      </c>
      <c r="U325">
        <v>0</v>
      </c>
      <c r="V325">
        <v>14</v>
      </c>
      <c r="W325">
        <v>7</v>
      </c>
      <c r="X325">
        <v>14</v>
      </c>
      <c r="Y325">
        <v>15</v>
      </c>
      <c r="Z325">
        <v>0</v>
      </c>
      <c r="AA325">
        <v>0</v>
      </c>
      <c r="AB325">
        <v>10</v>
      </c>
      <c r="AC325">
        <v>25</v>
      </c>
      <c r="AD325">
        <v>5</v>
      </c>
      <c r="AE325">
        <f>IFERROR(6/(COUNTIF(Dyno_EndMatch[Match],TBA_Matches_All[[#This Row],[Match_Number]])),0)</f>
        <v>1</v>
      </c>
      <c r="AF325">
        <f>COUNTIFS(Dyno_Data[Team],TBA_Matches_All[[#This Row],[Team]],Dyno_Data[Match],TBA_Matches_All[[#This Row],[Match_Number]],Dyno_Data[RecordType],"EndMatch",Dyno_Data[HPAmp],"Y")</f>
        <v>0</v>
      </c>
      <c r="AG325">
        <f>SUMIFS(Dyno_Data[Mics], Dyno_Data[Team],TBA_Matches_All[[#This Row],[Team]],Dyno_Data[Match],TBA_Matches_All[[#This Row],[Match_Number]],Dyno_Data[RecordType],"EndMatch",Dyno_Data[HPAmp],"Y")</f>
        <v>0</v>
      </c>
      <c r="AH325">
        <f>SUMIFS(Dyno_Data[Leave], Dyno_Data[Team],TBA_Matches_All[[#This Row],[Team]],Dyno_Data[Match],TBA_Matches_All[[#This Row],[Match_Number]],Dyno_Data[RecordType],"EndAuto")</f>
        <v>1</v>
      </c>
      <c r="AI325">
        <f>COUNTIFS(Dyno_Data[Team],TBA_Matches_All[[#This Row],[Team]],Dyno_Data[Match],TBA_Matches_All[[#This Row],[Match_Number]],Dyno_Data[RecordType],"Activities",Dyno_Data[DelDest],"Amp", Dyno_Data[DelMiss],"0", Dyno_Data[Mode],"Auto")</f>
        <v>0</v>
      </c>
      <c r="AJ325">
        <f>COUNTIFS(Dyno_Data[Team],TBA_Matches_All[[#This Row],[Team]],Dyno_Data[Match],TBA_Matches_All[[#This Row],[Match_Number]],Dyno_Data[RecordType],"Activities",Dyno_Data[DelDest],"Spkr", Dyno_Data[DelMiss],"0", Dyno_Data[Mode],"Auto")</f>
        <v>0</v>
      </c>
      <c r="AK325">
        <f>COUNTIFS(Dyno_Data[Team],TBA_Matches_All[[#This Row],[Team]],Dyno_Data[Match],TBA_Matches_All[[#This Row],[Match_Number]],Dyno_Data[RecordType],"Activities",Dyno_Data[DelDest],"Trap", Dyno_Data[DelMiss],"0", Dyno_Data[Mode],"Auto")</f>
        <v>0</v>
      </c>
      <c r="AL325">
        <f>COUNTIFS(Dyno_Data[Team],TBA_Matches_All[[#This Row],[Team]],Dyno_Data[Match],TBA_Matches_All[[#This Row],[Match_Number]],Dyno_Data[RecordType],"Activities",Dyno_Data[DelDest],"Amp", Dyno_Data[DelMiss],"0", Dyno_Data[Mode],"Teleop")</f>
        <v>0</v>
      </c>
      <c r="AM325">
        <f>COUNTIFS(Dyno_Data[Team],TBA_Matches_All[[#This Row],[Team]],Dyno_Data[Match],TBA_Matches_All[[#This Row],[Match_Number]],Dyno_Data[RecordType],"Activities",Dyno_Data[DelDest],"Spkr", Dyno_Data[DelMiss],"0", Dyno_Data[Mode],"Teleop")</f>
        <v>0</v>
      </c>
      <c r="AN325">
        <f>COUNTIFS(Dyno_Data[Team],TBA_Matches_All[[#This Row],[Team]],Dyno_Data[Match],TBA_Matches_All[[#This Row],[Match_Number]],Dyno_Data[RecordType],"Activities",Dyno_Data[DelDest],"Trap", Dyno_Data[DelMiss],"0", Dyno_Data[Mode],"&lt;&gt;Auto")</f>
        <v>0</v>
      </c>
      <c r="AO325">
        <f>SUM(TBA_Matches_All[[#This Row],[AampT]]+TBA_Matches_All[[#This Row],[AspkrT]]+TBA_Matches_All[[#This Row],[AtrapT]]+TBA_Matches_All[[#This Row],[TampT]]+TBA_Matches_All[[#This Row],[TspkrT]]+TBA_Matches_All[[#This Row],[TtrapT]])</f>
        <v>0</v>
      </c>
      <c r="AP325">
        <f>COUNTIFS(Dyno_Data[Team],TBA_Matches_All[[#This Row],[Team]],Dyno_Data[Match],TBA_Matches_All[[#This Row],[Match_Number]],Dyno_Data[RecordType],"Activities",Dyno_Data[DelDest],"Neut", Dyno_Data[DelMiss],"0")</f>
        <v>0</v>
      </c>
      <c r="AQ325">
        <f>COUNTIFS(Dyno_Data[Team],TBA_Matches_All[[#This Row],[Team]],Dyno_Data[Match],TBA_Matches_All[[#This Row],[Match_Number]],Dyno_Data[RecordType],"Activities",Dyno_Data[DelDest],"AllyW", Dyno_Data[DelMiss],"0")</f>
        <v>1</v>
      </c>
      <c r="AR325" t="str">
        <f>_xlfn.XLOOKUP(SUM(MID(TBA_Matches_All[[#This Row],[Team]],4,5),(TBA_Matches_All[[#This Row],[Match_Number]]/100)),Dyno_EndMatch[teammat],Dyno_EndMatch[RobotSta],"_",0,1)</f>
        <v>OppS</v>
      </c>
      <c r="AS325">
        <f>SUMIFS(Dyno_Data[AcqDis], Dyno_Data[Team],TBA_Matches_All[[#This Row],[Team]],Dyno_Data[Match],TBA_Matches_All[[#This Row],[Match_Number]],Dyno_Data[RecordType],"Activities", Dyno_Data[AcqCenter],1,Dyno_Data[Mode],"Auto")</f>
        <v>0</v>
      </c>
      <c r="AT325">
        <f>SUMIFS(Dyno_Data[AcqDis], Dyno_Data[Team],TBA_Matches_All[[#This Row],[Team]],Dyno_Data[Match],TBA_Matches_All[[#This Row],[Match_Number]],Dyno_Data[RecordType],"Activities", Dyno_Data[AcqCenter],2,Dyno_Data[Mode],"Auto")</f>
        <v>0</v>
      </c>
      <c r="AU325">
        <f>SUMIFS(Dyno_Data[AcqDis], Dyno_Data[Team],TBA_Matches_All[[#This Row],[Team]],Dyno_Data[Match],TBA_Matches_All[[#This Row],[Match_Number]],Dyno_Data[RecordType],"Activities", Dyno_Data[AcqCenter],3,Dyno_Data[Mode],"Auto")</f>
        <v>0</v>
      </c>
      <c r="AV325">
        <f>SUMIFS(Dyno_Data[AcqDis], Dyno_Data[Team],TBA_Matches_All[[#This Row],[Team]],Dyno_Data[Match],TBA_Matches_All[[#This Row],[Match_Number]],Dyno_Data[RecordType],"Activities", Dyno_Data[AcqCenter],4,Dyno_Data[Mode],"Auto")</f>
        <v>0</v>
      </c>
      <c r="AW325">
        <f>SUMIFS(Dyno_Data[AcqDis], Dyno_Data[Team],TBA_Matches_All[[#This Row],[Team]],Dyno_Data[Match],TBA_Matches_All[[#This Row],[Match_Number]],Dyno_Data[RecordType],"Activities", Dyno_Data[AcqCenter],5,Dyno_Data[Mode],"Auto")</f>
        <v>0</v>
      </c>
      <c r="AX325">
        <f>SUMIFS(Dyno_Data[DelMiss], Dyno_Data[Team],TBA_Matches_All[[#This Row],[Team]],Dyno_Data[Match],TBA_Matches_All[[#This Row],[Match_Number]],Dyno_Data[RecordType],"Activities", Dyno_Data[DelDest],"Amp")</f>
        <v>0</v>
      </c>
      <c r="AY325" s="60">
        <f>IFERROR(SUM((TBA_Matches_All[[#This Row],[AampT]]+TBA_Matches_All[[#This Row],[TampT]])/(TBA_Matches_All[[#This Row],[AampT]]+TBA_Matches_All[[#This Row],[TampT]]+TBA_Matches_All[[#This Row],[ampM]])),0)</f>
        <v>0</v>
      </c>
      <c r="AZ325">
        <f>SUMIFS(Dyno_Data[DelMiss], Dyno_Data[Team],TBA_Matches_All[[#This Row],[Team]],Dyno_Data[Match],TBA_Matches_All[[#This Row],[Match_Number]],Dyno_Data[RecordType],"Activities", Dyno_Data[DelDest],"Spkr")</f>
        <v>0</v>
      </c>
      <c r="BA325" s="60">
        <f>IFERROR(SUM((TBA_Matches_All[[#This Row],[AspkrT]]+TBA_Matches_All[[#This Row],[TspkrT]])/(TBA_Matches_All[[#This Row],[AspkrT]]+TBA_Matches_All[[#This Row],[TspkrT]]+TBA_Matches_All[[#This Row],[spkrM]])),0)</f>
        <v>0</v>
      </c>
      <c r="BB325">
        <f>SUMIFS(Dyno_Data[DelMiss], Dyno_Data[Team],TBA_Matches_All[[#This Row],[Team]],Dyno_Data[Match],TBA_Matches_All[[#This Row],[Match_Number]],Dyno_Data[RecordType],"Activities", Dyno_Data[DelDest],"Trap")</f>
        <v>0</v>
      </c>
      <c r="BC325" s="60">
        <f>IFERROR((TBA_Matches_All[[#This Row],[AtrapT]]+TBA_Matches_All[[#This Row],[TtrapT]])/(TBA_Matches_All[[#This Row],[AtrapT]]+TBA_Matches_All[[#This Row],[TtrapT]]+TBA_Matches_All[[#This Row],[trapM]]),0)</f>
        <v>0</v>
      </c>
      <c r="BD325">
        <f>COUNTIFS(Dyno_Data[Team],TBA_Matches_All[[#This Row],[Team]],Dyno_Data[Match],TBA_Matches_All[[#This Row],[Match_Number]],Dyno_Data[RecordType],"Activities",Dyno_Data[DelDest],"Neut", Dyno_Data[DelMiss],1)</f>
        <v>0</v>
      </c>
      <c r="BE325" s="60">
        <f>IFERROR(SUM((TBA_Matches_All[[#This Row],[NeutFlrT]])/(TBA_Matches_All[[#This Row],[NeutFlrT]]+TBA_Matches_All[[#This Row],[NZflM]])),0)</f>
        <v>0</v>
      </c>
      <c r="BF325">
        <f>COUNTIFS(Dyno_Data[Team],TBA_Matches_All[[#This Row],[Team]],Dyno_Data[Match],TBA_Matches_All[[#This Row],[Match_Number]],Dyno_Data[RecordType],"Activities",Dyno_Data[DelDest],"AllyW", Dyno_Data[DelMiss],1)</f>
        <v>0</v>
      </c>
      <c r="BG325" s="60">
        <f>IFERROR(SUM((TBA_Matches_All[[#This Row],[AllyWFlrT]])/(TBA_Matches_All[[#This Row],[AllyWFlrT]]+TBA_Matches_All[[#This Row],[AZflM]])),0)</f>
        <v>1</v>
      </c>
      <c r="BH325">
        <f>COUNTIFS(Dyno_Data[Team],TBA_Matches_All[[#This Row],[Team]],Dyno_Data[Match],TBA_Matches_All[[#This Row],[Match_Number]],Dyno_Data[RecordType],"Activities",Dyno_Data[DelOrig],"OppW", Dyno_Data[DelMiss],"0")</f>
        <v>0</v>
      </c>
      <c r="BI325">
        <f>COUNTIFS(Dyno_Data[Team],TBA_Matches_All[[#This Row],[Team]],Dyno_Data[Match],TBA_Matches_All[[#This Row],[Match_Number]],Dyno_Data[RecordType],"Activities",Dyno_Data[DelOrig],"OppW", Dyno_Data[DelMiss],"1")</f>
        <v>0</v>
      </c>
      <c r="BJ325" s="60">
        <f>IFERROR(SUM((TBA_Matches_All[[#This Row],[OZflrT]])/(TBA_Matches_All[[#This Row],[OZflrT]]+TBA_Matches_All[[#This Row],[OZflrM]])),0)</f>
        <v>0</v>
      </c>
      <c r="BK325">
        <f>COUNTIFS(Dyno_Data[Team],TBA_Matches_All[[#This Row],[Team]],Dyno_Data[Match],TBA_Matches_All[[#This Row],[Match_Number]],Dyno_Data[RecordType],"Activities",Dyno_Data[DelOrig],"Neut", Dyno_Data[DelMiss],"0")</f>
        <v>0</v>
      </c>
      <c r="BL325">
        <f>COUNTIFS(Dyno_Data[Team],TBA_Matches_All[[#This Row],[Team]],Dyno_Data[Match],TBA_Matches_All[[#This Row],[Match_Number]],Dyno_Data[RecordType],"Activities",Dyno_Data[DelOrig],"Neut", Dyno_Data[DelMiss],"1")</f>
        <v>0</v>
      </c>
      <c r="BM325" s="60">
        <f>IFERROR(SUM((TBA_Matches_All[[#This Row],[NZflrT]])/(TBA_Matches_All[[#This Row],[NZflrT]]+TBA_Matches_All[[#This Row],[NZflrM]])),0)</f>
        <v>0</v>
      </c>
      <c r="BN325">
        <f>COUNTIFS(Dyno_Data[Team],TBA_Matches_All[[#This Row],[Team]],Dyno_Data[Match],TBA_Matches_All[[#This Row],[Match_Number]],Dyno_Data[RecordType],"Activities",Dyno_Data[DelOrig],"AllyW", Dyno_Data[DelMiss],"0")</f>
        <v>1</v>
      </c>
      <c r="BO325">
        <f>COUNTIFS(Dyno_Data[Team],TBA_Matches_All[[#This Row],[Team]],Dyno_Data[Match],TBA_Matches_All[[#This Row],[Match_Number]],Dyno_Data[RecordType],"Activities",Dyno_Data[DelOrig],"AllyW", Dyno_Data[DelMiss],"1")</f>
        <v>0</v>
      </c>
      <c r="BP325" s="60">
        <f>IFERROR(SUM((TBA_Matches_All[[#This Row],[AZflrT]])/(TBA_Matches_All[[#This Row],[AZflrT]]+TBA_Matches_All[[#This Row],[AZflrM]])),0)</f>
        <v>1</v>
      </c>
      <c r="BQ325">
        <f>COUNTIFS(Dyno_Data[Team],TBA_Matches_All[[#This Row],[Team]],Dyno_Data[Match],TBA_Matches_All[[#This Row],[Match_Number]],Dyno_Data[RecordType],"Activities",Dyno_Data[DelOrig],"SubW", Dyno_Data[DelMiss],"0")</f>
        <v>0</v>
      </c>
      <c r="BR325">
        <f>COUNTIFS(Dyno_Data[Team],TBA_Matches_All[[#This Row],[Team]],Dyno_Data[Match],TBA_Matches_All[[#This Row],[Match_Number]],Dyno_Data[RecordType],"Activities",Dyno_Data[DelOrig],"SubW", Dyno_Data[DelMiss],"1")</f>
        <v>0</v>
      </c>
      <c r="BS325" s="60">
        <f>IFERROR(SUM((TBA_Matches_All[[#This Row],[SubwT]])/(TBA_Matches_All[[#This Row],[SubwT]]+TBA_Matches_All[[#This Row],[SubwM]])),0)</f>
        <v>0</v>
      </c>
      <c r="BT325">
        <f>COUNTIFS(Dyno_Data[Team],TBA_Matches_All[[#This Row],[Team]],Dyno_Data[Match],TBA_Matches_All[[#This Row],[Match_Number]],Dyno_Data[RecordType],"Activities", Dyno_Data[AcqLoc],"OppWing")</f>
        <v>0</v>
      </c>
      <c r="BU325">
        <f>COUNTIFS(Dyno_Data[Team],TBA_Matches_All[[#This Row],[Team]],Dyno_Data[Match],TBA_Matches_All[[#This Row],[Match_Number]],Dyno_Data[RecordType],"Activities", Dyno_Data[AcqLoc],"Neutral")</f>
        <v>0</v>
      </c>
      <c r="BV325">
        <f>COUNTIFS(Dyno_Data[Team],TBA_Matches_All[[#This Row],[Team]],Dyno_Data[Match],TBA_Matches_All[[#This Row],[Match_Number]],Dyno_Data[RecordType],"Activities", Dyno_Data[AcqLoc],"AllyWing")</f>
        <v>0</v>
      </c>
      <c r="BW325">
        <f>COUNTIFS(Dyno_Data[Team],TBA_Matches_All[[#This Row],[Team]],Dyno_Data[Match],TBA_Matches_All[[#This Row],[Match_Number]],Dyno_Data[RecordType],"Activities", Dyno_Data[AcqLoc],"Source")</f>
        <v>0</v>
      </c>
      <c r="BX325">
        <f>SUMIFS(Dyno_Data[AcqDrp], Dyno_Data[Team],TBA_Matches_All[[#This Row],[Team]],Dyno_Data[Match],TBA_Matches_All[[#This Row],[Match_Number]],Dyno_Data[RecordType],"Activities", Dyno_Data[AcqLoc],"Source")</f>
        <v>0</v>
      </c>
      <c r="BY325">
        <f>SUMIFS(Dyno_Data[OZTime], Dyno_Data[Team],TBA_Matches_All[[#This Row],[Team]],Dyno_Data[Match],TBA_Matches_All[[#This Row],[Match_Number]],Dyno_Data[RecordType],"EndMatch")</f>
        <v>0</v>
      </c>
      <c r="BZ325">
        <f>SUMIFS(Dyno_Data[NZTime], Dyno_Data[Team],TBA_Matches_All[[#This Row],[Team]],Dyno_Data[Match],TBA_Matches_All[[#This Row],[Match_Number]],Dyno_Data[RecordType],"EndMatch")</f>
        <v>61.383293099999996</v>
      </c>
      <c r="CA325">
        <f>SUMIFS(Dyno_Data[AZTime], Dyno_Data[Team],TBA_Matches_All[[#This Row],[Team]],Dyno_Data[Match],TBA_Matches_All[[#This Row],[Match_Number]],Dyno_Data[RecordType],"EndMatch")</f>
        <v>71.882269499999992</v>
      </c>
      <c r="CB325">
        <f>SUMIFS(Dyno_Data[ClimbT], Dyno_Data[Team],TBA_Matches_All[[#This Row],[Team]],Dyno_Data[Match],TBA_Matches_All[[#This Row],[Match_Number]],Dyno_Data[RecordType],"EndMatch")</f>
        <v>0</v>
      </c>
      <c r="CC325" t="str">
        <f>_xlfn.XLOOKUP(SUM(MID(TBA_Matches_All[[#This Row],[Team]],4,5),(TBA_Matches_All[[#This Row],[Match_Number]]/100)),Dyno_EndMatch[teammat],Dyno_EndMatch[StageStat],"_",0,1)</f>
        <v>Park</v>
      </c>
      <c r="CD325" t="str">
        <f>_xlfn.XLOOKUP(TBA_Matches_All[[#This Row],[teammat]],Dyno_EndMatch[teammat],Dyno_EndMatch[StageAtt],"_",0,1)</f>
        <v>0</v>
      </c>
      <c r="CE325" t="str">
        <f>_xlfn.XLOOKUP(TBA_Matches_All[[#This Row],[teammat]],Dyno_EndMatch[teammat],Dyno_EndMatch[StageLoc],"_",0,1)</f>
        <v>A</v>
      </c>
      <c r="CF325">
        <f>SUMIFS(Dyno_Data[Harmony], Dyno_Data[Team],TBA_Matches_All[[#This Row],[Team]],Dyno_Data[Match],TBA_Matches_All[[#This Row],[Match_Number]],Dyno_Data[RecordType],"EndMatch", Dyno_Data[StageStat],"On",Dyno_Data[Harmony],"&lt;&gt;9")</f>
        <v>0</v>
      </c>
      <c r="CG325">
        <f>SUMIFS(Dyno_Data[Spotlit], Dyno_Data[Team],TBA_Matches_All[[#This Row],[Team]],Dyno_Data[Match],TBA_Matches_All[[#This Row],[Match_Number]],Dyno_Data[RecordType],"EndMatch", Dyno_Data[StageStat],"On",Dyno_Data[Spotlit],"&lt;&gt;9")</f>
        <v>0</v>
      </c>
      <c r="CH325" t="str">
        <f>_xlfn.XLOOKUP(TBA_Matches_All[[#This Row],[teammat]],Dyno_EndMatch[teammat],Dyno_EndMatch[Strategy],"_",0,1)</f>
        <v>Defense</v>
      </c>
      <c r="CI325">
        <f>SUMIFS(Dyno_Data[Defense], Dyno_Data[Team],TBA_Matches_All[[#This Row],[Team]],Dyno_Data[Match],TBA_Matches_All[[#This Row],[Match_Number]],Dyno_Data[RecordType],"EndMatch",Dyno_Data[Defense],"&lt;&gt;9")</f>
        <v>3</v>
      </c>
      <c r="CJ325">
        <f>SUMIFS(Dyno_Data[Avoidance], Dyno_Data[Team],TBA_Matches_All[[#This Row],[Team]],Dyno_Data[Match],TBA_Matches_All[[#This Row],[Match_Number]],Dyno_Data[RecordType],"EndMatch",Dyno_Data[Avoidance],"&lt;&gt;9")</f>
        <v>0</v>
      </c>
      <c r="CK325" s="82">
        <f>COUNTIF($H$2:TBA_Matches_All[[#This Row],[Team]],TBA_Matches_All[[#This Row],[Team]])</f>
        <v>7</v>
      </c>
      <c r="CL325" s="111">
        <f>SUM(MID(TBA_Matches_All[[#This Row],[Team]],4,5)+TBA_Matches_All[[#This Row],[Match_Number]]/100)</f>
        <v>5149.54</v>
      </c>
      <c r="CM325">
        <f>SUM((TBA_Matches_All[[#This Row],[Leave]]*2)+(TBA_Matches_All[[#This Row],[AampT]]*2)+(TBA_Matches_All[[#This Row],[AspkrT]]*5)+(TBA_Matches_All[[#This Row],[AtrapT]]*5))</f>
        <v>2</v>
      </c>
      <c r="CN325" s="59">
        <f>IFERROR(SUM(TBA_Matches_All[[#This Row],[AptsT]]/TBA_Matches_All[[#This Row],[AutoPts]]),0)</f>
        <v>0.16666666666666666</v>
      </c>
      <c r="CO325" s="59">
        <f>IFERROR(SUM(TBA_Matches_All[[#This Row],[AampT]]+TBA_Matches_All[[#This Row],[AspkrT]]+TBA_Matches_All[[#This Row],[AtrapT]]/TBA_Matches_All[[#This Row],[Aamp]]+TBA_Matches_All[[#This Row],[Aspkr]]+TBA_Matches_All[[#This Row],[AtrapT]]),0)</f>
        <v>0</v>
      </c>
      <c r="CP325" s="59">
        <f>IFERROR(SUM(TBA_Matches_All[[#This Row],[TampT]]/TBA_Matches_All[[#This Row],[Tamp]]),0)</f>
        <v>0</v>
      </c>
      <c r="CQ325" s="59">
        <f>IFERROR(SUM(TBA_Matches_All[[#This Row],[TspkrT]]/TBA_Matches_All[[#This Row],[Tspkr]]),0)</f>
        <v>0</v>
      </c>
      <c r="CR325">
        <f>SUM(TBA_Matches_All[[#This Row],[TspkrPts]]*TBA_Matches_All[[#This Row],[TspkrP]])</f>
        <v>0</v>
      </c>
      <c r="CS325" s="59">
        <f>IFERROR(SUM(TBA_Matches_All[[#This Row],[TtrapT]]/TBA_Matches_All[[#This Row],[Trap]]),0)</f>
        <v>0</v>
      </c>
      <c r="CT325" s="59">
        <f>IFERROR(SUM(TBA_Matches_All[[#This Row],[TotNotesT]]/TBA_Matches_All[[#This Row],[TotNotes]]),0)</f>
        <v>0</v>
      </c>
      <c r="CU325" s="66">
        <f>SUM((TBA_Matches_All[[#This Row],[AampT]]*2)+(TBA_Matches_All[[#This Row],[AspkrT]]*5)+(TBA_Matches_All[[#This Row],[AtrapT]]*5)+(TBA_Matches_All[[#This Row],[TampT]]*1)+(TBA_Matches_All[[#This Row],[TspkrptsC]]))</f>
        <v>0</v>
      </c>
      <c r="CV325" s="59">
        <f>IFERROR(TBA_Matches_All[[#This Row],[noteptsT]]/TBA_Matches_All[[#This Row],[NotePts]],0)</f>
        <v>0</v>
      </c>
      <c r="CW325">
        <f>SUM(IF(TBA_Matches_All[[#This Row],[stageStat]]="On",3,0),IF(TBA_Matches_All[[#This Row],[stageStat]]="Park",1,0),SUMIFS(TBA_Matches_All[[#This Row],[Spotlit]],TBA_Matches_All[[#This Row],[stageStat]],"On"),SUMIFS(TBA_Matches_All[[#This Row],[Harmony]],TBA_Matches_All[[#This Row],[stageStat]],"On"))</f>
        <v>1</v>
      </c>
      <c r="CX325" s="59">
        <f>IFERROR(TBA_Matches_All[[#This Row],[stageptsT]]/TBA_Matches_All[[#This Row],[StagePts]],0)</f>
        <v>0.2</v>
      </c>
      <c r="CY325">
        <f>SUM((TBA_Matches_All[[#This Row],[AptsT]]+TBA_Matches_All[[#This Row],[TampT]]+TBA_Matches_All[[#This Row],[TspkrptsC]]+(TBA_Matches_All[[#This Row],[TtrapT]]*5)+TBA_Matches_All[[#This Row],[stageptsT]]))</f>
        <v>3</v>
      </c>
      <c r="CZ325" s="59">
        <f>IFERROR(SUM(TBA_Matches_All[[#This Row],[TotptsC]]/TBA_Matches_All[[#This Row],[Score]]),0)</f>
        <v>8.8235294117647065E-2</v>
      </c>
      <c r="DA32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0</v>
      </c>
      <c r="DB325" s="74">
        <f>SUMIFS(TBA_Matches_All[AveTeamTNoteDels],TBA_Matches_All[Match_Number],TBA_Matches_All[[#This Row],[Match_Number]],TBA_Matches_All[Alliance],"&lt;&gt;"&amp;TBA_Matches_All[[#This Row],[Alliance]],TBA_Matches_All[Scouted],"&gt;0")</f>
        <v>12.056923076923075</v>
      </c>
      <c r="DC325" s="74">
        <f>(TBA_Matches_All[[#This Row],[TampT]]+TBA_Matches_All[[#This Row],[TspkrptsC]])-TBA_Matches_All[[#This Row],[AveTeamTNoteDels]]</f>
        <v>0</v>
      </c>
      <c r="DD325" s="74">
        <f>SUMIFS(TBA_Matches_All[AveTeamTNoteDels],TBA_Matches_All[Match_Number],TBA_Matches_All[[#This Row],[Match_Number]],TBA_Matches_All[Alliance],"&lt;&gt;"&amp;TBA_Matches_All[[#This Row],[Alliance]])-TBA_Matches_All[[#This Row],[AveOppTNoteDels]]</f>
        <v>0</v>
      </c>
    </row>
    <row r="326" spans="1:108" x14ac:dyDescent="0.3">
      <c r="A326" t="s">
        <v>1042</v>
      </c>
      <c r="B326" t="s">
        <v>489</v>
      </c>
      <c r="C326" t="s">
        <v>1363</v>
      </c>
      <c r="D326">
        <v>54</v>
      </c>
      <c r="E326" t="s">
        <v>1406</v>
      </c>
      <c r="F326" t="s">
        <v>1424</v>
      </c>
      <c r="G326" t="s">
        <v>1409</v>
      </c>
      <c r="H326" t="s">
        <v>365</v>
      </c>
      <c r="I326" t="b">
        <v>1</v>
      </c>
      <c r="J326">
        <v>32</v>
      </c>
      <c r="K326">
        <v>0</v>
      </c>
      <c r="L326">
        <v>0</v>
      </c>
      <c r="M326">
        <v>2</v>
      </c>
      <c r="N326">
        <v>0</v>
      </c>
      <c r="O326">
        <v>2</v>
      </c>
      <c r="P326">
        <v>10</v>
      </c>
      <c r="Q326">
        <v>14</v>
      </c>
      <c r="R326">
        <v>1</v>
      </c>
      <c r="S326">
        <v>0</v>
      </c>
      <c r="T326">
        <v>7</v>
      </c>
      <c r="U326">
        <v>0</v>
      </c>
      <c r="V326">
        <v>14</v>
      </c>
      <c r="W326">
        <v>7</v>
      </c>
      <c r="X326">
        <v>14</v>
      </c>
      <c r="Y326">
        <v>15</v>
      </c>
      <c r="Z326">
        <v>0</v>
      </c>
      <c r="AA326">
        <v>0</v>
      </c>
      <c r="AB326">
        <v>10</v>
      </c>
      <c r="AC326">
        <v>25</v>
      </c>
      <c r="AD326">
        <v>3</v>
      </c>
      <c r="AE326">
        <f>IFERROR(6/(COUNTIF(Dyno_EndMatch[Match],TBA_Matches_All[[#This Row],[Match_Number]])),0)</f>
        <v>1</v>
      </c>
      <c r="AF326">
        <f>COUNTIFS(Dyno_Data[Team],TBA_Matches_All[[#This Row],[Team]],Dyno_Data[Match],TBA_Matches_All[[#This Row],[Match_Number]],Dyno_Data[RecordType],"EndMatch",Dyno_Data[HPAmp],"Y")</f>
        <v>1</v>
      </c>
      <c r="AG326">
        <f>SUMIFS(Dyno_Data[Mics], Dyno_Data[Team],TBA_Matches_All[[#This Row],[Team]],Dyno_Data[Match],TBA_Matches_All[[#This Row],[Match_Number]],Dyno_Data[RecordType],"EndMatch",Dyno_Data[HPAmp],"Y")</f>
        <v>1</v>
      </c>
      <c r="AH326">
        <f>SUMIFS(Dyno_Data[Leave], Dyno_Data[Team],TBA_Matches_All[[#This Row],[Team]],Dyno_Data[Match],TBA_Matches_All[[#This Row],[Match_Number]],Dyno_Data[RecordType],"EndAuto")</f>
        <v>1</v>
      </c>
      <c r="AI326">
        <f>COUNTIFS(Dyno_Data[Team],TBA_Matches_All[[#This Row],[Team]],Dyno_Data[Match],TBA_Matches_All[[#This Row],[Match_Number]],Dyno_Data[RecordType],"Activities",Dyno_Data[DelDest],"Amp", Dyno_Data[DelMiss],"0", Dyno_Data[Mode],"Auto")</f>
        <v>0</v>
      </c>
      <c r="AJ326">
        <f>COUNTIFS(Dyno_Data[Team],TBA_Matches_All[[#This Row],[Team]],Dyno_Data[Match],TBA_Matches_All[[#This Row],[Match_Number]],Dyno_Data[RecordType],"Activities",Dyno_Data[DelDest],"Spkr", Dyno_Data[DelMiss],"0", Dyno_Data[Mode],"Auto")</f>
        <v>2</v>
      </c>
      <c r="AK326">
        <f>COUNTIFS(Dyno_Data[Team],TBA_Matches_All[[#This Row],[Team]],Dyno_Data[Match],TBA_Matches_All[[#This Row],[Match_Number]],Dyno_Data[RecordType],"Activities",Dyno_Data[DelDest],"Trap", Dyno_Data[DelMiss],"0", Dyno_Data[Mode],"Auto")</f>
        <v>0</v>
      </c>
      <c r="AL326">
        <f>COUNTIFS(Dyno_Data[Team],TBA_Matches_All[[#This Row],[Team]],Dyno_Data[Match],TBA_Matches_All[[#This Row],[Match_Number]],Dyno_Data[RecordType],"Activities",Dyno_Data[DelDest],"Amp", Dyno_Data[DelMiss],"0", Dyno_Data[Mode],"Teleop")</f>
        <v>1</v>
      </c>
      <c r="AM326">
        <f>COUNTIFS(Dyno_Data[Team],TBA_Matches_All[[#This Row],[Team]],Dyno_Data[Match],TBA_Matches_All[[#This Row],[Match_Number]],Dyno_Data[RecordType],"Activities",Dyno_Data[DelDest],"Spkr", Dyno_Data[DelMiss],"0", Dyno_Data[Mode],"Teleop")</f>
        <v>6</v>
      </c>
      <c r="AN326">
        <f>COUNTIFS(Dyno_Data[Team],TBA_Matches_All[[#This Row],[Team]],Dyno_Data[Match],TBA_Matches_All[[#This Row],[Match_Number]],Dyno_Data[RecordType],"Activities",Dyno_Data[DelDest],"Trap", Dyno_Data[DelMiss],"0", Dyno_Data[Mode],"&lt;&gt;Auto")</f>
        <v>0</v>
      </c>
      <c r="AO326">
        <f>SUM(TBA_Matches_All[[#This Row],[AampT]]+TBA_Matches_All[[#This Row],[AspkrT]]+TBA_Matches_All[[#This Row],[AtrapT]]+TBA_Matches_All[[#This Row],[TampT]]+TBA_Matches_All[[#This Row],[TspkrT]]+TBA_Matches_All[[#This Row],[TtrapT]])</f>
        <v>9</v>
      </c>
      <c r="AP326">
        <f>COUNTIFS(Dyno_Data[Team],TBA_Matches_All[[#This Row],[Team]],Dyno_Data[Match],TBA_Matches_All[[#This Row],[Match_Number]],Dyno_Data[RecordType],"Activities",Dyno_Data[DelDest],"Neut", Dyno_Data[DelMiss],"0")</f>
        <v>0</v>
      </c>
      <c r="AQ326">
        <f>COUNTIFS(Dyno_Data[Team],TBA_Matches_All[[#This Row],[Team]],Dyno_Data[Match],TBA_Matches_All[[#This Row],[Match_Number]],Dyno_Data[RecordType],"Activities",Dyno_Data[DelDest],"AllyW", Dyno_Data[DelMiss],"0")</f>
        <v>0</v>
      </c>
      <c r="AR326" t="str">
        <f>_xlfn.XLOOKUP(SUM(MID(TBA_Matches_All[[#This Row],[Team]],4,5),(TBA_Matches_All[[#This Row],[Match_Number]]/100)),Dyno_EndMatch[teammat],Dyno_EndMatch[RobotSta],"_",0,1)</f>
        <v>SubW</v>
      </c>
      <c r="AS326">
        <f>SUMIFS(Dyno_Data[AcqDis], Dyno_Data[Team],TBA_Matches_All[[#This Row],[Team]],Dyno_Data[Match],TBA_Matches_All[[#This Row],[Match_Number]],Dyno_Data[RecordType],"Activities", Dyno_Data[AcqCenter],1,Dyno_Data[Mode],"Auto")</f>
        <v>0</v>
      </c>
      <c r="AT326">
        <f>SUMIFS(Dyno_Data[AcqDis], Dyno_Data[Team],TBA_Matches_All[[#This Row],[Team]],Dyno_Data[Match],TBA_Matches_All[[#This Row],[Match_Number]],Dyno_Data[RecordType],"Activities", Dyno_Data[AcqCenter],2,Dyno_Data[Mode],"Auto")</f>
        <v>0</v>
      </c>
      <c r="AU326">
        <f>SUMIFS(Dyno_Data[AcqDis], Dyno_Data[Team],TBA_Matches_All[[#This Row],[Team]],Dyno_Data[Match],TBA_Matches_All[[#This Row],[Match_Number]],Dyno_Data[RecordType],"Activities", Dyno_Data[AcqCenter],3,Dyno_Data[Mode],"Auto")</f>
        <v>0</v>
      </c>
      <c r="AV326">
        <f>SUMIFS(Dyno_Data[AcqDis], Dyno_Data[Team],TBA_Matches_All[[#This Row],[Team]],Dyno_Data[Match],TBA_Matches_All[[#This Row],[Match_Number]],Dyno_Data[RecordType],"Activities", Dyno_Data[AcqCenter],4,Dyno_Data[Mode],"Auto")</f>
        <v>0</v>
      </c>
      <c r="AW326">
        <f>SUMIFS(Dyno_Data[AcqDis], Dyno_Data[Team],TBA_Matches_All[[#This Row],[Team]],Dyno_Data[Match],TBA_Matches_All[[#This Row],[Match_Number]],Dyno_Data[RecordType],"Activities", Dyno_Data[AcqCenter],5,Dyno_Data[Mode],"Auto")</f>
        <v>0</v>
      </c>
      <c r="AX326">
        <f>SUMIFS(Dyno_Data[DelMiss], Dyno_Data[Team],TBA_Matches_All[[#This Row],[Team]],Dyno_Data[Match],TBA_Matches_All[[#This Row],[Match_Number]],Dyno_Data[RecordType],"Activities", Dyno_Data[DelDest],"Amp")</f>
        <v>0</v>
      </c>
      <c r="AY326" s="60">
        <f>IFERROR(SUM((TBA_Matches_All[[#This Row],[AampT]]+TBA_Matches_All[[#This Row],[TampT]])/(TBA_Matches_All[[#This Row],[AampT]]+TBA_Matches_All[[#This Row],[TampT]]+TBA_Matches_All[[#This Row],[ampM]])),0)</f>
        <v>1</v>
      </c>
      <c r="AZ326">
        <f>SUMIFS(Dyno_Data[DelMiss], Dyno_Data[Team],TBA_Matches_All[[#This Row],[Team]],Dyno_Data[Match],TBA_Matches_All[[#This Row],[Match_Number]],Dyno_Data[RecordType],"Activities", Dyno_Data[DelDest],"Spkr")</f>
        <v>4</v>
      </c>
      <c r="BA326" s="60">
        <f>IFERROR(SUM((TBA_Matches_All[[#This Row],[AspkrT]]+TBA_Matches_All[[#This Row],[TspkrT]])/(TBA_Matches_All[[#This Row],[AspkrT]]+TBA_Matches_All[[#This Row],[TspkrT]]+TBA_Matches_All[[#This Row],[spkrM]])),0)</f>
        <v>0.66666666666666663</v>
      </c>
      <c r="BB326">
        <f>SUMIFS(Dyno_Data[DelMiss], Dyno_Data[Team],TBA_Matches_All[[#This Row],[Team]],Dyno_Data[Match],TBA_Matches_All[[#This Row],[Match_Number]],Dyno_Data[RecordType],"Activities", Dyno_Data[DelDest],"Trap")</f>
        <v>0</v>
      </c>
      <c r="BC326" s="60">
        <f>IFERROR((TBA_Matches_All[[#This Row],[AtrapT]]+TBA_Matches_All[[#This Row],[TtrapT]])/(TBA_Matches_All[[#This Row],[AtrapT]]+TBA_Matches_All[[#This Row],[TtrapT]]+TBA_Matches_All[[#This Row],[trapM]]),0)</f>
        <v>0</v>
      </c>
      <c r="BD326">
        <f>COUNTIFS(Dyno_Data[Team],TBA_Matches_All[[#This Row],[Team]],Dyno_Data[Match],TBA_Matches_All[[#This Row],[Match_Number]],Dyno_Data[RecordType],"Activities",Dyno_Data[DelDest],"Neut", Dyno_Data[DelMiss],1)</f>
        <v>0</v>
      </c>
      <c r="BE326" s="60">
        <f>IFERROR(SUM((TBA_Matches_All[[#This Row],[NeutFlrT]])/(TBA_Matches_All[[#This Row],[NeutFlrT]]+TBA_Matches_All[[#This Row],[NZflM]])),0)</f>
        <v>0</v>
      </c>
      <c r="BF326">
        <f>COUNTIFS(Dyno_Data[Team],TBA_Matches_All[[#This Row],[Team]],Dyno_Data[Match],TBA_Matches_All[[#This Row],[Match_Number]],Dyno_Data[RecordType],"Activities",Dyno_Data[DelDest],"AllyW", Dyno_Data[DelMiss],1)</f>
        <v>0</v>
      </c>
      <c r="BG326" s="60">
        <f>IFERROR(SUM((TBA_Matches_All[[#This Row],[AllyWFlrT]])/(TBA_Matches_All[[#This Row],[AllyWFlrT]]+TBA_Matches_All[[#This Row],[AZflM]])),0)</f>
        <v>0</v>
      </c>
      <c r="BH326">
        <f>COUNTIFS(Dyno_Data[Team],TBA_Matches_All[[#This Row],[Team]],Dyno_Data[Match],TBA_Matches_All[[#This Row],[Match_Number]],Dyno_Data[RecordType],"Activities",Dyno_Data[DelOrig],"OppW", Dyno_Data[DelMiss],"0")</f>
        <v>0</v>
      </c>
      <c r="BI326">
        <f>COUNTIFS(Dyno_Data[Team],TBA_Matches_All[[#This Row],[Team]],Dyno_Data[Match],TBA_Matches_All[[#This Row],[Match_Number]],Dyno_Data[RecordType],"Activities",Dyno_Data[DelOrig],"OppW", Dyno_Data[DelMiss],"1")</f>
        <v>0</v>
      </c>
      <c r="BJ326" s="60">
        <f>IFERROR(SUM((TBA_Matches_All[[#This Row],[OZflrT]])/(TBA_Matches_All[[#This Row],[OZflrT]]+TBA_Matches_All[[#This Row],[OZflrM]])),0)</f>
        <v>0</v>
      </c>
      <c r="BK326">
        <f>COUNTIFS(Dyno_Data[Team],TBA_Matches_All[[#This Row],[Team]],Dyno_Data[Match],TBA_Matches_All[[#This Row],[Match_Number]],Dyno_Data[RecordType],"Activities",Dyno_Data[DelOrig],"Neut", Dyno_Data[DelMiss],"0")</f>
        <v>0</v>
      </c>
      <c r="BL326">
        <f>COUNTIFS(Dyno_Data[Team],TBA_Matches_All[[#This Row],[Team]],Dyno_Data[Match],TBA_Matches_All[[#This Row],[Match_Number]],Dyno_Data[RecordType],"Activities",Dyno_Data[DelOrig],"Neut", Dyno_Data[DelMiss],"1")</f>
        <v>0</v>
      </c>
      <c r="BM326" s="60">
        <f>IFERROR(SUM((TBA_Matches_All[[#This Row],[NZflrT]])/(TBA_Matches_All[[#This Row],[NZflrT]]+TBA_Matches_All[[#This Row],[NZflrM]])),0)</f>
        <v>0</v>
      </c>
      <c r="BN326">
        <f>COUNTIFS(Dyno_Data[Team],TBA_Matches_All[[#This Row],[Team]],Dyno_Data[Match],TBA_Matches_All[[#This Row],[Match_Number]],Dyno_Data[RecordType],"Activities",Dyno_Data[DelOrig],"AllyW", Dyno_Data[DelMiss],"0")</f>
        <v>5</v>
      </c>
      <c r="BO326">
        <f>COUNTIFS(Dyno_Data[Team],TBA_Matches_All[[#This Row],[Team]],Dyno_Data[Match],TBA_Matches_All[[#This Row],[Match_Number]],Dyno_Data[RecordType],"Activities",Dyno_Data[DelOrig],"AllyW", Dyno_Data[DelMiss],"1")</f>
        <v>0</v>
      </c>
      <c r="BP326" s="60">
        <f>IFERROR(SUM((TBA_Matches_All[[#This Row],[AZflrT]])/(TBA_Matches_All[[#This Row],[AZflrT]]+TBA_Matches_All[[#This Row],[AZflrM]])),0)</f>
        <v>1</v>
      </c>
      <c r="BQ326">
        <f>COUNTIFS(Dyno_Data[Team],TBA_Matches_All[[#This Row],[Team]],Dyno_Data[Match],TBA_Matches_All[[#This Row],[Match_Number]],Dyno_Data[RecordType],"Activities",Dyno_Data[DelOrig],"SubW", Dyno_Data[DelMiss],"0")</f>
        <v>4</v>
      </c>
      <c r="BR326">
        <f>COUNTIFS(Dyno_Data[Team],TBA_Matches_All[[#This Row],[Team]],Dyno_Data[Match],TBA_Matches_All[[#This Row],[Match_Number]],Dyno_Data[RecordType],"Activities",Dyno_Data[DelOrig],"SubW", Dyno_Data[DelMiss],"1")</f>
        <v>4</v>
      </c>
      <c r="BS326" s="60">
        <f>IFERROR(SUM((TBA_Matches_All[[#This Row],[SubwT]])/(TBA_Matches_All[[#This Row],[SubwT]]+TBA_Matches_All[[#This Row],[SubwM]])),0)</f>
        <v>0.5</v>
      </c>
      <c r="BT326">
        <f>COUNTIFS(Dyno_Data[Team],TBA_Matches_All[[#This Row],[Team]],Dyno_Data[Match],TBA_Matches_All[[#This Row],[Match_Number]],Dyno_Data[RecordType],"Activities", Dyno_Data[AcqLoc],"OppWing")</f>
        <v>0</v>
      </c>
      <c r="BU326">
        <f>COUNTIFS(Dyno_Data[Team],TBA_Matches_All[[#This Row],[Team]],Dyno_Data[Match],TBA_Matches_All[[#This Row],[Match_Number]],Dyno_Data[RecordType],"Activities", Dyno_Data[AcqLoc],"Neutral")</f>
        <v>0</v>
      </c>
      <c r="BV326">
        <f>COUNTIFS(Dyno_Data[Team],TBA_Matches_All[[#This Row],[Team]],Dyno_Data[Match],TBA_Matches_All[[#This Row],[Match_Number]],Dyno_Data[RecordType],"Activities", Dyno_Data[AcqLoc],"AllyWing")</f>
        <v>0</v>
      </c>
      <c r="BW326">
        <f>COUNTIFS(Dyno_Data[Team],TBA_Matches_All[[#This Row],[Team]],Dyno_Data[Match],TBA_Matches_All[[#This Row],[Match_Number]],Dyno_Data[RecordType],"Activities", Dyno_Data[AcqLoc],"Source")</f>
        <v>0</v>
      </c>
      <c r="BX326">
        <f>SUMIFS(Dyno_Data[AcqDrp], Dyno_Data[Team],TBA_Matches_All[[#This Row],[Team]],Dyno_Data[Match],TBA_Matches_All[[#This Row],[Match_Number]],Dyno_Data[RecordType],"Activities", Dyno_Data[AcqLoc],"Source")</f>
        <v>0</v>
      </c>
      <c r="BY326">
        <f>SUMIFS(Dyno_Data[OZTime], Dyno_Data[Team],TBA_Matches_All[[#This Row],[Team]],Dyno_Data[Match],TBA_Matches_All[[#This Row],[Match_Number]],Dyno_Data[RecordType],"EndMatch")</f>
        <v>24.786199</v>
      </c>
      <c r="BZ326">
        <f>SUMIFS(Dyno_Data[NZTime], Dyno_Data[Team],TBA_Matches_All[[#This Row],[Team]],Dyno_Data[Match],TBA_Matches_All[[#This Row],[Match_Number]],Dyno_Data[RecordType],"EndMatch")</f>
        <v>24.5039944</v>
      </c>
      <c r="CA326">
        <f>SUMIFS(Dyno_Data[AZTime], Dyno_Data[Team],TBA_Matches_All[[#This Row],[Team]],Dyno_Data[Match],TBA_Matches_All[[#This Row],[Match_Number]],Dyno_Data[RecordType],"EndMatch")</f>
        <v>87.402903099999989</v>
      </c>
      <c r="CB326">
        <f>SUMIFS(Dyno_Data[ClimbT], Dyno_Data[Team],TBA_Matches_All[[#This Row],[Team]],Dyno_Data[Match],TBA_Matches_All[[#This Row],[Match_Number]],Dyno_Data[RecordType],"EndMatch")</f>
        <v>0</v>
      </c>
      <c r="CC326" t="str">
        <f>_xlfn.XLOOKUP(SUM(MID(TBA_Matches_All[[#This Row],[Team]],4,5),(TBA_Matches_All[[#This Row],[Match_Number]]/100)),Dyno_EndMatch[teammat],Dyno_EndMatch[StageStat],"_",0,1)</f>
        <v>Park</v>
      </c>
      <c r="CD326" t="str">
        <f>_xlfn.XLOOKUP(TBA_Matches_All[[#This Row],[teammat]],Dyno_EndMatch[teammat],Dyno_EndMatch[StageAtt],"_",0,1)</f>
        <v>0</v>
      </c>
      <c r="CE326" t="str">
        <f>_xlfn.XLOOKUP(TBA_Matches_All[[#This Row],[teammat]],Dyno_EndMatch[teammat],Dyno_EndMatch[StageLoc],"_",0,1)</f>
        <v>A</v>
      </c>
      <c r="CF326">
        <f>SUMIFS(Dyno_Data[Harmony], Dyno_Data[Team],TBA_Matches_All[[#This Row],[Team]],Dyno_Data[Match],TBA_Matches_All[[#This Row],[Match_Number]],Dyno_Data[RecordType],"EndMatch", Dyno_Data[StageStat],"On",Dyno_Data[Harmony],"&lt;&gt;9")</f>
        <v>0</v>
      </c>
      <c r="CG326">
        <f>SUMIFS(Dyno_Data[Spotlit], Dyno_Data[Team],TBA_Matches_All[[#This Row],[Team]],Dyno_Data[Match],TBA_Matches_All[[#This Row],[Match_Number]],Dyno_Data[RecordType],"EndMatch", Dyno_Data[StageStat],"On",Dyno_Data[Spotlit],"&lt;&gt;9")</f>
        <v>0</v>
      </c>
      <c r="CH326" t="str">
        <f>_xlfn.XLOOKUP(TBA_Matches_All[[#This Row],[teammat]],Dyno_EndMatch[teammat],Dyno_EndMatch[Strategy],"_",0,1)</f>
        <v>Hybrid</v>
      </c>
      <c r="CI326">
        <f>SUMIFS(Dyno_Data[Defense], Dyno_Data[Team],TBA_Matches_All[[#This Row],[Team]],Dyno_Data[Match],TBA_Matches_All[[#This Row],[Match_Number]],Dyno_Data[RecordType],"EndMatch",Dyno_Data[Defense],"&lt;&gt;9")</f>
        <v>0</v>
      </c>
      <c r="CJ326">
        <f>SUMIFS(Dyno_Data[Avoidance], Dyno_Data[Team],TBA_Matches_All[[#This Row],[Team]],Dyno_Data[Match],TBA_Matches_All[[#This Row],[Match_Number]],Dyno_Data[RecordType],"EndMatch",Dyno_Data[Avoidance],"&lt;&gt;9")</f>
        <v>0</v>
      </c>
      <c r="CK326" s="82">
        <f>COUNTIF($H$2:TBA_Matches_All[[#This Row],[Team]],TBA_Matches_All[[#This Row],[Team]])</f>
        <v>7</v>
      </c>
      <c r="CL326" s="111">
        <f>SUM(MID(TBA_Matches_All[[#This Row],[Team]],4,5)+TBA_Matches_All[[#This Row],[Match_Number]]/100)</f>
        <v>3171.54</v>
      </c>
      <c r="CM326">
        <f>SUM((TBA_Matches_All[[#This Row],[Leave]]*2)+(TBA_Matches_All[[#This Row],[AampT]]*2)+(TBA_Matches_All[[#This Row],[AspkrT]]*5)+(TBA_Matches_All[[#This Row],[AtrapT]]*5))</f>
        <v>12</v>
      </c>
      <c r="CN326" s="59">
        <f>IFERROR(SUM(TBA_Matches_All[[#This Row],[AptsT]]/TBA_Matches_All[[#This Row],[AutoPts]]),0)</f>
        <v>0.8571428571428571</v>
      </c>
      <c r="CO326" s="59">
        <f>IFERROR(SUM(TBA_Matches_All[[#This Row],[AampT]]+TBA_Matches_All[[#This Row],[AspkrT]]+TBA_Matches_All[[#This Row],[AtrapT]]/TBA_Matches_All[[#This Row],[Aamp]]+TBA_Matches_All[[#This Row],[Aspkr]]+TBA_Matches_All[[#This Row],[AtrapT]]),0)</f>
        <v>0</v>
      </c>
      <c r="CP326" s="59">
        <f>IFERROR(SUM(TBA_Matches_All[[#This Row],[TampT]]/TBA_Matches_All[[#This Row],[Tamp]]),0)</f>
        <v>1</v>
      </c>
      <c r="CQ326" s="59">
        <f>IFERROR(SUM(TBA_Matches_All[[#This Row],[TspkrT]]/TBA_Matches_All[[#This Row],[Tspkr]]),0)</f>
        <v>0.8571428571428571</v>
      </c>
      <c r="CR326">
        <f>SUM(TBA_Matches_All[[#This Row],[TspkrPts]]*TBA_Matches_All[[#This Row],[TspkrP]])</f>
        <v>12</v>
      </c>
      <c r="CS326" s="59">
        <f>IFERROR(SUM(TBA_Matches_All[[#This Row],[TtrapT]]/TBA_Matches_All[[#This Row],[Trap]]),0)</f>
        <v>0</v>
      </c>
      <c r="CT326" s="59">
        <f>IFERROR(SUM(TBA_Matches_All[[#This Row],[TotNotesT]]/TBA_Matches_All[[#This Row],[TotNotes]]),0)</f>
        <v>0.9</v>
      </c>
      <c r="CU326" s="66">
        <f>SUM((TBA_Matches_All[[#This Row],[AampT]]*2)+(TBA_Matches_All[[#This Row],[AspkrT]]*5)+(TBA_Matches_All[[#This Row],[AtrapT]]*5)+(TBA_Matches_All[[#This Row],[TampT]]*1)+(TBA_Matches_All[[#This Row],[TspkrptsC]]))</f>
        <v>23</v>
      </c>
      <c r="CV326" s="59">
        <f>IFERROR(TBA_Matches_All[[#This Row],[noteptsT]]/TBA_Matches_All[[#This Row],[NotePts]],0)</f>
        <v>0.92</v>
      </c>
      <c r="CW326">
        <f>SUM(IF(TBA_Matches_All[[#This Row],[stageStat]]="On",3,0),IF(TBA_Matches_All[[#This Row],[stageStat]]="Park",1,0),SUMIFS(TBA_Matches_All[[#This Row],[Spotlit]],TBA_Matches_All[[#This Row],[stageStat]],"On"),SUMIFS(TBA_Matches_All[[#This Row],[Harmony]],TBA_Matches_All[[#This Row],[stageStat]],"On"))</f>
        <v>1</v>
      </c>
      <c r="CX326" s="59">
        <f>IFERROR(TBA_Matches_All[[#This Row],[stageptsT]]/TBA_Matches_All[[#This Row],[StagePts]],0)</f>
        <v>0.33333333333333331</v>
      </c>
      <c r="CY326">
        <f>SUM((TBA_Matches_All[[#This Row],[AptsT]]+TBA_Matches_All[[#This Row],[TampT]]+TBA_Matches_All[[#This Row],[TspkrptsC]]+(TBA_Matches_All[[#This Row],[TtrapT]]*5)+TBA_Matches_All[[#This Row],[stageptsT]]))</f>
        <v>26</v>
      </c>
      <c r="CZ326" s="59">
        <f>IFERROR(SUM(TBA_Matches_All[[#This Row],[TotptsC]]/TBA_Matches_All[[#This Row],[Score]]),0)</f>
        <v>0.8125</v>
      </c>
      <c r="DA32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11.456923076923076</v>
      </c>
      <c r="DB326" s="74">
        <f>SUMIFS(TBA_Matches_All[AveTeamTNoteDels],TBA_Matches_All[Match_Number],TBA_Matches_All[[#This Row],[Match_Number]],TBA_Matches_All[Alliance],"&lt;&gt;"&amp;TBA_Matches_All[[#This Row],[Alliance]],TBA_Matches_All[Scouted],"&gt;0")</f>
        <v>11.0625</v>
      </c>
      <c r="DC326" s="74">
        <f>(TBA_Matches_All[[#This Row],[TampT]]+TBA_Matches_All[[#This Row],[TspkrptsC]])-TBA_Matches_All[[#This Row],[AveTeamTNoteDels]]</f>
        <v>1.5430769230769243</v>
      </c>
      <c r="DD326" s="74">
        <f>SUMIFS(TBA_Matches_All[AveTeamTNoteDels],TBA_Matches_All[Match_Number],TBA_Matches_All[[#This Row],[Match_Number]],TBA_Matches_All[Alliance],"&lt;&gt;"&amp;TBA_Matches_All[[#This Row],[Alliance]])-TBA_Matches_All[[#This Row],[AveOppTNoteDels]]</f>
        <v>0</v>
      </c>
    </row>
    <row r="327" spans="1:108" x14ac:dyDescent="0.3">
      <c r="A327" t="s">
        <v>1042</v>
      </c>
      <c r="B327" t="s">
        <v>489</v>
      </c>
      <c r="C327" t="s">
        <v>1364</v>
      </c>
      <c r="D327">
        <v>55</v>
      </c>
      <c r="E327" t="s">
        <v>1420</v>
      </c>
      <c r="F327" t="s">
        <v>1425</v>
      </c>
      <c r="G327" t="s">
        <v>105</v>
      </c>
      <c r="H327" t="s">
        <v>1297</v>
      </c>
      <c r="I327" t="b">
        <v>1</v>
      </c>
      <c r="J327">
        <v>61</v>
      </c>
      <c r="K327">
        <v>1</v>
      </c>
      <c r="L327">
        <v>0</v>
      </c>
      <c r="M327">
        <v>12</v>
      </c>
      <c r="N327">
        <v>0</v>
      </c>
      <c r="O327">
        <v>1</v>
      </c>
      <c r="P327">
        <v>5</v>
      </c>
      <c r="Q327">
        <v>9</v>
      </c>
      <c r="R327">
        <v>5</v>
      </c>
      <c r="S327">
        <v>3</v>
      </c>
      <c r="T327">
        <v>9</v>
      </c>
      <c r="U327">
        <v>15</v>
      </c>
      <c r="V327">
        <v>18</v>
      </c>
      <c r="W327">
        <v>12</v>
      </c>
      <c r="X327">
        <v>33</v>
      </c>
      <c r="Y327">
        <v>38</v>
      </c>
      <c r="Z327">
        <v>0</v>
      </c>
      <c r="AA327">
        <v>0</v>
      </c>
      <c r="AB327">
        <v>18</v>
      </c>
      <c r="AC327">
        <v>43</v>
      </c>
      <c r="AD327">
        <v>3</v>
      </c>
      <c r="AE327">
        <f>IFERROR(6/(COUNTIF(Dyno_EndMatch[Match],TBA_Matches_All[[#This Row],[Match_Number]])),0)</f>
        <v>1</v>
      </c>
      <c r="AF327">
        <f>COUNTIFS(Dyno_Data[Team],TBA_Matches_All[[#This Row],[Team]],Dyno_Data[Match],TBA_Matches_All[[#This Row],[Match_Number]],Dyno_Data[RecordType],"EndMatch",Dyno_Data[HPAmp],"Y")</f>
        <v>0</v>
      </c>
      <c r="AG327">
        <f>SUMIFS(Dyno_Data[Mics], Dyno_Data[Team],TBA_Matches_All[[#This Row],[Team]],Dyno_Data[Match],TBA_Matches_All[[#This Row],[Match_Number]],Dyno_Data[RecordType],"EndMatch",Dyno_Data[HPAmp],"Y")</f>
        <v>0</v>
      </c>
      <c r="AH327">
        <f>SUMIFS(Dyno_Data[Leave], Dyno_Data[Team],TBA_Matches_All[[#This Row],[Team]],Dyno_Data[Match],TBA_Matches_All[[#This Row],[Match_Number]],Dyno_Data[RecordType],"EndAuto")</f>
        <v>0</v>
      </c>
      <c r="AI327">
        <f>COUNTIFS(Dyno_Data[Team],TBA_Matches_All[[#This Row],[Team]],Dyno_Data[Match],TBA_Matches_All[[#This Row],[Match_Number]],Dyno_Data[RecordType],"Activities",Dyno_Data[DelDest],"Amp", Dyno_Data[DelMiss],"0", Dyno_Data[Mode],"Auto")</f>
        <v>0</v>
      </c>
      <c r="AJ327">
        <f>COUNTIFS(Dyno_Data[Team],TBA_Matches_All[[#This Row],[Team]],Dyno_Data[Match],TBA_Matches_All[[#This Row],[Match_Number]],Dyno_Data[RecordType],"Activities",Dyno_Data[DelDest],"Spkr", Dyno_Data[DelMiss],"0", Dyno_Data[Mode],"Auto")</f>
        <v>0</v>
      </c>
      <c r="AK327">
        <f>COUNTIFS(Dyno_Data[Team],TBA_Matches_All[[#This Row],[Team]],Dyno_Data[Match],TBA_Matches_All[[#This Row],[Match_Number]],Dyno_Data[RecordType],"Activities",Dyno_Data[DelDest],"Trap", Dyno_Data[DelMiss],"0", Dyno_Data[Mode],"Auto")</f>
        <v>0</v>
      </c>
      <c r="AL327">
        <f>COUNTIFS(Dyno_Data[Team],TBA_Matches_All[[#This Row],[Team]],Dyno_Data[Match],TBA_Matches_All[[#This Row],[Match_Number]],Dyno_Data[RecordType],"Activities",Dyno_Data[DelDest],"Amp", Dyno_Data[DelMiss],"0", Dyno_Data[Mode],"Teleop")</f>
        <v>4</v>
      </c>
      <c r="AM327">
        <f>COUNTIFS(Dyno_Data[Team],TBA_Matches_All[[#This Row],[Team]],Dyno_Data[Match],TBA_Matches_All[[#This Row],[Match_Number]],Dyno_Data[RecordType],"Activities",Dyno_Data[DelDest],"Spkr", Dyno_Data[DelMiss],"0", Dyno_Data[Mode],"Teleop")</f>
        <v>0</v>
      </c>
      <c r="AN327">
        <f>COUNTIFS(Dyno_Data[Team],TBA_Matches_All[[#This Row],[Team]],Dyno_Data[Match],TBA_Matches_All[[#This Row],[Match_Number]],Dyno_Data[RecordType],"Activities",Dyno_Data[DelDest],"Trap", Dyno_Data[DelMiss],"0", Dyno_Data[Mode],"&lt;&gt;Auto")</f>
        <v>0</v>
      </c>
      <c r="AO327">
        <f>SUM(TBA_Matches_All[[#This Row],[AampT]]+TBA_Matches_All[[#This Row],[AspkrT]]+TBA_Matches_All[[#This Row],[AtrapT]]+TBA_Matches_All[[#This Row],[TampT]]+TBA_Matches_All[[#This Row],[TspkrT]]+TBA_Matches_All[[#This Row],[TtrapT]])</f>
        <v>4</v>
      </c>
      <c r="AP327">
        <f>COUNTIFS(Dyno_Data[Team],TBA_Matches_All[[#This Row],[Team]],Dyno_Data[Match],TBA_Matches_All[[#This Row],[Match_Number]],Dyno_Data[RecordType],"Activities",Dyno_Data[DelDest],"Neut", Dyno_Data[DelMiss],"0")</f>
        <v>0</v>
      </c>
      <c r="AQ327">
        <f>COUNTIFS(Dyno_Data[Team],TBA_Matches_All[[#This Row],[Team]],Dyno_Data[Match],TBA_Matches_All[[#This Row],[Match_Number]],Dyno_Data[RecordType],"Activities",Dyno_Data[DelDest],"AllyW", Dyno_Data[DelMiss],"0")</f>
        <v>0</v>
      </c>
      <c r="AR327" t="str">
        <f>_xlfn.XLOOKUP(SUM(MID(TBA_Matches_All[[#This Row],[Team]],4,5),(TBA_Matches_All[[#This Row],[Match_Number]]/100)),Dyno_EndMatch[teammat],Dyno_EndMatch[RobotSta],"_",0,1)</f>
        <v>OppS</v>
      </c>
      <c r="AS327">
        <f>SUMIFS(Dyno_Data[AcqDis], Dyno_Data[Team],TBA_Matches_All[[#This Row],[Team]],Dyno_Data[Match],TBA_Matches_All[[#This Row],[Match_Number]],Dyno_Data[RecordType],"Activities", Dyno_Data[AcqCenter],1,Dyno_Data[Mode],"Auto")</f>
        <v>0</v>
      </c>
      <c r="AT327">
        <f>SUMIFS(Dyno_Data[AcqDis], Dyno_Data[Team],TBA_Matches_All[[#This Row],[Team]],Dyno_Data[Match],TBA_Matches_All[[#This Row],[Match_Number]],Dyno_Data[RecordType],"Activities", Dyno_Data[AcqCenter],2,Dyno_Data[Mode],"Auto")</f>
        <v>0</v>
      </c>
      <c r="AU327">
        <f>SUMIFS(Dyno_Data[AcqDis], Dyno_Data[Team],TBA_Matches_All[[#This Row],[Team]],Dyno_Data[Match],TBA_Matches_All[[#This Row],[Match_Number]],Dyno_Data[RecordType],"Activities", Dyno_Data[AcqCenter],3,Dyno_Data[Mode],"Auto")</f>
        <v>0</v>
      </c>
      <c r="AV327">
        <f>SUMIFS(Dyno_Data[AcqDis], Dyno_Data[Team],TBA_Matches_All[[#This Row],[Team]],Dyno_Data[Match],TBA_Matches_All[[#This Row],[Match_Number]],Dyno_Data[RecordType],"Activities", Dyno_Data[AcqCenter],4,Dyno_Data[Mode],"Auto")</f>
        <v>0</v>
      </c>
      <c r="AW327">
        <f>SUMIFS(Dyno_Data[AcqDis], Dyno_Data[Team],TBA_Matches_All[[#This Row],[Team]],Dyno_Data[Match],TBA_Matches_All[[#This Row],[Match_Number]],Dyno_Data[RecordType],"Activities", Dyno_Data[AcqCenter],5,Dyno_Data[Mode],"Auto")</f>
        <v>0</v>
      </c>
      <c r="AX327">
        <f>SUMIFS(Dyno_Data[DelMiss], Dyno_Data[Team],TBA_Matches_All[[#This Row],[Team]],Dyno_Data[Match],TBA_Matches_All[[#This Row],[Match_Number]],Dyno_Data[RecordType],"Activities", Dyno_Data[DelDest],"Amp")</f>
        <v>0</v>
      </c>
      <c r="AY327" s="60">
        <f>IFERROR(SUM((TBA_Matches_All[[#This Row],[AampT]]+TBA_Matches_All[[#This Row],[TampT]])/(TBA_Matches_All[[#This Row],[AampT]]+TBA_Matches_All[[#This Row],[TampT]]+TBA_Matches_All[[#This Row],[ampM]])),0)</f>
        <v>1</v>
      </c>
      <c r="AZ327">
        <f>SUMIFS(Dyno_Data[DelMiss], Dyno_Data[Team],TBA_Matches_All[[#This Row],[Team]],Dyno_Data[Match],TBA_Matches_All[[#This Row],[Match_Number]],Dyno_Data[RecordType],"Activities", Dyno_Data[DelDest],"Spkr")</f>
        <v>0</v>
      </c>
      <c r="BA327" s="60">
        <f>IFERROR(SUM((TBA_Matches_All[[#This Row],[AspkrT]]+TBA_Matches_All[[#This Row],[TspkrT]])/(TBA_Matches_All[[#This Row],[AspkrT]]+TBA_Matches_All[[#This Row],[TspkrT]]+TBA_Matches_All[[#This Row],[spkrM]])),0)</f>
        <v>0</v>
      </c>
      <c r="BB327">
        <f>SUMIFS(Dyno_Data[DelMiss], Dyno_Data[Team],TBA_Matches_All[[#This Row],[Team]],Dyno_Data[Match],TBA_Matches_All[[#This Row],[Match_Number]],Dyno_Data[RecordType],"Activities", Dyno_Data[DelDest],"Trap")</f>
        <v>0</v>
      </c>
      <c r="BC327" s="60">
        <f>IFERROR((TBA_Matches_All[[#This Row],[AtrapT]]+TBA_Matches_All[[#This Row],[TtrapT]])/(TBA_Matches_All[[#This Row],[AtrapT]]+TBA_Matches_All[[#This Row],[TtrapT]]+TBA_Matches_All[[#This Row],[trapM]]),0)</f>
        <v>0</v>
      </c>
      <c r="BD327">
        <f>COUNTIFS(Dyno_Data[Team],TBA_Matches_All[[#This Row],[Team]],Dyno_Data[Match],TBA_Matches_All[[#This Row],[Match_Number]],Dyno_Data[RecordType],"Activities",Dyno_Data[DelDest],"Neut", Dyno_Data[DelMiss],1)</f>
        <v>0</v>
      </c>
      <c r="BE327" s="60">
        <f>IFERROR(SUM((TBA_Matches_All[[#This Row],[NeutFlrT]])/(TBA_Matches_All[[#This Row],[NeutFlrT]]+TBA_Matches_All[[#This Row],[NZflM]])),0)</f>
        <v>0</v>
      </c>
      <c r="BF327">
        <f>COUNTIFS(Dyno_Data[Team],TBA_Matches_All[[#This Row],[Team]],Dyno_Data[Match],TBA_Matches_All[[#This Row],[Match_Number]],Dyno_Data[RecordType],"Activities",Dyno_Data[DelDest],"AllyW", Dyno_Data[DelMiss],1)</f>
        <v>0</v>
      </c>
      <c r="BG327" s="60">
        <f>IFERROR(SUM((TBA_Matches_All[[#This Row],[AllyWFlrT]])/(TBA_Matches_All[[#This Row],[AllyWFlrT]]+TBA_Matches_All[[#This Row],[AZflM]])),0)</f>
        <v>0</v>
      </c>
      <c r="BH327">
        <f>COUNTIFS(Dyno_Data[Team],TBA_Matches_All[[#This Row],[Team]],Dyno_Data[Match],TBA_Matches_All[[#This Row],[Match_Number]],Dyno_Data[RecordType],"Activities",Dyno_Data[DelOrig],"OppW", Dyno_Data[DelMiss],"0")</f>
        <v>0</v>
      </c>
      <c r="BI327">
        <f>COUNTIFS(Dyno_Data[Team],TBA_Matches_All[[#This Row],[Team]],Dyno_Data[Match],TBA_Matches_All[[#This Row],[Match_Number]],Dyno_Data[RecordType],"Activities",Dyno_Data[DelOrig],"OppW", Dyno_Data[DelMiss],"1")</f>
        <v>0</v>
      </c>
      <c r="BJ327" s="60">
        <f>IFERROR(SUM((TBA_Matches_All[[#This Row],[OZflrT]])/(TBA_Matches_All[[#This Row],[OZflrT]]+TBA_Matches_All[[#This Row],[OZflrM]])),0)</f>
        <v>0</v>
      </c>
      <c r="BK327">
        <f>COUNTIFS(Dyno_Data[Team],TBA_Matches_All[[#This Row],[Team]],Dyno_Data[Match],TBA_Matches_All[[#This Row],[Match_Number]],Dyno_Data[RecordType],"Activities",Dyno_Data[DelOrig],"Neut", Dyno_Data[DelMiss],"0")</f>
        <v>0</v>
      </c>
      <c r="BL327">
        <f>COUNTIFS(Dyno_Data[Team],TBA_Matches_All[[#This Row],[Team]],Dyno_Data[Match],TBA_Matches_All[[#This Row],[Match_Number]],Dyno_Data[RecordType],"Activities",Dyno_Data[DelOrig],"Neut", Dyno_Data[DelMiss],"1")</f>
        <v>0</v>
      </c>
      <c r="BM327" s="60">
        <f>IFERROR(SUM((TBA_Matches_All[[#This Row],[NZflrT]])/(TBA_Matches_All[[#This Row],[NZflrT]]+TBA_Matches_All[[#This Row],[NZflrM]])),0)</f>
        <v>0</v>
      </c>
      <c r="BN327">
        <f>COUNTIFS(Dyno_Data[Team],TBA_Matches_All[[#This Row],[Team]],Dyno_Data[Match],TBA_Matches_All[[#This Row],[Match_Number]],Dyno_Data[RecordType],"Activities",Dyno_Data[DelOrig],"AllyW", Dyno_Data[DelMiss],"0")</f>
        <v>4</v>
      </c>
      <c r="BO327">
        <f>COUNTIFS(Dyno_Data[Team],TBA_Matches_All[[#This Row],[Team]],Dyno_Data[Match],TBA_Matches_All[[#This Row],[Match_Number]],Dyno_Data[RecordType],"Activities",Dyno_Data[DelOrig],"AllyW", Dyno_Data[DelMiss],"1")</f>
        <v>0</v>
      </c>
      <c r="BP327" s="60">
        <f>IFERROR(SUM((TBA_Matches_All[[#This Row],[AZflrT]])/(TBA_Matches_All[[#This Row],[AZflrT]]+TBA_Matches_All[[#This Row],[AZflrM]])),0)</f>
        <v>1</v>
      </c>
      <c r="BQ327">
        <f>COUNTIFS(Dyno_Data[Team],TBA_Matches_All[[#This Row],[Team]],Dyno_Data[Match],TBA_Matches_All[[#This Row],[Match_Number]],Dyno_Data[RecordType],"Activities",Dyno_Data[DelOrig],"SubW", Dyno_Data[DelMiss],"0")</f>
        <v>0</v>
      </c>
      <c r="BR327">
        <f>COUNTIFS(Dyno_Data[Team],TBA_Matches_All[[#This Row],[Team]],Dyno_Data[Match],TBA_Matches_All[[#This Row],[Match_Number]],Dyno_Data[RecordType],"Activities",Dyno_Data[DelOrig],"SubW", Dyno_Data[DelMiss],"1")</f>
        <v>0</v>
      </c>
      <c r="BS327" s="60">
        <f>IFERROR(SUM((TBA_Matches_All[[#This Row],[SubwT]])/(TBA_Matches_All[[#This Row],[SubwT]]+TBA_Matches_All[[#This Row],[SubwM]])),0)</f>
        <v>0</v>
      </c>
      <c r="BT327">
        <f>COUNTIFS(Dyno_Data[Team],TBA_Matches_All[[#This Row],[Team]],Dyno_Data[Match],TBA_Matches_All[[#This Row],[Match_Number]],Dyno_Data[RecordType],"Activities", Dyno_Data[AcqLoc],"OppWing")</f>
        <v>0</v>
      </c>
      <c r="BU327">
        <f>COUNTIFS(Dyno_Data[Team],TBA_Matches_All[[#This Row],[Team]],Dyno_Data[Match],TBA_Matches_All[[#This Row],[Match_Number]],Dyno_Data[RecordType],"Activities", Dyno_Data[AcqLoc],"Neutral")</f>
        <v>0</v>
      </c>
      <c r="BV327">
        <f>COUNTIFS(Dyno_Data[Team],TBA_Matches_All[[#This Row],[Team]],Dyno_Data[Match],TBA_Matches_All[[#This Row],[Match_Number]],Dyno_Data[RecordType],"Activities", Dyno_Data[AcqLoc],"AllyWing")</f>
        <v>0</v>
      </c>
      <c r="BW327">
        <f>COUNTIFS(Dyno_Data[Team],TBA_Matches_All[[#This Row],[Team]],Dyno_Data[Match],TBA_Matches_All[[#This Row],[Match_Number]],Dyno_Data[RecordType],"Activities", Dyno_Data[AcqLoc],"Source")</f>
        <v>0</v>
      </c>
      <c r="BX327">
        <f>SUMIFS(Dyno_Data[AcqDrp], Dyno_Data[Team],TBA_Matches_All[[#This Row],[Team]],Dyno_Data[Match],TBA_Matches_All[[#This Row],[Match_Number]],Dyno_Data[RecordType],"Activities", Dyno_Data[AcqLoc],"Source")</f>
        <v>0</v>
      </c>
      <c r="BY327">
        <f>SUMIFS(Dyno_Data[OZTime], Dyno_Data[Team],TBA_Matches_All[[#This Row],[Team]],Dyno_Data[Match],TBA_Matches_All[[#This Row],[Match_Number]],Dyno_Data[RecordType],"EndMatch")</f>
        <v>39.0320277</v>
      </c>
      <c r="BZ327">
        <f>SUMIFS(Dyno_Data[NZTime], Dyno_Data[Team],TBA_Matches_All[[#This Row],[Team]],Dyno_Data[Match],TBA_Matches_All[[#This Row],[Match_Number]],Dyno_Data[RecordType],"EndMatch")</f>
        <v>13.0461843</v>
      </c>
      <c r="CA327">
        <f>SUMIFS(Dyno_Data[AZTime], Dyno_Data[Team],TBA_Matches_All[[#This Row],[Team]],Dyno_Data[Match],TBA_Matches_All[[#This Row],[Match_Number]],Dyno_Data[RecordType],"EndMatch")</f>
        <v>83.907532500000002</v>
      </c>
      <c r="CB327">
        <f>SUMIFS(Dyno_Data[ClimbT], Dyno_Data[Team],TBA_Matches_All[[#This Row],[Team]],Dyno_Data[Match],TBA_Matches_All[[#This Row],[Match_Number]],Dyno_Data[RecordType],"EndMatch")</f>
        <v>0</v>
      </c>
      <c r="CC327" t="str">
        <f>_xlfn.XLOOKUP(SUM(MID(TBA_Matches_All[[#This Row],[Team]],4,5),(TBA_Matches_All[[#This Row],[Match_Number]]/100)),Dyno_EndMatch[teammat],Dyno_EndMatch[StageStat],"_",0,1)</f>
        <v>Park</v>
      </c>
      <c r="CD327" t="str">
        <f>_xlfn.XLOOKUP(TBA_Matches_All[[#This Row],[teammat]],Dyno_EndMatch[teammat],Dyno_EndMatch[StageAtt],"_",0,1)</f>
        <v>0</v>
      </c>
      <c r="CE327" t="str">
        <f>_xlfn.XLOOKUP(TBA_Matches_All[[#This Row],[teammat]],Dyno_EndMatch[teammat],Dyno_EndMatch[StageLoc],"_",0,1)</f>
        <v>A</v>
      </c>
      <c r="CF327">
        <f>SUMIFS(Dyno_Data[Harmony], Dyno_Data[Team],TBA_Matches_All[[#This Row],[Team]],Dyno_Data[Match],TBA_Matches_All[[#This Row],[Match_Number]],Dyno_Data[RecordType],"EndMatch", Dyno_Data[StageStat],"On",Dyno_Data[Harmony],"&lt;&gt;9")</f>
        <v>0</v>
      </c>
      <c r="CG327">
        <f>SUMIFS(Dyno_Data[Spotlit], Dyno_Data[Team],TBA_Matches_All[[#This Row],[Team]],Dyno_Data[Match],TBA_Matches_All[[#This Row],[Match_Number]],Dyno_Data[RecordType],"EndMatch", Dyno_Data[StageStat],"On",Dyno_Data[Spotlit],"&lt;&gt;9")</f>
        <v>0</v>
      </c>
      <c r="CH327" t="str">
        <f>_xlfn.XLOOKUP(TBA_Matches_All[[#This Row],[teammat]],Dyno_EndMatch[teammat],Dyno_EndMatch[Strategy],"_",0,1)</f>
        <v>Hybrid</v>
      </c>
      <c r="CI327">
        <f>SUMIFS(Dyno_Data[Defense], Dyno_Data[Team],TBA_Matches_All[[#This Row],[Team]],Dyno_Data[Match],TBA_Matches_All[[#This Row],[Match_Number]],Dyno_Data[RecordType],"EndMatch",Dyno_Data[Defense],"&lt;&gt;9")</f>
        <v>0</v>
      </c>
      <c r="CJ327">
        <f>SUMIFS(Dyno_Data[Avoidance], Dyno_Data[Team],TBA_Matches_All[[#This Row],[Team]],Dyno_Data[Match],TBA_Matches_All[[#This Row],[Match_Number]],Dyno_Data[RecordType],"EndMatch",Dyno_Data[Avoidance],"&lt;&gt;9")</f>
        <v>0</v>
      </c>
      <c r="CK327" s="82">
        <f>COUNTIF($H$2:TBA_Matches_All[[#This Row],[Team]],TBA_Matches_All[[#This Row],[Team]])</f>
        <v>7</v>
      </c>
      <c r="CL327" s="111">
        <f>SUM(MID(TBA_Matches_All[[#This Row],[Team]],4,5)+TBA_Matches_All[[#This Row],[Match_Number]]/100)</f>
        <v>9750.5499999999993</v>
      </c>
      <c r="CM327">
        <f>SUM((TBA_Matches_All[[#This Row],[Leave]]*2)+(TBA_Matches_All[[#This Row],[AampT]]*2)+(TBA_Matches_All[[#This Row],[AspkrT]]*5)+(TBA_Matches_All[[#This Row],[AtrapT]]*5))</f>
        <v>0</v>
      </c>
      <c r="CN327" s="59">
        <f>IFERROR(SUM(TBA_Matches_All[[#This Row],[AptsT]]/TBA_Matches_All[[#This Row],[AutoPts]]),0)</f>
        <v>0</v>
      </c>
      <c r="CO327" s="59">
        <f>IFERROR(SUM(TBA_Matches_All[[#This Row],[AampT]]+TBA_Matches_All[[#This Row],[AspkrT]]+TBA_Matches_All[[#This Row],[AtrapT]]/TBA_Matches_All[[#This Row],[Aamp]]+TBA_Matches_All[[#This Row],[Aspkr]]+TBA_Matches_All[[#This Row],[AtrapT]]),0)</f>
        <v>0</v>
      </c>
      <c r="CP327" s="59">
        <f>IFERROR(SUM(TBA_Matches_All[[#This Row],[TampT]]/TBA_Matches_All[[#This Row],[Tamp]]),0)</f>
        <v>0.8</v>
      </c>
      <c r="CQ327" s="59">
        <f>IFERROR(SUM(TBA_Matches_All[[#This Row],[TspkrT]]/TBA_Matches_All[[#This Row],[Tspkr]]),0)</f>
        <v>0</v>
      </c>
      <c r="CR327">
        <f>SUM(TBA_Matches_All[[#This Row],[TspkrPts]]*TBA_Matches_All[[#This Row],[TspkrP]])</f>
        <v>0</v>
      </c>
      <c r="CS327" s="59">
        <f>IFERROR(SUM(TBA_Matches_All[[#This Row],[TtrapT]]/TBA_Matches_All[[#This Row],[Trap]]),0)</f>
        <v>0</v>
      </c>
      <c r="CT327" s="59">
        <f>IFERROR(SUM(TBA_Matches_All[[#This Row],[TotNotesT]]/TBA_Matches_All[[#This Row],[TotNotes]]),0)</f>
        <v>0.22222222222222221</v>
      </c>
      <c r="CU327" s="66">
        <f>SUM((TBA_Matches_All[[#This Row],[AampT]]*2)+(TBA_Matches_All[[#This Row],[AspkrT]]*5)+(TBA_Matches_All[[#This Row],[AtrapT]]*5)+(TBA_Matches_All[[#This Row],[TampT]]*1)+(TBA_Matches_All[[#This Row],[TspkrptsC]]))</f>
        <v>4</v>
      </c>
      <c r="CV327" s="59">
        <f>IFERROR(TBA_Matches_All[[#This Row],[noteptsT]]/TBA_Matches_All[[#This Row],[NotePts]],0)</f>
        <v>9.3023255813953487E-2</v>
      </c>
      <c r="CW327">
        <f>SUM(IF(TBA_Matches_All[[#This Row],[stageStat]]="On",3,0),IF(TBA_Matches_All[[#This Row],[stageStat]]="Park",1,0),SUMIFS(TBA_Matches_All[[#This Row],[Spotlit]],TBA_Matches_All[[#This Row],[stageStat]],"On"),SUMIFS(TBA_Matches_All[[#This Row],[Harmony]],TBA_Matches_All[[#This Row],[stageStat]],"On"))</f>
        <v>1</v>
      </c>
      <c r="CX327" s="59">
        <f>IFERROR(TBA_Matches_All[[#This Row],[stageptsT]]/TBA_Matches_All[[#This Row],[StagePts]],0)</f>
        <v>0.33333333333333331</v>
      </c>
      <c r="CY327">
        <f>SUM((TBA_Matches_All[[#This Row],[AptsT]]+TBA_Matches_All[[#This Row],[TampT]]+TBA_Matches_All[[#This Row],[TspkrptsC]]+(TBA_Matches_All[[#This Row],[TtrapT]]*5)+TBA_Matches_All[[#This Row],[stageptsT]]))</f>
        <v>5</v>
      </c>
      <c r="CZ327" s="59">
        <f>IFERROR(SUM(TBA_Matches_All[[#This Row],[TotptsC]]/TBA_Matches_All[[#This Row],[Score]]),0)</f>
        <v>8.1967213114754092E-2</v>
      </c>
      <c r="DA32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4.5999999999999996</v>
      </c>
      <c r="DB327" s="74">
        <f>SUMIFS(TBA_Matches_All[AveTeamTNoteDels],TBA_Matches_All[Match_Number],TBA_Matches_All[[#This Row],[Match_Number]],TBA_Matches_All[Alliance],"&lt;&gt;"&amp;TBA_Matches_All[[#This Row],[Alliance]],TBA_Matches_All[Scouted],"&gt;0")</f>
        <v>34.313626373626377</v>
      </c>
      <c r="DC327" s="74">
        <f>(TBA_Matches_All[[#This Row],[TampT]]+TBA_Matches_All[[#This Row],[TspkrptsC]])-TBA_Matches_All[[#This Row],[AveTeamTNoteDels]]</f>
        <v>-0.59999999999999964</v>
      </c>
      <c r="DD327" s="74">
        <f>SUMIFS(TBA_Matches_All[AveTeamTNoteDels],TBA_Matches_All[Match_Number],TBA_Matches_All[[#This Row],[Match_Number]],TBA_Matches_All[Alliance],"&lt;&gt;"&amp;TBA_Matches_All[[#This Row],[Alliance]])-TBA_Matches_All[[#This Row],[AveOppTNoteDels]]</f>
        <v>0</v>
      </c>
    </row>
    <row r="328" spans="1:108" x14ac:dyDescent="0.3">
      <c r="A328" t="s">
        <v>1042</v>
      </c>
      <c r="B328" t="s">
        <v>489</v>
      </c>
      <c r="C328" t="s">
        <v>1364</v>
      </c>
      <c r="D328">
        <v>55</v>
      </c>
      <c r="E328" t="s">
        <v>1406</v>
      </c>
      <c r="F328" t="s">
        <v>1426</v>
      </c>
      <c r="G328" t="s">
        <v>164</v>
      </c>
      <c r="H328" t="s">
        <v>363</v>
      </c>
      <c r="I328" t="b">
        <v>1</v>
      </c>
      <c r="J328">
        <v>57</v>
      </c>
      <c r="K328">
        <v>1</v>
      </c>
      <c r="L328">
        <v>1</v>
      </c>
      <c r="M328">
        <v>11</v>
      </c>
      <c r="N328">
        <v>0</v>
      </c>
      <c r="O328">
        <v>2</v>
      </c>
      <c r="P328">
        <v>10</v>
      </c>
      <c r="Q328">
        <v>14</v>
      </c>
      <c r="R328">
        <v>3</v>
      </c>
      <c r="S328">
        <v>2</v>
      </c>
      <c r="T328">
        <v>8</v>
      </c>
      <c r="U328">
        <v>10</v>
      </c>
      <c r="V328">
        <v>16</v>
      </c>
      <c r="W328">
        <v>10</v>
      </c>
      <c r="X328">
        <v>26</v>
      </c>
      <c r="Y328">
        <v>29</v>
      </c>
      <c r="Z328">
        <v>0</v>
      </c>
      <c r="AA328">
        <v>0</v>
      </c>
      <c r="AB328">
        <v>15</v>
      </c>
      <c r="AC328">
        <v>39</v>
      </c>
      <c r="AD328">
        <v>2</v>
      </c>
      <c r="AE328">
        <f>IFERROR(6/(COUNTIF(Dyno_EndMatch[Match],TBA_Matches_All[[#This Row],[Match_Number]])),0)</f>
        <v>1</v>
      </c>
      <c r="AF328">
        <f>COUNTIFS(Dyno_Data[Team],TBA_Matches_All[[#This Row],[Team]],Dyno_Data[Match],TBA_Matches_All[[#This Row],[Match_Number]],Dyno_Data[RecordType],"EndMatch",Dyno_Data[HPAmp],"Y")</f>
        <v>1</v>
      </c>
      <c r="AG328">
        <f>SUMIFS(Dyno_Data[Mics], Dyno_Data[Team],TBA_Matches_All[[#This Row],[Team]],Dyno_Data[Match],TBA_Matches_All[[#This Row],[Match_Number]],Dyno_Data[RecordType],"EndMatch",Dyno_Data[HPAmp],"Y")</f>
        <v>1</v>
      </c>
      <c r="AH328">
        <f>SUMIFS(Dyno_Data[Leave], Dyno_Data[Team],TBA_Matches_All[[#This Row],[Team]],Dyno_Data[Match],TBA_Matches_All[[#This Row],[Match_Number]],Dyno_Data[RecordType],"EndAuto")</f>
        <v>1</v>
      </c>
      <c r="AI328">
        <f>COUNTIFS(Dyno_Data[Team],TBA_Matches_All[[#This Row],[Team]],Dyno_Data[Match],TBA_Matches_All[[#This Row],[Match_Number]],Dyno_Data[RecordType],"Activities",Dyno_Data[DelDest],"Amp", Dyno_Data[DelMiss],"0", Dyno_Data[Mode],"Auto")</f>
        <v>0</v>
      </c>
      <c r="AJ328">
        <f>COUNTIFS(Dyno_Data[Team],TBA_Matches_All[[#This Row],[Team]],Dyno_Data[Match],TBA_Matches_All[[#This Row],[Match_Number]],Dyno_Data[RecordType],"Activities",Dyno_Data[DelDest],"Spkr", Dyno_Data[DelMiss],"0", Dyno_Data[Mode],"Auto")</f>
        <v>0</v>
      </c>
      <c r="AK328">
        <f>COUNTIFS(Dyno_Data[Team],TBA_Matches_All[[#This Row],[Team]],Dyno_Data[Match],TBA_Matches_All[[#This Row],[Match_Number]],Dyno_Data[RecordType],"Activities",Dyno_Data[DelDest],"Trap", Dyno_Data[DelMiss],"0", Dyno_Data[Mode],"Auto")</f>
        <v>0</v>
      </c>
      <c r="AL328">
        <f>COUNTIFS(Dyno_Data[Team],TBA_Matches_All[[#This Row],[Team]],Dyno_Data[Match],TBA_Matches_All[[#This Row],[Match_Number]],Dyno_Data[RecordType],"Activities",Dyno_Data[DelDest],"Amp", Dyno_Data[DelMiss],"0", Dyno_Data[Mode],"Teleop")</f>
        <v>1</v>
      </c>
      <c r="AM328">
        <f>COUNTIFS(Dyno_Data[Team],TBA_Matches_All[[#This Row],[Team]],Dyno_Data[Match],TBA_Matches_All[[#This Row],[Match_Number]],Dyno_Data[RecordType],"Activities",Dyno_Data[DelDest],"Spkr", Dyno_Data[DelMiss],"0", Dyno_Data[Mode],"Teleop")</f>
        <v>5</v>
      </c>
      <c r="AN328">
        <f>COUNTIFS(Dyno_Data[Team],TBA_Matches_All[[#This Row],[Team]],Dyno_Data[Match],TBA_Matches_All[[#This Row],[Match_Number]],Dyno_Data[RecordType],"Activities",Dyno_Data[DelDest],"Trap", Dyno_Data[DelMiss],"0", Dyno_Data[Mode],"&lt;&gt;Auto")</f>
        <v>0</v>
      </c>
      <c r="AO328">
        <f>SUM(TBA_Matches_All[[#This Row],[AampT]]+TBA_Matches_All[[#This Row],[AspkrT]]+TBA_Matches_All[[#This Row],[AtrapT]]+TBA_Matches_All[[#This Row],[TampT]]+TBA_Matches_All[[#This Row],[TspkrT]]+TBA_Matches_All[[#This Row],[TtrapT]])</f>
        <v>6</v>
      </c>
      <c r="AP328">
        <f>COUNTIFS(Dyno_Data[Team],TBA_Matches_All[[#This Row],[Team]],Dyno_Data[Match],TBA_Matches_All[[#This Row],[Match_Number]],Dyno_Data[RecordType],"Activities",Dyno_Data[DelDest],"Neut", Dyno_Data[DelMiss],"0")</f>
        <v>0</v>
      </c>
      <c r="AQ328">
        <f>COUNTIFS(Dyno_Data[Team],TBA_Matches_All[[#This Row],[Team]],Dyno_Data[Match],TBA_Matches_All[[#This Row],[Match_Number]],Dyno_Data[RecordType],"Activities",Dyno_Data[DelDest],"AllyW", Dyno_Data[DelMiss],"0")</f>
        <v>2</v>
      </c>
      <c r="AR328" t="str">
        <f>_xlfn.XLOOKUP(SUM(MID(TBA_Matches_All[[#This Row],[Team]],4,5),(TBA_Matches_All[[#This Row],[Match_Number]]/100)),Dyno_EndMatch[teammat],Dyno_EndMatch[RobotSta],"_",0,1)</f>
        <v>Podm</v>
      </c>
      <c r="AS328">
        <f>SUMIFS(Dyno_Data[AcqDis], Dyno_Data[Team],TBA_Matches_All[[#This Row],[Team]],Dyno_Data[Match],TBA_Matches_All[[#This Row],[Match_Number]],Dyno_Data[RecordType],"Activities", Dyno_Data[AcqCenter],1,Dyno_Data[Mode],"Auto")</f>
        <v>1</v>
      </c>
      <c r="AT328">
        <f>SUMIFS(Dyno_Data[AcqDis], Dyno_Data[Team],TBA_Matches_All[[#This Row],[Team]],Dyno_Data[Match],TBA_Matches_All[[#This Row],[Match_Number]],Dyno_Data[RecordType],"Activities", Dyno_Data[AcqCenter],2,Dyno_Data[Mode],"Auto")</f>
        <v>0</v>
      </c>
      <c r="AU328">
        <f>SUMIFS(Dyno_Data[AcqDis], Dyno_Data[Team],TBA_Matches_All[[#This Row],[Team]],Dyno_Data[Match],TBA_Matches_All[[#This Row],[Match_Number]],Dyno_Data[RecordType],"Activities", Dyno_Data[AcqCenter],3,Dyno_Data[Mode],"Auto")</f>
        <v>0</v>
      </c>
      <c r="AV328">
        <f>SUMIFS(Dyno_Data[AcqDis], Dyno_Data[Team],TBA_Matches_All[[#This Row],[Team]],Dyno_Data[Match],TBA_Matches_All[[#This Row],[Match_Number]],Dyno_Data[RecordType],"Activities", Dyno_Data[AcqCenter],4,Dyno_Data[Mode],"Auto")</f>
        <v>0</v>
      </c>
      <c r="AW328">
        <f>SUMIFS(Dyno_Data[AcqDis], Dyno_Data[Team],TBA_Matches_All[[#This Row],[Team]],Dyno_Data[Match],TBA_Matches_All[[#This Row],[Match_Number]],Dyno_Data[RecordType],"Activities", Dyno_Data[AcqCenter],5,Dyno_Data[Mode],"Auto")</f>
        <v>0</v>
      </c>
      <c r="AX328">
        <f>SUMIFS(Dyno_Data[DelMiss], Dyno_Data[Team],TBA_Matches_All[[#This Row],[Team]],Dyno_Data[Match],TBA_Matches_All[[#This Row],[Match_Number]],Dyno_Data[RecordType],"Activities", Dyno_Data[DelDest],"Amp")</f>
        <v>0</v>
      </c>
      <c r="AY328" s="60">
        <f>IFERROR(SUM((TBA_Matches_All[[#This Row],[AampT]]+TBA_Matches_All[[#This Row],[TampT]])/(TBA_Matches_All[[#This Row],[AampT]]+TBA_Matches_All[[#This Row],[TampT]]+TBA_Matches_All[[#This Row],[ampM]])),0)</f>
        <v>1</v>
      </c>
      <c r="AZ328">
        <f>SUMIFS(Dyno_Data[DelMiss], Dyno_Data[Team],TBA_Matches_All[[#This Row],[Team]],Dyno_Data[Match],TBA_Matches_All[[#This Row],[Match_Number]],Dyno_Data[RecordType],"Activities", Dyno_Data[DelDest],"Spkr")</f>
        <v>1</v>
      </c>
      <c r="BA328" s="60">
        <f>IFERROR(SUM((TBA_Matches_All[[#This Row],[AspkrT]]+TBA_Matches_All[[#This Row],[TspkrT]])/(TBA_Matches_All[[#This Row],[AspkrT]]+TBA_Matches_All[[#This Row],[TspkrT]]+TBA_Matches_All[[#This Row],[spkrM]])),0)</f>
        <v>0.83333333333333337</v>
      </c>
      <c r="BB328">
        <f>SUMIFS(Dyno_Data[DelMiss], Dyno_Data[Team],TBA_Matches_All[[#This Row],[Team]],Dyno_Data[Match],TBA_Matches_All[[#This Row],[Match_Number]],Dyno_Data[RecordType],"Activities", Dyno_Data[DelDest],"Trap")</f>
        <v>0</v>
      </c>
      <c r="BC328" s="60">
        <f>IFERROR((TBA_Matches_All[[#This Row],[AtrapT]]+TBA_Matches_All[[#This Row],[TtrapT]])/(TBA_Matches_All[[#This Row],[AtrapT]]+TBA_Matches_All[[#This Row],[TtrapT]]+TBA_Matches_All[[#This Row],[trapM]]),0)</f>
        <v>0</v>
      </c>
      <c r="BD328">
        <f>COUNTIFS(Dyno_Data[Team],TBA_Matches_All[[#This Row],[Team]],Dyno_Data[Match],TBA_Matches_All[[#This Row],[Match_Number]],Dyno_Data[RecordType],"Activities",Dyno_Data[DelDest],"Neut", Dyno_Data[DelMiss],1)</f>
        <v>0</v>
      </c>
      <c r="BE328" s="60">
        <f>IFERROR(SUM((TBA_Matches_All[[#This Row],[NeutFlrT]])/(TBA_Matches_All[[#This Row],[NeutFlrT]]+TBA_Matches_All[[#This Row],[NZflM]])),0)</f>
        <v>0</v>
      </c>
      <c r="BF328">
        <f>COUNTIFS(Dyno_Data[Team],TBA_Matches_All[[#This Row],[Team]],Dyno_Data[Match],TBA_Matches_All[[#This Row],[Match_Number]],Dyno_Data[RecordType],"Activities",Dyno_Data[DelDest],"AllyW", Dyno_Data[DelMiss],1)</f>
        <v>0</v>
      </c>
      <c r="BG328" s="60">
        <f>IFERROR(SUM((TBA_Matches_All[[#This Row],[AllyWFlrT]])/(TBA_Matches_All[[#This Row],[AllyWFlrT]]+TBA_Matches_All[[#This Row],[AZflM]])),0)</f>
        <v>1</v>
      </c>
      <c r="BH328">
        <f>COUNTIFS(Dyno_Data[Team],TBA_Matches_All[[#This Row],[Team]],Dyno_Data[Match],TBA_Matches_All[[#This Row],[Match_Number]],Dyno_Data[RecordType],"Activities",Dyno_Data[DelOrig],"OppW", Dyno_Data[DelMiss],"0")</f>
        <v>0</v>
      </c>
      <c r="BI328">
        <f>COUNTIFS(Dyno_Data[Team],TBA_Matches_All[[#This Row],[Team]],Dyno_Data[Match],TBA_Matches_All[[#This Row],[Match_Number]],Dyno_Data[RecordType],"Activities",Dyno_Data[DelOrig],"OppW", Dyno_Data[DelMiss],"1")</f>
        <v>0</v>
      </c>
      <c r="BJ328" s="60">
        <f>IFERROR(SUM((TBA_Matches_All[[#This Row],[OZflrT]])/(TBA_Matches_All[[#This Row],[OZflrT]]+TBA_Matches_All[[#This Row],[OZflrM]])),0)</f>
        <v>0</v>
      </c>
      <c r="BK328">
        <f>COUNTIFS(Dyno_Data[Team],TBA_Matches_All[[#This Row],[Team]],Dyno_Data[Match],TBA_Matches_All[[#This Row],[Match_Number]],Dyno_Data[RecordType],"Activities",Dyno_Data[DelOrig],"Neut", Dyno_Data[DelMiss],"0")</f>
        <v>1</v>
      </c>
      <c r="BL328">
        <f>COUNTIFS(Dyno_Data[Team],TBA_Matches_All[[#This Row],[Team]],Dyno_Data[Match],TBA_Matches_All[[#This Row],[Match_Number]],Dyno_Data[RecordType],"Activities",Dyno_Data[DelOrig],"Neut", Dyno_Data[DelMiss],"1")</f>
        <v>0</v>
      </c>
      <c r="BM328" s="60">
        <f>IFERROR(SUM((TBA_Matches_All[[#This Row],[NZflrT]])/(TBA_Matches_All[[#This Row],[NZflrT]]+TBA_Matches_All[[#This Row],[NZflrM]])),0)</f>
        <v>1</v>
      </c>
      <c r="BN328">
        <f>COUNTIFS(Dyno_Data[Team],TBA_Matches_All[[#This Row],[Team]],Dyno_Data[Match],TBA_Matches_All[[#This Row],[Match_Number]],Dyno_Data[RecordType],"Activities",Dyno_Data[DelOrig],"AllyW", Dyno_Data[DelMiss],"0")</f>
        <v>3</v>
      </c>
      <c r="BO328">
        <f>COUNTIFS(Dyno_Data[Team],TBA_Matches_All[[#This Row],[Team]],Dyno_Data[Match],TBA_Matches_All[[#This Row],[Match_Number]],Dyno_Data[RecordType],"Activities",Dyno_Data[DelOrig],"AllyW", Dyno_Data[DelMiss],"1")</f>
        <v>1</v>
      </c>
      <c r="BP328" s="60">
        <f>IFERROR(SUM((TBA_Matches_All[[#This Row],[AZflrT]])/(TBA_Matches_All[[#This Row],[AZflrT]]+TBA_Matches_All[[#This Row],[AZflrM]])),0)</f>
        <v>0.75</v>
      </c>
      <c r="BQ328">
        <f>COUNTIFS(Dyno_Data[Team],TBA_Matches_All[[#This Row],[Team]],Dyno_Data[Match],TBA_Matches_All[[#This Row],[Match_Number]],Dyno_Data[RecordType],"Activities",Dyno_Data[DelOrig],"SubW", Dyno_Data[DelMiss],"0")</f>
        <v>4</v>
      </c>
      <c r="BR328">
        <f>COUNTIFS(Dyno_Data[Team],TBA_Matches_All[[#This Row],[Team]],Dyno_Data[Match],TBA_Matches_All[[#This Row],[Match_Number]],Dyno_Data[RecordType],"Activities",Dyno_Data[DelOrig],"SubW", Dyno_Data[DelMiss],"1")</f>
        <v>0</v>
      </c>
      <c r="BS328" s="60">
        <f>IFERROR(SUM((TBA_Matches_All[[#This Row],[SubwT]])/(TBA_Matches_All[[#This Row],[SubwT]]+TBA_Matches_All[[#This Row],[SubwM]])),0)</f>
        <v>1</v>
      </c>
      <c r="BT328">
        <f>COUNTIFS(Dyno_Data[Team],TBA_Matches_All[[#This Row],[Team]],Dyno_Data[Match],TBA_Matches_All[[#This Row],[Match_Number]],Dyno_Data[RecordType],"Activities", Dyno_Data[AcqLoc],"OppWing")</f>
        <v>0</v>
      </c>
      <c r="BU328">
        <f>COUNTIFS(Dyno_Data[Team],TBA_Matches_All[[#This Row],[Team]],Dyno_Data[Match],TBA_Matches_All[[#This Row],[Match_Number]],Dyno_Data[RecordType],"Activities", Dyno_Data[AcqLoc],"Neutral")</f>
        <v>2</v>
      </c>
      <c r="BV328">
        <f>COUNTIFS(Dyno_Data[Team],TBA_Matches_All[[#This Row],[Team]],Dyno_Data[Match],TBA_Matches_All[[#This Row],[Match_Number]],Dyno_Data[RecordType],"Activities", Dyno_Data[AcqLoc],"AllyWing")</f>
        <v>0</v>
      </c>
      <c r="BW328">
        <f>COUNTIFS(Dyno_Data[Team],TBA_Matches_All[[#This Row],[Team]],Dyno_Data[Match],TBA_Matches_All[[#This Row],[Match_Number]],Dyno_Data[RecordType],"Activities", Dyno_Data[AcqLoc],"Source")</f>
        <v>0</v>
      </c>
      <c r="BX328">
        <f>SUMIFS(Dyno_Data[AcqDrp], Dyno_Data[Team],TBA_Matches_All[[#This Row],[Team]],Dyno_Data[Match],TBA_Matches_All[[#This Row],[Match_Number]],Dyno_Data[RecordType],"Activities", Dyno_Data[AcqLoc],"Source")</f>
        <v>0</v>
      </c>
      <c r="BY328">
        <f>SUMIFS(Dyno_Data[OZTime], Dyno_Data[Team],TBA_Matches_All[[#This Row],[Team]],Dyno_Data[Match],TBA_Matches_All[[#This Row],[Match_Number]],Dyno_Data[RecordType],"EndMatch")</f>
        <v>18.762364599999998</v>
      </c>
      <c r="BZ328">
        <f>SUMIFS(Dyno_Data[NZTime], Dyno_Data[Team],TBA_Matches_All[[#This Row],[Team]],Dyno_Data[Match],TBA_Matches_All[[#This Row],[Match_Number]],Dyno_Data[RecordType],"EndMatch")</f>
        <v>26.561134799999998</v>
      </c>
      <c r="CA328">
        <f>SUMIFS(Dyno_Data[AZTime], Dyno_Data[Team],TBA_Matches_All[[#This Row],[Team]],Dyno_Data[Match],TBA_Matches_All[[#This Row],[Match_Number]],Dyno_Data[RecordType],"EndMatch")</f>
        <v>90.729024499999994</v>
      </c>
      <c r="CB328">
        <f>SUMIFS(Dyno_Data[ClimbT], Dyno_Data[Team],TBA_Matches_All[[#This Row],[Team]],Dyno_Data[Match],TBA_Matches_All[[#This Row],[Match_Number]],Dyno_Data[RecordType],"EndMatch")</f>
        <v>0.43908469999999999</v>
      </c>
      <c r="CC328" t="str">
        <f>_xlfn.XLOOKUP(SUM(MID(TBA_Matches_All[[#This Row],[Team]],4,5),(TBA_Matches_All[[#This Row],[Match_Number]]/100)),Dyno_EndMatch[teammat],Dyno_EndMatch[StageStat],"_",0,1)</f>
        <v>Park</v>
      </c>
      <c r="CD328" t="str">
        <f>_xlfn.XLOOKUP(TBA_Matches_All[[#This Row],[teammat]],Dyno_EndMatch[teammat],Dyno_EndMatch[StageAtt],"_",0,1)</f>
        <v>-1</v>
      </c>
      <c r="CE328" t="str">
        <f>_xlfn.XLOOKUP(TBA_Matches_All[[#This Row],[teammat]],Dyno_EndMatch[teammat],Dyno_EndMatch[StageLoc],"_",0,1)</f>
        <v>A</v>
      </c>
      <c r="CF328">
        <f>SUMIFS(Dyno_Data[Harmony], Dyno_Data[Team],TBA_Matches_All[[#This Row],[Team]],Dyno_Data[Match],TBA_Matches_All[[#This Row],[Match_Number]],Dyno_Data[RecordType],"EndMatch", Dyno_Data[StageStat],"On",Dyno_Data[Harmony],"&lt;&gt;9")</f>
        <v>0</v>
      </c>
      <c r="CG328">
        <f>SUMIFS(Dyno_Data[Spotlit], Dyno_Data[Team],TBA_Matches_All[[#This Row],[Team]],Dyno_Data[Match],TBA_Matches_All[[#This Row],[Match_Number]],Dyno_Data[RecordType],"EndMatch", Dyno_Data[StageStat],"On",Dyno_Data[Spotlit],"&lt;&gt;9")</f>
        <v>0</v>
      </c>
      <c r="CH328" t="str">
        <f>_xlfn.XLOOKUP(TBA_Matches_All[[#This Row],[teammat]],Dyno_EndMatch[teammat],Dyno_EndMatch[Strategy],"_",0,1)</f>
        <v>Hybrid</v>
      </c>
      <c r="CI328">
        <f>SUMIFS(Dyno_Data[Defense], Dyno_Data[Team],TBA_Matches_All[[#This Row],[Team]],Dyno_Data[Match],TBA_Matches_All[[#This Row],[Match_Number]],Dyno_Data[RecordType],"EndMatch",Dyno_Data[Defense],"&lt;&gt;9")</f>
        <v>0</v>
      </c>
      <c r="CJ328">
        <f>SUMIFS(Dyno_Data[Avoidance], Dyno_Data[Team],TBA_Matches_All[[#This Row],[Team]],Dyno_Data[Match],TBA_Matches_All[[#This Row],[Match_Number]],Dyno_Data[RecordType],"EndMatch",Dyno_Data[Avoidance],"&lt;&gt;9")</f>
        <v>0</v>
      </c>
      <c r="CK328" s="82">
        <f>COUNTIF($H$2:TBA_Matches_All[[#This Row],[Team]],TBA_Matches_All[[#This Row],[Team]])</f>
        <v>7</v>
      </c>
      <c r="CL328" s="111">
        <f>SUM(MID(TBA_Matches_All[[#This Row],[Team]],4,5)+TBA_Matches_All[[#This Row],[Match_Number]]/100)</f>
        <v>2601.5500000000002</v>
      </c>
      <c r="CM328">
        <f>SUM((TBA_Matches_All[[#This Row],[Leave]]*2)+(TBA_Matches_All[[#This Row],[AampT]]*2)+(TBA_Matches_All[[#This Row],[AspkrT]]*5)+(TBA_Matches_All[[#This Row],[AtrapT]]*5))</f>
        <v>2</v>
      </c>
      <c r="CN328" s="59">
        <f>IFERROR(SUM(TBA_Matches_All[[#This Row],[AptsT]]/TBA_Matches_All[[#This Row],[AutoPts]]),0)</f>
        <v>0.14285714285714285</v>
      </c>
      <c r="CO328" s="59">
        <f>IFERROR(SUM(TBA_Matches_All[[#This Row],[AampT]]+TBA_Matches_All[[#This Row],[AspkrT]]+TBA_Matches_All[[#This Row],[AtrapT]]/TBA_Matches_All[[#This Row],[Aamp]]+TBA_Matches_All[[#This Row],[Aspkr]]+TBA_Matches_All[[#This Row],[AtrapT]]),0)</f>
        <v>0</v>
      </c>
      <c r="CP328" s="59">
        <f>IFERROR(SUM(TBA_Matches_All[[#This Row],[TampT]]/TBA_Matches_All[[#This Row],[Tamp]]),0)</f>
        <v>0.33333333333333331</v>
      </c>
      <c r="CQ328" s="59">
        <f>IFERROR(SUM(TBA_Matches_All[[#This Row],[TspkrT]]/TBA_Matches_All[[#This Row],[Tspkr]]),0)</f>
        <v>0.5</v>
      </c>
      <c r="CR328">
        <f>SUM(TBA_Matches_All[[#This Row],[TspkrPts]]*TBA_Matches_All[[#This Row],[TspkrP]])</f>
        <v>13</v>
      </c>
      <c r="CS328" s="59">
        <f>IFERROR(SUM(TBA_Matches_All[[#This Row],[TtrapT]]/TBA_Matches_All[[#This Row],[Trap]]),0)</f>
        <v>0</v>
      </c>
      <c r="CT328" s="59">
        <f>IFERROR(SUM(TBA_Matches_All[[#This Row],[TotNotesT]]/TBA_Matches_All[[#This Row],[TotNotes]]),0)</f>
        <v>0.4</v>
      </c>
      <c r="CU328" s="66">
        <f>SUM((TBA_Matches_All[[#This Row],[AampT]]*2)+(TBA_Matches_All[[#This Row],[AspkrT]]*5)+(TBA_Matches_All[[#This Row],[AtrapT]]*5)+(TBA_Matches_All[[#This Row],[TampT]]*1)+(TBA_Matches_All[[#This Row],[TspkrptsC]]))</f>
        <v>14</v>
      </c>
      <c r="CV328" s="59">
        <f>IFERROR(TBA_Matches_All[[#This Row],[noteptsT]]/TBA_Matches_All[[#This Row],[NotePts]],0)</f>
        <v>0.35897435897435898</v>
      </c>
      <c r="CW328">
        <f>SUM(IF(TBA_Matches_All[[#This Row],[stageStat]]="On",3,0),IF(TBA_Matches_All[[#This Row],[stageStat]]="Park",1,0),SUMIFS(TBA_Matches_All[[#This Row],[Spotlit]],TBA_Matches_All[[#This Row],[stageStat]],"On"),SUMIFS(TBA_Matches_All[[#This Row],[Harmony]],TBA_Matches_All[[#This Row],[stageStat]],"On"))</f>
        <v>1</v>
      </c>
      <c r="CX328" s="59">
        <f>IFERROR(TBA_Matches_All[[#This Row],[stageptsT]]/TBA_Matches_All[[#This Row],[StagePts]],0)</f>
        <v>0.5</v>
      </c>
      <c r="CY328">
        <f>SUM((TBA_Matches_All[[#This Row],[AptsT]]+TBA_Matches_All[[#This Row],[TampT]]+TBA_Matches_All[[#This Row],[TspkrptsC]]+(TBA_Matches_All[[#This Row],[TtrapT]]*5)+TBA_Matches_All[[#This Row],[stageptsT]]))</f>
        <v>17</v>
      </c>
      <c r="CZ328" s="59">
        <f>IFERROR(SUM(TBA_Matches_All[[#This Row],[TotptsC]]/TBA_Matches_All[[#This Row],[Score]]),0)</f>
        <v>0.2982456140350877</v>
      </c>
      <c r="DA32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17.239340659340662</v>
      </c>
      <c r="DB328" s="74">
        <f>SUMIFS(TBA_Matches_All[AveTeamTNoteDels],TBA_Matches_All[Match_Number],TBA_Matches_All[[#This Row],[Match_Number]],TBA_Matches_All[Alliance],"&lt;&gt;"&amp;TBA_Matches_All[[#This Row],[Alliance]],TBA_Matches_All[Scouted],"&gt;0")</f>
        <v>13.062121212121212</v>
      </c>
      <c r="DC328" s="74">
        <f>(TBA_Matches_All[[#This Row],[TampT]]+TBA_Matches_All[[#This Row],[TspkrptsC]])-TBA_Matches_All[[#This Row],[AveTeamTNoteDels]]</f>
        <v>-3.2393406593406624</v>
      </c>
      <c r="DD328" s="74">
        <f>SUMIFS(TBA_Matches_All[AveTeamTNoteDels],TBA_Matches_All[Match_Number],TBA_Matches_All[[#This Row],[Match_Number]],TBA_Matches_All[Alliance],"&lt;&gt;"&amp;TBA_Matches_All[[#This Row],[Alliance]])-TBA_Matches_All[[#This Row],[AveOppTNoteDels]]</f>
        <v>0</v>
      </c>
    </row>
    <row r="329" spans="1:108" x14ac:dyDescent="0.3">
      <c r="A329" t="s">
        <v>1042</v>
      </c>
      <c r="B329" t="s">
        <v>489</v>
      </c>
      <c r="C329" t="s">
        <v>1364</v>
      </c>
      <c r="D329">
        <v>55</v>
      </c>
      <c r="E329" t="s">
        <v>1420</v>
      </c>
      <c r="F329" t="s">
        <v>1421</v>
      </c>
      <c r="G329" t="s">
        <v>164</v>
      </c>
      <c r="H329" t="s">
        <v>362</v>
      </c>
      <c r="I329" t="b">
        <v>1</v>
      </c>
      <c r="J329">
        <v>61</v>
      </c>
      <c r="K329">
        <v>1</v>
      </c>
      <c r="L329">
        <v>0</v>
      </c>
      <c r="M329">
        <v>12</v>
      </c>
      <c r="N329">
        <v>0</v>
      </c>
      <c r="O329">
        <v>1</v>
      </c>
      <c r="P329">
        <v>5</v>
      </c>
      <c r="Q329">
        <v>9</v>
      </c>
      <c r="R329">
        <v>5</v>
      </c>
      <c r="S329">
        <v>3</v>
      </c>
      <c r="T329">
        <v>9</v>
      </c>
      <c r="U329">
        <v>15</v>
      </c>
      <c r="V329">
        <v>18</v>
      </c>
      <c r="W329">
        <v>12</v>
      </c>
      <c r="X329">
        <v>33</v>
      </c>
      <c r="Y329">
        <v>38</v>
      </c>
      <c r="Z329">
        <v>0</v>
      </c>
      <c r="AA329">
        <v>0</v>
      </c>
      <c r="AB329">
        <v>18</v>
      </c>
      <c r="AC329">
        <v>43</v>
      </c>
      <c r="AD329">
        <v>3</v>
      </c>
      <c r="AE329">
        <f>IFERROR(6/(COUNTIF(Dyno_EndMatch[Match],TBA_Matches_All[[#This Row],[Match_Number]])),0)</f>
        <v>1</v>
      </c>
      <c r="AF329">
        <f>COUNTIFS(Dyno_Data[Team],TBA_Matches_All[[#This Row],[Team]],Dyno_Data[Match],TBA_Matches_All[[#This Row],[Match_Number]],Dyno_Data[RecordType],"EndMatch",Dyno_Data[HPAmp],"Y")</f>
        <v>1</v>
      </c>
      <c r="AG329">
        <f>SUMIFS(Dyno_Data[Mics], Dyno_Data[Team],TBA_Matches_All[[#This Row],[Team]],Dyno_Data[Match],TBA_Matches_All[[#This Row],[Match_Number]],Dyno_Data[RecordType],"EndMatch",Dyno_Data[HPAmp],"Y")</f>
        <v>1</v>
      </c>
      <c r="AH329">
        <f>SUMIFS(Dyno_Data[Leave], Dyno_Data[Team],TBA_Matches_All[[#This Row],[Team]],Dyno_Data[Match],TBA_Matches_All[[#This Row],[Match_Number]],Dyno_Data[RecordType],"EndAuto")</f>
        <v>1</v>
      </c>
      <c r="AI329">
        <f>COUNTIFS(Dyno_Data[Team],TBA_Matches_All[[#This Row],[Team]],Dyno_Data[Match],TBA_Matches_All[[#This Row],[Match_Number]],Dyno_Data[RecordType],"Activities",Dyno_Data[DelDest],"Amp", Dyno_Data[DelMiss],"0", Dyno_Data[Mode],"Auto")</f>
        <v>0</v>
      </c>
      <c r="AJ329">
        <f>COUNTIFS(Dyno_Data[Team],TBA_Matches_All[[#This Row],[Team]],Dyno_Data[Match],TBA_Matches_All[[#This Row],[Match_Number]],Dyno_Data[RecordType],"Activities",Dyno_Data[DelDest],"Spkr", Dyno_Data[DelMiss],"0", Dyno_Data[Mode],"Auto")</f>
        <v>0</v>
      </c>
      <c r="AK329">
        <f>COUNTIFS(Dyno_Data[Team],TBA_Matches_All[[#This Row],[Team]],Dyno_Data[Match],TBA_Matches_All[[#This Row],[Match_Number]],Dyno_Data[RecordType],"Activities",Dyno_Data[DelDest],"Trap", Dyno_Data[DelMiss],"0", Dyno_Data[Mode],"Auto")</f>
        <v>0</v>
      </c>
      <c r="AL329">
        <f>COUNTIFS(Dyno_Data[Team],TBA_Matches_All[[#This Row],[Team]],Dyno_Data[Match],TBA_Matches_All[[#This Row],[Match_Number]],Dyno_Data[RecordType],"Activities",Dyno_Data[DelDest],"Amp", Dyno_Data[DelMiss],"0", Dyno_Data[Mode],"Teleop")</f>
        <v>0</v>
      </c>
      <c r="AM329">
        <f>COUNTIFS(Dyno_Data[Team],TBA_Matches_All[[#This Row],[Team]],Dyno_Data[Match],TBA_Matches_All[[#This Row],[Match_Number]],Dyno_Data[RecordType],"Activities",Dyno_Data[DelDest],"Spkr", Dyno_Data[DelMiss],"0", Dyno_Data[Mode],"Teleop")</f>
        <v>5</v>
      </c>
      <c r="AN329">
        <f>COUNTIFS(Dyno_Data[Team],TBA_Matches_All[[#This Row],[Team]],Dyno_Data[Match],TBA_Matches_All[[#This Row],[Match_Number]],Dyno_Data[RecordType],"Activities",Dyno_Data[DelDest],"Trap", Dyno_Data[DelMiss],"0", Dyno_Data[Mode],"&lt;&gt;Auto")</f>
        <v>0</v>
      </c>
      <c r="AO329">
        <f>SUM(TBA_Matches_All[[#This Row],[AampT]]+TBA_Matches_All[[#This Row],[AspkrT]]+TBA_Matches_All[[#This Row],[AtrapT]]+TBA_Matches_All[[#This Row],[TampT]]+TBA_Matches_All[[#This Row],[TspkrT]]+TBA_Matches_All[[#This Row],[TtrapT]])</f>
        <v>5</v>
      </c>
      <c r="AP329">
        <f>COUNTIFS(Dyno_Data[Team],TBA_Matches_All[[#This Row],[Team]],Dyno_Data[Match],TBA_Matches_All[[#This Row],[Match_Number]],Dyno_Data[RecordType],"Activities",Dyno_Data[DelDest],"Neut", Dyno_Data[DelMiss],"0")</f>
        <v>0</v>
      </c>
      <c r="AQ329">
        <f>COUNTIFS(Dyno_Data[Team],TBA_Matches_All[[#This Row],[Team]],Dyno_Data[Match],TBA_Matches_All[[#This Row],[Match_Number]],Dyno_Data[RecordType],"Activities",Dyno_Data[DelDest],"AllyW", Dyno_Data[DelMiss],"0")</f>
        <v>0</v>
      </c>
      <c r="AR329" t="str">
        <f>_xlfn.XLOOKUP(SUM(MID(TBA_Matches_All[[#This Row],[Team]],4,5),(TBA_Matches_All[[#This Row],[Match_Number]]/100)),Dyno_EndMatch[teammat],Dyno_EndMatch[RobotSta],"_",0,1)</f>
        <v>Amp</v>
      </c>
      <c r="AS329">
        <f>SUMIFS(Dyno_Data[AcqDis], Dyno_Data[Team],TBA_Matches_All[[#This Row],[Team]],Dyno_Data[Match],TBA_Matches_All[[#This Row],[Match_Number]],Dyno_Data[RecordType],"Activities", Dyno_Data[AcqCenter],1,Dyno_Data[Mode],"Auto")</f>
        <v>0</v>
      </c>
      <c r="AT329">
        <f>SUMIFS(Dyno_Data[AcqDis], Dyno_Data[Team],TBA_Matches_All[[#This Row],[Team]],Dyno_Data[Match],TBA_Matches_All[[#This Row],[Match_Number]],Dyno_Data[RecordType],"Activities", Dyno_Data[AcqCenter],2,Dyno_Data[Mode],"Auto")</f>
        <v>0</v>
      </c>
      <c r="AU329">
        <f>SUMIFS(Dyno_Data[AcqDis], Dyno_Data[Team],TBA_Matches_All[[#This Row],[Team]],Dyno_Data[Match],TBA_Matches_All[[#This Row],[Match_Number]],Dyno_Data[RecordType],"Activities", Dyno_Data[AcqCenter],3,Dyno_Data[Mode],"Auto")</f>
        <v>0</v>
      </c>
      <c r="AV329">
        <f>SUMIFS(Dyno_Data[AcqDis], Dyno_Data[Team],TBA_Matches_All[[#This Row],[Team]],Dyno_Data[Match],TBA_Matches_All[[#This Row],[Match_Number]],Dyno_Data[RecordType],"Activities", Dyno_Data[AcqCenter],4,Dyno_Data[Mode],"Auto")</f>
        <v>0</v>
      </c>
      <c r="AW329">
        <f>SUMIFS(Dyno_Data[AcqDis], Dyno_Data[Team],TBA_Matches_All[[#This Row],[Team]],Dyno_Data[Match],TBA_Matches_All[[#This Row],[Match_Number]],Dyno_Data[RecordType],"Activities", Dyno_Data[AcqCenter],5,Dyno_Data[Mode],"Auto")</f>
        <v>0</v>
      </c>
      <c r="AX329">
        <f>SUMIFS(Dyno_Data[DelMiss], Dyno_Data[Team],TBA_Matches_All[[#This Row],[Team]],Dyno_Data[Match],TBA_Matches_All[[#This Row],[Match_Number]],Dyno_Data[RecordType],"Activities", Dyno_Data[DelDest],"Amp")</f>
        <v>0</v>
      </c>
      <c r="AY329" s="60">
        <f>IFERROR(SUM((TBA_Matches_All[[#This Row],[AampT]]+TBA_Matches_All[[#This Row],[TampT]])/(TBA_Matches_All[[#This Row],[AampT]]+TBA_Matches_All[[#This Row],[TampT]]+TBA_Matches_All[[#This Row],[ampM]])),0)</f>
        <v>0</v>
      </c>
      <c r="AZ329">
        <f>SUMIFS(Dyno_Data[DelMiss], Dyno_Data[Team],TBA_Matches_All[[#This Row],[Team]],Dyno_Data[Match],TBA_Matches_All[[#This Row],[Match_Number]],Dyno_Data[RecordType],"Activities", Dyno_Data[DelDest],"Spkr")</f>
        <v>2</v>
      </c>
      <c r="BA329" s="60">
        <f>IFERROR(SUM((TBA_Matches_All[[#This Row],[AspkrT]]+TBA_Matches_All[[#This Row],[TspkrT]])/(TBA_Matches_All[[#This Row],[AspkrT]]+TBA_Matches_All[[#This Row],[TspkrT]]+TBA_Matches_All[[#This Row],[spkrM]])),0)</f>
        <v>0.7142857142857143</v>
      </c>
      <c r="BB329">
        <f>SUMIFS(Dyno_Data[DelMiss], Dyno_Data[Team],TBA_Matches_All[[#This Row],[Team]],Dyno_Data[Match],TBA_Matches_All[[#This Row],[Match_Number]],Dyno_Data[RecordType],"Activities", Dyno_Data[DelDest],"Trap")</f>
        <v>0</v>
      </c>
      <c r="BC329" s="60">
        <f>IFERROR((TBA_Matches_All[[#This Row],[AtrapT]]+TBA_Matches_All[[#This Row],[TtrapT]])/(TBA_Matches_All[[#This Row],[AtrapT]]+TBA_Matches_All[[#This Row],[TtrapT]]+TBA_Matches_All[[#This Row],[trapM]]),0)</f>
        <v>0</v>
      </c>
      <c r="BD329">
        <f>COUNTIFS(Dyno_Data[Team],TBA_Matches_All[[#This Row],[Team]],Dyno_Data[Match],TBA_Matches_All[[#This Row],[Match_Number]],Dyno_Data[RecordType],"Activities",Dyno_Data[DelDest],"Neut", Dyno_Data[DelMiss],1)</f>
        <v>0</v>
      </c>
      <c r="BE329" s="60">
        <f>IFERROR(SUM((TBA_Matches_All[[#This Row],[NeutFlrT]])/(TBA_Matches_All[[#This Row],[NeutFlrT]]+TBA_Matches_All[[#This Row],[NZflM]])),0)</f>
        <v>0</v>
      </c>
      <c r="BF329">
        <f>COUNTIFS(Dyno_Data[Team],TBA_Matches_All[[#This Row],[Team]],Dyno_Data[Match],TBA_Matches_All[[#This Row],[Match_Number]],Dyno_Data[RecordType],"Activities",Dyno_Data[DelDest],"AllyW", Dyno_Data[DelMiss],1)</f>
        <v>0</v>
      </c>
      <c r="BG329" s="60">
        <f>IFERROR(SUM((TBA_Matches_All[[#This Row],[AllyWFlrT]])/(TBA_Matches_All[[#This Row],[AllyWFlrT]]+TBA_Matches_All[[#This Row],[AZflM]])),0)</f>
        <v>0</v>
      </c>
      <c r="BH329">
        <f>COUNTIFS(Dyno_Data[Team],TBA_Matches_All[[#This Row],[Team]],Dyno_Data[Match],TBA_Matches_All[[#This Row],[Match_Number]],Dyno_Data[RecordType],"Activities",Dyno_Data[DelOrig],"OppW", Dyno_Data[DelMiss],"0")</f>
        <v>0</v>
      </c>
      <c r="BI329">
        <f>COUNTIFS(Dyno_Data[Team],TBA_Matches_All[[#This Row],[Team]],Dyno_Data[Match],TBA_Matches_All[[#This Row],[Match_Number]],Dyno_Data[RecordType],"Activities",Dyno_Data[DelOrig],"OppW", Dyno_Data[DelMiss],"1")</f>
        <v>0</v>
      </c>
      <c r="BJ329" s="60">
        <f>IFERROR(SUM((TBA_Matches_All[[#This Row],[OZflrT]])/(TBA_Matches_All[[#This Row],[OZflrT]]+TBA_Matches_All[[#This Row],[OZflrM]])),0)</f>
        <v>0</v>
      </c>
      <c r="BK329">
        <f>COUNTIFS(Dyno_Data[Team],TBA_Matches_All[[#This Row],[Team]],Dyno_Data[Match],TBA_Matches_All[[#This Row],[Match_Number]],Dyno_Data[RecordType],"Activities",Dyno_Data[DelOrig],"Neut", Dyno_Data[DelMiss],"0")</f>
        <v>0</v>
      </c>
      <c r="BL329">
        <f>COUNTIFS(Dyno_Data[Team],TBA_Matches_All[[#This Row],[Team]],Dyno_Data[Match],TBA_Matches_All[[#This Row],[Match_Number]],Dyno_Data[RecordType],"Activities",Dyno_Data[DelOrig],"Neut", Dyno_Data[DelMiss],"1")</f>
        <v>0</v>
      </c>
      <c r="BM329" s="60">
        <f>IFERROR(SUM((TBA_Matches_All[[#This Row],[NZflrT]])/(TBA_Matches_All[[#This Row],[NZflrT]]+TBA_Matches_All[[#This Row],[NZflrM]])),0)</f>
        <v>0</v>
      </c>
      <c r="BN329">
        <f>COUNTIFS(Dyno_Data[Team],TBA_Matches_All[[#This Row],[Team]],Dyno_Data[Match],TBA_Matches_All[[#This Row],[Match_Number]],Dyno_Data[RecordType],"Activities",Dyno_Data[DelOrig],"AllyW", Dyno_Data[DelMiss],"0")</f>
        <v>5</v>
      </c>
      <c r="BO329">
        <f>COUNTIFS(Dyno_Data[Team],TBA_Matches_All[[#This Row],[Team]],Dyno_Data[Match],TBA_Matches_All[[#This Row],[Match_Number]],Dyno_Data[RecordType],"Activities",Dyno_Data[DelOrig],"AllyW", Dyno_Data[DelMiss],"1")</f>
        <v>1</v>
      </c>
      <c r="BP329" s="60">
        <f>IFERROR(SUM((TBA_Matches_All[[#This Row],[AZflrT]])/(TBA_Matches_All[[#This Row],[AZflrT]]+TBA_Matches_All[[#This Row],[AZflrM]])),0)</f>
        <v>0.83333333333333337</v>
      </c>
      <c r="BQ329">
        <f>COUNTIFS(Dyno_Data[Team],TBA_Matches_All[[#This Row],[Team]],Dyno_Data[Match],TBA_Matches_All[[#This Row],[Match_Number]],Dyno_Data[RecordType],"Activities",Dyno_Data[DelOrig],"SubW", Dyno_Data[DelMiss],"0")</f>
        <v>0</v>
      </c>
      <c r="BR329">
        <f>COUNTIFS(Dyno_Data[Team],TBA_Matches_All[[#This Row],[Team]],Dyno_Data[Match],TBA_Matches_All[[#This Row],[Match_Number]],Dyno_Data[RecordType],"Activities",Dyno_Data[DelOrig],"SubW", Dyno_Data[DelMiss],"1")</f>
        <v>1</v>
      </c>
      <c r="BS329" s="60">
        <f>IFERROR(SUM((TBA_Matches_All[[#This Row],[SubwT]])/(TBA_Matches_All[[#This Row],[SubwT]]+TBA_Matches_All[[#This Row],[SubwM]])),0)</f>
        <v>0</v>
      </c>
      <c r="BT329">
        <f>COUNTIFS(Dyno_Data[Team],TBA_Matches_All[[#This Row],[Team]],Dyno_Data[Match],TBA_Matches_All[[#This Row],[Match_Number]],Dyno_Data[RecordType],"Activities", Dyno_Data[AcqLoc],"OppWing")</f>
        <v>0</v>
      </c>
      <c r="BU329">
        <f>COUNTIFS(Dyno_Data[Team],TBA_Matches_All[[#This Row],[Team]],Dyno_Data[Match],TBA_Matches_All[[#This Row],[Match_Number]],Dyno_Data[RecordType],"Activities", Dyno_Data[AcqLoc],"Neutral")</f>
        <v>0</v>
      </c>
      <c r="BV329">
        <f>COUNTIFS(Dyno_Data[Team],TBA_Matches_All[[#This Row],[Team]],Dyno_Data[Match],TBA_Matches_All[[#This Row],[Match_Number]],Dyno_Data[RecordType],"Activities", Dyno_Data[AcqLoc],"AllyWing")</f>
        <v>0</v>
      </c>
      <c r="BW329">
        <f>COUNTIFS(Dyno_Data[Team],TBA_Matches_All[[#This Row],[Team]],Dyno_Data[Match],TBA_Matches_All[[#This Row],[Match_Number]],Dyno_Data[RecordType],"Activities", Dyno_Data[AcqLoc],"Source")</f>
        <v>0</v>
      </c>
      <c r="BX329">
        <f>SUMIFS(Dyno_Data[AcqDrp], Dyno_Data[Team],TBA_Matches_All[[#This Row],[Team]],Dyno_Data[Match],TBA_Matches_All[[#This Row],[Match_Number]],Dyno_Data[RecordType],"Activities", Dyno_Data[AcqLoc],"Source")</f>
        <v>0</v>
      </c>
      <c r="BY329">
        <f>SUMIFS(Dyno_Data[OZTime], Dyno_Data[Team],TBA_Matches_All[[#This Row],[Team]],Dyno_Data[Match],TBA_Matches_All[[#This Row],[Match_Number]],Dyno_Data[RecordType],"EndMatch")</f>
        <v>34.819195399999998</v>
      </c>
      <c r="BZ329">
        <f>SUMIFS(Dyno_Data[NZTime], Dyno_Data[Team],TBA_Matches_All[[#This Row],[Team]],Dyno_Data[Match],TBA_Matches_All[[#This Row],[Match_Number]],Dyno_Data[RecordType],"EndMatch")</f>
        <v>21.635214899999998</v>
      </c>
      <c r="CA329">
        <f>SUMIFS(Dyno_Data[AZTime], Dyno_Data[Team],TBA_Matches_All[[#This Row],[Team]],Dyno_Data[Match],TBA_Matches_All[[#This Row],[Match_Number]],Dyno_Data[RecordType],"EndMatch")</f>
        <v>79.352347600000002</v>
      </c>
      <c r="CB329">
        <f>SUMIFS(Dyno_Data[ClimbT], Dyno_Data[Team],TBA_Matches_All[[#This Row],[Team]],Dyno_Data[Match],TBA_Matches_All[[#This Row],[Match_Number]],Dyno_Data[RecordType],"EndMatch")</f>
        <v>0</v>
      </c>
      <c r="CC329" t="str">
        <f>_xlfn.XLOOKUP(SUM(MID(TBA_Matches_All[[#This Row],[Team]],4,5),(TBA_Matches_All[[#This Row],[Match_Number]]/100)),Dyno_EndMatch[teammat],Dyno_EndMatch[StageStat],"_",0,1)</f>
        <v>Park</v>
      </c>
      <c r="CD329" t="str">
        <f>_xlfn.XLOOKUP(TBA_Matches_All[[#This Row],[teammat]],Dyno_EndMatch[teammat],Dyno_EndMatch[StageAtt],"_",0,1)</f>
        <v>0</v>
      </c>
      <c r="CE329" t="str">
        <f>_xlfn.XLOOKUP(TBA_Matches_All[[#This Row],[teammat]],Dyno_EndMatch[teammat],Dyno_EndMatch[StageLoc],"_",0,1)</f>
        <v>A</v>
      </c>
      <c r="CF329">
        <f>SUMIFS(Dyno_Data[Harmony], Dyno_Data[Team],TBA_Matches_All[[#This Row],[Team]],Dyno_Data[Match],TBA_Matches_All[[#This Row],[Match_Number]],Dyno_Data[RecordType],"EndMatch", Dyno_Data[StageStat],"On",Dyno_Data[Harmony],"&lt;&gt;9")</f>
        <v>0</v>
      </c>
      <c r="CG329">
        <f>SUMIFS(Dyno_Data[Spotlit], Dyno_Data[Team],TBA_Matches_All[[#This Row],[Team]],Dyno_Data[Match],TBA_Matches_All[[#This Row],[Match_Number]],Dyno_Data[RecordType],"EndMatch", Dyno_Data[StageStat],"On",Dyno_Data[Spotlit],"&lt;&gt;9")</f>
        <v>0</v>
      </c>
      <c r="CH329" t="str">
        <f>_xlfn.XLOOKUP(TBA_Matches_All[[#This Row],[teammat]],Dyno_EndMatch[teammat],Dyno_EndMatch[Strategy],"_",0,1)</f>
        <v>Hybrid</v>
      </c>
      <c r="CI329">
        <f>SUMIFS(Dyno_Data[Defense], Dyno_Data[Team],TBA_Matches_All[[#This Row],[Team]],Dyno_Data[Match],TBA_Matches_All[[#This Row],[Match_Number]],Dyno_Data[RecordType],"EndMatch",Dyno_Data[Defense],"&lt;&gt;9")</f>
        <v>0</v>
      </c>
      <c r="CJ329">
        <f>SUMIFS(Dyno_Data[Avoidance], Dyno_Data[Team],TBA_Matches_All[[#This Row],[Team]],Dyno_Data[Match],TBA_Matches_All[[#This Row],[Match_Number]],Dyno_Data[RecordType],"EndMatch",Dyno_Data[Avoidance],"&lt;&gt;9")</f>
        <v>1</v>
      </c>
      <c r="CK329" s="82">
        <f>COUNTIF($H$2:TBA_Matches_All[[#This Row],[Team]],TBA_Matches_All[[#This Row],[Team]])</f>
        <v>7</v>
      </c>
      <c r="CL329" s="111">
        <f>SUM(MID(TBA_Matches_All[[#This Row],[Team]],4,5)+TBA_Matches_All[[#This Row],[Match_Number]]/100)</f>
        <v>250.55</v>
      </c>
      <c r="CM329">
        <f>SUM((TBA_Matches_All[[#This Row],[Leave]]*2)+(TBA_Matches_All[[#This Row],[AampT]]*2)+(TBA_Matches_All[[#This Row],[AspkrT]]*5)+(TBA_Matches_All[[#This Row],[AtrapT]]*5))</f>
        <v>2</v>
      </c>
      <c r="CN329" s="59">
        <f>IFERROR(SUM(TBA_Matches_All[[#This Row],[AptsT]]/TBA_Matches_All[[#This Row],[AutoPts]]),0)</f>
        <v>0.22222222222222221</v>
      </c>
      <c r="CO329" s="59">
        <f>IFERROR(SUM(TBA_Matches_All[[#This Row],[AampT]]+TBA_Matches_All[[#This Row],[AspkrT]]+TBA_Matches_All[[#This Row],[AtrapT]]/TBA_Matches_All[[#This Row],[Aamp]]+TBA_Matches_All[[#This Row],[Aspkr]]+TBA_Matches_All[[#This Row],[AtrapT]]),0)</f>
        <v>0</v>
      </c>
      <c r="CP329" s="59">
        <f>IFERROR(SUM(TBA_Matches_All[[#This Row],[TampT]]/TBA_Matches_All[[#This Row],[Tamp]]),0)</f>
        <v>0</v>
      </c>
      <c r="CQ329" s="59">
        <f>IFERROR(SUM(TBA_Matches_All[[#This Row],[TspkrT]]/TBA_Matches_All[[#This Row],[Tspkr]]),0)</f>
        <v>0.41666666666666669</v>
      </c>
      <c r="CR329">
        <f>SUM(TBA_Matches_All[[#This Row],[TspkrPts]]*TBA_Matches_All[[#This Row],[TspkrP]])</f>
        <v>13.75</v>
      </c>
      <c r="CS329" s="59">
        <f>IFERROR(SUM(TBA_Matches_All[[#This Row],[TtrapT]]/TBA_Matches_All[[#This Row],[Trap]]),0)</f>
        <v>0</v>
      </c>
      <c r="CT329" s="59">
        <f>IFERROR(SUM(TBA_Matches_All[[#This Row],[TotNotesT]]/TBA_Matches_All[[#This Row],[TotNotes]]),0)</f>
        <v>0.27777777777777779</v>
      </c>
      <c r="CU329" s="66">
        <f>SUM((TBA_Matches_All[[#This Row],[AampT]]*2)+(TBA_Matches_All[[#This Row],[AspkrT]]*5)+(TBA_Matches_All[[#This Row],[AtrapT]]*5)+(TBA_Matches_All[[#This Row],[TampT]]*1)+(TBA_Matches_All[[#This Row],[TspkrptsC]]))</f>
        <v>13.75</v>
      </c>
      <c r="CV329" s="59">
        <f>IFERROR(TBA_Matches_All[[#This Row],[noteptsT]]/TBA_Matches_All[[#This Row],[NotePts]],0)</f>
        <v>0.31976744186046513</v>
      </c>
      <c r="CW329">
        <f>SUM(IF(TBA_Matches_All[[#This Row],[stageStat]]="On",3,0),IF(TBA_Matches_All[[#This Row],[stageStat]]="Park",1,0),SUMIFS(TBA_Matches_All[[#This Row],[Spotlit]],TBA_Matches_All[[#This Row],[stageStat]],"On"),SUMIFS(TBA_Matches_All[[#This Row],[Harmony]],TBA_Matches_All[[#This Row],[stageStat]],"On"))</f>
        <v>1</v>
      </c>
      <c r="CX329" s="59">
        <f>IFERROR(TBA_Matches_All[[#This Row],[stageptsT]]/TBA_Matches_All[[#This Row],[StagePts]],0)</f>
        <v>0.33333333333333331</v>
      </c>
      <c r="CY329">
        <f>SUM((TBA_Matches_All[[#This Row],[AptsT]]+TBA_Matches_All[[#This Row],[TampT]]+TBA_Matches_All[[#This Row],[TspkrptsC]]+(TBA_Matches_All[[#This Row],[TtrapT]]*5)+TBA_Matches_All[[#This Row],[stageptsT]]))</f>
        <v>16.75</v>
      </c>
      <c r="CZ329" s="59">
        <f>IFERROR(SUM(TBA_Matches_All[[#This Row],[TotptsC]]/TBA_Matches_All[[#This Row],[Score]]),0)</f>
        <v>0.27459016393442626</v>
      </c>
      <c r="DA329"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2.0833333333333335</v>
      </c>
      <c r="DB329" s="74">
        <f>SUMIFS(TBA_Matches_All[AveTeamTNoteDels],TBA_Matches_All[Match_Number],TBA_Matches_All[[#This Row],[Match_Number]],TBA_Matches_All[Alliance],"&lt;&gt;"&amp;TBA_Matches_All[[#This Row],[Alliance]],TBA_Matches_All[Scouted],"&gt;0")</f>
        <v>34.313626373626377</v>
      </c>
      <c r="DC329" s="74">
        <f>(TBA_Matches_All[[#This Row],[TampT]]+TBA_Matches_All[[#This Row],[TspkrptsC]])-TBA_Matches_All[[#This Row],[AveTeamTNoteDels]]</f>
        <v>11.666666666666666</v>
      </c>
      <c r="DD329" s="74">
        <f>SUMIFS(TBA_Matches_All[AveTeamTNoteDels],TBA_Matches_All[Match_Number],TBA_Matches_All[[#This Row],[Match_Number]],TBA_Matches_All[Alliance],"&lt;&gt;"&amp;TBA_Matches_All[[#This Row],[Alliance]])-TBA_Matches_All[[#This Row],[AveOppTNoteDels]]</f>
        <v>0</v>
      </c>
    </row>
    <row r="330" spans="1:108" x14ac:dyDescent="0.3">
      <c r="A330" t="s">
        <v>1042</v>
      </c>
      <c r="B330" t="s">
        <v>489</v>
      </c>
      <c r="C330" t="s">
        <v>1364</v>
      </c>
      <c r="D330">
        <v>55</v>
      </c>
      <c r="E330" t="s">
        <v>1406</v>
      </c>
      <c r="F330" t="s">
        <v>1422</v>
      </c>
      <c r="G330" t="s">
        <v>105</v>
      </c>
      <c r="H330" t="s">
        <v>1312</v>
      </c>
      <c r="I330" t="b">
        <v>1</v>
      </c>
      <c r="J330">
        <v>57</v>
      </c>
      <c r="K330">
        <v>1</v>
      </c>
      <c r="L330">
        <v>1</v>
      </c>
      <c r="M330">
        <v>11</v>
      </c>
      <c r="N330">
        <v>0</v>
      </c>
      <c r="O330">
        <v>2</v>
      </c>
      <c r="P330">
        <v>10</v>
      </c>
      <c r="Q330">
        <v>14</v>
      </c>
      <c r="R330">
        <v>3</v>
      </c>
      <c r="S330">
        <v>2</v>
      </c>
      <c r="T330">
        <v>8</v>
      </c>
      <c r="U330">
        <v>10</v>
      </c>
      <c r="V330">
        <v>16</v>
      </c>
      <c r="W330">
        <v>10</v>
      </c>
      <c r="X330">
        <v>26</v>
      </c>
      <c r="Y330">
        <v>29</v>
      </c>
      <c r="Z330">
        <v>0</v>
      </c>
      <c r="AA330">
        <v>0</v>
      </c>
      <c r="AB330">
        <v>15</v>
      </c>
      <c r="AC330">
        <v>39</v>
      </c>
      <c r="AD330">
        <v>2</v>
      </c>
      <c r="AE330">
        <f>IFERROR(6/(COUNTIF(Dyno_EndMatch[Match],TBA_Matches_All[[#This Row],[Match_Number]])),0)</f>
        <v>1</v>
      </c>
      <c r="AF330">
        <f>COUNTIFS(Dyno_Data[Team],TBA_Matches_All[[#This Row],[Team]],Dyno_Data[Match],TBA_Matches_All[[#This Row],[Match_Number]],Dyno_Data[RecordType],"EndMatch",Dyno_Data[HPAmp],"Y")</f>
        <v>0</v>
      </c>
      <c r="AG330">
        <f>SUMIFS(Dyno_Data[Mics], Dyno_Data[Team],TBA_Matches_All[[#This Row],[Team]],Dyno_Data[Match],TBA_Matches_All[[#This Row],[Match_Number]],Dyno_Data[RecordType],"EndMatch",Dyno_Data[HPAmp],"Y")</f>
        <v>0</v>
      </c>
      <c r="AH330">
        <f>SUMIFS(Dyno_Data[Leave], Dyno_Data[Team],TBA_Matches_All[[#This Row],[Team]],Dyno_Data[Match],TBA_Matches_All[[#This Row],[Match_Number]],Dyno_Data[RecordType],"EndAuto")</f>
        <v>0</v>
      </c>
      <c r="AI330">
        <f>COUNTIFS(Dyno_Data[Team],TBA_Matches_All[[#This Row],[Team]],Dyno_Data[Match],TBA_Matches_All[[#This Row],[Match_Number]],Dyno_Data[RecordType],"Activities",Dyno_Data[DelDest],"Amp", Dyno_Data[DelMiss],"0", Dyno_Data[Mode],"Auto")</f>
        <v>0</v>
      </c>
      <c r="AJ330">
        <f>COUNTIFS(Dyno_Data[Team],TBA_Matches_All[[#This Row],[Team]],Dyno_Data[Match],TBA_Matches_All[[#This Row],[Match_Number]],Dyno_Data[RecordType],"Activities",Dyno_Data[DelDest],"Spkr", Dyno_Data[DelMiss],"0", Dyno_Data[Mode],"Auto")</f>
        <v>1</v>
      </c>
      <c r="AK330">
        <f>COUNTIFS(Dyno_Data[Team],TBA_Matches_All[[#This Row],[Team]],Dyno_Data[Match],TBA_Matches_All[[#This Row],[Match_Number]],Dyno_Data[RecordType],"Activities",Dyno_Data[DelDest],"Trap", Dyno_Data[DelMiss],"0", Dyno_Data[Mode],"Auto")</f>
        <v>0</v>
      </c>
      <c r="AL330">
        <f>COUNTIFS(Dyno_Data[Team],TBA_Matches_All[[#This Row],[Team]],Dyno_Data[Match],TBA_Matches_All[[#This Row],[Match_Number]],Dyno_Data[RecordType],"Activities",Dyno_Data[DelDest],"Amp", Dyno_Data[DelMiss],"0", Dyno_Data[Mode],"Teleop")</f>
        <v>3</v>
      </c>
      <c r="AM330">
        <f>COUNTIFS(Dyno_Data[Team],TBA_Matches_All[[#This Row],[Team]],Dyno_Data[Match],TBA_Matches_All[[#This Row],[Match_Number]],Dyno_Data[RecordType],"Activities",Dyno_Data[DelDest],"Spkr", Dyno_Data[DelMiss],"0", Dyno_Data[Mode],"Teleop")</f>
        <v>1</v>
      </c>
      <c r="AN330">
        <f>COUNTIFS(Dyno_Data[Team],TBA_Matches_All[[#This Row],[Team]],Dyno_Data[Match],TBA_Matches_All[[#This Row],[Match_Number]],Dyno_Data[RecordType],"Activities",Dyno_Data[DelDest],"Trap", Dyno_Data[DelMiss],"0", Dyno_Data[Mode],"&lt;&gt;Auto")</f>
        <v>0</v>
      </c>
      <c r="AO330">
        <f>SUM(TBA_Matches_All[[#This Row],[AampT]]+TBA_Matches_All[[#This Row],[AspkrT]]+TBA_Matches_All[[#This Row],[AtrapT]]+TBA_Matches_All[[#This Row],[TampT]]+TBA_Matches_All[[#This Row],[TspkrT]]+TBA_Matches_All[[#This Row],[TtrapT]])</f>
        <v>5</v>
      </c>
      <c r="AP330">
        <f>COUNTIFS(Dyno_Data[Team],TBA_Matches_All[[#This Row],[Team]],Dyno_Data[Match],TBA_Matches_All[[#This Row],[Match_Number]],Dyno_Data[RecordType],"Activities",Dyno_Data[DelDest],"Neut", Dyno_Data[DelMiss],"0")</f>
        <v>0</v>
      </c>
      <c r="AQ330">
        <f>COUNTIFS(Dyno_Data[Team],TBA_Matches_All[[#This Row],[Team]],Dyno_Data[Match],TBA_Matches_All[[#This Row],[Match_Number]],Dyno_Data[RecordType],"Activities",Dyno_Data[DelDest],"AllyW", Dyno_Data[DelMiss],"0")</f>
        <v>0</v>
      </c>
      <c r="AR330" t="str">
        <f>_xlfn.XLOOKUP(SUM(MID(TBA_Matches_All[[#This Row],[Team]],4,5),(TBA_Matches_All[[#This Row],[Match_Number]]/100)),Dyno_EndMatch[teammat],Dyno_EndMatch[RobotSta],"_",0,1)</f>
        <v>SubW</v>
      </c>
      <c r="AS330">
        <f>SUMIFS(Dyno_Data[AcqDis], Dyno_Data[Team],TBA_Matches_All[[#This Row],[Team]],Dyno_Data[Match],TBA_Matches_All[[#This Row],[Match_Number]],Dyno_Data[RecordType],"Activities", Dyno_Data[AcqCenter],1,Dyno_Data[Mode],"Auto")</f>
        <v>0</v>
      </c>
      <c r="AT330">
        <f>SUMIFS(Dyno_Data[AcqDis], Dyno_Data[Team],TBA_Matches_All[[#This Row],[Team]],Dyno_Data[Match],TBA_Matches_All[[#This Row],[Match_Number]],Dyno_Data[RecordType],"Activities", Dyno_Data[AcqCenter],2,Dyno_Data[Mode],"Auto")</f>
        <v>0</v>
      </c>
      <c r="AU330">
        <f>SUMIFS(Dyno_Data[AcqDis], Dyno_Data[Team],TBA_Matches_All[[#This Row],[Team]],Dyno_Data[Match],TBA_Matches_All[[#This Row],[Match_Number]],Dyno_Data[RecordType],"Activities", Dyno_Data[AcqCenter],3,Dyno_Data[Mode],"Auto")</f>
        <v>-1</v>
      </c>
      <c r="AV330">
        <f>SUMIFS(Dyno_Data[AcqDis], Dyno_Data[Team],TBA_Matches_All[[#This Row],[Team]],Dyno_Data[Match],TBA_Matches_All[[#This Row],[Match_Number]],Dyno_Data[RecordType],"Activities", Dyno_Data[AcqCenter],4,Dyno_Data[Mode],"Auto")</f>
        <v>0</v>
      </c>
      <c r="AW330">
        <f>SUMIFS(Dyno_Data[AcqDis], Dyno_Data[Team],TBA_Matches_All[[#This Row],[Team]],Dyno_Data[Match],TBA_Matches_All[[#This Row],[Match_Number]],Dyno_Data[RecordType],"Activities", Dyno_Data[AcqCenter],5,Dyno_Data[Mode],"Auto")</f>
        <v>0</v>
      </c>
      <c r="AX330">
        <f>SUMIFS(Dyno_Data[DelMiss], Dyno_Data[Team],TBA_Matches_All[[#This Row],[Team]],Dyno_Data[Match],TBA_Matches_All[[#This Row],[Match_Number]],Dyno_Data[RecordType],"Activities", Dyno_Data[DelDest],"Amp")</f>
        <v>0</v>
      </c>
      <c r="AY330" s="60">
        <f>IFERROR(SUM((TBA_Matches_All[[#This Row],[AampT]]+TBA_Matches_All[[#This Row],[TampT]])/(TBA_Matches_All[[#This Row],[AampT]]+TBA_Matches_All[[#This Row],[TampT]]+TBA_Matches_All[[#This Row],[ampM]])),0)</f>
        <v>1</v>
      </c>
      <c r="AZ330">
        <f>SUMIFS(Dyno_Data[DelMiss], Dyno_Data[Team],TBA_Matches_All[[#This Row],[Team]],Dyno_Data[Match],TBA_Matches_All[[#This Row],[Match_Number]],Dyno_Data[RecordType],"Activities", Dyno_Data[DelDest],"Spkr")</f>
        <v>1</v>
      </c>
      <c r="BA330" s="60">
        <f>IFERROR(SUM((TBA_Matches_All[[#This Row],[AspkrT]]+TBA_Matches_All[[#This Row],[TspkrT]])/(TBA_Matches_All[[#This Row],[AspkrT]]+TBA_Matches_All[[#This Row],[TspkrT]]+TBA_Matches_All[[#This Row],[spkrM]])),0)</f>
        <v>0.66666666666666663</v>
      </c>
      <c r="BB330">
        <f>SUMIFS(Dyno_Data[DelMiss], Dyno_Data[Team],TBA_Matches_All[[#This Row],[Team]],Dyno_Data[Match],TBA_Matches_All[[#This Row],[Match_Number]],Dyno_Data[RecordType],"Activities", Dyno_Data[DelDest],"Trap")</f>
        <v>0</v>
      </c>
      <c r="BC330" s="60">
        <f>IFERROR((TBA_Matches_All[[#This Row],[AtrapT]]+TBA_Matches_All[[#This Row],[TtrapT]])/(TBA_Matches_All[[#This Row],[AtrapT]]+TBA_Matches_All[[#This Row],[TtrapT]]+TBA_Matches_All[[#This Row],[trapM]]),0)</f>
        <v>0</v>
      </c>
      <c r="BD330">
        <f>COUNTIFS(Dyno_Data[Team],TBA_Matches_All[[#This Row],[Team]],Dyno_Data[Match],TBA_Matches_All[[#This Row],[Match_Number]],Dyno_Data[RecordType],"Activities",Dyno_Data[DelDest],"Neut", Dyno_Data[DelMiss],1)</f>
        <v>0</v>
      </c>
      <c r="BE330" s="60">
        <f>IFERROR(SUM((TBA_Matches_All[[#This Row],[NeutFlrT]])/(TBA_Matches_All[[#This Row],[NeutFlrT]]+TBA_Matches_All[[#This Row],[NZflM]])),0)</f>
        <v>0</v>
      </c>
      <c r="BF330">
        <f>COUNTIFS(Dyno_Data[Team],TBA_Matches_All[[#This Row],[Team]],Dyno_Data[Match],TBA_Matches_All[[#This Row],[Match_Number]],Dyno_Data[RecordType],"Activities",Dyno_Data[DelDest],"AllyW", Dyno_Data[DelMiss],1)</f>
        <v>0</v>
      </c>
      <c r="BG330" s="60">
        <f>IFERROR(SUM((TBA_Matches_All[[#This Row],[AllyWFlrT]])/(TBA_Matches_All[[#This Row],[AllyWFlrT]]+TBA_Matches_All[[#This Row],[AZflM]])),0)</f>
        <v>0</v>
      </c>
      <c r="BH330">
        <f>COUNTIFS(Dyno_Data[Team],TBA_Matches_All[[#This Row],[Team]],Dyno_Data[Match],TBA_Matches_All[[#This Row],[Match_Number]],Dyno_Data[RecordType],"Activities",Dyno_Data[DelOrig],"OppW", Dyno_Data[DelMiss],"0")</f>
        <v>0</v>
      </c>
      <c r="BI330">
        <f>COUNTIFS(Dyno_Data[Team],TBA_Matches_All[[#This Row],[Team]],Dyno_Data[Match],TBA_Matches_All[[#This Row],[Match_Number]],Dyno_Data[RecordType],"Activities",Dyno_Data[DelOrig],"OppW", Dyno_Data[DelMiss],"1")</f>
        <v>0</v>
      </c>
      <c r="BJ330" s="60">
        <f>IFERROR(SUM((TBA_Matches_All[[#This Row],[OZflrT]])/(TBA_Matches_All[[#This Row],[OZflrT]]+TBA_Matches_All[[#This Row],[OZflrM]])),0)</f>
        <v>0</v>
      </c>
      <c r="BK330">
        <f>COUNTIFS(Dyno_Data[Team],TBA_Matches_All[[#This Row],[Team]],Dyno_Data[Match],TBA_Matches_All[[#This Row],[Match_Number]],Dyno_Data[RecordType],"Activities",Dyno_Data[DelOrig],"Neut", Dyno_Data[DelMiss],"0")</f>
        <v>0</v>
      </c>
      <c r="BL330">
        <f>COUNTIFS(Dyno_Data[Team],TBA_Matches_All[[#This Row],[Team]],Dyno_Data[Match],TBA_Matches_All[[#This Row],[Match_Number]],Dyno_Data[RecordType],"Activities",Dyno_Data[DelOrig],"Neut", Dyno_Data[DelMiss],"1")</f>
        <v>0</v>
      </c>
      <c r="BM330" s="60">
        <f>IFERROR(SUM((TBA_Matches_All[[#This Row],[NZflrT]])/(TBA_Matches_All[[#This Row],[NZflrT]]+TBA_Matches_All[[#This Row],[NZflrM]])),0)</f>
        <v>0</v>
      </c>
      <c r="BN330">
        <f>COUNTIFS(Dyno_Data[Team],TBA_Matches_All[[#This Row],[Team]],Dyno_Data[Match],TBA_Matches_All[[#This Row],[Match_Number]],Dyno_Data[RecordType],"Activities",Dyno_Data[DelOrig],"AllyW", Dyno_Data[DelMiss],"0")</f>
        <v>5</v>
      </c>
      <c r="BO330">
        <f>COUNTIFS(Dyno_Data[Team],TBA_Matches_All[[#This Row],[Team]],Dyno_Data[Match],TBA_Matches_All[[#This Row],[Match_Number]],Dyno_Data[RecordType],"Activities",Dyno_Data[DelOrig],"AllyW", Dyno_Data[DelMiss],"1")</f>
        <v>1</v>
      </c>
      <c r="BP330" s="60">
        <f>IFERROR(SUM((TBA_Matches_All[[#This Row],[AZflrT]])/(TBA_Matches_All[[#This Row],[AZflrT]]+TBA_Matches_All[[#This Row],[AZflrM]])),0)</f>
        <v>0.83333333333333337</v>
      </c>
      <c r="BQ330">
        <f>COUNTIFS(Dyno_Data[Team],TBA_Matches_All[[#This Row],[Team]],Dyno_Data[Match],TBA_Matches_All[[#This Row],[Match_Number]],Dyno_Data[RecordType],"Activities",Dyno_Data[DelOrig],"SubW", Dyno_Data[DelMiss],"0")</f>
        <v>0</v>
      </c>
      <c r="BR330">
        <f>COUNTIFS(Dyno_Data[Team],TBA_Matches_All[[#This Row],[Team]],Dyno_Data[Match],TBA_Matches_All[[#This Row],[Match_Number]],Dyno_Data[RecordType],"Activities",Dyno_Data[DelOrig],"SubW", Dyno_Data[DelMiss],"1")</f>
        <v>0</v>
      </c>
      <c r="BS330" s="60">
        <f>IFERROR(SUM((TBA_Matches_All[[#This Row],[SubwT]])/(TBA_Matches_All[[#This Row],[SubwT]]+TBA_Matches_All[[#This Row],[SubwM]])),0)</f>
        <v>0</v>
      </c>
      <c r="BT330">
        <f>COUNTIFS(Dyno_Data[Team],TBA_Matches_All[[#This Row],[Team]],Dyno_Data[Match],TBA_Matches_All[[#This Row],[Match_Number]],Dyno_Data[RecordType],"Activities", Dyno_Data[AcqLoc],"OppWing")</f>
        <v>0</v>
      </c>
      <c r="BU330">
        <f>COUNTIFS(Dyno_Data[Team],TBA_Matches_All[[#This Row],[Team]],Dyno_Data[Match],TBA_Matches_All[[#This Row],[Match_Number]],Dyno_Data[RecordType],"Activities", Dyno_Data[AcqLoc],"Neutral")</f>
        <v>1</v>
      </c>
      <c r="BV330">
        <f>COUNTIFS(Dyno_Data[Team],TBA_Matches_All[[#This Row],[Team]],Dyno_Data[Match],TBA_Matches_All[[#This Row],[Match_Number]],Dyno_Data[RecordType],"Activities", Dyno_Data[AcqLoc],"AllyWing")</f>
        <v>0</v>
      </c>
      <c r="BW330">
        <f>COUNTIFS(Dyno_Data[Team],TBA_Matches_All[[#This Row],[Team]],Dyno_Data[Match],TBA_Matches_All[[#This Row],[Match_Number]],Dyno_Data[RecordType],"Activities", Dyno_Data[AcqLoc],"Source")</f>
        <v>0</v>
      </c>
      <c r="BX330">
        <f>SUMIFS(Dyno_Data[AcqDrp], Dyno_Data[Team],TBA_Matches_All[[#This Row],[Team]],Dyno_Data[Match],TBA_Matches_All[[#This Row],[Match_Number]],Dyno_Data[RecordType],"Activities", Dyno_Data[AcqLoc],"Source")</f>
        <v>0</v>
      </c>
      <c r="BY330">
        <f>SUMIFS(Dyno_Data[OZTime], Dyno_Data[Team],TBA_Matches_All[[#This Row],[Team]],Dyno_Data[Match],TBA_Matches_All[[#This Row],[Match_Number]],Dyno_Data[RecordType],"EndMatch")</f>
        <v>5.6244245999999993</v>
      </c>
      <c r="BZ330">
        <f>SUMIFS(Dyno_Data[NZTime], Dyno_Data[Team],TBA_Matches_All[[#This Row],[Team]],Dyno_Data[Match],TBA_Matches_All[[#This Row],[Match_Number]],Dyno_Data[RecordType],"EndMatch")</f>
        <v>74.658526100000003</v>
      </c>
      <c r="CA330">
        <f>SUMIFS(Dyno_Data[AZTime], Dyno_Data[Team],TBA_Matches_All[[#This Row],[Team]],Dyno_Data[Match],TBA_Matches_All[[#This Row],[Match_Number]],Dyno_Data[RecordType],"EndMatch")</f>
        <v>53.966858699999996</v>
      </c>
      <c r="CB330">
        <f>SUMIFS(Dyno_Data[ClimbT], Dyno_Data[Team],TBA_Matches_All[[#This Row],[Team]],Dyno_Data[Match],TBA_Matches_All[[#This Row],[Match_Number]],Dyno_Data[RecordType],"EndMatch")</f>
        <v>0</v>
      </c>
      <c r="CC330" t="str">
        <f>_xlfn.XLOOKUP(SUM(MID(TBA_Matches_All[[#This Row],[Team]],4,5),(TBA_Matches_All[[#This Row],[Match_Number]]/100)),Dyno_EndMatch[teammat],Dyno_EndMatch[StageStat],"_",0,1)</f>
        <v>Else</v>
      </c>
      <c r="CD330" t="str">
        <f>_xlfn.XLOOKUP(TBA_Matches_All[[#This Row],[teammat]],Dyno_EndMatch[teammat],Dyno_EndMatch[StageAtt],"_",0,1)</f>
        <v>0</v>
      </c>
      <c r="CE330" t="str">
        <f>_xlfn.XLOOKUP(TBA_Matches_All[[#This Row],[teammat]],Dyno_EndMatch[teammat],Dyno_EndMatch[StageLoc],"_",0,1)</f>
        <v>A</v>
      </c>
      <c r="CF330">
        <f>SUMIFS(Dyno_Data[Harmony], Dyno_Data[Team],TBA_Matches_All[[#This Row],[Team]],Dyno_Data[Match],TBA_Matches_All[[#This Row],[Match_Number]],Dyno_Data[RecordType],"EndMatch", Dyno_Data[StageStat],"On",Dyno_Data[Harmony],"&lt;&gt;9")</f>
        <v>0</v>
      </c>
      <c r="CG330">
        <f>SUMIFS(Dyno_Data[Spotlit], Dyno_Data[Team],TBA_Matches_All[[#This Row],[Team]],Dyno_Data[Match],TBA_Matches_All[[#This Row],[Match_Number]],Dyno_Data[RecordType],"EndMatch", Dyno_Data[StageStat],"On",Dyno_Data[Spotlit],"&lt;&gt;9")</f>
        <v>0</v>
      </c>
      <c r="CH330" t="str">
        <f>_xlfn.XLOOKUP(TBA_Matches_All[[#This Row],[teammat]],Dyno_EndMatch[teammat],Dyno_EndMatch[Strategy],"_",0,1)</f>
        <v>Hybrid</v>
      </c>
      <c r="CI330">
        <f>SUMIFS(Dyno_Data[Defense], Dyno_Data[Team],TBA_Matches_All[[#This Row],[Team]],Dyno_Data[Match],TBA_Matches_All[[#This Row],[Match_Number]],Dyno_Data[RecordType],"EndMatch",Dyno_Data[Defense],"&lt;&gt;9")</f>
        <v>0</v>
      </c>
      <c r="CJ330">
        <f>SUMIFS(Dyno_Data[Avoidance], Dyno_Data[Team],TBA_Matches_All[[#This Row],[Team]],Dyno_Data[Match],TBA_Matches_All[[#This Row],[Match_Number]],Dyno_Data[RecordType],"EndMatch",Dyno_Data[Avoidance],"&lt;&gt;9")</f>
        <v>0</v>
      </c>
      <c r="CK330" s="82">
        <f>COUNTIF($H$2:TBA_Matches_All[[#This Row],[Team]],TBA_Matches_All[[#This Row],[Team]])</f>
        <v>7</v>
      </c>
      <c r="CL330" s="111">
        <f>SUM(MID(TBA_Matches_All[[#This Row],[Team]],4,5)+TBA_Matches_All[[#This Row],[Match_Number]]/100)</f>
        <v>2053.5500000000002</v>
      </c>
      <c r="CM330">
        <f>SUM((TBA_Matches_All[[#This Row],[Leave]]*2)+(TBA_Matches_All[[#This Row],[AampT]]*2)+(TBA_Matches_All[[#This Row],[AspkrT]]*5)+(TBA_Matches_All[[#This Row],[AtrapT]]*5))</f>
        <v>5</v>
      </c>
      <c r="CN330" s="59">
        <f>IFERROR(SUM(TBA_Matches_All[[#This Row],[AptsT]]/TBA_Matches_All[[#This Row],[AutoPts]]),0)</f>
        <v>0.35714285714285715</v>
      </c>
      <c r="CO330" s="59">
        <f>IFERROR(SUM(TBA_Matches_All[[#This Row],[AampT]]+TBA_Matches_All[[#This Row],[AspkrT]]+TBA_Matches_All[[#This Row],[AtrapT]]/TBA_Matches_All[[#This Row],[Aamp]]+TBA_Matches_All[[#This Row],[Aspkr]]+TBA_Matches_All[[#This Row],[AtrapT]]),0)</f>
        <v>0</v>
      </c>
      <c r="CP330" s="59">
        <f>IFERROR(SUM(TBA_Matches_All[[#This Row],[TampT]]/TBA_Matches_All[[#This Row],[Tamp]]),0)</f>
        <v>1</v>
      </c>
      <c r="CQ330" s="59">
        <f>IFERROR(SUM(TBA_Matches_All[[#This Row],[TspkrT]]/TBA_Matches_All[[#This Row],[Tspkr]]),0)</f>
        <v>0.1</v>
      </c>
      <c r="CR330">
        <f>SUM(TBA_Matches_All[[#This Row],[TspkrPts]]*TBA_Matches_All[[#This Row],[TspkrP]])</f>
        <v>2.6</v>
      </c>
      <c r="CS330" s="59">
        <f>IFERROR(SUM(TBA_Matches_All[[#This Row],[TtrapT]]/TBA_Matches_All[[#This Row],[Trap]]),0)</f>
        <v>0</v>
      </c>
      <c r="CT330" s="59">
        <f>IFERROR(SUM(TBA_Matches_All[[#This Row],[TotNotesT]]/TBA_Matches_All[[#This Row],[TotNotes]]),0)</f>
        <v>0.33333333333333331</v>
      </c>
      <c r="CU330" s="66">
        <f>SUM((TBA_Matches_All[[#This Row],[AampT]]*2)+(TBA_Matches_All[[#This Row],[AspkrT]]*5)+(TBA_Matches_All[[#This Row],[AtrapT]]*5)+(TBA_Matches_All[[#This Row],[TampT]]*1)+(TBA_Matches_All[[#This Row],[TspkrptsC]]))</f>
        <v>10.6</v>
      </c>
      <c r="CV330" s="59">
        <f>IFERROR(TBA_Matches_All[[#This Row],[noteptsT]]/TBA_Matches_All[[#This Row],[NotePts]],0)</f>
        <v>0.27179487179487177</v>
      </c>
      <c r="CW330">
        <f>SUM(IF(TBA_Matches_All[[#This Row],[stageStat]]="On",3,0),IF(TBA_Matches_All[[#This Row],[stageStat]]="Park",1,0),SUMIFS(TBA_Matches_All[[#This Row],[Spotlit]],TBA_Matches_All[[#This Row],[stageStat]],"On"),SUMIFS(TBA_Matches_All[[#This Row],[Harmony]],TBA_Matches_All[[#This Row],[stageStat]],"On"))</f>
        <v>0</v>
      </c>
      <c r="CX330" s="59">
        <f>IFERROR(TBA_Matches_All[[#This Row],[stageptsT]]/TBA_Matches_All[[#This Row],[StagePts]],0)</f>
        <v>0</v>
      </c>
      <c r="CY330">
        <f>SUM((TBA_Matches_All[[#This Row],[AptsT]]+TBA_Matches_All[[#This Row],[TampT]]+TBA_Matches_All[[#This Row],[TspkrptsC]]+(TBA_Matches_All[[#This Row],[TtrapT]]*5)+TBA_Matches_All[[#This Row],[stageptsT]]))</f>
        <v>10.6</v>
      </c>
      <c r="CZ330" s="59">
        <f>IFERROR(SUM(TBA_Matches_All[[#This Row],[TotptsC]]/TBA_Matches_All[[#This Row],[Score]]),0)</f>
        <v>0.18596491228070175</v>
      </c>
      <c r="DA330"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10.8</v>
      </c>
      <c r="DB330" s="74">
        <f>SUMIFS(TBA_Matches_All[AveTeamTNoteDels],TBA_Matches_All[Match_Number],TBA_Matches_All[[#This Row],[Match_Number]],TBA_Matches_All[Alliance],"&lt;&gt;"&amp;TBA_Matches_All[[#This Row],[Alliance]],TBA_Matches_All[Scouted],"&gt;0")</f>
        <v>13.062121212121212</v>
      </c>
      <c r="DC330" s="74">
        <f>(TBA_Matches_All[[#This Row],[TampT]]+TBA_Matches_All[[#This Row],[TspkrptsC]])-TBA_Matches_All[[#This Row],[AveTeamTNoteDels]]</f>
        <v>-5.2000000000000011</v>
      </c>
      <c r="DD330" s="74">
        <f>SUMIFS(TBA_Matches_All[AveTeamTNoteDels],TBA_Matches_All[Match_Number],TBA_Matches_All[[#This Row],[Match_Number]],TBA_Matches_All[Alliance],"&lt;&gt;"&amp;TBA_Matches_All[[#This Row],[Alliance]])-TBA_Matches_All[[#This Row],[AveOppTNoteDels]]</f>
        <v>0</v>
      </c>
    </row>
    <row r="331" spans="1:108" x14ac:dyDescent="0.3">
      <c r="A331" t="s">
        <v>1042</v>
      </c>
      <c r="B331" t="s">
        <v>489</v>
      </c>
      <c r="C331" t="s">
        <v>1364</v>
      </c>
      <c r="D331">
        <v>55</v>
      </c>
      <c r="E331" t="s">
        <v>1420</v>
      </c>
      <c r="F331" t="s">
        <v>1423</v>
      </c>
      <c r="G331" t="s">
        <v>1409</v>
      </c>
      <c r="H331" t="s">
        <v>1288</v>
      </c>
      <c r="I331" t="b">
        <v>1</v>
      </c>
      <c r="J331">
        <v>61</v>
      </c>
      <c r="K331">
        <v>1</v>
      </c>
      <c r="L331">
        <v>0</v>
      </c>
      <c r="M331">
        <v>12</v>
      </c>
      <c r="N331">
        <v>0</v>
      </c>
      <c r="O331">
        <v>1</v>
      </c>
      <c r="P331">
        <v>5</v>
      </c>
      <c r="Q331">
        <v>9</v>
      </c>
      <c r="R331">
        <v>5</v>
      </c>
      <c r="S331">
        <v>3</v>
      </c>
      <c r="T331">
        <v>9</v>
      </c>
      <c r="U331">
        <v>15</v>
      </c>
      <c r="V331">
        <v>18</v>
      </c>
      <c r="W331">
        <v>12</v>
      </c>
      <c r="X331">
        <v>33</v>
      </c>
      <c r="Y331">
        <v>38</v>
      </c>
      <c r="Z331">
        <v>0</v>
      </c>
      <c r="AA331">
        <v>0</v>
      </c>
      <c r="AB331">
        <v>18</v>
      </c>
      <c r="AC331">
        <v>43</v>
      </c>
      <c r="AD331">
        <v>3</v>
      </c>
      <c r="AE331">
        <f>IFERROR(6/(COUNTIF(Dyno_EndMatch[Match],TBA_Matches_All[[#This Row],[Match_Number]])),0)</f>
        <v>1</v>
      </c>
      <c r="AF331">
        <f>COUNTIFS(Dyno_Data[Team],TBA_Matches_All[[#This Row],[Team]],Dyno_Data[Match],TBA_Matches_All[[#This Row],[Match_Number]],Dyno_Data[RecordType],"EndMatch",Dyno_Data[HPAmp],"Y")</f>
        <v>0</v>
      </c>
      <c r="AG331">
        <f>SUMIFS(Dyno_Data[Mics], Dyno_Data[Team],TBA_Matches_All[[#This Row],[Team]],Dyno_Data[Match],TBA_Matches_All[[#This Row],[Match_Number]],Dyno_Data[RecordType],"EndMatch",Dyno_Data[HPAmp],"Y")</f>
        <v>0</v>
      </c>
      <c r="AH331">
        <f>SUMIFS(Dyno_Data[Leave], Dyno_Data[Team],TBA_Matches_All[[#This Row],[Team]],Dyno_Data[Match],TBA_Matches_All[[#This Row],[Match_Number]],Dyno_Data[RecordType],"EndAuto")</f>
        <v>1</v>
      </c>
      <c r="AI331">
        <f>COUNTIFS(Dyno_Data[Team],TBA_Matches_All[[#This Row],[Team]],Dyno_Data[Match],TBA_Matches_All[[#This Row],[Match_Number]],Dyno_Data[RecordType],"Activities",Dyno_Data[DelDest],"Amp", Dyno_Data[DelMiss],"0", Dyno_Data[Mode],"Auto")</f>
        <v>0</v>
      </c>
      <c r="AJ331">
        <f>COUNTIFS(Dyno_Data[Team],TBA_Matches_All[[#This Row],[Team]],Dyno_Data[Match],TBA_Matches_All[[#This Row],[Match_Number]],Dyno_Data[RecordType],"Activities",Dyno_Data[DelDest],"Spkr", Dyno_Data[DelMiss],"0", Dyno_Data[Mode],"Auto")</f>
        <v>2</v>
      </c>
      <c r="AK331">
        <f>COUNTIFS(Dyno_Data[Team],TBA_Matches_All[[#This Row],[Team]],Dyno_Data[Match],TBA_Matches_All[[#This Row],[Match_Number]],Dyno_Data[RecordType],"Activities",Dyno_Data[DelDest],"Trap", Dyno_Data[DelMiss],"0", Dyno_Data[Mode],"Auto")</f>
        <v>0</v>
      </c>
      <c r="AL331">
        <f>COUNTIFS(Dyno_Data[Team],TBA_Matches_All[[#This Row],[Team]],Dyno_Data[Match],TBA_Matches_All[[#This Row],[Match_Number]],Dyno_Data[RecordType],"Activities",Dyno_Data[DelDest],"Amp", Dyno_Data[DelMiss],"0", Dyno_Data[Mode],"Teleop")</f>
        <v>0</v>
      </c>
      <c r="AM331">
        <f>COUNTIFS(Dyno_Data[Team],TBA_Matches_All[[#This Row],[Team]],Dyno_Data[Match],TBA_Matches_All[[#This Row],[Match_Number]],Dyno_Data[RecordType],"Activities",Dyno_Data[DelDest],"Spkr", Dyno_Data[DelMiss],"0", Dyno_Data[Mode],"Teleop")</f>
        <v>7</v>
      </c>
      <c r="AN331">
        <f>COUNTIFS(Dyno_Data[Team],TBA_Matches_All[[#This Row],[Team]],Dyno_Data[Match],TBA_Matches_All[[#This Row],[Match_Number]],Dyno_Data[RecordType],"Activities",Dyno_Data[DelDest],"Trap", Dyno_Data[DelMiss],"0", Dyno_Data[Mode],"&lt;&gt;Auto")</f>
        <v>0</v>
      </c>
      <c r="AO331">
        <f>SUM(TBA_Matches_All[[#This Row],[AampT]]+TBA_Matches_All[[#This Row],[AspkrT]]+TBA_Matches_All[[#This Row],[AtrapT]]+TBA_Matches_All[[#This Row],[TampT]]+TBA_Matches_All[[#This Row],[TspkrT]]+TBA_Matches_All[[#This Row],[TtrapT]])</f>
        <v>9</v>
      </c>
      <c r="AP331">
        <f>COUNTIFS(Dyno_Data[Team],TBA_Matches_All[[#This Row],[Team]],Dyno_Data[Match],TBA_Matches_All[[#This Row],[Match_Number]],Dyno_Data[RecordType],"Activities",Dyno_Data[DelDest],"Neut", Dyno_Data[DelMiss],"0")</f>
        <v>0</v>
      </c>
      <c r="AQ331">
        <f>COUNTIFS(Dyno_Data[Team],TBA_Matches_All[[#This Row],[Team]],Dyno_Data[Match],TBA_Matches_All[[#This Row],[Match_Number]],Dyno_Data[RecordType],"Activities",Dyno_Data[DelDest],"AllyW", Dyno_Data[DelMiss],"0")</f>
        <v>0</v>
      </c>
      <c r="AR331" t="str">
        <f>_xlfn.XLOOKUP(SUM(MID(TBA_Matches_All[[#This Row],[Team]],4,5),(TBA_Matches_All[[#This Row],[Match_Number]]/100)),Dyno_EndMatch[teammat],Dyno_EndMatch[RobotSta],"_",0,1)</f>
        <v>Podm</v>
      </c>
      <c r="AS331">
        <f>SUMIFS(Dyno_Data[AcqDis], Dyno_Data[Team],TBA_Matches_All[[#This Row],[Team]],Dyno_Data[Match],TBA_Matches_All[[#This Row],[Match_Number]],Dyno_Data[RecordType],"Activities", Dyno_Data[AcqCenter],1,Dyno_Data[Mode],"Auto")</f>
        <v>0</v>
      </c>
      <c r="AT331">
        <f>SUMIFS(Dyno_Data[AcqDis], Dyno_Data[Team],TBA_Matches_All[[#This Row],[Team]],Dyno_Data[Match],TBA_Matches_All[[#This Row],[Match_Number]],Dyno_Data[RecordType],"Activities", Dyno_Data[AcqCenter],2,Dyno_Data[Mode],"Auto")</f>
        <v>0</v>
      </c>
      <c r="AU331">
        <f>SUMIFS(Dyno_Data[AcqDis], Dyno_Data[Team],TBA_Matches_All[[#This Row],[Team]],Dyno_Data[Match],TBA_Matches_All[[#This Row],[Match_Number]],Dyno_Data[RecordType],"Activities", Dyno_Data[AcqCenter],3,Dyno_Data[Mode],"Auto")</f>
        <v>-1</v>
      </c>
      <c r="AV331">
        <f>SUMIFS(Dyno_Data[AcqDis], Dyno_Data[Team],TBA_Matches_All[[#This Row],[Team]],Dyno_Data[Match],TBA_Matches_All[[#This Row],[Match_Number]],Dyno_Data[RecordType],"Activities", Dyno_Data[AcqCenter],4,Dyno_Data[Mode],"Auto")</f>
        <v>0</v>
      </c>
      <c r="AW331">
        <f>SUMIFS(Dyno_Data[AcqDis], Dyno_Data[Team],TBA_Matches_All[[#This Row],[Team]],Dyno_Data[Match],TBA_Matches_All[[#This Row],[Match_Number]],Dyno_Data[RecordType],"Activities", Dyno_Data[AcqCenter],5,Dyno_Data[Mode],"Auto")</f>
        <v>0</v>
      </c>
      <c r="AX331">
        <f>SUMIFS(Dyno_Data[DelMiss], Dyno_Data[Team],TBA_Matches_All[[#This Row],[Team]],Dyno_Data[Match],TBA_Matches_All[[#This Row],[Match_Number]],Dyno_Data[RecordType],"Activities", Dyno_Data[DelDest],"Amp")</f>
        <v>0</v>
      </c>
      <c r="AY331" s="60">
        <f>IFERROR(SUM((TBA_Matches_All[[#This Row],[AampT]]+TBA_Matches_All[[#This Row],[TampT]])/(TBA_Matches_All[[#This Row],[AampT]]+TBA_Matches_All[[#This Row],[TampT]]+TBA_Matches_All[[#This Row],[ampM]])),0)</f>
        <v>0</v>
      </c>
      <c r="AZ331">
        <f>SUMIFS(Dyno_Data[DelMiss], Dyno_Data[Team],TBA_Matches_All[[#This Row],[Team]],Dyno_Data[Match],TBA_Matches_All[[#This Row],[Match_Number]],Dyno_Data[RecordType],"Activities", Dyno_Data[DelDest],"Spkr")</f>
        <v>1</v>
      </c>
      <c r="BA331" s="60">
        <f>IFERROR(SUM((TBA_Matches_All[[#This Row],[AspkrT]]+TBA_Matches_All[[#This Row],[TspkrT]])/(TBA_Matches_All[[#This Row],[AspkrT]]+TBA_Matches_All[[#This Row],[TspkrT]]+TBA_Matches_All[[#This Row],[spkrM]])),0)</f>
        <v>0.9</v>
      </c>
      <c r="BB331">
        <f>SUMIFS(Dyno_Data[DelMiss], Dyno_Data[Team],TBA_Matches_All[[#This Row],[Team]],Dyno_Data[Match],TBA_Matches_All[[#This Row],[Match_Number]],Dyno_Data[RecordType],"Activities", Dyno_Data[DelDest],"Trap")</f>
        <v>0</v>
      </c>
      <c r="BC331" s="60">
        <f>IFERROR((TBA_Matches_All[[#This Row],[AtrapT]]+TBA_Matches_All[[#This Row],[TtrapT]])/(TBA_Matches_All[[#This Row],[AtrapT]]+TBA_Matches_All[[#This Row],[TtrapT]]+TBA_Matches_All[[#This Row],[trapM]]),0)</f>
        <v>0</v>
      </c>
      <c r="BD331">
        <f>COUNTIFS(Dyno_Data[Team],TBA_Matches_All[[#This Row],[Team]],Dyno_Data[Match],TBA_Matches_All[[#This Row],[Match_Number]],Dyno_Data[RecordType],"Activities",Dyno_Data[DelDest],"Neut", Dyno_Data[DelMiss],1)</f>
        <v>0</v>
      </c>
      <c r="BE331" s="60">
        <f>IFERROR(SUM((TBA_Matches_All[[#This Row],[NeutFlrT]])/(TBA_Matches_All[[#This Row],[NeutFlrT]]+TBA_Matches_All[[#This Row],[NZflM]])),0)</f>
        <v>0</v>
      </c>
      <c r="BF331">
        <f>COUNTIFS(Dyno_Data[Team],TBA_Matches_All[[#This Row],[Team]],Dyno_Data[Match],TBA_Matches_All[[#This Row],[Match_Number]],Dyno_Data[RecordType],"Activities",Dyno_Data[DelDest],"AllyW", Dyno_Data[DelMiss],1)</f>
        <v>0</v>
      </c>
      <c r="BG331" s="60">
        <f>IFERROR(SUM((TBA_Matches_All[[#This Row],[AllyWFlrT]])/(TBA_Matches_All[[#This Row],[AllyWFlrT]]+TBA_Matches_All[[#This Row],[AZflM]])),0)</f>
        <v>0</v>
      </c>
      <c r="BH331">
        <f>COUNTIFS(Dyno_Data[Team],TBA_Matches_All[[#This Row],[Team]],Dyno_Data[Match],TBA_Matches_All[[#This Row],[Match_Number]],Dyno_Data[RecordType],"Activities",Dyno_Data[DelOrig],"OppW", Dyno_Data[DelMiss],"0")</f>
        <v>1</v>
      </c>
      <c r="BI331">
        <f>COUNTIFS(Dyno_Data[Team],TBA_Matches_All[[#This Row],[Team]],Dyno_Data[Match],TBA_Matches_All[[#This Row],[Match_Number]],Dyno_Data[RecordType],"Activities",Dyno_Data[DelOrig],"OppW", Dyno_Data[DelMiss],"1")</f>
        <v>0</v>
      </c>
      <c r="BJ331" s="60">
        <f>IFERROR(SUM((TBA_Matches_All[[#This Row],[OZflrT]])/(TBA_Matches_All[[#This Row],[OZflrT]]+TBA_Matches_All[[#This Row],[OZflrM]])),0)</f>
        <v>1</v>
      </c>
      <c r="BK331">
        <f>COUNTIFS(Dyno_Data[Team],TBA_Matches_All[[#This Row],[Team]],Dyno_Data[Match],TBA_Matches_All[[#This Row],[Match_Number]],Dyno_Data[RecordType],"Activities",Dyno_Data[DelOrig],"Neut", Dyno_Data[DelMiss],"0")</f>
        <v>1</v>
      </c>
      <c r="BL331">
        <f>COUNTIFS(Dyno_Data[Team],TBA_Matches_All[[#This Row],[Team]],Dyno_Data[Match],TBA_Matches_All[[#This Row],[Match_Number]],Dyno_Data[RecordType],"Activities",Dyno_Data[DelOrig],"Neut", Dyno_Data[DelMiss],"1")</f>
        <v>0</v>
      </c>
      <c r="BM331" s="60">
        <f>IFERROR(SUM((TBA_Matches_All[[#This Row],[NZflrT]])/(TBA_Matches_All[[#This Row],[NZflrT]]+TBA_Matches_All[[#This Row],[NZflrM]])),0)</f>
        <v>1</v>
      </c>
      <c r="BN331">
        <f>COUNTIFS(Dyno_Data[Team],TBA_Matches_All[[#This Row],[Team]],Dyno_Data[Match],TBA_Matches_All[[#This Row],[Match_Number]],Dyno_Data[RecordType],"Activities",Dyno_Data[DelOrig],"AllyW", Dyno_Data[DelMiss],"0")</f>
        <v>6</v>
      </c>
      <c r="BO331">
        <f>COUNTIFS(Dyno_Data[Team],TBA_Matches_All[[#This Row],[Team]],Dyno_Data[Match],TBA_Matches_All[[#This Row],[Match_Number]],Dyno_Data[RecordType],"Activities",Dyno_Data[DelOrig],"AllyW", Dyno_Data[DelMiss],"1")</f>
        <v>0</v>
      </c>
      <c r="BP331" s="60">
        <f>IFERROR(SUM((TBA_Matches_All[[#This Row],[AZflrT]])/(TBA_Matches_All[[#This Row],[AZflrT]]+TBA_Matches_All[[#This Row],[AZflrM]])),0)</f>
        <v>1</v>
      </c>
      <c r="BQ331">
        <f>COUNTIFS(Dyno_Data[Team],TBA_Matches_All[[#This Row],[Team]],Dyno_Data[Match],TBA_Matches_All[[#This Row],[Match_Number]],Dyno_Data[RecordType],"Activities",Dyno_Data[DelOrig],"SubW", Dyno_Data[DelMiss],"0")</f>
        <v>1</v>
      </c>
      <c r="BR331">
        <f>COUNTIFS(Dyno_Data[Team],TBA_Matches_All[[#This Row],[Team]],Dyno_Data[Match],TBA_Matches_All[[#This Row],[Match_Number]],Dyno_Data[RecordType],"Activities",Dyno_Data[DelOrig],"SubW", Dyno_Data[DelMiss],"1")</f>
        <v>1</v>
      </c>
      <c r="BS331" s="60">
        <f>IFERROR(SUM((TBA_Matches_All[[#This Row],[SubwT]])/(TBA_Matches_All[[#This Row],[SubwT]]+TBA_Matches_All[[#This Row],[SubwM]])),0)</f>
        <v>0.5</v>
      </c>
      <c r="BT331">
        <f>COUNTIFS(Dyno_Data[Team],TBA_Matches_All[[#This Row],[Team]],Dyno_Data[Match],TBA_Matches_All[[#This Row],[Match_Number]],Dyno_Data[RecordType],"Activities", Dyno_Data[AcqLoc],"OppWing")</f>
        <v>0</v>
      </c>
      <c r="BU331">
        <f>COUNTIFS(Dyno_Data[Team],TBA_Matches_All[[#This Row],[Team]],Dyno_Data[Match],TBA_Matches_All[[#This Row],[Match_Number]],Dyno_Data[RecordType],"Activities", Dyno_Data[AcqLoc],"Neutral")</f>
        <v>1</v>
      </c>
      <c r="BV331">
        <f>COUNTIFS(Dyno_Data[Team],TBA_Matches_All[[#This Row],[Team]],Dyno_Data[Match],TBA_Matches_All[[#This Row],[Match_Number]],Dyno_Data[RecordType],"Activities", Dyno_Data[AcqLoc],"AllyWing")</f>
        <v>0</v>
      </c>
      <c r="BW331">
        <f>COUNTIFS(Dyno_Data[Team],TBA_Matches_All[[#This Row],[Team]],Dyno_Data[Match],TBA_Matches_All[[#This Row],[Match_Number]],Dyno_Data[RecordType],"Activities", Dyno_Data[AcqLoc],"Source")</f>
        <v>0</v>
      </c>
      <c r="BX331">
        <f>SUMIFS(Dyno_Data[AcqDrp], Dyno_Data[Team],TBA_Matches_All[[#This Row],[Team]],Dyno_Data[Match],TBA_Matches_All[[#This Row],[Match_Number]],Dyno_Data[RecordType],"Activities", Dyno_Data[AcqLoc],"Source")</f>
        <v>0</v>
      </c>
      <c r="BY331">
        <f>SUMIFS(Dyno_Data[OZTime], Dyno_Data[Team],TBA_Matches_All[[#This Row],[Team]],Dyno_Data[Match],TBA_Matches_All[[#This Row],[Match_Number]],Dyno_Data[RecordType],"EndMatch")</f>
        <v>43.792423499999998</v>
      </c>
      <c r="BZ331">
        <f>SUMIFS(Dyno_Data[NZTime], Dyno_Data[Team],TBA_Matches_All[[#This Row],[Team]],Dyno_Data[Match],TBA_Matches_All[[#This Row],[Match_Number]],Dyno_Data[RecordType],"EndMatch")</f>
        <v>25.770038</v>
      </c>
      <c r="CA331">
        <f>SUMIFS(Dyno_Data[AZTime], Dyno_Data[Team],TBA_Matches_All[[#This Row],[Team]],Dyno_Data[Match],TBA_Matches_All[[#This Row],[Match_Number]],Dyno_Data[RecordType],"EndMatch")</f>
        <v>47.056760499999996</v>
      </c>
      <c r="CB331">
        <f>SUMIFS(Dyno_Data[ClimbT], Dyno_Data[Team],TBA_Matches_All[[#This Row],[Team]],Dyno_Data[Match],TBA_Matches_All[[#This Row],[Match_Number]],Dyno_Data[RecordType],"EndMatch")</f>
        <v>13.5802438</v>
      </c>
      <c r="CC331" t="str">
        <f>_xlfn.XLOOKUP(SUM(MID(TBA_Matches_All[[#This Row],[Team]],4,5),(TBA_Matches_All[[#This Row],[Match_Number]]/100)),Dyno_EndMatch[teammat],Dyno_EndMatch[StageStat],"_",0,1)</f>
        <v>Park</v>
      </c>
      <c r="CD331" t="str">
        <f>_xlfn.XLOOKUP(TBA_Matches_All[[#This Row],[teammat]],Dyno_EndMatch[teammat],Dyno_EndMatch[StageAtt],"_",0,1)</f>
        <v>-1</v>
      </c>
      <c r="CE331" t="str">
        <f>_xlfn.XLOOKUP(TBA_Matches_All[[#This Row],[teammat]],Dyno_EndMatch[teammat],Dyno_EndMatch[StageLoc],"_",0,1)</f>
        <v>A</v>
      </c>
      <c r="CF331">
        <f>SUMIFS(Dyno_Data[Harmony], Dyno_Data[Team],TBA_Matches_All[[#This Row],[Team]],Dyno_Data[Match],TBA_Matches_All[[#This Row],[Match_Number]],Dyno_Data[RecordType],"EndMatch", Dyno_Data[StageStat],"On",Dyno_Data[Harmony],"&lt;&gt;9")</f>
        <v>0</v>
      </c>
      <c r="CG331">
        <f>SUMIFS(Dyno_Data[Spotlit], Dyno_Data[Team],TBA_Matches_All[[#This Row],[Team]],Dyno_Data[Match],TBA_Matches_All[[#This Row],[Match_Number]],Dyno_Data[RecordType],"EndMatch", Dyno_Data[StageStat],"On",Dyno_Data[Spotlit],"&lt;&gt;9")</f>
        <v>0</v>
      </c>
      <c r="CH331" t="str">
        <f>_xlfn.XLOOKUP(TBA_Matches_All[[#This Row],[teammat]],Dyno_EndMatch[teammat],Dyno_EndMatch[Strategy],"_",0,1)</f>
        <v>Hybrid</v>
      </c>
      <c r="CI331">
        <f>SUMIFS(Dyno_Data[Defense], Dyno_Data[Team],TBA_Matches_All[[#This Row],[Team]],Dyno_Data[Match],TBA_Matches_All[[#This Row],[Match_Number]],Dyno_Data[RecordType],"EndMatch",Dyno_Data[Defense],"&lt;&gt;9")</f>
        <v>0</v>
      </c>
      <c r="CJ331">
        <f>SUMIFS(Dyno_Data[Avoidance], Dyno_Data[Team],TBA_Matches_All[[#This Row],[Team]],Dyno_Data[Match],TBA_Matches_All[[#This Row],[Match_Number]],Dyno_Data[RecordType],"EndMatch",Dyno_Data[Avoidance],"&lt;&gt;9")</f>
        <v>0</v>
      </c>
      <c r="CK331" s="82">
        <f>COUNTIF($H$2:TBA_Matches_All[[#This Row],[Team]],TBA_Matches_All[[#This Row],[Team]])</f>
        <v>7</v>
      </c>
      <c r="CL331" s="111">
        <f>SUM(MID(TBA_Matches_All[[#This Row],[Team]],4,5)+TBA_Matches_All[[#This Row],[Match_Number]]/100)</f>
        <v>3181.55</v>
      </c>
      <c r="CM331">
        <f>SUM((TBA_Matches_All[[#This Row],[Leave]]*2)+(TBA_Matches_All[[#This Row],[AampT]]*2)+(TBA_Matches_All[[#This Row],[AspkrT]]*5)+(TBA_Matches_All[[#This Row],[AtrapT]]*5))</f>
        <v>12</v>
      </c>
      <c r="CN331" s="59">
        <f>IFERROR(SUM(TBA_Matches_All[[#This Row],[AptsT]]/TBA_Matches_All[[#This Row],[AutoPts]]),0)</f>
        <v>1.3333333333333333</v>
      </c>
      <c r="CO331" s="59">
        <f>IFERROR(SUM(TBA_Matches_All[[#This Row],[AampT]]+TBA_Matches_All[[#This Row],[AspkrT]]+TBA_Matches_All[[#This Row],[AtrapT]]/TBA_Matches_All[[#This Row],[Aamp]]+TBA_Matches_All[[#This Row],[Aspkr]]+TBA_Matches_All[[#This Row],[AtrapT]]),0)</f>
        <v>0</v>
      </c>
      <c r="CP331" s="59">
        <f>IFERROR(SUM(TBA_Matches_All[[#This Row],[TampT]]/TBA_Matches_All[[#This Row],[Tamp]]),0)</f>
        <v>0</v>
      </c>
      <c r="CQ331" s="59">
        <f>IFERROR(SUM(TBA_Matches_All[[#This Row],[TspkrT]]/TBA_Matches_All[[#This Row],[Tspkr]]),0)</f>
        <v>0.58333333333333337</v>
      </c>
      <c r="CR331">
        <f>SUM(TBA_Matches_All[[#This Row],[TspkrPts]]*TBA_Matches_All[[#This Row],[TspkrP]])</f>
        <v>19.25</v>
      </c>
      <c r="CS331" s="59">
        <f>IFERROR(SUM(TBA_Matches_All[[#This Row],[TtrapT]]/TBA_Matches_All[[#This Row],[Trap]]),0)</f>
        <v>0</v>
      </c>
      <c r="CT331" s="59">
        <f>IFERROR(SUM(TBA_Matches_All[[#This Row],[TotNotesT]]/TBA_Matches_All[[#This Row],[TotNotes]]),0)</f>
        <v>0.5</v>
      </c>
      <c r="CU331" s="66">
        <f>SUM((TBA_Matches_All[[#This Row],[AampT]]*2)+(TBA_Matches_All[[#This Row],[AspkrT]]*5)+(TBA_Matches_All[[#This Row],[AtrapT]]*5)+(TBA_Matches_All[[#This Row],[TampT]]*1)+(TBA_Matches_All[[#This Row],[TspkrptsC]]))</f>
        <v>29.25</v>
      </c>
      <c r="CV331" s="59">
        <f>IFERROR(TBA_Matches_All[[#This Row],[noteptsT]]/TBA_Matches_All[[#This Row],[NotePts]],0)</f>
        <v>0.68023255813953487</v>
      </c>
      <c r="CW331">
        <f>SUM(IF(TBA_Matches_All[[#This Row],[stageStat]]="On",3,0),IF(TBA_Matches_All[[#This Row],[stageStat]]="Park",1,0),SUMIFS(TBA_Matches_All[[#This Row],[Spotlit]],TBA_Matches_All[[#This Row],[stageStat]],"On"),SUMIFS(TBA_Matches_All[[#This Row],[Harmony]],TBA_Matches_All[[#This Row],[stageStat]],"On"))</f>
        <v>1</v>
      </c>
      <c r="CX331" s="59">
        <f>IFERROR(TBA_Matches_All[[#This Row],[stageptsT]]/TBA_Matches_All[[#This Row],[StagePts]],0)</f>
        <v>0.33333333333333331</v>
      </c>
      <c r="CY331">
        <f>SUM((TBA_Matches_All[[#This Row],[AptsT]]+TBA_Matches_All[[#This Row],[TampT]]+TBA_Matches_All[[#This Row],[TspkrptsC]]+(TBA_Matches_All[[#This Row],[TtrapT]]*5)+TBA_Matches_All[[#This Row],[stageptsT]]))</f>
        <v>32.25</v>
      </c>
      <c r="CZ331" s="59">
        <f>IFERROR(SUM(TBA_Matches_All[[#This Row],[TotptsC]]/TBA_Matches_All[[#This Row],[Score]]),0)</f>
        <v>0.52868852459016391</v>
      </c>
      <c r="DA331"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6.3787878787878789</v>
      </c>
      <c r="DB331" s="74">
        <f>SUMIFS(TBA_Matches_All[AveTeamTNoteDels],TBA_Matches_All[Match_Number],TBA_Matches_All[[#This Row],[Match_Number]],TBA_Matches_All[Alliance],"&lt;&gt;"&amp;TBA_Matches_All[[#This Row],[Alliance]],TBA_Matches_All[Scouted],"&gt;0")</f>
        <v>34.313626373626377</v>
      </c>
      <c r="DC331" s="74">
        <f>(TBA_Matches_All[[#This Row],[TampT]]+TBA_Matches_All[[#This Row],[TspkrptsC]])-TBA_Matches_All[[#This Row],[AveTeamTNoteDels]]</f>
        <v>12.871212121212121</v>
      </c>
      <c r="DD331" s="74">
        <f>SUMIFS(TBA_Matches_All[AveTeamTNoteDels],TBA_Matches_All[Match_Number],TBA_Matches_All[[#This Row],[Match_Number]],TBA_Matches_All[Alliance],"&lt;&gt;"&amp;TBA_Matches_All[[#This Row],[Alliance]])-TBA_Matches_All[[#This Row],[AveOppTNoteDels]]</f>
        <v>0</v>
      </c>
    </row>
    <row r="332" spans="1:108" x14ac:dyDescent="0.3">
      <c r="A332" t="s">
        <v>1042</v>
      </c>
      <c r="B332" t="s">
        <v>489</v>
      </c>
      <c r="C332" t="s">
        <v>1364</v>
      </c>
      <c r="D332">
        <v>55</v>
      </c>
      <c r="E332" t="s">
        <v>1406</v>
      </c>
      <c r="F332" t="s">
        <v>1424</v>
      </c>
      <c r="G332" t="s">
        <v>1409</v>
      </c>
      <c r="H332" t="s">
        <v>1284</v>
      </c>
      <c r="I332" t="b">
        <v>1</v>
      </c>
      <c r="J332">
        <v>57</v>
      </c>
      <c r="K332">
        <v>1</v>
      </c>
      <c r="L332">
        <v>1</v>
      </c>
      <c r="M332">
        <v>11</v>
      </c>
      <c r="N332">
        <v>0</v>
      </c>
      <c r="O332">
        <v>2</v>
      </c>
      <c r="P332">
        <v>10</v>
      </c>
      <c r="Q332">
        <v>14</v>
      </c>
      <c r="R332">
        <v>3</v>
      </c>
      <c r="S332">
        <v>2</v>
      </c>
      <c r="T332">
        <v>8</v>
      </c>
      <c r="U332">
        <v>10</v>
      </c>
      <c r="V332">
        <v>16</v>
      </c>
      <c r="W332">
        <v>10</v>
      </c>
      <c r="X332">
        <v>26</v>
      </c>
      <c r="Y332">
        <v>29</v>
      </c>
      <c r="Z332">
        <v>0</v>
      </c>
      <c r="AA332">
        <v>0</v>
      </c>
      <c r="AB332">
        <v>15</v>
      </c>
      <c r="AC332">
        <v>39</v>
      </c>
      <c r="AD332">
        <v>2</v>
      </c>
      <c r="AE332">
        <f>IFERROR(6/(COUNTIF(Dyno_EndMatch[Match],TBA_Matches_All[[#This Row],[Match_Number]])),0)</f>
        <v>1</v>
      </c>
      <c r="AF332">
        <f>COUNTIFS(Dyno_Data[Team],TBA_Matches_All[[#This Row],[Team]],Dyno_Data[Match],TBA_Matches_All[[#This Row],[Match_Number]],Dyno_Data[RecordType],"EndMatch",Dyno_Data[HPAmp],"Y")</f>
        <v>0</v>
      </c>
      <c r="AG332">
        <f>SUMIFS(Dyno_Data[Mics], Dyno_Data[Team],TBA_Matches_All[[#This Row],[Team]],Dyno_Data[Match],TBA_Matches_All[[#This Row],[Match_Number]],Dyno_Data[RecordType],"EndMatch",Dyno_Data[HPAmp],"Y")</f>
        <v>0</v>
      </c>
      <c r="AH332">
        <f>SUMIFS(Dyno_Data[Leave], Dyno_Data[Team],TBA_Matches_All[[#This Row],[Team]],Dyno_Data[Match],TBA_Matches_All[[#This Row],[Match_Number]],Dyno_Data[RecordType],"EndAuto")</f>
        <v>1</v>
      </c>
      <c r="AI332">
        <f>COUNTIFS(Dyno_Data[Team],TBA_Matches_All[[#This Row],[Team]],Dyno_Data[Match],TBA_Matches_All[[#This Row],[Match_Number]],Dyno_Data[RecordType],"Activities",Dyno_Data[DelDest],"Amp", Dyno_Data[DelMiss],"0", Dyno_Data[Mode],"Auto")</f>
        <v>0</v>
      </c>
      <c r="AJ332">
        <f>COUNTIFS(Dyno_Data[Team],TBA_Matches_All[[#This Row],[Team]],Dyno_Data[Match],TBA_Matches_All[[#This Row],[Match_Number]],Dyno_Data[RecordType],"Activities",Dyno_Data[DelDest],"Spkr", Dyno_Data[DelMiss],"0", Dyno_Data[Mode],"Auto")</f>
        <v>0</v>
      </c>
      <c r="AK332">
        <f>COUNTIFS(Dyno_Data[Team],TBA_Matches_All[[#This Row],[Team]],Dyno_Data[Match],TBA_Matches_All[[#This Row],[Match_Number]],Dyno_Data[RecordType],"Activities",Dyno_Data[DelDest],"Trap", Dyno_Data[DelMiss],"0", Dyno_Data[Mode],"Auto")</f>
        <v>0</v>
      </c>
      <c r="AL332">
        <f>COUNTIFS(Dyno_Data[Team],TBA_Matches_All[[#This Row],[Team]],Dyno_Data[Match],TBA_Matches_All[[#This Row],[Match_Number]],Dyno_Data[RecordType],"Activities",Dyno_Data[DelDest],"Amp", Dyno_Data[DelMiss],"0", Dyno_Data[Mode],"Teleop")</f>
        <v>0</v>
      </c>
      <c r="AM332">
        <f>COUNTIFS(Dyno_Data[Team],TBA_Matches_All[[#This Row],[Team]],Dyno_Data[Match],TBA_Matches_All[[#This Row],[Match_Number]],Dyno_Data[RecordType],"Activities",Dyno_Data[DelDest],"Spkr", Dyno_Data[DelMiss],"0", Dyno_Data[Mode],"Teleop")</f>
        <v>2</v>
      </c>
      <c r="AN332">
        <f>COUNTIFS(Dyno_Data[Team],TBA_Matches_All[[#This Row],[Team]],Dyno_Data[Match],TBA_Matches_All[[#This Row],[Match_Number]],Dyno_Data[RecordType],"Activities",Dyno_Data[DelDest],"Trap", Dyno_Data[DelMiss],"0", Dyno_Data[Mode],"&lt;&gt;Auto")</f>
        <v>0</v>
      </c>
      <c r="AO332">
        <f>SUM(TBA_Matches_All[[#This Row],[AampT]]+TBA_Matches_All[[#This Row],[AspkrT]]+TBA_Matches_All[[#This Row],[AtrapT]]+TBA_Matches_All[[#This Row],[TampT]]+TBA_Matches_All[[#This Row],[TspkrT]]+TBA_Matches_All[[#This Row],[TtrapT]])</f>
        <v>2</v>
      </c>
      <c r="AP332">
        <f>COUNTIFS(Dyno_Data[Team],TBA_Matches_All[[#This Row],[Team]],Dyno_Data[Match],TBA_Matches_All[[#This Row],[Match_Number]],Dyno_Data[RecordType],"Activities",Dyno_Data[DelDest],"Neut", Dyno_Data[DelMiss],"0")</f>
        <v>0</v>
      </c>
      <c r="AQ332">
        <f>COUNTIFS(Dyno_Data[Team],TBA_Matches_All[[#This Row],[Team]],Dyno_Data[Match],TBA_Matches_All[[#This Row],[Match_Number]],Dyno_Data[RecordType],"Activities",Dyno_Data[DelDest],"AllyW", Dyno_Data[DelMiss],"0")</f>
        <v>0</v>
      </c>
      <c r="AR332" t="str">
        <f>_xlfn.XLOOKUP(SUM(MID(TBA_Matches_All[[#This Row],[Team]],4,5),(TBA_Matches_All[[#This Row],[Match_Number]]/100)),Dyno_EndMatch[teammat],Dyno_EndMatch[RobotSta],"_",0,1)</f>
        <v>Amp</v>
      </c>
      <c r="AS332">
        <f>SUMIFS(Dyno_Data[AcqDis], Dyno_Data[Team],TBA_Matches_All[[#This Row],[Team]],Dyno_Data[Match],TBA_Matches_All[[#This Row],[Match_Number]],Dyno_Data[RecordType],"Activities", Dyno_Data[AcqCenter],1,Dyno_Data[Mode],"Auto")</f>
        <v>0</v>
      </c>
      <c r="AT332">
        <f>SUMIFS(Dyno_Data[AcqDis], Dyno_Data[Team],TBA_Matches_All[[#This Row],[Team]],Dyno_Data[Match],TBA_Matches_All[[#This Row],[Match_Number]],Dyno_Data[RecordType],"Activities", Dyno_Data[AcqCenter],2,Dyno_Data[Mode],"Auto")</f>
        <v>0</v>
      </c>
      <c r="AU332">
        <f>SUMIFS(Dyno_Data[AcqDis], Dyno_Data[Team],TBA_Matches_All[[#This Row],[Team]],Dyno_Data[Match],TBA_Matches_All[[#This Row],[Match_Number]],Dyno_Data[RecordType],"Activities", Dyno_Data[AcqCenter],3,Dyno_Data[Mode],"Auto")</f>
        <v>0</v>
      </c>
      <c r="AV332">
        <f>SUMIFS(Dyno_Data[AcqDis], Dyno_Data[Team],TBA_Matches_All[[#This Row],[Team]],Dyno_Data[Match],TBA_Matches_All[[#This Row],[Match_Number]],Dyno_Data[RecordType],"Activities", Dyno_Data[AcqCenter],4,Dyno_Data[Mode],"Auto")</f>
        <v>0</v>
      </c>
      <c r="AW332">
        <f>SUMIFS(Dyno_Data[AcqDis], Dyno_Data[Team],TBA_Matches_All[[#This Row],[Team]],Dyno_Data[Match],TBA_Matches_All[[#This Row],[Match_Number]],Dyno_Data[RecordType],"Activities", Dyno_Data[AcqCenter],5,Dyno_Data[Mode],"Auto")</f>
        <v>0</v>
      </c>
      <c r="AX332">
        <f>SUMIFS(Dyno_Data[DelMiss], Dyno_Data[Team],TBA_Matches_All[[#This Row],[Team]],Dyno_Data[Match],TBA_Matches_All[[#This Row],[Match_Number]],Dyno_Data[RecordType],"Activities", Dyno_Data[DelDest],"Amp")</f>
        <v>0</v>
      </c>
      <c r="AY332" s="60">
        <f>IFERROR(SUM((TBA_Matches_All[[#This Row],[AampT]]+TBA_Matches_All[[#This Row],[TampT]])/(TBA_Matches_All[[#This Row],[AampT]]+TBA_Matches_All[[#This Row],[TampT]]+TBA_Matches_All[[#This Row],[ampM]])),0)</f>
        <v>0</v>
      </c>
      <c r="AZ332">
        <f>SUMIFS(Dyno_Data[DelMiss], Dyno_Data[Team],TBA_Matches_All[[#This Row],[Team]],Dyno_Data[Match],TBA_Matches_All[[#This Row],[Match_Number]],Dyno_Data[RecordType],"Activities", Dyno_Data[DelDest],"Spkr")</f>
        <v>4</v>
      </c>
      <c r="BA332" s="60">
        <f>IFERROR(SUM((TBA_Matches_All[[#This Row],[AspkrT]]+TBA_Matches_All[[#This Row],[TspkrT]])/(TBA_Matches_All[[#This Row],[AspkrT]]+TBA_Matches_All[[#This Row],[TspkrT]]+TBA_Matches_All[[#This Row],[spkrM]])),0)</f>
        <v>0.33333333333333331</v>
      </c>
      <c r="BB332">
        <f>SUMIFS(Dyno_Data[DelMiss], Dyno_Data[Team],TBA_Matches_All[[#This Row],[Team]],Dyno_Data[Match],TBA_Matches_All[[#This Row],[Match_Number]],Dyno_Data[RecordType],"Activities", Dyno_Data[DelDest],"Trap")</f>
        <v>0</v>
      </c>
      <c r="BC332" s="60">
        <f>IFERROR((TBA_Matches_All[[#This Row],[AtrapT]]+TBA_Matches_All[[#This Row],[TtrapT]])/(TBA_Matches_All[[#This Row],[AtrapT]]+TBA_Matches_All[[#This Row],[TtrapT]]+TBA_Matches_All[[#This Row],[trapM]]),0)</f>
        <v>0</v>
      </c>
      <c r="BD332">
        <f>COUNTIFS(Dyno_Data[Team],TBA_Matches_All[[#This Row],[Team]],Dyno_Data[Match],TBA_Matches_All[[#This Row],[Match_Number]],Dyno_Data[RecordType],"Activities",Dyno_Data[DelDest],"Neut", Dyno_Data[DelMiss],1)</f>
        <v>0</v>
      </c>
      <c r="BE332" s="60">
        <f>IFERROR(SUM((TBA_Matches_All[[#This Row],[NeutFlrT]])/(TBA_Matches_All[[#This Row],[NeutFlrT]]+TBA_Matches_All[[#This Row],[NZflM]])),0)</f>
        <v>0</v>
      </c>
      <c r="BF332">
        <f>COUNTIFS(Dyno_Data[Team],TBA_Matches_All[[#This Row],[Team]],Dyno_Data[Match],TBA_Matches_All[[#This Row],[Match_Number]],Dyno_Data[RecordType],"Activities",Dyno_Data[DelDest],"AllyW", Dyno_Data[DelMiss],1)</f>
        <v>0</v>
      </c>
      <c r="BG332" s="60">
        <f>IFERROR(SUM((TBA_Matches_All[[#This Row],[AllyWFlrT]])/(TBA_Matches_All[[#This Row],[AllyWFlrT]]+TBA_Matches_All[[#This Row],[AZflM]])),0)</f>
        <v>0</v>
      </c>
      <c r="BH332">
        <f>COUNTIFS(Dyno_Data[Team],TBA_Matches_All[[#This Row],[Team]],Dyno_Data[Match],TBA_Matches_All[[#This Row],[Match_Number]],Dyno_Data[RecordType],"Activities",Dyno_Data[DelOrig],"OppW", Dyno_Data[DelMiss],"0")</f>
        <v>0</v>
      </c>
      <c r="BI332">
        <f>COUNTIFS(Dyno_Data[Team],TBA_Matches_All[[#This Row],[Team]],Dyno_Data[Match],TBA_Matches_All[[#This Row],[Match_Number]],Dyno_Data[RecordType],"Activities",Dyno_Data[DelOrig],"OppW", Dyno_Data[DelMiss],"1")</f>
        <v>0</v>
      </c>
      <c r="BJ332" s="60">
        <f>IFERROR(SUM((TBA_Matches_All[[#This Row],[OZflrT]])/(TBA_Matches_All[[#This Row],[OZflrT]]+TBA_Matches_All[[#This Row],[OZflrM]])),0)</f>
        <v>0</v>
      </c>
      <c r="BK332">
        <f>COUNTIFS(Dyno_Data[Team],TBA_Matches_All[[#This Row],[Team]],Dyno_Data[Match],TBA_Matches_All[[#This Row],[Match_Number]],Dyno_Data[RecordType],"Activities",Dyno_Data[DelOrig],"Neut", Dyno_Data[DelMiss],"0")</f>
        <v>0</v>
      </c>
      <c r="BL332">
        <f>COUNTIFS(Dyno_Data[Team],TBA_Matches_All[[#This Row],[Team]],Dyno_Data[Match],TBA_Matches_All[[#This Row],[Match_Number]],Dyno_Data[RecordType],"Activities",Dyno_Data[DelOrig],"Neut", Dyno_Data[DelMiss],"1")</f>
        <v>0</v>
      </c>
      <c r="BM332" s="60">
        <f>IFERROR(SUM((TBA_Matches_All[[#This Row],[NZflrT]])/(TBA_Matches_All[[#This Row],[NZflrT]]+TBA_Matches_All[[#This Row],[NZflrM]])),0)</f>
        <v>0</v>
      </c>
      <c r="BN332">
        <f>COUNTIFS(Dyno_Data[Team],TBA_Matches_All[[#This Row],[Team]],Dyno_Data[Match],TBA_Matches_All[[#This Row],[Match_Number]],Dyno_Data[RecordType],"Activities",Dyno_Data[DelOrig],"AllyW", Dyno_Data[DelMiss],"0")</f>
        <v>0</v>
      </c>
      <c r="BO332">
        <f>COUNTIFS(Dyno_Data[Team],TBA_Matches_All[[#This Row],[Team]],Dyno_Data[Match],TBA_Matches_All[[#This Row],[Match_Number]],Dyno_Data[RecordType],"Activities",Dyno_Data[DelOrig],"AllyW", Dyno_Data[DelMiss],"1")</f>
        <v>0</v>
      </c>
      <c r="BP332" s="60">
        <f>IFERROR(SUM((TBA_Matches_All[[#This Row],[AZflrT]])/(TBA_Matches_All[[#This Row],[AZflrT]]+TBA_Matches_All[[#This Row],[AZflrM]])),0)</f>
        <v>0</v>
      </c>
      <c r="BQ332">
        <f>COUNTIFS(Dyno_Data[Team],TBA_Matches_All[[#This Row],[Team]],Dyno_Data[Match],TBA_Matches_All[[#This Row],[Match_Number]],Dyno_Data[RecordType],"Activities",Dyno_Data[DelOrig],"SubW", Dyno_Data[DelMiss],"0")</f>
        <v>2</v>
      </c>
      <c r="BR332">
        <f>COUNTIFS(Dyno_Data[Team],TBA_Matches_All[[#This Row],[Team]],Dyno_Data[Match],TBA_Matches_All[[#This Row],[Match_Number]],Dyno_Data[RecordType],"Activities",Dyno_Data[DelOrig],"SubW", Dyno_Data[DelMiss],"1")</f>
        <v>4</v>
      </c>
      <c r="BS332" s="60">
        <f>IFERROR(SUM((TBA_Matches_All[[#This Row],[SubwT]])/(TBA_Matches_All[[#This Row],[SubwT]]+TBA_Matches_All[[#This Row],[SubwM]])),0)</f>
        <v>0.33333333333333331</v>
      </c>
      <c r="BT332">
        <f>COUNTIFS(Dyno_Data[Team],TBA_Matches_All[[#This Row],[Team]],Dyno_Data[Match],TBA_Matches_All[[#This Row],[Match_Number]],Dyno_Data[RecordType],"Activities", Dyno_Data[AcqLoc],"OppWing")</f>
        <v>0</v>
      </c>
      <c r="BU332">
        <f>COUNTIFS(Dyno_Data[Team],TBA_Matches_All[[#This Row],[Team]],Dyno_Data[Match],TBA_Matches_All[[#This Row],[Match_Number]],Dyno_Data[RecordType],"Activities", Dyno_Data[AcqLoc],"Neutral")</f>
        <v>0</v>
      </c>
      <c r="BV332">
        <f>COUNTIFS(Dyno_Data[Team],TBA_Matches_All[[#This Row],[Team]],Dyno_Data[Match],TBA_Matches_All[[#This Row],[Match_Number]],Dyno_Data[RecordType],"Activities", Dyno_Data[AcqLoc],"AllyWing")</f>
        <v>0</v>
      </c>
      <c r="BW332">
        <f>COUNTIFS(Dyno_Data[Team],TBA_Matches_All[[#This Row],[Team]],Dyno_Data[Match],TBA_Matches_All[[#This Row],[Match_Number]],Dyno_Data[RecordType],"Activities", Dyno_Data[AcqLoc],"Source")</f>
        <v>0</v>
      </c>
      <c r="BX332">
        <f>SUMIFS(Dyno_Data[AcqDrp], Dyno_Data[Team],TBA_Matches_All[[#This Row],[Team]],Dyno_Data[Match],TBA_Matches_All[[#This Row],[Match_Number]],Dyno_Data[RecordType],"Activities", Dyno_Data[AcqLoc],"Source")</f>
        <v>0</v>
      </c>
      <c r="BY332">
        <f>SUMIFS(Dyno_Data[OZTime], Dyno_Data[Team],TBA_Matches_All[[#This Row],[Team]],Dyno_Data[Match],TBA_Matches_All[[#This Row],[Match_Number]],Dyno_Data[RecordType],"EndMatch")</f>
        <v>38.141259099999999</v>
      </c>
      <c r="BZ332">
        <f>SUMIFS(Dyno_Data[NZTime], Dyno_Data[Team],TBA_Matches_All[[#This Row],[Team]],Dyno_Data[Match],TBA_Matches_All[[#This Row],[Match_Number]],Dyno_Data[RecordType],"EndMatch")</f>
        <v>19.705374899999999</v>
      </c>
      <c r="CA332">
        <f>SUMIFS(Dyno_Data[AZTime], Dyno_Data[Team],TBA_Matches_All[[#This Row],[Team]],Dyno_Data[Match],TBA_Matches_All[[#This Row],[Match_Number]],Dyno_Data[RecordType],"EndMatch")</f>
        <v>67.772801200000004</v>
      </c>
      <c r="CB332">
        <f>SUMIFS(Dyno_Data[ClimbT], Dyno_Data[Team],TBA_Matches_All[[#This Row],[Team]],Dyno_Data[Match],TBA_Matches_All[[#This Row],[Match_Number]],Dyno_Data[RecordType],"EndMatch")</f>
        <v>1.3176307999999999</v>
      </c>
      <c r="CC332" t="str">
        <f>_xlfn.XLOOKUP(SUM(MID(TBA_Matches_All[[#This Row],[Team]],4,5),(TBA_Matches_All[[#This Row],[Match_Number]]/100)),Dyno_EndMatch[teammat],Dyno_EndMatch[StageStat],"_",0,1)</f>
        <v>Park</v>
      </c>
      <c r="CD332" t="str">
        <f>_xlfn.XLOOKUP(TBA_Matches_All[[#This Row],[teammat]],Dyno_EndMatch[teammat],Dyno_EndMatch[StageAtt],"_",0,1)</f>
        <v>-1</v>
      </c>
      <c r="CE332" t="str">
        <f>_xlfn.XLOOKUP(TBA_Matches_All[[#This Row],[teammat]],Dyno_EndMatch[teammat],Dyno_EndMatch[StageLoc],"_",0,1)</f>
        <v>A</v>
      </c>
      <c r="CF332">
        <f>SUMIFS(Dyno_Data[Harmony], Dyno_Data[Team],TBA_Matches_All[[#This Row],[Team]],Dyno_Data[Match],TBA_Matches_All[[#This Row],[Match_Number]],Dyno_Data[RecordType],"EndMatch", Dyno_Data[StageStat],"On",Dyno_Data[Harmony],"&lt;&gt;9")</f>
        <v>0</v>
      </c>
      <c r="CG332">
        <f>SUMIFS(Dyno_Data[Spotlit], Dyno_Data[Team],TBA_Matches_All[[#This Row],[Team]],Dyno_Data[Match],TBA_Matches_All[[#This Row],[Match_Number]],Dyno_Data[RecordType],"EndMatch", Dyno_Data[StageStat],"On",Dyno_Data[Spotlit],"&lt;&gt;9")</f>
        <v>0</v>
      </c>
      <c r="CH332" t="str">
        <f>_xlfn.XLOOKUP(TBA_Matches_All[[#This Row],[teammat]],Dyno_EndMatch[teammat],Dyno_EndMatch[Strategy],"_",0,1)</f>
        <v>Hybrid</v>
      </c>
      <c r="CI332">
        <f>SUMIFS(Dyno_Data[Defense], Dyno_Data[Team],TBA_Matches_All[[#This Row],[Team]],Dyno_Data[Match],TBA_Matches_All[[#This Row],[Match_Number]],Dyno_Data[RecordType],"EndMatch",Dyno_Data[Defense],"&lt;&gt;9")</f>
        <v>0</v>
      </c>
      <c r="CJ332">
        <f>SUMIFS(Dyno_Data[Avoidance], Dyno_Data[Team],TBA_Matches_All[[#This Row],[Team]],Dyno_Data[Match],TBA_Matches_All[[#This Row],[Match_Number]],Dyno_Data[RecordType],"EndMatch",Dyno_Data[Avoidance],"&lt;&gt;9")</f>
        <v>0</v>
      </c>
      <c r="CK332" s="82">
        <f>COUNTIF($H$2:TBA_Matches_All[[#This Row],[Team]],TBA_Matches_All[[#This Row],[Team]])</f>
        <v>7</v>
      </c>
      <c r="CL332" s="111">
        <f>SUM(MID(TBA_Matches_All[[#This Row],[Team]],4,5)+TBA_Matches_All[[#This Row],[Match_Number]]/100)</f>
        <v>5590.55</v>
      </c>
      <c r="CM332">
        <f>SUM((TBA_Matches_All[[#This Row],[Leave]]*2)+(TBA_Matches_All[[#This Row],[AampT]]*2)+(TBA_Matches_All[[#This Row],[AspkrT]]*5)+(TBA_Matches_All[[#This Row],[AtrapT]]*5))</f>
        <v>2</v>
      </c>
      <c r="CN332" s="59">
        <f>IFERROR(SUM(TBA_Matches_All[[#This Row],[AptsT]]/TBA_Matches_All[[#This Row],[AutoPts]]),0)</f>
        <v>0.14285714285714285</v>
      </c>
      <c r="CO332" s="59">
        <f>IFERROR(SUM(TBA_Matches_All[[#This Row],[AampT]]+TBA_Matches_All[[#This Row],[AspkrT]]+TBA_Matches_All[[#This Row],[AtrapT]]/TBA_Matches_All[[#This Row],[Aamp]]+TBA_Matches_All[[#This Row],[Aspkr]]+TBA_Matches_All[[#This Row],[AtrapT]]),0)</f>
        <v>0</v>
      </c>
      <c r="CP332" s="59">
        <f>IFERROR(SUM(TBA_Matches_All[[#This Row],[TampT]]/TBA_Matches_All[[#This Row],[Tamp]]),0)</f>
        <v>0</v>
      </c>
      <c r="CQ332" s="59">
        <f>IFERROR(SUM(TBA_Matches_All[[#This Row],[TspkrT]]/TBA_Matches_All[[#This Row],[Tspkr]]),0)</f>
        <v>0.2</v>
      </c>
      <c r="CR332">
        <f>SUM(TBA_Matches_All[[#This Row],[TspkrPts]]*TBA_Matches_All[[#This Row],[TspkrP]])</f>
        <v>5.2</v>
      </c>
      <c r="CS332" s="59">
        <f>IFERROR(SUM(TBA_Matches_All[[#This Row],[TtrapT]]/TBA_Matches_All[[#This Row],[Trap]]),0)</f>
        <v>0</v>
      </c>
      <c r="CT332" s="59">
        <f>IFERROR(SUM(TBA_Matches_All[[#This Row],[TotNotesT]]/TBA_Matches_All[[#This Row],[TotNotes]]),0)</f>
        <v>0.13333333333333333</v>
      </c>
      <c r="CU332" s="66">
        <f>SUM((TBA_Matches_All[[#This Row],[AampT]]*2)+(TBA_Matches_All[[#This Row],[AspkrT]]*5)+(TBA_Matches_All[[#This Row],[AtrapT]]*5)+(TBA_Matches_All[[#This Row],[TampT]]*1)+(TBA_Matches_All[[#This Row],[TspkrptsC]]))</f>
        <v>5.2</v>
      </c>
      <c r="CV332" s="59">
        <f>IFERROR(TBA_Matches_All[[#This Row],[noteptsT]]/TBA_Matches_All[[#This Row],[NotePts]],0)</f>
        <v>0.13333333333333333</v>
      </c>
      <c r="CW332">
        <f>SUM(IF(TBA_Matches_All[[#This Row],[stageStat]]="On",3,0),IF(TBA_Matches_All[[#This Row],[stageStat]]="Park",1,0),SUMIFS(TBA_Matches_All[[#This Row],[Spotlit]],TBA_Matches_All[[#This Row],[stageStat]],"On"),SUMIFS(TBA_Matches_All[[#This Row],[Harmony]],TBA_Matches_All[[#This Row],[stageStat]],"On"))</f>
        <v>1</v>
      </c>
      <c r="CX332" s="59">
        <f>IFERROR(TBA_Matches_All[[#This Row],[stageptsT]]/TBA_Matches_All[[#This Row],[StagePts]],0)</f>
        <v>0.5</v>
      </c>
      <c r="CY332">
        <f>SUM((TBA_Matches_All[[#This Row],[AptsT]]+TBA_Matches_All[[#This Row],[TampT]]+TBA_Matches_All[[#This Row],[TspkrptsC]]+(TBA_Matches_All[[#This Row],[TtrapT]]*5)+TBA_Matches_All[[#This Row],[stageptsT]]))</f>
        <v>8.1999999999999993</v>
      </c>
      <c r="CZ332" s="59">
        <f>IFERROR(SUM(TBA_Matches_All[[#This Row],[TotptsC]]/TBA_Matches_All[[#This Row],[Score]]),0)</f>
        <v>0.14385964912280699</v>
      </c>
      <c r="DA332"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6.274285714285714</v>
      </c>
      <c r="DB332" s="74">
        <f>SUMIFS(TBA_Matches_All[AveTeamTNoteDels],TBA_Matches_All[Match_Number],TBA_Matches_All[[#This Row],[Match_Number]],TBA_Matches_All[Alliance],"&lt;&gt;"&amp;TBA_Matches_All[[#This Row],[Alliance]],TBA_Matches_All[Scouted],"&gt;0")</f>
        <v>13.062121212121212</v>
      </c>
      <c r="DC332" s="74">
        <f>(TBA_Matches_All[[#This Row],[TampT]]+TBA_Matches_All[[#This Row],[TspkrptsC]])-TBA_Matches_All[[#This Row],[AveTeamTNoteDels]]</f>
        <v>-1.0742857142857138</v>
      </c>
      <c r="DD332" s="74">
        <f>SUMIFS(TBA_Matches_All[AveTeamTNoteDels],TBA_Matches_All[Match_Number],TBA_Matches_All[[#This Row],[Match_Number]],TBA_Matches_All[Alliance],"&lt;&gt;"&amp;TBA_Matches_All[[#This Row],[Alliance]])-TBA_Matches_All[[#This Row],[AveOppTNoteDels]]</f>
        <v>0</v>
      </c>
    </row>
    <row r="333" spans="1:108" x14ac:dyDescent="0.3">
      <c r="A333" t="s">
        <v>1042</v>
      </c>
      <c r="B333" t="s">
        <v>489</v>
      </c>
      <c r="C333" t="s">
        <v>1365</v>
      </c>
      <c r="D333">
        <v>56</v>
      </c>
      <c r="E333" t="s">
        <v>1420</v>
      </c>
      <c r="F333" t="s">
        <v>1425</v>
      </c>
      <c r="G333" t="s">
        <v>105</v>
      </c>
      <c r="H333" t="s">
        <v>1285</v>
      </c>
      <c r="I333" t="b">
        <v>1</v>
      </c>
      <c r="J333">
        <v>89</v>
      </c>
      <c r="K333">
        <v>1</v>
      </c>
      <c r="L333">
        <v>0</v>
      </c>
      <c r="M333">
        <v>0</v>
      </c>
      <c r="N333">
        <v>0</v>
      </c>
      <c r="O333">
        <v>5</v>
      </c>
      <c r="P333">
        <v>25</v>
      </c>
      <c r="Q333">
        <v>29</v>
      </c>
      <c r="R333">
        <v>6</v>
      </c>
      <c r="S333">
        <v>5</v>
      </c>
      <c r="T333">
        <v>5</v>
      </c>
      <c r="U333">
        <v>25</v>
      </c>
      <c r="V333">
        <v>10</v>
      </c>
      <c r="W333">
        <v>10</v>
      </c>
      <c r="X333">
        <v>35</v>
      </c>
      <c r="Y333">
        <v>41</v>
      </c>
      <c r="Z333">
        <v>0</v>
      </c>
      <c r="AA333">
        <v>0</v>
      </c>
      <c r="AB333">
        <v>21</v>
      </c>
      <c r="AC333">
        <v>66</v>
      </c>
      <c r="AD333">
        <v>5</v>
      </c>
      <c r="AE333">
        <f>IFERROR(6/(COUNTIF(Dyno_EndMatch[Match],TBA_Matches_All[[#This Row],[Match_Number]])),0)</f>
        <v>1</v>
      </c>
      <c r="AF333">
        <f>COUNTIFS(Dyno_Data[Team],TBA_Matches_All[[#This Row],[Team]],Dyno_Data[Match],TBA_Matches_All[[#This Row],[Match_Number]],Dyno_Data[RecordType],"EndMatch",Dyno_Data[HPAmp],"Y")</f>
        <v>0</v>
      </c>
      <c r="AG333">
        <f>SUMIFS(Dyno_Data[Mics], Dyno_Data[Team],TBA_Matches_All[[#This Row],[Team]],Dyno_Data[Match],TBA_Matches_All[[#This Row],[Match_Number]],Dyno_Data[RecordType],"EndMatch",Dyno_Data[HPAmp],"Y")</f>
        <v>0</v>
      </c>
      <c r="AH333">
        <f>SUMIFS(Dyno_Data[Leave], Dyno_Data[Team],TBA_Matches_All[[#This Row],[Team]],Dyno_Data[Match],TBA_Matches_All[[#This Row],[Match_Number]],Dyno_Data[RecordType],"EndAuto")</f>
        <v>0</v>
      </c>
      <c r="AI333">
        <f>COUNTIFS(Dyno_Data[Team],TBA_Matches_All[[#This Row],[Team]],Dyno_Data[Match],TBA_Matches_All[[#This Row],[Match_Number]],Dyno_Data[RecordType],"Activities",Dyno_Data[DelDest],"Amp", Dyno_Data[DelMiss],"0", Dyno_Data[Mode],"Auto")</f>
        <v>0</v>
      </c>
      <c r="AJ333">
        <f>COUNTIFS(Dyno_Data[Team],TBA_Matches_All[[#This Row],[Team]],Dyno_Data[Match],TBA_Matches_All[[#This Row],[Match_Number]],Dyno_Data[RecordType],"Activities",Dyno_Data[DelDest],"Spkr", Dyno_Data[DelMiss],"0", Dyno_Data[Mode],"Auto")</f>
        <v>1</v>
      </c>
      <c r="AK333">
        <f>COUNTIFS(Dyno_Data[Team],TBA_Matches_All[[#This Row],[Team]],Dyno_Data[Match],TBA_Matches_All[[#This Row],[Match_Number]],Dyno_Data[RecordType],"Activities",Dyno_Data[DelDest],"Trap", Dyno_Data[DelMiss],"0", Dyno_Data[Mode],"Auto")</f>
        <v>0</v>
      </c>
      <c r="AL333">
        <f>COUNTIFS(Dyno_Data[Team],TBA_Matches_All[[#This Row],[Team]],Dyno_Data[Match],TBA_Matches_All[[#This Row],[Match_Number]],Dyno_Data[RecordType],"Activities",Dyno_Data[DelDest],"Amp", Dyno_Data[DelMiss],"0", Dyno_Data[Mode],"Teleop")</f>
        <v>0</v>
      </c>
      <c r="AM333">
        <f>COUNTIFS(Dyno_Data[Team],TBA_Matches_All[[#This Row],[Team]],Dyno_Data[Match],TBA_Matches_All[[#This Row],[Match_Number]],Dyno_Data[RecordType],"Activities",Dyno_Data[DelDest],"Spkr", Dyno_Data[DelMiss],"0", Dyno_Data[Mode],"Teleop")</f>
        <v>2</v>
      </c>
      <c r="AN333">
        <f>COUNTIFS(Dyno_Data[Team],TBA_Matches_All[[#This Row],[Team]],Dyno_Data[Match],TBA_Matches_All[[#This Row],[Match_Number]],Dyno_Data[RecordType],"Activities",Dyno_Data[DelDest],"Trap", Dyno_Data[DelMiss],"0", Dyno_Data[Mode],"&lt;&gt;Auto")</f>
        <v>0</v>
      </c>
      <c r="AO333">
        <f>SUM(TBA_Matches_All[[#This Row],[AampT]]+TBA_Matches_All[[#This Row],[AspkrT]]+TBA_Matches_All[[#This Row],[AtrapT]]+TBA_Matches_All[[#This Row],[TampT]]+TBA_Matches_All[[#This Row],[TspkrT]]+TBA_Matches_All[[#This Row],[TtrapT]])</f>
        <v>3</v>
      </c>
      <c r="AP333">
        <f>COUNTIFS(Dyno_Data[Team],TBA_Matches_All[[#This Row],[Team]],Dyno_Data[Match],TBA_Matches_All[[#This Row],[Match_Number]],Dyno_Data[RecordType],"Activities",Dyno_Data[DelDest],"Neut", Dyno_Data[DelMiss],"0")</f>
        <v>0</v>
      </c>
      <c r="AQ333">
        <f>COUNTIFS(Dyno_Data[Team],TBA_Matches_All[[#This Row],[Team]],Dyno_Data[Match],TBA_Matches_All[[#This Row],[Match_Number]],Dyno_Data[RecordType],"Activities",Dyno_Data[DelDest],"AllyW", Dyno_Data[DelMiss],"0")</f>
        <v>0</v>
      </c>
      <c r="AR333" t="str">
        <f>_xlfn.XLOOKUP(SUM(MID(TBA_Matches_All[[#This Row],[Team]],4,5),(TBA_Matches_All[[#This Row],[Match_Number]]/100)),Dyno_EndMatch[teammat],Dyno_EndMatch[RobotSta],"_",0,1)</f>
        <v>Podm</v>
      </c>
      <c r="AS333">
        <f>SUMIFS(Dyno_Data[AcqDis], Dyno_Data[Team],TBA_Matches_All[[#This Row],[Team]],Dyno_Data[Match],TBA_Matches_All[[#This Row],[Match_Number]],Dyno_Data[RecordType],"Activities", Dyno_Data[AcqCenter],1,Dyno_Data[Mode],"Auto")</f>
        <v>0</v>
      </c>
      <c r="AT333">
        <f>SUMIFS(Dyno_Data[AcqDis], Dyno_Data[Team],TBA_Matches_All[[#This Row],[Team]],Dyno_Data[Match],TBA_Matches_All[[#This Row],[Match_Number]],Dyno_Data[RecordType],"Activities", Dyno_Data[AcqCenter],2,Dyno_Data[Mode],"Auto")</f>
        <v>0</v>
      </c>
      <c r="AU333">
        <f>SUMIFS(Dyno_Data[AcqDis], Dyno_Data[Team],TBA_Matches_All[[#This Row],[Team]],Dyno_Data[Match],TBA_Matches_All[[#This Row],[Match_Number]],Dyno_Data[RecordType],"Activities", Dyno_Data[AcqCenter],3,Dyno_Data[Mode],"Auto")</f>
        <v>0</v>
      </c>
      <c r="AV333">
        <f>SUMIFS(Dyno_Data[AcqDis], Dyno_Data[Team],TBA_Matches_All[[#This Row],[Team]],Dyno_Data[Match],TBA_Matches_All[[#This Row],[Match_Number]],Dyno_Data[RecordType],"Activities", Dyno_Data[AcqCenter],4,Dyno_Data[Mode],"Auto")</f>
        <v>0</v>
      </c>
      <c r="AW333">
        <f>SUMIFS(Dyno_Data[AcqDis], Dyno_Data[Team],TBA_Matches_All[[#This Row],[Team]],Dyno_Data[Match],TBA_Matches_All[[#This Row],[Match_Number]],Dyno_Data[RecordType],"Activities", Dyno_Data[AcqCenter],5,Dyno_Data[Mode],"Auto")</f>
        <v>0</v>
      </c>
      <c r="AX333">
        <f>SUMIFS(Dyno_Data[DelMiss], Dyno_Data[Team],TBA_Matches_All[[#This Row],[Team]],Dyno_Data[Match],TBA_Matches_All[[#This Row],[Match_Number]],Dyno_Data[RecordType],"Activities", Dyno_Data[DelDest],"Amp")</f>
        <v>0</v>
      </c>
      <c r="AY333" s="60">
        <f>IFERROR(SUM((TBA_Matches_All[[#This Row],[AampT]]+TBA_Matches_All[[#This Row],[TampT]])/(TBA_Matches_All[[#This Row],[AampT]]+TBA_Matches_All[[#This Row],[TampT]]+TBA_Matches_All[[#This Row],[ampM]])),0)</f>
        <v>0</v>
      </c>
      <c r="AZ333">
        <f>SUMIFS(Dyno_Data[DelMiss], Dyno_Data[Team],TBA_Matches_All[[#This Row],[Team]],Dyno_Data[Match],TBA_Matches_All[[#This Row],[Match_Number]],Dyno_Data[RecordType],"Activities", Dyno_Data[DelDest],"Spkr")</f>
        <v>0</v>
      </c>
      <c r="BA333" s="60">
        <f>IFERROR(SUM((TBA_Matches_All[[#This Row],[AspkrT]]+TBA_Matches_All[[#This Row],[TspkrT]])/(TBA_Matches_All[[#This Row],[AspkrT]]+TBA_Matches_All[[#This Row],[TspkrT]]+TBA_Matches_All[[#This Row],[spkrM]])),0)</f>
        <v>1</v>
      </c>
      <c r="BB333">
        <f>SUMIFS(Dyno_Data[DelMiss], Dyno_Data[Team],TBA_Matches_All[[#This Row],[Team]],Dyno_Data[Match],TBA_Matches_All[[#This Row],[Match_Number]],Dyno_Data[RecordType],"Activities", Dyno_Data[DelDest],"Trap")</f>
        <v>0</v>
      </c>
      <c r="BC333" s="60">
        <f>IFERROR((TBA_Matches_All[[#This Row],[AtrapT]]+TBA_Matches_All[[#This Row],[TtrapT]])/(TBA_Matches_All[[#This Row],[AtrapT]]+TBA_Matches_All[[#This Row],[TtrapT]]+TBA_Matches_All[[#This Row],[trapM]]),0)</f>
        <v>0</v>
      </c>
      <c r="BD333">
        <f>COUNTIFS(Dyno_Data[Team],TBA_Matches_All[[#This Row],[Team]],Dyno_Data[Match],TBA_Matches_All[[#This Row],[Match_Number]],Dyno_Data[RecordType],"Activities",Dyno_Data[DelDest],"Neut", Dyno_Data[DelMiss],1)</f>
        <v>0</v>
      </c>
      <c r="BE333" s="60">
        <f>IFERROR(SUM((TBA_Matches_All[[#This Row],[NeutFlrT]])/(TBA_Matches_All[[#This Row],[NeutFlrT]]+TBA_Matches_All[[#This Row],[NZflM]])),0)</f>
        <v>0</v>
      </c>
      <c r="BF333">
        <f>COUNTIFS(Dyno_Data[Team],TBA_Matches_All[[#This Row],[Team]],Dyno_Data[Match],TBA_Matches_All[[#This Row],[Match_Number]],Dyno_Data[RecordType],"Activities",Dyno_Data[DelDest],"AllyW", Dyno_Data[DelMiss],1)</f>
        <v>0</v>
      </c>
      <c r="BG333" s="60">
        <f>IFERROR(SUM((TBA_Matches_All[[#This Row],[AllyWFlrT]])/(TBA_Matches_All[[#This Row],[AllyWFlrT]]+TBA_Matches_All[[#This Row],[AZflM]])),0)</f>
        <v>0</v>
      </c>
      <c r="BH333">
        <f>COUNTIFS(Dyno_Data[Team],TBA_Matches_All[[#This Row],[Team]],Dyno_Data[Match],TBA_Matches_All[[#This Row],[Match_Number]],Dyno_Data[RecordType],"Activities",Dyno_Data[DelOrig],"OppW", Dyno_Data[DelMiss],"0")</f>
        <v>0</v>
      </c>
      <c r="BI333">
        <f>COUNTIFS(Dyno_Data[Team],TBA_Matches_All[[#This Row],[Team]],Dyno_Data[Match],TBA_Matches_All[[#This Row],[Match_Number]],Dyno_Data[RecordType],"Activities",Dyno_Data[DelOrig],"OppW", Dyno_Data[DelMiss],"1")</f>
        <v>0</v>
      </c>
      <c r="BJ333" s="60">
        <f>IFERROR(SUM((TBA_Matches_All[[#This Row],[OZflrT]])/(TBA_Matches_All[[#This Row],[OZflrT]]+TBA_Matches_All[[#This Row],[OZflrM]])),0)</f>
        <v>0</v>
      </c>
      <c r="BK333">
        <f>COUNTIFS(Dyno_Data[Team],TBA_Matches_All[[#This Row],[Team]],Dyno_Data[Match],TBA_Matches_All[[#This Row],[Match_Number]],Dyno_Data[RecordType],"Activities",Dyno_Data[DelOrig],"Neut", Dyno_Data[DelMiss],"0")</f>
        <v>0</v>
      </c>
      <c r="BL333">
        <f>COUNTIFS(Dyno_Data[Team],TBA_Matches_All[[#This Row],[Team]],Dyno_Data[Match],TBA_Matches_All[[#This Row],[Match_Number]],Dyno_Data[RecordType],"Activities",Dyno_Data[DelOrig],"Neut", Dyno_Data[DelMiss],"1")</f>
        <v>0</v>
      </c>
      <c r="BM333" s="60">
        <f>IFERROR(SUM((TBA_Matches_All[[#This Row],[NZflrT]])/(TBA_Matches_All[[#This Row],[NZflrT]]+TBA_Matches_All[[#This Row],[NZflrM]])),0)</f>
        <v>0</v>
      </c>
      <c r="BN333">
        <f>COUNTIFS(Dyno_Data[Team],TBA_Matches_All[[#This Row],[Team]],Dyno_Data[Match],TBA_Matches_All[[#This Row],[Match_Number]],Dyno_Data[RecordType],"Activities",Dyno_Data[DelOrig],"AllyW", Dyno_Data[DelMiss],"0")</f>
        <v>1</v>
      </c>
      <c r="BO333">
        <f>COUNTIFS(Dyno_Data[Team],TBA_Matches_All[[#This Row],[Team]],Dyno_Data[Match],TBA_Matches_All[[#This Row],[Match_Number]],Dyno_Data[RecordType],"Activities",Dyno_Data[DelOrig],"AllyW", Dyno_Data[DelMiss],"1")</f>
        <v>0</v>
      </c>
      <c r="BP333" s="60">
        <f>IFERROR(SUM((TBA_Matches_All[[#This Row],[AZflrT]])/(TBA_Matches_All[[#This Row],[AZflrT]]+TBA_Matches_All[[#This Row],[AZflrM]])),0)</f>
        <v>1</v>
      </c>
      <c r="BQ333">
        <f>COUNTIFS(Dyno_Data[Team],TBA_Matches_All[[#This Row],[Team]],Dyno_Data[Match],TBA_Matches_All[[#This Row],[Match_Number]],Dyno_Data[RecordType],"Activities",Dyno_Data[DelOrig],"SubW", Dyno_Data[DelMiss],"0")</f>
        <v>2</v>
      </c>
      <c r="BR333">
        <f>COUNTIFS(Dyno_Data[Team],TBA_Matches_All[[#This Row],[Team]],Dyno_Data[Match],TBA_Matches_All[[#This Row],[Match_Number]],Dyno_Data[RecordType],"Activities",Dyno_Data[DelOrig],"SubW", Dyno_Data[DelMiss],"1")</f>
        <v>0</v>
      </c>
      <c r="BS333" s="60">
        <f>IFERROR(SUM((TBA_Matches_All[[#This Row],[SubwT]])/(TBA_Matches_All[[#This Row],[SubwT]]+TBA_Matches_All[[#This Row],[SubwM]])),0)</f>
        <v>1</v>
      </c>
      <c r="BT333">
        <f>COUNTIFS(Dyno_Data[Team],TBA_Matches_All[[#This Row],[Team]],Dyno_Data[Match],TBA_Matches_All[[#This Row],[Match_Number]],Dyno_Data[RecordType],"Activities", Dyno_Data[AcqLoc],"OppWing")</f>
        <v>0</v>
      </c>
      <c r="BU333">
        <f>COUNTIFS(Dyno_Data[Team],TBA_Matches_All[[#This Row],[Team]],Dyno_Data[Match],TBA_Matches_All[[#This Row],[Match_Number]],Dyno_Data[RecordType],"Activities", Dyno_Data[AcqLoc],"Neutral")</f>
        <v>0</v>
      </c>
      <c r="BV333">
        <f>COUNTIFS(Dyno_Data[Team],TBA_Matches_All[[#This Row],[Team]],Dyno_Data[Match],TBA_Matches_All[[#This Row],[Match_Number]],Dyno_Data[RecordType],"Activities", Dyno_Data[AcqLoc],"AllyWing")</f>
        <v>0</v>
      </c>
      <c r="BW333">
        <f>COUNTIFS(Dyno_Data[Team],TBA_Matches_All[[#This Row],[Team]],Dyno_Data[Match],TBA_Matches_All[[#This Row],[Match_Number]],Dyno_Data[RecordType],"Activities", Dyno_Data[AcqLoc],"Source")</f>
        <v>0</v>
      </c>
      <c r="BX333">
        <f>SUMIFS(Dyno_Data[AcqDrp], Dyno_Data[Team],TBA_Matches_All[[#This Row],[Team]],Dyno_Data[Match],TBA_Matches_All[[#This Row],[Match_Number]],Dyno_Data[RecordType],"Activities", Dyno_Data[AcqLoc],"Source")</f>
        <v>0</v>
      </c>
      <c r="BY333">
        <f>SUMIFS(Dyno_Data[OZTime], Dyno_Data[Team],TBA_Matches_All[[#This Row],[Team]],Dyno_Data[Match],TBA_Matches_All[[#This Row],[Match_Number]],Dyno_Data[RecordType],"EndMatch")</f>
        <v>28.454418199999999</v>
      </c>
      <c r="BZ333">
        <f>SUMIFS(Dyno_Data[NZTime], Dyno_Data[Team],TBA_Matches_All[[#This Row],[Team]],Dyno_Data[Match],TBA_Matches_All[[#This Row],[Match_Number]],Dyno_Data[RecordType],"EndMatch")</f>
        <v>10.7553067</v>
      </c>
      <c r="CA333">
        <f>SUMIFS(Dyno_Data[AZTime], Dyno_Data[Team],TBA_Matches_All[[#This Row],[Team]],Dyno_Data[Match],TBA_Matches_All[[#This Row],[Match_Number]],Dyno_Data[RecordType],"EndMatch")</f>
        <v>95.958966199999992</v>
      </c>
      <c r="CB333">
        <f>SUMIFS(Dyno_Data[ClimbT], Dyno_Data[Team],TBA_Matches_All[[#This Row],[Team]],Dyno_Data[Match],TBA_Matches_All[[#This Row],[Match_Number]],Dyno_Data[RecordType],"EndMatch")</f>
        <v>0</v>
      </c>
      <c r="CC333" t="str">
        <f>_xlfn.XLOOKUP(SUM(MID(TBA_Matches_All[[#This Row],[Team]],4,5),(TBA_Matches_All[[#This Row],[Match_Number]]/100)),Dyno_EndMatch[teammat],Dyno_EndMatch[StageStat],"_",0,1)</f>
        <v>Park</v>
      </c>
      <c r="CD333" t="str">
        <f>_xlfn.XLOOKUP(TBA_Matches_All[[#This Row],[teammat]],Dyno_EndMatch[teammat],Dyno_EndMatch[StageAtt],"_",0,1)</f>
        <v>0</v>
      </c>
      <c r="CE333" t="str">
        <f>_xlfn.XLOOKUP(TBA_Matches_All[[#This Row],[teammat]],Dyno_EndMatch[teammat],Dyno_EndMatch[StageLoc],"_",0,1)</f>
        <v>A</v>
      </c>
      <c r="CF333">
        <f>SUMIFS(Dyno_Data[Harmony], Dyno_Data[Team],TBA_Matches_All[[#This Row],[Team]],Dyno_Data[Match],TBA_Matches_All[[#This Row],[Match_Number]],Dyno_Data[RecordType],"EndMatch", Dyno_Data[StageStat],"On",Dyno_Data[Harmony],"&lt;&gt;9")</f>
        <v>0</v>
      </c>
      <c r="CG333">
        <f>SUMIFS(Dyno_Data[Spotlit], Dyno_Data[Team],TBA_Matches_All[[#This Row],[Team]],Dyno_Data[Match],TBA_Matches_All[[#This Row],[Match_Number]],Dyno_Data[RecordType],"EndMatch", Dyno_Data[StageStat],"On",Dyno_Data[Spotlit],"&lt;&gt;9")</f>
        <v>0</v>
      </c>
      <c r="CH333" t="str">
        <f>_xlfn.XLOOKUP(TBA_Matches_All[[#This Row],[teammat]],Dyno_EndMatch[teammat],Dyno_EndMatch[Strategy],"_",0,1)</f>
        <v>Hybrid</v>
      </c>
      <c r="CI333">
        <f>SUMIFS(Dyno_Data[Defense], Dyno_Data[Team],TBA_Matches_All[[#This Row],[Team]],Dyno_Data[Match],TBA_Matches_All[[#This Row],[Match_Number]],Dyno_Data[RecordType],"EndMatch",Dyno_Data[Defense],"&lt;&gt;9")</f>
        <v>0</v>
      </c>
      <c r="CJ333">
        <f>SUMIFS(Dyno_Data[Avoidance], Dyno_Data[Team],TBA_Matches_All[[#This Row],[Team]],Dyno_Data[Match],TBA_Matches_All[[#This Row],[Match_Number]],Dyno_Data[RecordType],"EndMatch",Dyno_Data[Avoidance],"&lt;&gt;9")</f>
        <v>0</v>
      </c>
      <c r="CK333" s="82">
        <f>COUNTIF($H$2:TBA_Matches_All[[#This Row],[Team]],TBA_Matches_All[[#This Row],[Team]])</f>
        <v>7</v>
      </c>
      <c r="CL333" s="111">
        <f>SUM(MID(TBA_Matches_All[[#This Row],[Team]],4,5)+TBA_Matches_All[[#This Row],[Match_Number]]/100)</f>
        <v>5993.56</v>
      </c>
      <c r="CM333">
        <f>SUM((TBA_Matches_All[[#This Row],[Leave]]*2)+(TBA_Matches_All[[#This Row],[AampT]]*2)+(TBA_Matches_All[[#This Row],[AspkrT]]*5)+(TBA_Matches_All[[#This Row],[AtrapT]]*5))</f>
        <v>5</v>
      </c>
      <c r="CN333" s="59">
        <f>IFERROR(SUM(TBA_Matches_All[[#This Row],[AptsT]]/TBA_Matches_All[[#This Row],[AutoPts]]),0)</f>
        <v>0.17241379310344829</v>
      </c>
      <c r="CO333" s="59">
        <f>IFERROR(SUM(TBA_Matches_All[[#This Row],[AampT]]+TBA_Matches_All[[#This Row],[AspkrT]]+TBA_Matches_All[[#This Row],[AtrapT]]/TBA_Matches_All[[#This Row],[Aamp]]+TBA_Matches_All[[#This Row],[Aspkr]]+TBA_Matches_All[[#This Row],[AtrapT]]),0)</f>
        <v>0</v>
      </c>
      <c r="CP333" s="59">
        <f>IFERROR(SUM(TBA_Matches_All[[#This Row],[TampT]]/TBA_Matches_All[[#This Row],[Tamp]]),0)</f>
        <v>0</v>
      </c>
      <c r="CQ333" s="59">
        <f>IFERROR(SUM(TBA_Matches_All[[#This Row],[TspkrT]]/TBA_Matches_All[[#This Row],[Tspkr]]),0)</f>
        <v>0.2</v>
      </c>
      <c r="CR333">
        <f>SUM(TBA_Matches_All[[#This Row],[TspkrPts]]*TBA_Matches_All[[#This Row],[TspkrP]])</f>
        <v>7</v>
      </c>
      <c r="CS333" s="59">
        <f>IFERROR(SUM(TBA_Matches_All[[#This Row],[TtrapT]]/TBA_Matches_All[[#This Row],[Trap]]),0)</f>
        <v>0</v>
      </c>
      <c r="CT333" s="59">
        <f>IFERROR(SUM(TBA_Matches_All[[#This Row],[TotNotesT]]/TBA_Matches_All[[#This Row],[TotNotes]]),0)</f>
        <v>0.14285714285714285</v>
      </c>
      <c r="CU333" s="66">
        <f>SUM((TBA_Matches_All[[#This Row],[AampT]]*2)+(TBA_Matches_All[[#This Row],[AspkrT]]*5)+(TBA_Matches_All[[#This Row],[AtrapT]]*5)+(TBA_Matches_All[[#This Row],[TampT]]*1)+(TBA_Matches_All[[#This Row],[TspkrptsC]]))</f>
        <v>12</v>
      </c>
      <c r="CV333" s="59">
        <f>IFERROR(TBA_Matches_All[[#This Row],[noteptsT]]/TBA_Matches_All[[#This Row],[NotePts]],0)</f>
        <v>0.18181818181818182</v>
      </c>
      <c r="CW333">
        <f>SUM(IF(TBA_Matches_All[[#This Row],[stageStat]]="On",3,0),IF(TBA_Matches_All[[#This Row],[stageStat]]="Park",1,0),SUMIFS(TBA_Matches_All[[#This Row],[Spotlit]],TBA_Matches_All[[#This Row],[stageStat]],"On"),SUMIFS(TBA_Matches_All[[#This Row],[Harmony]],TBA_Matches_All[[#This Row],[stageStat]],"On"))</f>
        <v>1</v>
      </c>
      <c r="CX333" s="59">
        <f>IFERROR(TBA_Matches_All[[#This Row],[stageptsT]]/TBA_Matches_All[[#This Row],[StagePts]],0)</f>
        <v>0.2</v>
      </c>
      <c r="CY333">
        <f>SUM((TBA_Matches_All[[#This Row],[AptsT]]+TBA_Matches_All[[#This Row],[TampT]]+TBA_Matches_All[[#This Row],[TspkrptsC]]+(TBA_Matches_All[[#This Row],[TtrapT]]*5)+TBA_Matches_All[[#This Row],[stageptsT]]))</f>
        <v>13</v>
      </c>
      <c r="CZ333" s="59">
        <f>IFERROR(SUM(TBA_Matches_All[[#This Row],[TotptsC]]/TBA_Matches_All[[#This Row],[Score]]),0)</f>
        <v>0.14606741573033707</v>
      </c>
      <c r="DA333"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2.84</v>
      </c>
      <c r="DB333" s="74">
        <f>SUMIFS(TBA_Matches_All[AveTeamTNoteDels],TBA_Matches_All[Match_Number],TBA_Matches_All[[#This Row],[Match_Number]],TBA_Matches_All[Alliance],"&lt;&gt;"&amp;TBA_Matches_All[[#This Row],[Alliance]],TBA_Matches_All[Scouted],"&gt;0")</f>
        <v>42.079583333333332</v>
      </c>
      <c r="DC333" s="74">
        <f>(TBA_Matches_All[[#This Row],[TampT]]+TBA_Matches_All[[#This Row],[TspkrptsC]])-TBA_Matches_All[[#This Row],[AveTeamTNoteDels]]</f>
        <v>4.16</v>
      </c>
      <c r="DD333" s="74">
        <f>SUMIFS(TBA_Matches_All[AveTeamTNoteDels],TBA_Matches_All[Match_Number],TBA_Matches_All[[#This Row],[Match_Number]],TBA_Matches_All[Alliance],"&lt;&gt;"&amp;TBA_Matches_All[[#This Row],[Alliance]])-TBA_Matches_All[[#This Row],[AveOppTNoteDels]]</f>
        <v>0</v>
      </c>
    </row>
    <row r="334" spans="1:108" x14ac:dyDescent="0.3">
      <c r="A334" t="s">
        <v>1042</v>
      </c>
      <c r="B334" t="s">
        <v>489</v>
      </c>
      <c r="C334" t="s">
        <v>1365</v>
      </c>
      <c r="D334">
        <v>56</v>
      </c>
      <c r="E334" t="s">
        <v>1406</v>
      </c>
      <c r="F334" t="s">
        <v>1426</v>
      </c>
      <c r="G334" t="s">
        <v>164</v>
      </c>
      <c r="H334" t="s">
        <v>1286</v>
      </c>
      <c r="I334" t="b">
        <v>1</v>
      </c>
      <c r="J334">
        <v>56</v>
      </c>
      <c r="K334">
        <v>1</v>
      </c>
      <c r="L334">
        <v>0</v>
      </c>
      <c r="M334">
        <v>14</v>
      </c>
      <c r="N334">
        <v>0</v>
      </c>
      <c r="O334">
        <v>5</v>
      </c>
      <c r="P334">
        <v>25</v>
      </c>
      <c r="Q334">
        <v>29</v>
      </c>
      <c r="R334">
        <v>2</v>
      </c>
      <c r="S334">
        <v>0</v>
      </c>
      <c r="T334">
        <v>10</v>
      </c>
      <c r="U334">
        <v>0</v>
      </c>
      <c r="V334">
        <v>20</v>
      </c>
      <c r="W334">
        <v>10</v>
      </c>
      <c r="X334">
        <v>20</v>
      </c>
      <c r="Y334">
        <v>22</v>
      </c>
      <c r="Z334">
        <v>0</v>
      </c>
      <c r="AA334">
        <v>0</v>
      </c>
      <c r="AB334">
        <v>17</v>
      </c>
      <c r="AC334">
        <v>47</v>
      </c>
      <c r="AD334">
        <v>5</v>
      </c>
      <c r="AE334">
        <f>IFERROR(6/(COUNTIF(Dyno_EndMatch[Match],TBA_Matches_All[[#This Row],[Match_Number]])),0)</f>
        <v>1</v>
      </c>
      <c r="AF334">
        <f>COUNTIFS(Dyno_Data[Team],TBA_Matches_All[[#This Row],[Team]],Dyno_Data[Match],TBA_Matches_All[[#This Row],[Match_Number]],Dyno_Data[RecordType],"EndMatch",Dyno_Data[HPAmp],"Y")</f>
        <v>0</v>
      </c>
      <c r="AG334">
        <f>SUMIFS(Dyno_Data[Mics], Dyno_Data[Team],TBA_Matches_All[[#This Row],[Team]],Dyno_Data[Match],TBA_Matches_All[[#This Row],[Match_Number]],Dyno_Data[RecordType],"EndMatch",Dyno_Data[HPAmp],"Y")</f>
        <v>0</v>
      </c>
      <c r="AH334">
        <f>SUMIFS(Dyno_Data[Leave], Dyno_Data[Team],TBA_Matches_All[[#This Row],[Team]],Dyno_Data[Match],TBA_Matches_All[[#This Row],[Match_Number]],Dyno_Data[RecordType],"EndAuto")</f>
        <v>1</v>
      </c>
      <c r="AI334">
        <f>COUNTIFS(Dyno_Data[Team],TBA_Matches_All[[#This Row],[Team]],Dyno_Data[Match],TBA_Matches_All[[#This Row],[Match_Number]],Dyno_Data[RecordType],"Activities",Dyno_Data[DelDest],"Amp", Dyno_Data[DelMiss],"0", Dyno_Data[Mode],"Auto")</f>
        <v>0</v>
      </c>
      <c r="AJ334">
        <f>COUNTIFS(Dyno_Data[Team],TBA_Matches_All[[#This Row],[Team]],Dyno_Data[Match],TBA_Matches_All[[#This Row],[Match_Number]],Dyno_Data[RecordType],"Activities",Dyno_Data[DelDest],"Spkr", Dyno_Data[DelMiss],"0", Dyno_Data[Mode],"Auto")</f>
        <v>4</v>
      </c>
      <c r="AK334">
        <f>COUNTIFS(Dyno_Data[Team],TBA_Matches_All[[#This Row],[Team]],Dyno_Data[Match],TBA_Matches_All[[#This Row],[Match_Number]],Dyno_Data[RecordType],"Activities",Dyno_Data[DelDest],"Trap", Dyno_Data[DelMiss],"0", Dyno_Data[Mode],"Auto")</f>
        <v>0</v>
      </c>
      <c r="AL334">
        <f>COUNTIFS(Dyno_Data[Team],TBA_Matches_All[[#This Row],[Team]],Dyno_Data[Match],TBA_Matches_All[[#This Row],[Match_Number]],Dyno_Data[RecordType],"Activities",Dyno_Data[DelDest],"Amp", Dyno_Data[DelMiss],"0", Dyno_Data[Mode],"Teleop")</f>
        <v>0</v>
      </c>
      <c r="AM334">
        <f>COUNTIFS(Dyno_Data[Team],TBA_Matches_All[[#This Row],[Team]],Dyno_Data[Match],TBA_Matches_All[[#This Row],[Match_Number]],Dyno_Data[RecordType],"Activities",Dyno_Data[DelDest],"Spkr", Dyno_Data[DelMiss],"0", Dyno_Data[Mode],"Teleop")</f>
        <v>6</v>
      </c>
      <c r="AN334">
        <f>COUNTIFS(Dyno_Data[Team],TBA_Matches_All[[#This Row],[Team]],Dyno_Data[Match],TBA_Matches_All[[#This Row],[Match_Number]],Dyno_Data[RecordType],"Activities",Dyno_Data[DelDest],"Trap", Dyno_Data[DelMiss],"0", Dyno_Data[Mode],"&lt;&gt;Auto")</f>
        <v>0</v>
      </c>
      <c r="AO334">
        <f>SUM(TBA_Matches_All[[#This Row],[AampT]]+TBA_Matches_All[[#This Row],[AspkrT]]+TBA_Matches_All[[#This Row],[AtrapT]]+TBA_Matches_All[[#This Row],[TampT]]+TBA_Matches_All[[#This Row],[TspkrT]]+TBA_Matches_All[[#This Row],[TtrapT]])</f>
        <v>10</v>
      </c>
      <c r="AP334">
        <f>COUNTIFS(Dyno_Data[Team],TBA_Matches_All[[#This Row],[Team]],Dyno_Data[Match],TBA_Matches_All[[#This Row],[Match_Number]],Dyno_Data[RecordType],"Activities",Dyno_Data[DelDest],"Neut", Dyno_Data[DelMiss],"0")</f>
        <v>0</v>
      </c>
      <c r="AQ334">
        <f>COUNTIFS(Dyno_Data[Team],TBA_Matches_All[[#This Row],[Team]],Dyno_Data[Match],TBA_Matches_All[[#This Row],[Match_Number]],Dyno_Data[RecordType],"Activities",Dyno_Data[DelDest],"AllyW", Dyno_Data[DelMiss],"0")</f>
        <v>1</v>
      </c>
      <c r="AR334" t="str">
        <f>_xlfn.XLOOKUP(SUM(MID(TBA_Matches_All[[#This Row],[Team]],4,5),(TBA_Matches_All[[#This Row],[Match_Number]]/100)),Dyno_EndMatch[teammat],Dyno_EndMatch[RobotSta],"_",0,1)</f>
        <v>SubW</v>
      </c>
      <c r="AS334">
        <f>SUMIFS(Dyno_Data[AcqDis], Dyno_Data[Team],TBA_Matches_All[[#This Row],[Team]],Dyno_Data[Match],TBA_Matches_All[[#This Row],[Match_Number]],Dyno_Data[RecordType],"Activities", Dyno_Data[AcqCenter],1,Dyno_Data[Mode],"Auto")</f>
        <v>0</v>
      </c>
      <c r="AT334">
        <f>SUMIFS(Dyno_Data[AcqDis], Dyno_Data[Team],TBA_Matches_All[[#This Row],[Team]],Dyno_Data[Match],TBA_Matches_All[[#This Row],[Match_Number]],Dyno_Data[RecordType],"Activities", Dyno_Data[AcqCenter],2,Dyno_Data[Mode],"Auto")</f>
        <v>0</v>
      </c>
      <c r="AU334">
        <f>SUMIFS(Dyno_Data[AcqDis], Dyno_Data[Team],TBA_Matches_All[[#This Row],[Team]],Dyno_Data[Match],TBA_Matches_All[[#This Row],[Match_Number]],Dyno_Data[RecordType],"Activities", Dyno_Data[AcqCenter],3,Dyno_Data[Mode],"Auto")</f>
        <v>0</v>
      </c>
      <c r="AV334">
        <f>SUMIFS(Dyno_Data[AcqDis], Dyno_Data[Team],TBA_Matches_All[[#This Row],[Team]],Dyno_Data[Match],TBA_Matches_All[[#This Row],[Match_Number]],Dyno_Data[RecordType],"Activities", Dyno_Data[AcqCenter],4,Dyno_Data[Mode],"Auto")</f>
        <v>1</v>
      </c>
      <c r="AW334">
        <f>SUMIFS(Dyno_Data[AcqDis], Dyno_Data[Team],TBA_Matches_All[[#This Row],[Team]],Dyno_Data[Match],TBA_Matches_All[[#This Row],[Match_Number]],Dyno_Data[RecordType],"Activities", Dyno_Data[AcqCenter],5,Dyno_Data[Mode],"Auto")</f>
        <v>-1</v>
      </c>
      <c r="AX334">
        <f>SUMIFS(Dyno_Data[DelMiss], Dyno_Data[Team],TBA_Matches_All[[#This Row],[Team]],Dyno_Data[Match],TBA_Matches_All[[#This Row],[Match_Number]],Dyno_Data[RecordType],"Activities", Dyno_Data[DelDest],"Amp")</f>
        <v>0</v>
      </c>
      <c r="AY334" s="60">
        <f>IFERROR(SUM((TBA_Matches_All[[#This Row],[AampT]]+TBA_Matches_All[[#This Row],[TampT]])/(TBA_Matches_All[[#This Row],[AampT]]+TBA_Matches_All[[#This Row],[TampT]]+TBA_Matches_All[[#This Row],[ampM]])),0)</f>
        <v>0</v>
      </c>
      <c r="AZ334">
        <f>SUMIFS(Dyno_Data[DelMiss], Dyno_Data[Team],TBA_Matches_All[[#This Row],[Team]],Dyno_Data[Match],TBA_Matches_All[[#This Row],[Match_Number]],Dyno_Data[RecordType],"Activities", Dyno_Data[DelDest],"Spkr")</f>
        <v>0</v>
      </c>
      <c r="BA334" s="60">
        <f>IFERROR(SUM((TBA_Matches_All[[#This Row],[AspkrT]]+TBA_Matches_All[[#This Row],[TspkrT]])/(TBA_Matches_All[[#This Row],[AspkrT]]+TBA_Matches_All[[#This Row],[TspkrT]]+TBA_Matches_All[[#This Row],[spkrM]])),0)</f>
        <v>1</v>
      </c>
      <c r="BB334">
        <f>SUMIFS(Dyno_Data[DelMiss], Dyno_Data[Team],TBA_Matches_All[[#This Row],[Team]],Dyno_Data[Match],TBA_Matches_All[[#This Row],[Match_Number]],Dyno_Data[RecordType],"Activities", Dyno_Data[DelDest],"Trap")</f>
        <v>0</v>
      </c>
      <c r="BC334" s="60">
        <f>IFERROR((TBA_Matches_All[[#This Row],[AtrapT]]+TBA_Matches_All[[#This Row],[TtrapT]])/(TBA_Matches_All[[#This Row],[AtrapT]]+TBA_Matches_All[[#This Row],[TtrapT]]+TBA_Matches_All[[#This Row],[trapM]]),0)</f>
        <v>0</v>
      </c>
      <c r="BD334">
        <f>COUNTIFS(Dyno_Data[Team],TBA_Matches_All[[#This Row],[Team]],Dyno_Data[Match],TBA_Matches_All[[#This Row],[Match_Number]],Dyno_Data[RecordType],"Activities",Dyno_Data[DelDest],"Neut", Dyno_Data[DelMiss],1)</f>
        <v>0</v>
      </c>
      <c r="BE334" s="60">
        <f>IFERROR(SUM((TBA_Matches_All[[#This Row],[NeutFlrT]])/(TBA_Matches_All[[#This Row],[NeutFlrT]]+TBA_Matches_All[[#This Row],[NZflM]])),0)</f>
        <v>0</v>
      </c>
      <c r="BF334">
        <f>COUNTIFS(Dyno_Data[Team],TBA_Matches_All[[#This Row],[Team]],Dyno_Data[Match],TBA_Matches_All[[#This Row],[Match_Number]],Dyno_Data[RecordType],"Activities",Dyno_Data[DelDest],"AllyW", Dyno_Data[DelMiss],1)</f>
        <v>0</v>
      </c>
      <c r="BG334" s="60">
        <f>IFERROR(SUM((TBA_Matches_All[[#This Row],[AllyWFlrT]])/(TBA_Matches_All[[#This Row],[AllyWFlrT]]+TBA_Matches_All[[#This Row],[AZflM]])),0)</f>
        <v>1</v>
      </c>
      <c r="BH334">
        <f>COUNTIFS(Dyno_Data[Team],TBA_Matches_All[[#This Row],[Team]],Dyno_Data[Match],TBA_Matches_All[[#This Row],[Match_Number]],Dyno_Data[RecordType],"Activities",Dyno_Data[DelOrig],"OppW", Dyno_Data[DelMiss],"0")</f>
        <v>0</v>
      </c>
      <c r="BI334">
        <f>COUNTIFS(Dyno_Data[Team],TBA_Matches_All[[#This Row],[Team]],Dyno_Data[Match],TBA_Matches_All[[#This Row],[Match_Number]],Dyno_Data[RecordType],"Activities",Dyno_Data[DelOrig],"OppW", Dyno_Data[DelMiss],"1")</f>
        <v>0</v>
      </c>
      <c r="BJ334" s="60">
        <f>IFERROR(SUM((TBA_Matches_All[[#This Row],[OZflrT]])/(TBA_Matches_All[[#This Row],[OZflrT]]+TBA_Matches_All[[#This Row],[OZflrM]])),0)</f>
        <v>0</v>
      </c>
      <c r="BK334">
        <f>COUNTIFS(Dyno_Data[Team],TBA_Matches_All[[#This Row],[Team]],Dyno_Data[Match],TBA_Matches_All[[#This Row],[Match_Number]],Dyno_Data[RecordType],"Activities",Dyno_Data[DelOrig],"Neut", Dyno_Data[DelMiss],"0")</f>
        <v>0</v>
      </c>
      <c r="BL334">
        <f>COUNTIFS(Dyno_Data[Team],TBA_Matches_All[[#This Row],[Team]],Dyno_Data[Match],TBA_Matches_All[[#This Row],[Match_Number]],Dyno_Data[RecordType],"Activities",Dyno_Data[DelOrig],"Neut", Dyno_Data[DelMiss],"1")</f>
        <v>0</v>
      </c>
      <c r="BM334" s="60">
        <f>IFERROR(SUM((TBA_Matches_All[[#This Row],[NZflrT]])/(TBA_Matches_All[[#This Row],[NZflrT]]+TBA_Matches_All[[#This Row],[NZflrM]])),0)</f>
        <v>0</v>
      </c>
      <c r="BN334">
        <f>COUNTIFS(Dyno_Data[Team],TBA_Matches_All[[#This Row],[Team]],Dyno_Data[Match],TBA_Matches_All[[#This Row],[Match_Number]],Dyno_Data[RecordType],"Activities",Dyno_Data[DelOrig],"AllyW", Dyno_Data[DelMiss],"0")</f>
        <v>8</v>
      </c>
      <c r="BO334">
        <f>COUNTIFS(Dyno_Data[Team],TBA_Matches_All[[#This Row],[Team]],Dyno_Data[Match],TBA_Matches_All[[#This Row],[Match_Number]],Dyno_Data[RecordType],"Activities",Dyno_Data[DelOrig],"AllyW", Dyno_Data[DelMiss],"1")</f>
        <v>0</v>
      </c>
      <c r="BP334" s="60">
        <f>IFERROR(SUM((TBA_Matches_All[[#This Row],[AZflrT]])/(TBA_Matches_All[[#This Row],[AZflrT]]+TBA_Matches_All[[#This Row],[AZflrM]])),0)</f>
        <v>1</v>
      </c>
      <c r="BQ334">
        <f>COUNTIFS(Dyno_Data[Team],TBA_Matches_All[[#This Row],[Team]],Dyno_Data[Match],TBA_Matches_All[[#This Row],[Match_Number]],Dyno_Data[RecordType],"Activities",Dyno_Data[DelOrig],"SubW", Dyno_Data[DelMiss],"0")</f>
        <v>3</v>
      </c>
      <c r="BR334">
        <f>COUNTIFS(Dyno_Data[Team],TBA_Matches_All[[#This Row],[Team]],Dyno_Data[Match],TBA_Matches_All[[#This Row],[Match_Number]],Dyno_Data[RecordType],"Activities",Dyno_Data[DelOrig],"SubW", Dyno_Data[DelMiss],"1")</f>
        <v>0</v>
      </c>
      <c r="BS334" s="60">
        <f>IFERROR(SUM((TBA_Matches_All[[#This Row],[SubwT]])/(TBA_Matches_All[[#This Row],[SubwT]]+TBA_Matches_All[[#This Row],[SubwM]])),0)</f>
        <v>1</v>
      </c>
      <c r="BT334">
        <f>COUNTIFS(Dyno_Data[Team],TBA_Matches_All[[#This Row],[Team]],Dyno_Data[Match],TBA_Matches_All[[#This Row],[Match_Number]],Dyno_Data[RecordType],"Activities", Dyno_Data[AcqLoc],"OppWing")</f>
        <v>0</v>
      </c>
      <c r="BU334">
        <f>COUNTIFS(Dyno_Data[Team],TBA_Matches_All[[#This Row],[Team]],Dyno_Data[Match],TBA_Matches_All[[#This Row],[Match_Number]],Dyno_Data[RecordType],"Activities", Dyno_Data[AcqLoc],"Neutral")</f>
        <v>3</v>
      </c>
      <c r="BV334">
        <f>COUNTIFS(Dyno_Data[Team],TBA_Matches_All[[#This Row],[Team]],Dyno_Data[Match],TBA_Matches_All[[#This Row],[Match_Number]],Dyno_Data[RecordType],"Activities", Dyno_Data[AcqLoc],"AllyWing")</f>
        <v>0</v>
      </c>
      <c r="BW334">
        <f>COUNTIFS(Dyno_Data[Team],TBA_Matches_All[[#This Row],[Team]],Dyno_Data[Match],TBA_Matches_All[[#This Row],[Match_Number]],Dyno_Data[RecordType],"Activities", Dyno_Data[AcqLoc],"Source")</f>
        <v>0</v>
      </c>
      <c r="BX334">
        <f>SUMIFS(Dyno_Data[AcqDrp], Dyno_Data[Team],TBA_Matches_All[[#This Row],[Team]],Dyno_Data[Match],TBA_Matches_All[[#This Row],[Match_Number]],Dyno_Data[RecordType],"Activities", Dyno_Data[AcqLoc],"Source")</f>
        <v>0</v>
      </c>
      <c r="BY334">
        <f>SUMIFS(Dyno_Data[OZTime], Dyno_Data[Team],TBA_Matches_All[[#This Row],[Team]],Dyno_Data[Match],TBA_Matches_All[[#This Row],[Match_Number]],Dyno_Data[RecordType],"EndMatch")</f>
        <v>59.9325951</v>
      </c>
      <c r="BZ334">
        <f>SUMIFS(Dyno_Data[NZTime], Dyno_Data[Team],TBA_Matches_All[[#This Row],[Team]],Dyno_Data[Match],TBA_Matches_All[[#This Row],[Match_Number]],Dyno_Data[RecordType],"EndMatch")</f>
        <v>39.030764499999997</v>
      </c>
      <c r="CA334">
        <f>SUMIFS(Dyno_Data[AZTime], Dyno_Data[Team],TBA_Matches_All[[#This Row],[Team]],Dyno_Data[Match],TBA_Matches_All[[#This Row],[Match_Number]],Dyno_Data[RecordType],"EndMatch")</f>
        <v>36.397482400000001</v>
      </c>
      <c r="CB334">
        <f>SUMIFS(Dyno_Data[ClimbT], Dyno_Data[Team],TBA_Matches_All[[#This Row],[Team]],Dyno_Data[Match],TBA_Matches_All[[#This Row],[Match_Number]],Dyno_Data[RecordType],"EndMatch")</f>
        <v>0</v>
      </c>
      <c r="CC334" t="str">
        <f>_xlfn.XLOOKUP(SUM(MID(TBA_Matches_All[[#This Row],[Team]],4,5),(TBA_Matches_All[[#This Row],[Match_Number]]/100)),Dyno_EndMatch[teammat],Dyno_EndMatch[StageStat],"_",0,1)</f>
        <v>Park</v>
      </c>
      <c r="CD334" t="str">
        <f>_xlfn.XLOOKUP(TBA_Matches_All[[#This Row],[teammat]],Dyno_EndMatch[teammat],Dyno_EndMatch[StageAtt],"_",0,1)</f>
        <v>0</v>
      </c>
      <c r="CE334" t="str">
        <f>_xlfn.XLOOKUP(TBA_Matches_All[[#This Row],[teammat]],Dyno_EndMatch[teammat],Dyno_EndMatch[StageLoc],"_",0,1)</f>
        <v>A</v>
      </c>
      <c r="CF334">
        <f>SUMIFS(Dyno_Data[Harmony], Dyno_Data[Team],TBA_Matches_All[[#This Row],[Team]],Dyno_Data[Match],TBA_Matches_All[[#This Row],[Match_Number]],Dyno_Data[RecordType],"EndMatch", Dyno_Data[StageStat],"On",Dyno_Data[Harmony],"&lt;&gt;9")</f>
        <v>0</v>
      </c>
      <c r="CG334">
        <f>SUMIFS(Dyno_Data[Spotlit], Dyno_Data[Team],TBA_Matches_All[[#This Row],[Team]],Dyno_Data[Match],TBA_Matches_All[[#This Row],[Match_Number]],Dyno_Data[RecordType],"EndMatch", Dyno_Data[StageStat],"On",Dyno_Data[Spotlit],"&lt;&gt;9")</f>
        <v>0</v>
      </c>
      <c r="CH334" t="str">
        <f>_xlfn.XLOOKUP(TBA_Matches_All[[#This Row],[teammat]],Dyno_EndMatch[teammat],Dyno_EndMatch[Strategy],"_",0,1)</f>
        <v>Hybrid</v>
      </c>
      <c r="CI334">
        <f>SUMIFS(Dyno_Data[Defense], Dyno_Data[Team],TBA_Matches_All[[#This Row],[Team]],Dyno_Data[Match],TBA_Matches_All[[#This Row],[Match_Number]],Dyno_Data[RecordType],"EndMatch",Dyno_Data[Defense],"&lt;&gt;9")</f>
        <v>0</v>
      </c>
      <c r="CJ334">
        <f>SUMIFS(Dyno_Data[Avoidance], Dyno_Data[Team],TBA_Matches_All[[#This Row],[Team]],Dyno_Data[Match],TBA_Matches_All[[#This Row],[Match_Number]],Dyno_Data[RecordType],"EndMatch",Dyno_Data[Avoidance],"&lt;&gt;9")</f>
        <v>1</v>
      </c>
      <c r="CK334" s="82">
        <f>COUNTIF($H$2:TBA_Matches_All[[#This Row],[Team]],TBA_Matches_All[[#This Row],[Team]])</f>
        <v>7</v>
      </c>
      <c r="CL334" s="111">
        <f>SUM(MID(TBA_Matches_All[[#This Row],[Team]],4,5)+TBA_Matches_All[[#This Row],[Match_Number]]/100)</f>
        <v>1591.56</v>
      </c>
      <c r="CM334">
        <f>SUM((TBA_Matches_All[[#This Row],[Leave]]*2)+(TBA_Matches_All[[#This Row],[AampT]]*2)+(TBA_Matches_All[[#This Row],[AspkrT]]*5)+(TBA_Matches_All[[#This Row],[AtrapT]]*5))</f>
        <v>22</v>
      </c>
      <c r="CN334" s="59">
        <f>IFERROR(SUM(TBA_Matches_All[[#This Row],[AptsT]]/TBA_Matches_All[[#This Row],[AutoPts]]),0)</f>
        <v>0.75862068965517238</v>
      </c>
      <c r="CO334" s="59">
        <f>IFERROR(SUM(TBA_Matches_All[[#This Row],[AampT]]+TBA_Matches_All[[#This Row],[AspkrT]]+TBA_Matches_All[[#This Row],[AtrapT]]/TBA_Matches_All[[#This Row],[Aamp]]+TBA_Matches_All[[#This Row],[Aspkr]]+TBA_Matches_All[[#This Row],[AtrapT]]),0)</f>
        <v>0</v>
      </c>
      <c r="CP334" s="59">
        <f>IFERROR(SUM(TBA_Matches_All[[#This Row],[TampT]]/TBA_Matches_All[[#This Row],[Tamp]]),0)</f>
        <v>0</v>
      </c>
      <c r="CQ334" s="59">
        <f>IFERROR(SUM(TBA_Matches_All[[#This Row],[TspkrT]]/TBA_Matches_All[[#This Row],[Tspkr]]),0)</f>
        <v>0.6</v>
      </c>
      <c r="CR334">
        <f>SUM(TBA_Matches_All[[#This Row],[TspkrPts]]*TBA_Matches_All[[#This Row],[TspkrP]])</f>
        <v>12</v>
      </c>
      <c r="CS334" s="59">
        <f>IFERROR(SUM(TBA_Matches_All[[#This Row],[TtrapT]]/TBA_Matches_All[[#This Row],[Trap]]),0)</f>
        <v>0</v>
      </c>
      <c r="CT334" s="59">
        <f>IFERROR(SUM(TBA_Matches_All[[#This Row],[TotNotesT]]/TBA_Matches_All[[#This Row],[TotNotes]]),0)</f>
        <v>0.58823529411764708</v>
      </c>
      <c r="CU334" s="66">
        <f>SUM((TBA_Matches_All[[#This Row],[AampT]]*2)+(TBA_Matches_All[[#This Row],[AspkrT]]*5)+(TBA_Matches_All[[#This Row],[AtrapT]]*5)+(TBA_Matches_All[[#This Row],[TampT]]*1)+(TBA_Matches_All[[#This Row],[TspkrptsC]]))</f>
        <v>32</v>
      </c>
      <c r="CV334" s="59">
        <f>IFERROR(TBA_Matches_All[[#This Row],[noteptsT]]/TBA_Matches_All[[#This Row],[NotePts]],0)</f>
        <v>0.68085106382978722</v>
      </c>
      <c r="CW334">
        <f>SUM(IF(TBA_Matches_All[[#This Row],[stageStat]]="On",3,0),IF(TBA_Matches_All[[#This Row],[stageStat]]="Park",1,0),SUMIFS(TBA_Matches_All[[#This Row],[Spotlit]],TBA_Matches_All[[#This Row],[stageStat]],"On"),SUMIFS(TBA_Matches_All[[#This Row],[Harmony]],TBA_Matches_All[[#This Row],[stageStat]],"On"))</f>
        <v>1</v>
      </c>
      <c r="CX334" s="59">
        <f>IFERROR(TBA_Matches_All[[#This Row],[stageptsT]]/TBA_Matches_All[[#This Row],[StagePts]],0)</f>
        <v>0.2</v>
      </c>
      <c r="CY334">
        <f>SUM((TBA_Matches_All[[#This Row],[AptsT]]+TBA_Matches_All[[#This Row],[TampT]]+TBA_Matches_All[[#This Row],[TspkrptsC]]+(TBA_Matches_All[[#This Row],[TtrapT]]*5)+TBA_Matches_All[[#This Row],[stageptsT]]))</f>
        <v>35</v>
      </c>
      <c r="CZ334" s="59">
        <f>IFERROR(SUM(TBA_Matches_All[[#This Row],[TotptsC]]/TBA_Matches_All[[#This Row],[Score]]),0)</f>
        <v>0.625</v>
      </c>
      <c r="DA334"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22.072916666666664</v>
      </c>
      <c r="DB334" s="74">
        <f>SUMIFS(TBA_Matches_All[AveTeamTNoteDels],TBA_Matches_All[Match_Number],TBA_Matches_All[[#This Row],[Match_Number]],TBA_Matches_All[Alliance],"&lt;&gt;"&amp;TBA_Matches_All[[#This Row],[Alliance]],TBA_Matches_All[Scouted],"&gt;0")</f>
        <v>29.729189560439561</v>
      </c>
      <c r="DC334" s="74">
        <f>(TBA_Matches_All[[#This Row],[TampT]]+TBA_Matches_All[[#This Row],[TspkrptsC]])-TBA_Matches_All[[#This Row],[AveTeamTNoteDels]]</f>
        <v>-10.072916666666664</v>
      </c>
      <c r="DD334" s="74">
        <f>SUMIFS(TBA_Matches_All[AveTeamTNoteDels],TBA_Matches_All[Match_Number],TBA_Matches_All[[#This Row],[Match_Number]],TBA_Matches_All[Alliance],"&lt;&gt;"&amp;TBA_Matches_All[[#This Row],[Alliance]])-TBA_Matches_All[[#This Row],[AveOppTNoteDels]]</f>
        <v>0</v>
      </c>
    </row>
    <row r="335" spans="1:108" x14ac:dyDescent="0.3">
      <c r="A335" t="s">
        <v>1042</v>
      </c>
      <c r="B335" t="s">
        <v>489</v>
      </c>
      <c r="C335" t="s">
        <v>1365</v>
      </c>
      <c r="D335">
        <v>56</v>
      </c>
      <c r="E335" t="s">
        <v>1420</v>
      </c>
      <c r="F335" t="s">
        <v>1421</v>
      </c>
      <c r="G335" t="s">
        <v>164</v>
      </c>
      <c r="H335" t="s">
        <v>1305</v>
      </c>
      <c r="I335" t="b">
        <v>1</v>
      </c>
      <c r="J335">
        <v>89</v>
      </c>
      <c r="K335">
        <v>1</v>
      </c>
      <c r="L335">
        <v>0</v>
      </c>
      <c r="M335">
        <v>0</v>
      </c>
      <c r="N335">
        <v>0</v>
      </c>
      <c r="O335">
        <v>5</v>
      </c>
      <c r="P335">
        <v>25</v>
      </c>
      <c r="Q335">
        <v>29</v>
      </c>
      <c r="R335">
        <v>6</v>
      </c>
      <c r="S335">
        <v>5</v>
      </c>
      <c r="T335">
        <v>5</v>
      </c>
      <c r="U335">
        <v>25</v>
      </c>
      <c r="V335">
        <v>10</v>
      </c>
      <c r="W335">
        <v>10</v>
      </c>
      <c r="X335">
        <v>35</v>
      </c>
      <c r="Y335">
        <v>41</v>
      </c>
      <c r="Z335">
        <v>0</v>
      </c>
      <c r="AA335">
        <v>0</v>
      </c>
      <c r="AB335">
        <v>21</v>
      </c>
      <c r="AC335">
        <v>66</v>
      </c>
      <c r="AD335">
        <v>5</v>
      </c>
      <c r="AE335">
        <f>IFERROR(6/(COUNTIF(Dyno_EndMatch[Match],TBA_Matches_All[[#This Row],[Match_Number]])),0)</f>
        <v>1</v>
      </c>
      <c r="AF335">
        <f>COUNTIFS(Dyno_Data[Team],TBA_Matches_All[[#This Row],[Team]],Dyno_Data[Match],TBA_Matches_All[[#This Row],[Match_Number]],Dyno_Data[RecordType],"EndMatch",Dyno_Data[HPAmp],"Y")</f>
        <v>1</v>
      </c>
      <c r="AG335">
        <f>SUMIFS(Dyno_Data[Mics], Dyno_Data[Team],TBA_Matches_All[[#This Row],[Team]],Dyno_Data[Match],TBA_Matches_All[[#This Row],[Match_Number]],Dyno_Data[RecordType],"EndMatch",Dyno_Data[HPAmp],"Y")</f>
        <v>1</v>
      </c>
      <c r="AH335">
        <f>SUMIFS(Dyno_Data[Leave], Dyno_Data[Team],TBA_Matches_All[[#This Row],[Team]],Dyno_Data[Match],TBA_Matches_All[[#This Row],[Match_Number]],Dyno_Data[RecordType],"EndAuto")</f>
        <v>1</v>
      </c>
      <c r="AI335">
        <f>COUNTIFS(Dyno_Data[Team],TBA_Matches_All[[#This Row],[Team]],Dyno_Data[Match],TBA_Matches_All[[#This Row],[Match_Number]],Dyno_Data[RecordType],"Activities",Dyno_Data[DelDest],"Amp", Dyno_Data[DelMiss],"0", Dyno_Data[Mode],"Auto")</f>
        <v>0</v>
      </c>
      <c r="AJ335">
        <f>COUNTIFS(Dyno_Data[Team],TBA_Matches_All[[#This Row],[Team]],Dyno_Data[Match],TBA_Matches_All[[#This Row],[Match_Number]],Dyno_Data[RecordType],"Activities",Dyno_Data[DelDest],"Spkr", Dyno_Data[DelMiss],"0", Dyno_Data[Mode],"Auto")</f>
        <v>4</v>
      </c>
      <c r="AK335">
        <f>COUNTIFS(Dyno_Data[Team],TBA_Matches_All[[#This Row],[Team]],Dyno_Data[Match],TBA_Matches_All[[#This Row],[Match_Number]],Dyno_Data[RecordType],"Activities",Dyno_Data[DelDest],"Trap", Dyno_Data[DelMiss],"0", Dyno_Data[Mode],"Auto")</f>
        <v>0</v>
      </c>
      <c r="AL335">
        <f>COUNTIFS(Dyno_Data[Team],TBA_Matches_All[[#This Row],[Team]],Dyno_Data[Match],TBA_Matches_All[[#This Row],[Match_Number]],Dyno_Data[RecordType],"Activities",Dyno_Data[DelDest],"Amp", Dyno_Data[DelMiss],"0", Dyno_Data[Mode],"Teleop")</f>
        <v>6</v>
      </c>
      <c r="AM335">
        <f>COUNTIFS(Dyno_Data[Team],TBA_Matches_All[[#This Row],[Team]],Dyno_Data[Match],TBA_Matches_All[[#This Row],[Match_Number]],Dyno_Data[RecordType],"Activities",Dyno_Data[DelDest],"Spkr", Dyno_Data[DelMiss],"0", Dyno_Data[Mode],"Teleop")</f>
        <v>5</v>
      </c>
      <c r="AN335">
        <f>COUNTIFS(Dyno_Data[Team],TBA_Matches_All[[#This Row],[Team]],Dyno_Data[Match],TBA_Matches_All[[#This Row],[Match_Number]],Dyno_Data[RecordType],"Activities",Dyno_Data[DelDest],"Trap", Dyno_Data[DelMiss],"0", Dyno_Data[Mode],"&lt;&gt;Auto")</f>
        <v>0</v>
      </c>
      <c r="AO335">
        <f>SUM(TBA_Matches_All[[#This Row],[AampT]]+TBA_Matches_All[[#This Row],[AspkrT]]+TBA_Matches_All[[#This Row],[AtrapT]]+TBA_Matches_All[[#This Row],[TampT]]+TBA_Matches_All[[#This Row],[TspkrT]]+TBA_Matches_All[[#This Row],[TtrapT]])</f>
        <v>15</v>
      </c>
      <c r="AP335">
        <f>COUNTIFS(Dyno_Data[Team],TBA_Matches_All[[#This Row],[Team]],Dyno_Data[Match],TBA_Matches_All[[#This Row],[Match_Number]],Dyno_Data[RecordType],"Activities",Dyno_Data[DelDest],"Neut", Dyno_Data[DelMiss],"0")</f>
        <v>0</v>
      </c>
      <c r="AQ335">
        <f>COUNTIFS(Dyno_Data[Team],TBA_Matches_All[[#This Row],[Team]],Dyno_Data[Match],TBA_Matches_All[[#This Row],[Match_Number]],Dyno_Data[RecordType],"Activities",Dyno_Data[DelDest],"AllyW", Dyno_Data[DelMiss],"0")</f>
        <v>1</v>
      </c>
      <c r="AR335" t="str">
        <f>_xlfn.XLOOKUP(SUM(MID(TBA_Matches_All[[#This Row],[Team]],4,5),(TBA_Matches_All[[#This Row],[Match_Number]]/100)),Dyno_EndMatch[teammat],Dyno_EndMatch[RobotSta],"_",0,1)</f>
        <v>Amp</v>
      </c>
      <c r="AS335">
        <f>SUMIFS(Dyno_Data[AcqDis], Dyno_Data[Team],TBA_Matches_All[[#This Row],[Team]],Dyno_Data[Match],TBA_Matches_All[[#This Row],[Match_Number]],Dyno_Data[RecordType],"Activities", Dyno_Data[AcqCenter],1,Dyno_Data[Mode],"Auto")</f>
        <v>0</v>
      </c>
      <c r="AT335">
        <f>SUMIFS(Dyno_Data[AcqDis], Dyno_Data[Team],TBA_Matches_All[[#This Row],[Team]],Dyno_Data[Match],TBA_Matches_All[[#This Row],[Match_Number]],Dyno_Data[RecordType],"Activities", Dyno_Data[AcqCenter],2,Dyno_Data[Mode],"Auto")</f>
        <v>0</v>
      </c>
      <c r="AU335">
        <f>SUMIFS(Dyno_Data[AcqDis], Dyno_Data[Team],TBA_Matches_All[[#This Row],[Team]],Dyno_Data[Match],TBA_Matches_All[[#This Row],[Match_Number]],Dyno_Data[RecordType],"Activities", Dyno_Data[AcqCenter],3,Dyno_Data[Mode],"Auto")</f>
        <v>0</v>
      </c>
      <c r="AV335">
        <f>SUMIFS(Dyno_Data[AcqDis], Dyno_Data[Team],TBA_Matches_All[[#This Row],[Team]],Dyno_Data[Match],TBA_Matches_All[[#This Row],[Match_Number]],Dyno_Data[RecordType],"Activities", Dyno_Data[AcqCenter],4,Dyno_Data[Mode],"Auto")</f>
        <v>0</v>
      </c>
      <c r="AW335">
        <f>SUMIFS(Dyno_Data[AcqDis], Dyno_Data[Team],TBA_Matches_All[[#This Row],[Team]],Dyno_Data[Match],TBA_Matches_All[[#This Row],[Match_Number]],Dyno_Data[RecordType],"Activities", Dyno_Data[AcqCenter],5,Dyno_Data[Mode],"Auto")</f>
        <v>-1</v>
      </c>
      <c r="AX335">
        <f>SUMIFS(Dyno_Data[DelMiss], Dyno_Data[Team],TBA_Matches_All[[#This Row],[Team]],Dyno_Data[Match],TBA_Matches_All[[#This Row],[Match_Number]],Dyno_Data[RecordType],"Activities", Dyno_Data[DelDest],"Amp")</f>
        <v>0</v>
      </c>
      <c r="AY335" s="60">
        <f>IFERROR(SUM((TBA_Matches_All[[#This Row],[AampT]]+TBA_Matches_All[[#This Row],[TampT]])/(TBA_Matches_All[[#This Row],[AampT]]+TBA_Matches_All[[#This Row],[TampT]]+TBA_Matches_All[[#This Row],[ampM]])),0)</f>
        <v>1</v>
      </c>
      <c r="AZ335">
        <f>SUMIFS(Dyno_Data[DelMiss], Dyno_Data[Team],TBA_Matches_All[[#This Row],[Team]],Dyno_Data[Match],TBA_Matches_All[[#This Row],[Match_Number]],Dyno_Data[RecordType],"Activities", Dyno_Data[DelDest],"Spkr")</f>
        <v>0</v>
      </c>
      <c r="BA335" s="60">
        <f>IFERROR(SUM((TBA_Matches_All[[#This Row],[AspkrT]]+TBA_Matches_All[[#This Row],[TspkrT]])/(TBA_Matches_All[[#This Row],[AspkrT]]+TBA_Matches_All[[#This Row],[TspkrT]]+TBA_Matches_All[[#This Row],[spkrM]])),0)</f>
        <v>1</v>
      </c>
      <c r="BB335">
        <f>SUMIFS(Dyno_Data[DelMiss], Dyno_Data[Team],TBA_Matches_All[[#This Row],[Team]],Dyno_Data[Match],TBA_Matches_All[[#This Row],[Match_Number]],Dyno_Data[RecordType],"Activities", Dyno_Data[DelDest],"Trap")</f>
        <v>0</v>
      </c>
      <c r="BC335" s="60">
        <f>IFERROR((TBA_Matches_All[[#This Row],[AtrapT]]+TBA_Matches_All[[#This Row],[TtrapT]])/(TBA_Matches_All[[#This Row],[AtrapT]]+TBA_Matches_All[[#This Row],[TtrapT]]+TBA_Matches_All[[#This Row],[trapM]]),0)</f>
        <v>0</v>
      </c>
      <c r="BD335">
        <f>COUNTIFS(Dyno_Data[Team],TBA_Matches_All[[#This Row],[Team]],Dyno_Data[Match],TBA_Matches_All[[#This Row],[Match_Number]],Dyno_Data[RecordType],"Activities",Dyno_Data[DelDest],"Neut", Dyno_Data[DelMiss],1)</f>
        <v>0</v>
      </c>
      <c r="BE335" s="60">
        <f>IFERROR(SUM((TBA_Matches_All[[#This Row],[NeutFlrT]])/(TBA_Matches_All[[#This Row],[NeutFlrT]]+TBA_Matches_All[[#This Row],[NZflM]])),0)</f>
        <v>0</v>
      </c>
      <c r="BF335">
        <f>COUNTIFS(Dyno_Data[Team],TBA_Matches_All[[#This Row],[Team]],Dyno_Data[Match],TBA_Matches_All[[#This Row],[Match_Number]],Dyno_Data[RecordType],"Activities",Dyno_Data[DelDest],"AllyW", Dyno_Data[DelMiss],1)</f>
        <v>0</v>
      </c>
      <c r="BG335" s="60">
        <f>IFERROR(SUM((TBA_Matches_All[[#This Row],[AllyWFlrT]])/(TBA_Matches_All[[#This Row],[AllyWFlrT]]+TBA_Matches_All[[#This Row],[AZflM]])),0)</f>
        <v>1</v>
      </c>
      <c r="BH335">
        <f>COUNTIFS(Dyno_Data[Team],TBA_Matches_All[[#This Row],[Team]],Dyno_Data[Match],TBA_Matches_All[[#This Row],[Match_Number]],Dyno_Data[RecordType],"Activities",Dyno_Data[DelOrig],"OppW", Dyno_Data[DelMiss],"0")</f>
        <v>0</v>
      </c>
      <c r="BI335">
        <f>COUNTIFS(Dyno_Data[Team],TBA_Matches_All[[#This Row],[Team]],Dyno_Data[Match],TBA_Matches_All[[#This Row],[Match_Number]],Dyno_Data[RecordType],"Activities",Dyno_Data[DelOrig],"OppW", Dyno_Data[DelMiss],"1")</f>
        <v>0</v>
      </c>
      <c r="BJ335" s="60">
        <f>IFERROR(SUM((TBA_Matches_All[[#This Row],[OZflrT]])/(TBA_Matches_All[[#This Row],[OZflrT]]+TBA_Matches_All[[#This Row],[OZflrM]])),0)</f>
        <v>0</v>
      </c>
      <c r="BK335">
        <f>COUNTIFS(Dyno_Data[Team],TBA_Matches_All[[#This Row],[Team]],Dyno_Data[Match],TBA_Matches_All[[#This Row],[Match_Number]],Dyno_Data[RecordType],"Activities",Dyno_Data[DelOrig],"Neut", Dyno_Data[DelMiss],"0")</f>
        <v>0</v>
      </c>
      <c r="BL335">
        <f>COUNTIFS(Dyno_Data[Team],TBA_Matches_All[[#This Row],[Team]],Dyno_Data[Match],TBA_Matches_All[[#This Row],[Match_Number]],Dyno_Data[RecordType],"Activities",Dyno_Data[DelOrig],"Neut", Dyno_Data[DelMiss],"1")</f>
        <v>0</v>
      </c>
      <c r="BM335" s="60">
        <f>IFERROR(SUM((TBA_Matches_All[[#This Row],[NZflrT]])/(TBA_Matches_All[[#This Row],[NZflrT]]+TBA_Matches_All[[#This Row],[NZflrM]])),0)</f>
        <v>0</v>
      </c>
      <c r="BN335">
        <f>COUNTIFS(Dyno_Data[Team],TBA_Matches_All[[#This Row],[Team]],Dyno_Data[Match],TBA_Matches_All[[#This Row],[Match_Number]],Dyno_Data[RecordType],"Activities",Dyno_Data[DelOrig],"AllyW", Dyno_Data[DelMiss],"0")</f>
        <v>13</v>
      </c>
      <c r="BO335">
        <f>COUNTIFS(Dyno_Data[Team],TBA_Matches_All[[#This Row],[Team]],Dyno_Data[Match],TBA_Matches_All[[#This Row],[Match_Number]],Dyno_Data[RecordType],"Activities",Dyno_Data[DelOrig],"AllyW", Dyno_Data[DelMiss],"1")</f>
        <v>0</v>
      </c>
      <c r="BP335" s="60">
        <f>IFERROR(SUM((TBA_Matches_All[[#This Row],[AZflrT]])/(TBA_Matches_All[[#This Row],[AZflrT]]+TBA_Matches_All[[#This Row],[AZflrM]])),0)</f>
        <v>1</v>
      </c>
      <c r="BQ335">
        <f>COUNTIFS(Dyno_Data[Team],TBA_Matches_All[[#This Row],[Team]],Dyno_Data[Match],TBA_Matches_All[[#This Row],[Match_Number]],Dyno_Data[RecordType],"Activities",Dyno_Data[DelOrig],"SubW", Dyno_Data[DelMiss],"0")</f>
        <v>3</v>
      </c>
      <c r="BR335">
        <f>COUNTIFS(Dyno_Data[Team],TBA_Matches_All[[#This Row],[Team]],Dyno_Data[Match],TBA_Matches_All[[#This Row],[Match_Number]],Dyno_Data[RecordType],"Activities",Dyno_Data[DelOrig],"SubW", Dyno_Data[DelMiss],"1")</f>
        <v>0</v>
      </c>
      <c r="BS335" s="60">
        <f>IFERROR(SUM((TBA_Matches_All[[#This Row],[SubwT]])/(TBA_Matches_All[[#This Row],[SubwT]]+TBA_Matches_All[[#This Row],[SubwM]])),0)</f>
        <v>1</v>
      </c>
      <c r="BT335">
        <f>COUNTIFS(Dyno_Data[Team],TBA_Matches_All[[#This Row],[Team]],Dyno_Data[Match],TBA_Matches_All[[#This Row],[Match_Number]],Dyno_Data[RecordType],"Activities", Dyno_Data[AcqLoc],"OppWing")</f>
        <v>0</v>
      </c>
      <c r="BU335">
        <f>COUNTIFS(Dyno_Data[Team],TBA_Matches_All[[#This Row],[Team]],Dyno_Data[Match],TBA_Matches_All[[#This Row],[Match_Number]],Dyno_Data[RecordType],"Activities", Dyno_Data[AcqLoc],"Neutral")</f>
        <v>1</v>
      </c>
      <c r="BV335">
        <f>COUNTIFS(Dyno_Data[Team],TBA_Matches_All[[#This Row],[Team]],Dyno_Data[Match],TBA_Matches_All[[#This Row],[Match_Number]],Dyno_Data[RecordType],"Activities", Dyno_Data[AcqLoc],"AllyWing")</f>
        <v>0</v>
      </c>
      <c r="BW335">
        <f>COUNTIFS(Dyno_Data[Team],TBA_Matches_All[[#This Row],[Team]],Dyno_Data[Match],TBA_Matches_All[[#This Row],[Match_Number]],Dyno_Data[RecordType],"Activities", Dyno_Data[AcqLoc],"Source")</f>
        <v>0</v>
      </c>
      <c r="BX335">
        <f>SUMIFS(Dyno_Data[AcqDrp], Dyno_Data[Team],TBA_Matches_All[[#This Row],[Team]],Dyno_Data[Match],TBA_Matches_All[[#This Row],[Match_Number]],Dyno_Data[RecordType],"Activities", Dyno_Data[AcqLoc],"Source")</f>
        <v>0</v>
      </c>
      <c r="BY335">
        <f>SUMIFS(Dyno_Data[OZTime], Dyno_Data[Team],TBA_Matches_All[[#This Row],[Team]],Dyno_Data[Match],TBA_Matches_All[[#This Row],[Match_Number]],Dyno_Data[RecordType],"EndMatch")</f>
        <v>36.4008501</v>
      </c>
      <c r="BZ335">
        <f>SUMIFS(Dyno_Data[NZTime], Dyno_Data[Team],TBA_Matches_All[[#This Row],[Team]],Dyno_Data[Match],TBA_Matches_All[[#This Row],[Match_Number]],Dyno_Data[RecordType],"EndMatch")</f>
        <v>36.270195099999995</v>
      </c>
      <c r="CA335">
        <f>SUMIFS(Dyno_Data[AZTime], Dyno_Data[Team],TBA_Matches_All[[#This Row],[Team]],Dyno_Data[Match],TBA_Matches_All[[#This Row],[Match_Number]],Dyno_Data[RecordType],"EndMatch")</f>
        <v>62.556812199999996</v>
      </c>
      <c r="CB335">
        <f>SUMIFS(Dyno_Data[ClimbT], Dyno_Data[Team],TBA_Matches_All[[#This Row],[Team]],Dyno_Data[Match],TBA_Matches_All[[#This Row],[Match_Number]],Dyno_Data[RecordType],"EndMatch")</f>
        <v>0</v>
      </c>
      <c r="CC335" t="str">
        <f>_xlfn.XLOOKUP(SUM(MID(TBA_Matches_All[[#This Row],[Team]],4,5),(TBA_Matches_All[[#This Row],[Match_Number]]/100)),Dyno_EndMatch[teammat],Dyno_EndMatch[StageStat],"_",0,1)</f>
        <v>Park</v>
      </c>
      <c r="CD335" t="str">
        <f>_xlfn.XLOOKUP(TBA_Matches_All[[#This Row],[teammat]],Dyno_EndMatch[teammat],Dyno_EndMatch[StageAtt],"_",0,1)</f>
        <v>0</v>
      </c>
      <c r="CE335" t="str">
        <f>_xlfn.XLOOKUP(TBA_Matches_All[[#This Row],[teammat]],Dyno_EndMatch[teammat],Dyno_EndMatch[StageLoc],"_",0,1)</f>
        <v>A</v>
      </c>
      <c r="CF335">
        <f>SUMIFS(Dyno_Data[Harmony], Dyno_Data[Team],TBA_Matches_All[[#This Row],[Team]],Dyno_Data[Match],TBA_Matches_All[[#This Row],[Match_Number]],Dyno_Data[RecordType],"EndMatch", Dyno_Data[StageStat],"On",Dyno_Data[Harmony],"&lt;&gt;9")</f>
        <v>0</v>
      </c>
      <c r="CG335">
        <f>SUMIFS(Dyno_Data[Spotlit], Dyno_Data[Team],TBA_Matches_All[[#This Row],[Team]],Dyno_Data[Match],TBA_Matches_All[[#This Row],[Match_Number]],Dyno_Data[RecordType],"EndMatch", Dyno_Data[StageStat],"On",Dyno_Data[Spotlit],"&lt;&gt;9")</f>
        <v>0</v>
      </c>
      <c r="CH335" t="str">
        <f>_xlfn.XLOOKUP(TBA_Matches_All[[#This Row],[teammat]],Dyno_EndMatch[teammat],Dyno_EndMatch[Strategy],"_",0,1)</f>
        <v>Hybrid</v>
      </c>
      <c r="CI335">
        <f>SUMIFS(Dyno_Data[Defense], Dyno_Data[Team],TBA_Matches_All[[#This Row],[Team]],Dyno_Data[Match],TBA_Matches_All[[#This Row],[Match_Number]],Dyno_Data[RecordType],"EndMatch",Dyno_Data[Defense],"&lt;&gt;9")</f>
        <v>0</v>
      </c>
      <c r="CJ335">
        <f>SUMIFS(Dyno_Data[Avoidance], Dyno_Data[Team],TBA_Matches_All[[#This Row],[Team]],Dyno_Data[Match],TBA_Matches_All[[#This Row],[Match_Number]],Dyno_Data[RecordType],"EndMatch",Dyno_Data[Avoidance],"&lt;&gt;9")</f>
        <v>1</v>
      </c>
      <c r="CK335" s="82">
        <f>COUNTIF($H$2:TBA_Matches_All[[#This Row],[Team]],TBA_Matches_All[[#This Row],[Team]])</f>
        <v>7</v>
      </c>
      <c r="CL335" s="111">
        <f>SUM(MID(TBA_Matches_All[[#This Row],[Team]],4,5)+TBA_Matches_All[[#This Row],[Match_Number]]/100)</f>
        <v>3173.56</v>
      </c>
      <c r="CM335">
        <f>SUM((TBA_Matches_All[[#This Row],[Leave]]*2)+(TBA_Matches_All[[#This Row],[AampT]]*2)+(TBA_Matches_All[[#This Row],[AspkrT]]*5)+(TBA_Matches_All[[#This Row],[AtrapT]]*5))</f>
        <v>22</v>
      </c>
      <c r="CN335" s="59">
        <f>IFERROR(SUM(TBA_Matches_All[[#This Row],[AptsT]]/TBA_Matches_All[[#This Row],[AutoPts]]),0)</f>
        <v>0.75862068965517238</v>
      </c>
      <c r="CO335" s="59">
        <f>IFERROR(SUM(TBA_Matches_All[[#This Row],[AampT]]+TBA_Matches_All[[#This Row],[AspkrT]]+TBA_Matches_All[[#This Row],[AtrapT]]/TBA_Matches_All[[#This Row],[Aamp]]+TBA_Matches_All[[#This Row],[Aspkr]]+TBA_Matches_All[[#This Row],[AtrapT]]),0)</f>
        <v>0</v>
      </c>
      <c r="CP335" s="59">
        <f>IFERROR(SUM(TBA_Matches_All[[#This Row],[TampT]]/TBA_Matches_All[[#This Row],[Tamp]]),0)</f>
        <v>1</v>
      </c>
      <c r="CQ335" s="59">
        <f>IFERROR(SUM(TBA_Matches_All[[#This Row],[TspkrT]]/TBA_Matches_All[[#This Row],[Tspkr]]),0)</f>
        <v>0.5</v>
      </c>
      <c r="CR335">
        <f>SUM(TBA_Matches_All[[#This Row],[TspkrPts]]*TBA_Matches_All[[#This Row],[TspkrP]])</f>
        <v>17.5</v>
      </c>
      <c r="CS335" s="59">
        <f>IFERROR(SUM(TBA_Matches_All[[#This Row],[TtrapT]]/TBA_Matches_All[[#This Row],[Trap]]),0)</f>
        <v>0</v>
      </c>
      <c r="CT335" s="59">
        <f>IFERROR(SUM(TBA_Matches_All[[#This Row],[TotNotesT]]/TBA_Matches_All[[#This Row],[TotNotes]]),0)</f>
        <v>0.7142857142857143</v>
      </c>
      <c r="CU335" s="66">
        <f>SUM((TBA_Matches_All[[#This Row],[AampT]]*2)+(TBA_Matches_All[[#This Row],[AspkrT]]*5)+(TBA_Matches_All[[#This Row],[AtrapT]]*5)+(TBA_Matches_All[[#This Row],[TampT]]*1)+(TBA_Matches_All[[#This Row],[TspkrptsC]]))</f>
        <v>43.5</v>
      </c>
      <c r="CV335" s="59">
        <f>IFERROR(TBA_Matches_All[[#This Row],[noteptsT]]/TBA_Matches_All[[#This Row],[NotePts]],0)</f>
        <v>0.65909090909090906</v>
      </c>
      <c r="CW335">
        <f>SUM(IF(TBA_Matches_All[[#This Row],[stageStat]]="On",3,0),IF(TBA_Matches_All[[#This Row],[stageStat]]="Park",1,0),SUMIFS(TBA_Matches_All[[#This Row],[Spotlit]],TBA_Matches_All[[#This Row],[stageStat]],"On"),SUMIFS(TBA_Matches_All[[#This Row],[Harmony]],TBA_Matches_All[[#This Row],[stageStat]],"On"))</f>
        <v>1</v>
      </c>
      <c r="CX335" s="59">
        <f>IFERROR(TBA_Matches_All[[#This Row],[stageptsT]]/TBA_Matches_All[[#This Row],[StagePts]],0)</f>
        <v>0.2</v>
      </c>
      <c r="CY335">
        <f>SUM((TBA_Matches_All[[#This Row],[AptsT]]+TBA_Matches_All[[#This Row],[TampT]]+TBA_Matches_All[[#This Row],[TspkrptsC]]+(TBA_Matches_All[[#This Row],[TtrapT]]*5)+TBA_Matches_All[[#This Row],[stageptsT]]))</f>
        <v>46.5</v>
      </c>
      <c r="CZ335" s="59">
        <f>IFERROR(SUM(TBA_Matches_All[[#This Row],[TotptsC]]/TBA_Matches_All[[#This Row],[Score]]),0)</f>
        <v>0.52247191011235961</v>
      </c>
      <c r="DA335"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19.279189560439562</v>
      </c>
      <c r="DB335" s="74">
        <f>SUMIFS(TBA_Matches_All[AveTeamTNoteDels],TBA_Matches_All[Match_Number],TBA_Matches_All[[#This Row],[Match_Number]],TBA_Matches_All[Alliance],"&lt;&gt;"&amp;TBA_Matches_All[[#This Row],[Alliance]],TBA_Matches_All[Scouted],"&gt;0")</f>
        <v>42.079583333333332</v>
      </c>
      <c r="DC335" s="74">
        <f>(TBA_Matches_All[[#This Row],[TampT]]+TBA_Matches_All[[#This Row],[TspkrptsC]])-TBA_Matches_All[[#This Row],[AveTeamTNoteDels]]</f>
        <v>4.220810439560438</v>
      </c>
      <c r="DD335" s="74">
        <f>SUMIFS(TBA_Matches_All[AveTeamTNoteDels],TBA_Matches_All[Match_Number],TBA_Matches_All[[#This Row],[Match_Number]],TBA_Matches_All[Alliance],"&lt;&gt;"&amp;TBA_Matches_All[[#This Row],[Alliance]])-TBA_Matches_All[[#This Row],[AveOppTNoteDels]]</f>
        <v>0</v>
      </c>
    </row>
    <row r="336" spans="1:108" x14ac:dyDescent="0.3">
      <c r="A336" t="s">
        <v>1042</v>
      </c>
      <c r="B336" t="s">
        <v>489</v>
      </c>
      <c r="C336" t="s">
        <v>1365</v>
      </c>
      <c r="D336">
        <v>56</v>
      </c>
      <c r="E336" t="s">
        <v>1406</v>
      </c>
      <c r="F336" t="s">
        <v>1422</v>
      </c>
      <c r="G336" t="s">
        <v>105</v>
      </c>
      <c r="H336" t="s">
        <v>364</v>
      </c>
      <c r="I336" t="b">
        <v>1</v>
      </c>
      <c r="J336">
        <v>56</v>
      </c>
      <c r="K336">
        <v>1</v>
      </c>
      <c r="L336">
        <v>0</v>
      </c>
      <c r="M336">
        <v>14</v>
      </c>
      <c r="N336">
        <v>0</v>
      </c>
      <c r="O336">
        <v>5</v>
      </c>
      <c r="P336">
        <v>25</v>
      </c>
      <c r="Q336">
        <v>29</v>
      </c>
      <c r="R336">
        <v>2</v>
      </c>
      <c r="S336">
        <v>0</v>
      </c>
      <c r="T336">
        <v>10</v>
      </c>
      <c r="U336">
        <v>0</v>
      </c>
      <c r="V336">
        <v>20</v>
      </c>
      <c r="W336">
        <v>10</v>
      </c>
      <c r="X336">
        <v>20</v>
      </c>
      <c r="Y336">
        <v>22</v>
      </c>
      <c r="Z336">
        <v>0</v>
      </c>
      <c r="AA336">
        <v>0</v>
      </c>
      <c r="AB336">
        <v>17</v>
      </c>
      <c r="AC336">
        <v>47</v>
      </c>
      <c r="AD336">
        <v>5</v>
      </c>
      <c r="AE336">
        <f>IFERROR(6/(COUNTIF(Dyno_EndMatch[Match],TBA_Matches_All[[#This Row],[Match_Number]])),0)</f>
        <v>1</v>
      </c>
      <c r="AF336">
        <f>COUNTIFS(Dyno_Data[Team],TBA_Matches_All[[#This Row],[Team]],Dyno_Data[Match],TBA_Matches_All[[#This Row],[Match_Number]],Dyno_Data[RecordType],"EndMatch",Dyno_Data[HPAmp],"Y")</f>
        <v>1</v>
      </c>
      <c r="AG336">
        <f>SUMIFS(Dyno_Data[Mics], Dyno_Data[Team],TBA_Matches_All[[#This Row],[Team]],Dyno_Data[Match],TBA_Matches_All[[#This Row],[Match_Number]],Dyno_Data[RecordType],"EndMatch",Dyno_Data[HPAmp],"Y")</f>
        <v>1</v>
      </c>
      <c r="AH336">
        <f>SUMIFS(Dyno_Data[Leave], Dyno_Data[Team],TBA_Matches_All[[#This Row],[Team]],Dyno_Data[Match],TBA_Matches_All[[#This Row],[Match_Number]],Dyno_Data[RecordType],"EndAuto")</f>
        <v>1</v>
      </c>
      <c r="AI336">
        <f>COUNTIFS(Dyno_Data[Team],TBA_Matches_All[[#This Row],[Team]],Dyno_Data[Match],TBA_Matches_All[[#This Row],[Match_Number]],Dyno_Data[RecordType],"Activities",Dyno_Data[DelDest],"Amp", Dyno_Data[DelMiss],"0", Dyno_Data[Mode],"Auto")</f>
        <v>0</v>
      </c>
      <c r="AJ336">
        <f>COUNTIFS(Dyno_Data[Team],TBA_Matches_All[[#This Row],[Team]],Dyno_Data[Match],TBA_Matches_All[[#This Row],[Match_Number]],Dyno_Data[RecordType],"Activities",Dyno_Data[DelDest],"Spkr", Dyno_Data[DelMiss],"0", Dyno_Data[Mode],"Auto")</f>
        <v>0</v>
      </c>
      <c r="AK336">
        <f>COUNTIFS(Dyno_Data[Team],TBA_Matches_All[[#This Row],[Team]],Dyno_Data[Match],TBA_Matches_All[[#This Row],[Match_Number]],Dyno_Data[RecordType],"Activities",Dyno_Data[DelDest],"Trap", Dyno_Data[DelMiss],"0", Dyno_Data[Mode],"Auto")</f>
        <v>0</v>
      </c>
      <c r="AL336">
        <f>COUNTIFS(Dyno_Data[Team],TBA_Matches_All[[#This Row],[Team]],Dyno_Data[Match],TBA_Matches_All[[#This Row],[Match_Number]],Dyno_Data[RecordType],"Activities",Dyno_Data[DelDest],"Amp", Dyno_Data[DelMiss],"0", Dyno_Data[Mode],"Teleop")</f>
        <v>2</v>
      </c>
      <c r="AM336">
        <f>COUNTIFS(Dyno_Data[Team],TBA_Matches_All[[#This Row],[Team]],Dyno_Data[Match],TBA_Matches_All[[#This Row],[Match_Number]],Dyno_Data[RecordType],"Activities",Dyno_Data[DelDest],"Spkr", Dyno_Data[DelMiss],"0", Dyno_Data[Mode],"Teleop")</f>
        <v>0</v>
      </c>
      <c r="AN336">
        <f>COUNTIFS(Dyno_Data[Team],TBA_Matches_All[[#This Row],[Team]],Dyno_Data[Match],TBA_Matches_All[[#This Row],[Match_Number]],Dyno_Data[RecordType],"Activities",Dyno_Data[DelDest],"Trap", Dyno_Data[DelMiss],"0", Dyno_Data[Mode],"&lt;&gt;Auto")</f>
        <v>0</v>
      </c>
      <c r="AO336">
        <f>SUM(TBA_Matches_All[[#This Row],[AampT]]+TBA_Matches_All[[#This Row],[AspkrT]]+TBA_Matches_All[[#This Row],[AtrapT]]+TBA_Matches_All[[#This Row],[TampT]]+TBA_Matches_All[[#This Row],[TspkrT]]+TBA_Matches_All[[#This Row],[TtrapT]])</f>
        <v>2</v>
      </c>
      <c r="AP336">
        <f>COUNTIFS(Dyno_Data[Team],TBA_Matches_All[[#This Row],[Team]],Dyno_Data[Match],TBA_Matches_All[[#This Row],[Match_Number]],Dyno_Data[RecordType],"Activities",Dyno_Data[DelDest],"Neut", Dyno_Data[DelMiss],"0")</f>
        <v>0</v>
      </c>
      <c r="AQ336">
        <f>COUNTIFS(Dyno_Data[Team],TBA_Matches_All[[#This Row],[Team]],Dyno_Data[Match],TBA_Matches_All[[#This Row],[Match_Number]],Dyno_Data[RecordType],"Activities",Dyno_Data[DelDest],"AllyW", Dyno_Data[DelMiss],"0")</f>
        <v>0</v>
      </c>
      <c r="AR336" t="str">
        <f>_xlfn.XLOOKUP(SUM(MID(TBA_Matches_All[[#This Row],[Team]],4,5),(TBA_Matches_All[[#This Row],[Match_Number]]/100)),Dyno_EndMatch[teammat],Dyno_EndMatch[RobotSta],"_",0,1)</f>
        <v>Podm</v>
      </c>
      <c r="AS336">
        <f>SUMIFS(Dyno_Data[AcqDis], Dyno_Data[Team],TBA_Matches_All[[#This Row],[Team]],Dyno_Data[Match],TBA_Matches_All[[#This Row],[Match_Number]],Dyno_Data[RecordType],"Activities", Dyno_Data[AcqCenter],1,Dyno_Data[Mode],"Auto")</f>
        <v>0</v>
      </c>
      <c r="AT336">
        <f>SUMIFS(Dyno_Data[AcqDis], Dyno_Data[Team],TBA_Matches_All[[#This Row],[Team]],Dyno_Data[Match],TBA_Matches_All[[#This Row],[Match_Number]],Dyno_Data[RecordType],"Activities", Dyno_Data[AcqCenter],2,Dyno_Data[Mode],"Auto")</f>
        <v>-1</v>
      </c>
      <c r="AU336">
        <f>SUMIFS(Dyno_Data[AcqDis], Dyno_Data[Team],TBA_Matches_All[[#This Row],[Team]],Dyno_Data[Match],TBA_Matches_All[[#This Row],[Match_Number]],Dyno_Data[RecordType],"Activities", Dyno_Data[AcqCenter],3,Dyno_Data[Mode],"Auto")</f>
        <v>0</v>
      </c>
      <c r="AV336">
        <f>SUMIFS(Dyno_Data[AcqDis], Dyno_Data[Team],TBA_Matches_All[[#This Row],[Team]],Dyno_Data[Match],TBA_Matches_All[[#This Row],[Match_Number]],Dyno_Data[RecordType],"Activities", Dyno_Data[AcqCenter],4,Dyno_Data[Mode],"Auto")</f>
        <v>0</v>
      </c>
      <c r="AW336">
        <f>SUMIFS(Dyno_Data[AcqDis], Dyno_Data[Team],TBA_Matches_All[[#This Row],[Team]],Dyno_Data[Match],TBA_Matches_All[[#This Row],[Match_Number]],Dyno_Data[RecordType],"Activities", Dyno_Data[AcqCenter],5,Dyno_Data[Mode],"Auto")</f>
        <v>0</v>
      </c>
      <c r="AX336">
        <f>SUMIFS(Dyno_Data[DelMiss], Dyno_Data[Team],TBA_Matches_All[[#This Row],[Team]],Dyno_Data[Match],TBA_Matches_All[[#This Row],[Match_Number]],Dyno_Data[RecordType],"Activities", Dyno_Data[DelDest],"Amp")</f>
        <v>0</v>
      </c>
      <c r="AY336" s="60">
        <f>IFERROR(SUM((TBA_Matches_All[[#This Row],[AampT]]+TBA_Matches_All[[#This Row],[TampT]])/(TBA_Matches_All[[#This Row],[AampT]]+TBA_Matches_All[[#This Row],[TampT]]+TBA_Matches_All[[#This Row],[ampM]])),0)</f>
        <v>1</v>
      </c>
      <c r="AZ336">
        <f>SUMIFS(Dyno_Data[DelMiss], Dyno_Data[Team],TBA_Matches_All[[#This Row],[Team]],Dyno_Data[Match],TBA_Matches_All[[#This Row],[Match_Number]],Dyno_Data[RecordType],"Activities", Dyno_Data[DelDest],"Spkr")</f>
        <v>1</v>
      </c>
      <c r="BA336" s="60">
        <f>IFERROR(SUM((TBA_Matches_All[[#This Row],[AspkrT]]+TBA_Matches_All[[#This Row],[TspkrT]])/(TBA_Matches_All[[#This Row],[AspkrT]]+TBA_Matches_All[[#This Row],[TspkrT]]+TBA_Matches_All[[#This Row],[spkrM]])),0)</f>
        <v>0</v>
      </c>
      <c r="BB336">
        <f>SUMIFS(Dyno_Data[DelMiss], Dyno_Data[Team],TBA_Matches_All[[#This Row],[Team]],Dyno_Data[Match],TBA_Matches_All[[#This Row],[Match_Number]],Dyno_Data[RecordType],"Activities", Dyno_Data[DelDest],"Trap")</f>
        <v>0</v>
      </c>
      <c r="BC336" s="60">
        <f>IFERROR((TBA_Matches_All[[#This Row],[AtrapT]]+TBA_Matches_All[[#This Row],[TtrapT]])/(TBA_Matches_All[[#This Row],[AtrapT]]+TBA_Matches_All[[#This Row],[TtrapT]]+TBA_Matches_All[[#This Row],[trapM]]),0)</f>
        <v>0</v>
      </c>
      <c r="BD336">
        <f>COUNTIFS(Dyno_Data[Team],TBA_Matches_All[[#This Row],[Team]],Dyno_Data[Match],TBA_Matches_All[[#This Row],[Match_Number]],Dyno_Data[RecordType],"Activities",Dyno_Data[DelDest],"Neut", Dyno_Data[DelMiss],1)</f>
        <v>0</v>
      </c>
      <c r="BE336" s="60">
        <f>IFERROR(SUM((TBA_Matches_All[[#This Row],[NeutFlrT]])/(TBA_Matches_All[[#This Row],[NeutFlrT]]+TBA_Matches_All[[#This Row],[NZflM]])),0)</f>
        <v>0</v>
      </c>
      <c r="BF336">
        <f>COUNTIFS(Dyno_Data[Team],TBA_Matches_All[[#This Row],[Team]],Dyno_Data[Match],TBA_Matches_All[[#This Row],[Match_Number]],Dyno_Data[RecordType],"Activities",Dyno_Data[DelDest],"AllyW", Dyno_Data[DelMiss],1)</f>
        <v>0</v>
      </c>
      <c r="BG336" s="60">
        <f>IFERROR(SUM((TBA_Matches_All[[#This Row],[AllyWFlrT]])/(TBA_Matches_All[[#This Row],[AllyWFlrT]]+TBA_Matches_All[[#This Row],[AZflM]])),0)</f>
        <v>0</v>
      </c>
      <c r="BH336">
        <f>COUNTIFS(Dyno_Data[Team],TBA_Matches_All[[#This Row],[Team]],Dyno_Data[Match],TBA_Matches_All[[#This Row],[Match_Number]],Dyno_Data[RecordType],"Activities",Dyno_Data[DelOrig],"OppW", Dyno_Data[DelMiss],"0")</f>
        <v>0</v>
      </c>
      <c r="BI336">
        <f>COUNTIFS(Dyno_Data[Team],TBA_Matches_All[[#This Row],[Team]],Dyno_Data[Match],TBA_Matches_All[[#This Row],[Match_Number]],Dyno_Data[RecordType],"Activities",Dyno_Data[DelOrig],"OppW", Dyno_Data[DelMiss],"1")</f>
        <v>0</v>
      </c>
      <c r="BJ336" s="60">
        <f>IFERROR(SUM((TBA_Matches_All[[#This Row],[OZflrT]])/(TBA_Matches_All[[#This Row],[OZflrT]]+TBA_Matches_All[[#This Row],[OZflrM]])),0)</f>
        <v>0</v>
      </c>
      <c r="BK336">
        <f>COUNTIFS(Dyno_Data[Team],TBA_Matches_All[[#This Row],[Team]],Dyno_Data[Match],TBA_Matches_All[[#This Row],[Match_Number]],Dyno_Data[RecordType],"Activities",Dyno_Data[DelOrig],"Neut", Dyno_Data[DelMiss],"0")</f>
        <v>0</v>
      </c>
      <c r="BL336">
        <f>COUNTIFS(Dyno_Data[Team],TBA_Matches_All[[#This Row],[Team]],Dyno_Data[Match],TBA_Matches_All[[#This Row],[Match_Number]],Dyno_Data[RecordType],"Activities",Dyno_Data[DelOrig],"Neut", Dyno_Data[DelMiss],"1")</f>
        <v>0</v>
      </c>
      <c r="BM336" s="60">
        <f>IFERROR(SUM((TBA_Matches_All[[#This Row],[NZflrT]])/(TBA_Matches_All[[#This Row],[NZflrT]]+TBA_Matches_All[[#This Row],[NZflrM]])),0)</f>
        <v>0</v>
      </c>
      <c r="BN336">
        <f>COUNTIFS(Dyno_Data[Team],TBA_Matches_All[[#This Row],[Team]],Dyno_Data[Match],TBA_Matches_All[[#This Row],[Match_Number]],Dyno_Data[RecordType],"Activities",Dyno_Data[DelOrig],"AllyW", Dyno_Data[DelMiss],"0")</f>
        <v>2</v>
      </c>
      <c r="BO336">
        <f>COUNTIFS(Dyno_Data[Team],TBA_Matches_All[[#This Row],[Team]],Dyno_Data[Match],TBA_Matches_All[[#This Row],[Match_Number]],Dyno_Data[RecordType],"Activities",Dyno_Data[DelOrig],"AllyW", Dyno_Data[DelMiss],"1")</f>
        <v>1</v>
      </c>
      <c r="BP336" s="60">
        <f>IFERROR(SUM((TBA_Matches_All[[#This Row],[AZflrT]])/(TBA_Matches_All[[#This Row],[AZflrT]]+TBA_Matches_All[[#This Row],[AZflrM]])),0)</f>
        <v>0.66666666666666663</v>
      </c>
      <c r="BQ336">
        <f>COUNTIFS(Dyno_Data[Team],TBA_Matches_All[[#This Row],[Team]],Dyno_Data[Match],TBA_Matches_All[[#This Row],[Match_Number]],Dyno_Data[RecordType],"Activities",Dyno_Data[DelOrig],"SubW", Dyno_Data[DelMiss],"0")</f>
        <v>0</v>
      </c>
      <c r="BR336">
        <f>COUNTIFS(Dyno_Data[Team],TBA_Matches_All[[#This Row],[Team]],Dyno_Data[Match],TBA_Matches_All[[#This Row],[Match_Number]],Dyno_Data[RecordType],"Activities",Dyno_Data[DelOrig],"SubW", Dyno_Data[DelMiss],"1")</f>
        <v>0</v>
      </c>
      <c r="BS336" s="60">
        <f>IFERROR(SUM((TBA_Matches_All[[#This Row],[SubwT]])/(TBA_Matches_All[[#This Row],[SubwT]]+TBA_Matches_All[[#This Row],[SubwM]])),0)</f>
        <v>0</v>
      </c>
      <c r="BT336">
        <f>COUNTIFS(Dyno_Data[Team],TBA_Matches_All[[#This Row],[Team]],Dyno_Data[Match],TBA_Matches_All[[#This Row],[Match_Number]],Dyno_Data[RecordType],"Activities", Dyno_Data[AcqLoc],"OppWing")</f>
        <v>0</v>
      </c>
      <c r="BU336">
        <f>COUNTIFS(Dyno_Data[Team],TBA_Matches_All[[#This Row],[Team]],Dyno_Data[Match],TBA_Matches_All[[#This Row],[Match_Number]],Dyno_Data[RecordType],"Activities", Dyno_Data[AcqLoc],"Neutral")</f>
        <v>1</v>
      </c>
      <c r="BV336">
        <f>COUNTIFS(Dyno_Data[Team],TBA_Matches_All[[#This Row],[Team]],Dyno_Data[Match],TBA_Matches_All[[#This Row],[Match_Number]],Dyno_Data[RecordType],"Activities", Dyno_Data[AcqLoc],"AllyWing")</f>
        <v>0</v>
      </c>
      <c r="BW336">
        <f>COUNTIFS(Dyno_Data[Team],TBA_Matches_All[[#This Row],[Team]],Dyno_Data[Match],TBA_Matches_All[[#This Row],[Match_Number]],Dyno_Data[RecordType],"Activities", Dyno_Data[AcqLoc],"Source")</f>
        <v>0</v>
      </c>
      <c r="BX336">
        <f>SUMIFS(Dyno_Data[AcqDrp], Dyno_Data[Team],TBA_Matches_All[[#This Row],[Team]],Dyno_Data[Match],TBA_Matches_All[[#This Row],[Match_Number]],Dyno_Data[RecordType],"Activities", Dyno_Data[AcqLoc],"Source")</f>
        <v>0</v>
      </c>
      <c r="BY336">
        <f>SUMIFS(Dyno_Data[OZTime], Dyno_Data[Team],TBA_Matches_All[[#This Row],[Team]],Dyno_Data[Match],TBA_Matches_All[[#This Row],[Match_Number]],Dyno_Data[RecordType],"EndMatch")</f>
        <v>55.524466199999999</v>
      </c>
      <c r="BZ336">
        <f>SUMIFS(Dyno_Data[NZTime], Dyno_Data[Team],TBA_Matches_All[[#This Row],[Team]],Dyno_Data[Match],TBA_Matches_All[[#This Row],[Match_Number]],Dyno_Data[RecordType],"EndMatch")</f>
        <v>54.396792899999994</v>
      </c>
      <c r="CA336">
        <f>SUMIFS(Dyno_Data[AZTime], Dyno_Data[Team],TBA_Matches_All[[#This Row],[Team]],Dyno_Data[Match],TBA_Matches_All[[#This Row],[Match_Number]],Dyno_Data[RecordType],"EndMatch")</f>
        <v>22.999843599999998</v>
      </c>
      <c r="CB336">
        <f>SUMIFS(Dyno_Data[ClimbT], Dyno_Data[Team],TBA_Matches_All[[#This Row],[Team]],Dyno_Data[Match],TBA_Matches_All[[#This Row],[Match_Number]],Dyno_Data[RecordType],"EndMatch")</f>
        <v>3.0160380999999998</v>
      </c>
      <c r="CC336" t="str">
        <f>_xlfn.XLOOKUP(SUM(MID(TBA_Matches_All[[#This Row],[Team]],4,5),(TBA_Matches_All[[#This Row],[Match_Number]]/100)),Dyno_EndMatch[teammat],Dyno_EndMatch[StageStat],"_",0,1)</f>
        <v>Park</v>
      </c>
      <c r="CD336" t="str">
        <f>_xlfn.XLOOKUP(TBA_Matches_All[[#This Row],[teammat]],Dyno_EndMatch[teammat],Dyno_EndMatch[StageAtt],"_",0,1)</f>
        <v>-1</v>
      </c>
      <c r="CE336" t="str">
        <f>_xlfn.XLOOKUP(TBA_Matches_All[[#This Row],[teammat]],Dyno_EndMatch[teammat],Dyno_EndMatch[StageLoc],"_",0,1)</f>
        <v>A</v>
      </c>
      <c r="CF336">
        <f>SUMIFS(Dyno_Data[Harmony], Dyno_Data[Team],TBA_Matches_All[[#This Row],[Team]],Dyno_Data[Match],TBA_Matches_All[[#This Row],[Match_Number]],Dyno_Data[RecordType],"EndMatch", Dyno_Data[StageStat],"On",Dyno_Data[Harmony],"&lt;&gt;9")</f>
        <v>0</v>
      </c>
      <c r="CG336">
        <f>SUMIFS(Dyno_Data[Spotlit], Dyno_Data[Team],TBA_Matches_All[[#This Row],[Team]],Dyno_Data[Match],TBA_Matches_All[[#This Row],[Match_Number]],Dyno_Data[RecordType],"EndMatch", Dyno_Data[StageStat],"On",Dyno_Data[Spotlit],"&lt;&gt;9")</f>
        <v>0</v>
      </c>
      <c r="CH336" t="str">
        <f>_xlfn.XLOOKUP(TBA_Matches_All[[#This Row],[teammat]],Dyno_EndMatch[teammat],Dyno_EndMatch[Strategy],"_",0,1)</f>
        <v>Hybrid</v>
      </c>
      <c r="CI336">
        <f>SUMIFS(Dyno_Data[Defense], Dyno_Data[Team],TBA_Matches_All[[#This Row],[Team]],Dyno_Data[Match],TBA_Matches_All[[#This Row],[Match_Number]],Dyno_Data[RecordType],"EndMatch",Dyno_Data[Defense],"&lt;&gt;9")</f>
        <v>1</v>
      </c>
      <c r="CJ336">
        <f>SUMIFS(Dyno_Data[Avoidance], Dyno_Data[Team],TBA_Matches_All[[#This Row],[Team]],Dyno_Data[Match],TBA_Matches_All[[#This Row],[Match_Number]],Dyno_Data[RecordType],"EndMatch",Dyno_Data[Avoidance],"&lt;&gt;9")</f>
        <v>0</v>
      </c>
      <c r="CK336" s="82">
        <f>COUNTIF($H$2:TBA_Matches_All[[#This Row],[Team]],TBA_Matches_All[[#This Row],[Team]])</f>
        <v>7</v>
      </c>
      <c r="CL336" s="111">
        <f>SUM(MID(TBA_Matches_All[[#This Row],[Team]],4,5)+TBA_Matches_All[[#This Row],[Match_Number]]/100)</f>
        <v>2791.56</v>
      </c>
      <c r="CM336">
        <f>SUM((TBA_Matches_All[[#This Row],[Leave]]*2)+(TBA_Matches_All[[#This Row],[AampT]]*2)+(TBA_Matches_All[[#This Row],[AspkrT]]*5)+(TBA_Matches_All[[#This Row],[AtrapT]]*5))</f>
        <v>2</v>
      </c>
      <c r="CN336" s="59">
        <f>IFERROR(SUM(TBA_Matches_All[[#This Row],[AptsT]]/TBA_Matches_All[[#This Row],[AutoPts]]),0)</f>
        <v>6.8965517241379309E-2</v>
      </c>
      <c r="CO336" s="59">
        <f>IFERROR(SUM(TBA_Matches_All[[#This Row],[AampT]]+TBA_Matches_All[[#This Row],[AspkrT]]+TBA_Matches_All[[#This Row],[AtrapT]]/TBA_Matches_All[[#This Row],[Aamp]]+TBA_Matches_All[[#This Row],[Aspkr]]+TBA_Matches_All[[#This Row],[AtrapT]]),0)</f>
        <v>0</v>
      </c>
      <c r="CP336" s="59">
        <f>IFERROR(SUM(TBA_Matches_All[[#This Row],[TampT]]/TBA_Matches_All[[#This Row],[Tamp]]),0)</f>
        <v>1</v>
      </c>
      <c r="CQ336" s="59">
        <f>IFERROR(SUM(TBA_Matches_All[[#This Row],[TspkrT]]/TBA_Matches_All[[#This Row],[Tspkr]]),0)</f>
        <v>0</v>
      </c>
      <c r="CR336">
        <f>SUM(TBA_Matches_All[[#This Row],[TspkrPts]]*TBA_Matches_All[[#This Row],[TspkrP]])</f>
        <v>0</v>
      </c>
      <c r="CS336" s="59">
        <f>IFERROR(SUM(TBA_Matches_All[[#This Row],[TtrapT]]/TBA_Matches_All[[#This Row],[Trap]]),0)</f>
        <v>0</v>
      </c>
      <c r="CT336" s="59">
        <f>IFERROR(SUM(TBA_Matches_All[[#This Row],[TotNotesT]]/TBA_Matches_All[[#This Row],[TotNotes]]),0)</f>
        <v>0.11764705882352941</v>
      </c>
      <c r="CU336" s="66">
        <f>SUM((TBA_Matches_All[[#This Row],[AampT]]*2)+(TBA_Matches_All[[#This Row],[AspkrT]]*5)+(TBA_Matches_All[[#This Row],[AtrapT]]*5)+(TBA_Matches_All[[#This Row],[TampT]]*1)+(TBA_Matches_All[[#This Row],[TspkrptsC]]))</f>
        <v>2</v>
      </c>
      <c r="CV336" s="59">
        <f>IFERROR(TBA_Matches_All[[#This Row],[noteptsT]]/TBA_Matches_All[[#This Row],[NotePts]],0)</f>
        <v>4.2553191489361701E-2</v>
      </c>
      <c r="CW336">
        <f>SUM(IF(TBA_Matches_All[[#This Row],[stageStat]]="On",3,0),IF(TBA_Matches_All[[#This Row],[stageStat]]="Park",1,0),SUMIFS(TBA_Matches_All[[#This Row],[Spotlit]],TBA_Matches_All[[#This Row],[stageStat]],"On"),SUMIFS(TBA_Matches_All[[#This Row],[Harmony]],TBA_Matches_All[[#This Row],[stageStat]],"On"))</f>
        <v>1</v>
      </c>
      <c r="CX336" s="59">
        <f>IFERROR(TBA_Matches_All[[#This Row],[stageptsT]]/TBA_Matches_All[[#This Row],[StagePts]],0)</f>
        <v>0.2</v>
      </c>
      <c r="CY336">
        <f>SUM((TBA_Matches_All[[#This Row],[AptsT]]+TBA_Matches_All[[#This Row],[TampT]]+TBA_Matches_All[[#This Row],[TspkrptsC]]+(TBA_Matches_All[[#This Row],[TtrapT]]*5)+TBA_Matches_All[[#This Row],[stageptsT]]))</f>
        <v>5</v>
      </c>
      <c r="CZ336" s="59">
        <f>IFERROR(SUM(TBA_Matches_All[[#This Row],[TotptsC]]/TBA_Matches_All[[#This Row],[Score]]),0)</f>
        <v>8.9285714285714288E-2</v>
      </c>
      <c r="DA336"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11.16</v>
      </c>
      <c r="DB336" s="74">
        <f>SUMIFS(TBA_Matches_All[AveTeamTNoteDels],TBA_Matches_All[Match_Number],TBA_Matches_All[[#This Row],[Match_Number]],TBA_Matches_All[Alliance],"&lt;&gt;"&amp;TBA_Matches_All[[#This Row],[Alliance]],TBA_Matches_All[Scouted],"&gt;0")</f>
        <v>29.729189560439561</v>
      </c>
      <c r="DC336" s="74">
        <f>(TBA_Matches_All[[#This Row],[TampT]]+TBA_Matches_All[[#This Row],[TspkrptsC]])-TBA_Matches_All[[#This Row],[AveTeamTNoteDels]]</f>
        <v>-9.16</v>
      </c>
      <c r="DD336" s="74">
        <f>SUMIFS(TBA_Matches_All[AveTeamTNoteDels],TBA_Matches_All[Match_Number],TBA_Matches_All[[#This Row],[Match_Number]],TBA_Matches_All[Alliance],"&lt;&gt;"&amp;TBA_Matches_All[[#This Row],[Alliance]])-TBA_Matches_All[[#This Row],[AveOppTNoteDels]]</f>
        <v>0</v>
      </c>
    </row>
    <row r="337" spans="1:108" x14ac:dyDescent="0.3">
      <c r="A337" t="s">
        <v>1042</v>
      </c>
      <c r="B337" t="s">
        <v>489</v>
      </c>
      <c r="C337" t="s">
        <v>1365</v>
      </c>
      <c r="D337">
        <v>56</v>
      </c>
      <c r="E337" t="s">
        <v>1420</v>
      </c>
      <c r="F337" t="s">
        <v>1423</v>
      </c>
      <c r="G337" t="s">
        <v>1409</v>
      </c>
      <c r="H337" t="s">
        <v>1280</v>
      </c>
      <c r="I337" t="b">
        <v>1</v>
      </c>
      <c r="J337">
        <v>89</v>
      </c>
      <c r="K337">
        <v>1</v>
      </c>
      <c r="L337">
        <v>0</v>
      </c>
      <c r="M337">
        <v>0</v>
      </c>
      <c r="N337">
        <v>0</v>
      </c>
      <c r="O337">
        <v>5</v>
      </c>
      <c r="P337">
        <v>25</v>
      </c>
      <c r="Q337">
        <v>29</v>
      </c>
      <c r="R337">
        <v>6</v>
      </c>
      <c r="S337">
        <v>5</v>
      </c>
      <c r="T337">
        <v>5</v>
      </c>
      <c r="U337">
        <v>25</v>
      </c>
      <c r="V337">
        <v>10</v>
      </c>
      <c r="W337">
        <v>10</v>
      </c>
      <c r="X337">
        <v>35</v>
      </c>
      <c r="Y337">
        <v>41</v>
      </c>
      <c r="Z337">
        <v>0</v>
      </c>
      <c r="AA337">
        <v>0</v>
      </c>
      <c r="AB337">
        <v>21</v>
      </c>
      <c r="AC337">
        <v>66</v>
      </c>
      <c r="AD337">
        <v>5</v>
      </c>
      <c r="AE337">
        <f>IFERROR(6/(COUNTIF(Dyno_EndMatch[Match],TBA_Matches_All[[#This Row],[Match_Number]])),0)</f>
        <v>1</v>
      </c>
      <c r="AF337">
        <f>COUNTIFS(Dyno_Data[Team],TBA_Matches_All[[#This Row],[Team]],Dyno_Data[Match],TBA_Matches_All[[#This Row],[Match_Number]],Dyno_Data[RecordType],"EndMatch",Dyno_Data[HPAmp],"Y")</f>
        <v>0</v>
      </c>
      <c r="AG337">
        <f>SUMIFS(Dyno_Data[Mics], Dyno_Data[Team],TBA_Matches_All[[#This Row],[Team]],Dyno_Data[Match],TBA_Matches_All[[#This Row],[Match_Number]],Dyno_Data[RecordType],"EndMatch",Dyno_Data[HPAmp],"Y")</f>
        <v>0</v>
      </c>
      <c r="AH337">
        <f>SUMIFS(Dyno_Data[Leave], Dyno_Data[Team],TBA_Matches_All[[#This Row],[Team]],Dyno_Data[Match],TBA_Matches_All[[#This Row],[Match_Number]],Dyno_Data[RecordType],"EndAuto")</f>
        <v>1</v>
      </c>
      <c r="AI337">
        <f>COUNTIFS(Dyno_Data[Team],TBA_Matches_All[[#This Row],[Team]],Dyno_Data[Match],TBA_Matches_All[[#This Row],[Match_Number]],Dyno_Data[RecordType],"Activities",Dyno_Data[DelDest],"Amp", Dyno_Data[DelMiss],"0", Dyno_Data[Mode],"Auto")</f>
        <v>0</v>
      </c>
      <c r="AJ337">
        <f>COUNTIFS(Dyno_Data[Team],TBA_Matches_All[[#This Row],[Team]],Dyno_Data[Match],TBA_Matches_All[[#This Row],[Match_Number]],Dyno_Data[RecordType],"Activities",Dyno_Data[DelDest],"Spkr", Dyno_Data[DelMiss],"0", Dyno_Data[Mode],"Auto")</f>
        <v>1</v>
      </c>
      <c r="AK337">
        <f>COUNTIFS(Dyno_Data[Team],TBA_Matches_All[[#This Row],[Team]],Dyno_Data[Match],TBA_Matches_All[[#This Row],[Match_Number]],Dyno_Data[RecordType],"Activities",Dyno_Data[DelDest],"Trap", Dyno_Data[DelMiss],"0", Dyno_Data[Mode],"Auto")</f>
        <v>0</v>
      </c>
      <c r="AL337">
        <f>COUNTIFS(Dyno_Data[Team],TBA_Matches_All[[#This Row],[Team]],Dyno_Data[Match],TBA_Matches_All[[#This Row],[Match_Number]],Dyno_Data[RecordType],"Activities",Dyno_Data[DelDest],"Amp", Dyno_Data[DelMiss],"0", Dyno_Data[Mode],"Teleop")</f>
        <v>0</v>
      </c>
      <c r="AM337">
        <f>COUNTIFS(Dyno_Data[Team],TBA_Matches_All[[#This Row],[Team]],Dyno_Data[Match],TBA_Matches_All[[#This Row],[Match_Number]],Dyno_Data[RecordType],"Activities",Dyno_Data[DelDest],"Spkr", Dyno_Data[DelMiss],"0", Dyno_Data[Mode],"Teleop")</f>
        <v>5</v>
      </c>
      <c r="AN337">
        <f>COUNTIFS(Dyno_Data[Team],TBA_Matches_All[[#This Row],[Team]],Dyno_Data[Match],TBA_Matches_All[[#This Row],[Match_Number]],Dyno_Data[RecordType],"Activities",Dyno_Data[DelDest],"Trap", Dyno_Data[DelMiss],"0", Dyno_Data[Mode],"&lt;&gt;Auto")</f>
        <v>0</v>
      </c>
      <c r="AO337">
        <f>SUM(TBA_Matches_All[[#This Row],[AampT]]+TBA_Matches_All[[#This Row],[AspkrT]]+TBA_Matches_All[[#This Row],[AtrapT]]+TBA_Matches_All[[#This Row],[TampT]]+TBA_Matches_All[[#This Row],[TspkrT]]+TBA_Matches_All[[#This Row],[TtrapT]])</f>
        <v>6</v>
      </c>
      <c r="AP337">
        <f>COUNTIFS(Dyno_Data[Team],TBA_Matches_All[[#This Row],[Team]],Dyno_Data[Match],TBA_Matches_All[[#This Row],[Match_Number]],Dyno_Data[RecordType],"Activities",Dyno_Data[DelDest],"Neut", Dyno_Data[DelMiss],"0")</f>
        <v>0</v>
      </c>
      <c r="AQ337">
        <f>COUNTIFS(Dyno_Data[Team],TBA_Matches_All[[#This Row],[Team]],Dyno_Data[Match],TBA_Matches_All[[#This Row],[Match_Number]],Dyno_Data[RecordType],"Activities",Dyno_Data[DelDest],"AllyW", Dyno_Data[DelMiss],"0")</f>
        <v>0</v>
      </c>
      <c r="AR337" t="str">
        <f>_xlfn.XLOOKUP(SUM(MID(TBA_Matches_All[[#This Row],[Team]],4,5),(TBA_Matches_All[[#This Row],[Match_Number]]/100)),Dyno_EndMatch[teammat],Dyno_EndMatch[RobotSta],"_",0,1)</f>
        <v>OppS</v>
      </c>
      <c r="AS337">
        <f>SUMIFS(Dyno_Data[AcqDis], Dyno_Data[Team],TBA_Matches_All[[#This Row],[Team]],Dyno_Data[Match],TBA_Matches_All[[#This Row],[Match_Number]],Dyno_Data[RecordType],"Activities", Dyno_Data[AcqCenter],1,Dyno_Data[Mode],"Auto")</f>
        <v>0</v>
      </c>
      <c r="AT337">
        <f>SUMIFS(Dyno_Data[AcqDis], Dyno_Data[Team],TBA_Matches_All[[#This Row],[Team]],Dyno_Data[Match],TBA_Matches_All[[#This Row],[Match_Number]],Dyno_Data[RecordType],"Activities", Dyno_Data[AcqCenter],2,Dyno_Data[Mode],"Auto")</f>
        <v>0</v>
      </c>
      <c r="AU337">
        <f>SUMIFS(Dyno_Data[AcqDis], Dyno_Data[Team],TBA_Matches_All[[#This Row],[Team]],Dyno_Data[Match],TBA_Matches_All[[#This Row],[Match_Number]],Dyno_Data[RecordType],"Activities", Dyno_Data[AcqCenter],3,Dyno_Data[Mode],"Auto")</f>
        <v>0</v>
      </c>
      <c r="AV337">
        <f>SUMIFS(Dyno_Data[AcqDis], Dyno_Data[Team],TBA_Matches_All[[#This Row],[Team]],Dyno_Data[Match],TBA_Matches_All[[#This Row],[Match_Number]],Dyno_Data[RecordType],"Activities", Dyno_Data[AcqCenter],4,Dyno_Data[Mode],"Auto")</f>
        <v>0</v>
      </c>
      <c r="AW337">
        <f>SUMIFS(Dyno_Data[AcqDis], Dyno_Data[Team],TBA_Matches_All[[#This Row],[Team]],Dyno_Data[Match],TBA_Matches_All[[#This Row],[Match_Number]],Dyno_Data[RecordType],"Activities", Dyno_Data[AcqCenter],5,Dyno_Data[Mode],"Auto")</f>
        <v>0</v>
      </c>
      <c r="AX337">
        <f>SUMIFS(Dyno_Data[DelMiss], Dyno_Data[Team],TBA_Matches_All[[#This Row],[Team]],Dyno_Data[Match],TBA_Matches_All[[#This Row],[Match_Number]],Dyno_Data[RecordType],"Activities", Dyno_Data[DelDest],"Amp")</f>
        <v>0</v>
      </c>
      <c r="AY337" s="60">
        <f>IFERROR(SUM((TBA_Matches_All[[#This Row],[AampT]]+TBA_Matches_All[[#This Row],[TampT]])/(TBA_Matches_All[[#This Row],[AampT]]+TBA_Matches_All[[#This Row],[TampT]]+TBA_Matches_All[[#This Row],[ampM]])),0)</f>
        <v>0</v>
      </c>
      <c r="AZ337">
        <f>SUMIFS(Dyno_Data[DelMiss], Dyno_Data[Team],TBA_Matches_All[[#This Row],[Team]],Dyno_Data[Match],TBA_Matches_All[[#This Row],[Match_Number]],Dyno_Data[RecordType],"Activities", Dyno_Data[DelDest],"Spkr")</f>
        <v>3</v>
      </c>
      <c r="BA337" s="60">
        <f>IFERROR(SUM((TBA_Matches_All[[#This Row],[AspkrT]]+TBA_Matches_All[[#This Row],[TspkrT]])/(TBA_Matches_All[[#This Row],[AspkrT]]+TBA_Matches_All[[#This Row],[TspkrT]]+TBA_Matches_All[[#This Row],[spkrM]])),0)</f>
        <v>0.66666666666666663</v>
      </c>
      <c r="BB337">
        <f>SUMIFS(Dyno_Data[DelMiss], Dyno_Data[Team],TBA_Matches_All[[#This Row],[Team]],Dyno_Data[Match],TBA_Matches_All[[#This Row],[Match_Number]],Dyno_Data[RecordType],"Activities", Dyno_Data[DelDest],"Trap")</f>
        <v>0</v>
      </c>
      <c r="BC337" s="60">
        <f>IFERROR((TBA_Matches_All[[#This Row],[AtrapT]]+TBA_Matches_All[[#This Row],[TtrapT]])/(TBA_Matches_All[[#This Row],[AtrapT]]+TBA_Matches_All[[#This Row],[TtrapT]]+TBA_Matches_All[[#This Row],[trapM]]),0)</f>
        <v>0</v>
      </c>
      <c r="BD337">
        <f>COUNTIFS(Dyno_Data[Team],TBA_Matches_All[[#This Row],[Team]],Dyno_Data[Match],TBA_Matches_All[[#This Row],[Match_Number]],Dyno_Data[RecordType],"Activities",Dyno_Data[DelDest],"Neut", Dyno_Data[DelMiss],1)</f>
        <v>0</v>
      </c>
      <c r="BE337" s="60">
        <f>IFERROR(SUM((TBA_Matches_All[[#This Row],[NeutFlrT]])/(TBA_Matches_All[[#This Row],[NeutFlrT]]+TBA_Matches_All[[#This Row],[NZflM]])),0)</f>
        <v>0</v>
      </c>
      <c r="BF337">
        <f>COUNTIFS(Dyno_Data[Team],TBA_Matches_All[[#This Row],[Team]],Dyno_Data[Match],TBA_Matches_All[[#This Row],[Match_Number]],Dyno_Data[RecordType],"Activities",Dyno_Data[DelDest],"AllyW", Dyno_Data[DelMiss],1)</f>
        <v>0</v>
      </c>
      <c r="BG337" s="60">
        <f>IFERROR(SUM((TBA_Matches_All[[#This Row],[AllyWFlrT]])/(TBA_Matches_All[[#This Row],[AllyWFlrT]]+TBA_Matches_All[[#This Row],[AZflM]])),0)</f>
        <v>0</v>
      </c>
      <c r="BH337">
        <f>COUNTIFS(Dyno_Data[Team],TBA_Matches_All[[#This Row],[Team]],Dyno_Data[Match],TBA_Matches_All[[#This Row],[Match_Number]],Dyno_Data[RecordType],"Activities",Dyno_Data[DelOrig],"OppW", Dyno_Data[DelMiss],"0")</f>
        <v>0</v>
      </c>
      <c r="BI337">
        <f>COUNTIFS(Dyno_Data[Team],TBA_Matches_All[[#This Row],[Team]],Dyno_Data[Match],TBA_Matches_All[[#This Row],[Match_Number]],Dyno_Data[RecordType],"Activities",Dyno_Data[DelOrig],"OppW", Dyno_Data[DelMiss],"1")</f>
        <v>0</v>
      </c>
      <c r="BJ337" s="60">
        <f>IFERROR(SUM((TBA_Matches_All[[#This Row],[OZflrT]])/(TBA_Matches_All[[#This Row],[OZflrT]]+TBA_Matches_All[[#This Row],[OZflrM]])),0)</f>
        <v>0</v>
      </c>
      <c r="BK337">
        <f>COUNTIFS(Dyno_Data[Team],TBA_Matches_All[[#This Row],[Team]],Dyno_Data[Match],TBA_Matches_All[[#This Row],[Match_Number]],Dyno_Data[RecordType],"Activities",Dyno_Data[DelOrig],"Neut", Dyno_Data[DelMiss],"0")</f>
        <v>0</v>
      </c>
      <c r="BL337">
        <f>COUNTIFS(Dyno_Data[Team],TBA_Matches_All[[#This Row],[Team]],Dyno_Data[Match],TBA_Matches_All[[#This Row],[Match_Number]],Dyno_Data[RecordType],"Activities",Dyno_Data[DelOrig],"Neut", Dyno_Data[DelMiss],"1")</f>
        <v>0</v>
      </c>
      <c r="BM337" s="60">
        <f>IFERROR(SUM((TBA_Matches_All[[#This Row],[NZflrT]])/(TBA_Matches_All[[#This Row],[NZflrT]]+TBA_Matches_All[[#This Row],[NZflrM]])),0)</f>
        <v>0</v>
      </c>
      <c r="BN337">
        <f>COUNTIFS(Dyno_Data[Team],TBA_Matches_All[[#This Row],[Team]],Dyno_Data[Match],TBA_Matches_All[[#This Row],[Match_Number]],Dyno_Data[RecordType],"Activities",Dyno_Data[DelOrig],"AllyW", Dyno_Data[DelMiss],"0")</f>
        <v>6</v>
      </c>
      <c r="BO337">
        <f>COUNTIFS(Dyno_Data[Team],TBA_Matches_All[[#This Row],[Team]],Dyno_Data[Match],TBA_Matches_All[[#This Row],[Match_Number]],Dyno_Data[RecordType],"Activities",Dyno_Data[DelOrig],"AllyW", Dyno_Data[DelMiss],"1")</f>
        <v>3</v>
      </c>
      <c r="BP337" s="60">
        <f>IFERROR(SUM((TBA_Matches_All[[#This Row],[AZflrT]])/(TBA_Matches_All[[#This Row],[AZflrT]]+TBA_Matches_All[[#This Row],[AZflrM]])),0)</f>
        <v>0.66666666666666663</v>
      </c>
      <c r="BQ337">
        <f>COUNTIFS(Dyno_Data[Team],TBA_Matches_All[[#This Row],[Team]],Dyno_Data[Match],TBA_Matches_All[[#This Row],[Match_Number]],Dyno_Data[RecordType],"Activities",Dyno_Data[DelOrig],"SubW", Dyno_Data[DelMiss],"0")</f>
        <v>0</v>
      </c>
      <c r="BR337">
        <f>COUNTIFS(Dyno_Data[Team],TBA_Matches_All[[#This Row],[Team]],Dyno_Data[Match],TBA_Matches_All[[#This Row],[Match_Number]],Dyno_Data[RecordType],"Activities",Dyno_Data[DelOrig],"SubW", Dyno_Data[DelMiss],"1")</f>
        <v>0</v>
      </c>
      <c r="BS337" s="60">
        <f>IFERROR(SUM((TBA_Matches_All[[#This Row],[SubwT]])/(TBA_Matches_All[[#This Row],[SubwT]]+TBA_Matches_All[[#This Row],[SubwM]])),0)</f>
        <v>0</v>
      </c>
      <c r="BT337">
        <f>COUNTIFS(Dyno_Data[Team],TBA_Matches_All[[#This Row],[Team]],Dyno_Data[Match],TBA_Matches_All[[#This Row],[Match_Number]],Dyno_Data[RecordType],"Activities", Dyno_Data[AcqLoc],"OppWing")</f>
        <v>0</v>
      </c>
      <c r="BU337">
        <f>COUNTIFS(Dyno_Data[Team],TBA_Matches_All[[#This Row],[Team]],Dyno_Data[Match],TBA_Matches_All[[#This Row],[Match_Number]],Dyno_Data[RecordType],"Activities", Dyno_Data[AcqLoc],"Neutral")</f>
        <v>0</v>
      </c>
      <c r="BV337">
        <f>COUNTIFS(Dyno_Data[Team],TBA_Matches_All[[#This Row],[Team]],Dyno_Data[Match],TBA_Matches_All[[#This Row],[Match_Number]],Dyno_Data[RecordType],"Activities", Dyno_Data[AcqLoc],"AllyWing")</f>
        <v>0</v>
      </c>
      <c r="BW337">
        <f>COUNTIFS(Dyno_Data[Team],TBA_Matches_All[[#This Row],[Team]],Dyno_Data[Match],TBA_Matches_All[[#This Row],[Match_Number]],Dyno_Data[RecordType],"Activities", Dyno_Data[AcqLoc],"Source")</f>
        <v>0</v>
      </c>
      <c r="BX337">
        <f>SUMIFS(Dyno_Data[AcqDrp], Dyno_Data[Team],TBA_Matches_All[[#This Row],[Team]],Dyno_Data[Match],TBA_Matches_All[[#This Row],[Match_Number]],Dyno_Data[RecordType],"Activities", Dyno_Data[AcqLoc],"Source")</f>
        <v>0</v>
      </c>
      <c r="BY337">
        <f>SUMIFS(Dyno_Data[OZTime], Dyno_Data[Team],TBA_Matches_All[[#This Row],[Team]],Dyno_Data[Match],TBA_Matches_All[[#This Row],[Match_Number]],Dyno_Data[RecordType],"EndMatch")</f>
        <v>27.915877399999999</v>
      </c>
      <c r="BZ337">
        <f>SUMIFS(Dyno_Data[NZTime], Dyno_Data[Team],TBA_Matches_All[[#This Row],[Team]],Dyno_Data[Match],TBA_Matches_All[[#This Row],[Match_Number]],Dyno_Data[RecordType],"EndMatch")</f>
        <v>20.795648199999999</v>
      </c>
      <c r="CA337">
        <f>SUMIFS(Dyno_Data[AZTime], Dyno_Data[Team],TBA_Matches_All[[#This Row],[Team]],Dyno_Data[Match],TBA_Matches_All[[#This Row],[Match_Number]],Dyno_Data[RecordType],"EndMatch")</f>
        <v>71.207546399999998</v>
      </c>
      <c r="CB337">
        <f>SUMIFS(Dyno_Data[ClimbT], Dyno_Data[Team],TBA_Matches_All[[#This Row],[Team]],Dyno_Data[Match],TBA_Matches_All[[#This Row],[Match_Number]],Dyno_Data[RecordType],"EndMatch")</f>
        <v>11.684659199999999</v>
      </c>
      <c r="CC337" t="str">
        <f>_xlfn.XLOOKUP(SUM(MID(TBA_Matches_All[[#This Row],[Team]],4,5),(TBA_Matches_All[[#This Row],[Match_Number]]/100)),Dyno_EndMatch[teammat],Dyno_EndMatch[StageStat],"_",0,1)</f>
        <v>On</v>
      </c>
      <c r="CD337" t="str">
        <f>_xlfn.XLOOKUP(TBA_Matches_All[[#This Row],[teammat]],Dyno_EndMatch[teammat],Dyno_EndMatch[StageAtt],"_",0,1)</f>
        <v>1</v>
      </c>
      <c r="CE337" t="str">
        <f>_xlfn.XLOOKUP(TBA_Matches_All[[#This Row],[teammat]],Dyno_EndMatch[teammat],Dyno_EndMatch[StageLoc],"_",0,1)</f>
        <v>R</v>
      </c>
      <c r="CF337">
        <f>SUMIFS(Dyno_Data[Harmony], Dyno_Data[Team],TBA_Matches_All[[#This Row],[Team]],Dyno_Data[Match],TBA_Matches_All[[#This Row],[Match_Number]],Dyno_Data[RecordType],"EndMatch", Dyno_Data[StageStat],"On",Dyno_Data[Harmony],"&lt;&gt;9")</f>
        <v>0</v>
      </c>
      <c r="CG337">
        <f>SUMIFS(Dyno_Data[Spotlit], Dyno_Data[Team],TBA_Matches_All[[#This Row],[Team]],Dyno_Data[Match],TBA_Matches_All[[#This Row],[Match_Number]],Dyno_Data[RecordType],"EndMatch", Dyno_Data[StageStat],"On",Dyno_Data[Spotlit],"&lt;&gt;9")</f>
        <v>0</v>
      </c>
      <c r="CH337" t="str">
        <f>_xlfn.XLOOKUP(TBA_Matches_All[[#This Row],[teammat]],Dyno_EndMatch[teammat],Dyno_EndMatch[Strategy],"_",0,1)</f>
        <v>Hybrid</v>
      </c>
      <c r="CI337">
        <f>SUMIFS(Dyno_Data[Defense], Dyno_Data[Team],TBA_Matches_All[[#This Row],[Team]],Dyno_Data[Match],TBA_Matches_All[[#This Row],[Match_Number]],Dyno_Data[RecordType],"EndMatch",Dyno_Data[Defense],"&lt;&gt;9")</f>
        <v>0</v>
      </c>
      <c r="CJ337">
        <f>SUMIFS(Dyno_Data[Avoidance], Dyno_Data[Team],TBA_Matches_All[[#This Row],[Team]],Dyno_Data[Match],TBA_Matches_All[[#This Row],[Match_Number]],Dyno_Data[RecordType],"EndMatch",Dyno_Data[Avoidance],"&lt;&gt;9")</f>
        <v>1</v>
      </c>
      <c r="CK337" s="82">
        <f>COUNTIF($H$2:TBA_Matches_All[[#This Row],[Team]],TBA_Matches_All[[#This Row],[Team]])</f>
        <v>7</v>
      </c>
      <c r="CL337" s="111">
        <f>SUM(MID(TBA_Matches_All[[#This Row],[Team]],4,5)+TBA_Matches_All[[#This Row],[Match_Number]]/100)</f>
        <v>1559.56</v>
      </c>
      <c r="CM337">
        <f>SUM((TBA_Matches_All[[#This Row],[Leave]]*2)+(TBA_Matches_All[[#This Row],[AampT]]*2)+(TBA_Matches_All[[#This Row],[AspkrT]]*5)+(TBA_Matches_All[[#This Row],[AtrapT]]*5))</f>
        <v>7</v>
      </c>
      <c r="CN337" s="59">
        <f>IFERROR(SUM(TBA_Matches_All[[#This Row],[AptsT]]/TBA_Matches_All[[#This Row],[AutoPts]]),0)</f>
        <v>0.2413793103448276</v>
      </c>
      <c r="CO337" s="59">
        <f>IFERROR(SUM(TBA_Matches_All[[#This Row],[AampT]]+TBA_Matches_All[[#This Row],[AspkrT]]+TBA_Matches_All[[#This Row],[AtrapT]]/TBA_Matches_All[[#This Row],[Aamp]]+TBA_Matches_All[[#This Row],[Aspkr]]+TBA_Matches_All[[#This Row],[AtrapT]]),0)</f>
        <v>0</v>
      </c>
      <c r="CP337" s="59">
        <f>IFERROR(SUM(TBA_Matches_All[[#This Row],[TampT]]/TBA_Matches_All[[#This Row],[Tamp]]),0)</f>
        <v>0</v>
      </c>
      <c r="CQ337" s="59">
        <f>IFERROR(SUM(TBA_Matches_All[[#This Row],[TspkrT]]/TBA_Matches_All[[#This Row],[Tspkr]]),0)</f>
        <v>0.5</v>
      </c>
      <c r="CR337">
        <f>SUM(TBA_Matches_All[[#This Row],[TspkrPts]]*TBA_Matches_All[[#This Row],[TspkrP]])</f>
        <v>17.5</v>
      </c>
      <c r="CS337" s="59">
        <f>IFERROR(SUM(TBA_Matches_All[[#This Row],[TtrapT]]/TBA_Matches_All[[#This Row],[Trap]]),0)</f>
        <v>0</v>
      </c>
      <c r="CT337" s="59">
        <f>IFERROR(SUM(TBA_Matches_All[[#This Row],[TotNotesT]]/TBA_Matches_All[[#This Row],[TotNotes]]),0)</f>
        <v>0.2857142857142857</v>
      </c>
      <c r="CU337" s="66">
        <f>SUM((TBA_Matches_All[[#This Row],[AampT]]*2)+(TBA_Matches_All[[#This Row],[AspkrT]]*5)+(TBA_Matches_All[[#This Row],[AtrapT]]*5)+(TBA_Matches_All[[#This Row],[TampT]]*1)+(TBA_Matches_All[[#This Row],[TspkrptsC]]))</f>
        <v>22.5</v>
      </c>
      <c r="CV337" s="59">
        <f>IFERROR(TBA_Matches_All[[#This Row],[noteptsT]]/TBA_Matches_All[[#This Row],[NotePts]],0)</f>
        <v>0.34090909090909088</v>
      </c>
      <c r="CW337">
        <f>SUM(IF(TBA_Matches_All[[#This Row],[stageStat]]="On",3,0),IF(TBA_Matches_All[[#This Row],[stageStat]]="Park",1,0),SUMIFS(TBA_Matches_All[[#This Row],[Spotlit]],TBA_Matches_All[[#This Row],[stageStat]],"On"),SUMIFS(TBA_Matches_All[[#This Row],[Harmony]],TBA_Matches_All[[#This Row],[stageStat]],"On"))</f>
        <v>3</v>
      </c>
      <c r="CX337" s="59">
        <f>IFERROR(TBA_Matches_All[[#This Row],[stageptsT]]/TBA_Matches_All[[#This Row],[StagePts]],0)</f>
        <v>0.6</v>
      </c>
      <c r="CY337">
        <f>SUM((TBA_Matches_All[[#This Row],[AptsT]]+TBA_Matches_All[[#This Row],[TampT]]+TBA_Matches_All[[#This Row],[TspkrptsC]]+(TBA_Matches_All[[#This Row],[TtrapT]]*5)+TBA_Matches_All[[#This Row],[stageptsT]]))</f>
        <v>27.5</v>
      </c>
      <c r="CZ337" s="59">
        <f>IFERROR(SUM(TBA_Matches_All[[#This Row],[TotptsC]]/TBA_Matches_All[[#This Row],[Score]]),0)</f>
        <v>0.3089887640449438</v>
      </c>
      <c r="DA337"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7.6099999999999994</v>
      </c>
      <c r="DB337" s="74">
        <f>SUMIFS(TBA_Matches_All[AveTeamTNoteDels],TBA_Matches_All[Match_Number],TBA_Matches_All[[#This Row],[Match_Number]],TBA_Matches_All[Alliance],"&lt;&gt;"&amp;TBA_Matches_All[[#This Row],[Alliance]],TBA_Matches_All[Scouted],"&gt;0")</f>
        <v>42.079583333333332</v>
      </c>
      <c r="DC337" s="74">
        <f>(TBA_Matches_All[[#This Row],[TampT]]+TBA_Matches_All[[#This Row],[TspkrptsC]])-TBA_Matches_All[[#This Row],[AveTeamTNoteDels]]</f>
        <v>9.89</v>
      </c>
      <c r="DD337" s="74">
        <f>SUMIFS(TBA_Matches_All[AveTeamTNoteDels],TBA_Matches_All[Match_Number],TBA_Matches_All[[#This Row],[Match_Number]],TBA_Matches_All[Alliance],"&lt;&gt;"&amp;TBA_Matches_All[[#This Row],[Alliance]])-TBA_Matches_All[[#This Row],[AveOppTNoteDels]]</f>
        <v>0</v>
      </c>
    </row>
    <row r="338" spans="1:108" x14ac:dyDescent="0.3">
      <c r="A338" t="s">
        <v>1042</v>
      </c>
      <c r="B338" t="s">
        <v>489</v>
      </c>
      <c r="C338" t="s">
        <v>1365</v>
      </c>
      <c r="D338">
        <v>56</v>
      </c>
      <c r="E338" t="s">
        <v>1406</v>
      </c>
      <c r="F338" t="s">
        <v>1424</v>
      </c>
      <c r="G338" t="s">
        <v>1409</v>
      </c>
      <c r="H338" t="s">
        <v>367</v>
      </c>
      <c r="I338" t="b">
        <v>1</v>
      </c>
      <c r="J338">
        <v>56</v>
      </c>
      <c r="K338">
        <v>1</v>
      </c>
      <c r="L338">
        <v>0</v>
      </c>
      <c r="M338">
        <v>14</v>
      </c>
      <c r="N338">
        <v>0</v>
      </c>
      <c r="O338">
        <v>5</v>
      </c>
      <c r="P338">
        <v>25</v>
      </c>
      <c r="Q338">
        <v>29</v>
      </c>
      <c r="R338">
        <v>2</v>
      </c>
      <c r="S338">
        <v>0</v>
      </c>
      <c r="T338">
        <v>10</v>
      </c>
      <c r="U338">
        <v>0</v>
      </c>
      <c r="V338">
        <v>20</v>
      </c>
      <c r="W338">
        <v>10</v>
      </c>
      <c r="X338">
        <v>20</v>
      </c>
      <c r="Y338">
        <v>22</v>
      </c>
      <c r="Z338">
        <v>0</v>
      </c>
      <c r="AA338">
        <v>0</v>
      </c>
      <c r="AB338">
        <v>17</v>
      </c>
      <c r="AC338">
        <v>47</v>
      </c>
      <c r="AD338">
        <v>5</v>
      </c>
      <c r="AE338">
        <f>IFERROR(6/(COUNTIF(Dyno_EndMatch[Match],TBA_Matches_All[[#This Row],[Match_Number]])),0)</f>
        <v>1</v>
      </c>
      <c r="AF338">
        <f>COUNTIFS(Dyno_Data[Team],TBA_Matches_All[[#This Row],[Team]],Dyno_Data[Match],TBA_Matches_All[[#This Row],[Match_Number]],Dyno_Data[RecordType],"EndMatch",Dyno_Data[HPAmp],"Y")</f>
        <v>0</v>
      </c>
      <c r="AG338">
        <f>SUMIFS(Dyno_Data[Mics], Dyno_Data[Team],TBA_Matches_All[[#This Row],[Team]],Dyno_Data[Match],TBA_Matches_All[[#This Row],[Match_Number]],Dyno_Data[RecordType],"EndMatch",Dyno_Data[HPAmp],"Y")</f>
        <v>0</v>
      </c>
      <c r="AH338">
        <f>SUMIFS(Dyno_Data[Leave], Dyno_Data[Team],TBA_Matches_All[[#This Row],[Team]],Dyno_Data[Match],TBA_Matches_All[[#This Row],[Match_Number]],Dyno_Data[RecordType],"EndAuto")</f>
        <v>0</v>
      </c>
      <c r="AI338">
        <f>COUNTIFS(Dyno_Data[Team],TBA_Matches_All[[#This Row],[Team]],Dyno_Data[Match],TBA_Matches_All[[#This Row],[Match_Number]],Dyno_Data[RecordType],"Activities",Dyno_Data[DelDest],"Amp", Dyno_Data[DelMiss],"0", Dyno_Data[Mode],"Auto")</f>
        <v>0</v>
      </c>
      <c r="AJ338">
        <f>COUNTIFS(Dyno_Data[Team],TBA_Matches_All[[#This Row],[Team]],Dyno_Data[Match],TBA_Matches_All[[#This Row],[Match_Number]],Dyno_Data[RecordType],"Activities",Dyno_Data[DelDest],"Spkr", Dyno_Data[DelMiss],"0", Dyno_Data[Mode],"Auto")</f>
        <v>1</v>
      </c>
      <c r="AK338">
        <f>COUNTIFS(Dyno_Data[Team],TBA_Matches_All[[#This Row],[Team]],Dyno_Data[Match],TBA_Matches_All[[#This Row],[Match_Number]],Dyno_Data[RecordType],"Activities",Dyno_Data[DelDest],"Trap", Dyno_Data[DelMiss],"0", Dyno_Data[Mode],"Auto")</f>
        <v>0</v>
      </c>
      <c r="AL338">
        <f>COUNTIFS(Dyno_Data[Team],TBA_Matches_All[[#This Row],[Team]],Dyno_Data[Match],TBA_Matches_All[[#This Row],[Match_Number]],Dyno_Data[RecordType],"Activities",Dyno_Data[DelDest],"Amp", Dyno_Data[DelMiss],"0", Dyno_Data[Mode],"Teleop")</f>
        <v>0</v>
      </c>
      <c r="AM338">
        <f>COUNTIFS(Dyno_Data[Team],TBA_Matches_All[[#This Row],[Team]],Dyno_Data[Match],TBA_Matches_All[[#This Row],[Match_Number]],Dyno_Data[RecordType],"Activities",Dyno_Data[DelDest],"Spkr", Dyno_Data[DelMiss],"0", Dyno_Data[Mode],"Teleop")</f>
        <v>4</v>
      </c>
      <c r="AN338">
        <f>COUNTIFS(Dyno_Data[Team],TBA_Matches_All[[#This Row],[Team]],Dyno_Data[Match],TBA_Matches_All[[#This Row],[Match_Number]],Dyno_Data[RecordType],"Activities",Dyno_Data[DelDest],"Trap", Dyno_Data[DelMiss],"0", Dyno_Data[Mode],"&lt;&gt;Auto")</f>
        <v>0</v>
      </c>
      <c r="AO338">
        <f>SUM(TBA_Matches_All[[#This Row],[AampT]]+TBA_Matches_All[[#This Row],[AspkrT]]+TBA_Matches_All[[#This Row],[AtrapT]]+TBA_Matches_All[[#This Row],[TampT]]+TBA_Matches_All[[#This Row],[TspkrT]]+TBA_Matches_All[[#This Row],[TtrapT]])</f>
        <v>5</v>
      </c>
      <c r="AP338">
        <f>COUNTIFS(Dyno_Data[Team],TBA_Matches_All[[#This Row],[Team]],Dyno_Data[Match],TBA_Matches_All[[#This Row],[Match_Number]],Dyno_Data[RecordType],"Activities",Dyno_Data[DelDest],"Neut", Dyno_Data[DelMiss],"0")</f>
        <v>0</v>
      </c>
      <c r="AQ338">
        <f>COUNTIFS(Dyno_Data[Team],TBA_Matches_All[[#This Row],[Team]],Dyno_Data[Match],TBA_Matches_All[[#This Row],[Match_Number]],Dyno_Data[RecordType],"Activities",Dyno_Data[DelDest],"AllyW", Dyno_Data[DelMiss],"0")</f>
        <v>1</v>
      </c>
      <c r="AR338" t="str">
        <f>_xlfn.XLOOKUP(SUM(MID(TBA_Matches_All[[#This Row],[Team]],4,5),(TBA_Matches_All[[#This Row],[Match_Number]]/100)),Dyno_EndMatch[teammat],Dyno_EndMatch[RobotSta],"_",0,1)</f>
        <v>Amp</v>
      </c>
      <c r="AS338">
        <f>SUMIFS(Dyno_Data[AcqDis], Dyno_Data[Team],TBA_Matches_All[[#This Row],[Team]],Dyno_Data[Match],TBA_Matches_All[[#This Row],[Match_Number]],Dyno_Data[RecordType],"Activities", Dyno_Data[AcqCenter],1,Dyno_Data[Mode],"Auto")</f>
        <v>0</v>
      </c>
      <c r="AT338">
        <f>SUMIFS(Dyno_Data[AcqDis], Dyno_Data[Team],TBA_Matches_All[[#This Row],[Team]],Dyno_Data[Match],TBA_Matches_All[[#This Row],[Match_Number]],Dyno_Data[RecordType],"Activities", Dyno_Data[AcqCenter],2,Dyno_Data[Mode],"Auto")</f>
        <v>0</v>
      </c>
      <c r="AU338">
        <f>SUMIFS(Dyno_Data[AcqDis], Dyno_Data[Team],TBA_Matches_All[[#This Row],[Team]],Dyno_Data[Match],TBA_Matches_All[[#This Row],[Match_Number]],Dyno_Data[RecordType],"Activities", Dyno_Data[AcqCenter],3,Dyno_Data[Mode],"Auto")</f>
        <v>0</v>
      </c>
      <c r="AV338">
        <f>SUMIFS(Dyno_Data[AcqDis], Dyno_Data[Team],TBA_Matches_All[[#This Row],[Team]],Dyno_Data[Match],TBA_Matches_All[[#This Row],[Match_Number]],Dyno_Data[RecordType],"Activities", Dyno_Data[AcqCenter],4,Dyno_Data[Mode],"Auto")</f>
        <v>0</v>
      </c>
      <c r="AW338">
        <f>SUMIFS(Dyno_Data[AcqDis], Dyno_Data[Team],TBA_Matches_All[[#This Row],[Team]],Dyno_Data[Match],TBA_Matches_All[[#This Row],[Match_Number]],Dyno_Data[RecordType],"Activities", Dyno_Data[AcqCenter],5,Dyno_Data[Mode],"Auto")</f>
        <v>0</v>
      </c>
      <c r="AX338">
        <f>SUMIFS(Dyno_Data[DelMiss], Dyno_Data[Team],TBA_Matches_All[[#This Row],[Team]],Dyno_Data[Match],TBA_Matches_All[[#This Row],[Match_Number]],Dyno_Data[RecordType],"Activities", Dyno_Data[DelDest],"Amp")</f>
        <v>0</v>
      </c>
      <c r="AY338" s="60">
        <f>IFERROR(SUM((TBA_Matches_All[[#This Row],[AampT]]+TBA_Matches_All[[#This Row],[TampT]])/(TBA_Matches_All[[#This Row],[AampT]]+TBA_Matches_All[[#This Row],[TampT]]+TBA_Matches_All[[#This Row],[ampM]])),0)</f>
        <v>0</v>
      </c>
      <c r="AZ338">
        <f>SUMIFS(Dyno_Data[DelMiss], Dyno_Data[Team],TBA_Matches_All[[#This Row],[Team]],Dyno_Data[Match],TBA_Matches_All[[#This Row],[Match_Number]],Dyno_Data[RecordType],"Activities", Dyno_Data[DelDest],"Spkr")</f>
        <v>1</v>
      </c>
      <c r="BA338" s="60">
        <f>IFERROR(SUM((TBA_Matches_All[[#This Row],[AspkrT]]+TBA_Matches_All[[#This Row],[TspkrT]])/(TBA_Matches_All[[#This Row],[AspkrT]]+TBA_Matches_All[[#This Row],[TspkrT]]+TBA_Matches_All[[#This Row],[spkrM]])),0)</f>
        <v>0.83333333333333337</v>
      </c>
      <c r="BB338">
        <f>SUMIFS(Dyno_Data[DelMiss], Dyno_Data[Team],TBA_Matches_All[[#This Row],[Team]],Dyno_Data[Match],TBA_Matches_All[[#This Row],[Match_Number]],Dyno_Data[RecordType],"Activities", Dyno_Data[DelDest],"Trap")</f>
        <v>0</v>
      </c>
      <c r="BC338" s="60">
        <f>IFERROR((TBA_Matches_All[[#This Row],[AtrapT]]+TBA_Matches_All[[#This Row],[TtrapT]])/(TBA_Matches_All[[#This Row],[AtrapT]]+TBA_Matches_All[[#This Row],[TtrapT]]+TBA_Matches_All[[#This Row],[trapM]]),0)</f>
        <v>0</v>
      </c>
      <c r="BD338">
        <f>COUNTIFS(Dyno_Data[Team],TBA_Matches_All[[#This Row],[Team]],Dyno_Data[Match],TBA_Matches_All[[#This Row],[Match_Number]],Dyno_Data[RecordType],"Activities",Dyno_Data[DelDest],"Neut", Dyno_Data[DelMiss],1)</f>
        <v>0</v>
      </c>
      <c r="BE338" s="60">
        <f>IFERROR(SUM((TBA_Matches_All[[#This Row],[NeutFlrT]])/(TBA_Matches_All[[#This Row],[NeutFlrT]]+TBA_Matches_All[[#This Row],[NZflM]])),0)</f>
        <v>0</v>
      </c>
      <c r="BF338">
        <f>COUNTIFS(Dyno_Data[Team],TBA_Matches_All[[#This Row],[Team]],Dyno_Data[Match],TBA_Matches_All[[#This Row],[Match_Number]],Dyno_Data[RecordType],"Activities",Dyno_Data[DelDest],"AllyW", Dyno_Data[DelMiss],1)</f>
        <v>0</v>
      </c>
      <c r="BG338" s="60">
        <f>IFERROR(SUM((TBA_Matches_All[[#This Row],[AllyWFlrT]])/(TBA_Matches_All[[#This Row],[AllyWFlrT]]+TBA_Matches_All[[#This Row],[AZflM]])),0)</f>
        <v>1</v>
      </c>
      <c r="BH338">
        <f>COUNTIFS(Dyno_Data[Team],TBA_Matches_All[[#This Row],[Team]],Dyno_Data[Match],TBA_Matches_All[[#This Row],[Match_Number]],Dyno_Data[RecordType],"Activities",Dyno_Data[DelOrig],"OppW", Dyno_Data[DelMiss],"0")</f>
        <v>0</v>
      </c>
      <c r="BI338">
        <f>COUNTIFS(Dyno_Data[Team],TBA_Matches_All[[#This Row],[Team]],Dyno_Data[Match],TBA_Matches_All[[#This Row],[Match_Number]],Dyno_Data[RecordType],"Activities",Dyno_Data[DelOrig],"OppW", Dyno_Data[DelMiss],"1")</f>
        <v>0</v>
      </c>
      <c r="BJ338" s="60">
        <f>IFERROR(SUM((TBA_Matches_All[[#This Row],[OZflrT]])/(TBA_Matches_All[[#This Row],[OZflrT]]+TBA_Matches_All[[#This Row],[OZflrM]])),0)</f>
        <v>0</v>
      </c>
      <c r="BK338">
        <f>COUNTIFS(Dyno_Data[Team],TBA_Matches_All[[#This Row],[Team]],Dyno_Data[Match],TBA_Matches_All[[#This Row],[Match_Number]],Dyno_Data[RecordType],"Activities",Dyno_Data[DelOrig],"Neut", Dyno_Data[DelMiss],"0")</f>
        <v>0</v>
      </c>
      <c r="BL338">
        <f>COUNTIFS(Dyno_Data[Team],TBA_Matches_All[[#This Row],[Team]],Dyno_Data[Match],TBA_Matches_All[[#This Row],[Match_Number]],Dyno_Data[RecordType],"Activities",Dyno_Data[DelOrig],"Neut", Dyno_Data[DelMiss],"1")</f>
        <v>0</v>
      </c>
      <c r="BM338" s="60">
        <f>IFERROR(SUM((TBA_Matches_All[[#This Row],[NZflrT]])/(TBA_Matches_All[[#This Row],[NZflrT]]+TBA_Matches_All[[#This Row],[NZflrM]])),0)</f>
        <v>0</v>
      </c>
      <c r="BN338">
        <f>COUNTIFS(Dyno_Data[Team],TBA_Matches_All[[#This Row],[Team]],Dyno_Data[Match],TBA_Matches_All[[#This Row],[Match_Number]],Dyno_Data[RecordType],"Activities",Dyno_Data[DelOrig],"AllyW", Dyno_Data[DelMiss],"0")</f>
        <v>1</v>
      </c>
      <c r="BO338">
        <f>COUNTIFS(Dyno_Data[Team],TBA_Matches_All[[#This Row],[Team]],Dyno_Data[Match],TBA_Matches_All[[#This Row],[Match_Number]],Dyno_Data[RecordType],"Activities",Dyno_Data[DelOrig],"AllyW", Dyno_Data[DelMiss],"1")</f>
        <v>0</v>
      </c>
      <c r="BP338" s="60">
        <f>IFERROR(SUM((TBA_Matches_All[[#This Row],[AZflrT]])/(TBA_Matches_All[[#This Row],[AZflrT]]+TBA_Matches_All[[#This Row],[AZflrM]])),0)</f>
        <v>1</v>
      </c>
      <c r="BQ338">
        <f>COUNTIFS(Dyno_Data[Team],TBA_Matches_All[[#This Row],[Team]],Dyno_Data[Match],TBA_Matches_All[[#This Row],[Match_Number]],Dyno_Data[RecordType],"Activities",Dyno_Data[DelOrig],"SubW", Dyno_Data[DelMiss],"0")</f>
        <v>5</v>
      </c>
      <c r="BR338">
        <f>COUNTIFS(Dyno_Data[Team],TBA_Matches_All[[#This Row],[Team]],Dyno_Data[Match],TBA_Matches_All[[#This Row],[Match_Number]],Dyno_Data[RecordType],"Activities",Dyno_Data[DelOrig],"SubW", Dyno_Data[DelMiss],"1")</f>
        <v>1</v>
      </c>
      <c r="BS338" s="60">
        <f>IFERROR(SUM((TBA_Matches_All[[#This Row],[SubwT]])/(TBA_Matches_All[[#This Row],[SubwT]]+TBA_Matches_All[[#This Row],[SubwM]])),0)</f>
        <v>0.83333333333333337</v>
      </c>
      <c r="BT338">
        <f>COUNTIFS(Dyno_Data[Team],TBA_Matches_All[[#This Row],[Team]],Dyno_Data[Match],TBA_Matches_All[[#This Row],[Match_Number]],Dyno_Data[RecordType],"Activities", Dyno_Data[AcqLoc],"OppWing")</f>
        <v>0</v>
      </c>
      <c r="BU338">
        <f>COUNTIFS(Dyno_Data[Team],TBA_Matches_All[[#This Row],[Team]],Dyno_Data[Match],TBA_Matches_All[[#This Row],[Match_Number]],Dyno_Data[RecordType],"Activities", Dyno_Data[AcqLoc],"Neutral")</f>
        <v>0</v>
      </c>
      <c r="BV338">
        <f>COUNTIFS(Dyno_Data[Team],TBA_Matches_All[[#This Row],[Team]],Dyno_Data[Match],TBA_Matches_All[[#This Row],[Match_Number]],Dyno_Data[RecordType],"Activities", Dyno_Data[AcqLoc],"AllyWing")</f>
        <v>0</v>
      </c>
      <c r="BW338">
        <f>COUNTIFS(Dyno_Data[Team],TBA_Matches_All[[#This Row],[Team]],Dyno_Data[Match],TBA_Matches_All[[#This Row],[Match_Number]],Dyno_Data[RecordType],"Activities", Dyno_Data[AcqLoc],"Source")</f>
        <v>0</v>
      </c>
      <c r="BX338">
        <f>SUMIFS(Dyno_Data[AcqDrp], Dyno_Data[Team],TBA_Matches_All[[#This Row],[Team]],Dyno_Data[Match],TBA_Matches_All[[#This Row],[Match_Number]],Dyno_Data[RecordType],"Activities", Dyno_Data[AcqLoc],"Source")</f>
        <v>0</v>
      </c>
      <c r="BY338">
        <f>SUMIFS(Dyno_Data[OZTime], Dyno_Data[Team],TBA_Matches_All[[#This Row],[Team]],Dyno_Data[Match],TBA_Matches_All[[#This Row],[Match_Number]],Dyno_Data[RecordType],"EndMatch")</f>
        <v>51.0143007</v>
      </c>
      <c r="BZ338">
        <f>SUMIFS(Dyno_Data[NZTime], Dyno_Data[Team],TBA_Matches_All[[#This Row],[Team]],Dyno_Data[Match],TBA_Matches_All[[#This Row],[Match_Number]],Dyno_Data[RecordType],"EndMatch")</f>
        <v>20.203918699999999</v>
      </c>
      <c r="CA338">
        <f>SUMIFS(Dyno_Data[AZTime], Dyno_Data[Team],TBA_Matches_All[[#This Row],[Team]],Dyno_Data[Match],TBA_Matches_All[[#This Row],[Match_Number]],Dyno_Data[RecordType],"EndMatch")</f>
        <v>57.4645066</v>
      </c>
      <c r="CB338">
        <f>SUMIFS(Dyno_Data[ClimbT], Dyno_Data[Team],TBA_Matches_All[[#This Row],[Team]],Dyno_Data[Match],TBA_Matches_All[[#This Row],[Match_Number]],Dyno_Data[RecordType],"EndMatch")</f>
        <v>2.9963015999999998</v>
      </c>
      <c r="CC338" t="str">
        <f>_xlfn.XLOOKUP(SUM(MID(TBA_Matches_All[[#This Row],[Team]],4,5),(TBA_Matches_All[[#This Row],[Match_Number]]/100)),Dyno_EndMatch[teammat],Dyno_EndMatch[StageStat],"_",0,1)</f>
        <v>On</v>
      </c>
      <c r="CD338" t="str">
        <f>_xlfn.XLOOKUP(TBA_Matches_All[[#This Row],[teammat]],Dyno_EndMatch[teammat],Dyno_EndMatch[StageAtt],"_",0,1)</f>
        <v>1</v>
      </c>
      <c r="CE338" t="str">
        <f>_xlfn.XLOOKUP(TBA_Matches_All[[#This Row],[teammat]],Dyno_EndMatch[teammat],Dyno_EndMatch[StageLoc],"_",0,1)</f>
        <v>R</v>
      </c>
      <c r="CF338">
        <f>SUMIFS(Dyno_Data[Harmony], Dyno_Data[Team],TBA_Matches_All[[#This Row],[Team]],Dyno_Data[Match],TBA_Matches_All[[#This Row],[Match_Number]],Dyno_Data[RecordType],"EndMatch", Dyno_Data[StageStat],"On",Dyno_Data[Harmony],"&lt;&gt;9")</f>
        <v>0</v>
      </c>
      <c r="CG338">
        <f>SUMIFS(Dyno_Data[Spotlit], Dyno_Data[Team],TBA_Matches_All[[#This Row],[Team]],Dyno_Data[Match],TBA_Matches_All[[#This Row],[Match_Number]],Dyno_Data[RecordType],"EndMatch", Dyno_Data[StageStat],"On",Dyno_Data[Spotlit],"&lt;&gt;9")</f>
        <v>0</v>
      </c>
      <c r="CH338" t="str">
        <f>_xlfn.XLOOKUP(TBA_Matches_All[[#This Row],[teammat]],Dyno_EndMatch[teammat],Dyno_EndMatch[Strategy],"_",0,1)</f>
        <v>Hybrid</v>
      </c>
      <c r="CI338">
        <f>SUMIFS(Dyno_Data[Defense], Dyno_Data[Team],TBA_Matches_All[[#This Row],[Team]],Dyno_Data[Match],TBA_Matches_All[[#This Row],[Match_Number]],Dyno_Data[RecordType],"EndMatch",Dyno_Data[Defense],"&lt;&gt;9")</f>
        <v>0</v>
      </c>
      <c r="CJ338">
        <f>SUMIFS(Dyno_Data[Avoidance], Dyno_Data[Team],TBA_Matches_All[[#This Row],[Team]],Dyno_Data[Match],TBA_Matches_All[[#This Row],[Match_Number]],Dyno_Data[RecordType],"EndMatch",Dyno_Data[Avoidance],"&lt;&gt;9")</f>
        <v>0</v>
      </c>
      <c r="CK338" s="82">
        <f>COUNTIF($H$2:TBA_Matches_All[[#This Row],[Team]],TBA_Matches_All[[#This Row],[Team]])</f>
        <v>7</v>
      </c>
      <c r="CL338" s="111">
        <f>SUM(MID(TBA_Matches_All[[#This Row],[Team]],4,5)+TBA_Matches_All[[#This Row],[Match_Number]]/100)</f>
        <v>5016.5600000000004</v>
      </c>
      <c r="CM338">
        <f>SUM((TBA_Matches_All[[#This Row],[Leave]]*2)+(TBA_Matches_All[[#This Row],[AampT]]*2)+(TBA_Matches_All[[#This Row],[AspkrT]]*5)+(TBA_Matches_All[[#This Row],[AtrapT]]*5))</f>
        <v>5</v>
      </c>
      <c r="CN338" s="59">
        <f>IFERROR(SUM(TBA_Matches_All[[#This Row],[AptsT]]/TBA_Matches_All[[#This Row],[AutoPts]]),0)</f>
        <v>0.17241379310344829</v>
      </c>
      <c r="CO338" s="59">
        <f>IFERROR(SUM(TBA_Matches_All[[#This Row],[AampT]]+TBA_Matches_All[[#This Row],[AspkrT]]+TBA_Matches_All[[#This Row],[AtrapT]]/TBA_Matches_All[[#This Row],[Aamp]]+TBA_Matches_All[[#This Row],[Aspkr]]+TBA_Matches_All[[#This Row],[AtrapT]]),0)</f>
        <v>0</v>
      </c>
      <c r="CP338" s="59">
        <f>IFERROR(SUM(TBA_Matches_All[[#This Row],[TampT]]/TBA_Matches_All[[#This Row],[Tamp]]),0)</f>
        <v>0</v>
      </c>
      <c r="CQ338" s="59">
        <f>IFERROR(SUM(TBA_Matches_All[[#This Row],[TspkrT]]/TBA_Matches_All[[#This Row],[Tspkr]]),0)</f>
        <v>0.4</v>
      </c>
      <c r="CR338">
        <f>SUM(TBA_Matches_All[[#This Row],[TspkrPts]]*TBA_Matches_All[[#This Row],[TspkrP]])</f>
        <v>8</v>
      </c>
      <c r="CS338" s="59">
        <f>IFERROR(SUM(TBA_Matches_All[[#This Row],[TtrapT]]/TBA_Matches_All[[#This Row],[Trap]]),0)</f>
        <v>0</v>
      </c>
      <c r="CT338" s="59">
        <f>IFERROR(SUM(TBA_Matches_All[[#This Row],[TotNotesT]]/TBA_Matches_All[[#This Row],[TotNotes]]),0)</f>
        <v>0.29411764705882354</v>
      </c>
      <c r="CU338" s="66">
        <f>SUM((TBA_Matches_All[[#This Row],[AampT]]*2)+(TBA_Matches_All[[#This Row],[AspkrT]]*5)+(TBA_Matches_All[[#This Row],[AtrapT]]*5)+(TBA_Matches_All[[#This Row],[TampT]]*1)+(TBA_Matches_All[[#This Row],[TspkrptsC]]))</f>
        <v>13</v>
      </c>
      <c r="CV338" s="59">
        <f>IFERROR(TBA_Matches_All[[#This Row],[noteptsT]]/TBA_Matches_All[[#This Row],[NotePts]],0)</f>
        <v>0.27659574468085107</v>
      </c>
      <c r="CW338">
        <f>SUM(IF(TBA_Matches_All[[#This Row],[stageStat]]="On",3,0),IF(TBA_Matches_All[[#This Row],[stageStat]]="Park",1,0),SUMIFS(TBA_Matches_All[[#This Row],[Spotlit]],TBA_Matches_All[[#This Row],[stageStat]],"On"),SUMIFS(TBA_Matches_All[[#This Row],[Harmony]],TBA_Matches_All[[#This Row],[stageStat]],"On"))</f>
        <v>3</v>
      </c>
      <c r="CX338" s="59">
        <f>IFERROR(TBA_Matches_All[[#This Row],[stageptsT]]/TBA_Matches_All[[#This Row],[StagePts]],0)</f>
        <v>0.6</v>
      </c>
      <c r="CY338">
        <f>SUM((TBA_Matches_All[[#This Row],[AptsT]]+TBA_Matches_All[[#This Row],[TampT]]+TBA_Matches_All[[#This Row],[TspkrptsC]]+(TBA_Matches_All[[#This Row],[TtrapT]]*5)+TBA_Matches_All[[#This Row],[stageptsT]]))</f>
        <v>16</v>
      </c>
      <c r="CZ338" s="59">
        <f>IFERROR(SUM(TBA_Matches_All[[#This Row],[TotptsC]]/TBA_Matches_All[[#This Row],[Score]]),0)</f>
        <v>0.2857142857142857</v>
      </c>
      <c r="DA338" s="74">
        <f>SUM(IFERROR(AVERAGEIFS(TBA_Matches_All[TampT],TBA_Matches_All[Team],TBA_Matches_All[[#This Row],[Team]],TBA_Matches_All[Match_Number],"&lt;&gt;"&amp;TBA_Matches_All[[#This Row],[Match_Number]],TBA_Matches_All[Scouted],"&gt;0"),0),IFERROR(AVERAGEIFS(TBA_Matches_All[TspkrptsC],TBA_Matches_All[Team],TBA_Matches_All[[#This Row],[Team]],TBA_Matches_All[Match_Number],"&lt;&gt;"&amp;TBA_Matches_All[[#This Row],[Match_Number]],TBA_Matches_All[Scouted],"&gt;0"),0))</f>
        <v>8.8466666666666676</v>
      </c>
      <c r="DB338" s="74">
        <f>SUMIFS(TBA_Matches_All[AveTeamTNoteDels],TBA_Matches_All[Match_Number],TBA_Matches_All[[#This Row],[Match_Number]],TBA_Matches_All[Alliance],"&lt;&gt;"&amp;TBA_Matches_All[[#This Row],[Alliance]],TBA_Matches_All[Scouted],"&gt;0")</f>
        <v>29.729189560439561</v>
      </c>
      <c r="DC338" s="74">
        <f>(TBA_Matches_All[[#This Row],[TampT]]+TBA_Matches_All[[#This Row],[TspkrptsC]])-TBA_Matches_All[[#This Row],[AveTeamTNoteDels]]</f>
        <v>-0.84666666666666757</v>
      </c>
      <c r="DD338" s="74">
        <f>SUMIFS(TBA_Matches_All[AveTeamTNoteDels],TBA_Matches_All[Match_Number],TBA_Matches_All[[#This Row],[Match_Number]],TBA_Matches_All[Alliance],"&lt;&gt;"&amp;TBA_Matches_All[[#This Row],[Alliance]])-TBA_Matches_All[[#This Row],[AveOppTNoteDels]]</f>
        <v>0</v>
      </c>
    </row>
    <row r="339" spans="1:108" x14ac:dyDescent="0.3">
      <c r="DC339"/>
    </row>
    <row r="340" spans="1:108" x14ac:dyDescent="0.3">
      <c r="DC340"/>
    </row>
    <row r="341" spans="1:108" x14ac:dyDescent="0.3">
      <c r="DC341"/>
    </row>
    <row r="342" spans="1:108" x14ac:dyDescent="0.3">
      <c r="DC342"/>
    </row>
    <row r="343" spans="1:108" x14ac:dyDescent="0.3">
      <c r="DC343"/>
    </row>
    <row r="344" spans="1:108" x14ac:dyDescent="0.3">
      <c r="DC344"/>
    </row>
    <row r="345" spans="1:108" x14ac:dyDescent="0.3">
      <c r="DC345"/>
    </row>
    <row r="346" spans="1:108" x14ac:dyDescent="0.3">
      <c r="DC346"/>
    </row>
    <row r="347" spans="1:108" x14ac:dyDescent="0.3">
      <c r="DC347"/>
    </row>
    <row r="348" spans="1:108" x14ac:dyDescent="0.3">
      <c r="DC348"/>
    </row>
    <row r="349" spans="1:108" x14ac:dyDescent="0.3">
      <c r="DC349"/>
    </row>
    <row r="350" spans="1:108" x14ac:dyDescent="0.3">
      <c r="DC350"/>
    </row>
    <row r="351" spans="1:108" x14ac:dyDescent="0.3">
      <c r="DC351"/>
    </row>
    <row r="352" spans="1:108" x14ac:dyDescent="0.3">
      <c r="DC352"/>
    </row>
    <row r="353" spans="107:107" x14ac:dyDescent="0.3">
      <c r="DC353"/>
    </row>
    <row r="354" spans="107:107" x14ac:dyDescent="0.3">
      <c r="DC354"/>
    </row>
    <row r="355" spans="107:107" x14ac:dyDescent="0.3">
      <c r="DC355"/>
    </row>
    <row r="356" spans="107:107" x14ac:dyDescent="0.3">
      <c r="DC356"/>
    </row>
    <row r="357" spans="107:107" x14ac:dyDescent="0.3">
      <c r="DC357"/>
    </row>
    <row r="358" spans="107:107" x14ac:dyDescent="0.3">
      <c r="DC358"/>
    </row>
    <row r="359" spans="107:107" x14ac:dyDescent="0.3">
      <c r="DC359"/>
    </row>
    <row r="360" spans="107:107" x14ac:dyDescent="0.3">
      <c r="DC360"/>
    </row>
    <row r="361" spans="107:107" x14ac:dyDescent="0.3">
      <c r="DC361"/>
    </row>
    <row r="362" spans="107:107" x14ac:dyDescent="0.3">
      <c r="DC362"/>
    </row>
    <row r="363" spans="107:107" x14ac:dyDescent="0.3">
      <c r="DC363"/>
    </row>
    <row r="364" spans="107:107" x14ac:dyDescent="0.3">
      <c r="DC364"/>
    </row>
    <row r="365" spans="107:107" x14ac:dyDescent="0.3">
      <c r="DC365"/>
    </row>
    <row r="366" spans="107:107" x14ac:dyDescent="0.3">
      <c r="DC366"/>
    </row>
    <row r="367" spans="107:107" x14ac:dyDescent="0.3">
      <c r="DC367"/>
    </row>
    <row r="368" spans="107:107" x14ac:dyDescent="0.3">
      <c r="DC368"/>
    </row>
    <row r="369" spans="107:107" x14ac:dyDescent="0.3">
      <c r="DC369"/>
    </row>
    <row r="370" spans="107:107" x14ac:dyDescent="0.3">
      <c r="DC370"/>
    </row>
    <row r="371" spans="107:107" x14ac:dyDescent="0.3">
      <c r="DC371"/>
    </row>
    <row r="372" spans="107:107" x14ac:dyDescent="0.3">
      <c r="DC372"/>
    </row>
    <row r="373" spans="107:107" x14ac:dyDescent="0.3">
      <c r="DC373"/>
    </row>
    <row r="374" spans="107:107" x14ac:dyDescent="0.3">
      <c r="DC374"/>
    </row>
    <row r="375" spans="107:107" x14ac:dyDescent="0.3">
      <c r="DC375"/>
    </row>
    <row r="376" spans="107:107" x14ac:dyDescent="0.3">
      <c r="DC376"/>
    </row>
    <row r="377" spans="107:107" x14ac:dyDescent="0.3">
      <c r="DC377"/>
    </row>
    <row r="378" spans="107:107" x14ac:dyDescent="0.3">
      <c r="DC378"/>
    </row>
    <row r="379" spans="107:107" x14ac:dyDescent="0.3">
      <c r="DC379"/>
    </row>
    <row r="380" spans="107:107" x14ac:dyDescent="0.3">
      <c r="DC380"/>
    </row>
    <row r="381" spans="107:107" x14ac:dyDescent="0.3">
      <c r="DC381"/>
    </row>
    <row r="382" spans="107:107" x14ac:dyDescent="0.3">
      <c r="DC382"/>
    </row>
    <row r="383" spans="107:107" x14ac:dyDescent="0.3">
      <c r="DC383"/>
    </row>
    <row r="384" spans="107:107" x14ac:dyDescent="0.3">
      <c r="DC384"/>
    </row>
    <row r="385" spans="107:107" x14ac:dyDescent="0.3">
      <c r="DC385"/>
    </row>
    <row r="386" spans="107:107" x14ac:dyDescent="0.3">
      <c r="DC386"/>
    </row>
    <row r="387" spans="107:107" x14ac:dyDescent="0.3">
      <c r="DC387"/>
    </row>
    <row r="388" spans="107:107" x14ac:dyDescent="0.3">
      <c r="DC388"/>
    </row>
    <row r="389" spans="107:107" x14ac:dyDescent="0.3">
      <c r="DC389"/>
    </row>
    <row r="390" spans="107:107" x14ac:dyDescent="0.3">
      <c r="DC390"/>
    </row>
    <row r="391" spans="107:107" x14ac:dyDescent="0.3">
      <c r="DC391"/>
    </row>
    <row r="392" spans="107:107" x14ac:dyDescent="0.3">
      <c r="DC392"/>
    </row>
    <row r="393" spans="107:107" x14ac:dyDescent="0.3">
      <c r="DC393"/>
    </row>
    <row r="394" spans="107:107" x14ac:dyDescent="0.3">
      <c r="DC394"/>
    </row>
    <row r="395" spans="107:107" x14ac:dyDescent="0.3">
      <c r="DC395"/>
    </row>
    <row r="396" spans="107:107" x14ac:dyDescent="0.3">
      <c r="DC396"/>
    </row>
    <row r="397" spans="107:107" x14ac:dyDescent="0.3">
      <c r="DC397"/>
    </row>
    <row r="398" spans="107:107" x14ac:dyDescent="0.3">
      <c r="DC398"/>
    </row>
    <row r="399" spans="107:107" x14ac:dyDescent="0.3">
      <c r="DC399"/>
    </row>
    <row r="400" spans="107:107" x14ac:dyDescent="0.3">
      <c r="DC400"/>
    </row>
    <row r="401" spans="107:107" x14ac:dyDescent="0.3">
      <c r="DC401"/>
    </row>
    <row r="402" spans="107:107" x14ac:dyDescent="0.3">
      <c r="DC402"/>
    </row>
    <row r="403" spans="107:107" x14ac:dyDescent="0.3">
      <c r="DC403"/>
    </row>
    <row r="404" spans="107:107" x14ac:dyDescent="0.3">
      <c r="DC404"/>
    </row>
    <row r="405" spans="107:107" x14ac:dyDescent="0.3">
      <c r="DC405"/>
    </row>
    <row r="406" spans="107:107" x14ac:dyDescent="0.3">
      <c r="DC406"/>
    </row>
    <row r="407" spans="107:107" x14ac:dyDescent="0.3">
      <c r="DC407"/>
    </row>
    <row r="408" spans="107:107" x14ac:dyDescent="0.3">
      <c r="DC408"/>
    </row>
    <row r="409" spans="107:107" x14ac:dyDescent="0.3">
      <c r="DC409"/>
    </row>
    <row r="410" spans="107:107" x14ac:dyDescent="0.3">
      <c r="DC410"/>
    </row>
    <row r="411" spans="107:107" x14ac:dyDescent="0.3">
      <c r="DC411"/>
    </row>
    <row r="412" spans="107:107" x14ac:dyDescent="0.3">
      <c r="DC412"/>
    </row>
    <row r="413" spans="107:107" x14ac:dyDescent="0.3">
      <c r="DC413"/>
    </row>
    <row r="414" spans="107:107" x14ac:dyDescent="0.3">
      <c r="DC414"/>
    </row>
    <row r="415" spans="107:107" x14ac:dyDescent="0.3">
      <c r="DC415"/>
    </row>
    <row r="416" spans="107:107" x14ac:dyDescent="0.3">
      <c r="DC416"/>
    </row>
    <row r="417" spans="107:107" x14ac:dyDescent="0.3">
      <c r="DC417"/>
    </row>
    <row r="418" spans="107:107" x14ac:dyDescent="0.3">
      <c r="DC418"/>
    </row>
    <row r="419" spans="107:107" x14ac:dyDescent="0.3">
      <c r="DC419"/>
    </row>
    <row r="420" spans="107:107" x14ac:dyDescent="0.3">
      <c r="DC420"/>
    </row>
    <row r="421" spans="107:107" x14ac:dyDescent="0.3">
      <c r="DC421"/>
    </row>
    <row r="422" spans="107:107" x14ac:dyDescent="0.3">
      <c r="DC422"/>
    </row>
    <row r="423" spans="107:107" x14ac:dyDescent="0.3">
      <c r="DC423"/>
    </row>
    <row r="424" spans="107:107" x14ac:dyDescent="0.3">
      <c r="DC424"/>
    </row>
    <row r="425" spans="107:107" x14ac:dyDescent="0.3">
      <c r="DC425"/>
    </row>
    <row r="426" spans="107:107" x14ac:dyDescent="0.3">
      <c r="DC426"/>
    </row>
    <row r="427" spans="107:107" x14ac:dyDescent="0.3">
      <c r="DC427"/>
    </row>
    <row r="428" spans="107:107" x14ac:dyDescent="0.3">
      <c r="DC428"/>
    </row>
    <row r="429" spans="107:107" x14ac:dyDescent="0.3">
      <c r="DC429"/>
    </row>
    <row r="430" spans="107:107" x14ac:dyDescent="0.3">
      <c r="DC430"/>
    </row>
    <row r="431" spans="107:107" x14ac:dyDescent="0.3">
      <c r="DC431"/>
    </row>
    <row r="432" spans="107:107" x14ac:dyDescent="0.3">
      <c r="DC432"/>
    </row>
    <row r="433" spans="107:107" x14ac:dyDescent="0.3">
      <c r="DC433"/>
    </row>
    <row r="434" spans="107:107" x14ac:dyDescent="0.3">
      <c r="DC434"/>
    </row>
    <row r="435" spans="107:107" x14ac:dyDescent="0.3">
      <c r="DC435"/>
    </row>
    <row r="436" spans="107:107" x14ac:dyDescent="0.3">
      <c r="DC436"/>
    </row>
    <row r="437" spans="107:107" x14ac:dyDescent="0.3">
      <c r="DC437"/>
    </row>
    <row r="438" spans="107:107" x14ac:dyDescent="0.3">
      <c r="DC438"/>
    </row>
    <row r="439" spans="107:107" x14ac:dyDescent="0.3">
      <c r="DC439"/>
    </row>
    <row r="440" spans="107:107" x14ac:dyDescent="0.3">
      <c r="DC440"/>
    </row>
    <row r="441" spans="107:107" x14ac:dyDescent="0.3">
      <c r="DC441"/>
    </row>
    <row r="442" spans="107:107" x14ac:dyDescent="0.3">
      <c r="DC442"/>
    </row>
    <row r="443" spans="107:107" x14ac:dyDescent="0.3">
      <c r="DC443"/>
    </row>
    <row r="444" spans="107:107" x14ac:dyDescent="0.3">
      <c r="DC444"/>
    </row>
    <row r="445" spans="107:107" x14ac:dyDescent="0.3">
      <c r="DC445"/>
    </row>
    <row r="446" spans="107:107" x14ac:dyDescent="0.3">
      <c r="DC446"/>
    </row>
    <row r="447" spans="107:107" x14ac:dyDescent="0.3">
      <c r="DC447"/>
    </row>
    <row r="448" spans="107:107" x14ac:dyDescent="0.3">
      <c r="DC448"/>
    </row>
    <row r="449" spans="107:107" x14ac:dyDescent="0.3">
      <c r="DC449"/>
    </row>
    <row r="450" spans="107:107" x14ac:dyDescent="0.3">
      <c r="DC450"/>
    </row>
    <row r="451" spans="107:107" x14ac:dyDescent="0.3">
      <c r="DC451"/>
    </row>
    <row r="452" spans="107:107" x14ac:dyDescent="0.3">
      <c r="DC452"/>
    </row>
    <row r="453" spans="107:107" x14ac:dyDescent="0.3">
      <c r="DC453"/>
    </row>
    <row r="454" spans="107:107" x14ac:dyDescent="0.3">
      <c r="DC454"/>
    </row>
    <row r="455" spans="107:107" x14ac:dyDescent="0.3">
      <c r="DC455"/>
    </row>
    <row r="456" spans="107:107" x14ac:dyDescent="0.3">
      <c r="DC456"/>
    </row>
    <row r="457" spans="107:107" x14ac:dyDescent="0.3">
      <c r="DC457"/>
    </row>
    <row r="458" spans="107:107" x14ac:dyDescent="0.3">
      <c r="DC458"/>
    </row>
    <row r="459" spans="107:107" x14ac:dyDescent="0.3">
      <c r="DC459"/>
    </row>
    <row r="460" spans="107:107" x14ac:dyDescent="0.3">
      <c r="DC460"/>
    </row>
    <row r="461" spans="107:107" x14ac:dyDescent="0.3">
      <c r="DC461"/>
    </row>
    <row r="462" spans="107:107" x14ac:dyDescent="0.3">
      <c r="DC462"/>
    </row>
    <row r="463" spans="107:107" x14ac:dyDescent="0.3">
      <c r="DC463"/>
    </row>
    <row r="464" spans="107:107" x14ac:dyDescent="0.3">
      <c r="DC464"/>
    </row>
    <row r="465" spans="107:107" x14ac:dyDescent="0.3">
      <c r="DC465"/>
    </row>
    <row r="466" spans="107:107" x14ac:dyDescent="0.3">
      <c r="DC466"/>
    </row>
    <row r="467" spans="107:107" x14ac:dyDescent="0.3">
      <c r="DC467"/>
    </row>
    <row r="468" spans="107:107" x14ac:dyDescent="0.3">
      <c r="DC468"/>
    </row>
    <row r="469" spans="107:107" x14ac:dyDescent="0.3">
      <c r="DC469"/>
    </row>
    <row r="470" spans="107:107" x14ac:dyDescent="0.3">
      <c r="DC470"/>
    </row>
    <row r="471" spans="107:107" x14ac:dyDescent="0.3">
      <c r="DC471"/>
    </row>
    <row r="472" spans="107:107" x14ac:dyDescent="0.3">
      <c r="DC472"/>
    </row>
    <row r="473" spans="107:107" x14ac:dyDescent="0.3">
      <c r="DC473"/>
    </row>
    <row r="474" spans="107:107" x14ac:dyDescent="0.3">
      <c r="DC474"/>
    </row>
    <row r="475" spans="107:107" x14ac:dyDescent="0.3">
      <c r="DC475"/>
    </row>
    <row r="476" spans="107:107" x14ac:dyDescent="0.3">
      <c r="DC476"/>
    </row>
    <row r="477" spans="107:107" x14ac:dyDescent="0.3">
      <c r="DC477"/>
    </row>
    <row r="478" spans="107:107" x14ac:dyDescent="0.3">
      <c r="DC478"/>
    </row>
    <row r="479" spans="107:107" x14ac:dyDescent="0.3">
      <c r="DC479"/>
    </row>
    <row r="480" spans="107:107" x14ac:dyDescent="0.3">
      <c r="DC480"/>
    </row>
    <row r="481" spans="107:107" x14ac:dyDescent="0.3">
      <c r="DC481"/>
    </row>
    <row r="482" spans="107:107" x14ac:dyDescent="0.3">
      <c r="DC482"/>
    </row>
    <row r="483" spans="107:107" x14ac:dyDescent="0.3">
      <c r="DC483"/>
    </row>
    <row r="484" spans="107:107" x14ac:dyDescent="0.3">
      <c r="DC484"/>
    </row>
    <row r="485" spans="107:107" x14ac:dyDescent="0.3">
      <c r="DC485"/>
    </row>
    <row r="486" spans="107:107" x14ac:dyDescent="0.3">
      <c r="DC486"/>
    </row>
    <row r="487" spans="107:107" x14ac:dyDescent="0.3">
      <c r="DC487"/>
    </row>
    <row r="488" spans="107:107" x14ac:dyDescent="0.3">
      <c r="DC488"/>
    </row>
    <row r="489" spans="107:107" x14ac:dyDescent="0.3">
      <c r="DC489"/>
    </row>
    <row r="490" spans="107:107" x14ac:dyDescent="0.3">
      <c r="DC490"/>
    </row>
    <row r="491" spans="107:107" x14ac:dyDescent="0.3">
      <c r="DC491"/>
    </row>
    <row r="492" spans="107:107" x14ac:dyDescent="0.3">
      <c r="DC492"/>
    </row>
    <row r="493" spans="107:107" x14ac:dyDescent="0.3">
      <c r="DC493"/>
    </row>
    <row r="494" spans="107:107" x14ac:dyDescent="0.3">
      <c r="DC494"/>
    </row>
    <row r="495" spans="107:107" x14ac:dyDescent="0.3">
      <c r="DC495"/>
    </row>
    <row r="496" spans="107:107" x14ac:dyDescent="0.3">
      <c r="DC496"/>
    </row>
    <row r="497" spans="107:107" x14ac:dyDescent="0.3">
      <c r="DC497"/>
    </row>
    <row r="498" spans="107:107" x14ac:dyDescent="0.3">
      <c r="DC498"/>
    </row>
    <row r="499" spans="107:107" x14ac:dyDescent="0.3">
      <c r="DC499"/>
    </row>
    <row r="500" spans="107:107" x14ac:dyDescent="0.3">
      <c r="DC500"/>
    </row>
    <row r="501" spans="107:107" x14ac:dyDescent="0.3">
      <c r="DC501"/>
    </row>
    <row r="502" spans="107:107" x14ac:dyDescent="0.3">
      <c r="DC502"/>
    </row>
    <row r="503" spans="107:107" x14ac:dyDescent="0.3">
      <c r="DC503"/>
    </row>
    <row r="504" spans="107:107" x14ac:dyDescent="0.3">
      <c r="DC504"/>
    </row>
    <row r="505" spans="107:107" x14ac:dyDescent="0.3">
      <c r="DC505"/>
    </row>
    <row r="506" spans="107:107" x14ac:dyDescent="0.3">
      <c r="DC506"/>
    </row>
    <row r="507" spans="107:107" x14ac:dyDescent="0.3">
      <c r="DC507"/>
    </row>
    <row r="508" spans="107:107" x14ac:dyDescent="0.3">
      <c r="DC508"/>
    </row>
    <row r="509" spans="107:107" x14ac:dyDescent="0.3">
      <c r="DC509"/>
    </row>
    <row r="510" spans="107:107" x14ac:dyDescent="0.3">
      <c r="DC510"/>
    </row>
    <row r="511" spans="107:107" x14ac:dyDescent="0.3">
      <c r="DC511"/>
    </row>
    <row r="512" spans="107:107" x14ac:dyDescent="0.3">
      <c r="DC512"/>
    </row>
    <row r="513" spans="107:107" x14ac:dyDescent="0.3">
      <c r="DC513"/>
    </row>
    <row r="514" spans="107:107" x14ac:dyDescent="0.3">
      <c r="DC514"/>
    </row>
    <row r="515" spans="107:107" x14ac:dyDescent="0.3">
      <c r="DC515"/>
    </row>
    <row r="516" spans="107:107" x14ac:dyDescent="0.3">
      <c r="DC516"/>
    </row>
    <row r="517" spans="107:107" x14ac:dyDescent="0.3">
      <c r="DC517"/>
    </row>
    <row r="518" spans="107:107" x14ac:dyDescent="0.3">
      <c r="DC518"/>
    </row>
    <row r="519" spans="107:107" x14ac:dyDescent="0.3">
      <c r="DC519"/>
    </row>
    <row r="520" spans="107:107" x14ac:dyDescent="0.3">
      <c r="DC520"/>
    </row>
    <row r="521" spans="107:107" x14ac:dyDescent="0.3">
      <c r="DC521"/>
    </row>
    <row r="522" spans="107:107" x14ac:dyDescent="0.3">
      <c r="DC522"/>
    </row>
    <row r="523" spans="107:107" x14ac:dyDescent="0.3">
      <c r="DC523"/>
    </row>
    <row r="524" spans="107:107" x14ac:dyDescent="0.3">
      <c r="DC524"/>
    </row>
    <row r="525" spans="107:107" x14ac:dyDescent="0.3">
      <c r="DC525"/>
    </row>
    <row r="526" spans="107:107" x14ac:dyDescent="0.3">
      <c r="DC526"/>
    </row>
    <row r="527" spans="107:107" x14ac:dyDescent="0.3">
      <c r="DC527"/>
    </row>
    <row r="528" spans="107:107" x14ac:dyDescent="0.3">
      <c r="DC528"/>
    </row>
    <row r="529" spans="107:107" x14ac:dyDescent="0.3">
      <c r="DC529"/>
    </row>
    <row r="530" spans="107:107" x14ac:dyDescent="0.3">
      <c r="DC530"/>
    </row>
    <row r="531" spans="107:107" x14ac:dyDescent="0.3">
      <c r="DC531"/>
    </row>
    <row r="532" spans="107:107" x14ac:dyDescent="0.3">
      <c r="DC532"/>
    </row>
    <row r="533" spans="107:107" x14ac:dyDescent="0.3">
      <c r="DC533"/>
    </row>
    <row r="534" spans="107:107" x14ac:dyDescent="0.3">
      <c r="DC534"/>
    </row>
    <row r="535" spans="107:107" x14ac:dyDescent="0.3">
      <c r="DC535"/>
    </row>
    <row r="536" spans="107:107" x14ac:dyDescent="0.3">
      <c r="DC536"/>
    </row>
    <row r="537" spans="107:107" x14ac:dyDescent="0.3">
      <c r="DC537"/>
    </row>
    <row r="538" spans="107:107" x14ac:dyDescent="0.3">
      <c r="DC538"/>
    </row>
    <row r="539" spans="107:107" x14ac:dyDescent="0.3">
      <c r="DC539"/>
    </row>
    <row r="540" spans="107:107" x14ac:dyDescent="0.3">
      <c r="DC540"/>
    </row>
    <row r="541" spans="107:107" x14ac:dyDescent="0.3">
      <c r="DC541"/>
    </row>
    <row r="542" spans="107:107" x14ac:dyDescent="0.3">
      <c r="DC542"/>
    </row>
    <row r="543" spans="107:107" x14ac:dyDescent="0.3">
      <c r="DC543"/>
    </row>
    <row r="544" spans="107:107" x14ac:dyDescent="0.3">
      <c r="DC544"/>
    </row>
    <row r="545" spans="107:107" x14ac:dyDescent="0.3">
      <c r="DC545"/>
    </row>
    <row r="546" spans="107:107" x14ac:dyDescent="0.3">
      <c r="DC546"/>
    </row>
    <row r="547" spans="107:107" x14ac:dyDescent="0.3">
      <c r="DC547"/>
    </row>
    <row r="548" spans="107:107" x14ac:dyDescent="0.3">
      <c r="DC548"/>
    </row>
    <row r="549" spans="107:107" x14ac:dyDescent="0.3">
      <c r="DC549"/>
    </row>
    <row r="550" spans="107:107" x14ac:dyDescent="0.3">
      <c r="DC550"/>
    </row>
    <row r="551" spans="107:107" x14ac:dyDescent="0.3">
      <c r="DC551"/>
    </row>
    <row r="552" spans="107:107" x14ac:dyDescent="0.3">
      <c r="DC552"/>
    </row>
    <row r="553" spans="107:107" x14ac:dyDescent="0.3">
      <c r="DC553"/>
    </row>
    <row r="554" spans="107:107" x14ac:dyDescent="0.3">
      <c r="DC554"/>
    </row>
    <row r="555" spans="107:107" x14ac:dyDescent="0.3">
      <c r="DC555"/>
    </row>
    <row r="556" spans="107:107" x14ac:dyDescent="0.3">
      <c r="DC556"/>
    </row>
    <row r="557" spans="107:107" x14ac:dyDescent="0.3">
      <c r="DC557"/>
    </row>
    <row r="558" spans="107:107" x14ac:dyDescent="0.3">
      <c r="DC558"/>
    </row>
    <row r="559" spans="107:107" x14ac:dyDescent="0.3">
      <c r="DC559"/>
    </row>
    <row r="560" spans="107:107" x14ac:dyDescent="0.3">
      <c r="DC560"/>
    </row>
    <row r="561" spans="107:107" x14ac:dyDescent="0.3">
      <c r="DC561"/>
    </row>
    <row r="562" spans="107:107" x14ac:dyDescent="0.3">
      <c r="DC562"/>
    </row>
    <row r="563" spans="107:107" x14ac:dyDescent="0.3">
      <c r="DC563"/>
    </row>
    <row r="564" spans="107:107" x14ac:dyDescent="0.3">
      <c r="DC564"/>
    </row>
    <row r="565" spans="107:107" x14ac:dyDescent="0.3">
      <c r="DC565"/>
    </row>
    <row r="566" spans="107:107" x14ac:dyDescent="0.3">
      <c r="DC566"/>
    </row>
    <row r="567" spans="107:107" x14ac:dyDescent="0.3">
      <c r="DC567"/>
    </row>
    <row r="568" spans="107:107" x14ac:dyDescent="0.3">
      <c r="DC568"/>
    </row>
    <row r="569" spans="107:107" x14ac:dyDescent="0.3">
      <c r="DC569"/>
    </row>
    <row r="570" spans="107:107" x14ac:dyDescent="0.3">
      <c r="DC570"/>
    </row>
    <row r="571" spans="107:107" x14ac:dyDescent="0.3">
      <c r="DC571"/>
    </row>
    <row r="572" spans="107:107" x14ac:dyDescent="0.3">
      <c r="DC572"/>
    </row>
    <row r="573" spans="107:107" x14ac:dyDescent="0.3">
      <c r="DC573"/>
    </row>
    <row r="574" spans="107:107" x14ac:dyDescent="0.3">
      <c r="DC574"/>
    </row>
    <row r="575" spans="107:107" x14ac:dyDescent="0.3">
      <c r="DC575"/>
    </row>
    <row r="576" spans="107:107" x14ac:dyDescent="0.3">
      <c r="DC576"/>
    </row>
    <row r="577" spans="107:107" x14ac:dyDescent="0.3">
      <c r="DC577"/>
    </row>
    <row r="578" spans="107:107" x14ac:dyDescent="0.3">
      <c r="DC578"/>
    </row>
    <row r="579" spans="107:107" x14ac:dyDescent="0.3">
      <c r="DC579"/>
    </row>
    <row r="580" spans="107:107" x14ac:dyDescent="0.3">
      <c r="DC580"/>
    </row>
    <row r="581" spans="107:107" x14ac:dyDescent="0.3">
      <c r="DC581"/>
    </row>
    <row r="582" spans="107:107" x14ac:dyDescent="0.3">
      <c r="DC582"/>
    </row>
    <row r="583" spans="107:107" x14ac:dyDescent="0.3">
      <c r="DC583"/>
    </row>
    <row r="584" spans="107:107" x14ac:dyDescent="0.3">
      <c r="DC584"/>
    </row>
    <row r="585" spans="107:107" x14ac:dyDescent="0.3">
      <c r="DC585"/>
    </row>
    <row r="586" spans="107:107" x14ac:dyDescent="0.3">
      <c r="DC586"/>
    </row>
    <row r="587" spans="107:107" x14ac:dyDescent="0.3">
      <c r="DC587"/>
    </row>
    <row r="588" spans="107:107" x14ac:dyDescent="0.3">
      <c r="DC588"/>
    </row>
    <row r="589" spans="107:107" x14ac:dyDescent="0.3">
      <c r="DC589"/>
    </row>
    <row r="590" spans="107:107" x14ac:dyDescent="0.3">
      <c r="DC590"/>
    </row>
    <row r="591" spans="107:107" x14ac:dyDescent="0.3">
      <c r="DC591"/>
    </row>
    <row r="592" spans="107:107" x14ac:dyDescent="0.3">
      <c r="DC592"/>
    </row>
    <row r="593" spans="107:107" x14ac:dyDescent="0.3">
      <c r="DC593"/>
    </row>
    <row r="594" spans="107:107" x14ac:dyDescent="0.3">
      <c r="DC594"/>
    </row>
    <row r="595" spans="107:107" x14ac:dyDescent="0.3">
      <c r="DC595"/>
    </row>
    <row r="596" spans="107:107" x14ac:dyDescent="0.3">
      <c r="DC596"/>
    </row>
    <row r="597" spans="107:107" x14ac:dyDescent="0.3">
      <c r="DC597"/>
    </row>
    <row r="598" spans="107:107" x14ac:dyDescent="0.3">
      <c r="DC598"/>
    </row>
    <row r="599" spans="107:107" x14ac:dyDescent="0.3">
      <c r="DC599"/>
    </row>
    <row r="600" spans="107:107" x14ac:dyDescent="0.3">
      <c r="DC600"/>
    </row>
    <row r="601" spans="107:107" x14ac:dyDescent="0.3">
      <c r="DC601"/>
    </row>
    <row r="602" spans="107:107" x14ac:dyDescent="0.3">
      <c r="DC602"/>
    </row>
    <row r="603" spans="107:107" x14ac:dyDescent="0.3">
      <c r="DC603"/>
    </row>
    <row r="604" spans="107:107" x14ac:dyDescent="0.3">
      <c r="DC604"/>
    </row>
    <row r="605" spans="107:107" x14ac:dyDescent="0.3">
      <c r="DC605"/>
    </row>
    <row r="606" spans="107:107" x14ac:dyDescent="0.3">
      <c r="DC606"/>
    </row>
    <row r="607" spans="107:107" x14ac:dyDescent="0.3">
      <c r="DC607"/>
    </row>
    <row r="608" spans="107:107" x14ac:dyDescent="0.3">
      <c r="DC608"/>
    </row>
    <row r="609" spans="107:107" x14ac:dyDescent="0.3">
      <c r="DC609"/>
    </row>
    <row r="610" spans="107:107" x14ac:dyDescent="0.3">
      <c r="DC610"/>
    </row>
    <row r="611" spans="107:107" x14ac:dyDescent="0.3">
      <c r="DC611"/>
    </row>
    <row r="612" spans="107:107" x14ac:dyDescent="0.3">
      <c r="DC612"/>
    </row>
    <row r="613" spans="107:107" x14ac:dyDescent="0.3">
      <c r="DC613"/>
    </row>
    <row r="614" spans="107:107" x14ac:dyDescent="0.3">
      <c r="DC614"/>
    </row>
    <row r="615" spans="107:107" x14ac:dyDescent="0.3">
      <c r="DC615"/>
    </row>
    <row r="616" spans="107:107" x14ac:dyDescent="0.3">
      <c r="DC616"/>
    </row>
    <row r="617" spans="107:107" x14ac:dyDescent="0.3">
      <c r="DC617"/>
    </row>
    <row r="618" spans="107:107" x14ac:dyDescent="0.3">
      <c r="DC618"/>
    </row>
    <row r="619" spans="107:107" x14ac:dyDescent="0.3">
      <c r="DC619"/>
    </row>
    <row r="620" spans="107:107" x14ac:dyDescent="0.3">
      <c r="DC620"/>
    </row>
    <row r="621" spans="107:107" x14ac:dyDescent="0.3">
      <c r="DC621"/>
    </row>
    <row r="622" spans="107:107" x14ac:dyDescent="0.3">
      <c r="DC622"/>
    </row>
    <row r="623" spans="107:107" x14ac:dyDescent="0.3">
      <c r="DC623"/>
    </row>
    <row r="624" spans="107:107" x14ac:dyDescent="0.3">
      <c r="DC624"/>
    </row>
    <row r="625" spans="107:107" x14ac:dyDescent="0.3">
      <c r="DC625"/>
    </row>
    <row r="626" spans="107:107" x14ac:dyDescent="0.3">
      <c r="DC626"/>
    </row>
    <row r="627" spans="107:107" x14ac:dyDescent="0.3">
      <c r="DC627"/>
    </row>
    <row r="628" spans="107:107" x14ac:dyDescent="0.3">
      <c r="DC628"/>
    </row>
    <row r="629" spans="107:107" x14ac:dyDescent="0.3">
      <c r="DC629"/>
    </row>
    <row r="630" spans="107:107" x14ac:dyDescent="0.3">
      <c r="DC630"/>
    </row>
    <row r="631" spans="107:107" x14ac:dyDescent="0.3">
      <c r="DC631"/>
    </row>
    <row r="632" spans="107:107" x14ac:dyDescent="0.3">
      <c r="DC632"/>
    </row>
    <row r="633" spans="107:107" x14ac:dyDescent="0.3">
      <c r="DC633"/>
    </row>
    <row r="634" spans="107:107" x14ac:dyDescent="0.3">
      <c r="DC634"/>
    </row>
    <row r="635" spans="107:107" x14ac:dyDescent="0.3">
      <c r="DC635"/>
    </row>
    <row r="636" spans="107:107" x14ac:dyDescent="0.3">
      <c r="DC636"/>
    </row>
    <row r="637" spans="107:107" x14ac:dyDescent="0.3">
      <c r="DC637"/>
    </row>
    <row r="638" spans="107:107" x14ac:dyDescent="0.3">
      <c r="DC638"/>
    </row>
    <row r="639" spans="107:107" x14ac:dyDescent="0.3">
      <c r="DC639"/>
    </row>
    <row r="640" spans="107:107" x14ac:dyDescent="0.3">
      <c r="DC640"/>
    </row>
    <row r="641" spans="107:107" x14ac:dyDescent="0.3">
      <c r="DC641"/>
    </row>
    <row r="642" spans="107:107" x14ac:dyDescent="0.3">
      <c r="DC642"/>
    </row>
    <row r="643" spans="107:107" x14ac:dyDescent="0.3">
      <c r="DC643"/>
    </row>
    <row r="644" spans="107:107" x14ac:dyDescent="0.3">
      <c r="DC644"/>
    </row>
    <row r="645" spans="107:107" x14ac:dyDescent="0.3">
      <c r="DC645"/>
    </row>
    <row r="646" spans="107:107" x14ac:dyDescent="0.3">
      <c r="DC646"/>
    </row>
    <row r="647" spans="107:107" x14ac:dyDescent="0.3">
      <c r="DC647"/>
    </row>
    <row r="648" spans="107:107" x14ac:dyDescent="0.3">
      <c r="DC648"/>
    </row>
    <row r="649" spans="107:107" x14ac:dyDescent="0.3">
      <c r="DC649"/>
    </row>
    <row r="650" spans="107:107" x14ac:dyDescent="0.3">
      <c r="DC650"/>
    </row>
    <row r="651" spans="107:107" x14ac:dyDescent="0.3">
      <c r="DC651"/>
    </row>
    <row r="652" spans="107:107" x14ac:dyDescent="0.3">
      <c r="DC652"/>
    </row>
    <row r="653" spans="107:107" x14ac:dyDescent="0.3">
      <c r="DC653"/>
    </row>
    <row r="654" spans="107:107" x14ac:dyDescent="0.3">
      <c r="DC654"/>
    </row>
    <row r="655" spans="107:107" x14ac:dyDescent="0.3">
      <c r="DC655"/>
    </row>
    <row r="656" spans="107:107" x14ac:dyDescent="0.3">
      <c r="DC656"/>
    </row>
    <row r="657" spans="107:107" x14ac:dyDescent="0.3">
      <c r="DC657"/>
    </row>
    <row r="658" spans="107:107" x14ac:dyDescent="0.3">
      <c r="DC658"/>
    </row>
    <row r="659" spans="107:107" x14ac:dyDescent="0.3">
      <c r="DC659"/>
    </row>
    <row r="660" spans="107:107" x14ac:dyDescent="0.3">
      <c r="DC660"/>
    </row>
    <row r="661" spans="107:107" x14ac:dyDescent="0.3">
      <c r="DC661"/>
    </row>
    <row r="662" spans="107:107" x14ac:dyDescent="0.3">
      <c r="DC662"/>
    </row>
    <row r="663" spans="107:107" x14ac:dyDescent="0.3">
      <c r="DC663"/>
    </row>
    <row r="664" spans="107:107" x14ac:dyDescent="0.3">
      <c r="DC664"/>
    </row>
    <row r="665" spans="107:107" x14ac:dyDescent="0.3">
      <c r="DC665"/>
    </row>
    <row r="666" spans="107:107" x14ac:dyDescent="0.3">
      <c r="DC666"/>
    </row>
    <row r="667" spans="107:107" x14ac:dyDescent="0.3">
      <c r="DC667"/>
    </row>
    <row r="668" spans="107:107" x14ac:dyDescent="0.3">
      <c r="DC668"/>
    </row>
    <row r="669" spans="107:107" x14ac:dyDescent="0.3">
      <c r="DC669"/>
    </row>
    <row r="670" spans="107:107" x14ac:dyDescent="0.3">
      <c r="DC670"/>
    </row>
    <row r="671" spans="107:107" x14ac:dyDescent="0.3">
      <c r="DC671"/>
    </row>
    <row r="672" spans="107:107" x14ac:dyDescent="0.3">
      <c r="DC672"/>
    </row>
    <row r="673" spans="107:107" x14ac:dyDescent="0.3">
      <c r="DC673"/>
    </row>
    <row r="674" spans="107:107" x14ac:dyDescent="0.3">
      <c r="DC674"/>
    </row>
    <row r="675" spans="107:107" x14ac:dyDescent="0.3">
      <c r="DC675"/>
    </row>
    <row r="676" spans="107:107" x14ac:dyDescent="0.3">
      <c r="DC676"/>
    </row>
    <row r="677" spans="107:107" x14ac:dyDescent="0.3">
      <c r="DC677"/>
    </row>
    <row r="678" spans="107:107" x14ac:dyDescent="0.3">
      <c r="DC678"/>
    </row>
    <row r="679" spans="107:107" x14ac:dyDescent="0.3">
      <c r="DC679"/>
    </row>
    <row r="680" spans="107:107" x14ac:dyDescent="0.3">
      <c r="DC680"/>
    </row>
    <row r="681" spans="107:107" x14ac:dyDescent="0.3">
      <c r="DC681"/>
    </row>
    <row r="682" spans="107:107" x14ac:dyDescent="0.3">
      <c r="DC682"/>
    </row>
    <row r="683" spans="107:107" x14ac:dyDescent="0.3">
      <c r="DC683"/>
    </row>
    <row r="684" spans="107:107" x14ac:dyDescent="0.3">
      <c r="DC684"/>
    </row>
    <row r="685" spans="107:107" x14ac:dyDescent="0.3">
      <c r="DC685"/>
    </row>
    <row r="686" spans="107:107" x14ac:dyDescent="0.3">
      <c r="DC686"/>
    </row>
    <row r="687" spans="107:107" x14ac:dyDescent="0.3">
      <c r="DC687"/>
    </row>
    <row r="688" spans="107:107" x14ac:dyDescent="0.3">
      <c r="DC688"/>
    </row>
    <row r="689" spans="107:107" x14ac:dyDescent="0.3">
      <c r="DC689"/>
    </row>
    <row r="690" spans="107:107" x14ac:dyDescent="0.3">
      <c r="DC690"/>
    </row>
    <row r="691" spans="107:107" x14ac:dyDescent="0.3">
      <c r="DC691"/>
    </row>
    <row r="692" spans="107:107" x14ac:dyDescent="0.3">
      <c r="DC692"/>
    </row>
    <row r="693" spans="107:107" x14ac:dyDescent="0.3">
      <c r="DC693"/>
    </row>
    <row r="694" spans="107:107" x14ac:dyDescent="0.3">
      <c r="DC694"/>
    </row>
    <row r="695" spans="107:107" x14ac:dyDescent="0.3">
      <c r="DC695"/>
    </row>
    <row r="696" spans="107:107" x14ac:dyDescent="0.3">
      <c r="DC696"/>
    </row>
    <row r="697" spans="107:107" x14ac:dyDescent="0.3">
      <c r="DC697"/>
    </row>
    <row r="698" spans="107:107" x14ac:dyDescent="0.3">
      <c r="DC698"/>
    </row>
    <row r="699" spans="107:107" x14ac:dyDescent="0.3">
      <c r="DC699"/>
    </row>
    <row r="700" spans="107:107" x14ac:dyDescent="0.3">
      <c r="DC700"/>
    </row>
    <row r="701" spans="107:107" x14ac:dyDescent="0.3">
      <c r="DC701"/>
    </row>
    <row r="702" spans="107:107" x14ac:dyDescent="0.3">
      <c r="DC702"/>
    </row>
    <row r="703" spans="107:107" x14ac:dyDescent="0.3">
      <c r="DC703"/>
    </row>
    <row r="704" spans="107:107" x14ac:dyDescent="0.3">
      <c r="DC704"/>
    </row>
    <row r="705" spans="107:107" x14ac:dyDescent="0.3">
      <c r="DC705"/>
    </row>
    <row r="706" spans="107:107" x14ac:dyDescent="0.3">
      <c r="DC706"/>
    </row>
    <row r="707" spans="107:107" x14ac:dyDescent="0.3">
      <c r="DC707"/>
    </row>
    <row r="708" spans="107:107" x14ac:dyDescent="0.3">
      <c r="DC708"/>
    </row>
    <row r="709" spans="107:107" x14ac:dyDescent="0.3">
      <c r="DC709"/>
    </row>
    <row r="710" spans="107:107" x14ac:dyDescent="0.3">
      <c r="DC710"/>
    </row>
    <row r="711" spans="107:107" x14ac:dyDescent="0.3">
      <c r="DC711"/>
    </row>
    <row r="712" spans="107:107" x14ac:dyDescent="0.3">
      <c r="DC712"/>
    </row>
    <row r="713" spans="107:107" x14ac:dyDescent="0.3">
      <c r="DC713"/>
    </row>
    <row r="714" spans="107:107" x14ac:dyDescent="0.3">
      <c r="DC714"/>
    </row>
    <row r="715" spans="107:107" x14ac:dyDescent="0.3">
      <c r="DC715"/>
    </row>
    <row r="716" spans="107:107" x14ac:dyDescent="0.3">
      <c r="DC716"/>
    </row>
    <row r="717" spans="107:107" x14ac:dyDescent="0.3">
      <c r="DC717"/>
    </row>
    <row r="718" spans="107:107" x14ac:dyDescent="0.3">
      <c r="DC718"/>
    </row>
    <row r="719" spans="107:107" x14ac:dyDescent="0.3">
      <c r="DC719"/>
    </row>
    <row r="720" spans="107:107" x14ac:dyDescent="0.3">
      <c r="DC720"/>
    </row>
    <row r="721" spans="107:107" x14ac:dyDescent="0.3">
      <c r="DC721"/>
    </row>
    <row r="722" spans="107:107" x14ac:dyDescent="0.3">
      <c r="DC722"/>
    </row>
  </sheetData>
  <mergeCells count="13">
    <mergeCell ref="A1:AD1"/>
    <mergeCell ref="AF1:AG1"/>
    <mergeCell ref="CK1:CZ1"/>
    <mergeCell ref="AI1:AK1"/>
    <mergeCell ref="AL1:AN1"/>
    <mergeCell ref="AS1:AW1"/>
    <mergeCell ref="AP1:AQ1"/>
    <mergeCell ref="AX1:BG1"/>
    <mergeCell ref="BH1:BS1"/>
    <mergeCell ref="BT1:BX1"/>
    <mergeCell ref="BY1:CA1"/>
    <mergeCell ref="CB1:CG1"/>
    <mergeCell ref="CH1:CJ1"/>
  </mergeCells>
  <phoneticPr fontId="7" type="noConversion"/>
  <pageMargins left="0.7" right="0.7" top="0.75" bottom="0.75" header="0.3" footer="0.3"/>
  <pageSetup orientation="portrait" horizontalDpi="300"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4D1E7-3879-4551-B4C1-0B88CC612B3C}">
  <sheetPr codeName="Sheet14">
    <tabColor theme="7" tint="0.39997558519241921"/>
  </sheetPr>
  <dimension ref="A1:AD169"/>
  <sheetViews>
    <sheetView topLeftCell="H1" workbookViewId="0">
      <selection activeCell="AB2" sqref="AB2"/>
    </sheetView>
  </sheetViews>
  <sheetFormatPr defaultRowHeight="14.4" x14ac:dyDescent="0.3"/>
  <cols>
    <col min="1" max="1" width="12.109375" bestFit="1" customWidth="1"/>
    <col min="2" max="2" width="13.5546875" bestFit="1" customWidth="1"/>
    <col min="3" max="3" width="13.88671875" bestFit="1" customWidth="1"/>
    <col min="4" max="4" width="16.6640625" bestFit="1" customWidth="1"/>
    <col min="5" max="5" width="9.77734375" bestFit="1" customWidth="1"/>
    <col min="6" max="6" width="9.21875" bestFit="1" customWidth="1"/>
    <col min="7" max="7" width="7.33203125" bestFit="1" customWidth="1"/>
    <col min="8" max="8" width="7.88671875" bestFit="1" customWidth="1"/>
    <col min="9" max="9" width="13.77734375" bestFit="1" customWidth="1"/>
    <col min="10" max="10" width="7.88671875" bestFit="1" customWidth="1"/>
    <col min="11" max="11" width="11.88671875" bestFit="1" customWidth="1"/>
    <col min="12" max="12" width="13.5546875" bestFit="1" customWidth="1"/>
    <col min="13" max="13" width="12.88671875" bestFit="1" customWidth="1"/>
    <col min="14" max="14" width="8.21875" bestFit="1" customWidth="1"/>
    <col min="15" max="15" width="8" bestFit="1" customWidth="1"/>
    <col min="16" max="16" width="11.109375" bestFit="1" customWidth="1"/>
    <col min="17" max="17" width="9.88671875" bestFit="1" customWidth="1"/>
    <col min="18" max="18" width="8" bestFit="1" customWidth="1"/>
    <col min="19" max="19" width="8.77734375" bestFit="1" customWidth="1"/>
    <col min="20" max="20" width="9.88671875" bestFit="1" customWidth="1"/>
    <col min="21" max="21" width="11.33203125" bestFit="1" customWidth="1"/>
    <col min="22" max="22" width="12.44140625" bestFit="1" customWidth="1"/>
    <col min="23" max="23" width="7.77734375" bestFit="1" customWidth="1"/>
    <col min="24" max="24" width="10.33203125" bestFit="1" customWidth="1"/>
    <col min="25" max="25" width="10.88671875" bestFit="1" customWidth="1"/>
    <col min="26" max="26" width="9.5546875" bestFit="1" customWidth="1"/>
    <col min="27" max="27" width="7" bestFit="1" customWidth="1"/>
    <col min="28" max="28" width="10.88671875" bestFit="1" customWidth="1"/>
    <col min="29" max="29" width="9.88671875" bestFit="1" customWidth="1"/>
    <col min="30" max="30" width="10.44140625" customWidth="1"/>
    <col min="31" max="31" width="9.88671875" bestFit="1" customWidth="1"/>
    <col min="32" max="32" width="10.44140625" bestFit="1" customWidth="1"/>
    <col min="33" max="35" width="8.88671875" bestFit="1" customWidth="1"/>
    <col min="36" max="36" width="23.6640625" bestFit="1" customWidth="1"/>
    <col min="37" max="37" width="11.88671875" bestFit="1" customWidth="1"/>
    <col min="38" max="38" width="28.109375" bestFit="1" customWidth="1"/>
    <col min="39" max="39" width="20" bestFit="1" customWidth="1"/>
    <col min="40" max="41" width="11.33203125" bestFit="1" customWidth="1"/>
    <col min="42" max="42" width="6.88671875" bestFit="1" customWidth="1"/>
    <col min="43" max="43" width="4.88671875" bestFit="1" customWidth="1"/>
    <col min="44" max="44" width="27.109375" bestFit="1" customWidth="1"/>
    <col min="45" max="45" width="15.109375" bestFit="1" customWidth="1"/>
    <col min="46" max="46" width="18.109375" bestFit="1" customWidth="1"/>
    <col min="47" max="47" width="23.109375" bestFit="1" customWidth="1"/>
    <col min="48" max="48" width="23.44140625" bestFit="1" customWidth="1"/>
    <col min="49" max="49" width="13.5546875" bestFit="1" customWidth="1"/>
    <col min="50" max="50" width="23.88671875" bestFit="1" customWidth="1"/>
    <col min="51" max="51" width="12" bestFit="1" customWidth="1"/>
    <col min="52" max="52" width="12.109375" bestFit="1" customWidth="1"/>
    <col min="53" max="53" width="7.44140625" bestFit="1" customWidth="1"/>
    <col min="54" max="56" width="17.109375" bestFit="1" customWidth="1"/>
    <col min="57" max="57" width="5.109375" bestFit="1" customWidth="1"/>
    <col min="58" max="58" width="29.44140625" bestFit="1" customWidth="1"/>
    <col min="59" max="59" width="16.44140625" bestFit="1" customWidth="1"/>
    <col min="60" max="60" width="19.6640625" bestFit="1" customWidth="1"/>
    <col min="61" max="61" width="25" bestFit="1" customWidth="1"/>
    <col min="62" max="62" width="25.33203125" bestFit="1" customWidth="1"/>
    <col min="63" max="63" width="14.6640625" bestFit="1" customWidth="1"/>
    <col min="64" max="64" width="25.88671875" bestFit="1" customWidth="1"/>
    <col min="65" max="65" width="13" bestFit="1" customWidth="1"/>
    <col min="66" max="66" width="25.88671875" bestFit="1" customWidth="1"/>
    <col min="67" max="67" width="13" bestFit="1" customWidth="1"/>
    <col min="68" max="68" width="9.5546875" bestFit="1" customWidth="1"/>
    <col min="69" max="69" width="7.88671875" bestFit="1" customWidth="1"/>
    <col min="70" max="70" width="8.109375" bestFit="1" customWidth="1"/>
    <col min="71" max="71" width="12.5546875" bestFit="1" customWidth="1"/>
    <col min="72" max="72" width="13.109375" customWidth="1"/>
    <col min="73" max="82" width="8.6640625" customWidth="1"/>
  </cols>
  <sheetData>
    <row r="1" spans="1:30" x14ac:dyDescent="0.3">
      <c r="A1" t="s">
        <v>390</v>
      </c>
      <c r="B1" t="s">
        <v>391</v>
      </c>
      <c r="C1" t="s">
        <v>392</v>
      </c>
      <c r="D1" t="s">
        <v>393</v>
      </c>
      <c r="E1" t="s">
        <v>99</v>
      </c>
      <c r="F1" t="s">
        <v>394</v>
      </c>
      <c r="G1" t="s">
        <v>395</v>
      </c>
      <c r="H1" t="s">
        <v>141</v>
      </c>
      <c r="I1" t="s">
        <v>396</v>
      </c>
      <c r="J1" t="s">
        <v>96</v>
      </c>
      <c r="K1" t="s">
        <v>397</v>
      </c>
      <c r="L1" t="s">
        <v>398</v>
      </c>
      <c r="M1" t="s">
        <v>399</v>
      </c>
      <c r="N1" t="s">
        <v>400</v>
      </c>
      <c r="O1" t="s">
        <v>401</v>
      </c>
      <c r="P1" t="s">
        <v>402</v>
      </c>
      <c r="Q1" t="s">
        <v>403</v>
      </c>
      <c r="R1" t="s">
        <v>404</v>
      </c>
      <c r="S1" t="s">
        <v>405</v>
      </c>
      <c r="T1" t="s">
        <v>406</v>
      </c>
      <c r="U1" t="s">
        <v>407</v>
      </c>
      <c r="V1" t="s">
        <v>408</v>
      </c>
      <c r="W1" t="s">
        <v>409</v>
      </c>
      <c r="X1" t="s">
        <v>410</v>
      </c>
      <c r="Y1" t="s">
        <v>411</v>
      </c>
      <c r="Z1" t="s">
        <v>412</v>
      </c>
      <c r="AA1" t="s">
        <v>153</v>
      </c>
      <c r="AB1" t="s">
        <v>413</v>
      </c>
      <c r="AC1" t="s">
        <v>414</v>
      </c>
      <c r="AD1" t="s">
        <v>415</v>
      </c>
    </row>
    <row r="2" spans="1:30" x14ac:dyDescent="0.3">
      <c r="A2" t="s">
        <v>1042</v>
      </c>
      <c r="B2" t="s">
        <v>489</v>
      </c>
      <c r="C2" t="s">
        <v>1274</v>
      </c>
      <c r="D2">
        <v>1</v>
      </c>
      <c r="E2" t="s">
        <v>1420</v>
      </c>
      <c r="F2" t="s">
        <v>1425</v>
      </c>
      <c r="G2" t="s">
        <v>105</v>
      </c>
      <c r="H2" t="s">
        <v>1275</v>
      </c>
      <c r="I2" t="b">
        <v>1</v>
      </c>
      <c r="J2">
        <v>41</v>
      </c>
      <c r="K2">
        <v>0</v>
      </c>
      <c r="L2">
        <v>0</v>
      </c>
      <c r="M2">
        <v>5</v>
      </c>
      <c r="N2">
        <v>0</v>
      </c>
      <c r="O2">
        <v>3</v>
      </c>
      <c r="P2">
        <v>15</v>
      </c>
      <c r="Q2">
        <v>17</v>
      </c>
      <c r="R2">
        <v>5</v>
      </c>
      <c r="S2">
        <v>3</v>
      </c>
      <c r="T2">
        <v>1</v>
      </c>
      <c r="U2">
        <v>15</v>
      </c>
      <c r="V2">
        <v>2</v>
      </c>
      <c r="W2">
        <v>4</v>
      </c>
      <c r="X2">
        <v>17</v>
      </c>
      <c r="Y2">
        <v>22</v>
      </c>
      <c r="Z2">
        <v>0</v>
      </c>
      <c r="AA2">
        <v>0</v>
      </c>
      <c r="AB2">
        <v>12</v>
      </c>
      <c r="AC2">
        <v>37</v>
      </c>
      <c r="AD2">
        <v>2</v>
      </c>
    </row>
    <row r="3" spans="1:30" x14ac:dyDescent="0.3">
      <c r="A3" t="s">
        <v>1042</v>
      </c>
      <c r="B3" t="s">
        <v>489</v>
      </c>
      <c r="C3" t="s">
        <v>1274</v>
      </c>
      <c r="D3">
        <v>1</v>
      </c>
      <c r="E3" t="s">
        <v>1420</v>
      </c>
      <c r="F3" t="s">
        <v>1423</v>
      </c>
      <c r="G3" t="s">
        <v>1409</v>
      </c>
      <c r="H3" t="s">
        <v>1276</v>
      </c>
      <c r="I3" t="b">
        <v>1</v>
      </c>
      <c r="J3">
        <v>41</v>
      </c>
      <c r="K3">
        <v>0</v>
      </c>
      <c r="L3">
        <v>0</v>
      </c>
      <c r="M3">
        <v>5</v>
      </c>
      <c r="N3">
        <v>0</v>
      </c>
      <c r="O3">
        <v>3</v>
      </c>
      <c r="P3">
        <v>15</v>
      </c>
      <c r="Q3">
        <v>17</v>
      </c>
      <c r="R3">
        <v>5</v>
      </c>
      <c r="S3">
        <v>3</v>
      </c>
      <c r="T3">
        <v>1</v>
      </c>
      <c r="U3">
        <v>15</v>
      </c>
      <c r="V3">
        <v>2</v>
      </c>
      <c r="W3">
        <v>4</v>
      </c>
      <c r="X3">
        <v>17</v>
      </c>
      <c r="Y3">
        <v>22</v>
      </c>
      <c r="Z3">
        <v>0</v>
      </c>
      <c r="AA3">
        <v>0</v>
      </c>
      <c r="AB3">
        <v>12</v>
      </c>
      <c r="AC3">
        <v>37</v>
      </c>
      <c r="AD3">
        <v>2</v>
      </c>
    </row>
    <row r="4" spans="1:30" x14ac:dyDescent="0.3">
      <c r="A4" t="s">
        <v>1042</v>
      </c>
      <c r="B4" t="s">
        <v>489</v>
      </c>
      <c r="C4" t="s">
        <v>1274</v>
      </c>
      <c r="D4">
        <v>1</v>
      </c>
      <c r="E4" t="s">
        <v>1420</v>
      </c>
      <c r="F4" t="s">
        <v>1421</v>
      </c>
      <c r="G4" t="s">
        <v>164</v>
      </c>
      <c r="H4" t="s">
        <v>1277</v>
      </c>
      <c r="I4" t="b">
        <v>1</v>
      </c>
      <c r="J4">
        <v>41</v>
      </c>
      <c r="K4">
        <v>0</v>
      </c>
      <c r="L4">
        <v>0</v>
      </c>
      <c r="M4">
        <v>5</v>
      </c>
      <c r="N4">
        <v>0</v>
      </c>
      <c r="O4">
        <v>3</v>
      </c>
      <c r="P4">
        <v>15</v>
      </c>
      <c r="Q4">
        <v>17</v>
      </c>
      <c r="R4">
        <v>5</v>
      </c>
      <c r="S4">
        <v>3</v>
      </c>
      <c r="T4">
        <v>1</v>
      </c>
      <c r="U4">
        <v>15</v>
      </c>
      <c r="V4">
        <v>2</v>
      </c>
      <c r="W4">
        <v>4</v>
      </c>
      <c r="X4">
        <v>17</v>
      </c>
      <c r="Y4">
        <v>22</v>
      </c>
      <c r="Z4">
        <v>0</v>
      </c>
      <c r="AA4">
        <v>0</v>
      </c>
      <c r="AB4">
        <v>12</v>
      </c>
      <c r="AC4">
        <v>37</v>
      </c>
      <c r="AD4">
        <v>2</v>
      </c>
    </row>
    <row r="5" spans="1:30" x14ac:dyDescent="0.3">
      <c r="A5" t="s">
        <v>1042</v>
      </c>
      <c r="B5" t="s">
        <v>489</v>
      </c>
      <c r="C5" t="s">
        <v>1319</v>
      </c>
      <c r="D5">
        <v>10</v>
      </c>
      <c r="E5" t="s">
        <v>1420</v>
      </c>
      <c r="F5" t="s">
        <v>1425</v>
      </c>
      <c r="G5" t="s">
        <v>105</v>
      </c>
      <c r="H5" t="s">
        <v>1279</v>
      </c>
      <c r="I5" t="b">
        <v>0</v>
      </c>
      <c r="J5">
        <v>41</v>
      </c>
      <c r="K5">
        <v>0</v>
      </c>
      <c r="L5">
        <v>0</v>
      </c>
      <c r="M5">
        <v>0</v>
      </c>
      <c r="N5">
        <v>0</v>
      </c>
      <c r="O5">
        <v>2</v>
      </c>
      <c r="P5">
        <v>10</v>
      </c>
      <c r="Q5">
        <v>16</v>
      </c>
      <c r="R5">
        <v>0</v>
      </c>
      <c r="S5">
        <v>0</v>
      </c>
      <c r="T5">
        <v>7</v>
      </c>
      <c r="U5">
        <v>0</v>
      </c>
      <c r="V5">
        <v>14</v>
      </c>
      <c r="W5">
        <v>7</v>
      </c>
      <c r="X5">
        <v>14</v>
      </c>
      <c r="Y5">
        <v>14</v>
      </c>
      <c r="Z5">
        <v>0</v>
      </c>
      <c r="AA5">
        <v>0</v>
      </c>
      <c r="AB5">
        <v>9</v>
      </c>
      <c r="AC5">
        <v>24</v>
      </c>
      <c r="AD5">
        <v>6</v>
      </c>
    </row>
    <row r="6" spans="1:30" x14ac:dyDescent="0.3">
      <c r="A6" t="s">
        <v>1042</v>
      </c>
      <c r="B6" t="s">
        <v>489</v>
      </c>
      <c r="C6" t="s">
        <v>1319</v>
      </c>
      <c r="D6">
        <v>10</v>
      </c>
      <c r="E6" t="s">
        <v>1420</v>
      </c>
      <c r="F6" t="s">
        <v>1423</v>
      </c>
      <c r="G6" t="s">
        <v>1409</v>
      </c>
      <c r="H6" t="s">
        <v>370</v>
      </c>
      <c r="I6" t="b">
        <v>0</v>
      </c>
      <c r="J6">
        <v>41</v>
      </c>
      <c r="K6">
        <v>0</v>
      </c>
      <c r="L6">
        <v>0</v>
      </c>
      <c r="M6">
        <v>0</v>
      </c>
      <c r="N6">
        <v>0</v>
      </c>
      <c r="O6">
        <v>2</v>
      </c>
      <c r="P6">
        <v>10</v>
      </c>
      <c r="Q6">
        <v>16</v>
      </c>
      <c r="R6">
        <v>0</v>
      </c>
      <c r="S6">
        <v>0</v>
      </c>
      <c r="T6">
        <v>7</v>
      </c>
      <c r="U6">
        <v>0</v>
      </c>
      <c r="V6">
        <v>14</v>
      </c>
      <c r="W6">
        <v>7</v>
      </c>
      <c r="X6">
        <v>14</v>
      </c>
      <c r="Y6">
        <v>14</v>
      </c>
      <c r="Z6">
        <v>0</v>
      </c>
      <c r="AA6">
        <v>0</v>
      </c>
      <c r="AB6">
        <v>9</v>
      </c>
      <c r="AC6">
        <v>24</v>
      </c>
      <c r="AD6">
        <v>6</v>
      </c>
    </row>
    <row r="7" spans="1:30" x14ac:dyDescent="0.3">
      <c r="A7" t="s">
        <v>1042</v>
      </c>
      <c r="B7" t="s">
        <v>489</v>
      </c>
      <c r="C7" t="s">
        <v>1319</v>
      </c>
      <c r="D7">
        <v>10</v>
      </c>
      <c r="E7" t="s">
        <v>1420</v>
      </c>
      <c r="F7" t="s">
        <v>1421</v>
      </c>
      <c r="G7" t="s">
        <v>164</v>
      </c>
      <c r="H7" t="s">
        <v>367</v>
      </c>
      <c r="I7" t="b">
        <v>0</v>
      </c>
      <c r="J7">
        <v>41</v>
      </c>
      <c r="K7">
        <v>0</v>
      </c>
      <c r="L7">
        <v>0</v>
      </c>
      <c r="M7">
        <v>0</v>
      </c>
      <c r="N7">
        <v>0</v>
      </c>
      <c r="O7">
        <v>2</v>
      </c>
      <c r="P7">
        <v>10</v>
      </c>
      <c r="Q7">
        <v>16</v>
      </c>
      <c r="R7">
        <v>0</v>
      </c>
      <c r="S7">
        <v>0</v>
      </c>
      <c r="T7">
        <v>7</v>
      </c>
      <c r="U7">
        <v>0</v>
      </c>
      <c r="V7">
        <v>14</v>
      </c>
      <c r="W7">
        <v>7</v>
      </c>
      <c r="X7">
        <v>14</v>
      </c>
      <c r="Y7">
        <v>14</v>
      </c>
      <c r="Z7">
        <v>0</v>
      </c>
      <c r="AA7">
        <v>0</v>
      </c>
      <c r="AB7">
        <v>9</v>
      </c>
      <c r="AC7">
        <v>24</v>
      </c>
      <c r="AD7">
        <v>6</v>
      </c>
    </row>
    <row r="8" spans="1:30" x14ac:dyDescent="0.3">
      <c r="A8" t="s">
        <v>1042</v>
      </c>
      <c r="B8" t="s">
        <v>489</v>
      </c>
      <c r="C8" t="s">
        <v>1320</v>
      </c>
      <c r="D8">
        <v>11</v>
      </c>
      <c r="E8" t="s">
        <v>1420</v>
      </c>
      <c r="F8" t="s">
        <v>1425</v>
      </c>
      <c r="G8" t="s">
        <v>105</v>
      </c>
      <c r="H8" t="s">
        <v>1275</v>
      </c>
      <c r="I8" t="b">
        <v>1</v>
      </c>
      <c r="J8">
        <v>65</v>
      </c>
      <c r="K8">
        <v>1</v>
      </c>
      <c r="L8">
        <v>0</v>
      </c>
      <c r="M8">
        <v>5</v>
      </c>
      <c r="N8">
        <v>0</v>
      </c>
      <c r="O8">
        <v>3</v>
      </c>
      <c r="P8">
        <v>15</v>
      </c>
      <c r="Q8">
        <v>19</v>
      </c>
      <c r="R8">
        <v>3</v>
      </c>
      <c r="S8">
        <v>3</v>
      </c>
      <c r="T8">
        <v>11</v>
      </c>
      <c r="U8">
        <v>15</v>
      </c>
      <c r="V8">
        <v>22</v>
      </c>
      <c r="W8">
        <v>14</v>
      </c>
      <c r="X8">
        <v>37</v>
      </c>
      <c r="Y8">
        <v>40</v>
      </c>
      <c r="Z8">
        <v>0</v>
      </c>
      <c r="AA8">
        <v>0</v>
      </c>
      <c r="AB8">
        <v>20</v>
      </c>
      <c r="AC8">
        <v>55</v>
      </c>
      <c r="AD8">
        <v>1</v>
      </c>
    </row>
    <row r="9" spans="1:30" x14ac:dyDescent="0.3">
      <c r="A9" t="s">
        <v>1042</v>
      </c>
      <c r="B9" t="s">
        <v>489</v>
      </c>
      <c r="C9" t="s">
        <v>1320</v>
      </c>
      <c r="D9">
        <v>11</v>
      </c>
      <c r="E9" t="s">
        <v>1420</v>
      </c>
      <c r="F9" t="s">
        <v>1423</v>
      </c>
      <c r="G9" t="s">
        <v>1409</v>
      </c>
      <c r="H9" t="s">
        <v>1284</v>
      </c>
      <c r="I9" t="b">
        <v>1</v>
      </c>
      <c r="J9">
        <v>65</v>
      </c>
      <c r="K9">
        <v>1</v>
      </c>
      <c r="L9">
        <v>0</v>
      </c>
      <c r="M9">
        <v>5</v>
      </c>
      <c r="N9">
        <v>0</v>
      </c>
      <c r="O9">
        <v>3</v>
      </c>
      <c r="P9">
        <v>15</v>
      </c>
      <c r="Q9">
        <v>19</v>
      </c>
      <c r="R9">
        <v>3</v>
      </c>
      <c r="S9">
        <v>3</v>
      </c>
      <c r="T9">
        <v>11</v>
      </c>
      <c r="U9">
        <v>15</v>
      </c>
      <c r="V9">
        <v>22</v>
      </c>
      <c r="W9">
        <v>14</v>
      </c>
      <c r="X9">
        <v>37</v>
      </c>
      <c r="Y9">
        <v>40</v>
      </c>
      <c r="Z9">
        <v>0</v>
      </c>
      <c r="AA9">
        <v>0</v>
      </c>
      <c r="AB9">
        <v>20</v>
      </c>
      <c r="AC9">
        <v>55</v>
      </c>
      <c r="AD9">
        <v>1</v>
      </c>
    </row>
    <row r="10" spans="1:30" x14ac:dyDescent="0.3">
      <c r="A10" t="s">
        <v>1042</v>
      </c>
      <c r="B10" t="s">
        <v>489</v>
      </c>
      <c r="C10" t="s">
        <v>1320</v>
      </c>
      <c r="D10">
        <v>11</v>
      </c>
      <c r="E10" t="s">
        <v>1420</v>
      </c>
      <c r="F10" t="s">
        <v>1421</v>
      </c>
      <c r="G10" t="s">
        <v>164</v>
      </c>
      <c r="H10" t="s">
        <v>1291</v>
      </c>
      <c r="I10" t="b">
        <v>1</v>
      </c>
      <c r="J10">
        <v>65</v>
      </c>
      <c r="K10">
        <v>1</v>
      </c>
      <c r="L10">
        <v>0</v>
      </c>
      <c r="M10">
        <v>5</v>
      </c>
      <c r="N10">
        <v>0</v>
      </c>
      <c r="O10">
        <v>3</v>
      </c>
      <c r="P10">
        <v>15</v>
      </c>
      <c r="Q10">
        <v>19</v>
      </c>
      <c r="R10">
        <v>3</v>
      </c>
      <c r="S10">
        <v>3</v>
      </c>
      <c r="T10">
        <v>11</v>
      </c>
      <c r="U10">
        <v>15</v>
      </c>
      <c r="V10">
        <v>22</v>
      </c>
      <c r="W10">
        <v>14</v>
      </c>
      <c r="X10">
        <v>37</v>
      </c>
      <c r="Y10">
        <v>40</v>
      </c>
      <c r="Z10">
        <v>0</v>
      </c>
      <c r="AA10">
        <v>0</v>
      </c>
      <c r="AB10">
        <v>20</v>
      </c>
      <c r="AC10">
        <v>55</v>
      </c>
      <c r="AD10">
        <v>1</v>
      </c>
    </row>
    <row r="11" spans="1:30" x14ac:dyDescent="0.3">
      <c r="A11" t="s">
        <v>1042</v>
      </c>
      <c r="B11" t="s">
        <v>489</v>
      </c>
      <c r="C11" t="s">
        <v>1321</v>
      </c>
      <c r="D11">
        <v>12</v>
      </c>
      <c r="E11" t="s">
        <v>1420</v>
      </c>
      <c r="F11" t="s">
        <v>1425</v>
      </c>
      <c r="G11" t="s">
        <v>105</v>
      </c>
      <c r="H11" t="s">
        <v>1297</v>
      </c>
      <c r="I11" t="b">
        <v>0</v>
      </c>
      <c r="J11">
        <v>45</v>
      </c>
      <c r="K11">
        <v>0</v>
      </c>
      <c r="L11">
        <v>0</v>
      </c>
      <c r="M11">
        <v>4</v>
      </c>
      <c r="N11">
        <v>0</v>
      </c>
      <c r="O11">
        <v>3</v>
      </c>
      <c r="P11">
        <v>15</v>
      </c>
      <c r="Q11">
        <v>19</v>
      </c>
      <c r="R11">
        <v>0</v>
      </c>
      <c r="S11">
        <v>0</v>
      </c>
      <c r="T11">
        <v>10</v>
      </c>
      <c r="U11">
        <v>0</v>
      </c>
      <c r="V11">
        <v>20</v>
      </c>
      <c r="W11">
        <v>10</v>
      </c>
      <c r="X11">
        <v>20</v>
      </c>
      <c r="Y11">
        <v>20</v>
      </c>
      <c r="Z11">
        <v>0</v>
      </c>
      <c r="AA11">
        <v>0</v>
      </c>
      <c r="AB11">
        <v>13</v>
      </c>
      <c r="AC11">
        <v>35</v>
      </c>
      <c r="AD11">
        <v>6</v>
      </c>
    </row>
    <row r="12" spans="1:30" x14ac:dyDescent="0.3">
      <c r="A12" t="s">
        <v>1042</v>
      </c>
      <c r="B12" t="s">
        <v>489</v>
      </c>
      <c r="C12" t="s">
        <v>1321</v>
      </c>
      <c r="D12">
        <v>12</v>
      </c>
      <c r="E12" t="s">
        <v>1420</v>
      </c>
      <c r="F12" t="s">
        <v>1423</v>
      </c>
      <c r="G12" t="s">
        <v>1409</v>
      </c>
      <c r="H12" t="s">
        <v>1300</v>
      </c>
      <c r="I12" t="b">
        <v>0</v>
      </c>
      <c r="J12">
        <v>45</v>
      </c>
      <c r="K12">
        <v>0</v>
      </c>
      <c r="L12">
        <v>0</v>
      </c>
      <c r="M12">
        <v>4</v>
      </c>
      <c r="N12">
        <v>0</v>
      </c>
      <c r="O12">
        <v>3</v>
      </c>
      <c r="P12">
        <v>15</v>
      </c>
      <c r="Q12">
        <v>19</v>
      </c>
      <c r="R12">
        <v>0</v>
      </c>
      <c r="S12">
        <v>0</v>
      </c>
      <c r="T12">
        <v>10</v>
      </c>
      <c r="U12">
        <v>0</v>
      </c>
      <c r="V12">
        <v>20</v>
      </c>
      <c r="W12">
        <v>10</v>
      </c>
      <c r="X12">
        <v>20</v>
      </c>
      <c r="Y12">
        <v>20</v>
      </c>
      <c r="Z12">
        <v>0</v>
      </c>
      <c r="AA12">
        <v>0</v>
      </c>
      <c r="AB12">
        <v>13</v>
      </c>
      <c r="AC12">
        <v>35</v>
      </c>
      <c r="AD12">
        <v>6</v>
      </c>
    </row>
    <row r="13" spans="1:30" x14ac:dyDescent="0.3">
      <c r="A13" t="s">
        <v>1042</v>
      </c>
      <c r="B13" t="s">
        <v>489</v>
      </c>
      <c r="C13" t="s">
        <v>1321</v>
      </c>
      <c r="D13">
        <v>12</v>
      </c>
      <c r="E13" t="s">
        <v>1420</v>
      </c>
      <c r="F13" t="s">
        <v>1421</v>
      </c>
      <c r="G13" t="s">
        <v>164</v>
      </c>
      <c r="H13" t="s">
        <v>1283</v>
      </c>
      <c r="I13" t="b">
        <v>0</v>
      </c>
      <c r="J13">
        <v>45</v>
      </c>
      <c r="K13">
        <v>0</v>
      </c>
      <c r="L13">
        <v>0</v>
      </c>
      <c r="M13">
        <v>4</v>
      </c>
      <c r="N13">
        <v>0</v>
      </c>
      <c r="O13">
        <v>3</v>
      </c>
      <c r="P13">
        <v>15</v>
      </c>
      <c r="Q13">
        <v>19</v>
      </c>
      <c r="R13">
        <v>0</v>
      </c>
      <c r="S13">
        <v>0</v>
      </c>
      <c r="T13">
        <v>10</v>
      </c>
      <c r="U13">
        <v>0</v>
      </c>
      <c r="V13">
        <v>20</v>
      </c>
      <c r="W13">
        <v>10</v>
      </c>
      <c r="X13">
        <v>20</v>
      </c>
      <c r="Y13">
        <v>20</v>
      </c>
      <c r="Z13">
        <v>0</v>
      </c>
      <c r="AA13">
        <v>0</v>
      </c>
      <c r="AB13">
        <v>13</v>
      </c>
      <c r="AC13">
        <v>35</v>
      </c>
      <c r="AD13">
        <v>6</v>
      </c>
    </row>
    <row r="14" spans="1:30" x14ac:dyDescent="0.3">
      <c r="A14" t="s">
        <v>1042</v>
      </c>
      <c r="B14" t="s">
        <v>489</v>
      </c>
      <c r="C14" t="s">
        <v>1322</v>
      </c>
      <c r="D14">
        <v>13</v>
      </c>
      <c r="E14" t="s">
        <v>1420</v>
      </c>
      <c r="F14" t="s">
        <v>1425</v>
      </c>
      <c r="G14" t="s">
        <v>105</v>
      </c>
      <c r="H14" t="s">
        <v>366</v>
      </c>
      <c r="I14" t="b">
        <v>1</v>
      </c>
      <c r="J14">
        <v>80</v>
      </c>
      <c r="K14">
        <v>1</v>
      </c>
      <c r="L14">
        <v>0</v>
      </c>
      <c r="M14">
        <v>15</v>
      </c>
      <c r="N14">
        <v>0</v>
      </c>
      <c r="O14">
        <v>8</v>
      </c>
      <c r="P14">
        <v>40</v>
      </c>
      <c r="Q14">
        <v>44</v>
      </c>
      <c r="R14">
        <v>5</v>
      </c>
      <c r="S14">
        <v>2</v>
      </c>
      <c r="T14">
        <v>6</v>
      </c>
      <c r="U14">
        <v>10</v>
      </c>
      <c r="V14">
        <v>12</v>
      </c>
      <c r="W14">
        <v>8</v>
      </c>
      <c r="X14">
        <v>22</v>
      </c>
      <c r="Y14">
        <v>27</v>
      </c>
      <c r="Z14">
        <v>5</v>
      </c>
      <c r="AA14">
        <v>1</v>
      </c>
      <c r="AB14">
        <v>21</v>
      </c>
      <c r="AC14">
        <v>67</v>
      </c>
      <c r="AD14">
        <v>9</v>
      </c>
    </row>
    <row r="15" spans="1:30" x14ac:dyDescent="0.3">
      <c r="A15" t="s">
        <v>1042</v>
      </c>
      <c r="B15" t="s">
        <v>489</v>
      </c>
      <c r="C15" t="s">
        <v>1322</v>
      </c>
      <c r="D15">
        <v>13</v>
      </c>
      <c r="E15" t="s">
        <v>1420</v>
      </c>
      <c r="F15" t="s">
        <v>1423</v>
      </c>
      <c r="G15" t="s">
        <v>1409</v>
      </c>
      <c r="H15" t="s">
        <v>360</v>
      </c>
      <c r="I15" t="b">
        <v>1</v>
      </c>
      <c r="J15">
        <v>80</v>
      </c>
      <c r="K15">
        <v>1</v>
      </c>
      <c r="L15">
        <v>0</v>
      </c>
      <c r="M15">
        <v>15</v>
      </c>
      <c r="N15">
        <v>0</v>
      </c>
      <c r="O15">
        <v>8</v>
      </c>
      <c r="P15">
        <v>40</v>
      </c>
      <c r="Q15">
        <v>44</v>
      </c>
      <c r="R15">
        <v>5</v>
      </c>
      <c r="S15">
        <v>2</v>
      </c>
      <c r="T15">
        <v>6</v>
      </c>
      <c r="U15">
        <v>10</v>
      </c>
      <c r="V15">
        <v>12</v>
      </c>
      <c r="W15">
        <v>8</v>
      </c>
      <c r="X15">
        <v>22</v>
      </c>
      <c r="Y15">
        <v>27</v>
      </c>
      <c r="Z15">
        <v>5</v>
      </c>
      <c r="AA15">
        <v>1</v>
      </c>
      <c r="AB15">
        <v>21</v>
      </c>
      <c r="AC15">
        <v>67</v>
      </c>
      <c r="AD15">
        <v>9</v>
      </c>
    </row>
    <row r="16" spans="1:30" x14ac:dyDescent="0.3">
      <c r="A16" t="s">
        <v>1042</v>
      </c>
      <c r="B16" t="s">
        <v>489</v>
      </c>
      <c r="C16" t="s">
        <v>1322</v>
      </c>
      <c r="D16">
        <v>13</v>
      </c>
      <c r="E16" t="s">
        <v>1420</v>
      </c>
      <c r="F16" t="s">
        <v>1421</v>
      </c>
      <c r="G16" t="s">
        <v>164</v>
      </c>
      <c r="H16" t="s">
        <v>1314</v>
      </c>
      <c r="I16" t="b">
        <v>1</v>
      </c>
      <c r="J16">
        <v>80</v>
      </c>
      <c r="K16">
        <v>1</v>
      </c>
      <c r="L16">
        <v>0</v>
      </c>
      <c r="M16">
        <v>15</v>
      </c>
      <c r="N16">
        <v>0</v>
      </c>
      <c r="O16">
        <v>8</v>
      </c>
      <c r="P16">
        <v>40</v>
      </c>
      <c r="Q16">
        <v>44</v>
      </c>
      <c r="R16">
        <v>5</v>
      </c>
      <c r="S16">
        <v>2</v>
      </c>
      <c r="T16">
        <v>6</v>
      </c>
      <c r="U16">
        <v>10</v>
      </c>
      <c r="V16">
        <v>12</v>
      </c>
      <c r="W16">
        <v>8</v>
      </c>
      <c r="X16">
        <v>22</v>
      </c>
      <c r="Y16">
        <v>27</v>
      </c>
      <c r="Z16">
        <v>5</v>
      </c>
      <c r="AA16">
        <v>1</v>
      </c>
      <c r="AB16">
        <v>21</v>
      </c>
      <c r="AC16">
        <v>67</v>
      </c>
      <c r="AD16">
        <v>9</v>
      </c>
    </row>
    <row r="17" spans="1:30" x14ac:dyDescent="0.3">
      <c r="A17" t="s">
        <v>1042</v>
      </c>
      <c r="B17" t="s">
        <v>489</v>
      </c>
      <c r="C17" t="s">
        <v>1323</v>
      </c>
      <c r="D17">
        <v>14</v>
      </c>
      <c r="E17" t="s">
        <v>1420</v>
      </c>
      <c r="F17" t="s">
        <v>1425</v>
      </c>
      <c r="G17" t="s">
        <v>105</v>
      </c>
      <c r="H17" t="s">
        <v>1298</v>
      </c>
      <c r="I17" t="b">
        <v>0</v>
      </c>
      <c r="J17">
        <v>40</v>
      </c>
      <c r="K17">
        <v>0</v>
      </c>
      <c r="L17">
        <v>0</v>
      </c>
      <c r="M17">
        <v>2</v>
      </c>
      <c r="N17">
        <v>0</v>
      </c>
      <c r="O17">
        <v>4</v>
      </c>
      <c r="P17">
        <v>20</v>
      </c>
      <c r="Q17">
        <v>26</v>
      </c>
      <c r="R17">
        <v>0</v>
      </c>
      <c r="S17">
        <v>0</v>
      </c>
      <c r="T17">
        <v>5</v>
      </c>
      <c r="U17">
        <v>0</v>
      </c>
      <c r="V17">
        <v>10</v>
      </c>
      <c r="W17">
        <v>5</v>
      </c>
      <c r="X17">
        <v>10</v>
      </c>
      <c r="Y17">
        <v>10</v>
      </c>
      <c r="Z17">
        <v>0</v>
      </c>
      <c r="AA17">
        <v>0</v>
      </c>
      <c r="AB17">
        <v>9</v>
      </c>
      <c r="AC17">
        <v>30</v>
      </c>
      <c r="AD17">
        <v>4</v>
      </c>
    </row>
    <row r="18" spans="1:30" x14ac:dyDescent="0.3">
      <c r="A18" t="s">
        <v>1042</v>
      </c>
      <c r="B18" t="s">
        <v>489</v>
      </c>
      <c r="C18" t="s">
        <v>1323</v>
      </c>
      <c r="D18">
        <v>14</v>
      </c>
      <c r="E18" t="s">
        <v>1420</v>
      </c>
      <c r="F18" t="s">
        <v>1423</v>
      </c>
      <c r="G18" t="s">
        <v>1409</v>
      </c>
      <c r="H18" t="s">
        <v>364</v>
      </c>
      <c r="I18" t="b">
        <v>0</v>
      </c>
      <c r="J18">
        <v>40</v>
      </c>
      <c r="K18">
        <v>0</v>
      </c>
      <c r="L18">
        <v>0</v>
      </c>
      <c r="M18">
        <v>2</v>
      </c>
      <c r="N18">
        <v>0</v>
      </c>
      <c r="O18">
        <v>4</v>
      </c>
      <c r="P18">
        <v>20</v>
      </c>
      <c r="Q18">
        <v>26</v>
      </c>
      <c r="R18">
        <v>0</v>
      </c>
      <c r="S18">
        <v>0</v>
      </c>
      <c r="T18">
        <v>5</v>
      </c>
      <c r="U18">
        <v>0</v>
      </c>
      <c r="V18">
        <v>10</v>
      </c>
      <c r="W18">
        <v>5</v>
      </c>
      <c r="X18">
        <v>10</v>
      </c>
      <c r="Y18">
        <v>10</v>
      </c>
      <c r="Z18">
        <v>0</v>
      </c>
      <c r="AA18">
        <v>0</v>
      </c>
      <c r="AB18">
        <v>9</v>
      </c>
      <c r="AC18">
        <v>30</v>
      </c>
      <c r="AD18">
        <v>4</v>
      </c>
    </row>
    <row r="19" spans="1:30" x14ac:dyDescent="0.3">
      <c r="A19" t="s">
        <v>1042</v>
      </c>
      <c r="B19" t="s">
        <v>489</v>
      </c>
      <c r="C19" t="s">
        <v>1323</v>
      </c>
      <c r="D19">
        <v>14</v>
      </c>
      <c r="E19" t="s">
        <v>1420</v>
      </c>
      <c r="F19" t="s">
        <v>1421</v>
      </c>
      <c r="G19" t="s">
        <v>164</v>
      </c>
      <c r="H19" t="s">
        <v>1317</v>
      </c>
      <c r="I19" t="b">
        <v>0</v>
      </c>
      <c r="J19">
        <v>40</v>
      </c>
      <c r="K19">
        <v>0</v>
      </c>
      <c r="L19">
        <v>0</v>
      </c>
      <c r="M19">
        <v>2</v>
      </c>
      <c r="N19">
        <v>0</v>
      </c>
      <c r="O19">
        <v>4</v>
      </c>
      <c r="P19">
        <v>20</v>
      </c>
      <c r="Q19">
        <v>26</v>
      </c>
      <c r="R19">
        <v>0</v>
      </c>
      <c r="S19">
        <v>0</v>
      </c>
      <c r="T19">
        <v>5</v>
      </c>
      <c r="U19">
        <v>0</v>
      </c>
      <c r="V19">
        <v>10</v>
      </c>
      <c r="W19">
        <v>5</v>
      </c>
      <c r="X19">
        <v>10</v>
      </c>
      <c r="Y19">
        <v>10</v>
      </c>
      <c r="Z19">
        <v>0</v>
      </c>
      <c r="AA19">
        <v>0</v>
      </c>
      <c r="AB19">
        <v>9</v>
      </c>
      <c r="AC19">
        <v>30</v>
      </c>
      <c r="AD19">
        <v>4</v>
      </c>
    </row>
    <row r="20" spans="1:30" x14ac:dyDescent="0.3">
      <c r="A20" t="s">
        <v>1042</v>
      </c>
      <c r="B20" t="s">
        <v>489</v>
      </c>
      <c r="C20" t="s">
        <v>1324</v>
      </c>
      <c r="D20">
        <v>15</v>
      </c>
      <c r="E20" t="s">
        <v>1420</v>
      </c>
      <c r="F20" t="s">
        <v>1425</v>
      </c>
      <c r="G20" t="s">
        <v>105</v>
      </c>
      <c r="H20" t="s">
        <v>363</v>
      </c>
      <c r="I20" t="b">
        <v>1</v>
      </c>
      <c r="J20">
        <v>111</v>
      </c>
      <c r="K20">
        <v>1</v>
      </c>
      <c r="L20">
        <v>1</v>
      </c>
      <c r="M20">
        <v>0</v>
      </c>
      <c r="N20">
        <v>0</v>
      </c>
      <c r="O20">
        <v>6</v>
      </c>
      <c r="P20">
        <v>30</v>
      </c>
      <c r="Q20">
        <v>36</v>
      </c>
      <c r="R20">
        <v>1</v>
      </c>
      <c r="S20">
        <v>0</v>
      </c>
      <c r="T20">
        <v>21</v>
      </c>
      <c r="U20">
        <v>0</v>
      </c>
      <c r="V20">
        <v>42</v>
      </c>
      <c r="W20">
        <v>21</v>
      </c>
      <c r="X20">
        <v>42</v>
      </c>
      <c r="Y20">
        <v>43</v>
      </c>
      <c r="Z20">
        <v>0</v>
      </c>
      <c r="AA20">
        <v>0</v>
      </c>
      <c r="AB20">
        <v>28</v>
      </c>
      <c r="AC20">
        <v>73</v>
      </c>
      <c r="AD20">
        <v>12</v>
      </c>
    </row>
    <row r="21" spans="1:30" x14ac:dyDescent="0.3">
      <c r="A21" t="s">
        <v>1042</v>
      </c>
      <c r="B21" t="s">
        <v>489</v>
      </c>
      <c r="C21" t="s">
        <v>1324</v>
      </c>
      <c r="D21">
        <v>15</v>
      </c>
      <c r="E21" t="s">
        <v>1420</v>
      </c>
      <c r="F21" t="s">
        <v>1423</v>
      </c>
      <c r="G21" t="s">
        <v>1409</v>
      </c>
      <c r="H21" t="s">
        <v>1286</v>
      </c>
      <c r="I21" t="b">
        <v>1</v>
      </c>
      <c r="J21">
        <v>111</v>
      </c>
      <c r="K21">
        <v>1</v>
      </c>
      <c r="L21">
        <v>1</v>
      </c>
      <c r="M21">
        <v>0</v>
      </c>
      <c r="N21">
        <v>0</v>
      </c>
      <c r="O21">
        <v>6</v>
      </c>
      <c r="P21">
        <v>30</v>
      </c>
      <c r="Q21">
        <v>36</v>
      </c>
      <c r="R21">
        <v>1</v>
      </c>
      <c r="S21">
        <v>0</v>
      </c>
      <c r="T21">
        <v>21</v>
      </c>
      <c r="U21">
        <v>0</v>
      </c>
      <c r="V21">
        <v>42</v>
      </c>
      <c r="W21">
        <v>21</v>
      </c>
      <c r="X21">
        <v>42</v>
      </c>
      <c r="Y21">
        <v>43</v>
      </c>
      <c r="Z21">
        <v>0</v>
      </c>
      <c r="AA21">
        <v>0</v>
      </c>
      <c r="AB21">
        <v>28</v>
      </c>
      <c r="AC21">
        <v>73</v>
      </c>
      <c r="AD21">
        <v>12</v>
      </c>
    </row>
    <row r="22" spans="1:30" x14ac:dyDescent="0.3">
      <c r="A22" t="s">
        <v>1042</v>
      </c>
      <c r="B22" t="s">
        <v>489</v>
      </c>
      <c r="C22" t="s">
        <v>1324</v>
      </c>
      <c r="D22">
        <v>15</v>
      </c>
      <c r="E22" t="s">
        <v>1420</v>
      </c>
      <c r="F22" t="s">
        <v>1421</v>
      </c>
      <c r="G22" t="s">
        <v>164</v>
      </c>
      <c r="H22" t="s">
        <v>1308</v>
      </c>
      <c r="I22" t="b">
        <v>1</v>
      </c>
      <c r="J22">
        <v>111</v>
      </c>
      <c r="K22">
        <v>1</v>
      </c>
      <c r="L22">
        <v>1</v>
      </c>
      <c r="M22">
        <v>0</v>
      </c>
      <c r="N22">
        <v>0</v>
      </c>
      <c r="O22">
        <v>6</v>
      </c>
      <c r="P22">
        <v>30</v>
      </c>
      <c r="Q22">
        <v>36</v>
      </c>
      <c r="R22">
        <v>1</v>
      </c>
      <c r="S22">
        <v>0</v>
      </c>
      <c r="T22">
        <v>21</v>
      </c>
      <c r="U22">
        <v>0</v>
      </c>
      <c r="V22">
        <v>42</v>
      </c>
      <c r="W22">
        <v>21</v>
      </c>
      <c r="X22">
        <v>42</v>
      </c>
      <c r="Y22">
        <v>43</v>
      </c>
      <c r="Z22">
        <v>0</v>
      </c>
      <c r="AA22">
        <v>0</v>
      </c>
      <c r="AB22">
        <v>28</v>
      </c>
      <c r="AC22">
        <v>73</v>
      </c>
      <c r="AD22">
        <v>12</v>
      </c>
    </row>
    <row r="23" spans="1:30" x14ac:dyDescent="0.3">
      <c r="A23" t="s">
        <v>1042</v>
      </c>
      <c r="B23" t="s">
        <v>489</v>
      </c>
      <c r="C23" t="s">
        <v>1325</v>
      </c>
      <c r="D23">
        <v>16</v>
      </c>
      <c r="E23" t="s">
        <v>1420</v>
      </c>
      <c r="F23" t="s">
        <v>1425</v>
      </c>
      <c r="G23" t="s">
        <v>105</v>
      </c>
      <c r="H23" t="s">
        <v>1318</v>
      </c>
      <c r="I23" t="b">
        <v>1</v>
      </c>
      <c r="J23">
        <v>70</v>
      </c>
      <c r="K23">
        <v>1</v>
      </c>
      <c r="L23">
        <v>1</v>
      </c>
      <c r="M23">
        <v>2</v>
      </c>
      <c r="N23">
        <v>0</v>
      </c>
      <c r="O23">
        <v>2</v>
      </c>
      <c r="P23">
        <v>10</v>
      </c>
      <c r="Q23">
        <v>14</v>
      </c>
      <c r="R23">
        <v>3</v>
      </c>
      <c r="S23">
        <v>2</v>
      </c>
      <c r="T23">
        <v>8</v>
      </c>
      <c r="U23">
        <v>10</v>
      </c>
      <c r="V23">
        <v>16</v>
      </c>
      <c r="W23">
        <v>10</v>
      </c>
      <c r="X23">
        <v>26</v>
      </c>
      <c r="Y23">
        <v>29</v>
      </c>
      <c r="Z23">
        <v>0</v>
      </c>
      <c r="AA23">
        <v>0</v>
      </c>
      <c r="AB23">
        <v>15</v>
      </c>
      <c r="AC23">
        <v>39</v>
      </c>
      <c r="AD23">
        <v>2</v>
      </c>
    </row>
    <row r="24" spans="1:30" x14ac:dyDescent="0.3">
      <c r="A24" t="s">
        <v>1042</v>
      </c>
      <c r="B24" t="s">
        <v>489</v>
      </c>
      <c r="C24" t="s">
        <v>1325</v>
      </c>
      <c r="D24">
        <v>16</v>
      </c>
      <c r="E24" t="s">
        <v>1420</v>
      </c>
      <c r="F24" t="s">
        <v>1423</v>
      </c>
      <c r="G24" t="s">
        <v>1409</v>
      </c>
      <c r="H24" t="s">
        <v>1295</v>
      </c>
      <c r="I24" t="b">
        <v>1</v>
      </c>
      <c r="J24">
        <v>70</v>
      </c>
      <c r="K24">
        <v>1</v>
      </c>
      <c r="L24">
        <v>1</v>
      </c>
      <c r="M24">
        <v>2</v>
      </c>
      <c r="N24">
        <v>0</v>
      </c>
      <c r="O24">
        <v>2</v>
      </c>
      <c r="P24">
        <v>10</v>
      </c>
      <c r="Q24">
        <v>14</v>
      </c>
      <c r="R24">
        <v>3</v>
      </c>
      <c r="S24">
        <v>2</v>
      </c>
      <c r="T24">
        <v>8</v>
      </c>
      <c r="U24">
        <v>10</v>
      </c>
      <c r="V24">
        <v>16</v>
      </c>
      <c r="W24">
        <v>10</v>
      </c>
      <c r="X24">
        <v>26</v>
      </c>
      <c r="Y24">
        <v>29</v>
      </c>
      <c r="Z24">
        <v>0</v>
      </c>
      <c r="AA24">
        <v>0</v>
      </c>
      <c r="AB24">
        <v>15</v>
      </c>
      <c r="AC24">
        <v>39</v>
      </c>
      <c r="AD24">
        <v>2</v>
      </c>
    </row>
    <row r="25" spans="1:30" x14ac:dyDescent="0.3">
      <c r="A25" t="s">
        <v>1042</v>
      </c>
      <c r="B25" t="s">
        <v>489</v>
      </c>
      <c r="C25" t="s">
        <v>1325</v>
      </c>
      <c r="D25">
        <v>16</v>
      </c>
      <c r="E25" t="s">
        <v>1420</v>
      </c>
      <c r="F25" t="s">
        <v>1421</v>
      </c>
      <c r="G25" t="s">
        <v>164</v>
      </c>
      <c r="H25" t="s">
        <v>1311</v>
      </c>
      <c r="I25" t="b">
        <v>1</v>
      </c>
      <c r="J25">
        <v>70</v>
      </c>
      <c r="K25">
        <v>1</v>
      </c>
      <c r="L25">
        <v>1</v>
      </c>
      <c r="M25">
        <v>2</v>
      </c>
      <c r="N25">
        <v>0</v>
      </c>
      <c r="O25">
        <v>2</v>
      </c>
      <c r="P25">
        <v>10</v>
      </c>
      <c r="Q25">
        <v>14</v>
      </c>
      <c r="R25">
        <v>3</v>
      </c>
      <c r="S25">
        <v>2</v>
      </c>
      <c r="T25">
        <v>8</v>
      </c>
      <c r="U25">
        <v>10</v>
      </c>
      <c r="V25">
        <v>16</v>
      </c>
      <c r="W25">
        <v>10</v>
      </c>
      <c r="X25">
        <v>26</v>
      </c>
      <c r="Y25">
        <v>29</v>
      </c>
      <c r="Z25">
        <v>0</v>
      </c>
      <c r="AA25">
        <v>0</v>
      </c>
      <c r="AB25">
        <v>15</v>
      </c>
      <c r="AC25">
        <v>39</v>
      </c>
      <c r="AD25">
        <v>2</v>
      </c>
    </row>
    <row r="26" spans="1:30" x14ac:dyDescent="0.3">
      <c r="A26" t="s">
        <v>1042</v>
      </c>
      <c r="B26" t="s">
        <v>489</v>
      </c>
      <c r="C26" t="s">
        <v>1326</v>
      </c>
      <c r="D26">
        <v>17</v>
      </c>
      <c r="E26" t="s">
        <v>1420</v>
      </c>
      <c r="F26" t="s">
        <v>1425</v>
      </c>
      <c r="G26" t="s">
        <v>105</v>
      </c>
      <c r="H26" t="s">
        <v>1312</v>
      </c>
      <c r="I26" t="b">
        <v>0</v>
      </c>
      <c r="J26">
        <v>29</v>
      </c>
      <c r="K26">
        <v>0</v>
      </c>
      <c r="L26">
        <v>0</v>
      </c>
      <c r="M26">
        <v>0</v>
      </c>
      <c r="N26">
        <v>0</v>
      </c>
      <c r="O26">
        <v>1</v>
      </c>
      <c r="P26">
        <v>5</v>
      </c>
      <c r="Q26">
        <v>9</v>
      </c>
      <c r="R26">
        <v>7</v>
      </c>
      <c r="S26">
        <v>0</v>
      </c>
      <c r="T26">
        <v>4</v>
      </c>
      <c r="U26">
        <v>0</v>
      </c>
      <c r="V26">
        <v>8</v>
      </c>
      <c r="W26">
        <v>4</v>
      </c>
      <c r="X26">
        <v>8</v>
      </c>
      <c r="Y26">
        <v>15</v>
      </c>
      <c r="Z26">
        <v>0</v>
      </c>
      <c r="AA26">
        <v>0</v>
      </c>
      <c r="AB26">
        <v>12</v>
      </c>
      <c r="AC26">
        <v>20</v>
      </c>
      <c r="AD26">
        <v>3</v>
      </c>
    </row>
    <row r="27" spans="1:30" x14ac:dyDescent="0.3">
      <c r="A27" t="s">
        <v>1042</v>
      </c>
      <c r="B27" t="s">
        <v>489</v>
      </c>
      <c r="C27" t="s">
        <v>1326</v>
      </c>
      <c r="D27">
        <v>17</v>
      </c>
      <c r="E27" t="s">
        <v>1420</v>
      </c>
      <c r="F27" t="s">
        <v>1423</v>
      </c>
      <c r="G27" t="s">
        <v>1409</v>
      </c>
      <c r="H27" t="s">
        <v>373</v>
      </c>
      <c r="I27" t="b">
        <v>0</v>
      </c>
      <c r="J27">
        <v>29</v>
      </c>
      <c r="K27">
        <v>0</v>
      </c>
      <c r="L27">
        <v>0</v>
      </c>
      <c r="M27">
        <v>0</v>
      </c>
      <c r="N27">
        <v>0</v>
      </c>
      <c r="O27">
        <v>1</v>
      </c>
      <c r="P27">
        <v>5</v>
      </c>
      <c r="Q27">
        <v>9</v>
      </c>
      <c r="R27">
        <v>7</v>
      </c>
      <c r="S27">
        <v>0</v>
      </c>
      <c r="T27">
        <v>4</v>
      </c>
      <c r="U27">
        <v>0</v>
      </c>
      <c r="V27">
        <v>8</v>
      </c>
      <c r="W27">
        <v>4</v>
      </c>
      <c r="X27">
        <v>8</v>
      </c>
      <c r="Y27">
        <v>15</v>
      </c>
      <c r="Z27">
        <v>0</v>
      </c>
      <c r="AA27">
        <v>0</v>
      </c>
      <c r="AB27">
        <v>12</v>
      </c>
      <c r="AC27">
        <v>20</v>
      </c>
      <c r="AD27">
        <v>3</v>
      </c>
    </row>
    <row r="28" spans="1:30" x14ac:dyDescent="0.3">
      <c r="A28" t="s">
        <v>1042</v>
      </c>
      <c r="B28" t="s">
        <v>489</v>
      </c>
      <c r="C28" t="s">
        <v>1326</v>
      </c>
      <c r="D28">
        <v>17</v>
      </c>
      <c r="E28" t="s">
        <v>1420</v>
      </c>
      <c r="F28" t="s">
        <v>1421</v>
      </c>
      <c r="G28" t="s">
        <v>164</v>
      </c>
      <c r="H28" t="s">
        <v>1282</v>
      </c>
      <c r="I28" t="b">
        <v>0</v>
      </c>
      <c r="J28">
        <v>29</v>
      </c>
      <c r="K28">
        <v>0</v>
      </c>
      <c r="L28">
        <v>0</v>
      </c>
      <c r="M28">
        <v>0</v>
      </c>
      <c r="N28">
        <v>0</v>
      </c>
      <c r="O28">
        <v>1</v>
      </c>
      <c r="P28">
        <v>5</v>
      </c>
      <c r="Q28">
        <v>9</v>
      </c>
      <c r="R28">
        <v>7</v>
      </c>
      <c r="S28">
        <v>0</v>
      </c>
      <c r="T28">
        <v>4</v>
      </c>
      <c r="U28">
        <v>0</v>
      </c>
      <c r="V28">
        <v>8</v>
      </c>
      <c r="W28">
        <v>4</v>
      </c>
      <c r="X28">
        <v>8</v>
      </c>
      <c r="Y28">
        <v>15</v>
      </c>
      <c r="Z28">
        <v>0</v>
      </c>
      <c r="AA28">
        <v>0</v>
      </c>
      <c r="AB28">
        <v>12</v>
      </c>
      <c r="AC28">
        <v>20</v>
      </c>
      <c r="AD28">
        <v>3</v>
      </c>
    </row>
    <row r="29" spans="1:30" x14ac:dyDescent="0.3">
      <c r="A29" t="s">
        <v>1042</v>
      </c>
      <c r="B29" t="s">
        <v>489</v>
      </c>
      <c r="C29" t="s">
        <v>1327</v>
      </c>
      <c r="D29">
        <v>18</v>
      </c>
      <c r="E29" t="s">
        <v>1420</v>
      </c>
      <c r="F29" t="s">
        <v>1425</v>
      </c>
      <c r="G29" t="s">
        <v>105</v>
      </c>
      <c r="H29" t="s">
        <v>371</v>
      </c>
      <c r="I29" t="b">
        <v>1</v>
      </c>
      <c r="J29">
        <v>40</v>
      </c>
      <c r="K29">
        <v>0</v>
      </c>
      <c r="L29">
        <v>0</v>
      </c>
      <c r="M29">
        <v>40</v>
      </c>
      <c r="N29">
        <v>0</v>
      </c>
      <c r="O29">
        <v>4</v>
      </c>
      <c r="P29">
        <v>20</v>
      </c>
      <c r="Q29">
        <v>22</v>
      </c>
      <c r="R29">
        <v>3</v>
      </c>
      <c r="S29">
        <v>0</v>
      </c>
      <c r="T29">
        <v>7</v>
      </c>
      <c r="U29">
        <v>0</v>
      </c>
      <c r="V29">
        <v>14</v>
      </c>
      <c r="W29">
        <v>7</v>
      </c>
      <c r="X29">
        <v>14</v>
      </c>
      <c r="Y29">
        <v>17</v>
      </c>
      <c r="Z29">
        <v>0</v>
      </c>
      <c r="AA29">
        <v>0</v>
      </c>
      <c r="AB29">
        <v>14</v>
      </c>
      <c r="AC29">
        <v>37</v>
      </c>
      <c r="AD29">
        <v>1</v>
      </c>
    </row>
    <row r="30" spans="1:30" x14ac:dyDescent="0.3">
      <c r="A30" t="s">
        <v>1042</v>
      </c>
      <c r="B30" t="s">
        <v>489</v>
      </c>
      <c r="C30" t="s">
        <v>1327</v>
      </c>
      <c r="D30">
        <v>18</v>
      </c>
      <c r="E30" t="s">
        <v>1420</v>
      </c>
      <c r="F30" t="s">
        <v>1423</v>
      </c>
      <c r="G30" t="s">
        <v>1409</v>
      </c>
      <c r="H30" t="s">
        <v>1291</v>
      </c>
      <c r="I30" t="b">
        <v>1</v>
      </c>
      <c r="J30">
        <v>40</v>
      </c>
      <c r="K30">
        <v>0</v>
      </c>
      <c r="L30">
        <v>0</v>
      </c>
      <c r="M30">
        <v>40</v>
      </c>
      <c r="N30">
        <v>0</v>
      </c>
      <c r="O30">
        <v>4</v>
      </c>
      <c r="P30">
        <v>20</v>
      </c>
      <c r="Q30">
        <v>22</v>
      </c>
      <c r="R30">
        <v>3</v>
      </c>
      <c r="S30">
        <v>0</v>
      </c>
      <c r="T30">
        <v>7</v>
      </c>
      <c r="U30">
        <v>0</v>
      </c>
      <c r="V30">
        <v>14</v>
      </c>
      <c r="W30">
        <v>7</v>
      </c>
      <c r="X30">
        <v>14</v>
      </c>
      <c r="Y30">
        <v>17</v>
      </c>
      <c r="Z30">
        <v>0</v>
      </c>
      <c r="AA30">
        <v>0</v>
      </c>
      <c r="AB30">
        <v>14</v>
      </c>
      <c r="AC30">
        <v>37</v>
      </c>
      <c r="AD30">
        <v>1</v>
      </c>
    </row>
    <row r="31" spans="1:30" x14ac:dyDescent="0.3">
      <c r="A31" t="s">
        <v>1042</v>
      </c>
      <c r="B31" t="s">
        <v>489</v>
      </c>
      <c r="C31" t="s">
        <v>1327</v>
      </c>
      <c r="D31">
        <v>18</v>
      </c>
      <c r="E31" t="s">
        <v>1420</v>
      </c>
      <c r="F31" t="s">
        <v>1421</v>
      </c>
      <c r="G31" t="s">
        <v>164</v>
      </c>
      <c r="H31" t="s">
        <v>1290</v>
      </c>
      <c r="I31" t="b">
        <v>1</v>
      </c>
      <c r="J31">
        <v>40</v>
      </c>
      <c r="K31">
        <v>0</v>
      </c>
      <c r="L31">
        <v>0</v>
      </c>
      <c r="M31">
        <v>40</v>
      </c>
      <c r="N31">
        <v>0</v>
      </c>
      <c r="O31">
        <v>4</v>
      </c>
      <c r="P31">
        <v>20</v>
      </c>
      <c r="Q31">
        <v>22</v>
      </c>
      <c r="R31">
        <v>3</v>
      </c>
      <c r="S31">
        <v>0</v>
      </c>
      <c r="T31">
        <v>7</v>
      </c>
      <c r="U31">
        <v>0</v>
      </c>
      <c r="V31">
        <v>14</v>
      </c>
      <c r="W31">
        <v>7</v>
      </c>
      <c r="X31">
        <v>14</v>
      </c>
      <c r="Y31">
        <v>17</v>
      </c>
      <c r="Z31">
        <v>0</v>
      </c>
      <c r="AA31">
        <v>0</v>
      </c>
      <c r="AB31">
        <v>14</v>
      </c>
      <c r="AC31">
        <v>37</v>
      </c>
      <c r="AD31">
        <v>1</v>
      </c>
    </row>
    <row r="32" spans="1:30" x14ac:dyDescent="0.3">
      <c r="A32" t="s">
        <v>1042</v>
      </c>
      <c r="B32" t="s">
        <v>489</v>
      </c>
      <c r="C32" t="s">
        <v>1328</v>
      </c>
      <c r="D32">
        <v>19</v>
      </c>
      <c r="E32" t="s">
        <v>1420</v>
      </c>
      <c r="F32" t="s">
        <v>1425</v>
      </c>
      <c r="G32" t="s">
        <v>105</v>
      </c>
      <c r="H32" t="s">
        <v>1292</v>
      </c>
      <c r="I32" t="b">
        <v>1</v>
      </c>
      <c r="J32">
        <v>31</v>
      </c>
      <c r="K32">
        <v>0</v>
      </c>
      <c r="L32">
        <v>0</v>
      </c>
      <c r="M32">
        <v>5</v>
      </c>
      <c r="N32">
        <v>0</v>
      </c>
      <c r="O32">
        <v>3</v>
      </c>
      <c r="P32">
        <v>15</v>
      </c>
      <c r="Q32">
        <v>17</v>
      </c>
      <c r="R32">
        <v>1</v>
      </c>
      <c r="S32">
        <v>0</v>
      </c>
      <c r="T32">
        <v>4</v>
      </c>
      <c r="U32">
        <v>0</v>
      </c>
      <c r="V32">
        <v>8</v>
      </c>
      <c r="W32">
        <v>4</v>
      </c>
      <c r="X32">
        <v>8</v>
      </c>
      <c r="Y32">
        <v>9</v>
      </c>
      <c r="Z32">
        <v>0</v>
      </c>
      <c r="AA32">
        <v>0</v>
      </c>
      <c r="AB32">
        <v>8</v>
      </c>
      <c r="AC32">
        <v>24</v>
      </c>
      <c r="AD32">
        <v>5</v>
      </c>
    </row>
    <row r="33" spans="1:30" x14ac:dyDescent="0.3">
      <c r="A33" t="s">
        <v>1042</v>
      </c>
      <c r="B33" t="s">
        <v>489</v>
      </c>
      <c r="C33" t="s">
        <v>1328</v>
      </c>
      <c r="D33">
        <v>19</v>
      </c>
      <c r="E33" t="s">
        <v>1420</v>
      </c>
      <c r="F33" t="s">
        <v>1423</v>
      </c>
      <c r="G33" t="s">
        <v>1409</v>
      </c>
      <c r="H33" t="s">
        <v>1298</v>
      </c>
      <c r="I33" t="b">
        <v>1</v>
      </c>
      <c r="J33">
        <v>31</v>
      </c>
      <c r="K33">
        <v>0</v>
      </c>
      <c r="L33">
        <v>0</v>
      </c>
      <c r="M33">
        <v>5</v>
      </c>
      <c r="N33">
        <v>0</v>
      </c>
      <c r="O33">
        <v>3</v>
      </c>
      <c r="P33">
        <v>15</v>
      </c>
      <c r="Q33">
        <v>17</v>
      </c>
      <c r="R33">
        <v>1</v>
      </c>
      <c r="S33">
        <v>0</v>
      </c>
      <c r="T33">
        <v>4</v>
      </c>
      <c r="U33">
        <v>0</v>
      </c>
      <c r="V33">
        <v>8</v>
      </c>
      <c r="W33">
        <v>4</v>
      </c>
      <c r="X33">
        <v>8</v>
      </c>
      <c r="Y33">
        <v>9</v>
      </c>
      <c r="Z33">
        <v>0</v>
      </c>
      <c r="AA33">
        <v>0</v>
      </c>
      <c r="AB33">
        <v>8</v>
      </c>
      <c r="AC33">
        <v>24</v>
      </c>
      <c r="AD33">
        <v>5</v>
      </c>
    </row>
    <row r="34" spans="1:30" x14ac:dyDescent="0.3">
      <c r="A34" t="s">
        <v>1042</v>
      </c>
      <c r="B34" t="s">
        <v>489</v>
      </c>
      <c r="C34" t="s">
        <v>1328</v>
      </c>
      <c r="D34">
        <v>19</v>
      </c>
      <c r="E34" t="s">
        <v>1420</v>
      </c>
      <c r="F34" t="s">
        <v>1421</v>
      </c>
      <c r="G34" t="s">
        <v>164</v>
      </c>
      <c r="H34" t="s">
        <v>1288</v>
      </c>
      <c r="I34" t="b">
        <v>1</v>
      </c>
      <c r="J34">
        <v>31</v>
      </c>
      <c r="K34">
        <v>0</v>
      </c>
      <c r="L34">
        <v>0</v>
      </c>
      <c r="M34">
        <v>5</v>
      </c>
      <c r="N34">
        <v>0</v>
      </c>
      <c r="O34">
        <v>3</v>
      </c>
      <c r="P34">
        <v>15</v>
      </c>
      <c r="Q34">
        <v>17</v>
      </c>
      <c r="R34">
        <v>1</v>
      </c>
      <c r="S34">
        <v>0</v>
      </c>
      <c r="T34">
        <v>4</v>
      </c>
      <c r="U34">
        <v>0</v>
      </c>
      <c r="V34">
        <v>8</v>
      </c>
      <c r="W34">
        <v>4</v>
      </c>
      <c r="X34">
        <v>8</v>
      </c>
      <c r="Y34">
        <v>9</v>
      </c>
      <c r="Z34">
        <v>0</v>
      </c>
      <c r="AA34">
        <v>0</v>
      </c>
      <c r="AB34">
        <v>8</v>
      </c>
      <c r="AC34">
        <v>24</v>
      </c>
      <c r="AD34">
        <v>5</v>
      </c>
    </row>
    <row r="35" spans="1:30" x14ac:dyDescent="0.3">
      <c r="A35" t="s">
        <v>1042</v>
      </c>
      <c r="B35" t="s">
        <v>489</v>
      </c>
      <c r="C35" t="s">
        <v>1281</v>
      </c>
      <c r="D35">
        <v>2</v>
      </c>
      <c r="E35" t="s">
        <v>1420</v>
      </c>
      <c r="F35" t="s">
        <v>1425</v>
      </c>
      <c r="G35" t="s">
        <v>105</v>
      </c>
      <c r="H35" t="s">
        <v>370</v>
      </c>
      <c r="I35" t="b">
        <v>1</v>
      </c>
      <c r="J35">
        <v>30</v>
      </c>
      <c r="K35">
        <v>0</v>
      </c>
      <c r="L35">
        <v>0</v>
      </c>
      <c r="M35">
        <v>4</v>
      </c>
      <c r="N35">
        <v>0</v>
      </c>
      <c r="O35">
        <v>1</v>
      </c>
      <c r="P35">
        <v>5</v>
      </c>
      <c r="Q35">
        <v>9</v>
      </c>
      <c r="R35">
        <v>3</v>
      </c>
      <c r="S35">
        <v>1</v>
      </c>
      <c r="T35">
        <v>3</v>
      </c>
      <c r="U35">
        <v>5</v>
      </c>
      <c r="V35">
        <v>6</v>
      </c>
      <c r="W35">
        <v>4</v>
      </c>
      <c r="X35">
        <v>11</v>
      </c>
      <c r="Y35">
        <v>14</v>
      </c>
      <c r="Z35">
        <v>0</v>
      </c>
      <c r="AA35">
        <v>0</v>
      </c>
      <c r="AB35">
        <v>8</v>
      </c>
      <c r="AC35">
        <v>19</v>
      </c>
      <c r="AD35">
        <v>7</v>
      </c>
    </row>
    <row r="36" spans="1:30" x14ac:dyDescent="0.3">
      <c r="A36" t="s">
        <v>1042</v>
      </c>
      <c r="B36" t="s">
        <v>489</v>
      </c>
      <c r="C36" t="s">
        <v>1281</v>
      </c>
      <c r="D36">
        <v>2</v>
      </c>
      <c r="E36" t="s">
        <v>1420</v>
      </c>
      <c r="F36" t="s">
        <v>1423</v>
      </c>
      <c r="G36" t="s">
        <v>1409</v>
      </c>
      <c r="H36" t="s">
        <v>1282</v>
      </c>
      <c r="I36" t="b">
        <v>1</v>
      </c>
      <c r="J36">
        <v>30</v>
      </c>
      <c r="K36">
        <v>0</v>
      </c>
      <c r="L36">
        <v>0</v>
      </c>
      <c r="M36">
        <v>4</v>
      </c>
      <c r="N36">
        <v>0</v>
      </c>
      <c r="O36">
        <v>1</v>
      </c>
      <c r="P36">
        <v>5</v>
      </c>
      <c r="Q36">
        <v>9</v>
      </c>
      <c r="R36">
        <v>3</v>
      </c>
      <c r="S36">
        <v>1</v>
      </c>
      <c r="T36">
        <v>3</v>
      </c>
      <c r="U36">
        <v>5</v>
      </c>
      <c r="V36">
        <v>6</v>
      </c>
      <c r="W36">
        <v>4</v>
      </c>
      <c r="X36">
        <v>11</v>
      </c>
      <c r="Y36">
        <v>14</v>
      </c>
      <c r="Z36">
        <v>0</v>
      </c>
      <c r="AA36">
        <v>0</v>
      </c>
      <c r="AB36">
        <v>8</v>
      </c>
      <c r="AC36">
        <v>19</v>
      </c>
      <c r="AD36">
        <v>7</v>
      </c>
    </row>
    <row r="37" spans="1:30" x14ac:dyDescent="0.3">
      <c r="A37" t="s">
        <v>1042</v>
      </c>
      <c r="B37" t="s">
        <v>489</v>
      </c>
      <c r="C37" t="s">
        <v>1281</v>
      </c>
      <c r="D37">
        <v>2</v>
      </c>
      <c r="E37" t="s">
        <v>1420</v>
      </c>
      <c r="F37" t="s">
        <v>1421</v>
      </c>
      <c r="G37" t="s">
        <v>164</v>
      </c>
      <c r="H37" t="s">
        <v>1283</v>
      </c>
      <c r="I37" t="b">
        <v>1</v>
      </c>
      <c r="J37">
        <v>30</v>
      </c>
      <c r="K37">
        <v>0</v>
      </c>
      <c r="L37">
        <v>0</v>
      </c>
      <c r="M37">
        <v>4</v>
      </c>
      <c r="N37">
        <v>0</v>
      </c>
      <c r="O37">
        <v>1</v>
      </c>
      <c r="P37">
        <v>5</v>
      </c>
      <c r="Q37">
        <v>9</v>
      </c>
      <c r="R37">
        <v>3</v>
      </c>
      <c r="S37">
        <v>1</v>
      </c>
      <c r="T37">
        <v>3</v>
      </c>
      <c r="U37">
        <v>5</v>
      </c>
      <c r="V37">
        <v>6</v>
      </c>
      <c r="W37">
        <v>4</v>
      </c>
      <c r="X37">
        <v>11</v>
      </c>
      <c r="Y37">
        <v>14</v>
      </c>
      <c r="Z37">
        <v>0</v>
      </c>
      <c r="AA37">
        <v>0</v>
      </c>
      <c r="AB37">
        <v>8</v>
      </c>
      <c r="AC37">
        <v>19</v>
      </c>
      <c r="AD37">
        <v>7</v>
      </c>
    </row>
    <row r="38" spans="1:30" x14ac:dyDescent="0.3">
      <c r="A38" t="s">
        <v>1042</v>
      </c>
      <c r="B38" t="s">
        <v>489</v>
      </c>
      <c r="C38" t="s">
        <v>1329</v>
      </c>
      <c r="D38">
        <v>20</v>
      </c>
      <c r="E38" t="s">
        <v>1420</v>
      </c>
      <c r="F38" t="s">
        <v>1425</v>
      </c>
      <c r="G38" t="s">
        <v>105</v>
      </c>
      <c r="H38" t="s">
        <v>1308</v>
      </c>
      <c r="I38" t="b">
        <v>1</v>
      </c>
      <c r="J38">
        <v>72</v>
      </c>
      <c r="K38">
        <v>1</v>
      </c>
      <c r="L38">
        <v>0</v>
      </c>
      <c r="M38">
        <v>6</v>
      </c>
      <c r="N38">
        <v>0</v>
      </c>
      <c r="O38">
        <v>3</v>
      </c>
      <c r="P38">
        <v>15</v>
      </c>
      <c r="Q38">
        <v>17</v>
      </c>
      <c r="R38">
        <v>5</v>
      </c>
      <c r="S38">
        <v>4</v>
      </c>
      <c r="T38">
        <v>8</v>
      </c>
      <c r="U38">
        <v>20</v>
      </c>
      <c r="V38">
        <v>16</v>
      </c>
      <c r="W38">
        <v>12</v>
      </c>
      <c r="X38">
        <v>36</v>
      </c>
      <c r="Y38">
        <v>41</v>
      </c>
      <c r="Z38">
        <v>0</v>
      </c>
      <c r="AA38">
        <v>0</v>
      </c>
      <c r="AB38">
        <v>20</v>
      </c>
      <c r="AC38">
        <v>56</v>
      </c>
      <c r="AD38">
        <v>9</v>
      </c>
    </row>
    <row r="39" spans="1:30" x14ac:dyDescent="0.3">
      <c r="A39" t="s">
        <v>1042</v>
      </c>
      <c r="B39" t="s">
        <v>489</v>
      </c>
      <c r="C39" t="s">
        <v>1329</v>
      </c>
      <c r="D39">
        <v>20</v>
      </c>
      <c r="E39" t="s">
        <v>1420</v>
      </c>
      <c r="F39" t="s">
        <v>1423</v>
      </c>
      <c r="G39" t="s">
        <v>1409</v>
      </c>
      <c r="H39" t="s">
        <v>368</v>
      </c>
      <c r="I39" t="b">
        <v>1</v>
      </c>
      <c r="J39">
        <v>72</v>
      </c>
      <c r="K39">
        <v>1</v>
      </c>
      <c r="L39">
        <v>0</v>
      </c>
      <c r="M39">
        <v>6</v>
      </c>
      <c r="N39">
        <v>0</v>
      </c>
      <c r="O39">
        <v>3</v>
      </c>
      <c r="P39">
        <v>15</v>
      </c>
      <c r="Q39">
        <v>17</v>
      </c>
      <c r="R39">
        <v>5</v>
      </c>
      <c r="S39">
        <v>4</v>
      </c>
      <c r="T39">
        <v>8</v>
      </c>
      <c r="U39">
        <v>20</v>
      </c>
      <c r="V39">
        <v>16</v>
      </c>
      <c r="W39">
        <v>12</v>
      </c>
      <c r="X39">
        <v>36</v>
      </c>
      <c r="Y39">
        <v>41</v>
      </c>
      <c r="Z39">
        <v>0</v>
      </c>
      <c r="AA39">
        <v>0</v>
      </c>
      <c r="AB39">
        <v>20</v>
      </c>
      <c r="AC39">
        <v>56</v>
      </c>
      <c r="AD39">
        <v>9</v>
      </c>
    </row>
    <row r="40" spans="1:30" x14ac:dyDescent="0.3">
      <c r="A40" t="s">
        <v>1042</v>
      </c>
      <c r="B40" t="s">
        <v>489</v>
      </c>
      <c r="C40" t="s">
        <v>1329</v>
      </c>
      <c r="D40">
        <v>20</v>
      </c>
      <c r="E40" t="s">
        <v>1420</v>
      </c>
      <c r="F40" t="s">
        <v>1421</v>
      </c>
      <c r="G40" t="s">
        <v>164</v>
      </c>
      <c r="H40" t="s">
        <v>1277</v>
      </c>
      <c r="I40" t="b">
        <v>1</v>
      </c>
      <c r="J40">
        <v>72</v>
      </c>
      <c r="K40">
        <v>1</v>
      </c>
      <c r="L40">
        <v>0</v>
      </c>
      <c r="M40">
        <v>6</v>
      </c>
      <c r="N40">
        <v>0</v>
      </c>
      <c r="O40">
        <v>3</v>
      </c>
      <c r="P40">
        <v>15</v>
      </c>
      <c r="Q40">
        <v>17</v>
      </c>
      <c r="R40">
        <v>5</v>
      </c>
      <c r="S40">
        <v>4</v>
      </c>
      <c r="T40">
        <v>8</v>
      </c>
      <c r="U40">
        <v>20</v>
      </c>
      <c r="V40">
        <v>16</v>
      </c>
      <c r="W40">
        <v>12</v>
      </c>
      <c r="X40">
        <v>36</v>
      </c>
      <c r="Y40">
        <v>41</v>
      </c>
      <c r="Z40">
        <v>0</v>
      </c>
      <c r="AA40">
        <v>0</v>
      </c>
      <c r="AB40">
        <v>20</v>
      </c>
      <c r="AC40">
        <v>56</v>
      </c>
      <c r="AD40">
        <v>9</v>
      </c>
    </row>
    <row r="41" spans="1:30" x14ac:dyDescent="0.3">
      <c r="A41" t="s">
        <v>1042</v>
      </c>
      <c r="B41" t="s">
        <v>489</v>
      </c>
      <c r="C41" t="s">
        <v>1330</v>
      </c>
      <c r="D41">
        <v>21</v>
      </c>
      <c r="E41" t="s">
        <v>1420</v>
      </c>
      <c r="F41" t="s">
        <v>1425</v>
      </c>
      <c r="G41" t="s">
        <v>105</v>
      </c>
      <c r="H41" t="s">
        <v>1279</v>
      </c>
      <c r="I41" t="b">
        <v>0</v>
      </c>
      <c r="J41">
        <v>47</v>
      </c>
      <c r="K41">
        <v>0</v>
      </c>
      <c r="L41">
        <v>0</v>
      </c>
      <c r="M41">
        <v>0</v>
      </c>
      <c r="N41">
        <v>0</v>
      </c>
      <c r="O41">
        <v>3</v>
      </c>
      <c r="P41">
        <v>15</v>
      </c>
      <c r="Q41">
        <v>21</v>
      </c>
      <c r="R41">
        <v>2</v>
      </c>
      <c r="S41">
        <v>1</v>
      </c>
      <c r="T41">
        <v>7</v>
      </c>
      <c r="U41">
        <v>5</v>
      </c>
      <c r="V41">
        <v>14</v>
      </c>
      <c r="W41">
        <v>8</v>
      </c>
      <c r="X41">
        <v>19</v>
      </c>
      <c r="Y41">
        <v>21</v>
      </c>
      <c r="Z41">
        <v>0</v>
      </c>
      <c r="AA41">
        <v>0</v>
      </c>
      <c r="AB41">
        <v>13</v>
      </c>
      <c r="AC41">
        <v>36</v>
      </c>
      <c r="AD41">
        <v>5</v>
      </c>
    </row>
    <row r="42" spans="1:30" x14ac:dyDescent="0.3">
      <c r="A42" t="s">
        <v>1042</v>
      </c>
      <c r="B42" t="s">
        <v>489</v>
      </c>
      <c r="C42" t="s">
        <v>1330</v>
      </c>
      <c r="D42">
        <v>21</v>
      </c>
      <c r="E42" t="s">
        <v>1420</v>
      </c>
      <c r="F42" t="s">
        <v>1423</v>
      </c>
      <c r="G42" t="s">
        <v>1409</v>
      </c>
      <c r="H42" t="s">
        <v>1286</v>
      </c>
      <c r="I42" t="b">
        <v>0</v>
      </c>
      <c r="J42">
        <v>47</v>
      </c>
      <c r="K42">
        <v>0</v>
      </c>
      <c r="L42">
        <v>0</v>
      </c>
      <c r="M42">
        <v>0</v>
      </c>
      <c r="N42">
        <v>0</v>
      </c>
      <c r="O42">
        <v>3</v>
      </c>
      <c r="P42">
        <v>15</v>
      </c>
      <c r="Q42">
        <v>21</v>
      </c>
      <c r="R42">
        <v>2</v>
      </c>
      <c r="S42">
        <v>1</v>
      </c>
      <c r="T42">
        <v>7</v>
      </c>
      <c r="U42">
        <v>5</v>
      </c>
      <c r="V42">
        <v>14</v>
      </c>
      <c r="W42">
        <v>8</v>
      </c>
      <c r="X42">
        <v>19</v>
      </c>
      <c r="Y42">
        <v>21</v>
      </c>
      <c r="Z42">
        <v>0</v>
      </c>
      <c r="AA42">
        <v>0</v>
      </c>
      <c r="AB42">
        <v>13</v>
      </c>
      <c r="AC42">
        <v>36</v>
      </c>
      <c r="AD42">
        <v>5</v>
      </c>
    </row>
    <row r="43" spans="1:30" x14ac:dyDescent="0.3">
      <c r="A43" t="s">
        <v>1042</v>
      </c>
      <c r="B43" t="s">
        <v>489</v>
      </c>
      <c r="C43" t="s">
        <v>1330</v>
      </c>
      <c r="D43">
        <v>21</v>
      </c>
      <c r="E43" t="s">
        <v>1420</v>
      </c>
      <c r="F43" t="s">
        <v>1421</v>
      </c>
      <c r="G43" t="s">
        <v>164</v>
      </c>
      <c r="H43" t="s">
        <v>1311</v>
      </c>
      <c r="I43" t="b">
        <v>0</v>
      </c>
      <c r="J43">
        <v>47</v>
      </c>
      <c r="K43">
        <v>0</v>
      </c>
      <c r="L43">
        <v>0</v>
      </c>
      <c r="M43">
        <v>0</v>
      </c>
      <c r="N43">
        <v>0</v>
      </c>
      <c r="O43">
        <v>3</v>
      </c>
      <c r="P43">
        <v>15</v>
      </c>
      <c r="Q43">
        <v>21</v>
      </c>
      <c r="R43">
        <v>2</v>
      </c>
      <c r="S43">
        <v>1</v>
      </c>
      <c r="T43">
        <v>7</v>
      </c>
      <c r="U43">
        <v>5</v>
      </c>
      <c r="V43">
        <v>14</v>
      </c>
      <c r="W43">
        <v>8</v>
      </c>
      <c r="X43">
        <v>19</v>
      </c>
      <c r="Y43">
        <v>21</v>
      </c>
      <c r="Z43">
        <v>0</v>
      </c>
      <c r="AA43">
        <v>0</v>
      </c>
      <c r="AB43">
        <v>13</v>
      </c>
      <c r="AC43">
        <v>36</v>
      </c>
      <c r="AD43">
        <v>5</v>
      </c>
    </row>
    <row r="44" spans="1:30" x14ac:dyDescent="0.3">
      <c r="A44" t="s">
        <v>1042</v>
      </c>
      <c r="B44" t="s">
        <v>489</v>
      </c>
      <c r="C44" t="s">
        <v>1331</v>
      </c>
      <c r="D44">
        <v>22</v>
      </c>
      <c r="E44" t="s">
        <v>1420</v>
      </c>
      <c r="F44" t="s">
        <v>1425</v>
      </c>
      <c r="G44" t="s">
        <v>105</v>
      </c>
      <c r="H44" t="s">
        <v>1302</v>
      </c>
      <c r="I44" t="b">
        <v>0</v>
      </c>
      <c r="J44">
        <v>37</v>
      </c>
      <c r="K44">
        <v>0</v>
      </c>
      <c r="L44">
        <v>0</v>
      </c>
      <c r="M44">
        <v>6</v>
      </c>
      <c r="N44">
        <v>0</v>
      </c>
      <c r="O44">
        <v>2</v>
      </c>
      <c r="P44">
        <v>10</v>
      </c>
      <c r="Q44">
        <v>14</v>
      </c>
      <c r="R44">
        <v>0</v>
      </c>
      <c r="S44">
        <v>0</v>
      </c>
      <c r="T44">
        <v>10</v>
      </c>
      <c r="U44">
        <v>0</v>
      </c>
      <c r="V44">
        <v>20</v>
      </c>
      <c r="W44">
        <v>10</v>
      </c>
      <c r="X44">
        <v>20</v>
      </c>
      <c r="Y44">
        <v>20</v>
      </c>
      <c r="Z44">
        <v>0</v>
      </c>
      <c r="AA44">
        <v>0</v>
      </c>
      <c r="AB44">
        <v>12</v>
      </c>
      <c r="AC44">
        <v>30</v>
      </c>
      <c r="AD44">
        <v>3</v>
      </c>
    </row>
    <row r="45" spans="1:30" x14ac:dyDescent="0.3">
      <c r="A45" t="s">
        <v>1042</v>
      </c>
      <c r="B45" t="s">
        <v>489</v>
      </c>
      <c r="C45" t="s">
        <v>1331</v>
      </c>
      <c r="D45">
        <v>22</v>
      </c>
      <c r="E45" t="s">
        <v>1420</v>
      </c>
      <c r="F45" t="s">
        <v>1423</v>
      </c>
      <c r="G45" t="s">
        <v>1409</v>
      </c>
      <c r="H45" t="s">
        <v>318</v>
      </c>
      <c r="I45" t="b">
        <v>0</v>
      </c>
      <c r="J45">
        <v>37</v>
      </c>
      <c r="K45">
        <v>0</v>
      </c>
      <c r="L45">
        <v>0</v>
      </c>
      <c r="M45">
        <v>6</v>
      </c>
      <c r="N45">
        <v>0</v>
      </c>
      <c r="O45">
        <v>2</v>
      </c>
      <c r="P45">
        <v>10</v>
      </c>
      <c r="Q45">
        <v>14</v>
      </c>
      <c r="R45">
        <v>0</v>
      </c>
      <c r="S45">
        <v>0</v>
      </c>
      <c r="T45">
        <v>10</v>
      </c>
      <c r="U45">
        <v>0</v>
      </c>
      <c r="V45">
        <v>20</v>
      </c>
      <c r="W45">
        <v>10</v>
      </c>
      <c r="X45">
        <v>20</v>
      </c>
      <c r="Y45">
        <v>20</v>
      </c>
      <c r="Z45">
        <v>0</v>
      </c>
      <c r="AA45">
        <v>0</v>
      </c>
      <c r="AB45">
        <v>12</v>
      </c>
      <c r="AC45">
        <v>30</v>
      </c>
      <c r="AD45">
        <v>3</v>
      </c>
    </row>
    <row r="46" spans="1:30" x14ac:dyDescent="0.3">
      <c r="A46" t="s">
        <v>1042</v>
      </c>
      <c r="B46" t="s">
        <v>489</v>
      </c>
      <c r="C46" t="s">
        <v>1331</v>
      </c>
      <c r="D46">
        <v>22</v>
      </c>
      <c r="E46" t="s">
        <v>1420</v>
      </c>
      <c r="F46" t="s">
        <v>1421</v>
      </c>
      <c r="G46" t="s">
        <v>164</v>
      </c>
      <c r="H46" t="s">
        <v>1275</v>
      </c>
      <c r="I46" t="b">
        <v>0</v>
      </c>
      <c r="J46">
        <v>37</v>
      </c>
      <c r="K46">
        <v>0</v>
      </c>
      <c r="L46">
        <v>0</v>
      </c>
      <c r="M46">
        <v>6</v>
      </c>
      <c r="N46">
        <v>0</v>
      </c>
      <c r="O46">
        <v>2</v>
      </c>
      <c r="P46">
        <v>10</v>
      </c>
      <c r="Q46">
        <v>14</v>
      </c>
      <c r="R46">
        <v>0</v>
      </c>
      <c r="S46">
        <v>0</v>
      </c>
      <c r="T46">
        <v>10</v>
      </c>
      <c r="U46">
        <v>0</v>
      </c>
      <c r="V46">
        <v>20</v>
      </c>
      <c r="W46">
        <v>10</v>
      </c>
      <c r="X46">
        <v>20</v>
      </c>
      <c r="Y46">
        <v>20</v>
      </c>
      <c r="Z46">
        <v>0</v>
      </c>
      <c r="AA46">
        <v>0</v>
      </c>
      <c r="AB46">
        <v>12</v>
      </c>
      <c r="AC46">
        <v>30</v>
      </c>
      <c r="AD46">
        <v>3</v>
      </c>
    </row>
    <row r="47" spans="1:30" x14ac:dyDescent="0.3">
      <c r="A47" t="s">
        <v>1042</v>
      </c>
      <c r="B47" t="s">
        <v>489</v>
      </c>
      <c r="C47" t="s">
        <v>1332</v>
      </c>
      <c r="D47">
        <v>23</v>
      </c>
      <c r="E47" t="s">
        <v>1420</v>
      </c>
      <c r="F47" t="s">
        <v>1425</v>
      </c>
      <c r="G47" t="s">
        <v>105</v>
      </c>
      <c r="H47" t="s">
        <v>1282</v>
      </c>
      <c r="I47" t="b">
        <v>1</v>
      </c>
      <c r="J47">
        <v>52</v>
      </c>
      <c r="K47">
        <v>1</v>
      </c>
      <c r="L47">
        <v>0</v>
      </c>
      <c r="M47">
        <v>0</v>
      </c>
      <c r="N47">
        <v>0</v>
      </c>
      <c r="O47">
        <v>5</v>
      </c>
      <c r="P47">
        <v>25</v>
      </c>
      <c r="Q47">
        <v>29</v>
      </c>
      <c r="R47">
        <v>3</v>
      </c>
      <c r="S47">
        <v>1</v>
      </c>
      <c r="T47">
        <v>7</v>
      </c>
      <c r="U47">
        <v>5</v>
      </c>
      <c r="V47">
        <v>14</v>
      </c>
      <c r="W47">
        <v>8</v>
      </c>
      <c r="X47">
        <v>19</v>
      </c>
      <c r="Y47">
        <v>22</v>
      </c>
      <c r="Z47">
        <v>0</v>
      </c>
      <c r="AA47">
        <v>0</v>
      </c>
      <c r="AB47">
        <v>16</v>
      </c>
      <c r="AC47">
        <v>47</v>
      </c>
      <c r="AD47">
        <v>1</v>
      </c>
    </row>
    <row r="48" spans="1:30" x14ac:dyDescent="0.3">
      <c r="A48" t="s">
        <v>1042</v>
      </c>
      <c r="B48" t="s">
        <v>489</v>
      </c>
      <c r="C48" t="s">
        <v>1332</v>
      </c>
      <c r="D48">
        <v>23</v>
      </c>
      <c r="E48" t="s">
        <v>1420</v>
      </c>
      <c r="F48" t="s">
        <v>1423</v>
      </c>
      <c r="G48" t="s">
        <v>1409</v>
      </c>
      <c r="H48" t="s">
        <v>366</v>
      </c>
      <c r="I48" t="b">
        <v>1</v>
      </c>
      <c r="J48">
        <v>52</v>
      </c>
      <c r="K48">
        <v>1</v>
      </c>
      <c r="L48">
        <v>0</v>
      </c>
      <c r="M48">
        <v>0</v>
      </c>
      <c r="N48">
        <v>0</v>
      </c>
      <c r="O48">
        <v>5</v>
      </c>
      <c r="P48">
        <v>25</v>
      </c>
      <c r="Q48">
        <v>29</v>
      </c>
      <c r="R48">
        <v>3</v>
      </c>
      <c r="S48">
        <v>1</v>
      </c>
      <c r="T48">
        <v>7</v>
      </c>
      <c r="U48">
        <v>5</v>
      </c>
      <c r="V48">
        <v>14</v>
      </c>
      <c r="W48">
        <v>8</v>
      </c>
      <c r="X48">
        <v>19</v>
      </c>
      <c r="Y48">
        <v>22</v>
      </c>
      <c r="Z48">
        <v>0</v>
      </c>
      <c r="AA48">
        <v>0</v>
      </c>
      <c r="AB48">
        <v>16</v>
      </c>
      <c r="AC48">
        <v>47</v>
      </c>
      <c r="AD48">
        <v>1</v>
      </c>
    </row>
    <row r="49" spans="1:30" x14ac:dyDescent="0.3">
      <c r="A49" t="s">
        <v>1042</v>
      </c>
      <c r="B49" t="s">
        <v>489</v>
      </c>
      <c r="C49" t="s">
        <v>1332</v>
      </c>
      <c r="D49">
        <v>23</v>
      </c>
      <c r="E49" t="s">
        <v>1420</v>
      </c>
      <c r="F49" t="s">
        <v>1421</v>
      </c>
      <c r="G49" t="s">
        <v>164</v>
      </c>
      <c r="H49" t="s">
        <v>361</v>
      </c>
      <c r="I49" t="b">
        <v>1</v>
      </c>
      <c r="J49">
        <v>52</v>
      </c>
      <c r="K49">
        <v>1</v>
      </c>
      <c r="L49">
        <v>0</v>
      </c>
      <c r="M49">
        <v>0</v>
      </c>
      <c r="N49">
        <v>0</v>
      </c>
      <c r="O49">
        <v>5</v>
      </c>
      <c r="P49">
        <v>25</v>
      </c>
      <c r="Q49">
        <v>29</v>
      </c>
      <c r="R49">
        <v>3</v>
      </c>
      <c r="S49">
        <v>1</v>
      </c>
      <c r="T49">
        <v>7</v>
      </c>
      <c r="U49">
        <v>5</v>
      </c>
      <c r="V49">
        <v>14</v>
      </c>
      <c r="W49">
        <v>8</v>
      </c>
      <c r="X49">
        <v>19</v>
      </c>
      <c r="Y49">
        <v>22</v>
      </c>
      <c r="Z49">
        <v>0</v>
      </c>
      <c r="AA49">
        <v>0</v>
      </c>
      <c r="AB49">
        <v>16</v>
      </c>
      <c r="AC49">
        <v>47</v>
      </c>
      <c r="AD49">
        <v>1</v>
      </c>
    </row>
    <row r="50" spans="1:30" x14ac:dyDescent="0.3">
      <c r="A50" t="s">
        <v>1042</v>
      </c>
      <c r="B50" t="s">
        <v>489</v>
      </c>
      <c r="C50" t="s">
        <v>1333</v>
      </c>
      <c r="D50">
        <v>24</v>
      </c>
      <c r="E50" t="s">
        <v>1420</v>
      </c>
      <c r="F50" t="s">
        <v>1425</v>
      </c>
      <c r="G50" t="s">
        <v>105</v>
      </c>
      <c r="H50" t="s">
        <v>1306</v>
      </c>
      <c r="I50" t="b">
        <v>1</v>
      </c>
      <c r="J50">
        <v>28</v>
      </c>
      <c r="K50">
        <v>0</v>
      </c>
      <c r="L50">
        <v>0</v>
      </c>
      <c r="M50">
        <v>5</v>
      </c>
      <c r="N50">
        <v>0</v>
      </c>
      <c r="O50">
        <v>1</v>
      </c>
      <c r="P50">
        <v>5</v>
      </c>
      <c r="Q50">
        <v>5</v>
      </c>
      <c r="R50">
        <v>2</v>
      </c>
      <c r="S50">
        <v>0</v>
      </c>
      <c r="T50">
        <v>4</v>
      </c>
      <c r="U50">
        <v>0</v>
      </c>
      <c r="V50">
        <v>8</v>
      </c>
      <c r="W50">
        <v>4</v>
      </c>
      <c r="X50">
        <v>8</v>
      </c>
      <c r="Y50">
        <v>10</v>
      </c>
      <c r="Z50">
        <v>0</v>
      </c>
      <c r="AA50">
        <v>0</v>
      </c>
      <c r="AB50">
        <v>7</v>
      </c>
      <c r="AC50">
        <v>15</v>
      </c>
      <c r="AD50">
        <v>4</v>
      </c>
    </row>
    <row r="51" spans="1:30" x14ac:dyDescent="0.3">
      <c r="A51" t="s">
        <v>1042</v>
      </c>
      <c r="B51" t="s">
        <v>489</v>
      </c>
      <c r="C51" t="s">
        <v>1333</v>
      </c>
      <c r="D51">
        <v>24</v>
      </c>
      <c r="E51" t="s">
        <v>1420</v>
      </c>
      <c r="F51" t="s">
        <v>1423</v>
      </c>
      <c r="G51" t="s">
        <v>1409</v>
      </c>
      <c r="H51" t="s">
        <v>369</v>
      </c>
      <c r="I51" t="b">
        <v>1</v>
      </c>
      <c r="J51">
        <v>28</v>
      </c>
      <c r="K51">
        <v>0</v>
      </c>
      <c r="L51">
        <v>0</v>
      </c>
      <c r="M51">
        <v>5</v>
      </c>
      <c r="N51">
        <v>0</v>
      </c>
      <c r="O51">
        <v>1</v>
      </c>
      <c r="P51">
        <v>5</v>
      </c>
      <c r="Q51">
        <v>5</v>
      </c>
      <c r="R51">
        <v>2</v>
      </c>
      <c r="S51">
        <v>0</v>
      </c>
      <c r="T51">
        <v>4</v>
      </c>
      <c r="U51">
        <v>0</v>
      </c>
      <c r="V51">
        <v>8</v>
      </c>
      <c r="W51">
        <v>4</v>
      </c>
      <c r="X51">
        <v>8</v>
      </c>
      <c r="Y51">
        <v>10</v>
      </c>
      <c r="Z51">
        <v>0</v>
      </c>
      <c r="AA51">
        <v>0</v>
      </c>
      <c r="AB51">
        <v>7</v>
      </c>
      <c r="AC51">
        <v>15</v>
      </c>
      <c r="AD51">
        <v>4</v>
      </c>
    </row>
    <row r="52" spans="1:30" x14ac:dyDescent="0.3">
      <c r="A52" t="s">
        <v>1042</v>
      </c>
      <c r="B52" t="s">
        <v>489</v>
      </c>
      <c r="C52" t="s">
        <v>1333</v>
      </c>
      <c r="D52">
        <v>24</v>
      </c>
      <c r="E52" t="s">
        <v>1420</v>
      </c>
      <c r="F52" t="s">
        <v>1421</v>
      </c>
      <c r="G52" t="s">
        <v>164</v>
      </c>
      <c r="H52" t="s">
        <v>1289</v>
      </c>
      <c r="I52" t="b">
        <v>1</v>
      </c>
      <c r="J52">
        <v>28</v>
      </c>
      <c r="K52">
        <v>0</v>
      </c>
      <c r="L52">
        <v>0</v>
      </c>
      <c r="M52">
        <v>5</v>
      </c>
      <c r="N52">
        <v>0</v>
      </c>
      <c r="O52">
        <v>1</v>
      </c>
      <c r="P52">
        <v>5</v>
      </c>
      <c r="Q52">
        <v>5</v>
      </c>
      <c r="R52">
        <v>2</v>
      </c>
      <c r="S52">
        <v>0</v>
      </c>
      <c r="T52">
        <v>4</v>
      </c>
      <c r="U52">
        <v>0</v>
      </c>
      <c r="V52">
        <v>8</v>
      </c>
      <c r="W52">
        <v>4</v>
      </c>
      <c r="X52">
        <v>8</v>
      </c>
      <c r="Y52">
        <v>10</v>
      </c>
      <c r="Z52">
        <v>0</v>
      </c>
      <c r="AA52">
        <v>0</v>
      </c>
      <c r="AB52">
        <v>7</v>
      </c>
      <c r="AC52">
        <v>15</v>
      </c>
      <c r="AD52">
        <v>4</v>
      </c>
    </row>
    <row r="53" spans="1:30" x14ac:dyDescent="0.3">
      <c r="A53" t="s">
        <v>1042</v>
      </c>
      <c r="B53" t="s">
        <v>489</v>
      </c>
      <c r="C53" t="s">
        <v>1334</v>
      </c>
      <c r="D53">
        <v>25</v>
      </c>
      <c r="E53" t="s">
        <v>1420</v>
      </c>
      <c r="F53" t="s">
        <v>1425</v>
      </c>
      <c r="G53" t="s">
        <v>105</v>
      </c>
      <c r="H53" t="s">
        <v>1295</v>
      </c>
      <c r="I53" t="b">
        <v>1</v>
      </c>
      <c r="J53">
        <v>45</v>
      </c>
      <c r="K53">
        <v>0</v>
      </c>
      <c r="L53">
        <v>0</v>
      </c>
      <c r="M53">
        <v>10</v>
      </c>
      <c r="N53">
        <v>0</v>
      </c>
      <c r="O53">
        <v>1</v>
      </c>
      <c r="P53">
        <v>5</v>
      </c>
      <c r="Q53">
        <v>11</v>
      </c>
      <c r="R53">
        <v>3</v>
      </c>
      <c r="S53">
        <v>1</v>
      </c>
      <c r="T53">
        <v>7</v>
      </c>
      <c r="U53">
        <v>5</v>
      </c>
      <c r="V53">
        <v>14</v>
      </c>
      <c r="W53">
        <v>8</v>
      </c>
      <c r="X53">
        <v>19</v>
      </c>
      <c r="Y53">
        <v>22</v>
      </c>
      <c r="Z53">
        <v>0</v>
      </c>
      <c r="AA53">
        <v>0</v>
      </c>
      <c r="AB53">
        <v>12</v>
      </c>
      <c r="AC53">
        <v>27</v>
      </c>
      <c r="AD53">
        <v>5</v>
      </c>
    </row>
    <row r="54" spans="1:30" x14ac:dyDescent="0.3">
      <c r="A54" t="s">
        <v>1042</v>
      </c>
      <c r="B54" t="s">
        <v>489</v>
      </c>
      <c r="C54" t="s">
        <v>1334</v>
      </c>
      <c r="D54">
        <v>25</v>
      </c>
      <c r="E54" t="s">
        <v>1420</v>
      </c>
      <c r="F54" t="s">
        <v>1423</v>
      </c>
      <c r="G54" t="s">
        <v>1409</v>
      </c>
      <c r="H54" t="s">
        <v>1278</v>
      </c>
      <c r="I54" t="b">
        <v>1</v>
      </c>
      <c r="J54">
        <v>45</v>
      </c>
      <c r="K54">
        <v>0</v>
      </c>
      <c r="L54">
        <v>0</v>
      </c>
      <c r="M54">
        <v>10</v>
      </c>
      <c r="N54">
        <v>0</v>
      </c>
      <c r="O54">
        <v>1</v>
      </c>
      <c r="P54">
        <v>5</v>
      </c>
      <c r="Q54">
        <v>11</v>
      </c>
      <c r="R54">
        <v>3</v>
      </c>
      <c r="S54">
        <v>1</v>
      </c>
      <c r="T54">
        <v>7</v>
      </c>
      <c r="U54">
        <v>5</v>
      </c>
      <c r="V54">
        <v>14</v>
      </c>
      <c r="W54">
        <v>8</v>
      </c>
      <c r="X54">
        <v>19</v>
      </c>
      <c r="Y54">
        <v>22</v>
      </c>
      <c r="Z54">
        <v>0</v>
      </c>
      <c r="AA54">
        <v>0</v>
      </c>
      <c r="AB54">
        <v>12</v>
      </c>
      <c r="AC54">
        <v>27</v>
      </c>
      <c r="AD54">
        <v>5</v>
      </c>
    </row>
    <row r="55" spans="1:30" x14ac:dyDescent="0.3">
      <c r="A55" t="s">
        <v>1042</v>
      </c>
      <c r="B55" t="s">
        <v>489</v>
      </c>
      <c r="C55" t="s">
        <v>1334</v>
      </c>
      <c r="D55">
        <v>25</v>
      </c>
      <c r="E55" t="s">
        <v>1420</v>
      </c>
      <c r="F55" t="s">
        <v>1421</v>
      </c>
      <c r="G55" t="s">
        <v>164</v>
      </c>
      <c r="H55" t="s">
        <v>1285</v>
      </c>
      <c r="I55" t="b">
        <v>1</v>
      </c>
      <c r="J55">
        <v>45</v>
      </c>
      <c r="K55">
        <v>0</v>
      </c>
      <c r="L55">
        <v>0</v>
      </c>
      <c r="M55">
        <v>10</v>
      </c>
      <c r="N55">
        <v>0</v>
      </c>
      <c r="O55">
        <v>1</v>
      </c>
      <c r="P55">
        <v>5</v>
      </c>
      <c r="Q55">
        <v>11</v>
      </c>
      <c r="R55">
        <v>3</v>
      </c>
      <c r="S55">
        <v>1</v>
      </c>
      <c r="T55">
        <v>7</v>
      </c>
      <c r="U55">
        <v>5</v>
      </c>
      <c r="V55">
        <v>14</v>
      </c>
      <c r="W55">
        <v>8</v>
      </c>
      <c r="X55">
        <v>19</v>
      </c>
      <c r="Y55">
        <v>22</v>
      </c>
      <c r="Z55">
        <v>0</v>
      </c>
      <c r="AA55">
        <v>0</v>
      </c>
      <c r="AB55">
        <v>12</v>
      </c>
      <c r="AC55">
        <v>27</v>
      </c>
      <c r="AD55">
        <v>5</v>
      </c>
    </row>
    <row r="56" spans="1:30" x14ac:dyDescent="0.3">
      <c r="A56" t="s">
        <v>1042</v>
      </c>
      <c r="B56" t="s">
        <v>489</v>
      </c>
      <c r="C56" t="s">
        <v>1335</v>
      </c>
      <c r="D56">
        <v>26</v>
      </c>
      <c r="E56" t="s">
        <v>1420</v>
      </c>
      <c r="F56" t="s">
        <v>1425</v>
      </c>
      <c r="G56" t="s">
        <v>105</v>
      </c>
      <c r="H56" t="s">
        <v>1284</v>
      </c>
      <c r="I56" t="b">
        <v>0</v>
      </c>
      <c r="J56">
        <v>37</v>
      </c>
      <c r="K56">
        <v>0</v>
      </c>
      <c r="L56">
        <v>0</v>
      </c>
      <c r="M56">
        <v>4</v>
      </c>
      <c r="N56">
        <v>0</v>
      </c>
      <c r="O56">
        <v>4</v>
      </c>
      <c r="P56">
        <v>20</v>
      </c>
      <c r="Q56">
        <v>26</v>
      </c>
      <c r="R56">
        <v>0</v>
      </c>
      <c r="S56">
        <v>0</v>
      </c>
      <c r="T56">
        <v>4</v>
      </c>
      <c r="U56">
        <v>0</v>
      </c>
      <c r="V56">
        <v>8</v>
      </c>
      <c r="W56">
        <v>4</v>
      </c>
      <c r="X56">
        <v>8</v>
      </c>
      <c r="Y56">
        <v>8</v>
      </c>
      <c r="Z56">
        <v>0</v>
      </c>
      <c r="AA56">
        <v>0</v>
      </c>
      <c r="AB56">
        <v>8</v>
      </c>
      <c r="AC56">
        <v>28</v>
      </c>
      <c r="AD56">
        <v>3</v>
      </c>
    </row>
    <row r="57" spans="1:30" x14ac:dyDescent="0.3">
      <c r="A57" t="s">
        <v>1042</v>
      </c>
      <c r="B57" t="s">
        <v>489</v>
      </c>
      <c r="C57" t="s">
        <v>1335</v>
      </c>
      <c r="D57">
        <v>26</v>
      </c>
      <c r="E57" t="s">
        <v>1420</v>
      </c>
      <c r="F57" t="s">
        <v>1423</v>
      </c>
      <c r="G57" t="s">
        <v>1409</v>
      </c>
      <c r="H57" t="s">
        <v>372</v>
      </c>
      <c r="I57" t="b">
        <v>0</v>
      </c>
      <c r="J57">
        <v>37</v>
      </c>
      <c r="K57">
        <v>0</v>
      </c>
      <c r="L57">
        <v>0</v>
      </c>
      <c r="M57">
        <v>4</v>
      </c>
      <c r="N57">
        <v>0</v>
      </c>
      <c r="O57">
        <v>4</v>
      </c>
      <c r="P57">
        <v>20</v>
      </c>
      <c r="Q57">
        <v>26</v>
      </c>
      <c r="R57">
        <v>0</v>
      </c>
      <c r="S57">
        <v>0</v>
      </c>
      <c r="T57">
        <v>4</v>
      </c>
      <c r="U57">
        <v>0</v>
      </c>
      <c r="V57">
        <v>8</v>
      </c>
      <c r="W57">
        <v>4</v>
      </c>
      <c r="X57">
        <v>8</v>
      </c>
      <c r="Y57">
        <v>8</v>
      </c>
      <c r="Z57">
        <v>0</v>
      </c>
      <c r="AA57">
        <v>0</v>
      </c>
      <c r="AB57">
        <v>8</v>
      </c>
      <c r="AC57">
        <v>28</v>
      </c>
      <c r="AD57">
        <v>3</v>
      </c>
    </row>
    <row r="58" spans="1:30" x14ac:dyDescent="0.3">
      <c r="A58" t="s">
        <v>1042</v>
      </c>
      <c r="B58" t="s">
        <v>489</v>
      </c>
      <c r="C58" t="s">
        <v>1335</v>
      </c>
      <c r="D58">
        <v>26</v>
      </c>
      <c r="E58" t="s">
        <v>1420</v>
      </c>
      <c r="F58" t="s">
        <v>1421</v>
      </c>
      <c r="G58" t="s">
        <v>164</v>
      </c>
      <c r="H58" t="s">
        <v>1294</v>
      </c>
      <c r="I58" t="b">
        <v>0</v>
      </c>
      <c r="J58">
        <v>37</v>
      </c>
      <c r="K58">
        <v>0</v>
      </c>
      <c r="L58">
        <v>0</v>
      </c>
      <c r="M58">
        <v>4</v>
      </c>
      <c r="N58">
        <v>0</v>
      </c>
      <c r="O58">
        <v>4</v>
      </c>
      <c r="P58">
        <v>20</v>
      </c>
      <c r="Q58">
        <v>26</v>
      </c>
      <c r="R58">
        <v>0</v>
      </c>
      <c r="S58">
        <v>0</v>
      </c>
      <c r="T58">
        <v>4</v>
      </c>
      <c r="U58">
        <v>0</v>
      </c>
      <c r="V58">
        <v>8</v>
      </c>
      <c r="W58">
        <v>4</v>
      </c>
      <c r="X58">
        <v>8</v>
      </c>
      <c r="Y58">
        <v>8</v>
      </c>
      <c r="Z58">
        <v>0</v>
      </c>
      <c r="AA58">
        <v>0</v>
      </c>
      <c r="AB58">
        <v>8</v>
      </c>
      <c r="AC58">
        <v>28</v>
      </c>
      <c r="AD58">
        <v>3</v>
      </c>
    </row>
    <row r="59" spans="1:30" x14ac:dyDescent="0.3">
      <c r="A59" t="s">
        <v>1042</v>
      </c>
      <c r="B59" t="s">
        <v>489</v>
      </c>
      <c r="C59" t="s">
        <v>1336</v>
      </c>
      <c r="D59">
        <v>27</v>
      </c>
      <c r="E59" t="s">
        <v>1420</v>
      </c>
      <c r="F59" t="s">
        <v>1425</v>
      </c>
      <c r="G59" t="s">
        <v>105</v>
      </c>
      <c r="H59" t="s">
        <v>1305</v>
      </c>
      <c r="I59" t="b">
        <v>1</v>
      </c>
      <c r="J59">
        <v>114</v>
      </c>
      <c r="K59">
        <v>1</v>
      </c>
      <c r="L59">
        <v>1</v>
      </c>
      <c r="M59">
        <v>0</v>
      </c>
      <c r="N59">
        <v>0</v>
      </c>
      <c r="O59">
        <v>4</v>
      </c>
      <c r="P59">
        <v>20</v>
      </c>
      <c r="Q59">
        <v>26</v>
      </c>
      <c r="R59">
        <v>5</v>
      </c>
      <c r="S59">
        <v>7</v>
      </c>
      <c r="T59">
        <v>11</v>
      </c>
      <c r="U59">
        <v>35</v>
      </c>
      <c r="V59">
        <v>22</v>
      </c>
      <c r="W59">
        <v>18</v>
      </c>
      <c r="X59">
        <v>57</v>
      </c>
      <c r="Y59">
        <v>62</v>
      </c>
      <c r="Z59">
        <v>0</v>
      </c>
      <c r="AA59">
        <v>0</v>
      </c>
      <c r="AB59">
        <v>27</v>
      </c>
      <c r="AC59">
        <v>82</v>
      </c>
      <c r="AD59">
        <v>8</v>
      </c>
    </row>
    <row r="60" spans="1:30" x14ac:dyDescent="0.3">
      <c r="A60" t="s">
        <v>1042</v>
      </c>
      <c r="B60" t="s">
        <v>489</v>
      </c>
      <c r="C60" t="s">
        <v>1336</v>
      </c>
      <c r="D60">
        <v>27</v>
      </c>
      <c r="E60" t="s">
        <v>1420</v>
      </c>
      <c r="F60" t="s">
        <v>1423</v>
      </c>
      <c r="G60" t="s">
        <v>1409</v>
      </c>
      <c r="H60" t="s">
        <v>367</v>
      </c>
      <c r="I60" t="b">
        <v>1</v>
      </c>
      <c r="J60">
        <v>114</v>
      </c>
      <c r="K60">
        <v>1</v>
      </c>
      <c r="L60">
        <v>1</v>
      </c>
      <c r="M60">
        <v>0</v>
      </c>
      <c r="N60">
        <v>0</v>
      </c>
      <c r="O60">
        <v>4</v>
      </c>
      <c r="P60">
        <v>20</v>
      </c>
      <c r="Q60">
        <v>26</v>
      </c>
      <c r="R60">
        <v>5</v>
      </c>
      <c r="S60">
        <v>7</v>
      </c>
      <c r="T60">
        <v>11</v>
      </c>
      <c r="U60">
        <v>35</v>
      </c>
      <c r="V60">
        <v>22</v>
      </c>
      <c r="W60">
        <v>18</v>
      </c>
      <c r="X60">
        <v>57</v>
      </c>
      <c r="Y60">
        <v>62</v>
      </c>
      <c r="Z60">
        <v>0</v>
      </c>
      <c r="AA60">
        <v>0</v>
      </c>
      <c r="AB60">
        <v>27</v>
      </c>
      <c r="AC60">
        <v>82</v>
      </c>
      <c r="AD60">
        <v>8</v>
      </c>
    </row>
    <row r="61" spans="1:30" x14ac:dyDescent="0.3">
      <c r="A61" t="s">
        <v>1042</v>
      </c>
      <c r="B61" t="s">
        <v>489</v>
      </c>
      <c r="C61" t="s">
        <v>1336</v>
      </c>
      <c r="D61">
        <v>27</v>
      </c>
      <c r="E61" t="s">
        <v>1420</v>
      </c>
      <c r="F61" t="s">
        <v>1421</v>
      </c>
      <c r="G61" t="s">
        <v>164</v>
      </c>
      <c r="H61" t="s">
        <v>1318</v>
      </c>
      <c r="I61" t="b">
        <v>1</v>
      </c>
      <c r="J61">
        <v>114</v>
      </c>
      <c r="K61">
        <v>1</v>
      </c>
      <c r="L61">
        <v>1</v>
      </c>
      <c r="M61">
        <v>0</v>
      </c>
      <c r="N61">
        <v>0</v>
      </c>
      <c r="O61">
        <v>4</v>
      </c>
      <c r="P61">
        <v>20</v>
      </c>
      <c r="Q61">
        <v>26</v>
      </c>
      <c r="R61">
        <v>5</v>
      </c>
      <c r="S61">
        <v>7</v>
      </c>
      <c r="T61">
        <v>11</v>
      </c>
      <c r="U61">
        <v>35</v>
      </c>
      <c r="V61">
        <v>22</v>
      </c>
      <c r="W61">
        <v>18</v>
      </c>
      <c r="X61">
        <v>57</v>
      </c>
      <c r="Y61">
        <v>62</v>
      </c>
      <c r="Z61">
        <v>0</v>
      </c>
      <c r="AA61">
        <v>0</v>
      </c>
      <c r="AB61">
        <v>27</v>
      </c>
      <c r="AC61">
        <v>82</v>
      </c>
      <c r="AD61">
        <v>8</v>
      </c>
    </row>
    <row r="62" spans="1:30" x14ac:dyDescent="0.3">
      <c r="A62" t="s">
        <v>1042</v>
      </c>
      <c r="B62" t="s">
        <v>489</v>
      </c>
      <c r="C62" t="s">
        <v>1337</v>
      </c>
      <c r="D62">
        <v>28</v>
      </c>
      <c r="E62" t="s">
        <v>1420</v>
      </c>
      <c r="F62" t="s">
        <v>1425</v>
      </c>
      <c r="G62" t="s">
        <v>105</v>
      </c>
      <c r="H62" t="s">
        <v>365</v>
      </c>
      <c r="I62" t="b">
        <v>1</v>
      </c>
      <c r="J62">
        <v>96</v>
      </c>
      <c r="K62">
        <v>1</v>
      </c>
      <c r="L62">
        <v>1</v>
      </c>
      <c r="M62">
        <v>2</v>
      </c>
      <c r="N62">
        <v>0</v>
      </c>
      <c r="O62">
        <v>4</v>
      </c>
      <c r="P62">
        <v>20</v>
      </c>
      <c r="Q62">
        <v>22</v>
      </c>
      <c r="R62">
        <v>5</v>
      </c>
      <c r="S62">
        <v>8</v>
      </c>
      <c r="T62">
        <v>3</v>
      </c>
      <c r="U62">
        <v>40</v>
      </c>
      <c r="V62">
        <v>6</v>
      </c>
      <c r="W62">
        <v>11</v>
      </c>
      <c r="X62">
        <v>46</v>
      </c>
      <c r="Y62">
        <v>51</v>
      </c>
      <c r="Z62">
        <v>5</v>
      </c>
      <c r="AA62">
        <v>1</v>
      </c>
      <c r="AB62">
        <v>20</v>
      </c>
      <c r="AC62">
        <v>71</v>
      </c>
      <c r="AD62">
        <v>14</v>
      </c>
    </row>
    <row r="63" spans="1:30" x14ac:dyDescent="0.3">
      <c r="A63" t="s">
        <v>1042</v>
      </c>
      <c r="B63" t="s">
        <v>489</v>
      </c>
      <c r="C63" t="s">
        <v>1337</v>
      </c>
      <c r="D63">
        <v>28</v>
      </c>
      <c r="E63" t="s">
        <v>1420</v>
      </c>
      <c r="F63" t="s">
        <v>1423</v>
      </c>
      <c r="G63" t="s">
        <v>1409</v>
      </c>
      <c r="H63" t="s">
        <v>1317</v>
      </c>
      <c r="I63" t="b">
        <v>1</v>
      </c>
      <c r="J63">
        <v>96</v>
      </c>
      <c r="K63">
        <v>1</v>
      </c>
      <c r="L63">
        <v>1</v>
      </c>
      <c r="M63">
        <v>2</v>
      </c>
      <c r="N63">
        <v>0</v>
      </c>
      <c r="O63">
        <v>4</v>
      </c>
      <c r="P63">
        <v>20</v>
      </c>
      <c r="Q63">
        <v>22</v>
      </c>
      <c r="R63">
        <v>5</v>
      </c>
      <c r="S63">
        <v>8</v>
      </c>
      <c r="T63">
        <v>3</v>
      </c>
      <c r="U63">
        <v>40</v>
      </c>
      <c r="V63">
        <v>6</v>
      </c>
      <c r="W63">
        <v>11</v>
      </c>
      <c r="X63">
        <v>46</v>
      </c>
      <c r="Y63">
        <v>51</v>
      </c>
      <c r="Z63">
        <v>5</v>
      </c>
      <c r="AA63">
        <v>1</v>
      </c>
      <c r="AB63">
        <v>20</v>
      </c>
      <c r="AC63">
        <v>71</v>
      </c>
      <c r="AD63">
        <v>14</v>
      </c>
    </row>
    <row r="64" spans="1:30" x14ac:dyDescent="0.3">
      <c r="A64" t="s">
        <v>1042</v>
      </c>
      <c r="B64" t="s">
        <v>489</v>
      </c>
      <c r="C64" t="s">
        <v>1337</v>
      </c>
      <c r="D64">
        <v>28</v>
      </c>
      <c r="E64" t="s">
        <v>1420</v>
      </c>
      <c r="F64" t="s">
        <v>1421</v>
      </c>
      <c r="G64" t="s">
        <v>164</v>
      </c>
      <c r="H64" t="s">
        <v>360</v>
      </c>
      <c r="I64" t="b">
        <v>1</v>
      </c>
      <c r="J64">
        <v>96</v>
      </c>
      <c r="K64">
        <v>1</v>
      </c>
      <c r="L64">
        <v>1</v>
      </c>
      <c r="M64">
        <v>2</v>
      </c>
      <c r="N64">
        <v>0</v>
      </c>
      <c r="O64">
        <v>4</v>
      </c>
      <c r="P64">
        <v>20</v>
      </c>
      <c r="Q64">
        <v>22</v>
      </c>
      <c r="R64">
        <v>5</v>
      </c>
      <c r="S64">
        <v>8</v>
      </c>
      <c r="T64">
        <v>3</v>
      </c>
      <c r="U64">
        <v>40</v>
      </c>
      <c r="V64">
        <v>6</v>
      </c>
      <c r="W64">
        <v>11</v>
      </c>
      <c r="X64">
        <v>46</v>
      </c>
      <c r="Y64">
        <v>51</v>
      </c>
      <c r="Z64">
        <v>5</v>
      </c>
      <c r="AA64">
        <v>1</v>
      </c>
      <c r="AB64">
        <v>20</v>
      </c>
      <c r="AC64">
        <v>71</v>
      </c>
      <c r="AD64">
        <v>14</v>
      </c>
    </row>
    <row r="65" spans="1:30" x14ac:dyDescent="0.3">
      <c r="A65" t="s">
        <v>1042</v>
      </c>
      <c r="B65" t="s">
        <v>489</v>
      </c>
      <c r="C65" t="s">
        <v>1338</v>
      </c>
      <c r="D65">
        <v>29</v>
      </c>
      <c r="E65" t="s">
        <v>1420</v>
      </c>
      <c r="F65" t="s">
        <v>1425</v>
      </c>
      <c r="G65" t="s">
        <v>105</v>
      </c>
      <c r="H65" t="s">
        <v>364</v>
      </c>
      <c r="I65" t="b">
        <v>1</v>
      </c>
      <c r="J65">
        <v>46</v>
      </c>
      <c r="K65">
        <v>0</v>
      </c>
      <c r="L65">
        <v>0</v>
      </c>
      <c r="M65">
        <v>0</v>
      </c>
      <c r="N65">
        <v>0</v>
      </c>
      <c r="O65">
        <v>2</v>
      </c>
      <c r="P65">
        <v>10</v>
      </c>
      <c r="Q65">
        <v>16</v>
      </c>
      <c r="R65">
        <v>2</v>
      </c>
      <c r="S65">
        <v>0</v>
      </c>
      <c r="T65">
        <v>4</v>
      </c>
      <c r="U65">
        <v>0</v>
      </c>
      <c r="V65">
        <v>8</v>
      </c>
      <c r="W65">
        <v>4</v>
      </c>
      <c r="X65">
        <v>8</v>
      </c>
      <c r="Y65">
        <v>10</v>
      </c>
      <c r="Z65">
        <v>0</v>
      </c>
      <c r="AA65">
        <v>0</v>
      </c>
      <c r="AB65">
        <v>8</v>
      </c>
      <c r="AC65">
        <v>20</v>
      </c>
      <c r="AD65">
        <v>5</v>
      </c>
    </row>
    <row r="66" spans="1:30" x14ac:dyDescent="0.3">
      <c r="A66" t="s">
        <v>1042</v>
      </c>
      <c r="B66" t="s">
        <v>489</v>
      </c>
      <c r="C66" t="s">
        <v>1338</v>
      </c>
      <c r="D66">
        <v>29</v>
      </c>
      <c r="E66" t="s">
        <v>1420</v>
      </c>
      <c r="F66" t="s">
        <v>1423</v>
      </c>
      <c r="G66" t="s">
        <v>1409</v>
      </c>
      <c r="H66" t="s">
        <v>318</v>
      </c>
      <c r="I66" t="b">
        <v>1</v>
      </c>
      <c r="J66">
        <v>46</v>
      </c>
      <c r="K66">
        <v>0</v>
      </c>
      <c r="L66">
        <v>0</v>
      </c>
      <c r="M66">
        <v>0</v>
      </c>
      <c r="N66">
        <v>0</v>
      </c>
      <c r="O66">
        <v>2</v>
      </c>
      <c r="P66">
        <v>10</v>
      </c>
      <c r="Q66">
        <v>16</v>
      </c>
      <c r="R66">
        <v>2</v>
      </c>
      <c r="S66">
        <v>0</v>
      </c>
      <c r="T66">
        <v>4</v>
      </c>
      <c r="U66">
        <v>0</v>
      </c>
      <c r="V66">
        <v>8</v>
      </c>
      <c r="W66">
        <v>4</v>
      </c>
      <c r="X66">
        <v>8</v>
      </c>
      <c r="Y66">
        <v>10</v>
      </c>
      <c r="Z66">
        <v>0</v>
      </c>
      <c r="AA66">
        <v>0</v>
      </c>
      <c r="AB66">
        <v>8</v>
      </c>
      <c r="AC66">
        <v>20</v>
      </c>
      <c r="AD66">
        <v>5</v>
      </c>
    </row>
    <row r="67" spans="1:30" x14ac:dyDescent="0.3">
      <c r="A67" t="s">
        <v>1042</v>
      </c>
      <c r="B67" t="s">
        <v>489</v>
      </c>
      <c r="C67" t="s">
        <v>1338</v>
      </c>
      <c r="D67">
        <v>29</v>
      </c>
      <c r="E67" t="s">
        <v>1420</v>
      </c>
      <c r="F67" t="s">
        <v>1421</v>
      </c>
      <c r="G67" t="s">
        <v>164</v>
      </c>
      <c r="H67" t="s">
        <v>1280</v>
      </c>
      <c r="I67" t="b">
        <v>1</v>
      </c>
      <c r="J67">
        <v>46</v>
      </c>
      <c r="K67">
        <v>0</v>
      </c>
      <c r="L67">
        <v>0</v>
      </c>
      <c r="M67">
        <v>0</v>
      </c>
      <c r="N67">
        <v>0</v>
      </c>
      <c r="O67">
        <v>2</v>
      </c>
      <c r="P67">
        <v>10</v>
      </c>
      <c r="Q67">
        <v>16</v>
      </c>
      <c r="R67">
        <v>2</v>
      </c>
      <c r="S67">
        <v>0</v>
      </c>
      <c r="T67">
        <v>4</v>
      </c>
      <c r="U67">
        <v>0</v>
      </c>
      <c r="V67">
        <v>8</v>
      </c>
      <c r="W67">
        <v>4</v>
      </c>
      <c r="X67">
        <v>8</v>
      </c>
      <c r="Y67">
        <v>10</v>
      </c>
      <c r="Z67">
        <v>0</v>
      </c>
      <c r="AA67">
        <v>0</v>
      </c>
      <c r="AB67">
        <v>8</v>
      </c>
      <c r="AC67">
        <v>20</v>
      </c>
      <c r="AD67">
        <v>5</v>
      </c>
    </row>
    <row r="68" spans="1:30" x14ac:dyDescent="0.3">
      <c r="A68" t="s">
        <v>1042</v>
      </c>
      <c r="B68" t="s">
        <v>489</v>
      </c>
      <c r="C68" t="s">
        <v>1287</v>
      </c>
      <c r="D68">
        <v>3</v>
      </c>
      <c r="E68" t="s">
        <v>1420</v>
      </c>
      <c r="F68" t="s">
        <v>1425</v>
      </c>
      <c r="G68" t="s">
        <v>105</v>
      </c>
      <c r="H68" t="s">
        <v>1288</v>
      </c>
      <c r="I68" t="b">
        <v>0</v>
      </c>
      <c r="J68">
        <v>35</v>
      </c>
      <c r="K68">
        <v>0</v>
      </c>
      <c r="L68">
        <v>0</v>
      </c>
      <c r="M68">
        <v>15</v>
      </c>
      <c r="N68">
        <v>0</v>
      </c>
      <c r="O68">
        <v>2</v>
      </c>
      <c r="P68">
        <v>10</v>
      </c>
      <c r="Q68">
        <v>14</v>
      </c>
      <c r="R68">
        <v>0</v>
      </c>
      <c r="S68">
        <v>0</v>
      </c>
      <c r="T68">
        <v>2</v>
      </c>
      <c r="U68">
        <v>0</v>
      </c>
      <c r="V68">
        <v>4</v>
      </c>
      <c r="W68">
        <v>2</v>
      </c>
      <c r="X68">
        <v>4</v>
      </c>
      <c r="Y68">
        <v>4</v>
      </c>
      <c r="Z68">
        <v>0</v>
      </c>
      <c r="AA68">
        <v>0</v>
      </c>
      <c r="AB68">
        <v>4</v>
      </c>
      <c r="AC68">
        <v>14</v>
      </c>
      <c r="AD68">
        <v>7</v>
      </c>
    </row>
    <row r="69" spans="1:30" x14ac:dyDescent="0.3">
      <c r="A69" t="s">
        <v>1042</v>
      </c>
      <c r="B69" t="s">
        <v>489</v>
      </c>
      <c r="C69" t="s">
        <v>1287</v>
      </c>
      <c r="D69">
        <v>3</v>
      </c>
      <c r="E69" t="s">
        <v>1420</v>
      </c>
      <c r="F69" t="s">
        <v>1423</v>
      </c>
      <c r="G69" t="s">
        <v>1409</v>
      </c>
      <c r="H69" t="s">
        <v>1289</v>
      </c>
      <c r="I69" t="b">
        <v>0</v>
      </c>
      <c r="J69">
        <v>35</v>
      </c>
      <c r="K69">
        <v>0</v>
      </c>
      <c r="L69">
        <v>0</v>
      </c>
      <c r="M69">
        <v>15</v>
      </c>
      <c r="N69">
        <v>0</v>
      </c>
      <c r="O69">
        <v>2</v>
      </c>
      <c r="P69">
        <v>10</v>
      </c>
      <c r="Q69">
        <v>14</v>
      </c>
      <c r="R69">
        <v>0</v>
      </c>
      <c r="S69">
        <v>0</v>
      </c>
      <c r="T69">
        <v>2</v>
      </c>
      <c r="U69">
        <v>0</v>
      </c>
      <c r="V69">
        <v>4</v>
      </c>
      <c r="W69">
        <v>2</v>
      </c>
      <c r="X69">
        <v>4</v>
      </c>
      <c r="Y69">
        <v>4</v>
      </c>
      <c r="Z69">
        <v>0</v>
      </c>
      <c r="AA69">
        <v>0</v>
      </c>
      <c r="AB69">
        <v>4</v>
      </c>
      <c r="AC69">
        <v>14</v>
      </c>
      <c r="AD69">
        <v>7</v>
      </c>
    </row>
    <row r="70" spans="1:30" x14ac:dyDescent="0.3">
      <c r="A70" t="s">
        <v>1042</v>
      </c>
      <c r="B70" t="s">
        <v>489</v>
      </c>
      <c r="C70" t="s">
        <v>1287</v>
      </c>
      <c r="D70">
        <v>3</v>
      </c>
      <c r="E70" t="s">
        <v>1420</v>
      </c>
      <c r="F70" t="s">
        <v>1421</v>
      </c>
      <c r="G70" t="s">
        <v>164</v>
      </c>
      <c r="H70" t="s">
        <v>1290</v>
      </c>
      <c r="I70" t="b">
        <v>0</v>
      </c>
      <c r="J70">
        <v>35</v>
      </c>
      <c r="K70">
        <v>0</v>
      </c>
      <c r="L70">
        <v>0</v>
      </c>
      <c r="M70">
        <v>15</v>
      </c>
      <c r="N70">
        <v>0</v>
      </c>
      <c r="O70">
        <v>2</v>
      </c>
      <c r="P70">
        <v>10</v>
      </c>
      <c r="Q70">
        <v>14</v>
      </c>
      <c r="R70">
        <v>0</v>
      </c>
      <c r="S70">
        <v>0</v>
      </c>
      <c r="T70">
        <v>2</v>
      </c>
      <c r="U70">
        <v>0</v>
      </c>
      <c r="V70">
        <v>4</v>
      </c>
      <c r="W70">
        <v>2</v>
      </c>
      <c r="X70">
        <v>4</v>
      </c>
      <c r="Y70">
        <v>4</v>
      </c>
      <c r="Z70">
        <v>0</v>
      </c>
      <c r="AA70">
        <v>0</v>
      </c>
      <c r="AB70">
        <v>4</v>
      </c>
      <c r="AC70">
        <v>14</v>
      </c>
      <c r="AD70">
        <v>7</v>
      </c>
    </row>
    <row r="71" spans="1:30" x14ac:dyDescent="0.3">
      <c r="A71" t="s">
        <v>1042</v>
      </c>
      <c r="B71" t="s">
        <v>489</v>
      </c>
      <c r="C71" t="s">
        <v>1339</v>
      </c>
      <c r="D71">
        <v>30</v>
      </c>
      <c r="E71" t="s">
        <v>1420</v>
      </c>
      <c r="F71" t="s">
        <v>1425</v>
      </c>
      <c r="G71" t="s">
        <v>105</v>
      </c>
      <c r="H71" t="s">
        <v>1309</v>
      </c>
      <c r="I71" t="b">
        <v>0</v>
      </c>
      <c r="J71">
        <v>64</v>
      </c>
      <c r="K71">
        <v>0</v>
      </c>
      <c r="L71">
        <v>0</v>
      </c>
      <c r="M71">
        <v>15</v>
      </c>
      <c r="N71">
        <v>0</v>
      </c>
      <c r="O71">
        <v>5</v>
      </c>
      <c r="P71">
        <v>25</v>
      </c>
      <c r="Q71">
        <v>27</v>
      </c>
      <c r="R71">
        <v>4</v>
      </c>
      <c r="S71">
        <v>2</v>
      </c>
      <c r="T71">
        <v>3</v>
      </c>
      <c r="U71">
        <v>10</v>
      </c>
      <c r="V71">
        <v>6</v>
      </c>
      <c r="W71">
        <v>5</v>
      </c>
      <c r="X71">
        <v>16</v>
      </c>
      <c r="Y71">
        <v>20</v>
      </c>
      <c r="Z71">
        <v>0</v>
      </c>
      <c r="AA71">
        <v>0</v>
      </c>
      <c r="AB71">
        <v>14</v>
      </c>
      <c r="AC71">
        <v>45</v>
      </c>
      <c r="AD71">
        <v>1</v>
      </c>
    </row>
    <row r="72" spans="1:30" x14ac:dyDescent="0.3">
      <c r="A72" t="s">
        <v>1042</v>
      </c>
      <c r="B72" t="s">
        <v>489</v>
      </c>
      <c r="C72" t="s">
        <v>1339</v>
      </c>
      <c r="D72">
        <v>30</v>
      </c>
      <c r="E72" t="s">
        <v>1420</v>
      </c>
      <c r="F72" t="s">
        <v>1423</v>
      </c>
      <c r="G72" t="s">
        <v>1409</v>
      </c>
      <c r="H72" t="s">
        <v>1291</v>
      </c>
      <c r="I72" t="b">
        <v>0</v>
      </c>
      <c r="J72">
        <v>64</v>
      </c>
      <c r="K72">
        <v>0</v>
      </c>
      <c r="L72">
        <v>0</v>
      </c>
      <c r="M72">
        <v>15</v>
      </c>
      <c r="N72">
        <v>0</v>
      </c>
      <c r="O72">
        <v>5</v>
      </c>
      <c r="P72">
        <v>25</v>
      </c>
      <c r="Q72">
        <v>27</v>
      </c>
      <c r="R72">
        <v>4</v>
      </c>
      <c r="S72">
        <v>2</v>
      </c>
      <c r="T72">
        <v>3</v>
      </c>
      <c r="U72">
        <v>10</v>
      </c>
      <c r="V72">
        <v>6</v>
      </c>
      <c r="W72">
        <v>5</v>
      </c>
      <c r="X72">
        <v>16</v>
      </c>
      <c r="Y72">
        <v>20</v>
      </c>
      <c r="Z72">
        <v>0</v>
      </c>
      <c r="AA72">
        <v>0</v>
      </c>
      <c r="AB72">
        <v>14</v>
      </c>
      <c r="AC72">
        <v>45</v>
      </c>
      <c r="AD72">
        <v>1</v>
      </c>
    </row>
    <row r="73" spans="1:30" x14ac:dyDescent="0.3">
      <c r="A73" t="s">
        <v>1042</v>
      </c>
      <c r="B73" t="s">
        <v>489</v>
      </c>
      <c r="C73" t="s">
        <v>1339</v>
      </c>
      <c r="D73">
        <v>30</v>
      </c>
      <c r="E73" t="s">
        <v>1420</v>
      </c>
      <c r="F73" t="s">
        <v>1421</v>
      </c>
      <c r="G73" t="s">
        <v>164</v>
      </c>
      <c r="H73" t="s">
        <v>1315</v>
      </c>
      <c r="I73" t="b">
        <v>0</v>
      </c>
      <c r="J73">
        <v>64</v>
      </c>
      <c r="K73">
        <v>0</v>
      </c>
      <c r="L73">
        <v>0</v>
      </c>
      <c r="M73">
        <v>15</v>
      </c>
      <c r="N73">
        <v>0</v>
      </c>
      <c r="O73">
        <v>5</v>
      </c>
      <c r="P73">
        <v>25</v>
      </c>
      <c r="Q73">
        <v>27</v>
      </c>
      <c r="R73">
        <v>4</v>
      </c>
      <c r="S73">
        <v>2</v>
      </c>
      <c r="T73">
        <v>3</v>
      </c>
      <c r="U73">
        <v>10</v>
      </c>
      <c r="V73">
        <v>6</v>
      </c>
      <c r="W73">
        <v>5</v>
      </c>
      <c r="X73">
        <v>16</v>
      </c>
      <c r="Y73">
        <v>20</v>
      </c>
      <c r="Z73">
        <v>0</v>
      </c>
      <c r="AA73">
        <v>0</v>
      </c>
      <c r="AB73">
        <v>14</v>
      </c>
      <c r="AC73">
        <v>45</v>
      </c>
      <c r="AD73">
        <v>1</v>
      </c>
    </row>
    <row r="74" spans="1:30" x14ac:dyDescent="0.3">
      <c r="A74" t="s">
        <v>1042</v>
      </c>
      <c r="B74" t="s">
        <v>489</v>
      </c>
      <c r="C74" t="s">
        <v>1340</v>
      </c>
      <c r="D74">
        <v>31</v>
      </c>
      <c r="E74" t="s">
        <v>1420</v>
      </c>
      <c r="F74" t="s">
        <v>1425</v>
      </c>
      <c r="G74" t="s">
        <v>105</v>
      </c>
      <c r="H74" t="s">
        <v>361</v>
      </c>
      <c r="I74" t="b">
        <v>1</v>
      </c>
      <c r="J74">
        <v>54</v>
      </c>
      <c r="K74">
        <v>1</v>
      </c>
      <c r="L74">
        <v>0</v>
      </c>
      <c r="M74">
        <v>0</v>
      </c>
      <c r="N74">
        <v>0</v>
      </c>
      <c r="O74">
        <v>1</v>
      </c>
      <c r="P74">
        <v>5</v>
      </c>
      <c r="Q74">
        <v>7</v>
      </c>
      <c r="R74">
        <v>5</v>
      </c>
      <c r="S74">
        <v>5</v>
      </c>
      <c r="T74">
        <v>5</v>
      </c>
      <c r="U74">
        <v>25</v>
      </c>
      <c r="V74">
        <v>10</v>
      </c>
      <c r="W74">
        <v>10</v>
      </c>
      <c r="X74">
        <v>35</v>
      </c>
      <c r="Y74">
        <v>40</v>
      </c>
      <c r="Z74">
        <v>0</v>
      </c>
      <c r="AA74">
        <v>0</v>
      </c>
      <c r="AB74">
        <v>16</v>
      </c>
      <c r="AC74">
        <v>45</v>
      </c>
      <c r="AD74">
        <v>5</v>
      </c>
    </row>
    <row r="75" spans="1:30" x14ac:dyDescent="0.3">
      <c r="A75" t="s">
        <v>1042</v>
      </c>
      <c r="B75" t="s">
        <v>489</v>
      </c>
      <c r="C75" t="s">
        <v>1340</v>
      </c>
      <c r="D75">
        <v>31</v>
      </c>
      <c r="E75" t="s">
        <v>1420</v>
      </c>
      <c r="F75" t="s">
        <v>1423</v>
      </c>
      <c r="G75" t="s">
        <v>1409</v>
      </c>
      <c r="H75" t="s">
        <v>368</v>
      </c>
      <c r="I75" t="b">
        <v>1</v>
      </c>
      <c r="J75">
        <v>54</v>
      </c>
      <c r="K75">
        <v>1</v>
      </c>
      <c r="L75">
        <v>0</v>
      </c>
      <c r="M75">
        <v>0</v>
      </c>
      <c r="N75">
        <v>0</v>
      </c>
      <c r="O75">
        <v>1</v>
      </c>
      <c r="P75">
        <v>5</v>
      </c>
      <c r="Q75">
        <v>7</v>
      </c>
      <c r="R75">
        <v>5</v>
      </c>
      <c r="S75">
        <v>5</v>
      </c>
      <c r="T75">
        <v>5</v>
      </c>
      <c r="U75">
        <v>25</v>
      </c>
      <c r="V75">
        <v>10</v>
      </c>
      <c r="W75">
        <v>10</v>
      </c>
      <c r="X75">
        <v>35</v>
      </c>
      <c r="Y75">
        <v>40</v>
      </c>
      <c r="Z75">
        <v>0</v>
      </c>
      <c r="AA75">
        <v>0</v>
      </c>
      <c r="AB75">
        <v>16</v>
      </c>
      <c r="AC75">
        <v>45</v>
      </c>
      <c r="AD75">
        <v>5</v>
      </c>
    </row>
    <row r="76" spans="1:30" x14ac:dyDescent="0.3">
      <c r="A76" t="s">
        <v>1042</v>
      </c>
      <c r="B76" t="s">
        <v>489</v>
      </c>
      <c r="C76" t="s">
        <v>1340</v>
      </c>
      <c r="D76">
        <v>31</v>
      </c>
      <c r="E76" t="s">
        <v>1420</v>
      </c>
      <c r="F76" t="s">
        <v>1421</v>
      </c>
      <c r="G76" t="s">
        <v>164</v>
      </c>
      <c r="H76" t="s">
        <v>1306</v>
      </c>
      <c r="I76" t="b">
        <v>1</v>
      </c>
      <c r="J76">
        <v>54</v>
      </c>
      <c r="K76">
        <v>1</v>
      </c>
      <c r="L76">
        <v>0</v>
      </c>
      <c r="M76">
        <v>0</v>
      </c>
      <c r="N76">
        <v>0</v>
      </c>
      <c r="O76">
        <v>1</v>
      </c>
      <c r="P76">
        <v>5</v>
      </c>
      <c r="Q76">
        <v>7</v>
      </c>
      <c r="R76">
        <v>5</v>
      </c>
      <c r="S76">
        <v>5</v>
      </c>
      <c r="T76">
        <v>5</v>
      </c>
      <c r="U76">
        <v>25</v>
      </c>
      <c r="V76">
        <v>10</v>
      </c>
      <c r="W76">
        <v>10</v>
      </c>
      <c r="X76">
        <v>35</v>
      </c>
      <c r="Y76">
        <v>40</v>
      </c>
      <c r="Z76">
        <v>0</v>
      </c>
      <c r="AA76">
        <v>0</v>
      </c>
      <c r="AB76">
        <v>16</v>
      </c>
      <c r="AC76">
        <v>45</v>
      </c>
      <c r="AD76">
        <v>5</v>
      </c>
    </row>
    <row r="77" spans="1:30" x14ac:dyDescent="0.3">
      <c r="A77" t="s">
        <v>1042</v>
      </c>
      <c r="B77" t="s">
        <v>489</v>
      </c>
      <c r="C77" t="s">
        <v>1341</v>
      </c>
      <c r="D77">
        <v>32</v>
      </c>
      <c r="E77" t="s">
        <v>1420</v>
      </c>
      <c r="F77" t="s">
        <v>1425</v>
      </c>
      <c r="G77" t="s">
        <v>105</v>
      </c>
      <c r="H77" t="s">
        <v>1295</v>
      </c>
      <c r="I77" t="b">
        <v>1</v>
      </c>
      <c r="J77">
        <v>53</v>
      </c>
      <c r="K77">
        <v>1</v>
      </c>
      <c r="L77">
        <v>0</v>
      </c>
      <c r="M77">
        <v>0</v>
      </c>
      <c r="N77">
        <v>0</v>
      </c>
      <c r="O77">
        <v>1</v>
      </c>
      <c r="P77">
        <v>5</v>
      </c>
      <c r="Q77">
        <v>11</v>
      </c>
      <c r="R77">
        <v>3</v>
      </c>
      <c r="S77">
        <v>3</v>
      </c>
      <c r="T77">
        <v>8</v>
      </c>
      <c r="U77">
        <v>15</v>
      </c>
      <c r="V77">
        <v>16</v>
      </c>
      <c r="W77">
        <v>11</v>
      </c>
      <c r="X77">
        <v>31</v>
      </c>
      <c r="Y77">
        <v>34</v>
      </c>
      <c r="Z77">
        <v>0</v>
      </c>
      <c r="AA77">
        <v>0</v>
      </c>
      <c r="AB77">
        <v>15</v>
      </c>
      <c r="AC77">
        <v>39</v>
      </c>
      <c r="AD77">
        <v>6</v>
      </c>
    </row>
    <row r="78" spans="1:30" x14ac:dyDescent="0.3">
      <c r="A78" t="s">
        <v>1042</v>
      </c>
      <c r="B78" t="s">
        <v>489</v>
      </c>
      <c r="C78" t="s">
        <v>1341</v>
      </c>
      <c r="D78">
        <v>32</v>
      </c>
      <c r="E78" t="s">
        <v>1420</v>
      </c>
      <c r="F78" t="s">
        <v>1423</v>
      </c>
      <c r="G78" t="s">
        <v>1409</v>
      </c>
      <c r="H78" t="s">
        <v>1288</v>
      </c>
      <c r="I78" t="b">
        <v>1</v>
      </c>
      <c r="J78">
        <v>53</v>
      </c>
      <c r="K78">
        <v>1</v>
      </c>
      <c r="L78">
        <v>0</v>
      </c>
      <c r="M78">
        <v>0</v>
      </c>
      <c r="N78">
        <v>0</v>
      </c>
      <c r="O78">
        <v>1</v>
      </c>
      <c r="P78">
        <v>5</v>
      </c>
      <c r="Q78">
        <v>11</v>
      </c>
      <c r="R78">
        <v>3</v>
      </c>
      <c r="S78">
        <v>3</v>
      </c>
      <c r="T78">
        <v>8</v>
      </c>
      <c r="U78">
        <v>15</v>
      </c>
      <c r="V78">
        <v>16</v>
      </c>
      <c r="W78">
        <v>11</v>
      </c>
      <c r="X78">
        <v>31</v>
      </c>
      <c r="Y78">
        <v>34</v>
      </c>
      <c r="Z78">
        <v>0</v>
      </c>
      <c r="AA78">
        <v>0</v>
      </c>
      <c r="AB78">
        <v>15</v>
      </c>
      <c r="AC78">
        <v>39</v>
      </c>
      <c r="AD78">
        <v>6</v>
      </c>
    </row>
    <row r="79" spans="1:30" x14ac:dyDescent="0.3">
      <c r="A79" t="s">
        <v>1042</v>
      </c>
      <c r="B79" t="s">
        <v>489</v>
      </c>
      <c r="C79" t="s">
        <v>1341</v>
      </c>
      <c r="D79">
        <v>32</v>
      </c>
      <c r="E79" t="s">
        <v>1420</v>
      </c>
      <c r="F79" t="s">
        <v>1421</v>
      </c>
      <c r="G79" t="s">
        <v>164</v>
      </c>
      <c r="H79" t="s">
        <v>1302</v>
      </c>
      <c r="I79" t="b">
        <v>1</v>
      </c>
      <c r="J79">
        <v>53</v>
      </c>
      <c r="K79">
        <v>1</v>
      </c>
      <c r="L79">
        <v>0</v>
      </c>
      <c r="M79">
        <v>0</v>
      </c>
      <c r="N79">
        <v>0</v>
      </c>
      <c r="O79">
        <v>1</v>
      </c>
      <c r="P79">
        <v>5</v>
      </c>
      <c r="Q79">
        <v>11</v>
      </c>
      <c r="R79">
        <v>3</v>
      </c>
      <c r="S79">
        <v>3</v>
      </c>
      <c r="T79">
        <v>8</v>
      </c>
      <c r="U79">
        <v>15</v>
      </c>
      <c r="V79">
        <v>16</v>
      </c>
      <c r="W79">
        <v>11</v>
      </c>
      <c r="X79">
        <v>31</v>
      </c>
      <c r="Y79">
        <v>34</v>
      </c>
      <c r="Z79">
        <v>0</v>
      </c>
      <c r="AA79">
        <v>0</v>
      </c>
      <c r="AB79">
        <v>15</v>
      </c>
      <c r="AC79">
        <v>39</v>
      </c>
      <c r="AD79">
        <v>6</v>
      </c>
    </row>
    <row r="80" spans="1:30" x14ac:dyDescent="0.3">
      <c r="A80" t="s">
        <v>1042</v>
      </c>
      <c r="B80" t="s">
        <v>489</v>
      </c>
      <c r="C80" t="s">
        <v>1342</v>
      </c>
      <c r="D80">
        <v>33</v>
      </c>
      <c r="E80" t="s">
        <v>1420</v>
      </c>
      <c r="F80" t="s">
        <v>1425</v>
      </c>
      <c r="G80" t="s">
        <v>105</v>
      </c>
      <c r="H80" t="s">
        <v>373</v>
      </c>
      <c r="I80" t="b">
        <v>1</v>
      </c>
      <c r="J80">
        <v>33</v>
      </c>
      <c r="K80">
        <v>0</v>
      </c>
      <c r="L80">
        <v>0</v>
      </c>
      <c r="M80">
        <v>10</v>
      </c>
      <c r="N80">
        <v>0</v>
      </c>
      <c r="O80">
        <v>2</v>
      </c>
      <c r="P80">
        <v>10</v>
      </c>
      <c r="Q80">
        <v>14</v>
      </c>
      <c r="R80">
        <v>2</v>
      </c>
      <c r="S80">
        <v>0</v>
      </c>
      <c r="T80">
        <v>6</v>
      </c>
      <c r="U80">
        <v>0</v>
      </c>
      <c r="V80">
        <v>12</v>
      </c>
      <c r="W80">
        <v>6</v>
      </c>
      <c r="X80">
        <v>12</v>
      </c>
      <c r="Y80">
        <v>14</v>
      </c>
      <c r="Z80">
        <v>0</v>
      </c>
      <c r="AA80">
        <v>0</v>
      </c>
      <c r="AB80">
        <v>10</v>
      </c>
      <c r="AC80">
        <v>24</v>
      </c>
      <c r="AD80">
        <v>5</v>
      </c>
    </row>
    <row r="81" spans="1:30" x14ac:dyDescent="0.3">
      <c r="A81" t="s">
        <v>1042</v>
      </c>
      <c r="B81" t="s">
        <v>489</v>
      </c>
      <c r="C81" t="s">
        <v>1342</v>
      </c>
      <c r="D81">
        <v>33</v>
      </c>
      <c r="E81" t="s">
        <v>1420</v>
      </c>
      <c r="F81" t="s">
        <v>1423</v>
      </c>
      <c r="G81" t="s">
        <v>1409</v>
      </c>
      <c r="H81" t="s">
        <v>1278</v>
      </c>
      <c r="I81" t="b">
        <v>1</v>
      </c>
      <c r="J81">
        <v>33</v>
      </c>
      <c r="K81">
        <v>0</v>
      </c>
      <c r="L81">
        <v>0</v>
      </c>
      <c r="M81">
        <v>10</v>
      </c>
      <c r="N81">
        <v>0</v>
      </c>
      <c r="O81">
        <v>2</v>
      </c>
      <c r="P81">
        <v>10</v>
      </c>
      <c r="Q81">
        <v>14</v>
      </c>
      <c r="R81">
        <v>2</v>
      </c>
      <c r="S81">
        <v>0</v>
      </c>
      <c r="T81">
        <v>6</v>
      </c>
      <c r="U81">
        <v>0</v>
      </c>
      <c r="V81">
        <v>12</v>
      </c>
      <c r="W81">
        <v>6</v>
      </c>
      <c r="X81">
        <v>12</v>
      </c>
      <c r="Y81">
        <v>14</v>
      </c>
      <c r="Z81">
        <v>0</v>
      </c>
      <c r="AA81">
        <v>0</v>
      </c>
      <c r="AB81">
        <v>10</v>
      </c>
      <c r="AC81">
        <v>24</v>
      </c>
      <c r="AD81">
        <v>5</v>
      </c>
    </row>
    <row r="82" spans="1:30" x14ac:dyDescent="0.3">
      <c r="A82" t="s">
        <v>1042</v>
      </c>
      <c r="B82" t="s">
        <v>489</v>
      </c>
      <c r="C82" t="s">
        <v>1342</v>
      </c>
      <c r="D82">
        <v>33</v>
      </c>
      <c r="E82" t="s">
        <v>1420</v>
      </c>
      <c r="F82" t="s">
        <v>1421</v>
      </c>
      <c r="G82" t="s">
        <v>164</v>
      </c>
      <c r="H82" t="s">
        <v>1310</v>
      </c>
      <c r="I82" t="b">
        <v>1</v>
      </c>
      <c r="J82">
        <v>33</v>
      </c>
      <c r="K82">
        <v>0</v>
      </c>
      <c r="L82">
        <v>0</v>
      </c>
      <c r="M82">
        <v>10</v>
      </c>
      <c r="N82">
        <v>0</v>
      </c>
      <c r="O82">
        <v>2</v>
      </c>
      <c r="P82">
        <v>10</v>
      </c>
      <c r="Q82">
        <v>14</v>
      </c>
      <c r="R82">
        <v>2</v>
      </c>
      <c r="S82">
        <v>0</v>
      </c>
      <c r="T82">
        <v>6</v>
      </c>
      <c r="U82">
        <v>0</v>
      </c>
      <c r="V82">
        <v>12</v>
      </c>
      <c r="W82">
        <v>6</v>
      </c>
      <c r="X82">
        <v>12</v>
      </c>
      <c r="Y82">
        <v>14</v>
      </c>
      <c r="Z82">
        <v>0</v>
      </c>
      <c r="AA82">
        <v>0</v>
      </c>
      <c r="AB82">
        <v>10</v>
      </c>
      <c r="AC82">
        <v>24</v>
      </c>
      <c r="AD82">
        <v>5</v>
      </c>
    </row>
    <row r="83" spans="1:30" x14ac:dyDescent="0.3">
      <c r="A83" t="s">
        <v>1042</v>
      </c>
      <c r="B83" t="s">
        <v>489</v>
      </c>
      <c r="C83" t="s">
        <v>1343</v>
      </c>
      <c r="D83">
        <v>34</v>
      </c>
      <c r="E83" t="s">
        <v>1420</v>
      </c>
      <c r="F83" t="s">
        <v>1425</v>
      </c>
      <c r="G83" t="s">
        <v>105</v>
      </c>
      <c r="H83" t="s">
        <v>1312</v>
      </c>
      <c r="I83" t="b">
        <v>0</v>
      </c>
      <c r="J83">
        <v>33</v>
      </c>
      <c r="K83">
        <v>0</v>
      </c>
      <c r="L83">
        <v>0</v>
      </c>
      <c r="M83">
        <v>7</v>
      </c>
      <c r="N83">
        <v>0</v>
      </c>
      <c r="O83">
        <v>2</v>
      </c>
      <c r="P83">
        <v>10</v>
      </c>
      <c r="Q83">
        <v>12</v>
      </c>
      <c r="R83">
        <v>4</v>
      </c>
      <c r="S83">
        <v>2</v>
      </c>
      <c r="T83">
        <v>1</v>
      </c>
      <c r="U83">
        <v>10</v>
      </c>
      <c r="V83">
        <v>2</v>
      </c>
      <c r="W83">
        <v>3</v>
      </c>
      <c r="X83">
        <v>12</v>
      </c>
      <c r="Y83">
        <v>16</v>
      </c>
      <c r="Z83">
        <v>0</v>
      </c>
      <c r="AA83">
        <v>0</v>
      </c>
      <c r="AB83">
        <v>9</v>
      </c>
      <c r="AC83">
        <v>26</v>
      </c>
      <c r="AD83">
        <v>5</v>
      </c>
    </row>
    <row r="84" spans="1:30" x14ac:dyDescent="0.3">
      <c r="A84" t="s">
        <v>1042</v>
      </c>
      <c r="B84" t="s">
        <v>489</v>
      </c>
      <c r="C84" t="s">
        <v>1343</v>
      </c>
      <c r="D84">
        <v>34</v>
      </c>
      <c r="E84" t="s">
        <v>1420</v>
      </c>
      <c r="F84" t="s">
        <v>1423</v>
      </c>
      <c r="G84" t="s">
        <v>1409</v>
      </c>
      <c r="H84" t="s">
        <v>1301</v>
      </c>
      <c r="I84" t="b">
        <v>0</v>
      </c>
      <c r="J84">
        <v>33</v>
      </c>
      <c r="K84">
        <v>0</v>
      </c>
      <c r="L84">
        <v>0</v>
      </c>
      <c r="M84">
        <v>7</v>
      </c>
      <c r="N84">
        <v>0</v>
      </c>
      <c r="O84">
        <v>2</v>
      </c>
      <c r="P84">
        <v>10</v>
      </c>
      <c r="Q84">
        <v>12</v>
      </c>
      <c r="R84">
        <v>4</v>
      </c>
      <c r="S84">
        <v>2</v>
      </c>
      <c r="T84">
        <v>1</v>
      </c>
      <c r="U84">
        <v>10</v>
      </c>
      <c r="V84">
        <v>2</v>
      </c>
      <c r="W84">
        <v>3</v>
      </c>
      <c r="X84">
        <v>12</v>
      </c>
      <c r="Y84">
        <v>16</v>
      </c>
      <c r="Z84">
        <v>0</v>
      </c>
      <c r="AA84">
        <v>0</v>
      </c>
      <c r="AB84">
        <v>9</v>
      </c>
      <c r="AC84">
        <v>26</v>
      </c>
      <c r="AD84">
        <v>5</v>
      </c>
    </row>
    <row r="85" spans="1:30" x14ac:dyDescent="0.3">
      <c r="A85" t="s">
        <v>1042</v>
      </c>
      <c r="B85" t="s">
        <v>489</v>
      </c>
      <c r="C85" t="s">
        <v>1343</v>
      </c>
      <c r="D85">
        <v>34</v>
      </c>
      <c r="E85" t="s">
        <v>1420</v>
      </c>
      <c r="F85" t="s">
        <v>1421</v>
      </c>
      <c r="G85" t="s">
        <v>164</v>
      </c>
      <c r="H85" t="s">
        <v>1285</v>
      </c>
      <c r="I85" t="b">
        <v>0</v>
      </c>
      <c r="J85">
        <v>33</v>
      </c>
      <c r="K85">
        <v>0</v>
      </c>
      <c r="L85">
        <v>0</v>
      </c>
      <c r="M85">
        <v>7</v>
      </c>
      <c r="N85">
        <v>0</v>
      </c>
      <c r="O85">
        <v>2</v>
      </c>
      <c r="P85">
        <v>10</v>
      </c>
      <c r="Q85">
        <v>12</v>
      </c>
      <c r="R85">
        <v>4</v>
      </c>
      <c r="S85">
        <v>2</v>
      </c>
      <c r="T85">
        <v>1</v>
      </c>
      <c r="U85">
        <v>10</v>
      </c>
      <c r="V85">
        <v>2</v>
      </c>
      <c r="W85">
        <v>3</v>
      </c>
      <c r="X85">
        <v>12</v>
      </c>
      <c r="Y85">
        <v>16</v>
      </c>
      <c r="Z85">
        <v>0</v>
      </c>
      <c r="AA85">
        <v>0</v>
      </c>
      <c r="AB85">
        <v>9</v>
      </c>
      <c r="AC85">
        <v>26</v>
      </c>
      <c r="AD85">
        <v>5</v>
      </c>
    </row>
    <row r="86" spans="1:30" x14ac:dyDescent="0.3">
      <c r="A86" t="s">
        <v>1042</v>
      </c>
      <c r="B86" t="s">
        <v>489</v>
      </c>
      <c r="C86" t="s">
        <v>1344</v>
      </c>
      <c r="D86">
        <v>35</v>
      </c>
      <c r="E86" t="s">
        <v>1420</v>
      </c>
      <c r="F86" t="s">
        <v>1425</v>
      </c>
      <c r="G86" t="s">
        <v>105</v>
      </c>
      <c r="H86" t="s">
        <v>1291</v>
      </c>
      <c r="I86" t="b">
        <v>1</v>
      </c>
      <c r="J86">
        <v>42</v>
      </c>
      <c r="K86">
        <v>1</v>
      </c>
      <c r="L86">
        <v>0</v>
      </c>
      <c r="M86">
        <v>0</v>
      </c>
      <c r="N86">
        <v>0</v>
      </c>
      <c r="O86">
        <v>1</v>
      </c>
      <c r="P86">
        <v>5</v>
      </c>
      <c r="Q86">
        <v>9</v>
      </c>
      <c r="R86">
        <v>5</v>
      </c>
      <c r="S86">
        <v>3</v>
      </c>
      <c r="T86">
        <v>6</v>
      </c>
      <c r="U86">
        <v>15</v>
      </c>
      <c r="V86">
        <v>12</v>
      </c>
      <c r="W86">
        <v>9</v>
      </c>
      <c r="X86">
        <v>27</v>
      </c>
      <c r="Y86">
        <v>32</v>
      </c>
      <c r="Z86">
        <v>0</v>
      </c>
      <c r="AA86">
        <v>0</v>
      </c>
      <c r="AB86">
        <v>15</v>
      </c>
      <c r="AC86">
        <v>37</v>
      </c>
      <c r="AD86">
        <v>1</v>
      </c>
    </row>
    <row r="87" spans="1:30" x14ac:dyDescent="0.3">
      <c r="A87" t="s">
        <v>1042</v>
      </c>
      <c r="B87" t="s">
        <v>489</v>
      </c>
      <c r="C87" t="s">
        <v>1344</v>
      </c>
      <c r="D87">
        <v>35</v>
      </c>
      <c r="E87" t="s">
        <v>1420</v>
      </c>
      <c r="F87" t="s">
        <v>1423</v>
      </c>
      <c r="G87" t="s">
        <v>1409</v>
      </c>
      <c r="H87" t="s">
        <v>1318</v>
      </c>
      <c r="I87" t="b">
        <v>1</v>
      </c>
      <c r="J87">
        <v>42</v>
      </c>
      <c r="K87">
        <v>1</v>
      </c>
      <c r="L87">
        <v>0</v>
      </c>
      <c r="M87">
        <v>0</v>
      </c>
      <c r="N87">
        <v>0</v>
      </c>
      <c r="O87">
        <v>1</v>
      </c>
      <c r="P87">
        <v>5</v>
      </c>
      <c r="Q87">
        <v>9</v>
      </c>
      <c r="R87">
        <v>5</v>
      </c>
      <c r="S87">
        <v>3</v>
      </c>
      <c r="T87">
        <v>6</v>
      </c>
      <c r="U87">
        <v>15</v>
      </c>
      <c r="V87">
        <v>12</v>
      </c>
      <c r="W87">
        <v>9</v>
      </c>
      <c r="X87">
        <v>27</v>
      </c>
      <c r="Y87">
        <v>32</v>
      </c>
      <c r="Z87">
        <v>0</v>
      </c>
      <c r="AA87">
        <v>0</v>
      </c>
      <c r="AB87">
        <v>15</v>
      </c>
      <c r="AC87">
        <v>37</v>
      </c>
      <c r="AD87">
        <v>1</v>
      </c>
    </row>
    <row r="88" spans="1:30" x14ac:dyDescent="0.3">
      <c r="A88" t="s">
        <v>1042</v>
      </c>
      <c r="B88" t="s">
        <v>489</v>
      </c>
      <c r="C88" t="s">
        <v>1344</v>
      </c>
      <c r="D88">
        <v>35</v>
      </c>
      <c r="E88" t="s">
        <v>1420</v>
      </c>
      <c r="F88" t="s">
        <v>1421</v>
      </c>
      <c r="G88" t="s">
        <v>164</v>
      </c>
      <c r="H88" t="s">
        <v>1279</v>
      </c>
      <c r="I88" t="b">
        <v>1</v>
      </c>
      <c r="J88">
        <v>42</v>
      </c>
      <c r="K88">
        <v>1</v>
      </c>
      <c r="L88">
        <v>0</v>
      </c>
      <c r="M88">
        <v>0</v>
      </c>
      <c r="N88">
        <v>0</v>
      </c>
      <c r="O88">
        <v>1</v>
      </c>
      <c r="P88">
        <v>5</v>
      </c>
      <c r="Q88">
        <v>9</v>
      </c>
      <c r="R88">
        <v>5</v>
      </c>
      <c r="S88">
        <v>3</v>
      </c>
      <c r="T88">
        <v>6</v>
      </c>
      <c r="U88">
        <v>15</v>
      </c>
      <c r="V88">
        <v>12</v>
      </c>
      <c r="W88">
        <v>9</v>
      </c>
      <c r="X88">
        <v>27</v>
      </c>
      <c r="Y88">
        <v>32</v>
      </c>
      <c r="Z88">
        <v>0</v>
      </c>
      <c r="AA88">
        <v>0</v>
      </c>
      <c r="AB88">
        <v>15</v>
      </c>
      <c r="AC88">
        <v>37</v>
      </c>
      <c r="AD88">
        <v>1</v>
      </c>
    </row>
    <row r="89" spans="1:30" x14ac:dyDescent="0.3">
      <c r="A89" t="s">
        <v>1042</v>
      </c>
      <c r="B89" t="s">
        <v>489</v>
      </c>
      <c r="C89" t="s">
        <v>1345</v>
      </c>
      <c r="D89">
        <v>36</v>
      </c>
      <c r="E89" t="s">
        <v>1420</v>
      </c>
      <c r="F89" t="s">
        <v>1425</v>
      </c>
      <c r="G89" t="s">
        <v>105</v>
      </c>
      <c r="H89" t="s">
        <v>1290</v>
      </c>
      <c r="I89" t="b">
        <v>0</v>
      </c>
      <c r="J89">
        <v>72</v>
      </c>
      <c r="K89">
        <v>1</v>
      </c>
      <c r="L89">
        <v>0</v>
      </c>
      <c r="M89">
        <v>0</v>
      </c>
      <c r="N89">
        <v>0</v>
      </c>
      <c r="O89">
        <v>3</v>
      </c>
      <c r="P89">
        <v>15</v>
      </c>
      <c r="Q89">
        <v>19</v>
      </c>
      <c r="R89">
        <v>4</v>
      </c>
      <c r="S89">
        <v>4</v>
      </c>
      <c r="T89">
        <v>7</v>
      </c>
      <c r="U89">
        <v>20</v>
      </c>
      <c r="V89">
        <v>14</v>
      </c>
      <c r="W89">
        <v>11</v>
      </c>
      <c r="X89">
        <v>34</v>
      </c>
      <c r="Y89">
        <v>38</v>
      </c>
      <c r="Z89">
        <v>0</v>
      </c>
      <c r="AA89">
        <v>0</v>
      </c>
      <c r="AB89">
        <v>18</v>
      </c>
      <c r="AC89">
        <v>53</v>
      </c>
      <c r="AD89">
        <v>0</v>
      </c>
    </row>
    <row r="90" spans="1:30" x14ac:dyDescent="0.3">
      <c r="A90" t="s">
        <v>1042</v>
      </c>
      <c r="B90" t="s">
        <v>489</v>
      </c>
      <c r="C90" t="s">
        <v>1345</v>
      </c>
      <c r="D90">
        <v>36</v>
      </c>
      <c r="E90" t="s">
        <v>1420</v>
      </c>
      <c r="F90" t="s">
        <v>1423</v>
      </c>
      <c r="G90" t="s">
        <v>1409</v>
      </c>
      <c r="H90" t="s">
        <v>361</v>
      </c>
      <c r="I90" t="b">
        <v>0</v>
      </c>
      <c r="J90">
        <v>72</v>
      </c>
      <c r="K90">
        <v>1</v>
      </c>
      <c r="L90">
        <v>0</v>
      </c>
      <c r="M90">
        <v>0</v>
      </c>
      <c r="N90">
        <v>0</v>
      </c>
      <c r="O90">
        <v>3</v>
      </c>
      <c r="P90">
        <v>15</v>
      </c>
      <c r="Q90">
        <v>19</v>
      </c>
      <c r="R90">
        <v>4</v>
      </c>
      <c r="S90">
        <v>4</v>
      </c>
      <c r="T90">
        <v>7</v>
      </c>
      <c r="U90">
        <v>20</v>
      </c>
      <c r="V90">
        <v>14</v>
      </c>
      <c r="W90">
        <v>11</v>
      </c>
      <c r="X90">
        <v>34</v>
      </c>
      <c r="Y90">
        <v>38</v>
      </c>
      <c r="Z90">
        <v>0</v>
      </c>
      <c r="AA90">
        <v>0</v>
      </c>
      <c r="AB90">
        <v>18</v>
      </c>
      <c r="AC90">
        <v>53</v>
      </c>
      <c r="AD90">
        <v>0</v>
      </c>
    </row>
    <row r="91" spans="1:30" x14ac:dyDescent="0.3">
      <c r="A91" t="s">
        <v>1042</v>
      </c>
      <c r="B91" t="s">
        <v>489</v>
      </c>
      <c r="C91" t="s">
        <v>1345</v>
      </c>
      <c r="D91">
        <v>36</v>
      </c>
      <c r="E91" t="s">
        <v>1420</v>
      </c>
      <c r="F91" t="s">
        <v>1421</v>
      </c>
      <c r="G91" t="s">
        <v>164</v>
      </c>
      <c r="H91" t="s">
        <v>1275</v>
      </c>
      <c r="I91" t="b">
        <v>0</v>
      </c>
      <c r="J91">
        <v>72</v>
      </c>
      <c r="K91">
        <v>1</v>
      </c>
      <c r="L91">
        <v>0</v>
      </c>
      <c r="M91">
        <v>0</v>
      </c>
      <c r="N91">
        <v>0</v>
      </c>
      <c r="O91">
        <v>3</v>
      </c>
      <c r="P91">
        <v>15</v>
      </c>
      <c r="Q91">
        <v>19</v>
      </c>
      <c r="R91">
        <v>4</v>
      </c>
      <c r="S91">
        <v>4</v>
      </c>
      <c r="T91">
        <v>7</v>
      </c>
      <c r="U91">
        <v>20</v>
      </c>
      <c r="V91">
        <v>14</v>
      </c>
      <c r="W91">
        <v>11</v>
      </c>
      <c r="X91">
        <v>34</v>
      </c>
      <c r="Y91">
        <v>38</v>
      </c>
      <c r="Z91">
        <v>0</v>
      </c>
      <c r="AA91">
        <v>0</v>
      </c>
      <c r="AB91">
        <v>18</v>
      </c>
      <c r="AC91">
        <v>53</v>
      </c>
      <c r="AD91">
        <v>0</v>
      </c>
    </row>
    <row r="92" spans="1:30" x14ac:dyDescent="0.3">
      <c r="A92" t="s">
        <v>1042</v>
      </c>
      <c r="B92" t="s">
        <v>489</v>
      </c>
      <c r="C92" t="s">
        <v>1346</v>
      </c>
      <c r="D92">
        <v>37</v>
      </c>
      <c r="E92" t="s">
        <v>1420</v>
      </c>
      <c r="F92" t="s">
        <v>1425</v>
      </c>
      <c r="G92" t="s">
        <v>105</v>
      </c>
      <c r="H92" t="s">
        <v>371</v>
      </c>
      <c r="I92" t="b">
        <v>0</v>
      </c>
      <c r="J92">
        <v>47</v>
      </c>
      <c r="K92">
        <v>0</v>
      </c>
      <c r="L92">
        <v>1</v>
      </c>
      <c r="M92">
        <v>0</v>
      </c>
      <c r="N92">
        <v>0</v>
      </c>
      <c r="O92">
        <v>2</v>
      </c>
      <c r="P92">
        <v>10</v>
      </c>
      <c r="Q92">
        <v>12</v>
      </c>
      <c r="R92">
        <v>0</v>
      </c>
      <c r="S92">
        <v>0</v>
      </c>
      <c r="T92">
        <v>11</v>
      </c>
      <c r="U92">
        <v>0</v>
      </c>
      <c r="V92">
        <v>22</v>
      </c>
      <c r="W92">
        <v>11</v>
      </c>
      <c r="X92">
        <v>22</v>
      </c>
      <c r="Y92">
        <v>22</v>
      </c>
      <c r="Z92">
        <v>0</v>
      </c>
      <c r="AA92">
        <v>0</v>
      </c>
      <c r="AB92">
        <v>13</v>
      </c>
      <c r="AC92">
        <v>32</v>
      </c>
      <c r="AD92">
        <v>3</v>
      </c>
    </row>
    <row r="93" spans="1:30" x14ac:dyDescent="0.3">
      <c r="A93" t="s">
        <v>1042</v>
      </c>
      <c r="B93" t="s">
        <v>489</v>
      </c>
      <c r="C93" t="s">
        <v>1346</v>
      </c>
      <c r="D93">
        <v>37</v>
      </c>
      <c r="E93" t="s">
        <v>1420</v>
      </c>
      <c r="F93" t="s">
        <v>1423</v>
      </c>
      <c r="G93" t="s">
        <v>1409</v>
      </c>
      <c r="H93" t="s">
        <v>366</v>
      </c>
      <c r="I93" t="b">
        <v>0</v>
      </c>
      <c r="J93">
        <v>47</v>
      </c>
      <c r="K93">
        <v>0</v>
      </c>
      <c r="L93">
        <v>1</v>
      </c>
      <c r="M93">
        <v>0</v>
      </c>
      <c r="N93">
        <v>0</v>
      </c>
      <c r="O93">
        <v>2</v>
      </c>
      <c r="P93">
        <v>10</v>
      </c>
      <c r="Q93">
        <v>12</v>
      </c>
      <c r="R93">
        <v>0</v>
      </c>
      <c r="S93">
        <v>0</v>
      </c>
      <c r="T93">
        <v>11</v>
      </c>
      <c r="U93">
        <v>0</v>
      </c>
      <c r="V93">
        <v>22</v>
      </c>
      <c r="W93">
        <v>11</v>
      </c>
      <c r="X93">
        <v>22</v>
      </c>
      <c r="Y93">
        <v>22</v>
      </c>
      <c r="Z93">
        <v>0</v>
      </c>
      <c r="AA93">
        <v>0</v>
      </c>
      <c r="AB93">
        <v>13</v>
      </c>
      <c r="AC93">
        <v>32</v>
      </c>
      <c r="AD93">
        <v>3</v>
      </c>
    </row>
    <row r="94" spans="1:30" x14ac:dyDescent="0.3">
      <c r="A94" t="s">
        <v>1042</v>
      </c>
      <c r="B94" t="s">
        <v>489</v>
      </c>
      <c r="C94" t="s">
        <v>1346</v>
      </c>
      <c r="D94">
        <v>37</v>
      </c>
      <c r="E94" t="s">
        <v>1420</v>
      </c>
      <c r="F94" t="s">
        <v>1421</v>
      </c>
      <c r="G94" t="s">
        <v>164</v>
      </c>
      <c r="H94" t="s">
        <v>1309</v>
      </c>
      <c r="I94" t="b">
        <v>0</v>
      </c>
      <c r="J94">
        <v>47</v>
      </c>
      <c r="K94">
        <v>0</v>
      </c>
      <c r="L94">
        <v>1</v>
      </c>
      <c r="M94">
        <v>0</v>
      </c>
      <c r="N94">
        <v>0</v>
      </c>
      <c r="O94">
        <v>2</v>
      </c>
      <c r="P94">
        <v>10</v>
      </c>
      <c r="Q94">
        <v>12</v>
      </c>
      <c r="R94">
        <v>0</v>
      </c>
      <c r="S94">
        <v>0</v>
      </c>
      <c r="T94">
        <v>11</v>
      </c>
      <c r="U94">
        <v>0</v>
      </c>
      <c r="V94">
        <v>22</v>
      </c>
      <c r="W94">
        <v>11</v>
      </c>
      <c r="X94">
        <v>22</v>
      </c>
      <c r="Y94">
        <v>22</v>
      </c>
      <c r="Z94">
        <v>0</v>
      </c>
      <c r="AA94">
        <v>0</v>
      </c>
      <c r="AB94">
        <v>13</v>
      </c>
      <c r="AC94">
        <v>32</v>
      </c>
      <c r="AD94">
        <v>3</v>
      </c>
    </row>
    <row r="95" spans="1:30" x14ac:dyDescent="0.3">
      <c r="A95" t="s">
        <v>1042</v>
      </c>
      <c r="B95" t="s">
        <v>489</v>
      </c>
      <c r="C95" t="s">
        <v>1347</v>
      </c>
      <c r="D95">
        <v>38</v>
      </c>
      <c r="E95" t="s">
        <v>1420</v>
      </c>
      <c r="F95" t="s">
        <v>1425</v>
      </c>
      <c r="G95" t="s">
        <v>105</v>
      </c>
      <c r="H95" t="s">
        <v>363</v>
      </c>
      <c r="I95" t="b">
        <v>1</v>
      </c>
      <c r="J95">
        <v>70</v>
      </c>
      <c r="K95">
        <v>1</v>
      </c>
      <c r="L95">
        <v>0</v>
      </c>
      <c r="M95">
        <v>12</v>
      </c>
      <c r="N95">
        <v>0</v>
      </c>
      <c r="O95">
        <v>4</v>
      </c>
      <c r="P95">
        <v>20</v>
      </c>
      <c r="Q95">
        <v>24</v>
      </c>
      <c r="R95">
        <v>3</v>
      </c>
      <c r="S95">
        <v>2</v>
      </c>
      <c r="T95">
        <v>11</v>
      </c>
      <c r="U95">
        <v>10</v>
      </c>
      <c r="V95">
        <v>22</v>
      </c>
      <c r="W95">
        <v>13</v>
      </c>
      <c r="X95">
        <v>32</v>
      </c>
      <c r="Y95">
        <v>35</v>
      </c>
      <c r="Z95">
        <v>0</v>
      </c>
      <c r="AA95">
        <v>0</v>
      </c>
      <c r="AB95">
        <v>20</v>
      </c>
      <c r="AC95">
        <v>55</v>
      </c>
      <c r="AD95">
        <v>6</v>
      </c>
    </row>
    <row r="96" spans="1:30" x14ac:dyDescent="0.3">
      <c r="A96" t="s">
        <v>1042</v>
      </c>
      <c r="B96" t="s">
        <v>489</v>
      </c>
      <c r="C96" t="s">
        <v>1347</v>
      </c>
      <c r="D96">
        <v>38</v>
      </c>
      <c r="E96" t="s">
        <v>1420</v>
      </c>
      <c r="F96" t="s">
        <v>1423</v>
      </c>
      <c r="G96" t="s">
        <v>1409</v>
      </c>
      <c r="H96" t="s">
        <v>1305</v>
      </c>
      <c r="I96" t="b">
        <v>1</v>
      </c>
      <c r="J96">
        <v>70</v>
      </c>
      <c r="K96">
        <v>1</v>
      </c>
      <c r="L96">
        <v>0</v>
      </c>
      <c r="M96">
        <v>12</v>
      </c>
      <c r="N96">
        <v>0</v>
      </c>
      <c r="O96">
        <v>4</v>
      </c>
      <c r="P96">
        <v>20</v>
      </c>
      <c r="Q96">
        <v>24</v>
      </c>
      <c r="R96">
        <v>3</v>
      </c>
      <c r="S96">
        <v>2</v>
      </c>
      <c r="T96">
        <v>11</v>
      </c>
      <c r="U96">
        <v>10</v>
      </c>
      <c r="V96">
        <v>22</v>
      </c>
      <c r="W96">
        <v>13</v>
      </c>
      <c r="X96">
        <v>32</v>
      </c>
      <c r="Y96">
        <v>35</v>
      </c>
      <c r="Z96">
        <v>0</v>
      </c>
      <c r="AA96">
        <v>0</v>
      </c>
      <c r="AB96">
        <v>20</v>
      </c>
      <c r="AC96">
        <v>55</v>
      </c>
      <c r="AD96">
        <v>6</v>
      </c>
    </row>
    <row r="97" spans="1:30" x14ac:dyDescent="0.3">
      <c r="A97" t="s">
        <v>1042</v>
      </c>
      <c r="B97" t="s">
        <v>489</v>
      </c>
      <c r="C97" t="s">
        <v>1347</v>
      </c>
      <c r="D97">
        <v>38</v>
      </c>
      <c r="E97" t="s">
        <v>1420</v>
      </c>
      <c r="F97" t="s">
        <v>1421</v>
      </c>
      <c r="G97" t="s">
        <v>164</v>
      </c>
      <c r="H97" t="s">
        <v>1277</v>
      </c>
      <c r="I97" t="b">
        <v>1</v>
      </c>
      <c r="J97">
        <v>70</v>
      </c>
      <c r="K97">
        <v>1</v>
      </c>
      <c r="L97">
        <v>0</v>
      </c>
      <c r="M97">
        <v>12</v>
      </c>
      <c r="N97">
        <v>0</v>
      </c>
      <c r="O97">
        <v>4</v>
      </c>
      <c r="P97">
        <v>20</v>
      </c>
      <c r="Q97">
        <v>24</v>
      </c>
      <c r="R97">
        <v>3</v>
      </c>
      <c r="S97">
        <v>2</v>
      </c>
      <c r="T97">
        <v>11</v>
      </c>
      <c r="U97">
        <v>10</v>
      </c>
      <c r="V97">
        <v>22</v>
      </c>
      <c r="W97">
        <v>13</v>
      </c>
      <c r="X97">
        <v>32</v>
      </c>
      <c r="Y97">
        <v>35</v>
      </c>
      <c r="Z97">
        <v>0</v>
      </c>
      <c r="AA97">
        <v>0</v>
      </c>
      <c r="AB97">
        <v>20</v>
      </c>
      <c r="AC97">
        <v>55</v>
      </c>
      <c r="AD97">
        <v>6</v>
      </c>
    </row>
    <row r="98" spans="1:30" x14ac:dyDescent="0.3">
      <c r="A98" t="s">
        <v>1042</v>
      </c>
      <c r="B98" t="s">
        <v>489</v>
      </c>
      <c r="C98" t="s">
        <v>1348</v>
      </c>
      <c r="D98">
        <v>39</v>
      </c>
      <c r="E98" t="s">
        <v>1420</v>
      </c>
      <c r="F98" t="s">
        <v>1425</v>
      </c>
      <c r="G98" t="s">
        <v>105</v>
      </c>
      <c r="H98" t="s">
        <v>1276</v>
      </c>
      <c r="I98" t="b">
        <v>0</v>
      </c>
      <c r="J98">
        <v>33</v>
      </c>
      <c r="K98">
        <v>0</v>
      </c>
      <c r="L98">
        <v>0</v>
      </c>
      <c r="M98">
        <v>27</v>
      </c>
      <c r="N98">
        <v>0</v>
      </c>
      <c r="O98">
        <v>3</v>
      </c>
      <c r="P98">
        <v>15</v>
      </c>
      <c r="Q98">
        <v>19</v>
      </c>
      <c r="R98">
        <v>1</v>
      </c>
      <c r="S98">
        <v>0</v>
      </c>
      <c r="T98">
        <v>5</v>
      </c>
      <c r="U98">
        <v>0</v>
      </c>
      <c r="V98">
        <v>10</v>
      </c>
      <c r="W98">
        <v>5</v>
      </c>
      <c r="X98">
        <v>10</v>
      </c>
      <c r="Y98">
        <v>11</v>
      </c>
      <c r="Z98">
        <v>0</v>
      </c>
      <c r="AA98">
        <v>0</v>
      </c>
      <c r="AB98">
        <v>9</v>
      </c>
      <c r="AC98">
        <v>26</v>
      </c>
      <c r="AD98">
        <v>3</v>
      </c>
    </row>
    <row r="99" spans="1:30" x14ac:dyDescent="0.3">
      <c r="A99" t="s">
        <v>1042</v>
      </c>
      <c r="B99" t="s">
        <v>489</v>
      </c>
      <c r="C99" t="s">
        <v>1348</v>
      </c>
      <c r="D99">
        <v>39</v>
      </c>
      <c r="E99" t="s">
        <v>1420</v>
      </c>
      <c r="F99" t="s">
        <v>1423</v>
      </c>
      <c r="G99" t="s">
        <v>1409</v>
      </c>
      <c r="H99" t="s">
        <v>1312</v>
      </c>
      <c r="I99" t="b">
        <v>0</v>
      </c>
      <c r="J99">
        <v>33</v>
      </c>
      <c r="K99">
        <v>0</v>
      </c>
      <c r="L99">
        <v>0</v>
      </c>
      <c r="M99">
        <v>27</v>
      </c>
      <c r="N99">
        <v>0</v>
      </c>
      <c r="O99">
        <v>3</v>
      </c>
      <c r="P99">
        <v>15</v>
      </c>
      <c r="Q99">
        <v>19</v>
      </c>
      <c r="R99">
        <v>1</v>
      </c>
      <c r="S99">
        <v>0</v>
      </c>
      <c r="T99">
        <v>5</v>
      </c>
      <c r="U99">
        <v>0</v>
      </c>
      <c r="V99">
        <v>10</v>
      </c>
      <c r="W99">
        <v>5</v>
      </c>
      <c r="X99">
        <v>10</v>
      </c>
      <c r="Y99">
        <v>11</v>
      </c>
      <c r="Z99">
        <v>0</v>
      </c>
      <c r="AA99">
        <v>0</v>
      </c>
      <c r="AB99">
        <v>9</v>
      </c>
      <c r="AC99">
        <v>26</v>
      </c>
      <c r="AD99">
        <v>3</v>
      </c>
    </row>
    <row r="100" spans="1:30" x14ac:dyDescent="0.3">
      <c r="A100" t="s">
        <v>1042</v>
      </c>
      <c r="B100" t="s">
        <v>489</v>
      </c>
      <c r="C100" t="s">
        <v>1348</v>
      </c>
      <c r="D100">
        <v>39</v>
      </c>
      <c r="E100" t="s">
        <v>1420</v>
      </c>
      <c r="F100" t="s">
        <v>1421</v>
      </c>
      <c r="G100" t="s">
        <v>164</v>
      </c>
      <c r="H100" t="s">
        <v>369</v>
      </c>
      <c r="I100" t="b">
        <v>0</v>
      </c>
      <c r="J100">
        <v>33</v>
      </c>
      <c r="K100">
        <v>0</v>
      </c>
      <c r="L100">
        <v>0</v>
      </c>
      <c r="M100">
        <v>27</v>
      </c>
      <c r="N100">
        <v>0</v>
      </c>
      <c r="O100">
        <v>3</v>
      </c>
      <c r="P100">
        <v>15</v>
      </c>
      <c r="Q100">
        <v>19</v>
      </c>
      <c r="R100">
        <v>1</v>
      </c>
      <c r="S100">
        <v>0</v>
      </c>
      <c r="T100">
        <v>5</v>
      </c>
      <c r="U100">
        <v>0</v>
      </c>
      <c r="V100">
        <v>10</v>
      </c>
      <c r="W100">
        <v>5</v>
      </c>
      <c r="X100">
        <v>10</v>
      </c>
      <c r="Y100">
        <v>11</v>
      </c>
      <c r="Z100">
        <v>0</v>
      </c>
      <c r="AA100">
        <v>0</v>
      </c>
      <c r="AB100">
        <v>9</v>
      </c>
      <c r="AC100">
        <v>26</v>
      </c>
      <c r="AD100">
        <v>3</v>
      </c>
    </row>
    <row r="101" spans="1:30" x14ac:dyDescent="0.3">
      <c r="A101" t="s">
        <v>1042</v>
      </c>
      <c r="B101" t="s">
        <v>489</v>
      </c>
      <c r="C101" t="s">
        <v>1293</v>
      </c>
      <c r="D101">
        <v>4</v>
      </c>
      <c r="E101" t="s">
        <v>1420</v>
      </c>
      <c r="F101" t="s">
        <v>1425</v>
      </c>
      <c r="G101" t="s">
        <v>105</v>
      </c>
      <c r="H101" t="s">
        <v>1294</v>
      </c>
      <c r="I101" t="b">
        <v>1</v>
      </c>
      <c r="J101">
        <v>55</v>
      </c>
      <c r="K101">
        <v>1</v>
      </c>
      <c r="L101">
        <v>0</v>
      </c>
      <c r="M101">
        <v>0</v>
      </c>
      <c r="N101">
        <v>0</v>
      </c>
      <c r="O101">
        <v>2</v>
      </c>
      <c r="P101">
        <v>10</v>
      </c>
      <c r="Q101">
        <v>14</v>
      </c>
      <c r="R101">
        <v>5</v>
      </c>
      <c r="S101">
        <v>2</v>
      </c>
      <c r="T101">
        <v>9</v>
      </c>
      <c r="U101">
        <v>10</v>
      </c>
      <c r="V101">
        <v>18</v>
      </c>
      <c r="W101">
        <v>11</v>
      </c>
      <c r="X101">
        <v>28</v>
      </c>
      <c r="Y101">
        <v>33</v>
      </c>
      <c r="Z101">
        <v>0</v>
      </c>
      <c r="AA101">
        <v>0</v>
      </c>
      <c r="AB101">
        <v>18</v>
      </c>
      <c r="AC101">
        <v>43</v>
      </c>
      <c r="AD101">
        <v>3</v>
      </c>
    </row>
    <row r="102" spans="1:30" x14ac:dyDescent="0.3">
      <c r="A102" t="s">
        <v>1042</v>
      </c>
      <c r="B102" t="s">
        <v>489</v>
      </c>
      <c r="C102" t="s">
        <v>1293</v>
      </c>
      <c r="D102">
        <v>4</v>
      </c>
      <c r="E102" t="s">
        <v>1420</v>
      </c>
      <c r="F102" t="s">
        <v>1423</v>
      </c>
      <c r="G102" t="s">
        <v>1409</v>
      </c>
      <c r="H102" t="s">
        <v>1295</v>
      </c>
      <c r="I102" t="b">
        <v>1</v>
      </c>
      <c r="J102">
        <v>55</v>
      </c>
      <c r="K102">
        <v>1</v>
      </c>
      <c r="L102">
        <v>0</v>
      </c>
      <c r="M102">
        <v>0</v>
      </c>
      <c r="N102">
        <v>0</v>
      </c>
      <c r="O102">
        <v>2</v>
      </c>
      <c r="P102">
        <v>10</v>
      </c>
      <c r="Q102">
        <v>14</v>
      </c>
      <c r="R102">
        <v>5</v>
      </c>
      <c r="S102">
        <v>2</v>
      </c>
      <c r="T102">
        <v>9</v>
      </c>
      <c r="U102">
        <v>10</v>
      </c>
      <c r="V102">
        <v>18</v>
      </c>
      <c r="W102">
        <v>11</v>
      </c>
      <c r="X102">
        <v>28</v>
      </c>
      <c r="Y102">
        <v>33</v>
      </c>
      <c r="Z102">
        <v>0</v>
      </c>
      <c r="AA102">
        <v>0</v>
      </c>
      <c r="AB102">
        <v>18</v>
      </c>
      <c r="AC102">
        <v>43</v>
      </c>
      <c r="AD102">
        <v>3</v>
      </c>
    </row>
    <row r="103" spans="1:30" x14ac:dyDescent="0.3">
      <c r="A103" t="s">
        <v>1042</v>
      </c>
      <c r="B103" t="s">
        <v>489</v>
      </c>
      <c r="C103" t="s">
        <v>1293</v>
      </c>
      <c r="D103">
        <v>4</v>
      </c>
      <c r="E103" t="s">
        <v>1420</v>
      </c>
      <c r="F103" t="s">
        <v>1421</v>
      </c>
      <c r="G103" t="s">
        <v>164</v>
      </c>
      <c r="H103" t="s">
        <v>1296</v>
      </c>
      <c r="I103" t="b">
        <v>1</v>
      </c>
      <c r="J103">
        <v>55</v>
      </c>
      <c r="K103">
        <v>1</v>
      </c>
      <c r="L103">
        <v>0</v>
      </c>
      <c r="M103">
        <v>0</v>
      </c>
      <c r="N103">
        <v>0</v>
      </c>
      <c r="O103">
        <v>2</v>
      </c>
      <c r="P103">
        <v>10</v>
      </c>
      <c r="Q103">
        <v>14</v>
      </c>
      <c r="R103">
        <v>5</v>
      </c>
      <c r="S103">
        <v>2</v>
      </c>
      <c r="T103">
        <v>9</v>
      </c>
      <c r="U103">
        <v>10</v>
      </c>
      <c r="V103">
        <v>18</v>
      </c>
      <c r="W103">
        <v>11</v>
      </c>
      <c r="X103">
        <v>28</v>
      </c>
      <c r="Y103">
        <v>33</v>
      </c>
      <c r="Z103">
        <v>0</v>
      </c>
      <c r="AA103">
        <v>0</v>
      </c>
      <c r="AB103">
        <v>18</v>
      </c>
      <c r="AC103">
        <v>43</v>
      </c>
      <c r="AD103">
        <v>3</v>
      </c>
    </row>
    <row r="104" spans="1:30" x14ac:dyDescent="0.3">
      <c r="A104" t="s">
        <v>1042</v>
      </c>
      <c r="B104" t="s">
        <v>489</v>
      </c>
      <c r="C104" t="s">
        <v>1349</v>
      </c>
      <c r="D104">
        <v>40</v>
      </c>
      <c r="E104" t="s">
        <v>1420</v>
      </c>
      <c r="F104" t="s">
        <v>1425</v>
      </c>
      <c r="G104" t="s">
        <v>105</v>
      </c>
      <c r="H104" t="s">
        <v>360</v>
      </c>
      <c r="I104" t="b">
        <v>1</v>
      </c>
      <c r="J104">
        <v>45</v>
      </c>
      <c r="K104">
        <v>0</v>
      </c>
      <c r="L104">
        <v>0</v>
      </c>
      <c r="M104">
        <v>10</v>
      </c>
      <c r="N104">
        <v>0</v>
      </c>
      <c r="O104">
        <v>3</v>
      </c>
      <c r="P104">
        <v>15</v>
      </c>
      <c r="Q104">
        <v>21</v>
      </c>
      <c r="R104">
        <v>5</v>
      </c>
      <c r="S104">
        <v>1</v>
      </c>
      <c r="T104">
        <v>1</v>
      </c>
      <c r="U104">
        <v>5</v>
      </c>
      <c r="V104">
        <v>2</v>
      </c>
      <c r="W104">
        <v>2</v>
      </c>
      <c r="X104">
        <v>7</v>
      </c>
      <c r="Y104">
        <v>12</v>
      </c>
      <c r="Z104">
        <v>0</v>
      </c>
      <c r="AA104">
        <v>0</v>
      </c>
      <c r="AB104">
        <v>10</v>
      </c>
      <c r="AC104">
        <v>27</v>
      </c>
      <c r="AD104">
        <v>7</v>
      </c>
    </row>
    <row r="105" spans="1:30" x14ac:dyDescent="0.3">
      <c r="A105" t="s">
        <v>1042</v>
      </c>
      <c r="B105" t="s">
        <v>489</v>
      </c>
      <c r="C105" t="s">
        <v>1349</v>
      </c>
      <c r="D105">
        <v>40</v>
      </c>
      <c r="E105" t="s">
        <v>1420</v>
      </c>
      <c r="F105" t="s">
        <v>1423</v>
      </c>
      <c r="G105" t="s">
        <v>1409</v>
      </c>
      <c r="H105" t="s">
        <v>1283</v>
      </c>
      <c r="I105" t="b">
        <v>1</v>
      </c>
      <c r="J105">
        <v>45</v>
      </c>
      <c r="K105">
        <v>0</v>
      </c>
      <c r="L105">
        <v>0</v>
      </c>
      <c r="M105">
        <v>10</v>
      </c>
      <c r="N105">
        <v>0</v>
      </c>
      <c r="O105">
        <v>3</v>
      </c>
      <c r="P105">
        <v>15</v>
      </c>
      <c r="Q105">
        <v>21</v>
      </c>
      <c r="R105">
        <v>5</v>
      </c>
      <c r="S105">
        <v>1</v>
      </c>
      <c r="T105">
        <v>1</v>
      </c>
      <c r="U105">
        <v>5</v>
      </c>
      <c r="V105">
        <v>2</v>
      </c>
      <c r="W105">
        <v>2</v>
      </c>
      <c r="X105">
        <v>7</v>
      </c>
      <c r="Y105">
        <v>12</v>
      </c>
      <c r="Z105">
        <v>0</v>
      </c>
      <c r="AA105">
        <v>0</v>
      </c>
      <c r="AB105">
        <v>10</v>
      </c>
      <c r="AC105">
        <v>27</v>
      </c>
      <c r="AD105">
        <v>7</v>
      </c>
    </row>
    <row r="106" spans="1:30" x14ac:dyDescent="0.3">
      <c r="A106" t="s">
        <v>1042</v>
      </c>
      <c r="B106" t="s">
        <v>489</v>
      </c>
      <c r="C106" t="s">
        <v>1349</v>
      </c>
      <c r="D106">
        <v>40</v>
      </c>
      <c r="E106" t="s">
        <v>1420</v>
      </c>
      <c r="F106" t="s">
        <v>1421</v>
      </c>
      <c r="G106" t="s">
        <v>164</v>
      </c>
      <c r="H106" t="s">
        <v>373</v>
      </c>
      <c r="I106" t="b">
        <v>1</v>
      </c>
      <c r="J106">
        <v>45</v>
      </c>
      <c r="K106">
        <v>0</v>
      </c>
      <c r="L106">
        <v>0</v>
      </c>
      <c r="M106">
        <v>10</v>
      </c>
      <c r="N106">
        <v>0</v>
      </c>
      <c r="O106">
        <v>3</v>
      </c>
      <c r="P106">
        <v>15</v>
      </c>
      <c r="Q106">
        <v>21</v>
      </c>
      <c r="R106">
        <v>5</v>
      </c>
      <c r="S106">
        <v>1</v>
      </c>
      <c r="T106">
        <v>1</v>
      </c>
      <c r="U106">
        <v>5</v>
      </c>
      <c r="V106">
        <v>2</v>
      </c>
      <c r="W106">
        <v>2</v>
      </c>
      <c r="X106">
        <v>7</v>
      </c>
      <c r="Y106">
        <v>12</v>
      </c>
      <c r="Z106">
        <v>0</v>
      </c>
      <c r="AA106">
        <v>0</v>
      </c>
      <c r="AB106">
        <v>10</v>
      </c>
      <c r="AC106">
        <v>27</v>
      </c>
      <c r="AD106">
        <v>7</v>
      </c>
    </row>
    <row r="107" spans="1:30" x14ac:dyDescent="0.3">
      <c r="A107" t="s">
        <v>1042</v>
      </c>
      <c r="B107" t="s">
        <v>489</v>
      </c>
      <c r="C107" t="s">
        <v>1350</v>
      </c>
      <c r="D107">
        <v>41</v>
      </c>
      <c r="E107" t="s">
        <v>1420</v>
      </c>
      <c r="F107" t="s">
        <v>1425</v>
      </c>
      <c r="G107" t="s">
        <v>105</v>
      </c>
      <c r="H107" t="s">
        <v>365</v>
      </c>
      <c r="I107" t="b">
        <v>1</v>
      </c>
      <c r="J107">
        <v>85</v>
      </c>
      <c r="K107">
        <v>1</v>
      </c>
      <c r="L107">
        <v>1</v>
      </c>
      <c r="M107">
        <v>9</v>
      </c>
      <c r="N107">
        <v>0</v>
      </c>
      <c r="O107">
        <v>6</v>
      </c>
      <c r="P107">
        <v>30</v>
      </c>
      <c r="Q107">
        <v>36</v>
      </c>
      <c r="R107">
        <v>3</v>
      </c>
      <c r="S107">
        <v>1</v>
      </c>
      <c r="T107">
        <v>14</v>
      </c>
      <c r="U107">
        <v>5</v>
      </c>
      <c r="V107">
        <v>28</v>
      </c>
      <c r="W107">
        <v>15</v>
      </c>
      <c r="X107">
        <v>33</v>
      </c>
      <c r="Y107">
        <v>36</v>
      </c>
      <c r="Z107">
        <v>0</v>
      </c>
      <c r="AA107">
        <v>0</v>
      </c>
      <c r="AB107">
        <v>24</v>
      </c>
      <c r="AC107">
        <v>66</v>
      </c>
      <c r="AD107">
        <v>11</v>
      </c>
    </row>
    <row r="108" spans="1:30" x14ac:dyDescent="0.3">
      <c r="A108" t="s">
        <v>1042</v>
      </c>
      <c r="B108" t="s">
        <v>489</v>
      </c>
      <c r="C108" t="s">
        <v>1350</v>
      </c>
      <c r="D108">
        <v>41</v>
      </c>
      <c r="E108" t="s">
        <v>1420</v>
      </c>
      <c r="F108" t="s">
        <v>1423</v>
      </c>
      <c r="G108" t="s">
        <v>1409</v>
      </c>
      <c r="H108" t="s">
        <v>1284</v>
      </c>
      <c r="I108" t="b">
        <v>1</v>
      </c>
      <c r="J108">
        <v>85</v>
      </c>
      <c r="K108">
        <v>1</v>
      </c>
      <c r="L108">
        <v>1</v>
      </c>
      <c r="M108">
        <v>9</v>
      </c>
      <c r="N108">
        <v>0</v>
      </c>
      <c r="O108">
        <v>6</v>
      </c>
      <c r="P108">
        <v>30</v>
      </c>
      <c r="Q108">
        <v>36</v>
      </c>
      <c r="R108">
        <v>3</v>
      </c>
      <c r="S108">
        <v>1</v>
      </c>
      <c r="T108">
        <v>14</v>
      </c>
      <c r="U108">
        <v>5</v>
      </c>
      <c r="V108">
        <v>28</v>
      </c>
      <c r="W108">
        <v>15</v>
      </c>
      <c r="X108">
        <v>33</v>
      </c>
      <c r="Y108">
        <v>36</v>
      </c>
      <c r="Z108">
        <v>0</v>
      </c>
      <c r="AA108">
        <v>0</v>
      </c>
      <c r="AB108">
        <v>24</v>
      </c>
      <c r="AC108">
        <v>66</v>
      </c>
      <c r="AD108">
        <v>11</v>
      </c>
    </row>
    <row r="109" spans="1:30" x14ac:dyDescent="0.3">
      <c r="A109" t="s">
        <v>1042</v>
      </c>
      <c r="B109" t="s">
        <v>489</v>
      </c>
      <c r="C109" t="s">
        <v>1350</v>
      </c>
      <c r="D109">
        <v>41</v>
      </c>
      <c r="E109" t="s">
        <v>1420</v>
      </c>
      <c r="F109" t="s">
        <v>1421</v>
      </c>
      <c r="G109" t="s">
        <v>164</v>
      </c>
      <c r="H109" t="s">
        <v>1314</v>
      </c>
      <c r="I109" t="b">
        <v>1</v>
      </c>
      <c r="J109">
        <v>85</v>
      </c>
      <c r="K109">
        <v>1</v>
      </c>
      <c r="L109">
        <v>1</v>
      </c>
      <c r="M109">
        <v>9</v>
      </c>
      <c r="N109">
        <v>0</v>
      </c>
      <c r="O109">
        <v>6</v>
      </c>
      <c r="P109">
        <v>30</v>
      </c>
      <c r="Q109">
        <v>36</v>
      </c>
      <c r="R109">
        <v>3</v>
      </c>
      <c r="S109">
        <v>1</v>
      </c>
      <c r="T109">
        <v>14</v>
      </c>
      <c r="U109">
        <v>5</v>
      </c>
      <c r="V109">
        <v>28</v>
      </c>
      <c r="W109">
        <v>15</v>
      </c>
      <c r="X109">
        <v>33</v>
      </c>
      <c r="Y109">
        <v>36</v>
      </c>
      <c r="Z109">
        <v>0</v>
      </c>
      <c r="AA109">
        <v>0</v>
      </c>
      <c r="AB109">
        <v>24</v>
      </c>
      <c r="AC109">
        <v>66</v>
      </c>
      <c r="AD109">
        <v>11</v>
      </c>
    </row>
    <row r="110" spans="1:30" x14ac:dyDescent="0.3">
      <c r="A110" t="s">
        <v>1042</v>
      </c>
      <c r="B110" t="s">
        <v>489</v>
      </c>
      <c r="C110" t="s">
        <v>1351</v>
      </c>
      <c r="D110">
        <v>42</v>
      </c>
      <c r="E110" t="s">
        <v>1420</v>
      </c>
      <c r="F110" t="s">
        <v>1425</v>
      </c>
      <c r="G110" t="s">
        <v>105</v>
      </c>
      <c r="H110" t="s">
        <v>1285</v>
      </c>
      <c r="I110" t="b">
        <v>0</v>
      </c>
      <c r="J110">
        <v>38</v>
      </c>
      <c r="K110">
        <v>0</v>
      </c>
      <c r="L110">
        <v>0</v>
      </c>
      <c r="M110">
        <v>2</v>
      </c>
      <c r="N110">
        <v>0</v>
      </c>
      <c r="O110">
        <v>1</v>
      </c>
      <c r="P110">
        <v>5</v>
      </c>
      <c r="Q110">
        <v>9</v>
      </c>
      <c r="R110">
        <v>3</v>
      </c>
      <c r="S110">
        <v>1</v>
      </c>
      <c r="T110">
        <v>4</v>
      </c>
      <c r="U110">
        <v>5</v>
      </c>
      <c r="V110">
        <v>8</v>
      </c>
      <c r="W110">
        <v>5</v>
      </c>
      <c r="X110">
        <v>13</v>
      </c>
      <c r="Y110">
        <v>16</v>
      </c>
      <c r="Z110">
        <v>0</v>
      </c>
      <c r="AA110">
        <v>0</v>
      </c>
      <c r="AB110">
        <v>9</v>
      </c>
      <c r="AC110">
        <v>21</v>
      </c>
      <c r="AD110">
        <v>3</v>
      </c>
    </row>
    <row r="111" spans="1:30" x14ac:dyDescent="0.3">
      <c r="A111" t="s">
        <v>1042</v>
      </c>
      <c r="B111" t="s">
        <v>489</v>
      </c>
      <c r="C111" t="s">
        <v>1351</v>
      </c>
      <c r="D111">
        <v>42</v>
      </c>
      <c r="E111" t="s">
        <v>1420</v>
      </c>
      <c r="F111" t="s">
        <v>1423</v>
      </c>
      <c r="G111" t="s">
        <v>1409</v>
      </c>
      <c r="H111" t="s">
        <v>1302</v>
      </c>
      <c r="I111" t="b">
        <v>0</v>
      </c>
      <c r="J111">
        <v>38</v>
      </c>
      <c r="K111">
        <v>0</v>
      </c>
      <c r="L111">
        <v>0</v>
      </c>
      <c r="M111">
        <v>2</v>
      </c>
      <c r="N111">
        <v>0</v>
      </c>
      <c r="O111">
        <v>1</v>
      </c>
      <c r="P111">
        <v>5</v>
      </c>
      <c r="Q111">
        <v>9</v>
      </c>
      <c r="R111">
        <v>3</v>
      </c>
      <c r="S111">
        <v>1</v>
      </c>
      <c r="T111">
        <v>4</v>
      </c>
      <c r="U111">
        <v>5</v>
      </c>
      <c r="V111">
        <v>8</v>
      </c>
      <c r="W111">
        <v>5</v>
      </c>
      <c r="X111">
        <v>13</v>
      </c>
      <c r="Y111">
        <v>16</v>
      </c>
      <c r="Z111">
        <v>0</v>
      </c>
      <c r="AA111">
        <v>0</v>
      </c>
      <c r="AB111">
        <v>9</v>
      </c>
      <c r="AC111">
        <v>21</v>
      </c>
      <c r="AD111">
        <v>3</v>
      </c>
    </row>
    <row r="112" spans="1:30" x14ac:dyDescent="0.3">
      <c r="A112" t="s">
        <v>1042</v>
      </c>
      <c r="B112" t="s">
        <v>489</v>
      </c>
      <c r="C112" t="s">
        <v>1351</v>
      </c>
      <c r="D112">
        <v>42</v>
      </c>
      <c r="E112" t="s">
        <v>1420</v>
      </c>
      <c r="F112" t="s">
        <v>1421</v>
      </c>
      <c r="G112" t="s">
        <v>164</v>
      </c>
      <c r="H112" t="s">
        <v>1292</v>
      </c>
      <c r="I112" t="b">
        <v>0</v>
      </c>
      <c r="J112">
        <v>38</v>
      </c>
      <c r="K112">
        <v>0</v>
      </c>
      <c r="L112">
        <v>0</v>
      </c>
      <c r="M112">
        <v>2</v>
      </c>
      <c r="N112">
        <v>0</v>
      </c>
      <c r="O112">
        <v>1</v>
      </c>
      <c r="P112">
        <v>5</v>
      </c>
      <c r="Q112">
        <v>9</v>
      </c>
      <c r="R112">
        <v>3</v>
      </c>
      <c r="S112">
        <v>1</v>
      </c>
      <c r="T112">
        <v>4</v>
      </c>
      <c r="U112">
        <v>5</v>
      </c>
      <c r="V112">
        <v>8</v>
      </c>
      <c r="W112">
        <v>5</v>
      </c>
      <c r="X112">
        <v>13</v>
      </c>
      <c r="Y112">
        <v>16</v>
      </c>
      <c r="Z112">
        <v>0</v>
      </c>
      <c r="AA112">
        <v>0</v>
      </c>
      <c r="AB112">
        <v>9</v>
      </c>
      <c r="AC112">
        <v>21</v>
      </c>
      <c r="AD112">
        <v>3</v>
      </c>
    </row>
    <row r="113" spans="1:30" x14ac:dyDescent="0.3">
      <c r="A113" t="s">
        <v>1042</v>
      </c>
      <c r="B113" t="s">
        <v>489</v>
      </c>
      <c r="C113" t="s">
        <v>1352</v>
      </c>
      <c r="D113">
        <v>43</v>
      </c>
      <c r="E113" t="s">
        <v>1420</v>
      </c>
      <c r="F113" t="s">
        <v>1425</v>
      </c>
      <c r="G113" t="s">
        <v>105</v>
      </c>
      <c r="H113" t="s">
        <v>1308</v>
      </c>
      <c r="I113" t="b">
        <v>1</v>
      </c>
      <c r="J113">
        <v>63</v>
      </c>
      <c r="K113">
        <v>1</v>
      </c>
      <c r="L113">
        <v>0</v>
      </c>
      <c r="M113">
        <v>12</v>
      </c>
      <c r="N113">
        <v>0</v>
      </c>
      <c r="O113">
        <v>2</v>
      </c>
      <c r="P113">
        <v>10</v>
      </c>
      <c r="Q113">
        <v>14</v>
      </c>
      <c r="R113">
        <v>1</v>
      </c>
      <c r="S113">
        <v>0</v>
      </c>
      <c r="T113">
        <v>17</v>
      </c>
      <c r="U113">
        <v>0</v>
      </c>
      <c r="V113">
        <v>34</v>
      </c>
      <c r="W113">
        <v>17</v>
      </c>
      <c r="X113">
        <v>34</v>
      </c>
      <c r="Y113">
        <v>35</v>
      </c>
      <c r="Z113">
        <v>0</v>
      </c>
      <c r="AA113">
        <v>0</v>
      </c>
      <c r="AB113">
        <v>20</v>
      </c>
      <c r="AC113">
        <v>45</v>
      </c>
      <c r="AD113">
        <v>9</v>
      </c>
    </row>
    <row r="114" spans="1:30" x14ac:dyDescent="0.3">
      <c r="A114" t="s">
        <v>1042</v>
      </c>
      <c r="B114" t="s">
        <v>489</v>
      </c>
      <c r="C114" t="s">
        <v>1352</v>
      </c>
      <c r="D114">
        <v>43</v>
      </c>
      <c r="E114" t="s">
        <v>1420</v>
      </c>
      <c r="F114" t="s">
        <v>1423</v>
      </c>
      <c r="G114" t="s">
        <v>1409</v>
      </c>
      <c r="H114" t="s">
        <v>1280</v>
      </c>
      <c r="I114" t="b">
        <v>1</v>
      </c>
      <c r="J114">
        <v>63</v>
      </c>
      <c r="K114">
        <v>1</v>
      </c>
      <c r="L114">
        <v>0</v>
      </c>
      <c r="M114">
        <v>12</v>
      </c>
      <c r="N114">
        <v>0</v>
      </c>
      <c r="O114">
        <v>2</v>
      </c>
      <c r="P114">
        <v>10</v>
      </c>
      <c r="Q114">
        <v>14</v>
      </c>
      <c r="R114">
        <v>1</v>
      </c>
      <c r="S114">
        <v>0</v>
      </c>
      <c r="T114">
        <v>17</v>
      </c>
      <c r="U114">
        <v>0</v>
      </c>
      <c r="V114">
        <v>34</v>
      </c>
      <c r="W114">
        <v>17</v>
      </c>
      <c r="X114">
        <v>34</v>
      </c>
      <c r="Y114">
        <v>35</v>
      </c>
      <c r="Z114">
        <v>0</v>
      </c>
      <c r="AA114">
        <v>0</v>
      </c>
      <c r="AB114">
        <v>20</v>
      </c>
      <c r="AC114">
        <v>45</v>
      </c>
      <c r="AD114">
        <v>9</v>
      </c>
    </row>
    <row r="115" spans="1:30" x14ac:dyDescent="0.3">
      <c r="A115" t="s">
        <v>1042</v>
      </c>
      <c r="B115" t="s">
        <v>489</v>
      </c>
      <c r="C115" t="s">
        <v>1352</v>
      </c>
      <c r="D115">
        <v>43</v>
      </c>
      <c r="E115" t="s">
        <v>1420</v>
      </c>
      <c r="F115" t="s">
        <v>1421</v>
      </c>
      <c r="G115" t="s">
        <v>164</v>
      </c>
      <c r="H115" t="s">
        <v>366</v>
      </c>
      <c r="I115" t="b">
        <v>1</v>
      </c>
      <c r="J115">
        <v>63</v>
      </c>
      <c r="K115">
        <v>1</v>
      </c>
      <c r="L115">
        <v>0</v>
      </c>
      <c r="M115">
        <v>12</v>
      </c>
      <c r="N115">
        <v>0</v>
      </c>
      <c r="O115">
        <v>2</v>
      </c>
      <c r="P115">
        <v>10</v>
      </c>
      <c r="Q115">
        <v>14</v>
      </c>
      <c r="R115">
        <v>1</v>
      </c>
      <c r="S115">
        <v>0</v>
      </c>
      <c r="T115">
        <v>17</v>
      </c>
      <c r="U115">
        <v>0</v>
      </c>
      <c r="V115">
        <v>34</v>
      </c>
      <c r="W115">
        <v>17</v>
      </c>
      <c r="X115">
        <v>34</v>
      </c>
      <c r="Y115">
        <v>35</v>
      </c>
      <c r="Z115">
        <v>0</v>
      </c>
      <c r="AA115">
        <v>0</v>
      </c>
      <c r="AB115">
        <v>20</v>
      </c>
      <c r="AC115">
        <v>45</v>
      </c>
      <c r="AD115">
        <v>9</v>
      </c>
    </row>
    <row r="116" spans="1:30" x14ac:dyDescent="0.3">
      <c r="A116" t="s">
        <v>1042</v>
      </c>
      <c r="B116" t="s">
        <v>489</v>
      </c>
      <c r="C116" t="s">
        <v>1353</v>
      </c>
      <c r="D116">
        <v>44</v>
      </c>
      <c r="E116" t="s">
        <v>1420</v>
      </c>
      <c r="F116" t="s">
        <v>1425</v>
      </c>
      <c r="G116" t="s">
        <v>105</v>
      </c>
      <c r="H116" t="s">
        <v>1317</v>
      </c>
      <c r="I116" t="b">
        <v>0</v>
      </c>
      <c r="J116">
        <v>56</v>
      </c>
      <c r="K116">
        <v>0</v>
      </c>
      <c r="L116">
        <v>0</v>
      </c>
      <c r="M116">
        <v>8</v>
      </c>
      <c r="N116">
        <v>0</v>
      </c>
      <c r="O116">
        <v>3</v>
      </c>
      <c r="P116">
        <v>15</v>
      </c>
      <c r="Q116">
        <v>19</v>
      </c>
      <c r="R116">
        <v>1</v>
      </c>
      <c r="S116">
        <v>0</v>
      </c>
      <c r="T116">
        <v>11</v>
      </c>
      <c r="U116">
        <v>0</v>
      </c>
      <c r="V116">
        <v>22</v>
      </c>
      <c r="W116">
        <v>11</v>
      </c>
      <c r="X116">
        <v>22</v>
      </c>
      <c r="Y116">
        <v>23</v>
      </c>
      <c r="Z116">
        <v>0</v>
      </c>
      <c r="AA116">
        <v>0</v>
      </c>
      <c r="AB116">
        <v>15</v>
      </c>
      <c r="AC116">
        <v>38</v>
      </c>
      <c r="AD116">
        <v>7</v>
      </c>
    </row>
    <row r="117" spans="1:30" x14ac:dyDescent="0.3">
      <c r="A117" t="s">
        <v>1042</v>
      </c>
      <c r="B117" t="s">
        <v>489</v>
      </c>
      <c r="C117" t="s">
        <v>1353</v>
      </c>
      <c r="D117">
        <v>44</v>
      </c>
      <c r="E117" t="s">
        <v>1420</v>
      </c>
      <c r="F117" t="s">
        <v>1423</v>
      </c>
      <c r="G117" t="s">
        <v>1409</v>
      </c>
      <c r="H117" t="s">
        <v>1291</v>
      </c>
      <c r="I117" t="b">
        <v>0</v>
      </c>
      <c r="J117">
        <v>56</v>
      </c>
      <c r="K117">
        <v>0</v>
      </c>
      <c r="L117">
        <v>0</v>
      </c>
      <c r="M117">
        <v>8</v>
      </c>
      <c r="N117">
        <v>0</v>
      </c>
      <c r="O117">
        <v>3</v>
      </c>
      <c r="P117">
        <v>15</v>
      </c>
      <c r="Q117">
        <v>19</v>
      </c>
      <c r="R117">
        <v>1</v>
      </c>
      <c r="S117">
        <v>0</v>
      </c>
      <c r="T117">
        <v>11</v>
      </c>
      <c r="U117">
        <v>0</v>
      </c>
      <c r="V117">
        <v>22</v>
      </c>
      <c r="W117">
        <v>11</v>
      </c>
      <c r="X117">
        <v>22</v>
      </c>
      <c r="Y117">
        <v>23</v>
      </c>
      <c r="Z117">
        <v>0</v>
      </c>
      <c r="AA117">
        <v>0</v>
      </c>
      <c r="AB117">
        <v>15</v>
      </c>
      <c r="AC117">
        <v>38</v>
      </c>
      <c r="AD117">
        <v>7</v>
      </c>
    </row>
    <row r="118" spans="1:30" x14ac:dyDescent="0.3">
      <c r="A118" t="s">
        <v>1042</v>
      </c>
      <c r="B118" t="s">
        <v>489</v>
      </c>
      <c r="C118" t="s">
        <v>1353</v>
      </c>
      <c r="D118">
        <v>44</v>
      </c>
      <c r="E118" t="s">
        <v>1420</v>
      </c>
      <c r="F118" t="s">
        <v>1421</v>
      </c>
      <c r="G118" t="s">
        <v>164</v>
      </c>
      <c r="H118" t="s">
        <v>1310</v>
      </c>
      <c r="I118" t="b">
        <v>0</v>
      </c>
      <c r="J118">
        <v>56</v>
      </c>
      <c r="K118">
        <v>0</v>
      </c>
      <c r="L118">
        <v>0</v>
      </c>
      <c r="M118">
        <v>8</v>
      </c>
      <c r="N118">
        <v>0</v>
      </c>
      <c r="O118">
        <v>3</v>
      </c>
      <c r="P118">
        <v>15</v>
      </c>
      <c r="Q118">
        <v>19</v>
      </c>
      <c r="R118">
        <v>1</v>
      </c>
      <c r="S118">
        <v>0</v>
      </c>
      <c r="T118">
        <v>11</v>
      </c>
      <c r="U118">
        <v>0</v>
      </c>
      <c r="V118">
        <v>22</v>
      </c>
      <c r="W118">
        <v>11</v>
      </c>
      <c r="X118">
        <v>22</v>
      </c>
      <c r="Y118">
        <v>23</v>
      </c>
      <c r="Z118">
        <v>0</v>
      </c>
      <c r="AA118">
        <v>0</v>
      </c>
      <c r="AB118">
        <v>15</v>
      </c>
      <c r="AC118">
        <v>38</v>
      </c>
      <c r="AD118">
        <v>7</v>
      </c>
    </row>
    <row r="119" spans="1:30" x14ac:dyDescent="0.3">
      <c r="A119" t="s">
        <v>1042</v>
      </c>
      <c r="B119" t="s">
        <v>489</v>
      </c>
      <c r="C119" t="s">
        <v>1354</v>
      </c>
      <c r="D119">
        <v>45</v>
      </c>
      <c r="E119" t="s">
        <v>1420</v>
      </c>
      <c r="F119" t="s">
        <v>1425</v>
      </c>
      <c r="G119" t="s">
        <v>105</v>
      </c>
      <c r="H119" t="s">
        <v>1276</v>
      </c>
      <c r="I119" t="b">
        <v>1</v>
      </c>
      <c r="J119">
        <v>50</v>
      </c>
      <c r="K119">
        <v>1</v>
      </c>
      <c r="L119">
        <v>0</v>
      </c>
      <c r="M119">
        <v>4</v>
      </c>
      <c r="N119">
        <v>0</v>
      </c>
      <c r="O119">
        <v>1</v>
      </c>
      <c r="P119">
        <v>5</v>
      </c>
      <c r="Q119">
        <v>5</v>
      </c>
      <c r="R119">
        <v>6</v>
      </c>
      <c r="S119">
        <v>2</v>
      </c>
      <c r="T119">
        <v>8</v>
      </c>
      <c r="U119">
        <v>10</v>
      </c>
      <c r="V119">
        <v>16</v>
      </c>
      <c r="W119">
        <v>10</v>
      </c>
      <c r="X119">
        <v>26</v>
      </c>
      <c r="Y119">
        <v>32</v>
      </c>
      <c r="Z119">
        <v>0</v>
      </c>
      <c r="AA119">
        <v>0</v>
      </c>
      <c r="AB119">
        <v>17</v>
      </c>
      <c r="AC119">
        <v>37</v>
      </c>
      <c r="AD119">
        <v>6</v>
      </c>
    </row>
    <row r="120" spans="1:30" x14ac:dyDescent="0.3">
      <c r="A120" t="s">
        <v>1042</v>
      </c>
      <c r="B120" t="s">
        <v>489</v>
      </c>
      <c r="C120" t="s">
        <v>1354</v>
      </c>
      <c r="D120">
        <v>45</v>
      </c>
      <c r="E120" t="s">
        <v>1420</v>
      </c>
      <c r="F120" t="s">
        <v>1423</v>
      </c>
      <c r="G120" t="s">
        <v>1409</v>
      </c>
      <c r="H120" t="s">
        <v>1297</v>
      </c>
      <c r="I120" t="b">
        <v>1</v>
      </c>
      <c r="J120">
        <v>50</v>
      </c>
      <c r="K120">
        <v>1</v>
      </c>
      <c r="L120">
        <v>0</v>
      </c>
      <c r="M120">
        <v>4</v>
      </c>
      <c r="N120">
        <v>0</v>
      </c>
      <c r="O120">
        <v>1</v>
      </c>
      <c r="P120">
        <v>5</v>
      </c>
      <c r="Q120">
        <v>5</v>
      </c>
      <c r="R120">
        <v>6</v>
      </c>
      <c r="S120">
        <v>2</v>
      </c>
      <c r="T120">
        <v>8</v>
      </c>
      <c r="U120">
        <v>10</v>
      </c>
      <c r="V120">
        <v>16</v>
      </c>
      <c r="W120">
        <v>10</v>
      </c>
      <c r="X120">
        <v>26</v>
      </c>
      <c r="Y120">
        <v>32</v>
      </c>
      <c r="Z120">
        <v>0</v>
      </c>
      <c r="AA120">
        <v>0</v>
      </c>
      <c r="AB120">
        <v>17</v>
      </c>
      <c r="AC120">
        <v>37</v>
      </c>
      <c r="AD120">
        <v>6</v>
      </c>
    </row>
    <row r="121" spans="1:30" x14ac:dyDescent="0.3">
      <c r="A121" t="s">
        <v>1042</v>
      </c>
      <c r="B121" t="s">
        <v>489</v>
      </c>
      <c r="C121" t="s">
        <v>1354</v>
      </c>
      <c r="D121">
        <v>45</v>
      </c>
      <c r="E121" t="s">
        <v>1420</v>
      </c>
      <c r="F121" t="s">
        <v>1421</v>
      </c>
      <c r="G121" t="s">
        <v>164</v>
      </c>
      <c r="H121" t="s">
        <v>370</v>
      </c>
      <c r="I121" t="b">
        <v>1</v>
      </c>
      <c r="J121">
        <v>50</v>
      </c>
      <c r="K121">
        <v>1</v>
      </c>
      <c r="L121">
        <v>0</v>
      </c>
      <c r="M121">
        <v>4</v>
      </c>
      <c r="N121">
        <v>0</v>
      </c>
      <c r="O121">
        <v>1</v>
      </c>
      <c r="P121">
        <v>5</v>
      </c>
      <c r="Q121">
        <v>5</v>
      </c>
      <c r="R121">
        <v>6</v>
      </c>
      <c r="S121">
        <v>2</v>
      </c>
      <c r="T121">
        <v>8</v>
      </c>
      <c r="U121">
        <v>10</v>
      </c>
      <c r="V121">
        <v>16</v>
      </c>
      <c r="W121">
        <v>10</v>
      </c>
      <c r="X121">
        <v>26</v>
      </c>
      <c r="Y121">
        <v>32</v>
      </c>
      <c r="Z121">
        <v>0</v>
      </c>
      <c r="AA121">
        <v>0</v>
      </c>
      <c r="AB121">
        <v>17</v>
      </c>
      <c r="AC121">
        <v>37</v>
      </c>
      <c r="AD121">
        <v>6</v>
      </c>
    </row>
    <row r="122" spans="1:30" x14ac:dyDescent="0.3">
      <c r="A122" t="s">
        <v>1042</v>
      </c>
      <c r="B122" t="s">
        <v>489</v>
      </c>
      <c r="C122" t="s">
        <v>1355</v>
      </c>
      <c r="D122">
        <v>46</v>
      </c>
      <c r="E122" t="s">
        <v>1420</v>
      </c>
      <c r="F122" t="s">
        <v>1425</v>
      </c>
      <c r="G122" t="s">
        <v>105</v>
      </c>
      <c r="H122" t="s">
        <v>368</v>
      </c>
      <c r="I122" t="b">
        <v>1</v>
      </c>
      <c r="J122">
        <v>55</v>
      </c>
      <c r="K122">
        <v>1</v>
      </c>
      <c r="L122">
        <v>1</v>
      </c>
      <c r="M122">
        <v>5</v>
      </c>
      <c r="N122">
        <v>0</v>
      </c>
      <c r="O122">
        <v>2</v>
      </c>
      <c r="P122">
        <v>10</v>
      </c>
      <c r="Q122">
        <v>12</v>
      </c>
      <c r="R122">
        <v>4</v>
      </c>
      <c r="S122">
        <v>2</v>
      </c>
      <c r="T122">
        <v>7</v>
      </c>
      <c r="U122">
        <v>10</v>
      </c>
      <c r="V122">
        <v>14</v>
      </c>
      <c r="W122">
        <v>9</v>
      </c>
      <c r="X122">
        <v>24</v>
      </c>
      <c r="Y122">
        <v>28</v>
      </c>
      <c r="Z122">
        <v>0</v>
      </c>
      <c r="AA122">
        <v>0</v>
      </c>
      <c r="AB122">
        <v>15</v>
      </c>
      <c r="AC122">
        <v>38</v>
      </c>
      <c r="AD122">
        <v>11</v>
      </c>
    </row>
    <row r="123" spans="1:30" x14ac:dyDescent="0.3">
      <c r="A123" t="s">
        <v>1042</v>
      </c>
      <c r="B123" t="s">
        <v>489</v>
      </c>
      <c r="C123" t="s">
        <v>1355</v>
      </c>
      <c r="D123">
        <v>46</v>
      </c>
      <c r="E123" t="s">
        <v>1420</v>
      </c>
      <c r="F123" t="s">
        <v>1423</v>
      </c>
      <c r="G123" t="s">
        <v>1409</v>
      </c>
      <c r="H123" t="s">
        <v>367</v>
      </c>
      <c r="I123" t="b">
        <v>1</v>
      </c>
      <c r="J123">
        <v>55</v>
      </c>
      <c r="K123">
        <v>1</v>
      </c>
      <c r="L123">
        <v>1</v>
      </c>
      <c r="M123">
        <v>5</v>
      </c>
      <c r="N123">
        <v>0</v>
      </c>
      <c r="O123">
        <v>2</v>
      </c>
      <c r="P123">
        <v>10</v>
      </c>
      <c r="Q123">
        <v>12</v>
      </c>
      <c r="R123">
        <v>4</v>
      </c>
      <c r="S123">
        <v>2</v>
      </c>
      <c r="T123">
        <v>7</v>
      </c>
      <c r="U123">
        <v>10</v>
      </c>
      <c r="V123">
        <v>14</v>
      </c>
      <c r="W123">
        <v>9</v>
      </c>
      <c r="X123">
        <v>24</v>
      </c>
      <c r="Y123">
        <v>28</v>
      </c>
      <c r="Z123">
        <v>0</v>
      </c>
      <c r="AA123">
        <v>0</v>
      </c>
      <c r="AB123">
        <v>15</v>
      </c>
      <c r="AC123">
        <v>38</v>
      </c>
      <c r="AD123">
        <v>11</v>
      </c>
    </row>
    <row r="124" spans="1:30" x14ac:dyDescent="0.3">
      <c r="A124" t="s">
        <v>1042</v>
      </c>
      <c r="B124" t="s">
        <v>489</v>
      </c>
      <c r="C124" t="s">
        <v>1355</v>
      </c>
      <c r="D124">
        <v>46</v>
      </c>
      <c r="E124" t="s">
        <v>1420</v>
      </c>
      <c r="F124" t="s">
        <v>1421</v>
      </c>
      <c r="G124" t="s">
        <v>164</v>
      </c>
      <c r="H124" t="s">
        <v>1303</v>
      </c>
      <c r="I124" t="b">
        <v>1</v>
      </c>
      <c r="J124">
        <v>55</v>
      </c>
      <c r="K124">
        <v>1</v>
      </c>
      <c r="L124">
        <v>1</v>
      </c>
      <c r="M124">
        <v>5</v>
      </c>
      <c r="N124">
        <v>0</v>
      </c>
      <c r="O124">
        <v>2</v>
      </c>
      <c r="P124">
        <v>10</v>
      </c>
      <c r="Q124">
        <v>12</v>
      </c>
      <c r="R124">
        <v>4</v>
      </c>
      <c r="S124">
        <v>2</v>
      </c>
      <c r="T124">
        <v>7</v>
      </c>
      <c r="U124">
        <v>10</v>
      </c>
      <c r="V124">
        <v>14</v>
      </c>
      <c r="W124">
        <v>9</v>
      </c>
      <c r="X124">
        <v>24</v>
      </c>
      <c r="Y124">
        <v>28</v>
      </c>
      <c r="Z124">
        <v>0</v>
      </c>
      <c r="AA124">
        <v>0</v>
      </c>
      <c r="AB124">
        <v>15</v>
      </c>
      <c r="AC124">
        <v>38</v>
      </c>
      <c r="AD124">
        <v>11</v>
      </c>
    </row>
    <row r="125" spans="1:30" x14ac:dyDescent="0.3">
      <c r="A125" t="s">
        <v>1042</v>
      </c>
      <c r="B125" t="s">
        <v>489</v>
      </c>
      <c r="C125" t="s">
        <v>1356</v>
      </c>
      <c r="D125">
        <v>47</v>
      </c>
      <c r="E125" t="s">
        <v>1420</v>
      </c>
      <c r="F125" t="s">
        <v>1425</v>
      </c>
      <c r="G125" t="s">
        <v>105</v>
      </c>
      <c r="H125" t="s">
        <v>1290</v>
      </c>
      <c r="I125" t="b">
        <v>1</v>
      </c>
      <c r="J125">
        <v>49</v>
      </c>
      <c r="K125">
        <v>0</v>
      </c>
      <c r="L125">
        <v>0</v>
      </c>
      <c r="M125">
        <v>5</v>
      </c>
      <c r="N125">
        <v>0</v>
      </c>
      <c r="O125">
        <v>4</v>
      </c>
      <c r="P125">
        <v>20</v>
      </c>
      <c r="Q125">
        <v>24</v>
      </c>
      <c r="R125">
        <v>4</v>
      </c>
      <c r="S125">
        <v>2</v>
      </c>
      <c r="T125">
        <v>4</v>
      </c>
      <c r="U125">
        <v>10</v>
      </c>
      <c r="V125">
        <v>8</v>
      </c>
      <c r="W125">
        <v>6</v>
      </c>
      <c r="X125">
        <v>18</v>
      </c>
      <c r="Y125">
        <v>22</v>
      </c>
      <c r="Z125">
        <v>0</v>
      </c>
      <c r="AA125">
        <v>0</v>
      </c>
      <c r="AB125">
        <v>14</v>
      </c>
      <c r="AC125">
        <v>42</v>
      </c>
      <c r="AD125">
        <v>3</v>
      </c>
    </row>
    <row r="126" spans="1:30" x14ac:dyDescent="0.3">
      <c r="A126" t="s">
        <v>1042</v>
      </c>
      <c r="B126" t="s">
        <v>489</v>
      </c>
      <c r="C126" t="s">
        <v>1356</v>
      </c>
      <c r="D126">
        <v>47</v>
      </c>
      <c r="E126" t="s">
        <v>1420</v>
      </c>
      <c r="F126" t="s">
        <v>1423</v>
      </c>
      <c r="G126" t="s">
        <v>1409</v>
      </c>
      <c r="H126" t="s">
        <v>365</v>
      </c>
      <c r="I126" t="b">
        <v>1</v>
      </c>
      <c r="J126">
        <v>49</v>
      </c>
      <c r="K126">
        <v>0</v>
      </c>
      <c r="L126">
        <v>0</v>
      </c>
      <c r="M126">
        <v>5</v>
      </c>
      <c r="N126">
        <v>0</v>
      </c>
      <c r="O126">
        <v>4</v>
      </c>
      <c r="P126">
        <v>20</v>
      </c>
      <c r="Q126">
        <v>24</v>
      </c>
      <c r="R126">
        <v>4</v>
      </c>
      <c r="S126">
        <v>2</v>
      </c>
      <c r="T126">
        <v>4</v>
      </c>
      <c r="U126">
        <v>10</v>
      </c>
      <c r="V126">
        <v>8</v>
      </c>
      <c r="W126">
        <v>6</v>
      </c>
      <c r="X126">
        <v>18</v>
      </c>
      <c r="Y126">
        <v>22</v>
      </c>
      <c r="Z126">
        <v>0</v>
      </c>
      <c r="AA126">
        <v>0</v>
      </c>
      <c r="AB126">
        <v>14</v>
      </c>
      <c r="AC126">
        <v>42</v>
      </c>
      <c r="AD126">
        <v>3</v>
      </c>
    </row>
    <row r="127" spans="1:30" x14ac:dyDescent="0.3">
      <c r="A127" t="s">
        <v>1042</v>
      </c>
      <c r="B127" t="s">
        <v>489</v>
      </c>
      <c r="C127" t="s">
        <v>1356</v>
      </c>
      <c r="D127">
        <v>47</v>
      </c>
      <c r="E127" t="s">
        <v>1420</v>
      </c>
      <c r="F127" t="s">
        <v>1421</v>
      </c>
      <c r="G127" t="s">
        <v>164</v>
      </c>
      <c r="H127" t="s">
        <v>1301</v>
      </c>
      <c r="I127" t="b">
        <v>1</v>
      </c>
      <c r="J127">
        <v>49</v>
      </c>
      <c r="K127">
        <v>0</v>
      </c>
      <c r="L127">
        <v>0</v>
      </c>
      <c r="M127">
        <v>5</v>
      </c>
      <c r="N127">
        <v>0</v>
      </c>
      <c r="O127">
        <v>4</v>
      </c>
      <c r="P127">
        <v>20</v>
      </c>
      <c r="Q127">
        <v>24</v>
      </c>
      <c r="R127">
        <v>4</v>
      </c>
      <c r="S127">
        <v>2</v>
      </c>
      <c r="T127">
        <v>4</v>
      </c>
      <c r="U127">
        <v>10</v>
      </c>
      <c r="V127">
        <v>8</v>
      </c>
      <c r="W127">
        <v>6</v>
      </c>
      <c r="X127">
        <v>18</v>
      </c>
      <c r="Y127">
        <v>22</v>
      </c>
      <c r="Z127">
        <v>0</v>
      </c>
      <c r="AA127">
        <v>0</v>
      </c>
      <c r="AB127">
        <v>14</v>
      </c>
      <c r="AC127">
        <v>42</v>
      </c>
      <c r="AD127">
        <v>3</v>
      </c>
    </row>
    <row r="128" spans="1:30" x14ac:dyDescent="0.3">
      <c r="A128" t="s">
        <v>1042</v>
      </c>
      <c r="B128" t="s">
        <v>489</v>
      </c>
      <c r="C128" t="s">
        <v>1357</v>
      </c>
      <c r="D128">
        <v>48</v>
      </c>
      <c r="E128" t="s">
        <v>1420</v>
      </c>
      <c r="F128" t="s">
        <v>1425</v>
      </c>
      <c r="G128" t="s">
        <v>105</v>
      </c>
      <c r="H128" t="s">
        <v>372</v>
      </c>
      <c r="I128" t="b">
        <v>1</v>
      </c>
      <c r="J128">
        <v>22</v>
      </c>
      <c r="K128">
        <v>0</v>
      </c>
      <c r="L128">
        <v>0</v>
      </c>
      <c r="M128">
        <v>4</v>
      </c>
      <c r="N128">
        <v>0</v>
      </c>
      <c r="O128">
        <v>1</v>
      </c>
      <c r="P128">
        <v>5</v>
      </c>
      <c r="Q128">
        <v>7</v>
      </c>
      <c r="R128">
        <v>1</v>
      </c>
      <c r="S128">
        <v>0</v>
      </c>
      <c r="T128">
        <v>5</v>
      </c>
      <c r="U128">
        <v>0</v>
      </c>
      <c r="V128">
        <v>10</v>
      </c>
      <c r="W128">
        <v>5</v>
      </c>
      <c r="X128">
        <v>10</v>
      </c>
      <c r="Y128">
        <v>11</v>
      </c>
      <c r="Z128">
        <v>0</v>
      </c>
      <c r="AA128">
        <v>0</v>
      </c>
      <c r="AB128">
        <v>7</v>
      </c>
      <c r="AC128">
        <v>16</v>
      </c>
      <c r="AD128">
        <v>4</v>
      </c>
    </row>
    <row r="129" spans="1:30" x14ac:dyDescent="0.3">
      <c r="A129" t="s">
        <v>1042</v>
      </c>
      <c r="B129" t="s">
        <v>489</v>
      </c>
      <c r="C129" t="s">
        <v>1357</v>
      </c>
      <c r="D129">
        <v>48</v>
      </c>
      <c r="E129" t="s">
        <v>1420</v>
      </c>
      <c r="F129" t="s">
        <v>1423</v>
      </c>
      <c r="G129" t="s">
        <v>1409</v>
      </c>
      <c r="H129" t="s">
        <v>369</v>
      </c>
      <c r="I129" t="b">
        <v>1</v>
      </c>
      <c r="J129">
        <v>22</v>
      </c>
      <c r="K129">
        <v>0</v>
      </c>
      <c r="L129">
        <v>0</v>
      </c>
      <c r="M129">
        <v>4</v>
      </c>
      <c r="N129">
        <v>0</v>
      </c>
      <c r="O129">
        <v>1</v>
      </c>
      <c r="P129">
        <v>5</v>
      </c>
      <c r="Q129">
        <v>7</v>
      </c>
      <c r="R129">
        <v>1</v>
      </c>
      <c r="S129">
        <v>0</v>
      </c>
      <c r="T129">
        <v>5</v>
      </c>
      <c r="U129">
        <v>0</v>
      </c>
      <c r="V129">
        <v>10</v>
      </c>
      <c r="W129">
        <v>5</v>
      </c>
      <c r="X129">
        <v>10</v>
      </c>
      <c r="Y129">
        <v>11</v>
      </c>
      <c r="Z129">
        <v>0</v>
      </c>
      <c r="AA129">
        <v>0</v>
      </c>
      <c r="AB129">
        <v>7</v>
      </c>
      <c r="AC129">
        <v>16</v>
      </c>
      <c r="AD129">
        <v>4</v>
      </c>
    </row>
    <row r="130" spans="1:30" x14ac:dyDescent="0.3">
      <c r="A130" t="s">
        <v>1042</v>
      </c>
      <c r="B130" t="s">
        <v>489</v>
      </c>
      <c r="C130" t="s">
        <v>1357</v>
      </c>
      <c r="D130">
        <v>48</v>
      </c>
      <c r="E130" t="s">
        <v>1420</v>
      </c>
      <c r="F130" t="s">
        <v>1421</v>
      </c>
      <c r="G130" t="s">
        <v>164</v>
      </c>
      <c r="H130" t="s">
        <v>1285</v>
      </c>
      <c r="I130" t="b">
        <v>1</v>
      </c>
      <c r="J130">
        <v>22</v>
      </c>
      <c r="K130">
        <v>0</v>
      </c>
      <c r="L130">
        <v>0</v>
      </c>
      <c r="M130">
        <v>4</v>
      </c>
      <c r="N130">
        <v>0</v>
      </c>
      <c r="O130">
        <v>1</v>
      </c>
      <c r="P130">
        <v>5</v>
      </c>
      <c r="Q130">
        <v>7</v>
      </c>
      <c r="R130">
        <v>1</v>
      </c>
      <c r="S130">
        <v>0</v>
      </c>
      <c r="T130">
        <v>5</v>
      </c>
      <c r="U130">
        <v>0</v>
      </c>
      <c r="V130">
        <v>10</v>
      </c>
      <c r="W130">
        <v>5</v>
      </c>
      <c r="X130">
        <v>10</v>
      </c>
      <c r="Y130">
        <v>11</v>
      </c>
      <c r="Z130">
        <v>0</v>
      </c>
      <c r="AA130">
        <v>0</v>
      </c>
      <c r="AB130">
        <v>7</v>
      </c>
      <c r="AC130">
        <v>16</v>
      </c>
      <c r="AD130">
        <v>4</v>
      </c>
    </row>
    <row r="131" spans="1:30" x14ac:dyDescent="0.3">
      <c r="A131" t="s">
        <v>1042</v>
      </c>
      <c r="B131" t="s">
        <v>489</v>
      </c>
      <c r="C131" t="s">
        <v>1358</v>
      </c>
      <c r="D131">
        <v>49</v>
      </c>
      <c r="E131" t="s">
        <v>1420</v>
      </c>
      <c r="F131" t="s">
        <v>1425</v>
      </c>
      <c r="G131" t="s">
        <v>105</v>
      </c>
      <c r="H131" t="s">
        <v>1314</v>
      </c>
      <c r="I131" t="b">
        <v>1</v>
      </c>
      <c r="J131">
        <v>55</v>
      </c>
      <c r="K131">
        <v>1</v>
      </c>
      <c r="L131">
        <v>0</v>
      </c>
      <c r="M131">
        <v>5</v>
      </c>
      <c r="N131">
        <v>0</v>
      </c>
      <c r="O131">
        <v>2</v>
      </c>
      <c r="P131">
        <v>10</v>
      </c>
      <c r="Q131">
        <v>14</v>
      </c>
      <c r="R131">
        <v>5</v>
      </c>
      <c r="S131">
        <v>1</v>
      </c>
      <c r="T131">
        <v>10</v>
      </c>
      <c r="U131">
        <v>5</v>
      </c>
      <c r="V131">
        <v>20</v>
      </c>
      <c r="W131">
        <v>11</v>
      </c>
      <c r="X131">
        <v>25</v>
      </c>
      <c r="Y131">
        <v>30</v>
      </c>
      <c r="Z131">
        <v>0</v>
      </c>
      <c r="AA131">
        <v>0</v>
      </c>
      <c r="AB131">
        <v>18</v>
      </c>
      <c r="AC131">
        <v>40</v>
      </c>
      <c r="AD131">
        <v>7</v>
      </c>
    </row>
    <row r="132" spans="1:30" x14ac:dyDescent="0.3">
      <c r="A132" t="s">
        <v>1042</v>
      </c>
      <c r="B132" t="s">
        <v>489</v>
      </c>
      <c r="C132" t="s">
        <v>1358</v>
      </c>
      <c r="D132">
        <v>49</v>
      </c>
      <c r="E132" t="s">
        <v>1420</v>
      </c>
      <c r="F132" t="s">
        <v>1423</v>
      </c>
      <c r="G132" t="s">
        <v>1409</v>
      </c>
      <c r="H132" t="s">
        <v>1308</v>
      </c>
      <c r="I132" t="b">
        <v>1</v>
      </c>
      <c r="J132">
        <v>55</v>
      </c>
      <c r="K132">
        <v>1</v>
      </c>
      <c r="L132">
        <v>0</v>
      </c>
      <c r="M132">
        <v>5</v>
      </c>
      <c r="N132">
        <v>0</v>
      </c>
      <c r="O132">
        <v>2</v>
      </c>
      <c r="P132">
        <v>10</v>
      </c>
      <c r="Q132">
        <v>14</v>
      </c>
      <c r="R132">
        <v>5</v>
      </c>
      <c r="S132">
        <v>1</v>
      </c>
      <c r="T132">
        <v>10</v>
      </c>
      <c r="U132">
        <v>5</v>
      </c>
      <c r="V132">
        <v>20</v>
      </c>
      <c r="W132">
        <v>11</v>
      </c>
      <c r="X132">
        <v>25</v>
      </c>
      <c r="Y132">
        <v>30</v>
      </c>
      <c r="Z132">
        <v>0</v>
      </c>
      <c r="AA132">
        <v>0</v>
      </c>
      <c r="AB132">
        <v>18</v>
      </c>
      <c r="AC132">
        <v>40</v>
      </c>
      <c r="AD132">
        <v>7</v>
      </c>
    </row>
    <row r="133" spans="1:30" x14ac:dyDescent="0.3">
      <c r="A133" t="s">
        <v>1042</v>
      </c>
      <c r="B133" t="s">
        <v>489</v>
      </c>
      <c r="C133" t="s">
        <v>1358</v>
      </c>
      <c r="D133">
        <v>49</v>
      </c>
      <c r="E133" t="s">
        <v>1420</v>
      </c>
      <c r="F133" t="s">
        <v>1421</v>
      </c>
      <c r="G133" t="s">
        <v>164</v>
      </c>
      <c r="H133" t="s">
        <v>1306</v>
      </c>
      <c r="I133" t="b">
        <v>1</v>
      </c>
      <c r="J133">
        <v>55</v>
      </c>
      <c r="K133">
        <v>1</v>
      </c>
      <c r="L133">
        <v>0</v>
      </c>
      <c r="M133">
        <v>5</v>
      </c>
      <c r="N133">
        <v>0</v>
      </c>
      <c r="O133">
        <v>2</v>
      </c>
      <c r="P133">
        <v>10</v>
      </c>
      <c r="Q133">
        <v>14</v>
      </c>
      <c r="R133">
        <v>5</v>
      </c>
      <c r="S133">
        <v>1</v>
      </c>
      <c r="T133">
        <v>10</v>
      </c>
      <c r="U133">
        <v>5</v>
      </c>
      <c r="V133">
        <v>20</v>
      </c>
      <c r="W133">
        <v>11</v>
      </c>
      <c r="X133">
        <v>25</v>
      </c>
      <c r="Y133">
        <v>30</v>
      </c>
      <c r="Z133">
        <v>0</v>
      </c>
      <c r="AA133">
        <v>0</v>
      </c>
      <c r="AB133">
        <v>18</v>
      </c>
      <c r="AC133">
        <v>40</v>
      </c>
      <c r="AD133">
        <v>7</v>
      </c>
    </row>
    <row r="134" spans="1:30" x14ac:dyDescent="0.3">
      <c r="A134" t="s">
        <v>1042</v>
      </c>
      <c r="B134" t="s">
        <v>489</v>
      </c>
      <c r="C134" t="s">
        <v>1299</v>
      </c>
      <c r="D134">
        <v>5</v>
      </c>
      <c r="E134" t="s">
        <v>1420</v>
      </c>
      <c r="F134" t="s">
        <v>1425</v>
      </c>
      <c r="G134" t="s">
        <v>105</v>
      </c>
      <c r="H134" t="s">
        <v>371</v>
      </c>
      <c r="I134" t="b">
        <v>0</v>
      </c>
      <c r="J134">
        <v>41</v>
      </c>
      <c r="K134">
        <v>0</v>
      </c>
      <c r="L134">
        <v>0</v>
      </c>
      <c r="M134">
        <v>20</v>
      </c>
      <c r="N134">
        <v>0</v>
      </c>
      <c r="O134">
        <v>2</v>
      </c>
      <c r="P134">
        <v>10</v>
      </c>
      <c r="Q134">
        <v>14</v>
      </c>
      <c r="R134">
        <v>0</v>
      </c>
      <c r="S134">
        <v>0</v>
      </c>
      <c r="T134">
        <v>6</v>
      </c>
      <c r="U134">
        <v>0</v>
      </c>
      <c r="V134">
        <v>12</v>
      </c>
      <c r="W134">
        <v>6</v>
      </c>
      <c r="X134">
        <v>12</v>
      </c>
      <c r="Y134">
        <v>12</v>
      </c>
      <c r="Z134">
        <v>0</v>
      </c>
      <c r="AA134">
        <v>0</v>
      </c>
      <c r="AB134">
        <v>8</v>
      </c>
      <c r="AC134">
        <v>22</v>
      </c>
      <c r="AD134">
        <v>3</v>
      </c>
    </row>
    <row r="135" spans="1:30" x14ac:dyDescent="0.3">
      <c r="A135" t="s">
        <v>1042</v>
      </c>
      <c r="B135" t="s">
        <v>489</v>
      </c>
      <c r="C135" t="s">
        <v>1299</v>
      </c>
      <c r="D135">
        <v>5</v>
      </c>
      <c r="E135" t="s">
        <v>1420</v>
      </c>
      <c r="F135" t="s">
        <v>1423</v>
      </c>
      <c r="G135" t="s">
        <v>1409</v>
      </c>
      <c r="H135" t="s">
        <v>1300</v>
      </c>
      <c r="I135" t="b">
        <v>0</v>
      </c>
      <c r="J135">
        <v>41</v>
      </c>
      <c r="K135">
        <v>0</v>
      </c>
      <c r="L135">
        <v>0</v>
      </c>
      <c r="M135">
        <v>20</v>
      </c>
      <c r="N135">
        <v>0</v>
      </c>
      <c r="O135">
        <v>2</v>
      </c>
      <c r="P135">
        <v>10</v>
      </c>
      <c r="Q135">
        <v>14</v>
      </c>
      <c r="R135">
        <v>0</v>
      </c>
      <c r="S135">
        <v>0</v>
      </c>
      <c r="T135">
        <v>6</v>
      </c>
      <c r="U135">
        <v>0</v>
      </c>
      <c r="V135">
        <v>12</v>
      </c>
      <c r="W135">
        <v>6</v>
      </c>
      <c r="X135">
        <v>12</v>
      </c>
      <c r="Y135">
        <v>12</v>
      </c>
      <c r="Z135">
        <v>0</v>
      </c>
      <c r="AA135">
        <v>0</v>
      </c>
      <c r="AB135">
        <v>8</v>
      </c>
      <c r="AC135">
        <v>22</v>
      </c>
      <c r="AD135">
        <v>3</v>
      </c>
    </row>
    <row r="136" spans="1:30" x14ac:dyDescent="0.3">
      <c r="A136" t="s">
        <v>1042</v>
      </c>
      <c r="B136" t="s">
        <v>489</v>
      </c>
      <c r="C136" t="s">
        <v>1299</v>
      </c>
      <c r="D136">
        <v>5</v>
      </c>
      <c r="E136" t="s">
        <v>1420</v>
      </c>
      <c r="F136" t="s">
        <v>1421</v>
      </c>
      <c r="G136" t="s">
        <v>164</v>
      </c>
      <c r="H136" t="s">
        <v>362</v>
      </c>
      <c r="I136" t="b">
        <v>0</v>
      </c>
      <c r="J136">
        <v>41</v>
      </c>
      <c r="K136">
        <v>0</v>
      </c>
      <c r="L136">
        <v>0</v>
      </c>
      <c r="M136">
        <v>20</v>
      </c>
      <c r="N136">
        <v>0</v>
      </c>
      <c r="O136">
        <v>2</v>
      </c>
      <c r="P136">
        <v>10</v>
      </c>
      <c r="Q136">
        <v>14</v>
      </c>
      <c r="R136">
        <v>0</v>
      </c>
      <c r="S136">
        <v>0</v>
      </c>
      <c r="T136">
        <v>6</v>
      </c>
      <c r="U136">
        <v>0</v>
      </c>
      <c r="V136">
        <v>12</v>
      </c>
      <c r="W136">
        <v>6</v>
      </c>
      <c r="X136">
        <v>12</v>
      </c>
      <c r="Y136">
        <v>12</v>
      </c>
      <c r="Z136">
        <v>0</v>
      </c>
      <c r="AA136">
        <v>0</v>
      </c>
      <c r="AB136">
        <v>8</v>
      </c>
      <c r="AC136">
        <v>22</v>
      </c>
      <c r="AD136">
        <v>3</v>
      </c>
    </row>
    <row r="137" spans="1:30" x14ac:dyDescent="0.3">
      <c r="A137" t="s">
        <v>1042</v>
      </c>
      <c r="B137" t="s">
        <v>489</v>
      </c>
      <c r="C137" t="s">
        <v>1359</v>
      </c>
      <c r="D137">
        <v>50</v>
      </c>
      <c r="E137" t="s">
        <v>1420</v>
      </c>
      <c r="F137" t="s">
        <v>1425</v>
      </c>
      <c r="G137" t="s">
        <v>105</v>
      </c>
      <c r="H137" t="s">
        <v>1312</v>
      </c>
      <c r="I137" t="b">
        <v>1</v>
      </c>
      <c r="J137">
        <v>86</v>
      </c>
      <c r="K137">
        <v>1</v>
      </c>
      <c r="L137">
        <v>0</v>
      </c>
      <c r="M137">
        <v>0</v>
      </c>
      <c r="N137">
        <v>0</v>
      </c>
      <c r="O137">
        <v>6</v>
      </c>
      <c r="P137">
        <v>30</v>
      </c>
      <c r="Q137">
        <v>34</v>
      </c>
      <c r="R137">
        <v>7</v>
      </c>
      <c r="S137">
        <v>4</v>
      </c>
      <c r="T137">
        <v>0</v>
      </c>
      <c r="U137">
        <v>20</v>
      </c>
      <c r="V137">
        <v>0</v>
      </c>
      <c r="W137">
        <v>4</v>
      </c>
      <c r="X137">
        <v>20</v>
      </c>
      <c r="Y137">
        <v>27</v>
      </c>
      <c r="Z137">
        <v>5</v>
      </c>
      <c r="AA137">
        <v>1</v>
      </c>
      <c r="AB137">
        <v>17</v>
      </c>
      <c r="AC137">
        <v>57</v>
      </c>
      <c r="AD137">
        <v>8</v>
      </c>
    </row>
    <row r="138" spans="1:30" x14ac:dyDescent="0.3">
      <c r="A138" t="s">
        <v>1042</v>
      </c>
      <c r="B138" t="s">
        <v>489</v>
      </c>
      <c r="C138" t="s">
        <v>1359</v>
      </c>
      <c r="D138">
        <v>50</v>
      </c>
      <c r="E138" t="s">
        <v>1420</v>
      </c>
      <c r="F138" t="s">
        <v>1423</v>
      </c>
      <c r="G138" t="s">
        <v>1409</v>
      </c>
      <c r="H138" t="s">
        <v>1292</v>
      </c>
      <c r="I138" t="b">
        <v>1</v>
      </c>
      <c r="J138">
        <v>86</v>
      </c>
      <c r="K138">
        <v>1</v>
      </c>
      <c r="L138">
        <v>0</v>
      </c>
      <c r="M138">
        <v>0</v>
      </c>
      <c r="N138">
        <v>0</v>
      </c>
      <c r="O138">
        <v>6</v>
      </c>
      <c r="P138">
        <v>30</v>
      </c>
      <c r="Q138">
        <v>34</v>
      </c>
      <c r="R138">
        <v>7</v>
      </c>
      <c r="S138">
        <v>4</v>
      </c>
      <c r="T138">
        <v>0</v>
      </c>
      <c r="U138">
        <v>20</v>
      </c>
      <c r="V138">
        <v>0</v>
      </c>
      <c r="W138">
        <v>4</v>
      </c>
      <c r="X138">
        <v>20</v>
      </c>
      <c r="Y138">
        <v>27</v>
      </c>
      <c r="Z138">
        <v>5</v>
      </c>
      <c r="AA138">
        <v>1</v>
      </c>
      <c r="AB138">
        <v>17</v>
      </c>
      <c r="AC138">
        <v>57</v>
      </c>
      <c r="AD138">
        <v>8</v>
      </c>
    </row>
    <row r="139" spans="1:30" x14ac:dyDescent="0.3">
      <c r="A139" t="s">
        <v>1042</v>
      </c>
      <c r="B139" t="s">
        <v>489</v>
      </c>
      <c r="C139" t="s">
        <v>1359</v>
      </c>
      <c r="D139">
        <v>50</v>
      </c>
      <c r="E139" t="s">
        <v>1420</v>
      </c>
      <c r="F139" t="s">
        <v>1421</v>
      </c>
      <c r="G139" t="s">
        <v>164</v>
      </c>
      <c r="H139" t="s">
        <v>360</v>
      </c>
      <c r="I139" t="b">
        <v>1</v>
      </c>
      <c r="J139">
        <v>86</v>
      </c>
      <c r="K139">
        <v>1</v>
      </c>
      <c r="L139">
        <v>0</v>
      </c>
      <c r="M139">
        <v>0</v>
      </c>
      <c r="N139">
        <v>0</v>
      </c>
      <c r="O139">
        <v>6</v>
      </c>
      <c r="P139">
        <v>30</v>
      </c>
      <c r="Q139">
        <v>34</v>
      </c>
      <c r="R139">
        <v>7</v>
      </c>
      <c r="S139">
        <v>4</v>
      </c>
      <c r="T139">
        <v>0</v>
      </c>
      <c r="U139">
        <v>20</v>
      </c>
      <c r="V139">
        <v>0</v>
      </c>
      <c r="W139">
        <v>4</v>
      </c>
      <c r="X139">
        <v>20</v>
      </c>
      <c r="Y139">
        <v>27</v>
      </c>
      <c r="Z139">
        <v>5</v>
      </c>
      <c r="AA139">
        <v>1</v>
      </c>
      <c r="AB139">
        <v>17</v>
      </c>
      <c r="AC139">
        <v>57</v>
      </c>
      <c r="AD139">
        <v>8</v>
      </c>
    </row>
    <row r="140" spans="1:30" x14ac:dyDescent="0.3">
      <c r="A140" t="s">
        <v>1042</v>
      </c>
      <c r="B140" t="s">
        <v>489</v>
      </c>
      <c r="C140" t="s">
        <v>1360</v>
      </c>
      <c r="D140">
        <v>51</v>
      </c>
      <c r="E140" t="s">
        <v>1420</v>
      </c>
      <c r="F140" t="s">
        <v>1425</v>
      </c>
      <c r="G140" t="s">
        <v>105</v>
      </c>
      <c r="H140" t="s">
        <v>364</v>
      </c>
      <c r="I140" t="b">
        <v>1</v>
      </c>
      <c r="J140">
        <v>53</v>
      </c>
      <c r="K140">
        <v>1</v>
      </c>
      <c r="L140">
        <v>0</v>
      </c>
      <c r="M140">
        <v>10</v>
      </c>
      <c r="N140">
        <v>0</v>
      </c>
      <c r="O140">
        <v>2</v>
      </c>
      <c r="P140">
        <v>10</v>
      </c>
      <c r="Q140">
        <v>14</v>
      </c>
      <c r="R140">
        <v>1</v>
      </c>
      <c r="S140">
        <v>0</v>
      </c>
      <c r="T140">
        <v>12</v>
      </c>
      <c r="U140">
        <v>0</v>
      </c>
      <c r="V140">
        <v>24</v>
      </c>
      <c r="W140">
        <v>12</v>
      </c>
      <c r="X140">
        <v>24</v>
      </c>
      <c r="Y140">
        <v>25</v>
      </c>
      <c r="Z140">
        <v>0</v>
      </c>
      <c r="AA140">
        <v>0</v>
      </c>
      <c r="AB140">
        <v>15</v>
      </c>
      <c r="AC140">
        <v>35</v>
      </c>
      <c r="AD140">
        <v>9</v>
      </c>
    </row>
    <row r="141" spans="1:30" x14ac:dyDescent="0.3">
      <c r="A141" t="s">
        <v>1042</v>
      </c>
      <c r="B141" t="s">
        <v>489</v>
      </c>
      <c r="C141" t="s">
        <v>1360</v>
      </c>
      <c r="D141">
        <v>51</v>
      </c>
      <c r="E141" t="s">
        <v>1420</v>
      </c>
      <c r="F141" t="s">
        <v>1423</v>
      </c>
      <c r="G141" t="s">
        <v>1409</v>
      </c>
      <c r="H141" t="s">
        <v>1296</v>
      </c>
      <c r="I141" t="b">
        <v>1</v>
      </c>
      <c r="J141">
        <v>53</v>
      </c>
      <c r="K141">
        <v>1</v>
      </c>
      <c r="L141">
        <v>0</v>
      </c>
      <c r="M141">
        <v>10</v>
      </c>
      <c r="N141">
        <v>0</v>
      </c>
      <c r="O141">
        <v>2</v>
      </c>
      <c r="P141">
        <v>10</v>
      </c>
      <c r="Q141">
        <v>14</v>
      </c>
      <c r="R141">
        <v>1</v>
      </c>
      <c r="S141">
        <v>0</v>
      </c>
      <c r="T141">
        <v>12</v>
      </c>
      <c r="U141">
        <v>0</v>
      </c>
      <c r="V141">
        <v>24</v>
      </c>
      <c r="W141">
        <v>12</v>
      </c>
      <c r="X141">
        <v>24</v>
      </c>
      <c r="Y141">
        <v>25</v>
      </c>
      <c r="Z141">
        <v>0</v>
      </c>
      <c r="AA141">
        <v>0</v>
      </c>
      <c r="AB141">
        <v>15</v>
      </c>
      <c r="AC141">
        <v>35</v>
      </c>
      <c r="AD141">
        <v>9</v>
      </c>
    </row>
    <row r="142" spans="1:30" x14ac:dyDescent="0.3">
      <c r="A142" t="s">
        <v>1042</v>
      </c>
      <c r="B142" t="s">
        <v>489</v>
      </c>
      <c r="C142" t="s">
        <v>1360</v>
      </c>
      <c r="D142">
        <v>51</v>
      </c>
      <c r="E142" t="s">
        <v>1420</v>
      </c>
      <c r="F142" t="s">
        <v>1421</v>
      </c>
      <c r="G142" t="s">
        <v>164</v>
      </c>
      <c r="H142" t="s">
        <v>1300</v>
      </c>
      <c r="I142" t="b">
        <v>1</v>
      </c>
      <c r="J142">
        <v>53</v>
      </c>
      <c r="K142">
        <v>1</v>
      </c>
      <c r="L142">
        <v>0</v>
      </c>
      <c r="M142">
        <v>10</v>
      </c>
      <c r="N142">
        <v>0</v>
      </c>
      <c r="O142">
        <v>2</v>
      </c>
      <c r="P142">
        <v>10</v>
      </c>
      <c r="Q142">
        <v>14</v>
      </c>
      <c r="R142">
        <v>1</v>
      </c>
      <c r="S142">
        <v>0</v>
      </c>
      <c r="T142">
        <v>12</v>
      </c>
      <c r="U142">
        <v>0</v>
      </c>
      <c r="V142">
        <v>24</v>
      </c>
      <c r="W142">
        <v>12</v>
      </c>
      <c r="X142">
        <v>24</v>
      </c>
      <c r="Y142">
        <v>25</v>
      </c>
      <c r="Z142">
        <v>0</v>
      </c>
      <c r="AA142">
        <v>0</v>
      </c>
      <c r="AB142">
        <v>15</v>
      </c>
      <c r="AC142">
        <v>35</v>
      </c>
      <c r="AD142">
        <v>9</v>
      </c>
    </row>
    <row r="143" spans="1:30" x14ac:dyDescent="0.3">
      <c r="A143" t="s">
        <v>1042</v>
      </c>
      <c r="B143" t="s">
        <v>489</v>
      </c>
      <c r="C143" t="s">
        <v>1361</v>
      </c>
      <c r="D143">
        <v>52</v>
      </c>
      <c r="E143" t="s">
        <v>1420</v>
      </c>
      <c r="F143" t="s">
        <v>1425</v>
      </c>
      <c r="G143" t="s">
        <v>105</v>
      </c>
      <c r="H143" t="s">
        <v>1317</v>
      </c>
      <c r="I143" t="b">
        <v>0</v>
      </c>
      <c r="J143">
        <v>45</v>
      </c>
      <c r="K143">
        <v>0</v>
      </c>
      <c r="L143">
        <v>0</v>
      </c>
      <c r="M143">
        <v>7</v>
      </c>
      <c r="N143">
        <v>0</v>
      </c>
      <c r="O143">
        <v>3</v>
      </c>
      <c r="P143">
        <v>15</v>
      </c>
      <c r="Q143">
        <v>19</v>
      </c>
      <c r="R143">
        <v>4</v>
      </c>
      <c r="S143">
        <v>2</v>
      </c>
      <c r="T143">
        <v>5</v>
      </c>
      <c r="U143">
        <v>10</v>
      </c>
      <c r="V143">
        <v>10</v>
      </c>
      <c r="W143">
        <v>7</v>
      </c>
      <c r="X143">
        <v>20</v>
      </c>
      <c r="Y143">
        <v>24</v>
      </c>
      <c r="Z143">
        <v>0</v>
      </c>
      <c r="AA143">
        <v>0</v>
      </c>
      <c r="AB143">
        <v>14</v>
      </c>
      <c r="AC143">
        <v>39</v>
      </c>
      <c r="AD143">
        <v>2</v>
      </c>
    </row>
    <row r="144" spans="1:30" x14ac:dyDescent="0.3">
      <c r="A144" t="s">
        <v>1042</v>
      </c>
      <c r="B144" t="s">
        <v>489</v>
      </c>
      <c r="C144" t="s">
        <v>1361</v>
      </c>
      <c r="D144">
        <v>52</v>
      </c>
      <c r="E144" t="s">
        <v>1420</v>
      </c>
      <c r="F144" t="s">
        <v>1423</v>
      </c>
      <c r="G144" t="s">
        <v>1409</v>
      </c>
      <c r="H144" t="s">
        <v>1303</v>
      </c>
      <c r="I144" t="b">
        <v>0</v>
      </c>
      <c r="J144">
        <v>45</v>
      </c>
      <c r="K144">
        <v>0</v>
      </c>
      <c r="L144">
        <v>0</v>
      </c>
      <c r="M144">
        <v>7</v>
      </c>
      <c r="N144">
        <v>0</v>
      </c>
      <c r="O144">
        <v>3</v>
      </c>
      <c r="P144">
        <v>15</v>
      </c>
      <c r="Q144">
        <v>19</v>
      </c>
      <c r="R144">
        <v>4</v>
      </c>
      <c r="S144">
        <v>2</v>
      </c>
      <c r="T144">
        <v>5</v>
      </c>
      <c r="U144">
        <v>10</v>
      </c>
      <c r="V144">
        <v>10</v>
      </c>
      <c r="W144">
        <v>7</v>
      </c>
      <c r="X144">
        <v>20</v>
      </c>
      <c r="Y144">
        <v>24</v>
      </c>
      <c r="Z144">
        <v>0</v>
      </c>
      <c r="AA144">
        <v>0</v>
      </c>
      <c r="AB144">
        <v>14</v>
      </c>
      <c r="AC144">
        <v>39</v>
      </c>
      <c r="AD144">
        <v>2</v>
      </c>
    </row>
    <row r="145" spans="1:30" x14ac:dyDescent="0.3">
      <c r="A145" t="s">
        <v>1042</v>
      </c>
      <c r="B145" t="s">
        <v>489</v>
      </c>
      <c r="C145" t="s">
        <v>1361</v>
      </c>
      <c r="D145">
        <v>52</v>
      </c>
      <c r="E145" t="s">
        <v>1420</v>
      </c>
      <c r="F145" t="s">
        <v>1421</v>
      </c>
      <c r="G145" t="s">
        <v>164</v>
      </c>
      <c r="H145" t="s">
        <v>361</v>
      </c>
      <c r="I145" t="b">
        <v>0</v>
      </c>
      <c r="J145">
        <v>45</v>
      </c>
      <c r="K145">
        <v>0</v>
      </c>
      <c r="L145">
        <v>0</v>
      </c>
      <c r="M145">
        <v>7</v>
      </c>
      <c r="N145">
        <v>0</v>
      </c>
      <c r="O145">
        <v>3</v>
      </c>
      <c r="P145">
        <v>15</v>
      </c>
      <c r="Q145">
        <v>19</v>
      </c>
      <c r="R145">
        <v>4</v>
      </c>
      <c r="S145">
        <v>2</v>
      </c>
      <c r="T145">
        <v>5</v>
      </c>
      <c r="U145">
        <v>10</v>
      </c>
      <c r="V145">
        <v>10</v>
      </c>
      <c r="W145">
        <v>7</v>
      </c>
      <c r="X145">
        <v>20</v>
      </c>
      <c r="Y145">
        <v>24</v>
      </c>
      <c r="Z145">
        <v>0</v>
      </c>
      <c r="AA145">
        <v>0</v>
      </c>
      <c r="AB145">
        <v>14</v>
      </c>
      <c r="AC145">
        <v>39</v>
      </c>
      <c r="AD145">
        <v>2</v>
      </c>
    </row>
    <row r="146" spans="1:30" x14ac:dyDescent="0.3">
      <c r="A146" t="s">
        <v>1042</v>
      </c>
      <c r="B146" t="s">
        <v>489</v>
      </c>
      <c r="C146" t="s">
        <v>1362</v>
      </c>
      <c r="D146">
        <v>53</v>
      </c>
      <c r="E146" t="s">
        <v>1420</v>
      </c>
      <c r="F146" t="s">
        <v>1425</v>
      </c>
      <c r="G146" t="s">
        <v>105</v>
      </c>
      <c r="H146" t="s">
        <v>1311</v>
      </c>
      <c r="I146" t="b">
        <v>0</v>
      </c>
      <c r="J146">
        <v>15</v>
      </c>
      <c r="K146">
        <v>0</v>
      </c>
      <c r="L146">
        <v>0</v>
      </c>
      <c r="M146">
        <v>10</v>
      </c>
      <c r="N146">
        <v>0</v>
      </c>
      <c r="O146">
        <v>0</v>
      </c>
      <c r="P146">
        <v>0</v>
      </c>
      <c r="Q146">
        <v>6</v>
      </c>
      <c r="R146">
        <v>0</v>
      </c>
      <c r="S146">
        <v>0</v>
      </c>
      <c r="T146">
        <v>2</v>
      </c>
      <c r="U146">
        <v>0</v>
      </c>
      <c r="V146">
        <v>4</v>
      </c>
      <c r="W146">
        <v>2</v>
      </c>
      <c r="X146">
        <v>4</v>
      </c>
      <c r="Y146">
        <v>4</v>
      </c>
      <c r="Z146">
        <v>0</v>
      </c>
      <c r="AA146">
        <v>0</v>
      </c>
      <c r="AB146">
        <v>2</v>
      </c>
      <c r="AC146">
        <v>4</v>
      </c>
      <c r="AD146">
        <v>3</v>
      </c>
    </row>
    <row r="147" spans="1:30" x14ac:dyDescent="0.3">
      <c r="A147" t="s">
        <v>1042</v>
      </c>
      <c r="B147" t="s">
        <v>489</v>
      </c>
      <c r="C147" t="s">
        <v>1362</v>
      </c>
      <c r="D147">
        <v>53</v>
      </c>
      <c r="E147" t="s">
        <v>1420</v>
      </c>
      <c r="F147" t="s">
        <v>1423</v>
      </c>
      <c r="G147" t="s">
        <v>1409</v>
      </c>
      <c r="H147" t="s">
        <v>1276</v>
      </c>
      <c r="I147" t="b">
        <v>0</v>
      </c>
      <c r="J147">
        <v>15</v>
      </c>
      <c r="K147">
        <v>0</v>
      </c>
      <c r="L147">
        <v>0</v>
      </c>
      <c r="M147">
        <v>10</v>
      </c>
      <c r="N147">
        <v>0</v>
      </c>
      <c r="O147">
        <v>0</v>
      </c>
      <c r="P147">
        <v>0</v>
      </c>
      <c r="Q147">
        <v>6</v>
      </c>
      <c r="R147">
        <v>0</v>
      </c>
      <c r="S147">
        <v>0</v>
      </c>
      <c r="T147">
        <v>2</v>
      </c>
      <c r="U147">
        <v>0</v>
      </c>
      <c r="V147">
        <v>4</v>
      </c>
      <c r="W147">
        <v>2</v>
      </c>
      <c r="X147">
        <v>4</v>
      </c>
      <c r="Y147">
        <v>4</v>
      </c>
      <c r="Z147">
        <v>0</v>
      </c>
      <c r="AA147">
        <v>0</v>
      </c>
      <c r="AB147">
        <v>2</v>
      </c>
      <c r="AC147">
        <v>4</v>
      </c>
      <c r="AD147">
        <v>3</v>
      </c>
    </row>
    <row r="148" spans="1:30" x14ac:dyDescent="0.3">
      <c r="A148" t="s">
        <v>1042</v>
      </c>
      <c r="B148" t="s">
        <v>489</v>
      </c>
      <c r="C148" t="s">
        <v>1362</v>
      </c>
      <c r="D148">
        <v>53</v>
      </c>
      <c r="E148" t="s">
        <v>1420</v>
      </c>
      <c r="F148" t="s">
        <v>1421</v>
      </c>
      <c r="G148" t="s">
        <v>164</v>
      </c>
      <c r="H148" t="s">
        <v>1302</v>
      </c>
      <c r="I148" t="b">
        <v>0</v>
      </c>
      <c r="J148">
        <v>15</v>
      </c>
      <c r="K148">
        <v>0</v>
      </c>
      <c r="L148">
        <v>0</v>
      </c>
      <c r="M148">
        <v>10</v>
      </c>
      <c r="N148">
        <v>0</v>
      </c>
      <c r="O148">
        <v>0</v>
      </c>
      <c r="P148">
        <v>0</v>
      </c>
      <c r="Q148">
        <v>6</v>
      </c>
      <c r="R148">
        <v>0</v>
      </c>
      <c r="S148">
        <v>0</v>
      </c>
      <c r="T148">
        <v>2</v>
      </c>
      <c r="U148">
        <v>0</v>
      </c>
      <c r="V148">
        <v>4</v>
      </c>
      <c r="W148">
        <v>2</v>
      </c>
      <c r="X148">
        <v>4</v>
      </c>
      <c r="Y148">
        <v>4</v>
      </c>
      <c r="Z148">
        <v>0</v>
      </c>
      <c r="AA148">
        <v>0</v>
      </c>
      <c r="AB148">
        <v>2</v>
      </c>
      <c r="AC148">
        <v>4</v>
      </c>
      <c r="AD148">
        <v>3</v>
      </c>
    </row>
    <row r="149" spans="1:30" x14ac:dyDescent="0.3">
      <c r="A149" t="s">
        <v>1042</v>
      </c>
      <c r="B149" t="s">
        <v>489</v>
      </c>
      <c r="C149" t="s">
        <v>1363</v>
      </c>
      <c r="D149">
        <v>54</v>
      </c>
      <c r="E149" t="s">
        <v>1420</v>
      </c>
      <c r="F149" t="s">
        <v>1425</v>
      </c>
      <c r="G149" t="s">
        <v>105</v>
      </c>
      <c r="H149" t="s">
        <v>1298</v>
      </c>
      <c r="I149" t="b">
        <v>1</v>
      </c>
      <c r="J149">
        <v>34</v>
      </c>
      <c r="K149">
        <v>0</v>
      </c>
      <c r="L149">
        <v>0</v>
      </c>
      <c r="M149">
        <v>0</v>
      </c>
      <c r="N149">
        <v>0</v>
      </c>
      <c r="O149">
        <v>2</v>
      </c>
      <c r="P149">
        <v>10</v>
      </c>
      <c r="Q149">
        <v>12</v>
      </c>
      <c r="R149">
        <v>1</v>
      </c>
      <c r="S149">
        <v>0</v>
      </c>
      <c r="T149">
        <v>7</v>
      </c>
      <c r="U149">
        <v>0</v>
      </c>
      <c r="V149">
        <v>14</v>
      </c>
      <c r="W149">
        <v>7</v>
      </c>
      <c r="X149">
        <v>14</v>
      </c>
      <c r="Y149">
        <v>15</v>
      </c>
      <c r="Z149">
        <v>0</v>
      </c>
      <c r="AA149">
        <v>0</v>
      </c>
      <c r="AB149">
        <v>10</v>
      </c>
      <c r="AC149">
        <v>25</v>
      </c>
      <c r="AD149">
        <v>5</v>
      </c>
    </row>
    <row r="150" spans="1:30" x14ac:dyDescent="0.3">
      <c r="A150" t="s">
        <v>1042</v>
      </c>
      <c r="B150" t="s">
        <v>489</v>
      </c>
      <c r="C150" t="s">
        <v>1363</v>
      </c>
      <c r="D150">
        <v>54</v>
      </c>
      <c r="E150" t="s">
        <v>1420</v>
      </c>
      <c r="F150" t="s">
        <v>1423</v>
      </c>
      <c r="G150" t="s">
        <v>1409</v>
      </c>
      <c r="H150" t="s">
        <v>1279</v>
      </c>
      <c r="I150" t="b">
        <v>1</v>
      </c>
      <c r="J150">
        <v>34</v>
      </c>
      <c r="K150">
        <v>0</v>
      </c>
      <c r="L150">
        <v>0</v>
      </c>
      <c r="M150">
        <v>0</v>
      </c>
      <c r="N150">
        <v>0</v>
      </c>
      <c r="O150">
        <v>2</v>
      </c>
      <c r="P150">
        <v>10</v>
      </c>
      <c r="Q150">
        <v>12</v>
      </c>
      <c r="R150">
        <v>1</v>
      </c>
      <c r="S150">
        <v>0</v>
      </c>
      <c r="T150">
        <v>7</v>
      </c>
      <c r="U150">
        <v>0</v>
      </c>
      <c r="V150">
        <v>14</v>
      </c>
      <c r="W150">
        <v>7</v>
      </c>
      <c r="X150">
        <v>14</v>
      </c>
      <c r="Y150">
        <v>15</v>
      </c>
      <c r="Z150">
        <v>0</v>
      </c>
      <c r="AA150">
        <v>0</v>
      </c>
      <c r="AB150">
        <v>10</v>
      </c>
      <c r="AC150">
        <v>25</v>
      </c>
      <c r="AD150">
        <v>5</v>
      </c>
    </row>
    <row r="151" spans="1:30" x14ac:dyDescent="0.3">
      <c r="A151" t="s">
        <v>1042</v>
      </c>
      <c r="B151" t="s">
        <v>489</v>
      </c>
      <c r="C151" t="s">
        <v>1363</v>
      </c>
      <c r="D151">
        <v>54</v>
      </c>
      <c r="E151" t="s">
        <v>1420</v>
      </c>
      <c r="F151" t="s">
        <v>1421</v>
      </c>
      <c r="G151" t="s">
        <v>164</v>
      </c>
      <c r="H151" t="s">
        <v>371</v>
      </c>
      <c r="I151" t="b">
        <v>1</v>
      </c>
      <c r="J151">
        <v>34</v>
      </c>
      <c r="K151">
        <v>0</v>
      </c>
      <c r="L151">
        <v>0</v>
      </c>
      <c r="M151">
        <v>0</v>
      </c>
      <c r="N151">
        <v>0</v>
      </c>
      <c r="O151">
        <v>2</v>
      </c>
      <c r="P151">
        <v>10</v>
      </c>
      <c r="Q151">
        <v>12</v>
      </c>
      <c r="R151">
        <v>1</v>
      </c>
      <c r="S151">
        <v>0</v>
      </c>
      <c r="T151">
        <v>7</v>
      </c>
      <c r="U151">
        <v>0</v>
      </c>
      <c r="V151">
        <v>14</v>
      </c>
      <c r="W151">
        <v>7</v>
      </c>
      <c r="X151">
        <v>14</v>
      </c>
      <c r="Y151">
        <v>15</v>
      </c>
      <c r="Z151">
        <v>0</v>
      </c>
      <c r="AA151">
        <v>0</v>
      </c>
      <c r="AB151">
        <v>10</v>
      </c>
      <c r="AC151">
        <v>25</v>
      </c>
      <c r="AD151">
        <v>5</v>
      </c>
    </row>
    <row r="152" spans="1:30" x14ac:dyDescent="0.3">
      <c r="A152" t="s">
        <v>1042</v>
      </c>
      <c r="B152" t="s">
        <v>489</v>
      </c>
      <c r="C152" t="s">
        <v>1364</v>
      </c>
      <c r="D152">
        <v>55</v>
      </c>
      <c r="E152" t="s">
        <v>1420</v>
      </c>
      <c r="F152" t="s">
        <v>1425</v>
      </c>
      <c r="G152" t="s">
        <v>105</v>
      </c>
      <c r="H152" t="s">
        <v>1297</v>
      </c>
      <c r="I152" t="b">
        <v>1</v>
      </c>
      <c r="J152">
        <v>61</v>
      </c>
      <c r="K152">
        <v>1</v>
      </c>
      <c r="L152">
        <v>0</v>
      </c>
      <c r="M152">
        <v>12</v>
      </c>
      <c r="N152">
        <v>0</v>
      </c>
      <c r="O152">
        <v>1</v>
      </c>
      <c r="P152">
        <v>5</v>
      </c>
      <c r="Q152">
        <v>9</v>
      </c>
      <c r="R152">
        <v>5</v>
      </c>
      <c r="S152">
        <v>3</v>
      </c>
      <c r="T152">
        <v>9</v>
      </c>
      <c r="U152">
        <v>15</v>
      </c>
      <c r="V152">
        <v>18</v>
      </c>
      <c r="W152">
        <v>12</v>
      </c>
      <c r="X152">
        <v>33</v>
      </c>
      <c r="Y152">
        <v>38</v>
      </c>
      <c r="Z152">
        <v>0</v>
      </c>
      <c r="AA152">
        <v>0</v>
      </c>
      <c r="AB152">
        <v>18</v>
      </c>
      <c r="AC152">
        <v>43</v>
      </c>
      <c r="AD152">
        <v>3</v>
      </c>
    </row>
    <row r="153" spans="1:30" x14ac:dyDescent="0.3">
      <c r="A153" t="s">
        <v>1042</v>
      </c>
      <c r="B153" t="s">
        <v>489</v>
      </c>
      <c r="C153" t="s">
        <v>1364</v>
      </c>
      <c r="D153">
        <v>55</v>
      </c>
      <c r="E153" t="s">
        <v>1420</v>
      </c>
      <c r="F153" t="s">
        <v>1423</v>
      </c>
      <c r="G153" t="s">
        <v>1409</v>
      </c>
      <c r="H153" t="s">
        <v>1288</v>
      </c>
      <c r="I153" t="b">
        <v>1</v>
      </c>
      <c r="J153">
        <v>61</v>
      </c>
      <c r="K153">
        <v>1</v>
      </c>
      <c r="L153">
        <v>0</v>
      </c>
      <c r="M153">
        <v>12</v>
      </c>
      <c r="N153">
        <v>0</v>
      </c>
      <c r="O153">
        <v>1</v>
      </c>
      <c r="P153">
        <v>5</v>
      </c>
      <c r="Q153">
        <v>9</v>
      </c>
      <c r="R153">
        <v>5</v>
      </c>
      <c r="S153">
        <v>3</v>
      </c>
      <c r="T153">
        <v>9</v>
      </c>
      <c r="U153">
        <v>15</v>
      </c>
      <c r="V153">
        <v>18</v>
      </c>
      <c r="W153">
        <v>12</v>
      </c>
      <c r="X153">
        <v>33</v>
      </c>
      <c r="Y153">
        <v>38</v>
      </c>
      <c r="Z153">
        <v>0</v>
      </c>
      <c r="AA153">
        <v>0</v>
      </c>
      <c r="AB153">
        <v>18</v>
      </c>
      <c r="AC153">
        <v>43</v>
      </c>
      <c r="AD153">
        <v>3</v>
      </c>
    </row>
    <row r="154" spans="1:30" x14ac:dyDescent="0.3">
      <c r="A154" t="s">
        <v>1042</v>
      </c>
      <c r="B154" t="s">
        <v>489</v>
      </c>
      <c r="C154" t="s">
        <v>1364</v>
      </c>
      <c r="D154">
        <v>55</v>
      </c>
      <c r="E154" t="s">
        <v>1420</v>
      </c>
      <c r="F154" t="s">
        <v>1421</v>
      </c>
      <c r="G154" t="s">
        <v>164</v>
      </c>
      <c r="H154" t="s">
        <v>362</v>
      </c>
      <c r="I154" t="b">
        <v>1</v>
      </c>
      <c r="J154">
        <v>61</v>
      </c>
      <c r="K154">
        <v>1</v>
      </c>
      <c r="L154">
        <v>0</v>
      </c>
      <c r="M154">
        <v>12</v>
      </c>
      <c r="N154">
        <v>0</v>
      </c>
      <c r="O154">
        <v>1</v>
      </c>
      <c r="P154">
        <v>5</v>
      </c>
      <c r="Q154">
        <v>9</v>
      </c>
      <c r="R154">
        <v>5</v>
      </c>
      <c r="S154">
        <v>3</v>
      </c>
      <c r="T154">
        <v>9</v>
      </c>
      <c r="U154">
        <v>15</v>
      </c>
      <c r="V154">
        <v>18</v>
      </c>
      <c r="W154">
        <v>12</v>
      </c>
      <c r="X154">
        <v>33</v>
      </c>
      <c r="Y154">
        <v>38</v>
      </c>
      <c r="Z154">
        <v>0</v>
      </c>
      <c r="AA154">
        <v>0</v>
      </c>
      <c r="AB154">
        <v>18</v>
      </c>
      <c r="AC154">
        <v>43</v>
      </c>
      <c r="AD154">
        <v>3</v>
      </c>
    </row>
    <row r="155" spans="1:30" x14ac:dyDescent="0.3">
      <c r="A155" t="s">
        <v>1042</v>
      </c>
      <c r="B155" t="s">
        <v>489</v>
      </c>
      <c r="C155" t="s">
        <v>1365</v>
      </c>
      <c r="D155">
        <v>56</v>
      </c>
      <c r="E155" t="s">
        <v>1420</v>
      </c>
      <c r="F155" t="s">
        <v>1425</v>
      </c>
      <c r="G155" t="s">
        <v>105</v>
      </c>
      <c r="H155" t="s">
        <v>1285</v>
      </c>
      <c r="I155" t="b">
        <v>1</v>
      </c>
      <c r="J155">
        <v>89</v>
      </c>
      <c r="K155">
        <v>1</v>
      </c>
      <c r="L155">
        <v>0</v>
      </c>
      <c r="M155">
        <v>0</v>
      </c>
      <c r="N155">
        <v>0</v>
      </c>
      <c r="O155">
        <v>5</v>
      </c>
      <c r="P155">
        <v>25</v>
      </c>
      <c r="Q155">
        <v>29</v>
      </c>
      <c r="R155">
        <v>6</v>
      </c>
      <c r="S155">
        <v>5</v>
      </c>
      <c r="T155">
        <v>5</v>
      </c>
      <c r="U155">
        <v>25</v>
      </c>
      <c r="V155">
        <v>10</v>
      </c>
      <c r="W155">
        <v>10</v>
      </c>
      <c r="X155">
        <v>35</v>
      </c>
      <c r="Y155">
        <v>41</v>
      </c>
      <c r="Z155">
        <v>0</v>
      </c>
      <c r="AA155">
        <v>0</v>
      </c>
      <c r="AB155">
        <v>21</v>
      </c>
      <c r="AC155">
        <v>66</v>
      </c>
      <c r="AD155">
        <v>5</v>
      </c>
    </row>
    <row r="156" spans="1:30" x14ac:dyDescent="0.3">
      <c r="A156" t="s">
        <v>1042</v>
      </c>
      <c r="B156" t="s">
        <v>489</v>
      </c>
      <c r="C156" t="s">
        <v>1365</v>
      </c>
      <c r="D156">
        <v>56</v>
      </c>
      <c r="E156" t="s">
        <v>1420</v>
      </c>
      <c r="F156" t="s">
        <v>1423</v>
      </c>
      <c r="G156" t="s">
        <v>1409</v>
      </c>
      <c r="H156" t="s">
        <v>1280</v>
      </c>
      <c r="I156" t="b">
        <v>1</v>
      </c>
      <c r="J156">
        <v>89</v>
      </c>
      <c r="K156">
        <v>1</v>
      </c>
      <c r="L156">
        <v>0</v>
      </c>
      <c r="M156">
        <v>0</v>
      </c>
      <c r="N156">
        <v>0</v>
      </c>
      <c r="O156">
        <v>5</v>
      </c>
      <c r="P156">
        <v>25</v>
      </c>
      <c r="Q156">
        <v>29</v>
      </c>
      <c r="R156">
        <v>6</v>
      </c>
      <c r="S156">
        <v>5</v>
      </c>
      <c r="T156">
        <v>5</v>
      </c>
      <c r="U156">
        <v>25</v>
      </c>
      <c r="V156">
        <v>10</v>
      </c>
      <c r="W156">
        <v>10</v>
      </c>
      <c r="X156">
        <v>35</v>
      </c>
      <c r="Y156">
        <v>41</v>
      </c>
      <c r="Z156">
        <v>0</v>
      </c>
      <c r="AA156">
        <v>0</v>
      </c>
      <c r="AB156">
        <v>21</v>
      </c>
      <c r="AC156">
        <v>66</v>
      </c>
      <c r="AD156">
        <v>5</v>
      </c>
    </row>
    <row r="157" spans="1:30" x14ac:dyDescent="0.3">
      <c r="A157" t="s">
        <v>1042</v>
      </c>
      <c r="B157" t="s">
        <v>489</v>
      </c>
      <c r="C157" t="s">
        <v>1365</v>
      </c>
      <c r="D157">
        <v>56</v>
      </c>
      <c r="E157" t="s">
        <v>1420</v>
      </c>
      <c r="F157" t="s">
        <v>1421</v>
      </c>
      <c r="G157" t="s">
        <v>164</v>
      </c>
      <c r="H157" t="s">
        <v>1305</v>
      </c>
      <c r="I157" t="b">
        <v>1</v>
      </c>
      <c r="J157">
        <v>89</v>
      </c>
      <c r="K157">
        <v>1</v>
      </c>
      <c r="L157">
        <v>0</v>
      </c>
      <c r="M157">
        <v>0</v>
      </c>
      <c r="N157">
        <v>0</v>
      </c>
      <c r="O157">
        <v>5</v>
      </c>
      <c r="P157">
        <v>25</v>
      </c>
      <c r="Q157">
        <v>29</v>
      </c>
      <c r="R157">
        <v>6</v>
      </c>
      <c r="S157">
        <v>5</v>
      </c>
      <c r="T157">
        <v>5</v>
      </c>
      <c r="U157">
        <v>25</v>
      </c>
      <c r="V157">
        <v>10</v>
      </c>
      <c r="W157">
        <v>10</v>
      </c>
      <c r="X157">
        <v>35</v>
      </c>
      <c r="Y157">
        <v>41</v>
      </c>
      <c r="Z157">
        <v>0</v>
      </c>
      <c r="AA157">
        <v>0</v>
      </c>
      <c r="AB157">
        <v>21</v>
      </c>
      <c r="AC157">
        <v>66</v>
      </c>
      <c r="AD157">
        <v>5</v>
      </c>
    </row>
    <row r="158" spans="1:30" x14ac:dyDescent="0.3">
      <c r="A158" t="s">
        <v>1042</v>
      </c>
      <c r="B158" t="s">
        <v>489</v>
      </c>
      <c r="C158" t="s">
        <v>1304</v>
      </c>
      <c r="D158">
        <v>6</v>
      </c>
      <c r="E158" t="s">
        <v>1420</v>
      </c>
      <c r="F158" t="s">
        <v>1425</v>
      </c>
      <c r="G158" t="s">
        <v>105</v>
      </c>
      <c r="H158" t="s">
        <v>1305</v>
      </c>
      <c r="I158" t="b">
        <v>1</v>
      </c>
      <c r="J158">
        <v>90</v>
      </c>
      <c r="K158">
        <v>1</v>
      </c>
      <c r="L158">
        <v>1</v>
      </c>
      <c r="M158">
        <v>5</v>
      </c>
      <c r="N158">
        <v>0</v>
      </c>
      <c r="O158">
        <v>5</v>
      </c>
      <c r="P158">
        <v>25</v>
      </c>
      <c r="Q158">
        <v>29</v>
      </c>
      <c r="R158">
        <v>5</v>
      </c>
      <c r="S158">
        <v>5</v>
      </c>
      <c r="T158">
        <v>9</v>
      </c>
      <c r="U158">
        <v>25</v>
      </c>
      <c r="V158">
        <v>18</v>
      </c>
      <c r="W158">
        <v>14</v>
      </c>
      <c r="X158">
        <v>43</v>
      </c>
      <c r="Y158">
        <v>48</v>
      </c>
      <c r="Z158">
        <v>0</v>
      </c>
      <c r="AA158">
        <v>0</v>
      </c>
      <c r="AB158">
        <v>24</v>
      </c>
      <c r="AC158">
        <v>73</v>
      </c>
      <c r="AD158">
        <v>3</v>
      </c>
    </row>
    <row r="159" spans="1:30" x14ac:dyDescent="0.3">
      <c r="A159" t="s">
        <v>1042</v>
      </c>
      <c r="B159" t="s">
        <v>489</v>
      </c>
      <c r="C159" t="s">
        <v>1304</v>
      </c>
      <c r="D159">
        <v>6</v>
      </c>
      <c r="E159" t="s">
        <v>1420</v>
      </c>
      <c r="F159" t="s">
        <v>1423</v>
      </c>
      <c r="G159" t="s">
        <v>1409</v>
      </c>
      <c r="H159" t="s">
        <v>372</v>
      </c>
      <c r="I159" t="b">
        <v>1</v>
      </c>
      <c r="J159">
        <v>90</v>
      </c>
      <c r="K159">
        <v>1</v>
      </c>
      <c r="L159">
        <v>1</v>
      </c>
      <c r="M159">
        <v>5</v>
      </c>
      <c r="N159">
        <v>0</v>
      </c>
      <c r="O159">
        <v>5</v>
      </c>
      <c r="P159">
        <v>25</v>
      </c>
      <c r="Q159">
        <v>29</v>
      </c>
      <c r="R159">
        <v>5</v>
      </c>
      <c r="S159">
        <v>5</v>
      </c>
      <c r="T159">
        <v>9</v>
      </c>
      <c r="U159">
        <v>25</v>
      </c>
      <c r="V159">
        <v>18</v>
      </c>
      <c r="W159">
        <v>14</v>
      </c>
      <c r="X159">
        <v>43</v>
      </c>
      <c r="Y159">
        <v>48</v>
      </c>
      <c r="Z159">
        <v>0</v>
      </c>
      <c r="AA159">
        <v>0</v>
      </c>
      <c r="AB159">
        <v>24</v>
      </c>
      <c r="AC159">
        <v>73</v>
      </c>
      <c r="AD159">
        <v>3</v>
      </c>
    </row>
    <row r="160" spans="1:30" x14ac:dyDescent="0.3">
      <c r="A160" t="s">
        <v>1042</v>
      </c>
      <c r="B160" t="s">
        <v>489</v>
      </c>
      <c r="C160" t="s">
        <v>1304</v>
      </c>
      <c r="D160">
        <v>6</v>
      </c>
      <c r="E160" t="s">
        <v>1420</v>
      </c>
      <c r="F160" t="s">
        <v>1421</v>
      </c>
      <c r="G160" t="s">
        <v>164</v>
      </c>
      <c r="H160" t="s">
        <v>318</v>
      </c>
      <c r="I160" t="b">
        <v>1</v>
      </c>
      <c r="J160">
        <v>90</v>
      </c>
      <c r="K160">
        <v>1</v>
      </c>
      <c r="L160">
        <v>1</v>
      </c>
      <c r="M160">
        <v>5</v>
      </c>
      <c r="N160">
        <v>0</v>
      </c>
      <c r="O160">
        <v>5</v>
      </c>
      <c r="P160">
        <v>25</v>
      </c>
      <c r="Q160">
        <v>29</v>
      </c>
      <c r="R160">
        <v>5</v>
      </c>
      <c r="S160">
        <v>5</v>
      </c>
      <c r="T160">
        <v>9</v>
      </c>
      <c r="U160">
        <v>25</v>
      </c>
      <c r="V160">
        <v>18</v>
      </c>
      <c r="W160">
        <v>14</v>
      </c>
      <c r="X160">
        <v>43</v>
      </c>
      <c r="Y160">
        <v>48</v>
      </c>
      <c r="Z160">
        <v>0</v>
      </c>
      <c r="AA160">
        <v>0</v>
      </c>
      <c r="AB160">
        <v>24</v>
      </c>
      <c r="AC160">
        <v>73</v>
      </c>
      <c r="AD160">
        <v>3</v>
      </c>
    </row>
    <row r="161" spans="1:30" x14ac:dyDescent="0.3">
      <c r="A161" t="s">
        <v>1042</v>
      </c>
      <c r="B161" t="s">
        <v>489</v>
      </c>
      <c r="C161" t="s">
        <v>1307</v>
      </c>
      <c r="D161">
        <v>7</v>
      </c>
      <c r="E161" t="s">
        <v>1420</v>
      </c>
      <c r="F161" t="s">
        <v>1425</v>
      </c>
      <c r="G161" t="s">
        <v>105</v>
      </c>
      <c r="H161" t="s">
        <v>1308</v>
      </c>
      <c r="I161" t="b">
        <v>1</v>
      </c>
      <c r="J161">
        <v>75</v>
      </c>
      <c r="K161">
        <v>1</v>
      </c>
      <c r="L161">
        <v>1</v>
      </c>
      <c r="M161">
        <v>4</v>
      </c>
      <c r="N161">
        <v>0</v>
      </c>
      <c r="O161">
        <v>3</v>
      </c>
      <c r="P161">
        <v>15</v>
      </c>
      <c r="Q161">
        <v>21</v>
      </c>
      <c r="R161">
        <v>5</v>
      </c>
      <c r="S161">
        <v>4</v>
      </c>
      <c r="T161">
        <v>9</v>
      </c>
      <c r="U161">
        <v>20</v>
      </c>
      <c r="V161">
        <v>18</v>
      </c>
      <c r="W161">
        <v>13</v>
      </c>
      <c r="X161">
        <v>38</v>
      </c>
      <c r="Y161">
        <v>43</v>
      </c>
      <c r="Z161">
        <v>0</v>
      </c>
      <c r="AA161">
        <v>0</v>
      </c>
      <c r="AB161">
        <v>21</v>
      </c>
      <c r="AC161">
        <v>58</v>
      </c>
      <c r="AD161">
        <v>11</v>
      </c>
    </row>
    <row r="162" spans="1:30" x14ac:dyDescent="0.3">
      <c r="A162" t="s">
        <v>1042</v>
      </c>
      <c r="B162" t="s">
        <v>489</v>
      </c>
      <c r="C162" t="s">
        <v>1307</v>
      </c>
      <c r="D162">
        <v>7</v>
      </c>
      <c r="E162" t="s">
        <v>1420</v>
      </c>
      <c r="F162" t="s">
        <v>1423</v>
      </c>
      <c r="G162" t="s">
        <v>1409</v>
      </c>
      <c r="H162" t="s">
        <v>1309</v>
      </c>
      <c r="I162" t="b">
        <v>1</v>
      </c>
      <c r="J162">
        <v>75</v>
      </c>
      <c r="K162">
        <v>1</v>
      </c>
      <c r="L162">
        <v>1</v>
      </c>
      <c r="M162">
        <v>4</v>
      </c>
      <c r="N162">
        <v>0</v>
      </c>
      <c r="O162">
        <v>3</v>
      </c>
      <c r="P162">
        <v>15</v>
      </c>
      <c r="Q162">
        <v>21</v>
      </c>
      <c r="R162">
        <v>5</v>
      </c>
      <c r="S162">
        <v>4</v>
      </c>
      <c r="T162">
        <v>9</v>
      </c>
      <c r="U162">
        <v>20</v>
      </c>
      <c r="V162">
        <v>18</v>
      </c>
      <c r="W162">
        <v>13</v>
      </c>
      <c r="X162">
        <v>38</v>
      </c>
      <c r="Y162">
        <v>43</v>
      </c>
      <c r="Z162">
        <v>0</v>
      </c>
      <c r="AA162">
        <v>0</v>
      </c>
      <c r="AB162">
        <v>21</v>
      </c>
      <c r="AC162">
        <v>58</v>
      </c>
      <c r="AD162">
        <v>11</v>
      </c>
    </row>
    <row r="163" spans="1:30" x14ac:dyDescent="0.3">
      <c r="A163" t="s">
        <v>1042</v>
      </c>
      <c r="B163" t="s">
        <v>489</v>
      </c>
      <c r="C163" t="s">
        <v>1307</v>
      </c>
      <c r="D163">
        <v>7</v>
      </c>
      <c r="E163" t="s">
        <v>1420</v>
      </c>
      <c r="F163" t="s">
        <v>1421</v>
      </c>
      <c r="G163" t="s">
        <v>164</v>
      </c>
      <c r="H163" t="s">
        <v>364</v>
      </c>
      <c r="I163" t="b">
        <v>1</v>
      </c>
      <c r="J163">
        <v>75</v>
      </c>
      <c r="K163">
        <v>1</v>
      </c>
      <c r="L163">
        <v>1</v>
      </c>
      <c r="M163">
        <v>4</v>
      </c>
      <c r="N163">
        <v>0</v>
      </c>
      <c r="O163">
        <v>3</v>
      </c>
      <c r="P163">
        <v>15</v>
      </c>
      <c r="Q163">
        <v>21</v>
      </c>
      <c r="R163">
        <v>5</v>
      </c>
      <c r="S163">
        <v>4</v>
      </c>
      <c r="T163">
        <v>9</v>
      </c>
      <c r="U163">
        <v>20</v>
      </c>
      <c r="V163">
        <v>18</v>
      </c>
      <c r="W163">
        <v>13</v>
      </c>
      <c r="X163">
        <v>38</v>
      </c>
      <c r="Y163">
        <v>43</v>
      </c>
      <c r="Z163">
        <v>0</v>
      </c>
      <c r="AA163">
        <v>0</v>
      </c>
      <c r="AB163">
        <v>21</v>
      </c>
      <c r="AC163">
        <v>58</v>
      </c>
      <c r="AD163">
        <v>11</v>
      </c>
    </row>
    <row r="164" spans="1:30" x14ac:dyDescent="0.3">
      <c r="A164" t="s">
        <v>1042</v>
      </c>
      <c r="B164" t="s">
        <v>489</v>
      </c>
      <c r="C164" t="s">
        <v>1313</v>
      </c>
      <c r="D164">
        <v>8</v>
      </c>
      <c r="E164" t="s">
        <v>1420</v>
      </c>
      <c r="F164" t="s">
        <v>1425</v>
      </c>
      <c r="G164" t="s">
        <v>105</v>
      </c>
      <c r="H164" t="s">
        <v>1314</v>
      </c>
      <c r="I164" t="b">
        <v>0</v>
      </c>
      <c r="J164">
        <v>53</v>
      </c>
      <c r="K164">
        <v>0</v>
      </c>
      <c r="L164">
        <v>0</v>
      </c>
      <c r="M164">
        <v>2</v>
      </c>
      <c r="N164">
        <v>0</v>
      </c>
      <c r="O164">
        <v>3</v>
      </c>
      <c r="P164">
        <v>15</v>
      </c>
      <c r="Q164">
        <v>19</v>
      </c>
      <c r="R164">
        <v>2</v>
      </c>
      <c r="S164">
        <v>1</v>
      </c>
      <c r="T164">
        <v>9</v>
      </c>
      <c r="U164">
        <v>5</v>
      </c>
      <c r="V164">
        <v>18</v>
      </c>
      <c r="W164">
        <v>10</v>
      </c>
      <c r="X164">
        <v>23</v>
      </c>
      <c r="Y164">
        <v>25</v>
      </c>
      <c r="Z164">
        <v>0</v>
      </c>
      <c r="AA164">
        <v>0</v>
      </c>
      <c r="AB164">
        <v>15</v>
      </c>
      <c r="AC164">
        <v>40</v>
      </c>
      <c r="AD164">
        <v>7</v>
      </c>
    </row>
    <row r="165" spans="1:30" x14ac:dyDescent="0.3">
      <c r="A165" t="s">
        <v>1042</v>
      </c>
      <c r="B165" t="s">
        <v>489</v>
      </c>
      <c r="C165" t="s">
        <v>1313</v>
      </c>
      <c r="D165">
        <v>8</v>
      </c>
      <c r="E165" t="s">
        <v>1420</v>
      </c>
      <c r="F165" t="s">
        <v>1423</v>
      </c>
      <c r="G165" t="s">
        <v>1409</v>
      </c>
      <c r="H165" t="s">
        <v>363</v>
      </c>
      <c r="I165" t="b">
        <v>0</v>
      </c>
      <c r="J165">
        <v>53</v>
      </c>
      <c r="K165">
        <v>0</v>
      </c>
      <c r="L165">
        <v>0</v>
      </c>
      <c r="M165">
        <v>2</v>
      </c>
      <c r="N165">
        <v>0</v>
      </c>
      <c r="O165">
        <v>3</v>
      </c>
      <c r="P165">
        <v>15</v>
      </c>
      <c r="Q165">
        <v>19</v>
      </c>
      <c r="R165">
        <v>2</v>
      </c>
      <c r="S165">
        <v>1</v>
      </c>
      <c r="T165">
        <v>9</v>
      </c>
      <c r="U165">
        <v>5</v>
      </c>
      <c r="V165">
        <v>18</v>
      </c>
      <c r="W165">
        <v>10</v>
      </c>
      <c r="X165">
        <v>23</v>
      </c>
      <c r="Y165">
        <v>25</v>
      </c>
      <c r="Z165">
        <v>0</v>
      </c>
      <c r="AA165">
        <v>0</v>
      </c>
      <c r="AB165">
        <v>15</v>
      </c>
      <c r="AC165">
        <v>40</v>
      </c>
      <c r="AD165">
        <v>7</v>
      </c>
    </row>
    <row r="166" spans="1:30" x14ac:dyDescent="0.3">
      <c r="A166" t="s">
        <v>1042</v>
      </c>
      <c r="B166" t="s">
        <v>489</v>
      </c>
      <c r="C166" t="s">
        <v>1313</v>
      </c>
      <c r="D166">
        <v>8</v>
      </c>
      <c r="E166" t="s">
        <v>1420</v>
      </c>
      <c r="F166" t="s">
        <v>1421</v>
      </c>
      <c r="G166" t="s">
        <v>164</v>
      </c>
      <c r="H166" t="s">
        <v>368</v>
      </c>
      <c r="I166" t="b">
        <v>0</v>
      </c>
      <c r="J166">
        <v>53</v>
      </c>
      <c r="K166">
        <v>0</v>
      </c>
      <c r="L166">
        <v>0</v>
      </c>
      <c r="M166">
        <v>2</v>
      </c>
      <c r="N166">
        <v>0</v>
      </c>
      <c r="O166">
        <v>3</v>
      </c>
      <c r="P166">
        <v>15</v>
      </c>
      <c r="Q166">
        <v>19</v>
      </c>
      <c r="R166">
        <v>2</v>
      </c>
      <c r="S166">
        <v>1</v>
      </c>
      <c r="T166">
        <v>9</v>
      </c>
      <c r="U166">
        <v>5</v>
      </c>
      <c r="V166">
        <v>18</v>
      </c>
      <c r="W166">
        <v>10</v>
      </c>
      <c r="X166">
        <v>23</v>
      </c>
      <c r="Y166">
        <v>25</v>
      </c>
      <c r="Z166">
        <v>0</v>
      </c>
      <c r="AA166">
        <v>0</v>
      </c>
      <c r="AB166">
        <v>15</v>
      </c>
      <c r="AC166">
        <v>40</v>
      </c>
      <c r="AD166">
        <v>7</v>
      </c>
    </row>
    <row r="167" spans="1:30" x14ac:dyDescent="0.3">
      <c r="A167" t="s">
        <v>1042</v>
      </c>
      <c r="B167" t="s">
        <v>489</v>
      </c>
      <c r="C167" t="s">
        <v>1316</v>
      </c>
      <c r="D167">
        <v>9</v>
      </c>
      <c r="E167" t="s">
        <v>1420</v>
      </c>
      <c r="F167" t="s">
        <v>1425</v>
      </c>
      <c r="G167" t="s">
        <v>105</v>
      </c>
      <c r="H167" t="s">
        <v>1294</v>
      </c>
      <c r="I167" t="b">
        <v>0</v>
      </c>
      <c r="J167">
        <v>15</v>
      </c>
      <c r="K167">
        <v>0</v>
      </c>
      <c r="L167">
        <v>0</v>
      </c>
      <c r="M167">
        <v>0</v>
      </c>
      <c r="N167">
        <v>0</v>
      </c>
      <c r="O167">
        <v>1</v>
      </c>
      <c r="P167">
        <v>5</v>
      </c>
      <c r="Q167">
        <v>9</v>
      </c>
      <c r="R167">
        <v>0</v>
      </c>
      <c r="S167">
        <v>0</v>
      </c>
      <c r="T167">
        <v>2</v>
      </c>
      <c r="U167">
        <v>0</v>
      </c>
      <c r="V167">
        <v>4</v>
      </c>
      <c r="W167">
        <v>2</v>
      </c>
      <c r="X167">
        <v>4</v>
      </c>
      <c r="Y167">
        <v>4</v>
      </c>
      <c r="Z167">
        <v>0</v>
      </c>
      <c r="AA167">
        <v>0</v>
      </c>
      <c r="AB167">
        <v>3</v>
      </c>
      <c r="AC167">
        <v>9</v>
      </c>
      <c r="AD167">
        <v>2</v>
      </c>
    </row>
    <row r="168" spans="1:30" x14ac:dyDescent="0.3">
      <c r="A168" t="s">
        <v>1042</v>
      </c>
      <c r="B168" t="s">
        <v>489</v>
      </c>
      <c r="C168" t="s">
        <v>1316</v>
      </c>
      <c r="D168">
        <v>9</v>
      </c>
      <c r="E168" t="s">
        <v>1420</v>
      </c>
      <c r="F168" t="s">
        <v>1423</v>
      </c>
      <c r="G168" t="s">
        <v>1409</v>
      </c>
      <c r="H168" t="s">
        <v>1276</v>
      </c>
      <c r="I168" t="b">
        <v>0</v>
      </c>
      <c r="J168">
        <v>15</v>
      </c>
      <c r="K168">
        <v>0</v>
      </c>
      <c r="L168">
        <v>0</v>
      </c>
      <c r="M168">
        <v>0</v>
      </c>
      <c r="N168">
        <v>0</v>
      </c>
      <c r="O168">
        <v>1</v>
      </c>
      <c r="P168">
        <v>5</v>
      </c>
      <c r="Q168">
        <v>9</v>
      </c>
      <c r="R168">
        <v>0</v>
      </c>
      <c r="S168">
        <v>0</v>
      </c>
      <c r="T168">
        <v>2</v>
      </c>
      <c r="U168">
        <v>0</v>
      </c>
      <c r="V168">
        <v>4</v>
      </c>
      <c r="W168">
        <v>2</v>
      </c>
      <c r="X168">
        <v>4</v>
      </c>
      <c r="Y168">
        <v>4</v>
      </c>
      <c r="Z168">
        <v>0</v>
      </c>
      <c r="AA168">
        <v>0</v>
      </c>
      <c r="AB168">
        <v>3</v>
      </c>
      <c r="AC168">
        <v>9</v>
      </c>
      <c r="AD168">
        <v>2</v>
      </c>
    </row>
    <row r="169" spans="1:30" x14ac:dyDescent="0.3">
      <c r="A169" t="s">
        <v>1042</v>
      </c>
      <c r="B169" t="s">
        <v>489</v>
      </c>
      <c r="C169" t="s">
        <v>1316</v>
      </c>
      <c r="D169">
        <v>9</v>
      </c>
      <c r="E169" t="s">
        <v>1420</v>
      </c>
      <c r="F169" t="s">
        <v>1421</v>
      </c>
      <c r="G169" t="s">
        <v>164</v>
      </c>
      <c r="H169" t="s">
        <v>1317</v>
      </c>
      <c r="I169" t="b">
        <v>0</v>
      </c>
      <c r="J169">
        <v>15</v>
      </c>
      <c r="K169">
        <v>0</v>
      </c>
      <c r="L169">
        <v>0</v>
      </c>
      <c r="M169">
        <v>0</v>
      </c>
      <c r="N169">
        <v>0</v>
      </c>
      <c r="O169">
        <v>1</v>
      </c>
      <c r="P169">
        <v>5</v>
      </c>
      <c r="Q169">
        <v>9</v>
      </c>
      <c r="R169">
        <v>0</v>
      </c>
      <c r="S169">
        <v>0</v>
      </c>
      <c r="T169">
        <v>2</v>
      </c>
      <c r="U169">
        <v>0</v>
      </c>
      <c r="V169">
        <v>4</v>
      </c>
      <c r="W169">
        <v>2</v>
      </c>
      <c r="X169">
        <v>4</v>
      </c>
      <c r="Y169">
        <v>4</v>
      </c>
      <c r="Z169">
        <v>0</v>
      </c>
      <c r="AA169">
        <v>0</v>
      </c>
      <c r="AB169">
        <v>3</v>
      </c>
      <c r="AC169">
        <v>9</v>
      </c>
      <c r="AD169">
        <v>2</v>
      </c>
    </row>
  </sheetData>
  <phoneticPr fontId="7"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8F31F-F3FE-4D03-9ABB-F38AEFDD4196}">
  <sheetPr codeName="Sheet15">
    <tabColor theme="7" tint="0.39997558519241921"/>
  </sheetPr>
  <dimension ref="A1:CT171"/>
  <sheetViews>
    <sheetView workbookViewId="0">
      <selection activeCell="L2" sqref="L2"/>
    </sheetView>
  </sheetViews>
  <sheetFormatPr defaultRowHeight="14.4" x14ac:dyDescent="0.3"/>
  <cols>
    <col min="1" max="1" width="12.109375" bestFit="1" customWidth="1"/>
    <col min="2" max="2" width="13.5546875" bestFit="1" customWidth="1"/>
    <col min="3" max="3" width="13.88671875" bestFit="1" customWidth="1"/>
    <col min="4" max="4" width="16.6640625" bestFit="1" customWidth="1"/>
    <col min="5" max="5" width="9.77734375" bestFit="1" customWidth="1"/>
    <col min="6" max="6" width="9.21875" bestFit="1" customWidth="1"/>
    <col min="7" max="7" width="7.33203125" bestFit="1" customWidth="1"/>
    <col min="8" max="8" width="7.88671875" bestFit="1" customWidth="1"/>
    <col min="9" max="9" width="13.77734375" bestFit="1" customWidth="1"/>
    <col min="10" max="10" width="7.88671875" bestFit="1" customWidth="1"/>
    <col min="11" max="11" width="11.88671875" bestFit="1" customWidth="1"/>
    <col min="12" max="12" width="13.5546875" bestFit="1" customWidth="1"/>
    <col min="13" max="13" width="12.88671875" bestFit="1" customWidth="1"/>
    <col min="14" max="14" width="8.21875" bestFit="1" customWidth="1"/>
    <col min="15" max="15" width="8" bestFit="1" customWidth="1"/>
    <col min="16" max="16" width="11.109375" bestFit="1" customWidth="1"/>
    <col min="17" max="17" width="9.88671875" bestFit="1" customWidth="1"/>
    <col min="18" max="18" width="8" bestFit="1" customWidth="1"/>
    <col min="19" max="19" width="8.77734375" bestFit="1" customWidth="1"/>
    <col min="20" max="20" width="9.88671875" bestFit="1" customWidth="1"/>
    <col min="21" max="21" width="11.33203125" bestFit="1" customWidth="1"/>
    <col min="22" max="22" width="12.44140625" bestFit="1" customWidth="1"/>
    <col min="23" max="23" width="7.77734375" bestFit="1" customWidth="1"/>
    <col min="24" max="24" width="10.33203125" bestFit="1" customWidth="1"/>
    <col min="25" max="25" width="10.88671875" bestFit="1" customWidth="1"/>
    <col min="26" max="26" width="9.5546875" bestFit="1" customWidth="1"/>
    <col min="27" max="27" width="7" bestFit="1" customWidth="1"/>
    <col min="28" max="28" width="10.88671875" bestFit="1" customWidth="1"/>
    <col min="29" max="29" width="9.88671875" bestFit="1" customWidth="1"/>
    <col min="30" max="30" width="10.44140625" customWidth="1"/>
    <col min="31" max="31" width="10.44140625" bestFit="1" customWidth="1"/>
    <col min="32" max="32" width="10.88671875" customWidth="1"/>
    <col min="33" max="33" width="11.5546875" bestFit="1" customWidth="1"/>
    <col min="34" max="34" width="14.88671875" bestFit="1" customWidth="1"/>
    <col min="35" max="35" width="16" bestFit="1" customWidth="1"/>
    <col min="36" max="36" width="7.88671875" bestFit="1" customWidth="1"/>
    <col min="37" max="37" width="13.109375" bestFit="1" customWidth="1"/>
    <col min="38" max="38" width="23.6640625" bestFit="1" customWidth="1"/>
    <col min="39" max="39" width="21.33203125" bestFit="1" customWidth="1"/>
    <col min="40" max="40" width="21.5546875" bestFit="1" customWidth="1"/>
    <col min="41" max="41" width="19.109375" bestFit="1" customWidth="1"/>
    <col min="42" max="42" width="11.88671875" bestFit="1" customWidth="1"/>
    <col min="43" max="43" width="21.5546875" bestFit="1" customWidth="1"/>
    <col min="44" max="44" width="23.109375" bestFit="1" customWidth="1"/>
    <col min="45" max="45" width="20" bestFit="1" customWidth="1"/>
    <col min="46" max="47" width="11.33203125" bestFit="1" customWidth="1"/>
    <col min="48" max="48" width="9.5546875" bestFit="1" customWidth="1"/>
    <col min="49" max="49" width="7.88671875" bestFit="1" customWidth="1"/>
    <col min="50" max="50" width="8.109375" bestFit="1" customWidth="1"/>
    <col min="51" max="51" width="12.5546875" bestFit="1" customWidth="1"/>
    <col min="52" max="52" width="13.109375" bestFit="1" customWidth="1"/>
    <col min="53" max="53" width="12.5546875" bestFit="1" customWidth="1"/>
    <col min="54" max="54" width="8.109375" bestFit="1" customWidth="1"/>
  </cols>
  <sheetData>
    <row r="1" spans="1:98" x14ac:dyDescent="0.3">
      <c r="A1" s="55" t="s">
        <v>390</v>
      </c>
      <c r="B1" s="55" t="s">
        <v>391</v>
      </c>
      <c r="C1" s="55" t="s">
        <v>392</v>
      </c>
      <c r="D1" s="56" t="s">
        <v>393</v>
      </c>
      <c r="E1" s="55" t="s">
        <v>99</v>
      </c>
      <c r="F1" s="57" t="s">
        <v>394</v>
      </c>
      <c r="G1" s="57" t="s">
        <v>395</v>
      </c>
      <c r="H1" s="57" t="s">
        <v>141</v>
      </c>
      <c r="I1" s="55" t="s">
        <v>396</v>
      </c>
      <c r="J1" s="55" t="s">
        <v>96</v>
      </c>
      <c r="K1" s="55" t="s">
        <v>399</v>
      </c>
      <c r="L1" s="55" t="s">
        <v>400</v>
      </c>
      <c r="M1" s="55" t="s">
        <v>401</v>
      </c>
      <c r="N1" s="55" t="s">
        <v>490</v>
      </c>
      <c r="O1" s="55" t="s">
        <v>403</v>
      </c>
      <c r="P1" s="55" t="s">
        <v>404</v>
      </c>
      <c r="Q1" s="55" t="s">
        <v>409</v>
      </c>
      <c r="R1" s="55" t="s">
        <v>491</v>
      </c>
      <c r="S1" s="55" t="s">
        <v>492</v>
      </c>
      <c r="T1" s="55" t="s">
        <v>413</v>
      </c>
      <c r="U1" s="55"/>
      <c r="V1" s="55"/>
      <c r="W1" s="55"/>
      <c r="X1" s="55"/>
      <c r="Y1" s="55"/>
      <c r="Z1" s="55"/>
      <c r="AA1" s="55"/>
      <c r="AB1" s="55"/>
      <c r="AC1" s="55"/>
      <c r="AD1" s="55"/>
      <c r="AE1" s="55" t="s">
        <v>414</v>
      </c>
      <c r="AF1" s="55" t="s">
        <v>415</v>
      </c>
    </row>
    <row r="2" spans="1:98" x14ac:dyDescent="0.3">
      <c r="A2" s="55"/>
      <c r="B2" s="55"/>
      <c r="C2" s="55"/>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7"/>
      <c r="CF2" s="57"/>
      <c r="CG2" s="57"/>
      <c r="CH2" s="55"/>
      <c r="CI2" s="55"/>
      <c r="CJ2" s="55"/>
      <c r="CK2" s="55"/>
      <c r="CL2" s="55"/>
      <c r="CM2" s="55"/>
      <c r="CN2" s="55"/>
      <c r="CO2" s="55"/>
      <c r="CP2" s="55"/>
      <c r="CQ2" s="55"/>
      <c r="CR2" s="55"/>
      <c r="CS2" s="55"/>
      <c r="CT2" s="55"/>
    </row>
    <row r="3" spans="1:98" x14ac:dyDescent="0.3">
      <c r="A3" t="s">
        <v>390</v>
      </c>
      <c r="B3" t="s">
        <v>391</v>
      </c>
      <c r="C3" t="s">
        <v>392</v>
      </c>
      <c r="D3" t="s">
        <v>393</v>
      </c>
      <c r="E3" t="s">
        <v>99</v>
      </c>
      <c r="F3" t="s">
        <v>394</v>
      </c>
      <c r="G3" t="s">
        <v>395</v>
      </c>
      <c r="H3" t="s">
        <v>141</v>
      </c>
      <c r="I3" t="s">
        <v>396</v>
      </c>
      <c r="J3" t="s">
        <v>96</v>
      </c>
      <c r="K3" t="s">
        <v>397</v>
      </c>
      <c r="L3" t="s">
        <v>398</v>
      </c>
      <c r="M3" t="s">
        <v>399</v>
      </c>
      <c r="N3" t="s">
        <v>400</v>
      </c>
      <c r="O3" t="s">
        <v>401</v>
      </c>
      <c r="P3" t="s">
        <v>402</v>
      </c>
      <c r="Q3" t="s">
        <v>403</v>
      </c>
      <c r="R3" t="s">
        <v>404</v>
      </c>
      <c r="S3" t="s">
        <v>405</v>
      </c>
      <c r="T3" t="s">
        <v>406</v>
      </c>
      <c r="U3" t="s">
        <v>407</v>
      </c>
      <c r="V3" t="s">
        <v>408</v>
      </c>
      <c r="W3" t="s">
        <v>409</v>
      </c>
      <c r="X3" t="s">
        <v>410</v>
      </c>
      <c r="Y3" t="s">
        <v>411</v>
      </c>
      <c r="Z3" t="s">
        <v>412</v>
      </c>
      <c r="AA3" t="s">
        <v>153</v>
      </c>
      <c r="AB3" t="s">
        <v>413</v>
      </c>
      <c r="AC3" t="s">
        <v>414</v>
      </c>
      <c r="AD3" t="s">
        <v>415</v>
      </c>
    </row>
    <row r="4" spans="1:98" x14ac:dyDescent="0.3">
      <c r="A4" t="s">
        <v>1042</v>
      </c>
      <c r="B4" t="s">
        <v>489</v>
      </c>
      <c r="C4" t="s">
        <v>1274</v>
      </c>
      <c r="D4">
        <v>1</v>
      </c>
      <c r="E4" t="s">
        <v>1406</v>
      </c>
      <c r="F4" t="s">
        <v>1426</v>
      </c>
      <c r="G4" t="s">
        <v>164</v>
      </c>
      <c r="H4" t="s">
        <v>1278</v>
      </c>
      <c r="I4" t="b">
        <v>1</v>
      </c>
      <c r="J4">
        <v>32</v>
      </c>
      <c r="K4">
        <v>0</v>
      </c>
      <c r="L4">
        <v>0</v>
      </c>
      <c r="M4">
        <v>0</v>
      </c>
      <c r="N4">
        <v>0</v>
      </c>
      <c r="O4">
        <v>0</v>
      </c>
      <c r="P4">
        <v>0</v>
      </c>
      <c r="Q4">
        <v>6</v>
      </c>
      <c r="R4">
        <v>4</v>
      </c>
      <c r="S4">
        <v>1</v>
      </c>
      <c r="T4">
        <v>4</v>
      </c>
      <c r="U4">
        <v>5</v>
      </c>
      <c r="V4">
        <v>8</v>
      </c>
      <c r="W4">
        <v>5</v>
      </c>
      <c r="X4">
        <v>13</v>
      </c>
      <c r="Y4">
        <v>17</v>
      </c>
      <c r="Z4">
        <v>0</v>
      </c>
      <c r="AA4">
        <v>0</v>
      </c>
      <c r="AB4">
        <v>9</v>
      </c>
      <c r="AC4">
        <v>17</v>
      </c>
      <c r="AD4">
        <v>4</v>
      </c>
    </row>
    <row r="5" spans="1:98" x14ac:dyDescent="0.3">
      <c r="A5" t="s">
        <v>1042</v>
      </c>
      <c r="B5" t="s">
        <v>489</v>
      </c>
      <c r="C5" t="s">
        <v>1274</v>
      </c>
      <c r="D5">
        <v>1</v>
      </c>
      <c r="E5" t="s">
        <v>1406</v>
      </c>
      <c r="F5" t="s">
        <v>1424</v>
      </c>
      <c r="G5" t="s">
        <v>1409</v>
      </c>
      <c r="H5" t="s">
        <v>1279</v>
      </c>
      <c r="I5" t="b">
        <v>1</v>
      </c>
      <c r="J5">
        <v>32</v>
      </c>
      <c r="K5">
        <v>0</v>
      </c>
      <c r="L5">
        <v>0</v>
      </c>
      <c r="M5">
        <v>0</v>
      </c>
      <c r="N5">
        <v>0</v>
      </c>
      <c r="O5">
        <v>0</v>
      </c>
      <c r="P5">
        <v>0</v>
      </c>
      <c r="Q5">
        <v>6</v>
      </c>
      <c r="R5">
        <v>4</v>
      </c>
      <c r="S5">
        <v>1</v>
      </c>
      <c r="T5">
        <v>4</v>
      </c>
      <c r="U5">
        <v>5</v>
      </c>
      <c r="V5">
        <v>8</v>
      </c>
      <c r="W5">
        <v>5</v>
      </c>
      <c r="X5">
        <v>13</v>
      </c>
      <c r="Y5">
        <v>17</v>
      </c>
      <c r="Z5">
        <v>0</v>
      </c>
      <c r="AA5">
        <v>0</v>
      </c>
      <c r="AB5">
        <v>9</v>
      </c>
      <c r="AC5">
        <v>17</v>
      </c>
      <c r="AD5">
        <v>4</v>
      </c>
    </row>
    <row r="6" spans="1:98" x14ac:dyDescent="0.3">
      <c r="A6" t="s">
        <v>1042</v>
      </c>
      <c r="B6" t="s">
        <v>489</v>
      </c>
      <c r="C6" t="s">
        <v>1274</v>
      </c>
      <c r="D6">
        <v>1</v>
      </c>
      <c r="E6" t="s">
        <v>1406</v>
      </c>
      <c r="F6" t="s">
        <v>1422</v>
      </c>
      <c r="G6" t="s">
        <v>105</v>
      </c>
      <c r="H6" t="s">
        <v>1280</v>
      </c>
      <c r="I6" t="b">
        <v>1</v>
      </c>
      <c r="J6">
        <v>32</v>
      </c>
      <c r="K6">
        <v>0</v>
      </c>
      <c r="L6">
        <v>0</v>
      </c>
      <c r="M6">
        <v>0</v>
      </c>
      <c r="N6">
        <v>0</v>
      </c>
      <c r="O6">
        <v>0</v>
      </c>
      <c r="P6">
        <v>0</v>
      </c>
      <c r="Q6">
        <v>6</v>
      </c>
      <c r="R6">
        <v>4</v>
      </c>
      <c r="S6">
        <v>1</v>
      </c>
      <c r="T6">
        <v>4</v>
      </c>
      <c r="U6">
        <v>5</v>
      </c>
      <c r="V6">
        <v>8</v>
      </c>
      <c r="W6">
        <v>5</v>
      </c>
      <c r="X6">
        <v>13</v>
      </c>
      <c r="Y6">
        <v>17</v>
      </c>
      <c r="Z6">
        <v>0</v>
      </c>
      <c r="AA6">
        <v>0</v>
      </c>
      <c r="AB6">
        <v>9</v>
      </c>
      <c r="AC6">
        <v>17</v>
      </c>
      <c r="AD6">
        <v>4</v>
      </c>
    </row>
    <row r="7" spans="1:98" x14ac:dyDescent="0.3">
      <c r="A7" t="s">
        <v>1042</v>
      </c>
      <c r="B7" t="s">
        <v>489</v>
      </c>
      <c r="C7" t="s">
        <v>1319</v>
      </c>
      <c r="D7">
        <v>10</v>
      </c>
      <c r="E7" t="s">
        <v>1406</v>
      </c>
      <c r="F7" t="s">
        <v>1426</v>
      </c>
      <c r="G7" t="s">
        <v>164</v>
      </c>
      <c r="H7" t="s">
        <v>362</v>
      </c>
      <c r="I7" t="b">
        <v>1</v>
      </c>
      <c r="J7">
        <v>42</v>
      </c>
      <c r="K7">
        <v>0</v>
      </c>
      <c r="L7">
        <v>0</v>
      </c>
      <c r="M7">
        <v>5</v>
      </c>
      <c r="N7">
        <v>0</v>
      </c>
      <c r="O7">
        <v>2</v>
      </c>
      <c r="P7">
        <v>10</v>
      </c>
      <c r="Q7">
        <v>16</v>
      </c>
      <c r="R7">
        <v>1</v>
      </c>
      <c r="S7">
        <v>0</v>
      </c>
      <c r="T7">
        <v>12</v>
      </c>
      <c r="U7">
        <v>0</v>
      </c>
      <c r="V7">
        <v>24</v>
      </c>
      <c r="W7">
        <v>12</v>
      </c>
      <c r="X7">
        <v>24</v>
      </c>
      <c r="Y7">
        <v>25</v>
      </c>
      <c r="Z7">
        <v>0</v>
      </c>
      <c r="AA7">
        <v>0</v>
      </c>
      <c r="AB7">
        <v>15</v>
      </c>
      <c r="AC7">
        <v>35</v>
      </c>
      <c r="AD7">
        <v>1</v>
      </c>
    </row>
    <row r="8" spans="1:98" x14ac:dyDescent="0.3">
      <c r="A8" t="s">
        <v>1042</v>
      </c>
      <c r="B8" t="s">
        <v>489</v>
      </c>
      <c r="C8" t="s">
        <v>1319</v>
      </c>
      <c r="D8">
        <v>10</v>
      </c>
      <c r="E8" t="s">
        <v>1406</v>
      </c>
      <c r="F8" t="s">
        <v>1424</v>
      </c>
      <c r="G8" t="s">
        <v>1409</v>
      </c>
      <c r="H8" t="s">
        <v>1296</v>
      </c>
      <c r="I8" t="b">
        <v>1</v>
      </c>
      <c r="J8">
        <v>42</v>
      </c>
      <c r="K8">
        <v>0</v>
      </c>
      <c r="L8">
        <v>0</v>
      </c>
      <c r="M8">
        <v>5</v>
      </c>
      <c r="N8">
        <v>0</v>
      </c>
      <c r="O8">
        <v>2</v>
      </c>
      <c r="P8">
        <v>10</v>
      </c>
      <c r="Q8">
        <v>16</v>
      </c>
      <c r="R8">
        <v>1</v>
      </c>
      <c r="S8">
        <v>0</v>
      </c>
      <c r="T8">
        <v>12</v>
      </c>
      <c r="U8">
        <v>0</v>
      </c>
      <c r="V8">
        <v>24</v>
      </c>
      <c r="W8">
        <v>12</v>
      </c>
      <c r="X8">
        <v>24</v>
      </c>
      <c r="Y8">
        <v>25</v>
      </c>
      <c r="Z8">
        <v>0</v>
      </c>
      <c r="AA8">
        <v>0</v>
      </c>
      <c r="AB8">
        <v>15</v>
      </c>
      <c r="AC8">
        <v>35</v>
      </c>
      <c r="AD8">
        <v>1</v>
      </c>
    </row>
    <row r="9" spans="1:98" x14ac:dyDescent="0.3">
      <c r="A9" t="s">
        <v>1042</v>
      </c>
      <c r="B9" t="s">
        <v>489</v>
      </c>
      <c r="C9" t="s">
        <v>1319</v>
      </c>
      <c r="D9">
        <v>10</v>
      </c>
      <c r="E9" t="s">
        <v>1406</v>
      </c>
      <c r="F9" t="s">
        <v>1422</v>
      </c>
      <c r="G9" t="s">
        <v>105</v>
      </c>
      <c r="H9" t="s">
        <v>1302</v>
      </c>
      <c r="I9" t="b">
        <v>1</v>
      </c>
      <c r="J9">
        <v>42</v>
      </c>
      <c r="K9">
        <v>0</v>
      </c>
      <c r="L9">
        <v>0</v>
      </c>
      <c r="M9">
        <v>5</v>
      </c>
      <c r="N9">
        <v>0</v>
      </c>
      <c r="O9">
        <v>2</v>
      </c>
      <c r="P9">
        <v>10</v>
      </c>
      <c r="Q9">
        <v>16</v>
      </c>
      <c r="R9">
        <v>1</v>
      </c>
      <c r="S9">
        <v>0</v>
      </c>
      <c r="T9">
        <v>12</v>
      </c>
      <c r="U9">
        <v>0</v>
      </c>
      <c r="V9">
        <v>24</v>
      </c>
      <c r="W9">
        <v>12</v>
      </c>
      <c r="X9">
        <v>24</v>
      </c>
      <c r="Y9">
        <v>25</v>
      </c>
      <c r="Z9">
        <v>0</v>
      </c>
      <c r="AA9">
        <v>0</v>
      </c>
      <c r="AB9">
        <v>15</v>
      </c>
      <c r="AC9">
        <v>35</v>
      </c>
      <c r="AD9">
        <v>1</v>
      </c>
    </row>
    <row r="10" spans="1:98" x14ac:dyDescent="0.3">
      <c r="A10" t="s">
        <v>1042</v>
      </c>
      <c r="B10" t="s">
        <v>489</v>
      </c>
      <c r="C10" t="s">
        <v>1320</v>
      </c>
      <c r="D10">
        <v>11</v>
      </c>
      <c r="E10" t="s">
        <v>1406</v>
      </c>
      <c r="F10" t="s">
        <v>1426</v>
      </c>
      <c r="G10" t="s">
        <v>164</v>
      </c>
      <c r="H10" t="s">
        <v>1303</v>
      </c>
      <c r="I10" t="b">
        <v>1</v>
      </c>
      <c r="J10">
        <v>45</v>
      </c>
      <c r="K10">
        <v>0</v>
      </c>
      <c r="L10">
        <v>0</v>
      </c>
      <c r="M10">
        <v>5</v>
      </c>
      <c r="N10">
        <v>0</v>
      </c>
      <c r="O10">
        <v>3</v>
      </c>
      <c r="P10">
        <v>15</v>
      </c>
      <c r="Q10">
        <v>17</v>
      </c>
      <c r="R10">
        <v>1</v>
      </c>
      <c r="S10">
        <v>0</v>
      </c>
      <c r="T10">
        <v>10</v>
      </c>
      <c r="U10">
        <v>0</v>
      </c>
      <c r="V10">
        <v>20</v>
      </c>
      <c r="W10">
        <v>10</v>
      </c>
      <c r="X10">
        <v>20</v>
      </c>
      <c r="Y10">
        <v>21</v>
      </c>
      <c r="Z10">
        <v>0</v>
      </c>
      <c r="AA10">
        <v>0</v>
      </c>
      <c r="AB10">
        <v>14</v>
      </c>
      <c r="AC10">
        <v>36</v>
      </c>
      <c r="AD10">
        <v>2</v>
      </c>
    </row>
    <row r="11" spans="1:98" x14ac:dyDescent="0.3">
      <c r="A11" t="s">
        <v>1042</v>
      </c>
      <c r="B11" t="s">
        <v>489</v>
      </c>
      <c r="C11" t="s">
        <v>1320</v>
      </c>
      <c r="D11">
        <v>11</v>
      </c>
      <c r="E11" t="s">
        <v>1406</v>
      </c>
      <c r="F11" t="s">
        <v>1424</v>
      </c>
      <c r="G11" t="s">
        <v>1409</v>
      </c>
      <c r="H11" t="s">
        <v>1285</v>
      </c>
      <c r="I11" t="b">
        <v>1</v>
      </c>
      <c r="J11">
        <v>45</v>
      </c>
      <c r="K11">
        <v>0</v>
      </c>
      <c r="L11">
        <v>0</v>
      </c>
      <c r="M11">
        <v>5</v>
      </c>
      <c r="N11">
        <v>0</v>
      </c>
      <c r="O11">
        <v>3</v>
      </c>
      <c r="P11">
        <v>15</v>
      </c>
      <c r="Q11">
        <v>17</v>
      </c>
      <c r="R11">
        <v>1</v>
      </c>
      <c r="S11">
        <v>0</v>
      </c>
      <c r="T11">
        <v>10</v>
      </c>
      <c r="U11">
        <v>0</v>
      </c>
      <c r="V11">
        <v>20</v>
      </c>
      <c r="W11">
        <v>10</v>
      </c>
      <c r="X11">
        <v>20</v>
      </c>
      <c r="Y11">
        <v>21</v>
      </c>
      <c r="Z11">
        <v>0</v>
      </c>
      <c r="AA11">
        <v>0</v>
      </c>
      <c r="AB11">
        <v>14</v>
      </c>
      <c r="AC11">
        <v>36</v>
      </c>
      <c r="AD11">
        <v>2</v>
      </c>
    </row>
    <row r="12" spans="1:98" x14ac:dyDescent="0.3">
      <c r="A12" t="s">
        <v>1042</v>
      </c>
      <c r="B12" t="s">
        <v>489</v>
      </c>
      <c r="C12" t="s">
        <v>1320</v>
      </c>
      <c r="D12">
        <v>11</v>
      </c>
      <c r="E12" t="s">
        <v>1406</v>
      </c>
      <c r="F12" t="s">
        <v>1422</v>
      </c>
      <c r="G12" t="s">
        <v>105</v>
      </c>
      <c r="H12" t="s">
        <v>371</v>
      </c>
      <c r="I12" t="b">
        <v>1</v>
      </c>
      <c r="J12">
        <v>45</v>
      </c>
      <c r="K12">
        <v>0</v>
      </c>
      <c r="L12">
        <v>0</v>
      </c>
      <c r="M12">
        <v>5</v>
      </c>
      <c r="N12">
        <v>0</v>
      </c>
      <c r="O12">
        <v>3</v>
      </c>
      <c r="P12">
        <v>15</v>
      </c>
      <c r="Q12">
        <v>17</v>
      </c>
      <c r="R12">
        <v>1</v>
      </c>
      <c r="S12">
        <v>0</v>
      </c>
      <c r="T12">
        <v>10</v>
      </c>
      <c r="U12">
        <v>0</v>
      </c>
      <c r="V12">
        <v>20</v>
      </c>
      <c r="W12">
        <v>10</v>
      </c>
      <c r="X12">
        <v>20</v>
      </c>
      <c r="Y12">
        <v>21</v>
      </c>
      <c r="Z12">
        <v>0</v>
      </c>
      <c r="AA12">
        <v>0</v>
      </c>
      <c r="AB12">
        <v>14</v>
      </c>
      <c r="AC12">
        <v>36</v>
      </c>
      <c r="AD12">
        <v>2</v>
      </c>
    </row>
    <row r="13" spans="1:98" x14ac:dyDescent="0.3">
      <c r="A13" t="s">
        <v>1042</v>
      </c>
      <c r="B13" t="s">
        <v>489</v>
      </c>
      <c r="C13" t="s">
        <v>1321</v>
      </c>
      <c r="D13">
        <v>12</v>
      </c>
      <c r="E13" t="s">
        <v>1406</v>
      </c>
      <c r="F13" t="s">
        <v>1426</v>
      </c>
      <c r="G13" t="s">
        <v>164</v>
      </c>
      <c r="H13" t="s">
        <v>1292</v>
      </c>
      <c r="I13" t="b">
        <v>1</v>
      </c>
      <c r="J13">
        <v>59</v>
      </c>
      <c r="K13">
        <v>0</v>
      </c>
      <c r="L13">
        <v>0</v>
      </c>
      <c r="M13">
        <v>0</v>
      </c>
      <c r="N13">
        <v>0</v>
      </c>
      <c r="O13">
        <v>4</v>
      </c>
      <c r="P13">
        <v>20</v>
      </c>
      <c r="Q13">
        <v>24</v>
      </c>
      <c r="R13">
        <v>5</v>
      </c>
      <c r="S13">
        <v>3</v>
      </c>
      <c r="T13">
        <v>5</v>
      </c>
      <c r="U13">
        <v>15</v>
      </c>
      <c r="V13">
        <v>10</v>
      </c>
      <c r="W13">
        <v>8</v>
      </c>
      <c r="X13">
        <v>25</v>
      </c>
      <c r="Y13">
        <v>30</v>
      </c>
      <c r="Z13">
        <v>0</v>
      </c>
      <c r="AA13">
        <v>0</v>
      </c>
      <c r="AB13">
        <v>17</v>
      </c>
      <c r="AC13">
        <v>50</v>
      </c>
      <c r="AD13">
        <v>1</v>
      </c>
    </row>
    <row r="14" spans="1:98" x14ac:dyDescent="0.3">
      <c r="A14" t="s">
        <v>1042</v>
      </c>
      <c r="B14" t="s">
        <v>489</v>
      </c>
      <c r="C14" t="s">
        <v>1321</v>
      </c>
      <c r="D14">
        <v>12</v>
      </c>
      <c r="E14" t="s">
        <v>1406</v>
      </c>
      <c r="F14" t="s">
        <v>1424</v>
      </c>
      <c r="G14" t="s">
        <v>1409</v>
      </c>
      <c r="H14" t="s">
        <v>1305</v>
      </c>
      <c r="I14" t="b">
        <v>1</v>
      </c>
      <c r="J14">
        <v>59</v>
      </c>
      <c r="K14">
        <v>0</v>
      </c>
      <c r="L14">
        <v>0</v>
      </c>
      <c r="M14">
        <v>0</v>
      </c>
      <c r="N14">
        <v>0</v>
      </c>
      <c r="O14">
        <v>4</v>
      </c>
      <c r="P14">
        <v>20</v>
      </c>
      <c r="Q14">
        <v>24</v>
      </c>
      <c r="R14">
        <v>5</v>
      </c>
      <c r="S14">
        <v>3</v>
      </c>
      <c r="T14">
        <v>5</v>
      </c>
      <c r="U14">
        <v>15</v>
      </c>
      <c r="V14">
        <v>10</v>
      </c>
      <c r="W14">
        <v>8</v>
      </c>
      <c r="X14">
        <v>25</v>
      </c>
      <c r="Y14">
        <v>30</v>
      </c>
      <c r="Z14">
        <v>0</v>
      </c>
      <c r="AA14">
        <v>0</v>
      </c>
      <c r="AB14">
        <v>17</v>
      </c>
      <c r="AC14">
        <v>50</v>
      </c>
      <c r="AD14">
        <v>1</v>
      </c>
    </row>
    <row r="15" spans="1:98" x14ac:dyDescent="0.3">
      <c r="A15" t="s">
        <v>1042</v>
      </c>
      <c r="B15" t="s">
        <v>489</v>
      </c>
      <c r="C15" t="s">
        <v>1321</v>
      </c>
      <c r="D15">
        <v>12</v>
      </c>
      <c r="E15" t="s">
        <v>1406</v>
      </c>
      <c r="F15" t="s">
        <v>1422</v>
      </c>
      <c r="G15" t="s">
        <v>105</v>
      </c>
      <c r="H15" t="s">
        <v>365</v>
      </c>
      <c r="I15" t="b">
        <v>1</v>
      </c>
      <c r="J15">
        <v>59</v>
      </c>
      <c r="K15">
        <v>0</v>
      </c>
      <c r="L15">
        <v>0</v>
      </c>
      <c r="M15">
        <v>0</v>
      </c>
      <c r="N15">
        <v>0</v>
      </c>
      <c r="O15">
        <v>4</v>
      </c>
      <c r="P15">
        <v>20</v>
      </c>
      <c r="Q15">
        <v>24</v>
      </c>
      <c r="R15">
        <v>5</v>
      </c>
      <c r="S15">
        <v>3</v>
      </c>
      <c r="T15">
        <v>5</v>
      </c>
      <c r="U15">
        <v>15</v>
      </c>
      <c r="V15">
        <v>10</v>
      </c>
      <c r="W15">
        <v>8</v>
      </c>
      <c r="X15">
        <v>25</v>
      </c>
      <c r="Y15">
        <v>30</v>
      </c>
      <c r="Z15">
        <v>0</v>
      </c>
      <c r="AA15">
        <v>0</v>
      </c>
      <c r="AB15">
        <v>17</v>
      </c>
      <c r="AC15">
        <v>50</v>
      </c>
      <c r="AD15">
        <v>1</v>
      </c>
    </row>
    <row r="16" spans="1:98" x14ac:dyDescent="0.3">
      <c r="A16" t="s">
        <v>1042</v>
      </c>
      <c r="B16" t="s">
        <v>489</v>
      </c>
      <c r="C16" t="s">
        <v>1322</v>
      </c>
      <c r="D16">
        <v>13</v>
      </c>
      <c r="E16" t="s">
        <v>1406</v>
      </c>
      <c r="F16" t="s">
        <v>1426</v>
      </c>
      <c r="G16" t="s">
        <v>164</v>
      </c>
      <c r="H16" t="s">
        <v>1310</v>
      </c>
      <c r="I16" t="b">
        <v>1</v>
      </c>
      <c r="J16">
        <v>48</v>
      </c>
      <c r="K16">
        <v>0</v>
      </c>
      <c r="L16">
        <v>0</v>
      </c>
      <c r="M16">
        <v>0</v>
      </c>
      <c r="N16">
        <v>0</v>
      </c>
      <c r="O16">
        <v>2</v>
      </c>
      <c r="P16">
        <v>10</v>
      </c>
      <c r="Q16">
        <v>14</v>
      </c>
      <c r="R16">
        <v>3</v>
      </c>
      <c r="S16">
        <v>1</v>
      </c>
      <c r="T16">
        <v>2</v>
      </c>
      <c r="U16">
        <v>5</v>
      </c>
      <c r="V16">
        <v>4</v>
      </c>
      <c r="W16">
        <v>3</v>
      </c>
      <c r="X16">
        <v>9</v>
      </c>
      <c r="Y16">
        <v>12</v>
      </c>
      <c r="Z16">
        <v>0</v>
      </c>
      <c r="AA16">
        <v>0</v>
      </c>
      <c r="AB16">
        <v>8</v>
      </c>
      <c r="AC16">
        <v>22</v>
      </c>
      <c r="AD16">
        <v>7</v>
      </c>
    </row>
    <row r="17" spans="1:30" x14ac:dyDescent="0.3">
      <c r="A17" t="s">
        <v>1042</v>
      </c>
      <c r="B17" t="s">
        <v>489</v>
      </c>
      <c r="C17" t="s">
        <v>1322</v>
      </c>
      <c r="D17">
        <v>13</v>
      </c>
      <c r="E17" t="s">
        <v>1406</v>
      </c>
      <c r="F17" t="s">
        <v>1424</v>
      </c>
      <c r="G17" t="s">
        <v>1409</v>
      </c>
      <c r="H17" t="s">
        <v>1290</v>
      </c>
      <c r="I17" t="b">
        <v>1</v>
      </c>
      <c r="J17">
        <v>48</v>
      </c>
      <c r="K17">
        <v>0</v>
      </c>
      <c r="L17">
        <v>0</v>
      </c>
      <c r="M17">
        <v>0</v>
      </c>
      <c r="N17">
        <v>0</v>
      </c>
      <c r="O17">
        <v>2</v>
      </c>
      <c r="P17">
        <v>10</v>
      </c>
      <c r="Q17">
        <v>14</v>
      </c>
      <c r="R17">
        <v>3</v>
      </c>
      <c r="S17">
        <v>1</v>
      </c>
      <c r="T17">
        <v>2</v>
      </c>
      <c r="U17">
        <v>5</v>
      </c>
      <c r="V17">
        <v>4</v>
      </c>
      <c r="W17">
        <v>3</v>
      </c>
      <c r="X17">
        <v>9</v>
      </c>
      <c r="Y17">
        <v>12</v>
      </c>
      <c r="Z17">
        <v>0</v>
      </c>
      <c r="AA17">
        <v>0</v>
      </c>
      <c r="AB17">
        <v>8</v>
      </c>
      <c r="AC17">
        <v>22</v>
      </c>
      <c r="AD17">
        <v>7</v>
      </c>
    </row>
    <row r="18" spans="1:30" x14ac:dyDescent="0.3">
      <c r="A18" t="s">
        <v>1042</v>
      </c>
      <c r="B18" t="s">
        <v>489</v>
      </c>
      <c r="C18" t="s">
        <v>1322</v>
      </c>
      <c r="D18">
        <v>13</v>
      </c>
      <c r="E18" t="s">
        <v>1406</v>
      </c>
      <c r="F18" t="s">
        <v>1422</v>
      </c>
      <c r="G18" t="s">
        <v>105</v>
      </c>
      <c r="H18" t="s">
        <v>368</v>
      </c>
      <c r="I18" t="b">
        <v>1</v>
      </c>
      <c r="J18">
        <v>48</v>
      </c>
      <c r="K18">
        <v>0</v>
      </c>
      <c r="L18">
        <v>0</v>
      </c>
      <c r="M18">
        <v>0</v>
      </c>
      <c r="N18">
        <v>0</v>
      </c>
      <c r="O18">
        <v>2</v>
      </c>
      <c r="P18">
        <v>10</v>
      </c>
      <c r="Q18">
        <v>14</v>
      </c>
      <c r="R18">
        <v>3</v>
      </c>
      <c r="S18">
        <v>1</v>
      </c>
      <c r="T18">
        <v>2</v>
      </c>
      <c r="U18">
        <v>5</v>
      </c>
      <c r="V18">
        <v>4</v>
      </c>
      <c r="W18">
        <v>3</v>
      </c>
      <c r="X18">
        <v>9</v>
      </c>
      <c r="Y18">
        <v>12</v>
      </c>
      <c r="Z18">
        <v>0</v>
      </c>
      <c r="AA18">
        <v>0</v>
      </c>
      <c r="AB18">
        <v>8</v>
      </c>
      <c r="AC18">
        <v>22</v>
      </c>
      <c r="AD18">
        <v>7</v>
      </c>
    </row>
    <row r="19" spans="1:30" x14ac:dyDescent="0.3">
      <c r="A19" t="s">
        <v>1042</v>
      </c>
      <c r="B19" t="s">
        <v>489</v>
      </c>
      <c r="C19" t="s">
        <v>1323</v>
      </c>
      <c r="D19">
        <v>14</v>
      </c>
      <c r="E19" t="s">
        <v>1406</v>
      </c>
      <c r="F19" t="s">
        <v>1426</v>
      </c>
      <c r="G19" t="s">
        <v>164</v>
      </c>
      <c r="H19" t="s">
        <v>1289</v>
      </c>
      <c r="I19" t="b">
        <v>0</v>
      </c>
      <c r="J19">
        <v>30</v>
      </c>
      <c r="K19">
        <v>0</v>
      </c>
      <c r="L19">
        <v>0</v>
      </c>
      <c r="M19">
        <v>0</v>
      </c>
      <c r="N19">
        <v>0</v>
      </c>
      <c r="O19">
        <v>2</v>
      </c>
      <c r="P19">
        <v>10</v>
      </c>
      <c r="Q19">
        <v>12</v>
      </c>
      <c r="R19">
        <v>2</v>
      </c>
      <c r="S19">
        <v>1</v>
      </c>
      <c r="T19">
        <v>3</v>
      </c>
      <c r="U19">
        <v>5</v>
      </c>
      <c r="V19">
        <v>6</v>
      </c>
      <c r="W19">
        <v>4</v>
      </c>
      <c r="X19">
        <v>11</v>
      </c>
      <c r="Y19">
        <v>13</v>
      </c>
      <c r="Z19">
        <v>0</v>
      </c>
      <c r="AA19">
        <v>0</v>
      </c>
      <c r="AB19">
        <v>8</v>
      </c>
      <c r="AC19">
        <v>23</v>
      </c>
      <c r="AD19">
        <v>3</v>
      </c>
    </row>
    <row r="20" spans="1:30" x14ac:dyDescent="0.3">
      <c r="A20" t="s">
        <v>1042</v>
      </c>
      <c r="B20" t="s">
        <v>489</v>
      </c>
      <c r="C20" t="s">
        <v>1323</v>
      </c>
      <c r="D20">
        <v>14</v>
      </c>
      <c r="E20" t="s">
        <v>1406</v>
      </c>
      <c r="F20" t="s">
        <v>1424</v>
      </c>
      <c r="G20" t="s">
        <v>1409</v>
      </c>
      <c r="H20" t="s">
        <v>1309</v>
      </c>
      <c r="I20" t="b">
        <v>0</v>
      </c>
      <c r="J20">
        <v>30</v>
      </c>
      <c r="K20">
        <v>0</v>
      </c>
      <c r="L20">
        <v>0</v>
      </c>
      <c r="M20">
        <v>0</v>
      </c>
      <c r="N20">
        <v>0</v>
      </c>
      <c r="O20">
        <v>2</v>
      </c>
      <c r="P20">
        <v>10</v>
      </c>
      <c r="Q20">
        <v>12</v>
      </c>
      <c r="R20">
        <v>2</v>
      </c>
      <c r="S20">
        <v>1</v>
      </c>
      <c r="T20">
        <v>3</v>
      </c>
      <c r="U20">
        <v>5</v>
      </c>
      <c r="V20">
        <v>6</v>
      </c>
      <c r="W20">
        <v>4</v>
      </c>
      <c r="X20">
        <v>11</v>
      </c>
      <c r="Y20">
        <v>13</v>
      </c>
      <c r="Z20">
        <v>0</v>
      </c>
      <c r="AA20">
        <v>0</v>
      </c>
      <c r="AB20">
        <v>8</v>
      </c>
      <c r="AC20">
        <v>23</v>
      </c>
      <c r="AD20">
        <v>3</v>
      </c>
    </row>
    <row r="21" spans="1:30" x14ac:dyDescent="0.3">
      <c r="A21" t="s">
        <v>1042</v>
      </c>
      <c r="B21" t="s">
        <v>489</v>
      </c>
      <c r="C21" t="s">
        <v>1323</v>
      </c>
      <c r="D21">
        <v>14</v>
      </c>
      <c r="E21" t="s">
        <v>1406</v>
      </c>
      <c r="F21" t="s">
        <v>1422</v>
      </c>
      <c r="G21" t="s">
        <v>105</v>
      </c>
      <c r="H21" t="s">
        <v>372</v>
      </c>
      <c r="I21" t="b">
        <v>0</v>
      </c>
      <c r="J21">
        <v>30</v>
      </c>
      <c r="K21">
        <v>0</v>
      </c>
      <c r="L21">
        <v>0</v>
      </c>
      <c r="M21">
        <v>0</v>
      </c>
      <c r="N21">
        <v>0</v>
      </c>
      <c r="O21">
        <v>2</v>
      </c>
      <c r="P21">
        <v>10</v>
      </c>
      <c r="Q21">
        <v>12</v>
      </c>
      <c r="R21">
        <v>2</v>
      </c>
      <c r="S21">
        <v>1</v>
      </c>
      <c r="T21">
        <v>3</v>
      </c>
      <c r="U21">
        <v>5</v>
      </c>
      <c r="V21">
        <v>6</v>
      </c>
      <c r="W21">
        <v>4</v>
      </c>
      <c r="X21">
        <v>11</v>
      </c>
      <c r="Y21">
        <v>13</v>
      </c>
      <c r="Z21">
        <v>0</v>
      </c>
      <c r="AA21">
        <v>0</v>
      </c>
      <c r="AB21">
        <v>8</v>
      </c>
      <c r="AC21">
        <v>23</v>
      </c>
      <c r="AD21">
        <v>3</v>
      </c>
    </row>
    <row r="22" spans="1:30" x14ac:dyDescent="0.3">
      <c r="A22" t="s">
        <v>1042</v>
      </c>
      <c r="B22" t="s">
        <v>489</v>
      </c>
      <c r="C22" t="s">
        <v>1324</v>
      </c>
      <c r="D22">
        <v>15</v>
      </c>
      <c r="E22" t="s">
        <v>1406</v>
      </c>
      <c r="F22" t="s">
        <v>1426</v>
      </c>
      <c r="G22" t="s">
        <v>164</v>
      </c>
      <c r="H22" t="s">
        <v>369</v>
      </c>
      <c r="I22" t="b">
        <v>1</v>
      </c>
      <c r="J22">
        <v>39</v>
      </c>
      <c r="K22">
        <v>0</v>
      </c>
      <c r="L22">
        <v>0</v>
      </c>
      <c r="M22">
        <v>20</v>
      </c>
      <c r="N22">
        <v>0</v>
      </c>
      <c r="O22">
        <v>4</v>
      </c>
      <c r="P22">
        <v>20</v>
      </c>
      <c r="Q22">
        <v>22</v>
      </c>
      <c r="R22">
        <v>3</v>
      </c>
      <c r="S22">
        <v>2</v>
      </c>
      <c r="T22">
        <v>1</v>
      </c>
      <c r="U22">
        <v>10</v>
      </c>
      <c r="V22">
        <v>2</v>
      </c>
      <c r="W22">
        <v>3</v>
      </c>
      <c r="X22">
        <v>12</v>
      </c>
      <c r="Y22">
        <v>15</v>
      </c>
      <c r="Z22">
        <v>0</v>
      </c>
      <c r="AA22">
        <v>0</v>
      </c>
      <c r="AB22">
        <v>10</v>
      </c>
      <c r="AC22">
        <v>35</v>
      </c>
      <c r="AD22">
        <v>2</v>
      </c>
    </row>
    <row r="23" spans="1:30" x14ac:dyDescent="0.3">
      <c r="A23" t="s">
        <v>1042</v>
      </c>
      <c r="B23" t="s">
        <v>489</v>
      </c>
      <c r="C23" t="s">
        <v>1324</v>
      </c>
      <c r="D23">
        <v>15</v>
      </c>
      <c r="E23" t="s">
        <v>1406</v>
      </c>
      <c r="F23" t="s">
        <v>1424</v>
      </c>
      <c r="G23" t="s">
        <v>1409</v>
      </c>
      <c r="H23" t="s">
        <v>1277</v>
      </c>
      <c r="I23" t="b">
        <v>1</v>
      </c>
      <c r="J23">
        <v>39</v>
      </c>
      <c r="K23">
        <v>0</v>
      </c>
      <c r="L23">
        <v>0</v>
      </c>
      <c r="M23">
        <v>20</v>
      </c>
      <c r="N23">
        <v>0</v>
      </c>
      <c r="O23">
        <v>4</v>
      </c>
      <c r="P23">
        <v>20</v>
      </c>
      <c r="Q23">
        <v>22</v>
      </c>
      <c r="R23">
        <v>3</v>
      </c>
      <c r="S23">
        <v>2</v>
      </c>
      <c r="T23">
        <v>1</v>
      </c>
      <c r="U23">
        <v>10</v>
      </c>
      <c r="V23">
        <v>2</v>
      </c>
      <c r="W23">
        <v>3</v>
      </c>
      <c r="X23">
        <v>12</v>
      </c>
      <c r="Y23">
        <v>15</v>
      </c>
      <c r="Z23">
        <v>0</v>
      </c>
      <c r="AA23">
        <v>0</v>
      </c>
      <c r="AB23">
        <v>10</v>
      </c>
      <c r="AC23">
        <v>35</v>
      </c>
      <c r="AD23">
        <v>2</v>
      </c>
    </row>
    <row r="24" spans="1:30" x14ac:dyDescent="0.3">
      <c r="A24" t="s">
        <v>1042</v>
      </c>
      <c r="B24" t="s">
        <v>489</v>
      </c>
      <c r="C24" t="s">
        <v>1324</v>
      </c>
      <c r="D24">
        <v>15</v>
      </c>
      <c r="E24" t="s">
        <v>1406</v>
      </c>
      <c r="F24" t="s">
        <v>1422</v>
      </c>
      <c r="G24" t="s">
        <v>105</v>
      </c>
      <c r="H24" t="s">
        <v>1301</v>
      </c>
      <c r="I24" t="b">
        <v>1</v>
      </c>
      <c r="J24">
        <v>39</v>
      </c>
      <c r="K24">
        <v>0</v>
      </c>
      <c r="L24">
        <v>0</v>
      </c>
      <c r="M24">
        <v>20</v>
      </c>
      <c r="N24">
        <v>0</v>
      </c>
      <c r="O24">
        <v>4</v>
      </c>
      <c r="P24">
        <v>20</v>
      </c>
      <c r="Q24">
        <v>22</v>
      </c>
      <c r="R24">
        <v>3</v>
      </c>
      <c r="S24">
        <v>2</v>
      </c>
      <c r="T24">
        <v>1</v>
      </c>
      <c r="U24">
        <v>10</v>
      </c>
      <c r="V24">
        <v>2</v>
      </c>
      <c r="W24">
        <v>3</v>
      </c>
      <c r="X24">
        <v>12</v>
      </c>
      <c r="Y24">
        <v>15</v>
      </c>
      <c r="Z24">
        <v>0</v>
      </c>
      <c r="AA24">
        <v>0</v>
      </c>
      <c r="AB24">
        <v>10</v>
      </c>
      <c r="AC24">
        <v>35</v>
      </c>
      <c r="AD24">
        <v>2</v>
      </c>
    </row>
    <row r="25" spans="1:30" x14ac:dyDescent="0.3">
      <c r="A25" t="s">
        <v>1042</v>
      </c>
      <c r="B25" t="s">
        <v>489</v>
      </c>
      <c r="C25" t="s">
        <v>1325</v>
      </c>
      <c r="D25">
        <v>16</v>
      </c>
      <c r="E25" t="s">
        <v>1406</v>
      </c>
      <c r="F25" t="s">
        <v>1426</v>
      </c>
      <c r="G25" t="s">
        <v>164</v>
      </c>
      <c r="H25" t="s">
        <v>1306</v>
      </c>
      <c r="I25" t="b">
        <v>1</v>
      </c>
      <c r="J25">
        <v>50</v>
      </c>
      <c r="K25">
        <v>0</v>
      </c>
      <c r="L25">
        <v>0</v>
      </c>
      <c r="M25">
        <v>25</v>
      </c>
      <c r="N25">
        <v>0</v>
      </c>
      <c r="O25">
        <v>3</v>
      </c>
      <c r="P25">
        <v>15</v>
      </c>
      <c r="Q25">
        <v>21</v>
      </c>
      <c r="R25">
        <v>6</v>
      </c>
      <c r="S25">
        <v>3</v>
      </c>
      <c r="T25">
        <v>1</v>
      </c>
      <c r="U25">
        <v>15</v>
      </c>
      <c r="V25">
        <v>2</v>
      </c>
      <c r="W25">
        <v>4</v>
      </c>
      <c r="X25">
        <v>17</v>
      </c>
      <c r="Y25">
        <v>23</v>
      </c>
      <c r="Z25">
        <v>0</v>
      </c>
      <c r="AA25">
        <v>0</v>
      </c>
      <c r="AB25">
        <v>13</v>
      </c>
      <c r="AC25">
        <v>38</v>
      </c>
      <c r="AD25">
        <v>4</v>
      </c>
    </row>
    <row r="26" spans="1:30" x14ac:dyDescent="0.3">
      <c r="A26" t="s">
        <v>1042</v>
      </c>
      <c r="B26" t="s">
        <v>489</v>
      </c>
      <c r="C26" t="s">
        <v>1325</v>
      </c>
      <c r="D26">
        <v>16</v>
      </c>
      <c r="E26" t="s">
        <v>1406</v>
      </c>
      <c r="F26" t="s">
        <v>1424</v>
      </c>
      <c r="G26" t="s">
        <v>1409</v>
      </c>
      <c r="H26" t="s">
        <v>1280</v>
      </c>
      <c r="I26" t="b">
        <v>1</v>
      </c>
      <c r="J26">
        <v>50</v>
      </c>
      <c r="K26">
        <v>0</v>
      </c>
      <c r="L26">
        <v>0</v>
      </c>
      <c r="M26">
        <v>25</v>
      </c>
      <c r="N26">
        <v>0</v>
      </c>
      <c r="O26">
        <v>3</v>
      </c>
      <c r="P26">
        <v>15</v>
      </c>
      <c r="Q26">
        <v>21</v>
      </c>
      <c r="R26">
        <v>6</v>
      </c>
      <c r="S26">
        <v>3</v>
      </c>
      <c r="T26">
        <v>1</v>
      </c>
      <c r="U26">
        <v>15</v>
      </c>
      <c r="V26">
        <v>2</v>
      </c>
      <c r="W26">
        <v>4</v>
      </c>
      <c r="X26">
        <v>17</v>
      </c>
      <c r="Y26">
        <v>23</v>
      </c>
      <c r="Z26">
        <v>0</v>
      </c>
      <c r="AA26">
        <v>0</v>
      </c>
      <c r="AB26">
        <v>13</v>
      </c>
      <c r="AC26">
        <v>38</v>
      </c>
      <c r="AD26">
        <v>4</v>
      </c>
    </row>
    <row r="27" spans="1:30" x14ac:dyDescent="0.3">
      <c r="A27" t="s">
        <v>1042</v>
      </c>
      <c r="B27" t="s">
        <v>489</v>
      </c>
      <c r="C27" t="s">
        <v>1325</v>
      </c>
      <c r="D27">
        <v>16</v>
      </c>
      <c r="E27" t="s">
        <v>1406</v>
      </c>
      <c r="F27" t="s">
        <v>1422</v>
      </c>
      <c r="G27" t="s">
        <v>105</v>
      </c>
      <c r="H27" t="s">
        <v>1315</v>
      </c>
      <c r="I27" t="b">
        <v>1</v>
      </c>
      <c r="J27">
        <v>50</v>
      </c>
      <c r="K27">
        <v>0</v>
      </c>
      <c r="L27">
        <v>0</v>
      </c>
      <c r="M27">
        <v>25</v>
      </c>
      <c r="N27">
        <v>0</v>
      </c>
      <c r="O27">
        <v>3</v>
      </c>
      <c r="P27">
        <v>15</v>
      </c>
      <c r="Q27">
        <v>21</v>
      </c>
      <c r="R27">
        <v>6</v>
      </c>
      <c r="S27">
        <v>3</v>
      </c>
      <c r="T27">
        <v>1</v>
      </c>
      <c r="U27">
        <v>15</v>
      </c>
      <c r="V27">
        <v>2</v>
      </c>
      <c r="W27">
        <v>4</v>
      </c>
      <c r="X27">
        <v>17</v>
      </c>
      <c r="Y27">
        <v>23</v>
      </c>
      <c r="Z27">
        <v>0</v>
      </c>
      <c r="AA27">
        <v>0</v>
      </c>
      <c r="AB27">
        <v>13</v>
      </c>
      <c r="AC27">
        <v>38</v>
      </c>
      <c r="AD27">
        <v>4</v>
      </c>
    </row>
    <row r="28" spans="1:30" x14ac:dyDescent="0.3">
      <c r="A28" t="s">
        <v>1042</v>
      </c>
      <c r="B28" t="s">
        <v>489</v>
      </c>
      <c r="C28" t="s">
        <v>1326</v>
      </c>
      <c r="D28">
        <v>17</v>
      </c>
      <c r="E28" t="s">
        <v>1406</v>
      </c>
      <c r="F28" t="s">
        <v>1426</v>
      </c>
      <c r="G28" t="s">
        <v>164</v>
      </c>
      <c r="H28" t="s">
        <v>361</v>
      </c>
      <c r="I28" t="b">
        <v>0</v>
      </c>
      <c r="J28">
        <v>64</v>
      </c>
      <c r="K28">
        <v>1</v>
      </c>
      <c r="L28">
        <v>0</v>
      </c>
      <c r="M28">
        <v>2</v>
      </c>
      <c r="N28">
        <v>0</v>
      </c>
      <c r="O28">
        <v>4</v>
      </c>
      <c r="P28">
        <v>20</v>
      </c>
      <c r="Q28">
        <v>22</v>
      </c>
      <c r="R28">
        <v>3</v>
      </c>
      <c r="S28">
        <v>2</v>
      </c>
      <c r="T28">
        <v>12</v>
      </c>
      <c r="U28">
        <v>10</v>
      </c>
      <c r="V28">
        <v>24</v>
      </c>
      <c r="W28">
        <v>14</v>
      </c>
      <c r="X28">
        <v>34</v>
      </c>
      <c r="Y28">
        <v>37</v>
      </c>
      <c r="Z28">
        <v>0</v>
      </c>
      <c r="AA28">
        <v>0</v>
      </c>
      <c r="AB28">
        <v>21</v>
      </c>
      <c r="AC28">
        <v>57</v>
      </c>
      <c r="AD28">
        <v>5</v>
      </c>
    </row>
    <row r="29" spans="1:30" x14ac:dyDescent="0.3">
      <c r="A29" t="s">
        <v>1042</v>
      </c>
      <c r="B29" t="s">
        <v>489</v>
      </c>
      <c r="C29" t="s">
        <v>1326</v>
      </c>
      <c r="D29">
        <v>17</v>
      </c>
      <c r="E29" t="s">
        <v>1406</v>
      </c>
      <c r="F29" t="s">
        <v>1424</v>
      </c>
      <c r="G29" t="s">
        <v>1409</v>
      </c>
      <c r="H29" t="s">
        <v>1278</v>
      </c>
      <c r="I29" t="b">
        <v>0</v>
      </c>
      <c r="J29">
        <v>64</v>
      </c>
      <c r="K29">
        <v>1</v>
      </c>
      <c r="L29">
        <v>0</v>
      </c>
      <c r="M29">
        <v>2</v>
      </c>
      <c r="N29">
        <v>0</v>
      </c>
      <c r="O29">
        <v>4</v>
      </c>
      <c r="P29">
        <v>20</v>
      </c>
      <c r="Q29">
        <v>22</v>
      </c>
      <c r="R29">
        <v>3</v>
      </c>
      <c r="S29">
        <v>2</v>
      </c>
      <c r="T29">
        <v>12</v>
      </c>
      <c r="U29">
        <v>10</v>
      </c>
      <c r="V29">
        <v>24</v>
      </c>
      <c r="W29">
        <v>14</v>
      </c>
      <c r="X29">
        <v>34</v>
      </c>
      <c r="Y29">
        <v>37</v>
      </c>
      <c r="Z29">
        <v>0</v>
      </c>
      <c r="AA29">
        <v>0</v>
      </c>
      <c r="AB29">
        <v>21</v>
      </c>
      <c r="AC29">
        <v>57</v>
      </c>
      <c r="AD29">
        <v>5</v>
      </c>
    </row>
    <row r="30" spans="1:30" x14ac:dyDescent="0.3">
      <c r="A30" t="s">
        <v>1042</v>
      </c>
      <c r="B30" t="s">
        <v>489</v>
      </c>
      <c r="C30" t="s">
        <v>1326</v>
      </c>
      <c r="D30">
        <v>17</v>
      </c>
      <c r="E30" t="s">
        <v>1406</v>
      </c>
      <c r="F30" t="s">
        <v>1422</v>
      </c>
      <c r="G30" t="s">
        <v>105</v>
      </c>
      <c r="H30" t="s">
        <v>318</v>
      </c>
      <c r="I30" t="b">
        <v>0</v>
      </c>
      <c r="J30">
        <v>64</v>
      </c>
      <c r="K30">
        <v>1</v>
      </c>
      <c r="L30">
        <v>0</v>
      </c>
      <c r="M30">
        <v>2</v>
      </c>
      <c r="N30">
        <v>0</v>
      </c>
      <c r="O30">
        <v>4</v>
      </c>
      <c r="P30">
        <v>20</v>
      </c>
      <c r="Q30">
        <v>22</v>
      </c>
      <c r="R30">
        <v>3</v>
      </c>
      <c r="S30">
        <v>2</v>
      </c>
      <c r="T30">
        <v>12</v>
      </c>
      <c r="U30">
        <v>10</v>
      </c>
      <c r="V30">
        <v>24</v>
      </c>
      <c r="W30">
        <v>14</v>
      </c>
      <c r="X30">
        <v>34</v>
      </c>
      <c r="Y30">
        <v>37</v>
      </c>
      <c r="Z30">
        <v>0</v>
      </c>
      <c r="AA30">
        <v>0</v>
      </c>
      <c r="AB30">
        <v>21</v>
      </c>
      <c r="AC30">
        <v>57</v>
      </c>
      <c r="AD30">
        <v>5</v>
      </c>
    </row>
    <row r="31" spans="1:30" x14ac:dyDescent="0.3">
      <c r="A31" t="s">
        <v>1042</v>
      </c>
      <c r="B31" t="s">
        <v>489</v>
      </c>
      <c r="C31" t="s">
        <v>1327</v>
      </c>
      <c r="D31">
        <v>18</v>
      </c>
      <c r="E31" t="s">
        <v>1406</v>
      </c>
      <c r="F31" t="s">
        <v>1426</v>
      </c>
      <c r="G31" t="s">
        <v>164</v>
      </c>
      <c r="H31" t="s">
        <v>1294</v>
      </c>
      <c r="I31" t="b">
        <v>1</v>
      </c>
      <c r="J31">
        <v>92</v>
      </c>
      <c r="K31">
        <v>1</v>
      </c>
      <c r="L31">
        <v>0</v>
      </c>
      <c r="M31">
        <v>0</v>
      </c>
      <c r="N31">
        <v>0</v>
      </c>
      <c r="O31">
        <v>2</v>
      </c>
      <c r="P31">
        <v>10</v>
      </c>
      <c r="Q31">
        <v>14</v>
      </c>
      <c r="R31">
        <v>3</v>
      </c>
      <c r="S31">
        <v>2</v>
      </c>
      <c r="T31">
        <v>11</v>
      </c>
      <c r="U31">
        <v>10</v>
      </c>
      <c r="V31">
        <v>22</v>
      </c>
      <c r="W31">
        <v>13</v>
      </c>
      <c r="X31">
        <v>32</v>
      </c>
      <c r="Y31">
        <v>35</v>
      </c>
      <c r="Z31">
        <v>0</v>
      </c>
      <c r="AA31">
        <v>0</v>
      </c>
      <c r="AB31">
        <v>18</v>
      </c>
      <c r="AC31">
        <v>45</v>
      </c>
      <c r="AD31">
        <v>3</v>
      </c>
    </row>
    <row r="32" spans="1:30" x14ac:dyDescent="0.3">
      <c r="A32" t="s">
        <v>1042</v>
      </c>
      <c r="B32" t="s">
        <v>489</v>
      </c>
      <c r="C32" t="s">
        <v>1327</v>
      </c>
      <c r="D32">
        <v>18</v>
      </c>
      <c r="E32" t="s">
        <v>1406</v>
      </c>
      <c r="F32" t="s">
        <v>1424</v>
      </c>
      <c r="G32" t="s">
        <v>1409</v>
      </c>
      <c r="H32" t="s">
        <v>1310</v>
      </c>
      <c r="I32" t="b">
        <v>1</v>
      </c>
      <c r="J32">
        <v>92</v>
      </c>
      <c r="K32">
        <v>1</v>
      </c>
      <c r="L32">
        <v>0</v>
      </c>
      <c r="M32">
        <v>0</v>
      </c>
      <c r="N32">
        <v>0</v>
      </c>
      <c r="O32">
        <v>2</v>
      </c>
      <c r="P32">
        <v>10</v>
      </c>
      <c r="Q32">
        <v>14</v>
      </c>
      <c r="R32">
        <v>3</v>
      </c>
      <c r="S32">
        <v>2</v>
      </c>
      <c r="T32">
        <v>11</v>
      </c>
      <c r="U32">
        <v>10</v>
      </c>
      <c r="V32">
        <v>22</v>
      </c>
      <c r="W32">
        <v>13</v>
      </c>
      <c r="X32">
        <v>32</v>
      </c>
      <c r="Y32">
        <v>35</v>
      </c>
      <c r="Z32">
        <v>0</v>
      </c>
      <c r="AA32">
        <v>0</v>
      </c>
      <c r="AB32">
        <v>18</v>
      </c>
      <c r="AC32">
        <v>45</v>
      </c>
      <c r="AD32">
        <v>3</v>
      </c>
    </row>
    <row r="33" spans="1:30" x14ac:dyDescent="0.3">
      <c r="A33" t="s">
        <v>1042</v>
      </c>
      <c r="B33" t="s">
        <v>489</v>
      </c>
      <c r="C33" t="s">
        <v>1327</v>
      </c>
      <c r="D33">
        <v>18</v>
      </c>
      <c r="E33" t="s">
        <v>1406</v>
      </c>
      <c r="F33" t="s">
        <v>1422</v>
      </c>
      <c r="G33" t="s">
        <v>105</v>
      </c>
      <c r="H33" t="s">
        <v>365</v>
      </c>
      <c r="I33" t="b">
        <v>1</v>
      </c>
      <c r="J33">
        <v>92</v>
      </c>
      <c r="K33">
        <v>1</v>
      </c>
      <c r="L33">
        <v>0</v>
      </c>
      <c r="M33">
        <v>0</v>
      </c>
      <c r="N33">
        <v>0</v>
      </c>
      <c r="O33">
        <v>2</v>
      </c>
      <c r="P33">
        <v>10</v>
      </c>
      <c r="Q33">
        <v>14</v>
      </c>
      <c r="R33">
        <v>3</v>
      </c>
      <c r="S33">
        <v>2</v>
      </c>
      <c r="T33">
        <v>11</v>
      </c>
      <c r="U33">
        <v>10</v>
      </c>
      <c r="V33">
        <v>22</v>
      </c>
      <c r="W33">
        <v>13</v>
      </c>
      <c r="X33">
        <v>32</v>
      </c>
      <c r="Y33">
        <v>35</v>
      </c>
      <c r="Z33">
        <v>0</v>
      </c>
      <c r="AA33">
        <v>0</v>
      </c>
      <c r="AB33">
        <v>18</v>
      </c>
      <c r="AC33">
        <v>45</v>
      </c>
      <c r="AD33">
        <v>3</v>
      </c>
    </row>
    <row r="34" spans="1:30" x14ac:dyDescent="0.3">
      <c r="A34" t="s">
        <v>1042</v>
      </c>
      <c r="B34" t="s">
        <v>489</v>
      </c>
      <c r="C34" t="s">
        <v>1328</v>
      </c>
      <c r="D34">
        <v>19</v>
      </c>
      <c r="E34" t="s">
        <v>1406</v>
      </c>
      <c r="F34" t="s">
        <v>1426</v>
      </c>
      <c r="G34" t="s">
        <v>164</v>
      </c>
      <c r="H34" t="s">
        <v>370</v>
      </c>
      <c r="I34" t="b">
        <v>1</v>
      </c>
      <c r="J34">
        <v>74</v>
      </c>
      <c r="K34">
        <v>1</v>
      </c>
      <c r="L34">
        <v>1</v>
      </c>
      <c r="M34">
        <v>0</v>
      </c>
      <c r="N34">
        <v>0</v>
      </c>
      <c r="O34">
        <v>4</v>
      </c>
      <c r="P34">
        <v>20</v>
      </c>
      <c r="Q34">
        <v>24</v>
      </c>
      <c r="R34">
        <v>5</v>
      </c>
      <c r="S34">
        <v>3</v>
      </c>
      <c r="T34">
        <v>7</v>
      </c>
      <c r="U34">
        <v>15</v>
      </c>
      <c r="V34">
        <v>14</v>
      </c>
      <c r="W34">
        <v>10</v>
      </c>
      <c r="X34">
        <v>29</v>
      </c>
      <c r="Y34">
        <v>34</v>
      </c>
      <c r="Z34">
        <v>0</v>
      </c>
      <c r="AA34">
        <v>0</v>
      </c>
      <c r="AB34">
        <v>19</v>
      </c>
      <c r="AC34">
        <v>54</v>
      </c>
      <c r="AD34">
        <v>11</v>
      </c>
    </row>
    <row r="35" spans="1:30" x14ac:dyDescent="0.3">
      <c r="A35" t="s">
        <v>1042</v>
      </c>
      <c r="B35" t="s">
        <v>489</v>
      </c>
      <c r="C35" t="s">
        <v>1328</v>
      </c>
      <c r="D35">
        <v>19</v>
      </c>
      <c r="E35" t="s">
        <v>1406</v>
      </c>
      <c r="F35" t="s">
        <v>1424</v>
      </c>
      <c r="G35" t="s">
        <v>1409</v>
      </c>
      <c r="H35" t="s">
        <v>1303</v>
      </c>
      <c r="I35" t="b">
        <v>1</v>
      </c>
      <c r="J35">
        <v>74</v>
      </c>
      <c r="K35">
        <v>1</v>
      </c>
      <c r="L35">
        <v>1</v>
      </c>
      <c r="M35">
        <v>0</v>
      </c>
      <c r="N35">
        <v>0</v>
      </c>
      <c r="O35">
        <v>4</v>
      </c>
      <c r="P35">
        <v>20</v>
      </c>
      <c r="Q35">
        <v>24</v>
      </c>
      <c r="R35">
        <v>5</v>
      </c>
      <c r="S35">
        <v>3</v>
      </c>
      <c r="T35">
        <v>7</v>
      </c>
      <c r="U35">
        <v>15</v>
      </c>
      <c r="V35">
        <v>14</v>
      </c>
      <c r="W35">
        <v>10</v>
      </c>
      <c r="X35">
        <v>29</v>
      </c>
      <c r="Y35">
        <v>34</v>
      </c>
      <c r="Z35">
        <v>0</v>
      </c>
      <c r="AA35">
        <v>0</v>
      </c>
      <c r="AB35">
        <v>19</v>
      </c>
      <c r="AC35">
        <v>54</v>
      </c>
      <c r="AD35">
        <v>11</v>
      </c>
    </row>
    <row r="36" spans="1:30" x14ac:dyDescent="0.3">
      <c r="A36" t="s">
        <v>1042</v>
      </c>
      <c r="B36" t="s">
        <v>489</v>
      </c>
      <c r="C36" t="s">
        <v>1328</v>
      </c>
      <c r="D36">
        <v>19</v>
      </c>
      <c r="E36" t="s">
        <v>1406</v>
      </c>
      <c r="F36" t="s">
        <v>1422</v>
      </c>
      <c r="G36" t="s">
        <v>105</v>
      </c>
      <c r="H36" t="s">
        <v>364</v>
      </c>
      <c r="I36" t="b">
        <v>1</v>
      </c>
      <c r="J36">
        <v>74</v>
      </c>
      <c r="K36">
        <v>1</v>
      </c>
      <c r="L36">
        <v>1</v>
      </c>
      <c r="M36">
        <v>0</v>
      </c>
      <c r="N36">
        <v>0</v>
      </c>
      <c r="O36">
        <v>4</v>
      </c>
      <c r="P36">
        <v>20</v>
      </c>
      <c r="Q36">
        <v>24</v>
      </c>
      <c r="R36">
        <v>5</v>
      </c>
      <c r="S36">
        <v>3</v>
      </c>
      <c r="T36">
        <v>7</v>
      </c>
      <c r="U36">
        <v>15</v>
      </c>
      <c r="V36">
        <v>14</v>
      </c>
      <c r="W36">
        <v>10</v>
      </c>
      <c r="X36">
        <v>29</v>
      </c>
      <c r="Y36">
        <v>34</v>
      </c>
      <c r="Z36">
        <v>0</v>
      </c>
      <c r="AA36">
        <v>0</v>
      </c>
      <c r="AB36">
        <v>19</v>
      </c>
      <c r="AC36">
        <v>54</v>
      </c>
      <c r="AD36">
        <v>11</v>
      </c>
    </row>
    <row r="37" spans="1:30" x14ac:dyDescent="0.3">
      <c r="A37" t="s">
        <v>1042</v>
      </c>
      <c r="B37" t="s">
        <v>489</v>
      </c>
      <c r="C37" t="s">
        <v>1281</v>
      </c>
      <c r="D37">
        <v>2</v>
      </c>
      <c r="E37" t="s">
        <v>1406</v>
      </c>
      <c r="F37" t="s">
        <v>1426</v>
      </c>
      <c r="G37" t="s">
        <v>164</v>
      </c>
      <c r="H37" t="s">
        <v>1284</v>
      </c>
      <c r="I37" t="b">
        <v>1</v>
      </c>
      <c r="J37">
        <v>70</v>
      </c>
      <c r="K37">
        <v>1</v>
      </c>
      <c r="L37">
        <v>0</v>
      </c>
      <c r="M37">
        <v>0</v>
      </c>
      <c r="N37">
        <v>0</v>
      </c>
      <c r="O37">
        <v>6</v>
      </c>
      <c r="P37">
        <v>30</v>
      </c>
      <c r="Q37">
        <v>34</v>
      </c>
      <c r="R37">
        <v>1</v>
      </c>
      <c r="S37">
        <v>0</v>
      </c>
      <c r="T37">
        <v>13</v>
      </c>
      <c r="U37">
        <v>0</v>
      </c>
      <c r="V37">
        <v>26</v>
      </c>
      <c r="W37">
        <v>13</v>
      </c>
      <c r="X37">
        <v>26</v>
      </c>
      <c r="Y37">
        <v>27</v>
      </c>
      <c r="Z37">
        <v>0</v>
      </c>
      <c r="AA37">
        <v>0</v>
      </c>
      <c r="AB37">
        <v>20</v>
      </c>
      <c r="AC37">
        <v>57</v>
      </c>
      <c r="AD37">
        <v>5</v>
      </c>
    </row>
    <row r="38" spans="1:30" x14ac:dyDescent="0.3">
      <c r="A38" t="s">
        <v>1042</v>
      </c>
      <c r="B38" t="s">
        <v>489</v>
      </c>
      <c r="C38" t="s">
        <v>1281</v>
      </c>
      <c r="D38">
        <v>2</v>
      </c>
      <c r="E38" t="s">
        <v>1406</v>
      </c>
      <c r="F38" t="s">
        <v>1424</v>
      </c>
      <c r="G38" t="s">
        <v>1409</v>
      </c>
      <c r="H38" t="s">
        <v>1285</v>
      </c>
      <c r="I38" t="b">
        <v>1</v>
      </c>
      <c r="J38">
        <v>70</v>
      </c>
      <c r="K38">
        <v>1</v>
      </c>
      <c r="L38">
        <v>0</v>
      </c>
      <c r="M38">
        <v>0</v>
      </c>
      <c r="N38">
        <v>0</v>
      </c>
      <c r="O38">
        <v>6</v>
      </c>
      <c r="P38">
        <v>30</v>
      </c>
      <c r="Q38">
        <v>34</v>
      </c>
      <c r="R38">
        <v>1</v>
      </c>
      <c r="S38">
        <v>0</v>
      </c>
      <c r="T38">
        <v>13</v>
      </c>
      <c r="U38">
        <v>0</v>
      </c>
      <c r="V38">
        <v>26</v>
      </c>
      <c r="W38">
        <v>13</v>
      </c>
      <c r="X38">
        <v>26</v>
      </c>
      <c r="Y38">
        <v>27</v>
      </c>
      <c r="Z38">
        <v>0</v>
      </c>
      <c r="AA38">
        <v>0</v>
      </c>
      <c r="AB38">
        <v>20</v>
      </c>
      <c r="AC38">
        <v>57</v>
      </c>
      <c r="AD38">
        <v>5</v>
      </c>
    </row>
    <row r="39" spans="1:30" x14ac:dyDescent="0.3">
      <c r="A39" t="s">
        <v>1042</v>
      </c>
      <c r="B39" t="s">
        <v>489</v>
      </c>
      <c r="C39" t="s">
        <v>1281</v>
      </c>
      <c r="D39">
        <v>2</v>
      </c>
      <c r="E39" t="s">
        <v>1406</v>
      </c>
      <c r="F39" t="s">
        <v>1422</v>
      </c>
      <c r="G39" t="s">
        <v>105</v>
      </c>
      <c r="H39" t="s">
        <v>1286</v>
      </c>
      <c r="I39" t="b">
        <v>1</v>
      </c>
      <c r="J39">
        <v>70</v>
      </c>
      <c r="K39">
        <v>1</v>
      </c>
      <c r="L39">
        <v>0</v>
      </c>
      <c r="M39">
        <v>0</v>
      </c>
      <c r="N39">
        <v>0</v>
      </c>
      <c r="O39">
        <v>6</v>
      </c>
      <c r="P39">
        <v>30</v>
      </c>
      <c r="Q39">
        <v>34</v>
      </c>
      <c r="R39">
        <v>1</v>
      </c>
      <c r="S39">
        <v>0</v>
      </c>
      <c r="T39">
        <v>13</v>
      </c>
      <c r="U39">
        <v>0</v>
      </c>
      <c r="V39">
        <v>26</v>
      </c>
      <c r="W39">
        <v>13</v>
      </c>
      <c r="X39">
        <v>26</v>
      </c>
      <c r="Y39">
        <v>27</v>
      </c>
      <c r="Z39">
        <v>0</v>
      </c>
      <c r="AA39">
        <v>0</v>
      </c>
      <c r="AB39">
        <v>20</v>
      </c>
      <c r="AC39">
        <v>57</v>
      </c>
      <c r="AD39">
        <v>5</v>
      </c>
    </row>
    <row r="40" spans="1:30" x14ac:dyDescent="0.3">
      <c r="A40" t="s">
        <v>1042</v>
      </c>
      <c r="B40" t="s">
        <v>489</v>
      </c>
      <c r="C40" t="s">
        <v>1329</v>
      </c>
      <c r="D40">
        <v>20</v>
      </c>
      <c r="E40" t="s">
        <v>1406</v>
      </c>
      <c r="F40" t="s">
        <v>1426</v>
      </c>
      <c r="G40" t="s">
        <v>164</v>
      </c>
      <c r="H40" t="s">
        <v>1317</v>
      </c>
      <c r="I40" t="b">
        <v>1</v>
      </c>
      <c r="J40">
        <v>43</v>
      </c>
      <c r="K40">
        <v>0</v>
      </c>
      <c r="L40">
        <v>0</v>
      </c>
      <c r="M40">
        <v>5</v>
      </c>
      <c r="N40">
        <v>0</v>
      </c>
      <c r="O40">
        <v>2</v>
      </c>
      <c r="P40">
        <v>10</v>
      </c>
      <c r="Q40">
        <v>14</v>
      </c>
      <c r="R40">
        <v>2</v>
      </c>
      <c r="S40">
        <v>0</v>
      </c>
      <c r="T40">
        <v>8</v>
      </c>
      <c r="U40">
        <v>0</v>
      </c>
      <c r="V40">
        <v>16</v>
      </c>
      <c r="W40">
        <v>8</v>
      </c>
      <c r="X40">
        <v>16</v>
      </c>
      <c r="Y40">
        <v>18</v>
      </c>
      <c r="Z40">
        <v>0</v>
      </c>
      <c r="AA40">
        <v>0</v>
      </c>
      <c r="AB40">
        <v>12</v>
      </c>
      <c r="AC40">
        <v>28</v>
      </c>
      <c r="AD40">
        <v>5</v>
      </c>
    </row>
    <row r="41" spans="1:30" x14ac:dyDescent="0.3">
      <c r="A41" t="s">
        <v>1042</v>
      </c>
      <c r="B41" t="s">
        <v>489</v>
      </c>
      <c r="C41" t="s">
        <v>1329</v>
      </c>
      <c r="D41">
        <v>20</v>
      </c>
      <c r="E41" t="s">
        <v>1406</v>
      </c>
      <c r="F41" t="s">
        <v>1424</v>
      </c>
      <c r="G41" t="s">
        <v>1409</v>
      </c>
      <c r="H41" t="s">
        <v>362</v>
      </c>
      <c r="I41" t="b">
        <v>1</v>
      </c>
      <c r="J41">
        <v>43</v>
      </c>
      <c r="K41">
        <v>0</v>
      </c>
      <c r="L41">
        <v>0</v>
      </c>
      <c r="M41">
        <v>5</v>
      </c>
      <c r="N41">
        <v>0</v>
      </c>
      <c r="O41">
        <v>2</v>
      </c>
      <c r="P41">
        <v>10</v>
      </c>
      <c r="Q41">
        <v>14</v>
      </c>
      <c r="R41">
        <v>2</v>
      </c>
      <c r="S41">
        <v>0</v>
      </c>
      <c r="T41">
        <v>8</v>
      </c>
      <c r="U41">
        <v>0</v>
      </c>
      <c r="V41">
        <v>16</v>
      </c>
      <c r="W41">
        <v>8</v>
      </c>
      <c r="X41">
        <v>16</v>
      </c>
      <c r="Y41">
        <v>18</v>
      </c>
      <c r="Z41">
        <v>0</v>
      </c>
      <c r="AA41">
        <v>0</v>
      </c>
      <c r="AB41">
        <v>12</v>
      </c>
      <c r="AC41">
        <v>28</v>
      </c>
      <c r="AD41">
        <v>5</v>
      </c>
    </row>
    <row r="42" spans="1:30" x14ac:dyDescent="0.3">
      <c r="A42" t="s">
        <v>1042</v>
      </c>
      <c r="B42" t="s">
        <v>489</v>
      </c>
      <c r="C42" t="s">
        <v>1329</v>
      </c>
      <c r="D42">
        <v>20</v>
      </c>
      <c r="E42" t="s">
        <v>1406</v>
      </c>
      <c r="F42" t="s">
        <v>1422</v>
      </c>
      <c r="G42" t="s">
        <v>105</v>
      </c>
      <c r="H42" t="s">
        <v>367</v>
      </c>
      <c r="I42" t="b">
        <v>1</v>
      </c>
      <c r="J42">
        <v>43</v>
      </c>
      <c r="K42">
        <v>0</v>
      </c>
      <c r="L42">
        <v>0</v>
      </c>
      <c r="M42">
        <v>5</v>
      </c>
      <c r="N42">
        <v>0</v>
      </c>
      <c r="O42">
        <v>2</v>
      </c>
      <c r="P42">
        <v>10</v>
      </c>
      <c r="Q42">
        <v>14</v>
      </c>
      <c r="R42">
        <v>2</v>
      </c>
      <c r="S42">
        <v>0</v>
      </c>
      <c r="T42">
        <v>8</v>
      </c>
      <c r="U42">
        <v>0</v>
      </c>
      <c r="V42">
        <v>16</v>
      </c>
      <c r="W42">
        <v>8</v>
      </c>
      <c r="X42">
        <v>16</v>
      </c>
      <c r="Y42">
        <v>18</v>
      </c>
      <c r="Z42">
        <v>0</v>
      </c>
      <c r="AA42">
        <v>0</v>
      </c>
      <c r="AB42">
        <v>12</v>
      </c>
      <c r="AC42">
        <v>28</v>
      </c>
      <c r="AD42">
        <v>5</v>
      </c>
    </row>
    <row r="43" spans="1:30" x14ac:dyDescent="0.3">
      <c r="A43" t="s">
        <v>1042</v>
      </c>
      <c r="B43" t="s">
        <v>489</v>
      </c>
      <c r="C43" t="s">
        <v>1330</v>
      </c>
      <c r="D43">
        <v>21</v>
      </c>
      <c r="E43" t="s">
        <v>1406</v>
      </c>
      <c r="F43" t="s">
        <v>1426</v>
      </c>
      <c r="G43" t="s">
        <v>164</v>
      </c>
      <c r="H43" t="s">
        <v>1300</v>
      </c>
      <c r="I43" t="b">
        <v>0</v>
      </c>
      <c r="J43">
        <v>65</v>
      </c>
      <c r="K43">
        <v>1</v>
      </c>
      <c r="L43">
        <v>0</v>
      </c>
      <c r="M43">
        <v>0</v>
      </c>
      <c r="N43">
        <v>0</v>
      </c>
      <c r="O43">
        <v>2</v>
      </c>
      <c r="P43">
        <v>10</v>
      </c>
      <c r="Q43">
        <v>14</v>
      </c>
      <c r="R43">
        <v>7</v>
      </c>
      <c r="S43">
        <v>3</v>
      </c>
      <c r="T43">
        <v>11</v>
      </c>
      <c r="U43">
        <v>15</v>
      </c>
      <c r="V43">
        <v>22</v>
      </c>
      <c r="W43">
        <v>14</v>
      </c>
      <c r="X43">
        <v>37</v>
      </c>
      <c r="Y43">
        <v>44</v>
      </c>
      <c r="Z43">
        <v>0</v>
      </c>
      <c r="AA43">
        <v>0</v>
      </c>
      <c r="AB43">
        <v>23</v>
      </c>
      <c r="AC43">
        <v>54</v>
      </c>
      <c r="AD43">
        <v>7</v>
      </c>
    </row>
    <row r="44" spans="1:30" x14ac:dyDescent="0.3">
      <c r="A44" t="s">
        <v>1042</v>
      </c>
      <c r="B44" t="s">
        <v>489</v>
      </c>
      <c r="C44" t="s">
        <v>1330</v>
      </c>
      <c r="D44">
        <v>21</v>
      </c>
      <c r="E44" t="s">
        <v>1406</v>
      </c>
      <c r="F44" t="s">
        <v>1424</v>
      </c>
      <c r="G44" t="s">
        <v>1409</v>
      </c>
      <c r="H44" t="s">
        <v>363</v>
      </c>
      <c r="I44" t="b">
        <v>0</v>
      </c>
      <c r="J44">
        <v>65</v>
      </c>
      <c r="K44">
        <v>1</v>
      </c>
      <c r="L44">
        <v>0</v>
      </c>
      <c r="M44">
        <v>0</v>
      </c>
      <c r="N44">
        <v>0</v>
      </c>
      <c r="O44">
        <v>2</v>
      </c>
      <c r="P44">
        <v>10</v>
      </c>
      <c r="Q44">
        <v>14</v>
      </c>
      <c r="R44">
        <v>7</v>
      </c>
      <c r="S44">
        <v>3</v>
      </c>
      <c r="T44">
        <v>11</v>
      </c>
      <c r="U44">
        <v>15</v>
      </c>
      <c r="V44">
        <v>22</v>
      </c>
      <c r="W44">
        <v>14</v>
      </c>
      <c r="X44">
        <v>37</v>
      </c>
      <c r="Y44">
        <v>44</v>
      </c>
      <c r="Z44">
        <v>0</v>
      </c>
      <c r="AA44">
        <v>0</v>
      </c>
      <c r="AB44">
        <v>23</v>
      </c>
      <c r="AC44">
        <v>54</v>
      </c>
      <c r="AD44">
        <v>7</v>
      </c>
    </row>
    <row r="45" spans="1:30" x14ac:dyDescent="0.3">
      <c r="A45" t="s">
        <v>1042</v>
      </c>
      <c r="B45" t="s">
        <v>489</v>
      </c>
      <c r="C45" t="s">
        <v>1330</v>
      </c>
      <c r="D45">
        <v>21</v>
      </c>
      <c r="E45" t="s">
        <v>1406</v>
      </c>
      <c r="F45" t="s">
        <v>1422</v>
      </c>
      <c r="G45" t="s">
        <v>105</v>
      </c>
      <c r="H45" t="s">
        <v>1318</v>
      </c>
      <c r="I45" t="b">
        <v>0</v>
      </c>
      <c r="J45">
        <v>65</v>
      </c>
      <c r="K45">
        <v>1</v>
      </c>
      <c r="L45">
        <v>0</v>
      </c>
      <c r="M45">
        <v>0</v>
      </c>
      <c r="N45">
        <v>0</v>
      </c>
      <c r="O45">
        <v>2</v>
      </c>
      <c r="P45">
        <v>10</v>
      </c>
      <c r="Q45">
        <v>14</v>
      </c>
      <c r="R45">
        <v>7</v>
      </c>
      <c r="S45">
        <v>3</v>
      </c>
      <c r="T45">
        <v>11</v>
      </c>
      <c r="U45">
        <v>15</v>
      </c>
      <c r="V45">
        <v>22</v>
      </c>
      <c r="W45">
        <v>14</v>
      </c>
      <c r="X45">
        <v>37</v>
      </c>
      <c r="Y45">
        <v>44</v>
      </c>
      <c r="Z45">
        <v>0</v>
      </c>
      <c r="AA45">
        <v>0</v>
      </c>
      <c r="AB45">
        <v>23</v>
      </c>
      <c r="AC45">
        <v>54</v>
      </c>
      <c r="AD45">
        <v>7</v>
      </c>
    </row>
    <row r="46" spans="1:30" x14ac:dyDescent="0.3">
      <c r="A46" t="s">
        <v>1042</v>
      </c>
      <c r="B46" t="s">
        <v>489</v>
      </c>
      <c r="C46" t="s">
        <v>1331</v>
      </c>
      <c r="D46">
        <v>22</v>
      </c>
      <c r="E46" t="s">
        <v>1406</v>
      </c>
      <c r="F46" t="s">
        <v>1426</v>
      </c>
      <c r="G46" t="s">
        <v>164</v>
      </c>
      <c r="H46" t="s">
        <v>1283</v>
      </c>
      <c r="I46" t="b">
        <v>1</v>
      </c>
      <c r="J46">
        <v>89</v>
      </c>
      <c r="K46">
        <v>1</v>
      </c>
      <c r="L46">
        <v>0</v>
      </c>
      <c r="M46">
        <v>0</v>
      </c>
      <c r="N46">
        <v>0</v>
      </c>
      <c r="O46">
        <v>6</v>
      </c>
      <c r="P46">
        <v>30</v>
      </c>
      <c r="Q46">
        <v>36</v>
      </c>
      <c r="R46">
        <v>7</v>
      </c>
      <c r="S46">
        <v>5</v>
      </c>
      <c r="T46">
        <v>5</v>
      </c>
      <c r="U46">
        <v>25</v>
      </c>
      <c r="V46">
        <v>10</v>
      </c>
      <c r="W46">
        <v>10</v>
      </c>
      <c r="X46">
        <v>35</v>
      </c>
      <c r="Y46">
        <v>42</v>
      </c>
      <c r="Z46">
        <v>0</v>
      </c>
      <c r="AA46">
        <v>0</v>
      </c>
      <c r="AB46">
        <v>23</v>
      </c>
      <c r="AC46">
        <v>72</v>
      </c>
      <c r="AD46">
        <v>5</v>
      </c>
    </row>
    <row r="47" spans="1:30" x14ac:dyDescent="0.3">
      <c r="A47" t="s">
        <v>1042</v>
      </c>
      <c r="B47" t="s">
        <v>489</v>
      </c>
      <c r="C47" t="s">
        <v>1331</v>
      </c>
      <c r="D47">
        <v>22</v>
      </c>
      <c r="E47" t="s">
        <v>1406</v>
      </c>
      <c r="F47" t="s">
        <v>1424</v>
      </c>
      <c r="G47" t="s">
        <v>1409</v>
      </c>
      <c r="H47" t="s">
        <v>1314</v>
      </c>
      <c r="I47" t="b">
        <v>1</v>
      </c>
      <c r="J47">
        <v>89</v>
      </c>
      <c r="K47">
        <v>1</v>
      </c>
      <c r="L47">
        <v>0</v>
      </c>
      <c r="M47">
        <v>0</v>
      </c>
      <c r="N47">
        <v>0</v>
      </c>
      <c r="O47">
        <v>6</v>
      </c>
      <c r="P47">
        <v>30</v>
      </c>
      <c r="Q47">
        <v>36</v>
      </c>
      <c r="R47">
        <v>7</v>
      </c>
      <c r="S47">
        <v>5</v>
      </c>
      <c r="T47">
        <v>5</v>
      </c>
      <c r="U47">
        <v>25</v>
      </c>
      <c r="V47">
        <v>10</v>
      </c>
      <c r="W47">
        <v>10</v>
      </c>
      <c r="X47">
        <v>35</v>
      </c>
      <c r="Y47">
        <v>42</v>
      </c>
      <c r="Z47">
        <v>0</v>
      </c>
      <c r="AA47">
        <v>0</v>
      </c>
      <c r="AB47">
        <v>23</v>
      </c>
      <c r="AC47">
        <v>72</v>
      </c>
      <c r="AD47">
        <v>5</v>
      </c>
    </row>
    <row r="48" spans="1:30" x14ac:dyDescent="0.3">
      <c r="A48" t="s">
        <v>1042</v>
      </c>
      <c r="B48" t="s">
        <v>489</v>
      </c>
      <c r="C48" t="s">
        <v>1331</v>
      </c>
      <c r="D48">
        <v>22</v>
      </c>
      <c r="E48" t="s">
        <v>1406</v>
      </c>
      <c r="F48" t="s">
        <v>1422</v>
      </c>
      <c r="G48" t="s">
        <v>105</v>
      </c>
      <c r="H48" t="s">
        <v>1305</v>
      </c>
      <c r="I48" t="b">
        <v>1</v>
      </c>
      <c r="J48">
        <v>89</v>
      </c>
      <c r="K48">
        <v>1</v>
      </c>
      <c r="L48">
        <v>0</v>
      </c>
      <c r="M48">
        <v>0</v>
      </c>
      <c r="N48">
        <v>0</v>
      </c>
      <c r="O48">
        <v>6</v>
      </c>
      <c r="P48">
        <v>30</v>
      </c>
      <c r="Q48">
        <v>36</v>
      </c>
      <c r="R48">
        <v>7</v>
      </c>
      <c r="S48">
        <v>5</v>
      </c>
      <c r="T48">
        <v>5</v>
      </c>
      <c r="U48">
        <v>25</v>
      </c>
      <c r="V48">
        <v>10</v>
      </c>
      <c r="W48">
        <v>10</v>
      </c>
      <c r="X48">
        <v>35</v>
      </c>
      <c r="Y48">
        <v>42</v>
      </c>
      <c r="Z48">
        <v>0</v>
      </c>
      <c r="AA48">
        <v>0</v>
      </c>
      <c r="AB48">
        <v>23</v>
      </c>
      <c r="AC48">
        <v>72</v>
      </c>
      <c r="AD48">
        <v>5</v>
      </c>
    </row>
    <row r="49" spans="1:30" x14ac:dyDescent="0.3">
      <c r="A49" t="s">
        <v>1042</v>
      </c>
      <c r="B49" t="s">
        <v>489</v>
      </c>
      <c r="C49" t="s">
        <v>1332</v>
      </c>
      <c r="D49">
        <v>23</v>
      </c>
      <c r="E49" t="s">
        <v>1406</v>
      </c>
      <c r="F49" t="s">
        <v>1426</v>
      </c>
      <c r="G49" t="s">
        <v>164</v>
      </c>
      <c r="H49" t="s">
        <v>1301</v>
      </c>
      <c r="I49" t="b">
        <v>1</v>
      </c>
      <c r="J49">
        <v>76</v>
      </c>
      <c r="K49">
        <v>1</v>
      </c>
      <c r="L49">
        <v>1</v>
      </c>
      <c r="M49">
        <v>0</v>
      </c>
      <c r="N49">
        <v>0</v>
      </c>
      <c r="O49">
        <v>6</v>
      </c>
      <c r="P49">
        <v>30</v>
      </c>
      <c r="Q49">
        <v>32</v>
      </c>
      <c r="R49">
        <v>5</v>
      </c>
      <c r="S49">
        <v>4</v>
      </c>
      <c r="T49">
        <v>4</v>
      </c>
      <c r="U49">
        <v>20</v>
      </c>
      <c r="V49">
        <v>8</v>
      </c>
      <c r="W49">
        <v>8</v>
      </c>
      <c r="X49">
        <v>28</v>
      </c>
      <c r="Y49">
        <v>33</v>
      </c>
      <c r="Z49">
        <v>5</v>
      </c>
      <c r="AA49">
        <v>1</v>
      </c>
      <c r="AB49">
        <v>19</v>
      </c>
      <c r="AC49">
        <v>63</v>
      </c>
      <c r="AD49">
        <v>11</v>
      </c>
    </row>
    <row r="50" spans="1:30" x14ac:dyDescent="0.3">
      <c r="A50" t="s">
        <v>1042</v>
      </c>
      <c r="B50" t="s">
        <v>489</v>
      </c>
      <c r="C50" t="s">
        <v>1332</v>
      </c>
      <c r="D50">
        <v>23</v>
      </c>
      <c r="E50" t="s">
        <v>1406</v>
      </c>
      <c r="F50" t="s">
        <v>1424</v>
      </c>
      <c r="G50" t="s">
        <v>1409</v>
      </c>
      <c r="H50" t="s">
        <v>360</v>
      </c>
      <c r="I50" t="b">
        <v>1</v>
      </c>
      <c r="J50">
        <v>76</v>
      </c>
      <c r="K50">
        <v>1</v>
      </c>
      <c r="L50">
        <v>1</v>
      </c>
      <c r="M50">
        <v>0</v>
      </c>
      <c r="N50">
        <v>0</v>
      </c>
      <c r="O50">
        <v>6</v>
      </c>
      <c r="P50">
        <v>30</v>
      </c>
      <c r="Q50">
        <v>32</v>
      </c>
      <c r="R50">
        <v>5</v>
      </c>
      <c r="S50">
        <v>4</v>
      </c>
      <c r="T50">
        <v>4</v>
      </c>
      <c r="U50">
        <v>20</v>
      </c>
      <c r="V50">
        <v>8</v>
      </c>
      <c r="W50">
        <v>8</v>
      </c>
      <c r="X50">
        <v>28</v>
      </c>
      <c r="Y50">
        <v>33</v>
      </c>
      <c r="Z50">
        <v>5</v>
      </c>
      <c r="AA50">
        <v>1</v>
      </c>
      <c r="AB50">
        <v>19</v>
      </c>
      <c r="AC50">
        <v>63</v>
      </c>
      <c r="AD50">
        <v>11</v>
      </c>
    </row>
    <row r="51" spans="1:30" x14ac:dyDescent="0.3">
      <c r="A51" t="s">
        <v>1042</v>
      </c>
      <c r="B51" t="s">
        <v>489</v>
      </c>
      <c r="C51" t="s">
        <v>1332</v>
      </c>
      <c r="D51">
        <v>23</v>
      </c>
      <c r="E51" t="s">
        <v>1406</v>
      </c>
      <c r="F51" t="s">
        <v>1422</v>
      </c>
      <c r="G51" t="s">
        <v>105</v>
      </c>
      <c r="H51" t="s">
        <v>1280</v>
      </c>
      <c r="I51" t="b">
        <v>1</v>
      </c>
      <c r="J51">
        <v>76</v>
      </c>
      <c r="K51">
        <v>1</v>
      </c>
      <c r="L51">
        <v>1</v>
      </c>
      <c r="M51">
        <v>0</v>
      </c>
      <c r="N51">
        <v>0</v>
      </c>
      <c r="O51">
        <v>6</v>
      </c>
      <c r="P51">
        <v>30</v>
      </c>
      <c r="Q51">
        <v>32</v>
      </c>
      <c r="R51">
        <v>5</v>
      </c>
      <c r="S51">
        <v>4</v>
      </c>
      <c r="T51">
        <v>4</v>
      </c>
      <c r="U51">
        <v>20</v>
      </c>
      <c r="V51">
        <v>8</v>
      </c>
      <c r="W51">
        <v>8</v>
      </c>
      <c r="X51">
        <v>28</v>
      </c>
      <c r="Y51">
        <v>33</v>
      </c>
      <c r="Z51">
        <v>5</v>
      </c>
      <c r="AA51">
        <v>1</v>
      </c>
      <c r="AB51">
        <v>19</v>
      </c>
      <c r="AC51">
        <v>63</v>
      </c>
      <c r="AD51">
        <v>11</v>
      </c>
    </row>
    <row r="52" spans="1:30" x14ac:dyDescent="0.3">
      <c r="A52" t="s">
        <v>1042</v>
      </c>
      <c r="B52" t="s">
        <v>489</v>
      </c>
      <c r="C52" t="s">
        <v>1333</v>
      </c>
      <c r="D52">
        <v>24</v>
      </c>
      <c r="E52" t="s">
        <v>1406</v>
      </c>
      <c r="F52" t="s">
        <v>1426</v>
      </c>
      <c r="G52" t="s">
        <v>164</v>
      </c>
      <c r="H52" t="s">
        <v>1315</v>
      </c>
      <c r="I52" t="b">
        <v>1</v>
      </c>
      <c r="J52">
        <v>63</v>
      </c>
      <c r="K52">
        <v>1</v>
      </c>
      <c r="L52">
        <v>0</v>
      </c>
      <c r="M52">
        <v>9</v>
      </c>
      <c r="N52">
        <v>0</v>
      </c>
      <c r="O52">
        <v>4</v>
      </c>
      <c r="P52">
        <v>20</v>
      </c>
      <c r="Q52">
        <v>22</v>
      </c>
      <c r="R52">
        <v>5</v>
      </c>
      <c r="S52">
        <v>2</v>
      </c>
      <c r="T52">
        <v>8</v>
      </c>
      <c r="U52">
        <v>10</v>
      </c>
      <c r="V52">
        <v>16</v>
      </c>
      <c r="W52">
        <v>10</v>
      </c>
      <c r="X52">
        <v>26</v>
      </c>
      <c r="Y52">
        <v>31</v>
      </c>
      <c r="Z52">
        <v>0</v>
      </c>
      <c r="AA52">
        <v>0</v>
      </c>
      <c r="AB52">
        <v>19</v>
      </c>
      <c r="AC52">
        <v>51</v>
      </c>
      <c r="AD52">
        <v>5</v>
      </c>
    </row>
    <row r="53" spans="1:30" x14ac:dyDescent="0.3">
      <c r="A53" t="s">
        <v>1042</v>
      </c>
      <c r="B53" t="s">
        <v>489</v>
      </c>
      <c r="C53" t="s">
        <v>1333</v>
      </c>
      <c r="D53">
        <v>24</v>
      </c>
      <c r="E53" t="s">
        <v>1406</v>
      </c>
      <c r="F53" t="s">
        <v>1424</v>
      </c>
      <c r="G53" t="s">
        <v>1409</v>
      </c>
      <c r="H53" t="s">
        <v>1312</v>
      </c>
      <c r="I53" t="b">
        <v>1</v>
      </c>
      <c r="J53">
        <v>63</v>
      </c>
      <c r="K53">
        <v>1</v>
      </c>
      <c r="L53">
        <v>0</v>
      </c>
      <c r="M53">
        <v>9</v>
      </c>
      <c r="N53">
        <v>0</v>
      </c>
      <c r="O53">
        <v>4</v>
      </c>
      <c r="P53">
        <v>20</v>
      </c>
      <c r="Q53">
        <v>22</v>
      </c>
      <c r="R53">
        <v>5</v>
      </c>
      <c r="S53">
        <v>2</v>
      </c>
      <c r="T53">
        <v>8</v>
      </c>
      <c r="U53">
        <v>10</v>
      </c>
      <c r="V53">
        <v>16</v>
      </c>
      <c r="W53">
        <v>10</v>
      </c>
      <c r="X53">
        <v>26</v>
      </c>
      <c r="Y53">
        <v>31</v>
      </c>
      <c r="Z53">
        <v>0</v>
      </c>
      <c r="AA53">
        <v>0</v>
      </c>
      <c r="AB53">
        <v>19</v>
      </c>
      <c r="AC53">
        <v>51</v>
      </c>
      <c r="AD53">
        <v>5</v>
      </c>
    </row>
    <row r="54" spans="1:30" x14ac:dyDescent="0.3">
      <c r="A54" t="s">
        <v>1042</v>
      </c>
      <c r="B54" t="s">
        <v>489</v>
      </c>
      <c r="C54" t="s">
        <v>1333</v>
      </c>
      <c r="D54">
        <v>24</v>
      </c>
      <c r="E54" t="s">
        <v>1406</v>
      </c>
      <c r="F54" t="s">
        <v>1422</v>
      </c>
      <c r="G54" t="s">
        <v>105</v>
      </c>
      <c r="H54" t="s">
        <v>1297</v>
      </c>
      <c r="I54" t="b">
        <v>1</v>
      </c>
      <c r="J54">
        <v>63</v>
      </c>
      <c r="K54">
        <v>1</v>
      </c>
      <c r="L54">
        <v>0</v>
      </c>
      <c r="M54">
        <v>9</v>
      </c>
      <c r="N54">
        <v>0</v>
      </c>
      <c r="O54">
        <v>4</v>
      </c>
      <c r="P54">
        <v>20</v>
      </c>
      <c r="Q54">
        <v>22</v>
      </c>
      <c r="R54">
        <v>5</v>
      </c>
      <c r="S54">
        <v>2</v>
      </c>
      <c r="T54">
        <v>8</v>
      </c>
      <c r="U54">
        <v>10</v>
      </c>
      <c r="V54">
        <v>16</v>
      </c>
      <c r="W54">
        <v>10</v>
      </c>
      <c r="X54">
        <v>26</v>
      </c>
      <c r="Y54">
        <v>31</v>
      </c>
      <c r="Z54">
        <v>0</v>
      </c>
      <c r="AA54">
        <v>0</v>
      </c>
      <c r="AB54">
        <v>19</v>
      </c>
      <c r="AC54">
        <v>51</v>
      </c>
      <c r="AD54">
        <v>5</v>
      </c>
    </row>
    <row r="55" spans="1:30" x14ac:dyDescent="0.3">
      <c r="A55" t="s">
        <v>1042</v>
      </c>
      <c r="B55" t="s">
        <v>489</v>
      </c>
      <c r="C55" t="s">
        <v>1334</v>
      </c>
      <c r="D55">
        <v>25</v>
      </c>
      <c r="E55" t="s">
        <v>1406</v>
      </c>
      <c r="F55" t="s">
        <v>1426</v>
      </c>
      <c r="G55" t="s">
        <v>164</v>
      </c>
      <c r="H55" t="s">
        <v>1296</v>
      </c>
      <c r="I55" t="b">
        <v>1</v>
      </c>
      <c r="J55">
        <v>53</v>
      </c>
      <c r="K55">
        <v>1</v>
      </c>
      <c r="L55">
        <v>0</v>
      </c>
      <c r="M55">
        <v>7</v>
      </c>
      <c r="N55">
        <v>0</v>
      </c>
      <c r="O55">
        <v>2</v>
      </c>
      <c r="P55">
        <v>10</v>
      </c>
      <c r="Q55">
        <v>12</v>
      </c>
      <c r="R55">
        <v>3</v>
      </c>
      <c r="S55">
        <v>2</v>
      </c>
      <c r="T55">
        <v>8</v>
      </c>
      <c r="U55">
        <v>10</v>
      </c>
      <c r="V55">
        <v>16</v>
      </c>
      <c r="W55">
        <v>10</v>
      </c>
      <c r="X55">
        <v>26</v>
      </c>
      <c r="Y55">
        <v>29</v>
      </c>
      <c r="Z55">
        <v>0</v>
      </c>
      <c r="AA55">
        <v>0</v>
      </c>
      <c r="AB55">
        <v>15</v>
      </c>
      <c r="AC55">
        <v>39</v>
      </c>
      <c r="AD55">
        <v>2</v>
      </c>
    </row>
    <row r="56" spans="1:30" x14ac:dyDescent="0.3">
      <c r="A56" t="s">
        <v>1042</v>
      </c>
      <c r="B56" t="s">
        <v>489</v>
      </c>
      <c r="C56" t="s">
        <v>1334</v>
      </c>
      <c r="D56">
        <v>25</v>
      </c>
      <c r="E56" t="s">
        <v>1406</v>
      </c>
      <c r="F56" t="s">
        <v>1424</v>
      </c>
      <c r="G56" t="s">
        <v>1409</v>
      </c>
      <c r="H56" t="s">
        <v>1309</v>
      </c>
      <c r="I56" t="b">
        <v>1</v>
      </c>
      <c r="J56">
        <v>53</v>
      </c>
      <c r="K56">
        <v>1</v>
      </c>
      <c r="L56">
        <v>0</v>
      </c>
      <c r="M56">
        <v>7</v>
      </c>
      <c r="N56">
        <v>0</v>
      </c>
      <c r="O56">
        <v>2</v>
      </c>
      <c r="P56">
        <v>10</v>
      </c>
      <c r="Q56">
        <v>12</v>
      </c>
      <c r="R56">
        <v>3</v>
      </c>
      <c r="S56">
        <v>2</v>
      </c>
      <c r="T56">
        <v>8</v>
      </c>
      <c r="U56">
        <v>10</v>
      </c>
      <c r="V56">
        <v>16</v>
      </c>
      <c r="W56">
        <v>10</v>
      </c>
      <c r="X56">
        <v>26</v>
      </c>
      <c r="Y56">
        <v>29</v>
      </c>
      <c r="Z56">
        <v>0</v>
      </c>
      <c r="AA56">
        <v>0</v>
      </c>
      <c r="AB56">
        <v>15</v>
      </c>
      <c r="AC56">
        <v>39</v>
      </c>
      <c r="AD56">
        <v>2</v>
      </c>
    </row>
    <row r="57" spans="1:30" x14ac:dyDescent="0.3">
      <c r="A57" t="s">
        <v>1042</v>
      </c>
      <c r="B57" t="s">
        <v>489</v>
      </c>
      <c r="C57" t="s">
        <v>1334</v>
      </c>
      <c r="D57">
        <v>25</v>
      </c>
      <c r="E57" t="s">
        <v>1406</v>
      </c>
      <c r="F57" t="s">
        <v>1422</v>
      </c>
      <c r="G57" t="s">
        <v>105</v>
      </c>
      <c r="H57" t="s">
        <v>373</v>
      </c>
      <c r="I57" t="b">
        <v>1</v>
      </c>
      <c r="J57">
        <v>53</v>
      </c>
      <c r="K57">
        <v>1</v>
      </c>
      <c r="L57">
        <v>0</v>
      </c>
      <c r="M57">
        <v>7</v>
      </c>
      <c r="N57">
        <v>0</v>
      </c>
      <c r="O57">
        <v>2</v>
      </c>
      <c r="P57">
        <v>10</v>
      </c>
      <c r="Q57">
        <v>12</v>
      </c>
      <c r="R57">
        <v>3</v>
      </c>
      <c r="S57">
        <v>2</v>
      </c>
      <c r="T57">
        <v>8</v>
      </c>
      <c r="U57">
        <v>10</v>
      </c>
      <c r="V57">
        <v>16</v>
      </c>
      <c r="W57">
        <v>10</v>
      </c>
      <c r="X57">
        <v>26</v>
      </c>
      <c r="Y57">
        <v>29</v>
      </c>
      <c r="Z57">
        <v>0</v>
      </c>
      <c r="AA57">
        <v>0</v>
      </c>
      <c r="AB57">
        <v>15</v>
      </c>
      <c r="AC57">
        <v>39</v>
      </c>
      <c r="AD57">
        <v>2</v>
      </c>
    </row>
    <row r="58" spans="1:30" x14ac:dyDescent="0.3">
      <c r="A58" t="s">
        <v>1042</v>
      </c>
      <c r="B58" t="s">
        <v>489</v>
      </c>
      <c r="C58" t="s">
        <v>1335</v>
      </c>
      <c r="D58">
        <v>26</v>
      </c>
      <c r="E58" t="s">
        <v>1406</v>
      </c>
      <c r="F58" t="s">
        <v>1426</v>
      </c>
      <c r="G58" t="s">
        <v>164</v>
      </c>
      <c r="H58" t="s">
        <v>1279</v>
      </c>
      <c r="I58" t="b">
        <v>0</v>
      </c>
      <c r="J58">
        <v>30</v>
      </c>
      <c r="K58">
        <v>0</v>
      </c>
      <c r="L58">
        <v>0</v>
      </c>
      <c r="M58">
        <v>0</v>
      </c>
      <c r="N58">
        <v>0</v>
      </c>
      <c r="O58">
        <v>1</v>
      </c>
      <c r="P58">
        <v>5</v>
      </c>
      <c r="Q58">
        <v>7</v>
      </c>
      <c r="R58">
        <v>0</v>
      </c>
      <c r="S58">
        <v>0</v>
      </c>
      <c r="T58">
        <v>8</v>
      </c>
      <c r="U58">
        <v>0</v>
      </c>
      <c r="V58">
        <v>16</v>
      </c>
      <c r="W58">
        <v>8</v>
      </c>
      <c r="X58">
        <v>16</v>
      </c>
      <c r="Y58">
        <v>16</v>
      </c>
      <c r="Z58">
        <v>0</v>
      </c>
      <c r="AA58">
        <v>0</v>
      </c>
      <c r="AB58">
        <v>9</v>
      </c>
      <c r="AC58">
        <v>21</v>
      </c>
      <c r="AD58">
        <v>3</v>
      </c>
    </row>
    <row r="59" spans="1:30" x14ac:dyDescent="0.3">
      <c r="A59" t="s">
        <v>1042</v>
      </c>
      <c r="B59" t="s">
        <v>489</v>
      </c>
      <c r="C59" t="s">
        <v>1335</v>
      </c>
      <c r="D59">
        <v>26</v>
      </c>
      <c r="E59" t="s">
        <v>1406</v>
      </c>
      <c r="F59" t="s">
        <v>1424</v>
      </c>
      <c r="G59" t="s">
        <v>1409</v>
      </c>
      <c r="H59" t="s">
        <v>1308</v>
      </c>
      <c r="I59" t="b">
        <v>0</v>
      </c>
      <c r="J59">
        <v>30</v>
      </c>
      <c r="K59">
        <v>0</v>
      </c>
      <c r="L59">
        <v>0</v>
      </c>
      <c r="M59">
        <v>0</v>
      </c>
      <c r="N59">
        <v>0</v>
      </c>
      <c r="O59">
        <v>1</v>
      </c>
      <c r="P59">
        <v>5</v>
      </c>
      <c r="Q59">
        <v>7</v>
      </c>
      <c r="R59">
        <v>0</v>
      </c>
      <c r="S59">
        <v>0</v>
      </c>
      <c r="T59">
        <v>8</v>
      </c>
      <c r="U59">
        <v>0</v>
      </c>
      <c r="V59">
        <v>16</v>
      </c>
      <c r="W59">
        <v>8</v>
      </c>
      <c r="X59">
        <v>16</v>
      </c>
      <c r="Y59">
        <v>16</v>
      </c>
      <c r="Z59">
        <v>0</v>
      </c>
      <c r="AA59">
        <v>0</v>
      </c>
      <c r="AB59">
        <v>9</v>
      </c>
      <c r="AC59">
        <v>21</v>
      </c>
      <c r="AD59">
        <v>3</v>
      </c>
    </row>
    <row r="60" spans="1:30" x14ac:dyDescent="0.3">
      <c r="A60" t="s">
        <v>1042</v>
      </c>
      <c r="B60" t="s">
        <v>489</v>
      </c>
      <c r="C60" t="s">
        <v>1335</v>
      </c>
      <c r="D60">
        <v>26</v>
      </c>
      <c r="E60" t="s">
        <v>1406</v>
      </c>
      <c r="F60" t="s">
        <v>1422</v>
      </c>
      <c r="G60" t="s">
        <v>105</v>
      </c>
      <c r="H60" t="s">
        <v>1276</v>
      </c>
      <c r="I60" t="b">
        <v>0</v>
      </c>
      <c r="J60">
        <v>30</v>
      </c>
      <c r="K60">
        <v>0</v>
      </c>
      <c r="L60">
        <v>0</v>
      </c>
      <c r="M60">
        <v>0</v>
      </c>
      <c r="N60">
        <v>0</v>
      </c>
      <c r="O60">
        <v>1</v>
      </c>
      <c r="P60">
        <v>5</v>
      </c>
      <c r="Q60">
        <v>7</v>
      </c>
      <c r="R60">
        <v>0</v>
      </c>
      <c r="S60">
        <v>0</v>
      </c>
      <c r="T60">
        <v>8</v>
      </c>
      <c r="U60">
        <v>0</v>
      </c>
      <c r="V60">
        <v>16</v>
      </c>
      <c r="W60">
        <v>8</v>
      </c>
      <c r="X60">
        <v>16</v>
      </c>
      <c r="Y60">
        <v>16</v>
      </c>
      <c r="Z60">
        <v>0</v>
      </c>
      <c r="AA60">
        <v>0</v>
      </c>
      <c r="AB60">
        <v>9</v>
      </c>
      <c r="AC60">
        <v>21</v>
      </c>
      <c r="AD60">
        <v>3</v>
      </c>
    </row>
    <row r="61" spans="1:30" x14ac:dyDescent="0.3">
      <c r="A61" t="s">
        <v>1042</v>
      </c>
      <c r="B61" t="s">
        <v>489</v>
      </c>
      <c r="C61" t="s">
        <v>1336</v>
      </c>
      <c r="D61">
        <v>27</v>
      </c>
      <c r="E61" t="s">
        <v>1406</v>
      </c>
      <c r="F61" t="s">
        <v>1426</v>
      </c>
      <c r="G61" t="s">
        <v>164</v>
      </c>
      <c r="H61" t="s">
        <v>1298</v>
      </c>
      <c r="I61" t="b">
        <v>1</v>
      </c>
      <c r="J61">
        <v>37</v>
      </c>
      <c r="K61">
        <v>1</v>
      </c>
      <c r="L61">
        <v>0</v>
      </c>
      <c r="M61">
        <v>18</v>
      </c>
      <c r="N61">
        <v>0</v>
      </c>
      <c r="O61">
        <v>0</v>
      </c>
      <c r="P61">
        <v>0</v>
      </c>
      <c r="Q61">
        <v>2</v>
      </c>
      <c r="R61">
        <v>1</v>
      </c>
      <c r="S61">
        <v>0</v>
      </c>
      <c r="T61">
        <v>16</v>
      </c>
      <c r="U61">
        <v>0</v>
      </c>
      <c r="V61">
        <v>32</v>
      </c>
      <c r="W61">
        <v>16</v>
      </c>
      <c r="X61">
        <v>32</v>
      </c>
      <c r="Y61">
        <v>33</v>
      </c>
      <c r="Z61">
        <v>0</v>
      </c>
      <c r="AA61">
        <v>0</v>
      </c>
      <c r="AB61">
        <v>17</v>
      </c>
      <c r="AC61">
        <v>33</v>
      </c>
      <c r="AD61">
        <v>2</v>
      </c>
    </row>
    <row r="62" spans="1:30" x14ac:dyDescent="0.3">
      <c r="A62" t="s">
        <v>1042</v>
      </c>
      <c r="B62" t="s">
        <v>489</v>
      </c>
      <c r="C62" t="s">
        <v>1336</v>
      </c>
      <c r="D62">
        <v>27</v>
      </c>
      <c r="E62" t="s">
        <v>1406</v>
      </c>
      <c r="F62" t="s">
        <v>1424</v>
      </c>
      <c r="G62" t="s">
        <v>1409</v>
      </c>
      <c r="H62" t="s">
        <v>370</v>
      </c>
      <c r="I62" t="b">
        <v>1</v>
      </c>
      <c r="J62">
        <v>37</v>
      </c>
      <c r="K62">
        <v>1</v>
      </c>
      <c r="L62">
        <v>0</v>
      </c>
      <c r="M62">
        <v>18</v>
      </c>
      <c r="N62">
        <v>0</v>
      </c>
      <c r="O62">
        <v>0</v>
      </c>
      <c r="P62">
        <v>0</v>
      </c>
      <c r="Q62">
        <v>2</v>
      </c>
      <c r="R62">
        <v>1</v>
      </c>
      <c r="S62">
        <v>0</v>
      </c>
      <c r="T62">
        <v>16</v>
      </c>
      <c r="U62">
        <v>0</v>
      </c>
      <c r="V62">
        <v>32</v>
      </c>
      <c r="W62">
        <v>16</v>
      </c>
      <c r="X62">
        <v>32</v>
      </c>
      <c r="Y62">
        <v>33</v>
      </c>
      <c r="Z62">
        <v>0</v>
      </c>
      <c r="AA62">
        <v>0</v>
      </c>
      <c r="AB62">
        <v>17</v>
      </c>
      <c r="AC62">
        <v>33</v>
      </c>
      <c r="AD62">
        <v>2</v>
      </c>
    </row>
    <row r="63" spans="1:30" x14ac:dyDescent="0.3">
      <c r="A63" t="s">
        <v>1042</v>
      </c>
      <c r="B63" t="s">
        <v>489</v>
      </c>
      <c r="C63" t="s">
        <v>1336</v>
      </c>
      <c r="D63">
        <v>27</v>
      </c>
      <c r="E63" t="s">
        <v>1406</v>
      </c>
      <c r="F63" t="s">
        <v>1422</v>
      </c>
      <c r="G63" t="s">
        <v>105</v>
      </c>
      <c r="H63" t="s">
        <v>363</v>
      </c>
      <c r="I63" t="b">
        <v>1</v>
      </c>
      <c r="J63">
        <v>37</v>
      </c>
      <c r="K63">
        <v>1</v>
      </c>
      <c r="L63">
        <v>0</v>
      </c>
      <c r="M63">
        <v>18</v>
      </c>
      <c r="N63">
        <v>0</v>
      </c>
      <c r="O63">
        <v>0</v>
      </c>
      <c r="P63">
        <v>0</v>
      </c>
      <c r="Q63">
        <v>2</v>
      </c>
      <c r="R63">
        <v>1</v>
      </c>
      <c r="S63">
        <v>0</v>
      </c>
      <c r="T63">
        <v>16</v>
      </c>
      <c r="U63">
        <v>0</v>
      </c>
      <c r="V63">
        <v>32</v>
      </c>
      <c r="W63">
        <v>16</v>
      </c>
      <c r="X63">
        <v>32</v>
      </c>
      <c r="Y63">
        <v>33</v>
      </c>
      <c r="Z63">
        <v>0</v>
      </c>
      <c r="AA63">
        <v>0</v>
      </c>
      <c r="AB63">
        <v>17</v>
      </c>
      <c r="AC63">
        <v>33</v>
      </c>
      <c r="AD63">
        <v>2</v>
      </c>
    </row>
    <row r="64" spans="1:30" x14ac:dyDescent="0.3">
      <c r="A64" t="s">
        <v>1042</v>
      </c>
      <c r="B64" t="s">
        <v>489</v>
      </c>
      <c r="C64" t="s">
        <v>1337</v>
      </c>
      <c r="D64">
        <v>28</v>
      </c>
      <c r="E64" t="s">
        <v>1406</v>
      </c>
      <c r="F64" t="s">
        <v>1426</v>
      </c>
      <c r="G64" t="s">
        <v>164</v>
      </c>
      <c r="H64" t="s">
        <v>1275</v>
      </c>
      <c r="I64" t="b">
        <v>1</v>
      </c>
      <c r="J64">
        <v>41</v>
      </c>
      <c r="K64">
        <v>0</v>
      </c>
      <c r="L64">
        <v>0</v>
      </c>
      <c r="M64">
        <v>9</v>
      </c>
      <c r="N64">
        <v>0</v>
      </c>
      <c r="O64">
        <v>3</v>
      </c>
      <c r="P64">
        <v>15</v>
      </c>
      <c r="Q64">
        <v>19</v>
      </c>
      <c r="R64">
        <v>2</v>
      </c>
      <c r="S64">
        <v>0</v>
      </c>
      <c r="T64">
        <v>8</v>
      </c>
      <c r="U64">
        <v>0</v>
      </c>
      <c r="V64">
        <v>16</v>
      </c>
      <c r="W64">
        <v>8</v>
      </c>
      <c r="X64">
        <v>16</v>
      </c>
      <c r="Y64">
        <v>18</v>
      </c>
      <c r="Z64">
        <v>0</v>
      </c>
      <c r="AA64">
        <v>0</v>
      </c>
      <c r="AB64">
        <v>13</v>
      </c>
      <c r="AC64">
        <v>33</v>
      </c>
      <c r="AD64">
        <v>2</v>
      </c>
    </row>
    <row r="65" spans="1:30" x14ac:dyDescent="0.3">
      <c r="A65" t="s">
        <v>1042</v>
      </c>
      <c r="B65" t="s">
        <v>489</v>
      </c>
      <c r="C65" t="s">
        <v>1337</v>
      </c>
      <c r="D65">
        <v>28</v>
      </c>
      <c r="E65" t="s">
        <v>1406</v>
      </c>
      <c r="F65" t="s">
        <v>1424</v>
      </c>
      <c r="G65" t="s">
        <v>1409</v>
      </c>
      <c r="H65" t="s">
        <v>1311</v>
      </c>
      <c r="I65" t="b">
        <v>1</v>
      </c>
      <c r="J65">
        <v>41</v>
      </c>
      <c r="K65">
        <v>0</v>
      </c>
      <c r="L65">
        <v>0</v>
      </c>
      <c r="M65">
        <v>9</v>
      </c>
      <c r="N65">
        <v>0</v>
      </c>
      <c r="O65">
        <v>3</v>
      </c>
      <c r="P65">
        <v>15</v>
      </c>
      <c r="Q65">
        <v>19</v>
      </c>
      <c r="R65">
        <v>2</v>
      </c>
      <c r="S65">
        <v>0</v>
      </c>
      <c r="T65">
        <v>8</v>
      </c>
      <c r="U65">
        <v>0</v>
      </c>
      <c r="V65">
        <v>16</v>
      </c>
      <c r="W65">
        <v>8</v>
      </c>
      <c r="X65">
        <v>16</v>
      </c>
      <c r="Y65">
        <v>18</v>
      </c>
      <c r="Z65">
        <v>0</v>
      </c>
      <c r="AA65">
        <v>0</v>
      </c>
      <c r="AB65">
        <v>13</v>
      </c>
      <c r="AC65">
        <v>33</v>
      </c>
      <c r="AD65">
        <v>2</v>
      </c>
    </row>
    <row r="66" spans="1:30" x14ac:dyDescent="0.3">
      <c r="A66" t="s">
        <v>1042</v>
      </c>
      <c r="B66" t="s">
        <v>489</v>
      </c>
      <c r="C66" t="s">
        <v>1337</v>
      </c>
      <c r="D66">
        <v>28</v>
      </c>
      <c r="E66" t="s">
        <v>1406</v>
      </c>
      <c r="F66" t="s">
        <v>1422</v>
      </c>
      <c r="G66" t="s">
        <v>105</v>
      </c>
      <c r="H66" t="s">
        <v>1303</v>
      </c>
      <c r="I66" t="b">
        <v>1</v>
      </c>
      <c r="J66">
        <v>41</v>
      </c>
      <c r="K66">
        <v>0</v>
      </c>
      <c r="L66">
        <v>0</v>
      </c>
      <c r="M66">
        <v>9</v>
      </c>
      <c r="N66">
        <v>0</v>
      </c>
      <c r="O66">
        <v>3</v>
      </c>
      <c r="P66">
        <v>15</v>
      </c>
      <c r="Q66">
        <v>19</v>
      </c>
      <c r="R66">
        <v>2</v>
      </c>
      <c r="S66">
        <v>0</v>
      </c>
      <c r="T66">
        <v>8</v>
      </c>
      <c r="U66">
        <v>0</v>
      </c>
      <c r="V66">
        <v>16</v>
      </c>
      <c r="W66">
        <v>8</v>
      </c>
      <c r="X66">
        <v>16</v>
      </c>
      <c r="Y66">
        <v>18</v>
      </c>
      <c r="Z66">
        <v>0</v>
      </c>
      <c r="AA66">
        <v>0</v>
      </c>
      <c r="AB66">
        <v>13</v>
      </c>
      <c r="AC66">
        <v>33</v>
      </c>
      <c r="AD66">
        <v>2</v>
      </c>
    </row>
    <row r="67" spans="1:30" x14ac:dyDescent="0.3">
      <c r="A67" t="s">
        <v>1042</v>
      </c>
      <c r="B67" t="s">
        <v>489</v>
      </c>
      <c r="C67" t="s">
        <v>1338</v>
      </c>
      <c r="D67">
        <v>29</v>
      </c>
      <c r="E67" t="s">
        <v>1406</v>
      </c>
      <c r="F67" t="s">
        <v>1426</v>
      </c>
      <c r="G67" t="s">
        <v>164</v>
      </c>
      <c r="H67" t="s">
        <v>369</v>
      </c>
      <c r="I67" t="b">
        <v>0</v>
      </c>
      <c r="J67">
        <v>31</v>
      </c>
      <c r="K67">
        <v>0</v>
      </c>
      <c r="L67">
        <v>0</v>
      </c>
      <c r="M67">
        <v>15</v>
      </c>
      <c r="N67">
        <v>0</v>
      </c>
      <c r="O67">
        <v>0</v>
      </c>
      <c r="P67">
        <v>0</v>
      </c>
      <c r="Q67">
        <v>2</v>
      </c>
      <c r="R67">
        <v>4</v>
      </c>
      <c r="S67">
        <v>2</v>
      </c>
      <c r="T67">
        <v>6</v>
      </c>
      <c r="U67">
        <v>10</v>
      </c>
      <c r="V67">
        <v>12</v>
      </c>
      <c r="W67">
        <v>8</v>
      </c>
      <c r="X67">
        <v>22</v>
      </c>
      <c r="Y67">
        <v>26</v>
      </c>
      <c r="Z67">
        <v>0</v>
      </c>
      <c r="AA67">
        <v>0</v>
      </c>
      <c r="AB67">
        <v>12</v>
      </c>
      <c r="AC67">
        <v>26</v>
      </c>
      <c r="AD67">
        <v>3</v>
      </c>
    </row>
    <row r="68" spans="1:30" x14ac:dyDescent="0.3">
      <c r="A68" t="s">
        <v>1042</v>
      </c>
      <c r="B68" t="s">
        <v>489</v>
      </c>
      <c r="C68" t="s">
        <v>1338</v>
      </c>
      <c r="D68">
        <v>29</v>
      </c>
      <c r="E68" t="s">
        <v>1406</v>
      </c>
      <c r="F68" t="s">
        <v>1424</v>
      </c>
      <c r="G68" t="s">
        <v>1409</v>
      </c>
      <c r="H68" t="s">
        <v>1297</v>
      </c>
      <c r="I68" t="b">
        <v>0</v>
      </c>
      <c r="J68">
        <v>31</v>
      </c>
      <c r="K68">
        <v>0</v>
      </c>
      <c r="L68">
        <v>0</v>
      </c>
      <c r="M68">
        <v>15</v>
      </c>
      <c r="N68">
        <v>0</v>
      </c>
      <c r="O68">
        <v>0</v>
      </c>
      <c r="P68">
        <v>0</v>
      </c>
      <c r="Q68">
        <v>2</v>
      </c>
      <c r="R68">
        <v>4</v>
      </c>
      <c r="S68">
        <v>2</v>
      </c>
      <c r="T68">
        <v>6</v>
      </c>
      <c r="U68">
        <v>10</v>
      </c>
      <c r="V68">
        <v>12</v>
      </c>
      <c r="W68">
        <v>8</v>
      </c>
      <c r="X68">
        <v>22</v>
      </c>
      <c r="Y68">
        <v>26</v>
      </c>
      <c r="Z68">
        <v>0</v>
      </c>
      <c r="AA68">
        <v>0</v>
      </c>
      <c r="AB68">
        <v>12</v>
      </c>
      <c r="AC68">
        <v>26</v>
      </c>
      <c r="AD68">
        <v>3</v>
      </c>
    </row>
    <row r="69" spans="1:30" x14ac:dyDescent="0.3">
      <c r="A69" t="s">
        <v>1042</v>
      </c>
      <c r="B69" t="s">
        <v>489</v>
      </c>
      <c r="C69" t="s">
        <v>1338</v>
      </c>
      <c r="D69">
        <v>29</v>
      </c>
      <c r="E69" t="s">
        <v>1406</v>
      </c>
      <c r="F69" t="s">
        <v>1422</v>
      </c>
      <c r="G69" t="s">
        <v>105</v>
      </c>
      <c r="H69" t="s">
        <v>1290</v>
      </c>
      <c r="I69" t="b">
        <v>0</v>
      </c>
      <c r="J69">
        <v>31</v>
      </c>
      <c r="K69">
        <v>0</v>
      </c>
      <c r="L69">
        <v>0</v>
      </c>
      <c r="M69">
        <v>15</v>
      </c>
      <c r="N69">
        <v>0</v>
      </c>
      <c r="O69">
        <v>0</v>
      </c>
      <c r="P69">
        <v>0</v>
      </c>
      <c r="Q69">
        <v>2</v>
      </c>
      <c r="R69">
        <v>4</v>
      </c>
      <c r="S69">
        <v>2</v>
      </c>
      <c r="T69">
        <v>6</v>
      </c>
      <c r="U69">
        <v>10</v>
      </c>
      <c r="V69">
        <v>12</v>
      </c>
      <c r="W69">
        <v>8</v>
      </c>
      <c r="X69">
        <v>22</v>
      </c>
      <c r="Y69">
        <v>26</v>
      </c>
      <c r="Z69">
        <v>0</v>
      </c>
      <c r="AA69">
        <v>0</v>
      </c>
      <c r="AB69">
        <v>12</v>
      </c>
      <c r="AC69">
        <v>26</v>
      </c>
      <c r="AD69">
        <v>3</v>
      </c>
    </row>
    <row r="70" spans="1:30" x14ac:dyDescent="0.3">
      <c r="A70" t="s">
        <v>1042</v>
      </c>
      <c r="B70" t="s">
        <v>489</v>
      </c>
      <c r="C70" t="s">
        <v>1287</v>
      </c>
      <c r="D70">
        <v>3</v>
      </c>
      <c r="E70" t="s">
        <v>1406</v>
      </c>
      <c r="F70" t="s">
        <v>1426</v>
      </c>
      <c r="G70" t="s">
        <v>164</v>
      </c>
      <c r="H70" t="s">
        <v>367</v>
      </c>
      <c r="I70" t="b">
        <v>1</v>
      </c>
      <c r="J70">
        <v>50</v>
      </c>
      <c r="K70">
        <v>0</v>
      </c>
      <c r="L70">
        <v>0</v>
      </c>
      <c r="M70">
        <v>10</v>
      </c>
      <c r="N70">
        <v>0</v>
      </c>
      <c r="O70">
        <v>1</v>
      </c>
      <c r="P70">
        <v>5</v>
      </c>
      <c r="Q70">
        <v>7</v>
      </c>
      <c r="R70">
        <v>3</v>
      </c>
      <c r="S70">
        <v>1</v>
      </c>
      <c r="T70">
        <v>9</v>
      </c>
      <c r="U70">
        <v>5</v>
      </c>
      <c r="V70">
        <v>18</v>
      </c>
      <c r="W70">
        <v>10</v>
      </c>
      <c r="X70">
        <v>23</v>
      </c>
      <c r="Y70">
        <v>26</v>
      </c>
      <c r="Z70">
        <v>0</v>
      </c>
      <c r="AA70">
        <v>0</v>
      </c>
      <c r="AB70">
        <v>14</v>
      </c>
      <c r="AC70">
        <v>31</v>
      </c>
      <c r="AD70">
        <v>2</v>
      </c>
    </row>
    <row r="71" spans="1:30" x14ac:dyDescent="0.3">
      <c r="A71" t="s">
        <v>1042</v>
      </c>
      <c r="B71" t="s">
        <v>489</v>
      </c>
      <c r="C71" t="s">
        <v>1287</v>
      </c>
      <c r="D71">
        <v>3</v>
      </c>
      <c r="E71" t="s">
        <v>1406</v>
      </c>
      <c r="F71" t="s">
        <v>1424</v>
      </c>
      <c r="G71" t="s">
        <v>1409</v>
      </c>
      <c r="H71" t="s">
        <v>1291</v>
      </c>
      <c r="I71" t="b">
        <v>1</v>
      </c>
      <c r="J71">
        <v>50</v>
      </c>
      <c r="K71">
        <v>0</v>
      </c>
      <c r="L71">
        <v>0</v>
      </c>
      <c r="M71">
        <v>10</v>
      </c>
      <c r="N71">
        <v>0</v>
      </c>
      <c r="O71">
        <v>1</v>
      </c>
      <c r="P71">
        <v>5</v>
      </c>
      <c r="Q71">
        <v>7</v>
      </c>
      <c r="R71">
        <v>3</v>
      </c>
      <c r="S71">
        <v>1</v>
      </c>
      <c r="T71">
        <v>9</v>
      </c>
      <c r="U71">
        <v>5</v>
      </c>
      <c r="V71">
        <v>18</v>
      </c>
      <c r="W71">
        <v>10</v>
      </c>
      <c r="X71">
        <v>23</v>
      </c>
      <c r="Y71">
        <v>26</v>
      </c>
      <c r="Z71">
        <v>0</v>
      </c>
      <c r="AA71">
        <v>0</v>
      </c>
      <c r="AB71">
        <v>14</v>
      </c>
      <c r="AC71">
        <v>31</v>
      </c>
      <c r="AD71">
        <v>2</v>
      </c>
    </row>
    <row r="72" spans="1:30" x14ac:dyDescent="0.3">
      <c r="A72" t="s">
        <v>1042</v>
      </c>
      <c r="B72" t="s">
        <v>489</v>
      </c>
      <c r="C72" t="s">
        <v>1287</v>
      </c>
      <c r="D72">
        <v>3</v>
      </c>
      <c r="E72" t="s">
        <v>1406</v>
      </c>
      <c r="F72" t="s">
        <v>1422</v>
      </c>
      <c r="G72" t="s">
        <v>105</v>
      </c>
      <c r="H72" t="s">
        <v>1292</v>
      </c>
      <c r="I72" t="b">
        <v>1</v>
      </c>
      <c r="J72">
        <v>50</v>
      </c>
      <c r="K72">
        <v>0</v>
      </c>
      <c r="L72">
        <v>0</v>
      </c>
      <c r="M72">
        <v>10</v>
      </c>
      <c r="N72">
        <v>0</v>
      </c>
      <c r="O72">
        <v>1</v>
      </c>
      <c r="P72">
        <v>5</v>
      </c>
      <c r="Q72">
        <v>7</v>
      </c>
      <c r="R72">
        <v>3</v>
      </c>
      <c r="S72">
        <v>1</v>
      </c>
      <c r="T72">
        <v>9</v>
      </c>
      <c r="U72">
        <v>5</v>
      </c>
      <c r="V72">
        <v>18</v>
      </c>
      <c r="W72">
        <v>10</v>
      </c>
      <c r="X72">
        <v>23</v>
      </c>
      <c r="Y72">
        <v>26</v>
      </c>
      <c r="Z72">
        <v>0</v>
      </c>
      <c r="AA72">
        <v>0</v>
      </c>
      <c r="AB72">
        <v>14</v>
      </c>
      <c r="AC72">
        <v>31</v>
      </c>
      <c r="AD72">
        <v>2</v>
      </c>
    </row>
    <row r="73" spans="1:30" x14ac:dyDescent="0.3">
      <c r="A73" t="s">
        <v>1042</v>
      </c>
      <c r="B73" t="s">
        <v>489</v>
      </c>
      <c r="C73" t="s">
        <v>1339</v>
      </c>
      <c r="D73">
        <v>30</v>
      </c>
      <c r="E73" t="s">
        <v>1406</v>
      </c>
      <c r="F73" t="s">
        <v>1426</v>
      </c>
      <c r="G73" t="s">
        <v>164</v>
      </c>
      <c r="H73" t="s">
        <v>366</v>
      </c>
      <c r="I73" t="b">
        <v>0</v>
      </c>
      <c r="J73">
        <v>30</v>
      </c>
      <c r="K73">
        <v>0</v>
      </c>
      <c r="L73">
        <v>1</v>
      </c>
      <c r="M73">
        <v>16</v>
      </c>
      <c r="N73">
        <v>0</v>
      </c>
      <c r="O73">
        <v>1</v>
      </c>
      <c r="P73">
        <v>5</v>
      </c>
      <c r="Q73">
        <v>9</v>
      </c>
      <c r="R73">
        <v>0</v>
      </c>
      <c r="S73">
        <v>0</v>
      </c>
      <c r="T73">
        <v>3</v>
      </c>
      <c r="U73">
        <v>0</v>
      </c>
      <c r="V73">
        <v>6</v>
      </c>
      <c r="W73">
        <v>3</v>
      </c>
      <c r="X73">
        <v>6</v>
      </c>
      <c r="Y73">
        <v>6</v>
      </c>
      <c r="Z73">
        <v>0</v>
      </c>
      <c r="AA73">
        <v>0</v>
      </c>
      <c r="AB73">
        <v>4</v>
      </c>
      <c r="AC73">
        <v>11</v>
      </c>
      <c r="AD73">
        <v>0</v>
      </c>
    </row>
    <row r="74" spans="1:30" x14ac:dyDescent="0.3">
      <c r="A74" t="s">
        <v>1042</v>
      </c>
      <c r="B74" t="s">
        <v>489</v>
      </c>
      <c r="C74" t="s">
        <v>1339</v>
      </c>
      <c r="D74">
        <v>30</v>
      </c>
      <c r="E74" t="s">
        <v>1406</v>
      </c>
      <c r="F74" t="s">
        <v>1424</v>
      </c>
      <c r="G74" t="s">
        <v>1409</v>
      </c>
      <c r="H74" t="s">
        <v>1283</v>
      </c>
      <c r="I74" t="b">
        <v>0</v>
      </c>
      <c r="J74">
        <v>30</v>
      </c>
      <c r="K74">
        <v>0</v>
      </c>
      <c r="L74">
        <v>1</v>
      </c>
      <c r="M74">
        <v>16</v>
      </c>
      <c r="N74">
        <v>0</v>
      </c>
      <c r="O74">
        <v>1</v>
      </c>
      <c r="P74">
        <v>5</v>
      </c>
      <c r="Q74">
        <v>9</v>
      </c>
      <c r="R74">
        <v>0</v>
      </c>
      <c r="S74">
        <v>0</v>
      </c>
      <c r="T74">
        <v>3</v>
      </c>
      <c r="U74">
        <v>0</v>
      </c>
      <c r="V74">
        <v>6</v>
      </c>
      <c r="W74">
        <v>3</v>
      </c>
      <c r="X74">
        <v>6</v>
      </c>
      <c r="Y74">
        <v>6</v>
      </c>
      <c r="Z74">
        <v>0</v>
      </c>
      <c r="AA74">
        <v>0</v>
      </c>
      <c r="AB74">
        <v>4</v>
      </c>
      <c r="AC74">
        <v>11</v>
      </c>
      <c r="AD74">
        <v>0</v>
      </c>
    </row>
    <row r="75" spans="1:30" x14ac:dyDescent="0.3">
      <c r="A75" t="s">
        <v>1042</v>
      </c>
      <c r="B75" t="s">
        <v>489</v>
      </c>
      <c r="C75" t="s">
        <v>1339</v>
      </c>
      <c r="D75">
        <v>30</v>
      </c>
      <c r="E75" t="s">
        <v>1406</v>
      </c>
      <c r="F75" t="s">
        <v>1422</v>
      </c>
      <c r="G75" t="s">
        <v>105</v>
      </c>
      <c r="H75" t="s">
        <v>362</v>
      </c>
      <c r="I75" t="b">
        <v>0</v>
      </c>
      <c r="J75">
        <v>30</v>
      </c>
      <c r="K75">
        <v>0</v>
      </c>
      <c r="L75">
        <v>1</v>
      </c>
      <c r="M75">
        <v>16</v>
      </c>
      <c r="N75">
        <v>0</v>
      </c>
      <c r="O75">
        <v>1</v>
      </c>
      <c r="P75">
        <v>5</v>
      </c>
      <c r="Q75">
        <v>9</v>
      </c>
      <c r="R75">
        <v>0</v>
      </c>
      <c r="S75">
        <v>0</v>
      </c>
      <c r="T75">
        <v>3</v>
      </c>
      <c r="U75">
        <v>0</v>
      </c>
      <c r="V75">
        <v>6</v>
      </c>
      <c r="W75">
        <v>3</v>
      </c>
      <c r="X75">
        <v>6</v>
      </c>
      <c r="Y75">
        <v>6</v>
      </c>
      <c r="Z75">
        <v>0</v>
      </c>
      <c r="AA75">
        <v>0</v>
      </c>
      <c r="AB75">
        <v>4</v>
      </c>
      <c r="AC75">
        <v>11</v>
      </c>
      <c r="AD75">
        <v>0</v>
      </c>
    </row>
    <row r="76" spans="1:30" x14ac:dyDescent="0.3">
      <c r="A76" t="s">
        <v>1042</v>
      </c>
      <c r="B76" t="s">
        <v>489</v>
      </c>
      <c r="C76" t="s">
        <v>1340</v>
      </c>
      <c r="D76">
        <v>31</v>
      </c>
      <c r="E76" t="s">
        <v>1406</v>
      </c>
      <c r="F76" t="s">
        <v>1426</v>
      </c>
      <c r="G76" t="s">
        <v>164</v>
      </c>
      <c r="H76" t="s">
        <v>1296</v>
      </c>
      <c r="I76" t="b">
        <v>1</v>
      </c>
      <c r="J76">
        <v>63</v>
      </c>
      <c r="K76">
        <v>1</v>
      </c>
      <c r="L76">
        <v>0</v>
      </c>
      <c r="M76">
        <v>2</v>
      </c>
      <c r="N76">
        <v>0</v>
      </c>
      <c r="O76">
        <v>3</v>
      </c>
      <c r="P76">
        <v>15</v>
      </c>
      <c r="Q76">
        <v>19</v>
      </c>
      <c r="R76">
        <v>1</v>
      </c>
      <c r="S76">
        <v>0</v>
      </c>
      <c r="T76">
        <v>19</v>
      </c>
      <c r="U76">
        <v>0</v>
      </c>
      <c r="V76">
        <v>38</v>
      </c>
      <c r="W76">
        <v>19</v>
      </c>
      <c r="X76">
        <v>38</v>
      </c>
      <c r="Y76">
        <v>39</v>
      </c>
      <c r="Z76">
        <v>0</v>
      </c>
      <c r="AA76">
        <v>0</v>
      </c>
      <c r="AB76">
        <v>23</v>
      </c>
      <c r="AC76">
        <v>54</v>
      </c>
      <c r="AD76">
        <v>5</v>
      </c>
    </row>
    <row r="77" spans="1:30" x14ac:dyDescent="0.3">
      <c r="A77" t="s">
        <v>1042</v>
      </c>
      <c r="B77" t="s">
        <v>489</v>
      </c>
      <c r="C77" t="s">
        <v>1340</v>
      </c>
      <c r="D77">
        <v>31</v>
      </c>
      <c r="E77" t="s">
        <v>1406</v>
      </c>
      <c r="F77" t="s">
        <v>1424</v>
      </c>
      <c r="G77" t="s">
        <v>1409</v>
      </c>
      <c r="H77" t="s">
        <v>371</v>
      </c>
      <c r="I77" t="b">
        <v>1</v>
      </c>
      <c r="J77">
        <v>63</v>
      </c>
      <c r="K77">
        <v>1</v>
      </c>
      <c r="L77">
        <v>0</v>
      </c>
      <c r="M77">
        <v>2</v>
      </c>
      <c r="N77">
        <v>0</v>
      </c>
      <c r="O77">
        <v>3</v>
      </c>
      <c r="P77">
        <v>15</v>
      </c>
      <c r="Q77">
        <v>19</v>
      </c>
      <c r="R77">
        <v>1</v>
      </c>
      <c r="S77">
        <v>0</v>
      </c>
      <c r="T77">
        <v>19</v>
      </c>
      <c r="U77">
        <v>0</v>
      </c>
      <c r="V77">
        <v>38</v>
      </c>
      <c r="W77">
        <v>19</v>
      </c>
      <c r="X77">
        <v>38</v>
      </c>
      <c r="Y77">
        <v>39</v>
      </c>
      <c r="Z77">
        <v>0</v>
      </c>
      <c r="AA77">
        <v>0</v>
      </c>
      <c r="AB77">
        <v>23</v>
      </c>
      <c r="AC77">
        <v>54</v>
      </c>
      <c r="AD77">
        <v>5</v>
      </c>
    </row>
    <row r="78" spans="1:30" x14ac:dyDescent="0.3">
      <c r="A78" t="s">
        <v>1042</v>
      </c>
      <c r="B78" t="s">
        <v>489</v>
      </c>
      <c r="C78" t="s">
        <v>1340</v>
      </c>
      <c r="D78">
        <v>31</v>
      </c>
      <c r="E78" t="s">
        <v>1406</v>
      </c>
      <c r="F78" t="s">
        <v>1422</v>
      </c>
      <c r="G78" t="s">
        <v>105</v>
      </c>
      <c r="H78" t="s">
        <v>1286</v>
      </c>
      <c r="I78" t="b">
        <v>1</v>
      </c>
      <c r="J78">
        <v>63</v>
      </c>
      <c r="K78">
        <v>1</v>
      </c>
      <c r="L78">
        <v>0</v>
      </c>
      <c r="M78">
        <v>2</v>
      </c>
      <c r="N78">
        <v>0</v>
      </c>
      <c r="O78">
        <v>3</v>
      </c>
      <c r="P78">
        <v>15</v>
      </c>
      <c r="Q78">
        <v>19</v>
      </c>
      <c r="R78">
        <v>1</v>
      </c>
      <c r="S78">
        <v>0</v>
      </c>
      <c r="T78">
        <v>19</v>
      </c>
      <c r="U78">
        <v>0</v>
      </c>
      <c r="V78">
        <v>38</v>
      </c>
      <c r="W78">
        <v>19</v>
      </c>
      <c r="X78">
        <v>38</v>
      </c>
      <c r="Y78">
        <v>39</v>
      </c>
      <c r="Z78">
        <v>0</v>
      </c>
      <c r="AA78">
        <v>0</v>
      </c>
      <c r="AB78">
        <v>23</v>
      </c>
      <c r="AC78">
        <v>54</v>
      </c>
      <c r="AD78">
        <v>5</v>
      </c>
    </row>
    <row r="79" spans="1:30" x14ac:dyDescent="0.3">
      <c r="A79" t="s">
        <v>1042</v>
      </c>
      <c r="B79" t="s">
        <v>489</v>
      </c>
      <c r="C79" t="s">
        <v>1341</v>
      </c>
      <c r="D79">
        <v>32</v>
      </c>
      <c r="E79" t="s">
        <v>1406</v>
      </c>
      <c r="F79" t="s">
        <v>1426</v>
      </c>
      <c r="G79" t="s">
        <v>164</v>
      </c>
      <c r="H79" t="s">
        <v>372</v>
      </c>
      <c r="I79" t="b">
        <v>1</v>
      </c>
      <c r="J79">
        <v>65</v>
      </c>
      <c r="K79">
        <v>1</v>
      </c>
      <c r="L79">
        <v>0</v>
      </c>
      <c r="M79">
        <v>2</v>
      </c>
      <c r="N79">
        <v>0</v>
      </c>
      <c r="O79">
        <v>5</v>
      </c>
      <c r="P79">
        <v>25</v>
      </c>
      <c r="Q79">
        <v>29</v>
      </c>
      <c r="R79">
        <v>5</v>
      </c>
      <c r="S79">
        <v>2</v>
      </c>
      <c r="T79">
        <v>7</v>
      </c>
      <c r="U79">
        <v>10</v>
      </c>
      <c r="V79">
        <v>14</v>
      </c>
      <c r="W79">
        <v>9</v>
      </c>
      <c r="X79">
        <v>24</v>
      </c>
      <c r="Y79">
        <v>29</v>
      </c>
      <c r="Z79">
        <v>0</v>
      </c>
      <c r="AA79">
        <v>0</v>
      </c>
      <c r="AB79">
        <v>19</v>
      </c>
      <c r="AC79">
        <v>54</v>
      </c>
      <c r="AD79">
        <v>7</v>
      </c>
    </row>
    <row r="80" spans="1:30" x14ac:dyDescent="0.3">
      <c r="A80" t="s">
        <v>1042</v>
      </c>
      <c r="B80" t="s">
        <v>489</v>
      </c>
      <c r="C80" t="s">
        <v>1341</v>
      </c>
      <c r="D80">
        <v>32</v>
      </c>
      <c r="E80" t="s">
        <v>1406</v>
      </c>
      <c r="F80" t="s">
        <v>1424</v>
      </c>
      <c r="G80" t="s">
        <v>1409</v>
      </c>
      <c r="H80" t="s">
        <v>1277</v>
      </c>
      <c r="I80" t="b">
        <v>1</v>
      </c>
      <c r="J80">
        <v>65</v>
      </c>
      <c r="K80">
        <v>1</v>
      </c>
      <c r="L80">
        <v>0</v>
      </c>
      <c r="M80">
        <v>2</v>
      </c>
      <c r="N80">
        <v>0</v>
      </c>
      <c r="O80">
        <v>5</v>
      </c>
      <c r="P80">
        <v>25</v>
      </c>
      <c r="Q80">
        <v>29</v>
      </c>
      <c r="R80">
        <v>5</v>
      </c>
      <c r="S80">
        <v>2</v>
      </c>
      <c r="T80">
        <v>7</v>
      </c>
      <c r="U80">
        <v>10</v>
      </c>
      <c r="V80">
        <v>14</v>
      </c>
      <c r="W80">
        <v>9</v>
      </c>
      <c r="X80">
        <v>24</v>
      </c>
      <c r="Y80">
        <v>29</v>
      </c>
      <c r="Z80">
        <v>0</v>
      </c>
      <c r="AA80">
        <v>0</v>
      </c>
      <c r="AB80">
        <v>19</v>
      </c>
      <c r="AC80">
        <v>54</v>
      </c>
      <c r="AD80">
        <v>7</v>
      </c>
    </row>
    <row r="81" spans="1:30" x14ac:dyDescent="0.3">
      <c r="A81" t="s">
        <v>1042</v>
      </c>
      <c r="B81" t="s">
        <v>489</v>
      </c>
      <c r="C81" t="s">
        <v>1341</v>
      </c>
      <c r="D81">
        <v>32</v>
      </c>
      <c r="E81" t="s">
        <v>1406</v>
      </c>
      <c r="F81" t="s">
        <v>1422</v>
      </c>
      <c r="G81" t="s">
        <v>105</v>
      </c>
      <c r="H81" t="s">
        <v>1282</v>
      </c>
      <c r="I81" t="b">
        <v>1</v>
      </c>
      <c r="J81">
        <v>65</v>
      </c>
      <c r="K81">
        <v>1</v>
      </c>
      <c r="L81">
        <v>0</v>
      </c>
      <c r="M81">
        <v>2</v>
      </c>
      <c r="N81">
        <v>0</v>
      </c>
      <c r="O81">
        <v>5</v>
      </c>
      <c r="P81">
        <v>25</v>
      </c>
      <c r="Q81">
        <v>29</v>
      </c>
      <c r="R81">
        <v>5</v>
      </c>
      <c r="S81">
        <v>2</v>
      </c>
      <c r="T81">
        <v>7</v>
      </c>
      <c r="U81">
        <v>10</v>
      </c>
      <c r="V81">
        <v>14</v>
      </c>
      <c r="W81">
        <v>9</v>
      </c>
      <c r="X81">
        <v>24</v>
      </c>
      <c r="Y81">
        <v>29</v>
      </c>
      <c r="Z81">
        <v>0</v>
      </c>
      <c r="AA81">
        <v>0</v>
      </c>
      <c r="AB81">
        <v>19</v>
      </c>
      <c r="AC81">
        <v>54</v>
      </c>
      <c r="AD81">
        <v>7</v>
      </c>
    </row>
    <row r="82" spans="1:30" x14ac:dyDescent="0.3">
      <c r="A82" t="s">
        <v>1042</v>
      </c>
      <c r="B82" t="s">
        <v>489</v>
      </c>
      <c r="C82" t="s">
        <v>1342</v>
      </c>
      <c r="D82">
        <v>33</v>
      </c>
      <c r="E82" t="s">
        <v>1406</v>
      </c>
      <c r="F82" t="s">
        <v>1426</v>
      </c>
      <c r="G82" t="s">
        <v>164</v>
      </c>
      <c r="H82" t="s">
        <v>1300</v>
      </c>
      <c r="I82" t="b">
        <v>1</v>
      </c>
      <c r="J82">
        <v>57</v>
      </c>
      <c r="K82">
        <v>0</v>
      </c>
      <c r="L82">
        <v>0</v>
      </c>
      <c r="M82">
        <v>0</v>
      </c>
      <c r="N82">
        <v>0</v>
      </c>
      <c r="O82">
        <v>3</v>
      </c>
      <c r="P82">
        <v>15</v>
      </c>
      <c r="Q82">
        <v>21</v>
      </c>
      <c r="R82">
        <v>1</v>
      </c>
      <c r="S82">
        <v>0</v>
      </c>
      <c r="T82">
        <v>10</v>
      </c>
      <c r="U82">
        <v>0</v>
      </c>
      <c r="V82">
        <v>20</v>
      </c>
      <c r="W82">
        <v>10</v>
      </c>
      <c r="X82">
        <v>20</v>
      </c>
      <c r="Y82">
        <v>21</v>
      </c>
      <c r="Z82">
        <v>0</v>
      </c>
      <c r="AA82">
        <v>0</v>
      </c>
      <c r="AB82">
        <v>14</v>
      </c>
      <c r="AC82">
        <v>36</v>
      </c>
      <c r="AD82">
        <v>5</v>
      </c>
    </row>
    <row r="83" spans="1:30" x14ac:dyDescent="0.3">
      <c r="A83" t="s">
        <v>1042</v>
      </c>
      <c r="B83" t="s">
        <v>489</v>
      </c>
      <c r="C83" t="s">
        <v>1342</v>
      </c>
      <c r="D83">
        <v>33</v>
      </c>
      <c r="E83" t="s">
        <v>1406</v>
      </c>
      <c r="F83" t="s">
        <v>1424</v>
      </c>
      <c r="G83" t="s">
        <v>1409</v>
      </c>
      <c r="H83" t="s">
        <v>1289</v>
      </c>
      <c r="I83" t="b">
        <v>1</v>
      </c>
      <c r="J83">
        <v>57</v>
      </c>
      <c r="K83">
        <v>0</v>
      </c>
      <c r="L83">
        <v>0</v>
      </c>
      <c r="M83">
        <v>0</v>
      </c>
      <c r="N83">
        <v>0</v>
      </c>
      <c r="O83">
        <v>3</v>
      </c>
      <c r="P83">
        <v>15</v>
      </c>
      <c r="Q83">
        <v>21</v>
      </c>
      <c r="R83">
        <v>1</v>
      </c>
      <c r="S83">
        <v>0</v>
      </c>
      <c r="T83">
        <v>10</v>
      </c>
      <c r="U83">
        <v>0</v>
      </c>
      <c r="V83">
        <v>20</v>
      </c>
      <c r="W83">
        <v>10</v>
      </c>
      <c r="X83">
        <v>20</v>
      </c>
      <c r="Y83">
        <v>21</v>
      </c>
      <c r="Z83">
        <v>0</v>
      </c>
      <c r="AA83">
        <v>0</v>
      </c>
      <c r="AB83">
        <v>14</v>
      </c>
      <c r="AC83">
        <v>36</v>
      </c>
      <c r="AD83">
        <v>5</v>
      </c>
    </row>
    <row r="84" spans="1:30" x14ac:dyDescent="0.3">
      <c r="A84" t="s">
        <v>1042</v>
      </c>
      <c r="B84" t="s">
        <v>489</v>
      </c>
      <c r="C84" t="s">
        <v>1342</v>
      </c>
      <c r="D84">
        <v>33</v>
      </c>
      <c r="E84" t="s">
        <v>1406</v>
      </c>
      <c r="F84" t="s">
        <v>1422</v>
      </c>
      <c r="G84" t="s">
        <v>105</v>
      </c>
      <c r="H84" t="s">
        <v>1284</v>
      </c>
      <c r="I84" t="b">
        <v>1</v>
      </c>
      <c r="J84">
        <v>57</v>
      </c>
      <c r="K84">
        <v>0</v>
      </c>
      <c r="L84">
        <v>0</v>
      </c>
      <c r="M84">
        <v>0</v>
      </c>
      <c r="N84">
        <v>0</v>
      </c>
      <c r="O84">
        <v>3</v>
      </c>
      <c r="P84">
        <v>15</v>
      </c>
      <c r="Q84">
        <v>21</v>
      </c>
      <c r="R84">
        <v>1</v>
      </c>
      <c r="S84">
        <v>0</v>
      </c>
      <c r="T84">
        <v>10</v>
      </c>
      <c r="U84">
        <v>0</v>
      </c>
      <c r="V84">
        <v>20</v>
      </c>
      <c r="W84">
        <v>10</v>
      </c>
      <c r="X84">
        <v>20</v>
      </c>
      <c r="Y84">
        <v>21</v>
      </c>
      <c r="Z84">
        <v>0</v>
      </c>
      <c r="AA84">
        <v>0</v>
      </c>
      <c r="AB84">
        <v>14</v>
      </c>
      <c r="AC84">
        <v>36</v>
      </c>
      <c r="AD84">
        <v>5</v>
      </c>
    </row>
    <row r="85" spans="1:30" x14ac:dyDescent="0.3">
      <c r="A85" t="s">
        <v>1042</v>
      </c>
      <c r="B85" t="s">
        <v>489</v>
      </c>
      <c r="C85" t="s">
        <v>1343</v>
      </c>
      <c r="D85">
        <v>34</v>
      </c>
      <c r="E85" t="s">
        <v>1406</v>
      </c>
      <c r="F85" t="s">
        <v>1426</v>
      </c>
      <c r="G85" t="s">
        <v>164</v>
      </c>
      <c r="H85" t="s">
        <v>1314</v>
      </c>
      <c r="I85" t="b">
        <v>0</v>
      </c>
      <c r="J85">
        <v>42</v>
      </c>
      <c r="K85">
        <v>0</v>
      </c>
      <c r="L85">
        <v>0</v>
      </c>
      <c r="M85">
        <v>0</v>
      </c>
      <c r="N85">
        <v>0</v>
      </c>
      <c r="O85">
        <v>3</v>
      </c>
      <c r="P85">
        <v>15</v>
      </c>
      <c r="Q85">
        <v>19</v>
      </c>
      <c r="R85">
        <v>0</v>
      </c>
      <c r="S85">
        <v>0</v>
      </c>
      <c r="T85">
        <v>7</v>
      </c>
      <c r="U85">
        <v>0</v>
      </c>
      <c r="V85">
        <v>14</v>
      </c>
      <c r="W85">
        <v>7</v>
      </c>
      <c r="X85">
        <v>14</v>
      </c>
      <c r="Y85">
        <v>14</v>
      </c>
      <c r="Z85">
        <v>0</v>
      </c>
      <c r="AA85">
        <v>0</v>
      </c>
      <c r="AB85">
        <v>10</v>
      </c>
      <c r="AC85">
        <v>29</v>
      </c>
      <c r="AD85">
        <v>2</v>
      </c>
    </row>
    <row r="86" spans="1:30" x14ac:dyDescent="0.3">
      <c r="A86" t="s">
        <v>1042</v>
      </c>
      <c r="B86" t="s">
        <v>489</v>
      </c>
      <c r="C86" t="s">
        <v>1343</v>
      </c>
      <c r="D86">
        <v>34</v>
      </c>
      <c r="E86" t="s">
        <v>1406</v>
      </c>
      <c r="F86" t="s">
        <v>1424</v>
      </c>
      <c r="G86" t="s">
        <v>1409</v>
      </c>
      <c r="H86" t="s">
        <v>1292</v>
      </c>
      <c r="I86" t="b">
        <v>0</v>
      </c>
      <c r="J86">
        <v>42</v>
      </c>
      <c r="K86">
        <v>0</v>
      </c>
      <c r="L86">
        <v>0</v>
      </c>
      <c r="M86">
        <v>0</v>
      </c>
      <c r="N86">
        <v>0</v>
      </c>
      <c r="O86">
        <v>3</v>
      </c>
      <c r="P86">
        <v>15</v>
      </c>
      <c r="Q86">
        <v>19</v>
      </c>
      <c r="R86">
        <v>0</v>
      </c>
      <c r="S86">
        <v>0</v>
      </c>
      <c r="T86">
        <v>7</v>
      </c>
      <c r="U86">
        <v>0</v>
      </c>
      <c r="V86">
        <v>14</v>
      </c>
      <c r="W86">
        <v>7</v>
      </c>
      <c r="X86">
        <v>14</v>
      </c>
      <c r="Y86">
        <v>14</v>
      </c>
      <c r="Z86">
        <v>0</v>
      </c>
      <c r="AA86">
        <v>0</v>
      </c>
      <c r="AB86">
        <v>10</v>
      </c>
      <c r="AC86">
        <v>29</v>
      </c>
      <c r="AD86">
        <v>2</v>
      </c>
    </row>
    <row r="87" spans="1:30" x14ac:dyDescent="0.3">
      <c r="A87" t="s">
        <v>1042</v>
      </c>
      <c r="B87" t="s">
        <v>489</v>
      </c>
      <c r="C87" t="s">
        <v>1343</v>
      </c>
      <c r="D87">
        <v>34</v>
      </c>
      <c r="E87" t="s">
        <v>1406</v>
      </c>
      <c r="F87" t="s">
        <v>1422</v>
      </c>
      <c r="G87" t="s">
        <v>105</v>
      </c>
      <c r="H87" t="s">
        <v>1276</v>
      </c>
      <c r="I87" t="b">
        <v>0</v>
      </c>
      <c r="J87">
        <v>42</v>
      </c>
      <c r="K87">
        <v>0</v>
      </c>
      <c r="L87">
        <v>0</v>
      </c>
      <c r="M87">
        <v>0</v>
      </c>
      <c r="N87">
        <v>0</v>
      </c>
      <c r="O87">
        <v>3</v>
      </c>
      <c r="P87">
        <v>15</v>
      </c>
      <c r="Q87">
        <v>19</v>
      </c>
      <c r="R87">
        <v>0</v>
      </c>
      <c r="S87">
        <v>0</v>
      </c>
      <c r="T87">
        <v>7</v>
      </c>
      <c r="U87">
        <v>0</v>
      </c>
      <c r="V87">
        <v>14</v>
      </c>
      <c r="W87">
        <v>7</v>
      </c>
      <c r="X87">
        <v>14</v>
      </c>
      <c r="Y87">
        <v>14</v>
      </c>
      <c r="Z87">
        <v>0</v>
      </c>
      <c r="AA87">
        <v>0</v>
      </c>
      <c r="AB87">
        <v>10</v>
      </c>
      <c r="AC87">
        <v>29</v>
      </c>
      <c r="AD87">
        <v>2</v>
      </c>
    </row>
    <row r="88" spans="1:30" x14ac:dyDescent="0.3">
      <c r="A88" t="s">
        <v>1042</v>
      </c>
      <c r="B88" t="s">
        <v>489</v>
      </c>
      <c r="C88" t="s">
        <v>1344</v>
      </c>
      <c r="D88">
        <v>35</v>
      </c>
      <c r="E88" t="s">
        <v>1406</v>
      </c>
      <c r="F88" t="s">
        <v>1426</v>
      </c>
      <c r="G88" t="s">
        <v>164</v>
      </c>
      <c r="H88" t="s">
        <v>318</v>
      </c>
      <c r="I88" t="b">
        <v>1</v>
      </c>
      <c r="J88">
        <v>52</v>
      </c>
      <c r="K88">
        <v>1</v>
      </c>
      <c r="L88">
        <v>0</v>
      </c>
      <c r="M88">
        <v>0</v>
      </c>
      <c r="N88">
        <v>0</v>
      </c>
      <c r="O88">
        <v>2</v>
      </c>
      <c r="P88">
        <v>10</v>
      </c>
      <c r="Q88">
        <v>12</v>
      </c>
      <c r="R88">
        <v>6</v>
      </c>
      <c r="S88">
        <v>3</v>
      </c>
      <c r="T88">
        <v>6</v>
      </c>
      <c r="U88">
        <v>15</v>
      </c>
      <c r="V88">
        <v>12</v>
      </c>
      <c r="W88">
        <v>9</v>
      </c>
      <c r="X88">
        <v>27</v>
      </c>
      <c r="Y88">
        <v>33</v>
      </c>
      <c r="Z88">
        <v>0</v>
      </c>
      <c r="AA88">
        <v>0</v>
      </c>
      <c r="AB88">
        <v>17</v>
      </c>
      <c r="AC88">
        <v>43</v>
      </c>
      <c r="AD88">
        <v>7</v>
      </c>
    </row>
    <row r="89" spans="1:30" x14ac:dyDescent="0.3">
      <c r="A89" t="s">
        <v>1042</v>
      </c>
      <c r="B89" t="s">
        <v>489</v>
      </c>
      <c r="C89" t="s">
        <v>1344</v>
      </c>
      <c r="D89">
        <v>35</v>
      </c>
      <c r="E89" t="s">
        <v>1406</v>
      </c>
      <c r="F89" t="s">
        <v>1424</v>
      </c>
      <c r="G89" t="s">
        <v>1409</v>
      </c>
      <c r="H89" t="s">
        <v>1317</v>
      </c>
      <c r="I89" t="b">
        <v>1</v>
      </c>
      <c r="J89">
        <v>52</v>
      </c>
      <c r="K89">
        <v>1</v>
      </c>
      <c r="L89">
        <v>0</v>
      </c>
      <c r="M89">
        <v>0</v>
      </c>
      <c r="N89">
        <v>0</v>
      </c>
      <c r="O89">
        <v>2</v>
      </c>
      <c r="P89">
        <v>10</v>
      </c>
      <c r="Q89">
        <v>12</v>
      </c>
      <c r="R89">
        <v>6</v>
      </c>
      <c r="S89">
        <v>3</v>
      </c>
      <c r="T89">
        <v>6</v>
      </c>
      <c r="U89">
        <v>15</v>
      </c>
      <c r="V89">
        <v>12</v>
      </c>
      <c r="W89">
        <v>9</v>
      </c>
      <c r="X89">
        <v>27</v>
      </c>
      <c r="Y89">
        <v>33</v>
      </c>
      <c r="Z89">
        <v>0</v>
      </c>
      <c r="AA89">
        <v>0</v>
      </c>
      <c r="AB89">
        <v>17</v>
      </c>
      <c r="AC89">
        <v>43</v>
      </c>
      <c r="AD89">
        <v>7</v>
      </c>
    </row>
    <row r="90" spans="1:30" x14ac:dyDescent="0.3">
      <c r="A90" t="s">
        <v>1042</v>
      </c>
      <c r="B90" t="s">
        <v>489</v>
      </c>
      <c r="C90" t="s">
        <v>1344</v>
      </c>
      <c r="D90">
        <v>35</v>
      </c>
      <c r="E90" t="s">
        <v>1406</v>
      </c>
      <c r="F90" t="s">
        <v>1422</v>
      </c>
      <c r="G90" t="s">
        <v>105</v>
      </c>
      <c r="H90" t="s">
        <v>1297</v>
      </c>
      <c r="I90" t="b">
        <v>1</v>
      </c>
      <c r="J90">
        <v>52</v>
      </c>
      <c r="K90">
        <v>1</v>
      </c>
      <c r="L90">
        <v>0</v>
      </c>
      <c r="M90">
        <v>0</v>
      </c>
      <c r="N90">
        <v>0</v>
      </c>
      <c r="O90">
        <v>2</v>
      </c>
      <c r="P90">
        <v>10</v>
      </c>
      <c r="Q90">
        <v>12</v>
      </c>
      <c r="R90">
        <v>6</v>
      </c>
      <c r="S90">
        <v>3</v>
      </c>
      <c r="T90">
        <v>6</v>
      </c>
      <c r="U90">
        <v>15</v>
      </c>
      <c r="V90">
        <v>12</v>
      </c>
      <c r="W90">
        <v>9</v>
      </c>
      <c r="X90">
        <v>27</v>
      </c>
      <c r="Y90">
        <v>33</v>
      </c>
      <c r="Z90">
        <v>0</v>
      </c>
      <c r="AA90">
        <v>0</v>
      </c>
      <c r="AB90">
        <v>17</v>
      </c>
      <c r="AC90">
        <v>43</v>
      </c>
      <c r="AD90">
        <v>7</v>
      </c>
    </row>
    <row r="91" spans="1:30" x14ac:dyDescent="0.3">
      <c r="A91" t="s">
        <v>1042</v>
      </c>
      <c r="B91" t="s">
        <v>489</v>
      </c>
      <c r="C91" t="s">
        <v>1345</v>
      </c>
      <c r="D91">
        <v>36</v>
      </c>
      <c r="E91" t="s">
        <v>1406</v>
      </c>
      <c r="F91" t="s">
        <v>1426</v>
      </c>
      <c r="G91" t="s">
        <v>164</v>
      </c>
      <c r="H91" t="s">
        <v>1311</v>
      </c>
      <c r="I91" t="b">
        <v>0</v>
      </c>
      <c r="J91">
        <v>40</v>
      </c>
      <c r="K91">
        <v>0</v>
      </c>
      <c r="L91">
        <v>0</v>
      </c>
      <c r="M91">
        <v>15</v>
      </c>
      <c r="N91">
        <v>0</v>
      </c>
      <c r="O91">
        <v>2</v>
      </c>
      <c r="P91">
        <v>10</v>
      </c>
      <c r="Q91">
        <v>14</v>
      </c>
      <c r="R91">
        <v>3</v>
      </c>
      <c r="S91">
        <v>1</v>
      </c>
      <c r="T91">
        <v>5</v>
      </c>
      <c r="U91">
        <v>5</v>
      </c>
      <c r="V91">
        <v>10</v>
      </c>
      <c r="W91">
        <v>6</v>
      </c>
      <c r="X91">
        <v>15</v>
      </c>
      <c r="Y91">
        <v>18</v>
      </c>
      <c r="Z91">
        <v>0</v>
      </c>
      <c r="AA91">
        <v>0</v>
      </c>
      <c r="AB91">
        <v>11</v>
      </c>
      <c r="AC91">
        <v>28</v>
      </c>
      <c r="AD91">
        <v>8</v>
      </c>
    </row>
    <row r="92" spans="1:30" x14ac:dyDescent="0.3">
      <c r="A92" t="s">
        <v>1042</v>
      </c>
      <c r="B92" t="s">
        <v>489</v>
      </c>
      <c r="C92" t="s">
        <v>1345</v>
      </c>
      <c r="D92">
        <v>36</v>
      </c>
      <c r="E92" t="s">
        <v>1406</v>
      </c>
      <c r="F92" t="s">
        <v>1424</v>
      </c>
      <c r="G92" t="s">
        <v>1409</v>
      </c>
      <c r="H92" t="s">
        <v>362</v>
      </c>
      <c r="I92" t="b">
        <v>0</v>
      </c>
      <c r="J92">
        <v>40</v>
      </c>
      <c r="K92">
        <v>0</v>
      </c>
      <c r="L92">
        <v>0</v>
      </c>
      <c r="M92">
        <v>15</v>
      </c>
      <c r="N92">
        <v>0</v>
      </c>
      <c r="O92">
        <v>2</v>
      </c>
      <c r="P92">
        <v>10</v>
      </c>
      <c r="Q92">
        <v>14</v>
      </c>
      <c r="R92">
        <v>3</v>
      </c>
      <c r="S92">
        <v>1</v>
      </c>
      <c r="T92">
        <v>5</v>
      </c>
      <c r="U92">
        <v>5</v>
      </c>
      <c r="V92">
        <v>10</v>
      </c>
      <c r="W92">
        <v>6</v>
      </c>
      <c r="X92">
        <v>15</v>
      </c>
      <c r="Y92">
        <v>18</v>
      </c>
      <c r="Z92">
        <v>0</v>
      </c>
      <c r="AA92">
        <v>0</v>
      </c>
      <c r="AB92">
        <v>11</v>
      </c>
      <c r="AC92">
        <v>28</v>
      </c>
      <c r="AD92">
        <v>8</v>
      </c>
    </row>
    <row r="93" spans="1:30" x14ac:dyDescent="0.3">
      <c r="A93" t="s">
        <v>1042</v>
      </c>
      <c r="B93" t="s">
        <v>489</v>
      </c>
      <c r="C93" t="s">
        <v>1345</v>
      </c>
      <c r="D93">
        <v>36</v>
      </c>
      <c r="E93" t="s">
        <v>1406</v>
      </c>
      <c r="F93" t="s">
        <v>1422</v>
      </c>
      <c r="G93" t="s">
        <v>105</v>
      </c>
      <c r="H93" t="s">
        <v>1298</v>
      </c>
      <c r="I93" t="b">
        <v>0</v>
      </c>
      <c r="J93">
        <v>40</v>
      </c>
      <c r="K93">
        <v>0</v>
      </c>
      <c r="L93">
        <v>0</v>
      </c>
      <c r="M93">
        <v>15</v>
      </c>
      <c r="N93">
        <v>0</v>
      </c>
      <c r="O93">
        <v>2</v>
      </c>
      <c r="P93">
        <v>10</v>
      </c>
      <c r="Q93">
        <v>14</v>
      </c>
      <c r="R93">
        <v>3</v>
      </c>
      <c r="S93">
        <v>1</v>
      </c>
      <c r="T93">
        <v>5</v>
      </c>
      <c r="U93">
        <v>5</v>
      </c>
      <c r="V93">
        <v>10</v>
      </c>
      <c r="W93">
        <v>6</v>
      </c>
      <c r="X93">
        <v>15</v>
      </c>
      <c r="Y93">
        <v>18</v>
      </c>
      <c r="Z93">
        <v>0</v>
      </c>
      <c r="AA93">
        <v>0</v>
      </c>
      <c r="AB93">
        <v>11</v>
      </c>
      <c r="AC93">
        <v>28</v>
      </c>
      <c r="AD93">
        <v>8</v>
      </c>
    </row>
    <row r="94" spans="1:30" x14ac:dyDescent="0.3">
      <c r="A94" t="s">
        <v>1042</v>
      </c>
      <c r="B94" t="s">
        <v>489</v>
      </c>
      <c r="C94" t="s">
        <v>1346</v>
      </c>
      <c r="D94">
        <v>37</v>
      </c>
      <c r="E94" t="s">
        <v>1406</v>
      </c>
      <c r="F94" t="s">
        <v>1426</v>
      </c>
      <c r="G94" t="s">
        <v>164</v>
      </c>
      <c r="H94" t="s">
        <v>1286</v>
      </c>
      <c r="I94" t="b">
        <v>1</v>
      </c>
      <c r="J94">
        <v>86</v>
      </c>
      <c r="K94">
        <v>1</v>
      </c>
      <c r="L94">
        <v>1</v>
      </c>
      <c r="M94">
        <v>10</v>
      </c>
      <c r="N94">
        <v>0</v>
      </c>
      <c r="O94">
        <v>6</v>
      </c>
      <c r="P94">
        <v>30</v>
      </c>
      <c r="Q94">
        <v>34</v>
      </c>
      <c r="R94">
        <v>1</v>
      </c>
      <c r="S94">
        <v>0</v>
      </c>
      <c r="T94">
        <v>20</v>
      </c>
      <c r="U94">
        <v>0</v>
      </c>
      <c r="V94">
        <v>40</v>
      </c>
      <c r="W94">
        <v>20</v>
      </c>
      <c r="X94">
        <v>40</v>
      </c>
      <c r="Y94">
        <v>41</v>
      </c>
      <c r="Z94">
        <v>0</v>
      </c>
      <c r="AA94">
        <v>0</v>
      </c>
      <c r="AB94">
        <v>27</v>
      </c>
      <c r="AC94">
        <v>71</v>
      </c>
      <c r="AD94">
        <v>11</v>
      </c>
    </row>
    <row r="95" spans="1:30" x14ac:dyDescent="0.3">
      <c r="A95" t="s">
        <v>1042</v>
      </c>
      <c r="B95" t="s">
        <v>489</v>
      </c>
      <c r="C95" t="s">
        <v>1346</v>
      </c>
      <c r="D95">
        <v>37</v>
      </c>
      <c r="E95" t="s">
        <v>1406</v>
      </c>
      <c r="F95" t="s">
        <v>1424</v>
      </c>
      <c r="G95" t="s">
        <v>1409</v>
      </c>
      <c r="H95" t="s">
        <v>1288</v>
      </c>
      <c r="I95" t="b">
        <v>1</v>
      </c>
      <c r="J95">
        <v>86</v>
      </c>
      <c r="K95">
        <v>1</v>
      </c>
      <c r="L95">
        <v>1</v>
      </c>
      <c r="M95">
        <v>10</v>
      </c>
      <c r="N95">
        <v>0</v>
      </c>
      <c r="O95">
        <v>6</v>
      </c>
      <c r="P95">
        <v>30</v>
      </c>
      <c r="Q95">
        <v>34</v>
      </c>
      <c r="R95">
        <v>1</v>
      </c>
      <c r="S95">
        <v>0</v>
      </c>
      <c r="T95">
        <v>20</v>
      </c>
      <c r="U95">
        <v>0</v>
      </c>
      <c r="V95">
        <v>40</v>
      </c>
      <c r="W95">
        <v>20</v>
      </c>
      <c r="X95">
        <v>40</v>
      </c>
      <c r="Y95">
        <v>41</v>
      </c>
      <c r="Z95">
        <v>0</v>
      </c>
      <c r="AA95">
        <v>0</v>
      </c>
      <c r="AB95">
        <v>27</v>
      </c>
      <c r="AC95">
        <v>71</v>
      </c>
      <c r="AD95">
        <v>11</v>
      </c>
    </row>
    <row r="96" spans="1:30" x14ac:dyDescent="0.3">
      <c r="A96" t="s">
        <v>1042</v>
      </c>
      <c r="B96" t="s">
        <v>489</v>
      </c>
      <c r="C96" t="s">
        <v>1346</v>
      </c>
      <c r="D96">
        <v>37</v>
      </c>
      <c r="E96" t="s">
        <v>1406</v>
      </c>
      <c r="F96" t="s">
        <v>1422</v>
      </c>
      <c r="G96" t="s">
        <v>105</v>
      </c>
      <c r="H96" t="s">
        <v>370</v>
      </c>
      <c r="I96" t="b">
        <v>1</v>
      </c>
      <c r="J96">
        <v>86</v>
      </c>
      <c r="K96">
        <v>1</v>
      </c>
      <c r="L96">
        <v>1</v>
      </c>
      <c r="M96">
        <v>10</v>
      </c>
      <c r="N96">
        <v>0</v>
      </c>
      <c r="O96">
        <v>6</v>
      </c>
      <c r="P96">
        <v>30</v>
      </c>
      <c r="Q96">
        <v>34</v>
      </c>
      <c r="R96">
        <v>1</v>
      </c>
      <c r="S96">
        <v>0</v>
      </c>
      <c r="T96">
        <v>20</v>
      </c>
      <c r="U96">
        <v>0</v>
      </c>
      <c r="V96">
        <v>40</v>
      </c>
      <c r="W96">
        <v>20</v>
      </c>
      <c r="X96">
        <v>40</v>
      </c>
      <c r="Y96">
        <v>41</v>
      </c>
      <c r="Z96">
        <v>0</v>
      </c>
      <c r="AA96">
        <v>0</v>
      </c>
      <c r="AB96">
        <v>27</v>
      </c>
      <c r="AC96">
        <v>71</v>
      </c>
      <c r="AD96">
        <v>11</v>
      </c>
    </row>
    <row r="97" spans="1:30" x14ac:dyDescent="0.3">
      <c r="A97" t="s">
        <v>1042</v>
      </c>
      <c r="B97" t="s">
        <v>489</v>
      </c>
      <c r="C97" t="s">
        <v>1347</v>
      </c>
      <c r="D97">
        <v>38</v>
      </c>
      <c r="E97" t="s">
        <v>1406</v>
      </c>
      <c r="F97" t="s">
        <v>1426</v>
      </c>
      <c r="G97" t="s">
        <v>164</v>
      </c>
      <c r="H97" t="s">
        <v>1303</v>
      </c>
      <c r="I97" t="b">
        <v>1</v>
      </c>
      <c r="J97">
        <v>76</v>
      </c>
      <c r="K97">
        <v>1</v>
      </c>
      <c r="L97">
        <v>1</v>
      </c>
      <c r="M97">
        <v>5</v>
      </c>
      <c r="N97">
        <v>0</v>
      </c>
      <c r="O97">
        <v>4</v>
      </c>
      <c r="P97">
        <v>20</v>
      </c>
      <c r="Q97">
        <v>26</v>
      </c>
      <c r="R97">
        <v>3</v>
      </c>
      <c r="S97">
        <v>2</v>
      </c>
      <c r="T97">
        <v>7</v>
      </c>
      <c r="U97">
        <v>10</v>
      </c>
      <c r="V97">
        <v>14</v>
      </c>
      <c r="W97">
        <v>9</v>
      </c>
      <c r="X97">
        <v>24</v>
      </c>
      <c r="Y97">
        <v>27</v>
      </c>
      <c r="Z97">
        <v>5</v>
      </c>
      <c r="AA97">
        <v>1</v>
      </c>
      <c r="AB97">
        <v>16</v>
      </c>
      <c r="AC97">
        <v>47</v>
      </c>
      <c r="AD97">
        <v>11</v>
      </c>
    </row>
    <row r="98" spans="1:30" x14ac:dyDescent="0.3">
      <c r="A98" t="s">
        <v>1042</v>
      </c>
      <c r="B98" t="s">
        <v>489</v>
      </c>
      <c r="C98" t="s">
        <v>1347</v>
      </c>
      <c r="D98">
        <v>38</v>
      </c>
      <c r="E98" t="s">
        <v>1406</v>
      </c>
      <c r="F98" t="s">
        <v>1424</v>
      </c>
      <c r="G98" t="s">
        <v>1409</v>
      </c>
      <c r="H98" t="s">
        <v>1310</v>
      </c>
      <c r="I98" t="b">
        <v>1</v>
      </c>
      <c r="J98">
        <v>76</v>
      </c>
      <c r="K98">
        <v>1</v>
      </c>
      <c r="L98">
        <v>1</v>
      </c>
      <c r="M98">
        <v>5</v>
      </c>
      <c r="N98">
        <v>0</v>
      </c>
      <c r="O98">
        <v>4</v>
      </c>
      <c r="P98">
        <v>20</v>
      </c>
      <c r="Q98">
        <v>26</v>
      </c>
      <c r="R98">
        <v>3</v>
      </c>
      <c r="S98">
        <v>2</v>
      </c>
      <c r="T98">
        <v>7</v>
      </c>
      <c r="U98">
        <v>10</v>
      </c>
      <c r="V98">
        <v>14</v>
      </c>
      <c r="W98">
        <v>9</v>
      </c>
      <c r="X98">
        <v>24</v>
      </c>
      <c r="Y98">
        <v>27</v>
      </c>
      <c r="Z98">
        <v>5</v>
      </c>
      <c r="AA98">
        <v>1</v>
      </c>
      <c r="AB98">
        <v>16</v>
      </c>
      <c r="AC98">
        <v>47</v>
      </c>
      <c r="AD98">
        <v>11</v>
      </c>
    </row>
    <row r="99" spans="1:30" x14ac:dyDescent="0.3">
      <c r="A99" t="s">
        <v>1042</v>
      </c>
      <c r="B99" t="s">
        <v>489</v>
      </c>
      <c r="C99" t="s">
        <v>1347</v>
      </c>
      <c r="D99">
        <v>38</v>
      </c>
      <c r="E99" t="s">
        <v>1406</v>
      </c>
      <c r="F99" t="s">
        <v>1422</v>
      </c>
      <c r="G99" t="s">
        <v>105</v>
      </c>
      <c r="H99" t="s">
        <v>1296</v>
      </c>
      <c r="I99" t="b">
        <v>1</v>
      </c>
      <c r="J99">
        <v>76</v>
      </c>
      <c r="K99">
        <v>1</v>
      </c>
      <c r="L99">
        <v>1</v>
      </c>
      <c r="M99">
        <v>5</v>
      </c>
      <c r="N99">
        <v>0</v>
      </c>
      <c r="O99">
        <v>4</v>
      </c>
      <c r="P99">
        <v>20</v>
      </c>
      <c r="Q99">
        <v>26</v>
      </c>
      <c r="R99">
        <v>3</v>
      </c>
      <c r="S99">
        <v>2</v>
      </c>
      <c r="T99">
        <v>7</v>
      </c>
      <c r="U99">
        <v>10</v>
      </c>
      <c r="V99">
        <v>14</v>
      </c>
      <c r="W99">
        <v>9</v>
      </c>
      <c r="X99">
        <v>24</v>
      </c>
      <c r="Y99">
        <v>27</v>
      </c>
      <c r="Z99">
        <v>5</v>
      </c>
      <c r="AA99">
        <v>1</v>
      </c>
      <c r="AB99">
        <v>16</v>
      </c>
      <c r="AC99">
        <v>47</v>
      </c>
      <c r="AD99">
        <v>11</v>
      </c>
    </row>
    <row r="100" spans="1:30" x14ac:dyDescent="0.3">
      <c r="A100" t="s">
        <v>1042</v>
      </c>
      <c r="B100" t="s">
        <v>489</v>
      </c>
      <c r="C100" t="s">
        <v>1348</v>
      </c>
      <c r="D100">
        <v>39</v>
      </c>
      <c r="E100" t="s">
        <v>1406</v>
      </c>
      <c r="F100" t="s">
        <v>1426</v>
      </c>
      <c r="G100" t="s">
        <v>164</v>
      </c>
      <c r="H100" t="s">
        <v>368</v>
      </c>
      <c r="I100" t="b">
        <v>0</v>
      </c>
      <c r="J100">
        <v>58</v>
      </c>
      <c r="K100">
        <v>0</v>
      </c>
      <c r="L100">
        <v>0</v>
      </c>
      <c r="M100">
        <v>0</v>
      </c>
      <c r="N100">
        <v>0</v>
      </c>
      <c r="O100">
        <v>1</v>
      </c>
      <c r="P100">
        <v>5</v>
      </c>
      <c r="Q100">
        <v>9</v>
      </c>
      <c r="R100">
        <v>0</v>
      </c>
      <c r="S100">
        <v>0</v>
      </c>
      <c r="T100">
        <v>9</v>
      </c>
      <c r="U100">
        <v>0</v>
      </c>
      <c r="V100">
        <v>18</v>
      </c>
      <c r="W100">
        <v>9</v>
      </c>
      <c r="X100">
        <v>18</v>
      </c>
      <c r="Y100">
        <v>18</v>
      </c>
      <c r="Z100">
        <v>0</v>
      </c>
      <c r="AA100">
        <v>0</v>
      </c>
      <c r="AB100">
        <v>10</v>
      </c>
      <c r="AC100">
        <v>23</v>
      </c>
      <c r="AD100">
        <v>4</v>
      </c>
    </row>
    <row r="101" spans="1:30" x14ac:dyDescent="0.3">
      <c r="A101" t="s">
        <v>1042</v>
      </c>
      <c r="B101" t="s">
        <v>489</v>
      </c>
      <c r="C101" t="s">
        <v>1348</v>
      </c>
      <c r="D101">
        <v>39</v>
      </c>
      <c r="E101" t="s">
        <v>1406</v>
      </c>
      <c r="F101" t="s">
        <v>1424</v>
      </c>
      <c r="G101" t="s">
        <v>1409</v>
      </c>
      <c r="H101" t="s">
        <v>1282</v>
      </c>
      <c r="I101" t="b">
        <v>0</v>
      </c>
      <c r="J101">
        <v>58</v>
      </c>
      <c r="K101">
        <v>0</v>
      </c>
      <c r="L101">
        <v>0</v>
      </c>
      <c r="M101">
        <v>0</v>
      </c>
      <c r="N101">
        <v>0</v>
      </c>
      <c r="O101">
        <v>1</v>
      </c>
      <c r="P101">
        <v>5</v>
      </c>
      <c r="Q101">
        <v>9</v>
      </c>
      <c r="R101">
        <v>0</v>
      </c>
      <c r="S101">
        <v>0</v>
      </c>
      <c r="T101">
        <v>9</v>
      </c>
      <c r="U101">
        <v>0</v>
      </c>
      <c r="V101">
        <v>18</v>
      </c>
      <c r="W101">
        <v>9</v>
      </c>
      <c r="X101">
        <v>18</v>
      </c>
      <c r="Y101">
        <v>18</v>
      </c>
      <c r="Z101">
        <v>0</v>
      </c>
      <c r="AA101">
        <v>0</v>
      </c>
      <c r="AB101">
        <v>10</v>
      </c>
      <c r="AC101">
        <v>23</v>
      </c>
      <c r="AD101">
        <v>4</v>
      </c>
    </row>
    <row r="102" spans="1:30" x14ac:dyDescent="0.3">
      <c r="A102" t="s">
        <v>1042</v>
      </c>
      <c r="B102" t="s">
        <v>489</v>
      </c>
      <c r="C102" t="s">
        <v>1348</v>
      </c>
      <c r="D102">
        <v>39</v>
      </c>
      <c r="E102" t="s">
        <v>1406</v>
      </c>
      <c r="F102" t="s">
        <v>1422</v>
      </c>
      <c r="G102" t="s">
        <v>105</v>
      </c>
      <c r="H102" t="s">
        <v>1300</v>
      </c>
      <c r="I102" t="b">
        <v>0</v>
      </c>
      <c r="J102">
        <v>58</v>
      </c>
      <c r="K102">
        <v>0</v>
      </c>
      <c r="L102">
        <v>0</v>
      </c>
      <c r="M102">
        <v>0</v>
      </c>
      <c r="N102">
        <v>0</v>
      </c>
      <c r="O102">
        <v>1</v>
      </c>
      <c r="P102">
        <v>5</v>
      </c>
      <c r="Q102">
        <v>9</v>
      </c>
      <c r="R102">
        <v>0</v>
      </c>
      <c r="S102">
        <v>0</v>
      </c>
      <c r="T102">
        <v>9</v>
      </c>
      <c r="U102">
        <v>0</v>
      </c>
      <c r="V102">
        <v>18</v>
      </c>
      <c r="W102">
        <v>9</v>
      </c>
      <c r="X102">
        <v>18</v>
      </c>
      <c r="Y102">
        <v>18</v>
      </c>
      <c r="Z102">
        <v>0</v>
      </c>
      <c r="AA102">
        <v>0</v>
      </c>
      <c r="AB102">
        <v>10</v>
      </c>
      <c r="AC102">
        <v>23</v>
      </c>
      <c r="AD102">
        <v>4</v>
      </c>
    </row>
    <row r="103" spans="1:30" x14ac:dyDescent="0.3">
      <c r="A103" t="s">
        <v>1042</v>
      </c>
      <c r="B103" t="s">
        <v>489</v>
      </c>
      <c r="C103" t="s">
        <v>1293</v>
      </c>
      <c r="D103">
        <v>4</v>
      </c>
      <c r="E103" t="s">
        <v>1406</v>
      </c>
      <c r="F103" t="s">
        <v>1426</v>
      </c>
      <c r="G103" t="s">
        <v>164</v>
      </c>
      <c r="H103" t="s">
        <v>1297</v>
      </c>
      <c r="I103" t="b">
        <v>1</v>
      </c>
      <c r="J103">
        <v>91</v>
      </c>
      <c r="K103">
        <v>1</v>
      </c>
      <c r="L103">
        <v>1</v>
      </c>
      <c r="M103">
        <v>5</v>
      </c>
      <c r="N103">
        <v>0</v>
      </c>
      <c r="O103">
        <v>7</v>
      </c>
      <c r="P103">
        <v>35</v>
      </c>
      <c r="Q103">
        <v>37</v>
      </c>
      <c r="R103">
        <v>7</v>
      </c>
      <c r="S103">
        <v>5</v>
      </c>
      <c r="T103">
        <v>5</v>
      </c>
      <c r="U103">
        <v>25</v>
      </c>
      <c r="V103">
        <v>10</v>
      </c>
      <c r="W103">
        <v>10</v>
      </c>
      <c r="X103">
        <v>35</v>
      </c>
      <c r="Y103">
        <v>42</v>
      </c>
      <c r="Z103">
        <v>5</v>
      </c>
      <c r="AA103">
        <v>1</v>
      </c>
      <c r="AB103">
        <v>24</v>
      </c>
      <c r="AC103">
        <v>77</v>
      </c>
      <c r="AD103">
        <v>12</v>
      </c>
    </row>
    <row r="104" spans="1:30" x14ac:dyDescent="0.3">
      <c r="A104" t="s">
        <v>1042</v>
      </c>
      <c r="B104" t="s">
        <v>489</v>
      </c>
      <c r="C104" t="s">
        <v>1293</v>
      </c>
      <c r="D104">
        <v>4</v>
      </c>
      <c r="E104" t="s">
        <v>1406</v>
      </c>
      <c r="F104" t="s">
        <v>1424</v>
      </c>
      <c r="G104" t="s">
        <v>1409</v>
      </c>
      <c r="H104" t="s">
        <v>360</v>
      </c>
      <c r="I104" t="b">
        <v>1</v>
      </c>
      <c r="J104">
        <v>91</v>
      </c>
      <c r="K104">
        <v>1</v>
      </c>
      <c r="L104">
        <v>1</v>
      </c>
      <c r="M104">
        <v>5</v>
      </c>
      <c r="N104">
        <v>0</v>
      </c>
      <c r="O104">
        <v>7</v>
      </c>
      <c r="P104">
        <v>35</v>
      </c>
      <c r="Q104">
        <v>37</v>
      </c>
      <c r="R104">
        <v>7</v>
      </c>
      <c r="S104">
        <v>5</v>
      </c>
      <c r="T104">
        <v>5</v>
      </c>
      <c r="U104">
        <v>25</v>
      </c>
      <c r="V104">
        <v>10</v>
      </c>
      <c r="W104">
        <v>10</v>
      </c>
      <c r="X104">
        <v>35</v>
      </c>
      <c r="Y104">
        <v>42</v>
      </c>
      <c r="Z104">
        <v>5</v>
      </c>
      <c r="AA104">
        <v>1</v>
      </c>
      <c r="AB104">
        <v>24</v>
      </c>
      <c r="AC104">
        <v>77</v>
      </c>
      <c r="AD104">
        <v>12</v>
      </c>
    </row>
    <row r="105" spans="1:30" x14ac:dyDescent="0.3">
      <c r="A105" t="s">
        <v>1042</v>
      </c>
      <c r="B105" t="s">
        <v>489</v>
      </c>
      <c r="C105" t="s">
        <v>1293</v>
      </c>
      <c r="D105">
        <v>4</v>
      </c>
      <c r="E105" t="s">
        <v>1406</v>
      </c>
      <c r="F105" t="s">
        <v>1422</v>
      </c>
      <c r="G105" t="s">
        <v>105</v>
      </c>
      <c r="H105" t="s">
        <v>1298</v>
      </c>
      <c r="I105" t="b">
        <v>1</v>
      </c>
      <c r="J105">
        <v>91</v>
      </c>
      <c r="K105">
        <v>1</v>
      </c>
      <c r="L105">
        <v>1</v>
      </c>
      <c r="M105">
        <v>5</v>
      </c>
      <c r="N105">
        <v>0</v>
      </c>
      <c r="O105">
        <v>7</v>
      </c>
      <c r="P105">
        <v>35</v>
      </c>
      <c r="Q105">
        <v>37</v>
      </c>
      <c r="R105">
        <v>7</v>
      </c>
      <c r="S105">
        <v>5</v>
      </c>
      <c r="T105">
        <v>5</v>
      </c>
      <c r="U105">
        <v>25</v>
      </c>
      <c r="V105">
        <v>10</v>
      </c>
      <c r="W105">
        <v>10</v>
      </c>
      <c r="X105">
        <v>35</v>
      </c>
      <c r="Y105">
        <v>42</v>
      </c>
      <c r="Z105">
        <v>5</v>
      </c>
      <c r="AA105">
        <v>1</v>
      </c>
      <c r="AB105">
        <v>24</v>
      </c>
      <c r="AC105">
        <v>77</v>
      </c>
      <c r="AD105">
        <v>12</v>
      </c>
    </row>
    <row r="106" spans="1:30" x14ac:dyDescent="0.3">
      <c r="A106" t="s">
        <v>1042</v>
      </c>
      <c r="B106" t="s">
        <v>489</v>
      </c>
      <c r="C106" t="s">
        <v>1349</v>
      </c>
      <c r="D106">
        <v>40</v>
      </c>
      <c r="E106" t="s">
        <v>1406</v>
      </c>
      <c r="F106" t="s">
        <v>1426</v>
      </c>
      <c r="G106" t="s">
        <v>164</v>
      </c>
      <c r="H106" t="s">
        <v>372</v>
      </c>
      <c r="I106" t="b">
        <v>1</v>
      </c>
      <c r="J106">
        <v>70</v>
      </c>
      <c r="K106">
        <v>1</v>
      </c>
      <c r="L106">
        <v>0</v>
      </c>
      <c r="M106">
        <v>5</v>
      </c>
      <c r="N106">
        <v>0</v>
      </c>
      <c r="O106">
        <v>5</v>
      </c>
      <c r="P106">
        <v>25</v>
      </c>
      <c r="Q106">
        <v>29</v>
      </c>
      <c r="R106">
        <v>3</v>
      </c>
      <c r="S106">
        <v>1</v>
      </c>
      <c r="T106">
        <v>7</v>
      </c>
      <c r="U106">
        <v>5</v>
      </c>
      <c r="V106">
        <v>14</v>
      </c>
      <c r="W106">
        <v>8</v>
      </c>
      <c r="X106">
        <v>19</v>
      </c>
      <c r="Y106">
        <v>22</v>
      </c>
      <c r="Z106">
        <v>0</v>
      </c>
      <c r="AA106">
        <v>0</v>
      </c>
      <c r="AB106">
        <v>16</v>
      </c>
      <c r="AC106">
        <v>47</v>
      </c>
      <c r="AD106">
        <v>9</v>
      </c>
    </row>
    <row r="107" spans="1:30" x14ac:dyDescent="0.3">
      <c r="A107" t="s">
        <v>1042</v>
      </c>
      <c r="B107" t="s">
        <v>489</v>
      </c>
      <c r="C107" t="s">
        <v>1349</v>
      </c>
      <c r="D107">
        <v>40</v>
      </c>
      <c r="E107" t="s">
        <v>1406</v>
      </c>
      <c r="F107" t="s">
        <v>1424</v>
      </c>
      <c r="G107" t="s">
        <v>1409</v>
      </c>
      <c r="H107" t="s">
        <v>364</v>
      </c>
      <c r="I107" t="b">
        <v>1</v>
      </c>
      <c r="J107">
        <v>70</v>
      </c>
      <c r="K107">
        <v>1</v>
      </c>
      <c r="L107">
        <v>0</v>
      </c>
      <c r="M107">
        <v>5</v>
      </c>
      <c r="N107">
        <v>0</v>
      </c>
      <c r="O107">
        <v>5</v>
      </c>
      <c r="P107">
        <v>25</v>
      </c>
      <c r="Q107">
        <v>29</v>
      </c>
      <c r="R107">
        <v>3</v>
      </c>
      <c r="S107">
        <v>1</v>
      </c>
      <c r="T107">
        <v>7</v>
      </c>
      <c r="U107">
        <v>5</v>
      </c>
      <c r="V107">
        <v>14</v>
      </c>
      <c r="W107">
        <v>8</v>
      </c>
      <c r="X107">
        <v>19</v>
      </c>
      <c r="Y107">
        <v>22</v>
      </c>
      <c r="Z107">
        <v>0</v>
      </c>
      <c r="AA107">
        <v>0</v>
      </c>
      <c r="AB107">
        <v>16</v>
      </c>
      <c r="AC107">
        <v>47</v>
      </c>
      <c r="AD107">
        <v>9</v>
      </c>
    </row>
    <row r="108" spans="1:30" x14ac:dyDescent="0.3">
      <c r="A108" t="s">
        <v>1042</v>
      </c>
      <c r="B108" t="s">
        <v>489</v>
      </c>
      <c r="C108" t="s">
        <v>1349</v>
      </c>
      <c r="D108">
        <v>40</v>
      </c>
      <c r="E108" t="s">
        <v>1406</v>
      </c>
      <c r="F108" t="s">
        <v>1422</v>
      </c>
      <c r="G108" t="s">
        <v>105</v>
      </c>
      <c r="H108" t="s">
        <v>1301</v>
      </c>
      <c r="I108" t="b">
        <v>1</v>
      </c>
      <c r="J108">
        <v>70</v>
      </c>
      <c r="K108">
        <v>1</v>
      </c>
      <c r="L108">
        <v>0</v>
      </c>
      <c r="M108">
        <v>5</v>
      </c>
      <c r="N108">
        <v>0</v>
      </c>
      <c r="O108">
        <v>5</v>
      </c>
      <c r="P108">
        <v>25</v>
      </c>
      <c r="Q108">
        <v>29</v>
      </c>
      <c r="R108">
        <v>3</v>
      </c>
      <c r="S108">
        <v>1</v>
      </c>
      <c r="T108">
        <v>7</v>
      </c>
      <c r="U108">
        <v>5</v>
      </c>
      <c r="V108">
        <v>14</v>
      </c>
      <c r="W108">
        <v>8</v>
      </c>
      <c r="X108">
        <v>19</v>
      </c>
      <c r="Y108">
        <v>22</v>
      </c>
      <c r="Z108">
        <v>0</v>
      </c>
      <c r="AA108">
        <v>0</v>
      </c>
      <c r="AB108">
        <v>16</v>
      </c>
      <c r="AC108">
        <v>47</v>
      </c>
      <c r="AD108">
        <v>9</v>
      </c>
    </row>
    <row r="109" spans="1:30" x14ac:dyDescent="0.3">
      <c r="A109" t="s">
        <v>1042</v>
      </c>
      <c r="B109" t="s">
        <v>489</v>
      </c>
      <c r="C109" t="s">
        <v>1350</v>
      </c>
      <c r="D109">
        <v>41</v>
      </c>
      <c r="E109" t="s">
        <v>1406</v>
      </c>
      <c r="F109" t="s">
        <v>1426</v>
      </c>
      <c r="G109" t="s">
        <v>164</v>
      </c>
      <c r="H109" t="s">
        <v>367</v>
      </c>
      <c r="I109" t="b">
        <v>1</v>
      </c>
      <c r="J109">
        <v>74</v>
      </c>
      <c r="K109">
        <v>1</v>
      </c>
      <c r="L109">
        <v>0</v>
      </c>
      <c r="M109">
        <v>2</v>
      </c>
      <c r="N109">
        <v>0</v>
      </c>
      <c r="O109">
        <v>4</v>
      </c>
      <c r="P109">
        <v>20</v>
      </c>
      <c r="Q109">
        <v>26</v>
      </c>
      <c r="R109">
        <v>6</v>
      </c>
      <c r="S109">
        <v>4</v>
      </c>
      <c r="T109">
        <v>5</v>
      </c>
      <c r="U109">
        <v>20</v>
      </c>
      <c r="V109">
        <v>10</v>
      </c>
      <c r="W109">
        <v>9</v>
      </c>
      <c r="X109">
        <v>30</v>
      </c>
      <c r="Y109">
        <v>36</v>
      </c>
      <c r="Z109">
        <v>0</v>
      </c>
      <c r="AA109">
        <v>0</v>
      </c>
      <c r="AB109">
        <v>19</v>
      </c>
      <c r="AC109">
        <v>56</v>
      </c>
      <c r="AD109">
        <v>3</v>
      </c>
    </row>
    <row r="110" spans="1:30" x14ac:dyDescent="0.3">
      <c r="A110" t="s">
        <v>1042</v>
      </c>
      <c r="B110" t="s">
        <v>489</v>
      </c>
      <c r="C110" t="s">
        <v>1350</v>
      </c>
      <c r="D110">
        <v>41</v>
      </c>
      <c r="E110" t="s">
        <v>1406</v>
      </c>
      <c r="F110" t="s">
        <v>1424</v>
      </c>
      <c r="G110" t="s">
        <v>1409</v>
      </c>
      <c r="H110" t="s">
        <v>1315</v>
      </c>
      <c r="I110" t="b">
        <v>1</v>
      </c>
      <c r="J110">
        <v>74</v>
      </c>
      <c r="K110">
        <v>1</v>
      </c>
      <c r="L110">
        <v>0</v>
      </c>
      <c r="M110">
        <v>2</v>
      </c>
      <c r="N110">
        <v>0</v>
      </c>
      <c r="O110">
        <v>4</v>
      </c>
      <c r="P110">
        <v>20</v>
      </c>
      <c r="Q110">
        <v>26</v>
      </c>
      <c r="R110">
        <v>6</v>
      </c>
      <c r="S110">
        <v>4</v>
      </c>
      <c r="T110">
        <v>5</v>
      </c>
      <c r="U110">
        <v>20</v>
      </c>
      <c r="V110">
        <v>10</v>
      </c>
      <c r="W110">
        <v>9</v>
      </c>
      <c r="X110">
        <v>30</v>
      </c>
      <c r="Y110">
        <v>36</v>
      </c>
      <c r="Z110">
        <v>0</v>
      </c>
      <c r="AA110">
        <v>0</v>
      </c>
      <c r="AB110">
        <v>19</v>
      </c>
      <c r="AC110">
        <v>56</v>
      </c>
      <c r="AD110">
        <v>3</v>
      </c>
    </row>
    <row r="111" spans="1:30" x14ac:dyDescent="0.3">
      <c r="A111" t="s">
        <v>1042</v>
      </c>
      <c r="B111" t="s">
        <v>489</v>
      </c>
      <c r="C111" t="s">
        <v>1350</v>
      </c>
      <c r="D111">
        <v>41</v>
      </c>
      <c r="E111" t="s">
        <v>1406</v>
      </c>
      <c r="F111" t="s">
        <v>1422</v>
      </c>
      <c r="G111" t="s">
        <v>105</v>
      </c>
      <c r="H111" t="s">
        <v>1295</v>
      </c>
      <c r="I111" t="b">
        <v>1</v>
      </c>
      <c r="J111">
        <v>74</v>
      </c>
      <c r="K111">
        <v>1</v>
      </c>
      <c r="L111">
        <v>0</v>
      </c>
      <c r="M111">
        <v>2</v>
      </c>
      <c r="N111">
        <v>0</v>
      </c>
      <c r="O111">
        <v>4</v>
      </c>
      <c r="P111">
        <v>20</v>
      </c>
      <c r="Q111">
        <v>26</v>
      </c>
      <c r="R111">
        <v>6</v>
      </c>
      <c r="S111">
        <v>4</v>
      </c>
      <c r="T111">
        <v>5</v>
      </c>
      <c r="U111">
        <v>20</v>
      </c>
      <c r="V111">
        <v>10</v>
      </c>
      <c r="W111">
        <v>9</v>
      </c>
      <c r="X111">
        <v>30</v>
      </c>
      <c r="Y111">
        <v>36</v>
      </c>
      <c r="Z111">
        <v>0</v>
      </c>
      <c r="AA111">
        <v>0</v>
      </c>
      <c r="AB111">
        <v>19</v>
      </c>
      <c r="AC111">
        <v>56</v>
      </c>
      <c r="AD111">
        <v>3</v>
      </c>
    </row>
    <row r="112" spans="1:30" x14ac:dyDescent="0.3">
      <c r="A112" t="s">
        <v>1042</v>
      </c>
      <c r="B112" t="s">
        <v>489</v>
      </c>
      <c r="C112" t="s">
        <v>1351</v>
      </c>
      <c r="D112">
        <v>42</v>
      </c>
      <c r="E112" t="s">
        <v>1406</v>
      </c>
      <c r="F112" t="s">
        <v>1426</v>
      </c>
      <c r="G112" t="s">
        <v>164</v>
      </c>
      <c r="H112" t="s">
        <v>1278</v>
      </c>
      <c r="I112" t="b">
        <v>0</v>
      </c>
      <c r="J112">
        <v>30</v>
      </c>
      <c r="K112">
        <v>0</v>
      </c>
      <c r="L112">
        <v>0</v>
      </c>
      <c r="M112">
        <v>10</v>
      </c>
      <c r="N112">
        <v>0</v>
      </c>
      <c r="O112">
        <v>2</v>
      </c>
      <c r="P112">
        <v>10</v>
      </c>
      <c r="Q112">
        <v>12</v>
      </c>
      <c r="R112">
        <v>0</v>
      </c>
      <c r="S112">
        <v>0</v>
      </c>
      <c r="T112">
        <v>6</v>
      </c>
      <c r="U112">
        <v>0</v>
      </c>
      <c r="V112">
        <v>12</v>
      </c>
      <c r="W112">
        <v>6</v>
      </c>
      <c r="X112">
        <v>12</v>
      </c>
      <c r="Y112">
        <v>12</v>
      </c>
      <c r="Z112">
        <v>0</v>
      </c>
      <c r="AA112">
        <v>0</v>
      </c>
      <c r="AB112">
        <v>8</v>
      </c>
      <c r="AC112">
        <v>22</v>
      </c>
      <c r="AD112">
        <v>4</v>
      </c>
    </row>
    <row r="113" spans="1:30" x14ac:dyDescent="0.3">
      <c r="A113" t="s">
        <v>1042</v>
      </c>
      <c r="B113" t="s">
        <v>489</v>
      </c>
      <c r="C113" t="s">
        <v>1351</v>
      </c>
      <c r="D113">
        <v>42</v>
      </c>
      <c r="E113" t="s">
        <v>1406</v>
      </c>
      <c r="F113" t="s">
        <v>1424</v>
      </c>
      <c r="G113" t="s">
        <v>1409</v>
      </c>
      <c r="H113" t="s">
        <v>1306</v>
      </c>
      <c r="I113" t="b">
        <v>0</v>
      </c>
      <c r="J113">
        <v>30</v>
      </c>
      <c r="K113">
        <v>0</v>
      </c>
      <c r="L113">
        <v>0</v>
      </c>
      <c r="M113">
        <v>10</v>
      </c>
      <c r="N113">
        <v>0</v>
      </c>
      <c r="O113">
        <v>2</v>
      </c>
      <c r="P113">
        <v>10</v>
      </c>
      <c r="Q113">
        <v>12</v>
      </c>
      <c r="R113">
        <v>0</v>
      </c>
      <c r="S113">
        <v>0</v>
      </c>
      <c r="T113">
        <v>6</v>
      </c>
      <c r="U113">
        <v>0</v>
      </c>
      <c r="V113">
        <v>12</v>
      </c>
      <c r="W113">
        <v>6</v>
      </c>
      <c r="X113">
        <v>12</v>
      </c>
      <c r="Y113">
        <v>12</v>
      </c>
      <c r="Z113">
        <v>0</v>
      </c>
      <c r="AA113">
        <v>0</v>
      </c>
      <c r="AB113">
        <v>8</v>
      </c>
      <c r="AC113">
        <v>22</v>
      </c>
      <c r="AD113">
        <v>4</v>
      </c>
    </row>
    <row r="114" spans="1:30" x14ac:dyDescent="0.3">
      <c r="A114" t="s">
        <v>1042</v>
      </c>
      <c r="B114" t="s">
        <v>489</v>
      </c>
      <c r="C114" t="s">
        <v>1351</v>
      </c>
      <c r="D114">
        <v>42</v>
      </c>
      <c r="E114" t="s">
        <v>1406</v>
      </c>
      <c r="F114" t="s">
        <v>1422</v>
      </c>
      <c r="G114" t="s">
        <v>105</v>
      </c>
      <c r="H114" t="s">
        <v>1294</v>
      </c>
      <c r="I114" t="b">
        <v>0</v>
      </c>
      <c r="J114">
        <v>30</v>
      </c>
      <c r="K114">
        <v>0</v>
      </c>
      <c r="L114">
        <v>0</v>
      </c>
      <c r="M114">
        <v>10</v>
      </c>
      <c r="N114">
        <v>0</v>
      </c>
      <c r="O114">
        <v>2</v>
      </c>
      <c r="P114">
        <v>10</v>
      </c>
      <c r="Q114">
        <v>12</v>
      </c>
      <c r="R114">
        <v>0</v>
      </c>
      <c r="S114">
        <v>0</v>
      </c>
      <c r="T114">
        <v>6</v>
      </c>
      <c r="U114">
        <v>0</v>
      </c>
      <c r="V114">
        <v>12</v>
      </c>
      <c r="W114">
        <v>6</v>
      </c>
      <c r="X114">
        <v>12</v>
      </c>
      <c r="Y114">
        <v>12</v>
      </c>
      <c r="Z114">
        <v>0</v>
      </c>
      <c r="AA114">
        <v>0</v>
      </c>
      <c r="AB114">
        <v>8</v>
      </c>
      <c r="AC114">
        <v>22</v>
      </c>
      <c r="AD114">
        <v>4</v>
      </c>
    </row>
    <row r="115" spans="1:30" x14ac:dyDescent="0.3">
      <c r="A115" t="s">
        <v>1042</v>
      </c>
      <c r="B115" t="s">
        <v>489</v>
      </c>
      <c r="C115" t="s">
        <v>1352</v>
      </c>
      <c r="D115">
        <v>43</v>
      </c>
      <c r="E115" t="s">
        <v>1406</v>
      </c>
      <c r="F115" t="s">
        <v>1426</v>
      </c>
      <c r="G115" t="s">
        <v>164</v>
      </c>
      <c r="H115" t="s">
        <v>1289</v>
      </c>
      <c r="I115" t="b">
        <v>0</v>
      </c>
      <c r="J115">
        <v>53</v>
      </c>
      <c r="K115">
        <v>0</v>
      </c>
      <c r="L115">
        <v>1</v>
      </c>
      <c r="M115">
        <v>5</v>
      </c>
      <c r="N115">
        <v>0</v>
      </c>
      <c r="O115">
        <v>2</v>
      </c>
      <c r="P115">
        <v>10</v>
      </c>
      <c r="Q115">
        <v>14</v>
      </c>
      <c r="R115">
        <v>0</v>
      </c>
      <c r="S115">
        <v>0</v>
      </c>
      <c r="T115">
        <v>12</v>
      </c>
      <c r="U115">
        <v>0</v>
      </c>
      <c r="V115">
        <v>24</v>
      </c>
      <c r="W115">
        <v>12</v>
      </c>
      <c r="X115">
        <v>24</v>
      </c>
      <c r="Y115">
        <v>24</v>
      </c>
      <c r="Z115">
        <v>0</v>
      </c>
      <c r="AA115">
        <v>0</v>
      </c>
      <c r="AB115">
        <v>14</v>
      </c>
      <c r="AC115">
        <v>34</v>
      </c>
      <c r="AD115">
        <v>3</v>
      </c>
    </row>
    <row r="116" spans="1:30" x14ac:dyDescent="0.3">
      <c r="A116" t="s">
        <v>1042</v>
      </c>
      <c r="B116" t="s">
        <v>489</v>
      </c>
      <c r="C116" t="s">
        <v>1352</v>
      </c>
      <c r="D116">
        <v>43</v>
      </c>
      <c r="E116" t="s">
        <v>1406</v>
      </c>
      <c r="F116" t="s">
        <v>1424</v>
      </c>
      <c r="G116" t="s">
        <v>1409</v>
      </c>
      <c r="H116" t="s">
        <v>363</v>
      </c>
      <c r="I116" t="b">
        <v>0</v>
      </c>
      <c r="J116">
        <v>53</v>
      </c>
      <c r="K116">
        <v>0</v>
      </c>
      <c r="L116">
        <v>1</v>
      </c>
      <c r="M116">
        <v>5</v>
      </c>
      <c r="N116">
        <v>0</v>
      </c>
      <c r="O116">
        <v>2</v>
      </c>
      <c r="P116">
        <v>10</v>
      </c>
      <c r="Q116">
        <v>14</v>
      </c>
      <c r="R116">
        <v>0</v>
      </c>
      <c r="S116">
        <v>0</v>
      </c>
      <c r="T116">
        <v>12</v>
      </c>
      <c r="U116">
        <v>0</v>
      </c>
      <c r="V116">
        <v>24</v>
      </c>
      <c r="W116">
        <v>12</v>
      </c>
      <c r="X116">
        <v>24</v>
      </c>
      <c r="Y116">
        <v>24</v>
      </c>
      <c r="Z116">
        <v>0</v>
      </c>
      <c r="AA116">
        <v>0</v>
      </c>
      <c r="AB116">
        <v>14</v>
      </c>
      <c r="AC116">
        <v>34</v>
      </c>
      <c r="AD116">
        <v>3</v>
      </c>
    </row>
    <row r="117" spans="1:30" x14ac:dyDescent="0.3">
      <c r="A117" t="s">
        <v>1042</v>
      </c>
      <c r="B117" t="s">
        <v>489</v>
      </c>
      <c r="C117" t="s">
        <v>1352</v>
      </c>
      <c r="D117">
        <v>43</v>
      </c>
      <c r="E117" t="s">
        <v>1406</v>
      </c>
      <c r="F117" t="s">
        <v>1422</v>
      </c>
      <c r="G117" t="s">
        <v>105</v>
      </c>
      <c r="H117" t="s">
        <v>371</v>
      </c>
      <c r="I117" t="b">
        <v>0</v>
      </c>
      <c r="J117">
        <v>53</v>
      </c>
      <c r="K117">
        <v>0</v>
      </c>
      <c r="L117">
        <v>1</v>
      </c>
      <c r="M117">
        <v>5</v>
      </c>
      <c r="N117">
        <v>0</v>
      </c>
      <c r="O117">
        <v>2</v>
      </c>
      <c r="P117">
        <v>10</v>
      </c>
      <c r="Q117">
        <v>14</v>
      </c>
      <c r="R117">
        <v>0</v>
      </c>
      <c r="S117">
        <v>0</v>
      </c>
      <c r="T117">
        <v>12</v>
      </c>
      <c r="U117">
        <v>0</v>
      </c>
      <c r="V117">
        <v>24</v>
      </c>
      <c r="W117">
        <v>12</v>
      </c>
      <c r="X117">
        <v>24</v>
      </c>
      <c r="Y117">
        <v>24</v>
      </c>
      <c r="Z117">
        <v>0</v>
      </c>
      <c r="AA117">
        <v>0</v>
      </c>
      <c r="AB117">
        <v>14</v>
      </c>
      <c r="AC117">
        <v>34</v>
      </c>
      <c r="AD117">
        <v>3</v>
      </c>
    </row>
    <row r="118" spans="1:30" x14ac:dyDescent="0.3">
      <c r="A118" t="s">
        <v>1042</v>
      </c>
      <c r="B118" t="s">
        <v>489</v>
      </c>
      <c r="C118" t="s">
        <v>1353</v>
      </c>
      <c r="D118">
        <v>44</v>
      </c>
      <c r="E118" t="s">
        <v>1406</v>
      </c>
      <c r="F118" t="s">
        <v>1426</v>
      </c>
      <c r="G118" t="s">
        <v>164</v>
      </c>
      <c r="H118" t="s">
        <v>1286</v>
      </c>
      <c r="I118" t="b">
        <v>0</v>
      </c>
      <c r="J118">
        <v>92</v>
      </c>
      <c r="K118">
        <v>1</v>
      </c>
      <c r="L118">
        <v>1</v>
      </c>
      <c r="M118">
        <v>7</v>
      </c>
      <c r="N118">
        <v>0</v>
      </c>
      <c r="O118">
        <v>5</v>
      </c>
      <c r="P118">
        <v>25</v>
      </c>
      <c r="Q118">
        <v>29</v>
      </c>
      <c r="R118">
        <v>3</v>
      </c>
      <c r="S118">
        <v>3</v>
      </c>
      <c r="T118">
        <v>13</v>
      </c>
      <c r="U118">
        <v>15</v>
      </c>
      <c r="V118">
        <v>26</v>
      </c>
      <c r="W118">
        <v>16</v>
      </c>
      <c r="X118">
        <v>41</v>
      </c>
      <c r="Y118">
        <v>44</v>
      </c>
      <c r="Z118">
        <v>0</v>
      </c>
      <c r="AA118">
        <v>0</v>
      </c>
      <c r="AB118">
        <v>24</v>
      </c>
      <c r="AC118">
        <v>69</v>
      </c>
      <c r="AD118">
        <v>11</v>
      </c>
    </row>
    <row r="119" spans="1:30" x14ac:dyDescent="0.3">
      <c r="A119" t="s">
        <v>1042</v>
      </c>
      <c r="B119" t="s">
        <v>489</v>
      </c>
      <c r="C119" t="s">
        <v>1353</v>
      </c>
      <c r="D119">
        <v>44</v>
      </c>
      <c r="E119" t="s">
        <v>1406</v>
      </c>
      <c r="F119" t="s">
        <v>1424</v>
      </c>
      <c r="G119" t="s">
        <v>1409</v>
      </c>
      <c r="H119" t="s">
        <v>1298</v>
      </c>
      <c r="I119" t="b">
        <v>0</v>
      </c>
      <c r="J119">
        <v>92</v>
      </c>
      <c r="K119">
        <v>1</v>
      </c>
      <c r="L119">
        <v>1</v>
      </c>
      <c r="M119">
        <v>7</v>
      </c>
      <c r="N119">
        <v>0</v>
      </c>
      <c r="O119">
        <v>5</v>
      </c>
      <c r="P119">
        <v>25</v>
      </c>
      <c r="Q119">
        <v>29</v>
      </c>
      <c r="R119">
        <v>3</v>
      </c>
      <c r="S119">
        <v>3</v>
      </c>
      <c r="T119">
        <v>13</v>
      </c>
      <c r="U119">
        <v>15</v>
      </c>
      <c r="V119">
        <v>26</v>
      </c>
      <c r="W119">
        <v>16</v>
      </c>
      <c r="X119">
        <v>41</v>
      </c>
      <c r="Y119">
        <v>44</v>
      </c>
      <c r="Z119">
        <v>0</v>
      </c>
      <c r="AA119">
        <v>0</v>
      </c>
      <c r="AB119">
        <v>24</v>
      </c>
      <c r="AC119">
        <v>69</v>
      </c>
      <c r="AD119">
        <v>11</v>
      </c>
    </row>
    <row r="120" spans="1:30" x14ac:dyDescent="0.3">
      <c r="A120" t="s">
        <v>1042</v>
      </c>
      <c r="B120" t="s">
        <v>489</v>
      </c>
      <c r="C120" t="s">
        <v>1353</v>
      </c>
      <c r="D120">
        <v>44</v>
      </c>
      <c r="E120" t="s">
        <v>1406</v>
      </c>
      <c r="F120" t="s">
        <v>1422</v>
      </c>
      <c r="G120" t="s">
        <v>105</v>
      </c>
      <c r="H120" t="s">
        <v>361</v>
      </c>
      <c r="I120" t="b">
        <v>0</v>
      </c>
      <c r="J120">
        <v>92</v>
      </c>
      <c r="K120">
        <v>1</v>
      </c>
      <c r="L120">
        <v>1</v>
      </c>
      <c r="M120">
        <v>7</v>
      </c>
      <c r="N120">
        <v>0</v>
      </c>
      <c r="O120">
        <v>5</v>
      </c>
      <c r="P120">
        <v>25</v>
      </c>
      <c r="Q120">
        <v>29</v>
      </c>
      <c r="R120">
        <v>3</v>
      </c>
      <c r="S120">
        <v>3</v>
      </c>
      <c r="T120">
        <v>13</v>
      </c>
      <c r="U120">
        <v>15</v>
      </c>
      <c r="V120">
        <v>26</v>
      </c>
      <c r="W120">
        <v>16</v>
      </c>
      <c r="X120">
        <v>41</v>
      </c>
      <c r="Y120">
        <v>44</v>
      </c>
      <c r="Z120">
        <v>0</v>
      </c>
      <c r="AA120">
        <v>0</v>
      </c>
      <c r="AB120">
        <v>24</v>
      </c>
      <c r="AC120">
        <v>69</v>
      </c>
      <c r="AD120">
        <v>11</v>
      </c>
    </row>
    <row r="121" spans="1:30" x14ac:dyDescent="0.3">
      <c r="A121" t="s">
        <v>1042</v>
      </c>
      <c r="B121" t="s">
        <v>489</v>
      </c>
      <c r="C121" t="s">
        <v>1354</v>
      </c>
      <c r="D121">
        <v>45</v>
      </c>
      <c r="E121" t="s">
        <v>1406</v>
      </c>
      <c r="F121" t="s">
        <v>1426</v>
      </c>
      <c r="G121" t="s">
        <v>164</v>
      </c>
      <c r="H121" t="s">
        <v>373</v>
      </c>
      <c r="I121" t="b">
        <v>1</v>
      </c>
      <c r="J121">
        <v>52</v>
      </c>
      <c r="K121">
        <v>0</v>
      </c>
      <c r="L121">
        <v>0</v>
      </c>
      <c r="M121">
        <v>7</v>
      </c>
      <c r="N121">
        <v>0</v>
      </c>
      <c r="O121">
        <v>4</v>
      </c>
      <c r="P121">
        <v>20</v>
      </c>
      <c r="Q121">
        <v>26</v>
      </c>
      <c r="R121">
        <v>5</v>
      </c>
      <c r="S121">
        <v>2</v>
      </c>
      <c r="T121">
        <v>2</v>
      </c>
      <c r="U121">
        <v>10</v>
      </c>
      <c r="V121">
        <v>4</v>
      </c>
      <c r="W121">
        <v>4</v>
      </c>
      <c r="X121">
        <v>14</v>
      </c>
      <c r="Y121">
        <v>19</v>
      </c>
      <c r="Z121">
        <v>0</v>
      </c>
      <c r="AA121">
        <v>0</v>
      </c>
      <c r="AB121">
        <v>13</v>
      </c>
      <c r="AC121">
        <v>39</v>
      </c>
      <c r="AD121">
        <v>3</v>
      </c>
    </row>
    <row r="122" spans="1:30" x14ac:dyDescent="0.3">
      <c r="A122" t="s">
        <v>1042</v>
      </c>
      <c r="B122" t="s">
        <v>489</v>
      </c>
      <c r="C122" t="s">
        <v>1354</v>
      </c>
      <c r="D122">
        <v>45</v>
      </c>
      <c r="E122" t="s">
        <v>1406</v>
      </c>
      <c r="F122" t="s">
        <v>1424</v>
      </c>
      <c r="G122" t="s">
        <v>1409</v>
      </c>
      <c r="H122" t="s">
        <v>1277</v>
      </c>
      <c r="I122" t="b">
        <v>1</v>
      </c>
      <c r="J122">
        <v>52</v>
      </c>
      <c r="K122">
        <v>0</v>
      </c>
      <c r="L122">
        <v>0</v>
      </c>
      <c r="M122">
        <v>7</v>
      </c>
      <c r="N122">
        <v>0</v>
      </c>
      <c r="O122">
        <v>4</v>
      </c>
      <c r="P122">
        <v>20</v>
      </c>
      <c r="Q122">
        <v>26</v>
      </c>
      <c r="R122">
        <v>5</v>
      </c>
      <c r="S122">
        <v>2</v>
      </c>
      <c r="T122">
        <v>2</v>
      </c>
      <c r="U122">
        <v>10</v>
      </c>
      <c r="V122">
        <v>4</v>
      </c>
      <c r="W122">
        <v>4</v>
      </c>
      <c r="X122">
        <v>14</v>
      </c>
      <c r="Y122">
        <v>19</v>
      </c>
      <c r="Z122">
        <v>0</v>
      </c>
      <c r="AA122">
        <v>0</v>
      </c>
      <c r="AB122">
        <v>13</v>
      </c>
      <c r="AC122">
        <v>39</v>
      </c>
      <c r="AD122">
        <v>3</v>
      </c>
    </row>
    <row r="123" spans="1:30" x14ac:dyDescent="0.3">
      <c r="A123" t="s">
        <v>1042</v>
      </c>
      <c r="B123" t="s">
        <v>489</v>
      </c>
      <c r="C123" t="s">
        <v>1354</v>
      </c>
      <c r="D123">
        <v>45</v>
      </c>
      <c r="E123" t="s">
        <v>1406</v>
      </c>
      <c r="F123" t="s">
        <v>1422</v>
      </c>
      <c r="G123" t="s">
        <v>105</v>
      </c>
      <c r="H123" t="s">
        <v>1311</v>
      </c>
      <c r="I123" t="b">
        <v>1</v>
      </c>
      <c r="J123">
        <v>52</v>
      </c>
      <c r="K123">
        <v>0</v>
      </c>
      <c r="L123">
        <v>0</v>
      </c>
      <c r="M123">
        <v>7</v>
      </c>
      <c r="N123">
        <v>0</v>
      </c>
      <c r="O123">
        <v>4</v>
      </c>
      <c r="P123">
        <v>20</v>
      </c>
      <c r="Q123">
        <v>26</v>
      </c>
      <c r="R123">
        <v>5</v>
      </c>
      <c r="S123">
        <v>2</v>
      </c>
      <c r="T123">
        <v>2</v>
      </c>
      <c r="U123">
        <v>10</v>
      </c>
      <c r="V123">
        <v>4</v>
      </c>
      <c r="W123">
        <v>4</v>
      </c>
      <c r="X123">
        <v>14</v>
      </c>
      <c r="Y123">
        <v>19</v>
      </c>
      <c r="Z123">
        <v>0</v>
      </c>
      <c r="AA123">
        <v>0</v>
      </c>
      <c r="AB123">
        <v>13</v>
      </c>
      <c r="AC123">
        <v>39</v>
      </c>
      <c r="AD123">
        <v>3</v>
      </c>
    </row>
    <row r="124" spans="1:30" x14ac:dyDescent="0.3">
      <c r="A124" t="s">
        <v>1042</v>
      </c>
      <c r="B124" t="s">
        <v>489</v>
      </c>
      <c r="C124" t="s">
        <v>1355</v>
      </c>
      <c r="D124">
        <v>46</v>
      </c>
      <c r="E124" t="s">
        <v>1406</v>
      </c>
      <c r="F124" t="s">
        <v>1426</v>
      </c>
      <c r="G124" t="s">
        <v>164</v>
      </c>
      <c r="H124" t="s">
        <v>318</v>
      </c>
      <c r="I124" t="b">
        <v>1</v>
      </c>
      <c r="J124">
        <v>57</v>
      </c>
      <c r="K124">
        <v>1</v>
      </c>
      <c r="L124">
        <v>0</v>
      </c>
      <c r="M124">
        <v>4</v>
      </c>
      <c r="N124">
        <v>0</v>
      </c>
      <c r="O124">
        <v>1</v>
      </c>
      <c r="P124">
        <v>5</v>
      </c>
      <c r="Q124">
        <v>9</v>
      </c>
      <c r="R124">
        <v>5</v>
      </c>
      <c r="S124">
        <v>4</v>
      </c>
      <c r="T124">
        <v>8</v>
      </c>
      <c r="U124">
        <v>20</v>
      </c>
      <c r="V124">
        <v>16</v>
      </c>
      <c r="W124">
        <v>12</v>
      </c>
      <c r="X124">
        <v>36</v>
      </c>
      <c r="Y124">
        <v>41</v>
      </c>
      <c r="Z124">
        <v>0</v>
      </c>
      <c r="AA124">
        <v>0</v>
      </c>
      <c r="AB124">
        <v>18</v>
      </c>
      <c r="AC124">
        <v>46</v>
      </c>
      <c r="AD124">
        <v>2</v>
      </c>
    </row>
    <row r="125" spans="1:30" x14ac:dyDescent="0.3">
      <c r="A125" t="s">
        <v>1042</v>
      </c>
      <c r="B125" t="s">
        <v>489</v>
      </c>
      <c r="C125" t="s">
        <v>1355</v>
      </c>
      <c r="D125">
        <v>46</v>
      </c>
      <c r="E125" t="s">
        <v>1406</v>
      </c>
      <c r="F125" t="s">
        <v>1424</v>
      </c>
      <c r="G125" t="s">
        <v>1409</v>
      </c>
      <c r="H125" t="s">
        <v>1295</v>
      </c>
      <c r="I125" t="b">
        <v>1</v>
      </c>
      <c r="J125">
        <v>57</v>
      </c>
      <c r="K125">
        <v>1</v>
      </c>
      <c r="L125">
        <v>0</v>
      </c>
      <c r="M125">
        <v>4</v>
      </c>
      <c r="N125">
        <v>0</v>
      </c>
      <c r="O125">
        <v>1</v>
      </c>
      <c r="P125">
        <v>5</v>
      </c>
      <c r="Q125">
        <v>9</v>
      </c>
      <c r="R125">
        <v>5</v>
      </c>
      <c r="S125">
        <v>4</v>
      </c>
      <c r="T125">
        <v>8</v>
      </c>
      <c r="U125">
        <v>20</v>
      </c>
      <c r="V125">
        <v>16</v>
      </c>
      <c r="W125">
        <v>12</v>
      </c>
      <c r="X125">
        <v>36</v>
      </c>
      <c r="Y125">
        <v>41</v>
      </c>
      <c r="Z125">
        <v>0</v>
      </c>
      <c r="AA125">
        <v>0</v>
      </c>
      <c r="AB125">
        <v>18</v>
      </c>
      <c r="AC125">
        <v>46</v>
      </c>
      <c r="AD125">
        <v>2</v>
      </c>
    </row>
    <row r="126" spans="1:30" x14ac:dyDescent="0.3">
      <c r="A126" t="s">
        <v>1042</v>
      </c>
      <c r="B126" t="s">
        <v>489</v>
      </c>
      <c r="C126" t="s">
        <v>1355</v>
      </c>
      <c r="D126">
        <v>46</v>
      </c>
      <c r="E126" t="s">
        <v>1406</v>
      </c>
      <c r="F126" t="s">
        <v>1422</v>
      </c>
      <c r="G126" t="s">
        <v>105</v>
      </c>
      <c r="H126" t="s">
        <v>1283</v>
      </c>
      <c r="I126" t="b">
        <v>1</v>
      </c>
      <c r="J126">
        <v>57</v>
      </c>
      <c r="K126">
        <v>1</v>
      </c>
      <c r="L126">
        <v>0</v>
      </c>
      <c r="M126">
        <v>4</v>
      </c>
      <c r="N126">
        <v>0</v>
      </c>
      <c r="O126">
        <v>1</v>
      </c>
      <c r="P126">
        <v>5</v>
      </c>
      <c r="Q126">
        <v>9</v>
      </c>
      <c r="R126">
        <v>5</v>
      </c>
      <c r="S126">
        <v>4</v>
      </c>
      <c r="T126">
        <v>8</v>
      </c>
      <c r="U126">
        <v>20</v>
      </c>
      <c r="V126">
        <v>16</v>
      </c>
      <c r="W126">
        <v>12</v>
      </c>
      <c r="X126">
        <v>36</v>
      </c>
      <c r="Y126">
        <v>41</v>
      </c>
      <c r="Z126">
        <v>0</v>
      </c>
      <c r="AA126">
        <v>0</v>
      </c>
      <c r="AB126">
        <v>18</v>
      </c>
      <c r="AC126">
        <v>46</v>
      </c>
      <c r="AD126">
        <v>2</v>
      </c>
    </row>
    <row r="127" spans="1:30" x14ac:dyDescent="0.3">
      <c r="A127" t="s">
        <v>1042</v>
      </c>
      <c r="B127" t="s">
        <v>489</v>
      </c>
      <c r="C127" t="s">
        <v>1356</v>
      </c>
      <c r="D127">
        <v>47</v>
      </c>
      <c r="E127" t="s">
        <v>1406</v>
      </c>
      <c r="F127" t="s">
        <v>1426</v>
      </c>
      <c r="G127" t="s">
        <v>164</v>
      </c>
      <c r="H127" t="s">
        <v>1302</v>
      </c>
      <c r="I127" t="b">
        <v>1</v>
      </c>
      <c r="J127">
        <v>60</v>
      </c>
      <c r="K127">
        <v>1</v>
      </c>
      <c r="L127">
        <v>0</v>
      </c>
      <c r="M127">
        <v>0</v>
      </c>
      <c r="N127">
        <v>0</v>
      </c>
      <c r="O127">
        <v>4</v>
      </c>
      <c r="P127">
        <v>20</v>
      </c>
      <c r="Q127">
        <v>24</v>
      </c>
      <c r="R127">
        <v>5</v>
      </c>
      <c r="S127">
        <v>3</v>
      </c>
      <c r="T127">
        <v>5</v>
      </c>
      <c r="U127">
        <v>15</v>
      </c>
      <c r="V127">
        <v>10</v>
      </c>
      <c r="W127">
        <v>8</v>
      </c>
      <c r="X127">
        <v>25</v>
      </c>
      <c r="Y127">
        <v>30</v>
      </c>
      <c r="Z127">
        <v>0</v>
      </c>
      <c r="AA127">
        <v>0</v>
      </c>
      <c r="AB127">
        <v>17</v>
      </c>
      <c r="AC127">
        <v>50</v>
      </c>
      <c r="AD127">
        <v>1</v>
      </c>
    </row>
    <row r="128" spans="1:30" x14ac:dyDescent="0.3">
      <c r="A128" t="s">
        <v>1042</v>
      </c>
      <c r="B128" t="s">
        <v>489</v>
      </c>
      <c r="C128" t="s">
        <v>1356</v>
      </c>
      <c r="D128">
        <v>47</v>
      </c>
      <c r="E128" t="s">
        <v>1406</v>
      </c>
      <c r="F128" t="s">
        <v>1424</v>
      </c>
      <c r="G128" t="s">
        <v>1409</v>
      </c>
      <c r="H128" t="s">
        <v>1305</v>
      </c>
      <c r="I128" t="b">
        <v>1</v>
      </c>
      <c r="J128">
        <v>60</v>
      </c>
      <c r="K128">
        <v>1</v>
      </c>
      <c r="L128">
        <v>0</v>
      </c>
      <c r="M128">
        <v>0</v>
      </c>
      <c r="N128">
        <v>0</v>
      </c>
      <c r="O128">
        <v>4</v>
      </c>
      <c r="P128">
        <v>20</v>
      </c>
      <c r="Q128">
        <v>24</v>
      </c>
      <c r="R128">
        <v>5</v>
      </c>
      <c r="S128">
        <v>3</v>
      </c>
      <c r="T128">
        <v>5</v>
      </c>
      <c r="U128">
        <v>15</v>
      </c>
      <c r="V128">
        <v>10</v>
      </c>
      <c r="W128">
        <v>8</v>
      </c>
      <c r="X128">
        <v>25</v>
      </c>
      <c r="Y128">
        <v>30</v>
      </c>
      <c r="Z128">
        <v>0</v>
      </c>
      <c r="AA128">
        <v>0</v>
      </c>
      <c r="AB128">
        <v>17</v>
      </c>
      <c r="AC128">
        <v>50</v>
      </c>
      <c r="AD128">
        <v>1</v>
      </c>
    </row>
    <row r="129" spans="1:30" x14ac:dyDescent="0.3">
      <c r="A129" t="s">
        <v>1042</v>
      </c>
      <c r="B129" t="s">
        <v>489</v>
      </c>
      <c r="C129" t="s">
        <v>1356</v>
      </c>
      <c r="D129">
        <v>47</v>
      </c>
      <c r="E129" t="s">
        <v>1406</v>
      </c>
      <c r="F129" t="s">
        <v>1422</v>
      </c>
      <c r="G129" t="s">
        <v>105</v>
      </c>
      <c r="H129" t="s">
        <v>1309</v>
      </c>
      <c r="I129" t="b">
        <v>1</v>
      </c>
      <c r="J129">
        <v>60</v>
      </c>
      <c r="K129">
        <v>1</v>
      </c>
      <c r="L129">
        <v>0</v>
      </c>
      <c r="M129">
        <v>0</v>
      </c>
      <c r="N129">
        <v>0</v>
      </c>
      <c r="O129">
        <v>4</v>
      </c>
      <c r="P129">
        <v>20</v>
      </c>
      <c r="Q129">
        <v>24</v>
      </c>
      <c r="R129">
        <v>5</v>
      </c>
      <c r="S129">
        <v>3</v>
      </c>
      <c r="T129">
        <v>5</v>
      </c>
      <c r="U129">
        <v>15</v>
      </c>
      <c r="V129">
        <v>10</v>
      </c>
      <c r="W129">
        <v>8</v>
      </c>
      <c r="X129">
        <v>25</v>
      </c>
      <c r="Y129">
        <v>30</v>
      </c>
      <c r="Z129">
        <v>0</v>
      </c>
      <c r="AA129">
        <v>0</v>
      </c>
      <c r="AB129">
        <v>17</v>
      </c>
      <c r="AC129">
        <v>50</v>
      </c>
      <c r="AD129">
        <v>1</v>
      </c>
    </row>
    <row r="130" spans="1:30" x14ac:dyDescent="0.3">
      <c r="A130" t="s">
        <v>1042</v>
      </c>
      <c r="B130" t="s">
        <v>489</v>
      </c>
      <c r="C130" t="s">
        <v>1357</v>
      </c>
      <c r="D130">
        <v>48</v>
      </c>
      <c r="E130" t="s">
        <v>1406</v>
      </c>
      <c r="F130" t="s">
        <v>1426</v>
      </c>
      <c r="G130" t="s">
        <v>164</v>
      </c>
      <c r="H130" t="s">
        <v>1278</v>
      </c>
      <c r="I130" t="b">
        <v>1</v>
      </c>
      <c r="J130">
        <v>31</v>
      </c>
      <c r="K130">
        <v>0</v>
      </c>
      <c r="L130">
        <v>0</v>
      </c>
      <c r="M130">
        <v>0</v>
      </c>
      <c r="N130">
        <v>0</v>
      </c>
      <c r="O130">
        <v>2</v>
      </c>
      <c r="P130">
        <v>10</v>
      </c>
      <c r="Q130">
        <v>16</v>
      </c>
      <c r="R130">
        <v>4</v>
      </c>
      <c r="S130">
        <v>0</v>
      </c>
      <c r="T130">
        <v>2</v>
      </c>
      <c r="U130">
        <v>0</v>
      </c>
      <c r="V130">
        <v>4</v>
      </c>
      <c r="W130">
        <v>2</v>
      </c>
      <c r="X130">
        <v>4</v>
      </c>
      <c r="Y130">
        <v>8</v>
      </c>
      <c r="Z130">
        <v>0</v>
      </c>
      <c r="AA130">
        <v>0</v>
      </c>
      <c r="AB130">
        <v>8</v>
      </c>
      <c r="AC130">
        <v>18</v>
      </c>
      <c r="AD130">
        <v>3</v>
      </c>
    </row>
    <row r="131" spans="1:30" x14ac:dyDescent="0.3">
      <c r="A131" t="s">
        <v>1042</v>
      </c>
      <c r="B131" t="s">
        <v>489</v>
      </c>
      <c r="C131" t="s">
        <v>1357</v>
      </c>
      <c r="D131">
        <v>48</v>
      </c>
      <c r="E131" t="s">
        <v>1406</v>
      </c>
      <c r="F131" t="s">
        <v>1424</v>
      </c>
      <c r="G131" t="s">
        <v>1409</v>
      </c>
      <c r="H131" t="s">
        <v>362</v>
      </c>
      <c r="I131" t="b">
        <v>1</v>
      </c>
      <c r="J131">
        <v>31</v>
      </c>
      <c r="K131">
        <v>0</v>
      </c>
      <c r="L131">
        <v>0</v>
      </c>
      <c r="M131">
        <v>0</v>
      </c>
      <c r="N131">
        <v>0</v>
      </c>
      <c r="O131">
        <v>2</v>
      </c>
      <c r="P131">
        <v>10</v>
      </c>
      <c r="Q131">
        <v>16</v>
      </c>
      <c r="R131">
        <v>4</v>
      </c>
      <c r="S131">
        <v>0</v>
      </c>
      <c r="T131">
        <v>2</v>
      </c>
      <c r="U131">
        <v>0</v>
      </c>
      <c r="V131">
        <v>4</v>
      </c>
      <c r="W131">
        <v>2</v>
      </c>
      <c r="X131">
        <v>4</v>
      </c>
      <c r="Y131">
        <v>8</v>
      </c>
      <c r="Z131">
        <v>0</v>
      </c>
      <c r="AA131">
        <v>0</v>
      </c>
      <c r="AB131">
        <v>8</v>
      </c>
      <c r="AC131">
        <v>18</v>
      </c>
      <c r="AD131">
        <v>3</v>
      </c>
    </row>
    <row r="132" spans="1:30" x14ac:dyDescent="0.3">
      <c r="A132" t="s">
        <v>1042</v>
      </c>
      <c r="B132" t="s">
        <v>489</v>
      </c>
      <c r="C132" t="s">
        <v>1357</v>
      </c>
      <c r="D132">
        <v>48</v>
      </c>
      <c r="E132" t="s">
        <v>1406</v>
      </c>
      <c r="F132" t="s">
        <v>1422</v>
      </c>
      <c r="G132" t="s">
        <v>105</v>
      </c>
      <c r="H132" t="s">
        <v>1289</v>
      </c>
      <c r="I132" t="b">
        <v>1</v>
      </c>
      <c r="J132">
        <v>31</v>
      </c>
      <c r="K132">
        <v>0</v>
      </c>
      <c r="L132">
        <v>0</v>
      </c>
      <c r="M132">
        <v>0</v>
      </c>
      <c r="N132">
        <v>0</v>
      </c>
      <c r="O132">
        <v>2</v>
      </c>
      <c r="P132">
        <v>10</v>
      </c>
      <c r="Q132">
        <v>16</v>
      </c>
      <c r="R132">
        <v>4</v>
      </c>
      <c r="S132">
        <v>0</v>
      </c>
      <c r="T132">
        <v>2</v>
      </c>
      <c r="U132">
        <v>0</v>
      </c>
      <c r="V132">
        <v>4</v>
      </c>
      <c r="W132">
        <v>2</v>
      </c>
      <c r="X132">
        <v>4</v>
      </c>
      <c r="Y132">
        <v>8</v>
      </c>
      <c r="Z132">
        <v>0</v>
      </c>
      <c r="AA132">
        <v>0</v>
      </c>
      <c r="AB132">
        <v>8</v>
      </c>
      <c r="AC132">
        <v>18</v>
      </c>
      <c r="AD132">
        <v>3</v>
      </c>
    </row>
    <row r="133" spans="1:30" x14ac:dyDescent="0.3">
      <c r="A133" t="s">
        <v>1042</v>
      </c>
      <c r="B133" t="s">
        <v>489</v>
      </c>
      <c r="C133" t="s">
        <v>1358</v>
      </c>
      <c r="D133">
        <v>49</v>
      </c>
      <c r="E133" t="s">
        <v>1406</v>
      </c>
      <c r="F133" t="s">
        <v>1426</v>
      </c>
      <c r="G133" t="s">
        <v>164</v>
      </c>
      <c r="H133" t="s">
        <v>1288</v>
      </c>
      <c r="I133" t="b">
        <v>0</v>
      </c>
      <c r="J133">
        <v>51</v>
      </c>
      <c r="K133">
        <v>0</v>
      </c>
      <c r="L133">
        <v>0</v>
      </c>
      <c r="M133">
        <v>4</v>
      </c>
      <c r="N133">
        <v>0</v>
      </c>
      <c r="O133">
        <v>3</v>
      </c>
      <c r="P133">
        <v>15</v>
      </c>
      <c r="Q133">
        <v>19</v>
      </c>
      <c r="R133">
        <v>1</v>
      </c>
      <c r="S133">
        <v>0</v>
      </c>
      <c r="T133">
        <v>12</v>
      </c>
      <c r="U133">
        <v>0</v>
      </c>
      <c r="V133">
        <v>24</v>
      </c>
      <c r="W133">
        <v>12</v>
      </c>
      <c r="X133">
        <v>24</v>
      </c>
      <c r="Y133">
        <v>25</v>
      </c>
      <c r="Z133">
        <v>0</v>
      </c>
      <c r="AA133">
        <v>0</v>
      </c>
      <c r="AB133">
        <v>16</v>
      </c>
      <c r="AC133">
        <v>40</v>
      </c>
      <c r="AD133">
        <v>2</v>
      </c>
    </row>
    <row r="134" spans="1:30" x14ac:dyDescent="0.3">
      <c r="A134" t="s">
        <v>1042</v>
      </c>
      <c r="B134" t="s">
        <v>489</v>
      </c>
      <c r="C134" t="s">
        <v>1358</v>
      </c>
      <c r="D134">
        <v>49</v>
      </c>
      <c r="E134" t="s">
        <v>1406</v>
      </c>
      <c r="F134" t="s">
        <v>1424</v>
      </c>
      <c r="G134" t="s">
        <v>1409</v>
      </c>
      <c r="H134" t="s">
        <v>1282</v>
      </c>
      <c r="I134" t="b">
        <v>0</v>
      </c>
      <c r="J134">
        <v>51</v>
      </c>
      <c r="K134">
        <v>0</v>
      </c>
      <c r="L134">
        <v>0</v>
      </c>
      <c r="M134">
        <v>4</v>
      </c>
      <c r="N134">
        <v>0</v>
      </c>
      <c r="O134">
        <v>3</v>
      </c>
      <c r="P134">
        <v>15</v>
      </c>
      <c r="Q134">
        <v>19</v>
      </c>
      <c r="R134">
        <v>1</v>
      </c>
      <c r="S134">
        <v>0</v>
      </c>
      <c r="T134">
        <v>12</v>
      </c>
      <c r="U134">
        <v>0</v>
      </c>
      <c r="V134">
        <v>24</v>
      </c>
      <c r="W134">
        <v>12</v>
      </c>
      <c r="X134">
        <v>24</v>
      </c>
      <c r="Y134">
        <v>25</v>
      </c>
      <c r="Z134">
        <v>0</v>
      </c>
      <c r="AA134">
        <v>0</v>
      </c>
      <c r="AB134">
        <v>16</v>
      </c>
      <c r="AC134">
        <v>40</v>
      </c>
      <c r="AD134">
        <v>2</v>
      </c>
    </row>
    <row r="135" spans="1:30" x14ac:dyDescent="0.3">
      <c r="A135" t="s">
        <v>1042</v>
      </c>
      <c r="B135" t="s">
        <v>489</v>
      </c>
      <c r="C135" t="s">
        <v>1358</v>
      </c>
      <c r="D135">
        <v>49</v>
      </c>
      <c r="E135" t="s">
        <v>1406</v>
      </c>
      <c r="F135" t="s">
        <v>1422</v>
      </c>
      <c r="G135" t="s">
        <v>105</v>
      </c>
      <c r="H135" t="s">
        <v>1279</v>
      </c>
      <c r="I135" t="b">
        <v>0</v>
      </c>
      <c r="J135">
        <v>51</v>
      </c>
      <c r="K135">
        <v>0</v>
      </c>
      <c r="L135">
        <v>0</v>
      </c>
      <c r="M135">
        <v>4</v>
      </c>
      <c r="N135">
        <v>0</v>
      </c>
      <c r="O135">
        <v>3</v>
      </c>
      <c r="P135">
        <v>15</v>
      </c>
      <c r="Q135">
        <v>19</v>
      </c>
      <c r="R135">
        <v>1</v>
      </c>
      <c r="S135">
        <v>0</v>
      </c>
      <c r="T135">
        <v>12</v>
      </c>
      <c r="U135">
        <v>0</v>
      </c>
      <c r="V135">
        <v>24</v>
      </c>
      <c r="W135">
        <v>12</v>
      </c>
      <c r="X135">
        <v>24</v>
      </c>
      <c r="Y135">
        <v>25</v>
      </c>
      <c r="Z135">
        <v>0</v>
      </c>
      <c r="AA135">
        <v>0</v>
      </c>
      <c r="AB135">
        <v>16</v>
      </c>
      <c r="AC135">
        <v>40</v>
      </c>
      <c r="AD135">
        <v>2</v>
      </c>
    </row>
    <row r="136" spans="1:30" x14ac:dyDescent="0.3">
      <c r="A136" t="s">
        <v>1042</v>
      </c>
      <c r="B136" t="s">
        <v>489</v>
      </c>
      <c r="C136" t="s">
        <v>1299</v>
      </c>
      <c r="D136">
        <v>5</v>
      </c>
      <c r="E136" t="s">
        <v>1406</v>
      </c>
      <c r="F136" t="s">
        <v>1426</v>
      </c>
      <c r="G136" t="s">
        <v>164</v>
      </c>
      <c r="H136" t="s">
        <v>1301</v>
      </c>
      <c r="I136" t="b">
        <v>0</v>
      </c>
      <c r="J136">
        <v>70</v>
      </c>
      <c r="K136">
        <v>0</v>
      </c>
      <c r="L136">
        <v>1</v>
      </c>
      <c r="M136">
        <v>12</v>
      </c>
      <c r="N136">
        <v>0</v>
      </c>
      <c r="O136">
        <v>3</v>
      </c>
      <c r="P136">
        <v>15</v>
      </c>
      <c r="Q136">
        <v>19</v>
      </c>
      <c r="R136">
        <v>0</v>
      </c>
      <c r="S136">
        <v>0</v>
      </c>
      <c r="T136">
        <v>10</v>
      </c>
      <c r="U136">
        <v>0</v>
      </c>
      <c r="V136">
        <v>20</v>
      </c>
      <c r="W136">
        <v>10</v>
      </c>
      <c r="X136">
        <v>20</v>
      </c>
      <c r="Y136">
        <v>20</v>
      </c>
      <c r="Z136">
        <v>5</v>
      </c>
      <c r="AA136">
        <v>1</v>
      </c>
      <c r="AB136">
        <v>13</v>
      </c>
      <c r="AC136">
        <v>35</v>
      </c>
      <c r="AD136">
        <v>11</v>
      </c>
    </row>
    <row r="137" spans="1:30" x14ac:dyDescent="0.3">
      <c r="A137" t="s">
        <v>1042</v>
      </c>
      <c r="B137" t="s">
        <v>489</v>
      </c>
      <c r="C137" t="s">
        <v>1299</v>
      </c>
      <c r="D137">
        <v>5</v>
      </c>
      <c r="E137" t="s">
        <v>1406</v>
      </c>
      <c r="F137" t="s">
        <v>1424</v>
      </c>
      <c r="G137" t="s">
        <v>1409</v>
      </c>
      <c r="H137" t="s">
        <v>1302</v>
      </c>
      <c r="I137" t="b">
        <v>0</v>
      </c>
      <c r="J137">
        <v>70</v>
      </c>
      <c r="K137">
        <v>0</v>
      </c>
      <c r="L137">
        <v>1</v>
      </c>
      <c r="M137">
        <v>12</v>
      </c>
      <c r="N137">
        <v>0</v>
      </c>
      <c r="O137">
        <v>3</v>
      </c>
      <c r="P137">
        <v>15</v>
      </c>
      <c r="Q137">
        <v>19</v>
      </c>
      <c r="R137">
        <v>0</v>
      </c>
      <c r="S137">
        <v>0</v>
      </c>
      <c r="T137">
        <v>10</v>
      </c>
      <c r="U137">
        <v>0</v>
      </c>
      <c r="V137">
        <v>20</v>
      </c>
      <c r="W137">
        <v>10</v>
      </c>
      <c r="X137">
        <v>20</v>
      </c>
      <c r="Y137">
        <v>20</v>
      </c>
      <c r="Z137">
        <v>5</v>
      </c>
      <c r="AA137">
        <v>1</v>
      </c>
      <c r="AB137">
        <v>13</v>
      </c>
      <c r="AC137">
        <v>35</v>
      </c>
      <c r="AD137">
        <v>11</v>
      </c>
    </row>
    <row r="138" spans="1:30" x14ac:dyDescent="0.3">
      <c r="A138" t="s">
        <v>1042</v>
      </c>
      <c r="B138" t="s">
        <v>489</v>
      </c>
      <c r="C138" t="s">
        <v>1299</v>
      </c>
      <c r="D138">
        <v>5</v>
      </c>
      <c r="E138" t="s">
        <v>1406</v>
      </c>
      <c r="F138" t="s">
        <v>1422</v>
      </c>
      <c r="G138" t="s">
        <v>105</v>
      </c>
      <c r="H138" t="s">
        <v>1303</v>
      </c>
      <c r="I138" t="b">
        <v>0</v>
      </c>
      <c r="J138">
        <v>70</v>
      </c>
      <c r="K138">
        <v>0</v>
      </c>
      <c r="L138">
        <v>1</v>
      </c>
      <c r="M138">
        <v>12</v>
      </c>
      <c r="N138">
        <v>0</v>
      </c>
      <c r="O138">
        <v>3</v>
      </c>
      <c r="P138">
        <v>15</v>
      </c>
      <c r="Q138">
        <v>19</v>
      </c>
      <c r="R138">
        <v>0</v>
      </c>
      <c r="S138">
        <v>0</v>
      </c>
      <c r="T138">
        <v>10</v>
      </c>
      <c r="U138">
        <v>0</v>
      </c>
      <c r="V138">
        <v>20</v>
      </c>
      <c r="W138">
        <v>10</v>
      </c>
      <c r="X138">
        <v>20</v>
      </c>
      <c r="Y138">
        <v>20</v>
      </c>
      <c r="Z138">
        <v>5</v>
      </c>
      <c r="AA138">
        <v>1</v>
      </c>
      <c r="AB138">
        <v>13</v>
      </c>
      <c r="AC138">
        <v>35</v>
      </c>
      <c r="AD138">
        <v>11</v>
      </c>
    </row>
    <row r="139" spans="1:30" x14ac:dyDescent="0.3">
      <c r="A139" t="s">
        <v>1042</v>
      </c>
      <c r="B139" t="s">
        <v>489</v>
      </c>
      <c r="C139" t="s">
        <v>1359</v>
      </c>
      <c r="D139">
        <v>50</v>
      </c>
      <c r="E139" t="s">
        <v>1406</v>
      </c>
      <c r="F139" t="s">
        <v>1426</v>
      </c>
      <c r="G139" t="s">
        <v>164</v>
      </c>
      <c r="H139" t="s">
        <v>1280</v>
      </c>
      <c r="I139" t="b">
        <v>1</v>
      </c>
      <c r="J139">
        <v>33</v>
      </c>
      <c r="K139">
        <v>0</v>
      </c>
      <c r="L139">
        <v>0</v>
      </c>
      <c r="M139">
        <v>17</v>
      </c>
      <c r="N139">
        <v>0</v>
      </c>
      <c r="O139">
        <v>2</v>
      </c>
      <c r="P139">
        <v>10</v>
      </c>
      <c r="Q139">
        <v>14</v>
      </c>
      <c r="R139">
        <v>1</v>
      </c>
      <c r="S139">
        <v>0</v>
      </c>
      <c r="T139">
        <v>7</v>
      </c>
      <c r="U139">
        <v>0</v>
      </c>
      <c r="V139">
        <v>14</v>
      </c>
      <c r="W139">
        <v>7</v>
      </c>
      <c r="X139">
        <v>14</v>
      </c>
      <c r="Y139">
        <v>15</v>
      </c>
      <c r="Z139">
        <v>0</v>
      </c>
      <c r="AA139">
        <v>0</v>
      </c>
      <c r="AB139">
        <v>10</v>
      </c>
      <c r="AC139">
        <v>25</v>
      </c>
      <c r="AD139">
        <v>4</v>
      </c>
    </row>
    <row r="140" spans="1:30" x14ac:dyDescent="0.3">
      <c r="A140" t="s">
        <v>1042</v>
      </c>
      <c r="B140" t="s">
        <v>489</v>
      </c>
      <c r="C140" t="s">
        <v>1359</v>
      </c>
      <c r="D140">
        <v>50</v>
      </c>
      <c r="E140" t="s">
        <v>1406</v>
      </c>
      <c r="F140" t="s">
        <v>1424</v>
      </c>
      <c r="G140" t="s">
        <v>1409</v>
      </c>
      <c r="H140" t="s">
        <v>1318</v>
      </c>
      <c r="I140" t="b">
        <v>1</v>
      </c>
      <c r="J140">
        <v>33</v>
      </c>
      <c r="K140">
        <v>0</v>
      </c>
      <c r="L140">
        <v>0</v>
      </c>
      <c r="M140">
        <v>17</v>
      </c>
      <c r="N140">
        <v>0</v>
      </c>
      <c r="O140">
        <v>2</v>
      </c>
      <c r="P140">
        <v>10</v>
      </c>
      <c r="Q140">
        <v>14</v>
      </c>
      <c r="R140">
        <v>1</v>
      </c>
      <c r="S140">
        <v>0</v>
      </c>
      <c r="T140">
        <v>7</v>
      </c>
      <c r="U140">
        <v>0</v>
      </c>
      <c r="V140">
        <v>14</v>
      </c>
      <c r="W140">
        <v>7</v>
      </c>
      <c r="X140">
        <v>14</v>
      </c>
      <c r="Y140">
        <v>15</v>
      </c>
      <c r="Z140">
        <v>0</v>
      </c>
      <c r="AA140">
        <v>0</v>
      </c>
      <c r="AB140">
        <v>10</v>
      </c>
      <c r="AC140">
        <v>25</v>
      </c>
      <c r="AD140">
        <v>4</v>
      </c>
    </row>
    <row r="141" spans="1:30" x14ac:dyDescent="0.3">
      <c r="A141" t="s">
        <v>1042</v>
      </c>
      <c r="B141" t="s">
        <v>489</v>
      </c>
      <c r="C141" t="s">
        <v>1359</v>
      </c>
      <c r="D141">
        <v>50</v>
      </c>
      <c r="E141" t="s">
        <v>1406</v>
      </c>
      <c r="F141" t="s">
        <v>1422</v>
      </c>
      <c r="G141" t="s">
        <v>105</v>
      </c>
      <c r="H141" t="s">
        <v>1284</v>
      </c>
      <c r="I141" t="b">
        <v>1</v>
      </c>
      <c r="J141">
        <v>33</v>
      </c>
      <c r="K141">
        <v>0</v>
      </c>
      <c r="L141">
        <v>0</v>
      </c>
      <c r="M141">
        <v>17</v>
      </c>
      <c r="N141">
        <v>0</v>
      </c>
      <c r="O141">
        <v>2</v>
      </c>
      <c r="P141">
        <v>10</v>
      </c>
      <c r="Q141">
        <v>14</v>
      </c>
      <c r="R141">
        <v>1</v>
      </c>
      <c r="S141">
        <v>0</v>
      </c>
      <c r="T141">
        <v>7</v>
      </c>
      <c r="U141">
        <v>0</v>
      </c>
      <c r="V141">
        <v>14</v>
      </c>
      <c r="W141">
        <v>7</v>
      </c>
      <c r="X141">
        <v>14</v>
      </c>
      <c r="Y141">
        <v>15</v>
      </c>
      <c r="Z141">
        <v>0</v>
      </c>
      <c r="AA141">
        <v>0</v>
      </c>
      <c r="AB141">
        <v>10</v>
      </c>
      <c r="AC141">
        <v>25</v>
      </c>
      <c r="AD141">
        <v>4</v>
      </c>
    </row>
    <row r="142" spans="1:30" x14ac:dyDescent="0.3">
      <c r="A142" t="s">
        <v>1042</v>
      </c>
      <c r="B142" t="s">
        <v>489</v>
      </c>
      <c r="C142" t="s">
        <v>1360</v>
      </c>
      <c r="D142">
        <v>51</v>
      </c>
      <c r="E142" t="s">
        <v>1406</v>
      </c>
      <c r="F142" t="s">
        <v>1426</v>
      </c>
      <c r="G142" t="s">
        <v>164</v>
      </c>
      <c r="H142" t="s">
        <v>1315</v>
      </c>
      <c r="I142" t="b">
        <v>1</v>
      </c>
      <c r="J142">
        <v>52</v>
      </c>
      <c r="K142">
        <v>0</v>
      </c>
      <c r="L142">
        <v>0</v>
      </c>
      <c r="M142">
        <v>5</v>
      </c>
      <c r="N142">
        <v>0</v>
      </c>
      <c r="O142">
        <v>3</v>
      </c>
      <c r="P142">
        <v>15</v>
      </c>
      <c r="Q142">
        <v>21</v>
      </c>
      <c r="R142">
        <v>4</v>
      </c>
      <c r="S142">
        <v>1</v>
      </c>
      <c r="T142">
        <v>4</v>
      </c>
      <c r="U142">
        <v>5</v>
      </c>
      <c r="V142">
        <v>8</v>
      </c>
      <c r="W142">
        <v>5</v>
      </c>
      <c r="X142">
        <v>13</v>
      </c>
      <c r="Y142">
        <v>17</v>
      </c>
      <c r="Z142">
        <v>0</v>
      </c>
      <c r="AA142">
        <v>0</v>
      </c>
      <c r="AB142">
        <v>12</v>
      </c>
      <c r="AC142">
        <v>32</v>
      </c>
      <c r="AD142">
        <v>4</v>
      </c>
    </row>
    <row r="143" spans="1:30" x14ac:dyDescent="0.3">
      <c r="A143" t="s">
        <v>1042</v>
      </c>
      <c r="B143" t="s">
        <v>489</v>
      </c>
      <c r="C143" t="s">
        <v>1360</v>
      </c>
      <c r="D143">
        <v>51</v>
      </c>
      <c r="E143" t="s">
        <v>1406</v>
      </c>
      <c r="F143" t="s">
        <v>1424</v>
      </c>
      <c r="G143" t="s">
        <v>1409</v>
      </c>
      <c r="H143" t="s">
        <v>1294</v>
      </c>
      <c r="I143" t="b">
        <v>1</v>
      </c>
      <c r="J143">
        <v>52</v>
      </c>
      <c r="K143">
        <v>0</v>
      </c>
      <c r="L143">
        <v>0</v>
      </c>
      <c r="M143">
        <v>5</v>
      </c>
      <c r="N143">
        <v>0</v>
      </c>
      <c r="O143">
        <v>3</v>
      </c>
      <c r="P143">
        <v>15</v>
      </c>
      <c r="Q143">
        <v>21</v>
      </c>
      <c r="R143">
        <v>4</v>
      </c>
      <c r="S143">
        <v>1</v>
      </c>
      <c r="T143">
        <v>4</v>
      </c>
      <c r="U143">
        <v>5</v>
      </c>
      <c r="V143">
        <v>8</v>
      </c>
      <c r="W143">
        <v>5</v>
      </c>
      <c r="X143">
        <v>13</v>
      </c>
      <c r="Y143">
        <v>17</v>
      </c>
      <c r="Z143">
        <v>0</v>
      </c>
      <c r="AA143">
        <v>0</v>
      </c>
      <c r="AB143">
        <v>12</v>
      </c>
      <c r="AC143">
        <v>32</v>
      </c>
      <c r="AD143">
        <v>4</v>
      </c>
    </row>
    <row r="144" spans="1:30" x14ac:dyDescent="0.3">
      <c r="A144" t="s">
        <v>1042</v>
      </c>
      <c r="B144" t="s">
        <v>489</v>
      </c>
      <c r="C144" t="s">
        <v>1360</v>
      </c>
      <c r="D144">
        <v>51</v>
      </c>
      <c r="E144" t="s">
        <v>1406</v>
      </c>
      <c r="F144" t="s">
        <v>1422</v>
      </c>
      <c r="G144" t="s">
        <v>105</v>
      </c>
      <c r="H144" t="s">
        <v>1275</v>
      </c>
      <c r="I144" t="b">
        <v>1</v>
      </c>
      <c r="J144">
        <v>52</v>
      </c>
      <c r="K144">
        <v>0</v>
      </c>
      <c r="L144">
        <v>0</v>
      </c>
      <c r="M144">
        <v>5</v>
      </c>
      <c r="N144">
        <v>0</v>
      </c>
      <c r="O144">
        <v>3</v>
      </c>
      <c r="P144">
        <v>15</v>
      </c>
      <c r="Q144">
        <v>21</v>
      </c>
      <c r="R144">
        <v>4</v>
      </c>
      <c r="S144">
        <v>1</v>
      </c>
      <c r="T144">
        <v>4</v>
      </c>
      <c r="U144">
        <v>5</v>
      </c>
      <c r="V144">
        <v>8</v>
      </c>
      <c r="W144">
        <v>5</v>
      </c>
      <c r="X144">
        <v>13</v>
      </c>
      <c r="Y144">
        <v>17</v>
      </c>
      <c r="Z144">
        <v>0</v>
      </c>
      <c r="AA144">
        <v>0</v>
      </c>
      <c r="AB144">
        <v>12</v>
      </c>
      <c r="AC144">
        <v>32</v>
      </c>
      <c r="AD144">
        <v>4</v>
      </c>
    </row>
    <row r="145" spans="1:30" x14ac:dyDescent="0.3">
      <c r="A145" t="s">
        <v>1042</v>
      </c>
      <c r="B145" t="s">
        <v>489</v>
      </c>
      <c r="C145" t="s">
        <v>1361</v>
      </c>
      <c r="D145">
        <v>52</v>
      </c>
      <c r="E145" t="s">
        <v>1406</v>
      </c>
      <c r="F145" t="s">
        <v>1426</v>
      </c>
      <c r="G145" t="s">
        <v>164</v>
      </c>
      <c r="H145" t="s">
        <v>1290</v>
      </c>
      <c r="I145" t="b">
        <v>0</v>
      </c>
      <c r="J145">
        <v>45</v>
      </c>
      <c r="K145">
        <v>0</v>
      </c>
      <c r="L145">
        <v>0</v>
      </c>
      <c r="M145">
        <v>0</v>
      </c>
      <c r="N145">
        <v>0</v>
      </c>
      <c r="O145">
        <v>1</v>
      </c>
      <c r="P145">
        <v>5</v>
      </c>
      <c r="Q145">
        <v>9</v>
      </c>
      <c r="R145">
        <v>0</v>
      </c>
      <c r="S145">
        <v>0</v>
      </c>
      <c r="T145">
        <v>12</v>
      </c>
      <c r="U145">
        <v>0</v>
      </c>
      <c r="V145">
        <v>24</v>
      </c>
      <c r="W145">
        <v>12</v>
      </c>
      <c r="X145">
        <v>24</v>
      </c>
      <c r="Y145">
        <v>24</v>
      </c>
      <c r="Z145">
        <v>0</v>
      </c>
      <c r="AA145">
        <v>0</v>
      </c>
      <c r="AB145">
        <v>13</v>
      </c>
      <c r="AC145">
        <v>29</v>
      </c>
      <c r="AD145">
        <v>5</v>
      </c>
    </row>
    <row r="146" spans="1:30" x14ac:dyDescent="0.3">
      <c r="A146" t="s">
        <v>1042</v>
      </c>
      <c r="B146" t="s">
        <v>489</v>
      </c>
      <c r="C146" t="s">
        <v>1361</v>
      </c>
      <c r="D146">
        <v>52</v>
      </c>
      <c r="E146" t="s">
        <v>1406</v>
      </c>
      <c r="F146" t="s">
        <v>1424</v>
      </c>
      <c r="G146" t="s">
        <v>1409</v>
      </c>
      <c r="H146" t="s">
        <v>370</v>
      </c>
      <c r="I146" t="b">
        <v>0</v>
      </c>
      <c r="J146">
        <v>45</v>
      </c>
      <c r="K146">
        <v>0</v>
      </c>
      <c r="L146">
        <v>0</v>
      </c>
      <c r="M146">
        <v>0</v>
      </c>
      <c r="N146">
        <v>0</v>
      </c>
      <c r="O146">
        <v>1</v>
      </c>
      <c r="P146">
        <v>5</v>
      </c>
      <c r="Q146">
        <v>9</v>
      </c>
      <c r="R146">
        <v>0</v>
      </c>
      <c r="S146">
        <v>0</v>
      </c>
      <c r="T146">
        <v>12</v>
      </c>
      <c r="U146">
        <v>0</v>
      </c>
      <c r="V146">
        <v>24</v>
      </c>
      <c r="W146">
        <v>12</v>
      </c>
      <c r="X146">
        <v>24</v>
      </c>
      <c r="Y146">
        <v>24</v>
      </c>
      <c r="Z146">
        <v>0</v>
      </c>
      <c r="AA146">
        <v>0</v>
      </c>
      <c r="AB146">
        <v>13</v>
      </c>
      <c r="AC146">
        <v>29</v>
      </c>
      <c r="AD146">
        <v>5</v>
      </c>
    </row>
    <row r="147" spans="1:30" x14ac:dyDescent="0.3">
      <c r="A147" t="s">
        <v>1042</v>
      </c>
      <c r="B147" t="s">
        <v>489</v>
      </c>
      <c r="C147" t="s">
        <v>1361</v>
      </c>
      <c r="D147">
        <v>52</v>
      </c>
      <c r="E147" t="s">
        <v>1406</v>
      </c>
      <c r="F147" t="s">
        <v>1422</v>
      </c>
      <c r="G147" t="s">
        <v>105</v>
      </c>
      <c r="H147" t="s">
        <v>373</v>
      </c>
      <c r="I147" t="b">
        <v>0</v>
      </c>
      <c r="J147">
        <v>45</v>
      </c>
      <c r="K147">
        <v>0</v>
      </c>
      <c r="L147">
        <v>0</v>
      </c>
      <c r="M147">
        <v>0</v>
      </c>
      <c r="N147">
        <v>0</v>
      </c>
      <c r="O147">
        <v>1</v>
      </c>
      <c r="P147">
        <v>5</v>
      </c>
      <c r="Q147">
        <v>9</v>
      </c>
      <c r="R147">
        <v>0</v>
      </c>
      <c r="S147">
        <v>0</v>
      </c>
      <c r="T147">
        <v>12</v>
      </c>
      <c r="U147">
        <v>0</v>
      </c>
      <c r="V147">
        <v>24</v>
      </c>
      <c r="W147">
        <v>12</v>
      </c>
      <c r="X147">
        <v>24</v>
      </c>
      <c r="Y147">
        <v>24</v>
      </c>
      <c r="Z147">
        <v>0</v>
      </c>
      <c r="AA147">
        <v>0</v>
      </c>
      <c r="AB147">
        <v>13</v>
      </c>
      <c r="AC147">
        <v>29</v>
      </c>
      <c r="AD147">
        <v>5</v>
      </c>
    </row>
    <row r="148" spans="1:30" x14ac:dyDescent="0.3">
      <c r="A148" t="s">
        <v>1042</v>
      </c>
      <c r="B148" t="s">
        <v>489</v>
      </c>
      <c r="C148" t="s">
        <v>1362</v>
      </c>
      <c r="D148">
        <v>53</v>
      </c>
      <c r="E148" t="s">
        <v>1406</v>
      </c>
      <c r="F148" t="s">
        <v>1426</v>
      </c>
      <c r="G148" t="s">
        <v>164</v>
      </c>
      <c r="H148" t="s">
        <v>1291</v>
      </c>
      <c r="I148" t="b">
        <v>0</v>
      </c>
      <c r="J148">
        <v>101</v>
      </c>
      <c r="K148">
        <v>1</v>
      </c>
      <c r="L148">
        <v>0</v>
      </c>
      <c r="M148">
        <v>2</v>
      </c>
      <c r="N148">
        <v>0</v>
      </c>
      <c r="O148">
        <v>4</v>
      </c>
      <c r="P148">
        <v>20</v>
      </c>
      <c r="Q148">
        <v>24</v>
      </c>
      <c r="R148">
        <v>9</v>
      </c>
      <c r="S148">
        <v>9</v>
      </c>
      <c r="T148">
        <v>5</v>
      </c>
      <c r="U148">
        <v>45</v>
      </c>
      <c r="V148">
        <v>10</v>
      </c>
      <c r="W148">
        <v>14</v>
      </c>
      <c r="X148">
        <v>55</v>
      </c>
      <c r="Y148">
        <v>64</v>
      </c>
      <c r="Z148">
        <v>0</v>
      </c>
      <c r="AA148">
        <v>0</v>
      </c>
      <c r="AB148">
        <v>27</v>
      </c>
      <c r="AC148">
        <v>84</v>
      </c>
      <c r="AD148">
        <v>3</v>
      </c>
    </row>
    <row r="149" spans="1:30" x14ac:dyDescent="0.3">
      <c r="A149" t="s">
        <v>1042</v>
      </c>
      <c r="B149" t="s">
        <v>489</v>
      </c>
      <c r="C149" t="s">
        <v>1362</v>
      </c>
      <c r="D149">
        <v>53</v>
      </c>
      <c r="E149" t="s">
        <v>1406</v>
      </c>
      <c r="F149" t="s">
        <v>1424</v>
      </c>
      <c r="G149" t="s">
        <v>1409</v>
      </c>
      <c r="H149" t="s">
        <v>366</v>
      </c>
      <c r="I149" t="b">
        <v>0</v>
      </c>
      <c r="J149">
        <v>101</v>
      </c>
      <c r="K149">
        <v>1</v>
      </c>
      <c r="L149">
        <v>0</v>
      </c>
      <c r="M149">
        <v>2</v>
      </c>
      <c r="N149">
        <v>0</v>
      </c>
      <c r="O149">
        <v>4</v>
      </c>
      <c r="P149">
        <v>20</v>
      </c>
      <c r="Q149">
        <v>24</v>
      </c>
      <c r="R149">
        <v>9</v>
      </c>
      <c r="S149">
        <v>9</v>
      </c>
      <c r="T149">
        <v>5</v>
      </c>
      <c r="U149">
        <v>45</v>
      </c>
      <c r="V149">
        <v>10</v>
      </c>
      <c r="W149">
        <v>14</v>
      </c>
      <c r="X149">
        <v>55</v>
      </c>
      <c r="Y149">
        <v>64</v>
      </c>
      <c r="Z149">
        <v>0</v>
      </c>
      <c r="AA149">
        <v>0</v>
      </c>
      <c r="AB149">
        <v>27</v>
      </c>
      <c r="AC149">
        <v>84</v>
      </c>
      <c r="AD149">
        <v>3</v>
      </c>
    </row>
    <row r="150" spans="1:30" x14ac:dyDescent="0.3">
      <c r="A150" t="s">
        <v>1042</v>
      </c>
      <c r="B150" t="s">
        <v>489</v>
      </c>
      <c r="C150" t="s">
        <v>1362</v>
      </c>
      <c r="D150">
        <v>53</v>
      </c>
      <c r="E150" t="s">
        <v>1406</v>
      </c>
      <c r="F150" t="s">
        <v>1422</v>
      </c>
      <c r="G150" t="s">
        <v>105</v>
      </c>
      <c r="H150" t="s">
        <v>1295</v>
      </c>
      <c r="I150" t="b">
        <v>0</v>
      </c>
      <c r="J150">
        <v>101</v>
      </c>
      <c r="K150">
        <v>1</v>
      </c>
      <c r="L150">
        <v>0</v>
      </c>
      <c r="M150">
        <v>2</v>
      </c>
      <c r="N150">
        <v>0</v>
      </c>
      <c r="O150">
        <v>4</v>
      </c>
      <c r="P150">
        <v>20</v>
      </c>
      <c r="Q150">
        <v>24</v>
      </c>
      <c r="R150">
        <v>9</v>
      </c>
      <c r="S150">
        <v>9</v>
      </c>
      <c r="T150">
        <v>5</v>
      </c>
      <c r="U150">
        <v>45</v>
      </c>
      <c r="V150">
        <v>10</v>
      </c>
      <c r="W150">
        <v>14</v>
      </c>
      <c r="X150">
        <v>55</v>
      </c>
      <c r="Y150">
        <v>64</v>
      </c>
      <c r="Z150">
        <v>0</v>
      </c>
      <c r="AA150">
        <v>0</v>
      </c>
      <c r="AB150">
        <v>27</v>
      </c>
      <c r="AC150">
        <v>84</v>
      </c>
      <c r="AD150">
        <v>3</v>
      </c>
    </row>
    <row r="151" spans="1:30" x14ac:dyDescent="0.3">
      <c r="A151" t="s">
        <v>1042</v>
      </c>
      <c r="B151" t="s">
        <v>489</v>
      </c>
      <c r="C151" t="s">
        <v>1363</v>
      </c>
      <c r="D151">
        <v>54</v>
      </c>
      <c r="E151" t="s">
        <v>1406</v>
      </c>
      <c r="F151" t="s">
        <v>1426</v>
      </c>
      <c r="G151" t="s">
        <v>164</v>
      </c>
      <c r="H151" t="s">
        <v>1283</v>
      </c>
      <c r="I151" t="b">
        <v>1</v>
      </c>
      <c r="J151">
        <v>32</v>
      </c>
      <c r="K151">
        <v>0</v>
      </c>
      <c r="L151">
        <v>0</v>
      </c>
      <c r="M151">
        <v>2</v>
      </c>
      <c r="N151">
        <v>0</v>
      </c>
      <c r="O151">
        <v>2</v>
      </c>
      <c r="P151">
        <v>10</v>
      </c>
      <c r="Q151">
        <v>14</v>
      </c>
      <c r="R151">
        <v>1</v>
      </c>
      <c r="S151">
        <v>0</v>
      </c>
      <c r="T151">
        <v>7</v>
      </c>
      <c r="U151">
        <v>0</v>
      </c>
      <c r="V151">
        <v>14</v>
      </c>
      <c r="W151">
        <v>7</v>
      </c>
      <c r="X151">
        <v>14</v>
      </c>
      <c r="Y151">
        <v>15</v>
      </c>
      <c r="Z151">
        <v>0</v>
      </c>
      <c r="AA151">
        <v>0</v>
      </c>
      <c r="AB151">
        <v>10</v>
      </c>
      <c r="AC151">
        <v>25</v>
      </c>
      <c r="AD151">
        <v>3</v>
      </c>
    </row>
    <row r="152" spans="1:30" x14ac:dyDescent="0.3">
      <c r="A152" t="s">
        <v>1042</v>
      </c>
      <c r="B152" t="s">
        <v>489</v>
      </c>
      <c r="C152" t="s">
        <v>1363</v>
      </c>
      <c r="D152">
        <v>54</v>
      </c>
      <c r="E152" t="s">
        <v>1406</v>
      </c>
      <c r="F152" t="s">
        <v>1424</v>
      </c>
      <c r="G152" t="s">
        <v>1409</v>
      </c>
      <c r="H152" t="s">
        <v>365</v>
      </c>
      <c r="I152" t="b">
        <v>1</v>
      </c>
      <c r="J152">
        <v>32</v>
      </c>
      <c r="K152">
        <v>0</v>
      </c>
      <c r="L152">
        <v>0</v>
      </c>
      <c r="M152">
        <v>2</v>
      </c>
      <c r="N152">
        <v>0</v>
      </c>
      <c r="O152">
        <v>2</v>
      </c>
      <c r="P152">
        <v>10</v>
      </c>
      <c r="Q152">
        <v>14</v>
      </c>
      <c r="R152">
        <v>1</v>
      </c>
      <c r="S152">
        <v>0</v>
      </c>
      <c r="T152">
        <v>7</v>
      </c>
      <c r="U152">
        <v>0</v>
      </c>
      <c r="V152">
        <v>14</v>
      </c>
      <c r="W152">
        <v>7</v>
      </c>
      <c r="X152">
        <v>14</v>
      </c>
      <c r="Y152">
        <v>15</v>
      </c>
      <c r="Z152">
        <v>0</v>
      </c>
      <c r="AA152">
        <v>0</v>
      </c>
      <c r="AB152">
        <v>10</v>
      </c>
      <c r="AC152">
        <v>25</v>
      </c>
      <c r="AD152">
        <v>3</v>
      </c>
    </row>
    <row r="153" spans="1:30" x14ac:dyDescent="0.3">
      <c r="A153" t="s">
        <v>1042</v>
      </c>
      <c r="B153" t="s">
        <v>489</v>
      </c>
      <c r="C153" t="s">
        <v>1363</v>
      </c>
      <c r="D153">
        <v>54</v>
      </c>
      <c r="E153" t="s">
        <v>1406</v>
      </c>
      <c r="F153" t="s">
        <v>1422</v>
      </c>
      <c r="G153" t="s">
        <v>105</v>
      </c>
      <c r="H153" t="s">
        <v>369</v>
      </c>
      <c r="I153" t="b">
        <v>1</v>
      </c>
      <c r="J153">
        <v>32</v>
      </c>
      <c r="K153">
        <v>0</v>
      </c>
      <c r="L153">
        <v>0</v>
      </c>
      <c r="M153">
        <v>2</v>
      </c>
      <c r="N153">
        <v>0</v>
      </c>
      <c r="O153">
        <v>2</v>
      </c>
      <c r="P153">
        <v>10</v>
      </c>
      <c r="Q153">
        <v>14</v>
      </c>
      <c r="R153">
        <v>1</v>
      </c>
      <c r="S153">
        <v>0</v>
      </c>
      <c r="T153">
        <v>7</v>
      </c>
      <c r="U153">
        <v>0</v>
      </c>
      <c r="V153">
        <v>14</v>
      </c>
      <c r="W153">
        <v>7</v>
      </c>
      <c r="X153">
        <v>14</v>
      </c>
      <c r="Y153">
        <v>15</v>
      </c>
      <c r="Z153">
        <v>0</v>
      </c>
      <c r="AA153">
        <v>0</v>
      </c>
      <c r="AB153">
        <v>10</v>
      </c>
      <c r="AC153">
        <v>25</v>
      </c>
      <c r="AD153">
        <v>3</v>
      </c>
    </row>
    <row r="154" spans="1:30" x14ac:dyDescent="0.3">
      <c r="A154" t="s">
        <v>1042</v>
      </c>
      <c r="B154" t="s">
        <v>489</v>
      </c>
      <c r="C154" t="s">
        <v>1364</v>
      </c>
      <c r="D154">
        <v>55</v>
      </c>
      <c r="E154" t="s">
        <v>1406</v>
      </c>
      <c r="F154" t="s">
        <v>1426</v>
      </c>
      <c r="G154" t="s">
        <v>164</v>
      </c>
      <c r="H154" t="s">
        <v>363</v>
      </c>
      <c r="I154" t="b">
        <v>1</v>
      </c>
      <c r="J154">
        <v>57</v>
      </c>
      <c r="K154">
        <v>1</v>
      </c>
      <c r="L154">
        <v>1</v>
      </c>
      <c r="M154">
        <v>11</v>
      </c>
      <c r="N154">
        <v>0</v>
      </c>
      <c r="O154">
        <v>2</v>
      </c>
      <c r="P154">
        <v>10</v>
      </c>
      <c r="Q154">
        <v>14</v>
      </c>
      <c r="R154">
        <v>3</v>
      </c>
      <c r="S154">
        <v>2</v>
      </c>
      <c r="T154">
        <v>8</v>
      </c>
      <c r="U154">
        <v>10</v>
      </c>
      <c r="V154">
        <v>16</v>
      </c>
      <c r="W154">
        <v>10</v>
      </c>
      <c r="X154">
        <v>26</v>
      </c>
      <c r="Y154">
        <v>29</v>
      </c>
      <c r="Z154">
        <v>0</v>
      </c>
      <c r="AA154">
        <v>0</v>
      </c>
      <c r="AB154">
        <v>15</v>
      </c>
      <c r="AC154">
        <v>39</v>
      </c>
      <c r="AD154">
        <v>2</v>
      </c>
    </row>
    <row r="155" spans="1:30" x14ac:dyDescent="0.3">
      <c r="A155" t="s">
        <v>1042</v>
      </c>
      <c r="B155" t="s">
        <v>489</v>
      </c>
      <c r="C155" t="s">
        <v>1364</v>
      </c>
      <c r="D155">
        <v>55</v>
      </c>
      <c r="E155" t="s">
        <v>1406</v>
      </c>
      <c r="F155" t="s">
        <v>1424</v>
      </c>
      <c r="G155" t="s">
        <v>1409</v>
      </c>
      <c r="H155" t="s">
        <v>1284</v>
      </c>
      <c r="I155" t="b">
        <v>1</v>
      </c>
      <c r="J155">
        <v>57</v>
      </c>
      <c r="K155">
        <v>1</v>
      </c>
      <c r="L155">
        <v>1</v>
      </c>
      <c r="M155">
        <v>11</v>
      </c>
      <c r="N155">
        <v>0</v>
      </c>
      <c r="O155">
        <v>2</v>
      </c>
      <c r="P155">
        <v>10</v>
      </c>
      <c r="Q155">
        <v>14</v>
      </c>
      <c r="R155">
        <v>3</v>
      </c>
      <c r="S155">
        <v>2</v>
      </c>
      <c r="T155">
        <v>8</v>
      </c>
      <c r="U155">
        <v>10</v>
      </c>
      <c r="V155">
        <v>16</v>
      </c>
      <c r="W155">
        <v>10</v>
      </c>
      <c r="X155">
        <v>26</v>
      </c>
      <c r="Y155">
        <v>29</v>
      </c>
      <c r="Z155">
        <v>0</v>
      </c>
      <c r="AA155">
        <v>0</v>
      </c>
      <c r="AB155">
        <v>15</v>
      </c>
      <c r="AC155">
        <v>39</v>
      </c>
      <c r="AD155">
        <v>2</v>
      </c>
    </row>
    <row r="156" spans="1:30" x14ac:dyDescent="0.3">
      <c r="A156" t="s">
        <v>1042</v>
      </c>
      <c r="B156" t="s">
        <v>489</v>
      </c>
      <c r="C156" t="s">
        <v>1364</v>
      </c>
      <c r="D156">
        <v>55</v>
      </c>
      <c r="E156" t="s">
        <v>1406</v>
      </c>
      <c r="F156" t="s">
        <v>1422</v>
      </c>
      <c r="G156" t="s">
        <v>105</v>
      </c>
      <c r="H156" t="s">
        <v>1312</v>
      </c>
      <c r="I156" t="b">
        <v>1</v>
      </c>
      <c r="J156">
        <v>57</v>
      </c>
      <c r="K156">
        <v>1</v>
      </c>
      <c r="L156">
        <v>1</v>
      </c>
      <c r="M156">
        <v>11</v>
      </c>
      <c r="N156">
        <v>0</v>
      </c>
      <c r="O156">
        <v>2</v>
      </c>
      <c r="P156">
        <v>10</v>
      </c>
      <c r="Q156">
        <v>14</v>
      </c>
      <c r="R156">
        <v>3</v>
      </c>
      <c r="S156">
        <v>2</v>
      </c>
      <c r="T156">
        <v>8</v>
      </c>
      <c r="U156">
        <v>10</v>
      </c>
      <c r="V156">
        <v>16</v>
      </c>
      <c r="W156">
        <v>10</v>
      </c>
      <c r="X156">
        <v>26</v>
      </c>
      <c r="Y156">
        <v>29</v>
      </c>
      <c r="Z156">
        <v>0</v>
      </c>
      <c r="AA156">
        <v>0</v>
      </c>
      <c r="AB156">
        <v>15</v>
      </c>
      <c r="AC156">
        <v>39</v>
      </c>
      <c r="AD156">
        <v>2</v>
      </c>
    </row>
    <row r="157" spans="1:30" x14ac:dyDescent="0.3">
      <c r="A157" t="s">
        <v>1042</v>
      </c>
      <c r="B157" t="s">
        <v>489</v>
      </c>
      <c r="C157" t="s">
        <v>1365</v>
      </c>
      <c r="D157">
        <v>56</v>
      </c>
      <c r="E157" t="s">
        <v>1406</v>
      </c>
      <c r="F157" t="s">
        <v>1426</v>
      </c>
      <c r="G157" t="s">
        <v>164</v>
      </c>
      <c r="H157" t="s">
        <v>1286</v>
      </c>
      <c r="I157" t="b">
        <v>1</v>
      </c>
      <c r="J157">
        <v>56</v>
      </c>
      <c r="K157">
        <v>1</v>
      </c>
      <c r="L157">
        <v>0</v>
      </c>
      <c r="M157">
        <v>14</v>
      </c>
      <c r="N157">
        <v>0</v>
      </c>
      <c r="O157">
        <v>5</v>
      </c>
      <c r="P157">
        <v>25</v>
      </c>
      <c r="Q157">
        <v>29</v>
      </c>
      <c r="R157">
        <v>2</v>
      </c>
      <c r="S157">
        <v>0</v>
      </c>
      <c r="T157">
        <v>10</v>
      </c>
      <c r="U157">
        <v>0</v>
      </c>
      <c r="V157">
        <v>20</v>
      </c>
      <c r="W157">
        <v>10</v>
      </c>
      <c r="X157">
        <v>20</v>
      </c>
      <c r="Y157">
        <v>22</v>
      </c>
      <c r="Z157">
        <v>0</v>
      </c>
      <c r="AA157">
        <v>0</v>
      </c>
      <c r="AB157">
        <v>17</v>
      </c>
      <c r="AC157">
        <v>47</v>
      </c>
      <c r="AD157">
        <v>5</v>
      </c>
    </row>
    <row r="158" spans="1:30" x14ac:dyDescent="0.3">
      <c r="A158" t="s">
        <v>1042</v>
      </c>
      <c r="B158" t="s">
        <v>489</v>
      </c>
      <c r="C158" t="s">
        <v>1365</v>
      </c>
      <c r="D158">
        <v>56</v>
      </c>
      <c r="E158" t="s">
        <v>1406</v>
      </c>
      <c r="F158" t="s">
        <v>1424</v>
      </c>
      <c r="G158" t="s">
        <v>1409</v>
      </c>
      <c r="H158" t="s">
        <v>367</v>
      </c>
      <c r="I158" t="b">
        <v>1</v>
      </c>
      <c r="J158">
        <v>56</v>
      </c>
      <c r="K158">
        <v>1</v>
      </c>
      <c r="L158">
        <v>0</v>
      </c>
      <c r="M158">
        <v>14</v>
      </c>
      <c r="N158">
        <v>0</v>
      </c>
      <c r="O158">
        <v>5</v>
      </c>
      <c r="P158">
        <v>25</v>
      </c>
      <c r="Q158">
        <v>29</v>
      </c>
      <c r="R158">
        <v>2</v>
      </c>
      <c r="S158">
        <v>0</v>
      </c>
      <c r="T158">
        <v>10</v>
      </c>
      <c r="U158">
        <v>0</v>
      </c>
      <c r="V158">
        <v>20</v>
      </c>
      <c r="W158">
        <v>10</v>
      </c>
      <c r="X158">
        <v>20</v>
      </c>
      <c r="Y158">
        <v>22</v>
      </c>
      <c r="Z158">
        <v>0</v>
      </c>
      <c r="AA158">
        <v>0</v>
      </c>
      <c r="AB158">
        <v>17</v>
      </c>
      <c r="AC158">
        <v>47</v>
      </c>
      <c r="AD158">
        <v>5</v>
      </c>
    </row>
    <row r="159" spans="1:30" x14ac:dyDescent="0.3">
      <c r="A159" t="s">
        <v>1042</v>
      </c>
      <c r="B159" t="s">
        <v>489</v>
      </c>
      <c r="C159" t="s">
        <v>1365</v>
      </c>
      <c r="D159">
        <v>56</v>
      </c>
      <c r="E159" t="s">
        <v>1406</v>
      </c>
      <c r="F159" t="s">
        <v>1422</v>
      </c>
      <c r="G159" t="s">
        <v>105</v>
      </c>
      <c r="H159" t="s">
        <v>364</v>
      </c>
      <c r="I159" t="b">
        <v>1</v>
      </c>
      <c r="J159">
        <v>56</v>
      </c>
      <c r="K159">
        <v>1</v>
      </c>
      <c r="L159">
        <v>0</v>
      </c>
      <c r="M159">
        <v>14</v>
      </c>
      <c r="N159">
        <v>0</v>
      </c>
      <c r="O159">
        <v>5</v>
      </c>
      <c r="P159">
        <v>25</v>
      </c>
      <c r="Q159">
        <v>29</v>
      </c>
      <c r="R159">
        <v>2</v>
      </c>
      <c r="S159">
        <v>0</v>
      </c>
      <c r="T159">
        <v>10</v>
      </c>
      <c r="U159">
        <v>0</v>
      </c>
      <c r="V159">
        <v>20</v>
      </c>
      <c r="W159">
        <v>10</v>
      </c>
      <c r="X159">
        <v>20</v>
      </c>
      <c r="Y159">
        <v>22</v>
      </c>
      <c r="Z159">
        <v>0</v>
      </c>
      <c r="AA159">
        <v>0</v>
      </c>
      <c r="AB159">
        <v>17</v>
      </c>
      <c r="AC159">
        <v>47</v>
      </c>
      <c r="AD159">
        <v>5</v>
      </c>
    </row>
    <row r="160" spans="1:30" x14ac:dyDescent="0.3">
      <c r="A160" t="s">
        <v>1042</v>
      </c>
      <c r="B160" t="s">
        <v>489</v>
      </c>
      <c r="C160" t="s">
        <v>1304</v>
      </c>
      <c r="D160">
        <v>6</v>
      </c>
      <c r="E160" t="s">
        <v>1406</v>
      </c>
      <c r="F160" t="s">
        <v>1426</v>
      </c>
      <c r="G160" t="s">
        <v>164</v>
      </c>
      <c r="H160" t="s">
        <v>365</v>
      </c>
      <c r="I160" t="b">
        <v>1</v>
      </c>
      <c r="J160">
        <v>62</v>
      </c>
      <c r="K160">
        <v>1</v>
      </c>
      <c r="L160">
        <v>0</v>
      </c>
      <c r="M160">
        <v>10</v>
      </c>
      <c r="N160">
        <v>0</v>
      </c>
      <c r="O160">
        <v>3</v>
      </c>
      <c r="P160">
        <v>15</v>
      </c>
      <c r="Q160">
        <v>19</v>
      </c>
      <c r="R160">
        <v>3</v>
      </c>
      <c r="S160">
        <v>2</v>
      </c>
      <c r="T160">
        <v>10</v>
      </c>
      <c r="U160">
        <v>10</v>
      </c>
      <c r="V160">
        <v>20</v>
      </c>
      <c r="W160">
        <v>12</v>
      </c>
      <c r="X160">
        <v>30</v>
      </c>
      <c r="Y160">
        <v>33</v>
      </c>
      <c r="Z160">
        <v>0</v>
      </c>
      <c r="AA160">
        <v>0</v>
      </c>
      <c r="AB160">
        <v>18</v>
      </c>
      <c r="AC160">
        <v>48</v>
      </c>
      <c r="AD160">
        <v>5</v>
      </c>
    </row>
    <row r="161" spans="1:30" x14ac:dyDescent="0.3">
      <c r="A161" t="s">
        <v>1042</v>
      </c>
      <c r="B161" t="s">
        <v>489</v>
      </c>
      <c r="C161" t="s">
        <v>1304</v>
      </c>
      <c r="D161">
        <v>6</v>
      </c>
      <c r="E161" t="s">
        <v>1406</v>
      </c>
      <c r="F161" t="s">
        <v>1424</v>
      </c>
      <c r="G161" t="s">
        <v>1409</v>
      </c>
      <c r="H161" t="s">
        <v>1306</v>
      </c>
      <c r="I161" t="b">
        <v>1</v>
      </c>
      <c r="J161">
        <v>62</v>
      </c>
      <c r="K161">
        <v>1</v>
      </c>
      <c r="L161">
        <v>0</v>
      </c>
      <c r="M161">
        <v>10</v>
      </c>
      <c r="N161">
        <v>0</v>
      </c>
      <c r="O161">
        <v>3</v>
      </c>
      <c r="P161">
        <v>15</v>
      </c>
      <c r="Q161">
        <v>19</v>
      </c>
      <c r="R161">
        <v>3</v>
      </c>
      <c r="S161">
        <v>2</v>
      </c>
      <c r="T161">
        <v>10</v>
      </c>
      <c r="U161">
        <v>10</v>
      </c>
      <c r="V161">
        <v>20</v>
      </c>
      <c r="W161">
        <v>12</v>
      </c>
      <c r="X161">
        <v>30</v>
      </c>
      <c r="Y161">
        <v>33</v>
      </c>
      <c r="Z161">
        <v>0</v>
      </c>
      <c r="AA161">
        <v>0</v>
      </c>
      <c r="AB161">
        <v>18</v>
      </c>
      <c r="AC161">
        <v>48</v>
      </c>
      <c r="AD161">
        <v>5</v>
      </c>
    </row>
    <row r="162" spans="1:30" x14ac:dyDescent="0.3">
      <c r="A162" t="s">
        <v>1042</v>
      </c>
      <c r="B162" t="s">
        <v>489</v>
      </c>
      <c r="C162" t="s">
        <v>1304</v>
      </c>
      <c r="D162">
        <v>6</v>
      </c>
      <c r="E162" t="s">
        <v>1406</v>
      </c>
      <c r="F162" t="s">
        <v>1422</v>
      </c>
      <c r="G162" t="s">
        <v>105</v>
      </c>
      <c r="H162" t="s">
        <v>366</v>
      </c>
      <c r="I162" t="b">
        <v>1</v>
      </c>
      <c r="J162">
        <v>62</v>
      </c>
      <c r="K162">
        <v>1</v>
      </c>
      <c r="L162">
        <v>0</v>
      </c>
      <c r="M162">
        <v>10</v>
      </c>
      <c r="N162">
        <v>0</v>
      </c>
      <c r="O162">
        <v>3</v>
      </c>
      <c r="P162">
        <v>15</v>
      </c>
      <c r="Q162">
        <v>19</v>
      </c>
      <c r="R162">
        <v>3</v>
      </c>
      <c r="S162">
        <v>2</v>
      </c>
      <c r="T162">
        <v>10</v>
      </c>
      <c r="U162">
        <v>10</v>
      </c>
      <c r="V162">
        <v>20</v>
      </c>
      <c r="W162">
        <v>12</v>
      </c>
      <c r="X162">
        <v>30</v>
      </c>
      <c r="Y162">
        <v>33</v>
      </c>
      <c r="Z162">
        <v>0</v>
      </c>
      <c r="AA162">
        <v>0</v>
      </c>
      <c r="AB162">
        <v>18</v>
      </c>
      <c r="AC162">
        <v>48</v>
      </c>
      <c r="AD162">
        <v>5</v>
      </c>
    </row>
    <row r="163" spans="1:30" x14ac:dyDescent="0.3">
      <c r="A163" t="s">
        <v>1042</v>
      </c>
      <c r="B163" t="s">
        <v>489</v>
      </c>
      <c r="C163" t="s">
        <v>1307</v>
      </c>
      <c r="D163">
        <v>7</v>
      </c>
      <c r="E163" t="s">
        <v>1406</v>
      </c>
      <c r="F163" t="s">
        <v>1426</v>
      </c>
      <c r="G163" t="s">
        <v>164</v>
      </c>
      <c r="H163" t="s">
        <v>1310</v>
      </c>
      <c r="I163" t="b">
        <v>1</v>
      </c>
      <c r="J163">
        <v>27</v>
      </c>
      <c r="K163">
        <v>0</v>
      </c>
      <c r="L163">
        <v>0</v>
      </c>
      <c r="M163">
        <v>0</v>
      </c>
      <c r="N163">
        <v>0</v>
      </c>
      <c r="O163">
        <v>1</v>
      </c>
      <c r="P163">
        <v>5</v>
      </c>
      <c r="Q163">
        <v>11</v>
      </c>
      <c r="R163">
        <v>1</v>
      </c>
      <c r="S163">
        <v>0</v>
      </c>
      <c r="T163">
        <v>4</v>
      </c>
      <c r="U163">
        <v>0</v>
      </c>
      <c r="V163">
        <v>8</v>
      </c>
      <c r="W163">
        <v>4</v>
      </c>
      <c r="X163">
        <v>8</v>
      </c>
      <c r="Y163">
        <v>9</v>
      </c>
      <c r="Z163">
        <v>0</v>
      </c>
      <c r="AA163">
        <v>0</v>
      </c>
      <c r="AB163">
        <v>6</v>
      </c>
      <c r="AC163">
        <v>14</v>
      </c>
      <c r="AD163">
        <v>3</v>
      </c>
    </row>
    <row r="164" spans="1:30" x14ac:dyDescent="0.3">
      <c r="A164" t="s">
        <v>1042</v>
      </c>
      <c r="B164" t="s">
        <v>489</v>
      </c>
      <c r="C164" t="s">
        <v>1307</v>
      </c>
      <c r="D164">
        <v>7</v>
      </c>
      <c r="E164" t="s">
        <v>1406</v>
      </c>
      <c r="F164" t="s">
        <v>1424</v>
      </c>
      <c r="G164" t="s">
        <v>1409</v>
      </c>
      <c r="H164" t="s">
        <v>1311</v>
      </c>
      <c r="I164" t="b">
        <v>1</v>
      </c>
      <c r="J164">
        <v>27</v>
      </c>
      <c r="K164">
        <v>0</v>
      </c>
      <c r="L164">
        <v>0</v>
      </c>
      <c r="M164">
        <v>0</v>
      </c>
      <c r="N164">
        <v>0</v>
      </c>
      <c r="O164">
        <v>1</v>
      </c>
      <c r="P164">
        <v>5</v>
      </c>
      <c r="Q164">
        <v>11</v>
      </c>
      <c r="R164">
        <v>1</v>
      </c>
      <c r="S164">
        <v>0</v>
      </c>
      <c r="T164">
        <v>4</v>
      </c>
      <c r="U164">
        <v>0</v>
      </c>
      <c r="V164">
        <v>8</v>
      </c>
      <c r="W164">
        <v>4</v>
      </c>
      <c r="X164">
        <v>8</v>
      </c>
      <c r="Y164">
        <v>9</v>
      </c>
      <c r="Z164">
        <v>0</v>
      </c>
      <c r="AA164">
        <v>0</v>
      </c>
      <c r="AB164">
        <v>6</v>
      </c>
      <c r="AC164">
        <v>14</v>
      </c>
      <c r="AD164">
        <v>3</v>
      </c>
    </row>
    <row r="165" spans="1:30" x14ac:dyDescent="0.3">
      <c r="A165" t="s">
        <v>1042</v>
      </c>
      <c r="B165" t="s">
        <v>489</v>
      </c>
      <c r="C165" t="s">
        <v>1307</v>
      </c>
      <c r="D165">
        <v>7</v>
      </c>
      <c r="E165" t="s">
        <v>1406</v>
      </c>
      <c r="F165" t="s">
        <v>1422</v>
      </c>
      <c r="G165" t="s">
        <v>105</v>
      </c>
      <c r="H165" t="s">
        <v>1312</v>
      </c>
      <c r="I165" t="b">
        <v>1</v>
      </c>
      <c r="J165">
        <v>27</v>
      </c>
      <c r="K165">
        <v>0</v>
      </c>
      <c r="L165">
        <v>0</v>
      </c>
      <c r="M165">
        <v>0</v>
      </c>
      <c r="N165">
        <v>0</v>
      </c>
      <c r="O165">
        <v>1</v>
      </c>
      <c r="P165">
        <v>5</v>
      </c>
      <c r="Q165">
        <v>11</v>
      </c>
      <c r="R165">
        <v>1</v>
      </c>
      <c r="S165">
        <v>0</v>
      </c>
      <c r="T165">
        <v>4</v>
      </c>
      <c r="U165">
        <v>0</v>
      </c>
      <c r="V165">
        <v>8</v>
      </c>
      <c r="W165">
        <v>4</v>
      </c>
      <c r="X165">
        <v>8</v>
      </c>
      <c r="Y165">
        <v>9</v>
      </c>
      <c r="Z165">
        <v>0</v>
      </c>
      <c r="AA165">
        <v>0</v>
      </c>
      <c r="AB165">
        <v>6</v>
      </c>
      <c r="AC165">
        <v>14</v>
      </c>
      <c r="AD165">
        <v>3</v>
      </c>
    </row>
    <row r="166" spans="1:30" x14ac:dyDescent="0.3">
      <c r="A166" t="s">
        <v>1042</v>
      </c>
      <c r="B166" t="s">
        <v>489</v>
      </c>
      <c r="C166" t="s">
        <v>1313</v>
      </c>
      <c r="D166">
        <v>8</v>
      </c>
      <c r="E166" t="s">
        <v>1406</v>
      </c>
      <c r="F166" t="s">
        <v>1426</v>
      </c>
      <c r="G166" t="s">
        <v>164</v>
      </c>
      <c r="H166" t="s">
        <v>361</v>
      </c>
      <c r="I166" t="b">
        <v>1</v>
      </c>
      <c r="J166">
        <v>71</v>
      </c>
      <c r="K166">
        <v>1</v>
      </c>
      <c r="L166">
        <v>0</v>
      </c>
      <c r="M166">
        <v>2</v>
      </c>
      <c r="N166">
        <v>0</v>
      </c>
      <c r="O166">
        <v>3</v>
      </c>
      <c r="P166">
        <v>15</v>
      </c>
      <c r="Q166">
        <v>21</v>
      </c>
      <c r="R166">
        <v>7</v>
      </c>
      <c r="S166">
        <v>6</v>
      </c>
      <c r="T166">
        <v>3</v>
      </c>
      <c r="U166">
        <v>30</v>
      </c>
      <c r="V166">
        <v>6</v>
      </c>
      <c r="W166">
        <v>9</v>
      </c>
      <c r="X166">
        <v>36</v>
      </c>
      <c r="Y166">
        <v>43</v>
      </c>
      <c r="Z166">
        <v>0</v>
      </c>
      <c r="AA166">
        <v>0</v>
      </c>
      <c r="AB166">
        <v>19</v>
      </c>
      <c r="AC166">
        <v>58</v>
      </c>
      <c r="AD166">
        <v>5</v>
      </c>
    </row>
    <row r="167" spans="1:30" x14ac:dyDescent="0.3">
      <c r="A167" t="s">
        <v>1042</v>
      </c>
      <c r="B167" t="s">
        <v>489</v>
      </c>
      <c r="C167" t="s">
        <v>1313</v>
      </c>
      <c r="D167">
        <v>8</v>
      </c>
      <c r="E167" t="s">
        <v>1406</v>
      </c>
      <c r="F167" t="s">
        <v>1424</v>
      </c>
      <c r="G167" t="s">
        <v>1409</v>
      </c>
      <c r="H167" t="s">
        <v>373</v>
      </c>
      <c r="I167" t="b">
        <v>1</v>
      </c>
      <c r="J167">
        <v>71</v>
      </c>
      <c r="K167">
        <v>1</v>
      </c>
      <c r="L167">
        <v>0</v>
      </c>
      <c r="M167">
        <v>2</v>
      </c>
      <c r="N167">
        <v>0</v>
      </c>
      <c r="O167">
        <v>3</v>
      </c>
      <c r="P167">
        <v>15</v>
      </c>
      <c r="Q167">
        <v>21</v>
      </c>
      <c r="R167">
        <v>7</v>
      </c>
      <c r="S167">
        <v>6</v>
      </c>
      <c r="T167">
        <v>3</v>
      </c>
      <c r="U167">
        <v>30</v>
      </c>
      <c r="V167">
        <v>6</v>
      </c>
      <c r="W167">
        <v>9</v>
      </c>
      <c r="X167">
        <v>36</v>
      </c>
      <c r="Y167">
        <v>43</v>
      </c>
      <c r="Z167">
        <v>0</v>
      </c>
      <c r="AA167">
        <v>0</v>
      </c>
      <c r="AB167">
        <v>19</v>
      </c>
      <c r="AC167">
        <v>58</v>
      </c>
      <c r="AD167">
        <v>5</v>
      </c>
    </row>
    <row r="168" spans="1:30" x14ac:dyDescent="0.3">
      <c r="A168" t="s">
        <v>1042</v>
      </c>
      <c r="B168" t="s">
        <v>489</v>
      </c>
      <c r="C168" t="s">
        <v>1313</v>
      </c>
      <c r="D168">
        <v>8</v>
      </c>
      <c r="E168" t="s">
        <v>1406</v>
      </c>
      <c r="F168" t="s">
        <v>1422</v>
      </c>
      <c r="G168" t="s">
        <v>105</v>
      </c>
      <c r="H168" t="s">
        <v>1315</v>
      </c>
      <c r="I168" t="b">
        <v>1</v>
      </c>
      <c r="J168">
        <v>71</v>
      </c>
      <c r="K168">
        <v>1</v>
      </c>
      <c r="L168">
        <v>0</v>
      </c>
      <c r="M168">
        <v>2</v>
      </c>
      <c r="N168">
        <v>0</v>
      </c>
      <c r="O168">
        <v>3</v>
      </c>
      <c r="P168">
        <v>15</v>
      </c>
      <c r="Q168">
        <v>21</v>
      </c>
      <c r="R168">
        <v>7</v>
      </c>
      <c r="S168">
        <v>6</v>
      </c>
      <c r="T168">
        <v>3</v>
      </c>
      <c r="U168">
        <v>30</v>
      </c>
      <c r="V168">
        <v>6</v>
      </c>
      <c r="W168">
        <v>9</v>
      </c>
      <c r="X168">
        <v>36</v>
      </c>
      <c r="Y168">
        <v>43</v>
      </c>
      <c r="Z168">
        <v>0</v>
      </c>
      <c r="AA168">
        <v>0</v>
      </c>
      <c r="AB168">
        <v>19</v>
      </c>
      <c r="AC168">
        <v>58</v>
      </c>
      <c r="AD168">
        <v>5</v>
      </c>
    </row>
    <row r="169" spans="1:30" x14ac:dyDescent="0.3">
      <c r="A169" t="s">
        <v>1042</v>
      </c>
      <c r="B169" t="s">
        <v>489</v>
      </c>
      <c r="C169" t="s">
        <v>1316</v>
      </c>
      <c r="D169">
        <v>9</v>
      </c>
      <c r="E169" t="s">
        <v>1406</v>
      </c>
      <c r="F169" t="s">
        <v>1426</v>
      </c>
      <c r="G169" t="s">
        <v>164</v>
      </c>
      <c r="H169" t="s">
        <v>1318</v>
      </c>
      <c r="I169" t="b">
        <v>0</v>
      </c>
      <c r="J169">
        <v>36</v>
      </c>
      <c r="K169">
        <v>0</v>
      </c>
      <c r="L169">
        <v>0</v>
      </c>
      <c r="M169">
        <v>0</v>
      </c>
      <c r="N169">
        <v>0</v>
      </c>
      <c r="O169">
        <v>1</v>
      </c>
      <c r="P169">
        <v>5</v>
      </c>
      <c r="Q169">
        <v>11</v>
      </c>
      <c r="R169">
        <v>0</v>
      </c>
      <c r="S169">
        <v>0</v>
      </c>
      <c r="T169">
        <v>10</v>
      </c>
      <c r="U169">
        <v>0</v>
      </c>
      <c r="V169">
        <v>20</v>
      </c>
      <c r="W169">
        <v>10</v>
      </c>
      <c r="X169">
        <v>20</v>
      </c>
      <c r="Y169">
        <v>20</v>
      </c>
      <c r="Z169">
        <v>0</v>
      </c>
      <c r="AA169">
        <v>0</v>
      </c>
      <c r="AB169">
        <v>11</v>
      </c>
      <c r="AC169">
        <v>25</v>
      </c>
      <c r="AD169">
        <v>5</v>
      </c>
    </row>
    <row r="170" spans="1:30" x14ac:dyDescent="0.3">
      <c r="A170" t="s">
        <v>1042</v>
      </c>
      <c r="B170" t="s">
        <v>489</v>
      </c>
      <c r="C170" t="s">
        <v>1316</v>
      </c>
      <c r="D170">
        <v>9</v>
      </c>
      <c r="E170" t="s">
        <v>1406</v>
      </c>
      <c r="F170" t="s">
        <v>1424</v>
      </c>
      <c r="G170" t="s">
        <v>1409</v>
      </c>
      <c r="H170" t="s">
        <v>369</v>
      </c>
      <c r="I170" t="b">
        <v>0</v>
      </c>
      <c r="J170">
        <v>36</v>
      </c>
      <c r="K170">
        <v>0</v>
      </c>
      <c r="L170">
        <v>0</v>
      </c>
      <c r="M170">
        <v>0</v>
      </c>
      <c r="N170">
        <v>0</v>
      </c>
      <c r="O170">
        <v>1</v>
      </c>
      <c r="P170">
        <v>5</v>
      </c>
      <c r="Q170">
        <v>11</v>
      </c>
      <c r="R170">
        <v>0</v>
      </c>
      <c r="S170">
        <v>0</v>
      </c>
      <c r="T170">
        <v>10</v>
      </c>
      <c r="U170">
        <v>0</v>
      </c>
      <c r="V170">
        <v>20</v>
      </c>
      <c r="W170">
        <v>10</v>
      </c>
      <c r="X170">
        <v>20</v>
      </c>
      <c r="Y170">
        <v>20</v>
      </c>
      <c r="Z170">
        <v>0</v>
      </c>
      <c r="AA170">
        <v>0</v>
      </c>
      <c r="AB170">
        <v>11</v>
      </c>
      <c r="AC170">
        <v>25</v>
      </c>
      <c r="AD170">
        <v>5</v>
      </c>
    </row>
    <row r="171" spans="1:30" x14ac:dyDescent="0.3">
      <c r="A171" t="s">
        <v>1042</v>
      </c>
      <c r="B171" t="s">
        <v>489</v>
      </c>
      <c r="C171" t="s">
        <v>1316</v>
      </c>
      <c r="D171">
        <v>9</v>
      </c>
      <c r="E171" t="s">
        <v>1406</v>
      </c>
      <c r="F171" t="s">
        <v>1422</v>
      </c>
      <c r="G171" t="s">
        <v>105</v>
      </c>
      <c r="H171" t="s">
        <v>1288</v>
      </c>
      <c r="I171" t="b">
        <v>0</v>
      </c>
      <c r="J171">
        <v>36</v>
      </c>
      <c r="K171">
        <v>0</v>
      </c>
      <c r="L171">
        <v>0</v>
      </c>
      <c r="M171">
        <v>0</v>
      </c>
      <c r="N171">
        <v>0</v>
      </c>
      <c r="O171">
        <v>1</v>
      </c>
      <c r="P171">
        <v>5</v>
      </c>
      <c r="Q171">
        <v>11</v>
      </c>
      <c r="R171">
        <v>0</v>
      </c>
      <c r="S171">
        <v>0</v>
      </c>
      <c r="T171">
        <v>10</v>
      </c>
      <c r="U171">
        <v>0</v>
      </c>
      <c r="V171">
        <v>20</v>
      </c>
      <c r="W171">
        <v>10</v>
      </c>
      <c r="X171">
        <v>20</v>
      </c>
      <c r="Y171">
        <v>20</v>
      </c>
      <c r="Z171">
        <v>0</v>
      </c>
      <c r="AA171">
        <v>0</v>
      </c>
      <c r="AB171">
        <v>11</v>
      </c>
      <c r="AC171">
        <v>25</v>
      </c>
      <c r="AD171">
        <v>5</v>
      </c>
    </row>
  </sheetData>
  <phoneticPr fontId="7"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A1349-AED0-4A7E-8EDC-AC58D6BE46B1}">
  <sheetPr codeName="Sheet16">
    <tabColor rgb="FF00B050"/>
  </sheetPr>
  <dimension ref="A1:J78"/>
  <sheetViews>
    <sheetView workbookViewId="0">
      <selection activeCell="J35" sqref="J35"/>
    </sheetView>
  </sheetViews>
  <sheetFormatPr defaultRowHeight="14.4" x14ac:dyDescent="0.3"/>
  <cols>
    <col min="1" max="1" width="12" bestFit="1" customWidth="1"/>
    <col min="2" max="2" width="12.88671875" bestFit="1" customWidth="1"/>
    <col min="3" max="3" width="13.88671875" bestFit="1" customWidth="1"/>
    <col min="4" max="4" width="16.33203125" bestFit="1" customWidth="1"/>
    <col min="5" max="7" width="7.88671875" bestFit="1" customWidth="1"/>
    <col min="8" max="10" width="7.44140625" bestFit="1" customWidth="1"/>
    <col min="11" max="11" width="9.6640625" bestFit="1" customWidth="1"/>
    <col min="12" max="12" width="9.33203125" bestFit="1" customWidth="1"/>
    <col min="13" max="13" width="7.33203125" bestFit="1" customWidth="1"/>
    <col min="14" max="14" width="7.88671875" bestFit="1" customWidth="1"/>
    <col min="15" max="15" width="13.6640625" bestFit="1" customWidth="1"/>
    <col min="16" max="16" width="7.88671875" bestFit="1" customWidth="1"/>
    <col min="17" max="17" width="12.88671875" bestFit="1" customWidth="1"/>
    <col min="18" max="18" width="8.33203125" bestFit="1" customWidth="1"/>
    <col min="19" max="19" width="8" bestFit="1" customWidth="1"/>
    <col min="20" max="20" width="7.88671875" bestFit="1" customWidth="1"/>
    <col min="21" max="21" width="9.88671875" bestFit="1" customWidth="1"/>
    <col min="22" max="22" width="8" bestFit="1" customWidth="1"/>
    <col min="23" max="23" width="7.6640625" bestFit="1" customWidth="1"/>
    <col min="24" max="24" width="10.33203125" bestFit="1" customWidth="1"/>
    <col min="25" max="25" width="7.6640625" bestFit="1" customWidth="1"/>
    <col min="26" max="26" width="10.88671875" bestFit="1" customWidth="1"/>
    <col min="27" max="27" width="9.88671875" bestFit="1" customWidth="1"/>
    <col min="28" max="28" width="10.44140625" bestFit="1" customWidth="1"/>
  </cols>
  <sheetData>
    <row r="1" spans="1:10" x14ac:dyDescent="0.3">
      <c r="A1" t="s">
        <v>493</v>
      </c>
      <c r="B1" t="s">
        <v>494</v>
      </c>
      <c r="C1" t="s">
        <v>495</v>
      </c>
      <c r="D1" t="s">
        <v>496</v>
      </c>
      <c r="E1" t="s">
        <v>497</v>
      </c>
      <c r="F1" t="s">
        <v>498</v>
      </c>
      <c r="G1" t="s">
        <v>499</v>
      </c>
      <c r="H1" t="s">
        <v>500</v>
      </c>
      <c r="I1" t="s">
        <v>501</v>
      </c>
      <c r="J1" t="s">
        <v>502</v>
      </c>
    </row>
    <row r="2" spans="1:10" x14ac:dyDescent="0.3">
      <c r="A2" t="s">
        <v>1042</v>
      </c>
      <c r="B2" t="s">
        <v>489</v>
      </c>
      <c r="C2" t="s">
        <v>1274</v>
      </c>
      <c r="D2">
        <v>1</v>
      </c>
      <c r="E2" t="s">
        <v>1275</v>
      </c>
      <c r="F2" t="s">
        <v>1276</v>
      </c>
      <c r="G2" t="s">
        <v>1277</v>
      </c>
      <c r="H2" t="s">
        <v>1278</v>
      </c>
      <c r="I2" t="s">
        <v>1279</v>
      </c>
      <c r="J2" t="s">
        <v>1280</v>
      </c>
    </row>
    <row r="3" spans="1:10" x14ac:dyDescent="0.3">
      <c r="A3" t="s">
        <v>1042</v>
      </c>
      <c r="B3" t="s">
        <v>489</v>
      </c>
      <c r="C3" t="s">
        <v>1281</v>
      </c>
      <c r="D3">
        <v>2</v>
      </c>
      <c r="E3" t="s">
        <v>370</v>
      </c>
      <c r="F3" t="s">
        <v>1282</v>
      </c>
      <c r="G3" t="s">
        <v>1283</v>
      </c>
      <c r="H3" t="s">
        <v>1284</v>
      </c>
      <c r="I3" t="s">
        <v>1285</v>
      </c>
      <c r="J3" t="s">
        <v>1286</v>
      </c>
    </row>
    <row r="4" spans="1:10" x14ac:dyDescent="0.3">
      <c r="A4" t="s">
        <v>1042</v>
      </c>
      <c r="B4" t="s">
        <v>489</v>
      </c>
      <c r="C4" t="s">
        <v>1287</v>
      </c>
      <c r="D4">
        <v>3</v>
      </c>
      <c r="E4" t="s">
        <v>1288</v>
      </c>
      <c r="F4" t="s">
        <v>1289</v>
      </c>
      <c r="G4" t="s">
        <v>1290</v>
      </c>
      <c r="H4" t="s">
        <v>367</v>
      </c>
      <c r="I4" t="s">
        <v>1291</v>
      </c>
      <c r="J4" t="s">
        <v>1292</v>
      </c>
    </row>
    <row r="5" spans="1:10" x14ac:dyDescent="0.3">
      <c r="A5" t="s">
        <v>1042</v>
      </c>
      <c r="B5" t="s">
        <v>489</v>
      </c>
      <c r="C5" t="s">
        <v>1293</v>
      </c>
      <c r="D5">
        <v>4</v>
      </c>
      <c r="E5" t="s">
        <v>1294</v>
      </c>
      <c r="F5" t="s">
        <v>1295</v>
      </c>
      <c r="G5" t="s">
        <v>1296</v>
      </c>
      <c r="H5" t="s">
        <v>1297</v>
      </c>
      <c r="I5" t="s">
        <v>360</v>
      </c>
      <c r="J5" t="s">
        <v>1298</v>
      </c>
    </row>
    <row r="6" spans="1:10" x14ac:dyDescent="0.3">
      <c r="A6" t="s">
        <v>1042</v>
      </c>
      <c r="B6" t="s">
        <v>489</v>
      </c>
      <c r="C6" t="s">
        <v>1299</v>
      </c>
      <c r="D6">
        <v>5</v>
      </c>
      <c r="E6" t="s">
        <v>371</v>
      </c>
      <c r="F6" t="s">
        <v>1300</v>
      </c>
      <c r="G6" t="s">
        <v>362</v>
      </c>
      <c r="H6" t="s">
        <v>1301</v>
      </c>
      <c r="I6" t="s">
        <v>1302</v>
      </c>
      <c r="J6" t="s">
        <v>1303</v>
      </c>
    </row>
    <row r="7" spans="1:10" x14ac:dyDescent="0.3">
      <c r="A7" t="s">
        <v>1042</v>
      </c>
      <c r="B7" t="s">
        <v>489</v>
      </c>
      <c r="C7" t="s">
        <v>1304</v>
      </c>
      <c r="D7">
        <v>6</v>
      </c>
      <c r="E7" t="s">
        <v>1305</v>
      </c>
      <c r="F7" t="s">
        <v>372</v>
      </c>
      <c r="G7" t="s">
        <v>318</v>
      </c>
      <c r="H7" t="s">
        <v>365</v>
      </c>
      <c r="I7" t="s">
        <v>1306</v>
      </c>
      <c r="J7" t="s">
        <v>366</v>
      </c>
    </row>
    <row r="8" spans="1:10" x14ac:dyDescent="0.3">
      <c r="A8" t="s">
        <v>1042</v>
      </c>
      <c r="B8" t="s">
        <v>489</v>
      </c>
      <c r="C8" t="s">
        <v>1307</v>
      </c>
      <c r="D8">
        <v>7</v>
      </c>
      <c r="E8" t="s">
        <v>1308</v>
      </c>
      <c r="F8" t="s">
        <v>1309</v>
      </c>
      <c r="G8" t="s">
        <v>364</v>
      </c>
      <c r="H8" t="s">
        <v>1310</v>
      </c>
      <c r="I8" t="s">
        <v>1311</v>
      </c>
      <c r="J8" t="s">
        <v>1312</v>
      </c>
    </row>
    <row r="9" spans="1:10" x14ac:dyDescent="0.3">
      <c r="A9" t="s">
        <v>1042</v>
      </c>
      <c r="B9" t="s">
        <v>489</v>
      </c>
      <c r="C9" t="s">
        <v>1313</v>
      </c>
      <c r="D9">
        <v>8</v>
      </c>
      <c r="E9" t="s">
        <v>1314</v>
      </c>
      <c r="F9" t="s">
        <v>363</v>
      </c>
      <c r="G9" t="s">
        <v>368</v>
      </c>
      <c r="H9" t="s">
        <v>361</v>
      </c>
      <c r="I9" t="s">
        <v>373</v>
      </c>
      <c r="J9" t="s">
        <v>1315</v>
      </c>
    </row>
    <row r="10" spans="1:10" x14ac:dyDescent="0.3">
      <c r="A10" t="s">
        <v>1042</v>
      </c>
      <c r="B10" t="s">
        <v>489</v>
      </c>
      <c r="C10" t="s">
        <v>1316</v>
      </c>
      <c r="D10">
        <v>9</v>
      </c>
      <c r="E10" t="s">
        <v>1294</v>
      </c>
      <c r="F10" t="s">
        <v>1276</v>
      </c>
      <c r="G10" t="s">
        <v>1317</v>
      </c>
      <c r="H10" t="s">
        <v>1318</v>
      </c>
      <c r="I10" t="s">
        <v>369</v>
      </c>
      <c r="J10" t="s">
        <v>1288</v>
      </c>
    </row>
    <row r="11" spans="1:10" x14ac:dyDescent="0.3">
      <c r="A11" t="s">
        <v>1042</v>
      </c>
      <c r="B11" t="s">
        <v>489</v>
      </c>
      <c r="C11" t="s">
        <v>1319</v>
      </c>
      <c r="D11">
        <v>10</v>
      </c>
      <c r="E11" t="s">
        <v>1279</v>
      </c>
      <c r="F11" t="s">
        <v>370</v>
      </c>
      <c r="G11" t="s">
        <v>367</v>
      </c>
      <c r="H11" t="s">
        <v>362</v>
      </c>
      <c r="I11" t="s">
        <v>1296</v>
      </c>
      <c r="J11" t="s">
        <v>1302</v>
      </c>
    </row>
    <row r="12" spans="1:10" x14ac:dyDescent="0.3">
      <c r="A12" t="s">
        <v>1042</v>
      </c>
      <c r="B12" t="s">
        <v>489</v>
      </c>
      <c r="C12" t="s">
        <v>1320</v>
      </c>
      <c r="D12">
        <v>11</v>
      </c>
      <c r="E12" t="s">
        <v>1275</v>
      </c>
      <c r="F12" t="s">
        <v>1284</v>
      </c>
      <c r="G12" t="s">
        <v>1291</v>
      </c>
      <c r="H12" t="s">
        <v>1303</v>
      </c>
      <c r="I12" t="s">
        <v>1285</v>
      </c>
      <c r="J12" t="s">
        <v>371</v>
      </c>
    </row>
    <row r="13" spans="1:10" x14ac:dyDescent="0.3">
      <c r="A13" t="s">
        <v>1042</v>
      </c>
      <c r="B13" t="s">
        <v>489</v>
      </c>
      <c r="C13" t="s">
        <v>1321</v>
      </c>
      <c r="D13">
        <v>12</v>
      </c>
      <c r="E13" t="s">
        <v>1297</v>
      </c>
      <c r="F13" t="s">
        <v>1300</v>
      </c>
      <c r="G13" t="s">
        <v>1283</v>
      </c>
      <c r="H13" t="s">
        <v>1292</v>
      </c>
      <c r="I13" t="s">
        <v>1305</v>
      </c>
      <c r="J13" t="s">
        <v>365</v>
      </c>
    </row>
    <row r="14" spans="1:10" x14ac:dyDescent="0.3">
      <c r="A14" t="s">
        <v>1042</v>
      </c>
      <c r="B14" t="s">
        <v>489</v>
      </c>
      <c r="C14" t="s">
        <v>1322</v>
      </c>
      <c r="D14">
        <v>13</v>
      </c>
      <c r="E14" t="s">
        <v>366</v>
      </c>
      <c r="F14" t="s">
        <v>360</v>
      </c>
      <c r="G14" t="s">
        <v>1314</v>
      </c>
      <c r="H14" t="s">
        <v>1310</v>
      </c>
      <c r="I14" t="s">
        <v>1290</v>
      </c>
      <c r="J14" t="s">
        <v>368</v>
      </c>
    </row>
    <row r="15" spans="1:10" x14ac:dyDescent="0.3">
      <c r="A15" t="s">
        <v>1042</v>
      </c>
      <c r="B15" t="s">
        <v>489</v>
      </c>
      <c r="C15" t="s">
        <v>1323</v>
      </c>
      <c r="D15">
        <v>14</v>
      </c>
      <c r="E15" t="s">
        <v>1298</v>
      </c>
      <c r="F15" t="s">
        <v>364</v>
      </c>
      <c r="G15" t="s">
        <v>1317</v>
      </c>
      <c r="H15" t="s">
        <v>1289</v>
      </c>
      <c r="I15" t="s">
        <v>1309</v>
      </c>
      <c r="J15" t="s">
        <v>372</v>
      </c>
    </row>
    <row r="16" spans="1:10" x14ac:dyDescent="0.3">
      <c r="A16" t="s">
        <v>1042</v>
      </c>
      <c r="B16" t="s">
        <v>489</v>
      </c>
      <c r="C16" t="s">
        <v>1324</v>
      </c>
      <c r="D16">
        <v>15</v>
      </c>
      <c r="E16" t="s">
        <v>363</v>
      </c>
      <c r="F16" t="s">
        <v>1286</v>
      </c>
      <c r="G16" t="s">
        <v>1308</v>
      </c>
      <c r="H16" t="s">
        <v>369</v>
      </c>
      <c r="I16" t="s">
        <v>1277</v>
      </c>
      <c r="J16" t="s">
        <v>1301</v>
      </c>
    </row>
    <row r="17" spans="1:10" x14ac:dyDescent="0.3">
      <c r="A17" t="s">
        <v>1042</v>
      </c>
      <c r="B17" t="s">
        <v>489</v>
      </c>
      <c r="C17" t="s">
        <v>1325</v>
      </c>
      <c r="D17">
        <v>16</v>
      </c>
      <c r="E17" t="s">
        <v>1318</v>
      </c>
      <c r="F17" t="s">
        <v>1295</v>
      </c>
      <c r="G17" t="s">
        <v>1311</v>
      </c>
      <c r="H17" t="s">
        <v>1306</v>
      </c>
      <c r="I17" t="s">
        <v>1280</v>
      </c>
      <c r="J17" t="s">
        <v>1315</v>
      </c>
    </row>
    <row r="18" spans="1:10" x14ac:dyDescent="0.3">
      <c r="A18" t="s">
        <v>1042</v>
      </c>
      <c r="B18" t="s">
        <v>489</v>
      </c>
      <c r="C18" t="s">
        <v>1326</v>
      </c>
      <c r="D18">
        <v>17</v>
      </c>
      <c r="E18" t="s">
        <v>1312</v>
      </c>
      <c r="F18" t="s">
        <v>373</v>
      </c>
      <c r="G18" t="s">
        <v>1282</v>
      </c>
      <c r="H18" t="s">
        <v>361</v>
      </c>
      <c r="I18" t="s">
        <v>1278</v>
      </c>
      <c r="J18" t="s">
        <v>318</v>
      </c>
    </row>
    <row r="19" spans="1:10" x14ac:dyDescent="0.3">
      <c r="A19" t="s">
        <v>1042</v>
      </c>
      <c r="B19" t="s">
        <v>489</v>
      </c>
      <c r="C19" t="s">
        <v>1327</v>
      </c>
      <c r="D19">
        <v>18</v>
      </c>
      <c r="E19" t="s">
        <v>371</v>
      </c>
      <c r="F19" t="s">
        <v>1291</v>
      </c>
      <c r="G19" t="s">
        <v>1290</v>
      </c>
      <c r="H19" t="s">
        <v>1294</v>
      </c>
      <c r="I19" t="s">
        <v>1310</v>
      </c>
      <c r="J19" t="s">
        <v>365</v>
      </c>
    </row>
    <row r="20" spans="1:10" x14ac:dyDescent="0.3">
      <c r="A20" t="s">
        <v>1042</v>
      </c>
      <c r="B20" t="s">
        <v>489</v>
      </c>
      <c r="C20" t="s">
        <v>1328</v>
      </c>
      <c r="D20">
        <v>19</v>
      </c>
      <c r="E20" t="s">
        <v>1292</v>
      </c>
      <c r="F20" t="s">
        <v>1298</v>
      </c>
      <c r="G20" t="s">
        <v>1288</v>
      </c>
      <c r="H20" t="s">
        <v>370</v>
      </c>
      <c r="I20" t="s">
        <v>1303</v>
      </c>
      <c r="J20" t="s">
        <v>364</v>
      </c>
    </row>
    <row r="21" spans="1:10" x14ac:dyDescent="0.3">
      <c r="A21" t="s">
        <v>1042</v>
      </c>
      <c r="B21" t="s">
        <v>489</v>
      </c>
      <c r="C21" t="s">
        <v>1329</v>
      </c>
      <c r="D21">
        <v>20</v>
      </c>
      <c r="E21" t="s">
        <v>1308</v>
      </c>
      <c r="F21" t="s">
        <v>368</v>
      </c>
      <c r="G21" t="s">
        <v>1277</v>
      </c>
      <c r="H21" t="s">
        <v>1317</v>
      </c>
      <c r="I21" t="s">
        <v>362</v>
      </c>
      <c r="J21" t="s">
        <v>367</v>
      </c>
    </row>
    <row r="22" spans="1:10" x14ac:dyDescent="0.3">
      <c r="A22" t="s">
        <v>1042</v>
      </c>
      <c r="B22" t="s">
        <v>489</v>
      </c>
      <c r="C22" t="s">
        <v>1330</v>
      </c>
      <c r="D22">
        <v>21</v>
      </c>
      <c r="E22" t="s">
        <v>1279</v>
      </c>
      <c r="F22" t="s">
        <v>1286</v>
      </c>
      <c r="G22" t="s">
        <v>1311</v>
      </c>
      <c r="H22" t="s">
        <v>1300</v>
      </c>
      <c r="I22" t="s">
        <v>363</v>
      </c>
      <c r="J22" t="s">
        <v>1318</v>
      </c>
    </row>
    <row r="23" spans="1:10" x14ac:dyDescent="0.3">
      <c r="A23" t="s">
        <v>1042</v>
      </c>
      <c r="B23" t="s">
        <v>489</v>
      </c>
      <c r="C23" t="s">
        <v>1331</v>
      </c>
      <c r="D23">
        <v>22</v>
      </c>
      <c r="E23" t="s">
        <v>1302</v>
      </c>
      <c r="F23" t="s">
        <v>318</v>
      </c>
      <c r="G23" t="s">
        <v>1275</v>
      </c>
      <c r="H23" t="s">
        <v>1283</v>
      </c>
      <c r="I23" t="s">
        <v>1314</v>
      </c>
      <c r="J23" t="s">
        <v>1305</v>
      </c>
    </row>
    <row r="24" spans="1:10" x14ac:dyDescent="0.3">
      <c r="A24" t="s">
        <v>1042</v>
      </c>
      <c r="B24" t="s">
        <v>489</v>
      </c>
      <c r="C24" t="s">
        <v>1332</v>
      </c>
      <c r="D24">
        <v>23</v>
      </c>
      <c r="E24" t="s">
        <v>1282</v>
      </c>
      <c r="F24" t="s">
        <v>366</v>
      </c>
      <c r="G24" t="s">
        <v>361</v>
      </c>
      <c r="H24" t="s">
        <v>1301</v>
      </c>
      <c r="I24" t="s">
        <v>360</v>
      </c>
      <c r="J24" t="s">
        <v>1280</v>
      </c>
    </row>
    <row r="25" spans="1:10" x14ac:dyDescent="0.3">
      <c r="A25" t="s">
        <v>1042</v>
      </c>
      <c r="B25" t="s">
        <v>489</v>
      </c>
      <c r="C25" t="s">
        <v>1333</v>
      </c>
      <c r="D25">
        <v>24</v>
      </c>
      <c r="E25" t="s">
        <v>1306</v>
      </c>
      <c r="F25" t="s">
        <v>369</v>
      </c>
      <c r="G25" t="s">
        <v>1289</v>
      </c>
      <c r="H25" t="s">
        <v>1315</v>
      </c>
      <c r="I25" t="s">
        <v>1312</v>
      </c>
      <c r="J25" t="s">
        <v>1297</v>
      </c>
    </row>
    <row r="26" spans="1:10" x14ac:dyDescent="0.3">
      <c r="A26" t="s">
        <v>1042</v>
      </c>
      <c r="B26" t="s">
        <v>489</v>
      </c>
      <c r="C26" t="s">
        <v>1334</v>
      </c>
      <c r="D26">
        <v>25</v>
      </c>
      <c r="E26" t="s">
        <v>1295</v>
      </c>
      <c r="F26" t="s">
        <v>1278</v>
      </c>
      <c r="G26" t="s">
        <v>1285</v>
      </c>
      <c r="H26" t="s">
        <v>1296</v>
      </c>
      <c r="I26" t="s">
        <v>1309</v>
      </c>
      <c r="J26" t="s">
        <v>373</v>
      </c>
    </row>
    <row r="27" spans="1:10" x14ac:dyDescent="0.3">
      <c r="A27" t="s">
        <v>1042</v>
      </c>
      <c r="B27" t="s">
        <v>489</v>
      </c>
      <c r="C27" t="s">
        <v>1335</v>
      </c>
      <c r="D27">
        <v>26</v>
      </c>
      <c r="E27" t="s">
        <v>1284</v>
      </c>
      <c r="F27" t="s">
        <v>372</v>
      </c>
      <c r="G27" t="s">
        <v>1294</v>
      </c>
      <c r="H27" t="s">
        <v>1279</v>
      </c>
      <c r="I27" t="s">
        <v>1308</v>
      </c>
      <c r="J27" t="s">
        <v>1276</v>
      </c>
    </row>
    <row r="28" spans="1:10" x14ac:dyDescent="0.3">
      <c r="A28" t="s">
        <v>1042</v>
      </c>
      <c r="B28" t="s">
        <v>489</v>
      </c>
      <c r="C28" t="s">
        <v>1336</v>
      </c>
      <c r="D28">
        <v>27</v>
      </c>
      <c r="E28" t="s">
        <v>1305</v>
      </c>
      <c r="F28" t="s">
        <v>367</v>
      </c>
      <c r="G28" t="s">
        <v>1318</v>
      </c>
      <c r="H28" t="s">
        <v>1298</v>
      </c>
      <c r="I28" t="s">
        <v>370</v>
      </c>
      <c r="J28" t="s">
        <v>363</v>
      </c>
    </row>
    <row r="29" spans="1:10" x14ac:dyDescent="0.3">
      <c r="A29" t="s">
        <v>1042</v>
      </c>
      <c r="B29" t="s">
        <v>489</v>
      </c>
      <c r="C29" t="s">
        <v>1337</v>
      </c>
      <c r="D29">
        <v>28</v>
      </c>
      <c r="E29" t="s">
        <v>365</v>
      </c>
      <c r="F29" t="s">
        <v>1317</v>
      </c>
      <c r="G29" t="s">
        <v>360</v>
      </c>
      <c r="H29" t="s">
        <v>1275</v>
      </c>
      <c r="I29" t="s">
        <v>1311</v>
      </c>
      <c r="J29" t="s">
        <v>1303</v>
      </c>
    </row>
    <row r="30" spans="1:10" x14ac:dyDescent="0.3">
      <c r="A30" t="s">
        <v>1042</v>
      </c>
      <c r="B30" t="s">
        <v>489</v>
      </c>
      <c r="C30" t="s">
        <v>1338</v>
      </c>
      <c r="D30">
        <v>29</v>
      </c>
      <c r="E30" t="s">
        <v>364</v>
      </c>
      <c r="F30" t="s">
        <v>318</v>
      </c>
      <c r="G30" t="s">
        <v>1280</v>
      </c>
      <c r="H30" t="s">
        <v>369</v>
      </c>
      <c r="I30" t="s">
        <v>1297</v>
      </c>
      <c r="J30" t="s">
        <v>1290</v>
      </c>
    </row>
    <row r="31" spans="1:10" x14ac:dyDescent="0.3">
      <c r="A31" t="s">
        <v>1042</v>
      </c>
      <c r="B31" t="s">
        <v>489</v>
      </c>
      <c r="C31" t="s">
        <v>1339</v>
      </c>
      <c r="D31">
        <v>30</v>
      </c>
      <c r="E31" t="s">
        <v>1309</v>
      </c>
      <c r="F31" t="s">
        <v>1291</v>
      </c>
      <c r="G31" t="s">
        <v>1315</v>
      </c>
      <c r="H31" t="s">
        <v>366</v>
      </c>
      <c r="I31" t="s">
        <v>1283</v>
      </c>
      <c r="J31" t="s">
        <v>362</v>
      </c>
    </row>
    <row r="32" spans="1:10" x14ac:dyDescent="0.3">
      <c r="A32" t="s">
        <v>1042</v>
      </c>
      <c r="B32" t="s">
        <v>489</v>
      </c>
      <c r="C32" t="s">
        <v>1340</v>
      </c>
      <c r="D32">
        <v>31</v>
      </c>
      <c r="E32" t="s">
        <v>361</v>
      </c>
      <c r="F32" t="s">
        <v>368</v>
      </c>
      <c r="G32" t="s">
        <v>1306</v>
      </c>
      <c r="H32" t="s">
        <v>1296</v>
      </c>
      <c r="I32" t="s">
        <v>371</v>
      </c>
      <c r="J32" t="s">
        <v>1286</v>
      </c>
    </row>
    <row r="33" spans="1:10" x14ac:dyDescent="0.3">
      <c r="A33" t="s">
        <v>1042</v>
      </c>
      <c r="B33" t="s">
        <v>489</v>
      </c>
      <c r="C33" t="s">
        <v>1341</v>
      </c>
      <c r="D33">
        <v>32</v>
      </c>
      <c r="E33" t="s">
        <v>1295</v>
      </c>
      <c r="F33" t="s">
        <v>1288</v>
      </c>
      <c r="G33" t="s">
        <v>1302</v>
      </c>
      <c r="H33" t="s">
        <v>372</v>
      </c>
      <c r="I33" t="s">
        <v>1277</v>
      </c>
      <c r="J33" t="s">
        <v>1282</v>
      </c>
    </row>
    <row r="34" spans="1:10" x14ac:dyDescent="0.3">
      <c r="A34" t="s">
        <v>1042</v>
      </c>
      <c r="B34" t="s">
        <v>489</v>
      </c>
      <c r="C34" t="s">
        <v>1342</v>
      </c>
      <c r="D34">
        <v>33</v>
      </c>
      <c r="E34" t="s">
        <v>373</v>
      </c>
      <c r="F34" t="s">
        <v>1278</v>
      </c>
      <c r="G34" t="s">
        <v>1310</v>
      </c>
      <c r="H34" t="s">
        <v>1300</v>
      </c>
      <c r="I34" t="s">
        <v>1289</v>
      </c>
      <c r="J34" t="s">
        <v>1284</v>
      </c>
    </row>
    <row r="35" spans="1:10" x14ac:dyDescent="0.3">
      <c r="A35" t="s">
        <v>1042</v>
      </c>
      <c r="B35" t="s">
        <v>489</v>
      </c>
      <c r="C35" t="s">
        <v>1343</v>
      </c>
      <c r="D35">
        <v>34</v>
      </c>
      <c r="E35" t="s">
        <v>1312</v>
      </c>
      <c r="F35" t="s">
        <v>1301</v>
      </c>
      <c r="G35" t="s">
        <v>1285</v>
      </c>
      <c r="H35" t="s">
        <v>1314</v>
      </c>
      <c r="I35" t="s">
        <v>1292</v>
      </c>
      <c r="J35" t="s">
        <v>1276</v>
      </c>
    </row>
    <row r="36" spans="1:10" x14ac:dyDescent="0.3">
      <c r="A36" t="s">
        <v>1042</v>
      </c>
      <c r="B36" t="s">
        <v>489</v>
      </c>
      <c r="C36" t="s">
        <v>1344</v>
      </c>
      <c r="D36">
        <v>35</v>
      </c>
      <c r="E36" t="s">
        <v>1291</v>
      </c>
      <c r="F36" t="s">
        <v>1318</v>
      </c>
      <c r="G36" t="s">
        <v>1279</v>
      </c>
      <c r="H36" t="s">
        <v>318</v>
      </c>
      <c r="I36" t="s">
        <v>1317</v>
      </c>
      <c r="J36" t="s">
        <v>1297</v>
      </c>
    </row>
    <row r="37" spans="1:10" x14ac:dyDescent="0.3">
      <c r="A37" t="s">
        <v>1042</v>
      </c>
      <c r="B37" t="s">
        <v>489</v>
      </c>
      <c r="C37" t="s">
        <v>1345</v>
      </c>
      <c r="D37">
        <v>36</v>
      </c>
      <c r="E37" t="s">
        <v>1290</v>
      </c>
      <c r="F37" t="s">
        <v>361</v>
      </c>
      <c r="G37" t="s">
        <v>1275</v>
      </c>
      <c r="H37" t="s">
        <v>1311</v>
      </c>
      <c r="I37" t="s">
        <v>362</v>
      </c>
      <c r="J37" t="s">
        <v>1298</v>
      </c>
    </row>
    <row r="38" spans="1:10" x14ac:dyDescent="0.3">
      <c r="A38" t="s">
        <v>1042</v>
      </c>
      <c r="B38" t="s">
        <v>489</v>
      </c>
      <c r="C38" t="s">
        <v>1346</v>
      </c>
      <c r="D38">
        <v>37</v>
      </c>
      <c r="E38" t="s">
        <v>371</v>
      </c>
      <c r="F38" t="s">
        <v>366</v>
      </c>
      <c r="G38" t="s">
        <v>1309</v>
      </c>
      <c r="H38" t="s">
        <v>1286</v>
      </c>
      <c r="I38" t="s">
        <v>1288</v>
      </c>
      <c r="J38" t="s">
        <v>370</v>
      </c>
    </row>
    <row r="39" spans="1:10" x14ac:dyDescent="0.3">
      <c r="A39" t="s">
        <v>1042</v>
      </c>
      <c r="B39" t="s">
        <v>489</v>
      </c>
      <c r="C39" t="s">
        <v>1347</v>
      </c>
      <c r="D39">
        <v>38</v>
      </c>
      <c r="E39" t="s">
        <v>363</v>
      </c>
      <c r="F39" t="s">
        <v>1305</v>
      </c>
      <c r="G39" t="s">
        <v>1277</v>
      </c>
      <c r="H39" t="s">
        <v>1303</v>
      </c>
      <c r="I39" t="s">
        <v>1310</v>
      </c>
      <c r="J39" t="s">
        <v>1296</v>
      </c>
    </row>
    <row r="40" spans="1:10" x14ac:dyDescent="0.3">
      <c r="A40" t="s">
        <v>1042</v>
      </c>
      <c r="B40" t="s">
        <v>489</v>
      </c>
      <c r="C40" t="s">
        <v>1348</v>
      </c>
      <c r="D40">
        <v>39</v>
      </c>
      <c r="E40" t="s">
        <v>1276</v>
      </c>
      <c r="F40" t="s">
        <v>1312</v>
      </c>
      <c r="G40" t="s">
        <v>369</v>
      </c>
      <c r="H40" t="s">
        <v>368</v>
      </c>
      <c r="I40" t="s">
        <v>1282</v>
      </c>
      <c r="J40" t="s">
        <v>1300</v>
      </c>
    </row>
    <row r="41" spans="1:10" x14ac:dyDescent="0.3">
      <c r="A41" t="s">
        <v>1042</v>
      </c>
      <c r="B41" t="s">
        <v>489</v>
      </c>
      <c r="C41" t="s">
        <v>1349</v>
      </c>
      <c r="D41">
        <v>40</v>
      </c>
      <c r="E41" t="s">
        <v>360</v>
      </c>
      <c r="F41" t="s">
        <v>1283</v>
      </c>
      <c r="G41" t="s">
        <v>373</v>
      </c>
      <c r="H41" t="s">
        <v>372</v>
      </c>
      <c r="I41" t="s">
        <v>364</v>
      </c>
      <c r="J41" t="s">
        <v>1301</v>
      </c>
    </row>
    <row r="42" spans="1:10" x14ac:dyDescent="0.3">
      <c r="A42" t="s">
        <v>1042</v>
      </c>
      <c r="B42" t="s">
        <v>489</v>
      </c>
      <c r="C42" t="s">
        <v>1350</v>
      </c>
      <c r="D42">
        <v>41</v>
      </c>
      <c r="E42" t="s">
        <v>365</v>
      </c>
      <c r="F42" t="s">
        <v>1284</v>
      </c>
      <c r="G42" t="s">
        <v>1314</v>
      </c>
      <c r="H42" t="s">
        <v>367</v>
      </c>
      <c r="I42" t="s">
        <v>1315</v>
      </c>
      <c r="J42" t="s">
        <v>1295</v>
      </c>
    </row>
    <row r="43" spans="1:10" x14ac:dyDescent="0.3">
      <c r="A43" t="s">
        <v>1042</v>
      </c>
      <c r="B43" t="s">
        <v>489</v>
      </c>
      <c r="C43" t="s">
        <v>1351</v>
      </c>
      <c r="D43">
        <v>42</v>
      </c>
      <c r="E43" t="s">
        <v>1285</v>
      </c>
      <c r="F43" t="s">
        <v>1302</v>
      </c>
      <c r="G43" t="s">
        <v>1292</v>
      </c>
      <c r="H43" t="s">
        <v>1278</v>
      </c>
      <c r="I43" t="s">
        <v>1306</v>
      </c>
      <c r="J43" t="s">
        <v>1294</v>
      </c>
    </row>
    <row r="44" spans="1:10" x14ac:dyDescent="0.3">
      <c r="A44" t="s">
        <v>1042</v>
      </c>
      <c r="B44" t="s">
        <v>489</v>
      </c>
      <c r="C44" t="s">
        <v>1352</v>
      </c>
      <c r="D44">
        <v>43</v>
      </c>
      <c r="E44" t="s">
        <v>1308</v>
      </c>
      <c r="F44" t="s">
        <v>1280</v>
      </c>
      <c r="G44" t="s">
        <v>366</v>
      </c>
      <c r="H44" t="s">
        <v>1289</v>
      </c>
      <c r="I44" t="s">
        <v>363</v>
      </c>
      <c r="J44" t="s">
        <v>371</v>
      </c>
    </row>
    <row r="45" spans="1:10" x14ac:dyDescent="0.3">
      <c r="A45" t="s">
        <v>1042</v>
      </c>
      <c r="B45" t="s">
        <v>489</v>
      </c>
      <c r="C45" t="s">
        <v>1353</v>
      </c>
      <c r="D45">
        <v>44</v>
      </c>
      <c r="E45" t="s">
        <v>1317</v>
      </c>
      <c r="F45" t="s">
        <v>1291</v>
      </c>
      <c r="G45" t="s">
        <v>1310</v>
      </c>
      <c r="H45" t="s">
        <v>1286</v>
      </c>
      <c r="I45" t="s">
        <v>1298</v>
      </c>
      <c r="J45" t="s">
        <v>361</v>
      </c>
    </row>
    <row r="46" spans="1:10" x14ac:dyDescent="0.3">
      <c r="A46" t="s">
        <v>1042</v>
      </c>
      <c r="B46" t="s">
        <v>489</v>
      </c>
      <c r="C46" t="s">
        <v>1354</v>
      </c>
      <c r="D46">
        <v>45</v>
      </c>
      <c r="E46" t="s">
        <v>1276</v>
      </c>
      <c r="F46" t="s">
        <v>1297</v>
      </c>
      <c r="G46" t="s">
        <v>370</v>
      </c>
      <c r="H46" t="s">
        <v>373</v>
      </c>
      <c r="I46" t="s">
        <v>1277</v>
      </c>
      <c r="J46" t="s">
        <v>1311</v>
      </c>
    </row>
    <row r="47" spans="1:10" x14ac:dyDescent="0.3">
      <c r="A47" t="s">
        <v>1042</v>
      </c>
      <c r="B47" t="s">
        <v>489</v>
      </c>
      <c r="C47" t="s">
        <v>1355</v>
      </c>
      <c r="D47">
        <v>46</v>
      </c>
      <c r="E47" t="s">
        <v>368</v>
      </c>
      <c r="F47" t="s">
        <v>367</v>
      </c>
      <c r="G47" t="s">
        <v>1303</v>
      </c>
      <c r="H47" t="s">
        <v>318</v>
      </c>
      <c r="I47" t="s">
        <v>1295</v>
      </c>
      <c r="J47" t="s">
        <v>1283</v>
      </c>
    </row>
    <row r="48" spans="1:10" x14ac:dyDescent="0.3">
      <c r="A48" t="s">
        <v>1042</v>
      </c>
      <c r="B48" t="s">
        <v>489</v>
      </c>
      <c r="C48" t="s">
        <v>1356</v>
      </c>
      <c r="D48">
        <v>47</v>
      </c>
      <c r="E48" t="s">
        <v>1290</v>
      </c>
      <c r="F48" t="s">
        <v>365</v>
      </c>
      <c r="G48" t="s">
        <v>1301</v>
      </c>
      <c r="H48" t="s">
        <v>1302</v>
      </c>
      <c r="I48" t="s">
        <v>1305</v>
      </c>
      <c r="J48" t="s">
        <v>1309</v>
      </c>
    </row>
    <row r="49" spans="1:10" x14ac:dyDescent="0.3">
      <c r="A49" t="s">
        <v>1042</v>
      </c>
      <c r="B49" t="s">
        <v>489</v>
      </c>
      <c r="C49" t="s">
        <v>1357</v>
      </c>
      <c r="D49">
        <v>48</v>
      </c>
      <c r="E49" t="s">
        <v>372</v>
      </c>
      <c r="F49" t="s">
        <v>369</v>
      </c>
      <c r="G49" t="s">
        <v>1285</v>
      </c>
      <c r="H49" t="s">
        <v>1278</v>
      </c>
      <c r="I49" t="s">
        <v>362</v>
      </c>
      <c r="J49" t="s">
        <v>1289</v>
      </c>
    </row>
    <row r="50" spans="1:10" x14ac:dyDescent="0.3">
      <c r="A50" t="s">
        <v>1042</v>
      </c>
      <c r="B50" t="s">
        <v>489</v>
      </c>
      <c r="C50" t="s">
        <v>1358</v>
      </c>
      <c r="D50">
        <v>49</v>
      </c>
      <c r="E50" t="s">
        <v>1314</v>
      </c>
      <c r="F50" t="s">
        <v>1308</v>
      </c>
      <c r="G50" t="s">
        <v>1306</v>
      </c>
      <c r="H50" t="s">
        <v>1288</v>
      </c>
      <c r="I50" t="s">
        <v>1282</v>
      </c>
      <c r="J50" t="s">
        <v>1279</v>
      </c>
    </row>
    <row r="51" spans="1:10" x14ac:dyDescent="0.3">
      <c r="A51" t="s">
        <v>1042</v>
      </c>
      <c r="B51" t="s">
        <v>489</v>
      </c>
      <c r="C51" t="s">
        <v>1359</v>
      </c>
      <c r="D51">
        <v>50</v>
      </c>
      <c r="E51" t="s">
        <v>1312</v>
      </c>
      <c r="F51" t="s">
        <v>1292</v>
      </c>
      <c r="G51" t="s">
        <v>360</v>
      </c>
      <c r="H51" t="s">
        <v>1280</v>
      </c>
      <c r="I51" t="s">
        <v>1318</v>
      </c>
      <c r="J51" t="s">
        <v>1284</v>
      </c>
    </row>
    <row r="52" spans="1:10" x14ac:dyDescent="0.3">
      <c r="A52" t="s">
        <v>1042</v>
      </c>
      <c r="B52" t="s">
        <v>489</v>
      </c>
      <c r="C52" t="s">
        <v>1360</v>
      </c>
      <c r="D52">
        <v>51</v>
      </c>
      <c r="E52" t="s">
        <v>364</v>
      </c>
      <c r="F52" t="s">
        <v>1296</v>
      </c>
      <c r="G52" t="s">
        <v>1300</v>
      </c>
      <c r="H52" t="s">
        <v>1315</v>
      </c>
      <c r="I52" t="s">
        <v>1294</v>
      </c>
      <c r="J52" t="s">
        <v>1275</v>
      </c>
    </row>
    <row r="53" spans="1:10" x14ac:dyDescent="0.3">
      <c r="A53" t="s">
        <v>1042</v>
      </c>
      <c r="B53" t="s">
        <v>489</v>
      </c>
      <c r="C53" t="s">
        <v>1361</v>
      </c>
      <c r="D53">
        <v>52</v>
      </c>
      <c r="E53" t="s">
        <v>1317</v>
      </c>
      <c r="F53" t="s">
        <v>1303</v>
      </c>
      <c r="G53" t="s">
        <v>361</v>
      </c>
      <c r="H53" t="s">
        <v>1290</v>
      </c>
      <c r="I53" t="s">
        <v>370</v>
      </c>
      <c r="J53" t="s">
        <v>373</v>
      </c>
    </row>
    <row r="54" spans="1:10" x14ac:dyDescent="0.3">
      <c r="A54" t="s">
        <v>1042</v>
      </c>
      <c r="B54" t="s">
        <v>489</v>
      </c>
      <c r="C54" t="s">
        <v>1362</v>
      </c>
      <c r="D54">
        <v>53</v>
      </c>
      <c r="E54" t="s">
        <v>1311</v>
      </c>
      <c r="F54" t="s">
        <v>1276</v>
      </c>
      <c r="G54" t="s">
        <v>1302</v>
      </c>
      <c r="H54" t="s">
        <v>1291</v>
      </c>
      <c r="I54" t="s">
        <v>366</v>
      </c>
      <c r="J54" t="s">
        <v>1295</v>
      </c>
    </row>
    <row r="55" spans="1:10" x14ac:dyDescent="0.3">
      <c r="A55" t="s">
        <v>1042</v>
      </c>
      <c r="B55" t="s">
        <v>489</v>
      </c>
      <c r="C55" t="s">
        <v>1363</v>
      </c>
      <c r="D55">
        <v>54</v>
      </c>
      <c r="E55" t="s">
        <v>1298</v>
      </c>
      <c r="F55" t="s">
        <v>1279</v>
      </c>
      <c r="G55" t="s">
        <v>371</v>
      </c>
      <c r="H55" t="s">
        <v>1283</v>
      </c>
      <c r="I55" t="s">
        <v>365</v>
      </c>
      <c r="J55" t="s">
        <v>369</v>
      </c>
    </row>
    <row r="56" spans="1:10" x14ac:dyDescent="0.3">
      <c r="A56" t="s">
        <v>1042</v>
      </c>
      <c r="B56" t="s">
        <v>489</v>
      </c>
      <c r="C56" t="s">
        <v>1364</v>
      </c>
      <c r="D56">
        <v>55</v>
      </c>
      <c r="E56" t="s">
        <v>1297</v>
      </c>
      <c r="F56" t="s">
        <v>1288</v>
      </c>
      <c r="G56" t="s">
        <v>362</v>
      </c>
      <c r="H56" t="s">
        <v>363</v>
      </c>
      <c r="I56" t="s">
        <v>1284</v>
      </c>
      <c r="J56" t="s">
        <v>1312</v>
      </c>
    </row>
    <row r="57" spans="1:10" x14ac:dyDescent="0.3">
      <c r="A57" t="s">
        <v>1042</v>
      </c>
      <c r="B57" t="s">
        <v>489</v>
      </c>
      <c r="C57" t="s">
        <v>1365</v>
      </c>
      <c r="D57">
        <v>56</v>
      </c>
      <c r="E57" t="s">
        <v>1285</v>
      </c>
      <c r="F57" t="s">
        <v>1280</v>
      </c>
      <c r="G57" t="s">
        <v>1305</v>
      </c>
      <c r="H57" t="s">
        <v>1286</v>
      </c>
      <c r="I57" t="s">
        <v>367</v>
      </c>
      <c r="J57" t="s">
        <v>364</v>
      </c>
    </row>
    <row r="58" spans="1:10" x14ac:dyDescent="0.3">
      <c r="A58" t="s">
        <v>1042</v>
      </c>
      <c r="B58" t="s">
        <v>489</v>
      </c>
      <c r="C58" t="s">
        <v>1366</v>
      </c>
      <c r="D58">
        <v>57</v>
      </c>
      <c r="E58" t="s">
        <v>1277</v>
      </c>
      <c r="F58" t="s">
        <v>1294</v>
      </c>
      <c r="G58" t="s">
        <v>1289</v>
      </c>
      <c r="H58" t="s">
        <v>1309</v>
      </c>
      <c r="I58" t="s">
        <v>1314</v>
      </c>
      <c r="J58" t="s">
        <v>1282</v>
      </c>
    </row>
    <row r="59" spans="1:10" x14ac:dyDescent="0.3">
      <c r="A59" t="s">
        <v>1042</v>
      </c>
      <c r="B59" t="s">
        <v>489</v>
      </c>
      <c r="C59" t="s">
        <v>1367</v>
      </c>
      <c r="D59">
        <v>58</v>
      </c>
      <c r="E59" t="s">
        <v>1300</v>
      </c>
      <c r="F59" t="s">
        <v>1315</v>
      </c>
      <c r="G59" t="s">
        <v>1278</v>
      </c>
      <c r="H59" t="s">
        <v>360</v>
      </c>
      <c r="I59" t="s">
        <v>1308</v>
      </c>
      <c r="J59" t="s">
        <v>318</v>
      </c>
    </row>
    <row r="60" spans="1:10" x14ac:dyDescent="0.3">
      <c r="A60" t="s">
        <v>1042</v>
      </c>
      <c r="B60" t="s">
        <v>489</v>
      </c>
      <c r="C60" t="s">
        <v>1368</v>
      </c>
      <c r="D60">
        <v>59</v>
      </c>
      <c r="E60" t="s">
        <v>1296</v>
      </c>
      <c r="F60" t="s">
        <v>1275</v>
      </c>
      <c r="G60" t="s">
        <v>368</v>
      </c>
      <c r="H60" t="s">
        <v>1292</v>
      </c>
      <c r="I60" t="s">
        <v>1318</v>
      </c>
      <c r="J60" t="s">
        <v>372</v>
      </c>
    </row>
    <row r="61" spans="1:10" x14ac:dyDescent="0.3">
      <c r="A61" t="s">
        <v>1042</v>
      </c>
      <c r="B61" t="s">
        <v>489</v>
      </c>
      <c r="C61" t="s">
        <v>1369</v>
      </c>
      <c r="D61">
        <v>60</v>
      </c>
      <c r="E61" t="s">
        <v>1310</v>
      </c>
      <c r="F61" t="s">
        <v>1301</v>
      </c>
      <c r="G61" t="s">
        <v>370</v>
      </c>
      <c r="H61" t="s">
        <v>1306</v>
      </c>
      <c r="I61" t="s">
        <v>1317</v>
      </c>
      <c r="J61" t="s">
        <v>1295</v>
      </c>
    </row>
    <row r="62" spans="1:10" x14ac:dyDescent="0.3">
      <c r="A62" t="s">
        <v>1042</v>
      </c>
      <c r="B62" t="s">
        <v>489</v>
      </c>
      <c r="C62" t="s">
        <v>1370</v>
      </c>
      <c r="D62">
        <v>61</v>
      </c>
      <c r="E62" t="s">
        <v>1291</v>
      </c>
      <c r="F62" t="s">
        <v>373</v>
      </c>
      <c r="G62" t="s">
        <v>1276</v>
      </c>
      <c r="H62" t="s">
        <v>369</v>
      </c>
      <c r="I62" t="s">
        <v>371</v>
      </c>
      <c r="J62" t="s">
        <v>1305</v>
      </c>
    </row>
    <row r="63" spans="1:10" x14ac:dyDescent="0.3">
      <c r="A63" t="s">
        <v>1042</v>
      </c>
      <c r="B63" t="s">
        <v>489</v>
      </c>
      <c r="C63" t="s">
        <v>1371</v>
      </c>
      <c r="D63">
        <v>62</v>
      </c>
      <c r="E63" t="s">
        <v>1277</v>
      </c>
      <c r="F63" t="s">
        <v>1312</v>
      </c>
      <c r="G63" t="s">
        <v>1279</v>
      </c>
      <c r="H63" t="s">
        <v>1285</v>
      </c>
      <c r="I63" t="s">
        <v>1290</v>
      </c>
      <c r="J63" t="s">
        <v>366</v>
      </c>
    </row>
    <row r="64" spans="1:10" x14ac:dyDescent="0.3">
      <c r="A64" t="s">
        <v>1042</v>
      </c>
      <c r="B64" t="s">
        <v>489</v>
      </c>
      <c r="C64" t="s">
        <v>1372</v>
      </c>
      <c r="D64">
        <v>63</v>
      </c>
      <c r="E64" t="s">
        <v>1280</v>
      </c>
      <c r="F64" t="s">
        <v>1302</v>
      </c>
      <c r="G64" t="s">
        <v>1300</v>
      </c>
      <c r="H64" t="s">
        <v>1309</v>
      </c>
      <c r="I64" t="s">
        <v>1298</v>
      </c>
      <c r="J64" t="s">
        <v>1284</v>
      </c>
    </row>
    <row r="65" spans="1:10" x14ac:dyDescent="0.3">
      <c r="A65" t="s">
        <v>1042</v>
      </c>
      <c r="B65" t="s">
        <v>489</v>
      </c>
      <c r="C65" t="s">
        <v>1373</v>
      </c>
      <c r="D65">
        <v>64</v>
      </c>
      <c r="E65" t="s">
        <v>1303</v>
      </c>
      <c r="F65" t="s">
        <v>372</v>
      </c>
      <c r="G65" t="s">
        <v>1297</v>
      </c>
      <c r="H65" t="s">
        <v>1315</v>
      </c>
      <c r="I65" t="s">
        <v>1286</v>
      </c>
      <c r="J65" t="s">
        <v>1314</v>
      </c>
    </row>
    <row r="66" spans="1:10" x14ac:dyDescent="0.3">
      <c r="A66" t="s">
        <v>1042</v>
      </c>
      <c r="B66" t="s">
        <v>489</v>
      </c>
      <c r="C66" t="s">
        <v>1374</v>
      </c>
      <c r="D66">
        <v>65</v>
      </c>
      <c r="E66" t="s">
        <v>362</v>
      </c>
      <c r="F66" t="s">
        <v>1292</v>
      </c>
      <c r="G66" t="s">
        <v>1310</v>
      </c>
      <c r="H66" t="s">
        <v>1282</v>
      </c>
      <c r="I66" t="s">
        <v>318</v>
      </c>
      <c r="J66" t="s">
        <v>365</v>
      </c>
    </row>
    <row r="67" spans="1:10" x14ac:dyDescent="0.3">
      <c r="A67" t="s">
        <v>1042</v>
      </c>
      <c r="B67" t="s">
        <v>489</v>
      </c>
      <c r="C67" t="s">
        <v>1375</v>
      </c>
      <c r="D67">
        <v>66</v>
      </c>
      <c r="E67" t="s">
        <v>1288</v>
      </c>
      <c r="F67" t="s">
        <v>1311</v>
      </c>
      <c r="G67" t="s">
        <v>1294</v>
      </c>
      <c r="H67" t="s">
        <v>1301</v>
      </c>
      <c r="I67" t="s">
        <v>368</v>
      </c>
      <c r="J67" t="s">
        <v>1278</v>
      </c>
    </row>
    <row r="68" spans="1:10" x14ac:dyDescent="0.3">
      <c r="A68" t="s">
        <v>1042</v>
      </c>
      <c r="B68" t="s">
        <v>489</v>
      </c>
      <c r="C68" t="s">
        <v>1376</v>
      </c>
      <c r="D68">
        <v>67</v>
      </c>
      <c r="E68" t="s">
        <v>1318</v>
      </c>
      <c r="F68" t="s">
        <v>361</v>
      </c>
      <c r="G68" t="s">
        <v>1296</v>
      </c>
      <c r="H68" t="s">
        <v>1283</v>
      </c>
      <c r="I68" t="s">
        <v>1289</v>
      </c>
      <c r="J68" t="s">
        <v>1308</v>
      </c>
    </row>
    <row r="69" spans="1:10" x14ac:dyDescent="0.3">
      <c r="A69" t="s">
        <v>1042</v>
      </c>
      <c r="B69" t="s">
        <v>489</v>
      </c>
      <c r="C69" t="s">
        <v>1377</v>
      </c>
      <c r="D69">
        <v>68</v>
      </c>
      <c r="E69" t="s">
        <v>367</v>
      </c>
      <c r="F69" t="s">
        <v>1306</v>
      </c>
      <c r="G69" t="s">
        <v>363</v>
      </c>
      <c r="H69" t="s">
        <v>364</v>
      </c>
      <c r="I69" t="s">
        <v>1275</v>
      </c>
      <c r="J69" t="s">
        <v>360</v>
      </c>
    </row>
    <row r="70" spans="1:10" x14ac:dyDescent="0.3">
      <c r="A70" t="s">
        <v>1042</v>
      </c>
      <c r="B70" t="s">
        <v>489</v>
      </c>
      <c r="C70" t="s">
        <v>1378</v>
      </c>
      <c r="D70">
        <v>69</v>
      </c>
      <c r="E70" t="s">
        <v>1280</v>
      </c>
      <c r="F70" t="s">
        <v>1314</v>
      </c>
      <c r="G70" t="s">
        <v>372</v>
      </c>
      <c r="H70" t="s">
        <v>370</v>
      </c>
      <c r="I70" t="s">
        <v>1300</v>
      </c>
      <c r="J70" t="s">
        <v>1291</v>
      </c>
    </row>
    <row r="71" spans="1:10" x14ac:dyDescent="0.3">
      <c r="A71" t="s">
        <v>1042</v>
      </c>
      <c r="B71" t="s">
        <v>489</v>
      </c>
      <c r="C71" t="s">
        <v>1379</v>
      </c>
      <c r="D71">
        <v>70</v>
      </c>
      <c r="E71" t="s">
        <v>1282</v>
      </c>
      <c r="F71" t="s">
        <v>371</v>
      </c>
      <c r="G71" t="s">
        <v>1292</v>
      </c>
      <c r="H71" t="s">
        <v>1305</v>
      </c>
      <c r="I71" t="s">
        <v>1279</v>
      </c>
      <c r="J71" t="s">
        <v>1317</v>
      </c>
    </row>
    <row r="72" spans="1:10" x14ac:dyDescent="0.3">
      <c r="A72" t="s">
        <v>1042</v>
      </c>
      <c r="B72" t="s">
        <v>489</v>
      </c>
      <c r="C72" t="s">
        <v>1380</v>
      </c>
      <c r="D72">
        <v>71</v>
      </c>
      <c r="E72" t="s">
        <v>318</v>
      </c>
      <c r="F72" t="s">
        <v>1315</v>
      </c>
      <c r="G72" t="s">
        <v>1298</v>
      </c>
      <c r="H72" t="s">
        <v>1277</v>
      </c>
      <c r="I72" t="s">
        <v>1285</v>
      </c>
      <c r="J72" t="s">
        <v>1288</v>
      </c>
    </row>
    <row r="73" spans="1:10" x14ac:dyDescent="0.3">
      <c r="A73" t="s">
        <v>1042</v>
      </c>
      <c r="B73" t="s">
        <v>489</v>
      </c>
      <c r="C73" t="s">
        <v>1381</v>
      </c>
      <c r="D73">
        <v>72</v>
      </c>
      <c r="E73" t="s">
        <v>1284</v>
      </c>
      <c r="F73" t="s">
        <v>1296</v>
      </c>
      <c r="G73" t="s">
        <v>369</v>
      </c>
      <c r="H73" t="s">
        <v>1311</v>
      </c>
      <c r="I73" t="s">
        <v>361</v>
      </c>
      <c r="J73" t="s">
        <v>365</v>
      </c>
    </row>
    <row r="74" spans="1:10" x14ac:dyDescent="0.3">
      <c r="A74" t="s">
        <v>1042</v>
      </c>
      <c r="B74" t="s">
        <v>489</v>
      </c>
      <c r="C74" t="s">
        <v>1382</v>
      </c>
      <c r="D74">
        <v>73</v>
      </c>
      <c r="E74" t="s">
        <v>360</v>
      </c>
      <c r="F74" t="s">
        <v>1303</v>
      </c>
      <c r="G74" t="s">
        <v>1309</v>
      </c>
      <c r="H74" t="s">
        <v>1302</v>
      </c>
      <c r="I74" t="s">
        <v>1297</v>
      </c>
      <c r="J74" t="s">
        <v>1308</v>
      </c>
    </row>
    <row r="75" spans="1:10" x14ac:dyDescent="0.3">
      <c r="A75" t="s">
        <v>1042</v>
      </c>
      <c r="B75" t="s">
        <v>489</v>
      </c>
      <c r="C75" t="s">
        <v>1383</v>
      </c>
      <c r="D75">
        <v>74</v>
      </c>
      <c r="E75" t="s">
        <v>366</v>
      </c>
      <c r="F75" t="s">
        <v>1310</v>
      </c>
      <c r="G75" t="s">
        <v>367</v>
      </c>
      <c r="H75" t="s">
        <v>373</v>
      </c>
      <c r="I75" t="s">
        <v>1294</v>
      </c>
      <c r="J75" t="s">
        <v>1318</v>
      </c>
    </row>
    <row r="76" spans="1:10" x14ac:dyDescent="0.3">
      <c r="A76" t="s">
        <v>1042</v>
      </c>
      <c r="B76" t="s">
        <v>489</v>
      </c>
      <c r="C76" t="s">
        <v>1384</v>
      </c>
      <c r="D76">
        <v>75</v>
      </c>
      <c r="E76" t="s">
        <v>362</v>
      </c>
      <c r="F76" t="s">
        <v>1290</v>
      </c>
      <c r="G76" t="s">
        <v>363</v>
      </c>
      <c r="H76" t="s">
        <v>1276</v>
      </c>
      <c r="I76" t="s">
        <v>1283</v>
      </c>
      <c r="J76" t="s">
        <v>1306</v>
      </c>
    </row>
    <row r="77" spans="1:10" x14ac:dyDescent="0.3">
      <c r="A77" t="s">
        <v>1042</v>
      </c>
      <c r="B77" t="s">
        <v>489</v>
      </c>
      <c r="C77" t="s">
        <v>1385</v>
      </c>
      <c r="D77">
        <v>76</v>
      </c>
      <c r="E77" t="s">
        <v>1295</v>
      </c>
      <c r="F77" t="s">
        <v>1301</v>
      </c>
      <c r="G77" t="s">
        <v>1286</v>
      </c>
      <c r="H77" t="s">
        <v>1289</v>
      </c>
      <c r="I77" t="s">
        <v>1275</v>
      </c>
      <c r="J77" t="s">
        <v>1312</v>
      </c>
    </row>
    <row r="78" spans="1:10" x14ac:dyDescent="0.3">
      <c r="A78" t="s">
        <v>1042</v>
      </c>
      <c r="B78" t="s">
        <v>489</v>
      </c>
      <c r="C78" t="s">
        <v>1386</v>
      </c>
      <c r="D78">
        <v>77</v>
      </c>
      <c r="E78" t="s">
        <v>370</v>
      </c>
      <c r="F78" t="s">
        <v>365</v>
      </c>
      <c r="G78" t="s">
        <v>1278</v>
      </c>
      <c r="H78" t="s">
        <v>368</v>
      </c>
      <c r="I78" t="s">
        <v>364</v>
      </c>
      <c r="J78" t="s">
        <v>1291</v>
      </c>
    </row>
  </sheetData>
  <phoneticPr fontId="7" type="noConversion"/>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3FD28-9737-46B5-9317-E5AA62568074}">
  <sheetPr codeName="Sheet17">
    <tabColor rgb="FFFF0000"/>
  </sheetPr>
  <dimension ref="A1:J182"/>
  <sheetViews>
    <sheetView workbookViewId="0">
      <selection activeCell="F7" sqref="F7"/>
    </sheetView>
  </sheetViews>
  <sheetFormatPr defaultRowHeight="14.4" x14ac:dyDescent="0.3"/>
  <cols>
    <col min="1" max="1" width="11.33203125" bestFit="1" customWidth="1"/>
    <col min="2" max="2" width="13.33203125" bestFit="1" customWidth="1"/>
    <col min="3" max="3" width="13.109375" bestFit="1" customWidth="1"/>
    <col min="4" max="4" width="25.88671875" bestFit="1" customWidth="1"/>
    <col min="5" max="5" width="12.109375" bestFit="1" customWidth="1"/>
    <col min="6" max="6" width="70.6640625" bestFit="1" customWidth="1"/>
    <col min="7" max="7" width="30.77734375" bestFit="1" customWidth="1"/>
    <col min="8" max="8" width="12.109375" bestFit="1" customWidth="1"/>
    <col min="9" max="9" width="8" bestFit="1" customWidth="1"/>
    <col min="10" max="10" width="6.88671875" bestFit="1" customWidth="1"/>
    <col min="11" max="11" width="18.44140625" bestFit="1" customWidth="1"/>
    <col min="12" max="12" width="20.5546875" bestFit="1" customWidth="1"/>
    <col min="13" max="13" width="20.33203125" bestFit="1" customWidth="1"/>
    <col min="14" max="14" width="26.44140625" bestFit="1" customWidth="1"/>
    <col min="15" max="15" width="13" bestFit="1" customWidth="1"/>
    <col min="16" max="16" width="76.33203125" bestFit="1" customWidth="1"/>
    <col min="17" max="17" width="25.88671875" bestFit="1" customWidth="1"/>
    <col min="18" max="18" width="19" bestFit="1" customWidth="1"/>
    <col min="19" max="19" width="14.6640625" bestFit="1" customWidth="1"/>
    <col min="20" max="20" width="13.6640625" bestFit="1" customWidth="1"/>
    <col min="21" max="21" width="11.109375" bestFit="1" customWidth="1"/>
  </cols>
  <sheetData>
    <row r="1" spans="1:10" x14ac:dyDescent="0.3">
      <c r="A1" t="s">
        <v>503</v>
      </c>
      <c r="B1" t="s">
        <v>504</v>
      </c>
      <c r="C1" t="s">
        <v>505</v>
      </c>
      <c r="D1" t="s">
        <v>506</v>
      </c>
      <c r="E1" t="s">
        <v>390</v>
      </c>
      <c r="F1" t="s">
        <v>507</v>
      </c>
      <c r="G1" t="s">
        <v>508</v>
      </c>
      <c r="H1" t="s">
        <v>509</v>
      </c>
      <c r="I1" t="s">
        <v>510</v>
      </c>
      <c r="J1" t="s">
        <v>511</v>
      </c>
    </row>
    <row r="2" spans="1:10" x14ac:dyDescent="0.3">
      <c r="A2" t="s">
        <v>512</v>
      </c>
      <c r="B2" t="s">
        <v>513</v>
      </c>
      <c r="C2">
        <v>0</v>
      </c>
      <c r="D2" t="s">
        <v>514</v>
      </c>
      <c r="E2" t="s">
        <v>515</v>
      </c>
      <c r="F2" t="s">
        <v>516</v>
      </c>
      <c r="G2" t="s">
        <v>517</v>
      </c>
      <c r="H2" t="s">
        <v>518</v>
      </c>
      <c r="I2">
        <v>5</v>
      </c>
      <c r="J2">
        <v>2024</v>
      </c>
    </row>
    <row r="3" spans="1:10" x14ac:dyDescent="0.3">
      <c r="A3" t="s">
        <v>519</v>
      </c>
      <c r="B3" t="s">
        <v>520</v>
      </c>
      <c r="C3">
        <v>0</v>
      </c>
      <c r="D3" t="s">
        <v>514</v>
      </c>
      <c r="E3" t="s">
        <v>521</v>
      </c>
      <c r="F3" t="s">
        <v>522</v>
      </c>
      <c r="G3" t="s">
        <v>523</v>
      </c>
      <c r="H3" t="s">
        <v>524</v>
      </c>
      <c r="I3">
        <v>1</v>
      </c>
      <c r="J3">
        <v>2024</v>
      </c>
    </row>
    <row r="4" spans="1:10" x14ac:dyDescent="0.3">
      <c r="A4" t="s">
        <v>525</v>
      </c>
      <c r="B4" t="s">
        <v>526</v>
      </c>
      <c r="C4">
        <v>0</v>
      </c>
      <c r="D4" t="s">
        <v>514</v>
      </c>
      <c r="E4" t="s">
        <v>527</v>
      </c>
      <c r="F4" t="s">
        <v>528</v>
      </c>
      <c r="G4" t="s">
        <v>529</v>
      </c>
      <c r="H4" t="s">
        <v>530</v>
      </c>
      <c r="I4">
        <v>2</v>
      </c>
      <c r="J4">
        <v>2024</v>
      </c>
    </row>
    <row r="5" spans="1:10" x14ac:dyDescent="0.3">
      <c r="A5" t="s">
        <v>531</v>
      </c>
      <c r="B5" t="s">
        <v>532</v>
      </c>
      <c r="C5">
        <v>0</v>
      </c>
      <c r="D5" t="s">
        <v>514</v>
      </c>
      <c r="E5" t="s">
        <v>533</v>
      </c>
      <c r="F5" t="s">
        <v>534</v>
      </c>
      <c r="G5" t="s">
        <v>535</v>
      </c>
      <c r="H5" t="s">
        <v>536</v>
      </c>
      <c r="I5">
        <v>3</v>
      </c>
      <c r="J5">
        <v>2024</v>
      </c>
    </row>
    <row r="6" spans="1:10" x14ac:dyDescent="0.3">
      <c r="A6" t="s">
        <v>537</v>
      </c>
      <c r="B6" t="s">
        <v>538</v>
      </c>
      <c r="C6">
        <v>0</v>
      </c>
      <c r="D6" t="s">
        <v>514</v>
      </c>
      <c r="E6" t="s">
        <v>539</v>
      </c>
      <c r="F6" t="s">
        <v>540</v>
      </c>
      <c r="G6" t="s">
        <v>541</v>
      </c>
      <c r="H6" t="s">
        <v>542</v>
      </c>
      <c r="I6">
        <v>2</v>
      </c>
      <c r="J6">
        <v>2024</v>
      </c>
    </row>
    <row r="7" spans="1:10" x14ac:dyDescent="0.3">
      <c r="A7" t="s">
        <v>543</v>
      </c>
      <c r="B7" t="s">
        <v>544</v>
      </c>
      <c r="C7">
        <v>0</v>
      </c>
      <c r="D7" t="s">
        <v>514</v>
      </c>
      <c r="E7" t="s">
        <v>545</v>
      </c>
      <c r="F7" t="s">
        <v>546</v>
      </c>
      <c r="G7" t="s">
        <v>547</v>
      </c>
      <c r="H7" t="s">
        <v>548</v>
      </c>
      <c r="I7">
        <v>0</v>
      </c>
      <c r="J7">
        <v>2024</v>
      </c>
    </row>
    <row r="8" spans="1:10" x14ac:dyDescent="0.3">
      <c r="A8" t="s">
        <v>543</v>
      </c>
      <c r="B8" t="s">
        <v>549</v>
      </c>
      <c r="C8">
        <v>0</v>
      </c>
      <c r="D8" t="s">
        <v>514</v>
      </c>
      <c r="E8" t="s">
        <v>550</v>
      </c>
      <c r="F8" t="s">
        <v>551</v>
      </c>
      <c r="G8" t="s">
        <v>552</v>
      </c>
      <c r="H8" t="s">
        <v>548</v>
      </c>
      <c r="I8">
        <v>0</v>
      </c>
      <c r="J8">
        <v>2024</v>
      </c>
    </row>
    <row r="9" spans="1:10" x14ac:dyDescent="0.3">
      <c r="A9" t="s">
        <v>512</v>
      </c>
      <c r="B9" t="s">
        <v>553</v>
      </c>
      <c r="C9">
        <v>0</v>
      </c>
      <c r="D9" t="s">
        <v>514</v>
      </c>
      <c r="E9" t="s">
        <v>554</v>
      </c>
      <c r="F9" t="s">
        <v>555</v>
      </c>
      <c r="G9" t="s">
        <v>556</v>
      </c>
      <c r="H9" t="s">
        <v>518</v>
      </c>
      <c r="I9">
        <v>5</v>
      </c>
      <c r="J9">
        <v>2024</v>
      </c>
    </row>
    <row r="10" spans="1:10" x14ac:dyDescent="0.3">
      <c r="A10" t="s">
        <v>557</v>
      </c>
      <c r="B10" t="s">
        <v>558</v>
      </c>
      <c r="C10">
        <v>0</v>
      </c>
      <c r="D10" t="s">
        <v>514</v>
      </c>
      <c r="E10" t="s">
        <v>559</v>
      </c>
      <c r="F10" t="s">
        <v>560</v>
      </c>
      <c r="G10" t="s">
        <v>561</v>
      </c>
      <c r="H10" t="s">
        <v>562</v>
      </c>
      <c r="I10">
        <v>5</v>
      </c>
      <c r="J10">
        <v>2024</v>
      </c>
    </row>
    <row r="11" spans="1:10" x14ac:dyDescent="0.3">
      <c r="A11" t="s">
        <v>537</v>
      </c>
      <c r="B11" t="s">
        <v>563</v>
      </c>
      <c r="C11">
        <v>0</v>
      </c>
      <c r="D11" t="s">
        <v>514</v>
      </c>
      <c r="E11" t="s">
        <v>564</v>
      </c>
      <c r="F11" t="s">
        <v>565</v>
      </c>
      <c r="G11" t="s">
        <v>566</v>
      </c>
      <c r="H11" t="s">
        <v>542</v>
      </c>
      <c r="I11">
        <v>2</v>
      </c>
      <c r="J11">
        <v>2024</v>
      </c>
    </row>
    <row r="12" spans="1:10" x14ac:dyDescent="0.3">
      <c r="A12" t="s">
        <v>567</v>
      </c>
      <c r="B12" t="s">
        <v>568</v>
      </c>
      <c r="C12">
        <v>0</v>
      </c>
      <c r="D12" t="s">
        <v>514</v>
      </c>
      <c r="E12" t="s">
        <v>569</v>
      </c>
      <c r="F12" t="s">
        <v>570</v>
      </c>
      <c r="G12" t="s">
        <v>571</v>
      </c>
      <c r="H12" t="s">
        <v>572</v>
      </c>
      <c r="I12">
        <v>3</v>
      </c>
      <c r="J12">
        <v>2024</v>
      </c>
    </row>
    <row r="13" spans="1:10" x14ac:dyDescent="0.3">
      <c r="A13" t="s">
        <v>525</v>
      </c>
      <c r="B13" t="s">
        <v>573</v>
      </c>
      <c r="C13">
        <v>0</v>
      </c>
      <c r="D13" t="s">
        <v>514</v>
      </c>
      <c r="E13" t="s">
        <v>574</v>
      </c>
      <c r="F13" t="s">
        <v>575</v>
      </c>
      <c r="G13" t="s">
        <v>576</v>
      </c>
      <c r="H13" t="s">
        <v>577</v>
      </c>
      <c r="I13">
        <v>2</v>
      </c>
      <c r="J13">
        <v>2024</v>
      </c>
    </row>
    <row r="14" spans="1:10" x14ac:dyDescent="0.3">
      <c r="A14" t="s">
        <v>578</v>
      </c>
      <c r="B14" t="s">
        <v>579</v>
      </c>
      <c r="C14">
        <v>0</v>
      </c>
      <c r="D14" t="s">
        <v>514</v>
      </c>
      <c r="E14" t="s">
        <v>580</v>
      </c>
      <c r="F14" t="s">
        <v>581</v>
      </c>
      <c r="G14" t="s">
        <v>582</v>
      </c>
      <c r="H14" t="s">
        <v>583</v>
      </c>
      <c r="I14">
        <v>4</v>
      </c>
      <c r="J14">
        <v>2024</v>
      </c>
    </row>
    <row r="15" spans="1:10" x14ac:dyDescent="0.3">
      <c r="A15" t="s">
        <v>578</v>
      </c>
      <c r="B15" t="s">
        <v>584</v>
      </c>
      <c r="C15">
        <v>0</v>
      </c>
      <c r="D15" t="s">
        <v>514</v>
      </c>
      <c r="E15" t="s">
        <v>585</v>
      </c>
      <c r="F15" t="s">
        <v>586</v>
      </c>
      <c r="G15" t="s">
        <v>587</v>
      </c>
      <c r="H15" t="s">
        <v>583</v>
      </c>
      <c r="I15">
        <v>4</v>
      </c>
      <c r="J15">
        <v>2024</v>
      </c>
    </row>
    <row r="16" spans="1:10" x14ac:dyDescent="0.3">
      <c r="A16" t="s">
        <v>588</v>
      </c>
      <c r="B16" t="s">
        <v>589</v>
      </c>
      <c r="C16">
        <v>0</v>
      </c>
      <c r="D16" t="s">
        <v>514</v>
      </c>
      <c r="E16" t="s">
        <v>590</v>
      </c>
      <c r="F16" t="s">
        <v>591</v>
      </c>
      <c r="G16" t="s">
        <v>592</v>
      </c>
      <c r="H16" t="s">
        <v>593</v>
      </c>
      <c r="I16">
        <v>0</v>
      </c>
      <c r="J16">
        <v>2024</v>
      </c>
    </row>
    <row r="17" spans="1:10" x14ac:dyDescent="0.3">
      <c r="A17" t="s">
        <v>567</v>
      </c>
      <c r="B17" t="s">
        <v>594</v>
      </c>
      <c r="C17">
        <v>0</v>
      </c>
      <c r="D17" t="s">
        <v>514</v>
      </c>
      <c r="E17" t="s">
        <v>595</v>
      </c>
      <c r="F17" t="s">
        <v>596</v>
      </c>
      <c r="G17" t="s">
        <v>597</v>
      </c>
      <c r="H17" t="s">
        <v>572</v>
      </c>
      <c r="I17">
        <v>3</v>
      </c>
      <c r="J17">
        <v>2024</v>
      </c>
    </row>
    <row r="18" spans="1:10" x14ac:dyDescent="0.3">
      <c r="A18" t="s">
        <v>598</v>
      </c>
      <c r="B18" t="s">
        <v>599</v>
      </c>
      <c r="C18">
        <v>0</v>
      </c>
      <c r="D18" t="s">
        <v>514</v>
      </c>
      <c r="E18" t="s">
        <v>600</v>
      </c>
      <c r="F18" t="s">
        <v>601</v>
      </c>
      <c r="G18" t="s">
        <v>602</v>
      </c>
      <c r="H18" t="s">
        <v>603</v>
      </c>
      <c r="I18">
        <v>1</v>
      </c>
      <c r="J18">
        <v>2024</v>
      </c>
    </row>
    <row r="19" spans="1:10" x14ac:dyDescent="0.3">
      <c r="A19" t="s">
        <v>588</v>
      </c>
      <c r="B19" t="s">
        <v>604</v>
      </c>
      <c r="C19">
        <v>0</v>
      </c>
      <c r="D19" t="s">
        <v>514</v>
      </c>
      <c r="E19" t="s">
        <v>605</v>
      </c>
      <c r="F19" t="s">
        <v>606</v>
      </c>
      <c r="G19" t="s">
        <v>607</v>
      </c>
      <c r="H19" t="s">
        <v>593</v>
      </c>
      <c r="I19">
        <v>0</v>
      </c>
      <c r="J19">
        <v>2024</v>
      </c>
    </row>
    <row r="20" spans="1:10" x14ac:dyDescent="0.3">
      <c r="A20" t="s">
        <v>598</v>
      </c>
      <c r="B20" t="s">
        <v>608</v>
      </c>
      <c r="C20">
        <v>0</v>
      </c>
      <c r="D20" t="s">
        <v>514</v>
      </c>
      <c r="E20" t="s">
        <v>609</v>
      </c>
      <c r="F20" t="s">
        <v>610</v>
      </c>
      <c r="G20" t="s">
        <v>611</v>
      </c>
      <c r="H20" t="s">
        <v>603</v>
      </c>
      <c r="I20">
        <v>1</v>
      </c>
      <c r="J20">
        <v>2024</v>
      </c>
    </row>
    <row r="21" spans="1:10" x14ac:dyDescent="0.3">
      <c r="A21" t="s">
        <v>512</v>
      </c>
      <c r="B21" t="s">
        <v>612</v>
      </c>
      <c r="C21">
        <v>2</v>
      </c>
      <c r="D21" t="s">
        <v>613</v>
      </c>
      <c r="E21" t="s">
        <v>614</v>
      </c>
      <c r="F21" t="s">
        <v>615</v>
      </c>
      <c r="G21" t="s">
        <v>616</v>
      </c>
      <c r="H21" t="s">
        <v>518</v>
      </c>
      <c r="I21">
        <v>5</v>
      </c>
      <c r="J21">
        <v>2024</v>
      </c>
    </row>
    <row r="22" spans="1:10" x14ac:dyDescent="0.3">
      <c r="A22" t="s">
        <v>531</v>
      </c>
      <c r="B22" t="s">
        <v>617</v>
      </c>
      <c r="C22">
        <v>0</v>
      </c>
      <c r="D22" t="s">
        <v>514</v>
      </c>
      <c r="E22" t="s">
        <v>618</v>
      </c>
      <c r="F22" t="s">
        <v>619</v>
      </c>
      <c r="G22" t="s">
        <v>620</v>
      </c>
      <c r="H22" t="s">
        <v>536</v>
      </c>
      <c r="I22">
        <v>3</v>
      </c>
      <c r="J22">
        <v>2024</v>
      </c>
    </row>
    <row r="23" spans="1:10" x14ac:dyDescent="0.3">
      <c r="A23" t="s">
        <v>588</v>
      </c>
      <c r="B23" t="s">
        <v>621</v>
      </c>
      <c r="C23">
        <v>1</v>
      </c>
      <c r="D23" t="s">
        <v>622</v>
      </c>
      <c r="E23" t="s">
        <v>623</v>
      </c>
      <c r="F23" t="s">
        <v>624</v>
      </c>
      <c r="G23" t="s">
        <v>625</v>
      </c>
      <c r="H23" t="s">
        <v>626</v>
      </c>
      <c r="I23">
        <v>0</v>
      </c>
      <c r="J23">
        <v>2024</v>
      </c>
    </row>
    <row r="24" spans="1:10" x14ac:dyDescent="0.3">
      <c r="A24" t="s">
        <v>598</v>
      </c>
      <c r="B24" t="s">
        <v>627</v>
      </c>
      <c r="C24">
        <v>1</v>
      </c>
      <c r="D24" t="s">
        <v>622</v>
      </c>
      <c r="E24" t="s">
        <v>628</v>
      </c>
      <c r="F24" t="s">
        <v>629</v>
      </c>
      <c r="G24" t="s">
        <v>630</v>
      </c>
      <c r="H24" t="s">
        <v>631</v>
      </c>
      <c r="I24">
        <v>1</v>
      </c>
      <c r="J24">
        <v>2024</v>
      </c>
    </row>
    <row r="25" spans="1:10" x14ac:dyDescent="0.3">
      <c r="A25" t="s">
        <v>512</v>
      </c>
      <c r="B25" t="s">
        <v>632</v>
      </c>
      <c r="C25">
        <v>5</v>
      </c>
      <c r="D25" t="s">
        <v>633</v>
      </c>
      <c r="E25" t="s">
        <v>634</v>
      </c>
      <c r="F25" t="s">
        <v>635</v>
      </c>
      <c r="G25" t="s">
        <v>636</v>
      </c>
      <c r="H25" t="s">
        <v>562</v>
      </c>
      <c r="I25">
        <v>5</v>
      </c>
      <c r="J25">
        <v>2024</v>
      </c>
    </row>
    <row r="26" spans="1:10" x14ac:dyDescent="0.3">
      <c r="A26" t="s">
        <v>512</v>
      </c>
      <c r="B26" t="s">
        <v>637</v>
      </c>
      <c r="C26">
        <v>5</v>
      </c>
      <c r="D26" t="s">
        <v>633</v>
      </c>
      <c r="E26" t="s">
        <v>638</v>
      </c>
      <c r="F26" t="s">
        <v>639</v>
      </c>
      <c r="G26" t="s">
        <v>640</v>
      </c>
      <c r="H26" t="s">
        <v>562</v>
      </c>
      <c r="I26">
        <v>5</v>
      </c>
      <c r="J26">
        <v>2024</v>
      </c>
    </row>
    <row r="27" spans="1:10" x14ac:dyDescent="0.3">
      <c r="A27" t="s">
        <v>512</v>
      </c>
      <c r="B27" t="s">
        <v>641</v>
      </c>
      <c r="C27">
        <v>5</v>
      </c>
      <c r="D27" t="s">
        <v>633</v>
      </c>
      <c r="E27" t="s">
        <v>642</v>
      </c>
      <c r="F27" t="s">
        <v>643</v>
      </c>
      <c r="G27" t="s">
        <v>644</v>
      </c>
      <c r="H27" t="s">
        <v>562</v>
      </c>
      <c r="I27">
        <v>5</v>
      </c>
      <c r="J27">
        <v>2024</v>
      </c>
    </row>
    <row r="28" spans="1:10" x14ac:dyDescent="0.3">
      <c r="A28" t="s">
        <v>512</v>
      </c>
      <c r="B28" t="s">
        <v>645</v>
      </c>
      <c r="C28">
        <v>5</v>
      </c>
      <c r="D28" t="s">
        <v>633</v>
      </c>
      <c r="E28" t="s">
        <v>646</v>
      </c>
      <c r="F28" t="s">
        <v>647</v>
      </c>
      <c r="G28" t="s">
        <v>648</v>
      </c>
      <c r="H28" t="s">
        <v>562</v>
      </c>
      <c r="I28">
        <v>5</v>
      </c>
      <c r="J28">
        <v>2024</v>
      </c>
    </row>
    <row r="29" spans="1:10" x14ac:dyDescent="0.3">
      <c r="A29" t="s">
        <v>512</v>
      </c>
      <c r="B29" t="s">
        <v>649</v>
      </c>
      <c r="C29">
        <v>5</v>
      </c>
      <c r="D29" t="s">
        <v>633</v>
      </c>
      <c r="E29" t="s">
        <v>650</v>
      </c>
      <c r="F29" t="s">
        <v>651</v>
      </c>
      <c r="G29" t="s">
        <v>652</v>
      </c>
      <c r="H29" t="s">
        <v>518</v>
      </c>
      <c r="I29">
        <v>5</v>
      </c>
      <c r="J29">
        <v>2024</v>
      </c>
    </row>
    <row r="30" spans="1:10" x14ac:dyDescent="0.3">
      <c r="A30" t="s">
        <v>512</v>
      </c>
      <c r="B30" t="s">
        <v>653</v>
      </c>
      <c r="C30">
        <v>5</v>
      </c>
      <c r="D30" t="s">
        <v>633</v>
      </c>
      <c r="E30" t="s">
        <v>654</v>
      </c>
      <c r="F30" t="s">
        <v>655</v>
      </c>
      <c r="G30" t="s">
        <v>656</v>
      </c>
      <c r="H30" t="s">
        <v>518</v>
      </c>
      <c r="I30">
        <v>5</v>
      </c>
      <c r="J30">
        <v>2024</v>
      </c>
    </row>
    <row r="31" spans="1:10" x14ac:dyDescent="0.3">
      <c r="A31" t="s">
        <v>531</v>
      </c>
      <c r="B31" t="s">
        <v>657</v>
      </c>
      <c r="C31">
        <v>0</v>
      </c>
      <c r="D31" t="s">
        <v>514</v>
      </c>
      <c r="E31" t="s">
        <v>658</v>
      </c>
      <c r="F31" t="s">
        <v>659</v>
      </c>
      <c r="G31" t="s">
        <v>660</v>
      </c>
      <c r="H31" t="s">
        <v>536</v>
      </c>
      <c r="I31">
        <v>3</v>
      </c>
      <c r="J31">
        <v>2024</v>
      </c>
    </row>
    <row r="32" spans="1:10" x14ac:dyDescent="0.3">
      <c r="A32" t="s">
        <v>537</v>
      </c>
      <c r="B32" t="s">
        <v>661</v>
      </c>
      <c r="C32">
        <v>0</v>
      </c>
      <c r="D32" t="s">
        <v>514</v>
      </c>
      <c r="E32" t="s">
        <v>662</v>
      </c>
      <c r="F32" t="s">
        <v>663</v>
      </c>
      <c r="G32" t="s">
        <v>664</v>
      </c>
      <c r="H32" t="s">
        <v>542</v>
      </c>
      <c r="I32">
        <v>2</v>
      </c>
      <c r="J32">
        <v>2024</v>
      </c>
    </row>
    <row r="33" spans="1:10" x14ac:dyDescent="0.3">
      <c r="A33" t="s">
        <v>543</v>
      </c>
      <c r="B33" t="s">
        <v>665</v>
      </c>
      <c r="C33">
        <v>0</v>
      </c>
      <c r="D33" t="s">
        <v>514</v>
      </c>
      <c r="E33" t="s">
        <v>666</v>
      </c>
      <c r="F33" t="s">
        <v>667</v>
      </c>
      <c r="G33" t="s">
        <v>668</v>
      </c>
      <c r="H33" t="s">
        <v>548</v>
      </c>
      <c r="I33">
        <v>0</v>
      </c>
      <c r="J33">
        <v>2024</v>
      </c>
    </row>
    <row r="34" spans="1:10" x14ac:dyDescent="0.3">
      <c r="A34" t="s">
        <v>578</v>
      </c>
      <c r="B34" t="s">
        <v>669</v>
      </c>
      <c r="C34">
        <v>1</v>
      </c>
      <c r="D34" t="s">
        <v>622</v>
      </c>
      <c r="E34" t="s">
        <v>670</v>
      </c>
      <c r="F34" t="s">
        <v>671</v>
      </c>
      <c r="G34" t="s">
        <v>672</v>
      </c>
      <c r="H34" t="s">
        <v>673</v>
      </c>
      <c r="I34">
        <v>4</v>
      </c>
      <c r="J34">
        <v>2024</v>
      </c>
    </row>
    <row r="35" spans="1:10" x14ac:dyDescent="0.3">
      <c r="A35" t="s">
        <v>531</v>
      </c>
      <c r="B35" t="s">
        <v>674</v>
      </c>
      <c r="C35">
        <v>1</v>
      </c>
      <c r="D35" t="s">
        <v>622</v>
      </c>
      <c r="E35" t="s">
        <v>675</v>
      </c>
      <c r="F35" t="s">
        <v>676</v>
      </c>
      <c r="G35" t="s">
        <v>677</v>
      </c>
      <c r="H35" t="s">
        <v>572</v>
      </c>
      <c r="I35">
        <v>3</v>
      </c>
      <c r="J35">
        <v>2024</v>
      </c>
    </row>
    <row r="36" spans="1:10" x14ac:dyDescent="0.3">
      <c r="A36" t="s">
        <v>512</v>
      </c>
      <c r="B36" t="s">
        <v>678</v>
      </c>
      <c r="C36">
        <v>2</v>
      </c>
      <c r="D36" t="s">
        <v>613</v>
      </c>
      <c r="E36" t="s">
        <v>679</v>
      </c>
      <c r="F36" t="s">
        <v>680</v>
      </c>
      <c r="G36" t="s">
        <v>681</v>
      </c>
      <c r="H36" t="s">
        <v>518</v>
      </c>
      <c r="I36">
        <v>5</v>
      </c>
      <c r="J36">
        <v>2024</v>
      </c>
    </row>
    <row r="37" spans="1:10" x14ac:dyDescent="0.3">
      <c r="A37" t="s">
        <v>519</v>
      </c>
      <c r="B37" t="s">
        <v>682</v>
      </c>
      <c r="C37">
        <v>1</v>
      </c>
      <c r="D37" t="s">
        <v>622</v>
      </c>
      <c r="E37" t="s">
        <v>683</v>
      </c>
      <c r="F37" t="s">
        <v>684</v>
      </c>
      <c r="G37" t="s">
        <v>685</v>
      </c>
      <c r="H37" t="s">
        <v>603</v>
      </c>
      <c r="I37">
        <v>1</v>
      </c>
      <c r="J37">
        <v>2024</v>
      </c>
    </row>
    <row r="38" spans="1:10" x14ac:dyDescent="0.3">
      <c r="A38" t="s">
        <v>525</v>
      </c>
      <c r="B38" t="s">
        <v>686</v>
      </c>
      <c r="C38">
        <v>1</v>
      </c>
      <c r="D38" t="s">
        <v>622</v>
      </c>
      <c r="E38" t="s">
        <v>687</v>
      </c>
      <c r="F38" t="s">
        <v>688</v>
      </c>
      <c r="G38" t="s">
        <v>689</v>
      </c>
      <c r="H38" t="s">
        <v>530</v>
      </c>
      <c r="I38">
        <v>2</v>
      </c>
      <c r="J38">
        <v>2024</v>
      </c>
    </row>
    <row r="39" spans="1:10" x14ac:dyDescent="0.3">
      <c r="A39" t="s">
        <v>512</v>
      </c>
      <c r="B39" t="s">
        <v>690</v>
      </c>
      <c r="C39">
        <v>0</v>
      </c>
      <c r="D39" t="s">
        <v>514</v>
      </c>
      <c r="E39" t="s">
        <v>691</v>
      </c>
      <c r="F39" t="s">
        <v>692</v>
      </c>
      <c r="G39" t="s">
        <v>693</v>
      </c>
      <c r="H39" t="s">
        <v>518</v>
      </c>
      <c r="I39">
        <v>5</v>
      </c>
      <c r="J39">
        <v>2024</v>
      </c>
    </row>
    <row r="40" spans="1:10" x14ac:dyDescent="0.3">
      <c r="A40" t="s">
        <v>531</v>
      </c>
      <c r="B40" t="s">
        <v>694</v>
      </c>
      <c r="C40">
        <v>0</v>
      </c>
      <c r="D40" t="s">
        <v>514</v>
      </c>
      <c r="E40" t="s">
        <v>695</v>
      </c>
      <c r="F40" t="s">
        <v>696</v>
      </c>
      <c r="G40" t="s">
        <v>697</v>
      </c>
      <c r="H40" t="s">
        <v>536</v>
      </c>
      <c r="I40">
        <v>3</v>
      </c>
      <c r="J40">
        <v>2024</v>
      </c>
    </row>
    <row r="41" spans="1:10" x14ac:dyDescent="0.3">
      <c r="A41" t="s">
        <v>531</v>
      </c>
      <c r="B41" t="s">
        <v>698</v>
      </c>
      <c r="C41">
        <v>0</v>
      </c>
      <c r="D41" t="s">
        <v>514</v>
      </c>
      <c r="E41" t="s">
        <v>699</v>
      </c>
      <c r="F41" t="s">
        <v>700</v>
      </c>
      <c r="G41" t="s">
        <v>701</v>
      </c>
      <c r="H41" t="s">
        <v>536</v>
      </c>
      <c r="I41">
        <v>3</v>
      </c>
      <c r="J41">
        <v>2024</v>
      </c>
    </row>
    <row r="42" spans="1:10" x14ac:dyDescent="0.3">
      <c r="A42" t="s">
        <v>578</v>
      </c>
      <c r="B42" t="s">
        <v>702</v>
      </c>
      <c r="C42">
        <v>0</v>
      </c>
      <c r="D42" t="s">
        <v>514</v>
      </c>
      <c r="E42" t="s">
        <v>703</v>
      </c>
      <c r="F42" t="s">
        <v>704</v>
      </c>
      <c r="G42" t="s">
        <v>705</v>
      </c>
      <c r="H42" t="s">
        <v>583</v>
      </c>
      <c r="I42">
        <v>4</v>
      </c>
      <c r="J42">
        <v>2024</v>
      </c>
    </row>
    <row r="43" spans="1:10" x14ac:dyDescent="0.3">
      <c r="A43" t="s">
        <v>537</v>
      </c>
      <c r="B43" t="s">
        <v>706</v>
      </c>
      <c r="C43">
        <v>0</v>
      </c>
      <c r="D43" t="s">
        <v>514</v>
      </c>
      <c r="E43" t="s">
        <v>707</v>
      </c>
      <c r="F43" t="s">
        <v>708</v>
      </c>
      <c r="G43" t="s">
        <v>709</v>
      </c>
      <c r="H43" t="s">
        <v>542</v>
      </c>
      <c r="I43">
        <v>2</v>
      </c>
      <c r="J43">
        <v>2024</v>
      </c>
    </row>
    <row r="44" spans="1:10" x14ac:dyDescent="0.3">
      <c r="A44" t="s">
        <v>557</v>
      </c>
      <c r="B44" t="s">
        <v>710</v>
      </c>
      <c r="C44">
        <v>2</v>
      </c>
      <c r="D44" t="s">
        <v>613</v>
      </c>
      <c r="E44" t="s">
        <v>711</v>
      </c>
      <c r="F44" t="s">
        <v>712</v>
      </c>
      <c r="G44" t="s">
        <v>713</v>
      </c>
      <c r="H44" t="s">
        <v>714</v>
      </c>
      <c r="I44">
        <v>5</v>
      </c>
      <c r="J44">
        <v>2024</v>
      </c>
    </row>
    <row r="45" spans="1:10" x14ac:dyDescent="0.3">
      <c r="A45" t="s">
        <v>525</v>
      </c>
      <c r="B45" t="s">
        <v>715</v>
      </c>
      <c r="C45">
        <v>1</v>
      </c>
      <c r="D45" t="s">
        <v>622</v>
      </c>
      <c r="E45" t="s">
        <v>716</v>
      </c>
      <c r="F45" t="s">
        <v>717</v>
      </c>
      <c r="G45" t="s">
        <v>718</v>
      </c>
      <c r="H45" t="s">
        <v>530</v>
      </c>
      <c r="I45">
        <v>2</v>
      </c>
      <c r="J45">
        <v>2024</v>
      </c>
    </row>
    <row r="46" spans="1:10" x14ac:dyDescent="0.3">
      <c r="A46" t="s">
        <v>578</v>
      </c>
      <c r="B46" t="s">
        <v>719</v>
      </c>
      <c r="C46">
        <v>1</v>
      </c>
      <c r="D46" t="s">
        <v>622</v>
      </c>
      <c r="E46" t="s">
        <v>720</v>
      </c>
      <c r="F46" t="s">
        <v>721</v>
      </c>
      <c r="G46" t="s">
        <v>722</v>
      </c>
      <c r="H46" t="s">
        <v>673</v>
      </c>
      <c r="I46">
        <v>4</v>
      </c>
      <c r="J46">
        <v>2024</v>
      </c>
    </row>
    <row r="47" spans="1:10" x14ac:dyDescent="0.3">
      <c r="A47" t="s">
        <v>588</v>
      </c>
      <c r="B47" t="s">
        <v>723</v>
      </c>
      <c r="C47">
        <v>1</v>
      </c>
      <c r="D47" t="s">
        <v>622</v>
      </c>
      <c r="E47" t="s">
        <v>724</v>
      </c>
      <c r="F47" t="s">
        <v>725</v>
      </c>
      <c r="G47" t="s">
        <v>726</v>
      </c>
      <c r="H47" t="s">
        <v>626</v>
      </c>
      <c r="I47">
        <v>0</v>
      </c>
      <c r="J47">
        <v>2024</v>
      </c>
    </row>
    <row r="48" spans="1:10" x14ac:dyDescent="0.3">
      <c r="A48" t="s">
        <v>567</v>
      </c>
      <c r="B48" t="s">
        <v>727</v>
      </c>
      <c r="C48">
        <v>1</v>
      </c>
      <c r="D48" t="s">
        <v>622</v>
      </c>
      <c r="E48" t="s">
        <v>728</v>
      </c>
      <c r="F48" t="s">
        <v>729</v>
      </c>
      <c r="G48" t="s">
        <v>730</v>
      </c>
      <c r="H48" t="s">
        <v>731</v>
      </c>
      <c r="I48">
        <v>3</v>
      </c>
      <c r="J48">
        <v>2024</v>
      </c>
    </row>
    <row r="49" spans="1:10" x14ac:dyDescent="0.3">
      <c r="A49" t="s">
        <v>572</v>
      </c>
      <c r="B49" t="s">
        <v>732</v>
      </c>
      <c r="C49">
        <v>2</v>
      </c>
      <c r="D49" t="s">
        <v>613</v>
      </c>
      <c r="E49" t="s">
        <v>733</v>
      </c>
      <c r="F49" t="s">
        <v>734</v>
      </c>
      <c r="G49" t="s">
        <v>735</v>
      </c>
      <c r="H49" t="s">
        <v>736</v>
      </c>
      <c r="I49">
        <v>3</v>
      </c>
      <c r="J49">
        <v>2024</v>
      </c>
    </row>
    <row r="50" spans="1:10" x14ac:dyDescent="0.3">
      <c r="A50" t="s">
        <v>737</v>
      </c>
      <c r="B50" t="s">
        <v>738</v>
      </c>
      <c r="C50">
        <v>1</v>
      </c>
      <c r="D50" t="s">
        <v>622</v>
      </c>
      <c r="E50" t="s">
        <v>739</v>
      </c>
      <c r="F50" t="s">
        <v>740</v>
      </c>
      <c r="G50" t="s">
        <v>741</v>
      </c>
      <c r="H50" t="s">
        <v>742</v>
      </c>
      <c r="I50">
        <v>0</v>
      </c>
      <c r="J50">
        <v>2024</v>
      </c>
    </row>
    <row r="51" spans="1:10" x14ac:dyDescent="0.3">
      <c r="A51" t="s">
        <v>593</v>
      </c>
      <c r="B51" t="s">
        <v>743</v>
      </c>
      <c r="C51">
        <v>1</v>
      </c>
      <c r="D51" t="s">
        <v>622</v>
      </c>
      <c r="E51" t="s">
        <v>744</v>
      </c>
      <c r="F51" t="s">
        <v>745</v>
      </c>
      <c r="G51" t="s">
        <v>746</v>
      </c>
      <c r="H51" t="s">
        <v>747</v>
      </c>
      <c r="I51">
        <v>0</v>
      </c>
      <c r="J51">
        <v>2024</v>
      </c>
    </row>
    <row r="52" spans="1:10" x14ac:dyDescent="0.3">
      <c r="A52" t="s">
        <v>748</v>
      </c>
      <c r="B52" t="s">
        <v>749</v>
      </c>
      <c r="C52">
        <v>1</v>
      </c>
      <c r="D52" t="s">
        <v>622</v>
      </c>
      <c r="E52" t="s">
        <v>750</v>
      </c>
      <c r="F52" t="s">
        <v>751</v>
      </c>
      <c r="G52" t="s">
        <v>752</v>
      </c>
      <c r="H52" t="s">
        <v>588</v>
      </c>
      <c r="I52">
        <v>0</v>
      </c>
      <c r="J52">
        <v>2024</v>
      </c>
    </row>
    <row r="53" spans="1:10" x14ac:dyDescent="0.3">
      <c r="A53" t="s">
        <v>603</v>
      </c>
      <c r="B53" t="s">
        <v>753</v>
      </c>
      <c r="C53">
        <v>1</v>
      </c>
      <c r="D53" t="s">
        <v>622</v>
      </c>
      <c r="E53" t="s">
        <v>754</v>
      </c>
      <c r="F53" t="s">
        <v>755</v>
      </c>
      <c r="G53" t="s">
        <v>756</v>
      </c>
      <c r="H53" t="s">
        <v>748</v>
      </c>
      <c r="I53">
        <v>1</v>
      </c>
      <c r="J53">
        <v>2024</v>
      </c>
    </row>
    <row r="54" spans="1:10" x14ac:dyDescent="0.3">
      <c r="A54" t="s">
        <v>537</v>
      </c>
      <c r="B54" t="s">
        <v>757</v>
      </c>
      <c r="C54">
        <v>0</v>
      </c>
      <c r="D54" t="s">
        <v>514</v>
      </c>
      <c r="E54" t="s">
        <v>758</v>
      </c>
      <c r="F54" t="s">
        <v>759</v>
      </c>
      <c r="G54" t="s">
        <v>760</v>
      </c>
      <c r="H54" t="s">
        <v>542</v>
      </c>
      <c r="I54">
        <v>2</v>
      </c>
      <c r="J54">
        <v>2024</v>
      </c>
    </row>
    <row r="55" spans="1:10" x14ac:dyDescent="0.3">
      <c r="A55" t="s">
        <v>512</v>
      </c>
      <c r="B55" t="s">
        <v>761</v>
      </c>
      <c r="C55">
        <v>0</v>
      </c>
      <c r="D55" t="s">
        <v>514</v>
      </c>
      <c r="E55" t="s">
        <v>762</v>
      </c>
      <c r="F55" t="s">
        <v>763</v>
      </c>
      <c r="G55" t="s">
        <v>764</v>
      </c>
      <c r="H55" t="s">
        <v>518</v>
      </c>
      <c r="I55">
        <v>5</v>
      </c>
      <c r="J55">
        <v>2024</v>
      </c>
    </row>
    <row r="56" spans="1:10" x14ac:dyDescent="0.3">
      <c r="A56" t="s">
        <v>567</v>
      </c>
      <c r="B56" t="s">
        <v>765</v>
      </c>
      <c r="C56">
        <v>1</v>
      </c>
      <c r="D56" t="s">
        <v>622</v>
      </c>
      <c r="E56" t="s">
        <v>766</v>
      </c>
      <c r="F56" t="s">
        <v>767</v>
      </c>
      <c r="G56" t="s">
        <v>768</v>
      </c>
      <c r="H56" t="s">
        <v>731</v>
      </c>
      <c r="I56">
        <v>3</v>
      </c>
      <c r="J56">
        <v>2024</v>
      </c>
    </row>
    <row r="57" spans="1:10" x14ac:dyDescent="0.3">
      <c r="A57" t="s">
        <v>598</v>
      </c>
      <c r="B57" t="s">
        <v>769</v>
      </c>
      <c r="C57">
        <v>1</v>
      </c>
      <c r="D57" t="s">
        <v>622</v>
      </c>
      <c r="E57" t="s">
        <v>770</v>
      </c>
      <c r="F57" t="s">
        <v>771</v>
      </c>
      <c r="G57" t="s">
        <v>772</v>
      </c>
      <c r="H57" t="s">
        <v>631</v>
      </c>
      <c r="I57">
        <v>1</v>
      </c>
      <c r="J57">
        <v>2024</v>
      </c>
    </row>
    <row r="58" spans="1:10" x14ac:dyDescent="0.3">
      <c r="A58" t="s">
        <v>525</v>
      </c>
      <c r="B58" t="s">
        <v>773</v>
      </c>
      <c r="C58">
        <v>1</v>
      </c>
      <c r="D58" t="s">
        <v>622</v>
      </c>
      <c r="E58" t="s">
        <v>774</v>
      </c>
      <c r="F58" t="s">
        <v>775</v>
      </c>
      <c r="G58" t="s">
        <v>776</v>
      </c>
      <c r="H58" t="s">
        <v>530</v>
      </c>
      <c r="I58">
        <v>2</v>
      </c>
      <c r="J58">
        <v>2024</v>
      </c>
    </row>
    <row r="59" spans="1:10" x14ac:dyDescent="0.3">
      <c r="A59" t="s">
        <v>567</v>
      </c>
      <c r="B59" t="s">
        <v>777</v>
      </c>
      <c r="C59">
        <v>1</v>
      </c>
      <c r="D59" t="s">
        <v>622</v>
      </c>
      <c r="E59" t="s">
        <v>778</v>
      </c>
      <c r="F59" t="s">
        <v>779</v>
      </c>
      <c r="G59" t="s">
        <v>780</v>
      </c>
      <c r="H59" t="s">
        <v>731</v>
      </c>
      <c r="I59">
        <v>3</v>
      </c>
      <c r="J59">
        <v>2024</v>
      </c>
    </row>
    <row r="60" spans="1:10" x14ac:dyDescent="0.3">
      <c r="A60" t="s">
        <v>781</v>
      </c>
      <c r="B60" t="s">
        <v>782</v>
      </c>
      <c r="C60">
        <v>1</v>
      </c>
      <c r="D60" t="s">
        <v>622</v>
      </c>
      <c r="E60" t="s">
        <v>783</v>
      </c>
      <c r="F60" t="s">
        <v>784</v>
      </c>
      <c r="G60" t="s">
        <v>785</v>
      </c>
      <c r="H60" t="s">
        <v>786</v>
      </c>
      <c r="I60">
        <v>4</v>
      </c>
      <c r="J60">
        <v>2024</v>
      </c>
    </row>
    <row r="61" spans="1:10" x14ac:dyDescent="0.3">
      <c r="A61" t="s">
        <v>567</v>
      </c>
      <c r="B61" t="s">
        <v>787</v>
      </c>
      <c r="C61">
        <v>1</v>
      </c>
      <c r="D61" t="s">
        <v>622</v>
      </c>
      <c r="E61" t="s">
        <v>788</v>
      </c>
      <c r="F61" t="s">
        <v>789</v>
      </c>
      <c r="G61" t="s">
        <v>790</v>
      </c>
      <c r="H61" t="s">
        <v>731</v>
      </c>
      <c r="I61">
        <v>3</v>
      </c>
      <c r="J61">
        <v>2024</v>
      </c>
    </row>
    <row r="62" spans="1:10" x14ac:dyDescent="0.3">
      <c r="A62" t="s">
        <v>525</v>
      </c>
      <c r="B62" t="s">
        <v>791</v>
      </c>
      <c r="C62">
        <v>1</v>
      </c>
      <c r="D62" t="s">
        <v>622</v>
      </c>
      <c r="E62" t="s">
        <v>792</v>
      </c>
      <c r="F62" t="s">
        <v>793</v>
      </c>
      <c r="G62" t="s">
        <v>794</v>
      </c>
      <c r="H62" t="s">
        <v>530</v>
      </c>
      <c r="I62">
        <v>2</v>
      </c>
      <c r="J62">
        <v>2024</v>
      </c>
    </row>
    <row r="63" spans="1:10" x14ac:dyDescent="0.3">
      <c r="A63" t="s">
        <v>525</v>
      </c>
      <c r="B63" t="s">
        <v>795</v>
      </c>
      <c r="C63">
        <v>1</v>
      </c>
      <c r="D63" t="s">
        <v>622</v>
      </c>
      <c r="E63" t="s">
        <v>796</v>
      </c>
      <c r="F63" t="s">
        <v>797</v>
      </c>
      <c r="G63" t="s">
        <v>798</v>
      </c>
      <c r="H63" t="s">
        <v>530</v>
      </c>
      <c r="I63">
        <v>2</v>
      </c>
      <c r="J63">
        <v>2024</v>
      </c>
    </row>
    <row r="64" spans="1:10" x14ac:dyDescent="0.3">
      <c r="A64" t="s">
        <v>525</v>
      </c>
      <c r="B64" t="s">
        <v>799</v>
      </c>
      <c r="C64">
        <v>1</v>
      </c>
      <c r="D64" t="s">
        <v>622</v>
      </c>
      <c r="E64" t="s">
        <v>800</v>
      </c>
      <c r="F64" t="s">
        <v>801</v>
      </c>
      <c r="G64" t="s">
        <v>802</v>
      </c>
      <c r="H64" t="s">
        <v>530</v>
      </c>
      <c r="I64">
        <v>2</v>
      </c>
      <c r="J64">
        <v>2024</v>
      </c>
    </row>
    <row r="65" spans="1:10" x14ac:dyDescent="0.3">
      <c r="A65" t="s">
        <v>588</v>
      </c>
      <c r="B65" t="s">
        <v>803</v>
      </c>
      <c r="C65">
        <v>1</v>
      </c>
      <c r="D65" t="s">
        <v>622</v>
      </c>
      <c r="E65" t="s">
        <v>804</v>
      </c>
      <c r="F65" t="s">
        <v>805</v>
      </c>
      <c r="G65" t="s">
        <v>806</v>
      </c>
      <c r="H65" t="s">
        <v>626</v>
      </c>
      <c r="I65">
        <v>0</v>
      </c>
      <c r="J65">
        <v>2024</v>
      </c>
    </row>
    <row r="66" spans="1:10" x14ac:dyDescent="0.3">
      <c r="A66" t="s">
        <v>519</v>
      </c>
      <c r="B66" t="s">
        <v>807</v>
      </c>
      <c r="C66">
        <v>1</v>
      </c>
      <c r="D66" t="s">
        <v>622</v>
      </c>
      <c r="E66" t="s">
        <v>808</v>
      </c>
      <c r="F66" t="s">
        <v>809</v>
      </c>
      <c r="G66" t="s">
        <v>810</v>
      </c>
      <c r="H66" t="s">
        <v>603</v>
      </c>
      <c r="I66">
        <v>1</v>
      </c>
      <c r="J66">
        <v>2024</v>
      </c>
    </row>
    <row r="67" spans="1:10" x14ac:dyDescent="0.3">
      <c r="A67" t="s">
        <v>588</v>
      </c>
      <c r="B67" t="s">
        <v>811</v>
      </c>
      <c r="C67">
        <v>1</v>
      </c>
      <c r="D67" t="s">
        <v>622</v>
      </c>
      <c r="E67" t="s">
        <v>812</v>
      </c>
      <c r="F67" t="s">
        <v>813</v>
      </c>
      <c r="G67" t="s">
        <v>814</v>
      </c>
      <c r="H67" t="s">
        <v>626</v>
      </c>
      <c r="I67">
        <v>0</v>
      </c>
      <c r="J67">
        <v>2024</v>
      </c>
    </row>
    <row r="68" spans="1:10" x14ac:dyDescent="0.3">
      <c r="A68" t="s">
        <v>588</v>
      </c>
      <c r="B68" t="s">
        <v>815</v>
      </c>
      <c r="C68">
        <v>1</v>
      </c>
      <c r="D68" t="s">
        <v>622</v>
      </c>
      <c r="E68" t="s">
        <v>816</v>
      </c>
      <c r="F68" t="s">
        <v>817</v>
      </c>
      <c r="G68" t="s">
        <v>818</v>
      </c>
      <c r="H68" t="s">
        <v>626</v>
      </c>
      <c r="I68">
        <v>0</v>
      </c>
      <c r="J68">
        <v>2024</v>
      </c>
    </row>
    <row r="69" spans="1:10" x14ac:dyDescent="0.3">
      <c r="A69" t="s">
        <v>598</v>
      </c>
      <c r="B69" t="s">
        <v>819</v>
      </c>
      <c r="C69">
        <v>1</v>
      </c>
      <c r="D69" t="s">
        <v>622</v>
      </c>
      <c r="E69" t="s">
        <v>820</v>
      </c>
      <c r="F69" t="s">
        <v>821</v>
      </c>
      <c r="G69" t="s">
        <v>822</v>
      </c>
      <c r="H69" t="s">
        <v>631</v>
      </c>
      <c r="I69">
        <v>1</v>
      </c>
      <c r="J69">
        <v>2024</v>
      </c>
    </row>
    <row r="70" spans="1:10" x14ac:dyDescent="0.3">
      <c r="A70" t="s">
        <v>512</v>
      </c>
      <c r="B70" t="s">
        <v>823</v>
      </c>
      <c r="C70">
        <v>2</v>
      </c>
      <c r="D70" t="s">
        <v>613</v>
      </c>
      <c r="E70" t="s">
        <v>824</v>
      </c>
      <c r="F70" t="s">
        <v>825</v>
      </c>
      <c r="G70" t="s">
        <v>826</v>
      </c>
      <c r="H70" t="s">
        <v>562</v>
      </c>
      <c r="I70">
        <v>5</v>
      </c>
      <c r="J70">
        <v>2024</v>
      </c>
    </row>
    <row r="71" spans="1:10" x14ac:dyDescent="0.3">
      <c r="A71" t="s">
        <v>578</v>
      </c>
      <c r="B71" t="s">
        <v>827</v>
      </c>
      <c r="C71">
        <v>1</v>
      </c>
      <c r="D71" t="s">
        <v>622</v>
      </c>
      <c r="E71" t="s">
        <v>828</v>
      </c>
      <c r="F71" t="s">
        <v>829</v>
      </c>
      <c r="G71" t="s">
        <v>830</v>
      </c>
      <c r="H71" t="s">
        <v>673</v>
      </c>
      <c r="I71">
        <v>4</v>
      </c>
      <c r="J71">
        <v>2024</v>
      </c>
    </row>
    <row r="72" spans="1:10" x14ac:dyDescent="0.3">
      <c r="A72" t="s">
        <v>537</v>
      </c>
      <c r="B72" t="s">
        <v>831</v>
      </c>
      <c r="C72">
        <v>1</v>
      </c>
      <c r="D72" t="s">
        <v>622</v>
      </c>
      <c r="E72" t="s">
        <v>832</v>
      </c>
      <c r="F72" t="s">
        <v>833</v>
      </c>
      <c r="G72" t="s">
        <v>834</v>
      </c>
      <c r="H72" t="s">
        <v>577</v>
      </c>
      <c r="I72">
        <v>2</v>
      </c>
      <c r="J72">
        <v>2024</v>
      </c>
    </row>
    <row r="73" spans="1:10" x14ac:dyDescent="0.3">
      <c r="A73" t="s">
        <v>519</v>
      </c>
      <c r="B73" t="s">
        <v>835</v>
      </c>
      <c r="C73">
        <v>1</v>
      </c>
      <c r="D73" t="s">
        <v>622</v>
      </c>
      <c r="E73" t="s">
        <v>836</v>
      </c>
      <c r="F73" t="s">
        <v>837</v>
      </c>
      <c r="G73" t="s">
        <v>838</v>
      </c>
      <c r="H73" t="s">
        <v>603</v>
      </c>
      <c r="I73">
        <v>1</v>
      </c>
      <c r="J73">
        <v>2024</v>
      </c>
    </row>
    <row r="74" spans="1:10" x14ac:dyDescent="0.3">
      <c r="A74" t="s">
        <v>519</v>
      </c>
      <c r="B74" t="s">
        <v>839</v>
      </c>
      <c r="C74">
        <v>1</v>
      </c>
      <c r="D74" t="s">
        <v>622</v>
      </c>
      <c r="E74" t="s">
        <v>840</v>
      </c>
      <c r="F74" t="s">
        <v>841</v>
      </c>
      <c r="G74" t="s">
        <v>842</v>
      </c>
      <c r="H74" t="s">
        <v>603</v>
      </c>
      <c r="I74">
        <v>1</v>
      </c>
      <c r="J74">
        <v>2024</v>
      </c>
    </row>
    <row r="75" spans="1:10" x14ac:dyDescent="0.3">
      <c r="A75" t="s">
        <v>578</v>
      </c>
      <c r="B75" t="s">
        <v>843</v>
      </c>
      <c r="C75">
        <v>1</v>
      </c>
      <c r="D75" t="s">
        <v>622</v>
      </c>
      <c r="E75" t="s">
        <v>844</v>
      </c>
      <c r="F75" t="s">
        <v>845</v>
      </c>
      <c r="G75" t="s">
        <v>846</v>
      </c>
      <c r="H75" t="s">
        <v>673</v>
      </c>
      <c r="I75">
        <v>4</v>
      </c>
      <c r="J75">
        <v>2024</v>
      </c>
    </row>
    <row r="76" spans="1:10" x14ac:dyDescent="0.3">
      <c r="A76" t="s">
        <v>543</v>
      </c>
      <c r="B76" t="s">
        <v>847</v>
      </c>
      <c r="C76">
        <v>1</v>
      </c>
      <c r="D76" t="s">
        <v>622</v>
      </c>
      <c r="E76" t="s">
        <v>848</v>
      </c>
      <c r="F76" t="s">
        <v>849</v>
      </c>
      <c r="G76" t="s">
        <v>850</v>
      </c>
      <c r="H76" t="s">
        <v>593</v>
      </c>
      <c r="I76">
        <v>0</v>
      </c>
      <c r="J76">
        <v>2024</v>
      </c>
    </row>
    <row r="77" spans="1:10" x14ac:dyDescent="0.3">
      <c r="A77" t="s">
        <v>598</v>
      </c>
      <c r="B77" t="s">
        <v>851</v>
      </c>
      <c r="C77">
        <v>1</v>
      </c>
      <c r="D77" t="s">
        <v>622</v>
      </c>
      <c r="E77" t="s">
        <v>852</v>
      </c>
      <c r="F77" t="s">
        <v>853</v>
      </c>
      <c r="G77" t="s">
        <v>854</v>
      </c>
      <c r="H77" t="s">
        <v>631</v>
      </c>
      <c r="I77">
        <v>1</v>
      </c>
      <c r="J77">
        <v>2024</v>
      </c>
    </row>
    <row r="78" spans="1:10" x14ac:dyDescent="0.3">
      <c r="A78" t="s">
        <v>531</v>
      </c>
      <c r="B78" t="s">
        <v>855</v>
      </c>
      <c r="C78">
        <v>1</v>
      </c>
      <c r="D78" t="s">
        <v>622</v>
      </c>
      <c r="E78" t="s">
        <v>856</v>
      </c>
      <c r="F78" t="s">
        <v>857</v>
      </c>
      <c r="G78" t="s">
        <v>858</v>
      </c>
      <c r="H78" t="s">
        <v>572</v>
      </c>
      <c r="I78">
        <v>3</v>
      </c>
      <c r="J78">
        <v>2024</v>
      </c>
    </row>
    <row r="79" spans="1:10" x14ac:dyDescent="0.3">
      <c r="A79" t="s">
        <v>567</v>
      </c>
      <c r="B79" t="s">
        <v>859</v>
      </c>
      <c r="C79">
        <v>1</v>
      </c>
      <c r="D79" t="s">
        <v>622</v>
      </c>
      <c r="E79" t="s">
        <v>860</v>
      </c>
      <c r="F79" t="s">
        <v>861</v>
      </c>
      <c r="G79" t="s">
        <v>862</v>
      </c>
      <c r="H79" t="s">
        <v>731</v>
      </c>
      <c r="I79">
        <v>3</v>
      </c>
      <c r="J79">
        <v>2024</v>
      </c>
    </row>
    <row r="80" spans="1:10" x14ac:dyDescent="0.3">
      <c r="A80" t="s">
        <v>537</v>
      </c>
      <c r="B80" t="s">
        <v>863</v>
      </c>
      <c r="C80">
        <v>1</v>
      </c>
      <c r="D80" t="s">
        <v>622</v>
      </c>
      <c r="E80" t="s">
        <v>864</v>
      </c>
      <c r="F80" t="s">
        <v>865</v>
      </c>
      <c r="G80" t="s">
        <v>866</v>
      </c>
      <c r="H80" t="s">
        <v>577</v>
      </c>
      <c r="I80">
        <v>2</v>
      </c>
      <c r="J80">
        <v>2024</v>
      </c>
    </row>
    <row r="81" spans="1:10" x14ac:dyDescent="0.3">
      <c r="A81" t="s">
        <v>578</v>
      </c>
      <c r="B81" t="s">
        <v>867</v>
      </c>
      <c r="C81">
        <v>1</v>
      </c>
      <c r="D81" t="s">
        <v>622</v>
      </c>
      <c r="E81" t="s">
        <v>868</v>
      </c>
      <c r="F81" t="s">
        <v>869</v>
      </c>
      <c r="G81" t="s">
        <v>870</v>
      </c>
      <c r="H81" t="s">
        <v>673</v>
      </c>
      <c r="I81">
        <v>4</v>
      </c>
      <c r="J81">
        <v>2024</v>
      </c>
    </row>
    <row r="82" spans="1:10" x14ac:dyDescent="0.3">
      <c r="A82" t="s">
        <v>531</v>
      </c>
      <c r="B82" t="s">
        <v>871</v>
      </c>
      <c r="C82">
        <v>1</v>
      </c>
      <c r="D82" t="s">
        <v>622</v>
      </c>
      <c r="E82" t="s">
        <v>872</v>
      </c>
      <c r="F82" t="s">
        <v>873</v>
      </c>
      <c r="G82" t="s">
        <v>874</v>
      </c>
      <c r="H82" t="s">
        <v>572</v>
      </c>
      <c r="I82">
        <v>3</v>
      </c>
      <c r="J82">
        <v>2024</v>
      </c>
    </row>
    <row r="83" spans="1:10" x14ac:dyDescent="0.3">
      <c r="A83" t="s">
        <v>543</v>
      </c>
      <c r="B83" t="s">
        <v>875</v>
      </c>
      <c r="C83">
        <v>1</v>
      </c>
      <c r="D83" t="s">
        <v>622</v>
      </c>
      <c r="E83" t="s">
        <v>876</v>
      </c>
      <c r="F83" t="s">
        <v>877</v>
      </c>
      <c r="G83" t="s">
        <v>878</v>
      </c>
      <c r="H83" t="s">
        <v>593</v>
      </c>
      <c r="I83">
        <v>0</v>
      </c>
      <c r="J83">
        <v>2024</v>
      </c>
    </row>
    <row r="84" spans="1:10" x14ac:dyDescent="0.3">
      <c r="A84" t="s">
        <v>578</v>
      </c>
      <c r="B84" t="s">
        <v>879</v>
      </c>
      <c r="C84">
        <v>1</v>
      </c>
      <c r="D84" t="s">
        <v>622</v>
      </c>
      <c r="E84" t="s">
        <v>880</v>
      </c>
      <c r="F84" t="s">
        <v>881</v>
      </c>
      <c r="G84" t="s">
        <v>882</v>
      </c>
      <c r="H84" t="s">
        <v>673</v>
      </c>
      <c r="I84">
        <v>4</v>
      </c>
      <c r="J84">
        <v>2024</v>
      </c>
    </row>
    <row r="85" spans="1:10" x14ac:dyDescent="0.3">
      <c r="A85" t="s">
        <v>537</v>
      </c>
      <c r="B85" t="s">
        <v>883</v>
      </c>
      <c r="C85">
        <v>1</v>
      </c>
      <c r="D85" t="s">
        <v>622</v>
      </c>
      <c r="E85" t="s">
        <v>884</v>
      </c>
      <c r="F85" t="s">
        <v>885</v>
      </c>
      <c r="G85" t="s">
        <v>886</v>
      </c>
      <c r="H85" t="s">
        <v>577</v>
      </c>
      <c r="I85">
        <v>2</v>
      </c>
      <c r="J85">
        <v>2024</v>
      </c>
    </row>
    <row r="86" spans="1:10" x14ac:dyDescent="0.3">
      <c r="A86" t="s">
        <v>519</v>
      </c>
      <c r="B86" t="s">
        <v>887</v>
      </c>
      <c r="C86">
        <v>1</v>
      </c>
      <c r="D86" t="s">
        <v>622</v>
      </c>
      <c r="E86" t="s">
        <v>888</v>
      </c>
      <c r="F86" t="s">
        <v>889</v>
      </c>
      <c r="G86" t="s">
        <v>890</v>
      </c>
      <c r="H86" t="s">
        <v>603</v>
      </c>
      <c r="I86">
        <v>1</v>
      </c>
      <c r="J86">
        <v>2024</v>
      </c>
    </row>
    <row r="87" spans="1:10" x14ac:dyDescent="0.3">
      <c r="A87" t="s">
        <v>578</v>
      </c>
      <c r="B87" t="s">
        <v>891</v>
      </c>
      <c r="C87">
        <v>1</v>
      </c>
      <c r="D87" t="s">
        <v>622</v>
      </c>
      <c r="E87" t="s">
        <v>892</v>
      </c>
      <c r="F87" t="s">
        <v>893</v>
      </c>
      <c r="G87" t="s">
        <v>894</v>
      </c>
      <c r="H87" t="s">
        <v>673</v>
      </c>
      <c r="I87">
        <v>4</v>
      </c>
      <c r="J87">
        <v>2024</v>
      </c>
    </row>
    <row r="88" spans="1:10" x14ac:dyDescent="0.3">
      <c r="A88" t="s">
        <v>567</v>
      </c>
      <c r="B88" t="s">
        <v>895</v>
      </c>
      <c r="C88">
        <v>1</v>
      </c>
      <c r="D88" t="s">
        <v>622</v>
      </c>
      <c r="E88" t="s">
        <v>896</v>
      </c>
      <c r="F88" t="s">
        <v>897</v>
      </c>
      <c r="G88" t="s">
        <v>898</v>
      </c>
      <c r="H88" t="s">
        <v>731</v>
      </c>
      <c r="I88">
        <v>3</v>
      </c>
      <c r="J88">
        <v>2024</v>
      </c>
    </row>
    <row r="89" spans="1:10" x14ac:dyDescent="0.3">
      <c r="A89" t="s">
        <v>537</v>
      </c>
      <c r="B89" t="s">
        <v>899</v>
      </c>
      <c r="C89">
        <v>1</v>
      </c>
      <c r="D89" t="s">
        <v>622</v>
      </c>
      <c r="E89" t="s">
        <v>900</v>
      </c>
      <c r="F89" t="s">
        <v>901</v>
      </c>
      <c r="G89" t="s">
        <v>902</v>
      </c>
      <c r="H89" t="s">
        <v>577</v>
      </c>
      <c r="I89">
        <v>2</v>
      </c>
      <c r="J89">
        <v>2024</v>
      </c>
    </row>
    <row r="90" spans="1:10" x14ac:dyDescent="0.3">
      <c r="A90" t="s">
        <v>531</v>
      </c>
      <c r="B90" t="s">
        <v>903</v>
      </c>
      <c r="C90">
        <v>1</v>
      </c>
      <c r="D90" t="s">
        <v>622</v>
      </c>
      <c r="E90" t="s">
        <v>904</v>
      </c>
      <c r="F90" t="s">
        <v>905</v>
      </c>
      <c r="G90" t="s">
        <v>906</v>
      </c>
      <c r="H90" t="s">
        <v>572</v>
      </c>
      <c r="I90">
        <v>3</v>
      </c>
      <c r="J90">
        <v>2024</v>
      </c>
    </row>
    <row r="91" spans="1:10" x14ac:dyDescent="0.3">
      <c r="A91" t="s">
        <v>543</v>
      </c>
      <c r="B91" t="s">
        <v>907</v>
      </c>
      <c r="C91">
        <v>0</v>
      </c>
      <c r="D91" t="s">
        <v>514</v>
      </c>
      <c r="E91" t="s">
        <v>908</v>
      </c>
      <c r="F91" t="s">
        <v>909</v>
      </c>
      <c r="G91" t="s">
        <v>910</v>
      </c>
      <c r="H91" t="s">
        <v>548</v>
      </c>
      <c r="I91">
        <v>0</v>
      </c>
      <c r="J91">
        <v>2024</v>
      </c>
    </row>
    <row r="92" spans="1:10" x14ac:dyDescent="0.3">
      <c r="A92" t="s">
        <v>543</v>
      </c>
      <c r="B92" t="s">
        <v>911</v>
      </c>
      <c r="C92">
        <v>0</v>
      </c>
      <c r="D92" t="s">
        <v>514</v>
      </c>
      <c r="E92" t="s">
        <v>912</v>
      </c>
      <c r="F92" t="s">
        <v>913</v>
      </c>
      <c r="G92" t="s">
        <v>914</v>
      </c>
      <c r="H92" t="s">
        <v>548</v>
      </c>
      <c r="I92">
        <v>0</v>
      </c>
      <c r="J92">
        <v>2024</v>
      </c>
    </row>
    <row r="93" spans="1:10" x14ac:dyDescent="0.3">
      <c r="A93" t="s">
        <v>512</v>
      </c>
      <c r="B93" t="s">
        <v>915</v>
      </c>
      <c r="C93">
        <v>0</v>
      </c>
      <c r="D93" t="s">
        <v>514</v>
      </c>
      <c r="E93" t="s">
        <v>916</v>
      </c>
      <c r="F93" t="s">
        <v>917</v>
      </c>
      <c r="G93" t="s">
        <v>918</v>
      </c>
      <c r="H93" t="s">
        <v>518</v>
      </c>
      <c r="I93">
        <v>5</v>
      </c>
      <c r="J93">
        <v>2024</v>
      </c>
    </row>
    <row r="94" spans="1:10" x14ac:dyDescent="0.3">
      <c r="A94" t="s">
        <v>557</v>
      </c>
      <c r="B94" t="s">
        <v>919</v>
      </c>
      <c r="C94">
        <v>0</v>
      </c>
      <c r="D94" t="s">
        <v>514</v>
      </c>
      <c r="E94" t="s">
        <v>920</v>
      </c>
      <c r="F94" t="s">
        <v>921</v>
      </c>
      <c r="G94" t="s">
        <v>922</v>
      </c>
      <c r="H94" t="s">
        <v>562</v>
      </c>
      <c r="I94">
        <v>5</v>
      </c>
      <c r="J94">
        <v>2024</v>
      </c>
    </row>
    <row r="95" spans="1:10" x14ac:dyDescent="0.3">
      <c r="A95" t="s">
        <v>512</v>
      </c>
      <c r="B95" t="s">
        <v>923</v>
      </c>
      <c r="C95">
        <v>0</v>
      </c>
      <c r="D95" t="s">
        <v>514</v>
      </c>
      <c r="E95" t="s">
        <v>924</v>
      </c>
      <c r="F95" t="s">
        <v>925</v>
      </c>
      <c r="G95" t="s">
        <v>926</v>
      </c>
      <c r="H95" t="s">
        <v>518</v>
      </c>
      <c r="I95">
        <v>5</v>
      </c>
      <c r="J95">
        <v>2024</v>
      </c>
    </row>
    <row r="96" spans="1:10" x14ac:dyDescent="0.3">
      <c r="A96" t="s">
        <v>519</v>
      </c>
      <c r="B96" t="s">
        <v>927</v>
      </c>
      <c r="C96">
        <v>0</v>
      </c>
      <c r="D96" t="s">
        <v>514</v>
      </c>
      <c r="E96" t="s">
        <v>928</v>
      </c>
      <c r="F96" t="s">
        <v>929</v>
      </c>
      <c r="G96" t="s">
        <v>930</v>
      </c>
      <c r="H96" t="s">
        <v>524</v>
      </c>
      <c r="I96">
        <v>1</v>
      </c>
      <c r="J96">
        <v>2024</v>
      </c>
    </row>
    <row r="97" spans="1:10" x14ac:dyDescent="0.3">
      <c r="A97" t="s">
        <v>531</v>
      </c>
      <c r="B97" t="s">
        <v>931</v>
      </c>
      <c r="C97">
        <v>0</v>
      </c>
      <c r="D97" t="s">
        <v>514</v>
      </c>
      <c r="E97" t="s">
        <v>932</v>
      </c>
      <c r="F97" t="s">
        <v>933</v>
      </c>
      <c r="G97" t="s">
        <v>934</v>
      </c>
      <c r="H97" t="s">
        <v>536</v>
      </c>
      <c r="I97">
        <v>3</v>
      </c>
      <c r="J97">
        <v>2024</v>
      </c>
    </row>
    <row r="98" spans="1:10" x14ac:dyDescent="0.3">
      <c r="A98" t="s">
        <v>512</v>
      </c>
      <c r="B98" t="s">
        <v>935</v>
      </c>
      <c r="C98">
        <v>2</v>
      </c>
      <c r="D98" t="s">
        <v>613</v>
      </c>
      <c r="E98" t="s">
        <v>936</v>
      </c>
      <c r="F98" t="s">
        <v>937</v>
      </c>
      <c r="G98" t="s">
        <v>938</v>
      </c>
      <c r="H98" t="s">
        <v>518</v>
      </c>
      <c r="I98">
        <v>5</v>
      </c>
      <c r="J98">
        <v>2024</v>
      </c>
    </row>
    <row r="99" spans="1:10" x14ac:dyDescent="0.3">
      <c r="A99" t="s">
        <v>537</v>
      </c>
      <c r="B99" t="s">
        <v>939</v>
      </c>
      <c r="C99">
        <v>0</v>
      </c>
      <c r="D99" t="s">
        <v>514</v>
      </c>
      <c r="E99" t="s">
        <v>940</v>
      </c>
      <c r="F99" t="s">
        <v>941</v>
      </c>
      <c r="G99" t="s">
        <v>942</v>
      </c>
      <c r="H99" t="s">
        <v>542</v>
      </c>
      <c r="I99">
        <v>2</v>
      </c>
      <c r="J99">
        <v>2024</v>
      </c>
    </row>
    <row r="100" spans="1:10" x14ac:dyDescent="0.3">
      <c r="A100" t="s">
        <v>543</v>
      </c>
      <c r="B100" t="s">
        <v>943</v>
      </c>
      <c r="C100">
        <v>0</v>
      </c>
      <c r="D100" t="s">
        <v>514</v>
      </c>
      <c r="E100" t="s">
        <v>944</v>
      </c>
      <c r="F100" t="s">
        <v>945</v>
      </c>
      <c r="G100" t="s">
        <v>946</v>
      </c>
      <c r="H100" t="s">
        <v>548</v>
      </c>
      <c r="I100">
        <v>0</v>
      </c>
      <c r="J100">
        <v>2024</v>
      </c>
    </row>
    <row r="101" spans="1:10" x14ac:dyDescent="0.3">
      <c r="A101" t="s">
        <v>537</v>
      </c>
      <c r="B101" t="s">
        <v>947</v>
      </c>
      <c r="C101">
        <v>0</v>
      </c>
      <c r="D101" t="s">
        <v>514</v>
      </c>
      <c r="E101" t="s">
        <v>948</v>
      </c>
      <c r="F101" t="s">
        <v>949</v>
      </c>
      <c r="G101" t="s">
        <v>950</v>
      </c>
      <c r="H101" t="s">
        <v>542</v>
      </c>
      <c r="I101">
        <v>2</v>
      </c>
      <c r="J101">
        <v>2024</v>
      </c>
    </row>
    <row r="102" spans="1:10" x14ac:dyDescent="0.3">
      <c r="A102" t="s">
        <v>531</v>
      </c>
      <c r="B102" t="s">
        <v>951</v>
      </c>
      <c r="C102">
        <v>0</v>
      </c>
      <c r="D102" t="s">
        <v>514</v>
      </c>
      <c r="E102" t="s">
        <v>952</v>
      </c>
      <c r="F102" t="s">
        <v>953</v>
      </c>
      <c r="G102" t="s">
        <v>954</v>
      </c>
      <c r="H102" t="s">
        <v>536</v>
      </c>
      <c r="I102">
        <v>3</v>
      </c>
      <c r="J102">
        <v>2024</v>
      </c>
    </row>
    <row r="103" spans="1:10" x14ac:dyDescent="0.3">
      <c r="A103" t="s">
        <v>525</v>
      </c>
      <c r="B103" t="s">
        <v>955</v>
      </c>
      <c r="C103">
        <v>1</v>
      </c>
      <c r="D103" t="s">
        <v>622</v>
      </c>
      <c r="E103" t="s">
        <v>956</v>
      </c>
      <c r="F103" t="s">
        <v>957</v>
      </c>
      <c r="G103" t="s">
        <v>958</v>
      </c>
      <c r="H103" t="s">
        <v>530</v>
      </c>
      <c r="I103">
        <v>2</v>
      </c>
      <c r="J103">
        <v>2024</v>
      </c>
    </row>
    <row r="104" spans="1:10" x14ac:dyDescent="0.3">
      <c r="A104" t="s">
        <v>557</v>
      </c>
      <c r="B104" t="s">
        <v>959</v>
      </c>
      <c r="C104">
        <v>2</v>
      </c>
      <c r="D104" t="s">
        <v>613</v>
      </c>
      <c r="E104" t="s">
        <v>960</v>
      </c>
      <c r="F104" t="s">
        <v>961</v>
      </c>
      <c r="G104" t="s">
        <v>962</v>
      </c>
      <c r="H104" t="s">
        <v>714</v>
      </c>
      <c r="I104">
        <v>5</v>
      </c>
      <c r="J104">
        <v>2024</v>
      </c>
    </row>
    <row r="105" spans="1:10" x14ac:dyDescent="0.3">
      <c r="A105" t="s">
        <v>567</v>
      </c>
      <c r="B105" t="s">
        <v>963</v>
      </c>
      <c r="C105">
        <v>1</v>
      </c>
      <c r="D105" t="s">
        <v>622</v>
      </c>
      <c r="E105" t="s">
        <v>964</v>
      </c>
      <c r="F105" t="s">
        <v>965</v>
      </c>
      <c r="G105" t="s">
        <v>966</v>
      </c>
      <c r="H105" t="s">
        <v>731</v>
      </c>
      <c r="I105">
        <v>3</v>
      </c>
      <c r="J105">
        <v>2024</v>
      </c>
    </row>
    <row r="106" spans="1:10" x14ac:dyDescent="0.3">
      <c r="A106" t="s">
        <v>598</v>
      </c>
      <c r="B106" t="s">
        <v>967</v>
      </c>
      <c r="C106">
        <v>1</v>
      </c>
      <c r="D106" t="s">
        <v>622</v>
      </c>
      <c r="E106" t="s">
        <v>968</v>
      </c>
      <c r="F106" t="s">
        <v>969</v>
      </c>
      <c r="G106" t="s">
        <v>970</v>
      </c>
      <c r="H106" t="s">
        <v>631</v>
      </c>
      <c r="I106">
        <v>1</v>
      </c>
      <c r="J106">
        <v>2024</v>
      </c>
    </row>
    <row r="107" spans="1:10" x14ac:dyDescent="0.3">
      <c r="A107" t="s">
        <v>567</v>
      </c>
      <c r="B107" t="s">
        <v>971</v>
      </c>
      <c r="C107">
        <v>1</v>
      </c>
      <c r="D107" t="s">
        <v>622</v>
      </c>
      <c r="E107" t="s">
        <v>972</v>
      </c>
      <c r="F107" t="s">
        <v>973</v>
      </c>
      <c r="G107" t="s">
        <v>974</v>
      </c>
      <c r="H107" t="s">
        <v>731</v>
      </c>
      <c r="I107">
        <v>3</v>
      </c>
      <c r="J107">
        <v>2024</v>
      </c>
    </row>
    <row r="108" spans="1:10" x14ac:dyDescent="0.3">
      <c r="A108" t="s">
        <v>588</v>
      </c>
      <c r="B108" t="s">
        <v>975</v>
      </c>
      <c r="C108">
        <v>1</v>
      </c>
      <c r="D108" t="s">
        <v>622</v>
      </c>
      <c r="E108" t="s">
        <v>976</v>
      </c>
      <c r="F108" t="s">
        <v>977</v>
      </c>
      <c r="G108" t="s">
        <v>587</v>
      </c>
      <c r="H108" t="s">
        <v>626</v>
      </c>
      <c r="I108">
        <v>0</v>
      </c>
      <c r="J108">
        <v>2024</v>
      </c>
    </row>
    <row r="109" spans="1:10" x14ac:dyDescent="0.3">
      <c r="A109" t="s">
        <v>519</v>
      </c>
      <c r="B109" t="s">
        <v>978</v>
      </c>
      <c r="C109">
        <v>0</v>
      </c>
      <c r="D109" t="s">
        <v>514</v>
      </c>
      <c r="E109" t="s">
        <v>979</v>
      </c>
      <c r="F109" t="s">
        <v>980</v>
      </c>
      <c r="G109" t="s">
        <v>981</v>
      </c>
      <c r="H109" t="s">
        <v>524</v>
      </c>
      <c r="I109">
        <v>1</v>
      </c>
      <c r="J109">
        <v>2024</v>
      </c>
    </row>
    <row r="110" spans="1:10" x14ac:dyDescent="0.3">
      <c r="A110" t="s">
        <v>512</v>
      </c>
      <c r="B110" t="s">
        <v>982</v>
      </c>
      <c r="C110">
        <v>5</v>
      </c>
      <c r="D110" t="s">
        <v>633</v>
      </c>
      <c r="E110" t="s">
        <v>983</v>
      </c>
      <c r="F110" t="s">
        <v>984</v>
      </c>
      <c r="G110" t="s">
        <v>985</v>
      </c>
      <c r="H110" t="s">
        <v>518</v>
      </c>
      <c r="I110">
        <v>5</v>
      </c>
      <c r="J110">
        <v>2024</v>
      </c>
    </row>
    <row r="111" spans="1:10" x14ac:dyDescent="0.3">
      <c r="A111" t="s">
        <v>512</v>
      </c>
      <c r="B111" t="s">
        <v>986</v>
      </c>
      <c r="C111">
        <v>5</v>
      </c>
      <c r="D111" t="s">
        <v>633</v>
      </c>
      <c r="E111" t="s">
        <v>987</v>
      </c>
      <c r="F111" t="s">
        <v>988</v>
      </c>
      <c r="G111" t="s">
        <v>989</v>
      </c>
      <c r="H111" t="s">
        <v>518</v>
      </c>
      <c r="I111">
        <v>5</v>
      </c>
      <c r="J111">
        <v>2024</v>
      </c>
    </row>
    <row r="112" spans="1:10" x14ac:dyDescent="0.3">
      <c r="A112" t="s">
        <v>512</v>
      </c>
      <c r="B112" t="s">
        <v>990</v>
      </c>
      <c r="C112">
        <v>2</v>
      </c>
      <c r="D112" t="s">
        <v>613</v>
      </c>
      <c r="E112" t="s">
        <v>991</v>
      </c>
      <c r="F112" t="s">
        <v>992</v>
      </c>
      <c r="G112" t="s">
        <v>993</v>
      </c>
      <c r="H112" t="s">
        <v>518</v>
      </c>
      <c r="I112">
        <v>5</v>
      </c>
      <c r="J112">
        <v>2024</v>
      </c>
    </row>
    <row r="113" spans="1:10" x14ac:dyDescent="0.3">
      <c r="A113" t="s">
        <v>578</v>
      </c>
      <c r="B113" t="s">
        <v>994</v>
      </c>
      <c r="C113">
        <v>1</v>
      </c>
      <c r="D113" t="s">
        <v>622</v>
      </c>
      <c r="E113" t="s">
        <v>995</v>
      </c>
      <c r="F113" t="s">
        <v>996</v>
      </c>
      <c r="G113" t="s">
        <v>997</v>
      </c>
      <c r="H113" t="s">
        <v>673</v>
      </c>
      <c r="I113">
        <v>4</v>
      </c>
      <c r="J113">
        <v>2024</v>
      </c>
    </row>
    <row r="114" spans="1:10" x14ac:dyDescent="0.3">
      <c r="A114" t="s">
        <v>543</v>
      </c>
      <c r="B114" t="s">
        <v>998</v>
      </c>
      <c r="C114">
        <v>1</v>
      </c>
      <c r="D114" t="s">
        <v>622</v>
      </c>
      <c r="E114" t="s">
        <v>999</v>
      </c>
      <c r="F114" t="s">
        <v>1000</v>
      </c>
      <c r="G114" t="s">
        <v>1001</v>
      </c>
      <c r="H114" t="s">
        <v>593</v>
      </c>
      <c r="I114">
        <v>0</v>
      </c>
      <c r="J114">
        <v>2024</v>
      </c>
    </row>
    <row r="115" spans="1:10" x14ac:dyDescent="0.3">
      <c r="A115" t="s">
        <v>598</v>
      </c>
      <c r="B115" t="s">
        <v>1002</v>
      </c>
      <c r="C115">
        <v>1</v>
      </c>
      <c r="D115" t="s">
        <v>622</v>
      </c>
      <c r="E115" t="s">
        <v>1003</v>
      </c>
      <c r="F115" t="s">
        <v>1004</v>
      </c>
      <c r="G115" t="s">
        <v>1005</v>
      </c>
      <c r="H115" t="s">
        <v>631</v>
      </c>
      <c r="I115">
        <v>1</v>
      </c>
      <c r="J115">
        <v>2024</v>
      </c>
    </row>
    <row r="116" spans="1:10" x14ac:dyDescent="0.3">
      <c r="A116" t="s">
        <v>588</v>
      </c>
      <c r="B116" t="s">
        <v>1006</v>
      </c>
      <c r="C116">
        <v>1</v>
      </c>
      <c r="D116" t="s">
        <v>622</v>
      </c>
      <c r="E116" t="s">
        <v>1007</v>
      </c>
      <c r="F116" t="s">
        <v>1008</v>
      </c>
      <c r="G116" t="s">
        <v>1009</v>
      </c>
      <c r="H116" t="s">
        <v>626</v>
      </c>
      <c r="I116">
        <v>0</v>
      </c>
      <c r="J116">
        <v>2024</v>
      </c>
    </row>
    <row r="117" spans="1:10" x14ac:dyDescent="0.3">
      <c r="A117" t="s">
        <v>525</v>
      </c>
      <c r="B117" t="s">
        <v>1010</v>
      </c>
      <c r="C117">
        <v>1</v>
      </c>
      <c r="D117" t="s">
        <v>622</v>
      </c>
      <c r="E117" t="s">
        <v>1011</v>
      </c>
      <c r="F117" t="s">
        <v>1012</v>
      </c>
      <c r="G117" t="s">
        <v>1013</v>
      </c>
      <c r="H117" t="s">
        <v>530</v>
      </c>
      <c r="I117">
        <v>2</v>
      </c>
      <c r="J117">
        <v>2024</v>
      </c>
    </row>
    <row r="118" spans="1:10" x14ac:dyDescent="0.3">
      <c r="A118" t="s">
        <v>598</v>
      </c>
      <c r="B118" t="s">
        <v>1014</v>
      </c>
      <c r="C118">
        <v>1</v>
      </c>
      <c r="D118" t="s">
        <v>622</v>
      </c>
      <c r="E118" t="s">
        <v>1015</v>
      </c>
      <c r="F118" t="s">
        <v>1016</v>
      </c>
      <c r="G118" t="s">
        <v>1017</v>
      </c>
      <c r="H118" t="s">
        <v>631</v>
      </c>
      <c r="I118">
        <v>1</v>
      </c>
      <c r="J118">
        <v>2024</v>
      </c>
    </row>
    <row r="119" spans="1:10" x14ac:dyDescent="0.3">
      <c r="A119" t="s">
        <v>567</v>
      </c>
      <c r="B119" t="s">
        <v>1018</v>
      </c>
      <c r="C119">
        <v>1</v>
      </c>
      <c r="D119" t="s">
        <v>622</v>
      </c>
      <c r="E119" t="s">
        <v>1019</v>
      </c>
      <c r="F119" t="s">
        <v>1020</v>
      </c>
      <c r="G119" t="s">
        <v>1021</v>
      </c>
      <c r="H119" t="s">
        <v>731</v>
      </c>
      <c r="I119">
        <v>3</v>
      </c>
      <c r="J119">
        <v>2024</v>
      </c>
    </row>
    <row r="120" spans="1:10" x14ac:dyDescent="0.3">
      <c r="A120" t="s">
        <v>578</v>
      </c>
      <c r="B120" t="s">
        <v>1022</v>
      </c>
      <c r="C120">
        <v>0</v>
      </c>
      <c r="D120" t="s">
        <v>514</v>
      </c>
      <c r="E120" t="s">
        <v>1023</v>
      </c>
      <c r="F120" t="s">
        <v>1024</v>
      </c>
      <c r="G120" t="s">
        <v>1025</v>
      </c>
      <c r="H120" t="s">
        <v>583</v>
      </c>
      <c r="I120">
        <v>4</v>
      </c>
      <c r="J120">
        <v>2024</v>
      </c>
    </row>
    <row r="121" spans="1:10" x14ac:dyDescent="0.3">
      <c r="A121" t="s">
        <v>531</v>
      </c>
      <c r="B121" t="s">
        <v>1026</v>
      </c>
      <c r="C121">
        <v>0</v>
      </c>
      <c r="D121" t="s">
        <v>514</v>
      </c>
      <c r="E121" t="s">
        <v>1027</v>
      </c>
      <c r="F121" t="s">
        <v>1028</v>
      </c>
      <c r="G121" t="s">
        <v>1029</v>
      </c>
      <c r="H121" t="s">
        <v>536</v>
      </c>
      <c r="I121">
        <v>3</v>
      </c>
      <c r="J121">
        <v>2024</v>
      </c>
    </row>
    <row r="122" spans="1:10" x14ac:dyDescent="0.3">
      <c r="A122" t="s">
        <v>557</v>
      </c>
      <c r="B122" t="s">
        <v>1030</v>
      </c>
      <c r="C122">
        <v>0</v>
      </c>
      <c r="D122" t="s">
        <v>514</v>
      </c>
      <c r="E122" t="s">
        <v>1031</v>
      </c>
      <c r="F122" t="s">
        <v>1032</v>
      </c>
      <c r="G122" t="s">
        <v>1033</v>
      </c>
      <c r="H122" t="s">
        <v>562</v>
      </c>
      <c r="I122">
        <v>5</v>
      </c>
      <c r="J122">
        <v>2024</v>
      </c>
    </row>
    <row r="123" spans="1:10" x14ac:dyDescent="0.3">
      <c r="A123" t="s">
        <v>537</v>
      </c>
      <c r="B123" t="s">
        <v>1034</v>
      </c>
      <c r="C123">
        <v>0</v>
      </c>
      <c r="D123" t="s">
        <v>514</v>
      </c>
      <c r="E123" t="s">
        <v>1035</v>
      </c>
      <c r="F123" t="s">
        <v>1036</v>
      </c>
      <c r="G123" t="s">
        <v>1037</v>
      </c>
      <c r="H123" t="s">
        <v>542</v>
      </c>
      <c r="I123">
        <v>2</v>
      </c>
      <c r="J123">
        <v>2024</v>
      </c>
    </row>
    <row r="124" spans="1:10" x14ac:dyDescent="0.3">
      <c r="A124" t="s">
        <v>519</v>
      </c>
      <c r="B124" t="s">
        <v>1038</v>
      </c>
      <c r="C124">
        <v>0</v>
      </c>
      <c r="D124" t="s">
        <v>514</v>
      </c>
      <c r="E124" t="s">
        <v>488</v>
      </c>
      <c r="F124" t="s">
        <v>1039</v>
      </c>
      <c r="G124" t="s">
        <v>1040</v>
      </c>
      <c r="H124" t="s">
        <v>524</v>
      </c>
      <c r="I124">
        <v>1</v>
      </c>
      <c r="J124">
        <v>2024</v>
      </c>
    </row>
    <row r="125" spans="1:10" x14ac:dyDescent="0.3">
      <c r="A125" t="s">
        <v>531</v>
      </c>
      <c r="B125" t="s">
        <v>1041</v>
      </c>
      <c r="C125">
        <v>0</v>
      </c>
      <c r="D125" t="s">
        <v>514</v>
      </c>
      <c r="E125" t="s">
        <v>1042</v>
      </c>
      <c r="F125" t="s">
        <v>1043</v>
      </c>
      <c r="G125" t="s">
        <v>1044</v>
      </c>
      <c r="H125" t="s">
        <v>536</v>
      </c>
      <c r="I125">
        <v>3</v>
      </c>
      <c r="J125">
        <v>2024</v>
      </c>
    </row>
    <row r="126" spans="1:10" x14ac:dyDescent="0.3">
      <c r="A126" t="s">
        <v>531</v>
      </c>
      <c r="B126" t="s">
        <v>1045</v>
      </c>
      <c r="C126">
        <v>0</v>
      </c>
      <c r="D126" t="s">
        <v>514</v>
      </c>
      <c r="E126" t="s">
        <v>1046</v>
      </c>
      <c r="F126" t="s">
        <v>1047</v>
      </c>
      <c r="G126" t="s">
        <v>1048</v>
      </c>
      <c r="H126" t="s">
        <v>536</v>
      </c>
      <c r="I126">
        <v>3</v>
      </c>
      <c r="J126">
        <v>2024</v>
      </c>
    </row>
    <row r="127" spans="1:10" x14ac:dyDescent="0.3">
      <c r="A127" t="s">
        <v>512</v>
      </c>
      <c r="B127" t="s">
        <v>1049</v>
      </c>
      <c r="C127">
        <v>0</v>
      </c>
      <c r="D127" t="s">
        <v>514</v>
      </c>
      <c r="E127" t="s">
        <v>1050</v>
      </c>
      <c r="F127" t="s">
        <v>1051</v>
      </c>
      <c r="G127" t="s">
        <v>1052</v>
      </c>
      <c r="H127" t="s">
        <v>518</v>
      </c>
      <c r="I127">
        <v>5</v>
      </c>
      <c r="J127">
        <v>2024</v>
      </c>
    </row>
    <row r="128" spans="1:10" x14ac:dyDescent="0.3">
      <c r="A128" t="s">
        <v>512</v>
      </c>
      <c r="B128" t="s">
        <v>1053</v>
      </c>
      <c r="C128">
        <v>0</v>
      </c>
      <c r="D128" t="s">
        <v>514</v>
      </c>
      <c r="E128" t="s">
        <v>1054</v>
      </c>
      <c r="F128" t="s">
        <v>1055</v>
      </c>
      <c r="G128" t="s">
        <v>1056</v>
      </c>
      <c r="H128" t="s">
        <v>518</v>
      </c>
      <c r="I128">
        <v>5</v>
      </c>
      <c r="J128">
        <v>2024</v>
      </c>
    </row>
    <row r="129" spans="1:10" x14ac:dyDescent="0.3">
      <c r="A129" t="s">
        <v>519</v>
      </c>
      <c r="B129" t="s">
        <v>1057</v>
      </c>
      <c r="C129">
        <v>0</v>
      </c>
      <c r="D129" t="s">
        <v>514</v>
      </c>
      <c r="E129" t="s">
        <v>1058</v>
      </c>
      <c r="F129" t="s">
        <v>1059</v>
      </c>
      <c r="G129" t="s">
        <v>1060</v>
      </c>
      <c r="H129" t="s">
        <v>524</v>
      </c>
      <c r="I129">
        <v>1</v>
      </c>
      <c r="J129">
        <v>2024</v>
      </c>
    </row>
    <row r="130" spans="1:10" x14ac:dyDescent="0.3">
      <c r="A130" t="s">
        <v>525</v>
      </c>
      <c r="B130" t="s">
        <v>1061</v>
      </c>
      <c r="C130">
        <v>1</v>
      </c>
      <c r="D130" t="s">
        <v>622</v>
      </c>
      <c r="E130" t="s">
        <v>1062</v>
      </c>
      <c r="F130" t="s">
        <v>1063</v>
      </c>
      <c r="G130" t="s">
        <v>1064</v>
      </c>
      <c r="H130" t="s">
        <v>530</v>
      </c>
      <c r="I130">
        <v>2</v>
      </c>
      <c r="J130">
        <v>2024</v>
      </c>
    </row>
    <row r="131" spans="1:10" x14ac:dyDescent="0.3">
      <c r="A131" t="s">
        <v>512</v>
      </c>
      <c r="B131" t="s">
        <v>1065</v>
      </c>
      <c r="C131">
        <v>2</v>
      </c>
      <c r="D131" t="s">
        <v>613</v>
      </c>
      <c r="E131" t="s">
        <v>1066</v>
      </c>
      <c r="F131" t="s">
        <v>1067</v>
      </c>
      <c r="G131" t="s">
        <v>1068</v>
      </c>
      <c r="H131" t="s">
        <v>518</v>
      </c>
      <c r="I131">
        <v>5</v>
      </c>
      <c r="J131">
        <v>2024</v>
      </c>
    </row>
    <row r="132" spans="1:10" x14ac:dyDescent="0.3">
      <c r="A132" t="s">
        <v>578</v>
      </c>
      <c r="B132" t="s">
        <v>1069</v>
      </c>
      <c r="C132">
        <v>1</v>
      </c>
      <c r="D132" t="s">
        <v>622</v>
      </c>
      <c r="E132" t="s">
        <v>1070</v>
      </c>
      <c r="F132" t="s">
        <v>1071</v>
      </c>
      <c r="G132" t="s">
        <v>1072</v>
      </c>
      <c r="H132" t="s">
        <v>673</v>
      </c>
      <c r="I132">
        <v>4</v>
      </c>
      <c r="J132">
        <v>2024</v>
      </c>
    </row>
    <row r="133" spans="1:10" x14ac:dyDescent="0.3">
      <c r="A133" t="s">
        <v>598</v>
      </c>
      <c r="B133" t="s">
        <v>1073</v>
      </c>
      <c r="C133">
        <v>1</v>
      </c>
      <c r="D133" t="s">
        <v>622</v>
      </c>
      <c r="E133" t="s">
        <v>1074</v>
      </c>
      <c r="F133" t="s">
        <v>1075</v>
      </c>
      <c r="G133" t="s">
        <v>1076</v>
      </c>
      <c r="H133" t="s">
        <v>631</v>
      </c>
      <c r="I133">
        <v>1</v>
      </c>
      <c r="J133">
        <v>2024</v>
      </c>
    </row>
    <row r="134" spans="1:10" x14ac:dyDescent="0.3">
      <c r="A134" t="s">
        <v>567</v>
      </c>
      <c r="B134" t="s">
        <v>1077</v>
      </c>
      <c r="C134">
        <v>1</v>
      </c>
      <c r="D134" t="s">
        <v>622</v>
      </c>
      <c r="E134" t="s">
        <v>1078</v>
      </c>
      <c r="F134" t="s">
        <v>1079</v>
      </c>
      <c r="G134" t="s">
        <v>1080</v>
      </c>
      <c r="H134" t="s">
        <v>731</v>
      </c>
      <c r="I134">
        <v>3</v>
      </c>
      <c r="J134">
        <v>2024</v>
      </c>
    </row>
    <row r="135" spans="1:10" x14ac:dyDescent="0.3">
      <c r="A135" t="s">
        <v>525</v>
      </c>
      <c r="B135" t="s">
        <v>1081</v>
      </c>
      <c r="C135">
        <v>1</v>
      </c>
      <c r="D135" t="s">
        <v>622</v>
      </c>
      <c r="E135" t="s">
        <v>1082</v>
      </c>
      <c r="F135" t="s">
        <v>1083</v>
      </c>
      <c r="G135" t="s">
        <v>1084</v>
      </c>
      <c r="H135" t="s">
        <v>530</v>
      </c>
      <c r="I135">
        <v>2</v>
      </c>
      <c r="J135">
        <v>2024</v>
      </c>
    </row>
    <row r="136" spans="1:10" x14ac:dyDescent="0.3">
      <c r="A136" t="s">
        <v>598</v>
      </c>
      <c r="B136" t="s">
        <v>1085</v>
      </c>
      <c r="C136">
        <v>1</v>
      </c>
      <c r="D136" t="s">
        <v>622</v>
      </c>
      <c r="E136" t="s">
        <v>1086</v>
      </c>
      <c r="F136" t="s">
        <v>1087</v>
      </c>
      <c r="G136" t="s">
        <v>1088</v>
      </c>
      <c r="H136" t="s">
        <v>631</v>
      </c>
      <c r="I136">
        <v>1</v>
      </c>
      <c r="J136">
        <v>2024</v>
      </c>
    </row>
    <row r="137" spans="1:10" x14ac:dyDescent="0.3">
      <c r="A137" t="s">
        <v>512</v>
      </c>
      <c r="B137" t="s">
        <v>1089</v>
      </c>
      <c r="C137">
        <v>5</v>
      </c>
      <c r="D137" t="s">
        <v>633</v>
      </c>
      <c r="E137" t="s">
        <v>1090</v>
      </c>
      <c r="F137" t="s">
        <v>1091</v>
      </c>
      <c r="G137" t="s">
        <v>1092</v>
      </c>
      <c r="H137" t="s">
        <v>518</v>
      </c>
      <c r="I137">
        <v>5</v>
      </c>
      <c r="J137">
        <v>2024</v>
      </c>
    </row>
    <row r="138" spans="1:10" x14ac:dyDescent="0.3">
      <c r="A138" t="s">
        <v>512</v>
      </c>
      <c r="B138" t="s">
        <v>1093</v>
      </c>
      <c r="C138">
        <v>5</v>
      </c>
      <c r="D138" t="s">
        <v>633</v>
      </c>
      <c r="E138" t="s">
        <v>1094</v>
      </c>
      <c r="F138" t="s">
        <v>1095</v>
      </c>
      <c r="G138" t="s">
        <v>1096</v>
      </c>
      <c r="H138" t="s">
        <v>518</v>
      </c>
      <c r="I138">
        <v>5</v>
      </c>
      <c r="J138">
        <v>2024</v>
      </c>
    </row>
    <row r="139" spans="1:10" x14ac:dyDescent="0.3">
      <c r="A139" t="s">
        <v>536</v>
      </c>
      <c r="B139" t="s">
        <v>1097</v>
      </c>
      <c r="C139">
        <v>1</v>
      </c>
      <c r="D139" t="s">
        <v>622</v>
      </c>
      <c r="E139" t="s">
        <v>1098</v>
      </c>
      <c r="F139" t="s">
        <v>1099</v>
      </c>
      <c r="G139" t="s">
        <v>1100</v>
      </c>
      <c r="H139" t="s">
        <v>1101</v>
      </c>
      <c r="I139">
        <v>3</v>
      </c>
      <c r="J139">
        <v>2024</v>
      </c>
    </row>
    <row r="140" spans="1:10" x14ac:dyDescent="0.3">
      <c r="A140" t="s">
        <v>531</v>
      </c>
      <c r="B140" t="s">
        <v>1102</v>
      </c>
      <c r="C140">
        <v>1</v>
      </c>
      <c r="D140" t="s">
        <v>622</v>
      </c>
      <c r="E140" t="s">
        <v>1103</v>
      </c>
      <c r="F140" t="s">
        <v>1104</v>
      </c>
      <c r="G140" t="s">
        <v>1105</v>
      </c>
      <c r="H140" t="s">
        <v>572</v>
      </c>
      <c r="I140">
        <v>3</v>
      </c>
      <c r="J140">
        <v>2024</v>
      </c>
    </row>
    <row r="141" spans="1:10" x14ac:dyDescent="0.3">
      <c r="A141" t="s">
        <v>578</v>
      </c>
      <c r="B141" t="s">
        <v>1106</v>
      </c>
      <c r="C141">
        <v>1</v>
      </c>
      <c r="D141" t="s">
        <v>622</v>
      </c>
      <c r="E141" t="s">
        <v>1107</v>
      </c>
      <c r="F141" t="s">
        <v>1108</v>
      </c>
      <c r="G141" t="s">
        <v>1109</v>
      </c>
      <c r="H141" t="s">
        <v>673</v>
      </c>
      <c r="I141">
        <v>4</v>
      </c>
      <c r="J141">
        <v>2024</v>
      </c>
    </row>
    <row r="142" spans="1:10" x14ac:dyDescent="0.3">
      <c r="A142" t="s">
        <v>543</v>
      </c>
      <c r="B142" t="s">
        <v>1110</v>
      </c>
      <c r="C142">
        <v>1</v>
      </c>
      <c r="D142" t="s">
        <v>622</v>
      </c>
      <c r="E142" t="s">
        <v>1111</v>
      </c>
      <c r="F142" t="s">
        <v>1112</v>
      </c>
      <c r="G142" t="s">
        <v>1113</v>
      </c>
      <c r="H142" t="s">
        <v>593</v>
      </c>
      <c r="I142">
        <v>0</v>
      </c>
      <c r="J142">
        <v>2024</v>
      </c>
    </row>
    <row r="143" spans="1:10" x14ac:dyDescent="0.3">
      <c r="A143" t="s">
        <v>519</v>
      </c>
      <c r="B143" t="s">
        <v>1114</v>
      </c>
      <c r="C143">
        <v>1</v>
      </c>
      <c r="D143" t="s">
        <v>622</v>
      </c>
      <c r="E143" t="s">
        <v>1115</v>
      </c>
      <c r="F143" t="s">
        <v>1116</v>
      </c>
      <c r="G143" t="s">
        <v>1117</v>
      </c>
      <c r="H143" t="s">
        <v>603</v>
      </c>
      <c r="I143">
        <v>1</v>
      </c>
      <c r="J143">
        <v>2024</v>
      </c>
    </row>
    <row r="144" spans="1:10" x14ac:dyDescent="0.3">
      <c r="A144" t="s">
        <v>531</v>
      </c>
      <c r="B144" t="s">
        <v>1118</v>
      </c>
      <c r="C144">
        <v>1</v>
      </c>
      <c r="D144" t="s">
        <v>622</v>
      </c>
      <c r="E144" t="s">
        <v>1119</v>
      </c>
      <c r="F144" t="s">
        <v>1120</v>
      </c>
      <c r="G144" t="s">
        <v>1121</v>
      </c>
      <c r="H144" t="s">
        <v>572</v>
      </c>
      <c r="I144">
        <v>3</v>
      </c>
      <c r="J144">
        <v>2024</v>
      </c>
    </row>
    <row r="145" spans="1:10" x14ac:dyDescent="0.3">
      <c r="A145" t="s">
        <v>567</v>
      </c>
      <c r="B145" t="s">
        <v>1122</v>
      </c>
      <c r="C145">
        <v>1</v>
      </c>
      <c r="D145" t="s">
        <v>622</v>
      </c>
      <c r="E145" t="s">
        <v>1123</v>
      </c>
      <c r="F145" t="s">
        <v>1124</v>
      </c>
      <c r="G145" t="s">
        <v>1125</v>
      </c>
      <c r="H145" t="s">
        <v>731</v>
      </c>
      <c r="I145">
        <v>3</v>
      </c>
      <c r="J145">
        <v>2024</v>
      </c>
    </row>
    <row r="146" spans="1:10" x14ac:dyDescent="0.3">
      <c r="A146" t="s">
        <v>543</v>
      </c>
      <c r="B146" t="s">
        <v>1126</v>
      </c>
      <c r="C146">
        <v>0</v>
      </c>
      <c r="D146" t="s">
        <v>514</v>
      </c>
      <c r="E146" t="s">
        <v>1127</v>
      </c>
      <c r="F146" t="s">
        <v>1128</v>
      </c>
      <c r="G146" t="s">
        <v>1129</v>
      </c>
      <c r="H146" t="s">
        <v>548</v>
      </c>
      <c r="I146">
        <v>0</v>
      </c>
      <c r="J146">
        <v>2024</v>
      </c>
    </row>
    <row r="147" spans="1:10" x14ac:dyDescent="0.3">
      <c r="A147" t="s">
        <v>588</v>
      </c>
      <c r="B147" t="s">
        <v>1130</v>
      </c>
      <c r="C147">
        <v>1</v>
      </c>
      <c r="D147" t="s">
        <v>622</v>
      </c>
      <c r="E147" t="s">
        <v>1131</v>
      </c>
      <c r="F147" t="s">
        <v>1132</v>
      </c>
      <c r="G147" t="s">
        <v>1133</v>
      </c>
      <c r="H147" t="s">
        <v>626</v>
      </c>
      <c r="I147">
        <v>0</v>
      </c>
      <c r="J147">
        <v>2024</v>
      </c>
    </row>
    <row r="148" spans="1:10" x14ac:dyDescent="0.3">
      <c r="A148" t="s">
        <v>525</v>
      </c>
      <c r="B148" t="s">
        <v>1134</v>
      </c>
      <c r="C148">
        <v>1</v>
      </c>
      <c r="D148" t="s">
        <v>622</v>
      </c>
      <c r="E148" t="s">
        <v>1135</v>
      </c>
      <c r="F148" t="s">
        <v>1136</v>
      </c>
      <c r="G148" t="s">
        <v>1137</v>
      </c>
      <c r="H148" t="s">
        <v>530</v>
      </c>
      <c r="I148">
        <v>2</v>
      </c>
      <c r="J148">
        <v>2024</v>
      </c>
    </row>
    <row r="149" spans="1:10" x14ac:dyDescent="0.3">
      <c r="A149" t="s">
        <v>512</v>
      </c>
      <c r="B149" t="s">
        <v>1138</v>
      </c>
      <c r="C149">
        <v>2</v>
      </c>
      <c r="D149" t="s">
        <v>613</v>
      </c>
      <c r="E149" t="s">
        <v>1139</v>
      </c>
      <c r="F149" t="s">
        <v>1140</v>
      </c>
      <c r="G149" t="s">
        <v>1141</v>
      </c>
      <c r="H149" t="s">
        <v>518</v>
      </c>
      <c r="I149">
        <v>5</v>
      </c>
      <c r="J149">
        <v>2024</v>
      </c>
    </row>
    <row r="150" spans="1:10" x14ac:dyDescent="0.3">
      <c r="A150" t="s">
        <v>588</v>
      </c>
      <c r="B150" t="s">
        <v>1142</v>
      </c>
      <c r="C150">
        <v>0</v>
      </c>
      <c r="D150" t="s">
        <v>514</v>
      </c>
      <c r="E150" t="s">
        <v>1143</v>
      </c>
      <c r="F150" t="s">
        <v>1144</v>
      </c>
      <c r="G150" t="s">
        <v>1145</v>
      </c>
      <c r="H150" t="s">
        <v>626</v>
      </c>
      <c r="I150">
        <v>0</v>
      </c>
      <c r="J150">
        <v>2024</v>
      </c>
    </row>
    <row r="151" spans="1:10" x14ac:dyDescent="0.3">
      <c r="A151" t="s">
        <v>537</v>
      </c>
      <c r="B151" t="s">
        <v>1146</v>
      </c>
      <c r="C151">
        <v>1</v>
      </c>
      <c r="D151" t="s">
        <v>622</v>
      </c>
      <c r="E151" t="s">
        <v>1147</v>
      </c>
      <c r="F151" t="s">
        <v>1148</v>
      </c>
      <c r="G151" t="s">
        <v>1149</v>
      </c>
      <c r="H151" t="s">
        <v>577</v>
      </c>
      <c r="I151">
        <v>2</v>
      </c>
      <c r="J151">
        <v>2024</v>
      </c>
    </row>
    <row r="152" spans="1:10" x14ac:dyDescent="0.3">
      <c r="A152" t="s">
        <v>519</v>
      </c>
      <c r="B152" t="s">
        <v>1150</v>
      </c>
      <c r="C152">
        <v>1</v>
      </c>
      <c r="D152" t="s">
        <v>622</v>
      </c>
      <c r="E152" t="s">
        <v>1151</v>
      </c>
      <c r="F152" t="s">
        <v>1152</v>
      </c>
      <c r="G152" t="s">
        <v>1153</v>
      </c>
      <c r="H152" t="s">
        <v>603</v>
      </c>
      <c r="I152">
        <v>1</v>
      </c>
      <c r="J152">
        <v>2024</v>
      </c>
    </row>
    <row r="153" spans="1:10" x14ac:dyDescent="0.3">
      <c r="A153" t="s">
        <v>531</v>
      </c>
      <c r="B153" t="s">
        <v>1154</v>
      </c>
      <c r="C153">
        <v>1</v>
      </c>
      <c r="D153" t="s">
        <v>622</v>
      </c>
      <c r="E153" t="s">
        <v>1155</v>
      </c>
      <c r="F153" t="s">
        <v>1156</v>
      </c>
      <c r="G153" t="s">
        <v>1157</v>
      </c>
      <c r="H153" t="s">
        <v>572</v>
      </c>
      <c r="I153">
        <v>3</v>
      </c>
      <c r="J153">
        <v>2024</v>
      </c>
    </row>
    <row r="154" spans="1:10" x14ac:dyDescent="0.3">
      <c r="A154" t="s">
        <v>524</v>
      </c>
      <c r="B154" t="s">
        <v>1158</v>
      </c>
      <c r="C154">
        <v>0</v>
      </c>
      <c r="D154" t="s">
        <v>514</v>
      </c>
      <c r="E154" t="s">
        <v>1159</v>
      </c>
      <c r="F154" t="s">
        <v>1160</v>
      </c>
      <c r="G154" t="s">
        <v>1161</v>
      </c>
      <c r="H154" t="s">
        <v>588</v>
      </c>
      <c r="I154">
        <v>0</v>
      </c>
      <c r="J154">
        <v>2024</v>
      </c>
    </row>
    <row r="155" spans="1:10" x14ac:dyDescent="0.3">
      <c r="A155" t="s">
        <v>572</v>
      </c>
      <c r="B155" t="s">
        <v>1162</v>
      </c>
      <c r="C155">
        <v>0</v>
      </c>
      <c r="D155" t="s">
        <v>514</v>
      </c>
      <c r="E155" t="s">
        <v>1163</v>
      </c>
      <c r="F155" t="s">
        <v>1164</v>
      </c>
      <c r="G155" t="s">
        <v>1165</v>
      </c>
      <c r="H155" t="s">
        <v>736</v>
      </c>
      <c r="I155">
        <v>3</v>
      </c>
      <c r="J155">
        <v>2024</v>
      </c>
    </row>
    <row r="156" spans="1:10" x14ac:dyDescent="0.3">
      <c r="A156" t="s">
        <v>603</v>
      </c>
      <c r="B156" t="s">
        <v>1166</v>
      </c>
      <c r="C156">
        <v>0</v>
      </c>
      <c r="D156" t="s">
        <v>514</v>
      </c>
      <c r="E156" t="s">
        <v>1167</v>
      </c>
      <c r="F156" t="s">
        <v>1168</v>
      </c>
      <c r="G156" t="s">
        <v>1169</v>
      </c>
      <c r="H156" t="s">
        <v>748</v>
      </c>
      <c r="I156">
        <v>1</v>
      </c>
      <c r="J156">
        <v>2024</v>
      </c>
    </row>
    <row r="157" spans="1:10" x14ac:dyDescent="0.3">
      <c r="A157" t="s">
        <v>598</v>
      </c>
      <c r="B157" t="s">
        <v>1170</v>
      </c>
      <c r="C157">
        <v>0</v>
      </c>
      <c r="D157" t="s">
        <v>514</v>
      </c>
      <c r="E157" t="s">
        <v>1171</v>
      </c>
      <c r="F157" t="s">
        <v>1172</v>
      </c>
      <c r="G157" t="s">
        <v>1173</v>
      </c>
      <c r="H157" t="s">
        <v>631</v>
      </c>
      <c r="I157">
        <v>1</v>
      </c>
      <c r="J157">
        <v>2024</v>
      </c>
    </row>
    <row r="158" spans="1:10" x14ac:dyDescent="0.3">
      <c r="A158" t="s">
        <v>567</v>
      </c>
      <c r="B158" t="s">
        <v>1174</v>
      </c>
      <c r="C158">
        <v>0</v>
      </c>
      <c r="D158" t="s">
        <v>514</v>
      </c>
      <c r="E158" t="s">
        <v>1175</v>
      </c>
      <c r="F158" t="s">
        <v>1176</v>
      </c>
      <c r="G158" t="s">
        <v>1177</v>
      </c>
      <c r="H158" t="s">
        <v>731</v>
      </c>
      <c r="I158">
        <v>3</v>
      </c>
      <c r="J158">
        <v>2024</v>
      </c>
    </row>
    <row r="159" spans="1:10" x14ac:dyDescent="0.3">
      <c r="A159" t="s">
        <v>578</v>
      </c>
      <c r="B159" t="s">
        <v>1178</v>
      </c>
      <c r="C159">
        <v>1</v>
      </c>
      <c r="D159" t="s">
        <v>622</v>
      </c>
      <c r="E159" t="s">
        <v>1179</v>
      </c>
      <c r="F159" t="s">
        <v>1180</v>
      </c>
      <c r="G159" t="s">
        <v>1181</v>
      </c>
      <c r="H159" t="s">
        <v>673</v>
      </c>
      <c r="I159">
        <v>4</v>
      </c>
      <c r="J159">
        <v>2024</v>
      </c>
    </row>
    <row r="160" spans="1:10" x14ac:dyDescent="0.3">
      <c r="A160" t="s">
        <v>519</v>
      </c>
      <c r="B160" t="s">
        <v>1182</v>
      </c>
      <c r="C160">
        <v>1</v>
      </c>
      <c r="D160" t="s">
        <v>622</v>
      </c>
      <c r="E160" t="s">
        <v>1183</v>
      </c>
      <c r="F160" t="s">
        <v>1184</v>
      </c>
      <c r="G160" t="s">
        <v>1185</v>
      </c>
      <c r="H160" t="s">
        <v>603</v>
      </c>
      <c r="I160">
        <v>1</v>
      </c>
      <c r="J160">
        <v>2024</v>
      </c>
    </row>
    <row r="161" spans="1:10" x14ac:dyDescent="0.3">
      <c r="A161" t="s">
        <v>578</v>
      </c>
      <c r="B161" t="s">
        <v>1186</v>
      </c>
      <c r="C161">
        <v>1</v>
      </c>
      <c r="D161" t="s">
        <v>622</v>
      </c>
      <c r="E161" t="s">
        <v>1187</v>
      </c>
      <c r="F161" t="s">
        <v>1188</v>
      </c>
      <c r="G161" t="s">
        <v>1189</v>
      </c>
      <c r="H161" t="s">
        <v>673</v>
      </c>
      <c r="I161">
        <v>4</v>
      </c>
      <c r="J161">
        <v>2024</v>
      </c>
    </row>
    <row r="162" spans="1:10" x14ac:dyDescent="0.3">
      <c r="A162" t="s">
        <v>512</v>
      </c>
      <c r="B162" t="s">
        <v>1190</v>
      </c>
      <c r="C162">
        <v>2</v>
      </c>
      <c r="D162" t="s">
        <v>613</v>
      </c>
      <c r="E162" t="s">
        <v>1191</v>
      </c>
      <c r="F162" t="s">
        <v>1192</v>
      </c>
      <c r="G162" t="s">
        <v>1193</v>
      </c>
      <c r="H162" t="s">
        <v>518</v>
      </c>
      <c r="I162">
        <v>5</v>
      </c>
      <c r="J162">
        <v>2024</v>
      </c>
    </row>
    <row r="163" spans="1:10" x14ac:dyDescent="0.3">
      <c r="A163" t="s">
        <v>531</v>
      </c>
      <c r="B163" t="s">
        <v>1194</v>
      </c>
      <c r="C163">
        <v>1</v>
      </c>
      <c r="D163" t="s">
        <v>622</v>
      </c>
      <c r="E163" t="s">
        <v>1195</v>
      </c>
      <c r="F163" t="s">
        <v>1196</v>
      </c>
      <c r="G163" t="s">
        <v>1197</v>
      </c>
      <c r="H163" t="s">
        <v>572</v>
      </c>
      <c r="I163">
        <v>3</v>
      </c>
      <c r="J163">
        <v>2024</v>
      </c>
    </row>
    <row r="164" spans="1:10" x14ac:dyDescent="0.3">
      <c r="A164" t="s">
        <v>537</v>
      </c>
      <c r="B164" t="s">
        <v>1198</v>
      </c>
      <c r="C164">
        <v>1</v>
      </c>
      <c r="D164" t="s">
        <v>622</v>
      </c>
      <c r="E164" t="s">
        <v>1199</v>
      </c>
      <c r="F164" t="s">
        <v>1200</v>
      </c>
      <c r="G164" t="s">
        <v>1201</v>
      </c>
      <c r="H164" t="s">
        <v>577</v>
      </c>
      <c r="I164">
        <v>2</v>
      </c>
      <c r="J164">
        <v>2024</v>
      </c>
    </row>
    <row r="165" spans="1:10" x14ac:dyDescent="0.3">
      <c r="A165" t="s">
        <v>567</v>
      </c>
      <c r="B165" t="s">
        <v>1202</v>
      </c>
      <c r="C165">
        <v>1</v>
      </c>
      <c r="D165" t="s">
        <v>622</v>
      </c>
      <c r="E165" t="s">
        <v>1203</v>
      </c>
      <c r="F165" t="s">
        <v>1204</v>
      </c>
      <c r="G165" t="s">
        <v>1205</v>
      </c>
      <c r="H165" t="s">
        <v>731</v>
      </c>
      <c r="I165">
        <v>3</v>
      </c>
      <c r="J165">
        <v>2024</v>
      </c>
    </row>
    <row r="166" spans="1:10" x14ac:dyDescent="0.3">
      <c r="A166" t="s">
        <v>543</v>
      </c>
      <c r="B166" t="s">
        <v>1206</v>
      </c>
      <c r="C166">
        <v>1</v>
      </c>
      <c r="D166" t="s">
        <v>622</v>
      </c>
      <c r="E166" t="s">
        <v>1207</v>
      </c>
      <c r="F166" t="s">
        <v>1208</v>
      </c>
      <c r="G166" t="s">
        <v>1209</v>
      </c>
      <c r="H166" t="s">
        <v>593</v>
      </c>
      <c r="I166">
        <v>0</v>
      </c>
      <c r="J166">
        <v>2024</v>
      </c>
    </row>
    <row r="167" spans="1:10" x14ac:dyDescent="0.3">
      <c r="A167" t="s">
        <v>598</v>
      </c>
      <c r="B167" t="s">
        <v>1210</v>
      </c>
      <c r="C167">
        <v>1</v>
      </c>
      <c r="D167" t="s">
        <v>622</v>
      </c>
      <c r="E167" t="s">
        <v>1211</v>
      </c>
      <c r="F167" t="s">
        <v>1212</v>
      </c>
      <c r="G167" t="s">
        <v>1213</v>
      </c>
      <c r="H167" t="s">
        <v>631</v>
      </c>
      <c r="I167">
        <v>1</v>
      </c>
      <c r="J167">
        <v>2024</v>
      </c>
    </row>
    <row r="168" spans="1:10" x14ac:dyDescent="0.3">
      <c r="A168" t="s">
        <v>537</v>
      </c>
      <c r="B168" t="s">
        <v>1214</v>
      </c>
      <c r="C168">
        <v>1</v>
      </c>
      <c r="D168" t="s">
        <v>622</v>
      </c>
      <c r="E168" t="s">
        <v>1215</v>
      </c>
      <c r="F168" t="s">
        <v>1216</v>
      </c>
      <c r="G168" t="s">
        <v>1217</v>
      </c>
      <c r="H168" t="s">
        <v>577</v>
      </c>
      <c r="I168">
        <v>2</v>
      </c>
      <c r="J168">
        <v>2024</v>
      </c>
    </row>
    <row r="169" spans="1:10" x14ac:dyDescent="0.3">
      <c r="A169" t="s">
        <v>543</v>
      </c>
      <c r="B169" t="s">
        <v>1218</v>
      </c>
      <c r="C169">
        <v>1</v>
      </c>
      <c r="D169" t="s">
        <v>622</v>
      </c>
      <c r="E169" t="s">
        <v>1219</v>
      </c>
      <c r="F169" t="s">
        <v>1220</v>
      </c>
      <c r="G169" t="s">
        <v>1221</v>
      </c>
      <c r="H169" t="s">
        <v>593</v>
      </c>
      <c r="I169">
        <v>0</v>
      </c>
      <c r="J169">
        <v>2024</v>
      </c>
    </row>
    <row r="170" spans="1:10" x14ac:dyDescent="0.3">
      <c r="A170" t="s">
        <v>543</v>
      </c>
      <c r="B170" t="s">
        <v>1222</v>
      </c>
      <c r="C170">
        <v>0</v>
      </c>
      <c r="D170" t="s">
        <v>514</v>
      </c>
      <c r="E170" t="s">
        <v>1223</v>
      </c>
      <c r="F170" t="s">
        <v>1224</v>
      </c>
      <c r="G170" t="s">
        <v>1225</v>
      </c>
      <c r="H170" t="s">
        <v>548</v>
      </c>
      <c r="I170">
        <v>0</v>
      </c>
      <c r="J170">
        <v>2024</v>
      </c>
    </row>
    <row r="171" spans="1:10" x14ac:dyDescent="0.3">
      <c r="A171" t="s">
        <v>588</v>
      </c>
      <c r="B171" t="s">
        <v>1226</v>
      </c>
      <c r="C171">
        <v>1</v>
      </c>
      <c r="D171" t="s">
        <v>622</v>
      </c>
      <c r="E171" t="s">
        <v>1227</v>
      </c>
      <c r="F171" t="s">
        <v>1228</v>
      </c>
      <c r="G171" t="s">
        <v>1229</v>
      </c>
      <c r="H171" t="s">
        <v>626</v>
      </c>
      <c r="I171">
        <v>0</v>
      </c>
      <c r="J171">
        <v>2024</v>
      </c>
    </row>
    <row r="172" spans="1:10" x14ac:dyDescent="0.3">
      <c r="A172" t="s">
        <v>588</v>
      </c>
      <c r="B172" t="s">
        <v>1230</v>
      </c>
      <c r="C172">
        <v>1</v>
      </c>
      <c r="D172" t="s">
        <v>622</v>
      </c>
      <c r="E172" t="s">
        <v>1231</v>
      </c>
      <c r="F172" t="s">
        <v>1232</v>
      </c>
      <c r="G172" t="s">
        <v>1233</v>
      </c>
      <c r="H172" t="s">
        <v>626</v>
      </c>
      <c r="I172">
        <v>0</v>
      </c>
      <c r="J172">
        <v>2024</v>
      </c>
    </row>
    <row r="173" spans="1:10" x14ac:dyDescent="0.3">
      <c r="A173" t="s">
        <v>567</v>
      </c>
      <c r="B173" t="s">
        <v>1234</v>
      </c>
      <c r="C173">
        <v>1</v>
      </c>
      <c r="D173" t="s">
        <v>622</v>
      </c>
      <c r="E173" t="s">
        <v>1235</v>
      </c>
      <c r="F173" t="s">
        <v>1236</v>
      </c>
      <c r="G173" t="s">
        <v>1237</v>
      </c>
      <c r="H173" t="s">
        <v>731</v>
      </c>
      <c r="I173">
        <v>3</v>
      </c>
      <c r="J173">
        <v>2024</v>
      </c>
    </row>
    <row r="174" spans="1:10" x14ac:dyDescent="0.3">
      <c r="A174" t="s">
        <v>525</v>
      </c>
      <c r="B174" t="s">
        <v>1238</v>
      </c>
      <c r="C174">
        <v>1</v>
      </c>
      <c r="D174" t="s">
        <v>622</v>
      </c>
      <c r="E174" t="s">
        <v>1239</v>
      </c>
      <c r="F174" t="s">
        <v>1240</v>
      </c>
      <c r="G174" t="s">
        <v>1241</v>
      </c>
      <c r="H174" t="s">
        <v>530</v>
      </c>
      <c r="I174">
        <v>2</v>
      </c>
      <c r="J174">
        <v>2024</v>
      </c>
    </row>
    <row r="175" spans="1:10" x14ac:dyDescent="0.3">
      <c r="A175" t="s">
        <v>598</v>
      </c>
      <c r="B175" t="s">
        <v>1242</v>
      </c>
      <c r="C175">
        <v>1</v>
      </c>
      <c r="D175" t="s">
        <v>622</v>
      </c>
      <c r="E175" t="s">
        <v>1243</v>
      </c>
      <c r="F175" t="s">
        <v>1244</v>
      </c>
      <c r="G175" t="s">
        <v>1245</v>
      </c>
      <c r="H175" t="s">
        <v>631</v>
      </c>
      <c r="I175">
        <v>1</v>
      </c>
      <c r="J175">
        <v>2024</v>
      </c>
    </row>
    <row r="176" spans="1:10" x14ac:dyDescent="0.3">
      <c r="A176" t="s">
        <v>598</v>
      </c>
      <c r="B176" t="s">
        <v>1246</v>
      </c>
      <c r="C176">
        <v>1</v>
      </c>
      <c r="D176" t="s">
        <v>622</v>
      </c>
      <c r="E176" t="s">
        <v>1247</v>
      </c>
      <c r="F176" t="s">
        <v>1248</v>
      </c>
      <c r="G176" t="s">
        <v>1249</v>
      </c>
      <c r="H176" t="s">
        <v>631</v>
      </c>
      <c r="I176">
        <v>1</v>
      </c>
      <c r="J176">
        <v>2024</v>
      </c>
    </row>
    <row r="177" spans="1:10" x14ac:dyDescent="0.3">
      <c r="A177" t="s">
        <v>525</v>
      </c>
      <c r="B177" t="s">
        <v>1250</v>
      </c>
      <c r="C177">
        <v>1</v>
      </c>
      <c r="D177" t="s">
        <v>622</v>
      </c>
      <c r="E177" t="s">
        <v>1251</v>
      </c>
      <c r="F177" t="s">
        <v>1252</v>
      </c>
      <c r="G177" t="s">
        <v>1253</v>
      </c>
      <c r="H177" t="s">
        <v>530</v>
      </c>
      <c r="I177">
        <v>2</v>
      </c>
      <c r="J177">
        <v>2024</v>
      </c>
    </row>
    <row r="178" spans="1:10" x14ac:dyDescent="0.3">
      <c r="A178" t="s">
        <v>567</v>
      </c>
      <c r="B178" t="s">
        <v>1254</v>
      </c>
      <c r="C178">
        <v>1</v>
      </c>
      <c r="D178" t="s">
        <v>622</v>
      </c>
      <c r="E178" t="s">
        <v>1255</v>
      </c>
      <c r="F178" t="s">
        <v>1256</v>
      </c>
      <c r="G178" t="s">
        <v>1257</v>
      </c>
      <c r="H178" t="s">
        <v>731</v>
      </c>
      <c r="I178">
        <v>3</v>
      </c>
      <c r="J178">
        <v>2024</v>
      </c>
    </row>
    <row r="179" spans="1:10" x14ac:dyDescent="0.3">
      <c r="A179" t="s">
        <v>588</v>
      </c>
      <c r="B179" t="s">
        <v>1258</v>
      </c>
      <c r="C179">
        <v>1</v>
      </c>
      <c r="D179" t="s">
        <v>622</v>
      </c>
      <c r="E179" t="s">
        <v>1259</v>
      </c>
      <c r="F179" t="s">
        <v>1260</v>
      </c>
      <c r="G179" t="s">
        <v>1261</v>
      </c>
      <c r="H179" t="s">
        <v>626</v>
      </c>
      <c r="I179">
        <v>0</v>
      </c>
      <c r="J179">
        <v>2024</v>
      </c>
    </row>
    <row r="180" spans="1:10" x14ac:dyDescent="0.3">
      <c r="A180" t="s">
        <v>537</v>
      </c>
      <c r="B180" t="s">
        <v>1262</v>
      </c>
      <c r="C180">
        <v>1</v>
      </c>
      <c r="D180" t="s">
        <v>622</v>
      </c>
      <c r="E180" t="s">
        <v>1263</v>
      </c>
      <c r="F180" t="s">
        <v>1264</v>
      </c>
      <c r="G180" t="s">
        <v>1265</v>
      </c>
      <c r="H180" t="s">
        <v>577</v>
      </c>
      <c r="I180">
        <v>2</v>
      </c>
      <c r="J180">
        <v>2024</v>
      </c>
    </row>
    <row r="181" spans="1:10" x14ac:dyDescent="0.3">
      <c r="A181" t="s">
        <v>512</v>
      </c>
      <c r="B181" t="s">
        <v>1266</v>
      </c>
      <c r="C181">
        <v>0</v>
      </c>
      <c r="D181" t="s">
        <v>514</v>
      </c>
      <c r="E181" t="s">
        <v>1267</v>
      </c>
      <c r="F181" t="s">
        <v>1268</v>
      </c>
      <c r="G181" t="s">
        <v>1269</v>
      </c>
      <c r="H181" t="s">
        <v>518</v>
      </c>
      <c r="I181">
        <v>5</v>
      </c>
      <c r="J181">
        <v>2024</v>
      </c>
    </row>
    <row r="182" spans="1:10" x14ac:dyDescent="0.3">
      <c r="A182" t="s">
        <v>525</v>
      </c>
      <c r="B182" t="s">
        <v>1270</v>
      </c>
      <c r="C182">
        <v>0</v>
      </c>
      <c r="D182" t="s">
        <v>514</v>
      </c>
      <c r="E182" t="s">
        <v>1271</v>
      </c>
      <c r="F182" t="s">
        <v>1272</v>
      </c>
      <c r="G182" t="s">
        <v>1273</v>
      </c>
      <c r="H182" t="s">
        <v>577</v>
      </c>
      <c r="I182">
        <v>2</v>
      </c>
      <c r="J182">
        <v>2024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E29DD02-F888-4CC9-AC41-05A9687241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11</vt:i4>
      </vt:variant>
    </vt:vector>
  </HeadingPairs>
  <TitlesOfParts>
    <vt:vector size="29" baseType="lpstr">
      <vt:lpstr>Read.Me</vt:lpstr>
      <vt:lpstr>Summary</vt:lpstr>
      <vt:lpstr>Center</vt:lpstr>
      <vt:lpstr>Auto</vt:lpstr>
      <vt:lpstr>Teleop</vt:lpstr>
      <vt:lpstr>Showtime</vt:lpstr>
      <vt:lpstr>MPR_Alliance</vt:lpstr>
      <vt:lpstr>MPR_Auto</vt:lpstr>
      <vt:lpstr>MPR_Teleop</vt:lpstr>
      <vt:lpstr>MPR_Showtime</vt:lpstr>
      <vt:lpstr>Dyno_Data</vt:lpstr>
      <vt:lpstr>Dyno_EndMatch</vt:lpstr>
      <vt:lpstr>TBA_Rankings</vt:lpstr>
      <vt:lpstr>TBA_Matches-All</vt:lpstr>
      <vt:lpstr>TBA_Matches-Blue</vt:lpstr>
      <vt:lpstr>TBA_Matches-Red</vt:lpstr>
      <vt:lpstr>TBA_Schedule</vt:lpstr>
      <vt:lpstr>TBA_Events</vt:lpstr>
      <vt:lpstr>_Blue1</vt:lpstr>
      <vt:lpstr>_Blue2</vt:lpstr>
      <vt:lpstr>_Blue3</vt:lpstr>
      <vt:lpstr>_Red1</vt:lpstr>
      <vt:lpstr>_Red2</vt:lpstr>
      <vt:lpstr>_Red3</vt:lpstr>
      <vt:lpstr>Alliance</vt:lpstr>
      <vt:lpstr>AllianceA</vt:lpstr>
      <vt:lpstr>AllianceShow</vt:lpstr>
      <vt:lpstr>AllianceT</vt:lpstr>
      <vt:lpstr>Match</vt:lpstr>
    </vt:vector>
  </TitlesOfParts>
  <Manager/>
  <Company>South Colonie CSD</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SC Robotics</dc:creator>
  <cp:keywords/>
  <dc:description/>
  <cp:lastModifiedBy>Alex Bailey</cp:lastModifiedBy>
  <cp:revision/>
  <dcterms:created xsi:type="dcterms:W3CDTF">2024-01-14T17:07:11Z</dcterms:created>
  <dcterms:modified xsi:type="dcterms:W3CDTF">2024-03-23T15:53:53Z</dcterms:modified>
  <cp:category/>
  <cp:contentStatus/>
</cp:coreProperties>
</file>